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updateLinks="never" codeName="ThisWorkbook"/>
  <mc:AlternateContent xmlns:mc="http://schemas.openxmlformats.org/markup-compatibility/2006">
    <mc:Choice Requires="x15">
      <x15ac:absPath xmlns:x15ac="http://schemas.microsoft.com/office/spreadsheetml/2010/11/ac" url="C:\Users\mespinosa2\OneDrive - The Global Fund\Documents\Portafolios\El Salvador\Grant Making\"/>
    </mc:Choice>
  </mc:AlternateContent>
  <xr:revisionPtr revIDLastSave="0" documentId="13_ncr:1_{DAAAEA50-9A92-43E5-9F1C-DBAE2D48D01E}" xr6:coauthVersionLast="47" xr6:coauthVersionMax="47" xr10:uidLastSave="{00000000-0000-0000-0000-000000000000}"/>
  <bookViews>
    <workbookView xWindow="28680" yWindow="-120" windowWidth="29040" windowHeight="15840" tabRatio="709" firstSheet="1" activeTab="12" xr2:uid="{00000000-000D-0000-FFFF-FFFF00000000}"/>
  </bookViews>
  <sheets>
    <sheet name="Instructions-ES" sheetId="40" r:id="rId1"/>
    <sheet name="Overview - Section A" sheetId="1" r:id="rId2"/>
    <sheet name="Version history" sheetId="25" state="veryHidden" r:id="rId3"/>
    <sheet name="Reference Records" sheetId="16" state="veryHidden" r:id="rId4"/>
    <sheet name="Impact Indicators - Section B " sheetId="30" r:id="rId5"/>
    <sheet name="update Helper" sheetId="27" state="veryHidden" r:id="rId6"/>
    <sheet name="Setup" sheetId="29" state="veryHidden" r:id="rId7"/>
    <sheet name="Impact Indicator Target Update" sheetId="28" state="veryHidden" r:id="rId8"/>
    <sheet name="Translations" sheetId="36" state="veryHidden" r:id="rId9"/>
    <sheet name="Outcome Indicators - Section C " sheetId="31" r:id="rId10"/>
    <sheet name="Coverage Indicators - Section D" sheetId="33" r:id="rId11"/>
    <sheet name=" Disaggregation - Section E " sheetId="32" r:id="rId12"/>
    <sheet name="WPTM - Section F" sheetId="34" r:id="rId13"/>
    <sheet name="Print View" sheetId="24" r:id="rId14"/>
    <sheet name="Reference records(soft deleted)" sheetId="23" state="veryHidden" r:id="rId15"/>
    <sheet name="Disaggregation Records" sheetId="20" state="veryHidden" r:id="rId16"/>
    <sheet name="Disaggregation Data" sheetId="22" state="veryHidden" r:id="rId17"/>
    <sheet name="Account Role" sheetId="19" state="veryHidden" r:id="rId18"/>
    <sheet name="apttusmetadata" sheetId="13" state="veryHidden" r:id="rId19"/>
  </sheets>
  <externalReferences>
    <externalReference r:id="rId20"/>
  </externalReferences>
  <definedNames>
    <definedName name="_009096bb_77c7_47e9_ab78_bac00c84b439">'update Helper'!$A$49</definedName>
    <definedName name="_014af77a_8bcb_4d0c_beeb_a3d72f1332b5">'Disaggregation Records'!$G$155</definedName>
    <definedName name="_01bfc0ce_3a93_4136_98df_2e5ab51007c4">'update Helper'!$L$422</definedName>
    <definedName name="_01cccfef_5573_4d36_b9d3_e32bd9199c70">'Overview - Section A'!$AO$17:$AO$19</definedName>
    <definedName name="_0215c642_4079_4a66_b33f_02948e5b161c">'Overview - Section A'!$A$52</definedName>
    <definedName name="_02305739_ec80_4503_b191_2e272f7ad158">'Reference records(soft deleted)'!$H$26</definedName>
    <definedName name="_0278b5de_0da4_4498_a134_99a2744a9fab">'Overview - Section A'!$X$155</definedName>
    <definedName name="_033fcd6d_adce_4700_8852_ca583a6bef6b">'Disaggregation Records'!$G$69</definedName>
    <definedName name="_041a39b4_8ff8_4bdd_bc99_4f008e44b010">'Reference records(soft deleted)'!$J$26</definedName>
    <definedName name="_0498dc4a_5706_4cf8_9462_13fccb149fe3">'update Helper'!$M$1666</definedName>
    <definedName name="_04a05b73_32c0_4d2d_a31f_5fbde1b204a3">'Reference records(soft deleted)'!$I$167</definedName>
    <definedName name="_053d4715_81a5_4c4e_908e_bbbba2cb81d4">'update Helper'!$O$422</definedName>
    <definedName name="_05de697d_8f2c_4184_9d2e_6faa62695a32" comment="Display Map">'Reference records(soft deleted)'!$B$117:$K$161</definedName>
    <definedName name="_06a30c86_360f_426e_8e45_34c8bc342561" comment="Display Map">'Overview - Section A'!$A$26:$S$28</definedName>
    <definedName name="_06f0afa9_1fe3_42c4_a70c_ee03512b1215">'Reference records(soft deleted)'!$B$167</definedName>
    <definedName name="_07c6e9ba_e1f0_4c5a_9be5_1f8f2de0a270" localSheetId="0">'[1]update Helper'!#REF!</definedName>
    <definedName name="_07c6e9ba_e1f0_4c5a_9be5_1f8f2de0a270">#REF!</definedName>
    <definedName name="_07f6212a_2a5a_452d_b852_a06db9d121bc">'Reference Records'!$M$25</definedName>
    <definedName name="_0883281e_e21d_43ef_9187_230346f845f9">'Overview - Section A'!$C$19</definedName>
    <definedName name="_089c4f14_f445_4edd_986d_5381533aad0a">'update Helper'!$M$58</definedName>
    <definedName name="_0a25a90c_3219_438f_af02_7dbbd6432e17">'Reference Records'!$D$1:$D$733</definedName>
    <definedName name="_0b061e63_2d62_4e7f_be44_4eac7747625a">'update Helper'!$K$3</definedName>
    <definedName name="_0ba5fba9_1998_4ded_9b12_f967fc1c76dc">'update Helper'!$E$422</definedName>
    <definedName name="_0be7695c_11a6_45b5_b154_af6d36015894">'Reference Records'!$B$407</definedName>
    <definedName name="_0beac2ba_bbbb_431d_8bce_14dbf66bdf78">'Overview - Section A'!$E$52</definedName>
    <definedName name="_0c431a0b_6c06_4a8d_9958_df0e381f3233">'update Helper'!$F$3</definedName>
    <definedName name="_0cdb72c3_6724_4a77_bc28_1011a00b051b">'Disaggregation Data'!$K$615</definedName>
    <definedName name="_0d92c2c9_3965_40dd_8ee0_e9f02c0e3ee9">'update Helper'!$C$4064</definedName>
    <definedName name="_0dc96169_1e4e_4b6f_8f38_6c1e88134dc4">'Overview - Section A'!$L$32</definedName>
    <definedName name="_0eecfd33_4a6a_4cbb_afe3_81fb3599f535">'Reference records(soft deleted)'!$I$117:$I$118</definedName>
    <definedName name="_0f39d314_7997_497e_b89c_3c8231e774ea">'Reference Records'!$K$25</definedName>
    <definedName name="_0f6dd035_5a2a_4fb8_9c03_136130f7ba45">'Disaggregation Records'!$P$155</definedName>
    <definedName name="_10373643_8727_4ea7_b41d_1b5ebdd41ba4">'Reference Records'!$M$213</definedName>
    <definedName name="_1121e55d_6d32_4888_b652_ac9583a82d46">'update Helper'!$C$4310</definedName>
    <definedName name="_1279d174_765e_40f7_9774_a1502cee1084">'update Helper'!$D$843</definedName>
    <definedName name="_13f5bbc3_a06d_4a3e_b75e_ac6929e1cb91">'Reference Records'!$A$340:$A$341</definedName>
    <definedName name="_13f7ccf9_e83b_492d_b75e_505ddf064a0d">'update Helper'!$M$4064</definedName>
    <definedName name="_144bb8c4_0b16_4558_9e0b_bfebb0a9604a">'update Helper'!$C$1666</definedName>
    <definedName name="_14a567c8_d8f6_4162_9aa0_c1538b8740a0" comment="Display Map">'Reference records(soft deleted)'!$B$5:$K$20</definedName>
    <definedName name="_164e6d09_185f_4eb7_8d48_b40f818dce2a" comment="Display Map">'Reference Records'!$A$78:$Q$155</definedName>
    <definedName name="_181f0491_3526_4056_a1b6_cc19485d3206">'Disaggregation Records'!$K$69</definedName>
    <definedName name="_185f9a59_e3dc_4a86_b1fd_a4a300de92e9">'Reference records(soft deleted)'!$F$117:$F$118</definedName>
    <definedName name="_18fcd6ea_974c_4b82_9069_cd9097340c65">'Disaggregation Records'!$N$155</definedName>
    <definedName name="_1955075b_5332_4022_9e1d_d8310266160b">'Reference Records'!$B$354</definedName>
    <definedName name="_195784db_c268_4c63_8483_153347963bf4">'Reference records(soft deleted)'!$F$118</definedName>
    <definedName name="_1973a1fe_f6bd_4298_a9ef_0f4352e0ed5c">'update Helper'!$AB$843</definedName>
    <definedName name="_198b5a5f_0f03_476f_accf_4c39afec46de">'update Helper'!$L$477</definedName>
    <definedName name="_1a080622_0d74_49cf_97f9_4810bf8030df">'Overview - Section A'!$F$52</definedName>
    <definedName name="_1a5b1cfb_0aff_4bfb_a8cf_305d6cff91c4">'update Helper'!$AD$843</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Records'!$D$213</definedName>
    <definedName name="_1ba5b9ab_2d9b_4eca_b122_0032dff5772a">'Overview - Section A'!$C$19:$C$22</definedName>
    <definedName name="_1c63dced_ef57_49a2_b76c_04f2a67c4e37">'Reference Records'!$G$622</definedName>
    <definedName name="_1c9a6136_ca1e_45b0_8d91_8e499a1c2b64">'update Helper'!$F$477</definedName>
    <definedName name="_1d6a3bac_4285_4496_be35_4b6e94c6c525">'Overview - Section A'!$F$82</definedName>
    <definedName name="_1e4eb8fc_811c_44fb_af4b_e630611aebf1" localSheetId="0">'[1]Impact Indicators - Section B'!#REF!</definedName>
    <definedName name="_1e4eb8fc_811c_44fb_af4b_e630611aebf1">#REF!</definedName>
    <definedName name="_1e8031e2_fb17_49db_aa23_60e8be628b5d">'update Helper'!$N$2499</definedName>
    <definedName name="_1f7a22d6_7976_4a51_98b5_b72a96a27356">'update Helper'!$N$477</definedName>
    <definedName name="_201a9b59_c648_4520_b810_e4a26475e91b">'update Helper'!$L$58</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Helper'!$J$2499</definedName>
    <definedName name="_2155cd87_2f72_4971_9bf3_5e903b4bd350">'Disaggregation Data'!$H$3</definedName>
    <definedName name="_21767732_1f31_4ce6_b119_8446771deb3e">'Reference Records'!$M$4</definedName>
    <definedName name="_21b12a26_ee05_4098_a9bf_fc0cdf7f6adb">'update Helper'!$I$477</definedName>
    <definedName name="_227c1eef_248d_4636_b70f_e17385d0de94">'Disaggregation Data'!$I$3</definedName>
    <definedName name="_233f4b6b_2a85_4f7c_a11c_783789889f27">'update Helper'!$C$843</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A'!$A$154:$AQ$255</definedName>
    <definedName name="_242d575a_eb16_4795_affc_a818f9b0adad" comment="Display Map">'Disaggregation Data'!$D$2:$R$303</definedName>
    <definedName name="_2440afcf_7038_466b_9f8b_f5cb2d881ac0">'update Helper'!$M$2499</definedName>
    <definedName name="_24ce621f_5feb_4421_aa7b_30c973952869">'Overview - Section A'!$Q$32</definedName>
    <definedName name="_256acc1f_d632_49f3_a230_a7c45fed6c7d">'update Helper'!$A$4310</definedName>
    <definedName name="_25903c5a_79da_48aa_a73a_0efa3fa709b3">'Overview - Section A'!$E$7</definedName>
    <definedName name="_25c4f9c3_a465_4509_8e2f_b4c3afc12d62">'Disaggregation Data'!$M$309</definedName>
    <definedName name="_26871ad2_5643_4577_a42a_cef86a91d97d">'Reference Records'!$T$4</definedName>
    <definedName name="_269ad186_a2a4_4f46_8ca7_07cb583e612e">'update Helper'!$R$4064</definedName>
    <definedName name="_27c6dfb2_6e2c_4519_aff6_82afcaea4b81">'update Helper'!$H$4310</definedName>
    <definedName name="_29114823_71c7_429d_a280_da9290ae2726">'Disaggregation Records'!$N$69</definedName>
    <definedName name="_29485cc3_b6f0_4699_8a0a_9b1b9b557d0a">'update Helper'!$T$843</definedName>
    <definedName name="_295f3441_adc3_4dc5_8a9e_67266d697395">'Overview - Section A'!$N$32</definedName>
    <definedName name="_29cebab7_2d83_4f3c_9514_8297fc24a341">'update Helper'!$AA$843</definedName>
    <definedName name="_29dc2e64_1893_44f6_9dcf_87e619efff18">'update Helper'!$M$3</definedName>
    <definedName name="_29de1210_4fea_46a8_ac63_eb3a3734b209">'Account Role'!$D$23</definedName>
    <definedName name="_2aadba24_f284_4106_939e_021fa73526f3">'Reference Records'!$I$622</definedName>
    <definedName name="_2ab1dfcf_a207_4488_9778_05865ff67402">'Reference records(soft deleted)'!$G$118</definedName>
    <definedName name="_2b6b996f_cb14_4a6f_a9d2_340471f8299f">'update Helper'!$U$843</definedName>
    <definedName name="_2bad41a3_d2d5_4a30_a026_b211ed401ae9">'Impact Indicator Target Update'!$K$1</definedName>
    <definedName name="_2c6b8785_2f7e_4ce5_948e_2066c6838182">'Reference Records'!$O$4</definedName>
    <definedName name="_2cce8ee2_6afd_41d1_bcad_99af3d7b16b5">'update Helper'!$J$939</definedName>
    <definedName name="_2d154807_2b4a_4b96_90cc_90540c97cd87">'update Helper'!$H$1666</definedName>
    <definedName name="_2d8b8002_9e00_4e21_821d_5beccbd0b725">'update Helper'!$K$939</definedName>
    <definedName name="_2e072484_37c2_40d3_8ebb_cc2dad56c7bb">'update Helper'!$K$4064</definedName>
    <definedName name="_304a4b38_aadb_465f_bec4_ede79462324a" comment="Display Map">'Account Role'!$A$22:$D$292</definedName>
    <definedName name="_30572134_8290_4750_a680_dd1dbf9fbe17" comment="Display Map">'Disaggregation Data'!$D$308:$O$609</definedName>
    <definedName name="_30b03846_ab03_4151_aecb_ffcd8f9380d3">'Reference records(soft deleted)'!$G$250</definedName>
    <definedName name="_31abdfc0_7b3f_4421_9bb3_3010b64c33c6">'Reference Records'!$B$403</definedName>
    <definedName name="_31d120e8_a153_4549_b61b_13f625c541fd">'Disaggregation Records'!$N$3</definedName>
    <definedName name="_31e1e97a_f8b3_42a3_9dba_54263b984934">'Overview - Section A'!$Q$39</definedName>
    <definedName name="_33898a8c_e55b_4fb6_a523_fc8d172930cd" comment="Display Map">'Reference Records'!$B$3:$T$18</definedName>
    <definedName name="_33f94c69_7ad0_42e4_ae97_cd43ab2f6fb1">'Disaggregation Data'!$D$615</definedName>
    <definedName name="_345d0d9b_6a28_4efe_b573_e24f2d2c320a">'update Helper'!$P$3</definedName>
    <definedName name="_3599e6a2_76d5_4a3e_b94f_263ea328a754">'Overview - Section A'!$AN$10</definedName>
    <definedName name="_35a3a7c3_ebbd_4b4d_a304_0699e84940ff">'Overview - Section A'!$G$155</definedName>
    <definedName name="_35d1b49a_9719_423f_baf2_fde871e1bd58">'Overview - Section A'!$O$32</definedName>
    <definedName name="_3656f8fe_1658_4390_b037_f0db08258404">'update Helper'!$D$937</definedName>
    <definedName name="_36c48884_8351_429d_866b_c7cb8ec9bdfb">'Overview - Section A'!$P$32</definedName>
    <definedName name="_37fc5e03_bcc7_4685_9fef_b3f1646865b7">'Reference Records'!$J$414</definedName>
    <definedName name="_38090fcc_c83f_4075_9748_b307f993e767">'Reference records(soft deleted)'!$B$250</definedName>
    <definedName name="_38727489_790b_4106_8b2a_6a8fd7426747">'update Helper'!$I$2499</definedName>
    <definedName name="_388e9f7b_b253_414f_b074_2b51db867bec">'Overview - Section A'!$K$32</definedName>
    <definedName name="_38de050d_86ee_49c2_9fbb_229243dfc39c">'Reference Records'!$Q$159</definedName>
    <definedName name="_3a54c0cb_5d61_44ab_9f5f_59c0b83c7017" comment="Save Map">'Account Role'!$B$294:$D$294</definedName>
    <definedName name="_3a87c5f7_0769_4a3a_a3e3_82a4b0341068">'Reference Records'!$C$346</definedName>
    <definedName name="_3aa3a9d7_516a_4076_842d_45635c693b16">'Overview - Section A'!$F$155</definedName>
    <definedName name="_3b16469f_3a28_404f_a919_41ed115ef29e">'Disaggregation Data'!$R$3</definedName>
    <definedName name="_3b7422cb_6445_4aa9_93d7_564b3b552a88">'update Helper'!$M$422</definedName>
    <definedName name="_3c45532e_4503_44c3_aed1_88e3c7145bca">'Reference Records'!$E$159</definedName>
    <definedName name="_3c670222_be49_48d4_a6da_55d70e83d153" comment="Display Map">'Reference Records'!$A$353:$C$399</definedName>
    <definedName name="_3c7e6a65_3704_49f1_aeb5_596f9e172566">'update Helper'!$A$2499</definedName>
    <definedName name="_3d3c76b6_9fcf_4cb5_b2a3_ba632337362e">'Overview - Section A'!$Y$155</definedName>
    <definedName name="_3d6d3512_10c0_4de5_aa42_7ee068d75e48">'Reference Records'!$E$622</definedName>
    <definedName name="_3e588f48_5b47_4e13_ab21_55c135645d97">'Reference Records'!$C$354</definedName>
    <definedName name="_3e75799f_c328_461d_aa21_8f9a9eab5513">'Reference Records'!$K$414</definedName>
    <definedName name="_3f09c12b_bc4c_4018_a427_8323f6abdcde">'Impact Indicator Target Update'!$I$1</definedName>
    <definedName name="_3f14779a_3657_4ee9_b857_6b95d77074db">'Reference Records'!$A$354</definedName>
    <definedName name="_3f450a54_eabe_42be_b6a5_18c086a5d786">'Overview - Section A'!$AA$155</definedName>
    <definedName name="_3fdc2ac9_f4a3_4d6a_b2f2_58d6f3e03696">'update Helper'!$I$3</definedName>
    <definedName name="_3fe9ffb0_20f0_4e61_bd05_c39610c7d823">'update Helper'!$J$3</definedName>
    <definedName name="_413e976f_e211_495a_946b_b87ba18376c4">'update Helper'!$A$4064</definedName>
    <definedName name="_4142b5d6_b3a2_4804_93e1_6abaf2166d4c">'Reference records(soft deleted)'!$H$167</definedName>
    <definedName name="_4168f68f_65b0_4ea5_bc1b_2714af57d8d9">'Reference Records'!$P$4</definedName>
    <definedName name="_423d3c20_41cf_4997_a293_9b1150fb8eaa">'Overview - Section A'!$AQ$155</definedName>
    <definedName name="_425b05fb_599f_421c_ad67_1b45a511d0c0">'Reference records(soft deleted)'!$I$118:$I$118</definedName>
    <definedName name="_4266c6da_54ca_4a1a_a567_1b51c0445aba">'Overview - Section A'!$C$9</definedName>
    <definedName name="_42a2ef20_7507_4137_ae83_1c4ed24d9bd9">'Reference Records'!$D$159:$D$204</definedName>
    <definedName name="_42d7fb51_4e33_4fc0_b034_1c2d76e20fd5">'update Helper'!$U$422</definedName>
    <definedName name="_450947d9_3973_46bc_ab14_5dab8bf5c8fb">'Overview - Section A'!$J$155</definedName>
    <definedName name="_45ed0cc2_06fa_47d2_bf1a_8078df921d9b">'Impact Indicator Target Update'!$B$1</definedName>
    <definedName name="_463898c2_94f9_443e_9360_603b31e51356">'Reference Records'!$F$622</definedName>
    <definedName name="_46d565cf_c4b6_4ba9_91a9_ae6e1f229f25">'update Helper'!$N$843</definedName>
    <definedName name="_4820f755_1815_4142_9c1e_22637b4b3c30" comment="Display Map">'update Helper'!$A$421:$U$467</definedName>
    <definedName name="_493718d5_8d74_4e5b_a628_d7a62c064791">'Overview - Section A'!$AN$11</definedName>
    <definedName name="_49926cff_7d8a_446c_9eaf_1304d30c19db">'update Helper'!$C$2120</definedName>
    <definedName name="_4994889e_24bf_4e57_b5fe_4d250c0b598a">'Reference Records'!$B$341</definedName>
    <definedName name="_4ae48ad8_e1d2_4fe8_923d_d826a0a6db3d">'Reference records(soft deleted)'!$J$167</definedName>
    <definedName name="_4af41944_42f7_4e99_8627_878d677a4e30">'Disaggregation Data'!$O$309</definedName>
    <definedName name="_4b36df75_ea3b_4116_b8ac_4a66abe762ad" comment="Display Map">'Disaggregation Records'!$A$68:$Q$151</definedName>
    <definedName name="_4b8d00e4_3b44_4af0_94c2_6912b8089f7c" localSheetId="0">'[1]Reference Records'!#REF!</definedName>
    <definedName name="_4b8d00e4_3b44_4af0_94c2_6912b8089f7c">#REF!</definedName>
    <definedName name="_4c42d79f_dbe5_4149_82f9_e7c685dd6770">'Reference Records'!$S$4</definedName>
    <definedName name="_4d0cf32e_0e05_456f_b4d1_14bd4c608721">'Reference records(soft deleted)'!$B$118</definedName>
    <definedName name="_4d2be4fe_13b2_4faf_828e_93509fa81057" comment="Display Map">'update Helper'!$A$1665:$O$2116</definedName>
    <definedName name="_4d46f88d_b53f_4725_b903_496b8000bb47">'Reference Records'!$P$159</definedName>
    <definedName name="_4db5cf38_f801_4806_bf2c_599132967e52">'Overview - Section A'!$N$39</definedName>
    <definedName name="_4dc32036_026a_4d5f_beb4_03786a15ba27" comment="Save Map">'update Helper'!$B$3:$I$3</definedName>
    <definedName name="_4e28d14a_809b_451a_94f7_5adb1a78a192">'Reference Records'!$B$213</definedName>
    <definedName name="_4e3ce3cc_8312_431b_a087_d993964fb260">'Overview - Section A'!$H$118</definedName>
    <definedName name="_4e82750a_5fea_44c6_80cf_72f682152f92">'Disaggregation Data'!$O$615</definedName>
    <definedName name="_4ede0df7_bdae_485c_a6aa_cd381b32466f">'Overview - Section A'!$A$155</definedName>
    <definedName name="_4ee906e6_a15a_4bd6_a5ab_48f7e9c4ead2">'update Helper'!$N$4064</definedName>
    <definedName name="_4f178b68_20c0_4f6c_b1b2_a19a8fcafba7">'update Helper'!$C$939</definedName>
    <definedName name="_4f36af19_06bf_4c59_990d_586822b3d259">'Overview - Section A'!$A$82</definedName>
    <definedName name="_4f63865c_55fd_464f_93e9_b2225fc74687">'Reference records(soft deleted)'!$H$6</definedName>
    <definedName name="_505724dd_8547_4bc3_976d_4313725e4ae3">'update Helper'!$I$58</definedName>
    <definedName name="_50db2e80_c834_4e54_81d0_095d3a449508">'Overview - Section A'!$AN$11</definedName>
    <definedName name="_51b611bd_a560_42d0_9976_577e62d2b71d">'Overview - Section A'!$A$19</definedName>
    <definedName name="_52d6fc62_59f3_4757_a084_a8aeafb48d9b">'Overview - Section A'!$G$82</definedName>
    <definedName name="_52e13748_1182_4a4a_9d8d_bac741435bb8">'update Helper'!$B$3</definedName>
    <definedName name="_53066892_24de_428a_ae98_ea86638a4c62">'Reference Records'!$B$25</definedName>
    <definedName name="_53737226_720f_44cb_8b6f_c2a7829a2378">'Reference records(soft deleted)'!$I$26</definedName>
    <definedName name="_54eeb97e_db74_4058_898e_3c70d10a60fb">'Overview - Section A'!$E$10</definedName>
    <definedName name="_551ff597_4d6b_4e43_80ec_d627591a4405">'update Helper'!$A$58</definedName>
    <definedName name="_556ddeb1_283d_4119_8033_220d00837221">'update Helper'!$G$4310</definedName>
    <definedName name="_57279062_e326_494d_97d1_9dfc8942bd33" comment="Display Map">'Reference records(soft deleted)'!$B$25:$K$113</definedName>
    <definedName name="_572e42ad_37ba_41a9_bff2_b341932489fa">'Disaggregation Data'!$K$309</definedName>
    <definedName name="_5784befd_ba79_46ce_94c3_633c0a4c5b39">'update Helper'!$G$1666</definedName>
    <definedName name="_5872670a_ec38_4a89_ad98_a6d82394eb83">'Reference Records'!$D$622</definedName>
    <definedName name="_58bd3376_047f_4dcd_8c2d_825da0f87b4c">'Reference Records'!$N$4</definedName>
    <definedName name="_59a28839_db65_45dc_8a19_59cbc682c3a6">'Reference records(soft deleted)'!$I$6</definedName>
    <definedName name="_59f95329_4292_4573_afbd_ad38fe5a11b5">'update Helper'!$Q$843</definedName>
    <definedName name="_5a304b38_0560_4d4b_9305_af573a971c7b">'update Helper'!$D$477</definedName>
    <definedName name="_5a6b264f_e866_4180_b32b_be3682daaa02">'Impact Indicator Target Update'!$J$1</definedName>
    <definedName name="_5ab6d726_9fce_48bb_aa46_4986e5a2e80e">'update Helper'!$R$422</definedName>
    <definedName name="_5b7858ba_c7ed_4c9b_bc1f_4266d944d694">'update Helper'!$M$2120</definedName>
    <definedName name="_5bfda244_8ccf_4224_a2ea_9a3800784bec">'update Helper'!$Q$422</definedName>
    <definedName name="_5c348667_29c7_4f46_8bdf_9340e7ffe341">'Reference Records'!$N$213</definedName>
    <definedName name="_5c482c04_4e59_4d71_9f75_de3d9d16970b">'Reference records(soft deleted)'!$K$26</definedName>
    <definedName name="_5ca483d4_a607_464c_bfdb_b77cba9ec0a9">'update Helper'!$Q$3</definedName>
    <definedName name="_5d5f763d_3d34_4982_8228_6a30e5e5d212">'update Helper'!$L$843</definedName>
    <definedName name="_5d657817_9a27_4b37_bcd4_b55f78d6ac1b">'Disaggregation Data'!$I$615</definedName>
    <definedName name="_5da2fc81_49b6_4671_89eb_7b28c003e9be">'Disaggregation Data'!$O$3</definedName>
    <definedName name="_5df64d32_9a5c_414c_86e2_ae3655f5bb58">'update Helper'!$D$2499</definedName>
    <definedName name="_5e1f219c_cae5_40fc_ba27_83bc77b94308">'update Helper'!$B$4310</definedName>
    <definedName name="_5e59b3d2_3706_4a8c_932c_fdb0f6aa3c16">'Reference Records'!$K$4</definedName>
    <definedName name="_5e768e91_687d_4dfb_a07c_b558729186db">'Reference Records'!$D$211:$D$213</definedName>
    <definedName name="_5e92d889_8ba8_4c5a_940f_5b9f94b6e30a">'Reference records(soft deleted)'!$J$6</definedName>
    <definedName name="_5fd64279_1bd2_488c_9e62_4053f45567f5">'update Helper'!$K$4310</definedName>
    <definedName name="_5ffe0d1a_8a84_4337_9fd0_deccf895e752">'Account Role'!$G$3</definedName>
    <definedName name="_60cca16c_2bbf_4012_b9ed_84b4cc4c6513">'Overview - Section A'!$E$27</definedName>
    <definedName name="_62fc5abc_c22f_4886_8298_ae4140ce6a16">'Disaggregation Data'!$N$615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Helper'!$C$422</definedName>
    <definedName name="_6455b8f3_a4e7_439d_8059_19ecc4f1f876">'Reference records(soft deleted)'!$J$118</definedName>
    <definedName name="_64b80052_1148_4ad0_a719_2605a229a5dd">'Reference Records'!$A$622</definedName>
    <definedName name="_651c1cff_29dc_4f61_8994_ff4aa592187f">'Reference Records'!$B$4</definedName>
    <definedName name="_654bca83_10b5_4fb3_962f_80e82dfc63ce">'Reference Records'!$B$340:$B$341</definedName>
    <definedName name="_65c26b5a_0465_48fc_a362_f2e87b3413d9">'update Helper'!$A$939</definedName>
    <definedName name="_666ecfb3_4890_469f_9405_c844bfec298e">'Disaggregation Data'!$P$3</definedName>
    <definedName name="_66c05feb_5ba4_4d15_8d33_a4f0ff5f795a">'Disaggregation Data'!$H$309</definedName>
    <definedName name="_66ed04dd_0830_439c_b4bc_24d70db2c1e7" comment="Display Map">'update Helper'!$A$2119:$O$2495</definedName>
    <definedName name="_6715a48b_b59c_4776_be88_a55a2bdba187">'update Helper'!$E$2499</definedName>
    <definedName name="_68131f07_373f_4ee5_8db3_e8876679341b">'update Helper'!$J$422</definedName>
    <definedName name="_6817dc8a_703d_4192_a2a8_a72a907275fb">'Reference records(soft deleted)'!$B$6</definedName>
    <definedName name="_6a3dda26_b269_4afa_8b05_c602a881a167">'Overview - Section A'!$A$39</definedName>
    <definedName name="_6ac60fe2_d872_4a35_a5e2_7132294649ec" comment="Display Map">'Reference records(soft deleted)'!$B$166:$K$243</definedName>
    <definedName name="_6b293db8_2064_47cb_abbc_3f4c6d0caeda">'Overview - Section A'!$E$39</definedName>
    <definedName name="_6b7b095a_5e69_4c56_b186_9b24f30d5a48" localSheetId="0">'[1]Overview - Section A'!#REF!</definedName>
    <definedName name="_6b7b095a_5e69_4c56_b186_9b24f30d5a48">#REF!</definedName>
    <definedName name="_6c432057_801a_4b50_8cf7_6f6149d7c40a">'Overview - Section A'!$T$155</definedName>
    <definedName name="_6ce0ed87_5b35_40ed_9f7a_44a4e37463b9">'update Helper'!$F$58</definedName>
    <definedName name="_6de46edd_2f1b_4343_8ab7_4e70e2856d23">'update Helper'!$C$2499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Helper'!$I$1666</definedName>
    <definedName name="_6f7ec15b_c268_485e_b0b1_4f72a84c4bc6" comment="Display Map">'Overview - Section A'!$A$38:$U$45</definedName>
    <definedName name="_708bc3f4_3b2b_4cbe_89e1_1871c272480d">'Overview - Section A'!$J$118</definedName>
    <definedName name="_70a5cda6_774c_4166_b372_07fbe25d764a">'update Helper'!$J$477</definedName>
    <definedName name="_7111a6af_994e_4c8e_91da_0cd71318b438">'update Helper'!$O$2120</definedName>
    <definedName name="_7210282b_6d37_40e9_9208_b22105dfdb45">'Reference Records'!$J$79</definedName>
    <definedName name="_7318b74f_0f66_4a96_9490_a6e530953ede">'update Helper'!$AG$843</definedName>
    <definedName name="_73ed6a72_5bb2_4e78_b64b_57d38f0409a1">'Disaggregation Data'!$L$3</definedName>
    <definedName name="_745d292d_fc17_4892_81af_e69f39f278df">'Reference Records'!$K$79</definedName>
    <definedName name="_75127888_d602_45ff_b831_0b6cb5ca1689">'Disaggregation Data'!$H$615</definedName>
    <definedName name="_75417d5f_8186_4610_b9ba_588590a586ac">'Disaggregation Data'!$N$3</definedName>
    <definedName name="_7554e4be_d51b_4eff_b8a1_67f281ff6896">'update Helper'!$E$1666</definedName>
    <definedName name="_75e01dac_a196_4485_8c4e_3c8181e382da">'Reference Records'!$C$354:$C$400</definedName>
    <definedName name="_7638a94a_e06b_4d66_97b8_ac609d3da203" comment="Save Map">'Overview - Section A'!$E$80</definedName>
    <definedName name="_7643b6aa_7bef_476f_ad52_f8748c078a19">'Overview - Section A'!$E$82</definedName>
    <definedName name="_767e167c_49a5_47f2_969d_5168b626be63">'update Helper'!$G$939</definedName>
    <definedName name="_76f43188_477a_485f_9a13_9e30303f1124">'Overview - Section A'!$D$118</definedName>
    <definedName name="_77290f0f_e3b8_410c_9e2a_f33b99973795">'Disaggregation Records'!$O$155</definedName>
    <definedName name="_77c0e58c_063b_4191_abfd_5b535878c189">'Overview - Section A'!$J$27</definedName>
    <definedName name="_78b9de5e_0b4f_481c_a62c_142b52c36488">'update Helper'!$O$1666</definedName>
    <definedName name="_7920b793_d507_4f7a_99e2_756c9f466e52">'Overview - Section A'!$F$118</definedName>
    <definedName name="_7a157943_9cc3_410b_ac27_f2c54152e262">'update Helper'!$G$2120</definedName>
    <definedName name="_7a72f78c_72ee_4007_958d_a1a1ee34b28b">'update Helper'!$C$58</definedName>
    <definedName name="_7ab7b090_6bd0_4a8e_8113_dd21d389a342">'Reference Records'!$D$159:$D$203</definedName>
    <definedName name="_7abccd6d_b26a_464a_a34f_823b62ef9461">'Reference Records'!$A$213</definedName>
    <definedName name="_7bac37da_c8ab_49df_9ce6_06a9736d64f8">'Reference Records'!$A$414</definedName>
    <definedName name="_7c917dad_3e1d_47db_8eb3_2b416550c06c">'update Helper'!$J$4064</definedName>
    <definedName name="_7cbcbc4a_d246_4bbc_a159_edc409a2e4fe">'Reference Records'!$I$79</definedName>
    <definedName name="_7cdc6ffc_7316_43a3_8c10_94815252d4bc">'Overview - Section A'!$E$81</definedName>
    <definedName name="_7dad7a53_3619_44b2_9f14_26d23af8b014">'Impact Indicator Target Update'!$T$1</definedName>
    <definedName name="_7dd1a1e8_b3e5_4977_b435_92933762fedb">'Account Role'!$A$23</definedName>
    <definedName name="_7e97b1d3_ddd6_4d94_b1d6_9a53b33ff98b">'Reference Records'!$D$77:$D$78</definedName>
    <definedName name="_7e97bb3f_85c0_4041_8e33_f4dfd9b2bd63">'update Helper'!$O$2499</definedName>
    <definedName name="_7e99718f_b927_43f8_a72d_f5933e7780ca">'Reference Records'!$Q$25</definedName>
    <definedName name="_7ea43aa2_3fad_4650_821c_ea2dc5b2b6d6">'Reference Records'!$A$79</definedName>
    <definedName name="_7ed2ad39_d4a3_43ed_a915_8a79ae9d08a6">'Overview - Section A'!$S$27</definedName>
    <definedName name="_7fc44159_eb0c_4ec6_937c_83795558bd60">'Disaggregation Data'!$E$3</definedName>
    <definedName name="_824188d8_1928_41a5_8873_0ce612bdaed2">'update Helper'!$S$843</definedName>
    <definedName name="_8273a11c_a030_45ba_bf8f_2b577e1aa93b">'Overview - Section A'!$A$27</definedName>
    <definedName name="_8275e2f9_07b9_4fec_af79_daf5bf5849e5">'Reference Records'!$C$403</definedName>
    <definedName name="_82b810a8_4ed0_4323_bc38_7e1a937be1f8">'Overview - Section A'!$AB$155</definedName>
    <definedName name="_8369de31_1390_409f_b55a_fde61d8d7199">'update Helper'!$J$58</definedName>
    <definedName name="_83a8b122_8cd9_4c5d_9e26_19949421dbb8">'Reference Records'!$S$25</definedName>
    <definedName name="_84592985_545c_4142_977f_19911c1d7be1">'Disaggregation Data'!$D$309</definedName>
    <definedName name="_84d9d01d_791d_4814_96ca_cef45a6abd3a">'update Helper'!$J$4310</definedName>
    <definedName name="_862ffe01_c829_453b_8951_9acfdd7e0f24">'Overview - Section A'!$G$118</definedName>
    <definedName name="_864425d0_252a_4246_909e_cc0826e707f2" comment="Display Map">'Account Role'!$A$2:$G$14</definedName>
    <definedName name="_8680b4e4_73f6_49ed_b636_6796b8fc3007">'update Helper'!$L$3</definedName>
    <definedName name="_872311fc_11bb_401c_8b93_291ded9ec451" localSheetId="0">'[1]Coverage Indicators-Section D'!#REF!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A'!$U$39</definedName>
    <definedName name="_8945f316_fd9d_4e19_b3cd_c0c8202a52db">'Reference Records'!$D$159:$D$210</definedName>
    <definedName name="_8a469ed4_8916_4154_bbbf_dd81f3ca6037">'Overview - Section A'!$AN$12</definedName>
    <definedName name="_8a518e78_c2e7_4107_86f8_cda6bfbbe864">'Disaggregation Records'!$J$69</definedName>
    <definedName name="_8a9ff9a8_7b42_4a34_a7bb_8f85ce3a36e0">'Reference Records'!$C$341</definedName>
    <definedName name="_8aa2c9e8_97d3_45b0_9755_0e8c5c3f294b">'update Helper'!$T$3</definedName>
    <definedName name="_8aa4cf9f_eda6_4444_a907_3c8c602dbf88">'Impact Indicator Target Update'!$H$1</definedName>
    <definedName name="_8c12beea_ae57_4cdc_a86e_9bbd3bae88f2">'update Helper'!$W$843</definedName>
    <definedName name="_8c83dafc_06c9_46d5_82dd_2edc4cdd71ef">'Reference Records'!$C$336</definedName>
    <definedName name="_8c97b788_a56a_4fd4_ab1d_553fdacd56ee">'Reference Records'!$P$79</definedName>
    <definedName name="_8d086166_aaa3_4eec_872e_985dceb20c48">'Reference Records'!$B$346</definedName>
    <definedName name="_8d18a379_8755_4412_801e_3a24e67a6467" comment="Display Map">'Overview - Section A'!$A$31:$Q$31</definedName>
    <definedName name="_8dbce8a5_0984_44b3_b1a6_cf993b957b30">'update Helper'!$A$843</definedName>
    <definedName name="_8f098222_d066_4a46_afe4_a2860f259340">'update Helper'!$Q$4310</definedName>
    <definedName name="_8f38a2c2_0833_4757_9f3f_fd2bfbb481ac">'Reference Records'!$B$410</definedName>
    <definedName name="_8f4065ff_50b1_4767_83af_862a3935b277">'Overview - Section A'!$P$39</definedName>
    <definedName name="_8f4652fd_6fec_47e2_8e29_9e9058be61aa">'update Helper'!$H$422</definedName>
    <definedName name="_8fa4d884_a5b1_4041_8cad_fbf4720a13d4">'Reference Records'!$G$79</definedName>
    <definedName name="_9163a4e6_3076_442b_bf37_db0a0a62793a">'Reference Records'!$G$25</definedName>
    <definedName name="_92015950_0d4a_4354_be6a_adcd93a70857" localSheetId="0">'[1]Outcome Indicators - Section C'!#REF!</definedName>
    <definedName name="_92015950_0d4a_4354_be6a_adcd93a70857">#REF!</definedName>
    <definedName name="_940f4fc6_4a8e_4e0b_b740_efe451214fab">'update Helper'!$D$422</definedName>
    <definedName name="_94171daa_d427_4741_ae4f_2766c79a4da3">'update Helper'!$T$58</definedName>
    <definedName name="_95c01be7_c627_4449_a788_13be67006d54">'Reference Records'!$H$622</definedName>
    <definedName name="_96bf0d26_21c5_4468_ad6a_07580f9dd34c">'Impact Indicator Target Update'!$Q$1</definedName>
    <definedName name="_979ccfd5_b55a_4492_8e26_a6633c09ca4c" localSheetId="0">'[1]Reference Records'!#REF!</definedName>
    <definedName name="_979ccfd5_b55a_4492_8e26_a6633c09ca4c">'Reference Records'!#REF!</definedName>
    <definedName name="_97b6ca24_107e_44db_bc88_4db332fdf22a">'update Helper'!$R$843</definedName>
    <definedName name="_97db3924_742c_4f61_af12_dab7752ccc44">'Account Role'!$B$3</definedName>
    <definedName name="_97f1b32c_6621_44f3_b00b_23facc4a8c9f">'Reference Records'!$D$157:$D$159</definedName>
    <definedName name="_9874a6dc_a3b8_4db0_9a74_e4c3c5dd126f">'update Helper'!$G$422</definedName>
    <definedName name="_9898c5eb_afc0_4eaf_8387_942d1b2e57cb">'update Helper'!$O$3</definedName>
    <definedName name="_99c3b064_facc_46ff_8835_927313074f4d">'Disaggregation Records'!$M$3</definedName>
    <definedName name="_9a500917_dab9_4d8c_82b0_84e6e58cb053">'update Helper'!$A$2120</definedName>
    <definedName name="_9a822c43_2840_4d32_8d2c_f62815eccb99">'Disaggregation Records'!$J$155</definedName>
    <definedName name="_9a975b68_4a25_421c_bf56_ce3e9602ca12">'Account Role'!$D$295</definedName>
    <definedName name="_9c766a82_9c33_4b1d_9f4c_76c2bcf6e551" comment="Display Map">'update Helper'!$A$2498:$P$4059</definedName>
    <definedName name="_9c8612d6_cb9f_4fcd_b707_4fdfc8d07b47">'Account Role'!$B$295</definedName>
    <definedName name="_9cbfedb3_84f3_41cb_bf05_f57356c30d3b">'Reference Records'!$F$414</definedName>
    <definedName name="_9cfc31ab_a677_4d1c_b5d4_df5c521ee5ef">'update Helper'!$N$58</definedName>
    <definedName name="_9d318a0d_d7a3_48e8_a51b_60ca16c1c976">'Disaggregation Data'!$Q$3</definedName>
    <definedName name="_9d4507c5_5622_4e77_997d_65777e4b9b29">'update Helper'!$G$843</definedName>
    <definedName name="_9d5a644f_9e3c_487b_9af4_779a60541f4e">'Reference Records'!$O$79</definedName>
    <definedName name="_9eb66103_54d0_486c_84fe_f3948ec313af">'Disaggregation Records'!$H$155</definedName>
    <definedName name="_9f0d4df8_7f69_41ab_b823_8fad2df76213">'update Helper'!$C$477</definedName>
    <definedName name="_9f29fc9a_a965_4afd_b189_7a3eca59d516">'Reference Records'!$D$1:$D$744</definedName>
    <definedName name="_9f9fdd59_86c9_4295_b308_3619d68d6aaf">'Reference Records'!$K$213</definedName>
    <definedName name="_9ff47b3a_d28b_411b_a98b_bf4244606f53">'Disaggregation Data'!$F$309</definedName>
    <definedName name="_a050c83a_8d4a_49ab_a808_e922507fb301">'update Helper'!$M$843</definedName>
    <definedName name="_a06ae70f_aaf6_4179_9a0c_964df3537fbf" comment="Display Map">'Overview - Section A'!$A$81:$H$106</definedName>
    <definedName name="_a06d7903_f4dc_429c_b13c_c30db338eb1e">#REF!</definedName>
    <definedName name="_a21e317a_560b_434a_9c6a_b52a9755e408">'Reference Records'!$D$156:$D$203</definedName>
    <definedName name="_a2b49755_1adb_4266_aaf8_271d0b7524b1">'update Helper'!$D$2120</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Helper'!$A$422</definedName>
    <definedName name="_a561960e_2837_4ef6_9fb3_06bd14045f9f">'update Helper'!$S$422</definedName>
    <definedName name="_a56e44bf_ca89_4206_8199_57e3e8408cd6">'update Helper'!$H$2120</definedName>
    <definedName name="_a5dfcb7f_e430_4fb5_9b5b_e22c4b6ca98e">'update Helper'!$H$2499</definedName>
    <definedName name="_a676465c_2e79_4840_afcd_6eb0129d896a">#REF!</definedName>
    <definedName name="_a7712b00_96b7_482b_952c_492d2f0b2fc2">'Reference Records'!$R$25</definedName>
    <definedName name="_a7b11238_9f6e_4351_921e_572fe001503d">'update Helper'!$A$1666</definedName>
    <definedName name="_a7c4333b_5ea5_49df_97fa_fe1307e6522f">'Disaggregation Records'!$M$155</definedName>
    <definedName name="_a7ecb8b9_6334_4d27_a6e4_bb07adb71898" localSheetId="0">'[1]Overview - Section A'!#REF!</definedName>
    <definedName name="_a7ecb8b9_6334_4d27_a6e4_bb07adb71898">'Overview - Section A'!#REF!</definedName>
    <definedName name="_a80237bb_7952_4c04_9a7a_1cdad38cbd16">'Overview - Section A'!$H$52</definedName>
    <definedName name="_a8f46077_3c03_49ff_b812_2b8ac08cae66" comment="Display Map">'Reference Records'!$C$158:$R$202</definedName>
    <definedName name="_aa924ff3_7862_4e6d_9948_5a270e34c8a1">'update Helper'!$Q$477</definedName>
    <definedName name="_aba4e79f_5ce3_41ca_abf0_8cba57c47dec" comment="Display Map">'update Helper'!$A$842:$AG$933</definedName>
    <definedName name="_abbd2de4_555f_487e_a305_ee28249928f4">'Disaggregation Records'!$A$3</definedName>
    <definedName name="_abcb1332_3cc3_40cb_9eb6_e49185148047">'Account Role'!$B$23</definedName>
    <definedName name="_ac5ba2d1_98f0_4aa2_a6c2_322cafcae1b8">'Reference records(soft deleted)'!$G$26</definedName>
    <definedName name="_aca742d7_5b19_4aa5_8a32_739546d173c7">'Disaggregation Data'!$L$615</definedName>
    <definedName name="_aca7f1bf_77d4_41d2_b85a_8fc4694aaa5d">'Disaggregation Records'!$I$155</definedName>
    <definedName name="_ad718d62_e2fd_4c3a_a018_8c8f5eec5644">'Reference Records'!$C$4:$C$22</definedName>
    <definedName name="_ae20a710_31d4_43ea_bb8e_98f8a452d9b5">'update Helper'!$A$477</definedName>
    <definedName name="_aef23396_73a2_4449_b64b_574e315ee717">'Disaggregation Records'!$A$69</definedName>
    <definedName name="_af4893e4_fb2a_43c4_a459_75a79635184d">'Disaggregation Records'!$I$3</definedName>
    <definedName name="_af984491_07b4_45c6_827e_4a5a0e41cd92">'Reference records(soft deleted)'!$F$118:$F$118</definedName>
    <definedName name="_afb1ac33_4702_4bdb_87c5_ccde46f5946b">'update Helper'!$F$2499</definedName>
    <definedName name="_afe46063_176e_42e7_9258_aafceea72a7c">'Account Role'!$E$3</definedName>
    <definedName name="_b00633c8_5ccc_4622_86d1_07ff694c24a1">'update Helper'!$L$939</definedName>
    <definedName name="_b01f6605_c50f_49e5_8841_306b902e21b5">'Reference Records'!$E$213</definedName>
    <definedName name="_b08eede9_e417_4197_bdb0_e7afb6ff7f75">'update Helper'!$F$843</definedName>
    <definedName name="_b160391b_7f82_4ca2_b7a1_742da234e320">'Reference Records'!$B$414</definedName>
    <definedName name="_b184a48f_c367_42e0_abea_de10491cdb89">'Overview - Section A'!$R$155</definedName>
    <definedName name="_b25b57c0_b3c6_4bd0_84af_ecd0c047480e">'Reference Records'!$L$79</definedName>
    <definedName name="_b29140ce_2067_4616_98b2_f6e9312dff45" comment="Display Map">'Reference Records'!$A$402:$C$404</definedName>
    <definedName name="_b29fac7f_0112_4608_9b2f_b935e3a5c47a" localSheetId="0">'[1]Outcome Indicators - Section C'!#REF!</definedName>
    <definedName name="_b29fac7f_0112_4608_9b2f_b935e3a5c47a">#REF!</definedName>
    <definedName name="_b2a433e8_e2eb_496e_9eab_56d34260a1ea">'update Helper'!$O$843</definedName>
    <definedName name="_b38bd4f0_1352_4868_a619_3a6c9defba4d">'update Helper'!$R$3</definedName>
    <definedName name="_b50509cf_996c_4fbc_99d9_4d166ae6823c">'Disaggregation Records'!$Q$69</definedName>
    <definedName name="_b517363e_a660_4f5c_8200_ca9f715b3954">'Reference Records'!$E$414</definedName>
    <definedName name="_b5821112_3c0f_46ea_8691_81e5396982ed">'Reference Records'!$B$340</definedName>
    <definedName name="_b5e8f7c0_1f6c_4f34_9e09_d35ca3f3eb39" comment="Display Map">'Reference records(soft deleted)'!$B$249:$K$369</definedName>
    <definedName name="_b5f2092b_488a_4789_9fbe_8833441f7329">'update Helper'!$P$422</definedName>
    <definedName name="_b625dd51_c3f0_4d71_a2a9_f6fa8dac524b">'Reference records(soft deleted)'!$H$118</definedName>
    <definedName name="_b630336b_3644_4bf6_8d7c_9c418ad44fc5">'Disaggregation Data'!$D$3</definedName>
    <definedName name="_b7198351_a7ba_44b7_a1ec_111ed8317cb2">'Reference Records'!$B$622</definedName>
    <definedName name="_b8526b1f_d531_4d05_a35b_d24976af94b3">'update Helper'!$D$4064</definedName>
    <definedName name="_b88374ec_47cc_43db_8a49_31b8f7dfbe2a">'Reference Records'!$A$403</definedName>
    <definedName name="_b934b5c4_3a3d_4290_b4f5_665f1fa1d8f9">'Disaggregation Data'!$E$309</definedName>
    <definedName name="_b9568051_a72c_4c87_bd12_0a431f6a32e6">'Disaggregation Data'!$I$309</definedName>
    <definedName name="_ba0267ad_21bf_4c68_8330_e529db295d81">'Reference Records'!$R$159</definedName>
    <definedName name="_ba047ad1_b51f_49a2_b3c8_be30d392985a">'Reference Records'!$D$158:$D$209</definedName>
    <definedName name="_ba186ca8_9498_4c8b_870e_5c94facff255">'update Helper'!$X$843</definedName>
    <definedName name="_ba2bf24f_92d4_4847_a100_634fcade40b6">'Impact Indicator Target Update'!$P$1</definedName>
    <definedName name="_ba6766eb_3a68_462e_a136_4851bdedd0eb">'update Helper'!$F$422</definedName>
    <definedName name="_ba991538_8d20_47dc_8a22_03bf80508d2c">'Disaggregation Data'!$F$3</definedName>
    <definedName name="_bb1c154e_4700_4eae_bb81_f16337d16856">'update Helper'!$D$3</definedName>
    <definedName name="_bcc0af4e_01ec_4ed2_a0bb_891e67117226">'update Helper'!$F$4064</definedName>
    <definedName name="_bcc44ce4_7811_4a37_b19a_adb1c9975c5c">'Overview - Section A'!$O$39</definedName>
    <definedName name="_bd075b26_707d_4b39_aea7_5e22fa05d673">'update Helper'!$F$2120</definedName>
    <definedName name="_bd8c6a42_6cde_4c17_9f1a_04e7b83fd063">'Reference Records'!$E$25</definedName>
    <definedName name="_be2888a7_b322_47d2_be71_a4093cf83c44">'Reference Records'!$D$1:$D$763</definedName>
    <definedName name="_be67395e_f578_42fc_bfe7_912f09db8571">'Disaggregation Records'!$G$3</definedName>
    <definedName name="_bef2cdda_6c4d_45cf_b550_ea24e68795bf">'Overview - Section A'!$M$39</definedName>
    <definedName name="_bf1ad2f1_a865_4b00_8649_f62663e1cb01">'Reference Records'!$M$414</definedName>
    <definedName name="_bf857707_f3ed_43ba_b26e_78e553c3b599">#REF!</definedName>
    <definedName name="_c021eee3_85ca_4b4c_871f_c2ca4000adb3" comment="Display Map">'Reference Records'!$B$24:$U$72</definedName>
    <definedName name="_c0adc2e9_f3e8_47e3_ab9a_3b0590b08e3b">'Reference Records'!$D$158:$D$204</definedName>
    <definedName name="_c0c1183c_d263_4027_b93d_dd5bf32aa5a0">'Disaggregation Records'!$M$69</definedName>
    <definedName name="_c0eb8ac6_1c46_4f57_b21f_9a8652dcb01f">'Reference Records'!$A$343</definedName>
    <definedName name="_c169a647_ad7f_4a68_9402_5984b64252f0">'update Helper'!$M$477</definedName>
    <definedName name="_c1e3d9da_0aa8_4938_92fd_28ad968bd219">'Reference Records'!$P$25</definedName>
    <definedName name="_c27248fe_f16e_4b61_a04b_ff479754f280">'Reference Records'!$N$25</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Helper'!$K$477</definedName>
    <definedName name="_c7239f8e_e972_4d0a_ac9c_049341720ca8">'Reference Records'!$H$159</definedName>
    <definedName name="_c811d6c6_78b7_497a_b948_2c1cd9a8b3fc">'Overview - Section A'!$Z$155</definedName>
    <definedName name="_c85353e2_2d93_4dee_b666_5a9395f33b51">'Overview - Section A'!$R$32</definedName>
    <definedName name="_c86327a0_756e_47de_9960_fc50ad31348d">'Reference records(soft deleted)'!$G$6</definedName>
    <definedName name="_c8d512d8_6c8d_45f3_ade0_c3987af540b2">'update Helper'!$AF$843</definedName>
    <definedName name="_c904cc72_9432_420c_93d8_3f5f3946db88">'Disaggregation Data'!$E$615</definedName>
    <definedName name="_c92aee90_9ab7_4c5b_90be_8f181e56b287">'Disaggregation Data'!$P$615</definedName>
    <definedName name="_c9967ba7_c4a7_4678_af94_bd3ef0f6e3f4">'update Helper'!$N$2120</definedName>
    <definedName name="_c9d716d6_9c15_4e1f_ac60_1e26110a756c" comment="Display Map">'update Helper'!$A$476:$Q$837</definedName>
    <definedName name="_ca097bd7_db68_4bb8_9e65_dadac87572e5">'update Helper'!$P$2499</definedName>
    <definedName name="_ca4ab06b_5324_40ab_a432_1139d7cb9e9a">'Reference Records'!$D$159</definedName>
    <definedName name="_ca7e0af3_de36_4376_a561_5d3c742acebc">'update Helper'!$E$4064</definedName>
    <definedName name="_cad4e7f5_784c_4195_8cb5_8c1ed2df9118">'update Helper'!$V$843</definedName>
    <definedName name="_cbe75001_1b1f_4684_b8fc_dd97cd572e08">'Reference Records'!$M$159</definedName>
    <definedName name="_cc652be8_c987_44b0_a7b8_b38f24a774fd">'Account Role'!$A$3</definedName>
    <definedName name="_cd1a838d_967d_4df8_8959_da3e91d019c7">'update Helper'!$G$4064</definedName>
    <definedName name="_cd3a8228_a564_4a29_bb53_8d23f3af4f8d">'update Helper'!$C$3</definedName>
    <definedName name="_ce356606_b70e_455c_a7f0_278a9274c30f">'Reference records(soft deleted)'!$K$167</definedName>
    <definedName name="_ce427541_94c6_4e19_bfba_334471291dc9">'Disaggregation Records'!$Q$155</definedName>
    <definedName name="_ced5d642_f902_4116_8eec_365c1d0be056">'update Helper'!$F$939</definedName>
    <definedName name="_cf337c18_bbd6_41ea_aeb8_6889dc68b851">'Reference records(soft deleted)'!$I$118</definedName>
    <definedName name="_cfcb4c96_c88e_4a35_803a_a889e9dd7d09" comment="Display Map">'Disaggregation Data'!$D$614:$Q$1815</definedName>
    <definedName name="_d0955b05_c628_4518_9af2_80c991d01234">'Reference Records'!$M$79</definedName>
    <definedName name="_d0af162b_ba98_4147_a6fc_7c6ff1aaf471">'Disaggregation Data'!$N$309</definedName>
    <definedName name="_d0c4e2e8_ed5b_4f3b_98ce_3538f040ffdd">'update Helper'!$D$58</definedName>
    <definedName name="_d0e6db09_4210_45d4_bc55_3258a5a7becd">'Reference Records'!$M$3:$M$22</definedName>
    <definedName name="_d11bffcb_80bc_4142_b578_f8fd7b2ed872">'update Helper'!$O$4064</definedName>
    <definedName name="_d1f82863_9819_4548_ae1f_e4cfe92df877">'update Helper'!$I$4310</definedName>
    <definedName name="_d20ef977_ad63_4fe7_833a_109f9e7d5f64">'update Helper'!$C$3</definedName>
    <definedName name="_d23e2880_4b88_4ba1_b381_3bc8c5f940af">'Disaggregation Records'!$S$3</definedName>
    <definedName name="_d24f669d_00e1_4357_b04c_2c97c933dfec">'Overview - Section A'!$I$27</definedName>
    <definedName name="_d2c977b0_75f6_4448_a11e_cb59fc25d8cd" comment="Display Map">'update Helper'!$A$2:$T$48</definedName>
    <definedName name="_d36529d4_505a_4d7c_b7e5_0c40a3c08386" comment="Display Map">'update Helper'!$A$4309:$Q$5750</definedName>
    <definedName name="_d379908f_16e6_4aad_b988_5b7982eb826c">'Disaggregation Records'!$R$3</definedName>
    <definedName name="_d55f73ea_40dd_46a0_b46b_1f915532d5da" comment="Display Map">'Overview - Section A'!$A$18:$C$21</definedName>
    <definedName name="_d5b3d3f7_d9f7_482d_8e65_f987f575a087">'Reference Records'!$K$159</definedName>
    <definedName name="_d60e4a5c_ee1a_41d4_9548_2aede18bc786">'update Helper'!$D$1666</definedName>
    <definedName name="_d62bbd88_c7fe_4846_8ed9_76818d8946c8">'Reference Records'!$G$4</definedName>
    <definedName name="_d6de9e79_2a33_496b_9418_d4b52d6dcaf1">'Reference Records'!$B$24:$B$813</definedName>
    <definedName name="_d72177c9_4374_45f7_b5a5_f0b6222e9566">'Reference Records'!$E$4</definedName>
    <definedName name="_d761096d_7819_4297_bee8_1af89e86506d">'update Helper'!$L$4064</definedName>
    <definedName name="_d8f3b323_94ba_4c08_b760_0447353ff6ee">'Reference Records'!$R$4</definedName>
    <definedName name="_d8fd749f_f8d5_4232_b69a_8b62a79328ac">'Overview - Section A'!$L$39</definedName>
    <definedName name="_d9225ee9_4711_40fa_bb89_6747c9d62bad">'Overview - Section A'!$G$52</definedName>
    <definedName name="_d93c4c11_f795_4c65_88eb_c43040eba27e" comment="Display Map">'Overview - Section A'!$A$117:$J$148</definedName>
    <definedName name="_d9ef6160_0711_4f41_8235_1e8bf2ea40ed" comment="Display Map">'update Helper'!$A$57:$T$418</definedName>
    <definedName name="_da2bea4d_26d3_4c8d_8f53_a31050d37481">'Reference Records'!$B$1:$B$933</definedName>
    <definedName name="_daae6694_aad0_48b5_b679_94999f870976">'Reference records(soft deleted)'!$G$167</definedName>
    <definedName name="_db4e2d75_1080_4f7d_bbb6_279cfc0396d6">'Reference Records'!$B$342</definedName>
    <definedName name="_db554049_85ce_4129_b1fc_a4968be4421e">'Reference records(soft deleted)'!$B$118:$B$162</definedName>
    <definedName name="_dbe1d51c_e6c5_4bb2_a9ef_e1ea7c79ffe4">'Disaggregation Data'!$L$309</definedName>
    <definedName name="_dbff71c9_84bd_4d68_a90c_c6d622652c3f">'update Helper'!$A$3</definedName>
    <definedName name="_dc2a7f24_ba27_4952_af95_2f5f2a447e95">'Disaggregation Data'!$F$615</definedName>
    <definedName name="_dc2cf935_92f5_45ba_a938_c1de3fbd4aec">'update Helper'!$I$4064</definedName>
    <definedName name="_dce503c9_6770_4063_b9a4_70c4486bab14" comment="Display Map">'Reference Records'!$A$621:$I$698</definedName>
    <definedName name="_dd1bf6a4_f36b_4539_baa8_c7f8ba7742c0">'update Helper'!$I$2120</definedName>
    <definedName name="_dd26d46b_6921_487e_9c78_867c8d059003">'update Helper'!$G$3</definedName>
    <definedName name="_dd59b4c1_0127_483f_94d6_e325d726d50b">'update Helper'!$J$1666</definedName>
    <definedName name="_dd5cbb23_508a_4a49_9ee3_de02706f296e">'Reference Records'!$B$79</definedName>
    <definedName name="_dd67381d_8fda_4031_b9f2_2b97d7ad93a0">'update Helper'!$J$2120</definedName>
    <definedName name="_dd82b481_1d70_467c_8a1e_607df41e8dcb">'Reference Records'!$D$1:$D$724</definedName>
    <definedName name="_de349e90_1cd6_4d52_ab09_1d344b331133">'update Helper'!$E$843</definedName>
    <definedName name="_de8125e3_2f55_471a_b44e_3fc797d5bb7c">'Reference records(soft deleted)'!$J$250</definedName>
    <definedName name="_de8310b5_e4d3_4b94_b262_26a424148ac2">#REF!</definedName>
    <definedName name="_e0977557_e4c5_4ef4_9559_6de2a1c73a50">'Overview - Section A'!$A$32</definedName>
    <definedName name="_e10c609e_8d1f_432f_a13e_7b8a8126b45f">'Reference Records'!$U$25</definedName>
    <definedName name="_e1b18bf0_c01a_41f9_9d0f_7ff41a4c9212">'Reference records(soft deleted)'!$B$26</definedName>
    <definedName name="_e298e0a5_e974_47dc_98cc_18bdd69218f6">'update Helper'!$N$1666</definedName>
    <definedName name="_e2f4a6c9_b971_491e_a3b4_1227bbe38c83">'Reference records(soft deleted)'!$I$250</definedName>
    <definedName name="_e3593433_048f_4c41_83d3_f74a839a639f">'Disaggregation Records'!$I$69</definedName>
    <definedName name="_e3fd5f4b_01b0_4087_9e0e_fd0199800be6">'Overview - Section A'!$I$118</definedName>
    <definedName name="_e483748a_15bd_4bef_9378_0d3e824decd0">'Reference Records'!$L$159</definedName>
    <definedName name="_e4b1e3b9_6a2a_43ea_8ece_3c48082dabab">'Reference Records'!$C$159</definedName>
    <definedName name="_e4ebe33e_2d9b_4fab_b6ee_d23a5404bb5e" comment="Display Map">'update Helper'!$A$4063:$R$4304</definedName>
    <definedName name="_e4f7af1b_dca3_4c5d_8b1f_84c882749f97">'update Helper'!$L$1666</definedName>
    <definedName name="_e588dca0_ef3a_4dbf_9030_9759fda803aa">'update Helper'!$N$422</definedName>
    <definedName name="_e5e0e9c5_229b_41b4_a9b1_b5fd68f1f31c">'Disaggregation Records'!$Q$3</definedName>
    <definedName name="_e6036c71_a0b0_45ea_b10c_37043207b399">'update Helper'!$T$422</definedName>
    <definedName name="_e6d95e65_44bf_4846_b78f_816689d6036f">'Disaggregation Records'!$O$69</definedName>
    <definedName name="_e713ed26_c546_4a6a_a951_288830ca8584">'update Helper'!$E$2120</definedName>
    <definedName name="_e774554e_fb6f_43f6_baf0_c17f0492b38e">'update Helper'!$K$58</definedName>
    <definedName name="_e791e9cc_e0a5_4bd0_a74b_188698c51274">'Reference records(soft deleted)'!$K$250</definedName>
    <definedName name="_e7e9d6df_5983_4b14_8cdc_daf32af1a30f">'Reference Records'!$L$414</definedName>
    <definedName name="_e80f85f8_0abc_454b_92e1_70be11b30e29">'Reference Records'!$Q$79</definedName>
    <definedName name="_e8ee11f8_cd11_4941_8f4e_979bc348765e">'update Helper'!$G$2499</definedName>
    <definedName name="_e997142a_f700_4b71_9747_d54e4a4ef7c7">'Disaggregation Records'!$K$3</definedName>
    <definedName name="_ea0a6aff_050a_4e7c_bb67_efe887a6ff8c">'Reference Records'!$B$159:$B$202</definedName>
    <definedName name="_ea72c56b_d1e9_4c5d_ba1d_cc707a1c7a52">'Reference Records'!$C$342</definedName>
    <definedName name="_eabb6097_6646_49fe_9d42_cce1d696601b">'Overview - Section A'!$A$118</definedName>
    <definedName name="_eb865535_e191_4538_9980_a9996247965e">'Reference Records'!$A$24:$A$813</definedName>
    <definedName name="_eb940844_13db_4509_a1c4_ff0a8c68abd7">'Disaggregation Records'!$L$155</definedName>
    <definedName name="_ec317833_0071_4b2e_932c_62684bcb2384">'Disaggregation Data'!$M$615</definedName>
    <definedName name="_ecb887c9_f351_4ec2_95ef_320af361ff42" comment="Display Map">'update Helper'!$A$938:$T$1659</definedName>
    <definedName name="_ed0f40d6_45a1_4737_908f_0fb3a2e7f6d7">'Reference Records'!$B$345</definedName>
    <definedName name="_edacc156_af86_4bf8_90dd_b9a22fc62817">'Account Role'!$D$3</definedName>
    <definedName name="_ee5c2fa9_b685_4c9b_9614_9ed1cefc534c">'update Helper'!$T$939</definedName>
    <definedName name="_ef7c4cda_9fba_4d2c_b2ff_8d22eb3a22ac">'update Helper'!$I$843</definedName>
    <definedName name="_eff8d1d0_83be_4592_a0a6_0649571f1cd1">'update Helper'!$J$843</definedName>
    <definedName name="_f01d1473_f9e7_453c_95a5_ada7b865eabb">'Overview - Section A'!$H$82</definedName>
    <definedName name="_f0e38211_457f_4b07_8179_77ff6278dd2b">'update Helper'!$P$843</definedName>
    <definedName name="_f0f5c51b_e422_42f2_88da_9eff4b5a59d3">'Reference Records'!$L$213</definedName>
    <definedName name="_f1c519aa_961b_42b6_a4f4_d9f451ddf622" comment="Display Map">'Overview - Section A'!$A$51:$H$76</definedName>
    <definedName name="_f2045cc5_f4d7_4b1d_8aeb_d44e7918995b">'Disaggregation Data'!$K$3</definedName>
    <definedName name="_f21c8db1_2baf_45f9_a210_b096e419362b">'Overview - Section A'!$E$11</definedName>
    <definedName name="_f2e17f54_33e5_4fb3_8547_527de2a7d0ac">'Overview - Section A'!$C$19:$C$23</definedName>
    <definedName name="_f3654abd_3fbc_41ef_a2e7_0d54ea478341" comment="Display Map">'Disaggregation Records'!$A$2:$S$65</definedName>
    <definedName name="_f39f3286_1b88_4f0b_b268_bc711c9c67e1">'Reference records(soft deleted)'!$K$118</definedName>
    <definedName name="_f686534e_e5b4_42a0_a0f2_a919117d0136">'update Helper'!$K$843</definedName>
    <definedName name="_f6cc91f7_16cd_4c28_ae23_539a66875c7e" comment="Display Map">'Reference Records'!$A$413:$M$617</definedName>
    <definedName name="_f7611a26_2008_46e2_a2c0_dadeef65f0ed">'update Helper'!$S$3</definedName>
    <definedName name="_f764864d_aa9b_444c_a466_cce493ea1b3b">'Reference Records'!$T$25</definedName>
    <definedName name="_f8da171f_1ef1_4701_824e_35a927e47c50">'Overview - Section A'!$Q$155</definedName>
    <definedName name="_fa55b4d1_29cb_4b51_b2d0_8f7892f292e2">'update Helper'!$L$2120</definedName>
    <definedName name="_fa828cb2_bd98_4c85_a567_d82b0ffa1d3f">'Disaggregation Records'!$P$69</definedName>
    <definedName name="_faacf26c_51ba_405a_bccb_3b2bf0981690">'update Helper'!$Q$4064</definedName>
    <definedName name="_facd5aba_c813_47e2_8877_94bdd6685d41">'update Helper'!$P$4064</definedName>
    <definedName name="_fbc5eaa3_1127_42c4_a746_2bd3d587fad5">'Reference Records'!$N$79</definedName>
    <definedName name="_fbe591c5_4692_4048_ae00_0b5a533edf73">'update Helper'!$E$3</definedName>
    <definedName name="_fccfb4fa_0a30_41be_9334_74bc5779fbd3">'Reference Records'!$C$340:$C$341</definedName>
    <definedName name="_fd286dae_26cb_4aad_a5f8_c4e877a2e920" comment="Display Map">'Reference Records'!$A$212:$N$332</definedName>
    <definedName name="_fe1fc4f2_e57c_4328_acb9_6e901a0a2e1c">'Reference Records'!$G$159</definedName>
    <definedName name="_fe54ad0d_3f3e_403b_8c5a_3ee1b37390d2">'Disaggregation Data'!$Q$615</definedName>
    <definedName name="_feae67d4_d3a5_4668_9be8_07f6d66f3049">'update Helper'!$I$939</definedName>
    <definedName name="_ff85bbe8_e093_4bde_9ecb_ca8f310bef73">'Reference Records'!$B$159:$B$210</definedName>
    <definedName name="_ffc69f08_b317_4d33_8688_bf480f40f783">'Disaggregation Records'!$K$155</definedName>
    <definedName name="_xlnm._FilterDatabase" localSheetId="11" hidden="1">' Disaggregation - Section E '!$A$9:$N$309</definedName>
    <definedName name="_xlnm._FilterDatabase" localSheetId="17" hidden="1">'Account Role'!$B:$B</definedName>
    <definedName name="_xlnm._FilterDatabase" localSheetId="1" hidden="1">'Overview - Section A'!$A$38:$U$45</definedName>
    <definedName name="_xlnm._FilterDatabase" localSheetId="13" hidden="1">'Print View'!$A$147:$AN$207</definedName>
    <definedName name="AccountRole" localSheetId="0">OFFSET('[1]Account Role'!$C$3,1,0,MATCH("*",'[1]Account Role'!$C$3:$C$8,-1)-1,1)</definedName>
    <definedName name="AccountRole">OFFSET('Account Role'!$C$3,1,0,MATCH("*",'Account Role'!$C$3:$C$15,-1)-1,1)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apttusmetadata!$AM$2:$AM$25</definedName>
    <definedName name="AIM_Outcome_Indicator__c.AIM_Baseline_Year__c">apttusmetadata!$AL$2:$AL$25</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apttusmetadata!$AO$2:$AO$25</definedName>
    <definedName name="AIM_Reporting_Period__c.AIM_Report_Period_Category__c">apttusmetadata!$AA$2</definedName>
    <definedName name="baseline_validation" localSheetId="0">OFFSET([1]Setup!$C$31,1,0,SUMPRODUCT(('Instructions-ES'!Baseline_years_list&lt;&gt;"")+0)-1,1)</definedName>
    <definedName name="baseline_validation">OFFSET(Setup!$C$31,1,0,SUMPRODUCT((Baseline_years_list&lt;&gt;"")+0)-1,1)</definedName>
    <definedName name="Baseline_years_list" localSheetId="0">[1]Setup!$C$31:$C$74</definedName>
    <definedName name="Baseline_years_list">Setup!$C$31:$C$74</definedName>
    <definedName name="Country" localSheetId="0">IF('[1]Overview - Section A'!$AN$5="Funding Request",IF('[1]Reference Records'!$B$261&lt;&gt;"",'[1]Reference Records'!$B$261,'[1]Reference Records'!$A$1),OFFSET('[1]Reference Records'!$A$323,1,0,MATCH(" ",'[1]Reference Records'!$A$323:$A$324,-1)-1,1))</definedName>
    <definedName name="Country">IF('Overview - Section A'!$AN$5="Funding Request",IF('Reference Records'!$B$341&lt;&gt;"",'Reference Records'!$B$341,'Reference Records'!$A$1),OFFSET('Reference Records'!$A$403,1,0,MATCH(" ",'Reference Records'!$A$403:$A$405,-1)-1,1))</definedName>
    <definedName name="Coverage_Indicator_Disaggregation">'update Helper'!$A$2497</definedName>
    <definedName name="Coverage_Indicator_Disaggregation_new">' Disaggregation - Section E '!$B$619</definedName>
    <definedName name="Coverage_Indicator_Targets__section_D">'update Helper'!$A$937</definedName>
    <definedName name="Coverage_indicators__secton_D">'update Helper'!$A$841</definedName>
    <definedName name="Coverage_Module" localSheetId="0">OFFSET('[1]Overview - Section A'!$E$101,1,0,MATCH(" ",'[1]Overview - Section A'!$E$101:$E$119,-1)-1,1)</definedName>
    <definedName name="Coverage_Module">OFFSET('Overview - Section A'!$E$118,1,0,MATCH(" ",'Overview - Section A'!$E$118:$E$151,-1)-1,1)</definedName>
    <definedName name="CoverageColumn" localSheetId="0">'[1]Reference Records'!$A$61:$A$122</definedName>
    <definedName name="CoverageColumn">'Reference Records'!$A$79:$A$156</definedName>
    <definedName name="CoverageIndicator" localSheetId="0">OFFSET('[1]Reference Records'!$E$61,1,0,MATCH("*",'[1]Reference Records'!$E$61:$E$122,-1)-1,1)</definedName>
    <definedName name="CoverageIndicator">OFFSET('Reference Records'!$E$79,1,0,MATCH("*",'Reference Records'!$E$79:$E$156,-1)-1,1)</definedName>
    <definedName name="CoverageStart" localSheetId="0">[1]!Coverage[Module]</definedName>
    <definedName name="CoverageStart">Coverage[Module]</definedName>
    <definedName name="_xlnm.Extract" localSheetId="17">'Account Role'!$C:$C</definedName>
    <definedName name="FundingRequestPR" localSheetId="0">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Records'!$C$341&lt;&gt;"",OFFSET('Account Role'!$C$3,1,0,MATCH(" ",'Account Role'!$C$3:$C$15,-1)-1,1),OFFSET('Account Role'!$C$23,1,0,MATCH(" ",'Account Role'!$C$23:$C$295,-1)-1,1)),'Overview - Section A'!$AN$6)</definedName>
    <definedName name="Impact_indicator___section_B">'update Helper'!$A$1</definedName>
    <definedName name="Impact_Indicator_Disaggregation">'update Helper'!$A$2118</definedName>
    <definedName name="Impact_Indicator_Disaggregation_new">' Disaggregation - Section E '!$B$8</definedName>
    <definedName name="Impact_indicator_targets___section_B">'update Helper'!$A$56</definedName>
    <definedName name="ImpactIndicator" localSheetId="0">OFFSET('[1]Reference Records'!$I$4,1,0,MATCH(" ",LEFT('[1]Reference Records'!$I$4:$I$18,255),-1)-1,1)</definedName>
    <definedName name="ImpactIndicator">OFFSET('Reference Records'!$I$4,1,0,MATCH(" ",LEFT('Reference Records'!$I$4:$I$22,255),-1)-1,1)</definedName>
    <definedName name="Instruction__Section_A" localSheetId="0">'Instructions-ES'!$A$33</definedName>
    <definedName name="InstructionA" localSheetId="0">'Instructions-ES'!$A$33</definedName>
    <definedName name="InstructionB" localSheetId="0">'Instructions-ES'!$A$108</definedName>
    <definedName name="InstructionC" localSheetId="0">'Instructions-ES'!$A$182</definedName>
    <definedName name="InstructionD" localSheetId="0">'Instructions-ES'!$A$259</definedName>
    <definedName name="InstructionE" localSheetId="0">'Instructions-ES'!$A$351</definedName>
    <definedName name="InstructionsA">IF(Language="French",#REF!,#REF!)</definedName>
    <definedName name="InstructionsB">IF(Language="French",#REF!,#REF!)</definedName>
    <definedName name="InstructionsC">IF(Language="French",#REF!,#REF!)</definedName>
    <definedName name="InstructionsD">IF(Language="French",#REF!,#REF!)</definedName>
    <definedName name="InstructionsE">IF(Language="French",#REF!,#REF!)</definedName>
    <definedName name="InstructionsF">IF(Language="French",#REF!,#REF!)</definedName>
    <definedName name="InstructionsSectionF" localSheetId="0">'Instructions-ES'!$A$375</definedName>
    <definedName name="Intervention_WPTM" localSheetId="0">OFFSET('[1]Overview - Section A'!$W$123,1,0,MATCH("*",'[1]Overview - Section A'!$W$123:$W$175,-1)-1,1)</definedName>
    <definedName name="Intervention_WPTM">OFFSET('Overview - Section A'!$W$155,1,0,MATCH("*",'Overview - Section A'!$W$155:$W$257,-1)-1,1)</definedName>
    <definedName name="KeyActivityColumn" localSheetId="0">'[1]Overview - Section A'!$AD$123:$AD$175</definedName>
    <definedName name="KeyActivityColumn">'Overview - Section A'!$AD$155:$AD$257</definedName>
    <definedName name="KeyActivityStart" localSheetId="0">'[1]Overview - Section A'!$AD$123:$AD$123</definedName>
    <definedName name="KeyActivityStart">'Overview - Section A'!$AD$155:$AD$155</definedName>
    <definedName name="LangOffset">Translations!$C$1</definedName>
    <definedName name="Language">'Overview - Section A'!$T$3</definedName>
    <definedName name="List" localSheetId="0">'[1]Account Role'!$B$2:$B$13</definedName>
    <definedName name="List">'Account Role'!$B$2:$B$20</definedName>
    <definedName name="MergedAndDistinctPR">IF(SUMPRODUCT(--(Setup!$I$15:$I$41&lt;&gt;""))=0,INDIRECT("FAKE RANGE"),Setup!$I$15:INDEX(Setup!$I$15:$I$41,SUMPRODUCT(--(Setup!$I$15:$I$41&lt;&gt;""))))</definedName>
    <definedName name="Module_List" localSheetId="0">OFFSET('[1]Reference Records'!$J$125,1,0,MATCH(" ",LEFT('[1]Reference Records'!$J$125:$J$159,255),-1)-1,1)</definedName>
    <definedName name="Module_List">OFFSET('Reference Records'!$J$159,1,0,MATCH(" ",LEFT('Reference Records'!$J$159:$J$210,255),-1)-1,1)</definedName>
    <definedName name="ModuleColumn" localSheetId="0">[1]!Intervention[Module]</definedName>
    <definedName name="ModuleColumn">Intervention[Module]</definedName>
    <definedName name="Modules" localSheetId="0">OFFSET('[1]Overview - Section A'!$E$101,1,0,MATCH(" ",'[1]Overview - Section A'!$E$101:$E$117,-1)-1,1)</definedName>
    <definedName name="Modules">OFFSET('Overview - Section A'!$E$118,1,0,MATCH(" ",'Overview - Section A'!$E$118:$E$149,-1)-1,1)</definedName>
    <definedName name="ModuleStart" localSheetId="0">'[1]Reference Records'!$A$162</definedName>
    <definedName name="ModuleStart">'Reference Records'!$A$213</definedName>
    <definedName name="nstructionsB">#REF!</definedName>
    <definedName name="Outcome_Indicator_Disaggregation">'update Helper'!$A$1664</definedName>
    <definedName name="Outcome_Indicator_Disaggregation_new">' Disaggregation - Section E '!$B$314</definedName>
    <definedName name="Outcome_indicators__section_C">'update Helper'!$A$420</definedName>
    <definedName name="Outcome_indicators_Targets__section_C">'update Helper'!$A$475</definedName>
    <definedName name="OutcomeIndicator" localSheetId="0">OFFSET('[1]Reference Records'!$I$21,1,0,MATCH(" ",LEFT('[1]Reference Records'!$I$21:$I$58,255),-1)-1,1)</definedName>
    <definedName name="OutcomeIndicator">OFFSET('Reference Records'!$I$25,1,0,MATCH(" ",LEFT('Reference Records'!$I$25:$I$76,255),-1)-1,1)</definedName>
    <definedName name="PICKLISTKEYVALUEPAIR">apttusmetadata!$Y$2:$Z$13</definedName>
    <definedName name="Population">'Overview - Section A'!$J$155</definedName>
    <definedName name="Population_by_intervention" localSheetId="0">'[1]Reference Records'!$A$332:$F$333</definedName>
    <definedName name="Population_by_intervention">'Reference Records'!$A$413:$M$414</definedName>
    <definedName name="Population_by_Intervention_name">'Reference Records'!$E$413:$M$414</definedName>
    <definedName name="PopulationByCoverage" localSheetId="0">'[1]Reference Records'!$A$511:$F$512</definedName>
    <definedName name="PopulationByCoverage">'Reference Records'!$A$621:$F$622</definedName>
    <definedName name="_xlnm.Print_Area" localSheetId="0">'Instructions-ES'!$A$1:$B$434</definedName>
    <definedName name="_xlnm.Print_Area" localSheetId="1">'Overview - Section A'!$A$1:$AI$264</definedName>
    <definedName name="_xlnm.Print_Area" localSheetId="13">'Print View'!$A$1:$S$300</definedName>
    <definedName name="ResponsiblePR" localSheetId="0">IF('[1]Overview - Section A'!$AN$5="Funding Request",OFFSET('[1]Overview - Section A'!$M$30,1,0,MATCH(" ",'[1]Overview - Section A'!$M$30:$M$40,-1)-1,1),OFFSET('[1]Overview - Section A'!$E$26,1,0,MATCH(" ",'[1]Overview - Section A'!$E$26:$E$27,-1)-1,1))</definedName>
    <definedName name="ResponsiblePR">IF('Overview - Section A'!$AN$5="Funding Request",OFFSET('Overview - Section A'!$M$32,1,0,MATCH(" ",'Overview - Section A'!$M$32:$M$33,-1)-1,1),OFFSET('Overview - Section A'!$E$27,1,0,MATCH(" ",'Overview - Section A'!$E$27:$E$29,-1)-1,1))</definedName>
    <definedName name="SectionAPopulation" localSheetId="0">'[1]Overview - Section A'!$V$123:$V$174</definedName>
    <definedName name="SectionAPopulation">'Overview - Section A'!$V$155:$V$256</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'!$A$9:$AA$10</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OFFSET('[1]Coverage Indicators-Section D'!$AA$10,1,0,MATCH(" ",'[1]Coverage Indicators-Section D'!$AA$10:$AA$42,-1)-1,1)</definedName>
    <definedName name="Subset">OFFSET(#REF!,1,0,MATCH(" ",#REF!,-1)-1,1)</definedName>
    <definedName name="WPTM____Section_F">'update Helper'!$A$4062</definedName>
    <definedName name="WPTM_Results">'update Helper'!$A$4308</definedName>
    <definedName name="XAuthorInvalidPicklistData" localSheetId="0">[1]apttusmetadata!$B$1</definedName>
    <definedName name="XAuthorInvalidPicklistData">apttusmetadata!$B$1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7" i="33" l="1"/>
  <c r="R27" i="33"/>
  <c r="O27" i="33"/>
  <c r="U15" i="33"/>
  <c r="R15" i="33"/>
  <c r="O15" i="33"/>
  <c r="P5750" i="27" l="1"/>
  <c r="P5749" i="27"/>
  <c r="P5748" i="27"/>
  <c r="P5747" i="27"/>
  <c r="P5746" i="27"/>
  <c r="P5745" i="27"/>
  <c r="P5744" i="27"/>
  <c r="P5743" i="27"/>
  <c r="P5742" i="27"/>
  <c r="P5741" i="27"/>
  <c r="P5740" i="27"/>
  <c r="P5739" i="27"/>
  <c r="P5738" i="27"/>
  <c r="P5737" i="27"/>
  <c r="P5736" i="27"/>
  <c r="P5735" i="27"/>
  <c r="P5734" i="27"/>
  <c r="P5733" i="27"/>
  <c r="P5732" i="27"/>
  <c r="P5731" i="27"/>
  <c r="P5730" i="27"/>
  <c r="P5729" i="27"/>
  <c r="P5728" i="27"/>
  <c r="P5727" i="27"/>
  <c r="P5726" i="27"/>
  <c r="P5725" i="27"/>
  <c r="P5724" i="27"/>
  <c r="P5723" i="27"/>
  <c r="P5722" i="27"/>
  <c r="P5721" i="27"/>
  <c r="P5720" i="27"/>
  <c r="P5719" i="27"/>
  <c r="P5718" i="27"/>
  <c r="P5717" i="27"/>
  <c r="P5716" i="27"/>
  <c r="P5715" i="27"/>
  <c r="P5714" i="27"/>
  <c r="P5713" i="27"/>
  <c r="P5712" i="27"/>
  <c r="P5711" i="27"/>
  <c r="P5710" i="27"/>
  <c r="P5709" i="27"/>
  <c r="P5708" i="27"/>
  <c r="P5707" i="27"/>
  <c r="P5706" i="27"/>
  <c r="P5705" i="27"/>
  <c r="P5704" i="27"/>
  <c r="P5703" i="27"/>
  <c r="P5702" i="27"/>
  <c r="P5701" i="27"/>
  <c r="P5700" i="27"/>
  <c r="P5699" i="27"/>
  <c r="P5698" i="27"/>
  <c r="P5697" i="27"/>
  <c r="P5696" i="27"/>
  <c r="P5695" i="27"/>
  <c r="P5694" i="27"/>
  <c r="P5693" i="27"/>
  <c r="P5692" i="27"/>
  <c r="P5691" i="27"/>
  <c r="P5690" i="27"/>
  <c r="P5689" i="27"/>
  <c r="P5688" i="27"/>
  <c r="P5687" i="27"/>
  <c r="P5686" i="27"/>
  <c r="P5685" i="27"/>
  <c r="P5684" i="27"/>
  <c r="P5683" i="27"/>
  <c r="P5682" i="27"/>
  <c r="P5681" i="27"/>
  <c r="P5680" i="27"/>
  <c r="P5679" i="27"/>
  <c r="P5678" i="27"/>
  <c r="P5677" i="27"/>
  <c r="P5676" i="27"/>
  <c r="P5675" i="27"/>
  <c r="P5674" i="27"/>
  <c r="P5673" i="27"/>
  <c r="P5672" i="27"/>
  <c r="P5671" i="27"/>
  <c r="P5670" i="27"/>
  <c r="P5669" i="27"/>
  <c r="P5668" i="27"/>
  <c r="P5667" i="27"/>
  <c r="P5666" i="27"/>
  <c r="P5665" i="27"/>
  <c r="P5664" i="27"/>
  <c r="P5663" i="27"/>
  <c r="P5662" i="27"/>
  <c r="P5661" i="27"/>
  <c r="P5660" i="27"/>
  <c r="P5659" i="27"/>
  <c r="P5658" i="27"/>
  <c r="P5657" i="27"/>
  <c r="P5656" i="27"/>
  <c r="P5655" i="27"/>
  <c r="P5654" i="27"/>
  <c r="P5653" i="27"/>
  <c r="P5652" i="27"/>
  <c r="P5651" i="27"/>
  <c r="P5650" i="27"/>
  <c r="P5649" i="27"/>
  <c r="P5648" i="27"/>
  <c r="P5647" i="27"/>
  <c r="P5646" i="27"/>
  <c r="P5645" i="27"/>
  <c r="P5644" i="27"/>
  <c r="P5643" i="27"/>
  <c r="P5642" i="27"/>
  <c r="P5641" i="27"/>
  <c r="P5640" i="27"/>
  <c r="P5639" i="27"/>
  <c r="P5638" i="27"/>
  <c r="P5637" i="27"/>
  <c r="P5636" i="27"/>
  <c r="P5635" i="27"/>
  <c r="P5634" i="27"/>
  <c r="P5633" i="27"/>
  <c r="P5632" i="27"/>
  <c r="P5631" i="27"/>
  <c r="P5630" i="27"/>
  <c r="P5629" i="27"/>
  <c r="P5628" i="27"/>
  <c r="P5627" i="27"/>
  <c r="P5626" i="27"/>
  <c r="P5625" i="27"/>
  <c r="P5624" i="27"/>
  <c r="P5623" i="27"/>
  <c r="P5622" i="27"/>
  <c r="P5621" i="27"/>
  <c r="P5620" i="27"/>
  <c r="P5619" i="27"/>
  <c r="P5618" i="27"/>
  <c r="P5617" i="27"/>
  <c r="P5616" i="27"/>
  <c r="P5615" i="27"/>
  <c r="P5614" i="27"/>
  <c r="P5613" i="27"/>
  <c r="P5612" i="27"/>
  <c r="P5611" i="27"/>
  <c r="P5610" i="27"/>
  <c r="P5609" i="27"/>
  <c r="P5608" i="27"/>
  <c r="P5607" i="27"/>
  <c r="P5606" i="27"/>
  <c r="P5605" i="27"/>
  <c r="P5604" i="27"/>
  <c r="P5603" i="27"/>
  <c r="P5602" i="27"/>
  <c r="P5601" i="27"/>
  <c r="P5600" i="27"/>
  <c r="P5599" i="27"/>
  <c r="P5598" i="27"/>
  <c r="P5597" i="27"/>
  <c r="P5596" i="27"/>
  <c r="P5595" i="27"/>
  <c r="P5594" i="27"/>
  <c r="P5593" i="27"/>
  <c r="P5592" i="27"/>
  <c r="P5591" i="27"/>
  <c r="P5590" i="27"/>
  <c r="P5589" i="27"/>
  <c r="P5588" i="27"/>
  <c r="P5587" i="27"/>
  <c r="P5586" i="27"/>
  <c r="P5585" i="27"/>
  <c r="P5584" i="27"/>
  <c r="P5583" i="27"/>
  <c r="P5582" i="27"/>
  <c r="P5581" i="27"/>
  <c r="P5580" i="27"/>
  <c r="P5579" i="27"/>
  <c r="P5578" i="27"/>
  <c r="P5577" i="27"/>
  <c r="P5576" i="27"/>
  <c r="P5575" i="27"/>
  <c r="P5574" i="27"/>
  <c r="P5573" i="27"/>
  <c r="P5572" i="27"/>
  <c r="P5571" i="27"/>
  <c r="P5570" i="27"/>
  <c r="P5569" i="27"/>
  <c r="P5568" i="27"/>
  <c r="P5567" i="27"/>
  <c r="P5566" i="27"/>
  <c r="P5565" i="27"/>
  <c r="P5564" i="27"/>
  <c r="P5563" i="27"/>
  <c r="P5562" i="27"/>
  <c r="P5561" i="27"/>
  <c r="P5560" i="27"/>
  <c r="P5559" i="27"/>
  <c r="P5558" i="27"/>
  <c r="P5557" i="27"/>
  <c r="P5556" i="27"/>
  <c r="P5555" i="27"/>
  <c r="P5554" i="27"/>
  <c r="P5553" i="27"/>
  <c r="P5552" i="27"/>
  <c r="P5551" i="27"/>
  <c r="P5550" i="27"/>
  <c r="P5549" i="27"/>
  <c r="P5548" i="27"/>
  <c r="P5547" i="27"/>
  <c r="P5546" i="27"/>
  <c r="P5545" i="27"/>
  <c r="P5544" i="27"/>
  <c r="P5543" i="27"/>
  <c r="P5542" i="27"/>
  <c r="P5541" i="27"/>
  <c r="P5540" i="27"/>
  <c r="P5539" i="27"/>
  <c r="P5538" i="27"/>
  <c r="P5537" i="27"/>
  <c r="P5536" i="27"/>
  <c r="P5535" i="27"/>
  <c r="P5534" i="27"/>
  <c r="P5533" i="27"/>
  <c r="P5532" i="27"/>
  <c r="P5531" i="27"/>
  <c r="P5530" i="27"/>
  <c r="P5529" i="27"/>
  <c r="P5528" i="27"/>
  <c r="P5527" i="27"/>
  <c r="P5526" i="27"/>
  <c r="P5525" i="27"/>
  <c r="P5524" i="27"/>
  <c r="P5523" i="27"/>
  <c r="P5522" i="27"/>
  <c r="P5521" i="27"/>
  <c r="P5520" i="27"/>
  <c r="P5519" i="27"/>
  <c r="P5518" i="27"/>
  <c r="P5517" i="27"/>
  <c r="P5516" i="27"/>
  <c r="P5515" i="27"/>
  <c r="P5514" i="27"/>
  <c r="P5513" i="27"/>
  <c r="P5512" i="27"/>
  <c r="P5511" i="27"/>
  <c r="P5510" i="27"/>
  <c r="P5509" i="27"/>
  <c r="P5508" i="27"/>
  <c r="P5507" i="27"/>
  <c r="P5506" i="27"/>
  <c r="P5505" i="27"/>
  <c r="P5504" i="27"/>
  <c r="P5503" i="27"/>
  <c r="P5502" i="27"/>
  <c r="P5501" i="27"/>
  <c r="P5500" i="27"/>
  <c r="P5499" i="27"/>
  <c r="P5498" i="27"/>
  <c r="P5497" i="27"/>
  <c r="P5496" i="27"/>
  <c r="P5495" i="27"/>
  <c r="P5494" i="27"/>
  <c r="P5493" i="27"/>
  <c r="P5492" i="27"/>
  <c r="P5491" i="27"/>
  <c r="P5490" i="27"/>
  <c r="P5489" i="27"/>
  <c r="P5488" i="27"/>
  <c r="P5487" i="27"/>
  <c r="P5486" i="27"/>
  <c r="P5485" i="27"/>
  <c r="P5484" i="27"/>
  <c r="P5483" i="27"/>
  <c r="P5482" i="27"/>
  <c r="P5481" i="27"/>
  <c r="P5480" i="27"/>
  <c r="P5479" i="27"/>
  <c r="P5478" i="27"/>
  <c r="P5477" i="27"/>
  <c r="P5476" i="27"/>
  <c r="P5475" i="27"/>
  <c r="P5474" i="27"/>
  <c r="P5473" i="27"/>
  <c r="P5472" i="27"/>
  <c r="P5471" i="27"/>
  <c r="P5470" i="27"/>
  <c r="P5469" i="27"/>
  <c r="P5468" i="27"/>
  <c r="P5467" i="27"/>
  <c r="P5466" i="27"/>
  <c r="P5465" i="27"/>
  <c r="P5464" i="27"/>
  <c r="P5463" i="27"/>
  <c r="P5462" i="27"/>
  <c r="P5461" i="27"/>
  <c r="P5460" i="27"/>
  <c r="P5459" i="27"/>
  <c r="P5458" i="27"/>
  <c r="P5457" i="27"/>
  <c r="P5456" i="27"/>
  <c r="P5455" i="27"/>
  <c r="P5454" i="27"/>
  <c r="P5453" i="27"/>
  <c r="P5452" i="27"/>
  <c r="P5451" i="27"/>
  <c r="P5450" i="27"/>
  <c r="P5449" i="27"/>
  <c r="P5448" i="27"/>
  <c r="P5447" i="27"/>
  <c r="P5446" i="27"/>
  <c r="P5445" i="27"/>
  <c r="P5444" i="27"/>
  <c r="P5443" i="27"/>
  <c r="P5442" i="27"/>
  <c r="P5441" i="27"/>
  <c r="P5440" i="27"/>
  <c r="P5439" i="27"/>
  <c r="P5438" i="27"/>
  <c r="P5437" i="27"/>
  <c r="P5436" i="27"/>
  <c r="P5435" i="27"/>
  <c r="P5434" i="27"/>
  <c r="P5433" i="27"/>
  <c r="P5432" i="27"/>
  <c r="P5431" i="27"/>
  <c r="P5430" i="27"/>
  <c r="P5429" i="27"/>
  <c r="P5428" i="27"/>
  <c r="P5427" i="27"/>
  <c r="P5426" i="27"/>
  <c r="P5425" i="27"/>
  <c r="P5424" i="27"/>
  <c r="P5423" i="27"/>
  <c r="P5422" i="27"/>
  <c r="P5421" i="27"/>
  <c r="P5420" i="27"/>
  <c r="P5419" i="27"/>
  <c r="P5418" i="27"/>
  <c r="P5417" i="27"/>
  <c r="P5416" i="27"/>
  <c r="P5415" i="27"/>
  <c r="P5414" i="27"/>
  <c r="P5413" i="27"/>
  <c r="P5412" i="27"/>
  <c r="P5411" i="27"/>
  <c r="P5410" i="27"/>
  <c r="P5409" i="27"/>
  <c r="P5408" i="27"/>
  <c r="P5407" i="27"/>
  <c r="P5406" i="27"/>
  <c r="P5405" i="27"/>
  <c r="P5404" i="27"/>
  <c r="P5403" i="27"/>
  <c r="P5402" i="27"/>
  <c r="P5401" i="27"/>
  <c r="P5400" i="27"/>
  <c r="P5399" i="27"/>
  <c r="P5398" i="27"/>
  <c r="P5397" i="27"/>
  <c r="P5396" i="27"/>
  <c r="P5395" i="27"/>
  <c r="P5394" i="27"/>
  <c r="P5393" i="27"/>
  <c r="P5392" i="27"/>
  <c r="P5391" i="27"/>
  <c r="P5390" i="27"/>
  <c r="P5389" i="27"/>
  <c r="P5388" i="27"/>
  <c r="P5387" i="27"/>
  <c r="P5386" i="27"/>
  <c r="P5385" i="27"/>
  <c r="P5384" i="27"/>
  <c r="P5383" i="27"/>
  <c r="P5382" i="27"/>
  <c r="P5381" i="27"/>
  <c r="P5380" i="27"/>
  <c r="P5379" i="27"/>
  <c r="P5378" i="27"/>
  <c r="P5377" i="27"/>
  <c r="P5376" i="27"/>
  <c r="P5375" i="27"/>
  <c r="P5374" i="27"/>
  <c r="P5373" i="27"/>
  <c r="P5372" i="27"/>
  <c r="P5371" i="27"/>
  <c r="P5370" i="27"/>
  <c r="P5369" i="27"/>
  <c r="P5368" i="27"/>
  <c r="P5367" i="27"/>
  <c r="P5366" i="27"/>
  <c r="P5365" i="27"/>
  <c r="P5364" i="27"/>
  <c r="P5363" i="27"/>
  <c r="P5362" i="27"/>
  <c r="P5361" i="27"/>
  <c r="P5360" i="27"/>
  <c r="P5359" i="27"/>
  <c r="P5358" i="27"/>
  <c r="P5357" i="27"/>
  <c r="P5356" i="27"/>
  <c r="P5355" i="27"/>
  <c r="P5354" i="27"/>
  <c r="P5353" i="27"/>
  <c r="P5352" i="27"/>
  <c r="P5351" i="27"/>
  <c r="P5350" i="27"/>
  <c r="P5349" i="27"/>
  <c r="P5348" i="27"/>
  <c r="P5347" i="27"/>
  <c r="P5346" i="27"/>
  <c r="P5345" i="27"/>
  <c r="P5344" i="27"/>
  <c r="P5343" i="27"/>
  <c r="P5342" i="27"/>
  <c r="P5341" i="27"/>
  <c r="P5340" i="27"/>
  <c r="P5339" i="27"/>
  <c r="P5338" i="27"/>
  <c r="P5337" i="27"/>
  <c r="P5336" i="27"/>
  <c r="P5335" i="27"/>
  <c r="P5334" i="27"/>
  <c r="P5333" i="27"/>
  <c r="P5332" i="27"/>
  <c r="P5331" i="27"/>
  <c r="P5330" i="27"/>
  <c r="P5329" i="27"/>
  <c r="P5328" i="27"/>
  <c r="P5327" i="27"/>
  <c r="P5326" i="27"/>
  <c r="P5325" i="27"/>
  <c r="P5324" i="27"/>
  <c r="P5323" i="27"/>
  <c r="P5322" i="27"/>
  <c r="P5321" i="27"/>
  <c r="P5320" i="27"/>
  <c r="P5319" i="27"/>
  <c r="P5318" i="27"/>
  <c r="P5317" i="27"/>
  <c r="P5316" i="27"/>
  <c r="P5315" i="27"/>
  <c r="P5314" i="27"/>
  <c r="P5313" i="27"/>
  <c r="P5312" i="27"/>
  <c r="P5311" i="27"/>
  <c r="P5310" i="27"/>
  <c r="P5309" i="27"/>
  <c r="P5308" i="27"/>
  <c r="P5307" i="27"/>
  <c r="P5306" i="27"/>
  <c r="P5305" i="27"/>
  <c r="P5304" i="27"/>
  <c r="P5303" i="27"/>
  <c r="P5302" i="27"/>
  <c r="P5301" i="27"/>
  <c r="P5300" i="27"/>
  <c r="P5299" i="27"/>
  <c r="P5298" i="27"/>
  <c r="P5297" i="27"/>
  <c r="P5296" i="27"/>
  <c r="P5295" i="27"/>
  <c r="P5294" i="27"/>
  <c r="P5293" i="27"/>
  <c r="P5292" i="27"/>
  <c r="P5291" i="27"/>
  <c r="P5290" i="27"/>
  <c r="P5289" i="27"/>
  <c r="P5288" i="27"/>
  <c r="P5287" i="27"/>
  <c r="P5286" i="27"/>
  <c r="P5285" i="27"/>
  <c r="P5284" i="27"/>
  <c r="P5283" i="27"/>
  <c r="P5282" i="27"/>
  <c r="P5281" i="27"/>
  <c r="P5280" i="27"/>
  <c r="P5279" i="27"/>
  <c r="P5278" i="27"/>
  <c r="P5277" i="27"/>
  <c r="P5276" i="27"/>
  <c r="P5275" i="27"/>
  <c r="P5274" i="27"/>
  <c r="P5273" i="27"/>
  <c r="P5272" i="27"/>
  <c r="P5271" i="27"/>
  <c r="C5750" i="27"/>
  <c r="C5749" i="27"/>
  <c r="C5748" i="27"/>
  <c r="C5747" i="27"/>
  <c r="C5746" i="27"/>
  <c r="C5745" i="27"/>
  <c r="C5744" i="27"/>
  <c r="C5743" i="27"/>
  <c r="C5742" i="27"/>
  <c r="C5741" i="27"/>
  <c r="C5740" i="27"/>
  <c r="C5739" i="27"/>
  <c r="C5738" i="27"/>
  <c r="C5737" i="27"/>
  <c r="C5736" i="27"/>
  <c r="C5735" i="27"/>
  <c r="C5734" i="27"/>
  <c r="C5733" i="27"/>
  <c r="C5732" i="27"/>
  <c r="C5731" i="27"/>
  <c r="C5730" i="27"/>
  <c r="C5729" i="27"/>
  <c r="C5728" i="27"/>
  <c r="C5727" i="27"/>
  <c r="C5726" i="27"/>
  <c r="C5725" i="27"/>
  <c r="C5724" i="27"/>
  <c r="C5723" i="27"/>
  <c r="C5722" i="27"/>
  <c r="C5721" i="27"/>
  <c r="C5720" i="27"/>
  <c r="C5719" i="27"/>
  <c r="C5718" i="27"/>
  <c r="C5717" i="27"/>
  <c r="C5716" i="27"/>
  <c r="C5715" i="27"/>
  <c r="C5714" i="27"/>
  <c r="C5713" i="27"/>
  <c r="C5712" i="27"/>
  <c r="C5711" i="27"/>
  <c r="C5710" i="27"/>
  <c r="C5709" i="27"/>
  <c r="C5708" i="27"/>
  <c r="C5707" i="27"/>
  <c r="C5706" i="27"/>
  <c r="C5705" i="27"/>
  <c r="C5704" i="27"/>
  <c r="C5703" i="27"/>
  <c r="C5702" i="27"/>
  <c r="C5701" i="27"/>
  <c r="C5700" i="27"/>
  <c r="C5699" i="27"/>
  <c r="C5698" i="27"/>
  <c r="C5697" i="27"/>
  <c r="C5696" i="27"/>
  <c r="C5695" i="27"/>
  <c r="C5694" i="27"/>
  <c r="C5693" i="27"/>
  <c r="C5692" i="27"/>
  <c r="C5691" i="27"/>
  <c r="C5690" i="27"/>
  <c r="C5689" i="27"/>
  <c r="C5688" i="27"/>
  <c r="C5687" i="27"/>
  <c r="C5686" i="27"/>
  <c r="C5685" i="27"/>
  <c r="C5684" i="27"/>
  <c r="C5683" i="27"/>
  <c r="C5682" i="27"/>
  <c r="C5681" i="27"/>
  <c r="C5680" i="27"/>
  <c r="C5679" i="27"/>
  <c r="C5678" i="27"/>
  <c r="C5677" i="27"/>
  <c r="C5676" i="27"/>
  <c r="C5675" i="27"/>
  <c r="C5674" i="27"/>
  <c r="C5673" i="27"/>
  <c r="C5672" i="27"/>
  <c r="C5671" i="27"/>
  <c r="C5670" i="27"/>
  <c r="C5669" i="27"/>
  <c r="C5668" i="27"/>
  <c r="C5667" i="27"/>
  <c r="C5666" i="27"/>
  <c r="C5665" i="27"/>
  <c r="C5664" i="27"/>
  <c r="C5663" i="27"/>
  <c r="C5662" i="27"/>
  <c r="C5661" i="27"/>
  <c r="C5660" i="27"/>
  <c r="C5659" i="27"/>
  <c r="C5658" i="27"/>
  <c r="C5657" i="27"/>
  <c r="C5656" i="27"/>
  <c r="C5655" i="27"/>
  <c r="C5654" i="27"/>
  <c r="C5653" i="27"/>
  <c r="C5652" i="27"/>
  <c r="C5651" i="27"/>
  <c r="C5650" i="27"/>
  <c r="C5649" i="27"/>
  <c r="C5648" i="27"/>
  <c r="C5647" i="27"/>
  <c r="C5646" i="27"/>
  <c r="C5645" i="27"/>
  <c r="C5644" i="27"/>
  <c r="C5643" i="27"/>
  <c r="C5642" i="27"/>
  <c r="C5641" i="27"/>
  <c r="C5640" i="27"/>
  <c r="C5639" i="27"/>
  <c r="C5638" i="27"/>
  <c r="C5637" i="27"/>
  <c r="C5636" i="27"/>
  <c r="C5635" i="27"/>
  <c r="C5634" i="27"/>
  <c r="C5633" i="27"/>
  <c r="C5632" i="27"/>
  <c r="C5631" i="27"/>
  <c r="C5630" i="27"/>
  <c r="C5629" i="27"/>
  <c r="C5628" i="27"/>
  <c r="C5627" i="27"/>
  <c r="C5626" i="27"/>
  <c r="C5625" i="27"/>
  <c r="C5624" i="27"/>
  <c r="C5623" i="27"/>
  <c r="C5622" i="27"/>
  <c r="C5621" i="27"/>
  <c r="C5620" i="27"/>
  <c r="C5619" i="27"/>
  <c r="C5618" i="27"/>
  <c r="C5617" i="27"/>
  <c r="C5616" i="27"/>
  <c r="C5615" i="27"/>
  <c r="C5614" i="27"/>
  <c r="C5613" i="27"/>
  <c r="C5612" i="27"/>
  <c r="C5611" i="27"/>
  <c r="C5610" i="27"/>
  <c r="C5609" i="27"/>
  <c r="C5608" i="27"/>
  <c r="C5607" i="27"/>
  <c r="C5606" i="27"/>
  <c r="C5605" i="27"/>
  <c r="C5604" i="27"/>
  <c r="C5603" i="27"/>
  <c r="C5602" i="27"/>
  <c r="C5601" i="27"/>
  <c r="C5600" i="27"/>
  <c r="C5599" i="27"/>
  <c r="C5598" i="27"/>
  <c r="C5597" i="27"/>
  <c r="C5596" i="27"/>
  <c r="C5595" i="27"/>
  <c r="C5594" i="27"/>
  <c r="C5593" i="27"/>
  <c r="C5592" i="27"/>
  <c r="C5591" i="27"/>
  <c r="C5590" i="27"/>
  <c r="C5589" i="27"/>
  <c r="C5588" i="27"/>
  <c r="C5587" i="27"/>
  <c r="C5586" i="27"/>
  <c r="C5585" i="27"/>
  <c r="C5584" i="27"/>
  <c r="C5583" i="27"/>
  <c r="C5582" i="27"/>
  <c r="C5581" i="27"/>
  <c r="C5580" i="27"/>
  <c r="C5579" i="27"/>
  <c r="C5578" i="27"/>
  <c r="C5577" i="27"/>
  <c r="C5576" i="27"/>
  <c r="C5575" i="27"/>
  <c r="C5574" i="27"/>
  <c r="C5573" i="27"/>
  <c r="C5572" i="27"/>
  <c r="C5571" i="27"/>
  <c r="C5570" i="27"/>
  <c r="C5569" i="27"/>
  <c r="C5568" i="27"/>
  <c r="C5567" i="27"/>
  <c r="C5566" i="27"/>
  <c r="C5565" i="27"/>
  <c r="C5564" i="27"/>
  <c r="C5563" i="27"/>
  <c r="C5562" i="27"/>
  <c r="C5561" i="27"/>
  <c r="C5560" i="27"/>
  <c r="C5559" i="27"/>
  <c r="C5558" i="27"/>
  <c r="C5557" i="27"/>
  <c r="C5556" i="27"/>
  <c r="C5555" i="27"/>
  <c r="C5554" i="27"/>
  <c r="C5553" i="27"/>
  <c r="C5552" i="27"/>
  <c r="C5551" i="27"/>
  <c r="C5550" i="27"/>
  <c r="C5549" i="27"/>
  <c r="C5548" i="27"/>
  <c r="C5547" i="27"/>
  <c r="C5546" i="27"/>
  <c r="C5545" i="27"/>
  <c r="C5544" i="27"/>
  <c r="C5543" i="27"/>
  <c r="C5542" i="27"/>
  <c r="C5541" i="27"/>
  <c r="C5540" i="27"/>
  <c r="C5539" i="27"/>
  <c r="C5538" i="27"/>
  <c r="C5537" i="27"/>
  <c r="C5536" i="27"/>
  <c r="C5535" i="27"/>
  <c r="C5534" i="27"/>
  <c r="C5533" i="27"/>
  <c r="C5532" i="27"/>
  <c r="C5531" i="27"/>
  <c r="C5530" i="27"/>
  <c r="C5529" i="27"/>
  <c r="C5528" i="27"/>
  <c r="C5527" i="27"/>
  <c r="C5526" i="27"/>
  <c r="C5525" i="27"/>
  <c r="C5524" i="27"/>
  <c r="C5523" i="27"/>
  <c r="C5522" i="27"/>
  <c r="C5521" i="27"/>
  <c r="C5520" i="27"/>
  <c r="C5519" i="27"/>
  <c r="C5518" i="27"/>
  <c r="C5517" i="27"/>
  <c r="C5516" i="27"/>
  <c r="C5515" i="27"/>
  <c r="C5514" i="27"/>
  <c r="C5513" i="27"/>
  <c r="C5512" i="27"/>
  <c r="C5511" i="27"/>
  <c r="C5510" i="27"/>
  <c r="C5509" i="27"/>
  <c r="C5508" i="27"/>
  <c r="C5507" i="27"/>
  <c r="C5506" i="27"/>
  <c r="C5505" i="27"/>
  <c r="C5504" i="27"/>
  <c r="C5503" i="27"/>
  <c r="C5502" i="27"/>
  <c r="C5501" i="27"/>
  <c r="C5500" i="27"/>
  <c r="C5499" i="27"/>
  <c r="C5498" i="27"/>
  <c r="C5497" i="27"/>
  <c r="C5496" i="27"/>
  <c r="C5495" i="27"/>
  <c r="C5494" i="27"/>
  <c r="C5493" i="27"/>
  <c r="C5492" i="27"/>
  <c r="C5491" i="27"/>
  <c r="C5490" i="27"/>
  <c r="C5489" i="27"/>
  <c r="C5488" i="27"/>
  <c r="C5487" i="27"/>
  <c r="C5486" i="27"/>
  <c r="C5485" i="27"/>
  <c r="C5484" i="27"/>
  <c r="C5483" i="27"/>
  <c r="C5482" i="27"/>
  <c r="C5481" i="27"/>
  <c r="C5480" i="27"/>
  <c r="C5479" i="27"/>
  <c r="C5478" i="27"/>
  <c r="C5477" i="27"/>
  <c r="C5476" i="27"/>
  <c r="C5475" i="27"/>
  <c r="C5474" i="27"/>
  <c r="C5473" i="27"/>
  <c r="C5472" i="27"/>
  <c r="C5471" i="27"/>
  <c r="C5470" i="27"/>
  <c r="C5469" i="27"/>
  <c r="C5468" i="27"/>
  <c r="C5467" i="27"/>
  <c r="C5466" i="27"/>
  <c r="C5465" i="27"/>
  <c r="C5464" i="27"/>
  <c r="C5463" i="27"/>
  <c r="C5462" i="27"/>
  <c r="C5461" i="27"/>
  <c r="C5460" i="27"/>
  <c r="C5459" i="27"/>
  <c r="C5458" i="27"/>
  <c r="C5457" i="27"/>
  <c r="C5456" i="27"/>
  <c r="C5455" i="27"/>
  <c r="C5454" i="27"/>
  <c r="C5453" i="27"/>
  <c r="C5452" i="27"/>
  <c r="C5451" i="27"/>
  <c r="C5450" i="27"/>
  <c r="C5449" i="27"/>
  <c r="C5448" i="27"/>
  <c r="C5447" i="27"/>
  <c r="C5446" i="27"/>
  <c r="C5445" i="27"/>
  <c r="C5444" i="27"/>
  <c r="C5443" i="27"/>
  <c r="C5442" i="27"/>
  <c r="C5441" i="27"/>
  <c r="C5440" i="27"/>
  <c r="C5439" i="27"/>
  <c r="C5438" i="27"/>
  <c r="C5437" i="27"/>
  <c r="C5436" i="27"/>
  <c r="C5435" i="27"/>
  <c r="C5434" i="27"/>
  <c r="C5433" i="27"/>
  <c r="C5432" i="27"/>
  <c r="C5431" i="27"/>
  <c r="C5430" i="27"/>
  <c r="C5429" i="27"/>
  <c r="C5428" i="27"/>
  <c r="C5427" i="27"/>
  <c r="C5426" i="27"/>
  <c r="C5425" i="27"/>
  <c r="C5424" i="27"/>
  <c r="C5423" i="27"/>
  <c r="C5422" i="27"/>
  <c r="C5421" i="27"/>
  <c r="C5420" i="27"/>
  <c r="C5419" i="27"/>
  <c r="C5418" i="27"/>
  <c r="C5417" i="27"/>
  <c r="C5416" i="27"/>
  <c r="C5415" i="27"/>
  <c r="C5414" i="27"/>
  <c r="C5413" i="27"/>
  <c r="C5412" i="27"/>
  <c r="C5411" i="27"/>
  <c r="C5410" i="27"/>
  <c r="C5409" i="27"/>
  <c r="C5408" i="27"/>
  <c r="C5407" i="27"/>
  <c r="C5406" i="27"/>
  <c r="C5405" i="27"/>
  <c r="C5404" i="27"/>
  <c r="C5403" i="27"/>
  <c r="C5402" i="27"/>
  <c r="C5401" i="27"/>
  <c r="C5400" i="27"/>
  <c r="C5399" i="27"/>
  <c r="C5398" i="27"/>
  <c r="C5397" i="27"/>
  <c r="C5396" i="27"/>
  <c r="C5395" i="27"/>
  <c r="C5394" i="27"/>
  <c r="C5393" i="27"/>
  <c r="C5392" i="27"/>
  <c r="C5391" i="27"/>
  <c r="C5390" i="27"/>
  <c r="C5389" i="27"/>
  <c r="C5388" i="27"/>
  <c r="C5387" i="27"/>
  <c r="C5386" i="27"/>
  <c r="C5385" i="27"/>
  <c r="C5384" i="27"/>
  <c r="C5383" i="27"/>
  <c r="C5382" i="27"/>
  <c r="C5381" i="27"/>
  <c r="C5380" i="27"/>
  <c r="C5379" i="27"/>
  <c r="C5378" i="27"/>
  <c r="C5377" i="27"/>
  <c r="C5376" i="27"/>
  <c r="C5375" i="27"/>
  <c r="C5374" i="27"/>
  <c r="C5373" i="27"/>
  <c r="C5372" i="27"/>
  <c r="C5371" i="27"/>
  <c r="C5370" i="27"/>
  <c r="C5369" i="27"/>
  <c r="C5368" i="27"/>
  <c r="C5367" i="27"/>
  <c r="C5366" i="27"/>
  <c r="C5365" i="27"/>
  <c r="C5364" i="27"/>
  <c r="C5363" i="27"/>
  <c r="C5362" i="27"/>
  <c r="C5361" i="27"/>
  <c r="C5360" i="27"/>
  <c r="C5359" i="27"/>
  <c r="C5358" i="27"/>
  <c r="C5357" i="27"/>
  <c r="C5356" i="27"/>
  <c r="C5355" i="27"/>
  <c r="C5354" i="27"/>
  <c r="C5353" i="27"/>
  <c r="C5352" i="27"/>
  <c r="C5351" i="27"/>
  <c r="C5350" i="27"/>
  <c r="C5349" i="27"/>
  <c r="C5348" i="27"/>
  <c r="C5347" i="27"/>
  <c r="C5346" i="27"/>
  <c r="C5345" i="27"/>
  <c r="C5344" i="27"/>
  <c r="C5343" i="27"/>
  <c r="C5342" i="27"/>
  <c r="C5341" i="27"/>
  <c r="C5340" i="27"/>
  <c r="C5339" i="27"/>
  <c r="C5338" i="27"/>
  <c r="C5337" i="27"/>
  <c r="C5336" i="27"/>
  <c r="C5335" i="27"/>
  <c r="C5334" i="27"/>
  <c r="C5333" i="27"/>
  <c r="C5332" i="27"/>
  <c r="C5331" i="27"/>
  <c r="C5330" i="27"/>
  <c r="C5329" i="27"/>
  <c r="C5328" i="27"/>
  <c r="C5327" i="27"/>
  <c r="C5326" i="27"/>
  <c r="C5325" i="27"/>
  <c r="C5324" i="27"/>
  <c r="C5323" i="27"/>
  <c r="C5322" i="27"/>
  <c r="C5321" i="27"/>
  <c r="C5320" i="27"/>
  <c r="C5319" i="27"/>
  <c r="C5318" i="27"/>
  <c r="C5317" i="27"/>
  <c r="C5316" i="27"/>
  <c r="C5315" i="27"/>
  <c r="C5314" i="27"/>
  <c r="C5313" i="27"/>
  <c r="C5312" i="27"/>
  <c r="C5311" i="27"/>
  <c r="C5310" i="27"/>
  <c r="C5309" i="27"/>
  <c r="C5308" i="27"/>
  <c r="C5307" i="27"/>
  <c r="C5306" i="27"/>
  <c r="C5305" i="27"/>
  <c r="C5304" i="27"/>
  <c r="C5303" i="27"/>
  <c r="C5302" i="27"/>
  <c r="C5301" i="27"/>
  <c r="C5300" i="27"/>
  <c r="C5299" i="27"/>
  <c r="C5298" i="27"/>
  <c r="C5297" i="27"/>
  <c r="C5296" i="27"/>
  <c r="C5295" i="27"/>
  <c r="C5294" i="27"/>
  <c r="C5293" i="27"/>
  <c r="C5292" i="27"/>
  <c r="C5291" i="27"/>
  <c r="C5290" i="27"/>
  <c r="C5289" i="27"/>
  <c r="C5288" i="27"/>
  <c r="C5287" i="27"/>
  <c r="C5286" i="27"/>
  <c r="C5285" i="27"/>
  <c r="C5284" i="27"/>
  <c r="C5283" i="27"/>
  <c r="C5282" i="27"/>
  <c r="C5281" i="27"/>
  <c r="C5280" i="27"/>
  <c r="C5279" i="27"/>
  <c r="C5278" i="27"/>
  <c r="C5277" i="27"/>
  <c r="C5276" i="27"/>
  <c r="C5275" i="27"/>
  <c r="C5274" i="27"/>
  <c r="C5273" i="27"/>
  <c r="C5272" i="27"/>
  <c r="C5271" i="27"/>
  <c r="B5750" i="27"/>
  <c r="B5749" i="27"/>
  <c r="B5748" i="27"/>
  <c r="B5747" i="27"/>
  <c r="B5746" i="27"/>
  <c r="B5745" i="27"/>
  <c r="B5744" i="27"/>
  <c r="B5743" i="27"/>
  <c r="B5742" i="27"/>
  <c r="B5741" i="27"/>
  <c r="B5740" i="27"/>
  <c r="B5739" i="27"/>
  <c r="B5738" i="27"/>
  <c r="B5737" i="27"/>
  <c r="B5736" i="27"/>
  <c r="B5735" i="27"/>
  <c r="B5734" i="27"/>
  <c r="B5733" i="27"/>
  <c r="B5732" i="27"/>
  <c r="B5731" i="27"/>
  <c r="B5730" i="27"/>
  <c r="B5729" i="27"/>
  <c r="B5728" i="27"/>
  <c r="B5727" i="27"/>
  <c r="B5726" i="27"/>
  <c r="B5725" i="27"/>
  <c r="B5724" i="27"/>
  <c r="B5723" i="27"/>
  <c r="B5722" i="27"/>
  <c r="B5721" i="27"/>
  <c r="B5720" i="27"/>
  <c r="B5719" i="27"/>
  <c r="B5718" i="27"/>
  <c r="B5717" i="27"/>
  <c r="B5716" i="27"/>
  <c r="B5715" i="27"/>
  <c r="B5714" i="27"/>
  <c r="B5713" i="27"/>
  <c r="B5712" i="27"/>
  <c r="B5711" i="27"/>
  <c r="B5710" i="27"/>
  <c r="B5709" i="27"/>
  <c r="B5708" i="27"/>
  <c r="B5707" i="27"/>
  <c r="B5706" i="27"/>
  <c r="B5705" i="27"/>
  <c r="B5704" i="27"/>
  <c r="B5703" i="27"/>
  <c r="B5702" i="27"/>
  <c r="B5701" i="27"/>
  <c r="B5700" i="27"/>
  <c r="B5699" i="27"/>
  <c r="B5698" i="27"/>
  <c r="B5697" i="27"/>
  <c r="B5696" i="27"/>
  <c r="B5695" i="27"/>
  <c r="B5694" i="27"/>
  <c r="B5693" i="27"/>
  <c r="B5692" i="27"/>
  <c r="B5691" i="27"/>
  <c r="B5690" i="27"/>
  <c r="B5689" i="27"/>
  <c r="B5688" i="27"/>
  <c r="B5687" i="27"/>
  <c r="B5686" i="27"/>
  <c r="B5685" i="27"/>
  <c r="B5684" i="27"/>
  <c r="B5683" i="27"/>
  <c r="B5682" i="27"/>
  <c r="B5681" i="27"/>
  <c r="B5680" i="27"/>
  <c r="B5679" i="27"/>
  <c r="B5678" i="27"/>
  <c r="B5677" i="27"/>
  <c r="B5676" i="27"/>
  <c r="B5675" i="27"/>
  <c r="B5674" i="27"/>
  <c r="B5673" i="27"/>
  <c r="B5672" i="27"/>
  <c r="B5671" i="27"/>
  <c r="B5670" i="27"/>
  <c r="B5669" i="27"/>
  <c r="B5668" i="27"/>
  <c r="B5667" i="27"/>
  <c r="B5666" i="27"/>
  <c r="B5665" i="27"/>
  <c r="B5664" i="27"/>
  <c r="B5663" i="27"/>
  <c r="B5662" i="27"/>
  <c r="B5661" i="27"/>
  <c r="B5660" i="27"/>
  <c r="B5659" i="27"/>
  <c r="B5658" i="27"/>
  <c r="B5657" i="27"/>
  <c r="B5656" i="27"/>
  <c r="B5655" i="27"/>
  <c r="B5654" i="27"/>
  <c r="B5653" i="27"/>
  <c r="B5652" i="27"/>
  <c r="B5651" i="27"/>
  <c r="B5650" i="27"/>
  <c r="B5649" i="27"/>
  <c r="B5648" i="27"/>
  <c r="B5647" i="27"/>
  <c r="B5646" i="27"/>
  <c r="B5645" i="27"/>
  <c r="B5644" i="27"/>
  <c r="B5643" i="27"/>
  <c r="B5642" i="27"/>
  <c r="B5641" i="27"/>
  <c r="B5640" i="27"/>
  <c r="B5639" i="27"/>
  <c r="B5638" i="27"/>
  <c r="B5637" i="27"/>
  <c r="B5636" i="27"/>
  <c r="B5635" i="27"/>
  <c r="B5634" i="27"/>
  <c r="B5633" i="27"/>
  <c r="B5632" i="27"/>
  <c r="B5631" i="27"/>
  <c r="B5630" i="27"/>
  <c r="B5629" i="27"/>
  <c r="B5628" i="27"/>
  <c r="B5627" i="27"/>
  <c r="B5626" i="27"/>
  <c r="B5625" i="27"/>
  <c r="B5624" i="27"/>
  <c r="B5623" i="27"/>
  <c r="B5622" i="27"/>
  <c r="B5621" i="27"/>
  <c r="B5620" i="27"/>
  <c r="B5619" i="27"/>
  <c r="B5618" i="27"/>
  <c r="B5617" i="27"/>
  <c r="B5616" i="27"/>
  <c r="B5615" i="27"/>
  <c r="B5614" i="27"/>
  <c r="B5613" i="27"/>
  <c r="B5612" i="27"/>
  <c r="B5611" i="27"/>
  <c r="B5610" i="27"/>
  <c r="B5609" i="27"/>
  <c r="B5608" i="27"/>
  <c r="B5607" i="27"/>
  <c r="B5606" i="27"/>
  <c r="B5605" i="27"/>
  <c r="B5604" i="27"/>
  <c r="B5603" i="27"/>
  <c r="B5602" i="27"/>
  <c r="B5601" i="27"/>
  <c r="B5600" i="27"/>
  <c r="B5599" i="27"/>
  <c r="B5598" i="27"/>
  <c r="B5597" i="27"/>
  <c r="B5596" i="27"/>
  <c r="B5595" i="27"/>
  <c r="B5594" i="27"/>
  <c r="B5593" i="27"/>
  <c r="B5592" i="27"/>
  <c r="B5591" i="27"/>
  <c r="B5590" i="27"/>
  <c r="B5589" i="27"/>
  <c r="B5588" i="27"/>
  <c r="B5587" i="27"/>
  <c r="B5586" i="27"/>
  <c r="B5585" i="27"/>
  <c r="B5584" i="27"/>
  <c r="B5583" i="27"/>
  <c r="B5582" i="27"/>
  <c r="B5581" i="27"/>
  <c r="B5580" i="27"/>
  <c r="B5579" i="27"/>
  <c r="B5578" i="27"/>
  <c r="B5577" i="27"/>
  <c r="B5576" i="27"/>
  <c r="B5575" i="27"/>
  <c r="B5574" i="27"/>
  <c r="B5573" i="27"/>
  <c r="B5572" i="27"/>
  <c r="B5571" i="27"/>
  <c r="B5570" i="27"/>
  <c r="B5569" i="27"/>
  <c r="B5568" i="27"/>
  <c r="B5567" i="27"/>
  <c r="B5566" i="27"/>
  <c r="B5565" i="27"/>
  <c r="B5564" i="27"/>
  <c r="B5563" i="27"/>
  <c r="B5562" i="27"/>
  <c r="B5561" i="27"/>
  <c r="B5560" i="27"/>
  <c r="B5559" i="27"/>
  <c r="B5558" i="27"/>
  <c r="B5557" i="27"/>
  <c r="B5556" i="27"/>
  <c r="B5555" i="27"/>
  <c r="B5554" i="27"/>
  <c r="B5553" i="27"/>
  <c r="B5552" i="27"/>
  <c r="B5551" i="27"/>
  <c r="B5550" i="27"/>
  <c r="B5549" i="27"/>
  <c r="B5548" i="27"/>
  <c r="B5547" i="27"/>
  <c r="B5546" i="27"/>
  <c r="B5545" i="27"/>
  <c r="B5544" i="27"/>
  <c r="B5543" i="27"/>
  <c r="B5542" i="27"/>
  <c r="B5541" i="27"/>
  <c r="B5540" i="27"/>
  <c r="B5539" i="27"/>
  <c r="B5538" i="27"/>
  <c r="B5537" i="27"/>
  <c r="B5536" i="27"/>
  <c r="B5535" i="27"/>
  <c r="B5534" i="27"/>
  <c r="B5533" i="27"/>
  <c r="B5532" i="27"/>
  <c r="B5531" i="27"/>
  <c r="B5530" i="27"/>
  <c r="B5529" i="27"/>
  <c r="B5528" i="27"/>
  <c r="B5527" i="27"/>
  <c r="B5526" i="27"/>
  <c r="B5525" i="27"/>
  <c r="B5524" i="27"/>
  <c r="B5523" i="27"/>
  <c r="B5522" i="27"/>
  <c r="B5521" i="27"/>
  <c r="B5520" i="27"/>
  <c r="B5519" i="27"/>
  <c r="B5518" i="27"/>
  <c r="B5517" i="27"/>
  <c r="B5516" i="27"/>
  <c r="B5515" i="27"/>
  <c r="B5514" i="27"/>
  <c r="B5513" i="27"/>
  <c r="B5512" i="27"/>
  <c r="B5511" i="27"/>
  <c r="B5510" i="27"/>
  <c r="B5509" i="27"/>
  <c r="B5508" i="27"/>
  <c r="B5507" i="27"/>
  <c r="B5506" i="27"/>
  <c r="B5505" i="27"/>
  <c r="B5504" i="27"/>
  <c r="B5503" i="27"/>
  <c r="B5502" i="27"/>
  <c r="B5501" i="27"/>
  <c r="B5500" i="27"/>
  <c r="B5499" i="27"/>
  <c r="B5498" i="27"/>
  <c r="B5497" i="27"/>
  <c r="B5496" i="27"/>
  <c r="B5495" i="27"/>
  <c r="B5494" i="27"/>
  <c r="B5493" i="27"/>
  <c r="B5492" i="27"/>
  <c r="B5491" i="27"/>
  <c r="B5490" i="27"/>
  <c r="B5489" i="27"/>
  <c r="B5488" i="27"/>
  <c r="B5487" i="27"/>
  <c r="B5486" i="27"/>
  <c r="B5485" i="27"/>
  <c r="B5484" i="27"/>
  <c r="B5483" i="27"/>
  <c r="B5482" i="27"/>
  <c r="B5481" i="27"/>
  <c r="B5480" i="27"/>
  <c r="B5479" i="27"/>
  <c r="B5478" i="27"/>
  <c r="B5477" i="27"/>
  <c r="B5476" i="27"/>
  <c r="B5475" i="27"/>
  <c r="B5474" i="27"/>
  <c r="B5473" i="27"/>
  <c r="B5472" i="27"/>
  <c r="B5471" i="27"/>
  <c r="B5470" i="27"/>
  <c r="B5469" i="27"/>
  <c r="B5468" i="27"/>
  <c r="B5467" i="27"/>
  <c r="B5466" i="27"/>
  <c r="B5465" i="27"/>
  <c r="B5464" i="27"/>
  <c r="B5463" i="27"/>
  <c r="B5462" i="27"/>
  <c r="B5461" i="27"/>
  <c r="B5460" i="27"/>
  <c r="B5459" i="27"/>
  <c r="B5458" i="27"/>
  <c r="B5457" i="27"/>
  <c r="B5456" i="27"/>
  <c r="B5455" i="27"/>
  <c r="B5454" i="27"/>
  <c r="B5453" i="27"/>
  <c r="B5452" i="27"/>
  <c r="B5451" i="27"/>
  <c r="B5450" i="27"/>
  <c r="B5449" i="27"/>
  <c r="B5448" i="27"/>
  <c r="B5447" i="27"/>
  <c r="B5446" i="27"/>
  <c r="B5445" i="27"/>
  <c r="B5444" i="27"/>
  <c r="B5443" i="27"/>
  <c r="B5442" i="27"/>
  <c r="B5441" i="27"/>
  <c r="B5440" i="27"/>
  <c r="B5439" i="27"/>
  <c r="B5438" i="27"/>
  <c r="B5437" i="27"/>
  <c r="B5436" i="27"/>
  <c r="B5435" i="27"/>
  <c r="B5434" i="27"/>
  <c r="B5433" i="27"/>
  <c r="B5432" i="27"/>
  <c r="B5431" i="27"/>
  <c r="B5430" i="27"/>
  <c r="B5429" i="27"/>
  <c r="B5428" i="27"/>
  <c r="B5427" i="27"/>
  <c r="B5426" i="27"/>
  <c r="B5425" i="27"/>
  <c r="B5424" i="27"/>
  <c r="B5423" i="27"/>
  <c r="B5422" i="27"/>
  <c r="B5421" i="27"/>
  <c r="B5420" i="27"/>
  <c r="B5419" i="27"/>
  <c r="B5418" i="27"/>
  <c r="B5417" i="27"/>
  <c r="B5416" i="27"/>
  <c r="B5415" i="27"/>
  <c r="B5414" i="27"/>
  <c r="B5413" i="27"/>
  <c r="B5412" i="27"/>
  <c r="B5411" i="27"/>
  <c r="B5410" i="27"/>
  <c r="B5409" i="27"/>
  <c r="B5408" i="27"/>
  <c r="B5407" i="27"/>
  <c r="B5406" i="27"/>
  <c r="B5405" i="27"/>
  <c r="B5404" i="27"/>
  <c r="B5403" i="27"/>
  <c r="B5402" i="27"/>
  <c r="B5401" i="27"/>
  <c r="B5400" i="27"/>
  <c r="B5399" i="27"/>
  <c r="B5398" i="27"/>
  <c r="B5397" i="27"/>
  <c r="B5396" i="27"/>
  <c r="B5395" i="27"/>
  <c r="B5394" i="27"/>
  <c r="B5393" i="27"/>
  <c r="B5392" i="27"/>
  <c r="B5391" i="27"/>
  <c r="B5390" i="27"/>
  <c r="B5389" i="27"/>
  <c r="B5388" i="27"/>
  <c r="B5387" i="27"/>
  <c r="B5386" i="27"/>
  <c r="B5385" i="27"/>
  <c r="B5384" i="27"/>
  <c r="B5383" i="27"/>
  <c r="B5382" i="27"/>
  <c r="B5381" i="27"/>
  <c r="B5380" i="27"/>
  <c r="B5379" i="27"/>
  <c r="B5378" i="27"/>
  <c r="B5377" i="27"/>
  <c r="B5376" i="27"/>
  <c r="B5375" i="27"/>
  <c r="B5374" i="27"/>
  <c r="B5373" i="27"/>
  <c r="B5372" i="27"/>
  <c r="B5371" i="27"/>
  <c r="B5370" i="27"/>
  <c r="B5369" i="27"/>
  <c r="B5368" i="27"/>
  <c r="B5367" i="27"/>
  <c r="B5366" i="27"/>
  <c r="B5365" i="27"/>
  <c r="B5364" i="27"/>
  <c r="B5363" i="27"/>
  <c r="B5362" i="27"/>
  <c r="B5361" i="27"/>
  <c r="B5360" i="27"/>
  <c r="B5359" i="27"/>
  <c r="B5358" i="27"/>
  <c r="B5357" i="27"/>
  <c r="B5356" i="27"/>
  <c r="B5355" i="27"/>
  <c r="B5354" i="27"/>
  <c r="B5353" i="27"/>
  <c r="B5352" i="27"/>
  <c r="B5351" i="27"/>
  <c r="B5350" i="27"/>
  <c r="B5349" i="27"/>
  <c r="B5348" i="27"/>
  <c r="B5347" i="27"/>
  <c r="B5346" i="27"/>
  <c r="B5345" i="27"/>
  <c r="B5344" i="27"/>
  <c r="B5343" i="27"/>
  <c r="B5342" i="27"/>
  <c r="B5341" i="27"/>
  <c r="B5340" i="27"/>
  <c r="B5339" i="27"/>
  <c r="B5338" i="27"/>
  <c r="B5337" i="27"/>
  <c r="B5336" i="27"/>
  <c r="B5335" i="27"/>
  <c r="B5334" i="27"/>
  <c r="B5333" i="27"/>
  <c r="B5332" i="27"/>
  <c r="B5331" i="27"/>
  <c r="B5330" i="27"/>
  <c r="B5329" i="27"/>
  <c r="B5328" i="27"/>
  <c r="B5327" i="27"/>
  <c r="B5326" i="27"/>
  <c r="B5325" i="27"/>
  <c r="B5324" i="27"/>
  <c r="B5323" i="27"/>
  <c r="B5322" i="27"/>
  <c r="B5321" i="27"/>
  <c r="B5320" i="27"/>
  <c r="B5319" i="27"/>
  <c r="B5318" i="27"/>
  <c r="B5317" i="27"/>
  <c r="B5316" i="27"/>
  <c r="B5315" i="27"/>
  <c r="B5314" i="27"/>
  <c r="B5313" i="27"/>
  <c r="B5312" i="27"/>
  <c r="B5311" i="27"/>
  <c r="B5310" i="27"/>
  <c r="B5309" i="27"/>
  <c r="B5308" i="27"/>
  <c r="B5307" i="27"/>
  <c r="B5306" i="27"/>
  <c r="B5305" i="27"/>
  <c r="B5304" i="27"/>
  <c r="B5303" i="27"/>
  <c r="B5302" i="27"/>
  <c r="B5301" i="27"/>
  <c r="B5300" i="27"/>
  <c r="B5299" i="27"/>
  <c r="B5298" i="27"/>
  <c r="B5297" i="27"/>
  <c r="B5296" i="27"/>
  <c r="B5295" i="27"/>
  <c r="B5294" i="27"/>
  <c r="B5293" i="27"/>
  <c r="B5292" i="27"/>
  <c r="B5291" i="27"/>
  <c r="B5290" i="27"/>
  <c r="B5289" i="27"/>
  <c r="B5288" i="27"/>
  <c r="B5287" i="27"/>
  <c r="B5286" i="27"/>
  <c r="B5285" i="27"/>
  <c r="B5284" i="27"/>
  <c r="B5283" i="27"/>
  <c r="B5282" i="27"/>
  <c r="B5281" i="27"/>
  <c r="B5280" i="27"/>
  <c r="B5279" i="27"/>
  <c r="B5278" i="27"/>
  <c r="B5277" i="27"/>
  <c r="B5276" i="27"/>
  <c r="B5275" i="27"/>
  <c r="B5274" i="27"/>
  <c r="B5273" i="27"/>
  <c r="B5272" i="27"/>
  <c r="B5271" i="27"/>
  <c r="F4316" i="27"/>
  <c r="F4315" i="27"/>
  <c r="F4314" i="27"/>
  <c r="F4313" i="27"/>
  <c r="F4312" i="27"/>
  <c r="F4311" i="27"/>
  <c r="E5270" i="27"/>
  <c r="E5269" i="27"/>
  <c r="E5268" i="27"/>
  <c r="E5267" i="27"/>
  <c r="E5266" i="27"/>
  <c r="E5265" i="27"/>
  <c r="E5264" i="27"/>
  <c r="E5263" i="27"/>
  <c r="E5262" i="27"/>
  <c r="E5261" i="27"/>
  <c r="E5260" i="27"/>
  <c r="E5259" i="27"/>
  <c r="E5258" i="27"/>
  <c r="E5257" i="27"/>
  <c r="E5256" i="27"/>
  <c r="E5255" i="27"/>
  <c r="E5254" i="27"/>
  <c r="E5253" i="27"/>
  <c r="E5252" i="27"/>
  <c r="E5251" i="27"/>
  <c r="E5250" i="27"/>
  <c r="E5249" i="27"/>
  <c r="E5248" i="27"/>
  <c r="E5247" i="27"/>
  <c r="E5246" i="27"/>
  <c r="E5245" i="27"/>
  <c r="E5244" i="27"/>
  <c r="E5243" i="27"/>
  <c r="E5242" i="27"/>
  <c r="E5241" i="27"/>
  <c r="E5240" i="27"/>
  <c r="E5239" i="27"/>
  <c r="E5238" i="27"/>
  <c r="E5237" i="27"/>
  <c r="E5236" i="27"/>
  <c r="E5235" i="27"/>
  <c r="E5234" i="27"/>
  <c r="E5233" i="27"/>
  <c r="E5232" i="27"/>
  <c r="E5231" i="27"/>
  <c r="E5230" i="27"/>
  <c r="E5229" i="27"/>
  <c r="E5228" i="27"/>
  <c r="E5227" i="27"/>
  <c r="E5226" i="27"/>
  <c r="E5225" i="27"/>
  <c r="E5224" i="27"/>
  <c r="E5223" i="27"/>
  <c r="E5222" i="27"/>
  <c r="E5221" i="27"/>
  <c r="E5220" i="27"/>
  <c r="E5219" i="27"/>
  <c r="E5218" i="27"/>
  <c r="E5217" i="27"/>
  <c r="E5216" i="27"/>
  <c r="E5215" i="27"/>
  <c r="E5214" i="27"/>
  <c r="E5213" i="27"/>
  <c r="E5212" i="27"/>
  <c r="E5211" i="27"/>
  <c r="E5210" i="27"/>
  <c r="E5209" i="27"/>
  <c r="E5208" i="27"/>
  <c r="E5207" i="27"/>
  <c r="E5206" i="27"/>
  <c r="E5205" i="27"/>
  <c r="E5204" i="27"/>
  <c r="E5203" i="27"/>
  <c r="E5202" i="27"/>
  <c r="E5201" i="27"/>
  <c r="E5200" i="27"/>
  <c r="E5199" i="27"/>
  <c r="E5198" i="27"/>
  <c r="E5197" i="27"/>
  <c r="E5196" i="27"/>
  <c r="E5195" i="27"/>
  <c r="E5194" i="27"/>
  <c r="E5193" i="27"/>
  <c r="E5192" i="27"/>
  <c r="E5191" i="27"/>
  <c r="E5190" i="27"/>
  <c r="E5189" i="27"/>
  <c r="E5188" i="27"/>
  <c r="E5187" i="27"/>
  <c r="E5186" i="27"/>
  <c r="E5185" i="27"/>
  <c r="E5184" i="27"/>
  <c r="E5183" i="27"/>
  <c r="E5182" i="27"/>
  <c r="E5181" i="27"/>
  <c r="E5180" i="27"/>
  <c r="E5179" i="27"/>
  <c r="E5178" i="27"/>
  <c r="E5177" i="27"/>
  <c r="E5176" i="27"/>
  <c r="E5175" i="27"/>
  <c r="E5174" i="27"/>
  <c r="E5173" i="27"/>
  <c r="E5172" i="27"/>
  <c r="E5171" i="27"/>
  <c r="E5170" i="27"/>
  <c r="E5169" i="27"/>
  <c r="E5168" i="27"/>
  <c r="E5167" i="27"/>
  <c r="E5166" i="27"/>
  <c r="E5165" i="27"/>
  <c r="E5164" i="27"/>
  <c r="E5163" i="27"/>
  <c r="E5162" i="27"/>
  <c r="E5161" i="27"/>
  <c r="E5160" i="27"/>
  <c r="E5159" i="27"/>
  <c r="E5158" i="27"/>
  <c r="E5157" i="27"/>
  <c r="E5156" i="27"/>
  <c r="E5155" i="27"/>
  <c r="E5154" i="27"/>
  <c r="E5153" i="27"/>
  <c r="E5152" i="27"/>
  <c r="E5151" i="27"/>
  <c r="E5150" i="27"/>
  <c r="E5149" i="27"/>
  <c r="E5148" i="27"/>
  <c r="E5147" i="27"/>
  <c r="E5146" i="27"/>
  <c r="E5145" i="27"/>
  <c r="E5144" i="27"/>
  <c r="E5143" i="27"/>
  <c r="E5142" i="27"/>
  <c r="E5141" i="27"/>
  <c r="E5140" i="27"/>
  <c r="E5139" i="27"/>
  <c r="E5138" i="27"/>
  <c r="E5137" i="27"/>
  <c r="E5136" i="27"/>
  <c r="E5135" i="27"/>
  <c r="E5134" i="27"/>
  <c r="E5133" i="27"/>
  <c r="E5132" i="27"/>
  <c r="E5131" i="27"/>
  <c r="E5130" i="27"/>
  <c r="E5129" i="27"/>
  <c r="E5128" i="27"/>
  <c r="E5127" i="27"/>
  <c r="E5126" i="27"/>
  <c r="E5125" i="27"/>
  <c r="E5124" i="27"/>
  <c r="E5123" i="27"/>
  <c r="E5122" i="27"/>
  <c r="E5121" i="27"/>
  <c r="E5120" i="27"/>
  <c r="E5119" i="27"/>
  <c r="E5118" i="27"/>
  <c r="E5117" i="27"/>
  <c r="E5116" i="27"/>
  <c r="E5115" i="27"/>
  <c r="E5114" i="27"/>
  <c r="E5113" i="27"/>
  <c r="E5112" i="27"/>
  <c r="E5111" i="27"/>
  <c r="E5110" i="27"/>
  <c r="E5109" i="27"/>
  <c r="E5108" i="27"/>
  <c r="E5107" i="27"/>
  <c r="E5106" i="27"/>
  <c r="E5105" i="27"/>
  <c r="E5104" i="27"/>
  <c r="E5103" i="27"/>
  <c r="E5102" i="27"/>
  <c r="E5101" i="27"/>
  <c r="E5100" i="27"/>
  <c r="E5099" i="27"/>
  <c r="E5098" i="27"/>
  <c r="E5097" i="27"/>
  <c r="E5096" i="27"/>
  <c r="E5095" i="27"/>
  <c r="E5094" i="27"/>
  <c r="E5093" i="27"/>
  <c r="E5092" i="27"/>
  <c r="E5091" i="27"/>
  <c r="E5090" i="27"/>
  <c r="E5089" i="27"/>
  <c r="E5088" i="27"/>
  <c r="E5087" i="27"/>
  <c r="E5086" i="27"/>
  <c r="E5085" i="27"/>
  <c r="E5084" i="27"/>
  <c r="E5083" i="27"/>
  <c r="E5082" i="27"/>
  <c r="E5081" i="27"/>
  <c r="E5080" i="27"/>
  <c r="E5079" i="27"/>
  <c r="E5078" i="27"/>
  <c r="E5077" i="27"/>
  <c r="E5076" i="27"/>
  <c r="E5075" i="27"/>
  <c r="E5074" i="27"/>
  <c r="E5073" i="27"/>
  <c r="E5072" i="27"/>
  <c r="E5071" i="27"/>
  <c r="E5070" i="27"/>
  <c r="E5069" i="27"/>
  <c r="E5068" i="27"/>
  <c r="E5067" i="27"/>
  <c r="E5066" i="27"/>
  <c r="E5065" i="27"/>
  <c r="E5064" i="27"/>
  <c r="E5063" i="27"/>
  <c r="E5062" i="27"/>
  <c r="E5061" i="27"/>
  <c r="E5060" i="27"/>
  <c r="E5059" i="27"/>
  <c r="E5058" i="27"/>
  <c r="E5057" i="27"/>
  <c r="E5056" i="27"/>
  <c r="E5055" i="27"/>
  <c r="E5054" i="27"/>
  <c r="E5053" i="27"/>
  <c r="E5052" i="27"/>
  <c r="E5051" i="27"/>
  <c r="E5050" i="27"/>
  <c r="E5049" i="27"/>
  <c r="E5048" i="27"/>
  <c r="E5047" i="27"/>
  <c r="E5046" i="27"/>
  <c r="E5045" i="27"/>
  <c r="E5044" i="27"/>
  <c r="E5043" i="27"/>
  <c r="E5042" i="27"/>
  <c r="E5041" i="27"/>
  <c r="E5040" i="27"/>
  <c r="E5039" i="27"/>
  <c r="E5038" i="27"/>
  <c r="E5037" i="27"/>
  <c r="E5036" i="27"/>
  <c r="E5035" i="27"/>
  <c r="E5034" i="27"/>
  <c r="E5033" i="27"/>
  <c r="E5032" i="27"/>
  <c r="E5031" i="27"/>
  <c r="E5030" i="27"/>
  <c r="E5029" i="27"/>
  <c r="E5028" i="27"/>
  <c r="E5027" i="27"/>
  <c r="E5026" i="27"/>
  <c r="E5025" i="27"/>
  <c r="E5024" i="27"/>
  <c r="E5023" i="27"/>
  <c r="E5022" i="27"/>
  <c r="E5021" i="27"/>
  <c r="E5020" i="27"/>
  <c r="E5019" i="27"/>
  <c r="E5018" i="27"/>
  <c r="E5017" i="27"/>
  <c r="E5016" i="27"/>
  <c r="E5015" i="27"/>
  <c r="E5014" i="27"/>
  <c r="E5013" i="27"/>
  <c r="E5012" i="27"/>
  <c r="E5011" i="27"/>
  <c r="E5010" i="27"/>
  <c r="E5009" i="27"/>
  <c r="E5008" i="27"/>
  <c r="E5007" i="27"/>
  <c r="E5006" i="27"/>
  <c r="E5005" i="27"/>
  <c r="E5004" i="27"/>
  <c r="E5003" i="27"/>
  <c r="E5002" i="27"/>
  <c r="E5001" i="27"/>
  <c r="E5000" i="27"/>
  <c r="E4999" i="27"/>
  <c r="E4998" i="27"/>
  <c r="E4997" i="27"/>
  <c r="E4996" i="27"/>
  <c r="E4995" i="27"/>
  <c r="E4994" i="27"/>
  <c r="E4993" i="27"/>
  <c r="E4992" i="27"/>
  <c r="E4991" i="27"/>
  <c r="E4990" i="27"/>
  <c r="E4989" i="27"/>
  <c r="E4988" i="27"/>
  <c r="E4987" i="27"/>
  <c r="E4986" i="27"/>
  <c r="E4985" i="27"/>
  <c r="E4984" i="27"/>
  <c r="E4983" i="27"/>
  <c r="E4982" i="27"/>
  <c r="E4981" i="27"/>
  <c r="E4980" i="27"/>
  <c r="E4979" i="27"/>
  <c r="E4978" i="27"/>
  <c r="E4977" i="27"/>
  <c r="E4976" i="27"/>
  <c r="E4975" i="27"/>
  <c r="E4974" i="27"/>
  <c r="E4973" i="27"/>
  <c r="E4972" i="27"/>
  <c r="E4971" i="27"/>
  <c r="E4970" i="27"/>
  <c r="E4969" i="27"/>
  <c r="E4968" i="27"/>
  <c r="E4967" i="27"/>
  <c r="E4966" i="27"/>
  <c r="E4965" i="27"/>
  <c r="E4964" i="27"/>
  <c r="E4963" i="27"/>
  <c r="E4962" i="27"/>
  <c r="E4961" i="27"/>
  <c r="E4960" i="27"/>
  <c r="E4959" i="27"/>
  <c r="E4958" i="27"/>
  <c r="E4957" i="27"/>
  <c r="E4956" i="27"/>
  <c r="E4955" i="27"/>
  <c r="E4954" i="27"/>
  <c r="E4953" i="27"/>
  <c r="E4952" i="27"/>
  <c r="E4951" i="27"/>
  <c r="E4950" i="27"/>
  <c r="E4949" i="27"/>
  <c r="E4948" i="27"/>
  <c r="E4947" i="27"/>
  <c r="E4946" i="27"/>
  <c r="E4945" i="27"/>
  <c r="E4944" i="27"/>
  <c r="E4943" i="27"/>
  <c r="E4942" i="27"/>
  <c r="E4941" i="27"/>
  <c r="E4940" i="27"/>
  <c r="E4939" i="27"/>
  <c r="E4938" i="27"/>
  <c r="E4937" i="27"/>
  <c r="E4936" i="27"/>
  <c r="E4935" i="27"/>
  <c r="E4934" i="27"/>
  <c r="E4933" i="27"/>
  <c r="E4932" i="27"/>
  <c r="E4931" i="27"/>
  <c r="E4930" i="27"/>
  <c r="E4929" i="27"/>
  <c r="E4928" i="27"/>
  <c r="E4927" i="27"/>
  <c r="E4926" i="27"/>
  <c r="E4925" i="27"/>
  <c r="E4924" i="27"/>
  <c r="E4923" i="27"/>
  <c r="E4922" i="27"/>
  <c r="E4921" i="27"/>
  <c r="E4920" i="27"/>
  <c r="E4919" i="27"/>
  <c r="E4918" i="27"/>
  <c r="E4917" i="27"/>
  <c r="E4916" i="27"/>
  <c r="E4915" i="27"/>
  <c r="E4914" i="27"/>
  <c r="E4913" i="27"/>
  <c r="E4912" i="27"/>
  <c r="E4911" i="27"/>
  <c r="E4910" i="27"/>
  <c r="E4909" i="27"/>
  <c r="E4908" i="27"/>
  <c r="E4907" i="27"/>
  <c r="E4906" i="27"/>
  <c r="E4905" i="27"/>
  <c r="E4904" i="27"/>
  <c r="E4903" i="27"/>
  <c r="E4902" i="27"/>
  <c r="E4901" i="27"/>
  <c r="E4900" i="27"/>
  <c r="E4899" i="27"/>
  <c r="E4898" i="27"/>
  <c r="E4897" i="27"/>
  <c r="E4896" i="27"/>
  <c r="E4895" i="27"/>
  <c r="E4894" i="27"/>
  <c r="E4893" i="27"/>
  <c r="E4892" i="27"/>
  <c r="E4891" i="27"/>
  <c r="E4890" i="27"/>
  <c r="E4889" i="27"/>
  <c r="E4888" i="27"/>
  <c r="E4887" i="27"/>
  <c r="E4886" i="27"/>
  <c r="E4885" i="27"/>
  <c r="E4884" i="27"/>
  <c r="E4883" i="27"/>
  <c r="E4882" i="27"/>
  <c r="E4881" i="27"/>
  <c r="E4880" i="27"/>
  <c r="E4879" i="27"/>
  <c r="E4878" i="27"/>
  <c r="E4877" i="27"/>
  <c r="E4876" i="27"/>
  <c r="E4875" i="27"/>
  <c r="E4874" i="27"/>
  <c r="E4873" i="27"/>
  <c r="E4872" i="27"/>
  <c r="E4871" i="27"/>
  <c r="E4870" i="27"/>
  <c r="E4869" i="27"/>
  <c r="E4868" i="27"/>
  <c r="E4867" i="27"/>
  <c r="E4866" i="27"/>
  <c r="E4865" i="27"/>
  <c r="E4864" i="27"/>
  <c r="E4863" i="27"/>
  <c r="E4862" i="27"/>
  <c r="E4861" i="27"/>
  <c r="E4860" i="27"/>
  <c r="E4859" i="27"/>
  <c r="E4858" i="27"/>
  <c r="E4857" i="27"/>
  <c r="E4856" i="27"/>
  <c r="E4855" i="27"/>
  <c r="E4854" i="27"/>
  <c r="E4853" i="27"/>
  <c r="E4852" i="27"/>
  <c r="E4851" i="27"/>
  <c r="E4850" i="27"/>
  <c r="E4849" i="27"/>
  <c r="E4848" i="27"/>
  <c r="E4847" i="27"/>
  <c r="E4846" i="27"/>
  <c r="E4845" i="27"/>
  <c r="E4844" i="27"/>
  <c r="E4843" i="27"/>
  <c r="E4842" i="27"/>
  <c r="E4841" i="27"/>
  <c r="E4840" i="27"/>
  <c r="E4839" i="27"/>
  <c r="E4838" i="27"/>
  <c r="E4837" i="27"/>
  <c r="E4836" i="27"/>
  <c r="E4835" i="27"/>
  <c r="E4834" i="27"/>
  <c r="E4833" i="27"/>
  <c r="E4832" i="27"/>
  <c r="E4831" i="27"/>
  <c r="E4830" i="27"/>
  <c r="E4829" i="27"/>
  <c r="E4828" i="27"/>
  <c r="E4827" i="27"/>
  <c r="E4826" i="27"/>
  <c r="E4825" i="27"/>
  <c r="E4824" i="27"/>
  <c r="E4823" i="27"/>
  <c r="E4822" i="27"/>
  <c r="E4821" i="27"/>
  <c r="E4820" i="27"/>
  <c r="E4819" i="27"/>
  <c r="E4818" i="27"/>
  <c r="E4817" i="27"/>
  <c r="E4816" i="27"/>
  <c r="E4815" i="27"/>
  <c r="E4814" i="27"/>
  <c r="E4813" i="27"/>
  <c r="E4812" i="27"/>
  <c r="E4811" i="27"/>
  <c r="E4810" i="27"/>
  <c r="E4809" i="27"/>
  <c r="E4808" i="27"/>
  <c r="E4807" i="27"/>
  <c r="E4806" i="27"/>
  <c r="E4805" i="27"/>
  <c r="E4804" i="27"/>
  <c r="E4803" i="27"/>
  <c r="E4802" i="27"/>
  <c r="E4801" i="27"/>
  <c r="E4800" i="27"/>
  <c r="E4799" i="27"/>
  <c r="E4798" i="27"/>
  <c r="E4797" i="27"/>
  <c r="E4796" i="27"/>
  <c r="E4795" i="27"/>
  <c r="E4794" i="27"/>
  <c r="E4793" i="27"/>
  <c r="E4792" i="27"/>
  <c r="E4791" i="27"/>
  <c r="E4790" i="27"/>
  <c r="E4789" i="27"/>
  <c r="E4788" i="27"/>
  <c r="E4787" i="27"/>
  <c r="E4786" i="27"/>
  <c r="E4785" i="27"/>
  <c r="E4784" i="27"/>
  <c r="E4783" i="27"/>
  <c r="E4782" i="27"/>
  <c r="E4781" i="27"/>
  <c r="E4780" i="27"/>
  <c r="E4779" i="27"/>
  <c r="E4778" i="27"/>
  <c r="E4777" i="27"/>
  <c r="E4776" i="27"/>
  <c r="E4775" i="27"/>
  <c r="E4774" i="27"/>
  <c r="E4773" i="27"/>
  <c r="E4772" i="27"/>
  <c r="E4771" i="27"/>
  <c r="E4770" i="27"/>
  <c r="E4769" i="27"/>
  <c r="E4768" i="27"/>
  <c r="E4767" i="27"/>
  <c r="E4766" i="27"/>
  <c r="E4765" i="27"/>
  <c r="E4764" i="27"/>
  <c r="E4763" i="27"/>
  <c r="E4762" i="27"/>
  <c r="E4761" i="27"/>
  <c r="E4760" i="27"/>
  <c r="E4759" i="27"/>
  <c r="E4758" i="27"/>
  <c r="E4757" i="27"/>
  <c r="E4756" i="27"/>
  <c r="E4755" i="27"/>
  <c r="E4754" i="27"/>
  <c r="E4753" i="27"/>
  <c r="E4752" i="27"/>
  <c r="E4751" i="27"/>
  <c r="E4750" i="27"/>
  <c r="E4749" i="27"/>
  <c r="E4748" i="27"/>
  <c r="E4747" i="27"/>
  <c r="E4746" i="27"/>
  <c r="E4745" i="27"/>
  <c r="E4744" i="27"/>
  <c r="E4743" i="27"/>
  <c r="E4742" i="27"/>
  <c r="E4741" i="27"/>
  <c r="E4740" i="27"/>
  <c r="E4739" i="27"/>
  <c r="E4738" i="27"/>
  <c r="E4737" i="27"/>
  <c r="E4736" i="27"/>
  <c r="E4735" i="27"/>
  <c r="E4734" i="27"/>
  <c r="E4733" i="27"/>
  <c r="E4732" i="27"/>
  <c r="E4731" i="27"/>
  <c r="E4730" i="27"/>
  <c r="E4729" i="27"/>
  <c r="E4728" i="27"/>
  <c r="E4727" i="27"/>
  <c r="E4726" i="27"/>
  <c r="E4725" i="27"/>
  <c r="E4724" i="27"/>
  <c r="E4723" i="27"/>
  <c r="E4722" i="27"/>
  <c r="E4721" i="27"/>
  <c r="E4720" i="27"/>
  <c r="E4719" i="27"/>
  <c r="E4718" i="27"/>
  <c r="E4717" i="27"/>
  <c r="E4716" i="27"/>
  <c r="E4715" i="27"/>
  <c r="E4714" i="27"/>
  <c r="E4713" i="27"/>
  <c r="E4712" i="27"/>
  <c r="E4711" i="27"/>
  <c r="E4710" i="27"/>
  <c r="E4709" i="27"/>
  <c r="E4708" i="27"/>
  <c r="E4707" i="27"/>
  <c r="E4706" i="27"/>
  <c r="E4705" i="27"/>
  <c r="E4704" i="27"/>
  <c r="E4703" i="27"/>
  <c r="E4702" i="27"/>
  <c r="E4701" i="27"/>
  <c r="E4700" i="27"/>
  <c r="E4699" i="27"/>
  <c r="E4698" i="27"/>
  <c r="E4697" i="27"/>
  <c r="E4696" i="27"/>
  <c r="E4695" i="27"/>
  <c r="E4694" i="27"/>
  <c r="E4693" i="27"/>
  <c r="E4692" i="27"/>
  <c r="E4691" i="27"/>
  <c r="E4690" i="27"/>
  <c r="E4689" i="27"/>
  <c r="E4688" i="27"/>
  <c r="E4687" i="27"/>
  <c r="E4686" i="27"/>
  <c r="E4685" i="27"/>
  <c r="E4684" i="27"/>
  <c r="E4683" i="27"/>
  <c r="E4682" i="27"/>
  <c r="E4681" i="27"/>
  <c r="E4680" i="27"/>
  <c r="E4679" i="27"/>
  <c r="E4678" i="27"/>
  <c r="E4677" i="27"/>
  <c r="E4676" i="27"/>
  <c r="E4675" i="27"/>
  <c r="E4674" i="27"/>
  <c r="E4673" i="27"/>
  <c r="E4672" i="27"/>
  <c r="E4671" i="27"/>
  <c r="E4670" i="27"/>
  <c r="E4669" i="27"/>
  <c r="E4668" i="27"/>
  <c r="E4667" i="27"/>
  <c r="E4666" i="27"/>
  <c r="E4665" i="27"/>
  <c r="E4664" i="27"/>
  <c r="E4663" i="27"/>
  <c r="E4662" i="27"/>
  <c r="E4661" i="27"/>
  <c r="E4660" i="27"/>
  <c r="E4659" i="27"/>
  <c r="E4658" i="27"/>
  <c r="E4657" i="27"/>
  <c r="E4656" i="27"/>
  <c r="E4655" i="27"/>
  <c r="E4654" i="27"/>
  <c r="E4653" i="27"/>
  <c r="E4652" i="27"/>
  <c r="E4651" i="27"/>
  <c r="E4650" i="27"/>
  <c r="E4649" i="27"/>
  <c r="E4648" i="27"/>
  <c r="E4647" i="27"/>
  <c r="E4646" i="27"/>
  <c r="E4645" i="27"/>
  <c r="E4644" i="27"/>
  <c r="E4643" i="27"/>
  <c r="E4642" i="27"/>
  <c r="E4641" i="27"/>
  <c r="E4640" i="27"/>
  <c r="E4639" i="27"/>
  <c r="E4638" i="27"/>
  <c r="E4637" i="27"/>
  <c r="E4636" i="27"/>
  <c r="E4635" i="27"/>
  <c r="E4634" i="27"/>
  <c r="E4633" i="27"/>
  <c r="E4632" i="27"/>
  <c r="E4631" i="27"/>
  <c r="E4630" i="27"/>
  <c r="E4629" i="27"/>
  <c r="E4628" i="27"/>
  <c r="E4627" i="27"/>
  <c r="E4626" i="27"/>
  <c r="E4625" i="27"/>
  <c r="E4624" i="27"/>
  <c r="E4623" i="27"/>
  <c r="E4622" i="27"/>
  <c r="E4621" i="27"/>
  <c r="E4620" i="27"/>
  <c r="E4619" i="27"/>
  <c r="E4618" i="27"/>
  <c r="E4617" i="27"/>
  <c r="E4616" i="27"/>
  <c r="E4615" i="27"/>
  <c r="E4614" i="27"/>
  <c r="E4613" i="27"/>
  <c r="E4612" i="27"/>
  <c r="E4611" i="27"/>
  <c r="E4610" i="27"/>
  <c r="E4609" i="27"/>
  <c r="E4608" i="27"/>
  <c r="E4607" i="27"/>
  <c r="E4606" i="27"/>
  <c r="E4605" i="27"/>
  <c r="E4604" i="27"/>
  <c r="E4603" i="27"/>
  <c r="E4602" i="27"/>
  <c r="E4601" i="27"/>
  <c r="E4600" i="27"/>
  <c r="E4599" i="27"/>
  <c r="E4598" i="27"/>
  <c r="E4597" i="27"/>
  <c r="E4596" i="27"/>
  <c r="E4595" i="27"/>
  <c r="E4594" i="27"/>
  <c r="E4593" i="27"/>
  <c r="E4592" i="27"/>
  <c r="E4591" i="27"/>
  <c r="E4590" i="27"/>
  <c r="E4589" i="27"/>
  <c r="E4588" i="27"/>
  <c r="E4587" i="27"/>
  <c r="E4586" i="27"/>
  <c r="E4585" i="27"/>
  <c r="E4584" i="27"/>
  <c r="E4583" i="27"/>
  <c r="E4582" i="27"/>
  <c r="E4581" i="27"/>
  <c r="E4580" i="27"/>
  <c r="E4579" i="27"/>
  <c r="E4578" i="27"/>
  <c r="E4577" i="27"/>
  <c r="E4576" i="27"/>
  <c r="E4575" i="27"/>
  <c r="E4574" i="27"/>
  <c r="E4573" i="27"/>
  <c r="E4572" i="27"/>
  <c r="E4571" i="27"/>
  <c r="E4570" i="27"/>
  <c r="E4569" i="27"/>
  <c r="E4568" i="27"/>
  <c r="E4567" i="27"/>
  <c r="E4566" i="27"/>
  <c r="E4565" i="27"/>
  <c r="E4564" i="27"/>
  <c r="E4563" i="27"/>
  <c r="E4562" i="27"/>
  <c r="E4561" i="27"/>
  <c r="C4059" i="27"/>
  <c r="C4058" i="27"/>
  <c r="C4057" i="27"/>
  <c r="C4056" i="27"/>
  <c r="C4055" i="27"/>
  <c r="C4054" i="27"/>
  <c r="C4053" i="27"/>
  <c r="C4052" i="27"/>
  <c r="C4051" i="27"/>
  <c r="C4050" i="27"/>
  <c r="C4049" i="27"/>
  <c r="C4048" i="27"/>
  <c r="C4047" i="27"/>
  <c r="C4046" i="27"/>
  <c r="C4045" i="27"/>
  <c r="C4044" i="27"/>
  <c r="C4043" i="27"/>
  <c r="C4042" i="27"/>
  <c r="C4041" i="27"/>
  <c r="C4040" i="27"/>
  <c r="C4039" i="27"/>
  <c r="C4038" i="27"/>
  <c r="C4037" i="27"/>
  <c r="C4036" i="27"/>
  <c r="C4035" i="27"/>
  <c r="C4034" i="27"/>
  <c r="C4033" i="27"/>
  <c r="C4032" i="27"/>
  <c r="C4031" i="27"/>
  <c r="C4030" i="27"/>
  <c r="C4029" i="27"/>
  <c r="C4028" i="27"/>
  <c r="C4027" i="27"/>
  <c r="C4026" i="27"/>
  <c r="C4025" i="27"/>
  <c r="C4024" i="27"/>
  <c r="C4023" i="27"/>
  <c r="C4022" i="27"/>
  <c r="C4021" i="27"/>
  <c r="C4020" i="27"/>
  <c r="C4019" i="27"/>
  <c r="C4018" i="27"/>
  <c r="C4017" i="27"/>
  <c r="C4016" i="27"/>
  <c r="C4015" i="27"/>
  <c r="C4014" i="27"/>
  <c r="C4013" i="27"/>
  <c r="C4012" i="27"/>
  <c r="C4011" i="27"/>
  <c r="C4010" i="27"/>
  <c r="C4009" i="27"/>
  <c r="C4008" i="27"/>
  <c r="C4007" i="27"/>
  <c r="C4006" i="27"/>
  <c r="C4005" i="27"/>
  <c r="C4004" i="27"/>
  <c r="C4003" i="27"/>
  <c r="C4002" i="27"/>
  <c r="C4001" i="27"/>
  <c r="C4000" i="27"/>
  <c r="C3999" i="27"/>
  <c r="C3998" i="27"/>
  <c r="C3997" i="27"/>
  <c r="C3996" i="27"/>
  <c r="C3995" i="27"/>
  <c r="C3994" i="27"/>
  <c r="C3993" i="27"/>
  <c r="C3992" i="27"/>
  <c r="C3991" i="27"/>
  <c r="C3990" i="27"/>
  <c r="C3989" i="27"/>
  <c r="C3988" i="27"/>
  <c r="C3987" i="27"/>
  <c r="C3986" i="27"/>
  <c r="C3985" i="27"/>
  <c r="C3984" i="27"/>
  <c r="C3983" i="27"/>
  <c r="C3982" i="27"/>
  <c r="C3981" i="27"/>
  <c r="C3980" i="27"/>
  <c r="C3979" i="27"/>
  <c r="C3978" i="27"/>
  <c r="C3977" i="27"/>
  <c r="C3976" i="27"/>
  <c r="C3975" i="27"/>
  <c r="C3974" i="27"/>
  <c r="C3973" i="27"/>
  <c r="C3972" i="27"/>
  <c r="C3971" i="27"/>
  <c r="C3970" i="27"/>
  <c r="C3969" i="27"/>
  <c r="C3968" i="27"/>
  <c r="C3967" i="27"/>
  <c r="C3966" i="27"/>
  <c r="C3965" i="27"/>
  <c r="C3964" i="27"/>
  <c r="C3963" i="27"/>
  <c r="C3962" i="27"/>
  <c r="C3961" i="27"/>
  <c r="C3960" i="27"/>
  <c r="C3959" i="27"/>
  <c r="C3958" i="27"/>
  <c r="C3957" i="27"/>
  <c r="C3956" i="27"/>
  <c r="C3955" i="27"/>
  <c r="C3954" i="27"/>
  <c r="C3953" i="27"/>
  <c r="C3952" i="27"/>
  <c r="C3951" i="27"/>
  <c r="C3950" i="27"/>
  <c r="C3949" i="27"/>
  <c r="C3948" i="27"/>
  <c r="C3947" i="27"/>
  <c r="C3946" i="27"/>
  <c r="C3945" i="27"/>
  <c r="C3944" i="27"/>
  <c r="C3943" i="27"/>
  <c r="C3942" i="27"/>
  <c r="C3941" i="27"/>
  <c r="C3940" i="27"/>
  <c r="C3939" i="27"/>
  <c r="C3938" i="27"/>
  <c r="C3937" i="27"/>
  <c r="C3936" i="27"/>
  <c r="C3935" i="27"/>
  <c r="C3934" i="27"/>
  <c r="C3933" i="27"/>
  <c r="C3932" i="27"/>
  <c r="C3931" i="27"/>
  <c r="C3930" i="27"/>
  <c r="C3929" i="27"/>
  <c r="C3928" i="27"/>
  <c r="C3927" i="27"/>
  <c r="C3926" i="27"/>
  <c r="C3925" i="27"/>
  <c r="C3924" i="27"/>
  <c r="C3923" i="27"/>
  <c r="C3922" i="27"/>
  <c r="C3921" i="27"/>
  <c r="C3920" i="27"/>
  <c r="C3919" i="27"/>
  <c r="C3918" i="27"/>
  <c r="C3917" i="27"/>
  <c r="C3916" i="27"/>
  <c r="C3915" i="27"/>
  <c r="C3914" i="27"/>
  <c r="C3913" i="27"/>
  <c r="C3912" i="27"/>
  <c r="C3911" i="27"/>
  <c r="C3910" i="27"/>
  <c r="C3909" i="27"/>
  <c r="C3908" i="27"/>
  <c r="C3907" i="27"/>
  <c r="C3906" i="27"/>
  <c r="C3905" i="27"/>
  <c r="C3904" i="27"/>
  <c r="C3903" i="27"/>
  <c r="C3902" i="27"/>
  <c r="C3901" i="27"/>
  <c r="C3900" i="27"/>
  <c r="C3899" i="27"/>
  <c r="C3898" i="27"/>
  <c r="C3897" i="27"/>
  <c r="C3896" i="27"/>
  <c r="C3895" i="27"/>
  <c r="C3894" i="27"/>
  <c r="C3893" i="27"/>
  <c r="C3892" i="27"/>
  <c r="C3891" i="27"/>
  <c r="C3890" i="27"/>
  <c r="C3889" i="27"/>
  <c r="C3888" i="27"/>
  <c r="C3887" i="27"/>
  <c r="C3886" i="27"/>
  <c r="C3885" i="27"/>
  <c r="C3884" i="27"/>
  <c r="C3883" i="27"/>
  <c r="C3882" i="27"/>
  <c r="C3881" i="27"/>
  <c r="C3880" i="27"/>
  <c r="C3879" i="27"/>
  <c r="C3878" i="27"/>
  <c r="C3877" i="27"/>
  <c r="C3876" i="27"/>
  <c r="C3875" i="27"/>
  <c r="C3874" i="27"/>
  <c r="C3873" i="27"/>
  <c r="C3872" i="27"/>
  <c r="C3871" i="27"/>
  <c r="C3870" i="27"/>
  <c r="C3869" i="27"/>
  <c r="C3868" i="27"/>
  <c r="C3867" i="27"/>
  <c r="C3866" i="27"/>
  <c r="C3865" i="27"/>
  <c r="C3864" i="27"/>
  <c r="C3863" i="27"/>
  <c r="C3862" i="27"/>
  <c r="C3861" i="27"/>
  <c r="C3860" i="27"/>
  <c r="C3859" i="27"/>
  <c r="C3858" i="27"/>
  <c r="C3857" i="27"/>
  <c r="C3856" i="27"/>
  <c r="C3855" i="27"/>
  <c r="C3854" i="27"/>
  <c r="C3853" i="27"/>
  <c r="C3852" i="27"/>
  <c r="C3851" i="27"/>
  <c r="C3850" i="27"/>
  <c r="C3849" i="27"/>
  <c r="C3848" i="27"/>
  <c r="C3847" i="27"/>
  <c r="C3846" i="27"/>
  <c r="C3845" i="27"/>
  <c r="C3844" i="27"/>
  <c r="C3843" i="27"/>
  <c r="C3842" i="27"/>
  <c r="C3841" i="27"/>
  <c r="C3840" i="27"/>
  <c r="C3839" i="27"/>
  <c r="C3838" i="27"/>
  <c r="C3837" i="27"/>
  <c r="C3836" i="27"/>
  <c r="C3835" i="27"/>
  <c r="C3834" i="27"/>
  <c r="C3833" i="27"/>
  <c r="C3832" i="27"/>
  <c r="C3831" i="27"/>
  <c r="C3830" i="27"/>
  <c r="C3829" i="27"/>
  <c r="C3828" i="27"/>
  <c r="C3827" i="27"/>
  <c r="C3826" i="27"/>
  <c r="C3825" i="27"/>
  <c r="C3824" i="27"/>
  <c r="C3823" i="27"/>
  <c r="C3822" i="27"/>
  <c r="C3821" i="27"/>
  <c r="C3820" i="27"/>
  <c r="C3819" i="27"/>
  <c r="C3818" i="27"/>
  <c r="C3817" i="27"/>
  <c r="C3816" i="27"/>
  <c r="C3815" i="27"/>
  <c r="C3814" i="27"/>
  <c r="C3813" i="27"/>
  <c r="C3812" i="27"/>
  <c r="C3811" i="27"/>
  <c r="C3810" i="27"/>
  <c r="C3809" i="27"/>
  <c r="C3808" i="27"/>
  <c r="C3807" i="27"/>
  <c r="C3806" i="27"/>
  <c r="C3805" i="27"/>
  <c r="C3804" i="27"/>
  <c r="C3803" i="27"/>
  <c r="C3802" i="27"/>
  <c r="C3801" i="27"/>
  <c r="C3800" i="27"/>
  <c r="C3799" i="27"/>
  <c r="C3798" i="27"/>
  <c r="C3797" i="27"/>
  <c r="C3796" i="27"/>
  <c r="C3795" i="27"/>
  <c r="C3794" i="27"/>
  <c r="C3793" i="27"/>
  <c r="C3792" i="27"/>
  <c r="C3791" i="27"/>
  <c r="C3790" i="27"/>
  <c r="C3789" i="27"/>
  <c r="C3788" i="27"/>
  <c r="C3787" i="27"/>
  <c r="C3786" i="27"/>
  <c r="C3785" i="27"/>
  <c r="C3784" i="27"/>
  <c r="C3783" i="27"/>
  <c r="C3782" i="27"/>
  <c r="C3781" i="27"/>
  <c r="C3780" i="27"/>
  <c r="C3779" i="27"/>
  <c r="C3778" i="27"/>
  <c r="C3777" i="27"/>
  <c r="C3776" i="27"/>
  <c r="C3775" i="27"/>
  <c r="C3774" i="27"/>
  <c r="C3773" i="27"/>
  <c r="C3772" i="27"/>
  <c r="C3771" i="27"/>
  <c r="C3770" i="27"/>
  <c r="C3769" i="27"/>
  <c r="C3768" i="27"/>
  <c r="C3767" i="27"/>
  <c r="C3766" i="27"/>
  <c r="C3765" i="27"/>
  <c r="C3764" i="27"/>
  <c r="C3763" i="27"/>
  <c r="C3762" i="27"/>
  <c r="C3761" i="27"/>
  <c r="C3760" i="27"/>
  <c r="C3759" i="27"/>
  <c r="C3758" i="27"/>
  <c r="C3757" i="27"/>
  <c r="C3756" i="27"/>
  <c r="C3755" i="27"/>
  <c r="C3754" i="27"/>
  <c r="C3753" i="27"/>
  <c r="C3752" i="27"/>
  <c r="C3751" i="27"/>
  <c r="C3750" i="27"/>
  <c r="C3749" i="27"/>
  <c r="C3748" i="27"/>
  <c r="C3747" i="27"/>
  <c r="C3746" i="27"/>
  <c r="C3745" i="27"/>
  <c r="C3744" i="27"/>
  <c r="C3743" i="27"/>
  <c r="C3742" i="27"/>
  <c r="C3741" i="27"/>
  <c r="C3740" i="27"/>
  <c r="C3739" i="27"/>
  <c r="C3738" i="27"/>
  <c r="C3737" i="27"/>
  <c r="C3736" i="27"/>
  <c r="C3735" i="27"/>
  <c r="C3734" i="27"/>
  <c r="C3733" i="27"/>
  <c r="C3732" i="27"/>
  <c r="C3731" i="27"/>
  <c r="C3730" i="27"/>
  <c r="C3729" i="27"/>
  <c r="C3728" i="27"/>
  <c r="C3727" i="27"/>
  <c r="C3726" i="27"/>
  <c r="C3725" i="27"/>
  <c r="C3724" i="27"/>
  <c r="C3723" i="27"/>
  <c r="C3722" i="27"/>
  <c r="C3721" i="27"/>
  <c r="C3720" i="27"/>
  <c r="C3719" i="27"/>
  <c r="C3718" i="27"/>
  <c r="C3717" i="27"/>
  <c r="C3716" i="27"/>
  <c r="C3715" i="27"/>
  <c r="C3714" i="27"/>
  <c r="C3713" i="27"/>
  <c r="C3712" i="27"/>
  <c r="C3711" i="27"/>
  <c r="C3710" i="27"/>
  <c r="C3709" i="27"/>
  <c r="C3708" i="27"/>
  <c r="C3707" i="27"/>
  <c r="C3706" i="27"/>
  <c r="C3705" i="27"/>
  <c r="C3704" i="27"/>
  <c r="C3703" i="27"/>
  <c r="C3702" i="27"/>
  <c r="C3701" i="27"/>
  <c r="C3700" i="27"/>
  <c r="C4304" i="27"/>
  <c r="C4303" i="27"/>
  <c r="C4302" i="27"/>
  <c r="C4301" i="27"/>
  <c r="C4300" i="27"/>
  <c r="C4299" i="27"/>
  <c r="C4298" i="27"/>
  <c r="C4297" i="27"/>
  <c r="C4296" i="27"/>
  <c r="C4295" i="27"/>
  <c r="C4294" i="27"/>
  <c r="C4293" i="27"/>
  <c r="C4292" i="27"/>
  <c r="C4291" i="27"/>
  <c r="C4290" i="27"/>
  <c r="C4289" i="27"/>
  <c r="C4288" i="27"/>
  <c r="C4287" i="27"/>
  <c r="C4286" i="27"/>
  <c r="C4285" i="27"/>
  <c r="C4284" i="27"/>
  <c r="C4283" i="27"/>
  <c r="C4282" i="27"/>
  <c r="C4281" i="27"/>
  <c r="C4280" i="27"/>
  <c r="C4279" i="27"/>
  <c r="C4278" i="27"/>
  <c r="C4277" i="27"/>
  <c r="C4276" i="27"/>
  <c r="C4275" i="27"/>
  <c r="C4274" i="27"/>
  <c r="C4273" i="27"/>
  <c r="C4272" i="27"/>
  <c r="C4271" i="27"/>
  <c r="C4270" i="27"/>
  <c r="C4269" i="27"/>
  <c r="C4268" i="27"/>
  <c r="C4267" i="27"/>
  <c r="C4266" i="27"/>
  <c r="C4265" i="27"/>
  <c r="C4264" i="27"/>
  <c r="C4263" i="27"/>
  <c r="C4262" i="27"/>
  <c r="C4261" i="27"/>
  <c r="C4260" i="27"/>
  <c r="C4259" i="27"/>
  <c r="C4258" i="27"/>
  <c r="C4257" i="27"/>
  <c r="C4256" i="27"/>
  <c r="C4255" i="27"/>
  <c r="C4254" i="27"/>
  <c r="C4253" i="27"/>
  <c r="C4252" i="27"/>
  <c r="C4251" i="27"/>
  <c r="C4250" i="27"/>
  <c r="C4249" i="27"/>
  <c r="C4248" i="27"/>
  <c r="C4247" i="27"/>
  <c r="C4246" i="27"/>
  <c r="C4245" i="27"/>
  <c r="C4244" i="27"/>
  <c r="C4243" i="27"/>
  <c r="C4242" i="27"/>
  <c r="C4241" i="27"/>
  <c r="C4240" i="27"/>
  <c r="C4239" i="27"/>
  <c r="C4238" i="27"/>
  <c r="C4237" i="27"/>
  <c r="C4236" i="27"/>
  <c r="C4235" i="27"/>
  <c r="C4234" i="27"/>
  <c r="C4233" i="27"/>
  <c r="C4232" i="27"/>
  <c r="C4231" i="27"/>
  <c r="C4230" i="27"/>
  <c r="C4229" i="27"/>
  <c r="C4228" i="27"/>
  <c r="C4227" i="27"/>
  <c r="C4226" i="27"/>
  <c r="C4225"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094" i="27"/>
  <c r="C2093" i="27"/>
  <c r="C2092" i="27"/>
  <c r="C2091" i="27"/>
  <c r="C2090" i="27"/>
  <c r="C2089" i="27"/>
  <c r="C2088" i="27"/>
  <c r="C2087" i="27"/>
  <c r="C2086" i="27"/>
  <c r="C2085"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C2011" i="27"/>
  <c r="C2010" i="27"/>
  <c r="C2009" i="27"/>
  <c r="C2008" i="27"/>
  <c r="C2007" i="27"/>
  <c r="C2006" i="27"/>
  <c r="C2005" i="27"/>
  <c r="C2004" i="27"/>
  <c r="C2003" i="27"/>
  <c r="C2002" i="27"/>
  <c r="C2001" i="27"/>
  <c r="C2000" i="27"/>
  <c r="C1999" i="27"/>
  <c r="C1998" i="27"/>
  <c r="C1997" i="27"/>
  <c r="C1996" i="27"/>
  <c r="C1995" i="27"/>
  <c r="C1994" i="27"/>
  <c r="C1993" i="27"/>
  <c r="C1992" i="27"/>
  <c r="C1991" i="27"/>
  <c r="C1990" i="27"/>
  <c r="C1989" i="27"/>
  <c r="C1988" i="27"/>
  <c r="C1987" i="27"/>
  <c r="C1986" i="27"/>
  <c r="C1985" i="27"/>
  <c r="C1984" i="27"/>
  <c r="C1983" i="27"/>
  <c r="C1982" i="27"/>
  <c r="C1981" i="27"/>
  <c r="C1980" i="27"/>
  <c r="C1979" i="27"/>
  <c r="C1978" i="27"/>
  <c r="C1977" i="27"/>
  <c r="C1976" i="27"/>
  <c r="C1975" i="27"/>
  <c r="C1974" i="27"/>
  <c r="C1973" i="27"/>
  <c r="C1972" i="27"/>
  <c r="C1971" i="27"/>
  <c r="C1970" i="27"/>
  <c r="C1969" i="27"/>
  <c r="C1968" i="27"/>
  <c r="C1967" i="27"/>
  <c r="C2495" i="27"/>
  <c r="C2494" i="27"/>
  <c r="C2493" i="27"/>
  <c r="C2492" i="27"/>
  <c r="C2491" i="27"/>
  <c r="C2490" i="27"/>
  <c r="C2489" i="27"/>
  <c r="C2488" i="27"/>
  <c r="C2487" i="27"/>
  <c r="C2486" i="27"/>
  <c r="C2485" i="27"/>
  <c r="C2484" i="27"/>
  <c r="C2483" i="27"/>
  <c r="C2482" i="27"/>
  <c r="C2481" i="27"/>
  <c r="C2480" i="27"/>
  <c r="C2479" i="27"/>
  <c r="C2478" i="27"/>
  <c r="C2477" i="27"/>
  <c r="C2476" i="27"/>
  <c r="C2475" i="27"/>
  <c r="C2474" i="27"/>
  <c r="C2473" i="27"/>
  <c r="C2472" i="27"/>
  <c r="C2471" i="27"/>
  <c r="C2470" i="27"/>
  <c r="C2469" i="27"/>
  <c r="C2468" i="27"/>
  <c r="C2467" i="27"/>
  <c r="C2466" i="27"/>
  <c r="C2465" i="27"/>
  <c r="C2464" i="27"/>
  <c r="C2463" i="27"/>
  <c r="C2462" i="27"/>
  <c r="C2461" i="27"/>
  <c r="C2460" i="27"/>
  <c r="C2459" i="27"/>
  <c r="C2458" i="27"/>
  <c r="C2457" i="27"/>
  <c r="C2456" i="27"/>
  <c r="C2455" i="27"/>
  <c r="C2454" i="27"/>
  <c r="C2453" i="27"/>
  <c r="C2452" i="27"/>
  <c r="C2451" i="27"/>
  <c r="C2450" i="27"/>
  <c r="C2449" i="27"/>
  <c r="C2448" i="27"/>
  <c r="C2447" i="27"/>
  <c r="C2446" i="27"/>
  <c r="C2445" i="27"/>
  <c r="C2444" i="27"/>
  <c r="C2443" i="27"/>
  <c r="C2442" i="27"/>
  <c r="C2441" i="27"/>
  <c r="C2440" i="27"/>
  <c r="C2439" i="27"/>
  <c r="C2438" i="27"/>
  <c r="C2437" i="27"/>
  <c r="C2436" i="27"/>
  <c r="C2435" i="27"/>
  <c r="C2434" i="27"/>
  <c r="C2433" i="27"/>
  <c r="C2432" i="27"/>
  <c r="C2431" i="27"/>
  <c r="C2430" i="27"/>
  <c r="C2429" i="27"/>
  <c r="C2428" i="27"/>
  <c r="C2427" i="27"/>
  <c r="C2426" i="27"/>
  <c r="C2425" i="27"/>
  <c r="C2424" i="27"/>
  <c r="C2423" i="27"/>
  <c r="C2422" i="27"/>
  <c r="C2421" i="27"/>
  <c r="P1659" i="27"/>
  <c r="P1658" i="27"/>
  <c r="P1657" i="27"/>
  <c r="P1656" i="27"/>
  <c r="P1655" i="27"/>
  <c r="P1654" i="27"/>
  <c r="P1653" i="27"/>
  <c r="P1652" i="27"/>
  <c r="P1651" i="27"/>
  <c r="P1650" i="27"/>
  <c r="P1649" i="27"/>
  <c r="P1648" i="27"/>
  <c r="P1647" i="27"/>
  <c r="P1646" i="27"/>
  <c r="P1645" i="27"/>
  <c r="P1644" i="27"/>
  <c r="P1643" i="27"/>
  <c r="P1642" i="27"/>
  <c r="P1641" i="27"/>
  <c r="P1640" i="27"/>
  <c r="P1639" i="27"/>
  <c r="P1638" i="27"/>
  <c r="P1637" i="27"/>
  <c r="P1636" i="27"/>
  <c r="P1635" i="27"/>
  <c r="P1634" i="27"/>
  <c r="P1633" i="27"/>
  <c r="P1632" i="27"/>
  <c r="P1631" i="27"/>
  <c r="P1630" i="27"/>
  <c r="P1629" i="27"/>
  <c r="P1628" i="27"/>
  <c r="P1627" i="27"/>
  <c r="P1626" i="27"/>
  <c r="P1625" i="27"/>
  <c r="P1624" i="27"/>
  <c r="P1623" i="27"/>
  <c r="P1622" i="27"/>
  <c r="P1621" i="27"/>
  <c r="P1620" i="27"/>
  <c r="P1619" i="27"/>
  <c r="P1618" i="27"/>
  <c r="P1617" i="27"/>
  <c r="P1616" i="27"/>
  <c r="P1615" i="27"/>
  <c r="P1614" i="27"/>
  <c r="P1613" i="27"/>
  <c r="P1612" i="27"/>
  <c r="P1611" i="27"/>
  <c r="P1610" i="27"/>
  <c r="P1609" i="27"/>
  <c r="P1608" i="27"/>
  <c r="P1607" i="27"/>
  <c r="P1606" i="27"/>
  <c r="P1605" i="27"/>
  <c r="P1604" i="27"/>
  <c r="P1603" i="27"/>
  <c r="P1602" i="27"/>
  <c r="P1601" i="27"/>
  <c r="P1600" i="27"/>
  <c r="P1599" i="27"/>
  <c r="P1598" i="27"/>
  <c r="P1597" i="27"/>
  <c r="P1596" i="27"/>
  <c r="P1595" i="27"/>
  <c r="P1594" i="27"/>
  <c r="P1593" i="27"/>
  <c r="P1592" i="27"/>
  <c r="P1591" i="27"/>
  <c r="P1590" i="27"/>
  <c r="P1589" i="27"/>
  <c r="P1588" i="27"/>
  <c r="P1587" i="27"/>
  <c r="P1586" i="27"/>
  <c r="P1585" i="27"/>
  <c r="P1584" i="27"/>
  <c r="P1583" i="27"/>
  <c r="P1582" i="27"/>
  <c r="P1581" i="27"/>
  <c r="P1580" i="27"/>
  <c r="P1579" i="27"/>
  <c r="P1578" i="27"/>
  <c r="P1577" i="27"/>
  <c r="P1576" i="27"/>
  <c r="P1575" i="27"/>
  <c r="P1574" i="27"/>
  <c r="P1573" i="27"/>
  <c r="P1572" i="27"/>
  <c r="P1571" i="27"/>
  <c r="P1570" i="27"/>
  <c r="P1569" i="27"/>
  <c r="P1568" i="27"/>
  <c r="P1567" i="27"/>
  <c r="P1566" i="27"/>
  <c r="P1565" i="27"/>
  <c r="P1564" i="27"/>
  <c r="P1563" i="27"/>
  <c r="P1562" i="27"/>
  <c r="P1561" i="27"/>
  <c r="P1560" i="27"/>
  <c r="P1559" i="27"/>
  <c r="P1558" i="27"/>
  <c r="P1557" i="27"/>
  <c r="P1556" i="27"/>
  <c r="P1555" i="27"/>
  <c r="P1554" i="27"/>
  <c r="P1553" i="27"/>
  <c r="P1552" i="27"/>
  <c r="P1551" i="27"/>
  <c r="P1550" i="27"/>
  <c r="P1549" i="27"/>
  <c r="P1548" i="27"/>
  <c r="P1547" i="27"/>
  <c r="P1546" i="27"/>
  <c r="P1545" i="27"/>
  <c r="P1544" i="27"/>
  <c r="P1543" i="27"/>
  <c r="P1542" i="27"/>
  <c r="P1541" i="27"/>
  <c r="P1540" i="27"/>
  <c r="P1539" i="27"/>
  <c r="P1538" i="27"/>
  <c r="P1537" i="27"/>
  <c r="P1536" i="27"/>
  <c r="P1535" i="27"/>
  <c r="P1534" i="27"/>
  <c r="P1533" i="27"/>
  <c r="P1532" i="27"/>
  <c r="P1531" i="27"/>
  <c r="P1530" i="27"/>
  <c r="P1529" i="27"/>
  <c r="P1528" i="27"/>
  <c r="P1527" i="27"/>
  <c r="P1526" i="27"/>
  <c r="P1525" i="27"/>
  <c r="P1524" i="27"/>
  <c r="P1523" i="27"/>
  <c r="P1522" i="27"/>
  <c r="P1521" i="27"/>
  <c r="P1520" i="27"/>
  <c r="P1519" i="27"/>
  <c r="P1518" i="27"/>
  <c r="P1517" i="27"/>
  <c r="P1516" i="27"/>
  <c r="P1515" i="27"/>
  <c r="P1514" i="27"/>
  <c r="P1513" i="27"/>
  <c r="P1512" i="27"/>
  <c r="P1511" i="27"/>
  <c r="P1510" i="27"/>
  <c r="P1509" i="27"/>
  <c r="P1508" i="27"/>
  <c r="P1507" i="27"/>
  <c r="P1506" i="27"/>
  <c r="P1505" i="27"/>
  <c r="P1504" i="27"/>
  <c r="P1503" i="27"/>
  <c r="P1502" i="27"/>
  <c r="P1501" i="27"/>
  <c r="P1500" i="27"/>
  <c r="P1499" i="27"/>
  <c r="P1498" i="27"/>
  <c r="P1497" i="27"/>
  <c r="P1496" i="27"/>
  <c r="P1495" i="27"/>
  <c r="P1494" i="27"/>
  <c r="P1493" i="27"/>
  <c r="P1492" i="27"/>
  <c r="P1491" i="27"/>
  <c r="P1490" i="27"/>
  <c r="P1489" i="27"/>
  <c r="P1488" i="27"/>
  <c r="P1487" i="27"/>
  <c r="P1486" i="27"/>
  <c r="P1485" i="27"/>
  <c r="P1484" i="27"/>
  <c r="P1483" i="27"/>
  <c r="P1482" i="27"/>
  <c r="P1481" i="27"/>
  <c r="P1480" i="27"/>
  <c r="P1479" i="27"/>
  <c r="P1478" i="27"/>
  <c r="P1477" i="27"/>
  <c r="P1476" i="27"/>
  <c r="P1475" i="27"/>
  <c r="P1474" i="27"/>
  <c r="P1473" i="27"/>
  <c r="P1472" i="27"/>
  <c r="P1471" i="27"/>
  <c r="P1470" i="27"/>
  <c r="P1469" i="27"/>
  <c r="P1468" i="27"/>
  <c r="P1467" i="27"/>
  <c r="P1466" i="27"/>
  <c r="P1465" i="27"/>
  <c r="P1464" i="27"/>
  <c r="P1463" i="27"/>
  <c r="P1462" i="27"/>
  <c r="P1461" i="27"/>
  <c r="P1460" i="27"/>
  <c r="P1459" i="27"/>
  <c r="P1458" i="27"/>
  <c r="P1457" i="27"/>
  <c r="P1456" i="27"/>
  <c r="P1455" i="27"/>
  <c r="P1454" i="27"/>
  <c r="P1453" i="27"/>
  <c r="P1452" i="27"/>
  <c r="P1451" i="27"/>
  <c r="P1450" i="27"/>
  <c r="P1449" i="27"/>
  <c r="P1448" i="27"/>
  <c r="P1447" i="27"/>
  <c r="P1446" i="27"/>
  <c r="P1445" i="27"/>
  <c r="P1444" i="27"/>
  <c r="P1443" i="27"/>
  <c r="P1442" i="27"/>
  <c r="P1441" i="27"/>
  <c r="P1440" i="27"/>
  <c r="P1439" i="27"/>
  <c r="P1438" i="27"/>
  <c r="P1437" i="27"/>
  <c r="P1436" i="27"/>
  <c r="P1435" i="27"/>
  <c r="P1434" i="27"/>
  <c r="P1433" i="27"/>
  <c r="P1432" i="27"/>
  <c r="P1431" i="27"/>
  <c r="P1430" i="27"/>
  <c r="P1429" i="27"/>
  <c r="P1428" i="27"/>
  <c r="P1427" i="27"/>
  <c r="P1426" i="27"/>
  <c r="P1425" i="27"/>
  <c r="P1424" i="27"/>
  <c r="P1423" i="27"/>
  <c r="P1422" i="27"/>
  <c r="P1421" i="27"/>
  <c r="P1420" i="27"/>
  <c r="P1419" i="27"/>
  <c r="P1418" i="27"/>
  <c r="P1417" i="27"/>
  <c r="P1416" i="27"/>
  <c r="P1415" i="27"/>
  <c r="P1414" i="27"/>
  <c r="P1413" i="27"/>
  <c r="P1412" i="27"/>
  <c r="P1411" i="27"/>
  <c r="P1410" i="27"/>
  <c r="P1409" i="27"/>
  <c r="P1408" i="27"/>
  <c r="P1407" i="27"/>
  <c r="P1406" i="27"/>
  <c r="P1405" i="27"/>
  <c r="P1404" i="27"/>
  <c r="P1403" i="27"/>
  <c r="P1402" i="27"/>
  <c r="P1401" i="27"/>
  <c r="P1400" i="27"/>
  <c r="P1399" i="27"/>
  <c r="P1398" i="27"/>
  <c r="P1397" i="27"/>
  <c r="P1396" i="27"/>
  <c r="P1395" i="27"/>
  <c r="P1394" i="27"/>
  <c r="P1393" i="27"/>
  <c r="P1392" i="27"/>
  <c r="P1391" i="27"/>
  <c r="P1390" i="27"/>
  <c r="P1389" i="27"/>
  <c r="P1388" i="27"/>
  <c r="P1387" i="27"/>
  <c r="P1386" i="27"/>
  <c r="P1385" i="27"/>
  <c r="P1384" i="27"/>
  <c r="P1383" i="27"/>
  <c r="P1382" i="27"/>
  <c r="P1381" i="27"/>
  <c r="P1380" i="27"/>
  <c r="P1379" i="27"/>
  <c r="P1378" i="27"/>
  <c r="P1377" i="27"/>
  <c r="P1376" i="27"/>
  <c r="P1375" i="27"/>
  <c r="P1374" i="27"/>
  <c r="P1373" i="27"/>
  <c r="P1372" i="27"/>
  <c r="P1371" i="27"/>
  <c r="P1370" i="27"/>
  <c r="P1369" i="27"/>
  <c r="P1368" i="27"/>
  <c r="P1367" i="27"/>
  <c r="P1366" i="27"/>
  <c r="P1365" i="27"/>
  <c r="P1364" i="27"/>
  <c r="P1363" i="27"/>
  <c r="P1362" i="27"/>
  <c r="P1361" i="27"/>
  <c r="P1360" i="27"/>
  <c r="P1359" i="27"/>
  <c r="P1358" i="27"/>
  <c r="P1357" i="27"/>
  <c r="P1356" i="27"/>
  <c r="P1355" i="27"/>
  <c r="P1354" i="27"/>
  <c r="P1353" i="27"/>
  <c r="P1352" i="27"/>
  <c r="P1351" i="27"/>
  <c r="P1350" i="27"/>
  <c r="P1349" i="27"/>
  <c r="P1348" i="27"/>
  <c r="P1347" i="27"/>
  <c r="P1346" i="27"/>
  <c r="P1345" i="27"/>
  <c r="P1344" i="27"/>
  <c r="P1343" i="27"/>
  <c r="P1342" i="27"/>
  <c r="P1341" i="27"/>
  <c r="P1340" i="27"/>
  <c r="P1339" i="27"/>
  <c r="P1338" i="27"/>
  <c r="P1337" i="27"/>
  <c r="P1336" i="27"/>
  <c r="P1335" i="27"/>
  <c r="P1334" i="27"/>
  <c r="P1333" i="27"/>
  <c r="P1332" i="27"/>
  <c r="P1331" i="27"/>
  <c r="P1330" i="27"/>
  <c r="P1329" i="27"/>
  <c r="P1328" i="27"/>
  <c r="P1327" i="27"/>
  <c r="P1326" i="27"/>
  <c r="P1325" i="27"/>
  <c r="P1324" i="27"/>
  <c r="P1323" i="27"/>
  <c r="P1322" i="27"/>
  <c r="P1321" i="27"/>
  <c r="P1320" i="27"/>
  <c r="P1319" i="27"/>
  <c r="P1318" i="27"/>
  <c r="P1317" i="27"/>
  <c r="P1316" i="27"/>
  <c r="P1315" i="27"/>
  <c r="P1314" i="27"/>
  <c r="P1313" i="27"/>
  <c r="P1312" i="27"/>
  <c r="P1311" i="27"/>
  <c r="P1310" i="27"/>
  <c r="P1309" i="27"/>
  <c r="P1308" i="27"/>
  <c r="P1307" i="27"/>
  <c r="P1306" i="27"/>
  <c r="P1305" i="27"/>
  <c r="P1304" i="27"/>
  <c r="P1303" i="27"/>
  <c r="P1302" i="27"/>
  <c r="P1301" i="27"/>
  <c r="P130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F1659" i="27"/>
  <c r="F1658" i="27"/>
  <c r="F1657" i="27"/>
  <c r="F1656" i="27"/>
  <c r="F1655" i="27"/>
  <c r="F1654" i="27"/>
  <c r="F1653" i="27"/>
  <c r="F1652" i="27"/>
  <c r="F1651" i="27"/>
  <c r="F1650" i="27"/>
  <c r="F1649" i="27"/>
  <c r="F1648" i="27"/>
  <c r="F1647" i="27"/>
  <c r="F1646" i="27"/>
  <c r="F1645" i="27"/>
  <c r="F1644" i="27"/>
  <c r="F1643" i="27"/>
  <c r="F1642" i="27"/>
  <c r="F1641" i="27"/>
  <c r="F1640" i="27"/>
  <c r="F1639" i="27"/>
  <c r="F1638" i="27"/>
  <c r="F1637" i="27"/>
  <c r="F1636" i="27"/>
  <c r="F1635" i="27"/>
  <c r="F1634" i="27"/>
  <c r="F1633" i="27"/>
  <c r="F1632" i="27"/>
  <c r="F1631" i="27"/>
  <c r="F1630" i="27"/>
  <c r="F1629" i="27"/>
  <c r="F1628" i="27"/>
  <c r="F1627" i="27"/>
  <c r="F1626" i="27"/>
  <c r="F1625" i="27"/>
  <c r="F1624" i="27"/>
  <c r="F1623" i="27"/>
  <c r="F1622" i="27"/>
  <c r="F1621" i="27"/>
  <c r="F1620" i="27"/>
  <c r="F1619" i="27"/>
  <c r="F1618" i="27"/>
  <c r="F1617" i="27"/>
  <c r="F1616" i="27"/>
  <c r="F1615" i="27"/>
  <c r="F1614" i="27"/>
  <c r="F1613" i="27"/>
  <c r="F1612" i="27"/>
  <c r="F1611" i="27"/>
  <c r="F1610" i="27"/>
  <c r="F1609" i="27"/>
  <c r="F1608" i="27"/>
  <c r="F1607" i="27"/>
  <c r="F1606" i="27"/>
  <c r="F1605" i="27"/>
  <c r="F1604" i="27"/>
  <c r="F1603" i="27"/>
  <c r="F1602" i="27"/>
  <c r="F1601" i="27"/>
  <c r="F1600" i="27"/>
  <c r="F1599" i="27"/>
  <c r="F1598" i="27"/>
  <c r="F1597" i="27"/>
  <c r="F1596" i="27"/>
  <c r="F1595" i="27"/>
  <c r="F1594" i="27"/>
  <c r="F1593" i="27"/>
  <c r="F1592" i="27"/>
  <c r="F1591" i="27"/>
  <c r="F1590" i="27"/>
  <c r="F1589" i="27"/>
  <c r="F1588" i="27"/>
  <c r="F1587" i="27"/>
  <c r="F1586" i="27"/>
  <c r="F1585" i="27"/>
  <c r="F1584" i="27"/>
  <c r="F1583" i="27"/>
  <c r="F1582" i="27"/>
  <c r="F1581" i="27"/>
  <c r="F1580" i="27"/>
  <c r="F1579" i="27"/>
  <c r="F1578" i="27"/>
  <c r="F1577" i="27"/>
  <c r="F1576" i="27"/>
  <c r="F1575" i="27"/>
  <c r="F1574" i="27"/>
  <c r="F1573" i="27"/>
  <c r="F1572" i="27"/>
  <c r="F1571" i="27"/>
  <c r="F1570" i="27"/>
  <c r="F1569" i="27"/>
  <c r="F1568" i="27"/>
  <c r="F1567" i="27"/>
  <c r="F1566" i="27"/>
  <c r="F1565" i="27"/>
  <c r="F1564" i="27"/>
  <c r="F1563" i="27"/>
  <c r="F1562" i="27"/>
  <c r="F1561" i="27"/>
  <c r="F1560" i="27"/>
  <c r="F1559" i="27"/>
  <c r="F1558" i="27"/>
  <c r="F1557" i="27"/>
  <c r="F1556" i="27"/>
  <c r="F1555" i="27"/>
  <c r="F1554" i="27"/>
  <c r="F1553" i="27"/>
  <c r="F1552" i="27"/>
  <c r="F1551" i="27"/>
  <c r="F1550" i="27"/>
  <c r="F1549" i="27"/>
  <c r="F1548" i="27"/>
  <c r="F1547" i="27"/>
  <c r="F1546" i="27"/>
  <c r="F1545" i="27"/>
  <c r="F1544" i="27"/>
  <c r="F1543" i="27"/>
  <c r="F1542" i="27"/>
  <c r="F1541" i="27"/>
  <c r="F1540" i="27"/>
  <c r="F1539" i="27"/>
  <c r="F1538" i="27"/>
  <c r="F1537" i="27"/>
  <c r="F1536" i="27"/>
  <c r="F1535" i="27"/>
  <c r="F1534" i="27"/>
  <c r="F1533" i="27"/>
  <c r="F1532" i="27"/>
  <c r="F1531" i="27"/>
  <c r="F1530" i="27"/>
  <c r="F1529" i="27"/>
  <c r="F1528" i="27"/>
  <c r="F1527" i="27"/>
  <c r="F1526" i="27"/>
  <c r="F1525" i="27"/>
  <c r="F1524" i="27"/>
  <c r="F1523" i="27"/>
  <c r="F1522" i="27"/>
  <c r="F1521" i="27"/>
  <c r="F1520" i="27"/>
  <c r="F1519" i="27"/>
  <c r="F1518" i="27"/>
  <c r="F1517" i="27"/>
  <c r="F1516" i="27"/>
  <c r="F1515" i="27"/>
  <c r="F1514" i="27"/>
  <c r="F1513" i="27"/>
  <c r="F1512" i="27"/>
  <c r="F1511" i="27"/>
  <c r="F1510" i="27"/>
  <c r="F1509" i="27"/>
  <c r="F1508" i="27"/>
  <c r="F1507" i="27"/>
  <c r="F1506" i="27"/>
  <c r="F1505" i="27"/>
  <c r="F1504" i="27"/>
  <c r="F1503" i="27"/>
  <c r="F1502" i="27"/>
  <c r="F1501" i="27"/>
  <c r="F1500" i="27"/>
  <c r="F1499" i="27"/>
  <c r="F1498" i="27"/>
  <c r="F1497" i="27"/>
  <c r="F1496" i="27"/>
  <c r="F1495" i="27"/>
  <c r="F1494" i="27"/>
  <c r="F1493" i="27"/>
  <c r="F1492" i="27"/>
  <c r="F1491" i="27"/>
  <c r="F1490" i="27"/>
  <c r="F1489" i="27"/>
  <c r="F1488" i="27"/>
  <c r="F1487" i="27"/>
  <c r="F1486" i="27"/>
  <c r="F1485" i="27"/>
  <c r="F1484" i="27"/>
  <c r="F1483" i="27"/>
  <c r="F1482" i="27"/>
  <c r="F1481" i="27"/>
  <c r="F1480" i="27"/>
  <c r="F1479" i="27"/>
  <c r="F1478" i="27"/>
  <c r="F1477" i="27"/>
  <c r="F1476" i="27"/>
  <c r="F1475" i="27"/>
  <c r="F1474" i="27"/>
  <c r="F1473" i="27"/>
  <c r="F1472" i="27"/>
  <c r="F1471" i="27"/>
  <c r="F1470" i="27"/>
  <c r="F1469" i="27"/>
  <c r="F1468" i="27"/>
  <c r="F1467" i="27"/>
  <c r="F1466" i="27"/>
  <c r="F1465" i="27"/>
  <c r="F1464" i="27"/>
  <c r="F1463" i="27"/>
  <c r="F1462" i="27"/>
  <c r="F1461" i="27"/>
  <c r="F1460" i="27"/>
  <c r="F1459" i="27"/>
  <c r="F1458" i="27"/>
  <c r="F1457" i="27"/>
  <c r="F1456" i="27"/>
  <c r="F1455" i="27"/>
  <c r="F1454" i="27"/>
  <c r="F1453" i="27"/>
  <c r="F1452" i="27"/>
  <c r="F1451" i="27"/>
  <c r="F1450" i="27"/>
  <c r="F1449" i="27"/>
  <c r="F1448" i="27"/>
  <c r="F1447" i="27"/>
  <c r="F1446" i="27"/>
  <c r="F1445" i="27"/>
  <c r="F1444" i="27"/>
  <c r="F1443" i="27"/>
  <c r="F1442" i="27"/>
  <c r="F1441" i="27"/>
  <c r="F1440" i="27"/>
  <c r="F1439" i="27"/>
  <c r="F1438" i="27"/>
  <c r="F1437" i="27"/>
  <c r="F1436" i="27"/>
  <c r="F1435" i="27"/>
  <c r="F1434" i="27"/>
  <c r="F1433" i="27"/>
  <c r="F1432" i="27"/>
  <c r="F1431" i="27"/>
  <c r="F1430" i="27"/>
  <c r="F1429" i="27"/>
  <c r="F1428" i="27"/>
  <c r="F1427" i="27"/>
  <c r="F1426" i="27"/>
  <c r="F1425" i="27"/>
  <c r="F1424" i="27"/>
  <c r="F1423" i="27"/>
  <c r="F1422" i="27"/>
  <c r="F1421" i="27"/>
  <c r="F1420" i="27"/>
  <c r="F1419" i="27"/>
  <c r="F1418" i="27"/>
  <c r="F1417" i="27"/>
  <c r="F1416" i="27"/>
  <c r="F1415" i="27"/>
  <c r="F1414" i="27"/>
  <c r="F1413" i="27"/>
  <c r="F1412" i="27"/>
  <c r="F1411" i="27"/>
  <c r="F1410" i="27"/>
  <c r="F1409" i="27"/>
  <c r="F1408" i="27"/>
  <c r="F1407" i="27"/>
  <c r="F1406" i="27"/>
  <c r="F1405" i="27"/>
  <c r="F1404" i="27"/>
  <c r="F1403" i="27"/>
  <c r="F1402" i="27"/>
  <c r="F1401" i="27"/>
  <c r="F1400" i="27"/>
  <c r="F1399" i="27"/>
  <c r="F1398" i="27"/>
  <c r="F1397" i="27"/>
  <c r="F1396" i="27"/>
  <c r="F1395" i="27"/>
  <c r="F1394" i="27"/>
  <c r="F1393" i="27"/>
  <c r="F1392" i="27"/>
  <c r="F1391" i="27"/>
  <c r="F1390" i="27"/>
  <c r="F1389" i="27"/>
  <c r="F1388" i="27"/>
  <c r="F1387" i="27"/>
  <c r="F1386" i="27"/>
  <c r="F1385" i="27"/>
  <c r="F1384" i="27"/>
  <c r="F1383" i="27"/>
  <c r="F1382" i="27"/>
  <c r="F1381" i="27"/>
  <c r="F1380" i="27"/>
  <c r="F1379" i="27"/>
  <c r="F1378" i="27"/>
  <c r="F1377" i="27"/>
  <c r="F1376" i="27"/>
  <c r="F1375" i="27"/>
  <c r="F1374" i="27"/>
  <c r="F1373" i="27"/>
  <c r="F1372" i="27"/>
  <c r="F1371" i="27"/>
  <c r="F1370" i="27"/>
  <c r="F1369" i="27"/>
  <c r="F1368" i="27"/>
  <c r="F1367" i="27"/>
  <c r="F1366" i="27"/>
  <c r="F1365" i="27"/>
  <c r="F1364" i="27"/>
  <c r="F1363" i="27"/>
  <c r="F1362" i="27"/>
  <c r="F1361" i="27"/>
  <c r="F1360" i="27"/>
  <c r="F1359" i="27"/>
  <c r="F1358" i="27"/>
  <c r="F1357" i="27"/>
  <c r="F1356" i="27"/>
  <c r="F1355" i="27"/>
  <c r="F1354" i="27"/>
  <c r="F1353" i="27"/>
  <c r="F1352" i="27"/>
  <c r="F1351" i="27"/>
  <c r="F1350" i="27"/>
  <c r="F1349" i="27"/>
  <c r="F1348" i="27"/>
  <c r="F1347" i="27"/>
  <c r="F1346" i="27"/>
  <c r="F1345" i="27"/>
  <c r="F1344" i="27"/>
  <c r="F1343" i="27"/>
  <c r="F1342" i="27"/>
  <c r="F1341" i="27"/>
  <c r="F1340" i="27"/>
  <c r="F1339" i="27"/>
  <c r="F1338" i="27"/>
  <c r="F1337" i="27"/>
  <c r="F1336" i="27"/>
  <c r="F1335" i="27"/>
  <c r="F1334" i="27"/>
  <c r="F1333" i="27"/>
  <c r="F1332" i="27"/>
  <c r="F1331" i="27"/>
  <c r="F1330" i="27"/>
  <c r="F1329" i="27"/>
  <c r="F1328" i="27"/>
  <c r="F1327" i="27"/>
  <c r="F1326" i="27"/>
  <c r="F1325" i="27"/>
  <c r="F1324" i="27"/>
  <c r="F1323" i="27"/>
  <c r="F1322" i="27"/>
  <c r="F1321" i="27"/>
  <c r="F1320" i="27"/>
  <c r="F1319" i="27"/>
  <c r="F1318" i="27"/>
  <c r="F1317" i="27"/>
  <c r="F1316" i="27"/>
  <c r="F1315" i="27"/>
  <c r="F1314" i="27"/>
  <c r="F1313" i="27"/>
  <c r="F1312" i="27"/>
  <c r="F1311" i="27"/>
  <c r="F1310" i="27"/>
  <c r="F1309" i="27"/>
  <c r="F1308" i="27"/>
  <c r="F1307" i="27"/>
  <c r="F1306" i="27"/>
  <c r="F1305" i="27"/>
  <c r="F1304" i="27"/>
  <c r="F1303" i="27"/>
  <c r="H1303" i="27" s="1"/>
  <c r="F1302" i="27"/>
  <c r="H1302" i="27" s="1"/>
  <c r="F1301" i="27"/>
  <c r="H1301" i="27" s="1"/>
  <c r="F1300" i="27"/>
  <c r="E1300" i="27" s="1"/>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H945" i="27"/>
  <c r="H944" i="27"/>
  <c r="H943" i="27"/>
  <c r="H942" i="27"/>
  <c r="H941" i="27"/>
  <c r="H940" i="27"/>
  <c r="E1299" i="27"/>
  <c r="E1298" i="27"/>
  <c r="E1297" i="27"/>
  <c r="E1296" i="27"/>
  <c r="E1295" i="27"/>
  <c r="E1294" i="27"/>
  <c r="E1293" i="27"/>
  <c r="E1292" i="27"/>
  <c r="E1291" i="27"/>
  <c r="E1290" i="27"/>
  <c r="E1289" i="27"/>
  <c r="E1288" i="27"/>
  <c r="E1287" i="27"/>
  <c r="E1286" i="27"/>
  <c r="E1285" i="27"/>
  <c r="E1284" i="27"/>
  <c r="E1283" i="27"/>
  <c r="E1282" i="27"/>
  <c r="E1281" i="27"/>
  <c r="E1280" i="27"/>
  <c r="E1279" i="27"/>
  <c r="E1278" i="27"/>
  <c r="E1277" i="27"/>
  <c r="E1276" i="27"/>
  <c r="E1275" i="27"/>
  <c r="E1274" i="27"/>
  <c r="E1273" i="27"/>
  <c r="E1272" i="27"/>
  <c r="E1271" i="27"/>
  <c r="E1270" i="27"/>
  <c r="E1269" i="27"/>
  <c r="E1268" i="27"/>
  <c r="E1267" i="27"/>
  <c r="E1266" i="27"/>
  <c r="E1265" i="27"/>
  <c r="E1264" i="27"/>
  <c r="E1263" i="27"/>
  <c r="E1262" i="27"/>
  <c r="E1261" i="27"/>
  <c r="E1260" i="27"/>
  <c r="E1259" i="27"/>
  <c r="E1258" i="27"/>
  <c r="E1257" i="27"/>
  <c r="E1256" i="27"/>
  <c r="E1255" i="27"/>
  <c r="E1254" i="27"/>
  <c r="E1253" i="27"/>
  <c r="E1252" i="27"/>
  <c r="E1251" i="27"/>
  <c r="E1250" i="27"/>
  <c r="E1249" i="27"/>
  <c r="E1248" i="27"/>
  <c r="E1247" i="27"/>
  <c r="E1246" i="27"/>
  <c r="E1245" i="27"/>
  <c r="E1244" i="27"/>
  <c r="E1243" i="27"/>
  <c r="E1242" i="27"/>
  <c r="E1241" i="27"/>
  <c r="E1240" i="27"/>
  <c r="E1239" i="27"/>
  <c r="E1238" i="27"/>
  <c r="E1237" i="27"/>
  <c r="E1236" i="27"/>
  <c r="E1235" i="27"/>
  <c r="E1234" i="27"/>
  <c r="E1233" i="27"/>
  <c r="E1232" i="27"/>
  <c r="E1231" i="27"/>
  <c r="E1230" i="27"/>
  <c r="E1229" i="27"/>
  <c r="E1228" i="27"/>
  <c r="E1227" i="27"/>
  <c r="E1226" i="27"/>
  <c r="E1225" i="27"/>
  <c r="E1224" i="27"/>
  <c r="E1223" i="27"/>
  <c r="E1222" i="27"/>
  <c r="E1221" i="27"/>
  <c r="E1220" i="27"/>
  <c r="E1219" i="27"/>
  <c r="E1218" i="27"/>
  <c r="E1217" i="27"/>
  <c r="E1216" i="27"/>
  <c r="E1215" i="27"/>
  <c r="E1214" i="27"/>
  <c r="E1213" i="27"/>
  <c r="E1212" i="27"/>
  <c r="E1211" i="27"/>
  <c r="E1210" i="27"/>
  <c r="E1209" i="27"/>
  <c r="E1208" i="27"/>
  <c r="E1207" i="27"/>
  <c r="E1206" i="27"/>
  <c r="E1205" i="27"/>
  <c r="E1204" i="27"/>
  <c r="E1203" i="27"/>
  <c r="E1202" i="27"/>
  <c r="E1201" i="27"/>
  <c r="E1200" i="27"/>
  <c r="E1199" i="27"/>
  <c r="E1198" i="27"/>
  <c r="E1197" i="27"/>
  <c r="E1196" i="27"/>
  <c r="E1195" i="27"/>
  <c r="E1194" i="27"/>
  <c r="E1193" i="27"/>
  <c r="E1192" i="27"/>
  <c r="E1191" i="27"/>
  <c r="E1190" i="27"/>
  <c r="E1189" i="27"/>
  <c r="E1188" i="27"/>
  <c r="E1187" i="27"/>
  <c r="E1186" i="27"/>
  <c r="E1185" i="27"/>
  <c r="E1184" i="27"/>
  <c r="E1183" i="27"/>
  <c r="E1182" i="27"/>
  <c r="E1181" i="27"/>
  <c r="E1180" i="27"/>
  <c r="E1179" i="27"/>
  <c r="E1178" i="27"/>
  <c r="E1177" i="27"/>
  <c r="E1176" i="27"/>
  <c r="E1175" i="27"/>
  <c r="E1174" i="27"/>
  <c r="E1173" i="27"/>
  <c r="E1172" i="27"/>
  <c r="E1171" i="27"/>
  <c r="E1170" i="27"/>
  <c r="E1169" i="27"/>
  <c r="E1168" i="27"/>
  <c r="E1167" i="27"/>
  <c r="E1166" i="27"/>
  <c r="E1165" i="27"/>
  <c r="E1164" i="27"/>
  <c r="E1163" i="27"/>
  <c r="E1162" i="27"/>
  <c r="E1161" i="27"/>
  <c r="E1160" i="27"/>
  <c r="E1159" i="27"/>
  <c r="E1158" i="27"/>
  <c r="E1157" i="27"/>
  <c r="E1156" i="27"/>
  <c r="E1155" i="27"/>
  <c r="E1154" i="27"/>
  <c r="E1153" i="27"/>
  <c r="E1152" i="27"/>
  <c r="E1151" i="27"/>
  <c r="E1150" i="27"/>
  <c r="E1149" i="27"/>
  <c r="E1148" i="27"/>
  <c r="E1147" i="27"/>
  <c r="E1146" i="27"/>
  <c r="E1145" i="27"/>
  <c r="E1144" i="27"/>
  <c r="E1143" i="27"/>
  <c r="E1142" i="27"/>
  <c r="E1141" i="27"/>
  <c r="E1140" i="27"/>
  <c r="E1139" i="27"/>
  <c r="E1138" i="27"/>
  <c r="E1137" i="27"/>
  <c r="E1136" i="27"/>
  <c r="E1135" i="27"/>
  <c r="E1134" i="27"/>
  <c r="E1133" i="27"/>
  <c r="E1132" i="27"/>
  <c r="E1131" i="27"/>
  <c r="E1130" i="27"/>
  <c r="E1129" i="27"/>
  <c r="E1128" i="27"/>
  <c r="E1127" i="27"/>
  <c r="E1126" i="27"/>
  <c r="E1125" i="27"/>
  <c r="E1124" i="27"/>
  <c r="E1123" i="27"/>
  <c r="E1122" i="27"/>
  <c r="E1121" i="27"/>
  <c r="E1120" i="27"/>
  <c r="E1119" i="27"/>
  <c r="E1118" i="27"/>
  <c r="E1117" i="27"/>
  <c r="E1116" i="27"/>
  <c r="E1115" i="27"/>
  <c r="E1114" i="27"/>
  <c r="E1113" i="27"/>
  <c r="E1112" i="27"/>
  <c r="E1111" i="27"/>
  <c r="E1110" i="27"/>
  <c r="E1109" i="27"/>
  <c r="E1108" i="27"/>
  <c r="E1107" i="27"/>
  <c r="E1106" i="27"/>
  <c r="E1105" i="27"/>
  <c r="E1104" i="27"/>
  <c r="E1103" i="27"/>
  <c r="E1102" i="27"/>
  <c r="E1101" i="27"/>
  <c r="E1100" i="27"/>
  <c r="E1099" i="27"/>
  <c r="E1098" i="27"/>
  <c r="E1097" i="27"/>
  <c r="E1096" i="27"/>
  <c r="E1095" i="27"/>
  <c r="E1094" i="27"/>
  <c r="E1093" i="27"/>
  <c r="E1092" i="27"/>
  <c r="E1091" i="27"/>
  <c r="E1090" i="27"/>
  <c r="E1089" i="27"/>
  <c r="E1088" i="27"/>
  <c r="E1087" i="27"/>
  <c r="E1086" i="27"/>
  <c r="E1085" i="27"/>
  <c r="E1084" i="27"/>
  <c r="E1083" i="27"/>
  <c r="E1082" i="27"/>
  <c r="E1081" i="27"/>
  <c r="E1080" i="27"/>
  <c r="E1079" i="27"/>
  <c r="E1078" i="27"/>
  <c r="E1077" i="27"/>
  <c r="E1076" i="27"/>
  <c r="E1075" i="27"/>
  <c r="E1074" i="27"/>
  <c r="E1073" i="27"/>
  <c r="E1072" i="27"/>
  <c r="E1071" i="27"/>
  <c r="E1070" i="27"/>
  <c r="E1069" i="27"/>
  <c r="E1068" i="27"/>
  <c r="E1067" i="27"/>
  <c r="E1066" i="27"/>
  <c r="E1065" i="27"/>
  <c r="E1064" i="27"/>
  <c r="E1063" i="27"/>
  <c r="E1062" i="27"/>
  <c r="E1061" i="27"/>
  <c r="E1060" i="27"/>
  <c r="E1059" i="27"/>
  <c r="E1058" i="27"/>
  <c r="E1057" i="27"/>
  <c r="E1056" i="27"/>
  <c r="E1055" i="27"/>
  <c r="E1054" i="27"/>
  <c r="E1053" i="27"/>
  <c r="E1052" i="27"/>
  <c r="E1051" i="27"/>
  <c r="E1050" i="27"/>
  <c r="E1049" i="27"/>
  <c r="E1048" i="27"/>
  <c r="E1047" i="27"/>
  <c r="E1046" i="27"/>
  <c r="E1045" i="27"/>
  <c r="E1044" i="27"/>
  <c r="E1043" i="27"/>
  <c r="E1042" i="27"/>
  <c r="E1041" i="27"/>
  <c r="E1040" i="27"/>
  <c r="E1039" i="27"/>
  <c r="E1038" i="27"/>
  <c r="E1037"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P699" i="27"/>
  <c r="P698" i="27"/>
  <c r="P697" i="27"/>
  <c r="P696" i="27"/>
  <c r="P695" i="27"/>
  <c r="P694" i="27"/>
  <c r="P693" i="27"/>
  <c r="P692" i="27"/>
  <c r="P691" i="27"/>
  <c r="P690" i="27"/>
  <c r="P689" i="27"/>
  <c r="P688" i="27"/>
  <c r="P687" i="27"/>
  <c r="P686" i="27"/>
  <c r="P685" i="27"/>
  <c r="P684" i="27"/>
  <c r="P683" i="27"/>
  <c r="P682" i="27"/>
  <c r="P681" i="27"/>
  <c r="P680" i="27"/>
  <c r="P679" i="27"/>
  <c r="P678" i="27"/>
  <c r="P677" i="27"/>
  <c r="P676" i="27"/>
  <c r="P675" i="27"/>
  <c r="P674" i="27"/>
  <c r="P673" i="27"/>
  <c r="P672" i="27"/>
  <c r="P671" i="27"/>
  <c r="P670" i="27"/>
  <c r="P669" i="27"/>
  <c r="P668" i="27"/>
  <c r="P667" i="27"/>
  <c r="P666" i="27"/>
  <c r="P665" i="27"/>
  <c r="P664" i="27"/>
  <c r="P663" i="27"/>
  <c r="P662" i="27"/>
  <c r="P661" i="27"/>
  <c r="P660" i="27"/>
  <c r="P659" i="27"/>
  <c r="P65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F696" i="27"/>
  <c r="F695" i="27"/>
  <c r="F694" i="27"/>
  <c r="F693" i="27"/>
  <c r="F692" i="27"/>
  <c r="F691" i="27"/>
  <c r="F690" i="27"/>
  <c r="F689" i="27"/>
  <c r="F688" i="27"/>
  <c r="F687" i="27"/>
  <c r="F686" i="27"/>
  <c r="F685" i="27"/>
  <c r="F684" i="27"/>
  <c r="F683" i="27"/>
  <c r="F682" i="27"/>
  <c r="F681" i="27"/>
  <c r="F680" i="27"/>
  <c r="F679" i="27"/>
  <c r="F678" i="27"/>
  <c r="F677" i="27"/>
  <c r="F676" i="27"/>
  <c r="F675" i="27"/>
  <c r="F674" i="27"/>
  <c r="F673" i="27"/>
  <c r="F672" i="27"/>
  <c r="F671" i="27"/>
  <c r="F670" i="27"/>
  <c r="F669" i="27"/>
  <c r="F668" i="27"/>
  <c r="F667" i="27"/>
  <c r="F666" i="27"/>
  <c r="F665" i="27"/>
  <c r="F664" i="27"/>
  <c r="F663" i="27"/>
  <c r="H663" i="27" s="1"/>
  <c r="F662" i="27"/>
  <c r="H662" i="27" s="1"/>
  <c r="F661" i="27"/>
  <c r="H661" i="27" s="1"/>
  <c r="F660" i="27"/>
  <c r="H660" i="27" s="1"/>
  <c r="F659" i="27"/>
  <c r="F658" i="27"/>
  <c r="H658" i="27" s="1"/>
  <c r="C837" i="27"/>
  <c r="C836" i="27"/>
  <c r="C835" i="27"/>
  <c r="C834" i="27"/>
  <c r="C833" i="27"/>
  <c r="C832" i="27"/>
  <c r="C831" i="27"/>
  <c r="C830" i="27"/>
  <c r="C829" i="27"/>
  <c r="C828" i="27"/>
  <c r="C827" i="27"/>
  <c r="C826" i="27"/>
  <c r="C825" i="27"/>
  <c r="C824" i="27"/>
  <c r="C823" i="27"/>
  <c r="C822" i="27"/>
  <c r="C821" i="27"/>
  <c r="C820" i="27"/>
  <c r="C819" i="27"/>
  <c r="C818" i="27"/>
  <c r="C817" i="27"/>
  <c r="C816" i="27"/>
  <c r="C815" i="27"/>
  <c r="C814" i="27"/>
  <c r="C813" i="27"/>
  <c r="C812" i="27"/>
  <c r="C811" i="27"/>
  <c r="C810" i="27"/>
  <c r="C809" i="27"/>
  <c r="C808" i="27"/>
  <c r="C807" i="27"/>
  <c r="C806" i="27"/>
  <c r="C805" i="27"/>
  <c r="C804" i="27"/>
  <c r="C803" i="27"/>
  <c r="C802" i="27"/>
  <c r="C801" i="27"/>
  <c r="C800" i="27"/>
  <c r="C799" i="27"/>
  <c r="C798" i="27"/>
  <c r="C797" i="27"/>
  <c r="C796" i="27"/>
  <c r="C795" i="27"/>
  <c r="C794" i="27"/>
  <c r="C793" i="27"/>
  <c r="C792" i="27"/>
  <c r="C791" i="27"/>
  <c r="C790" i="27"/>
  <c r="C789" i="27"/>
  <c r="C788" i="27"/>
  <c r="C787" i="27"/>
  <c r="C786" i="27"/>
  <c r="C785" i="27"/>
  <c r="C784" i="27"/>
  <c r="C783" i="27"/>
  <c r="C782" i="27"/>
  <c r="C781" i="27"/>
  <c r="C780" i="27"/>
  <c r="C779" i="27"/>
  <c r="C778" i="27"/>
  <c r="C777" i="27"/>
  <c r="C776" i="27"/>
  <c r="C775" i="27"/>
  <c r="C774" i="27"/>
  <c r="C773" i="27"/>
  <c r="C772" i="27"/>
  <c r="C771" i="27"/>
  <c r="C770" i="27"/>
  <c r="C769" i="27"/>
  <c r="C768" i="27"/>
  <c r="C767" i="27"/>
  <c r="C766" i="27"/>
  <c r="C765" i="27"/>
  <c r="C764" i="27"/>
  <c r="C763" i="27"/>
  <c r="C762" i="27"/>
  <c r="C761" i="27"/>
  <c r="C760" i="27"/>
  <c r="C759" i="27"/>
  <c r="C758" i="27"/>
  <c r="C757" i="27"/>
  <c r="C756" i="27"/>
  <c r="C755" i="27"/>
  <c r="C754" i="27"/>
  <c r="C753" i="27"/>
  <c r="C752" i="27"/>
  <c r="C751" i="27"/>
  <c r="C750" i="27"/>
  <c r="C749" i="27"/>
  <c r="C748" i="27"/>
  <c r="C747" i="27"/>
  <c r="C746" i="27"/>
  <c r="C745" i="27"/>
  <c r="C744" i="27"/>
  <c r="C743" i="27"/>
  <c r="C742" i="27"/>
  <c r="C741" i="27"/>
  <c r="C740" i="27"/>
  <c r="C739" i="27"/>
  <c r="C738" i="27"/>
  <c r="C737" i="27"/>
  <c r="C736" i="27"/>
  <c r="C735" i="27"/>
  <c r="C734" i="27"/>
  <c r="C733" i="27"/>
  <c r="C732" i="27"/>
  <c r="C731" i="27"/>
  <c r="C730" i="27"/>
  <c r="C729" i="27"/>
  <c r="C728" i="27"/>
  <c r="C727" i="27"/>
  <c r="C726" i="27"/>
  <c r="C725" i="27"/>
  <c r="C724" i="27"/>
  <c r="C723" i="27"/>
  <c r="C722" i="27"/>
  <c r="C721" i="27"/>
  <c r="C720" i="27"/>
  <c r="C719" i="27"/>
  <c r="C718" i="27"/>
  <c r="C717" i="27"/>
  <c r="C716" i="27"/>
  <c r="C715" i="27"/>
  <c r="C714" i="27"/>
  <c r="C713" i="27"/>
  <c r="C712" i="27"/>
  <c r="C711" i="27"/>
  <c r="C710" i="27"/>
  <c r="C709" i="27"/>
  <c r="C708" i="27"/>
  <c r="C707" i="27"/>
  <c r="C706" i="27"/>
  <c r="C705" i="27"/>
  <c r="C704" i="27"/>
  <c r="C703" i="27"/>
  <c r="C702" i="27"/>
  <c r="C701" i="27"/>
  <c r="C700" i="27"/>
  <c r="C699" i="27"/>
  <c r="C698" i="27"/>
  <c r="C697" i="27"/>
  <c r="C696" i="27"/>
  <c r="C695" i="27"/>
  <c r="C694" i="27"/>
  <c r="C693" i="27"/>
  <c r="C692" i="27"/>
  <c r="C691" i="27"/>
  <c r="C690" i="27"/>
  <c r="C689" i="27"/>
  <c r="C688" i="27"/>
  <c r="C687" i="27"/>
  <c r="C686" i="27"/>
  <c r="C685" i="27"/>
  <c r="C684" i="27"/>
  <c r="C683" i="27"/>
  <c r="C682" i="27"/>
  <c r="C681" i="27"/>
  <c r="C680" i="27"/>
  <c r="C679" i="27"/>
  <c r="C678" i="27"/>
  <c r="C677" i="27"/>
  <c r="C676" i="27"/>
  <c r="C675" i="27"/>
  <c r="C674" i="27"/>
  <c r="C673" i="27"/>
  <c r="C672" i="27"/>
  <c r="C671" i="27"/>
  <c r="C670" i="27"/>
  <c r="C669" i="27"/>
  <c r="C668" i="27"/>
  <c r="C667" i="27"/>
  <c r="C666" i="27"/>
  <c r="C665" i="27"/>
  <c r="C664" i="27"/>
  <c r="C663" i="27"/>
  <c r="C662" i="27"/>
  <c r="C661" i="27"/>
  <c r="C660" i="27"/>
  <c r="C659" i="27"/>
  <c r="C658" i="27"/>
  <c r="H483" i="27"/>
  <c r="H482" i="27"/>
  <c r="H481" i="27"/>
  <c r="H480" i="27"/>
  <c r="H479" i="27"/>
  <c r="H47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E577" i="27"/>
  <c r="E576" i="27"/>
  <c r="E575" i="27"/>
  <c r="E574" i="27"/>
  <c r="E573" i="27"/>
  <c r="E572" i="27"/>
  <c r="E571" i="27"/>
  <c r="E570" i="27"/>
  <c r="E569" i="27"/>
  <c r="E568" i="27"/>
  <c r="E567" i="27"/>
  <c r="E566" i="27"/>
  <c r="E565" i="27"/>
  <c r="E564" i="27"/>
  <c r="E563" i="27"/>
  <c r="E562" i="27"/>
  <c r="E561" i="27"/>
  <c r="E560" i="27"/>
  <c r="E559" i="27"/>
  <c r="E558" i="27"/>
  <c r="E557" i="27"/>
  <c r="E556" i="27"/>
  <c r="E555" i="27"/>
  <c r="E554" i="27"/>
  <c r="E553" i="27"/>
  <c r="E552" i="27"/>
  <c r="E551" i="27"/>
  <c r="E550" i="27"/>
  <c r="E549" i="27"/>
  <c r="E548" i="27"/>
  <c r="E547" i="27"/>
  <c r="E546" i="27"/>
  <c r="E545" i="27"/>
  <c r="E544" i="27"/>
  <c r="E543" i="27"/>
  <c r="E542" i="27"/>
  <c r="E541" i="27"/>
  <c r="E540" i="27"/>
  <c r="E539" i="27"/>
  <c r="E538" i="27"/>
  <c r="E537" i="27"/>
  <c r="E536" i="27"/>
  <c r="E535" i="27"/>
  <c r="E534" i="27"/>
  <c r="E533" i="27"/>
  <c r="E532" i="27"/>
  <c r="E531" i="27"/>
  <c r="E530" i="27"/>
  <c r="E529" i="27"/>
  <c r="E528" i="27"/>
  <c r="E527" i="27"/>
  <c r="E526" i="27"/>
  <c r="E525" i="27"/>
  <c r="E524" i="27"/>
  <c r="E523" i="27"/>
  <c r="E522" i="27"/>
  <c r="E521" i="27"/>
  <c r="E520" i="27"/>
  <c r="E519" i="27"/>
  <c r="E518" i="27"/>
  <c r="E517" i="27"/>
  <c r="E516" i="27"/>
  <c r="E515" i="27"/>
  <c r="E514" i="27"/>
  <c r="E513" i="27"/>
  <c r="E512" i="27"/>
  <c r="E511" i="27"/>
  <c r="E510" i="27"/>
  <c r="E509" i="27"/>
  <c r="E508" i="27"/>
  <c r="E507" i="27"/>
  <c r="E506" i="27"/>
  <c r="E505" i="27"/>
  <c r="E504" i="27"/>
  <c r="E503" i="27"/>
  <c r="E502" i="27"/>
  <c r="E501" i="27"/>
  <c r="E500" i="27"/>
  <c r="E499" i="27"/>
  <c r="E498" i="27"/>
  <c r="E497" i="27"/>
  <c r="E496" i="27"/>
  <c r="E495" i="27"/>
  <c r="E494" i="27"/>
  <c r="E493" i="27"/>
  <c r="E492" i="27"/>
  <c r="E491" i="27"/>
  <c r="E490" i="27"/>
  <c r="E489" i="27"/>
  <c r="E488" i="27"/>
  <c r="E487"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P357" i="27"/>
  <c r="P356" i="27"/>
  <c r="P355" i="27"/>
  <c r="P354" i="27"/>
  <c r="P353" i="27"/>
  <c r="P352" i="27"/>
  <c r="P351" i="27"/>
  <c r="P350" i="27"/>
  <c r="P349" i="27"/>
  <c r="P348" i="27"/>
  <c r="P347" i="27"/>
  <c r="P346" i="27"/>
  <c r="P345" i="27"/>
  <c r="P344" i="27"/>
  <c r="P343" i="27"/>
  <c r="P342" i="27"/>
  <c r="P341" i="27"/>
  <c r="P340" i="27"/>
  <c r="P339" i="27"/>
  <c r="P338" i="27"/>
  <c r="P337" i="27"/>
  <c r="P336" i="27"/>
  <c r="P335" i="27"/>
  <c r="P334" i="27"/>
  <c r="P333" i="27"/>
  <c r="P332" i="27"/>
  <c r="P331" i="27"/>
  <c r="P330" i="27"/>
  <c r="P329" i="27"/>
  <c r="P328" i="27"/>
  <c r="P327" i="27"/>
  <c r="P326" i="27"/>
  <c r="P325" i="27"/>
  <c r="P324" i="27"/>
  <c r="P323" i="27"/>
  <c r="P322" i="27"/>
  <c r="P321" i="27"/>
  <c r="P320" i="27"/>
  <c r="P319" i="27"/>
  <c r="P318" i="27"/>
  <c r="P317" i="27"/>
  <c r="P316" i="27"/>
  <c r="P315" i="27"/>
  <c r="P314" i="27"/>
  <c r="P313" i="27"/>
  <c r="P312" i="27"/>
  <c r="P311" i="27"/>
  <c r="P310" i="27"/>
  <c r="P309" i="27"/>
  <c r="P308" i="27"/>
  <c r="P307" i="27"/>
  <c r="P306" i="27"/>
  <c r="P305" i="27"/>
  <c r="P304" i="27"/>
  <c r="P303" i="27"/>
  <c r="P302" i="27"/>
  <c r="P301" i="27"/>
  <c r="P300" i="27"/>
  <c r="P299" i="27"/>
  <c r="P298" i="27"/>
  <c r="P297" i="27"/>
  <c r="P296" i="27"/>
  <c r="P295" i="27"/>
  <c r="P294" i="27"/>
  <c r="P293" i="27"/>
  <c r="P292" i="27"/>
  <c r="P291" i="27"/>
  <c r="P290" i="27"/>
  <c r="P289" i="27"/>
  <c r="P288" i="27"/>
  <c r="P287" i="27"/>
  <c r="P286" i="27"/>
  <c r="P285" i="27"/>
  <c r="P284" i="27"/>
  <c r="P283" i="27"/>
  <c r="P282" i="27"/>
  <c r="P281" i="27"/>
  <c r="P280" i="27"/>
  <c r="P279" i="27"/>
  <c r="P278" i="27"/>
  <c r="P277" i="27"/>
  <c r="P276" i="27"/>
  <c r="P275" i="27"/>
  <c r="P274" i="27"/>
  <c r="P273" i="27"/>
  <c r="P272" i="27"/>
  <c r="P271" i="27"/>
  <c r="P270" i="27"/>
  <c r="P269" i="27"/>
  <c r="P268" i="27"/>
  <c r="P267" i="27"/>
  <c r="P266" i="27"/>
  <c r="P265" i="27"/>
  <c r="P264" i="27"/>
  <c r="P263" i="27"/>
  <c r="P262" i="27"/>
  <c r="P261" i="27"/>
  <c r="P260" i="27"/>
  <c r="P259" i="27"/>
  <c r="P258" i="27"/>
  <c r="P257" i="27"/>
  <c r="P256" i="27"/>
  <c r="P255" i="27"/>
  <c r="P254" i="27"/>
  <c r="P253" i="27"/>
  <c r="P252" i="27"/>
  <c r="P251" i="27"/>
  <c r="P250" i="27"/>
  <c r="P249" i="27"/>
  <c r="P248" i="27"/>
  <c r="P247" i="27"/>
  <c r="P246" i="27"/>
  <c r="P245" i="27"/>
  <c r="P244" i="27"/>
  <c r="P243" i="27"/>
  <c r="P242" i="27"/>
  <c r="P241" i="27"/>
  <c r="P240" i="27"/>
  <c r="P239" i="27"/>
  <c r="O418" i="27"/>
  <c r="C418" i="27" s="1"/>
  <c r="O417" i="27"/>
  <c r="C417" i="27" s="1"/>
  <c r="O416" i="27"/>
  <c r="C416" i="27" s="1"/>
  <c r="O415" i="27"/>
  <c r="C415" i="27" s="1"/>
  <c r="O414" i="27"/>
  <c r="C414" i="27" s="1"/>
  <c r="O413" i="27"/>
  <c r="C413" i="27" s="1"/>
  <c r="O412" i="27"/>
  <c r="C412" i="27" s="1"/>
  <c r="O411" i="27"/>
  <c r="C411" i="27" s="1"/>
  <c r="O410" i="27"/>
  <c r="C410" i="27" s="1"/>
  <c r="O409" i="27"/>
  <c r="C409" i="27" s="1"/>
  <c r="O408" i="27"/>
  <c r="C408" i="27" s="1"/>
  <c r="O407" i="27"/>
  <c r="C407" i="27" s="1"/>
  <c r="O406" i="27"/>
  <c r="C406" i="27" s="1"/>
  <c r="O405" i="27"/>
  <c r="C405" i="27" s="1"/>
  <c r="O404" i="27"/>
  <c r="C404" i="27" s="1"/>
  <c r="O403" i="27"/>
  <c r="C403" i="27" s="1"/>
  <c r="O402" i="27"/>
  <c r="C402" i="27" s="1"/>
  <c r="O401" i="27"/>
  <c r="C401" i="27" s="1"/>
  <c r="O400" i="27"/>
  <c r="C400" i="27" s="1"/>
  <c r="O399" i="27"/>
  <c r="C399" i="27" s="1"/>
  <c r="O398" i="27"/>
  <c r="C398" i="27" s="1"/>
  <c r="O397" i="27"/>
  <c r="C397" i="27" s="1"/>
  <c r="O396" i="27"/>
  <c r="C396" i="27" s="1"/>
  <c r="O395" i="27"/>
  <c r="C395" i="27" s="1"/>
  <c r="O394" i="27"/>
  <c r="C394" i="27" s="1"/>
  <c r="O393" i="27"/>
  <c r="C393" i="27" s="1"/>
  <c r="O392" i="27"/>
  <c r="C392" i="27" s="1"/>
  <c r="O391" i="27"/>
  <c r="C391" i="27" s="1"/>
  <c r="O390" i="27"/>
  <c r="C390" i="27" s="1"/>
  <c r="O389" i="27"/>
  <c r="C389" i="27" s="1"/>
  <c r="O388" i="27"/>
  <c r="C388" i="27" s="1"/>
  <c r="O387" i="27"/>
  <c r="C387" i="27" s="1"/>
  <c r="O386" i="27"/>
  <c r="C386" i="27" s="1"/>
  <c r="O385" i="27"/>
  <c r="C385" i="27" s="1"/>
  <c r="O384" i="27"/>
  <c r="C384" i="27" s="1"/>
  <c r="O383" i="27"/>
  <c r="C383" i="27" s="1"/>
  <c r="O382" i="27"/>
  <c r="C382" i="27" s="1"/>
  <c r="O381" i="27"/>
  <c r="C381" i="27" s="1"/>
  <c r="O380" i="27"/>
  <c r="C380" i="27" s="1"/>
  <c r="O379" i="27"/>
  <c r="C379" i="27" s="1"/>
  <c r="O378" i="27"/>
  <c r="C378" i="27" s="1"/>
  <c r="O377" i="27"/>
  <c r="C377" i="27" s="1"/>
  <c r="O376" i="27"/>
  <c r="C376" i="27" s="1"/>
  <c r="O375" i="27"/>
  <c r="C375" i="27" s="1"/>
  <c r="O374" i="27"/>
  <c r="C374" i="27" s="1"/>
  <c r="O373" i="27"/>
  <c r="C373" i="27" s="1"/>
  <c r="O372" i="27"/>
  <c r="C372" i="27" s="1"/>
  <c r="O371" i="27"/>
  <c r="C371" i="27" s="1"/>
  <c r="O370" i="27"/>
  <c r="C370" i="27" s="1"/>
  <c r="O369" i="27"/>
  <c r="C369" i="27" s="1"/>
  <c r="O368" i="27"/>
  <c r="C368" i="27" s="1"/>
  <c r="O367" i="27"/>
  <c r="C367" i="27" s="1"/>
  <c r="O366" i="27"/>
  <c r="C366" i="27" s="1"/>
  <c r="O365" i="27"/>
  <c r="C365" i="27" s="1"/>
  <c r="O364" i="27"/>
  <c r="C364" i="27" s="1"/>
  <c r="O363" i="27"/>
  <c r="C363" i="27" s="1"/>
  <c r="O362" i="27"/>
  <c r="C362" i="27" s="1"/>
  <c r="O361" i="27"/>
  <c r="C361" i="27" s="1"/>
  <c r="O360" i="27"/>
  <c r="C360" i="27" s="1"/>
  <c r="O359" i="27"/>
  <c r="C359" i="27" s="1"/>
  <c r="O358" i="27"/>
  <c r="C358" i="27" s="1"/>
  <c r="O357" i="27"/>
  <c r="C357" i="27" s="1"/>
  <c r="O356" i="27"/>
  <c r="C356" i="27" s="1"/>
  <c r="O355" i="27"/>
  <c r="C355" i="27" s="1"/>
  <c r="O354" i="27"/>
  <c r="C354" i="27" s="1"/>
  <c r="O353" i="27"/>
  <c r="C353" i="27" s="1"/>
  <c r="O352" i="27"/>
  <c r="C352" i="27" s="1"/>
  <c r="O351" i="27"/>
  <c r="C351" i="27" s="1"/>
  <c r="O350" i="27"/>
  <c r="C350" i="27" s="1"/>
  <c r="O349" i="27"/>
  <c r="C349" i="27" s="1"/>
  <c r="O348" i="27"/>
  <c r="C348" i="27" s="1"/>
  <c r="O347" i="27"/>
  <c r="C347" i="27" s="1"/>
  <c r="O346" i="27"/>
  <c r="C346" i="27" s="1"/>
  <c r="O345" i="27"/>
  <c r="C345" i="27" s="1"/>
  <c r="O344" i="27"/>
  <c r="C344" i="27" s="1"/>
  <c r="O343" i="27"/>
  <c r="C343" i="27" s="1"/>
  <c r="O342" i="27"/>
  <c r="C342" i="27" s="1"/>
  <c r="O341" i="27"/>
  <c r="C341" i="27" s="1"/>
  <c r="O340" i="27"/>
  <c r="C340" i="27" s="1"/>
  <c r="O339" i="27"/>
  <c r="C339" i="27" s="1"/>
  <c r="O338" i="27"/>
  <c r="C338" i="27" s="1"/>
  <c r="O337" i="27"/>
  <c r="C337" i="27" s="1"/>
  <c r="O336" i="27"/>
  <c r="C336" i="27" s="1"/>
  <c r="O335" i="27"/>
  <c r="C335" i="27" s="1"/>
  <c r="O334" i="27"/>
  <c r="C334" i="27" s="1"/>
  <c r="O333" i="27"/>
  <c r="C333" i="27" s="1"/>
  <c r="O332" i="27"/>
  <c r="C332" i="27" s="1"/>
  <c r="O331" i="27"/>
  <c r="C331" i="27" s="1"/>
  <c r="O330" i="27"/>
  <c r="C330" i="27" s="1"/>
  <c r="O329" i="27"/>
  <c r="C329" i="27" s="1"/>
  <c r="O328" i="27"/>
  <c r="C328" i="27" s="1"/>
  <c r="O327" i="27"/>
  <c r="C327" i="27" s="1"/>
  <c r="O326" i="27"/>
  <c r="C326" i="27" s="1"/>
  <c r="O325" i="27"/>
  <c r="C325" i="27" s="1"/>
  <c r="O324" i="27"/>
  <c r="C324" i="27" s="1"/>
  <c r="O323" i="27"/>
  <c r="C323" i="27" s="1"/>
  <c r="O322" i="27"/>
  <c r="C322" i="27" s="1"/>
  <c r="O321" i="27"/>
  <c r="C321" i="27" s="1"/>
  <c r="O320" i="27"/>
  <c r="C320" i="27" s="1"/>
  <c r="O319" i="27"/>
  <c r="C319" i="27" s="1"/>
  <c r="O318" i="27"/>
  <c r="C318" i="27" s="1"/>
  <c r="O317" i="27"/>
  <c r="C317" i="27" s="1"/>
  <c r="O316" i="27"/>
  <c r="C316" i="27" s="1"/>
  <c r="O315" i="27"/>
  <c r="C315" i="27" s="1"/>
  <c r="O314" i="27"/>
  <c r="C314" i="27" s="1"/>
  <c r="O313" i="27"/>
  <c r="C313" i="27" s="1"/>
  <c r="O312" i="27"/>
  <c r="C312" i="27" s="1"/>
  <c r="O311" i="27"/>
  <c r="C311" i="27" s="1"/>
  <c r="O310" i="27"/>
  <c r="C310" i="27" s="1"/>
  <c r="O309" i="27"/>
  <c r="C309" i="27" s="1"/>
  <c r="O308" i="27"/>
  <c r="C308" i="27" s="1"/>
  <c r="O307" i="27"/>
  <c r="C307" i="27" s="1"/>
  <c r="O306" i="27"/>
  <c r="C306" i="27" s="1"/>
  <c r="O305" i="27"/>
  <c r="C305" i="27" s="1"/>
  <c r="O304" i="27"/>
  <c r="C304" i="27" s="1"/>
  <c r="O303" i="27"/>
  <c r="C303" i="27" s="1"/>
  <c r="O302" i="27"/>
  <c r="C302" i="27" s="1"/>
  <c r="O301" i="27"/>
  <c r="C301" i="27" s="1"/>
  <c r="O300" i="27"/>
  <c r="C300" i="27" s="1"/>
  <c r="O299" i="27"/>
  <c r="C299" i="27" s="1"/>
  <c r="O298" i="27"/>
  <c r="C298" i="27" s="1"/>
  <c r="O297" i="27"/>
  <c r="C297" i="27" s="1"/>
  <c r="O296" i="27"/>
  <c r="C296" i="27" s="1"/>
  <c r="O295" i="27"/>
  <c r="C295" i="27" s="1"/>
  <c r="O294" i="27"/>
  <c r="C294" i="27" s="1"/>
  <c r="O293" i="27"/>
  <c r="C293" i="27" s="1"/>
  <c r="O292" i="27"/>
  <c r="C292" i="27" s="1"/>
  <c r="O291" i="27"/>
  <c r="C291" i="27" s="1"/>
  <c r="O290" i="27"/>
  <c r="C290" i="27" s="1"/>
  <c r="O289" i="27"/>
  <c r="C289" i="27" s="1"/>
  <c r="O288" i="27"/>
  <c r="C288" i="27" s="1"/>
  <c r="O287" i="27"/>
  <c r="C287" i="27" s="1"/>
  <c r="O286" i="27"/>
  <c r="C286" i="27" s="1"/>
  <c r="O285" i="27"/>
  <c r="C285" i="27" s="1"/>
  <c r="O284" i="27"/>
  <c r="C284" i="27" s="1"/>
  <c r="O283" i="27"/>
  <c r="C283" i="27" s="1"/>
  <c r="O282" i="27"/>
  <c r="C282" i="27" s="1"/>
  <c r="O281" i="27"/>
  <c r="C281" i="27" s="1"/>
  <c r="O280" i="27"/>
  <c r="C280" i="27" s="1"/>
  <c r="O279" i="27"/>
  <c r="C279" i="27" s="1"/>
  <c r="O278" i="27"/>
  <c r="C278" i="27" s="1"/>
  <c r="O277" i="27"/>
  <c r="C277" i="27" s="1"/>
  <c r="O276" i="27"/>
  <c r="C276" i="27" s="1"/>
  <c r="O275" i="27"/>
  <c r="C275" i="27" s="1"/>
  <c r="O274" i="27"/>
  <c r="C274" i="27" s="1"/>
  <c r="O273" i="27"/>
  <c r="C273" i="27" s="1"/>
  <c r="O272" i="27"/>
  <c r="C272" i="27" s="1"/>
  <c r="O271" i="27"/>
  <c r="C271" i="27" s="1"/>
  <c r="O270" i="27"/>
  <c r="C270" i="27" s="1"/>
  <c r="O269" i="27"/>
  <c r="C269" i="27" s="1"/>
  <c r="O268" i="27"/>
  <c r="C268" i="27" s="1"/>
  <c r="O267" i="27"/>
  <c r="C267" i="27" s="1"/>
  <c r="O266" i="27"/>
  <c r="C266" i="27" s="1"/>
  <c r="O265" i="27"/>
  <c r="C265" i="27" s="1"/>
  <c r="O264" i="27"/>
  <c r="C264" i="27" s="1"/>
  <c r="O263" i="27"/>
  <c r="C263" i="27" s="1"/>
  <c r="O262" i="27"/>
  <c r="C262" i="27" s="1"/>
  <c r="O261" i="27"/>
  <c r="C261" i="27" s="1"/>
  <c r="O260" i="27"/>
  <c r="C260" i="27" s="1"/>
  <c r="O259" i="27"/>
  <c r="C259" i="27" s="1"/>
  <c r="O258" i="27"/>
  <c r="C258" i="27" s="1"/>
  <c r="O257" i="27"/>
  <c r="C257" i="27" s="1"/>
  <c r="O256" i="27"/>
  <c r="C256" i="27" s="1"/>
  <c r="O255" i="27"/>
  <c r="C255" i="27" s="1"/>
  <c r="O254" i="27"/>
  <c r="C254" i="27" s="1"/>
  <c r="O253" i="27"/>
  <c r="C253" i="27" s="1"/>
  <c r="O252" i="27"/>
  <c r="C252" i="27" s="1"/>
  <c r="O251" i="27"/>
  <c r="C251" i="27" s="1"/>
  <c r="O250" i="27"/>
  <c r="C250" i="27" s="1"/>
  <c r="O249" i="27"/>
  <c r="C249" i="27" s="1"/>
  <c r="O248" i="27"/>
  <c r="C248" i="27" s="1"/>
  <c r="O247" i="27"/>
  <c r="C247" i="27" s="1"/>
  <c r="O246" i="27"/>
  <c r="C246" i="27" s="1"/>
  <c r="O245" i="27"/>
  <c r="C245" i="27" s="1"/>
  <c r="O244" i="27"/>
  <c r="C244" i="27" s="1"/>
  <c r="O243" i="27"/>
  <c r="C243" i="27" s="1"/>
  <c r="O242" i="27"/>
  <c r="C242" i="27" s="1"/>
  <c r="O241" i="27"/>
  <c r="C241" i="27" s="1"/>
  <c r="O240" i="27"/>
  <c r="C240" i="27" s="1"/>
  <c r="O239" i="27"/>
  <c r="C239" i="27" s="1"/>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H244" i="27" s="1"/>
  <c r="F243" i="27"/>
  <c r="H243" i="27" s="1"/>
  <c r="F242" i="27"/>
  <c r="H242" i="27" s="1"/>
  <c r="F241" i="27"/>
  <c r="F240" i="27"/>
  <c r="F239" i="27"/>
  <c r="H64" i="27"/>
  <c r="H63" i="27"/>
  <c r="H62" i="27"/>
  <c r="H61" i="27"/>
  <c r="H60" i="27"/>
  <c r="H59" i="27"/>
  <c r="E238" i="27"/>
  <c r="E237" i="27"/>
  <c r="E236" i="27"/>
  <c r="E235" i="27"/>
  <c r="E234" i="27"/>
  <c r="E233" i="27"/>
  <c r="E232" i="27"/>
  <c r="E231" i="27"/>
  <c r="E230" i="27"/>
  <c r="E229" i="27"/>
  <c r="E228" i="27"/>
  <c r="E227" i="27"/>
  <c r="E226" i="27"/>
  <c r="E225" i="27"/>
  <c r="E224" i="27"/>
  <c r="E223" i="27"/>
  <c r="E222" i="27"/>
  <c r="E221" i="27"/>
  <c r="E220" i="27"/>
  <c r="E219" i="27"/>
  <c r="E218" i="27"/>
  <c r="E217" i="27"/>
  <c r="E216" i="27"/>
  <c r="E215" i="27"/>
  <c r="E214" i="27"/>
  <c r="E213" i="27"/>
  <c r="E212" i="27"/>
  <c r="E211" i="27"/>
  <c r="E210" i="27"/>
  <c r="E209" i="27"/>
  <c r="E208" i="27"/>
  <c r="E207" i="27"/>
  <c r="E206" i="27"/>
  <c r="E205" i="27"/>
  <c r="E204" i="27"/>
  <c r="E203" i="27"/>
  <c r="E202" i="27"/>
  <c r="E201" i="27"/>
  <c r="E200" i="27"/>
  <c r="E199" i="27"/>
  <c r="E198" i="27"/>
  <c r="E197" i="27"/>
  <c r="E196" i="27"/>
  <c r="E195" i="27"/>
  <c r="E194" i="27"/>
  <c r="E193" i="27"/>
  <c r="E192" i="27"/>
  <c r="E191" i="27"/>
  <c r="E190" i="27"/>
  <c r="E189" i="27"/>
  <c r="E188" i="27"/>
  <c r="E187" i="27"/>
  <c r="E186" i="27"/>
  <c r="E185" i="27"/>
  <c r="E184" i="27"/>
  <c r="E183" i="27"/>
  <c r="E182" i="27"/>
  <c r="E181" i="27"/>
  <c r="E180" i="27"/>
  <c r="E179" i="27"/>
  <c r="E178" i="27"/>
  <c r="E177" i="27"/>
  <c r="E176" i="27"/>
  <c r="E175" i="27"/>
  <c r="E174" i="27"/>
  <c r="E173" i="27"/>
  <c r="E172" i="27"/>
  <c r="E171" i="27"/>
  <c r="E170" i="27"/>
  <c r="E16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I617" i="16"/>
  <c r="I616" i="16"/>
  <c r="I615" i="16"/>
  <c r="I614" i="16"/>
  <c r="I613" i="16"/>
  <c r="I612" i="16"/>
  <c r="I611" i="16"/>
  <c r="I610" i="16"/>
  <c r="I609" i="16"/>
  <c r="I608" i="16"/>
  <c r="I607" i="16"/>
  <c r="I606" i="16"/>
  <c r="I605" i="16"/>
  <c r="I604" i="16"/>
  <c r="I603" i="16"/>
  <c r="I602" i="16"/>
  <c r="I601" i="16"/>
  <c r="I600" i="16"/>
  <c r="I599" i="16"/>
  <c r="I598" i="16"/>
  <c r="I597" i="16"/>
  <c r="I596" i="16"/>
  <c r="I595" i="16"/>
  <c r="I594" i="16"/>
  <c r="I593" i="16"/>
  <c r="I592" i="16"/>
  <c r="I591" i="16"/>
  <c r="I590" i="16"/>
  <c r="I589" i="16"/>
  <c r="I588" i="16"/>
  <c r="I587" i="16"/>
  <c r="I586" i="16"/>
  <c r="I585" i="16"/>
  <c r="I584" i="16"/>
  <c r="I583" i="16"/>
  <c r="I582" i="16"/>
  <c r="I581" i="16"/>
  <c r="I580" i="16"/>
  <c r="I579" i="16"/>
  <c r="I578" i="16"/>
  <c r="I577" i="16"/>
  <c r="I576" i="16"/>
  <c r="I575" i="16"/>
  <c r="I574" i="16"/>
  <c r="I573" i="16"/>
  <c r="I572" i="16"/>
  <c r="I571" i="16"/>
  <c r="I570" i="16"/>
  <c r="I569" i="16"/>
  <c r="I568" i="16"/>
  <c r="I567" i="16"/>
  <c r="I566" i="16"/>
  <c r="I565" i="16"/>
  <c r="I564" i="16"/>
  <c r="I563" i="16"/>
  <c r="I562" i="16"/>
  <c r="I561" i="16"/>
  <c r="I560" i="16"/>
  <c r="I559" i="16"/>
  <c r="I558" i="16"/>
  <c r="I557" i="16"/>
  <c r="I556" i="16"/>
  <c r="I555" i="16"/>
  <c r="I554" i="16"/>
  <c r="I553" i="16"/>
  <c r="I552" i="16"/>
  <c r="I551" i="16"/>
  <c r="I550" i="16"/>
  <c r="I549" i="16"/>
  <c r="I548" i="16"/>
  <c r="I547" i="16"/>
  <c r="I546" i="16"/>
  <c r="I545" i="16"/>
  <c r="I544" i="16"/>
  <c r="I543" i="16"/>
  <c r="I542" i="16"/>
  <c r="I541" i="16"/>
  <c r="I540" i="16"/>
  <c r="I539" i="16"/>
  <c r="I538" i="16"/>
  <c r="I537" i="16"/>
  <c r="I536" i="16"/>
  <c r="I535" i="16"/>
  <c r="I534" i="16"/>
  <c r="I533" i="16"/>
  <c r="I532" i="16"/>
  <c r="I531" i="16"/>
  <c r="I530" i="16"/>
  <c r="I529" i="16"/>
  <c r="I528" i="16"/>
  <c r="I527" i="16"/>
  <c r="I526" i="16"/>
  <c r="I525" i="16"/>
  <c r="I524" i="16"/>
  <c r="I523" i="16"/>
  <c r="I522" i="16"/>
  <c r="I521" i="16"/>
  <c r="I520" i="16"/>
  <c r="I519" i="16"/>
  <c r="I518" i="16"/>
  <c r="I517" i="16"/>
  <c r="I516" i="16"/>
  <c r="I515" i="16"/>
  <c r="I514" i="16"/>
  <c r="I513" i="16"/>
  <c r="I512" i="16"/>
  <c r="I511" i="16"/>
  <c r="I510" i="16"/>
  <c r="I509" i="16"/>
  <c r="I508" i="16"/>
  <c r="I507" i="16"/>
  <c r="I506" i="16"/>
  <c r="I505" i="16"/>
  <c r="I504" i="16"/>
  <c r="I503" i="16"/>
  <c r="I502" i="16"/>
  <c r="I501" i="16"/>
  <c r="I500" i="16"/>
  <c r="I499" i="16"/>
  <c r="I498" i="16"/>
  <c r="I497" i="16"/>
  <c r="I496" i="16"/>
  <c r="I495" i="16"/>
  <c r="I494" i="16"/>
  <c r="I493" i="16"/>
  <c r="I492" i="16"/>
  <c r="I491" i="16"/>
  <c r="I490" i="16"/>
  <c r="I489" i="16"/>
  <c r="I488" i="16"/>
  <c r="I487" i="16"/>
  <c r="I486" i="16"/>
  <c r="I485" i="16"/>
  <c r="I484" i="16"/>
  <c r="I483" i="16"/>
  <c r="I482" i="16"/>
  <c r="I481" i="16"/>
  <c r="I480" i="16"/>
  <c r="I479" i="16"/>
  <c r="I478" i="16"/>
  <c r="I477" i="16"/>
  <c r="I476" i="16"/>
  <c r="I475" i="16"/>
  <c r="I474" i="16"/>
  <c r="I473" i="16"/>
  <c r="I472" i="16"/>
  <c r="I471" i="16"/>
  <c r="I470" i="16"/>
  <c r="I469" i="16"/>
  <c r="I468" i="16"/>
  <c r="I467" i="16"/>
  <c r="I466" i="16"/>
  <c r="I465" i="16"/>
  <c r="I464" i="16"/>
  <c r="I463" i="16"/>
  <c r="I462" i="16"/>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J1815" i="22"/>
  <c r="J1814" i="22"/>
  <c r="J1813" i="22"/>
  <c r="J1812" i="22"/>
  <c r="J1811" i="22"/>
  <c r="J1810" i="22"/>
  <c r="J1809" i="22"/>
  <c r="J1808" i="22"/>
  <c r="J1807" i="22"/>
  <c r="J1806" i="22"/>
  <c r="J1805" i="22"/>
  <c r="J1804" i="22"/>
  <c r="J1803" i="22"/>
  <c r="J1802" i="22"/>
  <c r="J1801" i="22"/>
  <c r="J1800" i="22"/>
  <c r="J1799" i="22"/>
  <c r="J1798" i="22"/>
  <c r="J1797" i="22"/>
  <c r="J1796" i="22"/>
  <c r="J1795" i="22"/>
  <c r="J1794" i="22"/>
  <c r="J1793" i="22"/>
  <c r="J1792" i="22"/>
  <c r="J1791" i="22"/>
  <c r="J1790" i="22"/>
  <c r="J1789" i="22"/>
  <c r="J1788" i="22"/>
  <c r="J1787" i="22"/>
  <c r="J1786" i="22"/>
  <c r="J1785" i="22"/>
  <c r="J1784" i="22"/>
  <c r="J1783" i="22"/>
  <c r="J1782" i="22"/>
  <c r="J1781" i="22"/>
  <c r="J1780" i="22"/>
  <c r="J1779" i="22"/>
  <c r="J1778" i="22"/>
  <c r="J1777" i="22"/>
  <c r="J1776" i="22"/>
  <c r="J1775" i="22"/>
  <c r="J1774" i="22"/>
  <c r="J1773" i="22"/>
  <c r="J1772" i="22"/>
  <c r="J1771" i="22"/>
  <c r="J1770" i="22"/>
  <c r="J1769" i="22"/>
  <c r="J1768" i="22"/>
  <c r="J1767" i="22"/>
  <c r="J1766" i="22"/>
  <c r="J1765" i="22"/>
  <c r="J1764" i="22"/>
  <c r="J1763" i="22"/>
  <c r="J1762" i="22"/>
  <c r="J1761" i="22"/>
  <c r="J1760" i="22"/>
  <c r="J1759" i="22"/>
  <c r="J1758" i="22"/>
  <c r="J1757" i="22"/>
  <c r="J1756" i="22"/>
  <c r="J1755" i="22"/>
  <c r="J1754" i="22"/>
  <c r="J1753" i="22"/>
  <c r="J1752" i="22"/>
  <c r="J1751" i="22"/>
  <c r="J1750" i="22"/>
  <c r="J1749" i="22"/>
  <c r="J1748" i="22"/>
  <c r="J1747" i="22"/>
  <c r="J1746" i="22"/>
  <c r="J1745" i="22"/>
  <c r="J1744" i="22"/>
  <c r="J1743" i="22"/>
  <c r="J1742" i="22"/>
  <c r="J1741" i="22"/>
  <c r="J1740" i="22"/>
  <c r="J1739" i="22"/>
  <c r="J1738" i="22"/>
  <c r="J1737" i="22"/>
  <c r="J1736" i="22"/>
  <c r="J1735" i="22"/>
  <c r="J1734" i="22"/>
  <c r="J1733" i="22"/>
  <c r="J1732" i="22"/>
  <c r="J1731" i="22"/>
  <c r="J1730" i="22"/>
  <c r="J1729" i="22"/>
  <c r="J1728" i="22"/>
  <c r="J1727" i="22"/>
  <c r="J1726" i="22"/>
  <c r="J1725" i="22"/>
  <c r="J1724" i="22"/>
  <c r="J1723" i="22"/>
  <c r="J1722" i="22"/>
  <c r="J1721" i="22"/>
  <c r="J1720" i="22"/>
  <c r="J1719" i="22"/>
  <c r="J1718" i="22"/>
  <c r="J1717" i="22"/>
  <c r="J1716" i="22"/>
  <c r="J1715" i="22"/>
  <c r="J1714" i="22"/>
  <c r="J1713" i="22"/>
  <c r="J1712" i="22"/>
  <c r="J1711" i="22"/>
  <c r="J1710" i="22"/>
  <c r="J1709" i="22"/>
  <c r="J1708" i="22"/>
  <c r="J1707" i="22"/>
  <c r="J1706" i="22"/>
  <c r="J1705" i="22"/>
  <c r="J1704" i="22"/>
  <c r="J1703" i="22"/>
  <c r="J1702" i="22"/>
  <c r="J1701" i="22"/>
  <c r="J1700" i="22"/>
  <c r="J1699" i="22"/>
  <c r="J1698" i="22"/>
  <c r="J1697" i="22"/>
  <c r="J1696" i="22"/>
  <c r="J1695" i="22"/>
  <c r="J1694" i="22"/>
  <c r="J1693" i="22"/>
  <c r="J1692" i="22"/>
  <c r="J1691" i="22"/>
  <c r="J1690" i="22"/>
  <c r="J1689" i="22"/>
  <c r="J1688" i="22"/>
  <c r="J1687" i="22"/>
  <c r="J1686" i="22"/>
  <c r="J1685" i="22"/>
  <c r="J1684" i="22"/>
  <c r="J1683" i="22"/>
  <c r="J1682" i="22"/>
  <c r="J1681" i="22"/>
  <c r="J1680" i="22"/>
  <c r="J1679" i="22"/>
  <c r="J1678" i="22"/>
  <c r="J1677" i="22"/>
  <c r="J1676" i="22"/>
  <c r="J1675" i="22"/>
  <c r="J1674" i="22"/>
  <c r="J1673" i="22"/>
  <c r="J1672" i="22"/>
  <c r="J1671" i="22"/>
  <c r="J1670" i="22"/>
  <c r="J1669" i="22"/>
  <c r="J1668" i="22"/>
  <c r="J1667" i="22"/>
  <c r="J1666" i="22"/>
  <c r="J1665" i="22"/>
  <c r="J1664" i="22"/>
  <c r="J1663" i="22"/>
  <c r="J1662" i="22"/>
  <c r="J1661" i="22"/>
  <c r="J1660" i="22"/>
  <c r="J1659" i="22"/>
  <c r="J1658" i="22"/>
  <c r="J1657" i="22"/>
  <c r="J1656" i="22"/>
  <c r="J1655" i="22"/>
  <c r="J1654" i="22"/>
  <c r="J1653" i="22"/>
  <c r="J1652" i="22"/>
  <c r="J1651" i="22"/>
  <c r="J1650" i="22"/>
  <c r="J1649" i="22"/>
  <c r="J1648" i="22"/>
  <c r="J1647" i="22"/>
  <c r="J1646" i="22"/>
  <c r="J1645" i="22"/>
  <c r="J1644" i="22"/>
  <c r="J1643" i="22"/>
  <c r="J1642" i="22"/>
  <c r="J1641" i="22"/>
  <c r="J1640" i="22"/>
  <c r="J1639" i="22"/>
  <c r="J1638" i="22"/>
  <c r="J1637" i="22"/>
  <c r="J1636" i="22"/>
  <c r="J1635" i="22"/>
  <c r="J1634" i="22"/>
  <c r="J1633" i="22"/>
  <c r="J1632" i="22"/>
  <c r="J1631" i="22"/>
  <c r="J1630" i="22"/>
  <c r="J1629" i="22"/>
  <c r="J1628" i="22"/>
  <c r="J1627" i="22"/>
  <c r="J1626" i="22"/>
  <c r="J1625" i="22"/>
  <c r="J1624" i="22"/>
  <c r="J1623" i="22"/>
  <c r="J1622" i="22"/>
  <c r="J1621" i="22"/>
  <c r="J1620" i="22"/>
  <c r="J1619" i="22"/>
  <c r="J1618" i="22"/>
  <c r="J1617" i="22"/>
  <c r="J1616" i="22"/>
  <c r="J1615" i="22"/>
  <c r="J1614" i="22"/>
  <c r="J1613" i="22"/>
  <c r="J1612" i="22"/>
  <c r="J1611" i="22"/>
  <c r="J1610" i="22"/>
  <c r="J1609" i="22"/>
  <c r="J1608" i="22"/>
  <c r="J1607" i="22"/>
  <c r="J1606" i="22"/>
  <c r="J1605" i="22"/>
  <c r="J1604" i="22"/>
  <c r="J1603" i="22"/>
  <c r="J1602" i="22"/>
  <c r="J1601" i="22"/>
  <c r="J1600" i="22"/>
  <c r="J1599" i="22"/>
  <c r="J1598" i="22"/>
  <c r="J1597" i="22"/>
  <c r="J1596" i="22"/>
  <c r="J1595" i="22"/>
  <c r="J1594" i="22"/>
  <c r="J1593" i="22"/>
  <c r="J1592" i="22"/>
  <c r="J1591" i="22"/>
  <c r="J1590" i="22"/>
  <c r="J1589" i="22"/>
  <c r="J1588" i="22"/>
  <c r="J1587" i="22"/>
  <c r="J1586" i="22"/>
  <c r="J1585" i="22"/>
  <c r="J1584" i="22"/>
  <c r="J1583" i="22"/>
  <c r="J1582" i="22"/>
  <c r="J1581" i="22"/>
  <c r="J1580" i="22"/>
  <c r="J1579" i="22"/>
  <c r="J1578" i="22"/>
  <c r="J1577" i="22"/>
  <c r="J1576" i="22"/>
  <c r="J1575" i="22"/>
  <c r="J1574" i="22"/>
  <c r="J1573" i="22"/>
  <c r="J1572" i="22"/>
  <c r="J1571" i="22"/>
  <c r="J1570" i="22"/>
  <c r="J1569" i="22"/>
  <c r="J1568" i="22"/>
  <c r="J1567" i="22"/>
  <c r="J1566" i="22"/>
  <c r="J1565" i="22"/>
  <c r="J1564" i="22"/>
  <c r="J1563" i="22"/>
  <c r="J1562" i="22"/>
  <c r="J1561" i="22"/>
  <c r="J1560" i="22"/>
  <c r="J1559" i="22"/>
  <c r="J1558" i="22"/>
  <c r="J1557" i="22"/>
  <c r="J1556" i="22"/>
  <c r="J1555" i="22"/>
  <c r="J1554" i="22"/>
  <c r="J1553" i="22"/>
  <c r="J1552" i="22"/>
  <c r="J1551" i="22"/>
  <c r="J1550" i="22"/>
  <c r="J1549" i="22"/>
  <c r="J1548" i="22"/>
  <c r="J1547" i="22"/>
  <c r="J1546" i="22"/>
  <c r="J1545" i="22"/>
  <c r="J1544" i="22"/>
  <c r="J1543" i="22"/>
  <c r="J1542" i="22"/>
  <c r="J1541" i="22"/>
  <c r="J1540" i="22"/>
  <c r="J1539" i="22"/>
  <c r="J1538" i="22"/>
  <c r="J1537" i="22"/>
  <c r="J1536" i="22"/>
  <c r="J1535" i="22"/>
  <c r="J1534" i="22"/>
  <c r="J1533" i="22"/>
  <c r="J1532" i="22"/>
  <c r="J1531" i="22"/>
  <c r="J1530" i="22"/>
  <c r="J1529" i="22"/>
  <c r="J1528" i="22"/>
  <c r="J1527" i="22"/>
  <c r="J1526" i="22"/>
  <c r="J1525" i="22"/>
  <c r="J1524" i="22"/>
  <c r="J1523" i="22"/>
  <c r="J1522" i="22"/>
  <c r="J1521" i="22"/>
  <c r="J1520" i="22"/>
  <c r="J1519" i="22"/>
  <c r="J1518" i="22"/>
  <c r="J1517" i="22"/>
  <c r="J1516" i="22"/>
  <c r="J1515" i="22"/>
  <c r="J1514" i="22"/>
  <c r="J1513" i="22"/>
  <c r="J1512" i="22"/>
  <c r="J1511" i="22"/>
  <c r="J1510" i="22"/>
  <c r="J1509" i="22"/>
  <c r="J1508" i="22"/>
  <c r="J1507" i="22"/>
  <c r="J1506" i="22"/>
  <c r="J1505" i="22"/>
  <c r="J1504" i="22"/>
  <c r="J1503" i="22"/>
  <c r="J1502" i="22"/>
  <c r="J1501" i="22"/>
  <c r="J1500" i="22"/>
  <c r="J1499" i="22"/>
  <c r="J1498" i="22"/>
  <c r="J1497" i="22"/>
  <c r="J1496" i="22"/>
  <c r="J1495" i="22"/>
  <c r="J1494" i="22"/>
  <c r="J1493" i="22"/>
  <c r="J1492" i="22"/>
  <c r="J1491" i="22"/>
  <c r="J1490" i="22"/>
  <c r="J1489" i="22"/>
  <c r="J1488" i="22"/>
  <c r="J1487" i="22"/>
  <c r="J1486" i="22"/>
  <c r="J1485" i="22"/>
  <c r="J1484" i="22"/>
  <c r="J1483" i="22"/>
  <c r="J1482" i="22"/>
  <c r="J1481" i="22"/>
  <c r="J1480" i="22"/>
  <c r="J1479" i="22"/>
  <c r="J1478" i="22"/>
  <c r="J1477" i="22"/>
  <c r="J1476" i="22"/>
  <c r="J1475" i="22"/>
  <c r="J1474" i="22"/>
  <c r="J1473" i="22"/>
  <c r="J1472" i="22"/>
  <c r="J1471" i="22"/>
  <c r="J1470" i="22"/>
  <c r="J1469" i="22"/>
  <c r="J1468" i="22"/>
  <c r="J1467" i="22"/>
  <c r="J1466" i="22"/>
  <c r="J1465" i="22"/>
  <c r="J1464" i="22"/>
  <c r="J1463" i="22"/>
  <c r="J1462" i="22"/>
  <c r="J1461" i="22"/>
  <c r="J1460" i="22"/>
  <c r="J1459" i="22"/>
  <c r="J1458" i="22"/>
  <c r="J1457" i="22"/>
  <c r="J1456" i="22"/>
  <c r="J1455" i="22"/>
  <c r="J1454" i="22"/>
  <c r="J1453" i="22"/>
  <c r="J1452" i="22"/>
  <c r="J1451" i="22"/>
  <c r="J1450" i="22"/>
  <c r="J1449" i="22"/>
  <c r="J1448" i="22"/>
  <c r="J1447" i="22"/>
  <c r="J1446" i="22"/>
  <c r="J1445" i="22"/>
  <c r="J1444" i="22"/>
  <c r="J1443" i="22"/>
  <c r="J1442" i="22"/>
  <c r="J1441" i="22"/>
  <c r="J1440" i="22"/>
  <c r="J1439" i="22"/>
  <c r="J1438" i="22"/>
  <c r="J1437" i="22"/>
  <c r="J1436" i="22"/>
  <c r="J1435" i="22"/>
  <c r="J1434" i="22"/>
  <c r="J1433" i="22"/>
  <c r="J1432" i="22"/>
  <c r="J1431" i="22"/>
  <c r="J1430" i="22"/>
  <c r="J1429" i="22"/>
  <c r="J1428" i="22"/>
  <c r="J1427" i="22"/>
  <c r="J1426" i="22"/>
  <c r="J1425" i="22"/>
  <c r="J1424" i="22"/>
  <c r="J1423" i="22"/>
  <c r="J1422" i="22"/>
  <c r="J1421" i="22"/>
  <c r="J1420" i="22"/>
  <c r="J1419" i="22"/>
  <c r="J1418" i="22"/>
  <c r="J1417" i="22"/>
  <c r="J1416" i="22"/>
  <c r="J1415" i="22"/>
  <c r="J1414" i="22"/>
  <c r="J1413" i="22"/>
  <c r="J1412" i="22"/>
  <c r="J1411" i="22"/>
  <c r="J1410" i="22"/>
  <c r="J1409" i="22"/>
  <c r="J1408" i="22"/>
  <c r="J1407" i="22"/>
  <c r="J1406" i="22"/>
  <c r="J1405" i="22"/>
  <c r="J1404" i="22"/>
  <c r="J1403" i="22"/>
  <c r="J1402" i="22"/>
  <c r="J1401" i="22"/>
  <c r="J1400" i="22"/>
  <c r="J1399" i="22"/>
  <c r="J1398" i="22"/>
  <c r="J1397" i="22"/>
  <c r="J1396" i="22"/>
  <c r="J1395" i="22"/>
  <c r="J1394" i="22"/>
  <c r="J1393" i="22"/>
  <c r="J1392" i="22"/>
  <c r="J1391" i="22"/>
  <c r="J1390" i="22"/>
  <c r="J1389" i="22"/>
  <c r="J1388" i="22"/>
  <c r="J1387" i="22"/>
  <c r="J1386" i="22"/>
  <c r="J1385" i="22"/>
  <c r="J1384" i="22"/>
  <c r="J1383" i="22"/>
  <c r="J1382" i="22"/>
  <c r="J1381" i="22"/>
  <c r="J1380" i="22"/>
  <c r="J1379" i="22"/>
  <c r="J1378" i="22"/>
  <c r="J1377" i="22"/>
  <c r="J1376" i="22"/>
  <c r="J1375" i="22"/>
  <c r="J1374" i="22"/>
  <c r="J1373" i="22"/>
  <c r="J1372" i="22"/>
  <c r="J1371" i="22"/>
  <c r="J1370" i="22"/>
  <c r="J1369" i="22"/>
  <c r="J1368" i="22"/>
  <c r="J1367" i="22"/>
  <c r="J1366" i="22"/>
  <c r="J1365" i="22"/>
  <c r="J1364" i="22"/>
  <c r="J1363" i="22"/>
  <c r="J1362" i="22"/>
  <c r="J1361" i="22"/>
  <c r="J1360" i="22"/>
  <c r="J1359" i="22"/>
  <c r="J1358" i="22"/>
  <c r="J1357" i="22"/>
  <c r="J1356" i="22"/>
  <c r="J1355" i="22"/>
  <c r="J1354" i="22"/>
  <c r="J1353" i="22"/>
  <c r="J1352" i="22"/>
  <c r="J1351" i="22"/>
  <c r="J1350" i="22"/>
  <c r="J1349" i="22"/>
  <c r="J1348" i="22"/>
  <c r="J1347" i="22"/>
  <c r="J1346" i="22"/>
  <c r="J1345" i="22"/>
  <c r="J1344" i="22"/>
  <c r="J1343" i="22"/>
  <c r="J1342" i="22"/>
  <c r="J1341" i="22"/>
  <c r="J1340" i="22"/>
  <c r="J1339" i="22"/>
  <c r="J1338" i="22"/>
  <c r="J1337" i="22"/>
  <c r="J1336" i="22"/>
  <c r="J1335" i="22"/>
  <c r="J1334" i="22"/>
  <c r="J1333" i="22"/>
  <c r="J1332" i="22"/>
  <c r="J1331" i="22"/>
  <c r="J1330" i="22"/>
  <c r="J1329" i="22"/>
  <c r="J1328" i="22"/>
  <c r="J1327" i="22"/>
  <c r="J1326" i="22"/>
  <c r="J1325" i="22"/>
  <c r="J1324" i="22"/>
  <c r="J1323" i="22"/>
  <c r="J1322" i="22"/>
  <c r="J1321" i="22"/>
  <c r="J1320" i="22"/>
  <c r="J1319" i="22"/>
  <c r="J1318" i="22"/>
  <c r="J1317" i="22"/>
  <c r="J1316" i="22"/>
  <c r="J1315" i="22"/>
  <c r="J1314" i="22"/>
  <c r="J1313" i="22"/>
  <c r="J1312" i="22"/>
  <c r="J1311" i="22"/>
  <c r="J1310" i="22"/>
  <c r="J1309" i="22"/>
  <c r="J1308" i="22"/>
  <c r="J1307" i="22"/>
  <c r="J1306" i="22"/>
  <c r="J1305" i="22"/>
  <c r="J1304" i="22"/>
  <c r="J1303" i="22"/>
  <c r="J1302" i="22"/>
  <c r="J1301" i="22"/>
  <c r="J1300" i="22"/>
  <c r="J1299" i="22"/>
  <c r="J1298" i="22"/>
  <c r="J1297" i="22"/>
  <c r="J1296" i="22"/>
  <c r="J1295" i="22"/>
  <c r="J1294" i="22"/>
  <c r="J1293" i="22"/>
  <c r="J1292" i="22"/>
  <c r="J1291" i="22"/>
  <c r="J1290" i="22"/>
  <c r="J1289" i="22"/>
  <c r="J1288" i="22"/>
  <c r="J1287" i="22"/>
  <c r="J1286" i="22"/>
  <c r="J1285" i="22"/>
  <c r="J1284" i="22"/>
  <c r="J1283" i="22"/>
  <c r="J1282" i="22"/>
  <c r="J1281" i="22"/>
  <c r="J1280" i="22"/>
  <c r="J1279" i="22"/>
  <c r="J1278" i="22"/>
  <c r="J1277" i="22"/>
  <c r="J1276" i="22"/>
  <c r="J1275" i="22"/>
  <c r="J1274" i="22"/>
  <c r="J1273" i="22"/>
  <c r="J1272" i="22"/>
  <c r="J1271" i="22"/>
  <c r="J1270" i="22"/>
  <c r="J1269" i="22"/>
  <c r="J1268" i="22"/>
  <c r="J1267" i="22"/>
  <c r="J1266" i="22"/>
  <c r="J1265" i="22"/>
  <c r="J1264" i="22"/>
  <c r="J1263" i="22"/>
  <c r="J1262" i="22"/>
  <c r="J1261" i="22"/>
  <c r="J1260" i="22"/>
  <c r="J1259" i="22"/>
  <c r="J1258" i="22"/>
  <c r="J1257" i="22"/>
  <c r="J1256" i="22"/>
  <c r="J1255" i="22"/>
  <c r="J1254" i="22"/>
  <c r="J1253" i="22"/>
  <c r="J1252" i="22"/>
  <c r="J1251" i="22"/>
  <c r="J1250" i="22"/>
  <c r="J1249" i="22"/>
  <c r="J1248" i="22"/>
  <c r="J1247" i="22"/>
  <c r="J1246" i="22"/>
  <c r="J1245" i="22"/>
  <c r="J1244" i="22"/>
  <c r="J1243" i="22"/>
  <c r="J1242" i="22"/>
  <c r="J1241" i="22"/>
  <c r="J1240" i="22"/>
  <c r="J1239" i="22"/>
  <c r="J1238" i="22"/>
  <c r="J1237" i="22"/>
  <c r="J1236" i="22"/>
  <c r="J1235" i="22"/>
  <c r="J1234" i="22"/>
  <c r="J1233" i="22"/>
  <c r="J1232" i="22"/>
  <c r="J1231" i="22"/>
  <c r="J1230" i="22"/>
  <c r="J1229" i="22"/>
  <c r="J1228" i="22"/>
  <c r="J1227" i="22"/>
  <c r="J1226" i="22"/>
  <c r="J1225" i="22"/>
  <c r="J1224" i="22"/>
  <c r="J1223" i="22"/>
  <c r="J1222" i="22"/>
  <c r="J1221" i="22"/>
  <c r="J1220" i="22"/>
  <c r="J1219" i="22"/>
  <c r="J1218" i="22"/>
  <c r="J1217" i="22"/>
  <c r="J1216" i="22"/>
  <c r="J1215" i="22"/>
  <c r="J1214" i="22"/>
  <c r="J1213" i="22"/>
  <c r="J1212" i="22"/>
  <c r="J1211" i="22"/>
  <c r="J1210" i="22"/>
  <c r="J1209" i="22"/>
  <c r="J1208" i="22"/>
  <c r="J1207" i="22"/>
  <c r="J1206" i="22"/>
  <c r="J1205" i="22"/>
  <c r="J1204" i="22"/>
  <c r="J1203" i="22"/>
  <c r="J1202" i="22"/>
  <c r="J1201" i="22"/>
  <c r="J1200" i="22"/>
  <c r="J1199" i="22"/>
  <c r="J1198" i="22"/>
  <c r="J1197" i="22"/>
  <c r="J1196" i="22"/>
  <c r="J1195" i="22"/>
  <c r="J1194" i="22"/>
  <c r="J1193" i="22"/>
  <c r="J1192" i="22"/>
  <c r="J1191" i="22"/>
  <c r="J1190" i="22"/>
  <c r="J1189" i="22"/>
  <c r="J1188" i="22"/>
  <c r="J1187" i="22"/>
  <c r="J1186" i="22"/>
  <c r="J1185" i="22"/>
  <c r="J1184" i="22"/>
  <c r="J1183" i="22"/>
  <c r="J1182" i="22"/>
  <c r="J1181" i="22"/>
  <c r="J1180" i="22"/>
  <c r="J1179" i="22"/>
  <c r="J1178" i="22"/>
  <c r="J1177" i="22"/>
  <c r="J1176" i="22"/>
  <c r="J1175" i="22"/>
  <c r="J1174" i="22"/>
  <c r="J1173" i="22"/>
  <c r="J1172" i="22"/>
  <c r="J1171" i="22"/>
  <c r="J1170" i="22"/>
  <c r="J1169" i="22"/>
  <c r="J1168" i="22"/>
  <c r="J1167" i="22"/>
  <c r="J1166" i="22"/>
  <c r="J1165" i="22"/>
  <c r="J1164" i="22"/>
  <c r="J1163" i="22"/>
  <c r="J1162" i="22"/>
  <c r="J1161" i="22"/>
  <c r="J1160" i="22"/>
  <c r="J1159" i="22"/>
  <c r="J1158" i="22"/>
  <c r="J1157" i="22"/>
  <c r="J1156" i="22"/>
  <c r="J1155" i="22"/>
  <c r="J1154" i="22"/>
  <c r="J1153" i="22"/>
  <c r="J1152" i="22"/>
  <c r="J1151" i="22"/>
  <c r="J1150" i="22"/>
  <c r="J1149" i="22"/>
  <c r="J1148" i="22"/>
  <c r="J1147" i="22"/>
  <c r="J1146" i="22"/>
  <c r="J1145" i="22"/>
  <c r="J1144" i="22"/>
  <c r="J1143" i="22"/>
  <c r="J1142" i="22"/>
  <c r="J1141" i="22"/>
  <c r="J1140" i="22"/>
  <c r="J1139" i="22"/>
  <c r="J1138" i="22"/>
  <c r="J1137" i="22"/>
  <c r="J1136" i="22"/>
  <c r="J1135" i="22"/>
  <c r="J1134" i="22"/>
  <c r="J1133" i="22"/>
  <c r="J1132" i="22"/>
  <c r="J1131" i="22"/>
  <c r="J1130" i="22"/>
  <c r="J1129" i="22"/>
  <c r="J1128" i="22"/>
  <c r="J1127" i="22"/>
  <c r="J1126" i="22"/>
  <c r="J1125" i="22"/>
  <c r="J1124" i="22"/>
  <c r="J1123" i="22"/>
  <c r="J1122" i="22"/>
  <c r="J1121" i="22"/>
  <c r="J1120" i="22"/>
  <c r="J1119" i="22"/>
  <c r="J1118" i="22"/>
  <c r="J1117" i="22"/>
  <c r="J1116" i="22"/>
  <c r="J1115" i="22"/>
  <c r="J1114" i="22"/>
  <c r="J1113" i="22"/>
  <c r="J1112" i="22"/>
  <c r="J1111" i="22"/>
  <c r="J1110" i="22"/>
  <c r="J1109" i="22"/>
  <c r="J1108" i="22"/>
  <c r="J1107" i="22"/>
  <c r="J1106" i="22"/>
  <c r="J1105" i="22"/>
  <c r="J1104" i="22"/>
  <c r="J1103" i="22"/>
  <c r="J1102" i="22"/>
  <c r="J1101" i="22"/>
  <c r="J1100" i="22"/>
  <c r="J1099" i="22"/>
  <c r="J1098" i="22"/>
  <c r="J1097" i="22"/>
  <c r="J1096" i="22"/>
  <c r="J1095" i="22"/>
  <c r="J1094" i="22"/>
  <c r="J1093" i="22"/>
  <c r="J1092" i="22"/>
  <c r="J1091" i="22"/>
  <c r="J1090" i="22"/>
  <c r="J1089" i="22"/>
  <c r="J1088" i="22"/>
  <c r="J1087" i="22"/>
  <c r="J1086" i="22"/>
  <c r="J1085" i="22"/>
  <c r="J1084" i="22"/>
  <c r="J1083" i="22"/>
  <c r="J1082" i="22"/>
  <c r="J1081" i="22"/>
  <c r="J1080" i="22"/>
  <c r="J1079" i="22"/>
  <c r="J1078" i="22"/>
  <c r="J1077" i="22"/>
  <c r="J1076" i="22"/>
  <c r="J1075" i="22"/>
  <c r="J1074" i="22"/>
  <c r="J1073" i="22"/>
  <c r="J1072" i="22"/>
  <c r="J1071" i="22"/>
  <c r="J1070" i="22"/>
  <c r="J1069" i="22"/>
  <c r="J1068" i="22"/>
  <c r="J1067" i="22"/>
  <c r="J1066" i="22"/>
  <c r="J1065" i="22"/>
  <c r="J1064" i="22"/>
  <c r="J1063" i="22"/>
  <c r="J1062" i="22"/>
  <c r="J1061" i="22"/>
  <c r="J1060" i="22"/>
  <c r="J1059" i="22"/>
  <c r="J1058" i="22"/>
  <c r="J1057" i="22"/>
  <c r="J1056" i="22"/>
  <c r="J1055" i="22"/>
  <c r="J1054" i="22"/>
  <c r="J1053" i="22"/>
  <c r="J1052" i="22"/>
  <c r="J1051" i="22"/>
  <c r="J1050" i="22"/>
  <c r="J1049" i="22"/>
  <c r="J1048" i="22"/>
  <c r="J1047" i="22"/>
  <c r="J1046" i="22"/>
  <c r="J1045" i="22"/>
  <c r="J1044" i="22"/>
  <c r="J1043" i="22"/>
  <c r="J1042" i="22"/>
  <c r="J1041" i="22"/>
  <c r="J1040" i="22"/>
  <c r="J1039" i="22"/>
  <c r="J1038" i="22"/>
  <c r="J1037" i="22"/>
  <c r="J1036" i="22"/>
  <c r="J1035" i="22"/>
  <c r="J1034" i="22"/>
  <c r="J1033" i="22"/>
  <c r="J1032" i="22"/>
  <c r="J1031" i="22"/>
  <c r="J1030" i="22"/>
  <c r="J1029" i="22"/>
  <c r="J1028" i="22"/>
  <c r="J1027" i="22"/>
  <c r="J1026" i="22"/>
  <c r="J1025" i="22"/>
  <c r="J1024" i="22"/>
  <c r="J1023" i="22"/>
  <c r="J1022" i="22"/>
  <c r="J1021" i="22"/>
  <c r="J1020" i="22"/>
  <c r="J1019" i="22"/>
  <c r="J1018" i="22"/>
  <c r="J1017" i="22"/>
  <c r="J1016" i="22"/>
  <c r="J1015" i="22"/>
  <c r="J1014" i="22"/>
  <c r="J1013" i="22"/>
  <c r="J1012" i="22"/>
  <c r="J1011" i="22"/>
  <c r="J1010" i="22"/>
  <c r="J1009" i="22"/>
  <c r="J1008" i="22"/>
  <c r="J1007" i="22"/>
  <c r="J1006" i="22"/>
  <c r="J1005" i="22"/>
  <c r="J1004" i="22"/>
  <c r="J1003" i="22"/>
  <c r="J1002" i="22"/>
  <c r="J1001" i="22"/>
  <c r="J1000" i="22"/>
  <c r="J999" i="22"/>
  <c r="J998" i="22"/>
  <c r="J997" i="22"/>
  <c r="J996" i="22"/>
  <c r="J995" i="22"/>
  <c r="J994" i="22"/>
  <c r="J993" i="22"/>
  <c r="J992" i="22"/>
  <c r="J991" i="22"/>
  <c r="J990" i="22"/>
  <c r="J989" i="22"/>
  <c r="J988" i="22"/>
  <c r="J987" i="22"/>
  <c r="J986" i="22"/>
  <c r="J985" i="22"/>
  <c r="J984" i="22"/>
  <c r="J983" i="22"/>
  <c r="J982" i="22"/>
  <c r="J981" i="22"/>
  <c r="J980" i="22"/>
  <c r="J979" i="22"/>
  <c r="J978" i="22"/>
  <c r="J977" i="22"/>
  <c r="J976" i="22"/>
  <c r="J975" i="22"/>
  <c r="J974" i="22"/>
  <c r="J973" i="22"/>
  <c r="J972" i="22"/>
  <c r="J971" i="22"/>
  <c r="J970" i="22"/>
  <c r="J969" i="22"/>
  <c r="J968" i="22"/>
  <c r="J967" i="22"/>
  <c r="J966" i="22"/>
  <c r="J965" i="22"/>
  <c r="J964" i="22"/>
  <c r="J963" i="22"/>
  <c r="J962" i="22"/>
  <c r="J961" i="22"/>
  <c r="J960" i="22"/>
  <c r="J959" i="22"/>
  <c r="J958" i="22"/>
  <c r="J957" i="22"/>
  <c r="J956" i="22"/>
  <c r="J955" i="22"/>
  <c r="J954" i="22"/>
  <c r="J953" i="22"/>
  <c r="J952" i="22"/>
  <c r="J951" i="22"/>
  <c r="J950" i="22"/>
  <c r="J949" i="22"/>
  <c r="J948" i="22"/>
  <c r="J947" i="22"/>
  <c r="J946" i="22"/>
  <c r="J945" i="22"/>
  <c r="J944" i="22"/>
  <c r="J943" i="22"/>
  <c r="J942" i="22"/>
  <c r="J941" i="22"/>
  <c r="J940" i="22"/>
  <c r="J939" i="22"/>
  <c r="J938" i="22"/>
  <c r="J937" i="22"/>
  <c r="J936" i="22"/>
  <c r="J935" i="22"/>
  <c r="J934" i="22"/>
  <c r="J933" i="22"/>
  <c r="J932" i="22"/>
  <c r="J931" i="22"/>
  <c r="J930" i="22"/>
  <c r="J929" i="22"/>
  <c r="J928" i="22"/>
  <c r="J927" i="22"/>
  <c r="J926" i="22"/>
  <c r="J925" i="22"/>
  <c r="J924" i="22"/>
  <c r="J923" i="22"/>
  <c r="J922" i="22"/>
  <c r="J921" i="22"/>
  <c r="J920" i="22"/>
  <c r="J919" i="22"/>
  <c r="J918" i="22"/>
  <c r="J917" i="22"/>
  <c r="J916" i="22"/>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4" i="19"/>
  <c r="F13" i="19"/>
  <c r="F12" i="19"/>
  <c r="F11" i="19"/>
  <c r="F10" i="19"/>
  <c r="F9" i="19"/>
  <c r="F8" i="19"/>
  <c r="F7" i="19"/>
  <c r="F6" i="19"/>
  <c r="F5" i="19"/>
  <c r="F4" i="19"/>
  <c r="F332" i="16"/>
  <c r="I332" i="16" s="1"/>
  <c r="F331" i="16"/>
  <c r="I331" i="16" s="1"/>
  <c r="F330" i="16"/>
  <c r="I330" i="16" s="1"/>
  <c r="F329" i="16"/>
  <c r="I329" i="16" s="1"/>
  <c r="F328" i="16"/>
  <c r="I328" i="16" s="1"/>
  <c r="F327" i="16"/>
  <c r="I327" i="16" s="1"/>
  <c r="F326" i="16"/>
  <c r="I326" i="16" s="1"/>
  <c r="F325" i="16"/>
  <c r="I325" i="16" s="1"/>
  <c r="F324" i="16"/>
  <c r="I324" i="16" s="1"/>
  <c r="F323" i="16"/>
  <c r="I323" i="16" s="1"/>
  <c r="F322" i="16"/>
  <c r="I322" i="16" s="1"/>
  <c r="F321" i="16"/>
  <c r="I321" i="16" s="1"/>
  <c r="F320" i="16"/>
  <c r="I320" i="16" s="1"/>
  <c r="F319" i="16"/>
  <c r="I319" i="16" s="1"/>
  <c r="F318" i="16"/>
  <c r="I318" i="16" s="1"/>
  <c r="F317" i="16"/>
  <c r="I317" i="16" s="1"/>
  <c r="F316" i="16"/>
  <c r="I316" i="16" s="1"/>
  <c r="F315" i="16"/>
  <c r="I315" i="16" s="1"/>
  <c r="F314" i="16"/>
  <c r="I314" i="16" s="1"/>
  <c r="F313" i="16"/>
  <c r="I313" i="16" s="1"/>
  <c r="F312" i="16"/>
  <c r="I312" i="16" s="1"/>
  <c r="F311" i="16"/>
  <c r="I311" i="16" s="1"/>
  <c r="F310" i="16"/>
  <c r="I310" i="16" s="1"/>
  <c r="F309" i="16"/>
  <c r="I309" i="16" s="1"/>
  <c r="F308" i="16"/>
  <c r="I308" i="16" s="1"/>
  <c r="F307" i="16"/>
  <c r="I307" i="16" s="1"/>
  <c r="F306" i="16"/>
  <c r="I306" i="16" s="1"/>
  <c r="F305" i="16"/>
  <c r="I305" i="16" s="1"/>
  <c r="F304" i="16"/>
  <c r="I304" i="16" s="1"/>
  <c r="F303" i="16"/>
  <c r="I303" i="16" s="1"/>
  <c r="F302" i="16"/>
  <c r="I302" i="16" s="1"/>
  <c r="F301" i="16"/>
  <c r="I301" i="16" s="1"/>
  <c r="F300" i="16"/>
  <c r="I300" i="16" s="1"/>
  <c r="F299" i="16"/>
  <c r="I299" i="16" s="1"/>
  <c r="F298" i="16"/>
  <c r="I298" i="16" s="1"/>
  <c r="F297" i="16"/>
  <c r="I297" i="16" s="1"/>
  <c r="F296" i="16"/>
  <c r="I296" i="16" s="1"/>
  <c r="F295" i="16"/>
  <c r="I295" i="16" s="1"/>
  <c r="F294" i="16"/>
  <c r="I294" i="16" s="1"/>
  <c r="F293" i="16"/>
  <c r="I293" i="16" s="1"/>
  <c r="F292" i="16"/>
  <c r="I292" i="16" s="1"/>
  <c r="F291" i="16"/>
  <c r="I291" i="16" s="1"/>
  <c r="F290" i="16"/>
  <c r="I290" i="16" s="1"/>
  <c r="F289" i="16"/>
  <c r="I289" i="16" s="1"/>
  <c r="F288" i="16"/>
  <c r="I288" i="16" s="1"/>
  <c r="F287" i="16"/>
  <c r="I287" i="16" s="1"/>
  <c r="F286" i="16"/>
  <c r="I286" i="16" s="1"/>
  <c r="F285" i="16"/>
  <c r="I285" i="16" s="1"/>
  <c r="F284" i="16"/>
  <c r="I284" i="16" s="1"/>
  <c r="F283" i="16"/>
  <c r="I283" i="16" s="1"/>
  <c r="F282" i="16"/>
  <c r="I282" i="16" s="1"/>
  <c r="F281" i="16"/>
  <c r="I281" i="16" s="1"/>
  <c r="F280" i="16"/>
  <c r="I280" i="16" s="1"/>
  <c r="F279" i="16"/>
  <c r="I279" i="16" s="1"/>
  <c r="F278" i="16"/>
  <c r="I278" i="16" s="1"/>
  <c r="F277" i="16"/>
  <c r="I277" i="16" s="1"/>
  <c r="F276" i="16"/>
  <c r="I276" i="16" s="1"/>
  <c r="F275" i="16"/>
  <c r="I275" i="16" s="1"/>
  <c r="F274" i="16"/>
  <c r="I274" i="16" s="1"/>
  <c r="F273" i="16"/>
  <c r="I273" i="16" s="1"/>
  <c r="F272" i="16"/>
  <c r="I272" i="16" s="1"/>
  <c r="F271" i="16"/>
  <c r="I271" i="16" s="1"/>
  <c r="F270" i="16"/>
  <c r="I270" i="16" s="1"/>
  <c r="F269" i="16"/>
  <c r="I269" i="16" s="1"/>
  <c r="F268" i="16"/>
  <c r="I268" i="16" s="1"/>
  <c r="F267" i="16"/>
  <c r="I267" i="16" s="1"/>
  <c r="F266" i="16"/>
  <c r="I266" i="16" s="1"/>
  <c r="F265" i="16"/>
  <c r="I265" i="16" s="1"/>
  <c r="F264" i="16"/>
  <c r="I264" i="16" s="1"/>
  <c r="F263" i="16"/>
  <c r="I263" i="16" s="1"/>
  <c r="F262" i="16"/>
  <c r="I262" i="16" s="1"/>
  <c r="F261" i="16"/>
  <c r="I261" i="16" s="1"/>
  <c r="F260" i="16"/>
  <c r="I260" i="16" s="1"/>
  <c r="F259" i="16"/>
  <c r="I259" i="16" s="1"/>
  <c r="F258" i="16"/>
  <c r="I258" i="16" s="1"/>
  <c r="F257" i="16"/>
  <c r="I257" i="16" s="1"/>
  <c r="F256" i="16"/>
  <c r="I256" i="16" s="1"/>
  <c r="F255" i="16"/>
  <c r="I255" i="16" s="1"/>
  <c r="F254" i="16"/>
  <c r="I254" i="16" s="1"/>
  <c r="F253" i="16"/>
  <c r="I253" i="16" s="1"/>
  <c r="F252" i="16"/>
  <c r="I252" i="16" s="1"/>
  <c r="F251" i="16"/>
  <c r="I251" i="16" s="1"/>
  <c r="F250" i="16"/>
  <c r="I250" i="16" s="1"/>
  <c r="F249" i="16"/>
  <c r="I249" i="16" s="1"/>
  <c r="F248" i="16"/>
  <c r="I248" i="16" s="1"/>
  <c r="F247" i="16"/>
  <c r="I247" i="16" s="1"/>
  <c r="F246" i="16"/>
  <c r="I246" i="16" s="1"/>
  <c r="F245" i="16"/>
  <c r="I245" i="16" s="1"/>
  <c r="F244" i="16"/>
  <c r="I244" i="16" s="1"/>
  <c r="F243" i="16"/>
  <c r="I243" i="16" s="1"/>
  <c r="F242" i="16"/>
  <c r="I242" i="16" s="1"/>
  <c r="F241" i="16"/>
  <c r="I241" i="16" s="1"/>
  <c r="F240" i="16"/>
  <c r="I240" i="16" s="1"/>
  <c r="F239" i="16"/>
  <c r="I239" i="16" s="1"/>
  <c r="F238" i="16"/>
  <c r="I238" i="16" s="1"/>
  <c r="F237" i="16"/>
  <c r="I237" i="16" s="1"/>
  <c r="F236" i="16"/>
  <c r="I236" i="16" s="1"/>
  <c r="F235" i="16"/>
  <c r="I235" i="16" s="1"/>
  <c r="F234" i="16"/>
  <c r="I234" i="16" s="1"/>
  <c r="F233" i="16"/>
  <c r="I233" i="16" s="1"/>
  <c r="F232" i="16"/>
  <c r="I232" i="16" s="1"/>
  <c r="F231" i="16"/>
  <c r="I231" i="16" s="1"/>
  <c r="F230" i="16"/>
  <c r="I230" i="16" s="1"/>
  <c r="F229" i="16"/>
  <c r="I229" i="16" s="1"/>
  <c r="F228" i="16"/>
  <c r="I228" i="16" s="1"/>
  <c r="F227" i="16"/>
  <c r="I227" i="16" s="1"/>
  <c r="F226" i="16"/>
  <c r="I226" i="16" s="1"/>
  <c r="F225" i="16"/>
  <c r="I225" i="16" s="1"/>
  <c r="F224" i="16"/>
  <c r="I224" i="16" s="1"/>
  <c r="F223" i="16"/>
  <c r="I223" i="16" s="1"/>
  <c r="F222" i="16"/>
  <c r="I222" i="16" s="1"/>
  <c r="F221" i="16"/>
  <c r="I221" i="16" s="1"/>
  <c r="F220" i="16"/>
  <c r="I220" i="16" s="1"/>
  <c r="F219" i="16"/>
  <c r="I219" i="16" s="1"/>
  <c r="F218" i="16"/>
  <c r="I218" i="16" s="1"/>
  <c r="F217" i="16"/>
  <c r="I217" i="16" s="1"/>
  <c r="F216" i="16"/>
  <c r="I216" i="16" s="1"/>
  <c r="F215" i="16"/>
  <c r="I215" i="16" s="1"/>
  <c r="F214" i="16"/>
  <c r="I214" i="16" s="1"/>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C380" i="20"/>
  <c r="C381" i="20" s="1"/>
  <c r="C382" i="20" s="1"/>
  <c r="C383" i="20" s="1"/>
  <c r="C384" i="20" s="1"/>
  <c r="C376" i="20"/>
  <c r="C377" i="20" s="1"/>
  <c r="C378" i="20" s="1"/>
  <c r="C379" i="20" s="1"/>
  <c r="C371" i="20"/>
  <c r="C372" i="20" s="1"/>
  <c r="C373" i="20" s="1"/>
  <c r="C374" i="20" s="1"/>
  <c r="C375" i="20" s="1"/>
  <c r="C366" i="20"/>
  <c r="C367" i="20" s="1"/>
  <c r="C368" i="20" s="1"/>
  <c r="C369" i="20" s="1"/>
  <c r="C370" i="20" s="1"/>
  <c r="C362" i="20"/>
  <c r="C363" i="20" s="1"/>
  <c r="C364" i="20" s="1"/>
  <c r="C365" i="20" s="1"/>
  <c r="C358" i="20"/>
  <c r="C359" i="20" s="1"/>
  <c r="C360" i="20" s="1"/>
  <c r="C361" i="20" s="1"/>
  <c r="C356" i="20"/>
  <c r="C357" i="20" s="1"/>
  <c r="C354" i="20"/>
  <c r="C355" i="20" s="1"/>
  <c r="C352" i="20"/>
  <c r="C353" i="20" s="1"/>
  <c r="C350" i="20"/>
  <c r="C351" i="20" s="1"/>
  <c r="C348" i="20"/>
  <c r="C349" i="20" s="1"/>
  <c r="C346" i="20"/>
  <c r="C347" i="20" s="1"/>
  <c r="C344" i="20"/>
  <c r="C345" i="20" s="1"/>
  <c r="C340" i="20"/>
  <c r="C341" i="20" s="1"/>
  <c r="C342" i="20" s="1"/>
  <c r="C343" i="20" s="1"/>
  <c r="C336" i="20"/>
  <c r="C337" i="20" s="1"/>
  <c r="C338" i="20" s="1"/>
  <c r="C339" i="20" s="1"/>
  <c r="C332" i="20"/>
  <c r="C333" i="20" s="1"/>
  <c r="C334" i="20" s="1"/>
  <c r="C335" i="20" s="1"/>
  <c r="C328" i="20"/>
  <c r="C329" i="20" s="1"/>
  <c r="C330" i="20" s="1"/>
  <c r="C331" i="20" s="1"/>
  <c r="C325" i="20"/>
  <c r="C326" i="20" s="1"/>
  <c r="C327" i="20" s="1"/>
  <c r="C315" i="20"/>
  <c r="C316" i="20" s="1"/>
  <c r="C317" i="20" s="1"/>
  <c r="C318" i="20" s="1"/>
  <c r="C319" i="20" s="1"/>
  <c r="C320" i="20" s="1"/>
  <c r="C321" i="20" s="1"/>
  <c r="C322" i="20" s="1"/>
  <c r="C323" i="20" s="1"/>
  <c r="C324" i="20" s="1"/>
  <c r="C310" i="20"/>
  <c r="C311" i="20" s="1"/>
  <c r="C312" i="20" s="1"/>
  <c r="C313" i="20" s="1"/>
  <c r="C314" i="20" s="1"/>
  <c r="C304" i="20"/>
  <c r="C305" i="20" s="1"/>
  <c r="C306" i="20" s="1"/>
  <c r="C307" i="20" s="1"/>
  <c r="C308" i="20" s="1"/>
  <c r="C309" i="20" s="1"/>
  <c r="C298" i="20"/>
  <c r="C299" i="20" s="1"/>
  <c r="C300" i="20" s="1"/>
  <c r="C301" i="20" s="1"/>
  <c r="C302" i="20" s="1"/>
  <c r="C303" i="20" s="1"/>
  <c r="C292" i="20"/>
  <c r="C293" i="20" s="1"/>
  <c r="C294" i="20" s="1"/>
  <c r="C295" i="20" s="1"/>
  <c r="C296" i="20" s="1"/>
  <c r="C297" i="20" s="1"/>
  <c r="C288" i="20"/>
  <c r="C289" i="20" s="1"/>
  <c r="C290" i="20" s="1"/>
  <c r="C291" i="20" s="1"/>
  <c r="C287" i="20"/>
  <c r="C286" i="20"/>
  <c r="C283" i="20"/>
  <c r="C284" i="20" s="1"/>
  <c r="C285" i="20" s="1"/>
  <c r="C276" i="20"/>
  <c r="C277" i="20" s="1"/>
  <c r="C278" i="20" s="1"/>
  <c r="C279" i="20" s="1"/>
  <c r="C280" i="20" s="1"/>
  <c r="C281" i="20" s="1"/>
  <c r="C282" i="20" s="1"/>
  <c r="C268" i="20"/>
  <c r="C269" i="20" s="1"/>
  <c r="C270" i="20" s="1"/>
  <c r="C271" i="20" s="1"/>
  <c r="C272" i="20" s="1"/>
  <c r="C273" i="20" s="1"/>
  <c r="C274" i="20" s="1"/>
  <c r="C275" i="20" s="1"/>
  <c r="C265" i="20"/>
  <c r="C266" i="20" s="1"/>
  <c r="C267" i="20" s="1"/>
  <c r="C249" i="20"/>
  <c r="C250" i="20" s="1"/>
  <c r="C251" i="20" s="1"/>
  <c r="C252" i="20" s="1"/>
  <c r="C253" i="20" s="1"/>
  <c r="C254" i="20" s="1"/>
  <c r="C255" i="20" s="1"/>
  <c r="C256" i="20" s="1"/>
  <c r="C257" i="20" s="1"/>
  <c r="C258" i="20" s="1"/>
  <c r="C259" i="20" s="1"/>
  <c r="C260" i="20" s="1"/>
  <c r="C261" i="20" s="1"/>
  <c r="C262" i="20" s="1"/>
  <c r="C263" i="20" s="1"/>
  <c r="C264" i="20" s="1"/>
  <c r="C231" i="20"/>
  <c r="C232" i="20" s="1"/>
  <c r="C233" i="20" s="1"/>
  <c r="C234" i="20" s="1"/>
  <c r="C235" i="20" s="1"/>
  <c r="C236" i="20" s="1"/>
  <c r="C237" i="20" s="1"/>
  <c r="C238" i="20" s="1"/>
  <c r="C239" i="20" s="1"/>
  <c r="C240" i="20" s="1"/>
  <c r="C241" i="20" s="1"/>
  <c r="C242" i="20" s="1"/>
  <c r="C243" i="20" s="1"/>
  <c r="C244" i="20" s="1"/>
  <c r="C245" i="20" s="1"/>
  <c r="C246" i="20" s="1"/>
  <c r="C247" i="20" s="1"/>
  <c r="C248" i="20" s="1"/>
  <c r="C224" i="20"/>
  <c r="C225" i="20" s="1"/>
  <c r="C226" i="20" s="1"/>
  <c r="C227" i="20" s="1"/>
  <c r="C228" i="20" s="1"/>
  <c r="C229" i="20" s="1"/>
  <c r="C230" i="20" s="1"/>
  <c r="C213" i="20"/>
  <c r="C214" i="20" s="1"/>
  <c r="C215" i="20" s="1"/>
  <c r="C216" i="20" s="1"/>
  <c r="C217" i="20" s="1"/>
  <c r="C218" i="20" s="1"/>
  <c r="C219" i="20" s="1"/>
  <c r="C220" i="20" s="1"/>
  <c r="C221" i="20" s="1"/>
  <c r="C222" i="20" s="1"/>
  <c r="C223" i="20" s="1"/>
  <c r="C211" i="20"/>
  <c r="C212" i="20" s="1"/>
  <c r="C209" i="20"/>
  <c r="C210" i="20" s="1"/>
  <c r="C202" i="20"/>
  <c r="C203" i="20" s="1"/>
  <c r="C204" i="20" s="1"/>
  <c r="C205" i="20" s="1"/>
  <c r="C206" i="20" s="1"/>
  <c r="C207" i="20" s="1"/>
  <c r="C208" i="20" s="1"/>
  <c r="C195" i="20"/>
  <c r="C196" i="20" s="1"/>
  <c r="C197" i="20" s="1"/>
  <c r="C198" i="20" s="1"/>
  <c r="C199" i="20" s="1"/>
  <c r="C200" i="20" s="1"/>
  <c r="C201" i="20" s="1"/>
  <c r="C191" i="20"/>
  <c r="C192" i="20" s="1"/>
  <c r="C193" i="20" s="1"/>
  <c r="C194" i="20" s="1"/>
  <c r="C187" i="20"/>
  <c r="C188" i="20" s="1"/>
  <c r="C189" i="20" s="1"/>
  <c r="C190" i="20" s="1"/>
  <c r="C182" i="20"/>
  <c r="C183" i="20" s="1"/>
  <c r="C184" i="20" s="1"/>
  <c r="C185" i="20" s="1"/>
  <c r="C186" i="20" s="1"/>
  <c r="C179" i="20"/>
  <c r="C180" i="20" s="1"/>
  <c r="C181" i="20" s="1"/>
  <c r="C177" i="20"/>
  <c r="C178" i="20" s="1"/>
  <c r="C174" i="20"/>
  <c r="C175" i="20" s="1"/>
  <c r="C176" i="20" s="1"/>
  <c r="C172" i="20"/>
  <c r="C173" i="20" s="1"/>
  <c r="C170" i="20"/>
  <c r="C171" i="20" s="1"/>
  <c r="C165" i="20"/>
  <c r="C166" i="20" s="1"/>
  <c r="C167" i="20" s="1"/>
  <c r="C168" i="20" s="1"/>
  <c r="C169" i="20" s="1"/>
  <c r="C160" i="20"/>
  <c r="C161" i="20" s="1"/>
  <c r="C162" i="20" s="1"/>
  <c r="C163" i="20" s="1"/>
  <c r="C164" i="20" s="1"/>
  <c r="C158" i="20"/>
  <c r="C159" i="20" s="1"/>
  <c r="C156" i="20"/>
  <c r="C157" i="20" s="1"/>
  <c r="C150" i="20"/>
  <c r="C151" i="20" s="1"/>
  <c r="C145" i="20"/>
  <c r="C146" i="20" s="1"/>
  <c r="C147" i="20" s="1"/>
  <c r="C148" i="20" s="1"/>
  <c r="C149" i="20" s="1"/>
  <c r="C143" i="20"/>
  <c r="C144" i="20" s="1"/>
  <c r="C141" i="20"/>
  <c r="C142" i="20" s="1"/>
  <c r="C139" i="20"/>
  <c r="C140" i="20" s="1"/>
  <c r="C137" i="20"/>
  <c r="C138" i="20" s="1"/>
  <c r="C136" i="20"/>
  <c r="C135" i="20"/>
  <c r="C133" i="20"/>
  <c r="C134" i="20" s="1"/>
  <c r="C125" i="20"/>
  <c r="C126" i="20" s="1"/>
  <c r="C127" i="20" s="1"/>
  <c r="C128" i="20" s="1"/>
  <c r="C129" i="20" s="1"/>
  <c r="C130" i="20" s="1"/>
  <c r="C131" i="20" s="1"/>
  <c r="C132" i="20" s="1"/>
  <c r="C116" i="20"/>
  <c r="C117" i="20" s="1"/>
  <c r="C118" i="20" s="1"/>
  <c r="C119" i="20" s="1"/>
  <c r="C120" i="20" s="1"/>
  <c r="C121" i="20" s="1"/>
  <c r="C122" i="20" s="1"/>
  <c r="C123" i="20" s="1"/>
  <c r="C124" i="20" s="1"/>
  <c r="C111" i="20"/>
  <c r="C112" i="20" s="1"/>
  <c r="C113" i="20" s="1"/>
  <c r="C114" i="20" s="1"/>
  <c r="C115" i="20" s="1"/>
  <c r="C106" i="20"/>
  <c r="C107" i="20" s="1"/>
  <c r="C108" i="20" s="1"/>
  <c r="C109" i="20" s="1"/>
  <c r="C110" i="20" s="1"/>
  <c r="C104" i="20"/>
  <c r="C105" i="20" s="1"/>
  <c r="C103" i="20"/>
  <c r="C102" i="20"/>
  <c r="C100" i="20"/>
  <c r="C101" i="20" s="1"/>
  <c r="C97" i="20"/>
  <c r="C98" i="20" s="1"/>
  <c r="C99" i="20" s="1"/>
  <c r="C94" i="20"/>
  <c r="C95" i="20" s="1"/>
  <c r="C96" i="20" s="1"/>
  <c r="C89" i="20"/>
  <c r="C90" i="20" s="1"/>
  <c r="C91" i="20" s="1"/>
  <c r="C92" i="20" s="1"/>
  <c r="C93" i="20" s="1"/>
  <c r="C84" i="20"/>
  <c r="C85" i="20" s="1"/>
  <c r="C86" i="20" s="1"/>
  <c r="C87" i="20" s="1"/>
  <c r="C88" i="20" s="1"/>
  <c r="C79" i="20"/>
  <c r="C80" i="20" s="1"/>
  <c r="C81" i="20" s="1"/>
  <c r="C82" i="20" s="1"/>
  <c r="C83" i="20" s="1"/>
  <c r="C77" i="20"/>
  <c r="C78" i="20" s="1"/>
  <c r="C75" i="20"/>
  <c r="C76" i="20" s="1"/>
  <c r="C70" i="20"/>
  <c r="C71" i="20" s="1"/>
  <c r="C72" i="20" s="1"/>
  <c r="C73" i="20" s="1"/>
  <c r="C74" i="20" s="1"/>
  <c r="C62" i="20"/>
  <c r="C63" i="20" s="1"/>
  <c r="C64" i="20" s="1"/>
  <c r="C65" i="20" s="1"/>
  <c r="C60" i="20"/>
  <c r="C61" i="20" s="1"/>
  <c r="C58" i="20"/>
  <c r="C59" i="20" s="1"/>
  <c r="C55" i="20"/>
  <c r="C56" i="20" s="1"/>
  <c r="C57" i="20" s="1"/>
  <c r="C53" i="20"/>
  <c r="C54" i="20" s="1"/>
  <c r="C47" i="20"/>
  <c r="C48" i="20" s="1"/>
  <c r="C49" i="20" s="1"/>
  <c r="C50" i="20" s="1"/>
  <c r="C51" i="20" s="1"/>
  <c r="C52" i="20" s="1"/>
  <c r="C43" i="20"/>
  <c r="C44" i="20" s="1"/>
  <c r="C45" i="20" s="1"/>
  <c r="C46" i="20" s="1"/>
  <c r="C38" i="20"/>
  <c r="C39" i="20" s="1"/>
  <c r="C40" i="20" s="1"/>
  <c r="C41" i="20" s="1"/>
  <c r="C42" i="20" s="1"/>
  <c r="C33" i="20"/>
  <c r="C34" i="20" s="1"/>
  <c r="C35" i="20" s="1"/>
  <c r="C36" i="20" s="1"/>
  <c r="C37" i="20" s="1"/>
  <c r="C31" i="20"/>
  <c r="C32" i="20" s="1"/>
  <c r="C29" i="20"/>
  <c r="C30" i="20" s="1"/>
  <c r="C20" i="20"/>
  <c r="C21" i="20" s="1"/>
  <c r="C22" i="20" s="1"/>
  <c r="C23" i="20" s="1"/>
  <c r="C24" i="20" s="1"/>
  <c r="C25" i="20" s="1"/>
  <c r="C26" i="20" s="1"/>
  <c r="C27" i="20" s="1"/>
  <c r="C28" i="20" s="1"/>
  <c r="C12" i="20"/>
  <c r="C13" i="20" s="1"/>
  <c r="C14" i="20" s="1"/>
  <c r="C15" i="20" s="1"/>
  <c r="C16" i="20" s="1"/>
  <c r="C17" i="20" s="1"/>
  <c r="C18" i="20" s="1"/>
  <c r="C19" i="20" s="1"/>
  <c r="C4" i="20"/>
  <c r="C5" i="20" s="1"/>
  <c r="C6" i="20" s="1"/>
  <c r="C7" i="20" s="1"/>
  <c r="C8" i="20" s="1"/>
  <c r="C9" i="20" s="1"/>
  <c r="C10" i="20" s="1"/>
  <c r="C11" i="20" s="1"/>
  <c r="AG255" i="1"/>
  <c r="AG254" i="1"/>
  <c r="AG253" i="1"/>
  <c r="AG252" i="1"/>
  <c r="AG251" i="1"/>
  <c r="AG250" i="1"/>
  <c r="AG249" i="1"/>
  <c r="AG248" i="1"/>
  <c r="AG247" i="1"/>
  <c r="AG246"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5" i="1"/>
  <c r="AG204" i="1"/>
  <c r="AG203" i="1"/>
  <c r="AG202" i="1"/>
  <c r="AG201" i="1"/>
  <c r="AG200" i="1"/>
  <c r="AG199" i="1"/>
  <c r="AG198" i="1"/>
  <c r="AG197" i="1"/>
  <c r="AG196" i="1"/>
  <c r="AG195" i="1"/>
  <c r="AG194" i="1"/>
  <c r="AG193" i="1"/>
  <c r="AG192" i="1"/>
  <c r="AG191" i="1"/>
  <c r="AG190" i="1"/>
  <c r="AG189" i="1"/>
  <c r="AG188" i="1"/>
  <c r="AG187" i="1"/>
  <c r="AG186"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K255" i="1"/>
  <c r="E255" i="1" s="1"/>
  <c r="K254" i="1"/>
  <c r="E254" i="1" s="1"/>
  <c r="K253" i="1"/>
  <c r="E253" i="1" s="1"/>
  <c r="K252" i="1"/>
  <c r="E252" i="1" s="1"/>
  <c r="K251" i="1"/>
  <c r="K250" i="1"/>
  <c r="Y250" i="1" s="1"/>
  <c r="K249" i="1"/>
  <c r="K248" i="1"/>
  <c r="Y248" i="1" s="1"/>
  <c r="K247" i="1"/>
  <c r="E247" i="1" s="1"/>
  <c r="K246" i="1"/>
  <c r="E246" i="1" s="1"/>
  <c r="K245" i="1"/>
  <c r="E245" i="1" s="1"/>
  <c r="K244" i="1"/>
  <c r="E244" i="1" s="1"/>
  <c r="AF244" i="1" s="1"/>
  <c r="K243" i="1"/>
  <c r="K242" i="1"/>
  <c r="Y242" i="1" s="1"/>
  <c r="K241" i="1"/>
  <c r="K240" i="1"/>
  <c r="Y240" i="1" s="1"/>
  <c r="K239" i="1"/>
  <c r="E239" i="1" s="1"/>
  <c r="K238" i="1"/>
  <c r="E238" i="1" s="1"/>
  <c r="K237" i="1"/>
  <c r="E237" i="1" s="1"/>
  <c r="K236" i="1"/>
  <c r="E236" i="1" s="1"/>
  <c r="K235" i="1"/>
  <c r="K234" i="1"/>
  <c r="W234" i="1" s="1"/>
  <c r="K233" i="1"/>
  <c r="K232" i="1"/>
  <c r="Y232" i="1" s="1"/>
  <c r="K231" i="1"/>
  <c r="E231" i="1" s="1"/>
  <c r="K230" i="1"/>
  <c r="E230" i="1" s="1"/>
  <c r="AD230" i="1" s="1"/>
  <c r="K229" i="1"/>
  <c r="E229" i="1" s="1"/>
  <c r="K228" i="1"/>
  <c r="E228" i="1" s="1"/>
  <c r="K227" i="1"/>
  <c r="K226" i="1"/>
  <c r="W226" i="1" s="1"/>
  <c r="K225" i="1"/>
  <c r="K224" i="1"/>
  <c r="Y224" i="1" s="1"/>
  <c r="K223" i="1"/>
  <c r="E223" i="1" s="1"/>
  <c r="K222" i="1"/>
  <c r="E222" i="1" s="1"/>
  <c r="K221" i="1"/>
  <c r="E221" i="1" s="1"/>
  <c r="K220" i="1"/>
  <c r="E220" i="1" s="1"/>
  <c r="AF220" i="1" s="1"/>
  <c r="K219" i="1"/>
  <c r="K218" i="1"/>
  <c r="W218" i="1" s="1"/>
  <c r="K217" i="1"/>
  <c r="K216" i="1"/>
  <c r="Y216" i="1" s="1"/>
  <c r="K215" i="1"/>
  <c r="E215" i="1" s="1"/>
  <c r="K214" i="1"/>
  <c r="E214" i="1" s="1"/>
  <c r="K213" i="1"/>
  <c r="E213" i="1" s="1"/>
  <c r="K212" i="1"/>
  <c r="E212" i="1" s="1"/>
  <c r="K211" i="1"/>
  <c r="K210" i="1"/>
  <c r="Y210" i="1" s="1"/>
  <c r="K209" i="1"/>
  <c r="K208" i="1"/>
  <c r="Y208" i="1" s="1"/>
  <c r="K207" i="1"/>
  <c r="E207" i="1" s="1"/>
  <c r="K206" i="1"/>
  <c r="E206" i="1" s="1"/>
  <c r="AD206" i="1" s="1"/>
  <c r="K205" i="1"/>
  <c r="E205" i="1" s="1"/>
  <c r="K204" i="1"/>
  <c r="E204" i="1" s="1"/>
  <c r="AF204" i="1" s="1"/>
  <c r="K203" i="1"/>
  <c r="K202" i="1"/>
  <c r="W202" i="1" s="1"/>
  <c r="K201" i="1"/>
  <c r="K200" i="1"/>
  <c r="Y200" i="1" s="1"/>
  <c r="K199" i="1"/>
  <c r="E199" i="1" s="1"/>
  <c r="K198" i="1"/>
  <c r="E198" i="1" s="1"/>
  <c r="K197" i="1"/>
  <c r="E197" i="1" s="1"/>
  <c r="K196" i="1"/>
  <c r="E196" i="1" s="1"/>
  <c r="K195" i="1"/>
  <c r="K194" i="1"/>
  <c r="W194" i="1" s="1"/>
  <c r="K193" i="1"/>
  <c r="K192" i="1"/>
  <c r="Y192" i="1" s="1"/>
  <c r="K191" i="1"/>
  <c r="E191" i="1" s="1"/>
  <c r="K190" i="1"/>
  <c r="E190" i="1" s="1"/>
  <c r="K189" i="1"/>
  <c r="E189" i="1" s="1"/>
  <c r="K188" i="1"/>
  <c r="K187" i="1"/>
  <c r="K186" i="1"/>
  <c r="Y186" i="1" s="1"/>
  <c r="K185" i="1"/>
  <c r="K184" i="1"/>
  <c r="Y184" i="1" s="1"/>
  <c r="K183" i="1"/>
  <c r="E183" i="1" s="1"/>
  <c r="K182" i="1"/>
  <c r="E182" i="1" s="1"/>
  <c r="K181" i="1"/>
  <c r="E181" i="1" s="1"/>
  <c r="K180" i="1"/>
  <c r="K179" i="1"/>
  <c r="K178" i="1"/>
  <c r="Y178" i="1" s="1"/>
  <c r="K177" i="1"/>
  <c r="K176" i="1"/>
  <c r="W176" i="1" s="1"/>
  <c r="K175" i="1"/>
  <c r="E175" i="1" s="1"/>
  <c r="K174" i="1"/>
  <c r="E174" i="1" s="1"/>
  <c r="AF174" i="1" s="1"/>
  <c r="K173" i="1"/>
  <c r="E173" i="1" s="1"/>
  <c r="K172" i="1"/>
  <c r="K171" i="1"/>
  <c r="K170" i="1"/>
  <c r="W170" i="1" s="1"/>
  <c r="K169" i="1"/>
  <c r="K168" i="1"/>
  <c r="Y168" i="1" s="1"/>
  <c r="K167" i="1"/>
  <c r="E167" i="1" s="1"/>
  <c r="K166" i="1"/>
  <c r="E166" i="1" s="1"/>
  <c r="AD166" i="1" s="1"/>
  <c r="K165" i="1"/>
  <c r="E165" i="1" s="1"/>
  <c r="K164" i="1"/>
  <c r="K163" i="1"/>
  <c r="K162" i="1"/>
  <c r="Y162" i="1" s="1"/>
  <c r="K161" i="1"/>
  <c r="K160" i="1"/>
  <c r="Y160" i="1" s="1"/>
  <c r="K159" i="1"/>
  <c r="E159" i="1" s="1"/>
  <c r="K158" i="1"/>
  <c r="E158" i="1" s="1"/>
  <c r="E148" i="1"/>
  <c r="E147" i="1"/>
  <c r="C147" i="1" s="1"/>
  <c r="E146" i="1"/>
  <c r="G146" i="1" s="1"/>
  <c r="E145" i="1"/>
  <c r="G145" i="1" s="1"/>
  <c r="E144" i="1"/>
  <c r="C144" i="1" s="1"/>
  <c r="E143" i="1"/>
  <c r="C143" i="1" s="1"/>
  <c r="E142" i="1"/>
  <c r="G142" i="1" s="1"/>
  <c r="E141" i="1"/>
  <c r="G141" i="1" s="1"/>
  <c r="E140" i="1"/>
  <c r="C140" i="1" s="1"/>
  <c r="E139" i="1"/>
  <c r="C139" i="1" s="1"/>
  <c r="E138" i="1"/>
  <c r="G138" i="1" s="1"/>
  <c r="E137" i="1"/>
  <c r="G137" i="1" s="1"/>
  <c r="E136" i="1"/>
  <c r="C136" i="1" s="1"/>
  <c r="E135" i="1"/>
  <c r="C135" i="1" s="1"/>
  <c r="E134" i="1"/>
  <c r="C134" i="1" s="1"/>
  <c r="E133" i="1"/>
  <c r="G133" i="1" s="1"/>
  <c r="E132" i="1"/>
  <c r="E131" i="1"/>
  <c r="C131" i="1" s="1"/>
  <c r="E130" i="1"/>
  <c r="G130" i="1" s="1"/>
  <c r="E129" i="1"/>
  <c r="G129" i="1" s="1"/>
  <c r="E128" i="1"/>
  <c r="C128" i="1" s="1"/>
  <c r="E127" i="1"/>
  <c r="C127" i="1" s="1"/>
  <c r="G106" i="1"/>
  <c r="G105" i="1"/>
  <c r="G104" i="1"/>
  <c r="G103" i="1"/>
  <c r="G102" i="1"/>
  <c r="G101" i="1"/>
  <c r="G100" i="1"/>
  <c r="G99" i="1"/>
  <c r="G98" i="1"/>
  <c r="G97" i="1"/>
  <c r="G96" i="1"/>
  <c r="G95" i="1"/>
  <c r="G94" i="1"/>
  <c r="G93" i="1"/>
  <c r="G92" i="1"/>
  <c r="G91" i="1"/>
  <c r="G90" i="1"/>
  <c r="G89" i="1"/>
  <c r="G88" i="1"/>
  <c r="G87" i="1"/>
  <c r="G86" i="1"/>
  <c r="G85" i="1"/>
  <c r="G84" i="1"/>
  <c r="G83" i="1"/>
  <c r="G76" i="1"/>
  <c r="G75" i="1"/>
  <c r="G74" i="1"/>
  <c r="G73" i="1"/>
  <c r="G72" i="1"/>
  <c r="G71" i="1"/>
  <c r="G70" i="1"/>
  <c r="G69" i="1"/>
  <c r="G68" i="1"/>
  <c r="G67" i="1"/>
  <c r="G66" i="1"/>
  <c r="G65" i="1"/>
  <c r="G64" i="1"/>
  <c r="G63" i="1"/>
  <c r="G62" i="1"/>
  <c r="G61" i="1"/>
  <c r="G60" i="1"/>
  <c r="G59" i="1"/>
  <c r="G58" i="1"/>
  <c r="G57" i="1"/>
  <c r="G56" i="1"/>
  <c r="G55" i="1"/>
  <c r="G54" i="1"/>
  <c r="G53" i="1"/>
  <c r="P28" i="1"/>
  <c r="M28" i="1"/>
  <c r="L28" i="1"/>
  <c r="C142" i="1" l="1"/>
  <c r="E5272" i="27"/>
  <c r="E5504" i="27"/>
  <c r="E5716" i="27"/>
  <c r="E5491" i="27"/>
  <c r="E5588" i="27"/>
  <c r="E5604" i="27"/>
  <c r="E5620" i="27"/>
  <c r="E5732" i="27"/>
  <c r="E5477" i="27"/>
  <c r="E5278" i="27"/>
  <c r="E5286" i="27"/>
  <c r="E5294" i="27"/>
  <c r="E5302" i="27"/>
  <c r="E5310" i="27"/>
  <c r="E5342" i="27"/>
  <c r="E5350" i="27"/>
  <c r="E5358" i="27"/>
  <c r="E5366" i="27"/>
  <c r="E5374" i="27"/>
  <c r="E5406" i="27"/>
  <c r="E5414" i="27"/>
  <c r="E5422" i="27"/>
  <c r="E5430" i="27"/>
  <c r="E5438" i="27"/>
  <c r="F5273" i="27"/>
  <c r="E5273" i="27"/>
  <c r="E5281" i="27"/>
  <c r="E5289" i="27"/>
  <c r="E5297" i="27"/>
  <c r="E5305" i="27"/>
  <c r="E5313" i="27"/>
  <c r="E5321" i="27"/>
  <c r="E5329" i="27"/>
  <c r="E5337" i="27"/>
  <c r="E5345" i="27"/>
  <c r="E5353" i="27"/>
  <c r="E5361" i="27"/>
  <c r="E5369" i="27"/>
  <c r="E5377" i="27"/>
  <c r="E5385" i="27"/>
  <c r="E5393" i="27"/>
  <c r="E5401" i="27"/>
  <c r="E5409" i="27"/>
  <c r="E5417" i="27"/>
  <c r="E5425" i="27"/>
  <c r="E5433" i="27"/>
  <c r="E5441" i="27"/>
  <c r="E5449" i="27"/>
  <c r="E5457" i="27"/>
  <c r="E5465" i="27"/>
  <c r="E5473" i="27"/>
  <c r="E5481" i="27"/>
  <c r="E5489" i="27"/>
  <c r="E5497" i="27"/>
  <c r="E5505" i="27"/>
  <c r="E5513" i="27"/>
  <c r="E5521" i="27"/>
  <c r="E5529" i="27"/>
  <c r="E5537" i="27"/>
  <c r="E5545" i="27"/>
  <c r="E5553" i="27"/>
  <c r="E5561" i="27"/>
  <c r="E5569" i="27"/>
  <c r="E5577" i="27"/>
  <c r="E5585" i="27"/>
  <c r="E5593" i="27"/>
  <c r="E5601" i="27"/>
  <c r="E5609" i="27"/>
  <c r="E5617" i="27"/>
  <c r="E5625" i="27"/>
  <c r="E5633" i="27"/>
  <c r="E5641" i="27"/>
  <c r="E5649" i="27"/>
  <c r="E5657" i="27"/>
  <c r="E5665" i="27"/>
  <c r="E5673" i="27"/>
  <c r="E5681" i="27"/>
  <c r="E5689" i="27"/>
  <c r="E5697" i="27"/>
  <c r="E5705" i="27"/>
  <c r="E5713" i="27"/>
  <c r="E5721" i="27"/>
  <c r="E5729" i="27"/>
  <c r="E5737" i="27"/>
  <c r="E5274" i="27"/>
  <c r="F5274" i="27"/>
  <c r="E5282" i="27"/>
  <c r="E5290" i="27"/>
  <c r="E5298" i="27"/>
  <c r="E5306" i="27"/>
  <c r="E5314" i="27"/>
  <c r="E5322" i="27"/>
  <c r="E5330" i="27"/>
  <c r="E5338" i="27"/>
  <c r="E5346" i="27"/>
  <c r="E5354" i="27"/>
  <c r="E5362" i="27"/>
  <c r="E5370" i="27"/>
  <c r="E5378" i="27"/>
  <c r="E5386" i="27"/>
  <c r="E5394" i="27"/>
  <c r="E5402" i="27"/>
  <c r="E5410" i="27"/>
  <c r="E5418" i="27"/>
  <c r="E5426" i="27"/>
  <c r="E5434" i="27"/>
  <c r="E5442" i="27"/>
  <c r="E5450" i="27"/>
  <c r="E5458" i="27"/>
  <c r="E5474" i="27"/>
  <c r="E5482" i="27"/>
  <c r="E5490" i="27"/>
  <c r="E5498" i="27"/>
  <c r="E5506" i="27"/>
  <c r="E5514" i="27"/>
  <c r="E5522" i="27"/>
  <c r="E5538" i="27"/>
  <c r="E5546" i="27"/>
  <c r="E5554" i="27"/>
  <c r="E5562" i="27"/>
  <c r="E5570" i="27"/>
  <c r="E5578" i="27"/>
  <c r="E5586" i="27"/>
  <c r="E5594" i="27"/>
  <c r="E5602" i="27"/>
  <c r="E5610" i="27"/>
  <c r="E5618" i="27"/>
  <c r="E5626" i="27"/>
  <c r="E5634" i="27"/>
  <c r="E5642" i="27"/>
  <c r="E5650" i="27"/>
  <c r="E5658" i="27"/>
  <c r="E5666" i="27"/>
  <c r="E5674" i="27"/>
  <c r="E5682" i="27"/>
  <c r="E5690" i="27"/>
  <c r="E5698" i="27"/>
  <c r="E5706" i="27"/>
  <c r="E5714" i="27"/>
  <c r="E5722" i="27"/>
  <c r="E5730" i="27"/>
  <c r="E5738" i="27"/>
  <c r="E5275" i="27"/>
  <c r="F5275" i="27"/>
  <c r="E5283" i="27"/>
  <c r="E5291" i="27"/>
  <c r="E5299" i="27"/>
  <c r="E5307" i="27"/>
  <c r="E5315" i="27"/>
  <c r="E5323" i="27"/>
  <c r="E5331" i="27"/>
  <c r="E5339" i="27"/>
  <c r="E5347" i="27"/>
  <c r="E5355" i="27"/>
  <c r="E5363" i="27"/>
  <c r="E5371" i="27"/>
  <c r="E5379" i="27"/>
  <c r="E5387" i="27"/>
  <c r="E5395" i="27"/>
  <c r="E5403" i="27"/>
  <c r="E5411" i="27"/>
  <c r="E5419" i="27"/>
  <c r="E5427" i="27"/>
  <c r="E5435" i="27"/>
  <c r="E5443" i="27"/>
  <c r="E5451" i="27"/>
  <c r="E5459" i="27"/>
  <c r="E5467" i="27"/>
  <c r="E5475" i="27"/>
  <c r="E5483" i="27"/>
  <c r="E5499" i="27"/>
  <c r="E5507" i="27"/>
  <c r="E5515" i="27"/>
  <c r="E5523" i="27"/>
  <c r="E5531" i="27"/>
  <c r="E5539" i="27"/>
  <c r="E5547" i="27"/>
  <c r="E5555" i="27"/>
  <c r="E5563" i="27"/>
  <c r="E5571" i="27"/>
  <c r="E5579" i="27"/>
  <c r="E5587" i="27"/>
  <c r="E5595" i="27"/>
  <c r="E5603" i="27"/>
  <c r="E5611" i="27"/>
  <c r="E5619" i="27"/>
  <c r="E5627" i="27"/>
  <c r="E5635" i="27"/>
  <c r="E5643" i="27"/>
  <c r="E5651" i="27"/>
  <c r="E5659" i="27"/>
  <c r="E5667" i="27"/>
  <c r="E5675" i="27"/>
  <c r="E5683" i="27"/>
  <c r="E5691" i="27"/>
  <c r="E5699" i="27"/>
  <c r="E5707" i="27"/>
  <c r="E5715" i="27"/>
  <c r="E5723" i="27"/>
  <c r="E5731" i="27"/>
  <c r="E5739" i="27"/>
  <c r="E5747" i="27"/>
  <c r="F5272" i="27"/>
  <c r="F5276" i="27"/>
  <c r="E5276" i="27"/>
  <c r="E5284" i="27"/>
  <c r="E5292" i="27"/>
  <c r="E5300" i="27"/>
  <c r="E5308" i="27"/>
  <c r="E5316" i="27"/>
  <c r="E5324" i="27"/>
  <c r="E5332" i="27"/>
  <c r="E5340" i="27"/>
  <c r="E5348" i="27"/>
  <c r="E5356" i="27"/>
  <c r="E5364" i="27"/>
  <c r="E5372" i="27"/>
  <c r="E5380" i="27"/>
  <c r="E5388" i="27"/>
  <c r="E5396" i="27"/>
  <c r="E5404" i="27"/>
  <c r="E5412" i="27"/>
  <c r="E5420" i="27"/>
  <c r="E5428" i="27"/>
  <c r="E5436" i="27"/>
  <c r="E5444" i="27"/>
  <c r="E5452" i="27"/>
  <c r="E5460" i="27"/>
  <c r="E5468" i="27"/>
  <c r="E5476" i="27"/>
  <c r="E5484" i="27"/>
  <c r="E5492" i="27"/>
  <c r="E5500" i="27"/>
  <c r="E5508" i="27"/>
  <c r="E5524" i="27"/>
  <c r="E5532" i="27"/>
  <c r="E5540" i="27"/>
  <c r="E5548" i="27"/>
  <c r="E5564" i="27"/>
  <c r="E5580" i="27"/>
  <c r="E5596" i="27"/>
  <c r="E5612" i="27"/>
  <c r="E5628" i="27"/>
  <c r="E5644" i="27"/>
  <c r="E5660" i="27"/>
  <c r="E5676" i="27"/>
  <c r="E5692" i="27"/>
  <c r="E5708" i="27"/>
  <c r="E5724" i="27"/>
  <c r="E5740" i="27"/>
  <c r="E5748" i="27"/>
  <c r="E5516" i="27"/>
  <c r="E5636" i="27"/>
  <c r="E5277" i="27"/>
  <c r="E5285" i="27"/>
  <c r="E5293" i="27"/>
  <c r="E5301" i="27"/>
  <c r="E5309" i="27"/>
  <c r="E5317" i="27"/>
  <c r="E5325" i="27"/>
  <c r="E5333" i="27"/>
  <c r="E5341" i="27"/>
  <c r="E5349" i="27"/>
  <c r="E5357" i="27"/>
  <c r="E5365" i="27"/>
  <c r="E5373" i="27"/>
  <c r="E5381" i="27"/>
  <c r="E5389" i="27"/>
  <c r="E5397" i="27"/>
  <c r="E5405" i="27"/>
  <c r="E5413" i="27"/>
  <c r="E5421" i="27"/>
  <c r="E5429" i="27"/>
  <c r="E5437" i="27"/>
  <c r="E5445" i="27"/>
  <c r="E5453" i="27"/>
  <c r="E5461" i="27"/>
  <c r="E5469" i="27"/>
  <c r="E5485" i="27"/>
  <c r="E5493" i="27"/>
  <c r="E5501" i="27"/>
  <c r="E5509" i="27"/>
  <c r="E5517" i="27"/>
  <c r="E5525" i="27"/>
  <c r="E5533" i="27"/>
  <c r="E5549" i="27"/>
  <c r="E5557" i="27"/>
  <c r="E5565" i="27"/>
  <c r="E5573" i="27"/>
  <c r="E5581" i="27"/>
  <c r="E5589" i="27"/>
  <c r="E5597" i="27"/>
  <c r="E5605" i="27"/>
  <c r="E5613" i="27"/>
  <c r="E5621" i="27"/>
  <c r="E5629" i="27"/>
  <c r="E5637" i="27"/>
  <c r="E5645" i="27"/>
  <c r="E5653" i="27"/>
  <c r="E5661" i="27"/>
  <c r="E5669" i="27"/>
  <c r="E5677" i="27"/>
  <c r="E5685" i="27"/>
  <c r="E5693" i="27"/>
  <c r="E5701" i="27"/>
  <c r="E5709" i="27"/>
  <c r="E5717" i="27"/>
  <c r="E5725" i="27"/>
  <c r="E5733" i="27"/>
  <c r="E5741" i="27"/>
  <c r="E5530" i="27"/>
  <c r="E5652" i="27"/>
  <c r="E5462" i="27"/>
  <c r="E5470" i="27"/>
  <c r="E5478" i="27"/>
  <c r="E5486" i="27"/>
  <c r="E5494" i="27"/>
  <c r="E5502" i="27"/>
  <c r="E5510" i="27"/>
  <c r="E5518" i="27"/>
  <c r="E5526" i="27"/>
  <c r="E5534" i="27"/>
  <c r="E5542" i="27"/>
  <c r="E5550" i="27"/>
  <c r="E5558" i="27"/>
  <c r="E5566" i="27"/>
  <c r="E5574" i="27"/>
  <c r="E5582" i="27"/>
  <c r="E5590" i="27"/>
  <c r="E5598" i="27"/>
  <c r="E5606" i="27"/>
  <c r="E5614" i="27"/>
  <c r="E5622" i="27"/>
  <c r="E5630" i="27"/>
  <c r="E5638" i="27"/>
  <c r="E5646" i="27"/>
  <c r="E5654" i="27"/>
  <c r="E5662" i="27"/>
  <c r="E5670" i="27"/>
  <c r="E5678" i="27"/>
  <c r="E5686" i="27"/>
  <c r="E5694" i="27"/>
  <c r="E5702" i="27"/>
  <c r="E5710" i="27"/>
  <c r="E5718" i="27"/>
  <c r="E5726" i="27"/>
  <c r="E5734" i="27"/>
  <c r="E5742" i="27"/>
  <c r="E5750" i="27"/>
  <c r="E5318" i="27"/>
  <c r="E5382" i="27"/>
  <c r="E5446" i="27"/>
  <c r="E5541" i="27"/>
  <c r="E5668" i="27"/>
  <c r="F5271" i="27"/>
  <c r="E5271" i="27"/>
  <c r="E5279" i="27"/>
  <c r="E5287" i="27"/>
  <c r="E5295" i="27"/>
  <c r="E5303" i="27"/>
  <c r="E5311" i="27"/>
  <c r="E5319" i="27"/>
  <c r="E5327" i="27"/>
  <c r="E5335" i="27"/>
  <c r="E5343" i="27"/>
  <c r="E5351" i="27"/>
  <c r="E5359" i="27"/>
  <c r="E5367" i="27"/>
  <c r="E5375" i="27"/>
  <c r="E5383" i="27"/>
  <c r="E5391" i="27"/>
  <c r="E5399" i="27"/>
  <c r="E5407" i="27"/>
  <c r="E5415" i="27"/>
  <c r="E5423" i="27"/>
  <c r="E5431" i="27"/>
  <c r="E5439" i="27"/>
  <c r="E5447" i="27"/>
  <c r="E5455" i="27"/>
  <c r="E5463" i="27"/>
  <c r="E5471" i="27"/>
  <c r="E5479" i="27"/>
  <c r="E5487" i="27"/>
  <c r="E5495" i="27"/>
  <c r="E5503" i="27"/>
  <c r="E5511" i="27"/>
  <c r="E5519" i="27"/>
  <c r="E5527" i="27"/>
  <c r="E5535" i="27"/>
  <c r="E5543" i="27"/>
  <c r="E5551" i="27"/>
  <c r="E5559" i="27"/>
  <c r="E5567" i="27"/>
  <c r="E5575" i="27"/>
  <c r="E5583" i="27"/>
  <c r="E5591" i="27"/>
  <c r="E5599" i="27"/>
  <c r="E5607" i="27"/>
  <c r="E5615" i="27"/>
  <c r="E5623" i="27"/>
  <c r="E5631" i="27"/>
  <c r="E5639" i="27"/>
  <c r="E5647" i="27"/>
  <c r="E5655" i="27"/>
  <c r="E5663" i="27"/>
  <c r="E5671" i="27"/>
  <c r="E5679" i="27"/>
  <c r="E5687" i="27"/>
  <c r="E5695" i="27"/>
  <c r="E5703" i="27"/>
  <c r="E5711" i="27"/>
  <c r="E5719" i="27"/>
  <c r="E5727" i="27"/>
  <c r="E5735" i="27"/>
  <c r="E5326" i="27"/>
  <c r="E5390" i="27"/>
  <c r="E5454" i="27"/>
  <c r="E5556" i="27"/>
  <c r="E5684" i="27"/>
  <c r="E5280" i="27"/>
  <c r="E5288" i="27"/>
  <c r="E5296" i="27"/>
  <c r="E5304" i="27"/>
  <c r="E5312" i="27"/>
  <c r="E5320" i="27"/>
  <c r="E5328" i="27"/>
  <c r="E5336" i="27"/>
  <c r="E5344" i="27"/>
  <c r="E5352" i="27"/>
  <c r="E5360" i="27"/>
  <c r="E5368" i="27"/>
  <c r="E5376" i="27"/>
  <c r="E5384" i="27"/>
  <c r="E5392" i="27"/>
  <c r="E5400" i="27"/>
  <c r="E5408" i="27"/>
  <c r="E5416" i="27"/>
  <c r="E5424" i="27"/>
  <c r="E5432" i="27"/>
  <c r="E5440" i="27"/>
  <c r="E5448" i="27"/>
  <c r="E5456" i="27"/>
  <c r="E5464" i="27"/>
  <c r="E5472" i="27"/>
  <c r="E5480" i="27"/>
  <c r="E5488" i="27"/>
  <c r="E5496" i="27"/>
  <c r="E5512" i="27"/>
  <c r="E5520" i="27"/>
  <c r="E5528" i="27"/>
  <c r="E5536" i="27"/>
  <c r="E5544" i="27"/>
  <c r="E5552" i="27"/>
  <c r="E5560" i="27"/>
  <c r="E5568" i="27"/>
  <c r="E5576" i="27"/>
  <c r="E5584" i="27"/>
  <c r="E5592" i="27"/>
  <c r="E5600" i="27"/>
  <c r="E5608" i="27"/>
  <c r="E5616" i="27"/>
  <c r="E5624" i="27"/>
  <c r="E5632" i="27"/>
  <c r="E5640" i="27"/>
  <c r="E5648" i="27"/>
  <c r="E5656" i="27"/>
  <c r="E5664" i="27"/>
  <c r="E5672" i="27"/>
  <c r="E5680" i="27"/>
  <c r="E5688" i="27"/>
  <c r="E5696" i="27"/>
  <c r="E5704" i="27"/>
  <c r="E5712" i="27"/>
  <c r="E5720" i="27"/>
  <c r="E5728" i="27"/>
  <c r="E5736" i="27"/>
  <c r="E5334" i="27"/>
  <c r="E5398" i="27"/>
  <c r="E5466" i="27"/>
  <c r="E5572" i="27"/>
  <c r="E5700" i="27"/>
  <c r="E5746" i="27"/>
  <c r="E5749" i="27"/>
  <c r="E5743" i="27"/>
  <c r="E5745" i="27"/>
  <c r="E5744" i="27"/>
  <c r="E1428" i="27"/>
  <c r="E1578" i="27"/>
  <c r="E1505" i="27"/>
  <c r="E1634" i="27"/>
  <c r="E1481" i="27"/>
  <c r="E1603" i="27"/>
  <c r="E1528" i="27"/>
  <c r="E1656" i="27"/>
  <c r="E1402" i="27"/>
  <c r="E1353" i="27"/>
  <c r="E1425" i="27"/>
  <c r="E1352" i="27"/>
  <c r="E1555" i="27"/>
  <c r="E1633" i="27"/>
  <c r="E1500" i="27"/>
  <c r="E1427" i="27"/>
  <c r="E1556" i="27"/>
  <c r="E1580" i="27"/>
  <c r="E1659" i="27"/>
  <c r="E1450" i="27"/>
  <c r="E1372" i="27"/>
  <c r="E1406" i="27"/>
  <c r="E1312" i="27"/>
  <c r="E1462" i="27"/>
  <c r="E1368" i="27"/>
  <c r="E1518" i="27"/>
  <c r="E1424" i="27"/>
  <c r="E1592" i="27"/>
  <c r="E1414" i="27"/>
  <c r="E1320" i="27"/>
  <c r="E1470" i="27"/>
  <c r="E1376" i="27"/>
  <c r="E1526" i="27"/>
  <c r="E1432" i="27"/>
  <c r="E1529" i="27"/>
  <c r="E1600" i="27"/>
  <c r="E1628" i="27"/>
  <c r="E1398" i="27"/>
  <c r="E1340" i="27"/>
  <c r="E1304" i="27"/>
  <c r="E1364" i="27"/>
  <c r="E1388" i="27"/>
  <c r="H1304" i="27"/>
  <c r="E1308" i="27"/>
  <c r="E1401" i="27"/>
  <c r="E1348" i="27"/>
  <c r="E1454" i="27"/>
  <c r="E1360" i="27"/>
  <c r="E1510" i="27"/>
  <c r="E1416" i="27"/>
  <c r="E1566" i="27"/>
  <c r="E1472" i="27"/>
  <c r="E1569" i="27"/>
  <c r="E1599" i="27"/>
  <c r="E1598" i="27"/>
  <c r="E1601" i="27"/>
  <c r="E1504" i="27"/>
  <c r="E1639" i="27"/>
  <c r="E1638" i="27"/>
  <c r="E1641" i="27"/>
  <c r="E1544" i="27"/>
  <c r="E1632" i="27"/>
  <c r="E1640" i="27"/>
  <c r="E1648" i="27"/>
  <c r="E1377" i="27"/>
  <c r="E1506" i="27"/>
  <c r="E1446" i="27"/>
  <c r="E1494" i="27"/>
  <c r="E1550" i="27"/>
  <c r="E1591" i="27"/>
  <c r="E1590" i="27"/>
  <c r="E1496" i="27"/>
  <c r="E1593" i="27"/>
  <c r="E1631" i="27"/>
  <c r="E1630" i="27"/>
  <c r="E1536" i="27"/>
  <c r="E1576" i="27"/>
  <c r="E1322" i="27"/>
  <c r="E1378" i="27"/>
  <c r="E1452" i="27"/>
  <c r="E1584" i="27"/>
  <c r="E1658" i="27"/>
  <c r="E1306" i="27"/>
  <c r="E1314" i="27"/>
  <c r="E1330" i="27"/>
  <c r="E1338" i="27"/>
  <c r="E1346" i="27"/>
  <c r="E1354" i="27"/>
  <c r="E1362" i="27"/>
  <c r="E1370" i="27"/>
  <c r="E1386" i="27"/>
  <c r="E1394" i="27"/>
  <c r="E1410" i="27"/>
  <c r="E1418" i="27"/>
  <c r="E1426" i="27"/>
  <c r="E1434" i="27"/>
  <c r="E1442" i="27"/>
  <c r="E1458" i="27"/>
  <c r="E1466" i="27"/>
  <c r="E1474" i="27"/>
  <c r="E1482" i="27"/>
  <c r="E1490" i="27"/>
  <c r="E1498" i="27"/>
  <c r="E1595" i="27"/>
  <c r="E1611" i="27"/>
  <c r="E1514" i="27"/>
  <c r="E1522" i="27"/>
  <c r="E1619" i="27"/>
  <c r="E1627" i="27"/>
  <c r="E1538" i="27"/>
  <c r="E1635" i="27"/>
  <c r="E1546" i="27"/>
  <c r="E1643" i="27"/>
  <c r="E1642" i="27"/>
  <c r="E1651" i="27"/>
  <c r="E1554" i="27"/>
  <c r="E1562" i="27"/>
  <c r="E1570" i="27"/>
  <c r="E1586" i="27"/>
  <c r="E1594" i="27"/>
  <c r="E1602" i="27"/>
  <c r="E1610" i="27"/>
  <c r="E1618" i="27"/>
  <c r="E1626" i="27"/>
  <c r="E1422" i="27"/>
  <c r="E1478" i="27"/>
  <c r="E1384" i="27"/>
  <c r="E1534" i="27"/>
  <c r="E1440" i="27"/>
  <c r="E1574" i="27"/>
  <c r="E1615" i="27"/>
  <c r="E1614" i="27"/>
  <c r="E1520" i="27"/>
  <c r="E1617" i="27"/>
  <c r="E1655" i="27"/>
  <c r="E1654" i="27"/>
  <c r="E1560" i="27"/>
  <c r="E1657" i="27"/>
  <c r="E1624" i="27"/>
  <c r="E1324" i="27"/>
  <c r="E1400" i="27"/>
  <c r="E1456" i="27"/>
  <c r="E1530" i="27"/>
  <c r="E1307" i="27"/>
  <c r="E1404" i="27"/>
  <c r="E1315" i="27"/>
  <c r="E1412" i="27"/>
  <c r="E1323" i="27"/>
  <c r="E1331" i="27"/>
  <c r="E1339" i="27"/>
  <c r="E1436" i="27"/>
  <c r="E1355" i="27"/>
  <c r="E1363" i="27"/>
  <c r="E1371" i="27"/>
  <c r="E1468" i="27"/>
  <c r="E1379" i="27"/>
  <c r="E1476" i="27"/>
  <c r="E1387" i="27"/>
  <c r="E1395" i="27"/>
  <c r="E1492" i="27"/>
  <c r="E1411" i="27"/>
  <c r="E1419" i="27"/>
  <c r="E1516" i="27"/>
  <c r="E1435" i="27"/>
  <c r="E1532" i="27"/>
  <c r="E1443" i="27"/>
  <c r="E1540" i="27"/>
  <c r="E1451" i="27"/>
  <c r="E1459" i="27"/>
  <c r="E1467" i="27"/>
  <c r="E1564" i="27"/>
  <c r="E1572" i="27"/>
  <c r="E1483" i="27"/>
  <c r="E1491" i="27"/>
  <c r="E1499" i="27"/>
  <c r="E1596" i="27"/>
  <c r="E1507" i="27"/>
  <c r="E1604" i="27"/>
  <c r="E1612" i="27"/>
  <c r="E1515" i="27"/>
  <c r="E1523" i="27"/>
  <c r="E1620" i="27"/>
  <c r="E1636" i="27"/>
  <c r="E1539" i="27"/>
  <c r="E1547" i="27"/>
  <c r="E1644" i="27"/>
  <c r="E1652" i="27"/>
  <c r="E1563" i="27"/>
  <c r="E1579" i="27"/>
  <c r="E1430" i="27"/>
  <c r="E1336" i="27"/>
  <c r="E1502" i="27"/>
  <c r="E1408" i="27"/>
  <c r="E1558" i="27"/>
  <c r="E1464" i="27"/>
  <c r="E1607" i="27"/>
  <c r="E1606" i="27"/>
  <c r="E1512" i="27"/>
  <c r="E1647" i="27"/>
  <c r="E1646" i="27"/>
  <c r="E1552" i="27"/>
  <c r="E1649" i="27"/>
  <c r="E1328" i="27"/>
  <c r="E1475" i="27"/>
  <c r="E1531" i="27"/>
  <c r="E1608" i="27"/>
  <c r="E1438" i="27"/>
  <c r="E1344" i="27"/>
  <c r="E1486" i="27"/>
  <c r="E1392" i="27"/>
  <c r="E1542" i="27"/>
  <c r="E1448" i="27"/>
  <c r="E1545" i="27"/>
  <c r="E1583" i="27"/>
  <c r="E1582" i="27"/>
  <c r="E1488" i="27"/>
  <c r="E1585" i="27"/>
  <c r="E1623" i="27"/>
  <c r="E1622" i="27"/>
  <c r="E1625" i="27"/>
  <c r="E1568" i="27"/>
  <c r="E1616" i="27"/>
  <c r="E1347" i="27"/>
  <c r="E1403" i="27"/>
  <c r="E1480" i="27"/>
  <c r="E1553" i="27"/>
  <c r="E1609" i="27"/>
  <c r="E1305" i="27"/>
  <c r="H1305" i="27"/>
  <c r="E1321" i="27"/>
  <c r="E1329" i="27"/>
  <c r="E1345" i="27"/>
  <c r="E1369" i="27"/>
  <c r="E1385" i="27"/>
  <c r="E1393" i="27"/>
  <c r="E1409" i="27"/>
  <c r="E1433" i="27"/>
  <c r="E1449" i="27"/>
  <c r="E1457" i="27"/>
  <c r="E1473" i="27"/>
  <c r="E1497" i="27"/>
  <c r="E1513" i="27"/>
  <c r="E1521" i="27"/>
  <c r="E1577" i="27"/>
  <c r="E1571" i="27"/>
  <c r="E1587" i="27"/>
  <c r="E1361" i="27"/>
  <c r="E1489" i="27"/>
  <c r="E1337" i="27"/>
  <c r="E1465" i="27"/>
  <c r="E1313" i="27"/>
  <c r="E1441" i="27"/>
  <c r="E1417" i="27"/>
  <c r="H1300" i="27"/>
  <c r="E1391" i="27"/>
  <c r="E1383" i="27"/>
  <c r="E1375" i="27"/>
  <c r="E1367" i="27"/>
  <c r="E1359" i="27"/>
  <c r="E1351" i="27"/>
  <c r="E1343" i="27"/>
  <c r="E1335" i="27"/>
  <c r="E1327" i="27"/>
  <c r="E1319" i="27"/>
  <c r="E1311" i="27"/>
  <c r="E1303" i="27"/>
  <c r="E1390" i="27"/>
  <c r="E1382" i="27"/>
  <c r="E1374" i="27"/>
  <c r="E1366" i="27"/>
  <c r="E1358" i="27"/>
  <c r="E1350" i="27"/>
  <c r="E1342" i="27"/>
  <c r="E1334" i="27"/>
  <c r="E1326" i="27"/>
  <c r="E1318" i="27"/>
  <c r="E1310" i="27"/>
  <c r="E1302" i="27"/>
  <c r="E1397" i="27"/>
  <c r="E1389" i="27"/>
  <c r="E1381" i="27"/>
  <c r="E1373" i="27"/>
  <c r="E1365" i="27"/>
  <c r="E1357" i="27"/>
  <c r="E1349" i="27"/>
  <c r="E1341" i="27"/>
  <c r="E1333" i="27"/>
  <c r="E1325" i="27"/>
  <c r="E1317" i="27"/>
  <c r="E1309" i="27"/>
  <c r="E1301" i="27"/>
  <c r="E1405" i="27"/>
  <c r="E1413" i="27"/>
  <c r="E1421" i="27"/>
  <c r="E1429" i="27"/>
  <c r="E1437" i="27"/>
  <c r="E1445" i="27"/>
  <c r="E1453" i="27"/>
  <c r="E1461" i="27"/>
  <c r="E1469" i="27"/>
  <c r="E1477" i="27"/>
  <c r="E1485" i="27"/>
  <c r="E1493" i="27"/>
  <c r="E1501" i="27"/>
  <c r="E1509" i="27"/>
  <c r="E1517" i="27"/>
  <c r="E1525" i="27"/>
  <c r="E1533" i="27"/>
  <c r="E1541" i="27"/>
  <c r="E1549" i="27"/>
  <c r="E1557" i="27"/>
  <c r="E1565" i="27"/>
  <c r="E1573" i="27"/>
  <c r="E1581" i="27"/>
  <c r="E1589" i="27"/>
  <c r="E1597" i="27"/>
  <c r="E1605" i="27"/>
  <c r="E1613" i="27"/>
  <c r="E1621" i="27"/>
  <c r="E1629" i="27"/>
  <c r="E1637" i="27"/>
  <c r="E1645" i="27"/>
  <c r="E1653" i="27"/>
  <c r="E1316" i="27"/>
  <c r="E1380" i="27"/>
  <c r="E1444" i="27"/>
  <c r="E1508" i="27"/>
  <c r="E1561" i="27"/>
  <c r="E1650" i="27"/>
  <c r="E1356" i="27"/>
  <c r="E1420" i="27"/>
  <c r="E1484" i="27"/>
  <c r="E1537" i="27"/>
  <c r="E1548" i="27"/>
  <c r="E1399" i="27"/>
  <c r="E1439" i="27"/>
  <c r="E1447" i="27"/>
  <c r="E1455" i="27"/>
  <c r="E1463" i="27"/>
  <c r="E1511" i="27"/>
  <c r="E1519" i="27"/>
  <c r="E1527" i="27"/>
  <c r="E1567" i="27"/>
  <c r="E1575" i="27"/>
  <c r="E1332" i="27"/>
  <c r="E1396" i="27"/>
  <c r="E1460" i="27"/>
  <c r="E1524" i="27"/>
  <c r="E1588" i="27"/>
  <c r="E1407" i="27"/>
  <c r="E1415" i="27"/>
  <c r="E1423" i="27"/>
  <c r="E1431" i="27"/>
  <c r="E1471" i="27"/>
  <c r="E1479" i="27"/>
  <c r="E1487" i="27"/>
  <c r="E1495" i="27"/>
  <c r="E1503" i="27"/>
  <c r="E1535" i="27"/>
  <c r="E1543" i="27"/>
  <c r="E1551" i="27"/>
  <c r="E1559" i="27"/>
  <c r="E791" i="27"/>
  <c r="E809" i="27"/>
  <c r="E766" i="27"/>
  <c r="E784" i="27"/>
  <c r="E793" i="27"/>
  <c r="E802" i="27"/>
  <c r="E818" i="27"/>
  <c r="N818" i="27" s="1"/>
  <c r="E828" i="27"/>
  <c r="E773" i="27"/>
  <c r="E830" i="27"/>
  <c r="L830" i="27" s="1"/>
  <c r="E837" i="27"/>
  <c r="L837" i="27" s="1"/>
  <c r="E671" i="27"/>
  <c r="E687" i="27"/>
  <c r="K687" i="27" s="1"/>
  <c r="E703" i="27"/>
  <c r="E736" i="27"/>
  <c r="E658" i="27"/>
  <c r="E754" i="27"/>
  <c r="E663" i="27"/>
  <c r="N663" i="27" s="1"/>
  <c r="E679" i="27"/>
  <c r="E689" i="27"/>
  <c r="E695" i="27"/>
  <c r="E713" i="27"/>
  <c r="E721" i="27"/>
  <c r="E729" i="27"/>
  <c r="M729" i="27" s="1"/>
  <c r="E748" i="27"/>
  <c r="E764" i="27"/>
  <c r="I764" i="27" s="1"/>
  <c r="E821" i="27"/>
  <c r="E719" i="27"/>
  <c r="E681" i="27"/>
  <c r="N681" i="27" s="1"/>
  <c r="E711" i="27"/>
  <c r="E745" i="27"/>
  <c r="E782" i="27"/>
  <c r="E757" i="27"/>
  <c r="E727" i="27"/>
  <c r="E800" i="27"/>
  <c r="E670" i="27"/>
  <c r="E674" i="27"/>
  <c r="E672" i="27"/>
  <c r="E678" i="27"/>
  <c r="E682" i="27"/>
  <c r="E680" i="27"/>
  <c r="E686" i="27"/>
  <c r="E690" i="27"/>
  <c r="E688" i="27"/>
  <c r="E694" i="27"/>
  <c r="E698" i="27"/>
  <c r="E696" i="27"/>
  <c r="E702" i="27"/>
  <c r="E706" i="27"/>
  <c r="E704" i="27"/>
  <c r="E665" i="27"/>
  <c r="E697" i="27"/>
  <c r="H659" i="27"/>
  <c r="E662" i="27"/>
  <c r="E661" i="27"/>
  <c r="E659" i="27"/>
  <c r="E666" i="27"/>
  <c r="E664" i="27"/>
  <c r="E667" i="27"/>
  <c r="E675" i="27"/>
  <c r="E683" i="27"/>
  <c r="E691" i="27"/>
  <c r="E699" i="27"/>
  <c r="E710" i="27"/>
  <c r="E707" i="27"/>
  <c r="E714" i="27"/>
  <c r="E712" i="27"/>
  <c r="E718" i="27"/>
  <c r="E715" i="27"/>
  <c r="E722" i="27"/>
  <c r="E720" i="27"/>
  <c r="E726" i="27"/>
  <c r="E723" i="27"/>
  <c r="E730" i="27"/>
  <c r="E728" i="27"/>
  <c r="E731" i="27"/>
  <c r="E735" i="27"/>
  <c r="E740" i="27"/>
  <c r="E737" i="27"/>
  <c r="E739" i="27"/>
  <c r="E744" i="27"/>
  <c r="E742" i="27"/>
  <c r="E746" i="27"/>
  <c r="E747" i="27"/>
  <c r="E753" i="27"/>
  <c r="E752" i="27"/>
  <c r="E751" i="27"/>
  <c r="E750" i="27"/>
  <c r="E749" i="27"/>
  <c r="E756" i="27"/>
  <c r="E755" i="27"/>
  <c r="E762" i="27"/>
  <c r="E761" i="27"/>
  <c r="E760" i="27"/>
  <c r="E759" i="27"/>
  <c r="E758" i="27"/>
  <c r="E763" i="27"/>
  <c r="E772" i="27"/>
  <c r="E770" i="27"/>
  <c r="E769" i="27"/>
  <c r="E768" i="27"/>
  <c r="E767" i="27"/>
  <c r="E765" i="27"/>
  <c r="E771" i="27"/>
  <c r="E780" i="27"/>
  <c r="E778" i="27"/>
  <c r="E777" i="27"/>
  <c r="E776" i="27"/>
  <c r="E774" i="27"/>
  <c r="E779" i="27"/>
  <c r="E781" i="27"/>
  <c r="E788" i="27"/>
  <c r="E786" i="27"/>
  <c r="E785" i="27"/>
  <c r="E783" i="27"/>
  <c r="E787" i="27"/>
  <c r="E790" i="27"/>
  <c r="E789" i="27"/>
  <c r="E796" i="27"/>
  <c r="E794" i="27"/>
  <c r="E792" i="27"/>
  <c r="E795" i="27"/>
  <c r="E799" i="27"/>
  <c r="E798" i="27"/>
  <c r="E797" i="27"/>
  <c r="E804" i="27"/>
  <c r="E801" i="27"/>
  <c r="E803" i="27"/>
  <c r="E808" i="27"/>
  <c r="E807" i="27"/>
  <c r="E806" i="27"/>
  <c r="E805" i="27"/>
  <c r="E810" i="27"/>
  <c r="E811" i="27"/>
  <c r="E817" i="27"/>
  <c r="E816" i="27"/>
  <c r="E815" i="27"/>
  <c r="E814" i="27"/>
  <c r="E813" i="27"/>
  <c r="E820" i="27"/>
  <c r="E819" i="27"/>
  <c r="E826" i="27"/>
  <c r="E825" i="27"/>
  <c r="E824" i="27"/>
  <c r="E823" i="27"/>
  <c r="E822" i="27"/>
  <c r="E827" i="27"/>
  <c r="E836" i="27"/>
  <c r="E834" i="27"/>
  <c r="E833" i="27"/>
  <c r="E832" i="27"/>
  <c r="E831" i="27"/>
  <c r="E829" i="27"/>
  <c r="E835" i="27"/>
  <c r="E673" i="27"/>
  <c r="E705" i="27"/>
  <c r="E738" i="27"/>
  <c r="E775" i="27"/>
  <c r="E812" i="27"/>
  <c r="E732" i="27"/>
  <c r="E741" i="27"/>
  <c r="E660" i="27"/>
  <c r="E668" i="27"/>
  <c r="E676" i="27"/>
  <c r="E684" i="27"/>
  <c r="E692" i="27"/>
  <c r="E700" i="27"/>
  <c r="E708" i="27"/>
  <c r="E716" i="27"/>
  <c r="E724" i="27"/>
  <c r="E733" i="27"/>
  <c r="E669" i="27"/>
  <c r="E677" i="27"/>
  <c r="E685" i="27"/>
  <c r="E693" i="27"/>
  <c r="E701" i="27"/>
  <c r="E709" i="27"/>
  <c r="E717" i="27"/>
  <c r="E725" i="27"/>
  <c r="E734" i="27"/>
  <c r="E743" i="27"/>
  <c r="E284" i="27"/>
  <c r="E315" i="27"/>
  <c r="J315" i="27" s="1"/>
  <c r="E401" i="27"/>
  <c r="E260" i="27"/>
  <c r="E347" i="27"/>
  <c r="E402" i="27"/>
  <c r="E292" i="27"/>
  <c r="N292" i="27" s="1"/>
  <c r="E370" i="27"/>
  <c r="J370" i="27" s="1"/>
  <c r="E283" i="27"/>
  <c r="E369" i="27"/>
  <c r="L369" i="27" s="1"/>
  <c r="E400" i="27"/>
  <c r="I400" i="27" s="1"/>
  <c r="E338" i="27"/>
  <c r="E252" i="27"/>
  <c r="E306" i="27"/>
  <c r="E314" i="27"/>
  <c r="E346" i="27"/>
  <c r="K346" i="27" s="1"/>
  <c r="E368" i="27"/>
  <c r="E251" i="27"/>
  <c r="H240" i="27"/>
  <c r="E244" i="27"/>
  <c r="E243" i="27"/>
  <c r="E242" i="27"/>
  <c r="E240" i="27"/>
  <c r="E248" i="27"/>
  <c r="E256" i="27"/>
  <c r="E264" i="27"/>
  <c r="E276" i="27"/>
  <c r="E272" i="27"/>
  <c r="E280" i="27"/>
  <c r="E288" i="27"/>
  <c r="E293" i="27"/>
  <c r="E296" i="27"/>
  <c r="E308" i="27"/>
  <c r="E304" i="27"/>
  <c r="E312" i="27"/>
  <c r="E320" i="27"/>
  <c r="E325" i="27"/>
  <c r="E324" i="27"/>
  <c r="E328" i="27"/>
  <c r="E340" i="27"/>
  <c r="E336" i="27"/>
  <c r="E348" i="27"/>
  <c r="E357" i="27"/>
  <c r="E360" i="27"/>
  <c r="E380" i="27"/>
  <c r="E388" i="27"/>
  <c r="E412" i="27"/>
  <c r="E273" i="27"/>
  <c r="E298" i="27"/>
  <c r="E289" i="27"/>
  <c r="E297" i="27"/>
  <c r="E305" i="27"/>
  <c r="E313" i="27"/>
  <c r="E322" i="27"/>
  <c r="E321" i="27"/>
  <c r="E330" i="27"/>
  <c r="E329" i="27"/>
  <c r="E353" i="27"/>
  <c r="E362" i="27"/>
  <c r="E361" i="27"/>
  <c r="E377" i="27"/>
  <c r="E386" i="27"/>
  <c r="E379" i="27"/>
  <c r="E394" i="27"/>
  <c r="E385" i="27"/>
  <c r="E389" i="27"/>
  <c r="E393" i="27"/>
  <c r="E410" i="27"/>
  <c r="E409" i="27"/>
  <c r="E418" i="27"/>
  <c r="E417" i="27"/>
  <c r="H241" i="27"/>
  <c r="E250" i="27"/>
  <c r="E241" i="27"/>
  <c r="E249" i="27"/>
  <c r="E258" i="27"/>
  <c r="E266" i="27"/>
  <c r="E257" i="27"/>
  <c r="E265" i="27"/>
  <c r="E274" i="27"/>
  <c r="E281" i="27"/>
  <c r="E290" i="27"/>
  <c r="E345" i="27"/>
  <c r="E354" i="27"/>
  <c r="E261" i="27"/>
  <c r="E316" i="27"/>
  <c r="E378" i="27"/>
  <c r="E282" i="27"/>
  <c r="E337" i="27"/>
  <c r="E392" i="27"/>
  <c r="E259" i="27"/>
  <c r="E269" i="27"/>
  <c r="E268" i="27"/>
  <c r="E285" i="27"/>
  <c r="E301" i="27"/>
  <c r="E300" i="27"/>
  <c r="E317" i="27"/>
  <c r="E323" i="27"/>
  <c r="E333" i="27"/>
  <c r="E332" i="27"/>
  <c r="E349" i="27"/>
  <c r="E365" i="27"/>
  <c r="E371" i="27"/>
  <c r="E387" i="27"/>
  <c r="E395" i="27"/>
  <c r="E405" i="27"/>
  <c r="E413" i="27"/>
  <c r="E356" i="27"/>
  <c r="E411" i="27"/>
  <c r="E245" i="27"/>
  <c r="E344" i="27"/>
  <c r="E352" i="27"/>
  <c r="E372" i="27"/>
  <c r="E376" i="27"/>
  <c r="E384" i="27"/>
  <c r="E404" i="27"/>
  <c r="E408" i="27"/>
  <c r="E416" i="27"/>
  <c r="E253" i="27"/>
  <c r="E275" i="27"/>
  <c r="E307" i="27"/>
  <c r="E339" i="27"/>
  <c r="E381" i="27"/>
  <c r="E403" i="27"/>
  <c r="E267" i="27"/>
  <c r="E277" i="27"/>
  <c r="E299" i="27"/>
  <c r="E309" i="27"/>
  <c r="E331" i="27"/>
  <c r="E341" i="27"/>
  <c r="E363" i="27"/>
  <c r="E373" i="27"/>
  <c r="E364" i="27"/>
  <c r="E396" i="27"/>
  <c r="E246" i="27"/>
  <c r="E254" i="27"/>
  <c r="E262" i="27"/>
  <c r="E270" i="27"/>
  <c r="E278" i="27"/>
  <c r="E286" i="27"/>
  <c r="E294" i="27"/>
  <c r="E302" i="27"/>
  <c r="E310" i="27"/>
  <c r="E318" i="27"/>
  <c r="E326" i="27"/>
  <c r="E334" i="27"/>
  <c r="E342" i="27"/>
  <c r="E350" i="27"/>
  <c r="E358" i="27"/>
  <c r="E366" i="27"/>
  <c r="E374" i="27"/>
  <c r="E382" i="27"/>
  <c r="E390" i="27"/>
  <c r="E398" i="27"/>
  <c r="E406" i="27"/>
  <c r="E414" i="27"/>
  <c r="E291" i="27"/>
  <c r="E355" i="27"/>
  <c r="E397" i="27"/>
  <c r="H239" i="27"/>
  <c r="E239" i="27"/>
  <c r="E247" i="27"/>
  <c r="E255" i="27"/>
  <c r="E263" i="27"/>
  <c r="E271" i="27"/>
  <c r="E279" i="27"/>
  <c r="E287" i="27"/>
  <c r="E295" i="27"/>
  <c r="E303" i="27"/>
  <c r="E311" i="27"/>
  <c r="E319" i="27"/>
  <c r="E327" i="27"/>
  <c r="E335" i="27"/>
  <c r="E343" i="27"/>
  <c r="E351" i="27"/>
  <c r="E359" i="27"/>
  <c r="E367" i="27"/>
  <c r="E375" i="27"/>
  <c r="E383" i="27"/>
  <c r="E391" i="27"/>
  <c r="E399" i="27"/>
  <c r="E407" i="27"/>
  <c r="E415" i="27"/>
  <c r="C141" i="1"/>
  <c r="C133" i="1"/>
  <c r="E240" i="1"/>
  <c r="AD240" i="1" s="1"/>
  <c r="E248" i="1"/>
  <c r="AD248" i="1" s="1"/>
  <c r="E216" i="1"/>
  <c r="AD216" i="1" s="1"/>
  <c r="E168" i="1"/>
  <c r="AF168" i="1" s="1"/>
  <c r="E184" i="1"/>
  <c r="AF184" i="1" s="1"/>
  <c r="E234" i="1"/>
  <c r="AF234" i="1" s="1"/>
  <c r="Y226" i="1"/>
  <c r="E186" i="1"/>
  <c r="AF186" i="1" s="1"/>
  <c r="E242" i="1"/>
  <c r="AD242" i="1" s="1"/>
  <c r="E160" i="1"/>
  <c r="AD160" i="1" s="1"/>
  <c r="E208" i="1"/>
  <c r="AD208" i="1" s="1"/>
  <c r="E226" i="1"/>
  <c r="AD226" i="1" s="1"/>
  <c r="E194" i="1"/>
  <c r="AF194" i="1" s="1"/>
  <c r="E210" i="1"/>
  <c r="AF210" i="1" s="1"/>
  <c r="E170" i="1"/>
  <c r="AD170" i="1" s="1"/>
  <c r="W162" i="1"/>
  <c r="E178" i="1"/>
  <c r="AD178" i="1" s="1"/>
  <c r="E202" i="1"/>
  <c r="AF202" i="1" s="1"/>
  <c r="E250" i="1"/>
  <c r="AF250" i="1" s="1"/>
  <c r="W242" i="1"/>
  <c r="W248" i="1"/>
  <c r="E218" i="1"/>
  <c r="AF218" i="1" s="1"/>
  <c r="Y170" i="1"/>
  <c r="Y176" i="1"/>
  <c r="C137" i="1"/>
  <c r="C138" i="1"/>
  <c r="E162" i="1"/>
  <c r="AD162" i="1" s="1"/>
  <c r="W178" i="1"/>
  <c r="Y194" i="1"/>
  <c r="E176" i="1"/>
  <c r="AF176" i="1" s="1"/>
  <c r="E200" i="1"/>
  <c r="AF200" i="1" s="1"/>
  <c r="E232" i="1"/>
  <c r="AD232" i="1" s="1"/>
  <c r="W184" i="1"/>
  <c r="Y202" i="1"/>
  <c r="W200" i="1"/>
  <c r="G147" i="1"/>
  <c r="E192" i="1"/>
  <c r="AD192" i="1" s="1"/>
  <c r="E224" i="1"/>
  <c r="AD224" i="1" s="1"/>
  <c r="Y234" i="1"/>
  <c r="AD167" i="1"/>
  <c r="AF167" i="1"/>
  <c r="AD157" i="1"/>
  <c r="AF157" i="1"/>
  <c r="AD205" i="1"/>
  <c r="AF205" i="1"/>
  <c r="AD215" i="1"/>
  <c r="AF215" i="1"/>
  <c r="AD237" i="1"/>
  <c r="AF237" i="1"/>
  <c r="AD247" i="1"/>
  <c r="AF247" i="1"/>
  <c r="C148" i="1"/>
  <c r="G148" i="1"/>
  <c r="AD229" i="1"/>
  <c r="AF229" i="1"/>
  <c r="Y177" i="1"/>
  <c r="W177" i="1"/>
  <c r="E177" i="1"/>
  <c r="Y185" i="1"/>
  <c r="W185" i="1"/>
  <c r="E185" i="1"/>
  <c r="Y193" i="1"/>
  <c r="W193" i="1"/>
  <c r="E193" i="1"/>
  <c r="Y201" i="1"/>
  <c r="W201" i="1"/>
  <c r="E201" i="1"/>
  <c r="Y209" i="1"/>
  <c r="W209" i="1"/>
  <c r="E209" i="1"/>
  <c r="Y217" i="1"/>
  <c r="W217" i="1"/>
  <c r="E217" i="1"/>
  <c r="Y225" i="1"/>
  <c r="W225" i="1"/>
  <c r="E225" i="1"/>
  <c r="Y233" i="1"/>
  <c r="W233" i="1"/>
  <c r="E233" i="1"/>
  <c r="Y241" i="1"/>
  <c r="W241" i="1"/>
  <c r="E241" i="1"/>
  <c r="Y249" i="1"/>
  <c r="W249" i="1"/>
  <c r="E249" i="1"/>
  <c r="AD181" i="1"/>
  <c r="AF181" i="1"/>
  <c r="AD183" i="1"/>
  <c r="AF183" i="1"/>
  <c r="AD173" i="1"/>
  <c r="AF173" i="1"/>
  <c r="Y161" i="1"/>
  <c r="W161" i="1"/>
  <c r="E161" i="1"/>
  <c r="AD239" i="1"/>
  <c r="AF239" i="1"/>
  <c r="AD231" i="1"/>
  <c r="AF231" i="1"/>
  <c r="E179" i="1"/>
  <c r="Y179" i="1"/>
  <c r="W179" i="1"/>
  <c r="E211" i="1"/>
  <c r="Y211" i="1"/>
  <c r="W211" i="1"/>
  <c r="E243" i="1"/>
  <c r="Y243" i="1"/>
  <c r="W243" i="1"/>
  <c r="AD159" i="1"/>
  <c r="AF159" i="1"/>
  <c r="AD207" i="1"/>
  <c r="AF207" i="1"/>
  <c r="G134" i="1"/>
  <c r="AD189" i="1"/>
  <c r="AF189" i="1"/>
  <c r="AD221" i="1"/>
  <c r="AF221" i="1"/>
  <c r="AD253" i="1"/>
  <c r="AF253" i="1"/>
  <c r="Y163" i="1"/>
  <c r="E163" i="1"/>
  <c r="W163" i="1"/>
  <c r="Y187" i="1"/>
  <c r="E187" i="1"/>
  <c r="W187" i="1"/>
  <c r="E203" i="1"/>
  <c r="W203" i="1"/>
  <c r="Y203" i="1"/>
  <c r="E227" i="1"/>
  <c r="W227" i="1"/>
  <c r="Y227" i="1"/>
  <c r="Y251" i="1"/>
  <c r="E251" i="1"/>
  <c r="W251" i="1"/>
  <c r="G140" i="1"/>
  <c r="AD165" i="1"/>
  <c r="AF165" i="1"/>
  <c r="C132" i="1"/>
  <c r="G132" i="1"/>
  <c r="AD197" i="1"/>
  <c r="AF197" i="1"/>
  <c r="Y169" i="1"/>
  <c r="W169" i="1"/>
  <c r="E169" i="1"/>
  <c r="G126" i="1"/>
  <c r="C126" i="1"/>
  <c r="AD175" i="1"/>
  <c r="AF175" i="1"/>
  <c r="AD199" i="1"/>
  <c r="AF199" i="1"/>
  <c r="W171" i="1"/>
  <c r="E171" i="1"/>
  <c r="Y171" i="1"/>
  <c r="W195" i="1"/>
  <c r="E195" i="1"/>
  <c r="Y195" i="1"/>
  <c r="Y219" i="1"/>
  <c r="E219" i="1"/>
  <c r="W219" i="1"/>
  <c r="W235" i="1"/>
  <c r="E235" i="1"/>
  <c r="Y235" i="1"/>
  <c r="AD191" i="1"/>
  <c r="AF191" i="1"/>
  <c r="AD213" i="1"/>
  <c r="AF213" i="1"/>
  <c r="AD223" i="1"/>
  <c r="AF223" i="1"/>
  <c r="AD245" i="1"/>
  <c r="AF245" i="1"/>
  <c r="AD255" i="1"/>
  <c r="AF255" i="1"/>
  <c r="G139" i="1"/>
  <c r="AF158" i="1"/>
  <c r="AD158" i="1"/>
  <c r="AF182" i="1"/>
  <c r="AD182" i="1"/>
  <c r="AF190" i="1"/>
  <c r="AD190" i="1"/>
  <c r="AD198" i="1"/>
  <c r="AF198" i="1"/>
  <c r="AD214" i="1"/>
  <c r="AF214" i="1"/>
  <c r="AD222" i="1"/>
  <c r="AF222" i="1"/>
  <c r="AD238" i="1"/>
  <c r="AF238" i="1"/>
  <c r="AD246" i="1"/>
  <c r="AF246" i="1"/>
  <c r="AD254" i="1"/>
  <c r="AF254" i="1"/>
  <c r="W160" i="1"/>
  <c r="W224" i="1"/>
  <c r="AF166" i="1"/>
  <c r="Y188" i="1"/>
  <c r="W188" i="1"/>
  <c r="Y196" i="1"/>
  <c r="W196" i="1"/>
  <c r="Y204" i="1"/>
  <c r="W204" i="1"/>
  <c r="Y212" i="1"/>
  <c r="W212" i="1"/>
  <c r="Y220" i="1"/>
  <c r="W220" i="1"/>
  <c r="Y228" i="1"/>
  <c r="W228" i="1"/>
  <c r="Y236" i="1"/>
  <c r="W236" i="1"/>
  <c r="Y244" i="1"/>
  <c r="W244" i="1"/>
  <c r="Y252" i="1"/>
  <c r="W252" i="1"/>
  <c r="W186" i="1"/>
  <c r="W208" i="1"/>
  <c r="W250" i="1"/>
  <c r="AD204" i="1"/>
  <c r="Y156" i="1"/>
  <c r="W156" i="1"/>
  <c r="Y164" i="1"/>
  <c r="W164" i="1"/>
  <c r="Y172" i="1"/>
  <c r="W172" i="1"/>
  <c r="Y180" i="1"/>
  <c r="W180" i="1"/>
  <c r="Y157" i="1"/>
  <c r="W157" i="1"/>
  <c r="Y165" i="1"/>
  <c r="W165" i="1"/>
  <c r="Y173" i="1"/>
  <c r="W173" i="1"/>
  <c r="Y181" i="1"/>
  <c r="W181" i="1"/>
  <c r="Y189" i="1"/>
  <c r="W189" i="1"/>
  <c r="Y197" i="1"/>
  <c r="W197" i="1"/>
  <c r="Y205" i="1"/>
  <c r="W205" i="1"/>
  <c r="Y213" i="1"/>
  <c r="W213" i="1"/>
  <c r="Y221" i="1"/>
  <c r="W221" i="1"/>
  <c r="Y229" i="1"/>
  <c r="W229" i="1"/>
  <c r="Y237" i="1"/>
  <c r="W237" i="1"/>
  <c r="Y245" i="1"/>
  <c r="W245" i="1"/>
  <c r="Y253" i="1"/>
  <c r="W253" i="1"/>
  <c r="W168" i="1"/>
  <c r="W210" i="1"/>
  <c r="W232" i="1"/>
  <c r="AD220" i="1"/>
  <c r="AF206" i="1"/>
  <c r="Y158" i="1"/>
  <c r="W158" i="1"/>
  <c r="Y166" i="1"/>
  <c r="W166" i="1"/>
  <c r="Y174" i="1"/>
  <c r="W174" i="1"/>
  <c r="Y182" i="1"/>
  <c r="W182" i="1"/>
  <c r="Y190" i="1"/>
  <c r="W190" i="1"/>
  <c r="Y198" i="1"/>
  <c r="W198" i="1"/>
  <c r="Y206" i="1"/>
  <c r="W206" i="1"/>
  <c r="Y214" i="1"/>
  <c r="W214" i="1"/>
  <c r="Y222" i="1"/>
  <c r="W222" i="1"/>
  <c r="Y230" i="1"/>
  <c r="W230" i="1"/>
  <c r="Y238" i="1"/>
  <c r="W238" i="1"/>
  <c r="Y246" i="1"/>
  <c r="W246" i="1"/>
  <c r="Y254" i="1"/>
  <c r="W254" i="1"/>
  <c r="W192" i="1"/>
  <c r="G131" i="1"/>
  <c r="Y159" i="1"/>
  <c r="W159" i="1"/>
  <c r="Y167" i="1"/>
  <c r="W167" i="1"/>
  <c r="Y175" i="1"/>
  <c r="W175" i="1"/>
  <c r="Y183" i="1"/>
  <c r="W183" i="1"/>
  <c r="Y191" i="1"/>
  <c r="W191" i="1"/>
  <c r="Y199" i="1"/>
  <c r="W199" i="1"/>
  <c r="Y207" i="1"/>
  <c r="W207" i="1"/>
  <c r="Y215" i="1"/>
  <c r="W215" i="1"/>
  <c r="Y223" i="1"/>
  <c r="W223" i="1"/>
  <c r="Y231" i="1"/>
  <c r="W231" i="1"/>
  <c r="Y239" i="1"/>
  <c r="W239" i="1"/>
  <c r="Y247" i="1"/>
  <c r="W247" i="1"/>
  <c r="Y255" i="1"/>
  <c r="W255" i="1"/>
  <c r="W216" i="1"/>
  <c r="Y218" i="1"/>
  <c r="AD174" i="1"/>
  <c r="E164" i="1"/>
  <c r="E172" i="1"/>
  <c r="E180" i="1"/>
  <c r="E188" i="1"/>
  <c r="AF196" i="1"/>
  <c r="AD196" i="1"/>
  <c r="AF212" i="1"/>
  <c r="AD212" i="1"/>
  <c r="AF228" i="1"/>
  <c r="AD228" i="1"/>
  <c r="AF236" i="1"/>
  <c r="AD236" i="1"/>
  <c r="AF252" i="1"/>
  <c r="AD252" i="1"/>
  <c r="W240" i="1"/>
  <c r="AD244" i="1"/>
  <c r="AF230" i="1"/>
  <c r="G127" i="1"/>
  <c r="G135" i="1"/>
  <c r="G143" i="1"/>
  <c r="C129" i="1"/>
  <c r="C145" i="1"/>
  <c r="C130" i="1"/>
  <c r="C146" i="1"/>
  <c r="G128" i="1"/>
  <c r="G136" i="1"/>
  <c r="G144" i="1"/>
  <c r="P4310" i="27"/>
  <c r="P4311" i="27" s="1"/>
  <c r="P4312" i="27" s="1"/>
  <c r="P4313" i="27" s="1"/>
  <c r="P4314" i="27" s="1"/>
  <c r="P4315" i="27" s="1"/>
  <c r="P4316" i="27" s="1"/>
  <c r="P4317" i="27" s="1"/>
  <c r="P4318" i="27" s="1"/>
  <c r="P4319" i="27" s="1"/>
  <c r="P4320" i="27" s="1"/>
  <c r="P4321" i="27" s="1"/>
  <c r="P4322" i="27" s="1"/>
  <c r="P4323" i="27" s="1"/>
  <c r="P4324" i="27" s="1"/>
  <c r="P4325" i="27" s="1"/>
  <c r="P4326" i="27" s="1"/>
  <c r="P4327" i="27" s="1"/>
  <c r="P4328" i="27" s="1"/>
  <c r="P4329" i="27" s="1"/>
  <c r="P4330" i="27" s="1"/>
  <c r="P4331" i="27" s="1"/>
  <c r="P4332" i="27" s="1"/>
  <c r="P4333" i="27" s="1"/>
  <c r="P4334" i="27" s="1"/>
  <c r="P4335" i="27" s="1"/>
  <c r="P4336" i="27" s="1"/>
  <c r="P4337" i="27" s="1"/>
  <c r="P4338" i="27" s="1"/>
  <c r="P4339" i="27" s="1"/>
  <c r="P4340" i="27" s="1"/>
  <c r="P4341" i="27" s="1"/>
  <c r="P4342" i="27" s="1"/>
  <c r="P4343" i="27" s="1"/>
  <c r="P4344" i="27" s="1"/>
  <c r="P4345" i="27" s="1"/>
  <c r="P4346" i="27" s="1"/>
  <c r="P4347" i="27" s="1"/>
  <c r="P4348" i="27" s="1"/>
  <c r="P4349" i="27" s="1"/>
  <c r="P4350" i="27" s="1"/>
  <c r="P4351" i="27" s="1"/>
  <c r="P4352" i="27" s="1"/>
  <c r="P4353" i="27" s="1"/>
  <c r="P4354" i="27" s="1"/>
  <c r="P4355" i="27" s="1"/>
  <c r="P4356" i="27" s="1"/>
  <c r="P4357" i="27" s="1"/>
  <c r="P4358" i="27" s="1"/>
  <c r="P4359" i="27" s="1"/>
  <c r="P4360" i="27" s="1"/>
  <c r="P4361" i="27" s="1"/>
  <c r="P4362" i="27" s="1"/>
  <c r="P4363" i="27" s="1"/>
  <c r="P4364" i="27" s="1"/>
  <c r="P4365" i="27" s="1"/>
  <c r="P4366" i="27" s="1"/>
  <c r="P4367" i="27" s="1"/>
  <c r="P4368" i="27" s="1"/>
  <c r="P4369" i="27" s="1"/>
  <c r="P4370" i="27" s="1"/>
  <c r="P4371" i="27" s="1"/>
  <c r="P4372" i="27" s="1"/>
  <c r="P4373" i="27" s="1"/>
  <c r="P4374" i="27" s="1"/>
  <c r="P4375" i="27" s="1"/>
  <c r="P4376" i="27" s="1"/>
  <c r="P4377" i="27" s="1"/>
  <c r="P4378" i="27" s="1"/>
  <c r="P4379" i="27" s="1"/>
  <c r="P4380" i="27" s="1"/>
  <c r="P4381" i="27" s="1"/>
  <c r="P4382" i="27" s="1"/>
  <c r="P4383" i="27" s="1"/>
  <c r="P4384" i="27" s="1"/>
  <c r="P4385" i="27" s="1"/>
  <c r="P4386" i="27" s="1"/>
  <c r="P4387" i="27" s="1"/>
  <c r="P4388" i="27" s="1"/>
  <c r="P4389" i="27" s="1"/>
  <c r="P4390" i="27" s="1"/>
  <c r="P4391" i="27" s="1"/>
  <c r="P4392" i="27" s="1"/>
  <c r="P4393" i="27" s="1"/>
  <c r="P4394" i="27" s="1"/>
  <c r="P4395" i="27" s="1"/>
  <c r="P4396" i="27" s="1"/>
  <c r="P4397" i="27" s="1"/>
  <c r="P4398" i="27" s="1"/>
  <c r="P4399" i="27" s="1"/>
  <c r="P4400" i="27" s="1"/>
  <c r="P4401" i="27" s="1"/>
  <c r="P4402" i="27" s="1"/>
  <c r="P4403" i="27" s="1"/>
  <c r="P4404" i="27" s="1"/>
  <c r="P4405" i="27" s="1"/>
  <c r="P4406" i="27" s="1"/>
  <c r="P4407" i="27" s="1"/>
  <c r="P4408" i="27" s="1"/>
  <c r="P4409" i="27" s="1"/>
  <c r="P4410" i="27" s="1"/>
  <c r="P4411" i="27" s="1"/>
  <c r="P4412" i="27" s="1"/>
  <c r="P4413" i="27" s="1"/>
  <c r="P4414" i="27" s="1"/>
  <c r="P4415" i="27" s="1"/>
  <c r="P4416" i="27" s="1"/>
  <c r="P4417" i="27" s="1"/>
  <c r="P4418" i="27" s="1"/>
  <c r="P4419" i="27" s="1"/>
  <c r="P4420" i="27" s="1"/>
  <c r="P4421" i="27" s="1"/>
  <c r="P4422" i="27" s="1"/>
  <c r="P4423" i="27" s="1"/>
  <c r="P4424" i="27" s="1"/>
  <c r="P4425" i="27" s="1"/>
  <c r="P4426" i="27" s="1"/>
  <c r="P4427" i="27" s="1"/>
  <c r="P4428" i="27" s="1"/>
  <c r="P4429" i="27" s="1"/>
  <c r="P4430" i="27" s="1"/>
  <c r="P4431" i="27" s="1"/>
  <c r="P4432" i="27" s="1"/>
  <c r="P4433" i="27" s="1"/>
  <c r="P4434" i="27" s="1"/>
  <c r="P4435" i="27" s="1"/>
  <c r="P4436" i="27" s="1"/>
  <c r="P4437" i="27" s="1"/>
  <c r="P4438" i="27" s="1"/>
  <c r="P4439" i="27" s="1"/>
  <c r="P4440" i="27" s="1"/>
  <c r="P4441" i="27" s="1"/>
  <c r="P4442" i="27" s="1"/>
  <c r="P4443" i="27" s="1"/>
  <c r="P4444" i="27" s="1"/>
  <c r="P4445" i="27" s="1"/>
  <c r="P4446" i="27" s="1"/>
  <c r="P4447" i="27" s="1"/>
  <c r="P4448" i="27" s="1"/>
  <c r="P4449" i="27" s="1"/>
  <c r="P4450" i="27" s="1"/>
  <c r="P4451" i="27" s="1"/>
  <c r="P4452" i="27" s="1"/>
  <c r="P4453" i="27" s="1"/>
  <c r="P4454" i="27" s="1"/>
  <c r="P4455" i="27" s="1"/>
  <c r="P4456" i="27" s="1"/>
  <c r="P4457" i="27" s="1"/>
  <c r="P4458" i="27" s="1"/>
  <c r="P4459" i="27" s="1"/>
  <c r="P4460" i="27" s="1"/>
  <c r="P4461" i="27" s="1"/>
  <c r="P4462" i="27" s="1"/>
  <c r="P4463" i="27" s="1"/>
  <c r="P4464" i="27" s="1"/>
  <c r="P4465" i="27" s="1"/>
  <c r="P4466" i="27" s="1"/>
  <c r="P4467" i="27" s="1"/>
  <c r="P4468" i="27" s="1"/>
  <c r="P4469" i="27" s="1"/>
  <c r="P4470" i="27" s="1"/>
  <c r="P4471" i="27" s="1"/>
  <c r="P4472" i="27" s="1"/>
  <c r="P4473" i="27" s="1"/>
  <c r="P4474" i="27" s="1"/>
  <c r="P4475" i="27" s="1"/>
  <c r="P4476" i="27" s="1"/>
  <c r="P4477" i="27" s="1"/>
  <c r="P4478" i="27" s="1"/>
  <c r="P4479" i="27" s="1"/>
  <c r="P4480" i="27" s="1"/>
  <c r="P4481" i="27" s="1"/>
  <c r="P4482" i="27" s="1"/>
  <c r="P4483" i="27" s="1"/>
  <c r="P4484" i="27" s="1"/>
  <c r="P4485" i="27" s="1"/>
  <c r="P4486" i="27" s="1"/>
  <c r="P4487" i="27" s="1"/>
  <c r="P4488" i="27" s="1"/>
  <c r="P4489" i="27" s="1"/>
  <c r="P4490" i="27" s="1"/>
  <c r="P4491" i="27" s="1"/>
  <c r="P4492" i="27" s="1"/>
  <c r="P4493" i="27" s="1"/>
  <c r="P4494" i="27" s="1"/>
  <c r="P4495" i="27" s="1"/>
  <c r="P4496" i="27" s="1"/>
  <c r="P4497" i="27" s="1"/>
  <c r="P4498" i="27" s="1"/>
  <c r="P4499" i="27" s="1"/>
  <c r="P4500" i="27" s="1"/>
  <c r="P4501" i="27" s="1"/>
  <c r="P4502" i="27" s="1"/>
  <c r="P4503" i="27" s="1"/>
  <c r="P4504" i="27" s="1"/>
  <c r="P4505" i="27" s="1"/>
  <c r="P4506" i="27" s="1"/>
  <c r="P4507" i="27" s="1"/>
  <c r="P4508" i="27" s="1"/>
  <c r="P4509" i="27" s="1"/>
  <c r="P4510" i="27" s="1"/>
  <c r="P4511" i="27" s="1"/>
  <c r="P4512" i="27" s="1"/>
  <c r="P4513" i="27" s="1"/>
  <c r="P4514" i="27" s="1"/>
  <c r="P4515" i="27" s="1"/>
  <c r="P4516" i="27" s="1"/>
  <c r="P4517" i="27" s="1"/>
  <c r="P4518" i="27" s="1"/>
  <c r="P4519" i="27" s="1"/>
  <c r="P4520" i="27" s="1"/>
  <c r="P4521" i="27" s="1"/>
  <c r="P4522" i="27" s="1"/>
  <c r="P4523" i="27" s="1"/>
  <c r="P4524" i="27" s="1"/>
  <c r="P4525" i="27" s="1"/>
  <c r="P4526" i="27" s="1"/>
  <c r="P4527" i="27" s="1"/>
  <c r="P4528" i="27" s="1"/>
  <c r="P4529" i="27" s="1"/>
  <c r="P4530" i="27" s="1"/>
  <c r="P4531" i="27" s="1"/>
  <c r="P4532" i="27" s="1"/>
  <c r="P4533" i="27" s="1"/>
  <c r="P4534" i="27" s="1"/>
  <c r="P4535" i="27" s="1"/>
  <c r="P4536" i="27" s="1"/>
  <c r="P4537" i="27" s="1"/>
  <c r="P4538" i="27" s="1"/>
  <c r="P4539" i="27" s="1"/>
  <c r="P4540" i="27" s="1"/>
  <c r="P4541" i="27" s="1"/>
  <c r="P4542" i="27" s="1"/>
  <c r="P4543" i="27" s="1"/>
  <c r="P4544" i="27" s="1"/>
  <c r="P4545" i="27" s="1"/>
  <c r="P4546" i="27" s="1"/>
  <c r="P4547" i="27" s="1"/>
  <c r="P4548" i="27" s="1"/>
  <c r="P4549" i="27" s="1"/>
  <c r="P4550" i="27" s="1"/>
  <c r="P4551" i="27" s="1"/>
  <c r="P4552" i="27" s="1"/>
  <c r="P4553" i="27" s="1"/>
  <c r="P4554" i="27" s="1"/>
  <c r="P4555" i="27" s="1"/>
  <c r="P4556" i="27" s="1"/>
  <c r="P4557" i="27" s="1"/>
  <c r="P4558" i="27" s="1"/>
  <c r="P4559" i="27" s="1"/>
  <c r="P4560" i="27" s="1"/>
  <c r="P4561" i="27" s="1"/>
  <c r="P4562" i="27" s="1"/>
  <c r="P4563" i="27" s="1"/>
  <c r="P4564" i="27" s="1"/>
  <c r="P4565" i="27" s="1"/>
  <c r="P4566" i="27" s="1"/>
  <c r="P4567" i="27" s="1"/>
  <c r="P4568" i="27" s="1"/>
  <c r="P4569" i="27" s="1"/>
  <c r="P4570" i="27" s="1"/>
  <c r="P4571" i="27" s="1"/>
  <c r="P4572" i="27" s="1"/>
  <c r="P4573" i="27" s="1"/>
  <c r="P4574" i="27" s="1"/>
  <c r="P4575" i="27" s="1"/>
  <c r="P4576" i="27" s="1"/>
  <c r="P4577" i="27" s="1"/>
  <c r="P4578" i="27" s="1"/>
  <c r="P4579" i="27" s="1"/>
  <c r="P4580" i="27" s="1"/>
  <c r="P4581" i="27" s="1"/>
  <c r="P4582" i="27" s="1"/>
  <c r="P4583" i="27" s="1"/>
  <c r="P4584" i="27" s="1"/>
  <c r="P4585" i="27" s="1"/>
  <c r="P4586" i="27" s="1"/>
  <c r="P4587" i="27" s="1"/>
  <c r="P4588" i="27" s="1"/>
  <c r="P4589" i="27" s="1"/>
  <c r="P4590" i="27" s="1"/>
  <c r="P4591" i="27" s="1"/>
  <c r="P4592" i="27" s="1"/>
  <c r="P4593" i="27" s="1"/>
  <c r="P4594" i="27" s="1"/>
  <c r="P4595" i="27" s="1"/>
  <c r="P4596" i="27" s="1"/>
  <c r="P4597" i="27" s="1"/>
  <c r="P4598" i="27" s="1"/>
  <c r="P4599" i="27" s="1"/>
  <c r="P4600" i="27" s="1"/>
  <c r="P4601" i="27" s="1"/>
  <c r="P4602" i="27" s="1"/>
  <c r="P4603" i="27" s="1"/>
  <c r="P4604" i="27" s="1"/>
  <c r="P4605" i="27" s="1"/>
  <c r="P4606" i="27" s="1"/>
  <c r="P4607" i="27" s="1"/>
  <c r="P4608" i="27" s="1"/>
  <c r="P4609" i="27" s="1"/>
  <c r="P4610" i="27" s="1"/>
  <c r="P4611" i="27" s="1"/>
  <c r="P4612" i="27" s="1"/>
  <c r="P4613" i="27" s="1"/>
  <c r="P4614" i="27" s="1"/>
  <c r="P4615" i="27" s="1"/>
  <c r="P4616" i="27" s="1"/>
  <c r="P4617" i="27" s="1"/>
  <c r="P4618" i="27" s="1"/>
  <c r="P4619" i="27" s="1"/>
  <c r="P4620" i="27" s="1"/>
  <c r="P4621" i="27" s="1"/>
  <c r="P4622" i="27" s="1"/>
  <c r="P4623" i="27" s="1"/>
  <c r="P4624" i="27" s="1"/>
  <c r="P4625" i="27" s="1"/>
  <c r="P4626" i="27" s="1"/>
  <c r="P4627" i="27" s="1"/>
  <c r="P4628" i="27" s="1"/>
  <c r="P4629" i="27" s="1"/>
  <c r="P4630" i="27" s="1"/>
  <c r="P4631" i="27" s="1"/>
  <c r="P4632" i="27" s="1"/>
  <c r="P4633" i="27" s="1"/>
  <c r="P4634" i="27" s="1"/>
  <c r="P4635" i="27" s="1"/>
  <c r="P4636" i="27" s="1"/>
  <c r="P4637" i="27" s="1"/>
  <c r="P4638" i="27" s="1"/>
  <c r="P4639" i="27" s="1"/>
  <c r="P4640" i="27" s="1"/>
  <c r="P4641" i="27" s="1"/>
  <c r="P4642" i="27" s="1"/>
  <c r="P4643" i="27" s="1"/>
  <c r="P4644" i="27" s="1"/>
  <c r="P4645" i="27" s="1"/>
  <c r="P4646" i="27" s="1"/>
  <c r="P4647" i="27" s="1"/>
  <c r="P4648" i="27" s="1"/>
  <c r="P4649" i="27" s="1"/>
  <c r="P4650" i="27" s="1"/>
  <c r="P4651" i="27" s="1"/>
  <c r="P4652" i="27" s="1"/>
  <c r="P4653" i="27" s="1"/>
  <c r="P4654" i="27" s="1"/>
  <c r="P4655" i="27" s="1"/>
  <c r="P4656" i="27" s="1"/>
  <c r="P4657" i="27" s="1"/>
  <c r="P4658" i="27" s="1"/>
  <c r="P4659" i="27" s="1"/>
  <c r="P4660" i="27" s="1"/>
  <c r="P4661" i="27" s="1"/>
  <c r="P4662" i="27" s="1"/>
  <c r="P4663" i="27" s="1"/>
  <c r="P4664" i="27" s="1"/>
  <c r="P4665" i="27" s="1"/>
  <c r="P4666" i="27" s="1"/>
  <c r="P4667" i="27" s="1"/>
  <c r="P4668" i="27" s="1"/>
  <c r="P4669" i="27" s="1"/>
  <c r="P4670" i="27" s="1"/>
  <c r="P4671" i="27" s="1"/>
  <c r="P4672" i="27" s="1"/>
  <c r="P4673" i="27" s="1"/>
  <c r="P4674" i="27" s="1"/>
  <c r="P4675" i="27" s="1"/>
  <c r="P4676" i="27" s="1"/>
  <c r="P4677" i="27" s="1"/>
  <c r="P4678" i="27" s="1"/>
  <c r="P4679" i="27" s="1"/>
  <c r="P4680" i="27" s="1"/>
  <c r="P4681" i="27" s="1"/>
  <c r="P4682" i="27" s="1"/>
  <c r="P4683" i="27" s="1"/>
  <c r="P4684" i="27" s="1"/>
  <c r="P4685" i="27" s="1"/>
  <c r="P4686" i="27" s="1"/>
  <c r="P4687" i="27" s="1"/>
  <c r="P4688" i="27" s="1"/>
  <c r="P4689" i="27" s="1"/>
  <c r="P4690" i="27" s="1"/>
  <c r="P4691" i="27" s="1"/>
  <c r="P4692" i="27" s="1"/>
  <c r="P4693" i="27" s="1"/>
  <c r="P4694" i="27" s="1"/>
  <c r="P4695" i="27" s="1"/>
  <c r="P4696" i="27" s="1"/>
  <c r="P4697" i="27" s="1"/>
  <c r="P4698" i="27" s="1"/>
  <c r="P4699" i="27" s="1"/>
  <c r="P4700" i="27" s="1"/>
  <c r="P4701" i="27" s="1"/>
  <c r="P4702" i="27" s="1"/>
  <c r="P4703" i="27" s="1"/>
  <c r="P4704" i="27" s="1"/>
  <c r="P4705" i="27" s="1"/>
  <c r="P4706" i="27" s="1"/>
  <c r="P4707" i="27" s="1"/>
  <c r="P4708" i="27" s="1"/>
  <c r="P4709" i="27" s="1"/>
  <c r="P4710" i="27" s="1"/>
  <c r="P4711" i="27" s="1"/>
  <c r="P4712" i="27" s="1"/>
  <c r="P4713" i="27" s="1"/>
  <c r="P4714" i="27" s="1"/>
  <c r="P4715" i="27" s="1"/>
  <c r="P4716" i="27" s="1"/>
  <c r="P4717" i="27" s="1"/>
  <c r="P4718" i="27" s="1"/>
  <c r="P4719" i="27" s="1"/>
  <c r="P4720" i="27" s="1"/>
  <c r="P4721" i="27" s="1"/>
  <c r="P4722" i="27" s="1"/>
  <c r="P4723" i="27" s="1"/>
  <c r="P4724" i="27" s="1"/>
  <c r="P4725" i="27" s="1"/>
  <c r="P4726" i="27" s="1"/>
  <c r="P4727" i="27" s="1"/>
  <c r="P4728" i="27" s="1"/>
  <c r="P4729" i="27" s="1"/>
  <c r="P4730" i="27" s="1"/>
  <c r="P4731" i="27" s="1"/>
  <c r="P4732" i="27" s="1"/>
  <c r="P4733" i="27" s="1"/>
  <c r="P4734" i="27" s="1"/>
  <c r="P4735" i="27" s="1"/>
  <c r="P4736" i="27" s="1"/>
  <c r="P4737" i="27" s="1"/>
  <c r="P4738" i="27" s="1"/>
  <c r="P4739" i="27" s="1"/>
  <c r="P4740" i="27" s="1"/>
  <c r="P4741" i="27" s="1"/>
  <c r="P4742" i="27" s="1"/>
  <c r="P4743" i="27" s="1"/>
  <c r="P4744" i="27" s="1"/>
  <c r="P4745" i="27" s="1"/>
  <c r="P4746" i="27" s="1"/>
  <c r="P4747" i="27" s="1"/>
  <c r="P4748" i="27" s="1"/>
  <c r="P4749" i="27" s="1"/>
  <c r="P4750" i="27" s="1"/>
  <c r="P4751" i="27" s="1"/>
  <c r="P4752" i="27" s="1"/>
  <c r="P4753" i="27" s="1"/>
  <c r="P4754" i="27" s="1"/>
  <c r="P4755" i="27" s="1"/>
  <c r="P4756" i="27" s="1"/>
  <c r="P4757" i="27" s="1"/>
  <c r="P4758" i="27" s="1"/>
  <c r="P4759" i="27" s="1"/>
  <c r="P4760" i="27" s="1"/>
  <c r="P4761" i="27" s="1"/>
  <c r="P4762" i="27" s="1"/>
  <c r="P4763" i="27" s="1"/>
  <c r="P4764" i="27" s="1"/>
  <c r="P4765" i="27" s="1"/>
  <c r="P4766" i="27" s="1"/>
  <c r="P4767" i="27" s="1"/>
  <c r="P4768" i="27" s="1"/>
  <c r="P4769" i="27" s="1"/>
  <c r="P4770" i="27" s="1"/>
  <c r="P4771" i="27" s="1"/>
  <c r="P4772" i="27" s="1"/>
  <c r="P4773" i="27" s="1"/>
  <c r="P4774" i="27" s="1"/>
  <c r="P4775" i="27" s="1"/>
  <c r="P4776" i="27" s="1"/>
  <c r="P4777" i="27" s="1"/>
  <c r="P4778" i="27" s="1"/>
  <c r="P4779" i="27" s="1"/>
  <c r="P4780" i="27" s="1"/>
  <c r="P4781" i="27" s="1"/>
  <c r="P4782" i="27" s="1"/>
  <c r="P4783" i="27" s="1"/>
  <c r="P4784" i="27" s="1"/>
  <c r="P4785" i="27" s="1"/>
  <c r="P4786" i="27" s="1"/>
  <c r="P4787" i="27" s="1"/>
  <c r="P4788" i="27" s="1"/>
  <c r="P4789" i="27" s="1"/>
  <c r="P4790" i="27" s="1"/>
  <c r="P4791" i="27" s="1"/>
  <c r="P4792" i="27" s="1"/>
  <c r="P4793" i="27" s="1"/>
  <c r="P4794" i="27" s="1"/>
  <c r="P4795" i="27" s="1"/>
  <c r="P4796" i="27" s="1"/>
  <c r="P4797" i="27" s="1"/>
  <c r="P4798" i="27" s="1"/>
  <c r="P4799" i="27" s="1"/>
  <c r="P4800" i="27" s="1"/>
  <c r="P4801" i="27" s="1"/>
  <c r="P4802" i="27" s="1"/>
  <c r="P4803" i="27" s="1"/>
  <c r="P4804" i="27" s="1"/>
  <c r="P4805" i="27" s="1"/>
  <c r="P4806" i="27" s="1"/>
  <c r="P4807" i="27" s="1"/>
  <c r="P4808" i="27" s="1"/>
  <c r="P4809" i="27" s="1"/>
  <c r="P4810" i="27" s="1"/>
  <c r="P4811" i="27" s="1"/>
  <c r="P4812" i="27" s="1"/>
  <c r="P4813" i="27" s="1"/>
  <c r="P4814" i="27" s="1"/>
  <c r="P4815" i="27" s="1"/>
  <c r="P4816" i="27" s="1"/>
  <c r="P4817" i="27" s="1"/>
  <c r="P4818" i="27" s="1"/>
  <c r="P4819" i="27" s="1"/>
  <c r="P4820" i="27" s="1"/>
  <c r="P4821" i="27" s="1"/>
  <c r="P4822" i="27" s="1"/>
  <c r="P4823" i="27" s="1"/>
  <c r="P4824" i="27" s="1"/>
  <c r="P4825" i="27" s="1"/>
  <c r="P4826" i="27" s="1"/>
  <c r="P4827" i="27" s="1"/>
  <c r="P4828" i="27" s="1"/>
  <c r="P4829" i="27" s="1"/>
  <c r="P4830" i="27" s="1"/>
  <c r="P4831" i="27" s="1"/>
  <c r="P4832" i="27" s="1"/>
  <c r="P4833" i="27" s="1"/>
  <c r="P4834" i="27" s="1"/>
  <c r="P4835" i="27" s="1"/>
  <c r="P4836" i="27" s="1"/>
  <c r="P4837" i="27" s="1"/>
  <c r="P4838" i="27" s="1"/>
  <c r="P4839" i="27" s="1"/>
  <c r="P4840" i="27" s="1"/>
  <c r="P4841" i="27" s="1"/>
  <c r="P4842" i="27" s="1"/>
  <c r="P4843" i="27" s="1"/>
  <c r="P4844" i="27" s="1"/>
  <c r="P4845" i="27" s="1"/>
  <c r="P4846" i="27" s="1"/>
  <c r="P4847" i="27" s="1"/>
  <c r="P4848" i="27" s="1"/>
  <c r="P4849" i="27" s="1"/>
  <c r="P4850" i="27" s="1"/>
  <c r="P4851" i="27" s="1"/>
  <c r="P4852" i="27" s="1"/>
  <c r="P4853" i="27" s="1"/>
  <c r="P4854" i="27" s="1"/>
  <c r="P4855" i="27" s="1"/>
  <c r="P4856" i="27" s="1"/>
  <c r="P4857" i="27" s="1"/>
  <c r="P4858" i="27" s="1"/>
  <c r="P4859" i="27" s="1"/>
  <c r="P4860" i="27" s="1"/>
  <c r="P4861" i="27" s="1"/>
  <c r="P4862" i="27" s="1"/>
  <c r="P4863" i="27" s="1"/>
  <c r="P4864" i="27" s="1"/>
  <c r="P4865" i="27" s="1"/>
  <c r="P4866" i="27" s="1"/>
  <c r="P4867" i="27" s="1"/>
  <c r="P4868" i="27" s="1"/>
  <c r="P4869" i="27" s="1"/>
  <c r="P4870" i="27" s="1"/>
  <c r="P4871" i="27" s="1"/>
  <c r="P4872" i="27" s="1"/>
  <c r="P4873" i="27" s="1"/>
  <c r="P4874" i="27" s="1"/>
  <c r="P4875" i="27" s="1"/>
  <c r="P4876" i="27" s="1"/>
  <c r="P4877" i="27" s="1"/>
  <c r="P4878" i="27" s="1"/>
  <c r="P4879" i="27" s="1"/>
  <c r="P4880" i="27" s="1"/>
  <c r="P4881" i="27" s="1"/>
  <c r="P4882" i="27" s="1"/>
  <c r="P4883" i="27" s="1"/>
  <c r="P4884" i="27" s="1"/>
  <c r="P4885" i="27" s="1"/>
  <c r="P4886" i="27" s="1"/>
  <c r="P4887" i="27" s="1"/>
  <c r="P4888" i="27" s="1"/>
  <c r="P4889" i="27" s="1"/>
  <c r="P4890" i="27" s="1"/>
  <c r="P4891" i="27" s="1"/>
  <c r="P4892" i="27" s="1"/>
  <c r="P4893" i="27" s="1"/>
  <c r="P4894" i="27" s="1"/>
  <c r="P4895" i="27" s="1"/>
  <c r="P4896" i="27" s="1"/>
  <c r="P4897" i="27" s="1"/>
  <c r="P4898" i="27" s="1"/>
  <c r="P4899" i="27" s="1"/>
  <c r="P4900" i="27" s="1"/>
  <c r="P4901" i="27" s="1"/>
  <c r="P4902" i="27" s="1"/>
  <c r="P4903" i="27" s="1"/>
  <c r="P4904" i="27" s="1"/>
  <c r="P4905" i="27" s="1"/>
  <c r="P4906" i="27" s="1"/>
  <c r="P4907" i="27" s="1"/>
  <c r="P4908" i="27" s="1"/>
  <c r="P4909" i="27" s="1"/>
  <c r="P4910" i="27" s="1"/>
  <c r="P4911" i="27" s="1"/>
  <c r="P4912" i="27" s="1"/>
  <c r="P4913" i="27" s="1"/>
  <c r="P4914" i="27" s="1"/>
  <c r="P4915" i="27" s="1"/>
  <c r="P4916" i="27" s="1"/>
  <c r="P4917" i="27" s="1"/>
  <c r="P4918" i="27" s="1"/>
  <c r="P4919" i="27" s="1"/>
  <c r="P4920" i="27" s="1"/>
  <c r="P4921" i="27" s="1"/>
  <c r="P4922" i="27" s="1"/>
  <c r="P4923" i="27" s="1"/>
  <c r="P4924" i="27" s="1"/>
  <c r="P4925" i="27" s="1"/>
  <c r="P4926" i="27" s="1"/>
  <c r="P4927" i="27" s="1"/>
  <c r="P4928" i="27" s="1"/>
  <c r="P4929" i="27" s="1"/>
  <c r="P4930" i="27" s="1"/>
  <c r="P4931" i="27" s="1"/>
  <c r="P4932" i="27" s="1"/>
  <c r="P4933" i="27" s="1"/>
  <c r="P4934" i="27" s="1"/>
  <c r="P4935" i="27" s="1"/>
  <c r="P4936" i="27" s="1"/>
  <c r="P4937" i="27" s="1"/>
  <c r="P4938" i="27" s="1"/>
  <c r="P4939" i="27" s="1"/>
  <c r="P4940" i="27" s="1"/>
  <c r="P4941" i="27" s="1"/>
  <c r="P4942" i="27" s="1"/>
  <c r="P4943" i="27" s="1"/>
  <c r="P4944" i="27" s="1"/>
  <c r="P4945" i="27" s="1"/>
  <c r="P4946" i="27" s="1"/>
  <c r="P4947" i="27" s="1"/>
  <c r="P4948" i="27" s="1"/>
  <c r="P4949" i="27" s="1"/>
  <c r="P4950" i="27" s="1"/>
  <c r="P4951" i="27" s="1"/>
  <c r="P4952" i="27" s="1"/>
  <c r="P4953" i="27" s="1"/>
  <c r="P4954" i="27" s="1"/>
  <c r="P4955" i="27" s="1"/>
  <c r="P4956" i="27" s="1"/>
  <c r="P4957" i="27" s="1"/>
  <c r="P4958" i="27" s="1"/>
  <c r="P4959" i="27" s="1"/>
  <c r="P4960" i="27" s="1"/>
  <c r="P4961" i="27" s="1"/>
  <c r="P4962" i="27" s="1"/>
  <c r="P4963" i="27" s="1"/>
  <c r="P4964" i="27" s="1"/>
  <c r="P4965" i="27" s="1"/>
  <c r="P4966" i="27" s="1"/>
  <c r="P4967" i="27" s="1"/>
  <c r="P4968" i="27" s="1"/>
  <c r="P4969" i="27" s="1"/>
  <c r="P4970" i="27" s="1"/>
  <c r="P4971" i="27" s="1"/>
  <c r="P4972" i="27" s="1"/>
  <c r="P4973" i="27" s="1"/>
  <c r="P4974" i="27" s="1"/>
  <c r="P4975" i="27" s="1"/>
  <c r="P4976" i="27" s="1"/>
  <c r="P4977" i="27" s="1"/>
  <c r="P4978" i="27" s="1"/>
  <c r="P4979" i="27" s="1"/>
  <c r="P4980" i="27" s="1"/>
  <c r="P4981" i="27" s="1"/>
  <c r="P4982" i="27" s="1"/>
  <c r="P4983" i="27" s="1"/>
  <c r="P4984" i="27" s="1"/>
  <c r="P4985" i="27" s="1"/>
  <c r="P4986" i="27" s="1"/>
  <c r="P4987" i="27" s="1"/>
  <c r="P4988" i="27" s="1"/>
  <c r="P4989" i="27" s="1"/>
  <c r="P4990" i="27" s="1"/>
  <c r="P4991" i="27" s="1"/>
  <c r="P4992" i="27" s="1"/>
  <c r="P4993" i="27" s="1"/>
  <c r="P4994" i="27" s="1"/>
  <c r="P4995" i="27" s="1"/>
  <c r="P4996" i="27" s="1"/>
  <c r="P4997" i="27" s="1"/>
  <c r="P4998" i="27" s="1"/>
  <c r="P4999" i="27" s="1"/>
  <c r="P5000" i="27" s="1"/>
  <c r="P5001" i="27" s="1"/>
  <c r="P5002" i="27" s="1"/>
  <c r="P5003" i="27" s="1"/>
  <c r="P5004" i="27" s="1"/>
  <c r="P5005" i="27" s="1"/>
  <c r="P5006" i="27" s="1"/>
  <c r="P5007" i="27" s="1"/>
  <c r="P5008" i="27" s="1"/>
  <c r="P5009" i="27" s="1"/>
  <c r="P5010" i="27" s="1"/>
  <c r="P5011" i="27" s="1"/>
  <c r="P5012" i="27" s="1"/>
  <c r="P5013" i="27" s="1"/>
  <c r="P5014" i="27" s="1"/>
  <c r="P5015" i="27" s="1"/>
  <c r="P5016" i="27" s="1"/>
  <c r="P5017" i="27" s="1"/>
  <c r="P5018" i="27" s="1"/>
  <c r="P5019" i="27" s="1"/>
  <c r="P5020" i="27" s="1"/>
  <c r="P5021" i="27" s="1"/>
  <c r="P5022" i="27" s="1"/>
  <c r="P5023" i="27" s="1"/>
  <c r="P5024" i="27" s="1"/>
  <c r="P5025" i="27" s="1"/>
  <c r="P5026" i="27" s="1"/>
  <c r="P5027" i="27" s="1"/>
  <c r="P5028" i="27" s="1"/>
  <c r="P5029" i="27" s="1"/>
  <c r="P5030" i="27" s="1"/>
  <c r="P5031" i="27" s="1"/>
  <c r="P5032" i="27" s="1"/>
  <c r="P5033" i="27" s="1"/>
  <c r="P5034" i="27" s="1"/>
  <c r="P5035" i="27" s="1"/>
  <c r="P5036" i="27" s="1"/>
  <c r="P5037" i="27" s="1"/>
  <c r="P5038" i="27" s="1"/>
  <c r="P5039" i="27" s="1"/>
  <c r="P5040" i="27" s="1"/>
  <c r="P5041" i="27" s="1"/>
  <c r="P5042" i="27" s="1"/>
  <c r="P5043" i="27" s="1"/>
  <c r="P5044" i="27" s="1"/>
  <c r="P5045" i="27" s="1"/>
  <c r="P5046" i="27" s="1"/>
  <c r="P5047" i="27" s="1"/>
  <c r="P5048" i="27" s="1"/>
  <c r="P5049" i="27" s="1"/>
  <c r="P5050" i="27" s="1"/>
  <c r="P5051" i="27" s="1"/>
  <c r="P5052" i="27" s="1"/>
  <c r="P5053" i="27" s="1"/>
  <c r="P5054" i="27" s="1"/>
  <c r="P5055" i="27" s="1"/>
  <c r="P5056" i="27" s="1"/>
  <c r="P5057" i="27" s="1"/>
  <c r="P5058" i="27" s="1"/>
  <c r="P5059" i="27" s="1"/>
  <c r="P5060" i="27" s="1"/>
  <c r="P5061" i="27" s="1"/>
  <c r="P5062" i="27" s="1"/>
  <c r="P5063" i="27" s="1"/>
  <c r="P5064" i="27" s="1"/>
  <c r="P5065" i="27" s="1"/>
  <c r="P5066" i="27" s="1"/>
  <c r="P5067" i="27" s="1"/>
  <c r="P5068" i="27" s="1"/>
  <c r="P5069" i="27" s="1"/>
  <c r="P5070" i="27" s="1"/>
  <c r="P5071" i="27" s="1"/>
  <c r="P5072" i="27" s="1"/>
  <c r="P5073" i="27" s="1"/>
  <c r="P5074" i="27" s="1"/>
  <c r="P5075" i="27" s="1"/>
  <c r="P5076" i="27" s="1"/>
  <c r="P5077" i="27" s="1"/>
  <c r="P5078" i="27" s="1"/>
  <c r="P5079" i="27" s="1"/>
  <c r="P5080" i="27" s="1"/>
  <c r="P5081" i="27" s="1"/>
  <c r="P5082" i="27" s="1"/>
  <c r="P5083" i="27" s="1"/>
  <c r="P5084" i="27" s="1"/>
  <c r="P5085" i="27" s="1"/>
  <c r="P5086" i="27" s="1"/>
  <c r="P5087" i="27" s="1"/>
  <c r="P5088" i="27" s="1"/>
  <c r="P5089" i="27" s="1"/>
  <c r="P5090" i="27" s="1"/>
  <c r="P5091" i="27" s="1"/>
  <c r="P5092" i="27" s="1"/>
  <c r="P5093" i="27" s="1"/>
  <c r="P5094" i="27" s="1"/>
  <c r="P5095" i="27" s="1"/>
  <c r="P5096" i="27" s="1"/>
  <c r="P5097" i="27" s="1"/>
  <c r="P5098" i="27" s="1"/>
  <c r="P5099" i="27" s="1"/>
  <c r="P5100" i="27" s="1"/>
  <c r="P5101" i="27" s="1"/>
  <c r="P5102" i="27" s="1"/>
  <c r="P5103" i="27" s="1"/>
  <c r="P5104" i="27" s="1"/>
  <c r="P5105" i="27" s="1"/>
  <c r="P5106" i="27" s="1"/>
  <c r="P5107" i="27" s="1"/>
  <c r="P5108" i="27" s="1"/>
  <c r="P5109" i="27" s="1"/>
  <c r="P5110" i="27" s="1"/>
  <c r="P5111" i="27" s="1"/>
  <c r="P5112" i="27" s="1"/>
  <c r="P5113" i="27" s="1"/>
  <c r="P5114" i="27" s="1"/>
  <c r="P5115" i="27" s="1"/>
  <c r="P5116" i="27" s="1"/>
  <c r="P5117" i="27" s="1"/>
  <c r="P5118" i="27" s="1"/>
  <c r="P5119" i="27" s="1"/>
  <c r="P5120" i="27" s="1"/>
  <c r="P5121" i="27" s="1"/>
  <c r="P5122" i="27" s="1"/>
  <c r="P5123" i="27" s="1"/>
  <c r="P5124" i="27" s="1"/>
  <c r="P5125" i="27" s="1"/>
  <c r="P5126" i="27" s="1"/>
  <c r="P5127" i="27" s="1"/>
  <c r="P5128" i="27" s="1"/>
  <c r="P5129" i="27" s="1"/>
  <c r="P5130" i="27" s="1"/>
  <c r="P5131" i="27" s="1"/>
  <c r="P5132" i="27" s="1"/>
  <c r="P5133" i="27" s="1"/>
  <c r="P5134" i="27" s="1"/>
  <c r="P5135" i="27" s="1"/>
  <c r="P5136" i="27" s="1"/>
  <c r="P5137" i="27" s="1"/>
  <c r="P5138" i="27" s="1"/>
  <c r="P5139" i="27" s="1"/>
  <c r="P5140" i="27" s="1"/>
  <c r="P5141" i="27" s="1"/>
  <c r="P5142" i="27" s="1"/>
  <c r="P5143" i="27" s="1"/>
  <c r="P5144" i="27" s="1"/>
  <c r="P5145" i="27" s="1"/>
  <c r="P5146" i="27" s="1"/>
  <c r="P5147" i="27" s="1"/>
  <c r="P5148" i="27" s="1"/>
  <c r="P5149" i="27" s="1"/>
  <c r="P5150" i="27" s="1"/>
  <c r="P5151" i="27" s="1"/>
  <c r="P5152" i="27" s="1"/>
  <c r="P5153" i="27" s="1"/>
  <c r="P5154" i="27" s="1"/>
  <c r="P5155" i="27" s="1"/>
  <c r="P5156" i="27" s="1"/>
  <c r="P5157" i="27" s="1"/>
  <c r="P5158" i="27" s="1"/>
  <c r="P5159" i="27" s="1"/>
  <c r="P5160" i="27" s="1"/>
  <c r="P5161" i="27" s="1"/>
  <c r="P5162" i="27" s="1"/>
  <c r="P5163" i="27" s="1"/>
  <c r="P5164" i="27" s="1"/>
  <c r="P5165" i="27" s="1"/>
  <c r="P5166" i="27" s="1"/>
  <c r="P5167" i="27" s="1"/>
  <c r="P5168" i="27" s="1"/>
  <c r="P5169" i="27" s="1"/>
  <c r="P5170" i="27" s="1"/>
  <c r="P5171" i="27" s="1"/>
  <c r="P5172" i="27" s="1"/>
  <c r="P5173" i="27" s="1"/>
  <c r="P5174" i="27" s="1"/>
  <c r="P5175" i="27" s="1"/>
  <c r="P5176" i="27" s="1"/>
  <c r="P5177" i="27" s="1"/>
  <c r="P5178" i="27" s="1"/>
  <c r="P5179" i="27" s="1"/>
  <c r="P5180" i="27" s="1"/>
  <c r="P5181" i="27" s="1"/>
  <c r="P5182" i="27" s="1"/>
  <c r="P5183" i="27" s="1"/>
  <c r="P5184" i="27" s="1"/>
  <c r="P5185" i="27" s="1"/>
  <c r="P5186" i="27" s="1"/>
  <c r="P5187" i="27" s="1"/>
  <c r="P5188" i="27" s="1"/>
  <c r="P5189" i="27" s="1"/>
  <c r="P5190" i="27" s="1"/>
  <c r="P5191" i="27" s="1"/>
  <c r="P5192" i="27" s="1"/>
  <c r="P5193" i="27" s="1"/>
  <c r="P5194" i="27" s="1"/>
  <c r="P5195" i="27" s="1"/>
  <c r="P5196" i="27" s="1"/>
  <c r="P5197" i="27" s="1"/>
  <c r="P5198" i="27" s="1"/>
  <c r="P5199" i="27" s="1"/>
  <c r="P5200" i="27" s="1"/>
  <c r="P5201" i="27" s="1"/>
  <c r="P5202" i="27" s="1"/>
  <c r="P5203" i="27" s="1"/>
  <c r="P5204" i="27" s="1"/>
  <c r="P5205" i="27" s="1"/>
  <c r="P5206" i="27" s="1"/>
  <c r="P5207" i="27" s="1"/>
  <c r="P5208" i="27" s="1"/>
  <c r="P5209" i="27" s="1"/>
  <c r="P5210" i="27" s="1"/>
  <c r="P5211" i="27" s="1"/>
  <c r="P5212" i="27" s="1"/>
  <c r="P5213" i="27" s="1"/>
  <c r="P5214" i="27" s="1"/>
  <c r="P5215" i="27" s="1"/>
  <c r="P5216" i="27" s="1"/>
  <c r="P5217" i="27" s="1"/>
  <c r="P5218" i="27" s="1"/>
  <c r="P5219" i="27" s="1"/>
  <c r="P5220" i="27" s="1"/>
  <c r="P5221" i="27" s="1"/>
  <c r="P5222" i="27" s="1"/>
  <c r="P5223" i="27" s="1"/>
  <c r="P5224" i="27" s="1"/>
  <c r="P5225" i="27" s="1"/>
  <c r="P5226" i="27" s="1"/>
  <c r="P5227" i="27" s="1"/>
  <c r="P5228" i="27" s="1"/>
  <c r="P5229" i="27" s="1"/>
  <c r="P5230" i="27" s="1"/>
  <c r="P5231" i="27" s="1"/>
  <c r="P5232" i="27" s="1"/>
  <c r="P5233" i="27" s="1"/>
  <c r="P5234" i="27" s="1"/>
  <c r="P5235" i="27" s="1"/>
  <c r="P5236" i="27" s="1"/>
  <c r="P5237" i="27" s="1"/>
  <c r="P5238" i="27" s="1"/>
  <c r="P5239" i="27" s="1"/>
  <c r="P5240" i="27" s="1"/>
  <c r="P5241" i="27" s="1"/>
  <c r="P5242" i="27" s="1"/>
  <c r="P5243" i="27" s="1"/>
  <c r="P5244" i="27" s="1"/>
  <c r="P5245" i="27" s="1"/>
  <c r="P5246" i="27" s="1"/>
  <c r="P5247" i="27" s="1"/>
  <c r="P5248" i="27" s="1"/>
  <c r="P5249" i="27" s="1"/>
  <c r="P5250" i="27" s="1"/>
  <c r="P5251" i="27" s="1"/>
  <c r="P5252" i="27" s="1"/>
  <c r="P5253" i="27" s="1"/>
  <c r="P5254" i="27" s="1"/>
  <c r="P5255" i="27" s="1"/>
  <c r="P5256" i="27" s="1"/>
  <c r="P5257" i="27" s="1"/>
  <c r="P5258" i="27" s="1"/>
  <c r="P5259" i="27" s="1"/>
  <c r="P5260" i="27" s="1"/>
  <c r="P5261" i="27" s="1"/>
  <c r="P5262" i="27" s="1"/>
  <c r="P5263" i="27" s="1"/>
  <c r="P5264" i="27" s="1"/>
  <c r="P5265" i="27" s="1"/>
  <c r="P5266" i="27" s="1"/>
  <c r="P5267" i="27" s="1"/>
  <c r="P5268" i="27" s="1"/>
  <c r="P5269" i="27" s="1"/>
  <c r="P5270" i="27" s="1"/>
  <c r="G1492" i="27"/>
  <c r="G1579" i="27"/>
  <c r="G1428" i="27"/>
  <c r="G1411" i="27"/>
  <c r="G1586" i="27"/>
  <c r="G1571" i="27"/>
  <c r="G1557" i="27"/>
  <c r="G1541" i="27"/>
  <c r="G1530" i="27"/>
  <c r="G1474" i="27"/>
  <c r="G1527" i="27"/>
  <c r="G1506" i="27"/>
  <c r="G1584" i="27"/>
  <c r="G1486" i="27"/>
  <c r="G1554" i="27"/>
  <c r="G1442" i="27"/>
  <c r="G1508" i="27"/>
  <c r="G1457" i="27"/>
  <c r="G1544" i="27"/>
  <c r="G1484" i="27"/>
  <c r="G1444" i="27"/>
  <c r="G1502" i="27"/>
  <c r="G1562" i="27"/>
  <c r="G1580" i="27"/>
  <c r="G1467" i="27"/>
  <c r="G1448" i="27"/>
  <c r="G1556" i="27"/>
  <c r="G1453" i="27"/>
  <c r="G1587" i="27"/>
  <c r="G1591" i="27"/>
  <c r="G1551" i="27"/>
  <c r="G1441" i="27"/>
  <c r="G1493" i="27"/>
  <c r="G1443" i="27"/>
  <c r="G1424" i="27"/>
  <c r="G1454" i="27"/>
  <c r="G1543" i="27"/>
  <c r="G1565" i="27"/>
  <c r="G1427" i="27"/>
  <c r="G1577" i="27"/>
  <c r="G1547" i="27"/>
  <c r="G1423" i="27"/>
  <c r="G1464" i="27"/>
  <c r="G1538" i="27"/>
  <c r="G1409" i="27"/>
  <c r="G1572" i="27"/>
  <c r="G1501" i="27"/>
  <c r="G1524" i="27"/>
  <c r="G1481" i="27"/>
  <c r="G1431" i="27"/>
  <c r="G1528" i="27"/>
  <c r="G1550" i="27"/>
  <c r="G1482" i="27"/>
  <c r="G1478" i="27"/>
  <c r="G1500" i="27"/>
  <c r="G1477" i="27"/>
  <c r="G1545" i="27"/>
  <c r="G1459" i="27"/>
  <c r="G1520" i="27"/>
  <c r="G1415" i="27"/>
  <c r="G1412" i="27"/>
  <c r="G1487" i="27"/>
  <c r="G1434" i="27"/>
  <c r="G1496" i="27"/>
  <c r="G1433" i="27"/>
  <c r="G1512" i="27"/>
  <c r="G1455" i="27"/>
  <c r="G1522" i="27"/>
  <c r="G1483" i="27"/>
  <c r="G1507" i="27"/>
  <c r="G1462" i="27"/>
  <c r="G1495" i="27"/>
  <c r="G1407" i="27"/>
  <c r="G1472" i="27"/>
  <c r="G1532" i="27"/>
  <c r="G1419" i="27"/>
  <c r="G1540" i="27"/>
  <c r="G1469" i="27"/>
  <c r="G1446" i="27"/>
  <c r="G1568" i="27"/>
  <c r="G1466" i="27"/>
  <c r="G1460" i="27"/>
  <c r="G1505" i="27"/>
  <c r="G1573" i="27"/>
  <c r="G1589" i="27"/>
  <c r="G1578" i="27"/>
  <c r="G1504" i="27"/>
  <c r="G1549" i="27"/>
  <c r="G1510" i="27"/>
  <c r="G1468" i="27"/>
  <c r="G1513" i="27"/>
  <c r="G1536" i="27"/>
  <c r="G1451" i="27"/>
  <c r="G1445" i="27"/>
  <c r="G1581" i="27"/>
  <c r="G1499" i="27"/>
  <c r="G1516" i="27"/>
  <c r="G1511" i="27"/>
  <c r="G1560" i="27"/>
  <c r="G1561" i="27"/>
  <c r="G1357" i="27"/>
  <c r="G1526" i="27"/>
  <c r="G1569" i="27"/>
  <c r="G1542" i="27"/>
  <c r="G1450" i="27"/>
  <c r="G1421" i="27"/>
  <c r="G1420" i="27"/>
  <c r="G1534" i="27"/>
  <c r="G1518" i="27"/>
  <c r="G1336" i="27"/>
  <c r="G1552" i="27"/>
  <c r="G1548" i="27"/>
  <c r="G1416" i="27"/>
  <c r="G1461" i="27"/>
  <c r="G1422" i="27"/>
  <c r="G1432" i="27"/>
  <c r="G1436" i="27"/>
  <c r="G1437" i="27"/>
  <c r="G1588" i="27"/>
  <c r="G1523" i="27"/>
  <c r="G1531" i="27"/>
  <c r="G1438" i="27"/>
  <c r="G1475" i="27"/>
  <c r="G1590" i="27"/>
  <c r="G1430" i="27"/>
  <c r="G1435" i="27"/>
  <c r="G1439" i="27"/>
  <c r="G1498" i="27"/>
  <c r="G1491" i="27"/>
  <c r="G1570" i="27"/>
  <c r="G1563" i="27"/>
  <c r="G1471" i="27"/>
  <c r="G1456" i="27"/>
  <c r="G1488" i="27"/>
  <c r="G1515" i="27"/>
  <c r="G1521" i="27"/>
  <c r="G1408" i="27"/>
  <c r="G1463" i="27"/>
  <c r="G1476" i="27"/>
  <c r="G1417" i="27"/>
  <c r="G1514" i="27"/>
  <c r="G1546" i="27"/>
  <c r="G1566" i="27"/>
  <c r="G1555" i="27"/>
  <c r="G1490" i="27"/>
  <c r="G1429" i="27"/>
  <c r="G1564" i="27"/>
  <c r="G1465" i="27"/>
  <c r="G1452" i="27"/>
  <c r="G1553" i="27"/>
  <c r="G1503" i="27"/>
  <c r="G1418" i="27"/>
  <c r="G1539" i="27"/>
  <c r="G1529" i="27"/>
  <c r="G1497" i="27"/>
  <c r="G1410" i="27"/>
  <c r="G1447" i="27"/>
  <c r="G1519" i="27"/>
  <c r="G1404" i="27"/>
  <c r="G1356" i="27"/>
  <c r="G1470" i="27"/>
  <c r="G1494" i="27"/>
  <c r="G1479" i="27"/>
  <c r="G1559" i="27"/>
  <c r="G1355" i="27"/>
  <c r="G1535" i="27"/>
  <c r="G1574" i="27"/>
  <c r="G1558" i="27"/>
  <c r="G1583" i="27"/>
  <c r="G1582" i="27"/>
  <c r="G1406" i="27"/>
  <c r="G1533" i="27"/>
  <c r="G1449" i="27"/>
  <c r="G1537" i="27"/>
  <c r="G1567" i="27"/>
  <c r="G1585" i="27"/>
  <c r="G1473" i="27"/>
  <c r="G1425" i="27"/>
  <c r="G1592" i="27"/>
  <c r="G1517" i="27"/>
  <c r="G1489" i="27"/>
  <c r="G1426" i="27"/>
  <c r="G1509" i="27"/>
  <c r="G1576" i="27"/>
  <c r="G1525" i="27"/>
  <c r="G1593" i="27"/>
  <c r="G1575" i="27"/>
  <c r="G1480" i="27"/>
  <c r="G1458" i="27"/>
  <c r="G1440" i="27"/>
  <c r="G1405" i="27"/>
  <c r="G1485" i="27"/>
  <c r="G1414" i="27"/>
  <c r="F5277" i="27" l="1"/>
  <c r="H1306" i="27"/>
  <c r="I687" i="27"/>
  <c r="M687" i="27"/>
  <c r="I818" i="27"/>
  <c r="L818" i="27"/>
  <c r="K837" i="27"/>
  <c r="N837" i="27"/>
  <c r="L687" i="27"/>
  <c r="J837" i="27"/>
  <c r="M818" i="27"/>
  <c r="N687" i="27"/>
  <c r="I837" i="27"/>
  <c r="I681" i="27"/>
  <c r="M837" i="27"/>
  <c r="J818" i="27"/>
  <c r="K681" i="27"/>
  <c r="L681" i="27"/>
  <c r="J687" i="27"/>
  <c r="K818" i="27"/>
  <c r="M681" i="27"/>
  <c r="H664" i="27"/>
  <c r="H665" i="27" s="1"/>
  <c r="H666" i="27" s="1"/>
  <c r="H667" i="27" s="1"/>
  <c r="H668" i="27" s="1"/>
  <c r="K830" i="27"/>
  <c r="N830" i="27"/>
  <c r="K729" i="27"/>
  <c r="J681" i="27"/>
  <c r="N764" i="27"/>
  <c r="J830" i="27"/>
  <c r="I729" i="27"/>
  <c r="I830" i="27"/>
  <c r="L729" i="27"/>
  <c r="K315" i="27"/>
  <c r="M830" i="27"/>
  <c r="N315" i="27"/>
  <c r="L764" i="27"/>
  <c r="J764" i="27"/>
  <c r="I663" i="27"/>
  <c r="K764" i="27"/>
  <c r="M663" i="27"/>
  <c r="M764" i="27"/>
  <c r="K663" i="27"/>
  <c r="L663" i="27"/>
  <c r="J663" i="27"/>
  <c r="J729" i="27"/>
  <c r="N729" i="27"/>
  <c r="M747" i="27"/>
  <c r="K747" i="27"/>
  <c r="J747" i="27"/>
  <c r="L747" i="27"/>
  <c r="N747" i="27"/>
  <c r="I747" i="27"/>
  <c r="M740" i="27"/>
  <c r="N740" i="27"/>
  <c r="K740" i="27"/>
  <c r="J740" i="27"/>
  <c r="L740" i="27"/>
  <c r="I740" i="27"/>
  <c r="M674" i="27"/>
  <c r="J674" i="27"/>
  <c r="N674" i="27"/>
  <c r="I674" i="27"/>
  <c r="L674" i="27"/>
  <c r="K674" i="27"/>
  <c r="N782" i="27"/>
  <c r="L782" i="27"/>
  <c r="M782" i="27"/>
  <c r="I782" i="27"/>
  <c r="K782" i="27"/>
  <c r="J782" i="27"/>
  <c r="N813" i="27"/>
  <c r="L813" i="27"/>
  <c r="K813" i="27"/>
  <c r="M813" i="27"/>
  <c r="I813" i="27"/>
  <c r="J813" i="27"/>
  <c r="N789" i="27"/>
  <c r="L789" i="27"/>
  <c r="M789" i="27"/>
  <c r="I789" i="27"/>
  <c r="J789" i="27"/>
  <c r="K789" i="27"/>
  <c r="M771" i="27"/>
  <c r="K771" i="27"/>
  <c r="J771" i="27"/>
  <c r="N771" i="27"/>
  <c r="I771" i="27"/>
  <c r="L771" i="27"/>
  <c r="N735" i="27"/>
  <c r="L735" i="27"/>
  <c r="I735" i="27"/>
  <c r="K735" i="27"/>
  <c r="M735" i="27"/>
  <c r="J735" i="27"/>
  <c r="N710" i="27"/>
  <c r="L710" i="27"/>
  <c r="M710" i="27"/>
  <c r="J710" i="27"/>
  <c r="K710" i="27"/>
  <c r="I710" i="27"/>
  <c r="M675" i="27"/>
  <c r="J675" i="27"/>
  <c r="N675" i="27"/>
  <c r="L675" i="27"/>
  <c r="K675" i="27"/>
  <c r="I675" i="27"/>
  <c r="N662" i="27"/>
  <c r="L662" i="27"/>
  <c r="K662" i="27"/>
  <c r="M662" i="27"/>
  <c r="J662" i="27"/>
  <c r="I662" i="27"/>
  <c r="N686" i="27"/>
  <c r="L686" i="27"/>
  <c r="M686" i="27"/>
  <c r="K686" i="27"/>
  <c r="J686" i="27"/>
  <c r="I686" i="27"/>
  <c r="N800" i="27"/>
  <c r="L800" i="27"/>
  <c r="M800" i="27"/>
  <c r="K800" i="27"/>
  <c r="J800" i="27"/>
  <c r="I800" i="27"/>
  <c r="N717" i="27"/>
  <c r="M717" i="27"/>
  <c r="K717" i="27"/>
  <c r="L717" i="27"/>
  <c r="J717" i="27"/>
  <c r="I717" i="27"/>
  <c r="K369" i="27"/>
  <c r="M692" i="27"/>
  <c r="N692" i="27"/>
  <c r="L692" i="27"/>
  <c r="K692" i="27"/>
  <c r="J692" i="27"/>
  <c r="I692" i="27"/>
  <c r="M812" i="27"/>
  <c r="K812" i="27"/>
  <c r="N812" i="27"/>
  <c r="J812" i="27"/>
  <c r="L812" i="27"/>
  <c r="I812" i="27"/>
  <c r="N831" i="27"/>
  <c r="L831" i="27"/>
  <c r="I831" i="27"/>
  <c r="K831" i="27"/>
  <c r="J831" i="27"/>
  <c r="M831" i="27"/>
  <c r="N806" i="27"/>
  <c r="L806" i="27"/>
  <c r="I806" i="27"/>
  <c r="M806" i="27"/>
  <c r="K806" i="27"/>
  <c r="J806" i="27"/>
  <c r="M746" i="27"/>
  <c r="K746" i="27"/>
  <c r="J746" i="27"/>
  <c r="L746" i="27"/>
  <c r="N746" i="27"/>
  <c r="I746" i="27"/>
  <c r="M722" i="27"/>
  <c r="K722" i="27"/>
  <c r="L722" i="27"/>
  <c r="J722" i="27"/>
  <c r="I722" i="27"/>
  <c r="N722" i="27"/>
  <c r="N711" i="27"/>
  <c r="L711" i="27"/>
  <c r="M711" i="27"/>
  <c r="K711" i="27"/>
  <c r="I711" i="27"/>
  <c r="J711" i="27"/>
  <c r="N824" i="27"/>
  <c r="L824" i="27"/>
  <c r="K824" i="27"/>
  <c r="M824" i="27"/>
  <c r="I824" i="27"/>
  <c r="J824" i="27"/>
  <c r="N807" i="27"/>
  <c r="L807" i="27"/>
  <c r="I807" i="27"/>
  <c r="M807" i="27"/>
  <c r="K807" i="27"/>
  <c r="J807" i="27"/>
  <c r="N765" i="27"/>
  <c r="L765" i="27"/>
  <c r="M765" i="27"/>
  <c r="K765" i="27"/>
  <c r="J765" i="27"/>
  <c r="I765" i="27"/>
  <c r="N758" i="27"/>
  <c r="L758" i="27"/>
  <c r="K758" i="27"/>
  <c r="I758" i="27"/>
  <c r="M758" i="27"/>
  <c r="J758" i="27"/>
  <c r="M699" i="27"/>
  <c r="K699" i="27"/>
  <c r="J699" i="27"/>
  <c r="N699" i="27"/>
  <c r="L699" i="27"/>
  <c r="I699" i="27"/>
  <c r="N680" i="27"/>
  <c r="L680" i="27"/>
  <c r="K680" i="27"/>
  <c r="M680" i="27"/>
  <c r="I680" i="27"/>
  <c r="J680" i="27"/>
  <c r="N693" i="27"/>
  <c r="L693" i="27"/>
  <c r="K693" i="27"/>
  <c r="M693" i="27"/>
  <c r="J693" i="27"/>
  <c r="I693" i="27"/>
  <c r="M825" i="27"/>
  <c r="N825" i="27"/>
  <c r="L825" i="27"/>
  <c r="I825" i="27"/>
  <c r="J825" i="27"/>
  <c r="K825" i="27"/>
  <c r="M795" i="27"/>
  <c r="K795" i="27"/>
  <c r="J795" i="27"/>
  <c r="N795" i="27"/>
  <c r="L795" i="27"/>
  <c r="I795" i="27"/>
  <c r="N759" i="27"/>
  <c r="L759" i="27"/>
  <c r="K759" i="27"/>
  <c r="I759" i="27"/>
  <c r="M759" i="27"/>
  <c r="J759" i="27"/>
  <c r="N728" i="27"/>
  <c r="L728" i="27"/>
  <c r="K728" i="27"/>
  <c r="M728" i="27"/>
  <c r="J728" i="27"/>
  <c r="I728" i="27"/>
  <c r="M698" i="27"/>
  <c r="K698" i="27"/>
  <c r="N698" i="27"/>
  <c r="J698" i="27"/>
  <c r="I698" i="27"/>
  <c r="L698" i="27"/>
  <c r="M668" i="27"/>
  <c r="L668" i="27"/>
  <c r="J668" i="27"/>
  <c r="N668" i="27"/>
  <c r="K668" i="27"/>
  <c r="I668" i="27"/>
  <c r="N741" i="27"/>
  <c r="L741" i="27"/>
  <c r="M741" i="27"/>
  <c r="J741" i="27"/>
  <c r="K741" i="27"/>
  <c r="I741" i="27"/>
  <c r="M705" i="27"/>
  <c r="K705" i="27"/>
  <c r="L705" i="27"/>
  <c r="N705" i="27"/>
  <c r="I705" i="27"/>
  <c r="J705" i="27"/>
  <c r="N783" i="27"/>
  <c r="L783" i="27"/>
  <c r="I783" i="27"/>
  <c r="K783" i="27"/>
  <c r="M783" i="27"/>
  <c r="J783" i="27"/>
  <c r="N776" i="27"/>
  <c r="L776" i="27"/>
  <c r="M776" i="27"/>
  <c r="J776" i="27"/>
  <c r="K776" i="27"/>
  <c r="I776" i="27"/>
  <c r="M836" i="27"/>
  <c r="K836" i="27"/>
  <c r="N836" i="27"/>
  <c r="J836" i="27"/>
  <c r="I836" i="27"/>
  <c r="L836" i="27"/>
  <c r="M819" i="27"/>
  <c r="K819" i="27"/>
  <c r="J819" i="27"/>
  <c r="N819" i="27"/>
  <c r="I819" i="27"/>
  <c r="L819" i="27"/>
  <c r="M777" i="27"/>
  <c r="N777" i="27"/>
  <c r="L777" i="27"/>
  <c r="K777" i="27"/>
  <c r="J777" i="27"/>
  <c r="I777" i="27"/>
  <c r="N752" i="27"/>
  <c r="L752" i="27"/>
  <c r="M752" i="27"/>
  <c r="I752" i="27"/>
  <c r="K752" i="27"/>
  <c r="J752" i="27"/>
  <c r="M723" i="27"/>
  <c r="K723" i="27"/>
  <c r="J723" i="27"/>
  <c r="L723" i="27"/>
  <c r="N723" i="27"/>
  <c r="I723" i="27"/>
  <c r="M788" i="27"/>
  <c r="K788" i="27"/>
  <c r="N788" i="27"/>
  <c r="J788" i="27"/>
  <c r="L788" i="27"/>
  <c r="I788" i="27"/>
  <c r="N734" i="27"/>
  <c r="L734" i="27"/>
  <c r="M734" i="27"/>
  <c r="I734" i="27"/>
  <c r="K734" i="27"/>
  <c r="J734" i="27"/>
  <c r="N669" i="27"/>
  <c r="L669" i="27"/>
  <c r="M669" i="27"/>
  <c r="K669" i="27"/>
  <c r="I669" i="27"/>
  <c r="J669" i="27"/>
  <c r="M716" i="27"/>
  <c r="N716" i="27"/>
  <c r="K716" i="27"/>
  <c r="L716" i="27"/>
  <c r="J716" i="27"/>
  <c r="I716" i="27"/>
  <c r="M801" i="27"/>
  <c r="L801" i="27"/>
  <c r="N801" i="27"/>
  <c r="K801" i="27"/>
  <c r="J801" i="27"/>
  <c r="I801" i="27"/>
  <c r="M794" i="27"/>
  <c r="K794" i="27"/>
  <c r="J794" i="27"/>
  <c r="N794" i="27"/>
  <c r="L794" i="27"/>
  <c r="I794" i="27"/>
  <c r="M770" i="27"/>
  <c r="K770" i="27"/>
  <c r="L770" i="27"/>
  <c r="J770" i="27"/>
  <c r="N770" i="27"/>
  <c r="I770" i="27"/>
  <c r="M753" i="27"/>
  <c r="L753" i="27"/>
  <c r="N753" i="27"/>
  <c r="K753" i="27"/>
  <c r="J753" i="27"/>
  <c r="I753" i="27"/>
  <c r="N704" i="27"/>
  <c r="L704" i="27"/>
  <c r="K704" i="27"/>
  <c r="I704" i="27"/>
  <c r="J704" i="27"/>
  <c r="M704" i="27"/>
  <c r="N369" i="27"/>
  <c r="L400" i="27"/>
  <c r="M292" i="27"/>
  <c r="I315" i="27"/>
  <c r="L315" i="27"/>
  <c r="J400" i="27"/>
  <c r="M315" i="27"/>
  <c r="M400" i="27"/>
  <c r="J369" i="27"/>
  <c r="M369" i="27"/>
  <c r="I370" i="27"/>
  <c r="M370" i="27"/>
  <c r="H245" i="27"/>
  <c r="H246" i="27" s="1"/>
  <c r="H247" i="27" s="1"/>
  <c r="J292" i="27"/>
  <c r="I292" i="27"/>
  <c r="L370" i="27"/>
  <c r="K292" i="27"/>
  <c r="N346" i="27"/>
  <c r="L292" i="27"/>
  <c r="K370" i="27"/>
  <c r="K400" i="27"/>
  <c r="N370" i="27"/>
  <c r="I369" i="27"/>
  <c r="N400" i="27"/>
  <c r="J346" i="27"/>
  <c r="L346" i="27"/>
  <c r="I346" i="27"/>
  <c r="M346" i="27"/>
  <c r="N267" i="27"/>
  <c r="M267" i="27"/>
  <c r="K267" i="27"/>
  <c r="J267" i="27"/>
  <c r="L267" i="27"/>
  <c r="I267" i="27"/>
  <c r="N376" i="27"/>
  <c r="K376" i="27"/>
  <c r="L376" i="27"/>
  <c r="J376" i="27"/>
  <c r="I376" i="27"/>
  <c r="M376" i="27"/>
  <c r="M279" i="27"/>
  <c r="N279" i="27"/>
  <c r="L279" i="27"/>
  <c r="I279" i="27"/>
  <c r="J279" i="27"/>
  <c r="K279" i="27"/>
  <c r="M334" i="27"/>
  <c r="N334" i="27"/>
  <c r="K334" i="27"/>
  <c r="J334" i="27"/>
  <c r="I334" i="27"/>
  <c r="L334" i="27"/>
  <c r="N316" i="27"/>
  <c r="M316" i="27"/>
  <c r="L316" i="27"/>
  <c r="J316" i="27"/>
  <c r="K316" i="27"/>
  <c r="I316" i="27"/>
  <c r="K364" i="27"/>
  <c r="J364" i="27"/>
  <c r="L364" i="27"/>
  <c r="M364" i="27"/>
  <c r="N364" i="27"/>
  <c r="I364" i="27"/>
  <c r="N285" i="27"/>
  <c r="L285" i="27"/>
  <c r="I285" i="27"/>
  <c r="K285" i="27"/>
  <c r="M285" i="27"/>
  <c r="J285" i="27"/>
  <c r="N250" i="27"/>
  <c r="K250" i="27"/>
  <c r="M250" i="27"/>
  <c r="L250" i="27"/>
  <c r="J250" i="27"/>
  <c r="I250" i="27"/>
  <c r="L412" i="27"/>
  <c r="M412" i="27"/>
  <c r="K412" i="27"/>
  <c r="J412" i="27"/>
  <c r="N412" i="27"/>
  <c r="I412" i="27"/>
  <c r="N256" i="27"/>
  <c r="L256" i="27"/>
  <c r="J256" i="27"/>
  <c r="M256" i="27"/>
  <c r="K256" i="27"/>
  <c r="I256" i="27"/>
  <c r="N339" i="27"/>
  <c r="L339" i="27"/>
  <c r="K339" i="27"/>
  <c r="J339" i="27"/>
  <c r="M339" i="27"/>
  <c r="I339" i="27"/>
  <c r="M268" i="27"/>
  <c r="L268" i="27"/>
  <c r="I268" i="27"/>
  <c r="K268" i="27"/>
  <c r="N268" i="27"/>
  <c r="J268" i="27"/>
  <c r="M388" i="27"/>
  <c r="L388" i="27"/>
  <c r="K388" i="27"/>
  <c r="J388" i="27"/>
  <c r="N388" i="27"/>
  <c r="I388" i="27"/>
  <c r="L328" i="27"/>
  <c r="N328" i="27"/>
  <c r="K328" i="27"/>
  <c r="I328" i="27"/>
  <c r="M328" i="27"/>
  <c r="J328" i="27"/>
  <c r="N304" i="27"/>
  <c r="M304" i="27"/>
  <c r="L304" i="27"/>
  <c r="K304" i="27"/>
  <c r="I304" i="27"/>
  <c r="J304" i="27"/>
  <c r="M280" i="27"/>
  <c r="N280" i="27"/>
  <c r="J280" i="27"/>
  <c r="L280" i="27"/>
  <c r="I280" i="27"/>
  <c r="K280" i="27"/>
  <c r="N387" i="27"/>
  <c r="L387" i="27"/>
  <c r="K387" i="27"/>
  <c r="I387" i="27"/>
  <c r="M387" i="27"/>
  <c r="J387" i="27"/>
  <c r="M273" i="27"/>
  <c r="L273" i="27"/>
  <c r="N273" i="27"/>
  <c r="K273" i="27"/>
  <c r="I273" i="27"/>
  <c r="J273" i="27"/>
  <c r="M375" i="27"/>
  <c r="I375" i="27"/>
  <c r="N375" i="27"/>
  <c r="J375" i="27"/>
  <c r="K375" i="27"/>
  <c r="L375" i="27"/>
  <c r="N363" i="27"/>
  <c r="K363" i="27"/>
  <c r="L363" i="27"/>
  <c r="J363" i="27"/>
  <c r="M363" i="27"/>
  <c r="I363" i="27"/>
  <c r="N274" i="27"/>
  <c r="K274" i="27"/>
  <c r="L274" i="27"/>
  <c r="M274" i="27"/>
  <c r="J274" i="27"/>
  <c r="I274" i="27"/>
  <c r="M340" i="27"/>
  <c r="L340" i="27"/>
  <c r="I340" i="27"/>
  <c r="K340" i="27"/>
  <c r="J340" i="27"/>
  <c r="N340" i="27"/>
  <c r="N244" i="27"/>
  <c r="M244" i="27"/>
  <c r="J244" i="27"/>
  <c r="I244" i="27"/>
  <c r="K244" i="27"/>
  <c r="L244" i="27"/>
  <c r="M321" i="27"/>
  <c r="L321" i="27"/>
  <c r="N321" i="27"/>
  <c r="I321" i="27"/>
  <c r="J321" i="27"/>
  <c r="K321" i="27"/>
  <c r="M399" i="27"/>
  <c r="J399" i="27"/>
  <c r="L399" i="27"/>
  <c r="N399" i="27"/>
  <c r="I399" i="27"/>
  <c r="K399" i="27"/>
  <c r="M351" i="27"/>
  <c r="K351" i="27"/>
  <c r="I351" i="27"/>
  <c r="N351" i="27"/>
  <c r="L351" i="27"/>
  <c r="J351" i="27"/>
  <c r="M303" i="27"/>
  <c r="N303" i="27"/>
  <c r="I303" i="27"/>
  <c r="L303" i="27"/>
  <c r="K303" i="27"/>
  <c r="J303" i="27"/>
  <c r="M255" i="27"/>
  <c r="L255" i="27"/>
  <c r="N255" i="27"/>
  <c r="K255" i="27"/>
  <c r="J255" i="27"/>
  <c r="I255" i="27"/>
  <c r="M358" i="27"/>
  <c r="J358" i="27"/>
  <c r="N358" i="27"/>
  <c r="L358" i="27"/>
  <c r="I358" i="27"/>
  <c r="K358" i="27"/>
  <c r="M310" i="27"/>
  <c r="L310" i="27"/>
  <c r="K310" i="27"/>
  <c r="N310" i="27"/>
  <c r="J310" i="27"/>
  <c r="I310" i="27"/>
  <c r="M262" i="27"/>
  <c r="L262" i="27"/>
  <c r="J262" i="27"/>
  <c r="I262" i="27"/>
  <c r="K262" i="27"/>
  <c r="N262" i="27"/>
  <c r="N405" i="27"/>
  <c r="L405" i="27"/>
  <c r="M405" i="27"/>
  <c r="K405" i="27"/>
  <c r="I405" i="27"/>
  <c r="J405" i="27"/>
  <c r="N333" i="27"/>
  <c r="L333" i="27"/>
  <c r="M333" i="27"/>
  <c r="K333" i="27"/>
  <c r="I333" i="27"/>
  <c r="J333" i="27"/>
  <c r="M345" i="27"/>
  <c r="N345" i="27"/>
  <c r="K345" i="27"/>
  <c r="I345" i="27"/>
  <c r="L345" i="27"/>
  <c r="J345" i="27"/>
  <c r="N394" i="27"/>
  <c r="L394" i="27"/>
  <c r="M394" i="27"/>
  <c r="K394" i="27"/>
  <c r="I394" i="27"/>
  <c r="J394" i="27"/>
  <c r="M382" i="27"/>
  <c r="N382" i="27"/>
  <c r="L382" i="27"/>
  <c r="J382" i="27"/>
  <c r="I382" i="27"/>
  <c r="K382" i="27"/>
  <c r="N243" i="27"/>
  <c r="K243" i="27"/>
  <c r="J243" i="27"/>
  <c r="M243" i="27"/>
  <c r="L243" i="27"/>
  <c r="I243" i="27"/>
  <c r="M327" i="27"/>
  <c r="L327" i="27"/>
  <c r="I327" i="27"/>
  <c r="N327" i="27"/>
  <c r="K327" i="27"/>
  <c r="J327" i="27"/>
  <c r="N411" i="27"/>
  <c r="L411" i="27"/>
  <c r="K411" i="27"/>
  <c r="M411" i="27"/>
  <c r="J411" i="27"/>
  <c r="I411" i="27"/>
  <c r="M393" i="27"/>
  <c r="N393" i="27"/>
  <c r="L393" i="27"/>
  <c r="J393" i="27"/>
  <c r="K393" i="27"/>
  <c r="I393" i="27"/>
  <c r="M286" i="27"/>
  <c r="L286" i="27"/>
  <c r="I286" i="27"/>
  <c r="N286" i="27"/>
  <c r="J286" i="27"/>
  <c r="K286" i="27"/>
  <c r="N381" i="27"/>
  <c r="L381" i="27"/>
  <c r="M381" i="27"/>
  <c r="K381" i="27"/>
  <c r="I381" i="27"/>
  <c r="J381" i="27"/>
  <c r="N261" i="27"/>
  <c r="I261" i="27"/>
  <c r="J261" i="27"/>
  <c r="K261" i="27"/>
  <c r="M261" i="27"/>
  <c r="L261" i="27"/>
  <c r="M417" i="27"/>
  <c r="N417" i="27"/>
  <c r="L417" i="27"/>
  <c r="J417" i="27"/>
  <c r="K417" i="27"/>
  <c r="I417" i="27"/>
  <c r="N291" i="27"/>
  <c r="K291" i="27"/>
  <c r="M291" i="27"/>
  <c r="L291" i="27"/>
  <c r="J291" i="27"/>
  <c r="I291" i="27"/>
  <c r="M406" i="27"/>
  <c r="N406" i="27"/>
  <c r="J406" i="27"/>
  <c r="L406" i="27"/>
  <c r="K406" i="27"/>
  <c r="I406" i="27"/>
  <c r="N309" i="27"/>
  <c r="L309" i="27"/>
  <c r="K309" i="27"/>
  <c r="I309" i="27"/>
  <c r="M309" i="27"/>
  <c r="J309" i="27"/>
  <c r="L352" i="27"/>
  <c r="M352" i="27"/>
  <c r="J352" i="27"/>
  <c r="K352" i="27"/>
  <c r="N352" i="27"/>
  <c r="I352" i="27"/>
  <c r="N418" i="27"/>
  <c r="L418" i="27"/>
  <c r="K418" i="27"/>
  <c r="I418" i="27"/>
  <c r="M418" i="27"/>
  <c r="J418" i="27"/>
  <c r="M297" i="27"/>
  <c r="L297" i="27"/>
  <c r="J297" i="27"/>
  <c r="I297" i="27"/>
  <c r="K297" i="27"/>
  <c r="N297" i="27"/>
  <c r="N322" i="27"/>
  <c r="L322" i="27"/>
  <c r="K322" i="27"/>
  <c r="M322" i="27"/>
  <c r="I322" i="27"/>
  <c r="J322" i="27"/>
  <c r="N298" i="27"/>
  <c r="L298" i="27"/>
  <c r="K298" i="27"/>
  <c r="M298" i="27"/>
  <c r="J298" i="27"/>
  <c r="I298" i="27"/>
  <c r="N357" i="27"/>
  <c r="L357" i="27"/>
  <c r="K357" i="27"/>
  <c r="M357" i="27"/>
  <c r="I357" i="27"/>
  <c r="J357" i="27"/>
  <c r="M249" i="27"/>
  <c r="L249" i="27"/>
  <c r="N249" i="27"/>
  <c r="J249" i="27"/>
  <c r="I249" i="27"/>
  <c r="K249" i="27"/>
  <c r="AF248" i="1"/>
  <c r="AF240" i="1"/>
  <c r="AD186" i="1"/>
  <c r="AD184" i="1"/>
  <c r="AD194" i="1"/>
  <c r="AF226" i="1"/>
  <c r="AD218" i="1"/>
  <c r="AD168" i="1"/>
  <c r="AD234" i="1"/>
  <c r="AF216" i="1"/>
  <c r="AF178" i="1"/>
  <c r="AD250" i="1"/>
  <c r="AD210" i="1"/>
  <c r="AF160" i="1"/>
  <c r="AF208" i="1"/>
  <c r="AD202" i="1"/>
  <c r="AF170" i="1"/>
  <c r="AF242" i="1"/>
  <c r="AF232" i="1"/>
  <c r="AF224" i="1"/>
  <c r="AF192" i="1"/>
  <c r="AD200" i="1"/>
  <c r="AD176" i="1"/>
  <c r="AF162" i="1"/>
  <c r="AF219" i="1"/>
  <c r="AD219" i="1"/>
  <c r="AD193" i="1"/>
  <c r="AF193" i="1"/>
  <c r="AF156" i="1"/>
  <c r="AD156" i="1"/>
  <c r="AD217" i="1"/>
  <c r="AF217" i="1"/>
  <c r="AF227" i="1"/>
  <c r="AD227" i="1"/>
  <c r="AF179" i="1"/>
  <c r="AD179" i="1"/>
  <c r="AD233" i="1"/>
  <c r="AF233" i="1"/>
  <c r="AF188" i="1"/>
  <c r="AD188" i="1"/>
  <c r="AD209" i="1"/>
  <c r="AF209" i="1"/>
  <c r="AF211" i="1"/>
  <c r="AD211" i="1"/>
  <c r="AF163" i="1"/>
  <c r="AD163" i="1"/>
  <c r="AF180" i="1"/>
  <c r="AD180" i="1"/>
  <c r="AF195" i="1"/>
  <c r="AD195" i="1"/>
  <c r="AF169" i="1"/>
  <c r="AD169" i="1"/>
  <c r="AF243" i="1"/>
  <c r="AD243" i="1"/>
  <c r="AD249" i="1"/>
  <c r="AF249" i="1"/>
  <c r="AF185" i="1"/>
  <c r="AD185" i="1"/>
  <c r="AD225" i="1"/>
  <c r="AF225" i="1"/>
  <c r="AF171" i="1"/>
  <c r="AD171" i="1"/>
  <c r="AF187" i="1"/>
  <c r="AD187" i="1"/>
  <c r="AD241" i="1"/>
  <c r="AF241" i="1"/>
  <c r="AF172" i="1"/>
  <c r="AD172" i="1"/>
  <c r="AF203" i="1"/>
  <c r="AD203" i="1"/>
  <c r="AF161" i="1"/>
  <c r="AD161" i="1"/>
  <c r="AF164" i="1"/>
  <c r="AD164" i="1"/>
  <c r="AF235" i="1"/>
  <c r="AD235" i="1"/>
  <c r="AF251" i="1"/>
  <c r="AD251" i="1"/>
  <c r="AD201" i="1"/>
  <c r="AF201" i="1"/>
  <c r="AF177" i="1"/>
  <c r="AD177" i="1"/>
  <c r="P939" i="27"/>
  <c r="P940" i="27" s="1"/>
  <c r="P941" i="27" s="1"/>
  <c r="P942" i="27" s="1"/>
  <c r="P943" i="27" s="1"/>
  <c r="P944" i="27" s="1"/>
  <c r="P945" i="27" s="1"/>
  <c r="P946" i="27" s="1"/>
  <c r="P947" i="27" s="1"/>
  <c r="P948" i="27" s="1"/>
  <c r="P949" i="27" s="1"/>
  <c r="P950" i="27" s="1"/>
  <c r="P951" i="27" s="1"/>
  <c r="P952" i="27" s="1"/>
  <c r="P953" i="27" s="1"/>
  <c r="P954" i="27" s="1"/>
  <c r="P955" i="27" s="1"/>
  <c r="P956" i="27" s="1"/>
  <c r="P957" i="27" s="1"/>
  <c r="P958" i="27" s="1"/>
  <c r="P959" i="27" s="1"/>
  <c r="P960" i="27" s="1"/>
  <c r="P961" i="27" s="1"/>
  <c r="P962" i="27" s="1"/>
  <c r="P963" i="27" s="1"/>
  <c r="P964" i="27" s="1"/>
  <c r="P965" i="27" s="1"/>
  <c r="P966" i="27" s="1"/>
  <c r="P967" i="27" s="1"/>
  <c r="P968" i="27" s="1"/>
  <c r="P969" i="27" s="1"/>
  <c r="P970" i="27" s="1"/>
  <c r="P971" i="27" s="1"/>
  <c r="P972" i="27" s="1"/>
  <c r="P973" i="27" s="1"/>
  <c r="P974" i="27" s="1"/>
  <c r="P975" i="27" s="1"/>
  <c r="P976" i="27" s="1"/>
  <c r="P977" i="27" s="1"/>
  <c r="P978" i="27" s="1"/>
  <c r="P979" i="27" s="1"/>
  <c r="P980" i="27" s="1"/>
  <c r="P981" i="27" s="1"/>
  <c r="P982" i="27" s="1"/>
  <c r="P983" i="27" s="1"/>
  <c r="P984" i="27" s="1"/>
  <c r="P985" i="27" s="1"/>
  <c r="P986" i="27" s="1"/>
  <c r="P987" i="27" s="1"/>
  <c r="P988" i="27" s="1"/>
  <c r="P989" i="27" s="1"/>
  <c r="P990" i="27" s="1"/>
  <c r="P991" i="27" s="1"/>
  <c r="P992" i="27" s="1"/>
  <c r="P993" i="27" s="1"/>
  <c r="P994" i="27" s="1"/>
  <c r="P995" i="27" s="1"/>
  <c r="P996" i="27" s="1"/>
  <c r="P997" i="27" s="1"/>
  <c r="P998" i="27" s="1"/>
  <c r="P999" i="27" s="1"/>
  <c r="P1000" i="27" s="1"/>
  <c r="P1001" i="27" s="1"/>
  <c r="P1002" i="27" s="1"/>
  <c r="P1003" i="27" s="1"/>
  <c r="P1004" i="27" s="1"/>
  <c r="P1005" i="27" s="1"/>
  <c r="P1006" i="27" s="1"/>
  <c r="P1007" i="27" s="1"/>
  <c r="P1008" i="27" s="1"/>
  <c r="P1009" i="27" s="1"/>
  <c r="P1010" i="27" s="1"/>
  <c r="P1011" i="27" s="1"/>
  <c r="P1012" i="27" s="1"/>
  <c r="P1013" i="27" s="1"/>
  <c r="P1014" i="27" s="1"/>
  <c r="P1015" i="27" s="1"/>
  <c r="P1016" i="27" s="1"/>
  <c r="P1017" i="27" s="1"/>
  <c r="P1018" i="27" s="1"/>
  <c r="P1019" i="27" s="1"/>
  <c r="P1020" i="27" s="1"/>
  <c r="P1021" i="27" s="1"/>
  <c r="P1022" i="27" s="1"/>
  <c r="P1023" i="27" s="1"/>
  <c r="P1024" i="27" s="1"/>
  <c r="P1025" i="27" s="1"/>
  <c r="P1026" i="27" s="1"/>
  <c r="P1027" i="27" s="1"/>
  <c r="P1028" i="27" s="1"/>
  <c r="P1029" i="27" s="1"/>
  <c r="P1030" i="27" s="1"/>
  <c r="P1031" i="27" s="1"/>
  <c r="P1032" i="27" s="1"/>
  <c r="P1033" i="27" s="1"/>
  <c r="P1034" i="27" s="1"/>
  <c r="P1035" i="27" s="1"/>
  <c r="P1036" i="27" s="1"/>
  <c r="P1037" i="27" s="1"/>
  <c r="P1038" i="27" s="1"/>
  <c r="P1039" i="27" s="1"/>
  <c r="P1040" i="27" s="1"/>
  <c r="P1041" i="27" s="1"/>
  <c r="P1042" i="27" s="1"/>
  <c r="P1043" i="27" s="1"/>
  <c r="P1044" i="27" s="1"/>
  <c r="P1045" i="27" s="1"/>
  <c r="P1046" i="27" s="1"/>
  <c r="P1047" i="27" s="1"/>
  <c r="P1048" i="27" s="1"/>
  <c r="P1049" i="27" s="1"/>
  <c r="P1050" i="27" s="1"/>
  <c r="P1051" i="27" s="1"/>
  <c r="P1052" i="27" s="1"/>
  <c r="P1053" i="27" s="1"/>
  <c r="P1054" i="27" s="1"/>
  <c r="P1055" i="27" s="1"/>
  <c r="P1056" i="27" s="1"/>
  <c r="P1057" i="27" s="1"/>
  <c r="P1058" i="27" s="1"/>
  <c r="P1059" i="27" s="1"/>
  <c r="P1060" i="27" s="1"/>
  <c r="P1061" i="27" s="1"/>
  <c r="P1062" i="27" s="1"/>
  <c r="P1063" i="27" s="1"/>
  <c r="P1064" i="27" s="1"/>
  <c r="P1065" i="27" s="1"/>
  <c r="P1066" i="27" s="1"/>
  <c r="P1067" i="27" s="1"/>
  <c r="P1068" i="27" s="1"/>
  <c r="P1069" i="27" s="1"/>
  <c r="P1070" i="27" s="1"/>
  <c r="P1071" i="27" s="1"/>
  <c r="P1072" i="27" s="1"/>
  <c r="P1073" i="27" s="1"/>
  <c r="P1074" i="27" s="1"/>
  <c r="P1075" i="27" s="1"/>
  <c r="P1076" i="27" s="1"/>
  <c r="P1077" i="27" s="1"/>
  <c r="P1078" i="27" s="1"/>
  <c r="P1079" i="27" s="1"/>
  <c r="P1080" i="27" s="1"/>
  <c r="P1081" i="27" s="1"/>
  <c r="P1082" i="27" s="1"/>
  <c r="P1083" i="27" s="1"/>
  <c r="P1084" i="27" s="1"/>
  <c r="P1085" i="27" s="1"/>
  <c r="P1086" i="27" s="1"/>
  <c r="P1087" i="27" s="1"/>
  <c r="P1088" i="27" s="1"/>
  <c r="P1089" i="27" s="1"/>
  <c r="P1090" i="27" s="1"/>
  <c r="P1091" i="27" s="1"/>
  <c r="P1092" i="27" s="1"/>
  <c r="P1093" i="27" s="1"/>
  <c r="P1094" i="27" s="1"/>
  <c r="P1095" i="27" s="1"/>
  <c r="P1096" i="27" s="1"/>
  <c r="P1097" i="27" s="1"/>
  <c r="P1098" i="27" s="1"/>
  <c r="P1099" i="27" s="1"/>
  <c r="P1100" i="27" s="1"/>
  <c r="P1101" i="27" s="1"/>
  <c r="P1102" i="27" s="1"/>
  <c r="P1103" i="27" s="1"/>
  <c r="P1104" i="27" s="1"/>
  <c r="P1105" i="27" s="1"/>
  <c r="P1106" i="27" s="1"/>
  <c r="P1107" i="27" s="1"/>
  <c r="P1108" i="27" s="1"/>
  <c r="P1109" i="27" s="1"/>
  <c r="P1110" i="27" s="1"/>
  <c r="P1111" i="27" s="1"/>
  <c r="P1112" i="27" s="1"/>
  <c r="P1113" i="27" s="1"/>
  <c r="P1114" i="27" s="1"/>
  <c r="P1115" i="27" s="1"/>
  <c r="P1116" i="27" s="1"/>
  <c r="P1117" i="27" s="1"/>
  <c r="P1118" i="27" s="1"/>
  <c r="P1119" i="27" s="1"/>
  <c r="P1120" i="27" s="1"/>
  <c r="P1121" i="27" s="1"/>
  <c r="P1122" i="27" s="1"/>
  <c r="P1123" i="27" s="1"/>
  <c r="P1124" i="27" s="1"/>
  <c r="P1125" i="27" s="1"/>
  <c r="P1126" i="27" s="1"/>
  <c r="P1127" i="27" s="1"/>
  <c r="P1128" i="27" s="1"/>
  <c r="P1129" i="27" s="1"/>
  <c r="P1130" i="27" s="1"/>
  <c r="P1131" i="27" s="1"/>
  <c r="P1132" i="27" s="1"/>
  <c r="P1133" i="27" s="1"/>
  <c r="P1134" i="27" s="1"/>
  <c r="P1135" i="27" s="1"/>
  <c r="P1136" i="27" s="1"/>
  <c r="P1137" i="27" s="1"/>
  <c r="P1138" i="27" s="1"/>
  <c r="P1139" i="27" s="1"/>
  <c r="P1140" i="27" s="1"/>
  <c r="P1141" i="27" s="1"/>
  <c r="P1142" i="27" s="1"/>
  <c r="P1143" i="27" s="1"/>
  <c r="P1144" i="27" s="1"/>
  <c r="P1145" i="27" s="1"/>
  <c r="P1146" i="27" s="1"/>
  <c r="P1147" i="27" s="1"/>
  <c r="P1148" i="27" s="1"/>
  <c r="P1149" i="27" s="1"/>
  <c r="P1150" i="27" s="1"/>
  <c r="P1151" i="27" s="1"/>
  <c r="P1152" i="27" s="1"/>
  <c r="P1153" i="27" s="1"/>
  <c r="P1154" i="27" s="1"/>
  <c r="P1155" i="27" s="1"/>
  <c r="P1156" i="27" s="1"/>
  <c r="P1157" i="27" s="1"/>
  <c r="P1158" i="27" s="1"/>
  <c r="P1159" i="27" s="1"/>
  <c r="P1160" i="27" s="1"/>
  <c r="P1161" i="27" s="1"/>
  <c r="P1162" i="27" s="1"/>
  <c r="P1163" i="27" s="1"/>
  <c r="P1164" i="27" s="1"/>
  <c r="P1165" i="27" s="1"/>
  <c r="P1166" i="27" s="1"/>
  <c r="P1167" i="27" s="1"/>
  <c r="P1168" i="27" s="1"/>
  <c r="P1169" i="27" s="1"/>
  <c r="P1170" i="27" s="1"/>
  <c r="P1171" i="27" s="1"/>
  <c r="P1172" i="27" s="1"/>
  <c r="P1173" i="27" s="1"/>
  <c r="P1174" i="27" s="1"/>
  <c r="P1175" i="27" s="1"/>
  <c r="P1176" i="27" s="1"/>
  <c r="P1177" i="27" s="1"/>
  <c r="P1178" i="27" s="1"/>
  <c r="P1179" i="27" s="1"/>
  <c r="P1180" i="27" s="1"/>
  <c r="P1181" i="27" s="1"/>
  <c r="P1182" i="27" s="1"/>
  <c r="P1183" i="27" s="1"/>
  <c r="P1184" i="27" s="1"/>
  <c r="P1185" i="27" s="1"/>
  <c r="P1186" i="27" s="1"/>
  <c r="P1187" i="27" s="1"/>
  <c r="P1188" i="27" s="1"/>
  <c r="P1189" i="27" s="1"/>
  <c r="P1190" i="27" s="1"/>
  <c r="P1191" i="27" s="1"/>
  <c r="P1192" i="27" s="1"/>
  <c r="P1193" i="27" s="1"/>
  <c r="P1194" i="27" s="1"/>
  <c r="P1195" i="27" s="1"/>
  <c r="P1196" i="27" s="1"/>
  <c r="P1197" i="27" s="1"/>
  <c r="P1198" i="27" s="1"/>
  <c r="P1199" i="27" s="1"/>
  <c r="P1200" i="27" s="1"/>
  <c r="P1201" i="27" s="1"/>
  <c r="P1202" i="27" s="1"/>
  <c r="P1203" i="27" s="1"/>
  <c r="P1204" i="27" s="1"/>
  <c r="P1205" i="27" s="1"/>
  <c r="P1206" i="27" s="1"/>
  <c r="P1207" i="27" s="1"/>
  <c r="P1208" i="27" s="1"/>
  <c r="P1209" i="27" s="1"/>
  <c r="P1210" i="27" s="1"/>
  <c r="P1211" i="27" s="1"/>
  <c r="P1212" i="27" s="1"/>
  <c r="P1213" i="27" s="1"/>
  <c r="P1214" i="27" s="1"/>
  <c r="P1215" i="27" s="1"/>
  <c r="P1216" i="27" s="1"/>
  <c r="P1217" i="27" s="1"/>
  <c r="P1218" i="27" s="1"/>
  <c r="P1219" i="27" s="1"/>
  <c r="P1220" i="27" s="1"/>
  <c r="P1221" i="27" s="1"/>
  <c r="P1222" i="27" s="1"/>
  <c r="P1223" i="27" s="1"/>
  <c r="P1224" i="27" s="1"/>
  <c r="P1225" i="27" s="1"/>
  <c r="P1226" i="27" s="1"/>
  <c r="P1227" i="27" s="1"/>
  <c r="P1228" i="27" s="1"/>
  <c r="P1229" i="27" s="1"/>
  <c r="P1230" i="27" s="1"/>
  <c r="P1231" i="27" s="1"/>
  <c r="P1232" i="27" s="1"/>
  <c r="P1233" i="27" s="1"/>
  <c r="P1234" i="27" s="1"/>
  <c r="P1235" i="27" s="1"/>
  <c r="P1236" i="27" s="1"/>
  <c r="P1237" i="27" s="1"/>
  <c r="P1238" i="27" s="1"/>
  <c r="P1239" i="27" s="1"/>
  <c r="P1240" i="27" s="1"/>
  <c r="P1241" i="27" s="1"/>
  <c r="P1242" i="27" s="1"/>
  <c r="P1243" i="27" s="1"/>
  <c r="P1244" i="27" s="1"/>
  <c r="P1245" i="27" s="1"/>
  <c r="P1246" i="27" s="1"/>
  <c r="P1247" i="27" s="1"/>
  <c r="P1248" i="27" s="1"/>
  <c r="P1249" i="27" s="1"/>
  <c r="P1250" i="27" s="1"/>
  <c r="P1251" i="27" s="1"/>
  <c r="P1252" i="27" s="1"/>
  <c r="P1253" i="27" s="1"/>
  <c r="P1254" i="27" s="1"/>
  <c r="P1255" i="27" s="1"/>
  <c r="P1256" i="27" s="1"/>
  <c r="P1257" i="27" s="1"/>
  <c r="P1258" i="27" s="1"/>
  <c r="P1259" i="27" s="1"/>
  <c r="P1260" i="27" s="1"/>
  <c r="P1261" i="27" s="1"/>
  <c r="P1262" i="27" s="1"/>
  <c r="P1263" i="27" s="1"/>
  <c r="P1264" i="27" s="1"/>
  <c r="P1265" i="27" s="1"/>
  <c r="P1266" i="27" s="1"/>
  <c r="P1267" i="27" s="1"/>
  <c r="P1268" i="27" s="1"/>
  <c r="P1269" i="27" s="1"/>
  <c r="P1270" i="27" s="1"/>
  <c r="P1271" i="27" s="1"/>
  <c r="P1272" i="27" s="1"/>
  <c r="P1273" i="27" s="1"/>
  <c r="P1274" i="27" s="1"/>
  <c r="P1275" i="27" s="1"/>
  <c r="P1276" i="27" s="1"/>
  <c r="P1277" i="27" s="1"/>
  <c r="P1278" i="27" s="1"/>
  <c r="P1279" i="27" s="1"/>
  <c r="P1280" i="27" s="1"/>
  <c r="P1281" i="27" s="1"/>
  <c r="P1282" i="27" s="1"/>
  <c r="P1283" i="27" s="1"/>
  <c r="P1284" i="27" s="1"/>
  <c r="P1285" i="27" s="1"/>
  <c r="P1286" i="27" s="1"/>
  <c r="P1287" i="27" s="1"/>
  <c r="P1288" i="27" s="1"/>
  <c r="P1289" i="27" s="1"/>
  <c r="P1290" i="27" s="1"/>
  <c r="P1291" i="27" s="1"/>
  <c r="P1292" i="27" s="1"/>
  <c r="P1293" i="27" s="1"/>
  <c r="P1294" i="27" s="1"/>
  <c r="P1295" i="27" s="1"/>
  <c r="P1296" i="27" s="1"/>
  <c r="P1297" i="27" s="1"/>
  <c r="P1298" i="27" s="1"/>
  <c r="P1299" i="27" s="1"/>
  <c r="P477" i="27"/>
  <c r="P478" i="27" s="1"/>
  <c r="P479" i="27" s="1"/>
  <c r="P480" i="27" s="1"/>
  <c r="P481" i="27" s="1"/>
  <c r="P482" i="27" s="1"/>
  <c r="P483" i="27" s="1"/>
  <c r="P484" i="27" s="1"/>
  <c r="P485" i="27" s="1"/>
  <c r="P486" i="27" s="1"/>
  <c r="P487" i="27" s="1"/>
  <c r="P488" i="27" s="1"/>
  <c r="P489" i="27" s="1"/>
  <c r="P490" i="27" s="1"/>
  <c r="P491" i="27" s="1"/>
  <c r="P492" i="27" s="1"/>
  <c r="P493" i="27" s="1"/>
  <c r="P494" i="27" s="1"/>
  <c r="P495" i="27" s="1"/>
  <c r="P496" i="27" s="1"/>
  <c r="P497" i="27" s="1"/>
  <c r="P498" i="27" s="1"/>
  <c r="P499" i="27" s="1"/>
  <c r="P500" i="27" s="1"/>
  <c r="P501" i="27" s="1"/>
  <c r="P502" i="27" s="1"/>
  <c r="P503" i="27" s="1"/>
  <c r="P504" i="27" s="1"/>
  <c r="P505" i="27" s="1"/>
  <c r="P506" i="27" s="1"/>
  <c r="P507" i="27" s="1"/>
  <c r="P508" i="27" s="1"/>
  <c r="P509" i="27" s="1"/>
  <c r="P510" i="27" s="1"/>
  <c r="P511" i="27" s="1"/>
  <c r="P512" i="27" s="1"/>
  <c r="P513" i="27" s="1"/>
  <c r="P514" i="27" s="1"/>
  <c r="P515" i="27" s="1"/>
  <c r="P516" i="27" s="1"/>
  <c r="P517" i="27" s="1"/>
  <c r="P518" i="27" s="1"/>
  <c r="P519" i="27" s="1"/>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G1610" i="27"/>
  <c r="G1616" i="27"/>
  <c r="G1635" i="27"/>
  <c r="G1348" i="27"/>
  <c r="G1335" i="27"/>
  <c r="G1329" i="27"/>
  <c r="G1599" i="27"/>
  <c r="G1623" i="27"/>
  <c r="G1311" i="27"/>
  <c r="G1647" i="27"/>
  <c r="G1659" i="27"/>
  <c r="G1598" i="27"/>
  <c r="G1604" i="27"/>
  <c r="G1641" i="27"/>
  <c r="G1622" i="27"/>
  <c r="G1628" i="27"/>
  <c r="G1347" i="27"/>
  <c r="G1658" i="27"/>
  <c r="G1312" i="27"/>
  <c r="G1640" i="27"/>
  <c r="G1324" i="27"/>
  <c r="G1353" i="27"/>
  <c r="G1646" i="27"/>
  <c r="G1652" i="27"/>
  <c r="G1306" i="27"/>
  <c r="G1611" i="27"/>
  <c r="G1653" i="27"/>
  <c r="G1605" i="27"/>
  <c r="G1629" i="27"/>
  <c r="G1634" i="27"/>
  <c r="G1317" i="27"/>
  <c r="G1323" i="27"/>
  <c r="G1330" i="27"/>
  <c r="G1305" i="27"/>
  <c r="G1300" i="27"/>
  <c r="G1617" i="27"/>
  <c r="G1342" i="27"/>
  <c r="G1354" i="27"/>
  <c r="G1318" i="27"/>
  <c r="G1341" i="27"/>
  <c r="F5278" i="27" l="1"/>
  <c r="H1307" i="27"/>
  <c r="A837" i="27"/>
  <c r="A729" i="27"/>
  <c r="A687" i="27"/>
  <c r="A681" i="27"/>
  <c r="A818" i="27"/>
  <c r="A663" i="27"/>
  <c r="A830" i="27"/>
  <c r="A764" i="27"/>
  <c r="A746" i="27"/>
  <c r="A813" i="27"/>
  <c r="A806" i="27"/>
  <c r="A723" i="27"/>
  <c r="A728" i="27"/>
  <c r="A693" i="27"/>
  <c r="A680" i="27"/>
  <c r="A704" i="27"/>
  <c r="A836" i="27"/>
  <c r="A783" i="27"/>
  <c r="A795" i="27"/>
  <c r="A770" i="27"/>
  <c r="A801" i="27"/>
  <c r="A788" i="27"/>
  <c r="A794" i="27"/>
  <c r="A716" i="27"/>
  <c r="H670" i="27"/>
  <c r="H669" i="27"/>
  <c r="A711" i="27"/>
  <c r="A369" i="27"/>
  <c r="T369" i="27" s="1"/>
  <c r="A819" i="27"/>
  <c r="A669" i="27"/>
  <c r="A734" i="27"/>
  <c r="A758" i="27"/>
  <c r="A675" i="27"/>
  <c r="A753" i="27"/>
  <c r="A741" i="27"/>
  <c r="A812" i="27"/>
  <c r="A782" i="27"/>
  <c r="A776" i="27"/>
  <c r="A759" i="27"/>
  <c r="A722" i="27"/>
  <c r="A717" i="27"/>
  <c r="A735" i="27"/>
  <c r="A674" i="27"/>
  <c r="A747" i="27"/>
  <c r="A752" i="27"/>
  <c r="A777" i="27"/>
  <c r="A668" i="27"/>
  <c r="A807" i="27"/>
  <c r="A692" i="27"/>
  <c r="A686" i="27"/>
  <c r="A710" i="27"/>
  <c r="A789" i="27"/>
  <c r="A740" i="27"/>
  <c r="A698" i="27"/>
  <c r="A699" i="27"/>
  <c r="A824" i="27"/>
  <c r="A831" i="27"/>
  <c r="A800" i="27"/>
  <c r="A705" i="27"/>
  <c r="A825" i="27"/>
  <c r="A765" i="27"/>
  <c r="A662" i="27"/>
  <c r="A771" i="27"/>
  <c r="A315" i="27"/>
  <c r="T315" i="27" s="1"/>
  <c r="A292" i="27"/>
  <c r="T292" i="27" s="1"/>
  <c r="A400" i="27"/>
  <c r="T400" i="27" s="1"/>
  <c r="A370" i="27"/>
  <c r="T370" i="27" s="1"/>
  <c r="A346" i="27"/>
  <c r="T346" i="27" s="1"/>
  <c r="A357" i="27"/>
  <c r="T357" i="27" s="1"/>
  <c r="A340" i="27"/>
  <c r="T340" i="27" s="1"/>
  <c r="A364" i="27"/>
  <c r="T364" i="27" s="1"/>
  <c r="A328" i="27"/>
  <c r="T328" i="27" s="1"/>
  <c r="A274" i="27"/>
  <c r="T274" i="27" s="1"/>
  <c r="A418" i="27"/>
  <c r="T418" i="27" s="1"/>
  <c r="A387" i="27"/>
  <c r="T387" i="27" s="1"/>
  <c r="A327" i="27"/>
  <c r="T327" i="27" s="1"/>
  <c r="A273" i="27"/>
  <c r="T273" i="27" s="1"/>
  <c r="A316" i="27"/>
  <c r="T316" i="27" s="1"/>
  <c r="A267" i="27"/>
  <c r="T267" i="27" s="1"/>
  <c r="A309" i="27"/>
  <c r="T309" i="27" s="1"/>
  <c r="A262" i="27"/>
  <c r="T262" i="27" s="1"/>
  <c r="A255" i="27"/>
  <c r="T255" i="27" s="1"/>
  <c r="A249" i="27"/>
  <c r="T249" i="27" s="1"/>
  <c r="A298" i="27"/>
  <c r="T298" i="27" s="1"/>
  <c r="A322" i="27"/>
  <c r="T322" i="27" s="1"/>
  <c r="A333" i="27"/>
  <c r="T333" i="27" s="1"/>
  <c r="A244" i="27"/>
  <c r="T244" i="27" s="1"/>
  <c r="A297" i="27"/>
  <c r="T297" i="27" s="1"/>
  <c r="A381" i="27"/>
  <c r="T381" i="27" s="1"/>
  <c r="A291" i="27"/>
  <c r="T291" i="27" s="1"/>
  <c r="H248" i="27"/>
  <c r="A417" i="27"/>
  <c r="T417" i="27" s="1"/>
  <c r="A411" i="27"/>
  <c r="T411" i="27" s="1"/>
  <c r="A351" i="27"/>
  <c r="T351" i="27" s="1"/>
  <c r="A375" i="27"/>
  <c r="T375" i="27" s="1"/>
  <c r="A303" i="27"/>
  <c r="T303" i="27" s="1"/>
  <c r="A304" i="27"/>
  <c r="T304" i="27" s="1"/>
  <c r="A412" i="27"/>
  <c r="T412" i="27" s="1"/>
  <c r="A345" i="27"/>
  <c r="T345" i="27" s="1"/>
  <c r="A250" i="27"/>
  <c r="T250" i="27" s="1"/>
  <c r="A376" i="27"/>
  <c r="T376" i="27" s="1"/>
  <c r="A261" i="27"/>
  <c r="T261" i="27" s="1"/>
  <c r="A393" i="27"/>
  <c r="T393" i="27" s="1"/>
  <c r="A243" i="27"/>
  <c r="T243" i="27" s="1"/>
  <c r="A394" i="27"/>
  <c r="T394" i="27" s="1"/>
  <c r="A399" i="27"/>
  <c r="T399" i="27" s="1"/>
  <c r="A321" i="27"/>
  <c r="T321" i="27" s="1"/>
  <c r="A280" i="27"/>
  <c r="T280" i="27" s="1"/>
  <c r="A268" i="27"/>
  <c r="T268" i="27" s="1"/>
  <c r="A256" i="27"/>
  <c r="T256" i="27" s="1"/>
  <c r="A405" i="27"/>
  <c r="T405" i="27" s="1"/>
  <c r="A310" i="27"/>
  <c r="T310" i="27" s="1"/>
  <c r="A358" i="27"/>
  <c r="T358" i="27" s="1"/>
  <c r="A363" i="27"/>
  <c r="T363" i="27" s="1"/>
  <c r="A388" i="27"/>
  <c r="T388" i="27" s="1"/>
  <c r="A339" i="27"/>
  <c r="T339" i="27" s="1"/>
  <c r="A285" i="27"/>
  <c r="T285" i="27" s="1"/>
  <c r="A279" i="27"/>
  <c r="T279" i="27" s="1"/>
  <c r="A352" i="27"/>
  <c r="T352" i="27" s="1"/>
  <c r="A406" i="27"/>
  <c r="T406" i="27" s="1"/>
  <c r="A286" i="27"/>
  <c r="T286" i="27" s="1"/>
  <c r="A382" i="27"/>
  <c r="T382" i="27" s="1"/>
  <c r="A334" i="27"/>
  <c r="T334" i="27" s="1"/>
  <c r="B27" i="29"/>
  <c r="B26" i="29"/>
  <c r="P58" i="27"/>
  <c r="P59" i="27" l="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P134" i="27" s="1"/>
  <c r="P135" i="27" s="1"/>
  <c r="P136" i="27" s="1"/>
  <c r="P137" i="27" s="1"/>
  <c r="P138" i="27" s="1"/>
  <c r="P139" i="27" s="1"/>
  <c r="P140" i="27" s="1"/>
  <c r="P141" i="27" s="1"/>
  <c r="P142" i="27" s="1"/>
  <c r="P143" i="27" s="1"/>
  <c r="P144" i="27" s="1"/>
  <c r="P145" i="27" s="1"/>
  <c r="P146" i="27" s="1"/>
  <c r="P147" i="27" s="1"/>
  <c r="P148" i="27" s="1"/>
  <c r="P149" i="27" s="1"/>
  <c r="P150" i="27" s="1"/>
  <c r="P151" i="27" s="1"/>
  <c r="P152" i="27" s="1"/>
  <c r="P153" i="27" s="1"/>
  <c r="P154" i="27" s="1"/>
  <c r="P155" i="27" s="1"/>
  <c r="P156" i="27" s="1"/>
  <c r="P157" i="27" s="1"/>
  <c r="P158" i="27" s="1"/>
  <c r="P159" i="27" s="1"/>
  <c r="P160" i="27" s="1"/>
  <c r="P161" i="27" s="1"/>
  <c r="P162" i="27" s="1"/>
  <c r="P163" i="27" s="1"/>
  <c r="P164" i="27" s="1"/>
  <c r="P165" i="27" s="1"/>
  <c r="P166" i="27" s="1"/>
  <c r="P167" i="27" s="1"/>
  <c r="P168" i="27" s="1"/>
  <c r="P169" i="27" s="1"/>
  <c r="P170" i="27" s="1"/>
  <c r="P171" i="27" s="1"/>
  <c r="P172" i="27" s="1"/>
  <c r="P173" i="27" s="1"/>
  <c r="P174" i="27" s="1"/>
  <c r="P175" i="27" s="1"/>
  <c r="P176" i="27" s="1"/>
  <c r="P177" i="27" s="1"/>
  <c r="P178" i="27" s="1"/>
  <c r="P179" i="27" s="1"/>
  <c r="P180" i="27" s="1"/>
  <c r="P181" i="27" s="1"/>
  <c r="P182" i="27" s="1"/>
  <c r="P183" i="27" s="1"/>
  <c r="P184" i="27" s="1"/>
  <c r="P185" i="27" s="1"/>
  <c r="P186" i="27" s="1"/>
  <c r="P187" i="27" s="1"/>
  <c r="P188" i="27" s="1"/>
  <c r="P189" i="27" s="1"/>
  <c r="P190" i="27" s="1"/>
  <c r="P191" i="27" s="1"/>
  <c r="P192" i="27" s="1"/>
  <c r="P193" i="27" s="1"/>
  <c r="P194" i="27" s="1"/>
  <c r="P195" i="27" s="1"/>
  <c r="P196" i="27" s="1"/>
  <c r="P197" i="27" s="1"/>
  <c r="P198" i="27" s="1"/>
  <c r="P199" i="27" s="1"/>
  <c r="P200" i="27" s="1"/>
  <c r="P201" i="27" s="1"/>
  <c r="P202" i="27" s="1"/>
  <c r="P203" i="27" s="1"/>
  <c r="P204" i="27" s="1"/>
  <c r="P205" i="27" s="1"/>
  <c r="P206" i="27" s="1"/>
  <c r="P207" i="27" s="1"/>
  <c r="P208" i="27" s="1"/>
  <c r="P209" i="27" s="1"/>
  <c r="P210" i="27" s="1"/>
  <c r="P211" i="27" s="1"/>
  <c r="P212" i="27" s="1"/>
  <c r="P213" i="27" s="1"/>
  <c r="P214" i="27" s="1"/>
  <c r="P215" i="27" s="1"/>
  <c r="P216" i="27" s="1"/>
  <c r="P217" i="27" s="1"/>
  <c r="P218" i="27" s="1"/>
  <c r="P219" i="27" s="1"/>
  <c r="P220" i="27" s="1"/>
  <c r="P221" i="27" s="1"/>
  <c r="P222" i="27" s="1"/>
  <c r="P223" i="27" s="1"/>
  <c r="P224" i="27" s="1"/>
  <c r="P225" i="27" s="1"/>
  <c r="P226" i="27" s="1"/>
  <c r="P227" i="27" s="1"/>
  <c r="P228" i="27" s="1"/>
  <c r="P229" i="27" s="1"/>
  <c r="P230" i="27" s="1"/>
  <c r="P231" i="27" s="1"/>
  <c r="P232" i="27" s="1"/>
  <c r="P233" i="27" s="1"/>
  <c r="P234" i="27" s="1"/>
  <c r="P235" i="27" s="1"/>
  <c r="P236" i="27" s="1"/>
  <c r="P237" i="27" s="1"/>
  <c r="P238" i="27" s="1"/>
  <c r="F5279" i="27"/>
  <c r="H1308" i="27"/>
  <c r="H671" i="27"/>
  <c r="H249" i="27"/>
  <c r="K155" i="1"/>
  <c r="B22" i="29" l="1"/>
  <c r="F5280" i="27"/>
  <c r="H1309" i="27"/>
  <c r="H672" i="27"/>
  <c r="H251" i="27"/>
  <c r="H250" i="27"/>
  <c r="BE89" i="34"/>
  <c r="BF89" i="34"/>
  <c r="V155" i="1"/>
  <c r="F5281" i="27" l="1"/>
  <c r="H1310" i="27"/>
  <c r="H673" i="27"/>
  <c r="H252" i="27"/>
  <c r="S155" i="1"/>
  <c r="M27" i="1"/>
  <c r="G25" i="29"/>
  <c r="G26" i="29"/>
  <c r="G27" i="29"/>
  <c r="G28" i="29"/>
  <c r="G29" i="29"/>
  <c r="G30" i="29"/>
  <c r="G31" i="29"/>
  <c r="G32" i="29"/>
  <c r="G24" i="29"/>
  <c r="F5283" i="27" l="1"/>
  <c r="F5282" i="27"/>
  <c r="H1312" i="27"/>
  <c r="H1311" i="27"/>
  <c r="H674" i="27"/>
  <c r="H253" i="27"/>
  <c r="P27" i="1"/>
  <c r="P29" i="1"/>
  <c r="F5284" i="27" l="1"/>
  <c r="H1313" i="27"/>
  <c r="H675" i="27"/>
  <c r="H676" i="27"/>
  <c r="H254" i="27"/>
  <c r="J32" i="1"/>
  <c r="F5285" i="27" l="1"/>
  <c r="H1314" i="27"/>
  <c r="H677" i="27"/>
  <c r="H255" i="27"/>
  <c r="F939" i="27"/>
  <c r="F477" i="27"/>
  <c r="F58" i="27"/>
  <c r="F5286" i="27" l="1"/>
  <c r="H1315" i="27"/>
  <c r="E1035" i="27"/>
  <c r="E1034" i="27"/>
  <c r="E1033" i="27"/>
  <c r="E1032" i="27"/>
  <c r="E1031" i="27"/>
  <c r="E1036" i="27"/>
  <c r="H678" i="27"/>
  <c r="E481" i="27"/>
  <c r="E480" i="27"/>
  <c r="E479" i="27"/>
  <c r="E486" i="27"/>
  <c r="E478" i="27"/>
  <c r="E485" i="27"/>
  <c r="E484" i="27"/>
  <c r="E483" i="27"/>
  <c r="E482" i="27"/>
  <c r="H256" i="27"/>
  <c r="H257" i="27"/>
  <c r="E62" i="27"/>
  <c r="E61" i="27"/>
  <c r="E65" i="27"/>
  <c r="E63" i="27"/>
  <c r="E60" i="27"/>
  <c r="E67" i="27"/>
  <c r="E59" i="27"/>
  <c r="E66" i="27"/>
  <c r="E64" i="27"/>
  <c r="W2" i="27"/>
  <c r="L27" i="1"/>
  <c r="F5287" i="27" l="1"/>
  <c r="H1316" i="27"/>
  <c r="H484" i="27"/>
  <c r="H485" i="27" s="1"/>
  <c r="H486" i="27" s="1"/>
  <c r="H487" i="27" s="1"/>
  <c r="H488" i="27" s="1"/>
  <c r="H679" i="27"/>
  <c r="H258" i="27"/>
  <c r="H65" i="27"/>
  <c r="H66" i="27" s="1"/>
  <c r="H67" i="27" s="1"/>
  <c r="H68" i="27" s="1"/>
  <c r="H69" i="27" s="1"/>
  <c r="G33" i="29"/>
  <c r="G23" i="29"/>
  <c r="F5288" i="27" l="1"/>
  <c r="F5289" i="27"/>
  <c r="H1317" i="27"/>
  <c r="H1318" i="27"/>
  <c r="H680" i="27"/>
  <c r="H489" i="27"/>
  <c r="H490" i="27"/>
  <c r="H491" i="27" s="1"/>
  <c r="H492" i="27" s="1"/>
  <c r="H493" i="27" s="1"/>
  <c r="H494" i="27" s="1"/>
  <c r="H259" i="27"/>
  <c r="H70" i="27"/>
  <c r="H71" i="27"/>
  <c r="H72" i="27" s="1"/>
  <c r="H73" i="27" s="1"/>
  <c r="H74" i="27" s="1"/>
  <c r="H75" i="27" s="1"/>
  <c r="N939" i="27"/>
  <c r="AA2" i="27"/>
  <c r="B24" i="29" s="1"/>
  <c r="C477" i="27"/>
  <c r="F5290" i="27" l="1"/>
  <c r="H1319" i="27"/>
  <c r="H682" i="27"/>
  <c r="H681" i="27"/>
  <c r="H496" i="27"/>
  <c r="H497" i="27" s="1"/>
  <c r="H498" i="27" s="1"/>
  <c r="H499" i="27" s="1"/>
  <c r="H500" i="27" s="1"/>
  <c r="H495" i="27"/>
  <c r="H260" i="27"/>
  <c r="H77" i="27"/>
  <c r="H78" i="27" s="1"/>
  <c r="H79" i="27" s="1"/>
  <c r="H80" i="27" s="1"/>
  <c r="H81" i="27" s="1"/>
  <c r="H76" i="27"/>
  <c r="H843" i="27"/>
  <c r="H844" i="27" s="1"/>
  <c r="H845" i="27" s="1"/>
  <c r="H846" i="27" s="1"/>
  <c r="H847" i="27" s="1"/>
  <c r="H848" i="27" s="1"/>
  <c r="H849" i="27" s="1"/>
  <c r="H850" i="27" s="1"/>
  <c r="H851" i="27" s="1"/>
  <c r="H852" i="27" s="1"/>
  <c r="H853" i="27" s="1"/>
  <c r="H854" i="27" s="1"/>
  <c r="H855" i="27" s="1"/>
  <c r="H856" i="27" s="1"/>
  <c r="H857" i="27" s="1"/>
  <c r="H858" i="27" s="1"/>
  <c r="H859" i="27" s="1"/>
  <c r="H860" i="27" s="1"/>
  <c r="H861" i="27" s="1"/>
  <c r="H862" i="27" s="1"/>
  <c r="H863" i="27" s="1"/>
  <c r="H864" i="27" s="1"/>
  <c r="H865" i="27" s="1"/>
  <c r="H866" i="27" s="1"/>
  <c r="H867" i="27" s="1"/>
  <c r="H868" i="27" s="1"/>
  <c r="H869" i="27" s="1"/>
  <c r="H870" i="27" s="1"/>
  <c r="H871" i="27" s="1"/>
  <c r="H872" i="27" s="1"/>
  <c r="H873" i="27" s="1"/>
  <c r="H874" i="27" s="1"/>
  <c r="H875" i="27" s="1"/>
  <c r="H876" i="27" s="1"/>
  <c r="H877" i="27" s="1"/>
  <c r="H878" i="27" s="1"/>
  <c r="H879" i="27" s="1"/>
  <c r="H880" i="27" s="1"/>
  <c r="H881" i="27" s="1"/>
  <c r="H882" i="27" s="1"/>
  <c r="H883" i="27" s="1"/>
  <c r="H884" i="27" s="1"/>
  <c r="H885" i="27" s="1"/>
  <c r="H886" i="27" s="1"/>
  <c r="H887" i="27" s="1"/>
  <c r="H888" i="27" s="1"/>
  <c r="H889" i="27" s="1"/>
  <c r="H890" i="27" s="1"/>
  <c r="H891" i="27" s="1"/>
  <c r="H892" i="27" s="1"/>
  <c r="H893" i="27" s="1"/>
  <c r="H894" i="27" s="1"/>
  <c r="H895" i="27" s="1"/>
  <c r="H896" i="27" s="1"/>
  <c r="H897" i="27" s="1"/>
  <c r="H898" i="27" s="1"/>
  <c r="H899" i="27" s="1"/>
  <c r="H900" i="27" s="1"/>
  <c r="H901" i="27" s="1"/>
  <c r="H902" i="27" s="1"/>
  <c r="H903" i="27" s="1"/>
  <c r="H904" i="27" s="1"/>
  <c r="B843" i="27"/>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4064" i="27"/>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J843" i="27" a="1"/>
  <c r="B908" i="27" l="1"/>
  <c r="B909" i="27" s="1"/>
  <c r="H905" i="27"/>
  <c r="C904" i="27"/>
  <c r="F5291" i="27"/>
  <c r="B4240" i="27"/>
  <c r="H1320" i="27"/>
  <c r="H683" i="27"/>
  <c r="H502" i="27"/>
  <c r="H503" i="27" s="1"/>
  <c r="H504" i="27" s="1"/>
  <c r="H505" i="27" s="1"/>
  <c r="H506" i="27" s="1"/>
  <c r="H501" i="27"/>
  <c r="H261" i="27"/>
  <c r="H83" i="27"/>
  <c r="H84" i="27" s="1"/>
  <c r="H85" i="27" s="1"/>
  <c r="H86" i="27" s="1"/>
  <c r="H87" i="27" s="1"/>
  <c r="H82" i="27"/>
  <c r="J843" i="27"/>
  <c r="G34" i="29"/>
  <c r="G35" i="29"/>
  <c r="G36" i="29"/>
  <c r="G37" i="29"/>
  <c r="G16" i="29"/>
  <c r="G17" i="29"/>
  <c r="G18" i="29"/>
  <c r="G19" i="29"/>
  <c r="G20" i="29"/>
  <c r="G21" i="29"/>
  <c r="G22" i="29"/>
  <c r="G15" i="29"/>
  <c r="P4064" i="27"/>
  <c r="D843" i="27"/>
  <c r="G843" i="27"/>
  <c r="K4064" i="27"/>
  <c r="F843" i="27"/>
  <c r="H906" i="27" l="1"/>
  <c r="C905" i="27"/>
  <c r="B910" i="27"/>
  <c r="B911" i="27" s="1"/>
  <c r="F5292" i="27"/>
  <c r="B4241" i="27"/>
  <c r="H1321" i="27"/>
  <c r="H684" i="27"/>
  <c r="H508" i="27"/>
  <c r="H509" i="27" s="1"/>
  <c r="H510" i="27" s="1"/>
  <c r="H511" i="27" s="1"/>
  <c r="H512" i="27" s="1"/>
  <c r="H507" i="27"/>
  <c r="H263" i="27"/>
  <c r="H262" i="27"/>
  <c r="H89" i="27"/>
  <c r="H90" i="27" s="1"/>
  <c r="H91" i="27" s="1"/>
  <c r="H92" i="27" s="1"/>
  <c r="H93" i="27" s="1"/>
  <c r="H88" i="27"/>
  <c r="G207" i="24"/>
  <c r="G203" i="24"/>
  <c r="G199" i="24"/>
  <c r="G195" i="24"/>
  <c r="G191" i="24"/>
  <c r="G187" i="24"/>
  <c r="G183" i="24"/>
  <c r="G179" i="24"/>
  <c r="G205" i="24"/>
  <c r="G201" i="24"/>
  <c r="G197" i="24"/>
  <c r="G193" i="24"/>
  <c r="G189" i="24"/>
  <c r="G185" i="24"/>
  <c r="G181" i="24"/>
  <c r="B912" i="27" l="1"/>
  <c r="B913" i="27" s="1"/>
  <c r="B914" i="27" s="1"/>
  <c r="B915" i="27" s="1"/>
  <c r="B916" i="27" s="1"/>
  <c r="H907" i="27"/>
  <c r="C906" i="27"/>
  <c r="F5293" i="27"/>
  <c r="B4242" i="27"/>
  <c r="H1322" i="27"/>
  <c r="H685" i="27"/>
  <c r="H513" i="27"/>
  <c r="H514" i="27"/>
  <c r="H515" i="27" s="1"/>
  <c r="H516" i="27" s="1"/>
  <c r="H517" i="27" s="1"/>
  <c r="H518" i="27" s="1"/>
  <c r="H264" i="27"/>
  <c r="H94" i="27"/>
  <c r="H95" i="27"/>
  <c r="H96" i="27" s="1"/>
  <c r="H97" i="27" s="1"/>
  <c r="H98" i="27" s="1"/>
  <c r="H99" i="27" s="1"/>
  <c r="I414" i="16"/>
  <c r="H908" i="27" l="1"/>
  <c r="C907" i="27"/>
  <c r="B917" i="27"/>
  <c r="B918" i="27" s="1"/>
  <c r="F5295" i="27"/>
  <c r="F5294" i="27"/>
  <c r="B4243" i="27"/>
  <c r="H1324" i="27"/>
  <c r="H1323" i="27"/>
  <c r="H686" i="27"/>
  <c r="H520" i="27"/>
  <c r="H521" i="27" s="1"/>
  <c r="H522" i="27" s="1"/>
  <c r="H523" i="27" s="1"/>
  <c r="H524" i="27" s="1"/>
  <c r="H519" i="27"/>
  <c r="H265" i="27"/>
  <c r="H101" i="27"/>
  <c r="H102" i="27" s="1"/>
  <c r="H103" i="27" s="1"/>
  <c r="H104" i="27" s="1"/>
  <c r="H105" i="27" s="1"/>
  <c r="H100" i="27"/>
  <c r="H414" i="16"/>
  <c r="I843" i="27"/>
  <c r="R843" i="27"/>
  <c r="T843" i="27"/>
  <c r="U843" i="27"/>
  <c r="Q843" i="27"/>
  <c r="L843" i="27"/>
  <c r="N843" i="27"/>
  <c r="O843" i="27"/>
  <c r="V843" i="27"/>
  <c r="B919" i="27" l="1"/>
  <c r="B920" i="27" s="1"/>
  <c r="H909" i="27"/>
  <c r="C908" i="27"/>
  <c r="F5296" i="27"/>
  <c r="B4244" i="27"/>
  <c r="H1325" i="27"/>
  <c r="H688" i="27"/>
  <c r="H687" i="27"/>
  <c r="H526" i="27"/>
  <c r="H527" i="27" s="1"/>
  <c r="H528" i="27" s="1"/>
  <c r="H529" i="27" s="1"/>
  <c r="H530" i="27" s="1"/>
  <c r="H525" i="27"/>
  <c r="H266" i="27"/>
  <c r="H107" i="27"/>
  <c r="H108" i="27" s="1"/>
  <c r="H109" i="27" s="1"/>
  <c r="H110" i="27" s="1"/>
  <c r="H111" i="27" s="1"/>
  <c r="H106" i="27"/>
  <c r="BB9" i="33"/>
  <c r="BA9" i="33"/>
  <c r="L1301" i="27"/>
  <c r="J1302" i="27"/>
  <c r="L1303" i="27"/>
  <c r="J1305" i="27"/>
  <c r="L1302" i="27"/>
  <c r="J1301" i="27"/>
  <c r="L1305" i="27"/>
  <c r="L1300" i="27"/>
  <c r="J1303" i="27"/>
  <c r="J1304" i="27"/>
  <c r="L1304" i="27"/>
  <c r="H910" i="27" l="1"/>
  <c r="C909" i="27"/>
  <c r="B921" i="27"/>
  <c r="B922" i="27" s="1"/>
  <c r="B923" i="27" s="1"/>
  <c r="F5297" i="27"/>
  <c r="B4245" i="27"/>
  <c r="H1326" i="27"/>
  <c r="H689" i="27"/>
  <c r="H532" i="27"/>
  <c r="H533" i="27" s="1"/>
  <c r="H534" i="27" s="1"/>
  <c r="H535" i="27" s="1"/>
  <c r="H536" i="27" s="1"/>
  <c r="H531" i="27"/>
  <c r="H267" i="27"/>
  <c r="H113" i="27"/>
  <c r="H114" i="27" s="1"/>
  <c r="H115" i="27" s="1"/>
  <c r="H116" i="27" s="1"/>
  <c r="H117" i="27" s="1"/>
  <c r="H112" i="27"/>
  <c r="BA11" i="33"/>
  <c r="BA13" i="33" s="1"/>
  <c r="K1301" i="27"/>
  <c r="AB9" i="33"/>
  <c r="BD13" i="33"/>
  <c r="BC9" i="33"/>
  <c r="O9" i="33"/>
  <c r="K1303" i="27"/>
  <c r="K1305" i="27"/>
  <c r="AK9" i="33"/>
  <c r="AE9" i="33"/>
  <c r="F904" i="27"/>
  <c r="E905" i="27"/>
  <c r="K1304" i="27"/>
  <c r="E904" i="27"/>
  <c r="O10" i="33"/>
  <c r="K1302" i="27"/>
  <c r="Y9" i="33"/>
  <c r="BD9" i="33"/>
  <c r="AH9" i="33"/>
  <c r="H911" i="27" l="1"/>
  <c r="C910" i="27"/>
  <c r="F5298" i="27"/>
  <c r="B4246" i="27"/>
  <c r="H1327" i="27"/>
  <c r="B924" i="27"/>
  <c r="H690" i="27"/>
  <c r="H537" i="27"/>
  <c r="H538" i="27"/>
  <c r="H539" i="27" s="1"/>
  <c r="H540" i="27" s="1"/>
  <c r="H541" i="27" s="1"/>
  <c r="H542" i="27" s="1"/>
  <c r="H268" i="27"/>
  <c r="H269" i="27"/>
  <c r="H118" i="27"/>
  <c r="H119" i="27"/>
  <c r="H120" i="27" s="1"/>
  <c r="H121" i="27" s="1"/>
  <c r="H122" i="27" s="1"/>
  <c r="H123" i="27" s="1"/>
  <c r="AV9" i="33" a="1"/>
  <c r="AV9" i="33" s="1"/>
  <c r="BA15" i="33"/>
  <c r="F906" i="27"/>
  <c r="I1303" i="27"/>
  <c r="F905" i="27"/>
  <c r="BD11" i="33"/>
  <c r="J1300" i="27"/>
  <c r="I1305" i="27"/>
  <c r="E906" i="27"/>
  <c r="K1300" i="27"/>
  <c r="G9" i="33"/>
  <c r="I1304" i="27"/>
  <c r="H912" i="27" l="1"/>
  <c r="C911" i="27"/>
  <c r="A1304" i="27"/>
  <c r="A1303" i="27"/>
  <c r="A1305" i="27"/>
  <c r="F5299" i="27"/>
  <c r="B4247" i="27"/>
  <c r="H1328" i="27"/>
  <c r="B925" i="27"/>
  <c r="H691" i="27"/>
  <c r="H544" i="27"/>
  <c r="H545" i="27" s="1"/>
  <c r="H546" i="27" s="1"/>
  <c r="H547" i="27" s="1"/>
  <c r="H548" i="27" s="1"/>
  <c r="H543" i="27"/>
  <c r="H270" i="27"/>
  <c r="H125" i="27"/>
  <c r="H126" i="27" s="1"/>
  <c r="H127" i="27" s="1"/>
  <c r="H128" i="27" s="1"/>
  <c r="H129" i="27" s="1"/>
  <c r="H124" i="27"/>
  <c r="AV13" i="33" a="1"/>
  <c r="AV13" i="33" s="1"/>
  <c r="BA17" i="33"/>
  <c r="D904" i="27"/>
  <c r="G11" i="33"/>
  <c r="G13" i="33"/>
  <c r="I1301" i="27"/>
  <c r="E907" i="27"/>
  <c r="I1302" i="27"/>
  <c r="BD17" i="33"/>
  <c r="F907" i="27"/>
  <c r="I1300" i="27"/>
  <c r="E908" i="27"/>
  <c r="BD15" i="33"/>
  <c r="H913" i="27" l="1"/>
  <c r="C912" i="27"/>
  <c r="A1300" i="27"/>
  <c r="A1302" i="27"/>
  <c r="A1301" i="27"/>
  <c r="F5300" i="27"/>
  <c r="F5301" i="27"/>
  <c r="B4248" i="27"/>
  <c r="H1329" i="27"/>
  <c r="H1330" i="27"/>
  <c r="B926" i="27"/>
  <c r="H692" i="27"/>
  <c r="H550" i="27"/>
  <c r="H551" i="27" s="1"/>
  <c r="H552" i="27" s="1"/>
  <c r="H553" i="27" s="1"/>
  <c r="H554" i="27" s="1"/>
  <c r="H549" i="27"/>
  <c r="H271" i="27"/>
  <c r="H131" i="27"/>
  <c r="H132" i="27" s="1"/>
  <c r="H133" i="27" s="1"/>
  <c r="H134" i="27" s="1"/>
  <c r="H135" i="27" s="1"/>
  <c r="H130" i="27"/>
  <c r="BA19" i="33"/>
  <c r="C4064" i="27"/>
  <c r="C2499" i="27"/>
  <c r="C1666" i="27"/>
  <c r="F908" i="27"/>
  <c r="G15" i="33"/>
  <c r="D906" i="27"/>
  <c r="D905" i="27"/>
  <c r="BD19" i="33"/>
  <c r="C913" i="27" l="1"/>
  <c r="H914" i="27"/>
  <c r="F5302" i="27"/>
  <c r="B4249" i="27"/>
  <c r="H1331" i="27"/>
  <c r="B927" i="27"/>
  <c r="H693" i="27"/>
  <c r="H694" i="27"/>
  <c r="H556" i="27"/>
  <c r="H557" i="27" s="1"/>
  <c r="H558" i="27" s="1"/>
  <c r="H559" i="27" s="1"/>
  <c r="H560" i="27" s="1"/>
  <c r="H555" i="27"/>
  <c r="H272" i="27"/>
  <c r="H137" i="27"/>
  <c r="H138" i="27" s="1"/>
  <c r="H139" i="27" s="1"/>
  <c r="H140" i="27" s="1"/>
  <c r="H141" i="27" s="1"/>
  <c r="H136" i="27"/>
  <c r="AV17" i="33" a="1"/>
  <c r="AV17" i="33" s="1"/>
  <c r="BA21" i="33"/>
  <c r="AG9" i="31"/>
  <c r="AH9" i="31"/>
  <c r="U621" i="32"/>
  <c r="U316" i="32"/>
  <c r="M660" i="27"/>
  <c r="D907" i="27"/>
  <c r="E910" i="27"/>
  <c r="N659" i="27"/>
  <c r="G17" i="33"/>
  <c r="AI9" i="31"/>
  <c r="F909" i="27"/>
  <c r="M661" i="27"/>
  <c r="H915" i="27" l="1"/>
  <c r="C914" i="27"/>
  <c r="F5303" i="27"/>
  <c r="B4250" i="27"/>
  <c r="H1332" i="27"/>
  <c r="B928" i="27"/>
  <c r="H695" i="27"/>
  <c r="H561" i="27"/>
  <c r="H562" i="27"/>
  <c r="H563" i="27" s="1"/>
  <c r="H564" i="27" s="1"/>
  <c r="H565" i="27" s="1"/>
  <c r="H566" i="27" s="1"/>
  <c r="H273" i="27"/>
  <c r="H142" i="27"/>
  <c r="H143" i="27"/>
  <c r="H144" i="27" s="1"/>
  <c r="H145" i="27" s="1"/>
  <c r="H146" i="27" s="1"/>
  <c r="H147" i="27" s="1"/>
  <c r="U623" i="32"/>
  <c r="U318" i="32"/>
  <c r="BA23" i="33"/>
  <c r="U10" i="32"/>
  <c r="D908" i="27"/>
  <c r="E9" i="31"/>
  <c r="J658" i="27"/>
  <c r="N658" i="27"/>
  <c r="M658" i="27"/>
  <c r="I661" i="27"/>
  <c r="F910" i="27"/>
  <c r="J659" i="27"/>
  <c r="N660" i="27"/>
  <c r="I660" i="27"/>
  <c r="J661" i="27"/>
  <c r="I658" i="27"/>
  <c r="M659" i="27"/>
  <c r="J660" i="27"/>
  <c r="BD21" i="33"/>
  <c r="I659" i="27"/>
  <c r="N661" i="27"/>
  <c r="H916" i="27" l="1"/>
  <c r="C915" i="27"/>
  <c r="F5304" i="27"/>
  <c r="B4251" i="27"/>
  <c r="H1333" i="27"/>
  <c r="B929" i="27"/>
  <c r="H696" i="27"/>
  <c r="H568" i="27"/>
  <c r="H569" i="27" s="1"/>
  <c r="H570" i="27" s="1"/>
  <c r="H571" i="27" s="1"/>
  <c r="H572" i="27" s="1"/>
  <c r="H567" i="27"/>
  <c r="H275" i="27"/>
  <c r="H274" i="27"/>
  <c r="H149" i="27"/>
  <c r="H150" i="27" s="1"/>
  <c r="H151" i="27" s="1"/>
  <c r="H152" i="27" s="1"/>
  <c r="H153" i="27" s="1"/>
  <c r="H148" i="27"/>
  <c r="BA25" i="33"/>
  <c r="U320" i="32"/>
  <c r="U625" i="32"/>
  <c r="U12" i="32"/>
  <c r="G1594" i="27"/>
  <c r="G316" i="32"/>
  <c r="G1595" i="27"/>
  <c r="BD23" i="33"/>
  <c r="G1597" i="27"/>
  <c r="F911" i="27"/>
  <c r="E911" i="27"/>
  <c r="G21" i="33"/>
  <c r="G621" i="32"/>
  <c r="X9" i="31"/>
  <c r="G1596" i="27"/>
  <c r="H917" i="27" l="1"/>
  <c r="C916" i="27"/>
  <c r="F5305" i="27"/>
  <c r="B4252" i="27"/>
  <c r="H1334" i="27"/>
  <c r="B930" i="27"/>
  <c r="H697" i="27"/>
  <c r="H574" i="27"/>
  <c r="H575" i="27" s="1"/>
  <c r="H576" i="27" s="1"/>
  <c r="H577" i="27" s="1"/>
  <c r="H578" i="27" s="1"/>
  <c r="H573" i="27"/>
  <c r="H276" i="27"/>
  <c r="H155" i="27"/>
  <c r="H156" i="27" s="1"/>
  <c r="H157" i="27" s="1"/>
  <c r="H158" i="27" s="1"/>
  <c r="H159" i="27" s="1"/>
  <c r="H154" i="27"/>
  <c r="AV23" i="33" a="1"/>
  <c r="AV23" i="33" s="1"/>
  <c r="S108" i="24"/>
  <c r="U627" i="32"/>
  <c r="U14" i="32"/>
  <c r="U322" i="32"/>
  <c r="U324" i="32" s="1"/>
  <c r="BA27" i="33"/>
  <c r="AZ9" i="34"/>
  <c r="AY9" i="34"/>
  <c r="G10" i="32"/>
  <c r="K660" i="27"/>
  <c r="K659" i="27"/>
  <c r="K661" i="27"/>
  <c r="BC9" i="34"/>
  <c r="BB9" i="34"/>
  <c r="G623" i="32"/>
  <c r="E912" i="27"/>
  <c r="BD25" i="33"/>
  <c r="K5276" i="27"/>
  <c r="J5272" i="27"/>
  <c r="G23" i="33"/>
  <c r="K658" i="27"/>
  <c r="D910" i="27"/>
  <c r="G318" i="32"/>
  <c r="F912" i="27"/>
  <c r="BD27" i="33"/>
  <c r="I5272" i="27"/>
  <c r="H918" i="27" l="1"/>
  <c r="C917" i="27"/>
  <c r="A660" i="27"/>
  <c r="A661" i="27"/>
  <c r="A659" i="27"/>
  <c r="A658" i="27"/>
  <c r="F5306" i="27"/>
  <c r="F5307" i="27"/>
  <c r="B4253" i="27"/>
  <c r="H1335" i="27"/>
  <c r="H1336" i="27"/>
  <c r="B931" i="27"/>
  <c r="H698" i="27"/>
  <c r="H580" i="27"/>
  <c r="H581" i="27" s="1"/>
  <c r="H582" i="27" s="1"/>
  <c r="H583" i="27" s="1"/>
  <c r="H584" i="27" s="1"/>
  <c r="H579" i="27"/>
  <c r="H277" i="27"/>
  <c r="H160" i="27"/>
  <c r="H161" i="27"/>
  <c r="H162" i="27" s="1"/>
  <c r="H163" i="27" s="1"/>
  <c r="H164" i="27" s="1"/>
  <c r="H165" i="27" s="1"/>
  <c r="BA29" i="33"/>
  <c r="U326" i="32"/>
  <c r="U16" i="32"/>
  <c r="U629" i="32"/>
  <c r="AY10" i="34"/>
  <c r="AH11" i="31"/>
  <c r="D911" i="27"/>
  <c r="G25" i="33"/>
  <c r="F913" i="27"/>
  <c r="K5271" i="27"/>
  <c r="G12" i="32"/>
  <c r="J5275" i="27"/>
  <c r="E913" i="27"/>
  <c r="I5273" i="27"/>
  <c r="H5273" i="27"/>
  <c r="H5276" i="27"/>
  <c r="I5271" i="27"/>
  <c r="G625" i="32"/>
  <c r="G320" i="32"/>
  <c r="K5273" i="27"/>
  <c r="H5274" i="27"/>
  <c r="H5275" i="27"/>
  <c r="K5272" i="27"/>
  <c r="J5276" i="27"/>
  <c r="K5274" i="27"/>
  <c r="I5275" i="27"/>
  <c r="I5274" i="27"/>
  <c r="J5271" i="27"/>
  <c r="E914" i="27"/>
  <c r="J5273" i="27"/>
  <c r="BD9" i="34"/>
  <c r="I5276" i="27"/>
  <c r="H5271" i="27"/>
  <c r="J5274" i="27"/>
  <c r="K5275" i="27"/>
  <c r="H5272" i="27"/>
  <c r="H919" i="27" l="1"/>
  <c r="C918" i="27"/>
  <c r="A5272" i="27"/>
  <c r="A5275" i="27"/>
  <c r="A5276" i="27"/>
  <c r="A5274" i="27"/>
  <c r="A5271" i="27"/>
  <c r="A5273" i="27"/>
  <c r="F5308" i="27"/>
  <c r="B4254" i="27"/>
  <c r="H1337" i="27"/>
  <c r="B932" i="27"/>
  <c r="H700" i="27"/>
  <c r="H699" i="27"/>
  <c r="H585" i="27"/>
  <c r="H586" i="27"/>
  <c r="H587" i="27" s="1"/>
  <c r="H588" i="27" s="1"/>
  <c r="H589" i="27" s="1"/>
  <c r="H590" i="27" s="1"/>
  <c r="H278" i="27"/>
  <c r="H166" i="27"/>
  <c r="H167" i="27"/>
  <c r="H168" i="27" s="1"/>
  <c r="H169" i="27" s="1"/>
  <c r="H170" i="27" s="1"/>
  <c r="H171" i="27" s="1"/>
  <c r="U18" i="32"/>
  <c r="AY11" i="34"/>
  <c r="U631" i="32"/>
  <c r="U328" i="32"/>
  <c r="BA31" i="33"/>
  <c r="AH13" i="31"/>
  <c r="G324" i="32"/>
  <c r="D912" i="27"/>
  <c r="F914" i="27"/>
  <c r="G14" i="32"/>
  <c r="BD10" i="34"/>
  <c r="G27" i="33"/>
  <c r="E13" i="31"/>
  <c r="G31" i="33"/>
  <c r="E915" i="27"/>
  <c r="G627" i="32"/>
  <c r="BC10" i="34"/>
  <c r="BC11" i="34"/>
  <c r="AI11" i="31"/>
  <c r="BB10" i="34"/>
  <c r="BD29" i="33"/>
  <c r="H920" i="27" l="1"/>
  <c r="C919" i="27"/>
  <c r="F5309" i="27"/>
  <c r="B4255" i="27"/>
  <c r="H1338" i="27"/>
  <c r="B933" i="27"/>
  <c r="H701" i="27"/>
  <c r="H592" i="27"/>
  <c r="H593" i="27" s="1"/>
  <c r="H594" i="27" s="1"/>
  <c r="H595" i="27" s="1"/>
  <c r="H596" i="27" s="1"/>
  <c r="H591" i="27"/>
  <c r="H279" i="27"/>
  <c r="H173" i="27"/>
  <c r="H174" i="27" s="1"/>
  <c r="H175" i="27" s="1"/>
  <c r="H176" i="27" s="1"/>
  <c r="H177" i="27" s="1"/>
  <c r="H172" i="27"/>
  <c r="U20" i="32"/>
  <c r="U22" i="32" s="1"/>
  <c r="AY12" i="34"/>
  <c r="AY13" i="34" s="1"/>
  <c r="BA33" i="33"/>
  <c r="U330" i="32"/>
  <c r="U633" i="32"/>
  <c r="AH15" i="31"/>
  <c r="BB11" i="34"/>
  <c r="A14" i="32"/>
  <c r="A318" i="32"/>
  <c r="A324" i="32"/>
  <c r="A326" i="32"/>
  <c r="A631" i="32"/>
  <c r="A328" i="32"/>
  <c r="A627" i="32"/>
  <c r="BD33" i="33"/>
  <c r="A10" i="32"/>
  <c r="F915" i="27"/>
  <c r="G326" i="32"/>
  <c r="A625" i="32"/>
  <c r="A623" i="32"/>
  <c r="A12" i="32"/>
  <c r="BD31" i="33"/>
  <c r="A320" i="32"/>
  <c r="G29" i="33"/>
  <c r="A22" i="32"/>
  <c r="A621" i="32"/>
  <c r="BD11" i="34"/>
  <c r="D913" i="27"/>
  <c r="E15" i="31"/>
  <c r="A316" i="32"/>
  <c r="A16" i="32"/>
  <c r="A18" i="32"/>
  <c r="AI13" i="31"/>
  <c r="H921" i="27" l="1"/>
  <c r="C920" i="27"/>
  <c r="F5310" i="27"/>
  <c r="I3703" i="27"/>
  <c r="E3702" i="27"/>
  <c r="H3703" i="27"/>
  <c r="N3703" i="27"/>
  <c r="O3703" i="27"/>
  <c r="E3703" i="27"/>
  <c r="P3703" i="27"/>
  <c r="J3703" i="27"/>
  <c r="G3703" i="27"/>
  <c r="I3700" i="27"/>
  <c r="E3700" i="27"/>
  <c r="N3701" i="27"/>
  <c r="E3701" i="27"/>
  <c r="P3700" i="27"/>
  <c r="H3700" i="27"/>
  <c r="O3700" i="27"/>
  <c r="G3700" i="27"/>
  <c r="G3701" i="27"/>
  <c r="O3702" i="27"/>
  <c r="H3702" i="27"/>
  <c r="N3700" i="27"/>
  <c r="P3701" i="27"/>
  <c r="N3702" i="27"/>
  <c r="O3701" i="27"/>
  <c r="I3701" i="27"/>
  <c r="I3702" i="27"/>
  <c r="H3701" i="27"/>
  <c r="P3702" i="27"/>
  <c r="G3702" i="27"/>
  <c r="K2504" i="27"/>
  <c r="B4256" i="27"/>
  <c r="J1969" i="27"/>
  <c r="G1969" i="27"/>
  <c r="E1967" i="27"/>
  <c r="E1969" i="27"/>
  <c r="E1968" i="27"/>
  <c r="G1967" i="27"/>
  <c r="O1967" i="27"/>
  <c r="L1967" i="27"/>
  <c r="O1968" i="27"/>
  <c r="H1967" i="27"/>
  <c r="L1968" i="27"/>
  <c r="I1969" i="27"/>
  <c r="G1968" i="27"/>
  <c r="O1969" i="27"/>
  <c r="N1967" i="27"/>
  <c r="N1968" i="27"/>
  <c r="L1969" i="27"/>
  <c r="J1968" i="27"/>
  <c r="I1967" i="27"/>
  <c r="I1968" i="27"/>
  <c r="H1968" i="27"/>
  <c r="N1969" i="27"/>
  <c r="J1967" i="27"/>
  <c r="H1969" i="27"/>
  <c r="J2423" i="27"/>
  <c r="H2421" i="27"/>
  <c r="E2422" i="27"/>
  <c r="O2425" i="27"/>
  <c r="J2421" i="27"/>
  <c r="G2422" i="27"/>
  <c r="I2425" i="27"/>
  <c r="L2425" i="27"/>
  <c r="O2421" i="27"/>
  <c r="L2422" i="27"/>
  <c r="N2425" i="27"/>
  <c r="L2421" i="27"/>
  <c r="I2422" i="27"/>
  <c r="N2423" i="27"/>
  <c r="H2425" i="27"/>
  <c r="N2421" i="27"/>
  <c r="G2425" i="27"/>
  <c r="H2423" i="27"/>
  <c r="I2421" i="27"/>
  <c r="J2422" i="27"/>
  <c r="H2422" i="27"/>
  <c r="O2422" i="27"/>
  <c r="I2423" i="27"/>
  <c r="G2423" i="27"/>
  <c r="N2422" i="27"/>
  <c r="G2421" i="27"/>
  <c r="O2423" i="27"/>
  <c r="E2421" i="27"/>
  <c r="E2423" i="27"/>
  <c r="L2423" i="27"/>
  <c r="L2424" i="27"/>
  <c r="H1339" i="27"/>
  <c r="H702" i="27"/>
  <c r="H598" i="27"/>
  <c r="H599" i="27" s="1"/>
  <c r="H600" i="27" s="1"/>
  <c r="H601" i="27" s="1"/>
  <c r="H602" i="27" s="1"/>
  <c r="H597" i="27"/>
  <c r="H280" i="27"/>
  <c r="H281" i="27"/>
  <c r="H179" i="27"/>
  <c r="H180" i="27" s="1"/>
  <c r="H181" i="27" s="1"/>
  <c r="H182" i="27" s="1"/>
  <c r="H183" i="27" s="1"/>
  <c r="H178" i="27"/>
  <c r="U332" i="32"/>
  <c r="U334" i="32" s="1"/>
  <c r="G2499" i="27"/>
  <c r="E2499" i="27"/>
  <c r="O2499" i="27"/>
  <c r="M2499" i="27"/>
  <c r="A2499" i="27" s="1"/>
  <c r="U24" i="32"/>
  <c r="U635" i="32"/>
  <c r="BA35" i="33"/>
  <c r="N2499" i="27"/>
  <c r="AH17" i="31"/>
  <c r="AY14" i="34"/>
  <c r="BB12" i="34"/>
  <c r="D914" i="27"/>
  <c r="E17" i="31"/>
  <c r="BC12" i="34"/>
  <c r="A633" i="32"/>
  <c r="A20" i="32"/>
  <c r="BD35" i="33"/>
  <c r="G631" i="32"/>
  <c r="BB13" i="34"/>
  <c r="G20" i="32"/>
  <c r="F916" i="27"/>
  <c r="BD12" i="34"/>
  <c r="G18" i="32"/>
  <c r="G328" i="32"/>
  <c r="BC13" i="34"/>
  <c r="A635" i="32"/>
  <c r="BD13" i="34"/>
  <c r="A334" i="32"/>
  <c r="AI15" i="31"/>
  <c r="BD14" i="34"/>
  <c r="H2426" i="27" l="1"/>
  <c r="N2426" i="27"/>
  <c r="I2426" i="27"/>
  <c r="G2426" i="27"/>
  <c r="H922" i="27"/>
  <c r="C921" i="27"/>
  <c r="F5311" i="27"/>
  <c r="B4257" i="27"/>
  <c r="E2426" i="27"/>
  <c r="N2427" i="27"/>
  <c r="I2427" i="27"/>
  <c r="G2427" i="27"/>
  <c r="L2427" i="27"/>
  <c r="L2426" i="27"/>
  <c r="E2425" i="27"/>
  <c r="O2424" i="27"/>
  <c r="H2427" i="27"/>
  <c r="O2427" i="27"/>
  <c r="O2426" i="27"/>
  <c r="N2424" i="27"/>
  <c r="H1340" i="27"/>
  <c r="H703" i="27"/>
  <c r="H604" i="27"/>
  <c r="H605" i="27" s="1"/>
  <c r="H606" i="27" s="1"/>
  <c r="H607" i="27" s="1"/>
  <c r="H608" i="27" s="1"/>
  <c r="H603" i="27"/>
  <c r="H282" i="27"/>
  <c r="H185" i="27"/>
  <c r="H186" i="27" s="1"/>
  <c r="H187" i="27" s="1"/>
  <c r="H188" i="27" s="1"/>
  <c r="H189" i="27" s="1"/>
  <c r="H184" i="27"/>
  <c r="BA37" i="33"/>
  <c r="U336" i="32"/>
  <c r="U637" i="32"/>
  <c r="U26" i="32"/>
  <c r="AH19" i="31"/>
  <c r="AY15" i="34"/>
  <c r="O58" i="27"/>
  <c r="AI9" i="30"/>
  <c r="AJ9" i="30"/>
  <c r="N240" i="27"/>
  <c r="AI19" i="31"/>
  <c r="I240" i="27"/>
  <c r="F917" i="27"/>
  <c r="G35" i="33"/>
  <c r="I241" i="27"/>
  <c r="G22" i="32"/>
  <c r="A24" i="32"/>
  <c r="A336" i="32"/>
  <c r="A26" i="32"/>
  <c r="E918" i="27"/>
  <c r="BD37" i="33"/>
  <c r="E917" i="27"/>
  <c r="BB14" i="34"/>
  <c r="AI17" i="31"/>
  <c r="D915" i="27"/>
  <c r="A332" i="32"/>
  <c r="AL9" i="30"/>
  <c r="BC14" i="34"/>
  <c r="G633" i="32"/>
  <c r="BB15" i="34"/>
  <c r="A637" i="32"/>
  <c r="H923" i="27" l="1"/>
  <c r="C922" i="27"/>
  <c r="F5313" i="27"/>
  <c r="F5312" i="27"/>
  <c r="B4258" i="27"/>
  <c r="E2427" i="27"/>
  <c r="L2428" i="27"/>
  <c r="O2428" i="27"/>
  <c r="J2428" i="27"/>
  <c r="H2428" i="27"/>
  <c r="N2428" i="27"/>
  <c r="I2428" i="27"/>
  <c r="G2428" i="27"/>
  <c r="H1341" i="27"/>
  <c r="H1342" i="27"/>
  <c r="H704" i="27"/>
  <c r="H609" i="27"/>
  <c r="H610" i="27"/>
  <c r="H611" i="27" s="1"/>
  <c r="H612" i="27" s="1"/>
  <c r="H613" i="27" s="1"/>
  <c r="H614" i="27" s="1"/>
  <c r="H283" i="27"/>
  <c r="H190" i="27"/>
  <c r="H191" i="27"/>
  <c r="H192" i="27" s="1"/>
  <c r="H193" i="27" s="1"/>
  <c r="H194" i="27" s="1"/>
  <c r="H195" i="27" s="1"/>
  <c r="AJ11" i="30"/>
  <c r="U28" i="32"/>
  <c r="U639" i="32"/>
  <c r="U338" i="32"/>
  <c r="BA39" i="33"/>
  <c r="AH21" i="31"/>
  <c r="AY16" i="34"/>
  <c r="M239" i="27"/>
  <c r="T919" i="27"/>
  <c r="G332" i="32"/>
  <c r="A338" i="32"/>
  <c r="L919" i="27"/>
  <c r="A639" i="32"/>
  <c r="N241" i="27"/>
  <c r="I239" i="27"/>
  <c r="G334" i="32"/>
  <c r="A28" i="32"/>
  <c r="BC16" i="34"/>
  <c r="J241" i="27"/>
  <c r="G919" i="27"/>
  <c r="F918" i="27"/>
  <c r="J240" i="27"/>
  <c r="J239" i="27"/>
  <c r="G635" i="32"/>
  <c r="AL11" i="30"/>
  <c r="BC15" i="34"/>
  <c r="N239" i="27"/>
  <c r="M241" i="27"/>
  <c r="M240" i="27"/>
  <c r="E919" i="27"/>
  <c r="G24" i="32"/>
  <c r="BD15" i="34"/>
  <c r="AK9" i="30"/>
  <c r="H924" i="27" l="1"/>
  <c r="C923" i="27"/>
  <c r="F5314" i="27"/>
  <c r="B4259" i="27"/>
  <c r="E2428" i="27"/>
  <c r="G2429" i="27"/>
  <c r="H1343" i="27"/>
  <c r="H705" i="27"/>
  <c r="H706" i="27"/>
  <c r="H616" i="27"/>
  <c r="H617" i="27" s="1"/>
  <c r="H618" i="27" s="1"/>
  <c r="H619" i="27" s="1"/>
  <c r="H620" i="27" s="1"/>
  <c r="H615" i="27"/>
  <c r="H284" i="27"/>
  <c r="H197" i="27"/>
  <c r="H198" i="27" s="1"/>
  <c r="H199" i="27" s="1"/>
  <c r="H200" i="27" s="1"/>
  <c r="H201" i="27" s="1"/>
  <c r="H196" i="27"/>
  <c r="BA41" i="33"/>
  <c r="U340" i="32"/>
  <c r="U641" i="32"/>
  <c r="U30" i="32"/>
  <c r="AJ13" i="30"/>
  <c r="AH23" i="31"/>
  <c r="AY17" i="34"/>
  <c r="J919" i="27" a="1"/>
  <c r="U919" i="27"/>
  <c r="O919" i="27"/>
  <c r="AI21" i="31"/>
  <c r="G336" i="32"/>
  <c r="AI23" i="31"/>
  <c r="N919" i="27"/>
  <c r="P919" i="27"/>
  <c r="D917" i="27"/>
  <c r="V919" i="27"/>
  <c r="BD16" i="34"/>
  <c r="BD39" i="33"/>
  <c r="F919" i="27"/>
  <c r="I919" i="27"/>
  <c r="BC17" i="34"/>
  <c r="R919" i="27"/>
  <c r="Q919" i="27"/>
  <c r="G637" i="32"/>
  <c r="H925" i="27" l="1"/>
  <c r="C924" i="27"/>
  <c r="F5315" i="27"/>
  <c r="B4260" i="27"/>
  <c r="G2430" i="27"/>
  <c r="L2430" i="27"/>
  <c r="O2430" i="27"/>
  <c r="I2430" i="27"/>
  <c r="N2430" i="27"/>
  <c r="H1344" i="27"/>
  <c r="J919" i="27"/>
  <c r="A919" i="27" s="1"/>
  <c r="H707" i="27"/>
  <c r="H622" i="27"/>
  <c r="H623" i="27" s="1"/>
  <c r="H624" i="27" s="1"/>
  <c r="H625" i="27" s="1"/>
  <c r="H626" i="27" s="1"/>
  <c r="H621" i="27"/>
  <c r="H285" i="27"/>
  <c r="H203" i="27"/>
  <c r="H204" i="27" s="1"/>
  <c r="H205" i="27" s="1"/>
  <c r="H206" i="27" s="1"/>
  <c r="H207" i="27" s="1"/>
  <c r="H202" i="27"/>
  <c r="AV39" i="33" a="1"/>
  <c r="AV39" i="33" s="1"/>
  <c r="AU39" i="33"/>
  <c r="C1221" i="32" s="1"/>
  <c r="U342" i="32"/>
  <c r="U344" i="32" s="1"/>
  <c r="AJ15" i="30"/>
  <c r="U32" i="32"/>
  <c r="U643" i="32"/>
  <c r="BA43" i="33"/>
  <c r="AH25" i="31"/>
  <c r="AY18" i="34"/>
  <c r="A30" i="32"/>
  <c r="BD18" i="34"/>
  <c r="BD41" i="33"/>
  <c r="Q920" i="27"/>
  <c r="T920" i="27"/>
  <c r="K240" i="27"/>
  <c r="K241" i="27"/>
  <c r="A344" i="32"/>
  <c r="U920" i="27"/>
  <c r="AI25" i="31"/>
  <c r="AL15" i="30"/>
  <c r="V920" i="27"/>
  <c r="K239" i="27"/>
  <c r="G921" i="27"/>
  <c r="BD17" i="34"/>
  <c r="G639" i="32"/>
  <c r="D918" i="27"/>
  <c r="V921" i="27"/>
  <c r="P920" i="27"/>
  <c r="G39" i="33"/>
  <c r="BD43" i="33"/>
  <c r="AL13" i="30"/>
  <c r="G338" i="32"/>
  <c r="G28" i="32"/>
  <c r="A643" i="32"/>
  <c r="H926" i="27" l="1"/>
  <c r="C925" i="27"/>
  <c r="A241" i="27"/>
  <c r="T241" i="27" s="1"/>
  <c r="A239" i="27"/>
  <c r="T239" i="27" s="1"/>
  <c r="A240" i="27"/>
  <c r="T240" i="27" s="1"/>
  <c r="F5316" i="27"/>
  <c r="B4261" i="27"/>
  <c r="I2431" i="27"/>
  <c r="G2431" i="27"/>
  <c r="O2431" i="27"/>
  <c r="L2431" i="27"/>
  <c r="N2431" i="27"/>
  <c r="E2430" i="27"/>
  <c r="H1345" i="27"/>
  <c r="H708" i="27"/>
  <c r="H628" i="27"/>
  <c r="H629" i="27" s="1"/>
  <c r="H630" i="27" s="1"/>
  <c r="H631" i="27" s="1"/>
  <c r="H632" i="27" s="1"/>
  <c r="H627" i="27"/>
  <c r="H287" i="27"/>
  <c r="H286" i="27"/>
  <c r="H209" i="27"/>
  <c r="H210" i="27" s="1"/>
  <c r="H211" i="27" s="1"/>
  <c r="H212" i="27" s="1"/>
  <c r="H213" i="27" s="1"/>
  <c r="H208" i="27"/>
  <c r="C1245" i="32"/>
  <c r="C1233" i="32"/>
  <c r="C1243" i="32"/>
  <c r="C1239" i="32"/>
  <c r="C1231" i="32"/>
  <c r="C1235" i="32"/>
  <c r="C1227" i="32"/>
  <c r="C1247" i="32"/>
  <c r="C1237" i="32"/>
  <c r="C1257" i="32"/>
  <c r="C1253" i="32"/>
  <c r="C1249" i="32"/>
  <c r="C1223" i="32"/>
  <c r="C1229" i="32"/>
  <c r="C1225" i="32"/>
  <c r="C1241" i="32"/>
  <c r="C1259" i="32"/>
  <c r="C1255" i="32"/>
  <c r="C1251" i="32"/>
  <c r="AU41" i="33"/>
  <c r="C1275" i="32" s="1"/>
  <c r="AJ17" i="30"/>
  <c r="U645" i="32"/>
  <c r="U346" i="32"/>
  <c r="BA45" i="33"/>
  <c r="U34" i="32"/>
  <c r="AH27" i="31"/>
  <c r="AY19" i="34"/>
  <c r="P922" i="27"/>
  <c r="O921" i="27"/>
  <c r="P921" i="27"/>
  <c r="F921" i="27"/>
  <c r="Q922" i="27"/>
  <c r="G30" i="32"/>
  <c r="E922" i="27"/>
  <c r="N922" i="27"/>
  <c r="L921" i="27"/>
  <c r="A342" i="32"/>
  <c r="E921" i="27"/>
  <c r="N921" i="27"/>
  <c r="O922" i="27"/>
  <c r="BC18" i="34"/>
  <c r="G922" i="27"/>
  <c r="T922" i="27"/>
  <c r="A34" i="32"/>
  <c r="A32" i="32"/>
  <c r="V922" i="27"/>
  <c r="I921" i="27"/>
  <c r="U921" i="27"/>
  <c r="D919" i="27"/>
  <c r="I922" i="27"/>
  <c r="BD45" i="33"/>
  <c r="AI27" i="31"/>
  <c r="U922" i="27"/>
  <c r="Q921" i="27"/>
  <c r="L922" i="27"/>
  <c r="R922" i="27"/>
  <c r="A346" i="32"/>
  <c r="BC19" i="34"/>
  <c r="T921" i="27"/>
  <c r="R921" i="27"/>
  <c r="H927" i="27" l="1"/>
  <c r="C926" i="27"/>
  <c r="F5317" i="27"/>
  <c r="B4262" i="27"/>
  <c r="O2432" i="27"/>
  <c r="H1346" i="27"/>
  <c r="H709" i="27"/>
  <c r="H633" i="27"/>
  <c r="H634" i="27"/>
  <c r="H635" i="27" s="1"/>
  <c r="H636" i="27" s="1"/>
  <c r="H637" i="27" s="1"/>
  <c r="H638" i="27" s="1"/>
  <c r="H288" i="27"/>
  <c r="H214" i="27"/>
  <c r="H215" i="27"/>
  <c r="H216" i="27" s="1"/>
  <c r="H217" i="27" s="1"/>
  <c r="H218" i="27" s="1"/>
  <c r="H219" i="27" s="1"/>
  <c r="C1299" i="32"/>
  <c r="C1289" i="32"/>
  <c r="C1295" i="32"/>
  <c r="C1263" i="32"/>
  <c r="C1281" i="32"/>
  <c r="C1265" i="32"/>
  <c r="C1285" i="32"/>
  <c r="C1271" i="32"/>
  <c r="C1291" i="32"/>
  <c r="C1293" i="32"/>
  <c r="C1261" i="32"/>
  <c r="C1277" i="32"/>
  <c r="C1297" i="32"/>
  <c r="C1279" i="32"/>
  <c r="C1267" i="32"/>
  <c r="C1287" i="32"/>
  <c r="C1283" i="32"/>
  <c r="C1269" i="32"/>
  <c r="C1273" i="32"/>
  <c r="AU43" i="33"/>
  <c r="C1321" i="32" s="1"/>
  <c r="U348" i="32"/>
  <c r="AJ19" i="30"/>
  <c r="U36" i="32"/>
  <c r="BA47" i="33"/>
  <c r="U647" i="32"/>
  <c r="AH29" i="31"/>
  <c r="AY20" i="34"/>
  <c r="C2120" i="27"/>
  <c r="Q923" i="27"/>
  <c r="A645" i="32"/>
  <c r="AL17" i="30"/>
  <c r="G344" i="32"/>
  <c r="P923" i="27"/>
  <c r="F922" i="27"/>
  <c r="U923" i="27"/>
  <c r="G643" i="32"/>
  <c r="G43" i="33"/>
  <c r="T923" i="27"/>
  <c r="A647" i="32"/>
  <c r="BD19" i="34"/>
  <c r="G923" i="27"/>
  <c r="BD20" i="34"/>
  <c r="N923" i="27"/>
  <c r="G342" i="32"/>
  <c r="R923" i="27"/>
  <c r="G32" i="32"/>
  <c r="A348" i="32"/>
  <c r="H928" i="27" l="1"/>
  <c r="C927" i="27"/>
  <c r="F5318" i="27"/>
  <c r="F5319" i="27"/>
  <c r="B4263" i="27"/>
  <c r="H1348" i="27"/>
  <c r="H1347" i="27"/>
  <c r="H710" i="27"/>
  <c r="H640" i="27"/>
  <c r="H641" i="27" s="1"/>
  <c r="H642" i="27" s="1"/>
  <c r="H643" i="27" s="1"/>
  <c r="H644" i="27" s="1"/>
  <c r="H639" i="27"/>
  <c r="H289" i="27"/>
  <c r="H221" i="27"/>
  <c r="H222" i="27" s="1"/>
  <c r="H223" i="27" s="1"/>
  <c r="H224" i="27" s="1"/>
  <c r="H225" i="27" s="1"/>
  <c r="H220" i="27"/>
  <c r="C1313" i="32"/>
  <c r="C1319" i="32"/>
  <c r="C1305" i="32"/>
  <c r="C1325" i="32"/>
  <c r="C1309" i="32"/>
  <c r="C1339" i="32"/>
  <c r="C1331" i="32"/>
  <c r="C1317" i="32"/>
  <c r="C1315" i="32"/>
  <c r="C1311" i="32"/>
  <c r="C1307" i="32"/>
  <c r="C1327" i="32"/>
  <c r="C1323" i="32"/>
  <c r="C1335" i="32"/>
  <c r="C1301" i="32"/>
  <c r="C1337" i="32"/>
  <c r="C1333" i="32"/>
  <c r="C1329" i="32"/>
  <c r="C1303" i="32"/>
  <c r="AU45" i="33"/>
  <c r="C1367" i="32" s="1"/>
  <c r="U38" i="32"/>
  <c r="AJ21" i="30"/>
  <c r="U649" i="32"/>
  <c r="BA49" i="33"/>
  <c r="U350" i="32"/>
  <c r="AH31" i="31"/>
  <c r="AY21" i="34"/>
  <c r="AG155" i="1"/>
  <c r="E923" i="27"/>
  <c r="BD49" i="33"/>
  <c r="G645" i="32"/>
  <c r="V924" i="27"/>
  <c r="T924" i="27"/>
  <c r="G45" i="33"/>
  <c r="A36" i="32"/>
  <c r="G34" i="32"/>
  <c r="A649" i="32"/>
  <c r="BC21" i="34"/>
  <c r="I923" i="27"/>
  <c r="G346" i="32"/>
  <c r="U924" i="27"/>
  <c r="BC20" i="34"/>
  <c r="BD47" i="33"/>
  <c r="V923" i="27"/>
  <c r="F923" i="27"/>
  <c r="AI29" i="31"/>
  <c r="L923" i="27"/>
  <c r="D921" i="27"/>
  <c r="BD21" i="34"/>
  <c r="AI31" i="31"/>
  <c r="O923" i="27"/>
  <c r="H929" i="27" l="1"/>
  <c r="C928" i="27"/>
  <c r="F5320" i="27"/>
  <c r="B4264" i="27"/>
  <c r="H1349" i="27"/>
  <c r="H712" i="27"/>
  <c r="H711" i="27"/>
  <c r="H646" i="27"/>
  <c r="H647" i="27" s="1"/>
  <c r="H648" i="27" s="1"/>
  <c r="H649" i="27" s="1"/>
  <c r="H650" i="27" s="1"/>
  <c r="H645" i="27"/>
  <c r="H290" i="27"/>
  <c r="H227" i="27"/>
  <c r="H228" i="27" s="1"/>
  <c r="H229" i="27" s="1"/>
  <c r="H230" i="27" s="1"/>
  <c r="H231" i="27" s="1"/>
  <c r="H226" i="27"/>
  <c r="C1363" i="32"/>
  <c r="C1379" i="32"/>
  <c r="C1361" i="32"/>
  <c r="C1347" i="32"/>
  <c r="C1377" i="32"/>
  <c r="C1345" i="32"/>
  <c r="C1343" i="32"/>
  <c r="C1373" i="32"/>
  <c r="C1351" i="32"/>
  <c r="C1357" i="32"/>
  <c r="C1355" i="32"/>
  <c r="C1375" i="32"/>
  <c r="C1369" i="32"/>
  <c r="C1365" i="32"/>
  <c r="C1341" i="32"/>
  <c r="C1371" i="32"/>
  <c r="C1359" i="32"/>
  <c r="C1353" i="32"/>
  <c r="C1349" i="32"/>
  <c r="AU47" i="33"/>
  <c r="C1417" i="32" s="1"/>
  <c r="U651" i="32"/>
  <c r="U40" i="32"/>
  <c r="U352" i="32"/>
  <c r="BA51" i="33"/>
  <c r="AJ23" i="30"/>
  <c r="AH33" i="31"/>
  <c r="AY22" i="34"/>
  <c r="Q924" i="27"/>
  <c r="G36" i="32"/>
  <c r="G47" i="33"/>
  <c r="U925" i="27"/>
  <c r="A40" i="32"/>
  <c r="G348" i="32"/>
  <c r="AI33" i="31"/>
  <c r="O925" i="27"/>
  <c r="V925" i="27"/>
  <c r="AL21" i="30"/>
  <c r="O924" i="27"/>
  <c r="A350" i="32"/>
  <c r="D922" i="27"/>
  <c r="BC22" i="34"/>
  <c r="N925" i="27"/>
  <c r="L924" i="27"/>
  <c r="I925" i="27"/>
  <c r="P925" i="27"/>
  <c r="E925" i="27"/>
  <c r="N924" i="27"/>
  <c r="G647" i="32"/>
  <c r="BD51" i="33"/>
  <c r="H930" i="27" l="1"/>
  <c r="C929" i="27"/>
  <c r="F5321" i="27"/>
  <c r="B4265" i="27"/>
  <c r="H1350" i="27"/>
  <c r="H713" i="27"/>
  <c r="H652" i="27"/>
  <c r="H653" i="27" s="1"/>
  <c r="H654" i="27" s="1"/>
  <c r="H655" i="27" s="1"/>
  <c r="H656" i="27" s="1"/>
  <c r="H657" i="27" s="1"/>
  <c r="H651" i="27"/>
  <c r="H291" i="27"/>
  <c r="H232" i="27"/>
  <c r="H233" i="27"/>
  <c r="H234" i="27" s="1"/>
  <c r="H235" i="27" s="1"/>
  <c r="H236" i="27" s="1"/>
  <c r="H237" i="27" s="1"/>
  <c r="H238" i="27" s="1"/>
  <c r="AV49" i="33" a="1"/>
  <c r="AV49" i="33" s="1"/>
  <c r="C1397" i="32"/>
  <c r="C1391" i="32"/>
  <c r="C1405" i="32"/>
  <c r="C1389" i="32"/>
  <c r="C1419" i="32"/>
  <c r="C1395" i="32"/>
  <c r="C1401" i="32"/>
  <c r="C1393" i="32"/>
  <c r="C1383" i="32"/>
  <c r="C1409" i="32"/>
  <c r="C1399" i="32"/>
  <c r="C1403" i="32"/>
  <c r="C1407" i="32"/>
  <c r="C1387" i="32"/>
  <c r="C1385" i="32"/>
  <c r="C1411" i="32"/>
  <c r="C1381" i="32"/>
  <c r="C1413" i="32"/>
  <c r="C1415" i="32"/>
  <c r="AU49" i="33"/>
  <c r="C1443" i="32" s="1"/>
  <c r="Q1443" i="32" s="1"/>
  <c r="U653" i="32"/>
  <c r="U354" i="32"/>
  <c r="AJ25" i="30"/>
  <c r="BA53" i="33"/>
  <c r="U42" i="32"/>
  <c r="AH35" i="31"/>
  <c r="AY23" i="34"/>
  <c r="N159" i="16"/>
  <c r="G350" i="32"/>
  <c r="D923" i="27"/>
  <c r="F925" i="27"/>
  <c r="Q925" i="27"/>
  <c r="A653" i="32"/>
  <c r="G649" i="32"/>
  <c r="AL23" i="30"/>
  <c r="R925" i="27"/>
  <c r="G925" i="27"/>
  <c r="A42" i="32"/>
  <c r="A354" i="32"/>
  <c r="L925" i="27"/>
  <c r="BC23" i="34"/>
  <c r="BD22" i="34"/>
  <c r="A651" i="32"/>
  <c r="P926" i="27"/>
  <c r="T925" i="27"/>
  <c r="I926" i="27"/>
  <c r="H931" i="27" l="1"/>
  <c r="C930" i="27"/>
  <c r="F5322" i="27"/>
  <c r="B4266" i="27"/>
  <c r="H1351" i="27"/>
  <c r="H714" i="27"/>
  <c r="H292" i="27"/>
  <c r="H293" i="27"/>
  <c r="C1433" i="32"/>
  <c r="Q1433" i="32" s="1"/>
  <c r="C1427" i="32"/>
  <c r="Q1427" i="32" s="1"/>
  <c r="C1429" i="32"/>
  <c r="Q1429" i="32" s="1"/>
  <c r="C1435" i="32"/>
  <c r="Q1435" i="32" s="1"/>
  <c r="C1431" i="32"/>
  <c r="Q1431" i="32" s="1"/>
  <c r="C1457" i="32"/>
  <c r="Q1457" i="32" s="1"/>
  <c r="C1455" i="32"/>
  <c r="Q1455" i="32" s="1"/>
  <c r="C1425" i="32"/>
  <c r="Q1425" i="32" s="1"/>
  <c r="C1453" i="32"/>
  <c r="Q1453" i="32" s="1"/>
  <c r="C1421" i="32"/>
  <c r="Q1421" i="32" s="1"/>
  <c r="C1447" i="32"/>
  <c r="Q1447" i="32" s="1"/>
  <c r="C1449" i="32"/>
  <c r="Q1449" i="32" s="1"/>
  <c r="C1439" i="32"/>
  <c r="Q1439" i="32" s="1"/>
  <c r="C1437" i="32"/>
  <c r="Q1437" i="32" s="1"/>
  <c r="C1423" i="32"/>
  <c r="Q1423" i="32" s="1"/>
  <c r="C1445" i="32"/>
  <c r="Q1445" i="32" s="1"/>
  <c r="C1459" i="32"/>
  <c r="Q1459" i="32" s="1"/>
  <c r="C1451" i="32"/>
  <c r="Q1451" i="32" s="1"/>
  <c r="C1441" i="32"/>
  <c r="Q1441" i="32" s="1"/>
  <c r="AU51" i="33"/>
  <c r="C1497" i="32" s="1"/>
  <c r="AJ27" i="30"/>
  <c r="U44" i="32"/>
  <c r="U655" i="32"/>
  <c r="BA55" i="33"/>
  <c r="U356" i="32"/>
  <c r="AH37" i="31"/>
  <c r="AY24" i="34"/>
  <c r="N926" i="27"/>
  <c r="U926" i="27"/>
  <c r="BD24" i="34"/>
  <c r="I927" i="27"/>
  <c r="L926" i="27"/>
  <c r="G927" i="27"/>
  <c r="BD23" i="34"/>
  <c r="G651" i="32"/>
  <c r="BD53" i="33"/>
  <c r="F926" i="27"/>
  <c r="O926" i="27"/>
  <c r="A356" i="32"/>
  <c r="G51" i="33"/>
  <c r="A655" i="32"/>
  <c r="E926" i="27"/>
  <c r="G926" i="27"/>
  <c r="R926" i="27"/>
  <c r="V926" i="27"/>
  <c r="G40" i="32"/>
  <c r="Q926" i="27"/>
  <c r="T926" i="27"/>
  <c r="AI35" i="31"/>
  <c r="H932" i="27" l="1"/>
  <c r="C931" i="27"/>
  <c r="F5323" i="27"/>
  <c r="B4267" i="27"/>
  <c r="H1352" i="27"/>
  <c r="H715" i="27"/>
  <c r="H294" i="27"/>
  <c r="AV53" i="33" a="1"/>
  <c r="AV53" i="33" s="1"/>
  <c r="C1465" i="32"/>
  <c r="C1469" i="32"/>
  <c r="C1493" i="32"/>
  <c r="C1485" i="32"/>
  <c r="C1473" i="32"/>
  <c r="C1487" i="32"/>
  <c r="C1471" i="32"/>
  <c r="C1467" i="32"/>
  <c r="C1461" i="32"/>
  <c r="C1483" i="32"/>
  <c r="C1489" i="32"/>
  <c r="C1499" i="32"/>
  <c r="C1481" i="32"/>
  <c r="C1479" i="32"/>
  <c r="C1463" i="32"/>
  <c r="C1475" i="32"/>
  <c r="C1477" i="32"/>
  <c r="C1491" i="32"/>
  <c r="C1495" i="32"/>
  <c r="AU53" i="33"/>
  <c r="C1529" i="32" s="1"/>
  <c r="Q1529" i="32" s="1"/>
  <c r="AJ29" i="30"/>
  <c r="AJ31" i="30" s="1"/>
  <c r="BA57" i="33"/>
  <c r="U358" i="32"/>
  <c r="U657" i="32"/>
  <c r="U46" i="32"/>
  <c r="AY25" i="34"/>
  <c r="C1" i="36"/>
  <c r="A657" i="32"/>
  <c r="A46" i="32"/>
  <c r="L927" i="27"/>
  <c r="A44" i="32"/>
  <c r="Q927" i="27"/>
  <c r="T927" i="27"/>
  <c r="G354" i="32"/>
  <c r="BD55" i="33"/>
  <c r="E927" i="27"/>
  <c r="U927" i="27"/>
  <c r="G53" i="33"/>
  <c r="F927" i="27"/>
  <c r="V928" i="27"/>
  <c r="BD57" i="33"/>
  <c r="N927" i="27"/>
  <c r="G42" i="32"/>
  <c r="BC24" i="34"/>
  <c r="A358" i="32"/>
  <c r="G653" i="32"/>
  <c r="V927" i="27"/>
  <c r="P927" i="27"/>
  <c r="O927" i="27"/>
  <c r="R927" i="27"/>
  <c r="D925" i="27"/>
  <c r="AI37" i="31"/>
  <c r="A104" i="36" l="1"/>
  <c r="C696" i="16"/>
  <c r="C688" i="16"/>
  <c r="C680" i="16"/>
  <c r="C672" i="16"/>
  <c r="C664" i="16"/>
  <c r="C656" i="16"/>
  <c r="C648" i="16"/>
  <c r="C640" i="16"/>
  <c r="C632" i="16"/>
  <c r="C624" i="16"/>
  <c r="C695" i="16"/>
  <c r="C687" i="16"/>
  <c r="C679" i="16"/>
  <c r="C671" i="16"/>
  <c r="C663" i="16"/>
  <c r="C655" i="16"/>
  <c r="C647" i="16"/>
  <c r="C639" i="16"/>
  <c r="C631" i="16"/>
  <c r="C623" i="16"/>
  <c r="C611" i="16"/>
  <c r="G611" i="16" s="1"/>
  <c r="C603" i="16"/>
  <c r="G603" i="16" s="1"/>
  <c r="C595" i="16"/>
  <c r="G595" i="16" s="1"/>
  <c r="C587" i="16"/>
  <c r="G587" i="16" s="1"/>
  <c r="C579" i="16"/>
  <c r="G579" i="16" s="1"/>
  <c r="C571" i="16"/>
  <c r="G571" i="16" s="1"/>
  <c r="C563" i="16"/>
  <c r="G563" i="16" s="1"/>
  <c r="C555" i="16"/>
  <c r="G555" i="16" s="1"/>
  <c r="C547" i="16"/>
  <c r="G547" i="16" s="1"/>
  <c r="C539" i="16"/>
  <c r="G539" i="16" s="1"/>
  <c r="C531" i="16"/>
  <c r="G531" i="16" s="1"/>
  <c r="C523" i="16"/>
  <c r="G523" i="16" s="1"/>
  <c r="C515" i="16"/>
  <c r="G515" i="16" s="1"/>
  <c r="C507" i="16"/>
  <c r="G507" i="16" s="1"/>
  <c r="C499" i="16"/>
  <c r="G499" i="16" s="1"/>
  <c r="C491" i="16"/>
  <c r="G491" i="16" s="1"/>
  <c r="C483" i="16"/>
  <c r="G483" i="16" s="1"/>
  <c r="C475" i="16"/>
  <c r="G475" i="16" s="1"/>
  <c r="C467" i="16"/>
  <c r="G467" i="16" s="1"/>
  <c r="C459" i="16"/>
  <c r="G459" i="16" s="1"/>
  <c r="C451" i="16"/>
  <c r="G451" i="16" s="1"/>
  <c r="C443" i="16"/>
  <c r="G443" i="16" s="1"/>
  <c r="C435" i="16"/>
  <c r="G435" i="16" s="1"/>
  <c r="C427" i="16"/>
  <c r="G427" i="16" s="1"/>
  <c r="C419" i="16"/>
  <c r="G419" i="16" s="1"/>
  <c r="D366" i="23"/>
  <c r="D358" i="23"/>
  <c r="D350" i="23"/>
  <c r="D342" i="23"/>
  <c r="D334" i="23"/>
  <c r="D326" i="23"/>
  <c r="D318" i="23"/>
  <c r="D310" i="23"/>
  <c r="D302" i="23"/>
  <c r="D294" i="23"/>
  <c r="D286" i="23"/>
  <c r="D278" i="23"/>
  <c r="D270" i="23"/>
  <c r="D262" i="23"/>
  <c r="D254" i="23"/>
  <c r="D239" i="23"/>
  <c r="D231" i="23"/>
  <c r="D223" i="23"/>
  <c r="D215" i="23"/>
  <c r="D207" i="23"/>
  <c r="D199" i="23"/>
  <c r="D191" i="23"/>
  <c r="D183" i="23"/>
  <c r="D175" i="23"/>
  <c r="D161" i="23"/>
  <c r="D153" i="23"/>
  <c r="D145" i="23"/>
  <c r="D137" i="23"/>
  <c r="D129" i="23"/>
  <c r="D121" i="23"/>
  <c r="E123" i="1" s="1"/>
  <c r="D108" i="23"/>
  <c r="D100" i="23"/>
  <c r="D92" i="23"/>
  <c r="D84" i="23"/>
  <c r="D76" i="23"/>
  <c r="D68" i="23"/>
  <c r="D60" i="23"/>
  <c r="D52" i="23"/>
  <c r="D44" i="23"/>
  <c r="D36" i="23"/>
  <c r="D28" i="23"/>
  <c r="C697" i="16"/>
  <c r="C685" i="16"/>
  <c r="C675" i="16"/>
  <c r="C665" i="16"/>
  <c r="C653" i="16"/>
  <c r="C643" i="16"/>
  <c r="C633" i="16"/>
  <c r="C609" i="16"/>
  <c r="G609" i="16" s="1"/>
  <c r="C600" i="16"/>
  <c r="G600" i="16" s="1"/>
  <c r="C591" i="16"/>
  <c r="G591" i="16" s="1"/>
  <c r="C582" i="16"/>
  <c r="G582" i="16" s="1"/>
  <c r="C573" i="16"/>
  <c r="G573" i="16" s="1"/>
  <c r="C564" i="16"/>
  <c r="G564" i="16" s="1"/>
  <c r="C554" i="16"/>
  <c r="G554" i="16" s="1"/>
  <c r="C545" i="16"/>
  <c r="G545" i="16" s="1"/>
  <c r="C536" i="16"/>
  <c r="G536" i="16" s="1"/>
  <c r="C527" i="16"/>
  <c r="G527" i="16" s="1"/>
  <c r="C518" i="16"/>
  <c r="G518" i="16" s="1"/>
  <c r="C509" i="16"/>
  <c r="G509" i="16" s="1"/>
  <c r="C500" i="16"/>
  <c r="G500" i="16" s="1"/>
  <c r="C490" i="16"/>
  <c r="G490" i="16" s="1"/>
  <c r="C481" i="16"/>
  <c r="G481" i="16" s="1"/>
  <c r="C472" i="16"/>
  <c r="G472" i="16" s="1"/>
  <c r="C463" i="16"/>
  <c r="G463" i="16" s="1"/>
  <c r="C454" i="16"/>
  <c r="G454" i="16" s="1"/>
  <c r="C445" i="16"/>
  <c r="G445" i="16" s="1"/>
  <c r="C436" i="16"/>
  <c r="G436" i="16" s="1"/>
  <c r="C426" i="16"/>
  <c r="G426" i="16" s="1"/>
  <c r="C417" i="16"/>
  <c r="G417" i="16" s="1"/>
  <c r="D363" i="23"/>
  <c r="D354" i="23"/>
  <c r="D345" i="23"/>
  <c r="D336" i="23"/>
  <c r="D327" i="23"/>
  <c r="D317" i="23"/>
  <c r="D308" i="23"/>
  <c r="D299" i="23"/>
  <c r="D290" i="23"/>
  <c r="D281" i="23"/>
  <c r="D272" i="23"/>
  <c r="D263" i="23"/>
  <c r="D253" i="23"/>
  <c r="D237" i="23"/>
  <c r="D228" i="23"/>
  <c r="D219" i="23"/>
  <c r="D210" i="23"/>
  <c r="D201" i="23"/>
  <c r="D192" i="23"/>
  <c r="D182" i="23"/>
  <c r="D173" i="23"/>
  <c r="D158" i="23"/>
  <c r="D149" i="23"/>
  <c r="D140" i="23"/>
  <c r="E120" i="1" s="1"/>
  <c r="D131" i="23"/>
  <c r="D122" i="23"/>
  <c r="E121" i="1" s="1"/>
  <c r="D107" i="23"/>
  <c r="D98" i="23"/>
  <c r="D89" i="23"/>
  <c r="D80" i="23"/>
  <c r="D71" i="23"/>
  <c r="D62" i="23"/>
  <c r="D53" i="23"/>
  <c r="D43" i="23"/>
  <c r="D34" i="23"/>
  <c r="D19" i="23"/>
  <c r="D11" i="23"/>
  <c r="C692" i="16"/>
  <c r="C682" i="16"/>
  <c r="C670" i="16"/>
  <c r="C660" i="16"/>
  <c r="C650" i="16"/>
  <c r="C638" i="16"/>
  <c r="C628" i="16"/>
  <c r="C615" i="16"/>
  <c r="G615" i="16" s="1"/>
  <c r="C606" i="16"/>
  <c r="G606" i="16" s="1"/>
  <c r="C597" i="16"/>
  <c r="G597" i="16" s="1"/>
  <c r="C588" i="16"/>
  <c r="G588" i="16" s="1"/>
  <c r="C578" i="16"/>
  <c r="G578" i="16" s="1"/>
  <c r="C569" i="16"/>
  <c r="G569" i="16" s="1"/>
  <c r="C560" i="16"/>
  <c r="G560" i="16" s="1"/>
  <c r="C551" i="16"/>
  <c r="G551" i="16" s="1"/>
  <c r="C542" i="16"/>
  <c r="G542" i="16" s="1"/>
  <c r="C533" i="16"/>
  <c r="G533" i="16" s="1"/>
  <c r="C524" i="16"/>
  <c r="G524" i="16" s="1"/>
  <c r="C514" i="16"/>
  <c r="G514" i="16" s="1"/>
  <c r="C505" i="16"/>
  <c r="G505" i="16" s="1"/>
  <c r="C496" i="16"/>
  <c r="G496" i="16" s="1"/>
  <c r="C487" i="16"/>
  <c r="G487" i="16" s="1"/>
  <c r="C478" i="16"/>
  <c r="G478" i="16" s="1"/>
  <c r="C469" i="16"/>
  <c r="G469" i="16" s="1"/>
  <c r="C460" i="16"/>
  <c r="G460" i="16" s="1"/>
  <c r="C450" i="16"/>
  <c r="G450" i="16" s="1"/>
  <c r="C441" i="16"/>
  <c r="G441" i="16" s="1"/>
  <c r="C432" i="16"/>
  <c r="G432" i="16" s="1"/>
  <c r="C423" i="16"/>
  <c r="G423" i="16" s="1"/>
  <c r="D369" i="23"/>
  <c r="D360" i="23"/>
  <c r="D351" i="23"/>
  <c r="D341" i="23"/>
  <c r="D332" i="23"/>
  <c r="D323" i="23"/>
  <c r="D314" i="23"/>
  <c r="D305" i="23"/>
  <c r="D296" i="23"/>
  <c r="D287" i="23"/>
  <c r="D277" i="23"/>
  <c r="D268" i="23"/>
  <c r="D259" i="23"/>
  <c r="D243" i="23"/>
  <c r="D234" i="23"/>
  <c r="D225" i="23"/>
  <c r="D216" i="23"/>
  <c r="D206" i="23"/>
  <c r="D197" i="23"/>
  <c r="D188" i="23"/>
  <c r="D179" i="23"/>
  <c r="D170" i="23"/>
  <c r="D155" i="23"/>
  <c r="D146" i="23"/>
  <c r="D136" i="23"/>
  <c r="D127" i="23"/>
  <c r="E124" i="1" s="1"/>
  <c r="D113" i="23"/>
  <c r="D104" i="23"/>
  <c r="D95" i="23"/>
  <c r="D86" i="23"/>
  <c r="D77" i="23"/>
  <c r="D67" i="23"/>
  <c r="D58" i="23"/>
  <c r="D49" i="23"/>
  <c r="D40" i="23"/>
  <c r="D31" i="23"/>
  <c r="D16" i="23"/>
  <c r="D8" i="23"/>
  <c r="C689" i="16"/>
  <c r="C677" i="16"/>
  <c r="C667" i="16"/>
  <c r="C657" i="16"/>
  <c r="C645" i="16"/>
  <c r="C635" i="16"/>
  <c r="C625" i="16"/>
  <c r="C612" i="16"/>
  <c r="G612" i="16" s="1"/>
  <c r="C602" i="16"/>
  <c r="G602" i="16" s="1"/>
  <c r="C593" i="16"/>
  <c r="G593" i="16" s="1"/>
  <c r="C584" i="16"/>
  <c r="G584" i="16" s="1"/>
  <c r="C575" i="16"/>
  <c r="G575" i="16" s="1"/>
  <c r="C566" i="16"/>
  <c r="G566" i="16" s="1"/>
  <c r="C557" i="16"/>
  <c r="G557" i="16" s="1"/>
  <c r="C548" i="16"/>
  <c r="G548" i="16" s="1"/>
  <c r="C538" i="16"/>
  <c r="G538" i="16" s="1"/>
  <c r="C529" i="16"/>
  <c r="G529" i="16" s="1"/>
  <c r="C520" i="16"/>
  <c r="G520" i="16" s="1"/>
  <c r="C511" i="16"/>
  <c r="G511" i="16" s="1"/>
  <c r="C502" i="16"/>
  <c r="G502" i="16" s="1"/>
  <c r="C493" i="16"/>
  <c r="G493" i="16" s="1"/>
  <c r="C484" i="16"/>
  <c r="G484" i="16" s="1"/>
  <c r="C474" i="16"/>
  <c r="G474" i="16" s="1"/>
  <c r="C465" i="16"/>
  <c r="G465" i="16" s="1"/>
  <c r="C456" i="16"/>
  <c r="G456" i="16" s="1"/>
  <c r="C447" i="16"/>
  <c r="G447" i="16" s="1"/>
  <c r="C438" i="16"/>
  <c r="G438" i="16" s="1"/>
  <c r="C429" i="16"/>
  <c r="G429" i="16" s="1"/>
  <c r="C420" i="16"/>
  <c r="G420" i="16" s="1"/>
  <c r="D365" i="23"/>
  <c r="D356" i="23"/>
  <c r="D347" i="23"/>
  <c r="D338" i="23"/>
  <c r="D329" i="23"/>
  <c r="D320" i="23"/>
  <c r="D311" i="23"/>
  <c r="D301" i="23"/>
  <c r="D292" i="23"/>
  <c r="D283" i="23"/>
  <c r="D274" i="23"/>
  <c r="D265" i="23"/>
  <c r="D256" i="23"/>
  <c r="D240" i="23"/>
  <c r="D230" i="23"/>
  <c r="D221" i="23"/>
  <c r="D212" i="23"/>
  <c r="D203" i="23"/>
  <c r="D194" i="23"/>
  <c r="D185" i="23"/>
  <c r="D176" i="23"/>
  <c r="D160" i="23"/>
  <c r="D151" i="23"/>
  <c r="D142" i="23"/>
  <c r="D133" i="23"/>
  <c r="D124" i="23"/>
  <c r="E125" i="1" s="1"/>
  <c r="D110" i="23"/>
  <c r="D101" i="23"/>
  <c r="D91" i="23"/>
  <c r="D82" i="23"/>
  <c r="D73" i="23"/>
  <c r="D64" i="23"/>
  <c r="D55" i="23"/>
  <c r="D46" i="23"/>
  <c r="D37" i="23"/>
  <c r="D27" i="23"/>
  <c r="D13" i="23"/>
  <c r="C686" i="16"/>
  <c r="C669" i="16"/>
  <c r="C652" i="16"/>
  <c r="C636" i="16"/>
  <c r="C616" i="16"/>
  <c r="G616" i="16" s="1"/>
  <c r="C601" i="16"/>
  <c r="G601" i="16" s="1"/>
  <c r="C586" i="16"/>
  <c r="G586" i="16" s="1"/>
  <c r="C572" i="16"/>
  <c r="G572" i="16" s="1"/>
  <c r="C558" i="16"/>
  <c r="G558" i="16" s="1"/>
  <c r="C543" i="16"/>
  <c r="G543" i="16" s="1"/>
  <c r="C528" i="16"/>
  <c r="G528" i="16" s="1"/>
  <c r="C513" i="16"/>
  <c r="G513" i="16" s="1"/>
  <c r="C498" i="16"/>
  <c r="G498" i="16" s="1"/>
  <c r="C485" i="16"/>
  <c r="G485" i="16" s="1"/>
  <c r="C470" i="16"/>
  <c r="G470" i="16" s="1"/>
  <c r="C455" i="16"/>
  <c r="G455" i="16" s="1"/>
  <c r="C440" i="16"/>
  <c r="G440" i="16" s="1"/>
  <c r="C425" i="16"/>
  <c r="G425" i="16" s="1"/>
  <c r="D367" i="23"/>
  <c r="D352" i="23"/>
  <c r="D337" i="23"/>
  <c r="D322" i="23"/>
  <c r="D307" i="23"/>
  <c r="D293" i="23"/>
  <c r="D279" i="23"/>
  <c r="D264" i="23"/>
  <c r="D242" i="23"/>
  <c r="D227" i="23"/>
  <c r="D213" i="23"/>
  <c r="D198" i="23"/>
  <c r="D184" i="23"/>
  <c r="D169" i="23"/>
  <c r="D148" i="23"/>
  <c r="D134" i="23"/>
  <c r="D119" i="23"/>
  <c r="D99" i="23"/>
  <c r="D85" i="23"/>
  <c r="D70" i="23"/>
  <c r="D56" i="23"/>
  <c r="D41" i="23"/>
  <c r="D20" i="23"/>
  <c r="D7" i="23"/>
  <c r="C684" i="16"/>
  <c r="C668" i="16"/>
  <c r="C651" i="16"/>
  <c r="C634" i="16"/>
  <c r="C614" i="16"/>
  <c r="G614" i="16" s="1"/>
  <c r="C599" i="16"/>
  <c r="G599" i="16" s="1"/>
  <c r="C585" i="16"/>
  <c r="G585" i="16" s="1"/>
  <c r="C570" i="16"/>
  <c r="G570" i="16" s="1"/>
  <c r="C556" i="16"/>
  <c r="G556" i="16" s="1"/>
  <c r="C541" i="16"/>
  <c r="G541" i="16" s="1"/>
  <c r="C526" i="16"/>
  <c r="G526" i="16" s="1"/>
  <c r="C512" i="16"/>
  <c r="G512" i="16" s="1"/>
  <c r="C497" i="16"/>
  <c r="G497" i="16" s="1"/>
  <c r="C482" i="16"/>
  <c r="G482" i="16" s="1"/>
  <c r="C468" i="16"/>
  <c r="G468" i="16" s="1"/>
  <c r="C453" i="16"/>
  <c r="G453" i="16" s="1"/>
  <c r="C439" i="16"/>
  <c r="G439" i="16" s="1"/>
  <c r="C424" i="16"/>
  <c r="G424" i="16" s="1"/>
  <c r="D364" i="23"/>
  <c r="D349" i="23"/>
  <c r="D335" i="23"/>
  <c r="D321" i="23"/>
  <c r="D306" i="23"/>
  <c r="D291" i="23"/>
  <c r="D276" i="23"/>
  <c r="D261" i="23"/>
  <c r="D241" i="23"/>
  <c r="D226" i="23"/>
  <c r="D211" i="23"/>
  <c r="D196" i="23"/>
  <c r="D181" i="23"/>
  <c r="D168" i="23"/>
  <c r="D147" i="23"/>
  <c r="D132" i="23"/>
  <c r="D112" i="23"/>
  <c r="D97" i="23"/>
  <c r="D83" i="23"/>
  <c r="D69" i="23"/>
  <c r="D54" i="23"/>
  <c r="D39" i="23"/>
  <c r="D18" i="23"/>
  <c r="C683" i="16"/>
  <c r="C666" i="16"/>
  <c r="C649" i="16"/>
  <c r="C630" i="16"/>
  <c r="C613" i="16"/>
  <c r="G613" i="16" s="1"/>
  <c r="C598" i="16"/>
  <c r="G598" i="16" s="1"/>
  <c r="C583" i="16"/>
  <c r="G583" i="16" s="1"/>
  <c r="C568" i="16"/>
  <c r="G568" i="16" s="1"/>
  <c r="C553" i="16"/>
  <c r="G553" i="16" s="1"/>
  <c r="C540" i="16"/>
  <c r="G540" i="16" s="1"/>
  <c r="C525" i="16"/>
  <c r="G525" i="16" s="1"/>
  <c r="C510" i="16"/>
  <c r="G510" i="16" s="1"/>
  <c r="C495" i="16"/>
  <c r="G495" i="16" s="1"/>
  <c r="C480" i="16"/>
  <c r="G480" i="16" s="1"/>
  <c r="C466" i="16"/>
  <c r="G466" i="16" s="1"/>
  <c r="C452" i="16"/>
  <c r="G452" i="16" s="1"/>
  <c r="C437" i="16"/>
  <c r="G437" i="16" s="1"/>
  <c r="C422" i="16"/>
  <c r="G422" i="16" s="1"/>
  <c r="D362" i="23"/>
  <c r="D348" i="23"/>
  <c r="D333" i="23"/>
  <c r="D319" i="23"/>
  <c r="D304" i="23"/>
  <c r="D289" i="23"/>
  <c r="D275" i="23"/>
  <c r="D260" i="23"/>
  <c r="D238" i="23"/>
  <c r="D224" i="23"/>
  <c r="D209" i="23"/>
  <c r="D195" i="23"/>
  <c r="D180" i="23"/>
  <c r="D159" i="23"/>
  <c r="D144" i="23"/>
  <c r="D130" i="23"/>
  <c r="D111" i="23"/>
  <c r="D96" i="23"/>
  <c r="D81" i="23"/>
  <c r="D66" i="23"/>
  <c r="D51" i="23"/>
  <c r="D38" i="23"/>
  <c r="D17" i="23"/>
  <c r="C332" i="16"/>
  <c r="C324" i="16"/>
  <c r="C316" i="16"/>
  <c r="C308" i="16"/>
  <c r="C300" i="16"/>
  <c r="C292" i="16"/>
  <c r="C284" i="16"/>
  <c r="C276" i="16"/>
  <c r="C268" i="16"/>
  <c r="C260" i="16"/>
  <c r="C252" i="16"/>
  <c r="C244" i="16"/>
  <c r="C236" i="16"/>
  <c r="C228" i="16"/>
  <c r="C220" i="16"/>
  <c r="D150" i="16"/>
  <c r="D142" i="16"/>
  <c r="D134" i="16"/>
  <c r="D126" i="16"/>
  <c r="D118" i="16"/>
  <c r="D110" i="16"/>
  <c r="D102" i="16"/>
  <c r="D94" i="16"/>
  <c r="D86" i="16"/>
  <c r="C154" i="16"/>
  <c r="E154" i="16" s="1"/>
  <c r="C146" i="16"/>
  <c r="E146" i="16" s="1"/>
  <c r="C138" i="16"/>
  <c r="E138" i="16" s="1"/>
  <c r="C698" i="16"/>
  <c r="C674" i="16"/>
  <c r="C644" i="16"/>
  <c r="C610" i="16"/>
  <c r="G610" i="16" s="1"/>
  <c r="C590" i="16"/>
  <c r="G590" i="16" s="1"/>
  <c r="C565" i="16"/>
  <c r="G565" i="16" s="1"/>
  <c r="C544" i="16"/>
  <c r="G544" i="16" s="1"/>
  <c r="C519" i="16"/>
  <c r="G519" i="16" s="1"/>
  <c r="C494" i="16"/>
  <c r="G494" i="16" s="1"/>
  <c r="C473" i="16"/>
  <c r="G473" i="16" s="1"/>
  <c r="C448" i="16"/>
  <c r="G448" i="16" s="1"/>
  <c r="C428" i="16"/>
  <c r="G428" i="16" s="1"/>
  <c r="D357" i="23"/>
  <c r="D331" i="23"/>
  <c r="D312" i="23"/>
  <c r="D285" i="23"/>
  <c r="D266" i="23"/>
  <c r="D233" i="23"/>
  <c r="D208" i="23"/>
  <c r="D187" i="23"/>
  <c r="D156" i="23"/>
  <c r="D135" i="23"/>
  <c r="D105" i="23"/>
  <c r="D79" i="23"/>
  <c r="D59" i="23"/>
  <c r="D33" i="23"/>
  <c r="D9" i="23"/>
  <c r="C694" i="16"/>
  <c r="C673" i="16"/>
  <c r="C642" i="16"/>
  <c r="C608" i="16"/>
  <c r="G608" i="16" s="1"/>
  <c r="C589" i="16"/>
  <c r="G589" i="16" s="1"/>
  <c r="C562" i="16"/>
  <c r="G562" i="16" s="1"/>
  <c r="C537" i="16"/>
  <c r="G537" i="16" s="1"/>
  <c r="C517" i="16"/>
  <c r="G517" i="16" s="1"/>
  <c r="C492" i="16"/>
  <c r="G492" i="16" s="1"/>
  <c r="C471" i="16"/>
  <c r="G471" i="16" s="1"/>
  <c r="C446" i="16"/>
  <c r="G446" i="16" s="1"/>
  <c r="C421" i="16"/>
  <c r="G421" i="16" s="1"/>
  <c r="D355" i="23"/>
  <c r="D330" i="23"/>
  <c r="D309" i="23"/>
  <c r="D284" i="23"/>
  <c r="D258" i="23"/>
  <c r="D232" i="23"/>
  <c r="D205" i="23"/>
  <c r="D186" i="23"/>
  <c r="D154" i="23"/>
  <c r="D128" i="23"/>
  <c r="D103" i="23"/>
  <c r="D78" i="23"/>
  <c r="D57" i="23"/>
  <c r="D32" i="23"/>
  <c r="C327" i="16"/>
  <c r="C318" i="16"/>
  <c r="C309" i="16"/>
  <c r="C299" i="16"/>
  <c r="C290" i="16"/>
  <c r="C281" i="16"/>
  <c r="C272" i="16"/>
  <c r="C263" i="16"/>
  <c r="C254" i="16"/>
  <c r="C245" i="16"/>
  <c r="C235" i="16"/>
  <c r="C226" i="16"/>
  <c r="C217" i="16"/>
  <c r="D155" i="16"/>
  <c r="D146" i="16"/>
  <c r="D137" i="16"/>
  <c r="D128" i="16"/>
  <c r="D119" i="16"/>
  <c r="D109" i="16"/>
  <c r="D100" i="16"/>
  <c r="D91" i="16"/>
  <c r="D82" i="16"/>
  <c r="C149" i="16"/>
  <c r="E149" i="16" s="1"/>
  <c r="C140" i="16"/>
  <c r="E140" i="16" s="1"/>
  <c r="C131" i="16"/>
  <c r="E131" i="16" s="1"/>
  <c r="C123" i="16"/>
  <c r="E123" i="16" s="1"/>
  <c r="C115" i="16"/>
  <c r="E115" i="16" s="1"/>
  <c r="C107" i="16"/>
  <c r="E107" i="16" s="1"/>
  <c r="C99" i="16"/>
  <c r="E99" i="16" s="1"/>
  <c r="C91" i="16"/>
  <c r="E91" i="16" s="1"/>
  <c r="C83" i="16"/>
  <c r="F201" i="16"/>
  <c r="F193" i="16"/>
  <c r="F185" i="16"/>
  <c r="F177" i="16"/>
  <c r="F169" i="16"/>
  <c r="F161" i="16"/>
  <c r="D65" i="16"/>
  <c r="D57" i="16"/>
  <c r="D49" i="16"/>
  <c r="D41" i="16"/>
  <c r="D33" i="16"/>
  <c r="C72" i="16"/>
  <c r="C64" i="16"/>
  <c r="C56" i="16"/>
  <c r="J56" i="16" s="1"/>
  <c r="C48" i="16"/>
  <c r="J48" i="16" s="1"/>
  <c r="C40" i="16"/>
  <c r="J40" i="16" s="1"/>
  <c r="C693" i="16"/>
  <c r="C662" i="16"/>
  <c r="C641" i="16"/>
  <c r="C607" i="16"/>
  <c r="G607" i="16" s="1"/>
  <c r="C581" i="16"/>
  <c r="G581" i="16" s="1"/>
  <c r="C561" i="16"/>
  <c r="G561" i="16" s="1"/>
  <c r="C535" i="16"/>
  <c r="G535" i="16" s="1"/>
  <c r="C516" i="16"/>
  <c r="G516" i="16" s="1"/>
  <c r="C489" i="16"/>
  <c r="G489" i="16" s="1"/>
  <c r="C464" i="16"/>
  <c r="G464" i="16" s="1"/>
  <c r="C444" i="16"/>
  <c r="G444" i="16" s="1"/>
  <c r="C418" i="16"/>
  <c r="G418" i="16" s="1"/>
  <c r="D353" i="23"/>
  <c r="D328" i="23"/>
  <c r="D303" i="23"/>
  <c r="D282" i="23"/>
  <c r="D257" i="23"/>
  <c r="D229" i="23"/>
  <c r="D204" i="23"/>
  <c r="D178" i="23"/>
  <c r="D152" i="23"/>
  <c r="D126" i="23"/>
  <c r="E122" i="1" s="1"/>
  <c r="D102" i="23"/>
  <c r="D75" i="23"/>
  <c r="D50" i="23"/>
  <c r="D30" i="23"/>
  <c r="C326" i="16"/>
  <c r="C317" i="16"/>
  <c r="C307" i="16"/>
  <c r="C298" i="16"/>
  <c r="C289" i="16"/>
  <c r="C280" i="16"/>
  <c r="C271" i="16"/>
  <c r="C262" i="16"/>
  <c r="C253" i="16"/>
  <c r="C243" i="16"/>
  <c r="C234" i="16"/>
  <c r="C225" i="16"/>
  <c r="C216" i="16"/>
  <c r="D154" i="16"/>
  <c r="D145" i="16"/>
  <c r="D136" i="16"/>
  <c r="D127" i="16"/>
  <c r="D117" i="16"/>
  <c r="D108" i="16"/>
  <c r="D99" i="16"/>
  <c r="D90" i="16"/>
  <c r="D81" i="16"/>
  <c r="C148" i="16"/>
  <c r="E148" i="16" s="1"/>
  <c r="C139" i="16"/>
  <c r="E139" i="16" s="1"/>
  <c r="C130" i="16"/>
  <c r="E130" i="16" s="1"/>
  <c r="C122" i="16"/>
  <c r="E122" i="16" s="1"/>
  <c r="C114" i="16"/>
  <c r="E114" i="16" s="1"/>
  <c r="C106" i="16"/>
  <c r="E106" i="16" s="1"/>
  <c r="C98" i="16"/>
  <c r="E98" i="16" s="1"/>
  <c r="C90" i="16"/>
  <c r="E90" i="16" s="1"/>
  <c r="C82" i="16"/>
  <c r="F200" i="16"/>
  <c r="F192" i="16"/>
  <c r="F184" i="16"/>
  <c r="F176" i="16"/>
  <c r="F168" i="16"/>
  <c r="F160" i="16"/>
  <c r="D72" i="16"/>
  <c r="D64" i="16"/>
  <c r="D56" i="16"/>
  <c r="D48" i="16"/>
  <c r="D40" i="16"/>
  <c r="D32" i="16"/>
  <c r="C71" i="16"/>
  <c r="C63" i="16"/>
  <c r="C55" i="16"/>
  <c r="J55" i="16" s="1"/>
  <c r="C47" i="16"/>
  <c r="J47" i="16" s="1"/>
  <c r="C39" i="16"/>
  <c r="J39" i="16" s="1"/>
  <c r="C31" i="16"/>
  <c r="J31" i="16" s="1"/>
  <c r="C691" i="16"/>
  <c r="C654" i="16"/>
  <c r="C617" i="16"/>
  <c r="G617" i="16" s="1"/>
  <c r="C576" i="16"/>
  <c r="G576" i="16" s="1"/>
  <c r="C534" i="16"/>
  <c r="G534" i="16" s="1"/>
  <c r="C503" i="16"/>
  <c r="G503" i="16" s="1"/>
  <c r="C461" i="16"/>
  <c r="G461" i="16" s="1"/>
  <c r="C430" i="16"/>
  <c r="G430" i="16" s="1"/>
  <c r="D343" i="23"/>
  <c r="D300" i="23"/>
  <c r="D269" i="23"/>
  <c r="D220" i="23"/>
  <c r="D189" i="23"/>
  <c r="D141" i="23"/>
  <c r="D94" i="23"/>
  <c r="D63" i="23"/>
  <c r="D15" i="23"/>
  <c r="C328" i="16"/>
  <c r="C314" i="16"/>
  <c r="C303" i="16"/>
  <c r="C291" i="16"/>
  <c r="C278" i="16"/>
  <c r="C266" i="16"/>
  <c r="C255" i="16"/>
  <c r="C241" i="16"/>
  <c r="C230" i="16"/>
  <c r="C218" i="16"/>
  <c r="D152" i="16"/>
  <c r="D140" i="16"/>
  <c r="D129" i="16"/>
  <c r="D115" i="16"/>
  <c r="D104" i="16"/>
  <c r="D92" i="16"/>
  <c r="C155" i="16"/>
  <c r="E155" i="16" s="1"/>
  <c r="C143" i="16"/>
  <c r="E143" i="16" s="1"/>
  <c r="C132" i="16"/>
  <c r="E132" i="16" s="1"/>
  <c r="C120" i="16"/>
  <c r="E120" i="16" s="1"/>
  <c r="C110" i="16"/>
  <c r="E110" i="16" s="1"/>
  <c r="C100" i="16"/>
  <c r="E100" i="16" s="1"/>
  <c r="C88" i="16"/>
  <c r="E88" i="16" s="1"/>
  <c r="F194" i="16"/>
  <c r="F182" i="16"/>
  <c r="F172" i="16"/>
  <c r="F162" i="16"/>
  <c r="D71" i="16"/>
  <c r="D61" i="16"/>
  <c r="D51" i="16"/>
  <c r="D39" i="16"/>
  <c r="D29" i="16"/>
  <c r="C66" i="16"/>
  <c r="C54" i="16"/>
  <c r="J54" i="16" s="1"/>
  <c r="C44" i="16"/>
  <c r="J44" i="16" s="1"/>
  <c r="C34" i="16"/>
  <c r="J34" i="16" s="1"/>
  <c r="D18" i="16"/>
  <c r="D10" i="16"/>
  <c r="C16" i="16"/>
  <c r="J16" i="16" s="1"/>
  <c r="C8" i="16"/>
  <c r="J8" i="16" s="1"/>
  <c r="F380" i="20"/>
  <c r="F372" i="20"/>
  <c r="F364" i="20"/>
  <c r="F356" i="20"/>
  <c r="F348" i="20"/>
  <c r="F340" i="20"/>
  <c r="F332" i="20"/>
  <c r="F324" i="20"/>
  <c r="F316" i="20"/>
  <c r="F308" i="20"/>
  <c r="F300" i="20"/>
  <c r="F292" i="20"/>
  <c r="F284" i="20"/>
  <c r="F276" i="20"/>
  <c r="F268" i="20"/>
  <c r="F260" i="20"/>
  <c r="F252" i="20"/>
  <c r="F244" i="20"/>
  <c r="F236" i="20"/>
  <c r="F228" i="20"/>
  <c r="F220" i="20"/>
  <c r="F212" i="20"/>
  <c r="C690" i="16"/>
  <c r="C646" i="16"/>
  <c r="C605" i="16"/>
  <c r="G605" i="16" s="1"/>
  <c r="C574" i="16"/>
  <c r="G574" i="16" s="1"/>
  <c r="C532" i="16"/>
  <c r="G532" i="16" s="1"/>
  <c r="C501" i="16"/>
  <c r="G501" i="16" s="1"/>
  <c r="C458" i="16"/>
  <c r="G458" i="16" s="1"/>
  <c r="C416" i="16"/>
  <c r="G416" i="16" s="1"/>
  <c r="D340" i="23"/>
  <c r="D298" i="23"/>
  <c r="D267" i="23"/>
  <c r="D218" i="23"/>
  <c r="D177" i="23"/>
  <c r="D139" i="23"/>
  <c r="D93" i="23"/>
  <c r="D61" i="23"/>
  <c r="D14" i="23"/>
  <c r="C681" i="16"/>
  <c r="C637" i="16"/>
  <c r="C604" i="16"/>
  <c r="G604" i="16" s="1"/>
  <c r="C567" i="16"/>
  <c r="G567" i="16" s="1"/>
  <c r="C530" i="16"/>
  <c r="G530" i="16" s="1"/>
  <c r="C488" i="16"/>
  <c r="G488" i="16" s="1"/>
  <c r="C457" i="16"/>
  <c r="G457" i="16" s="1"/>
  <c r="C415" i="16"/>
  <c r="G415" i="16" s="1"/>
  <c r="D339" i="23"/>
  <c r="D297" i="23"/>
  <c r="D255" i="23"/>
  <c r="D217" i="23"/>
  <c r="D174" i="23"/>
  <c r="D138" i="23"/>
  <c r="D90" i="23"/>
  <c r="D48" i="23"/>
  <c r="D12" i="23"/>
  <c r="C626" i="16"/>
  <c r="C596" i="16"/>
  <c r="G596" i="16" s="1"/>
  <c r="C549" i="16"/>
  <c r="G549" i="16" s="1"/>
  <c r="C479" i="16"/>
  <c r="G479" i="16" s="1"/>
  <c r="C431" i="16"/>
  <c r="G431" i="16" s="1"/>
  <c r="D316" i="23"/>
  <c r="D252" i="23"/>
  <c r="D193" i="23"/>
  <c r="D123" i="23"/>
  <c r="E119" i="1" s="1"/>
  <c r="D65" i="23"/>
  <c r="C322" i="16"/>
  <c r="C310" i="16"/>
  <c r="C295" i="16"/>
  <c r="C282" i="16"/>
  <c r="C267" i="16"/>
  <c r="C251" i="16"/>
  <c r="C239" i="16"/>
  <c r="C224" i="16"/>
  <c r="D144" i="16"/>
  <c r="D131" i="16"/>
  <c r="D116" i="16"/>
  <c r="D103" i="16"/>
  <c r="D88" i="16"/>
  <c r="C151" i="16"/>
  <c r="E151" i="16" s="1"/>
  <c r="C136" i="16"/>
  <c r="E136" i="16" s="1"/>
  <c r="C125" i="16"/>
  <c r="E125" i="16" s="1"/>
  <c r="C112" i="16"/>
  <c r="E112" i="16" s="1"/>
  <c r="C101" i="16"/>
  <c r="E101" i="16" s="1"/>
  <c r="C87" i="16"/>
  <c r="E87" i="16" s="1"/>
  <c r="F190" i="16"/>
  <c r="F179" i="16"/>
  <c r="F166" i="16"/>
  <c r="D63" i="16"/>
  <c r="D52" i="16"/>
  <c r="D38" i="16"/>
  <c r="D27" i="16"/>
  <c r="C61" i="16"/>
  <c r="J61" i="16" s="1"/>
  <c r="C50" i="16"/>
  <c r="J50" i="16" s="1"/>
  <c r="C37" i="16"/>
  <c r="J37" i="16" s="1"/>
  <c r="C27" i="16"/>
  <c r="J27" i="16" s="1"/>
  <c r="D11" i="16"/>
  <c r="C15" i="16"/>
  <c r="J15" i="16" s="1"/>
  <c r="C6" i="16"/>
  <c r="J6" i="16" s="1"/>
  <c r="F377" i="20"/>
  <c r="F368" i="20"/>
  <c r="F359" i="20"/>
  <c r="F350" i="20"/>
  <c r="F341" i="20"/>
  <c r="F331" i="20"/>
  <c r="F322" i="20"/>
  <c r="F313" i="20"/>
  <c r="F304" i="20"/>
  <c r="F295" i="20"/>
  <c r="F286" i="20"/>
  <c r="F277" i="20"/>
  <c r="F267" i="20"/>
  <c r="F258" i="20"/>
  <c r="F249" i="20"/>
  <c r="F240" i="20"/>
  <c r="F231" i="20"/>
  <c r="F222" i="20"/>
  <c r="F213" i="20"/>
  <c r="F204" i="20"/>
  <c r="F196" i="20"/>
  <c r="F188" i="20"/>
  <c r="F180" i="20"/>
  <c r="F172" i="20"/>
  <c r="F164" i="20"/>
  <c r="F156" i="20"/>
  <c r="E377" i="20"/>
  <c r="E369" i="20"/>
  <c r="E361" i="20"/>
  <c r="E353" i="20"/>
  <c r="E345" i="20"/>
  <c r="E337" i="20"/>
  <c r="E329" i="20"/>
  <c r="E321" i="20"/>
  <c r="E313" i="20"/>
  <c r="E305" i="20"/>
  <c r="E297" i="20"/>
  <c r="E289" i="20"/>
  <c r="E281" i="20"/>
  <c r="E273" i="20"/>
  <c r="E265" i="20"/>
  <c r="E257" i="20"/>
  <c r="E249" i="20"/>
  <c r="E241" i="20"/>
  <c r="E233" i="20"/>
  <c r="E225" i="20"/>
  <c r="E217" i="20"/>
  <c r="E209" i="20"/>
  <c r="E201" i="20"/>
  <c r="E193" i="20"/>
  <c r="E185" i="20"/>
  <c r="E177" i="20"/>
  <c r="E169" i="20"/>
  <c r="E161" i="20"/>
  <c r="C678" i="16"/>
  <c r="C594" i="16"/>
  <c r="G594" i="16" s="1"/>
  <c r="C546" i="16"/>
  <c r="G546" i="16" s="1"/>
  <c r="C477" i="16"/>
  <c r="G477" i="16" s="1"/>
  <c r="D368" i="23"/>
  <c r="D315" i="23"/>
  <c r="D251" i="23"/>
  <c r="D190" i="23"/>
  <c r="D120" i="23"/>
  <c r="D47" i="23"/>
  <c r="C321" i="16"/>
  <c r="C306" i="16"/>
  <c r="C294" i="16"/>
  <c r="C279" i="16"/>
  <c r="C265" i="16"/>
  <c r="C250" i="16"/>
  <c r="C238" i="16"/>
  <c r="C223" i="16"/>
  <c r="D143" i="16"/>
  <c r="D130" i="16"/>
  <c r="D114" i="16"/>
  <c r="D101" i="16"/>
  <c r="D87" i="16"/>
  <c r="C150" i="16"/>
  <c r="E150" i="16" s="1"/>
  <c r="C135" i="16"/>
  <c r="E135" i="16" s="1"/>
  <c r="C124" i="16"/>
  <c r="E124" i="16" s="1"/>
  <c r="C111" i="16"/>
  <c r="E111" i="16" s="1"/>
  <c r="C97" i="16"/>
  <c r="E97" i="16" s="1"/>
  <c r="C86" i="16"/>
  <c r="E86" i="16" s="1"/>
  <c r="F202" i="16"/>
  <c r="F189" i="16"/>
  <c r="F178" i="16"/>
  <c r="F165" i="16"/>
  <c r="D62" i="16"/>
  <c r="D50" i="16"/>
  <c r="D37" i="16"/>
  <c r="D26" i="16"/>
  <c r="C60" i="16"/>
  <c r="J60" i="16" s="1"/>
  <c r="C49" i="16"/>
  <c r="J49" i="16" s="1"/>
  <c r="C36" i="16"/>
  <c r="J36" i="16" s="1"/>
  <c r="C26" i="16"/>
  <c r="J26" i="16" s="1"/>
  <c r="D9" i="16"/>
  <c r="C14" i="16"/>
  <c r="J14" i="16" s="1"/>
  <c r="C5" i="16"/>
  <c r="J5" i="16" s="1"/>
  <c r="F376" i="20"/>
  <c r="F367" i="20"/>
  <c r="F358" i="20"/>
  <c r="F349" i="20"/>
  <c r="F339" i="20"/>
  <c r="F330" i="20"/>
  <c r="F321" i="20"/>
  <c r="F312" i="20"/>
  <c r="F303" i="20"/>
  <c r="F294" i="20"/>
  <c r="F285" i="20"/>
  <c r="F275" i="20"/>
  <c r="F266" i="20"/>
  <c r="F257" i="20"/>
  <c r="F248" i="20"/>
  <c r="F239" i="20"/>
  <c r="F230" i="20"/>
  <c r="F221" i="20"/>
  <c r="F211" i="20"/>
  <c r="F203" i="20"/>
  <c r="F195" i="20"/>
  <c r="F187" i="20"/>
  <c r="F179" i="20"/>
  <c r="F171" i="20"/>
  <c r="F163" i="20"/>
  <c r="E384" i="20"/>
  <c r="E376" i="20"/>
  <c r="E368" i="20"/>
  <c r="E360" i="20"/>
  <c r="E352" i="20"/>
  <c r="E344" i="20"/>
  <c r="E336" i="20"/>
  <c r="E328" i="20"/>
  <c r="E320" i="20"/>
  <c r="E312" i="20"/>
  <c r="E304" i="20"/>
  <c r="E296" i="20"/>
  <c r="E288" i="20"/>
  <c r="E280" i="20"/>
  <c r="E272" i="20"/>
  <c r="E264" i="20"/>
  <c r="E256" i="20"/>
  <c r="E248" i="20"/>
  <c r="E240" i="20"/>
  <c r="E232" i="20"/>
  <c r="E224" i="20"/>
  <c r="E216" i="20"/>
  <c r="E208" i="20"/>
  <c r="E200" i="20"/>
  <c r="E192" i="20"/>
  <c r="E184" i="20"/>
  <c r="E176" i="20"/>
  <c r="E168" i="20"/>
  <c r="E160" i="20"/>
  <c r="C676" i="16"/>
  <c r="C592" i="16"/>
  <c r="G592" i="16" s="1"/>
  <c r="C522" i="16"/>
  <c r="G522" i="16" s="1"/>
  <c r="C476" i="16"/>
  <c r="G476" i="16" s="1"/>
  <c r="D361" i="23"/>
  <c r="D313" i="23"/>
  <c r="D236" i="23"/>
  <c r="D172" i="23"/>
  <c r="D109" i="23"/>
  <c r="D45" i="23"/>
  <c r="C320" i="16"/>
  <c r="C305" i="16"/>
  <c r="C293" i="16"/>
  <c r="C277" i="16"/>
  <c r="C264" i="16"/>
  <c r="C249" i="16"/>
  <c r="C237" i="16"/>
  <c r="C222" i="16"/>
  <c r="D141" i="16"/>
  <c r="D125" i="16"/>
  <c r="D113" i="16"/>
  <c r="D98" i="16"/>
  <c r="D85" i="16"/>
  <c r="C147" i="16"/>
  <c r="E147" i="16" s="1"/>
  <c r="C134" i="16"/>
  <c r="E134" i="16" s="1"/>
  <c r="C121" i="16"/>
  <c r="E121" i="16" s="1"/>
  <c r="C109" i="16"/>
  <c r="E109" i="16" s="1"/>
  <c r="C96" i="16"/>
  <c r="E96" i="16" s="1"/>
  <c r="C85" i="16"/>
  <c r="F199" i="16"/>
  <c r="F188" i="16"/>
  <c r="F175" i="16"/>
  <c r="F164" i="16"/>
  <c r="D60" i="16"/>
  <c r="D47" i="16"/>
  <c r="D36" i="16"/>
  <c r="C70" i="16"/>
  <c r="C59" i="16"/>
  <c r="J59" i="16" s="1"/>
  <c r="C46" i="16"/>
  <c r="J46" i="16" s="1"/>
  <c r="C35" i="16"/>
  <c r="J35" i="16" s="1"/>
  <c r="D17" i="16"/>
  <c r="D8" i="16"/>
  <c r="C13" i="16"/>
  <c r="J13" i="16" s="1"/>
  <c r="F384" i="20"/>
  <c r="F375" i="20"/>
  <c r="F366" i="20"/>
  <c r="F357" i="20"/>
  <c r="F347" i="20"/>
  <c r="F338" i="20"/>
  <c r="F329" i="20"/>
  <c r="F320" i="20"/>
  <c r="F311" i="20"/>
  <c r="F302" i="20"/>
  <c r="F293" i="20"/>
  <c r="F283" i="20"/>
  <c r="F274" i="20"/>
  <c r="F265" i="20"/>
  <c r="F256" i="20"/>
  <c r="F247" i="20"/>
  <c r="F238" i="20"/>
  <c r="F229" i="20"/>
  <c r="F219" i="20"/>
  <c r="F210" i="20"/>
  <c r="F202" i="20"/>
  <c r="F194" i="20"/>
  <c r="F186" i="20"/>
  <c r="F178" i="20"/>
  <c r="F170" i="20"/>
  <c r="F162" i="20"/>
  <c r="E383" i="20"/>
  <c r="E375" i="20"/>
  <c r="E367" i="20"/>
  <c r="E359" i="20"/>
  <c r="E351" i="20"/>
  <c r="E343" i="20"/>
  <c r="E335" i="20"/>
  <c r="E327" i="20"/>
  <c r="E319" i="20"/>
  <c r="E311" i="20"/>
  <c r="E303" i="20"/>
  <c r="E295" i="20"/>
  <c r="E287" i="20"/>
  <c r="E279" i="20"/>
  <c r="E271" i="20"/>
  <c r="E263" i="20"/>
  <c r="E255" i="20"/>
  <c r="E247" i="20"/>
  <c r="E239" i="20"/>
  <c r="E231" i="20"/>
  <c r="E223" i="20"/>
  <c r="E215" i="20"/>
  <c r="E207" i="20"/>
  <c r="E199" i="20"/>
  <c r="E191" i="20"/>
  <c r="E183" i="20"/>
  <c r="E175" i="20"/>
  <c r="E167" i="20"/>
  <c r="E159" i="20"/>
  <c r="C661" i="16"/>
  <c r="C580" i="16"/>
  <c r="G580" i="16" s="1"/>
  <c r="C521" i="16"/>
  <c r="G521" i="16" s="1"/>
  <c r="C462" i="16"/>
  <c r="G462" i="16" s="1"/>
  <c r="D359" i="23"/>
  <c r="D295" i="23"/>
  <c r="D235" i="23"/>
  <c r="D171" i="23"/>
  <c r="D106" i="23"/>
  <c r="D42" i="23"/>
  <c r="C331" i="16"/>
  <c r="C319" i="16"/>
  <c r="C304" i="16"/>
  <c r="C288" i="16"/>
  <c r="C275" i="16"/>
  <c r="C261" i="16"/>
  <c r="C248" i="16"/>
  <c r="C233" i="16"/>
  <c r="C221" i="16"/>
  <c r="D153" i="16"/>
  <c r="D139" i="16"/>
  <c r="D124" i="16"/>
  <c r="D112" i="16"/>
  <c r="D97" i="16"/>
  <c r="D84" i="16"/>
  <c r="C145" i="16"/>
  <c r="E145" i="16" s="1"/>
  <c r="C133" i="16"/>
  <c r="E133" i="16" s="1"/>
  <c r="C119" i="16"/>
  <c r="E119" i="16" s="1"/>
  <c r="C108" i="16"/>
  <c r="E108" i="16" s="1"/>
  <c r="C95" i="16"/>
  <c r="E95" i="16" s="1"/>
  <c r="C84" i="16"/>
  <c r="F198" i="16"/>
  <c r="F187" i="16"/>
  <c r="F174" i="16"/>
  <c r="F163" i="16"/>
  <c r="D70" i="16"/>
  <c r="D59" i="16"/>
  <c r="D46" i="16"/>
  <c r="D35" i="16"/>
  <c r="C69" i="16"/>
  <c r="C58" i="16"/>
  <c r="J58" i="16" s="1"/>
  <c r="C45" i="16"/>
  <c r="J45" i="16" s="1"/>
  <c r="C33" i="16"/>
  <c r="J33" i="16" s="1"/>
  <c r="D16" i="16"/>
  <c r="D7" i="16"/>
  <c r="C12" i="16"/>
  <c r="J12" i="16" s="1"/>
  <c r="F383" i="20"/>
  <c r="F374" i="20"/>
  <c r="F365" i="20"/>
  <c r="F355" i="20"/>
  <c r="F346" i="20"/>
  <c r="F337" i="20"/>
  <c r="F328" i="20"/>
  <c r="F319" i="20"/>
  <c r="F310" i="20"/>
  <c r="F301" i="20"/>
  <c r="F291" i="20"/>
  <c r="F282" i="20"/>
  <c r="F273" i="20"/>
  <c r="F264" i="20"/>
  <c r="F255" i="20"/>
  <c r="F246" i="20"/>
  <c r="F237" i="20"/>
  <c r="F227" i="20"/>
  <c r="F218" i="20"/>
  <c r="F209" i="20"/>
  <c r="F201" i="20"/>
  <c r="F193" i="20"/>
  <c r="F185" i="20"/>
  <c r="F177" i="20"/>
  <c r="F169" i="20"/>
  <c r="F161" i="20"/>
  <c r="E382" i="20"/>
  <c r="E374" i="20"/>
  <c r="E366" i="20"/>
  <c r="E358" i="20"/>
  <c r="E350" i="20"/>
  <c r="E342" i="20"/>
  <c r="E334" i="20"/>
  <c r="E326" i="20"/>
  <c r="E318" i="20"/>
  <c r="E310" i="20"/>
  <c r="E302" i="20"/>
  <c r="E294" i="20"/>
  <c r="E286" i="20"/>
  <c r="E278" i="20"/>
  <c r="E270" i="20"/>
  <c r="E262" i="20"/>
  <c r="E254" i="20"/>
  <c r="E246" i="20"/>
  <c r="E238" i="20"/>
  <c r="E230" i="20"/>
  <c r="E222" i="20"/>
  <c r="E214" i="20"/>
  <c r="E206" i="20"/>
  <c r="E198" i="20"/>
  <c r="E190" i="20"/>
  <c r="E182" i="20"/>
  <c r="E174" i="20"/>
  <c r="E166" i="20"/>
  <c r="E158" i="20"/>
  <c r="C658" i="16"/>
  <c r="C559" i="16"/>
  <c r="G559" i="16" s="1"/>
  <c r="C506" i="16"/>
  <c r="G506" i="16" s="1"/>
  <c r="C442" i="16"/>
  <c r="G442" i="16" s="1"/>
  <c r="D344" i="23"/>
  <c r="D280" i="23"/>
  <c r="D214" i="23"/>
  <c r="D150" i="23"/>
  <c r="D87" i="23"/>
  <c r="D29" i="23"/>
  <c r="C329" i="16"/>
  <c r="C313" i="16"/>
  <c r="C301" i="16"/>
  <c r="C286" i="16"/>
  <c r="C273" i="16"/>
  <c r="C258" i="16"/>
  <c r="C246" i="16"/>
  <c r="C231" i="16"/>
  <c r="C215" i="16"/>
  <c r="D149" i="16"/>
  <c r="D135" i="16"/>
  <c r="D122" i="16"/>
  <c r="D107" i="16"/>
  <c r="D95" i="16"/>
  <c r="D80" i="16"/>
  <c r="C142" i="16"/>
  <c r="E142" i="16" s="1"/>
  <c r="C128" i="16"/>
  <c r="E128" i="16" s="1"/>
  <c r="C117" i="16"/>
  <c r="E117" i="16" s="1"/>
  <c r="C104" i="16"/>
  <c r="E104" i="16" s="1"/>
  <c r="C93" i="16"/>
  <c r="E93" i="16" s="1"/>
  <c r="C80" i="16"/>
  <c r="F196" i="16"/>
  <c r="F183" i="16"/>
  <c r="F171" i="16"/>
  <c r="D68" i="16"/>
  <c r="D55" i="16"/>
  <c r="D44" i="16"/>
  <c r="D31" i="16"/>
  <c r="C67" i="16"/>
  <c r="C53" i="16"/>
  <c r="J53" i="16" s="1"/>
  <c r="C42" i="16"/>
  <c r="J42" i="16" s="1"/>
  <c r="C30" i="16"/>
  <c r="J30" i="16" s="1"/>
  <c r="D14" i="16"/>
  <c r="D5" i="16"/>
  <c r="C10" i="16"/>
  <c r="J10" i="16" s="1"/>
  <c r="F381" i="20"/>
  <c r="F371" i="20"/>
  <c r="F362" i="20"/>
  <c r="F353" i="20"/>
  <c r="F344" i="20"/>
  <c r="F335" i="20"/>
  <c r="F326" i="20"/>
  <c r="F317" i="20"/>
  <c r="F307" i="20"/>
  <c r="F298" i="20"/>
  <c r="F289" i="20"/>
  <c r="F280" i="20"/>
  <c r="F271" i="20"/>
  <c r="F262" i="20"/>
  <c r="F253" i="20"/>
  <c r="F243" i="20"/>
  <c r="F234" i="20"/>
  <c r="F225" i="20"/>
  <c r="F216" i="20"/>
  <c r="F207" i="20"/>
  <c r="F199" i="20"/>
  <c r="F191" i="20"/>
  <c r="F183" i="20"/>
  <c r="F175" i="20"/>
  <c r="F167" i="20"/>
  <c r="F159" i="20"/>
  <c r="E380" i="20"/>
  <c r="E372" i="20"/>
  <c r="E364" i="20"/>
  <c r="E356" i="20"/>
  <c r="E348" i="20"/>
  <c r="E340" i="20"/>
  <c r="E332" i="20"/>
  <c r="E324" i="20"/>
  <c r="E316" i="20"/>
  <c r="E308" i="20"/>
  <c r="E300" i="20"/>
  <c r="C627" i="16"/>
  <c r="C486" i="16"/>
  <c r="G486" i="16" s="1"/>
  <c r="D273" i="23"/>
  <c r="D88" i="23"/>
  <c r="C323" i="16"/>
  <c r="C285" i="16"/>
  <c r="C247" i="16"/>
  <c r="D133" i="16"/>
  <c r="D96" i="16"/>
  <c r="C137" i="16"/>
  <c r="E137" i="16" s="1"/>
  <c r="C103" i="16"/>
  <c r="E103" i="16" s="1"/>
  <c r="F170" i="16"/>
  <c r="D43" i="16"/>
  <c r="C57" i="16"/>
  <c r="J57" i="16" s="1"/>
  <c r="C28" i="16"/>
  <c r="J28" i="16" s="1"/>
  <c r="C9" i="16"/>
  <c r="J9" i="16" s="1"/>
  <c r="F363" i="20"/>
  <c r="F342" i="20"/>
  <c r="F315" i="20"/>
  <c r="F290" i="20"/>
  <c r="F269" i="20"/>
  <c r="F242" i="20"/>
  <c r="F217" i="20"/>
  <c r="F197" i="20"/>
  <c r="F174" i="20"/>
  <c r="E381" i="20"/>
  <c r="E362" i="20"/>
  <c r="E339" i="20"/>
  <c r="E317" i="20"/>
  <c r="E298" i="20"/>
  <c r="E282" i="20"/>
  <c r="E266" i="20"/>
  <c r="E250" i="20"/>
  <c r="E234" i="20"/>
  <c r="E218" i="20"/>
  <c r="E202" i="20"/>
  <c r="E186" i="20"/>
  <c r="E170" i="20"/>
  <c r="B378" i="20"/>
  <c r="D378" i="20" s="1"/>
  <c r="B370" i="20"/>
  <c r="D370" i="20" s="1"/>
  <c r="B362" i="20"/>
  <c r="D362" i="20" s="1"/>
  <c r="B354" i="20"/>
  <c r="D354" i="20" s="1"/>
  <c r="B346" i="20"/>
  <c r="D346" i="20" s="1"/>
  <c r="B338" i="20"/>
  <c r="D338" i="20" s="1"/>
  <c r="B330" i="20"/>
  <c r="D330" i="20" s="1"/>
  <c r="B322" i="20"/>
  <c r="D322" i="20" s="1"/>
  <c r="B314" i="20"/>
  <c r="D314" i="20" s="1"/>
  <c r="B306" i="20"/>
  <c r="D306" i="20" s="1"/>
  <c r="B298" i="20"/>
  <c r="D298" i="20" s="1"/>
  <c r="B290" i="20"/>
  <c r="D290" i="20" s="1"/>
  <c r="B282" i="20"/>
  <c r="D282" i="20" s="1"/>
  <c r="B274" i="20"/>
  <c r="D274" i="20" s="1"/>
  <c r="B266" i="20"/>
  <c r="D266" i="20" s="1"/>
  <c r="B258" i="20"/>
  <c r="D258" i="20" s="1"/>
  <c r="B250" i="20"/>
  <c r="D250" i="20" s="1"/>
  <c r="B242" i="20"/>
  <c r="D242" i="20" s="1"/>
  <c r="B234" i="20"/>
  <c r="D234" i="20" s="1"/>
  <c r="B226" i="20"/>
  <c r="D226" i="20" s="1"/>
  <c r="B218" i="20"/>
  <c r="D218" i="20" s="1"/>
  <c r="B210" i="20"/>
  <c r="D210" i="20" s="1"/>
  <c r="B202" i="20"/>
  <c r="D202" i="20" s="1"/>
  <c r="B194" i="20"/>
  <c r="D194" i="20" s="1"/>
  <c r="B186" i="20"/>
  <c r="D186" i="20" s="1"/>
  <c r="B178" i="20"/>
  <c r="D178" i="20" s="1"/>
  <c r="B170" i="20"/>
  <c r="D170" i="20" s="1"/>
  <c r="B162" i="20"/>
  <c r="D162" i="20" s="1"/>
  <c r="F150" i="20"/>
  <c r="F142" i="20"/>
  <c r="F134" i="20"/>
  <c r="F126" i="20"/>
  <c r="F118" i="20"/>
  <c r="F110" i="20"/>
  <c r="F102" i="20"/>
  <c r="F94" i="20"/>
  <c r="F86" i="20"/>
  <c r="F78" i="20"/>
  <c r="F70" i="20"/>
  <c r="E144" i="20"/>
  <c r="E136" i="20"/>
  <c r="E128" i="20"/>
  <c r="E120" i="20"/>
  <c r="E112" i="20"/>
  <c r="E104" i="20"/>
  <c r="E96" i="20"/>
  <c r="E88" i="20"/>
  <c r="E80" i="20"/>
  <c r="E72" i="20"/>
  <c r="B145" i="20"/>
  <c r="D145" i="20" s="1"/>
  <c r="B137" i="20"/>
  <c r="D137" i="20" s="1"/>
  <c r="B129" i="20"/>
  <c r="D129" i="20" s="1"/>
  <c r="B121" i="20"/>
  <c r="D121" i="20" s="1"/>
  <c r="B113" i="20"/>
  <c r="D113" i="20" s="1"/>
  <c r="B105" i="20"/>
  <c r="D105" i="20" s="1"/>
  <c r="B97" i="20"/>
  <c r="D97" i="20" s="1"/>
  <c r="B89" i="20"/>
  <c r="D89" i="20" s="1"/>
  <c r="B81" i="20"/>
  <c r="D81" i="20" s="1"/>
  <c r="B73" i="20"/>
  <c r="D73" i="20" s="1"/>
  <c r="F61" i="20"/>
  <c r="F53" i="20"/>
  <c r="F45" i="20"/>
  <c r="F37" i="20"/>
  <c r="F29" i="20"/>
  <c r="F21" i="20"/>
  <c r="F13" i="20"/>
  <c r="F5" i="20"/>
  <c r="E59" i="20"/>
  <c r="E51" i="20"/>
  <c r="E43" i="20"/>
  <c r="E35" i="20"/>
  <c r="E27" i="20"/>
  <c r="E19" i="20"/>
  <c r="E11" i="20"/>
  <c r="B64" i="20"/>
  <c r="D64" i="20" s="1"/>
  <c r="B56" i="20"/>
  <c r="D56" i="20" s="1"/>
  <c r="B48" i="20"/>
  <c r="D48" i="20" s="1"/>
  <c r="B40" i="20"/>
  <c r="D40" i="20" s="1"/>
  <c r="B32" i="20"/>
  <c r="D32" i="20" s="1"/>
  <c r="B24" i="20"/>
  <c r="D24" i="20" s="1"/>
  <c r="B16" i="20"/>
  <c r="D16" i="20" s="1"/>
  <c r="B8" i="20"/>
  <c r="D8" i="20" s="1"/>
  <c r="C449" i="16"/>
  <c r="G449" i="16" s="1"/>
  <c r="D271" i="23"/>
  <c r="D74" i="23"/>
  <c r="C315" i="16"/>
  <c r="C283" i="16"/>
  <c r="C242" i="16"/>
  <c r="D132" i="16"/>
  <c r="D93" i="16"/>
  <c r="C129" i="16"/>
  <c r="E129" i="16" s="1"/>
  <c r="C102" i="16"/>
  <c r="E102" i="16" s="1"/>
  <c r="F197" i="16"/>
  <c r="F167" i="16"/>
  <c r="D69" i="16"/>
  <c r="D42" i="16"/>
  <c r="C52" i="16"/>
  <c r="J52" i="16" s="1"/>
  <c r="D15" i="16"/>
  <c r="C7" i="16"/>
  <c r="J7" i="16" s="1"/>
  <c r="F361" i="20"/>
  <c r="F336" i="20"/>
  <c r="F314" i="20"/>
  <c r="F288" i="20"/>
  <c r="F263" i="20"/>
  <c r="F241" i="20"/>
  <c r="F215" i="20"/>
  <c r="F192" i="20"/>
  <c r="F173" i="20"/>
  <c r="E379" i="20"/>
  <c r="E357" i="20"/>
  <c r="E338" i="20"/>
  <c r="E315" i="20"/>
  <c r="E293" i="20"/>
  <c r="E277" i="20"/>
  <c r="E261" i="20"/>
  <c r="E245" i="20"/>
  <c r="E229" i="20"/>
  <c r="E213" i="20"/>
  <c r="E197" i="20"/>
  <c r="E181" i="20"/>
  <c r="E165" i="20"/>
  <c r="B377" i="20"/>
  <c r="D377" i="20" s="1"/>
  <c r="B369" i="20"/>
  <c r="D369" i="20" s="1"/>
  <c r="B361" i="20"/>
  <c r="D361" i="20" s="1"/>
  <c r="B353" i="20"/>
  <c r="D353" i="20" s="1"/>
  <c r="B345" i="20"/>
  <c r="D345" i="20" s="1"/>
  <c r="B337" i="20"/>
  <c r="D337" i="20" s="1"/>
  <c r="B329" i="20"/>
  <c r="D329" i="20" s="1"/>
  <c r="B321" i="20"/>
  <c r="D321" i="20" s="1"/>
  <c r="B313" i="20"/>
  <c r="D313" i="20" s="1"/>
  <c r="B305" i="20"/>
  <c r="D305" i="20" s="1"/>
  <c r="B297" i="20"/>
  <c r="D297" i="20" s="1"/>
  <c r="B289" i="20"/>
  <c r="D289" i="20" s="1"/>
  <c r="B281" i="20"/>
  <c r="D281" i="20" s="1"/>
  <c r="B273" i="20"/>
  <c r="D273" i="20" s="1"/>
  <c r="B265" i="20"/>
  <c r="D265" i="20" s="1"/>
  <c r="B257" i="20"/>
  <c r="D257" i="20" s="1"/>
  <c r="B249" i="20"/>
  <c r="D249" i="20" s="1"/>
  <c r="B241" i="20"/>
  <c r="D241" i="20" s="1"/>
  <c r="B233" i="20"/>
  <c r="D233" i="20" s="1"/>
  <c r="B225" i="20"/>
  <c r="D225" i="20" s="1"/>
  <c r="B217" i="20"/>
  <c r="D217" i="20" s="1"/>
  <c r="B209" i="20"/>
  <c r="D209" i="20" s="1"/>
  <c r="B201" i="20"/>
  <c r="D201" i="20" s="1"/>
  <c r="B193" i="20"/>
  <c r="D193" i="20" s="1"/>
  <c r="B185" i="20"/>
  <c r="D185" i="20" s="1"/>
  <c r="B177" i="20"/>
  <c r="D177" i="20" s="1"/>
  <c r="B169" i="20"/>
  <c r="D169" i="20" s="1"/>
  <c r="B161" i="20"/>
  <c r="D161" i="20" s="1"/>
  <c r="F149" i="20"/>
  <c r="F141" i="20"/>
  <c r="F133" i="20"/>
  <c r="F125" i="20"/>
  <c r="F117" i="20"/>
  <c r="F109" i="20"/>
  <c r="F101" i="20"/>
  <c r="F93" i="20"/>
  <c r="F85" i="20"/>
  <c r="F77" i="20"/>
  <c r="E151" i="20"/>
  <c r="E143" i="20"/>
  <c r="E135" i="20"/>
  <c r="E127" i="20"/>
  <c r="E119" i="20"/>
  <c r="E111" i="20"/>
  <c r="E103" i="20"/>
  <c r="E95" i="20"/>
  <c r="E87" i="20"/>
  <c r="E79" i="20"/>
  <c r="E71" i="20"/>
  <c r="B144" i="20"/>
  <c r="D144" i="20" s="1"/>
  <c r="B136" i="20"/>
  <c r="D136" i="20" s="1"/>
  <c r="B128" i="20"/>
  <c r="D128" i="20" s="1"/>
  <c r="B120" i="20"/>
  <c r="D120" i="20" s="1"/>
  <c r="B112" i="20"/>
  <c r="D112" i="20" s="1"/>
  <c r="B104" i="20"/>
  <c r="D104" i="20" s="1"/>
  <c r="B96" i="20"/>
  <c r="D96" i="20" s="1"/>
  <c r="B88" i="20"/>
  <c r="D88" i="20" s="1"/>
  <c r="B80" i="20"/>
  <c r="D80" i="20" s="1"/>
  <c r="B72" i="20"/>
  <c r="D72" i="20" s="1"/>
  <c r="F60" i="20"/>
  <c r="F52" i="20"/>
  <c r="F44" i="20"/>
  <c r="F36" i="20"/>
  <c r="F28" i="20"/>
  <c r="F20" i="20"/>
  <c r="F12" i="20"/>
  <c r="F4" i="20"/>
  <c r="E58" i="20"/>
  <c r="E50" i="20"/>
  <c r="E42" i="20"/>
  <c r="E34" i="20"/>
  <c r="E26" i="20"/>
  <c r="E18" i="20"/>
  <c r="E10" i="20"/>
  <c r="B63" i="20"/>
  <c r="D63" i="20" s="1"/>
  <c r="B55" i="20"/>
  <c r="D55" i="20" s="1"/>
  <c r="B47" i="20"/>
  <c r="D47" i="20" s="1"/>
  <c r="B39" i="20"/>
  <c r="D39" i="20" s="1"/>
  <c r="B31" i="20"/>
  <c r="D31" i="20" s="1"/>
  <c r="B23" i="20"/>
  <c r="D23" i="20" s="1"/>
  <c r="B15" i="20"/>
  <c r="D15" i="20" s="1"/>
  <c r="B7" i="20"/>
  <c r="D7" i="20" s="1"/>
  <c r="C434" i="16"/>
  <c r="G434" i="16" s="1"/>
  <c r="D222" i="23"/>
  <c r="D72" i="23"/>
  <c r="C312" i="16"/>
  <c r="C274" i="16"/>
  <c r="C240" i="16"/>
  <c r="D123" i="16"/>
  <c r="D89" i="16"/>
  <c r="C127" i="16"/>
  <c r="E127" i="16" s="1"/>
  <c r="C94" i="16"/>
  <c r="E94" i="16" s="1"/>
  <c r="F195" i="16"/>
  <c r="D67" i="16"/>
  <c r="D34" i="16"/>
  <c r="C51" i="16"/>
  <c r="J51" i="16" s="1"/>
  <c r="D13" i="16"/>
  <c r="F382" i="20"/>
  <c r="F360" i="20"/>
  <c r="F334" i="20"/>
  <c r="F309" i="20"/>
  <c r="F287" i="20"/>
  <c r="F261" i="20"/>
  <c r="F235" i="20"/>
  <c r="F214" i="20"/>
  <c r="F190" i="20"/>
  <c r="F168" i="20"/>
  <c r="E378" i="20"/>
  <c r="E355" i="20"/>
  <c r="E333" i="20"/>
  <c r="E314" i="20"/>
  <c r="E292" i="20"/>
  <c r="E276" i="20"/>
  <c r="E260" i="20"/>
  <c r="E244" i="20"/>
  <c r="E228" i="20"/>
  <c r="E212" i="20"/>
  <c r="E196" i="20"/>
  <c r="E180" i="20"/>
  <c r="E164" i="20"/>
  <c r="B384" i="20"/>
  <c r="D384" i="20" s="1"/>
  <c r="B376" i="20"/>
  <c r="D376" i="20" s="1"/>
  <c r="B368" i="20"/>
  <c r="D368" i="20" s="1"/>
  <c r="B360" i="20"/>
  <c r="D360" i="20" s="1"/>
  <c r="B352" i="20"/>
  <c r="D352" i="20" s="1"/>
  <c r="B344" i="20"/>
  <c r="D344" i="20" s="1"/>
  <c r="B336" i="20"/>
  <c r="D336" i="20" s="1"/>
  <c r="B328" i="20"/>
  <c r="D328" i="20" s="1"/>
  <c r="B320" i="20"/>
  <c r="D320" i="20" s="1"/>
  <c r="B312" i="20"/>
  <c r="D312" i="20" s="1"/>
  <c r="B304" i="20"/>
  <c r="D304" i="20" s="1"/>
  <c r="B296" i="20"/>
  <c r="D296" i="20" s="1"/>
  <c r="B288" i="20"/>
  <c r="D288" i="20" s="1"/>
  <c r="B280" i="20"/>
  <c r="D280" i="20" s="1"/>
  <c r="B272" i="20"/>
  <c r="D272" i="20" s="1"/>
  <c r="B264" i="20"/>
  <c r="D264" i="20" s="1"/>
  <c r="B256" i="20"/>
  <c r="D256" i="20" s="1"/>
  <c r="B248" i="20"/>
  <c r="D248" i="20" s="1"/>
  <c r="B240" i="20"/>
  <c r="D240" i="20" s="1"/>
  <c r="B232" i="20"/>
  <c r="D232" i="20" s="1"/>
  <c r="B224" i="20"/>
  <c r="D224" i="20" s="1"/>
  <c r="B216" i="20"/>
  <c r="D216" i="20" s="1"/>
  <c r="B208" i="20"/>
  <c r="D208" i="20" s="1"/>
  <c r="B200" i="20"/>
  <c r="D200" i="20" s="1"/>
  <c r="B192" i="20"/>
  <c r="D192" i="20" s="1"/>
  <c r="B184" i="20"/>
  <c r="D184" i="20" s="1"/>
  <c r="B176" i="20"/>
  <c r="D176" i="20" s="1"/>
  <c r="B168" i="20"/>
  <c r="D168" i="20" s="1"/>
  <c r="B160" i="20"/>
  <c r="D160" i="20" s="1"/>
  <c r="F148" i="20"/>
  <c r="F140" i="20"/>
  <c r="F132" i="20"/>
  <c r="F124" i="20"/>
  <c r="F116" i="20"/>
  <c r="F108" i="20"/>
  <c r="F100" i="20"/>
  <c r="F92" i="20"/>
  <c r="F84" i="20"/>
  <c r="F76" i="20"/>
  <c r="E150" i="20"/>
  <c r="E142" i="20"/>
  <c r="E134" i="20"/>
  <c r="E126" i="20"/>
  <c r="E118" i="20"/>
  <c r="E110" i="20"/>
  <c r="E102" i="20"/>
  <c r="E94" i="20"/>
  <c r="E86" i="20"/>
  <c r="E78" i="20"/>
  <c r="E70" i="20"/>
  <c r="B151" i="20"/>
  <c r="D151" i="20" s="1"/>
  <c r="B143" i="20"/>
  <c r="D143" i="20" s="1"/>
  <c r="B135" i="20"/>
  <c r="D135" i="20" s="1"/>
  <c r="B127" i="20"/>
  <c r="D127" i="20" s="1"/>
  <c r="B119" i="20"/>
  <c r="D119" i="20" s="1"/>
  <c r="B111" i="20"/>
  <c r="D111" i="20" s="1"/>
  <c r="B103" i="20"/>
  <c r="D103" i="20" s="1"/>
  <c r="B95" i="20"/>
  <c r="D95" i="20" s="1"/>
  <c r="B87" i="20"/>
  <c r="D87" i="20" s="1"/>
  <c r="B79" i="20"/>
  <c r="D79" i="20" s="1"/>
  <c r="B71" i="20"/>
  <c r="D71" i="20" s="1"/>
  <c r="F59" i="20"/>
  <c r="F51" i="20"/>
  <c r="F43" i="20"/>
  <c r="F35" i="20"/>
  <c r="F27" i="20"/>
  <c r="F19" i="20"/>
  <c r="F11" i="20"/>
  <c r="E65" i="20"/>
  <c r="E57" i="20"/>
  <c r="E49" i="20"/>
  <c r="E41" i="20"/>
  <c r="E33" i="20"/>
  <c r="E25" i="20"/>
  <c r="E17" i="20"/>
  <c r="E9" i="20"/>
  <c r="B62" i="20"/>
  <c r="D62" i="20" s="1"/>
  <c r="B54" i="20"/>
  <c r="D54" i="20" s="1"/>
  <c r="B46" i="20"/>
  <c r="D46" i="20" s="1"/>
  <c r="B38" i="20"/>
  <c r="D38" i="20" s="1"/>
  <c r="B30" i="20"/>
  <c r="D30" i="20" s="1"/>
  <c r="B22" i="20"/>
  <c r="D22" i="20" s="1"/>
  <c r="B14" i="20"/>
  <c r="D14" i="20" s="1"/>
  <c r="B6" i="20"/>
  <c r="D6" i="20" s="1"/>
  <c r="C552" i="16"/>
  <c r="G552" i="16" s="1"/>
  <c r="D346" i="23"/>
  <c r="D200" i="23"/>
  <c r="D10" i="23"/>
  <c r="C302" i="16"/>
  <c r="C269" i="16"/>
  <c r="C229" i="16"/>
  <c r="D151" i="16"/>
  <c r="D120" i="16"/>
  <c r="C153" i="16"/>
  <c r="E153" i="16" s="1"/>
  <c r="C118" i="16"/>
  <c r="E118" i="16" s="1"/>
  <c r="C89" i="16"/>
  <c r="E89" i="16" s="1"/>
  <c r="F186" i="16"/>
  <c r="D58" i="16"/>
  <c r="D28" i="16"/>
  <c r="C41" i="16"/>
  <c r="J41" i="16" s="1"/>
  <c r="D6" i="16"/>
  <c r="F378" i="20"/>
  <c r="F352" i="20"/>
  <c r="F327" i="20"/>
  <c r="F305" i="20"/>
  <c r="F279" i="20"/>
  <c r="F254" i="20"/>
  <c r="F232" i="20"/>
  <c r="F206" i="20"/>
  <c r="F184" i="20"/>
  <c r="F165" i="20"/>
  <c r="E371" i="20"/>
  <c r="E349" i="20"/>
  <c r="E330" i="20"/>
  <c r="E307" i="20"/>
  <c r="E290" i="20"/>
  <c r="E274" i="20"/>
  <c r="E258" i="20"/>
  <c r="E242" i="20"/>
  <c r="E226" i="20"/>
  <c r="E210" i="20"/>
  <c r="E194" i="20"/>
  <c r="E178" i="20"/>
  <c r="E162" i="20"/>
  <c r="B382" i="20"/>
  <c r="D382" i="20" s="1"/>
  <c r="B374" i="20"/>
  <c r="D374" i="20" s="1"/>
  <c r="B366" i="20"/>
  <c r="D366" i="20" s="1"/>
  <c r="B358" i="20"/>
  <c r="D358" i="20" s="1"/>
  <c r="B350" i="20"/>
  <c r="D350" i="20" s="1"/>
  <c r="B342" i="20"/>
  <c r="D342" i="20" s="1"/>
  <c r="B334" i="20"/>
  <c r="D334" i="20" s="1"/>
  <c r="B326" i="20"/>
  <c r="D326" i="20" s="1"/>
  <c r="B318" i="20"/>
  <c r="D318" i="20" s="1"/>
  <c r="B310" i="20"/>
  <c r="D310" i="20" s="1"/>
  <c r="B302" i="20"/>
  <c r="D302" i="20" s="1"/>
  <c r="B294" i="20"/>
  <c r="D294" i="20" s="1"/>
  <c r="B286" i="20"/>
  <c r="D286" i="20" s="1"/>
  <c r="B278" i="20"/>
  <c r="D278" i="20" s="1"/>
  <c r="B270" i="20"/>
  <c r="D270" i="20" s="1"/>
  <c r="B262" i="20"/>
  <c r="D262" i="20" s="1"/>
  <c r="B254" i="20"/>
  <c r="D254" i="20" s="1"/>
  <c r="B246" i="20"/>
  <c r="D246" i="20" s="1"/>
  <c r="B238" i="20"/>
  <c r="D238" i="20" s="1"/>
  <c r="B230" i="20"/>
  <c r="D230" i="20" s="1"/>
  <c r="B222" i="20"/>
  <c r="D222" i="20" s="1"/>
  <c r="B214" i="20"/>
  <c r="D214" i="20" s="1"/>
  <c r="B206" i="20"/>
  <c r="D206" i="20" s="1"/>
  <c r="B198" i="20"/>
  <c r="D198" i="20" s="1"/>
  <c r="B190" i="20"/>
  <c r="D190" i="20" s="1"/>
  <c r="B182" i="20"/>
  <c r="D182" i="20" s="1"/>
  <c r="B174" i="20"/>
  <c r="D174" i="20" s="1"/>
  <c r="B166" i="20"/>
  <c r="D166" i="20" s="1"/>
  <c r="B158" i="20"/>
  <c r="D158" i="20" s="1"/>
  <c r="F146" i="20"/>
  <c r="F138" i="20"/>
  <c r="F130" i="20"/>
  <c r="F122" i="20"/>
  <c r="F114" i="20"/>
  <c r="F106" i="20"/>
  <c r="F98" i="20"/>
  <c r="F90" i="20"/>
  <c r="F82" i="20"/>
  <c r="F74" i="20"/>
  <c r="E148" i="20"/>
  <c r="E140" i="20"/>
  <c r="E132" i="20"/>
  <c r="E124" i="20"/>
  <c r="E116" i="20"/>
  <c r="E108" i="20"/>
  <c r="E100" i="20"/>
  <c r="E92" i="20"/>
  <c r="E84" i="20"/>
  <c r="E76" i="20"/>
  <c r="B149" i="20"/>
  <c r="D149" i="20" s="1"/>
  <c r="B141" i="20"/>
  <c r="D141" i="20" s="1"/>
  <c r="B133" i="20"/>
  <c r="D133" i="20" s="1"/>
  <c r="B125" i="20"/>
  <c r="D125" i="20" s="1"/>
  <c r="B117" i="20"/>
  <c r="D117" i="20" s="1"/>
  <c r="B109" i="20"/>
  <c r="D109" i="20" s="1"/>
  <c r="B101" i="20"/>
  <c r="D101" i="20" s="1"/>
  <c r="B93" i="20"/>
  <c r="D93" i="20" s="1"/>
  <c r="B85" i="20"/>
  <c r="D85" i="20" s="1"/>
  <c r="B77" i="20"/>
  <c r="D77" i="20" s="1"/>
  <c r="F65" i="20"/>
  <c r="F57" i="20"/>
  <c r="F49" i="20"/>
  <c r="F41" i="20"/>
  <c r="F33" i="20"/>
  <c r="F25" i="20"/>
  <c r="F17" i="20"/>
  <c r="F9" i="20"/>
  <c r="E63" i="20"/>
  <c r="E55" i="20"/>
  <c r="E47" i="20"/>
  <c r="E39" i="20"/>
  <c r="E31" i="20"/>
  <c r="E23" i="20"/>
  <c r="E15" i="20"/>
  <c r="E7" i="20"/>
  <c r="B60" i="20"/>
  <c r="D60" i="20" s="1"/>
  <c r="B52" i="20"/>
  <c r="D52" i="20" s="1"/>
  <c r="B44" i="20"/>
  <c r="D44" i="20" s="1"/>
  <c r="B36" i="20"/>
  <c r="D36" i="20" s="1"/>
  <c r="B28" i="20"/>
  <c r="D28" i="20" s="1"/>
  <c r="B20" i="20"/>
  <c r="D20" i="20" s="1"/>
  <c r="B12" i="20"/>
  <c r="D12" i="20" s="1"/>
  <c r="B4" i="20"/>
  <c r="D4" i="20" s="1"/>
  <c r="C659" i="16"/>
  <c r="C508" i="16"/>
  <c r="G508" i="16" s="1"/>
  <c r="D324" i="23"/>
  <c r="D143" i="23"/>
  <c r="C330" i="16"/>
  <c r="C296" i="16"/>
  <c r="C257" i="16"/>
  <c r="C219" i="16"/>
  <c r="D147" i="16"/>
  <c r="D106" i="16"/>
  <c r="C144" i="16"/>
  <c r="E144" i="16" s="1"/>
  <c r="C113" i="16"/>
  <c r="E113" i="16" s="1"/>
  <c r="F180" i="16"/>
  <c r="D53" i="16"/>
  <c r="C65" i="16"/>
  <c r="C32" i="16"/>
  <c r="J32" i="16" s="1"/>
  <c r="C17" i="16"/>
  <c r="J17" i="16" s="1"/>
  <c r="F370" i="20"/>
  <c r="F345" i="20"/>
  <c r="F323" i="20"/>
  <c r="F297" i="20"/>
  <c r="F272" i="20"/>
  <c r="F250" i="20"/>
  <c r="F224" i="20"/>
  <c r="F200" i="20"/>
  <c r="F181" i="20"/>
  <c r="F158" i="20"/>
  <c r="E365" i="20"/>
  <c r="E346" i="20"/>
  <c r="E323" i="20"/>
  <c r="E301" i="20"/>
  <c r="E284" i="20"/>
  <c r="E268" i="20"/>
  <c r="E252" i="20"/>
  <c r="E236" i="20"/>
  <c r="E220" i="20"/>
  <c r="E204" i="20"/>
  <c r="E188" i="20"/>
  <c r="E172" i="20"/>
  <c r="E156" i="20"/>
  <c r="B380" i="20"/>
  <c r="D380" i="20" s="1"/>
  <c r="B372" i="20"/>
  <c r="D372" i="20" s="1"/>
  <c r="B364" i="20"/>
  <c r="D364" i="20" s="1"/>
  <c r="B356" i="20"/>
  <c r="D356" i="20" s="1"/>
  <c r="B348" i="20"/>
  <c r="D348" i="20" s="1"/>
  <c r="B340" i="20"/>
  <c r="D340" i="20" s="1"/>
  <c r="B332" i="20"/>
  <c r="D332" i="20" s="1"/>
  <c r="B324" i="20"/>
  <c r="D324" i="20" s="1"/>
  <c r="B316" i="20"/>
  <c r="D316" i="20" s="1"/>
  <c r="B308" i="20"/>
  <c r="D308" i="20" s="1"/>
  <c r="B300" i="20"/>
  <c r="D300" i="20" s="1"/>
  <c r="B292" i="20"/>
  <c r="D292" i="20" s="1"/>
  <c r="B284" i="20"/>
  <c r="D284" i="20" s="1"/>
  <c r="B276" i="20"/>
  <c r="D276" i="20" s="1"/>
  <c r="B268" i="20"/>
  <c r="D268" i="20" s="1"/>
  <c r="B260" i="20"/>
  <c r="D260" i="20" s="1"/>
  <c r="B252" i="20"/>
  <c r="D252" i="20" s="1"/>
  <c r="B244" i="20"/>
  <c r="D244" i="20" s="1"/>
  <c r="B236" i="20"/>
  <c r="D236" i="20" s="1"/>
  <c r="B228" i="20"/>
  <c r="D228" i="20" s="1"/>
  <c r="B220" i="20"/>
  <c r="D220" i="20" s="1"/>
  <c r="B212" i="20"/>
  <c r="D212" i="20" s="1"/>
  <c r="B204" i="20"/>
  <c r="D204" i="20" s="1"/>
  <c r="B196" i="20"/>
  <c r="D196" i="20" s="1"/>
  <c r="B188" i="20"/>
  <c r="D188" i="20" s="1"/>
  <c r="B180" i="20"/>
  <c r="D180" i="20" s="1"/>
  <c r="B172" i="20"/>
  <c r="D172" i="20" s="1"/>
  <c r="B164" i="20"/>
  <c r="D164" i="20" s="1"/>
  <c r="B156" i="20"/>
  <c r="D156" i="20" s="1"/>
  <c r="C433" i="16"/>
  <c r="G433" i="16" s="1"/>
  <c r="C297" i="16"/>
  <c r="D105" i="16"/>
  <c r="C81" i="16"/>
  <c r="D45" i="16"/>
  <c r="C18" i="16"/>
  <c r="J18" i="16" s="1"/>
  <c r="F333" i="20"/>
  <c r="F270" i="20"/>
  <c r="F205" i="20"/>
  <c r="E373" i="20"/>
  <c r="E322" i="20"/>
  <c r="E269" i="20"/>
  <c r="E227" i="20"/>
  <c r="E187" i="20"/>
  <c r="B383" i="20"/>
  <c r="D383" i="20" s="1"/>
  <c r="B363" i="20"/>
  <c r="D363" i="20" s="1"/>
  <c r="B341" i="20"/>
  <c r="D341" i="20" s="1"/>
  <c r="B319" i="20"/>
  <c r="D319" i="20" s="1"/>
  <c r="B299" i="20"/>
  <c r="D299" i="20" s="1"/>
  <c r="B277" i="20"/>
  <c r="D277" i="20" s="1"/>
  <c r="B255" i="20"/>
  <c r="D255" i="20" s="1"/>
  <c r="B235" i="20"/>
  <c r="D235" i="20" s="1"/>
  <c r="B213" i="20"/>
  <c r="D213" i="20" s="1"/>
  <c r="B191" i="20"/>
  <c r="D191" i="20" s="1"/>
  <c r="B171" i="20"/>
  <c r="D171" i="20" s="1"/>
  <c r="F145" i="20"/>
  <c r="F129" i="20"/>
  <c r="F113" i="20"/>
  <c r="F97" i="20"/>
  <c r="F81" i="20"/>
  <c r="E147" i="20"/>
  <c r="E131" i="20"/>
  <c r="E115" i="20"/>
  <c r="E99" i="20"/>
  <c r="E83" i="20"/>
  <c r="D325" i="23"/>
  <c r="C287" i="16"/>
  <c r="D83" i="16"/>
  <c r="D30" i="16"/>
  <c r="C11" i="16"/>
  <c r="J11" i="16" s="1"/>
  <c r="F325" i="20"/>
  <c r="F259" i="20"/>
  <c r="F198" i="20"/>
  <c r="E370" i="20"/>
  <c r="E309" i="20"/>
  <c r="E267" i="20"/>
  <c r="E221" i="20"/>
  <c r="E179" i="20"/>
  <c r="B381" i="20"/>
  <c r="D381" i="20" s="1"/>
  <c r="B359" i="20"/>
  <c r="D359" i="20" s="1"/>
  <c r="B339" i="20"/>
  <c r="D339" i="20" s="1"/>
  <c r="B317" i="20"/>
  <c r="D317" i="20" s="1"/>
  <c r="B295" i="20"/>
  <c r="D295" i="20" s="1"/>
  <c r="B275" i="20"/>
  <c r="D275" i="20" s="1"/>
  <c r="B253" i="20"/>
  <c r="D253" i="20" s="1"/>
  <c r="B231" i="20"/>
  <c r="D231" i="20" s="1"/>
  <c r="B211" i="20"/>
  <c r="D211" i="20" s="1"/>
  <c r="B189" i="20"/>
  <c r="D189" i="20" s="1"/>
  <c r="B167" i="20"/>
  <c r="D167" i="20" s="1"/>
  <c r="F144" i="20"/>
  <c r="F128" i="20"/>
  <c r="F112" i="20"/>
  <c r="F96" i="20"/>
  <c r="F80" i="20"/>
  <c r="E146" i="20"/>
  <c r="E130" i="20"/>
  <c r="E114" i="20"/>
  <c r="E98" i="20"/>
  <c r="E82" i="20"/>
  <c r="B150" i="20"/>
  <c r="D150" i="20" s="1"/>
  <c r="B134" i="20"/>
  <c r="D134" i="20" s="1"/>
  <c r="B118" i="20"/>
  <c r="D118" i="20" s="1"/>
  <c r="B102" i="20"/>
  <c r="D102" i="20" s="1"/>
  <c r="B86" i="20"/>
  <c r="D86" i="20" s="1"/>
  <c r="B70" i="20"/>
  <c r="D70" i="20" s="1"/>
  <c r="F50" i="20"/>
  <c r="F34" i="20"/>
  <c r="F18" i="20"/>
  <c r="E64" i="20"/>
  <c r="E48" i="20"/>
  <c r="E32" i="20"/>
  <c r="E16" i="20"/>
  <c r="B51" i="20"/>
  <c r="D51" i="20" s="1"/>
  <c r="B35" i="20"/>
  <c r="D35" i="20" s="1"/>
  <c r="B19" i="20"/>
  <c r="D19" i="20" s="1"/>
  <c r="C629" i="16"/>
  <c r="F181" i="16"/>
  <c r="B243" i="20"/>
  <c r="D243" i="20" s="1"/>
  <c r="E138" i="20"/>
  <c r="B142" i="20"/>
  <c r="D142" i="20" s="1"/>
  <c r="B110" i="20"/>
  <c r="D110" i="20" s="1"/>
  <c r="B78" i="20"/>
  <c r="D78" i="20" s="1"/>
  <c r="F26" i="20"/>
  <c r="E56" i="20"/>
  <c r="E24" i="20"/>
  <c r="D288" i="23"/>
  <c r="C270" i="16"/>
  <c r="C152" i="16"/>
  <c r="E152" i="16" s="1"/>
  <c r="C68" i="16"/>
  <c r="F379" i="20"/>
  <c r="F318" i="20"/>
  <c r="F251" i="20"/>
  <c r="F189" i="20"/>
  <c r="E363" i="20"/>
  <c r="E306" i="20"/>
  <c r="E259" i="20"/>
  <c r="E219" i="20"/>
  <c r="E173" i="20"/>
  <c r="B379" i="20"/>
  <c r="D379" i="20" s="1"/>
  <c r="B357" i="20"/>
  <c r="D357" i="20" s="1"/>
  <c r="B335" i="20"/>
  <c r="D335" i="20" s="1"/>
  <c r="B315" i="20"/>
  <c r="D315" i="20" s="1"/>
  <c r="B293" i="20"/>
  <c r="D293" i="20" s="1"/>
  <c r="B271" i="20"/>
  <c r="D271" i="20" s="1"/>
  <c r="B251" i="20"/>
  <c r="D251" i="20" s="1"/>
  <c r="B229" i="20"/>
  <c r="D229" i="20" s="1"/>
  <c r="B207" i="20"/>
  <c r="D207" i="20" s="1"/>
  <c r="B187" i="20"/>
  <c r="D187" i="20" s="1"/>
  <c r="B165" i="20"/>
  <c r="D165" i="20" s="1"/>
  <c r="F143" i="20"/>
  <c r="F127" i="20"/>
  <c r="F111" i="20"/>
  <c r="F95" i="20"/>
  <c r="F79" i="20"/>
  <c r="E145" i="20"/>
  <c r="E129" i="20"/>
  <c r="E113" i="20"/>
  <c r="E97" i="20"/>
  <c r="E81" i="20"/>
  <c r="B148" i="20"/>
  <c r="D148" i="20" s="1"/>
  <c r="B132" i="20"/>
  <c r="D132" i="20" s="1"/>
  <c r="B116" i="20"/>
  <c r="D116" i="20" s="1"/>
  <c r="B100" i="20"/>
  <c r="D100" i="20" s="1"/>
  <c r="B84" i="20"/>
  <c r="D84" i="20" s="1"/>
  <c r="F64" i="20"/>
  <c r="F48" i="20"/>
  <c r="F32" i="20"/>
  <c r="F16" i="20"/>
  <c r="E62" i="20"/>
  <c r="E46" i="20"/>
  <c r="E30" i="20"/>
  <c r="E14" i="20"/>
  <c r="B50" i="20"/>
  <c r="D50" i="20" s="1"/>
  <c r="B34" i="20"/>
  <c r="D34" i="20" s="1"/>
  <c r="B18" i="20"/>
  <c r="D18" i="20" s="1"/>
  <c r="C126" i="16"/>
  <c r="E126" i="16" s="1"/>
  <c r="C43" i="16"/>
  <c r="J43" i="16" s="1"/>
  <c r="F299" i="20"/>
  <c r="E347" i="20"/>
  <c r="E205" i="20"/>
  <c r="B98" i="20"/>
  <c r="D98" i="20" s="1"/>
  <c r="B61" i="20"/>
  <c r="D61" i="20" s="1"/>
  <c r="B45" i="20"/>
  <c r="D45" i="20" s="1"/>
  <c r="B29" i="20"/>
  <c r="D29" i="20" s="1"/>
  <c r="B13" i="20"/>
  <c r="D13" i="20" s="1"/>
  <c r="C232" i="16"/>
  <c r="E341" i="20"/>
  <c r="B371" i="20"/>
  <c r="D371" i="20" s="1"/>
  <c r="B327" i="20"/>
  <c r="D327" i="20" s="1"/>
  <c r="B285" i="20"/>
  <c r="D285" i="20" s="1"/>
  <c r="B221" i="20"/>
  <c r="D221" i="20" s="1"/>
  <c r="B179" i="20"/>
  <c r="D179" i="20" s="1"/>
  <c r="F120" i="20"/>
  <c r="F88" i="20"/>
  <c r="F72" i="20"/>
  <c r="E122" i="20"/>
  <c r="E106" i="20"/>
  <c r="E90" i="20"/>
  <c r="E74" i="20"/>
  <c r="D202" i="23"/>
  <c r="C259" i="16"/>
  <c r="C141" i="16"/>
  <c r="E141" i="16" s="1"/>
  <c r="C62" i="16"/>
  <c r="F373" i="20"/>
  <c r="F306" i="20"/>
  <c r="F245" i="20"/>
  <c r="F182" i="20"/>
  <c r="E354" i="20"/>
  <c r="E299" i="20"/>
  <c r="E253" i="20"/>
  <c r="E211" i="20"/>
  <c r="E171" i="20"/>
  <c r="B375" i="20"/>
  <c r="D375" i="20" s="1"/>
  <c r="B355" i="20"/>
  <c r="D355" i="20" s="1"/>
  <c r="B333" i="20"/>
  <c r="D333" i="20" s="1"/>
  <c r="B311" i="20"/>
  <c r="D311" i="20" s="1"/>
  <c r="B291" i="20"/>
  <c r="D291" i="20" s="1"/>
  <c r="B269" i="20"/>
  <c r="D269" i="20" s="1"/>
  <c r="B247" i="20"/>
  <c r="D247" i="20" s="1"/>
  <c r="B227" i="20"/>
  <c r="D227" i="20" s="1"/>
  <c r="B205" i="20"/>
  <c r="D205" i="20" s="1"/>
  <c r="B183" i="20"/>
  <c r="D183" i="20" s="1"/>
  <c r="B163" i="20"/>
  <c r="D163" i="20" s="1"/>
  <c r="F139" i="20"/>
  <c r="F123" i="20"/>
  <c r="F107" i="20"/>
  <c r="F91" i="20"/>
  <c r="F75" i="20"/>
  <c r="E141" i="20"/>
  <c r="E125" i="20"/>
  <c r="E109" i="20"/>
  <c r="E93" i="20"/>
  <c r="E77" i="20"/>
  <c r="B147" i="20"/>
  <c r="D147" i="20" s="1"/>
  <c r="B131" i="20"/>
  <c r="D131" i="20" s="1"/>
  <c r="B115" i="20"/>
  <c r="D115" i="20" s="1"/>
  <c r="B99" i="20"/>
  <c r="D99" i="20" s="1"/>
  <c r="B83" i="20"/>
  <c r="D83" i="20" s="1"/>
  <c r="F63" i="20"/>
  <c r="F47" i="20"/>
  <c r="F31" i="20"/>
  <c r="F15" i="20"/>
  <c r="E61" i="20"/>
  <c r="E45" i="20"/>
  <c r="E29" i="20"/>
  <c r="E13" i="20"/>
  <c r="B65" i="20"/>
  <c r="D65" i="20" s="1"/>
  <c r="B49" i="20"/>
  <c r="D49" i="20" s="1"/>
  <c r="B33" i="20"/>
  <c r="D33" i="20" s="1"/>
  <c r="B17" i="20"/>
  <c r="D17" i="20" s="1"/>
  <c r="D157" i="23"/>
  <c r="C256" i="16"/>
  <c r="D148" i="16"/>
  <c r="F191" i="16"/>
  <c r="F369" i="20"/>
  <c r="F233" i="20"/>
  <c r="F176" i="20"/>
  <c r="E291" i="20"/>
  <c r="E251" i="20"/>
  <c r="E163" i="20"/>
  <c r="B373" i="20"/>
  <c r="D373" i="20" s="1"/>
  <c r="B351" i="20"/>
  <c r="D351" i="20" s="1"/>
  <c r="B331" i="20"/>
  <c r="D331" i="20" s="1"/>
  <c r="B309" i="20"/>
  <c r="D309" i="20" s="1"/>
  <c r="B287" i="20"/>
  <c r="D287" i="20" s="1"/>
  <c r="B267" i="20"/>
  <c r="D267" i="20" s="1"/>
  <c r="B245" i="20"/>
  <c r="D245" i="20" s="1"/>
  <c r="B223" i="20"/>
  <c r="D223" i="20" s="1"/>
  <c r="B203" i="20"/>
  <c r="D203" i="20" s="1"/>
  <c r="B181" i="20"/>
  <c r="D181" i="20" s="1"/>
  <c r="B159" i="20"/>
  <c r="D159" i="20" s="1"/>
  <c r="F121" i="20"/>
  <c r="F105" i="20"/>
  <c r="F89" i="20"/>
  <c r="F73" i="20"/>
  <c r="E123" i="20"/>
  <c r="E107" i="20"/>
  <c r="E91" i="20"/>
  <c r="B146" i="20"/>
  <c r="D146" i="20" s="1"/>
  <c r="B114" i="20"/>
  <c r="D114" i="20" s="1"/>
  <c r="B82" i="20"/>
  <c r="D82" i="20" s="1"/>
  <c r="F46" i="20"/>
  <c r="F14" i="20"/>
  <c r="E44" i="20"/>
  <c r="E12" i="20"/>
  <c r="C577" i="16"/>
  <c r="G577" i="16" s="1"/>
  <c r="C116" i="16"/>
  <c r="E116" i="16" s="1"/>
  <c r="F354" i="20"/>
  <c r="F166" i="20"/>
  <c r="E243" i="20"/>
  <c r="E157" i="20"/>
  <c r="C550" i="16"/>
  <c r="G550" i="16" s="1"/>
  <c r="D35" i="23"/>
  <c r="C325" i="16"/>
  <c r="C227" i="16"/>
  <c r="D121" i="16"/>
  <c r="C105" i="16"/>
  <c r="E105" i="16" s="1"/>
  <c r="F173" i="16"/>
  <c r="D66" i="16"/>
  <c r="C29" i="16"/>
  <c r="J29" i="16" s="1"/>
  <c r="F351" i="20"/>
  <c r="F281" i="20"/>
  <c r="F223" i="20"/>
  <c r="F160" i="20"/>
  <c r="E331" i="20"/>
  <c r="E283" i="20"/>
  <c r="E237" i="20"/>
  <c r="E195" i="20"/>
  <c r="B367" i="20"/>
  <c r="D367" i="20" s="1"/>
  <c r="B347" i="20"/>
  <c r="D347" i="20" s="1"/>
  <c r="B325" i="20"/>
  <c r="D325" i="20" s="1"/>
  <c r="B303" i="20"/>
  <c r="D303" i="20" s="1"/>
  <c r="B283" i="20"/>
  <c r="D283" i="20" s="1"/>
  <c r="B261" i="20"/>
  <c r="D261" i="20" s="1"/>
  <c r="B239" i="20"/>
  <c r="D239" i="20" s="1"/>
  <c r="B219" i="20"/>
  <c r="D219" i="20" s="1"/>
  <c r="B197" i="20"/>
  <c r="D197" i="20" s="1"/>
  <c r="B175" i="20"/>
  <c r="D175" i="20" s="1"/>
  <c r="F151" i="20"/>
  <c r="F135" i="20"/>
  <c r="F119" i="20"/>
  <c r="F103" i="20"/>
  <c r="F87" i="20"/>
  <c r="F71" i="20"/>
  <c r="E137" i="20"/>
  <c r="E121" i="20"/>
  <c r="E105" i="20"/>
  <c r="E89" i="20"/>
  <c r="E73" i="20"/>
  <c r="B140" i="20"/>
  <c r="D140" i="20" s="1"/>
  <c r="B124" i="20"/>
  <c r="D124" i="20" s="1"/>
  <c r="B108" i="20"/>
  <c r="D108" i="20" s="1"/>
  <c r="B92" i="20"/>
  <c r="D92" i="20" s="1"/>
  <c r="B76" i="20"/>
  <c r="D76" i="20" s="1"/>
  <c r="F56" i="20"/>
  <c r="F40" i="20"/>
  <c r="F24" i="20"/>
  <c r="F8" i="20"/>
  <c r="E54" i="20"/>
  <c r="E38" i="20"/>
  <c r="E22" i="20"/>
  <c r="E6" i="20"/>
  <c r="B58" i="20"/>
  <c r="D58" i="20" s="1"/>
  <c r="B42" i="20"/>
  <c r="D42" i="20" s="1"/>
  <c r="B26" i="20"/>
  <c r="D26" i="20" s="1"/>
  <c r="B10" i="20"/>
  <c r="D10" i="20" s="1"/>
  <c r="C504" i="16"/>
  <c r="G504" i="16" s="1"/>
  <c r="C311" i="16"/>
  <c r="C92" i="16"/>
  <c r="E92" i="16" s="1"/>
  <c r="D54" i="16"/>
  <c r="F278" i="20"/>
  <c r="F157" i="20"/>
  <c r="E275" i="20"/>
  <c r="E189" i="20"/>
  <c r="B365" i="20"/>
  <c r="D365" i="20" s="1"/>
  <c r="B343" i="20"/>
  <c r="D343" i="20" s="1"/>
  <c r="B323" i="20"/>
  <c r="D323" i="20" s="1"/>
  <c r="B301" i="20"/>
  <c r="D301" i="20" s="1"/>
  <c r="B279" i="20"/>
  <c r="D279" i="20" s="1"/>
  <c r="B259" i="20"/>
  <c r="D259" i="20" s="1"/>
  <c r="B237" i="20"/>
  <c r="D237" i="20" s="1"/>
  <c r="B215" i="20"/>
  <c r="D215" i="20" s="1"/>
  <c r="B195" i="20"/>
  <c r="D195" i="20" s="1"/>
  <c r="B173" i="20"/>
  <c r="D173" i="20" s="1"/>
  <c r="F147" i="20"/>
  <c r="F131" i="20"/>
  <c r="F115" i="20"/>
  <c r="F99" i="20"/>
  <c r="F83" i="20"/>
  <c r="E149" i="20"/>
  <c r="E133" i="20"/>
  <c r="E117" i="20"/>
  <c r="E85" i="20"/>
  <c r="B57" i="20"/>
  <c r="D57" i="20" s="1"/>
  <c r="B41" i="20"/>
  <c r="D41" i="20" s="1"/>
  <c r="B25" i="20"/>
  <c r="D25" i="20" s="1"/>
  <c r="B9" i="20"/>
  <c r="D9" i="20" s="1"/>
  <c r="B138" i="20"/>
  <c r="D138" i="20" s="1"/>
  <c r="B122" i="20"/>
  <c r="D122" i="20" s="1"/>
  <c r="B106" i="20"/>
  <c r="D106" i="20" s="1"/>
  <c r="B90" i="20"/>
  <c r="D90" i="20" s="1"/>
  <c r="B74" i="20"/>
  <c r="D74" i="20" s="1"/>
  <c r="F54" i="20"/>
  <c r="F38" i="20"/>
  <c r="F22" i="20"/>
  <c r="F6" i="20"/>
  <c r="E52" i="20"/>
  <c r="E36" i="20"/>
  <c r="E20" i="20"/>
  <c r="E4" i="20"/>
  <c r="B53" i="20"/>
  <c r="D53" i="20" s="1"/>
  <c r="B21" i="20"/>
  <c r="D21" i="20" s="1"/>
  <c r="B5" i="20"/>
  <c r="D5" i="20" s="1"/>
  <c r="F137" i="20"/>
  <c r="E139" i="20"/>
  <c r="E75" i="20"/>
  <c r="F296" i="20"/>
  <c r="B349" i="20"/>
  <c r="D349" i="20" s="1"/>
  <c r="B307" i="20"/>
  <c r="D307" i="20" s="1"/>
  <c r="B263" i="20"/>
  <c r="D263" i="20" s="1"/>
  <c r="B199" i="20"/>
  <c r="D199" i="20" s="1"/>
  <c r="B157" i="20"/>
  <c r="D157" i="20" s="1"/>
  <c r="F136" i="20"/>
  <c r="F104" i="20"/>
  <c r="B126" i="20"/>
  <c r="D126" i="20" s="1"/>
  <c r="B94" i="20"/>
  <c r="D94" i="20" s="1"/>
  <c r="F58" i="20"/>
  <c r="F42" i="20"/>
  <c r="F10" i="20"/>
  <c r="E40" i="20"/>
  <c r="E8" i="20"/>
  <c r="B59" i="20"/>
  <c r="D59" i="20" s="1"/>
  <c r="B43" i="20"/>
  <c r="D43" i="20" s="1"/>
  <c r="B27" i="20"/>
  <c r="D27" i="20" s="1"/>
  <c r="B11" i="20"/>
  <c r="D11" i="20" s="1"/>
  <c r="C214" i="16"/>
  <c r="D111" i="16"/>
  <c r="D12" i="16"/>
  <c r="F343" i="20"/>
  <c r="F208" i="20"/>
  <c r="E325" i="20"/>
  <c r="E235" i="20"/>
  <c r="E101" i="20"/>
  <c r="B139" i="20"/>
  <c r="D139" i="20" s="1"/>
  <c r="B123" i="20"/>
  <c r="D123" i="20" s="1"/>
  <c r="B107" i="20"/>
  <c r="D107" i="20" s="1"/>
  <c r="B91" i="20"/>
  <c r="D91" i="20" s="1"/>
  <c r="B75" i="20"/>
  <c r="D75" i="20" s="1"/>
  <c r="F55" i="20"/>
  <c r="F39" i="20"/>
  <c r="F23" i="20"/>
  <c r="F7" i="20"/>
  <c r="E53" i="20"/>
  <c r="E37" i="20"/>
  <c r="E21" i="20"/>
  <c r="E5" i="20"/>
  <c r="B37" i="20"/>
  <c r="D37" i="20" s="1"/>
  <c r="B130" i="20"/>
  <c r="D130" i="20" s="1"/>
  <c r="F62" i="20"/>
  <c r="F30" i="20"/>
  <c r="E60" i="20"/>
  <c r="E28" i="20"/>
  <c r="D125" i="23"/>
  <c r="D138" i="16"/>
  <c r="C38" i="16"/>
  <c r="J38" i="16" s="1"/>
  <c r="F226" i="20"/>
  <c r="E285" i="20"/>
  <c r="E203" i="20"/>
  <c r="H933" i="27"/>
  <c r="C933" i="27" s="1"/>
  <c r="C932" i="27"/>
  <c r="F5324" i="27"/>
  <c r="F5325" i="27"/>
  <c r="B4268" i="27"/>
  <c r="H1353" i="27"/>
  <c r="H1354" i="27"/>
  <c r="H716" i="27"/>
  <c r="H295" i="27"/>
  <c r="AV55" i="33" a="1"/>
  <c r="AV55" i="33" s="1"/>
  <c r="C1539" i="32"/>
  <c r="Q1539" i="32" s="1"/>
  <c r="C1511" i="32"/>
  <c r="Q1511" i="32" s="1"/>
  <c r="C1531" i="32"/>
  <c r="Q1531" i="32" s="1"/>
  <c r="C1537" i="32"/>
  <c r="Q1537" i="32" s="1"/>
  <c r="C1523" i="32"/>
  <c r="Q1523" i="32" s="1"/>
  <c r="C1503" i="32"/>
  <c r="Q1503" i="32" s="1"/>
  <c r="C1515" i="32"/>
  <c r="Q1515" i="32" s="1"/>
  <c r="C1507" i="32"/>
  <c r="Q1507" i="32" s="1"/>
  <c r="C1527" i="32"/>
  <c r="Q1527" i="32" s="1"/>
  <c r="C1525" i="32"/>
  <c r="Q1525" i="32" s="1"/>
  <c r="C1533" i="32"/>
  <c r="Q1533" i="32" s="1"/>
  <c r="C1521" i="32"/>
  <c r="Q1521" i="32" s="1"/>
  <c r="C1501" i="32"/>
  <c r="Q1501" i="32" s="1"/>
  <c r="C1509" i="32"/>
  <c r="Q1509" i="32" s="1"/>
  <c r="C1517" i="32"/>
  <c r="Q1517" i="32" s="1"/>
  <c r="C1519" i="32"/>
  <c r="Q1519" i="32" s="1"/>
  <c r="C1513" i="32"/>
  <c r="Q1513" i="32" s="1"/>
  <c r="C1535" i="32"/>
  <c r="Q1535" i="32" s="1"/>
  <c r="C1505" i="32"/>
  <c r="Q1505" i="32" s="1"/>
  <c r="AU55" i="33"/>
  <c r="C1565" i="32" s="1"/>
  <c r="U360" i="32"/>
  <c r="U48" i="32"/>
  <c r="AJ33" i="30"/>
  <c r="U659" i="32"/>
  <c r="BA59" i="33"/>
  <c r="AY26" i="34"/>
  <c r="A4" i="36"/>
  <c r="A8" i="36"/>
  <c r="A13" i="24" s="1"/>
  <c r="A12" i="36"/>
  <c r="A16" i="36"/>
  <c r="A20" i="36"/>
  <c r="A24" i="36"/>
  <c r="A28" i="36"/>
  <c r="A32" i="36"/>
  <c r="A36" i="36"/>
  <c r="A40" i="36"/>
  <c r="A44" i="36"/>
  <c r="A48" i="36"/>
  <c r="V13" i="1" s="1"/>
  <c r="A52" i="36"/>
  <c r="F220" i="24" s="1"/>
  <c r="A56" i="36"/>
  <c r="A60" i="36"/>
  <c r="A64" i="36"/>
  <c r="A68" i="36"/>
  <c r="A72" i="36"/>
  <c r="A76" i="36"/>
  <c r="B314" i="32" s="1"/>
  <c r="A80" i="36"/>
  <c r="B619" i="32" s="1"/>
  <c r="A84" i="36"/>
  <c r="A88" i="36"/>
  <c r="A92" i="36"/>
  <c r="A96" i="36"/>
  <c r="A100" i="36"/>
  <c r="A5" i="36"/>
  <c r="A10" i="24" s="1"/>
  <c r="A9" i="36"/>
  <c r="A14" i="24" s="1"/>
  <c r="A13" i="36"/>
  <c r="A17" i="36"/>
  <c r="A21" i="36"/>
  <c r="A25" i="36"/>
  <c r="A29" i="36"/>
  <c r="A117" i="1" s="1"/>
  <c r="A33" i="36"/>
  <c r="A37" i="36"/>
  <c r="A41" i="36"/>
  <c r="G620" i="32" s="1"/>
  <c r="A45" i="36"/>
  <c r="A49" i="36"/>
  <c r="A53" i="36"/>
  <c r="A57" i="36"/>
  <c r="Q8" i="33" s="1"/>
  <c r="A61" i="36"/>
  <c r="A65" i="36"/>
  <c r="A69" i="36"/>
  <c r="A73" i="36"/>
  <c r="K9" i="32" s="1"/>
  <c r="A77" i="36"/>
  <c r="A8" i="31" s="1"/>
  <c r="A81" i="36"/>
  <c r="B620" i="32" s="1"/>
  <c r="A85" i="36"/>
  <c r="A89" i="36"/>
  <c r="A93" i="36"/>
  <c r="A97" i="36"/>
  <c r="A144" i="24" s="1"/>
  <c r="A101" i="36"/>
  <c r="A11" i="36"/>
  <c r="A16" i="24" s="1"/>
  <c r="A31" i="36"/>
  <c r="A39" i="36"/>
  <c r="A51" i="36"/>
  <c r="A63" i="36"/>
  <c r="A75" i="36"/>
  <c r="E620" i="32" s="1"/>
  <c r="A87" i="36"/>
  <c r="A95" i="36"/>
  <c r="R148" i="24" s="1"/>
  <c r="A103" i="36"/>
  <c r="A6" i="36"/>
  <c r="A11" i="24" s="1"/>
  <c r="A10" i="36"/>
  <c r="A15" i="24" s="1"/>
  <c r="A14" i="36"/>
  <c r="A18" i="36"/>
  <c r="A22" i="36"/>
  <c r="A26" i="36"/>
  <c r="A30" i="36"/>
  <c r="A34" i="36"/>
  <c r="A38" i="36"/>
  <c r="A42" i="36"/>
  <c r="A46" i="36"/>
  <c r="D8" i="34" s="1"/>
  <c r="A50" i="36"/>
  <c r="A54" i="36"/>
  <c r="A58" i="36"/>
  <c r="A62" i="36"/>
  <c r="A66" i="36"/>
  <c r="A70" i="36"/>
  <c r="A74" i="36"/>
  <c r="A78" i="36"/>
  <c r="A82" i="36"/>
  <c r="A86" i="36"/>
  <c r="A90" i="36"/>
  <c r="A94" i="36"/>
  <c r="A98" i="36"/>
  <c r="A102" i="36"/>
  <c r="A7" i="36"/>
  <c r="A12" i="24" s="1"/>
  <c r="A15" i="36"/>
  <c r="G10" i="24" s="1"/>
  <c r="A19" i="36"/>
  <c r="A23" i="36"/>
  <c r="A27" i="36"/>
  <c r="A35" i="36"/>
  <c r="A43" i="36"/>
  <c r="AC8" i="30" s="1"/>
  <c r="A47" i="36"/>
  <c r="A55" i="36"/>
  <c r="A59" i="36"/>
  <c r="A67" i="36"/>
  <c r="A71" i="36"/>
  <c r="A79" i="36"/>
  <c r="K315" i="32" s="1"/>
  <c r="A83" i="36"/>
  <c r="A91" i="36"/>
  <c r="A99" i="36"/>
  <c r="A3" i="36"/>
  <c r="K3" i="1" s="1"/>
  <c r="D167" i="23"/>
  <c r="D250" i="23"/>
  <c r="D6" i="23"/>
  <c r="D118" i="23"/>
  <c r="D26" i="23"/>
  <c r="B3" i="20"/>
  <c r="E155" i="20"/>
  <c r="C79" i="16"/>
  <c r="D4" i="16"/>
  <c r="C213" i="16"/>
  <c r="F155" i="20"/>
  <c r="C622" i="16"/>
  <c r="E69" i="20"/>
  <c r="D79" i="16"/>
  <c r="C25" i="16"/>
  <c r="B155" i="20"/>
  <c r="F3" i="20"/>
  <c r="C414" i="16"/>
  <c r="G414" i="16" s="1"/>
  <c r="B69" i="20"/>
  <c r="F69" i="20"/>
  <c r="E3" i="20"/>
  <c r="D25" i="16"/>
  <c r="C4" i="16"/>
  <c r="F159" i="16"/>
  <c r="J922" i="27" a="1"/>
  <c r="M918" i="27"/>
  <c r="J906" i="27" a="1"/>
  <c r="U928" i="27"/>
  <c r="I928" i="27"/>
  <c r="M906" i="27"/>
  <c r="J928" i="27" a="1"/>
  <c r="F928" i="27"/>
  <c r="M911" i="27"/>
  <c r="J911" i="27" a="1"/>
  <c r="M923" i="27"/>
  <c r="J916" i="27" a="1"/>
  <c r="J918" i="27" a="1"/>
  <c r="J904" i="27" a="1"/>
  <c r="N928" i="27"/>
  <c r="M928" i="27"/>
  <c r="M908" i="27"/>
  <c r="A659" i="32"/>
  <c r="J925" i="27" a="1"/>
  <c r="E928" i="27"/>
  <c r="E929" i="27"/>
  <c r="A48" i="32"/>
  <c r="J908" i="27" a="1"/>
  <c r="L928" i="27"/>
  <c r="J913" i="27" a="1"/>
  <c r="AL31" i="30"/>
  <c r="M910" i="27"/>
  <c r="J924" i="27" a="1"/>
  <c r="M921" i="27"/>
  <c r="J915" i="27" a="1"/>
  <c r="A360" i="32"/>
  <c r="G356" i="32"/>
  <c r="J923" i="27" a="1"/>
  <c r="D926" i="27"/>
  <c r="M927" i="27"/>
  <c r="J912" i="27" a="1"/>
  <c r="M917" i="27"/>
  <c r="M907" i="27"/>
  <c r="M843" i="27"/>
  <c r="M919" i="27"/>
  <c r="M922" i="27"/>
  <c r="BC25" i="34"/>
  <c r="M912" i="27"/>
  <c r="J920" i="27" a="1"/>
  <c r="T928" i="27"/>
  <c r="G44" i="32"/>
  <c r="J926" i="27" a="1"/>
  <c r="J910" i="27" a="1"/>
  <c r="M913" i="27"/>
  <c r="R928" i="27"/>
  <c r="V929" i="27"/>
  <c r="J927" i="27" a="1"/>
  <c r="O928" i="27"/>
  <c r="AL29" i="30"/>
  <c r="G655" i="32"/>
  <c r="J907" i="27" a="1"/>
  <c r="BD25" i="34"/>
  <c r="M926" i="27"/>
  <c r="M915" i="27"/>
  <c r="G928" i="27"/>
  <c r="J921" i="27" a="1"/>
  <c r="J917" i="27" a="1"/>
  <c r="G55" i="33"/>
  <c r="J909" i="27" a="1"/>
  <c r="M905" i="27"/>
  <c r="P928" i="27"/>
  <c r="M914" i="27"/>
  <c r="M924" i="27"/>
  <c r="J905" i="27" a="1"/>
  <c r="M904" i="27"/>
  <c r="M925" i="27"/>
  <c r="Q928" i="27"/>
  <c r="J914" i="27" a="1"/>
  <c r="AV45" i="33" l="1" a="1"/>
  <c r="AV45" i="33" s="1"/>
  <c r="AV43" i="33" a="1"/>
  <c r="AV43" i="33" s="1"/>
  <c r="AV47" i="33" a="1"/>
  <c r="AV47" i="33" s="1"/>
  <c r="AV51" i="33" a="1"/>
  <c r="AV51" i="33" s="1"/>
  <c r="J915" i="27"/>
  <c r="J917" i="27"/>
  <c r="AV31" i="33" a="1"/>
  <c r="AV31" i="33" s="1"/>
  <c r="AV35" i="33" a="1"/>
  <c r="AV35" i="33" s="1"/>
  <c r="J908" i="27"/>
  <c r="J922" i="27"/>
  <c r="A922" i="27" s="1"/>
  <c r="J906" i="27"/>
  <c r="J912" i="27"/>
  <c r="J927" i="27"/>
  <c r="A927" i="27" s="1"/>
  <c r="J914" i="27"/>
  <c r="J907" i="27"/>
  <c r="J910" i="27"/>
  <c r="J913" i="27"/>
  <c r="J911" i="27"/>
  <c r="J924" i="27"/>
  <c r="A924" i="27" s="1"/>
  <c r="J904" i="27"/>
  <c r="J926" i="27"/>
  <c r="A926" i="27" s="1"/>
  <c r="J925" i="27"/>
  <c r="A925" i="27" s="1"/>
  <c r="J909" i="27"/>
  <c r="J916" i="27"/>
  <c r="J918" i="27"/>
  <c r="J920" i="27"/>
  <c r="A920" i="27" s="1"/>
  <c r="J921" i="27"/>
  <c r="A921" i="27" s="1"/>
  <c r="J923" i="27"/>
  <c r="A923" i="27" s="1"/>
  <c r="J905" i="27"/>
  <c r="G219" i="16"/>
  <c r="H219" i="16"/>
  <c r="G122" i="1"/>
  <c r="C122" i="1"/>
  <c r="G283" i="16"/>
  <c r="H283" i="16"/>
  <c r="H273" i="16"/>
  <c r="G273" i="16"/>
  <c r="C119" i="1"/>
  <c r="G119" i="1"/>
  <c r="J66" i="16"/>
  <c r="G328" i="16"/>
  <c r="H328" i="16"/>
  <c r="G307" i="16"/>
  <c r="H307" i="16"/>
  <c r="G299" i="16"/>
  <c r="H299" i="16"/>
  <c r="H308" i="16"/>
  <c r="G308" i="16"/>
  <c r="G121" i="1"/>
  <c r="C121" i="1"/>
  <c r="G274" i="16"/>
  <c r="H274" i="16"/>
  <c r="G304" i="16"/>
  <c r="H304" i="16"/>
  <c r="G238" i="16"/>
  <c r="H238" i="16"/>
  <c r="G290" i="16"/>
  <c r="H290" i="16"/>
  <c r="H300" i="16"/>
  <c r="G300" i="16"/>
  <c r="G312" i="16"/>
  <c r="H312" i="16"/>
  <c r="E80" i="16"/>
  <c r="G277" i="16"/>
  <c r="H277" i="16"/>
  <c r="G230" i="16"/>
  <c r="H230" i="16"/>
  <c r="G234" i="16"/>
  <c r="H234" i="16"/>
  <c r="J64" i="16"/>
  <c r="H244" i="16"/>
  <c r="G244" i="16"/>
  <c r="G227" i="16"/>
  <c r="H227" i="16"/>
  <c r="G270" i="16"/>
  <c r="H270" i="16"/>
  <c r="G296" i="16"/>
  <c r="H296" i="16"/>
  <c r="G315" i="16"/>
  <c r="H315" i="16"/>
  <c r="G286" i="16"/>
  <c r="H286" i="16"/>
  <c r="G221" i="16"/>
  <c r="H221" i="16"/>
  <c r="G331" i="16"/>
  <c r="H331" i="16"/>
  <c r="J70" i="16"/>
  <c r="E85" i="16"/>
  <c r="G293" i="16"/>
  <c r="H293" i="16"/>
  <c r="H265" i="16"/>
  <c r="G265" i="16"/>
  <c r="G251" i="16"/>
  <c r="H251" i="16"/>
  <c r="H241" i="16"/>
  <c r="G241" i="16"/>
  <c r="G243" i="16"/>
  <c r="H243" i="16"/>
  <c r="G317" i="16"/>
  <c r="H317" i="16"/>
  <c r="J72" i="16"/>
  <c r="G235" i="16"/>
  <c r="H235" i="16"/>
  <c r="G309" i="16"/>
  <c r="H309" i="16"/>
  <c r="H252" i="16"/>
  <c r="G252" i="16"/>
  <c r="H316" i="16"/>
  <c r="G316" i="16"/>
  <c r="AV11" i="33" a="1"/>
  <c r="AV11" i="33" s="1"/>
  <c r="AV15" i="33" a="1"/>
  <c r="AV15" i="33" s="1"/>
  <c r="AV19" i="33" a="1"/>
  <c r="AV19" i="33" s="1"/>
  <c r="AV21" i="33" a="1"/>
  <c r="AV21" i="33" s="1"/>
  <c r="AV25" i="33" a="1"/>
  <c r="AV25" i="33" s="1"/>
  <c r="AV27" i="33" a="1"/>
  <c r="AV27" i="33" s="1"/>
  <c r="AV29" i="33" a="1"/>
  <c r="AV29" i="33" s="1"/>
  <c r="AV33" i="33" a="1"/>
  <c r="AV33" i="33" s="1"/>
  <c r="AV37" i="33" a="1"/>
  <c r="AV37" i="33" s="1"/>
  <c r="AV41" i="33" a="1"/>
  <c r="AV41" i="33" s="1"/>
  <c r="G259" i="16"/>
  <c r="H259" i="16"/>
  <c r="G314" i="16"/>
  <c r="H314" i="16"/>
  <c r="G298" i="16"/>
  <c r="H298" i="16"/>
  <c r="G214" i="16"/>
  <c r="H214" i="16"/>
  <c r="G325" i="16"/>
  <c r="H325" i="16"/>
  <c r="G330" i="16"/>
  <c r="H330" i="16"/>
  <c r="G301" i="16"/>
  <c r="H301" i="16"/>
  <c r="H233" i="16"/>
  <c r="G233" i="16"/>
  <c r="H305" i="16"/>
  <c r="G305" i="16"/>
  <c r="H279" i="16"/>
  <c r="G279" i="16"/>
  <c r="G267" i="16"/>
  <c r="H267" i="16"/>
  <c r="H255" i="16"/>
  <c r="G255" i="16"/>
  <c r="G253" i="16"/>
  <c r="H253" i="16"/>
  <c r="G326" i="16"/>
  <c r="H326" i="16"/>
  <c r="G245" i="16"/>
  <c r="H245" i="16"/>
  <c r="G318" i="16"/>
  <c r="H318" i="16"/>
  <c r="H260" i="16"/>
  <c r="G260" i="16"/>
  <c r="H324" i="16"/>
  <c r="G324" i="16"/>
  <c r="C120" i="1"/>
  <c r="G120" i="1"/>
  <c r="C123" i="1"/>
  <c r="G123" i="1"/>
  <c r="H236" i="16"/>
  <c r="G236" i="16"/>
  <c r="H297" i="16"/>
  <c r="G297" i="16"/>
  <c r="J65" i="16"/>
  <c r="H319" i="16"/>
  <c r="G319" i="16"/>
  <c r="G226" i="16"/>
  <c r="H226" i="16"/>
  <c r="G229" i="16"/>
  <c r="H229" i="16"/>
  <c r="H313" i="16"/>
  <c r="G313" i="16"/>
  <c r="G248" i="16"/>
  <c r="H248" i="16"/>
  <c r="G320" i="16"/>
  <c r="H320" i="16"/>
  <c r="G294" i="16"/>
  <c r="H294" i="16"/>
  <c r="G282" i="16"/>
  <c r="H282" i="16"/>
  <c r="G266" i="16"/>
  <c r="H266" i="16"/>
  <c r="G262" i="16"/>
  <c r="H262" i="16"/>
  <c r="G254" i="16"/>
  <c r="H254" i="16"/>
  <c r="H327" i="16"/>
  <c r="G327" i="16"/>
  <c r="H268" i="16"/>
  <c r="G268" i="16"/>
  <c r="H332" i="16"/>
  <c r="G332" i="16"/>
  <c r="G125" i="1"/>
  <c r="C125" i="1"/>
  <c r="J68" i="16"/>
  <c r="G242" i="16"/>
  <c r="H242" i="16"/>
  <c r="G258" i="16"/>
  <c r="H258" i="16"/>
  <c r="G218" i="16"/>
  <c r="H218" i="16"/>
  <c r="J71" i="16"/>
  <c r="H217" i="16"/>
  <c r="G217" i="16"/>
  <c r="G323" i="16"/>
  <c r="H323" i="16"/>
  <c r="G250" i="16"/>
  <c r="H250" i="16"/>
  <c r="H311" i="16"/>
  <c r="G311" i="16"/>
  <c r="G256" i="16"/>
  <c r="H256" i="16"/>
  <c r="G269" i="16"/>
  <c r="H269" i="16"/>
  <c r="H215" i="16"/>
  <c r="G215" i="16"/>
  <c r="H329" i="16"/>
  <c r="G329" i="16"/>
  <c r="J69" i="16"/>
  <c r="G261" i="16"/>
  <c r="H261" i="16"/>
  <c r="G222" i="16"/>
  <c r="H222" i="16"/>
  <c r="G306" i="16"/>
  <c r="H306" i="16"/>
  <c r="H295" i="16"/>
  <c r="G295" i="16"/>
  <c r="G278" i="16"/>
  <c r="H278" i="16"/>
  <c r="E82" i="16"/>
  <c r="H271" i="16"/>
  <c r="G271" i="16"/>
  <c r="H263" i="16"/>
  <c r="G263" i="16"/>
  <c r="H276" i="16"/>
  <c r="G276" i="16"/>
  <c r="J62" i="16"/>
  <c r="H287" i="16"/>
  <c r="G287" i="16"/>
  <c r="G302" i="16"/>
  <c r="H302" i="16"/>
  <c r="H231" i="16"/>
  <c r="G231" i="16"/>
  <c r="E84" i="16"/>
  <c r="G275" i="16"/>
  <c r="H275" i="16"/>
  <c r="G237" i="16"/>
  <c r="H237" i="16"/>
  <c r="H321" i="16"/>
  <c r="G321" i="16"/>
  <c r="G310" i="16"/>
  <c r="H310" i="16"/>
  <c r="G291" i="16"/>
  <c r="H291" i="16"/>
  <c r="G280" i="16"/>
  <c r="H280" i="16"/>
  <c r="E83" i="16"/>
  <c r="G272" i="16"/>
  <c r="H272" i="16"/>
  <c r="H220" i="16"/>
  <c r="G220" i="16"/>
  <c r="H284" i="16"/>
  <c r="G284" i="16"/>
  <c r="G285" i="16"/>
  <c r="H285" i="16"/>
  <c r="G264" i="16"/>
  <c r="H264" i="16"/>
  <c r="G224" i="16"/>
  <c r="H224" i="16"/>
  <c r="H225" i="16"/>
  <c r="G225" i="16"/>
  <c r="H257" i="16"/>
  <c r="G257" i="16"/>
  <c r="J67" i="16"/>
  <c r="H239" i="16"/>
  <c r="G239" i="16"/>
  <c r="AR9" i="33" a="1"/>
  <c r="AR9" i="33" s="1"/>
  <c r="G232" i="16"/>
  <c r="H232" i="16"/>
  <c r="E81" i="16"/>
  <c r="G240" i="16"/>
  <c r="H240" i="16"/>
  <c r="H247" i="16"/>
  <c r="G247" i="16"/>
  <c r="G246" i="16"/>
  <c r="H246" i="16"/>
  <c r="G288" i="16"/>
  <c r="H288" i="16"/>
  <c r="H249" i="16"/>
  <c r="G249" i="16"/>
  <c r="H223" i="16"/>
  <c r="G223" i="16"/>
  <c r="G322" i="16"/>
  <c r="H322" i="16"/>
  <c r="H303" i="16"/>
  <c r="G303" i="16"/>
  <c r="J63" i="16"/>
  <c r="G216" i="16"/>
  <c r="H216" i="16"/>
  <c r="H289" i="16"/>
  <c r="G289" i="16"/>
  <c r="H281" i="16"/>
  <c r="G281" i="16"/>
  <c r="H228" i="16"/>
  <c r="G228" i="16"/>
  <c r="H292" i="16"/>
  <c r="G292" i="16"/>
  <c r="C124" i="1"/>
  <c r="G124" i="1"/>
  <c r="F5326" i="27"/>
  <c r="B4269" i="27"/>
  <c r="H1355" i="27"/>
  <c r="J928" i="27"/>
  <c r="A928" i="27" s="1"/>
  <c r="H717" i="27"/>
  <c r="H718" i="27"/>
  <c r="H296" i="27"/>
  <c r="J25" i="16"/>
  <c r="K45" i="1"/>
  <c r="K44" i="1"/>
  <c r="K43" i="1"/>
  <c r="K42" i="1"/>
  <c r="U234" i="1"/>
  <c r="U210" i="1"/>
  <c r="U202" i="1"/>
  <c r="U178" i="1"/>
  <c r="U252" i="1"/>
  <c r="U218" i="1"/>
  <c r="U186" i="1"/>
  <c r="U170" i="1"/>
  <c r="U226" i="1"/>
  <c r="U194" i="1"/>
  <c r="U162" i="1"/>
  <c r="U250" i="1"/>
  <c r="U184" i="1"/>
  <c r="U208" i="1"/>
  <c r="U176" i="1"/>
  <c r="U232" i="1"/>
  <c r="U168" i="1"/>
  <c r="U224" i="1"/>
  <c r="U160" i="1"/>
  <c r="U216" i="1"/>
  <c r="U200" i="1"/>
  <c r="U192" i="1"/>
  <c r="U183" i="1"/>
  <c r="U236" i="1"/>
  <c r="U206" i="1"/>
  <c r="U159" i="1"/>
  <c r="U189" i="1"/>
  <c r="U253" i="1"/>
  <c r="U213" i="1"/>
  <c r="U245" i="1"/>
  <c r="U246" i="1"/>
  <c r="U214" i="1"/>
  <c r="U221" i="1"/>
  <c r="U198" i="1"/>
  <c r="U167" i="1"/>
  <c r="U204" i="1"/>
  <c r="U212" i="1"/>
  <c r="U205" i="1"/>
  <c r="U237" i="1"/>
  <c r="U231" i="1"/>
  <c r="U158" i="1"/>
  <c r="U222" i="1"/>
  <c r="U229" i="1"/>
  <c r="U191" i="1"/>
  <c r="U255" i="1"/>
  <c r="U248" i="1"/>
  <c r="U173" i="1"/>
  <c r="U238" i="1"/>
  <c r="U240" i="1"/>
  <c r="U197" i="1"/>
  <c r="U220" i="1"/>
  <c r="U207" i="1"/>
  <c r="U228" i="1"/>
  <c r="U199" i="1"/>
  <c r="U254" i="1"/>
  <c r="U166" i="1"/>
  <c r="U230" i="1"/>
  <c r="U247" i="1"/>
  <c r="U244" i="1"/>
  <c r="U174" i="1"/>
  <c r="U157" i="1"/>
  <c r="U181" i="1"/>
  <c r="U239" i="1"/>
  <c r="U175" i="1"/>
  <c r="U215" i="1"/>
  <c r="U165" i="1"/>
  <c r="U242" i="1"/>
  <c r="U223" i="1"/>
  <c r="U196" i="1"/>
  <c r="U182" i="1"/>
  <c r="U190" i="1"/>
  <c r="U243" i="1"/>
  <c r="U164" i="1"/>
  <c r="U219" i="1"/>
  <c r="U156" i="1"/>
  <c r="U227" i="1"/>
  <c r="U233" i="1"/>
  <c r="U209" i="1"/>
  <c r="U163" i="1"/>
  <c r="U195" i="1"/>
  <c r="U185" i="1"/>
  <c r="U171" i="1"/>
  <c r="U241" i="1"/>
  <c r="U203" i="1"/>
  <c r="U251" i="1"/>
  <c r="U177" i="1"/>
  <c r="U179" i="1"/>
  <c r="U225" i="1"/>
  <c r="U161" i="1"/>
  <c r="U201" i="1"/>
  <c r="U188" i="1"/>
  <c r="U187" i="1"/>
  <c r="U172" i="1"/>
  <c r="U193" i="1"/>
  <c r="U217" i="1"/>
  <c r="U211" i="1"/>
  <c r="U180" i="1"/>
  <c r="U169" i="1"/>
  <c r="U249" i="1"/>
  <c r="U235" i="1"/>
  <c r="I126" i="1"/>
  <c r="I141" i="1"/>
  <c r="I127" i="1"/>
  <c r="I144" i="1"/>
  <c r="I136" i="1"/>
  <c r="I143" i="1"/>
  <c r="I142" i="1"/>
  <c r="I125" i="1"/>
  <c r="I128" i="1"/>
  <c r="I135" i="1"/>
  <c r="I119" i="1"/>
  <c r="I134" i="1"/>
  <c r="I133" i="1"/>
  <c r="I137" i="1"/>
  <c r="I131" i="1"/>
  <c r="I122" i="1"/>
  <c r="I123" i="1"/>
  <c r="I145" i="1"/>
  <c r="I139" i="1"/>
  <c r="I120" i="1"/>
  <c r="I147" i="1"/>
  <c r="I124" i="1"/>
  <c r="I130" i="1"/>
  <c r="I132" i="1"/>
  <c r="I121" i="1"/>
  <c r="I146" i="1"/>
  <c r="I148" i="1"/>
  <c r="I129" i="1"/>
  <c r="I138" i="1"/>
  <c r="I140" i="1"/>
  <c r="AV57" i="33" a="1"/>
  <c r="AV57" i="33" s="1"/>
  <c r="C1561" i="32"/>
  <c r="C1577" i="32"/>
  <c r="C1571" i="32"/>
  <c r="C1545" i="32"/>
  <c r="C1541" i="32"/>
  <c r="C1543" i="32"/>
  <c r="C1559" i="32"/>
  <c r="C1553" i="32"/>
  <c r="C1567" i="32"/>
  <c r="C1563" i="32"/>
  <c r="C1555" i="32"/>
  <c r="C1569" i="32"/>
  <c r="C1573" i="32"/>
  <c r="C1575" i="32"/>
  <c r="C1557" i="32"/>
  <c r="C1579" i="32"/>
  <c r="C1549" i="32"/>
  <c r="C1547" i="32"/>
  <c r="C1551" i="32"/>
  <c r="AU57" i="33"/>
  <c r="C1609" i="32" s="1"/>
  <c r="A843" i="27"/>
  <c r="J4" i="16"/>
  <c r="E79" i="16"/>
  <c r="K39" i="1"/>
  <c r="L39" i="1" s="1"/>
  <c r="BA61" i="33"/>
  <c r="U661" i="32"/>
  <c r="AJ35" i="30"/>
  <c r="U50" i="32"/>
  <c r="U362" i="32"/>
  <c r="AZ47" i="33"/>
  <c r="AZ45" i="33"/>
  <c r="AZ41" i="33"/>
  <c r="AZ39" i="33"/>
  <c r="AZ51" i="33"/>
  <c r="AZ53" i="33"/>
  <c r="AZ49" i="33"/>
  <c r="AZ55" i="33"/>
  <c r="AZ57" i="33"/>
  <c r="AZ43" i="33"/>
  <c r="AQ47" i="33" a="1"/>
  <c r="AQ47" i="33" s="1"/>
  <c r="J47" i="33" s="1"/>
  <c r="AR39" i="33" a="1"/>
  <c r="AR39" i="33" s="1"/>
  <c r="AQ39" i="33" a="1"/>
  <c r="AQ39" i="33" s="1"/>
  <c r="J39" i="33" s="1"/>
  <c r="AR49" i="33" a="1"/>
  <c r="AR49" i="33" s="1"/>
  <c r="AR47" i="33" a="1"/>
  <c r="AR47" i="33" s="1"/>
  <c r="AQ53" i="33" a="1"/>
  <c r="AQ53" i="33" s="1"/>
  <c r="J53" i="33" s="1"/>
  <c r="AR53" i="33" a="1"/>
  <c r="AR53" i="33" s="1"/>
  <c r="AQ49" i="33" a="1"/>
  <c r="AQ49" i="33" s="1"/>
  <c r="J49" i="33" s="1"/>
  <c r="G169" i="24" s="1"/>
  <c r="AR57" i="33" a="1"/>
  <c r="AR57" i="33" s="1"/>
  <c r="AQ57" i="33" a="1"/>
  <c r="AQ57" i="33" s="1"/>
  <c r="J57" i="33" s="1"/>
  <c r="G173" i="24" s="1"/>
  <c r="AQ55" i="33" a="1"/>
  <c r="AQ55" i="33" s="1"/>
  <c r="J55" i="33" s="1"/>
  <c r="AR51" i="33" a="1"/>
  <c r="AR51" i="33" s="1"/>
  <c r="AR55" i="33" a="1"/>
  <c r="AR55" i="33" s="1"/>
  <c r="AR45" i="33" a="1"/>
  <c r="AR45" i="33" s="1"/>
  <c r="AQ45" i="33" a="1"/>
  <c r="AQ45" i="33" s="1"/>
  <c r="J45" i="33" s="1"/>
  <c r="AQ43" i="33" a="1"/>
  <c r="AQ43" i="33" s="1"/>
  <c r="J43" i="33" s="1"/>
  <c r="G167" i="24" s="1"/>
  <c r="AR43" i="33" a="1"/>
  <c r="AR43" i="33" s="1"/>
  <c r="AQ51" i="33" a="1"/>
  <c r="AQ51" i="33" s="1"/>
  <c r="J51" i="33" s="1"/>
  <c r="G171" i="24" s="1"/>
  <c r="AR41" i="33" a="1"/>
  <c r="AR41" i="33" s="1"/>
  <c r="AQ41" i="33" a="1"/>
  <c r="AQ41" i="33" s="1"/>
  <c r="J41" i="33" s="1"/>
  <c r="G165" i="24" s="1"/>
  <c r="H213" i="16"/>
  <c r="G213" i="16"/>
  <c r="AQ17" i="33" a="1"/>
  <c r="AQ17" i="33" s="1"/>
  <c r="J17" i="33" s="1"/>
  <c r="G153" i="24" s="1"/>
  <c r="AQ29" i="33" a="1"/>
  <c r="AQ29" i="33" s="1"/>
  <c r="J29" i="33" s="1"/>
  <c r="AR29" i="33" a="1"/>
  <c r="AR29" i="33" s="1"/>
  <c r="AR27" i="33" a="1"/>
  <c r="AR27" i="33" s="1"/>
  <c r="AQ15" i="33" a="1"/>
  <c r="AQ15" i="33" s="1"/>
  <c r="J15" i="33" s="1"/>
  <c r="AR17" i="33" a="1"/>
  <c r="AR17" i="33" s="1"/>
  <c r="AQ25" i="33" a="1"/>
  <c r="AQ25" i="33" s="1"/>
  <c r="J25" i="33" s="1"/>
  <c r="G157" i="24" s="1"/>
  <c r="AR25" i="33" a="1"/>
  <c r="AR25" i="33" s="1"/>
  <c r="AQ33" i="33" a="1"/>
  <c r="AQ33" i="33" s="1"/>
  <c r="J33" i="33" s="1"/>
  <c r="G161" i="24" s="1"/>
  <c r="AQ37" i="33" a="1"/>
  <c r="AQ37" i="33" s="1"/>
  <c r="J37" i="33" s="1"/>
  <c r="AR37" i="33" a="1"/>
  <c r="AR37" i="33" s="1"/>
  <c r="AR33" i="33" a="1"/>
  <c r="AR33" i="33" s="1"/>
  <c r="AR11" i="33" a="1"/>
  <c r="AR11" i="33" s="1"/>
  <c r="AQ11" i="33" a="1"/>
  <c r="AQ11" i="33" s="1"/>
  <c r="J11" i="33" s="1"/>
  <c r="G151" i="24" s="1"/>
  <c r="AR31" i="33" a="1"/>
  <c r="AR31" i="33" s="1"/>
  <c r="AQ27" i="33" a="1"/>
  <c r="AQ27" i="33" s="1"/>
  <c r="J27" i="33" s="1"/>
  <c r="G159" i="24" s="1"/>
  <c r="AQ19" i="33" a="1"/>
  <c r="AQ19" i="33" s="1"/>
  <c r="J19" i="33" s="1"/>
  <c r="G155" i="24" s="1"/>
  <c r="AQ23" i="33" a="1"/>
  <c r="AQ23" i="33" s="1"/>
  <c r="J23" i="33" s="1"/>
  <c r="AQ13" i="33" a="1"/>
  <c r="AQ13" i="33" s="1"/>
  <c r="J13" i="33" s="1"/>
  <c r="AR23" i="33" a="1"/>
  <c r="AR23" i="33" s="1"/>
  <c r="AQ31" i="33" a="1"/>
  <c r="AQ31" i="33" s="1"/>
  <c r="J31" i="33" s="1"/>
  <c r="AR19" i="33" a="1"/>
  <c r="AR19" i="33" s="1"/>
  <c r="AR35" i="33" a="1"/>
  <c r="AR35" i="33" s="1"/>
  <c r="AQ35" i="33" a="1"/>
  <c r="AQ35" i="33" s="1"/>
  <c r="J35" i="33" s="1"/>
  <c r="G163" i="24" s="1"/>
  <c r="AQ21" i="33" a="1"/>
  <c r="AQ21" i="33" s="1"/>
  <c r="J21" i="33" s="1"/>
  <c r="AR21" i="33" a="1"/>
  <c r="AR21" i="33" s="1"/>
  <c r="AR15" i="33" a="1"/>
  <c r="AR15" i="33" s="1"/>
  <c r="AR13" i="33" a="1"/>
  <c r="AR13" i="33" s="1"/>
  <c r="AY27" i="34"/>
  <c r="C620" i="32"/>
  <c r="K620" i="32"/>
  <c r="L620" i="32"/>
  <c r="D620" i="32"/>
  <c r="E2431" i="27"/>
  <c r="F5" i="32"/>
  <c r="B5" i="34"/>
  <c r="B5" i="31"/>
  <c r="B4" i="33"/>
  <c r="B5" i="30"/>
  <c r="L315" i="32"/>
  <c r="AJ8" i="34"/>
  <c r="T8" i="34"/>
  <c r="L8" i="34"/>
  <c r="H8" i="34"/>
  <c r="X8" i="34"/>
  <c r="AF8" i="34"/>
  <c r="AB8" i="34"/>
  <c r="P8" i="34"/>
  <c r="XEP1" i="33"/>
  <c r="XEO1" i="33"/>
  <c r="AK8" i="34"/>
  <c r="AC8" i="34"/>
  <c r="U8" i="34"/>
  <c r="M8" i="34"/>
  <c r="AG8" i="34"/>
  <c r="Y8" i="34"/>
  <c r="Q8" i="34"/>
  <c r="I8" i="34"/>
  <c r="B5" i="32"/>
  <c r="A5" i="34"/>
  <c r="A5" i="31"/>
  <c r="A4" i="33"/>
  <c r="G57" i="33"/>
  <c r="M930" i="27"/>
  <c r="J929" i="27" a="1"/>
  <c r="G929" i="27"/>
  <c r="BD59" i="33"/>
  <c r="Q929" i="27"/>
  <c r="G46" i="32"/>
  <c r="G358" i="32"/>
  <c r="BD61" i="33"/>
  <c r="U929" i="27"/>
  <c r="D927" i="27"/>
  <c r="BC26" i="34"/>
  <c r="G657" i="32"/>
  <c r="BD26" i="34"/>
  <c r="T929" i="27"/>
  <c r="W1565" i="32" l="1"/>
  <c r="K1565" i="32" s="1"/>
  <c r="F5327" i="27"/>
  <c r="B4270" i="27"/>
  <c r="H1356" i="27"/>
  <c r="J929" i="27"/>
  <c r="A929" i="27" s="1"/>
  <c r="H719" i="27"/>
  <c r="H297" i="27"/>
  <c r="L211" i="1"/>
  <c r="O211" i="1" s="1"/>
  <c r="L225" i="1"/>
  <c r="AC225" i="1" s="1"/>
  <c r="L195" i="1"/>
  <c r="O195" i="1" s="1"/>
  <c r="L243" i="1"/>
  <c r="N243" i="1" s="1"/>
  <c r="L175" i="1"/>
  <c r="N175" i="1" s="1"/>
  <c r="L166" i="1"/>
  <c r="O166" i="1" s="1"/>
  <c r="L238" i="1"/>
  <c r="N238" i="1" s="1"/>
  <c r="L231" i="1"/>
  <c r="N231" i="1" s="1"/>
  <c r="L214" i="1"/>
  <c r="O214" i="1" s="1"/>
  <c r="L236" i="1"/>
  <c r="M236" i="1" s="1"/>
  <c r="L232" i="1"/>
  <c r="O232" i="1" s="1"/>
  <c r="L170" i="1"/>
  <c r="N170" i="1" s="1"/>
  <c r="L42" i="1"/>
  <c r="L43" i="1"/>
  <c r="L44" i="1"/>
  <c r="L45" i="1"/>
  <c r="G41" i="29"/>
  <c r="L41" i="1"/>
  <c r="G40" i="29"/>
  <c r="L40" i="1"/>
  <c r="L217" i="1"/>
  <c r="L179" i="1"/>
  <c r="L163" i="1"/>
  <c r="L190" i="1"/>
  <c r="L239" i="1"/>
  <c r="L254" i="1"/>
  <c r="L173" i="1"/>
  <c r="L237" i="1"/>
  <c r="L246" i="1"/>
  <c r="L183" i="1"/>
  <c r="L176" i="1"/>
  <c r="L186" i="1"/>
  <c r="L193" i="1"/>
  <c r="L177" i="1"/>
  <c r="L209" i="1"/>
  <c r="L182" i="1"/>
  <c r="L181" i="1"/>
  <c r="L199" i="1"/>
  <c r="L248" i="1"/>
  <c r="L205" i="1"/>
  <c r="L245" i="1"/>
  <c r="L192" i="1"/>
  <c r="L208" i="1"/>
  <c r="L218" i="1"/>
  <c r="L172" i="1"/>
  <c r="L251" i="1"/>
  <c r="L233" i="1"/>
  <c r="L196" i="1"/>
  <c r="L157" i="1"/>
  <c r="L228" i="1"/>
  <c r="L255" i="1"/>
  <c r="L212" i="1"/>
  <c r="L213" i="1"/>
  <c r="L200" i="1"/>
  <c r="L184" i="1"/>
  <c r="L252" i="1"/>
  <c r="L235" i="1"/>
  <c r="L187" i="1"/>
  <c r="L203" i="1"/>
  <c r="L227" i="1"/>
  <c r="L223" i="1"/>
  <c r="L174" i="1"/>
  <c r="L207" i="1"/>
  <c r="L191" i="1"/>
  <c r="L204" i="1"/>
  <c r="L253" i="1"/>
  <c r="L216" i="1"/>
  <c r="L250" i="1"/>
  <c r="L178" i="1"/>
  <c r="L249" i="1"/>
  <c r="L188" i="1"/>
  <c r="L241" i="1"/>
  <c r="L156" i="1"/>
  <c r="L242" i="1"/>
  <c r="L244" i="1"/>
  <c r="L220" i="1"/>
  <c r="L229" i="1"/>
  <c r="L167" i="1"/>
  <c r="L189" i="1"/>
  <c r="L160" i="1"/>
  <c r="L162" i="1"/>
  <c r="L202" i="1"/>
  <c r="L169" i="1"/>
  <c r="L201" i="1"/>
  <c r="L171" i="1"/>
  <c r="L219" i="1"/>
  <c r="L165" i="1"/>
  <c r="L247" i="1"/>
  <c r="L197" i="1"/>
  <c r="L222" i="1"/>
  <c r="L198" i="1"/>
  <c r="L159" i="1"/>
  <c r="L224" i="1"/>
  <c r="L194" i="1"/>
  <c r="L210" i="1"/>
  <c r="L180" i="1"/>
  <c r="L161" i="1"/>
  <c r="L185" i="1"/>
  <c r="L164" i="1"/>
  <c r="L215" i="1"/>
  <c r="L230" i="1"/>
  <c r="L240" i="1"/>
  <c r="L158" i="1"/>
  <c r="L221" i="1"/>
  <c r="L206" i="1"/>
  <c r="L168" i="1"/>
  <c r="L226" i="1"/>
  <c r="L234" i="1"/>
  <c r="W1539" i="32"/>
  <c r="K1539" i="32" s="1"/>
  <c r="W1507" i="32"/>
  <c r="K1507" i="32" s="1"/>
  <c r="W1431" i="32"/>
  <c r="K1431" i="32" s="1"/>
  <c r="W1455" i="32"/>
  <c r="K1455" i="32" s="1"/>
  <c r="W1405" i="32"/>
  <c r="K1405" i="32" s="1"/>
  <c r="W1305" i="32"/>
  <c r="K1305" i="32" s="1"/>
  <c r="W1289" i="32"/>
  <c r="K1289" i="32" s="1"/>
  <c r="W1269" i="32"/>
  <c r="K1269" i="32" s="1"/>
  <c r="W1489" i="32"/>
  <c r="K1489" i="32" s="1"/>
  <c r="W1427" i="32"/>
  <c r="K1427" i="32" s="1"/>
  <c r="W1307" i="32"/>
  <c r="K1307" i="32" s="1"/>
  <c r="W1271" i="32"/>
  <c r="K1271" i="32" s="1"/>
  <c r="W1451" i="32"/>
  <c r="K1451" i="32" s="1"/>
  <c r="W1493" i="32"/>
  <c r="K1493" i="32" s="1"/>
  <c r="W1417" i="32"/>
  <c r="K1417" i="32" s="1"/>
  <c r="W1315" i="32"/>
  <c r="K1315" i="32" s="1"/>
  <c r="W1227" i="32"/>
  <c r="K1227" i="32" s="1"/>
  <c r="W1479" i="32"/>
  <c r="K1479" i="32" s="1"/>
  <c r="W1501" i="32"/>
  <c r="K1501" i="32" s="1"/>
  <c r="W1465" i="32"/>
  <c r="K1465" i="32" s="1"/>
  <c r="W1399" i="32"/>
  <c r="K1399" i="32" s="1"/>
  <c r="W1317" i="32"/>
  <c r="K1317" i="32" s="1"/>
  <c r="W1257" i="32"/>
  <c r="K1257" i="32" s="1"/>
  <c r="W1335" i="32"/>
  <c r="K1335" i="32" s="1"/>
  <c r="W1511" i="32"/>
  <c r="K1511" i="32" s="1"/>
  <c r="W1497" i="32"/>
  <c r="K1497" i="32" s="1"/>
  <c r="W1409" i="32"/>
  <c r="K1409" i="32" s="1"/>
  <c r="W1267" i="32"/>
  <c r="K1267" i="32" s="1"/>
  <c r="W1225" i="32"/>
  <c r="K1225" i="32" s="1"/>
  <c r="W1243" i="32"/>
  <c r="K1243" i="32" s="1"/>
  <c r="W1503" i="32"/>
  <c r="K1503" i="32" s="1"/>
  <c r="W1449" i="32"/>
  <c r="K1449" i="32" s="1"/>
  <c r="W1411" i="32"/>
  <c r="K1411" i="32" s="1"/>
  <c r="W1273" i="32"/>
  <c r="K1273" i="32" s="1"/>
  <c r="W1237" i="32"/>
  <c r="K1237" i="32" s="1"/>
  <c r="AV59" i="33" a="1"/>
  <c r="AV59" i="33" s="1"/>
  <c r="W1559" i="32"/>
  <c r="K1559" i="32" s="1"/>
  <c r="W1577" i="32"/>
  <c r="K1577" i="32" s="1"/>
  <c r="W1561" i="32"/>
  <c r="K1561" i="32" s="1"/>
  <c r="W1575" i="32"/>
  <c r="K1575" i="32" s="1"/>
  <c r="W1521" i="32"/>
  <c r="K1521" i="32" s="1"/>
  <c r="W1525" i="32"/>
  <c r="K1525" i="32" s="1"/>
  <c r="W1535" i="32"/>
  <c r="K1535" i="32" s="1"/>
  <c r="W1533" i="32"/>
  <c r="K1533" i="32" s="1"/>
  <c r="W1519" i="32"/>
  <c r="K1519" i="32" s="1"/>
  <c r="W1485" i="32"/>
  <c r="K1485" i="32" s="1"/>
  <c r="W1495" i="32"/>
  <c r="K1495" i="32" s="1"/>
  <c r="W1473" i="32"/>
  <c r="K1473" i="32" s="1"/>
  <c r="W1481" i="32"/>
  <c r="K1481" i="32" s="1"/>
  <c r="W1461" i="32"/>
  <c r="K1461" i="32" s="1"/>
  <c r="W1433" i="32"/>
  <c r="K1433" i="32" s="1"/>
  <c r="W1441" i="32"/>
  <c r="K1441" i="32" s="1"/>
  <c r="W1435" i="32"/>
  <c r="K1435" i="32" s="1"/>
  <c r="W1437" i="32"/>
  <c r="K1437" i="32" s="1"/>
  <c r="W1453" i="32"/>
  <c r="K1453" i="32" s="1"/>
  <c r="W1415" i="32"/>
  <c r="K1415" i="32" s="1"/>
  <c r="W1413" i="32"/>
  <c r="K1413" i="32" s="1"/>
  <c r="W1385" i="32"/>
  <c r="K1385" i="32" s="1"/>
  <c r="W1391" i="32"/>
  <c r="K1391" i="32" s="1"/>
  <c r="W1407" i="32"/>
  <c r="K1407" i="32" s="1"/>
  <c r="W1313" i="32"/>
  <c r="K1313" i="32" s="1"/>
  <c r="W1319" i="32"/>
  <c r="K1319" i="32" s="1"/>
  <c r="W1309" i="32"/>
  <c r="K1309" i="32" s="1"/>
  <c r="W1333" i="32"/>
  <c r="K1333" i="32" s="1"/>
  <c r="W1303" i="32"/>
  <c r="K1303" i="32" s="1"/>
  <c r="W1295" i="32"/>
  <c r="K1295" i="32" s="1"/>
  <c r="W1285" i="32"/>
  <c r="K1285" i="32" s="1"/>
  <c r="W1293" i="32"/>
  <c r="K1293" i="32" s="1"/>
  <c r="W1299" i="32"/>
  <c r="K1299" i="32" s="1"/>
  <c r="W1297" i="32"/>
  <c r="K1297" i="32" s="1"/>
  <c r="W1221" i="32"/>
  <c r="K1221" i="32" s="1"/>
  <c r="W1255" i="32"/>
  <c r="K1255" i="32" s="1"/>
  <c r="W1253" i="32"/>
  <c r="K1253" i="32" s="1"/>
  <c r="W1233" i="32"/>
  <c r="K1233" i="32" s="1"/>
  <c r="W1241" i="32"/>
  <c r="K1241" i="32" s="1"/>
  <c r="W1609" i="32"/>
  <c r="K1609" i="32" s="1"/>
  <c r="W1549" i="32"/>
  <c r="K1549" i="32" s="1"/>
  <c r="W1505" i="32"/>
  <c r="K1505" i="32" s="1"/>
  <c r="W1523" i="32"/>
  <c r="K1523" i="32" s="1"/>
  <c r="W1527" i="32"/>
  <c r="K1527" i="32" s="1"/>
  <c r="W1529" i="32"/>
  <c r="K1529" i="32" s="1"/>
  <c r="W1531" i="32"/>
  <c r="K1531" i="32" s="1"/>
  <c r="W1477" i="32"/>
  <c r="K1477" i="32" s="1"/>
  <c r="W1471" i="32"/>
  <c r="K1471" i="32" s="1"/>
  <c r="W1469" i="32"/>
  <c r="K1469" i="32" s="1"/>
  <c r="W1475" i="32"/>
  <c r="K1475" i="32" s="1"/>
  <c r="W1499" i="32"/>
  <c r="K1499" i="32" s="1"/>
  <c r="W1423" i="32"/>
  <c r="K1423" i="32" s="1"/>
  <c r="W1425" i="32"/>
  <c r="K1425" i="32" s="1"/>
  <c r="W1447" i="32"/>
  <c r="K1447" i="32" s="1"/>
  <c r="W1421" i="32"/>
  <c r="K1421" i="32" s="1"/>
  <c r="W1439" i="32"/>
  <c r="K1439" i="32" s="1"/>
  <c r="W1387" i="32"/>
  <c r="K1387" i="32" s="1"/>
  <c r="W1395" i="32"/>
  <c r="K1395" i="32" s="1"/>
  <c r="W1393" i="32"/>
  <c r="K1393" i="32" s="1"/>
  <c r="W1381" i="32"/>
  <c r="K1381" i="32" s="1"/>
  <c r="W1383" i="32"/>
  <c r="K1383" i="32" s="1"/>
  <c r="W1301" i="32"/>
  <c r="K1301" i="32" s="1"/>
  <c r="W1329" i="32"/>
  <c r="K1329" i="32" s="1"/>
  <c r="W1331" i="32"/>
  <c r="K1331" i="32" s="1"/>
  <c r="W1337" i="32"/>
  <c r="K1337" i="32" s="1"/>
  <c r="W1339" i="32"/>
  <c r="K1339" i="32" s="1"/>
  <c r="W1261" i="32"/>
  <c r="K1261" i="32" s="1"/>
  <c r="W1265" i="32"/>
  <c r="K1265" i="32" s="1"/>
  <c r="W1287" i="32"/>
  <c r="K1287" i="32" s="1"/>
  <c r="W1291" i="32"/>
  <c r="K1291" i="32" s="1"/>
  <c r="W1263" i="32"/>
  <c r="K1263" i="32" s="1"/>
  <c r="W1239" i="32"/>
  <c r="K1239" i="32" s="1"/>
  <c r="W1247" i="32"/>
  <c r="K1247" i="32" s="1"/>
  <c r="W1231" i="32"/>
  <c r="K1231" i="32" s="1"/>
  <c r="W1249" i="32"/>
  <c r="K1249" i="32" s="1"/>
  <c r="W1251" i="32"/>
  <c r="K1251" i="32" s="1"/>
  <c r="W1573" i="32"/>
  <c r="K1573" i="32" s="1"/>
  <c r="W1541" i="32"/>
  <c r="K1541" i="32" s="1"/>
  <c r="W1509" i="32"/>
  <c r="K1509" i="32" s="1"/>
  <c r="W1513" i="32"/>
  <c r="K1513" i="32" s="1"/>
  <c r="W1517" i="32"/>
  <c r="K1517" i="32" s="1"/>
  <c r="W1537" i="32"/>
  <c r="K1537" i="32" s="1"/>
  <c r="W1515" i="32"/>
  <c r="K1515" i="32" s="1"/>
  <c r="W1491" i="32"/>
  <c r="K1491" i="32" s="1"/>
  <c r="W1467" i="32"/>
  <c r="K1467" i="32" s="1"/>
  <c r="W1487" i="32"/>
  <c r="K1487" i="32" s="1"/>
  <c r="W1463" i="32"/>
  <c r="K1463" i="32" s="1"/>
  <c r="W1483" i="32"/>
  <c r="K1483" i="32" s="1"/>
  <c r="W1429" i="32"/>
  <c r="K1429" i="32" s="1"/>
  <c r="W1445" i="32"/>
  <c r="K1445" i="32" s="1"/>
  <c r="W1443" i="32"/>
  <c r="K1443" i="32" s="1"/>
  <c r="W1457" i="32"/>
  <c r="K1457" i="32" s="1"/>
  <c r="W1459" i="32"/>
  <c r="K1459" i="32" s="1"/>
  <c r="W1397" i="32"/>
  <c r="K1397" i="32" s="1"/>
  <c r="W1419" i="32"/>
  <c r="K1419" i="32" s="1"/>
  <c r="W1389" i="32"/>
  <c r="K1389" i="32" s="1"/>
  <c r="W1401" i="32"/>
  <c r="K1401" i="32" s="1"/>
  <c r="W1403" i="32"/>
  <c r="K1403" i="32" s="1"/>
  <c r="W1321" i="32"/>
  <c r="K1321" i="32" s="1"/>
  <c r="W1323" i="32"/>
  <c r="K1323" i="32" s="1"/>
  <c r="W1311" i="32"/>
  <c r="K1311" i="32" s="1"/>
  <c r="W1325" i="32"/>
  <c r="K1325" i="32" s="1"/>
  <c r="W1327" i="32"/>
  <c r="K1327" i="32" s="1"/>
  <c r="W1283" i="32"/>
  <c r="K1283" i="32" s="1"/>
  <c r="W1279" i="32"/>
  <c r="K1279" i="32" s="1"/>
  <c r="W1277" i="32"/>
  <c r="K1277" i="32" s="1"/>
  <c r="W1275" i="32"/>
  <c r="K1275" i="32" s="1"/>
  <c r="W1281" i="32"/>
  <c r="K1281" i="32" s="1"/>
  <c r="W1259" i="32"/>
  <c r="K1259" i="32" s="1"/>
  <c r="W1223" i="32"/>
  <c r="K1223" i="32" s="1"/>
  <c r="W1229" i="32"/>
  <c r="K1229" i="32" s="1"/>
  <c r="W1235" i="32"/>
  <c r="K1235" i="32" s="1"/>
  <c r="W1245" i="32"/>
  <c r="K1245" i="32" s="1"/>
  <c r="W1571" i="32"/>
  <c r="K1571" i="32" s="1"/>
  <c r="W1543" i="32"/>
  <c r="K1543" i="32" s="1"/>
  <c r="W1555" i="32"/>
  <c r="K1555" i="32" s="1"/>
  <c r="W1545" i="32"/>
  <c r="K1545" i="32" s="1"/>
  <c r="W1569" i="32"/>
  <c r="K1569" i="32" s="1"/>
  <c r="C1615" i="32"/>
  <c r="Q1615" i="32" s="1"/>
  <c r="Q1609" i="32"/>
  <c r="W1553" i="32"/>
  <c r="K1553" i="32" s="1"/>
  <c r="C1611" i="32"/>
  <c r="W1611" i="32" s="1"/>
  <c r="K1611" i="32" s="1"/>
  <c r="W1563" i="32"/>
  <c r="K1563" i="32" s="1"/>
  <c r="C1583" i="32"/>
  <c r="W1583" i="32" s="1"/>
  <c r="K1583" i="32" s="1"/>
  <c r="C1607" i="32"/>
  <c r="W1607" i="32" s="1"/>
  <c r="K1607" i="32" s="1"/>
  <c r="W1567" i="32"/>
  <c r="K1567" i="32" s="1"/>
  <c r="W1557" i="32"/>
  <c r="K1557" i="32" s="1"/>
  <c r="W1551" i="32"/>
  <c r="K1551" i="32" s="1"/>
  <c r="W1547" i="32"/>
  <c r="K1547" i="32" s="1"/>
  <c r="W1579" i="32"/>
  <c r="K1579" i="32" s="1"/>
  <c r="C1587" i="32"/>
  <c r="W1587" i="32" s="1"/>
  <c r="K1587" i="32" s="1"/>
  <c r="C1589" i="32"/>
  <c r="Q1589" i="32" s="1"/>
  <c r="C1593" i="32"/>
  <c r="W1593" i="32" s="1"/>
  <c r="K1593" i="32" s="1"/>
  <c r="C1605" i="32"/>
  <c r="Q1605" i="32" s="1"/>
  <c r="C1595" i="32"/>
  <c r="W1595" i="32" s="1"/>
  <c r="K1595" i="32" s="1"/>
  <c r="C1581" i="32"/>
  <c r="W1581" i="32" s="1"/>
  <c r="K1581" i="32" s="1"/>
  <c r="C1591" i="32"/>
  <c r="Q1591" i="32" s="1"/>
  <c r="C1613" i="32"/>
  <c r="Q1613" i="32" s="1"/>
  <c r="C1619" i="32"/>
  <c r="W1619" i="32" s="1"/>
  <c r="K1619" i="32" s="1"/>
  <c r="C1601" i="32"/>
  <c r="W1601" i="32" s="1"/>
  <c r="K1601" i="32" s="1"/>
  <c r="C1597" i="32"/>
  <c r="Q1597" i="32" s="1"/>
  <c r="C1599" i="32"/>
  <c r="Q1599" i="32" s="1"/>
  <c r="C1585" i="32"/>
  <c r="W1585" i="32" s="1"/>
  <c r="K1585" i="32" s="1"/>
  <c r="C1617" i="32"/>
  <c r="W1617" i="32" s="1"/>
  <c r="K1617" i="32" s="1"/>
  <c r="C1603" i="32"/>
  <c r="W1603" i="32" s="1"/>
  <c r="K1603" i="32" s="1"/>
  <c r="AZ59" i="33"/>
  <c r="AQ59" i="33" a="1"/>
  <c r="AQ59" i="33" s="1"/>
  <c r="J59" i="33" s="1"/>
  <c r="G175" i="24" s="1"/>
  <c r="AU59" i="33"/>
  <c r="C1629" i="32" s="1"/>
  <c r="W1629" i="32" s="1"/>
  <c r="K1629" i="32" s="1"/>
  <c r="AR59" i="33" a="1"/>
  <c r="AR59" i="33" s="1"/>
  <c r="AT59" i="33" s="1"/>
  <c r="W1365" i="32"/>
  <c r="K1365" i="32" s="1"/>
  <c r="W1369" i="32"/>
  <c r="K1369" i="32" s="1"/>
  <c r="W1361" i="32"/>
  <c r="K1361" i="32" s="1"/>
  <c r="W1375" i="32"/>
  <c r="K1375" i="32" s="1"/>
  <c r="W1359" i="32"/>
  <c r="K1359" i="32" s="1"/>
  <c r="W1351" i="32"/>
  <c r="K1351" i="32" s="1"/>
  <c r="W1363" i="32"/>
  <c r="K1363" i="32" s="1"/>
  <c r="W1347" i="32"/>
  <c r="K1347" i="32" s="1"/>
  <c r="W1343" i="32"/>
  <c r="K1343" i="32" s="1"/>
  <c r="W1355" i="32"/>
  <c r="K1355" i="32" s="1"/>
  <c r="W1379" i="32"/>
  <c r="K1379" i="32" s="1"/>
  <c r="W1357" i="32"/>
  <c r="K1357" i="32" s="1"/>
  <c r="W1367" i="32"/>
  <c r="K1367" i="32" s="1"/>
  <c r="W1341" i="32"/>
  <c r="K1341" i="32" s="1"/>
  <c r="W1345" i="32"/>
  <c r="K1345" i="32" s="1"/>
  <c r="W1373" i="32"/>
  <c r="K1373" i="32" s="1"/>
  <c r="W1377" i="32"/>
  <c r="K1377" i="32" s="1"/>
  <c r="W1353" i="32"/>
  <c r="K1353" i="32" s="1"/>
  <c r="W1349" i="32"/>
  <c r="K1349" i="32" s="1"/>
  <c r="W1371" i="32"/>
  <c r="K1371" i="32" s="1"/>
  <c r="G39" i="29"/>
  <c r="U364" i="32"/>
  <c r="U52" i="32"/>
  <c r="AJ37" i="30"/>
  <c r="U663" i="32"/>
  <c r="BA63" i="33"/>
  <c r="AT51" i="33"/>
  <c r="AS51" i="33"/>
  <c r="AT57" i="33"/>
  <c r="AS57" i="33"/>
  <c r="AT53" i="33"/>
  <c r="AS53" i="33"/>
  <c r="AW47" i="33"/>
  <c r="AY47" i="33"/>
  <c r="AX47" i="33"/>
  <c r="AY39" i="33"/>
  <c r="AW39" i="33"/>
  <c r="AX39" i="33"/>
  <c r="AS47" i="33"/>
  <c r="AT47" i="33"/>
  <c r="AS49" i="33"/>
  <c r="AT49" i="33"/>
  <c r="AS55" i="33"/>
  <c r="AT55" i="33"/>
  <c r="AS39" i="33"/>
  <c r="AT39" i="33"/>
  <c r="AW49" i="33"/>
  <c r="AY49" i="33"/>
  <c r="AX49" i="33"/>
  <c r="AY41" i="33"/>
  <c r="AX41" i="33"/>
  <c r="AW41" i="33"/>
  <c r="AT41" i="33"/>
  <c r="AS41" i="33"/>
  <c r="AX45" i="33"/>
  <c r="AY45" i="33"/>
  <c r="AW45" i="33"/>
  <c r="AT43" i="33"/>
  <c r="AS43" i="33"/>
  <c r="AW57" i="33"/>
  <c r="AX57" i="33"/>
  <c r="AY57" i="33"/>
  <c r="AW51" i="33"/>
  <c r="AX51" i="33"/>
  <c r="AY51" i="33"/>
  <c r="AY55" i="33"/>
  <c r="AW55" i="33"/>
  <c r="AX55" i="33"/>
  <c r="AY53" i="33"/>
  <c r="AW53" i="33"/>
  <c r="AX53" i="33"/>
  <c r="AS45" i="33"/>
  <c r="AT45" i="33"/>
  <c r="AX43" i="33"/>
  <c r="AY43" i="33"/>
  <c r="AW43" i="33"/>
  <c r="AY37" i="33"/>
  <c r="AX37" i="33"/>
  <c r="AW37" i="33"/>
  <c r="AY33" i="33"/>
  <c r="AX33" i="33"/>
  <c r="AW33" i="33"/>
  <c r="AS25" i="33"/>
  <c r="AT25" i="33"/>
  <c r="AY25" i="33"/>
  <c r="AW25" i="33"/>
  <c r="AX25" i="33"/>
  <c r="AX29" i="33"/>
  <c r="AW29" i="33"/>
  <c r="AY29" i="33"/>
  <c r="AT17" i="33"/>
  <c r="AS17" i="33"/>
  <c r="AW17" i="33"/>
  <c r="AX17" i="33"/>
  <c r="AY17" i="33"/>
  <c r="AS27" i="33"/>
  <c r="AT27" i="33"/>
  <c r="AT15" i="33"/>
  <c r="AS15" i="33"/>
  <c r="AT29" i="33"/>
  <c r="AS29" i="33"/>
  <c r="AT21" i="33"/>
  <c r="AS21" i="33"/>
  <c r="AT35" i="33"/>
  <c r="AS35" i="33"/>
  <c r="AS19" i="33"/>
  <c r="AT19" i="33"/>
  <c r="AT13" i="33"/>
  <c r="AS13" i="33"/>
  <c r="AT23" i="33"/>
  <c r="AS23" i="33"/>
  <c r="AY15" i="33"/>
  <c r="AW15" i="33"/>
  <c r="AX15" i="33"/>
  <c r="AX13" i="33"/>
  <c r="AY13" i="33"/>
  <c r="AW13" i="33"/>
  <c r="AY21" i="33"/>
  <c r="AW21" i="33"/>
  <c r="AX21" i="33"/>
  <c r="AX35" i="33"/>
  <c r="AY35" i="33"/>
  <c r="AW35" i="33"/>
  <c r="AS31" i="33"/>
  <c r="AT31" i="33"/>
  <c r="AX11" i="33"/>
  <c r="AW11" i="33"/>
  <c r="AY11" i="33"/>
  <c r="AY31" i="33"/>
  <c r="AW31" i="33"/>
  <c r="AX31" i="33"/>
  <c r="AT11" i="33"/>
  <c r="AS11" i="33"/>
  <c r="AT33" i="33"/>
  <c r="AS33" i="33"/>
  <c r="AT37" i="33"/>
  <c r="AS37" i="33"/>
  <c r="AY19" i="33"/>
  <c r="AX19" i="33"/>
  <c r="AW19" i="33"/>
  <c r="AY23" i="33"/>
  <c r="AX23" i="33"/>
  <c r="AW23" i="33"/>
  <c r="AY27" i="33"/>
  <c r="AX27" i="33"/>
  <c r="AW27" i="33"/>
  <c r="AY28" i="34"/>
  <c r="E118" i="1"/>
  <c r="C118" i="1"/>
  <c r="K925" i="27"/>
  <c r="BC28" i="34"/>
  <c r="K909" i="27"/>
  <c r="K927" i="27"/>
  <c r="BD27" i="34"/>
  <c r="K926" i="27"/>
  <c r="K905" i="27"/>
  <c r="M931" i="27"/>
  <c r="K913" i="27"/>
  <c r="K919" i="27"/>
  <c r="D928" i="27"/>
  <c r="K928" i="27"/>
  <c r="K918" i="27"/>
  <c r="K907" i="27"/>
  <c r="K914" i="27"/>
  <c r="G48" i="32"/>
  <c r="K915" i="27"/>
  <c r="K911" i="27"/>
  <c r="K910" i="27"/>
  <c r="G659" i="32"/>
  <c r="K904" i="27"/>
  <c r="K917" i="27"/>
  <c r="BC27" i="34"/>
  <c r="K929" i="27"/>
  <c r="E930" i="27"/>
  <c r="K906" i="27"/>
  <c r="J930" i="27" a="1"/>
  <c r="K924" i="27"/>
  <c r="F930" i="27"/>
  <c r="K916" i="27"/>
  <c r="K921" i="27"/>
  <c r="AL37" i="30"/>
  <c r="K922" i="27"/>
  <c r="K930" i="27"/>
  <c r="K912" i="27"/>
  <c r="K923" i="27"/>
  <c r="K920" i="27"/>
  <c r="G360" i="32"/>
  <c r="K908" i="27"/>
  <c r="F5328" i="27" l="1"/>
  <c r="B4271" i="27"/>
  <c r="H1357" i="27"/>
  <c r="J930" i="27"/>
  <c r="H720" i="27"/>
  <c r="H299" i="27"/>
  <c r="H298" i="27"/>
  <c r="N236" i="1"/>
  <c r="AO236" i="1"/>
  <c r="O225" i="1"/>
  <c r="N225" i="1"/>
  <c r="AO225" i="1"/>
  <c r="AC236" i="1"/>
  <c r="AA236" i="1" s="1"/>
  <c r="O236" i="1"/>
  <c r="AC195" i="1"/>
  <c r="AA195" i="1" s="1"/>
  <c r="AC170" i="1"/>
  <c r="H170" i="1" s="1"/>
  <c r="AO243" i="1"/>
  <c r="M195" i="1"/>
  <c r="M225" i="1"/>
  <c r="AC243" i="1"/>
  <c r="H243" i="1" s="1"/>
  <c r="AO170" i="1"/>
  <c r="M232" i="1"/>
  <c r="N232" i="1"/>
  <c r="O243" i="1"/>
  <c r="AO195" i="1"/>
  <c r="AC232" i="1"/>
  <c r="H232" i="1" s="1"/>
  <c r="N195" i="1"/>
  <c r="AO232" i="1"/>
  <c r="O170" i="1"/>
  <c r="M170" i="1"/>
  <c r="M243" i="1"/>
  <c r="AC166" i="1"/>
  <c r="H166" i="1" s="1"/>
  <c r="AC175" i="1"/>
  <c r="AA175" i="1" s="1"/>
  <c r="M175" i="1"/>
  <c r="M166" i="1"/>
  <c r="AO175" i="1"/>
  <c r="M211" i="1"/>
  <c r="N211" i="1"/>
  <c r="N166" i="1"/>
  <c r="M214" i="1"/>
  <c r="AO166" i="1"/>
  <c r="AC238" i="1"/>
  <c r="AA238" i="1" s="1"/>
  <c r="AO238" i="1"/>
  <c r="O238" i="1"/>
  <c r="M231" i="1"/>
  <c r="AC231" i="1"/>
  <c r="AA231" i="1" s="1"/>
  <c r="N214" i="1"/>
  <c r="AC211" i="1"/>
  <c r="AA211" i="1" s="1"/>
  <c r="AO231" i="1"/>
  <c r="AC214" i="1"/>
  <c r="AA214" i="1" s="1"/>
  <c r="O175" i="1"/>
  <c r="AO211" i="1"/>
  <c r="O231" i="1"/>
  <c r="AO214" i="1"/>
  <c r="M238" i="1"/>
  <c r="O221" i="1"/>
  <c r="AO221" i="1"/>
  <c r="AC221" i="1"/>
  <c r="N221" i="1"/>
  <c r="M221" i="1"/>
  <c r="O247" i="1"/>
  <c r="AO247" i="1"/>
  <c r="AC247" i="1"/>
  <c r="M247" i="1"/>
  <c r="N247" i="1"/>
  <c r="N241" i="1"/>
  <c r="AO241" i="1"/>
  <c r="AC241" i="1"/>
  <c r="O241" i="1"/>
  <c r="M241" i="1"/>
  <c r="N172" i="1"/>
  <c r="AO172" i="1"/>
  <c r="AC172" i="1"/>
  <c r="M172" i="1"/>
  <c r="O172" i="1"/>
  <c r="N199" i="1"/>
  <c r="AO199" i="1"/>
  <c r="AC199" i="1"/>
  <c r="O199" i="1"/>
  <c r="M199" i="1"/>
  <c r="O173" i="1"/>
  <c r="AO173" i="1"/>
  <c r="AC173" i="1"/>
  <c r="M173" i="1"/>
  <c r="N173" i="1"/>
  <c r="X212" i="1"/>
  <c r="X254" i="1"/>
  <c r="X190" i="1"/>
  <c r="X228" i="1"/>
  <c r="X206" i="1"/>
  <c r="X237" i="1"/>
  <c r="X159" i="1"/>
  <c r="X189" i="1"/>
  <c r="X253" i="1"/>
  <c r="X175" i="1"/>
  <c r="X230" i="1"/>
  <c r="X214" i="1"/>
  <c r="X202" i="1"/>
  <c r="X226" i="1"/>
  <c r="X250" i="1"/>
  <c r="X224" i="1"/>
  <c r="X244" i="1"/>
  <c r="X184" i="1"/>
  <c r="X182" i="1"/>
  <c r="X236" i="1"/>
  <c r="X168" i="1"/>
  <c r="X204" i="1"/>
  <c r="X218" i="1"/>
  <c r="X178" i="1"/>
  <c r="X205" i="1"/>
  <c r="X158" i="1"/>
  <c r="X216" i="1"/>
  <c r="X167" i="1"/>
  <c r="X229" i="1"/>
  <c r="X183" i="1"/>
  <c r="X252" i="1"/>
  <c r="X240" i="1"/>
  <c r="X186" i="1"/>
  <c r="X210" i="1"/>
  <c r="X176" i="1"/>
  <c r="X246" i="1"/>
  <c r="X181" i="1"/>
  <c r="X221" i="1"/>
  <c r="X165" i="1"/>
  <c r="X192" i="1"/>
  <c r="X194" i="1"/>
  <c r="X215" i="1"/>
  <c r="X247" i="1"/>
  <c r="X220" i="1"/>
  <c r="X213" i="1"/>
  <c r="X166" i="1"/>
  <c r="X231" i="1"/>
  <c r="X174" i="1"/>
  <c r="X234" i="1"/>
  <c r="X248" i="1"/>
  <c r="X208" i="1"/>
  <c r="X157" i="1"/>
  <c r="X173" i="1"/>
  <c r="X199" i="1"/>
  <c r="X223" i="1"/>
  <c r="X238" i="1"/>
  <c r="X162" i="1"/>
  <c r="X242" i="1"/>
  <c r="X232" i="1"/>
  <c r="X239" i="1"/>
  <c r="X245" i="1"/>
  <c r="X196" i="1"/>
  <c r="X207" i="1"/>
  <c r="X197" i="1"/>
  <c r="X191" i="1"/>
  <c r="X255" i="1"/>
  <c r="X198" i="1"/>
  <c r="X200" i="1"/>
  <c r="X160" i="1"/>
  <c r="X170" i="1"/>
  <c r="X222" i="1"/>
  <c r="X227" i="1"/>
  <c r="X163" i="1"/>
  <c r="X195" i="1"/>
  <c r="X243" i="1"/>
  <c r="X203" i="1"/>
  <c r="X251" i="1"/>
  <c r="X177" i="1"/>
  <c r="X219" i="1"/>
  <c r="X156" i="1"/>
  <c r="X233" i="1"/>
  <c r="X209" i="1"/>
  <c r="X185" i="1"/>
  <c r="X171" i="1"/>
  <c r="X241" i="1"/>
  <c r="X164" i="1"/>
  <c r="X179" i="1"/>
  <c r="X211" i="1"/>
  <c r="X187" i="1"/>
  <c r="X193" i="1"/>
  <c r="X217" i="1"/>
  <c r="X180" i="1"/>
  <c r="X169" i="1"/>
  <c r="X249" i="1"/>
  <c r="X225" i="1"/>
  <c r="AH225" i="1" s="1"/>
  <c r="X161" i="1"/>
  <c r="X235" i="1"/>
  <c r="X201" i="1"/>
  <c r="X188" i="1"/>
  <c r="X172" i="1"/>
  <c r="AH172" i="1" s="1"/>
  <c r="O158" i="1"/>
  <c r="AO158" i="1"/>
  <c r="AC158" i="1"/>
  <c r="M158" i="1"/>
  <c r="N158" i="1"/>
  <c r="AO210" i="1"/>
  <c r="AC210" i="1"/>
  <c r="O210" i="1"/>
  <c r="N210" i="1"/>
  <c r="M210" i="1"/>
  <c r="O165" i="1"/>
  <c r="AO165" i="1"/>
  <c r="AC165" i="1"/>
  <c r="M165" i="1"/>
  <c r="N165" i="1"/>
  <c r="O189" i="1"/>
  <c r="AO189" i="1"/>
  <c r="AC189" i="1"/>
  <c r="N189" i="1"/>
  <c r="M189" i="1"/>
  <c r="O188" i="1"/>
  <c r="AO188" i="1"/>
  <c r="AC188" i="1"/>
  <c r="N188" i="1"/>
  <c r="M188" i="1"/>
  <c r="N207" i="1"/>
  <c r="AO207" i="1"/>
  <c r="M207" i="1"/>
  <c r="AC207" i="1"/>
  <c r="O207" i="1"/>
  <c r="N212" i="1"/>
  <c r="AO212" i="1"/>
  <c r="AC212" i="1"/>
  <c r="M212" i="1"/>
  <c r="O212" i="1"/>
  <c r="O181" i="1"/>
  <c r="AO181" i="1"/>
  <c r="AC181" i="1"/>
  <c r="M181" i="1"/>
  <c r="N181" i="1"/>
  <c r="O254" i="1"/>
  <c r="AO254" i="1"/>
  <c r="AC254" i="1"/>
  <c r="M254" i="1"/>
  <c r="N254" i="1"/>
  <c r="O180" i="1"/>
  <c r="AO180" i="1"/>
  <c r="AC180" i="1"/>
  <c r="N180" i="1"/>
  <c r="M180" i="1"/>
  <c r="AO160" i="1"/>
  <c r="AC160" i="1"/>
  <c r="O160" i="1"/>
  <c r="M160" i="1"/>
  <c r="N160" i="1"/>
  <c r="N191" i="1"/>
  <c r="AO191" i="1"/>
  <c r="AC191" i="1"/>
  <c r="O191" i="1"/>
  <c r="M191" i="1"/>
  <c r="O213" i="1"/>
  <c r="AO213" i="1"/>
  <c r="AC213" i="1"/>
  <c r="M213" i="1"/>
  <c r="N213" i="1"/>
  <c r="AO240" i="1"/>
  <c r="AC240" i="1"/>
  <c r="N240" i="1"/>
  <c r="M240" i="1"/>
  <c r="O240" i="1"/>
  <c r="AC194" i="1"/>
  <c r="AO194" i="1"/>
  <c r="O194" i="1"/>
  <c r="M194" i="1"/>
  <c r="N194" i="1"/>
  <c r="N219" i="1"/>
  <c r="AO219" i="1"/>
  <c r="AC219" i="1"/>
  <c r="O219" i="1"/>
  <c r="M219" i="1"/>
  <c r="N167" i="1"/>
  <c r="AO167" i="1"/>
  <c r="O167" i="1"/>
  <c r="M167" i="1"/>
  <c r="AC167" i="1"/>
  <c r="N249" i="1"/>
  <c r="AO249" i="1"/>
  <c r="AC249" i="1"/>
  <c r="O249" i="1"/>
  <c r="M249" i="1"/>
  <c r="O174" i="1"/>
  <c r="AO174" i="1"/>
  <c r="AC174" i="1"/>
  <c r="M174" i="1"/>
  <c r="N174" i="1"/>
  <c r="AA225" i="1"/>
  <c r="H225" i="1"/>
  <c r="O255" i="1"/>
  <c r="AO255" i="1"/>
  <c r="AC255" i="1"/>
  <c r="M255" i="1"/>
  <c r="N255" i="1"/>
  <c r="AA166" i="1"/>
  <c r="AO218" i="1"/>
  <c r="AC218" i="1"/>
  <c r="N218" i="1"/>
  <c r="O218" i="1"/>
  <c r="M218" i="1"/>
  <c r="O182" i="1"/>
  <c r="AO182" i="1"/>
  <c r="AC182" i="1"/>
  <c r="M182" i="1"/>
  <c r="N182" i="1"/>
  <c r="O239" i="1"/>
  <c r="AO239" i="1"/>
  <c r="M239" i="1"/>
  <c r="AC239" i="1"/>
  <c r="N239" i="1"/>
  <c r="O230" i="1"/>
  <c r="AO230" i="1"/>
  <c r="AC230" i="1"/>
  <c r="M230" i="1"/>
  <c r="N230" i="1"/>
  <c r="AO224" i="1"/>
  <c r="AC224" i="1"/>
  <c r="N224" i="1"/>
  <c r="O224" i="1"/>
  <c r="M224" i="1"/>
  <c r="N171" i="1"/>
  <c r="AO171" i="1"/>
  <c r="AC171" i="1"/>
  <c r="M171" i="1"/>
  <c r="O171" i="1"/>
  <c r="O229" i="1"/>
  <c r="AO229" i="1"/>
  <c r="AC229" i="1"/>
  <c r="M229" i="1"/>
  <c r="N229" i="1"/>
  <c r="AO178" i="1"/>
  <c r="AC178" i="1"/>
  <c r="O178" i="1"/>
  <c r="N178" i="1"/>
  <c r="M178" i="1"/>
  <c r="O223" i="1"/>
  <c r="AO223" i="1"/>
  <c r="AC223" i="1"/>
  <c r="M223" i="1"/>
  <c r="N223" i="1"/>
  <c r="O228" i="1"/>
  <c r="AO228" i="1"/>
  <c r="AC228" i="1"/>
  <c r="N228" i="1"/>
  <c r="M228" i="1"/>
  <c r="AO208" i="1"/>
  <c r="AC208" i="1"/>
  <c r="N208" i="1"/>
  <c r="O208" i="1"/>
  <c r="M208" i="1"/>
  <c r="N209" i="1"/>
  <c r="AO209" i="1"/>
  <c r="AC209" i="1"/>
  <c r="O209" i="1"/>
  <c r="M209" i="1"/>
  <c r="AO186" i="1"/>
  <c r="AC186" i="1"/>
  <c r="N186" i="1"/>
  <c r="O186" i="1"/>
  <c r="M186" i="1"/>
  <c r="O190" i="1"/>
  <c r="AO190" i="1"/>
  <c r="AC190" i="1"/>
  <c r="N190" i="1"/>
  <c r="M190" i="1"/>
  <c r="AO234" i="1"/>
  <c r="AC234" i="1"/>
  <c r="O234" i="1"/>
  <c r="M234" i="1"/>
  <c r="N234" i="1"/>
  <c r="N215" i="1"/>
  <c r="AO215" i="1"/>
  <c r="AC215" i="1"/>
  <c r="M215" i="1"/>
  <c r="O215" i="1"/>
  <c r="N159" i="1"/>
  <c r="AO159" i="1"/>
  <c r="O159" i="1"/>
  <c r="M159" i="1"/>
  <c r="AC159" i="1"/>
  <c r="N201" i="1"/>
  <c r="AO201" i="1"/>
  <c r="AC201" i="1"/>
  <c r="O201" i="1"/>
  <c r="M201" i="1"/>
  <c r="O220" i="1"/>
  <c r="AO220" i="1"/>
  <c r="AC220" i="1"/>
  <c r="M220" i="1"/>
  <c r="N220" i="1"/>
  <c r="AO250" i="1"/>
  <c r="AC250" i="1"/>
  <c r="M250" i="1"/>
  <c r="N250" i="1"/>
  <c r="O250" i="1"/>
  <c r="O227" i="1"/>
  <c r="AO227" i="1"/>
  <c r="AC227" i="1"/>
  <c r="M227" i="1"/>
  <c r="N227" i="1"/>
  <c r="O157" i="1"/>
  <c r="AO157" i="1"/>
  <c r="AC157" i="1"/>
  <c r="N157" i="1"/>
  <c r="M157" i="1"/>
  <c r="AC192" i="1"/>
  <c r="AO192" i="1"/>
  <c r="N192" i="1"/>
  <c r="M192" i="1"/>
  <c r="O192" i="1"/>
  <c r="N177" i="1"/>
  <c r="AO177" i="1"/>
  <c r="AC177" i="1"/>
  <c r="O177" i="1"/>
  <c r="M177" i="1"/>
  <c r="AO176" i="1"/>
  <c r="AC176" i="1"/>
  <c r="N176" i="1"/>
  <c r="O176" i="1"/>
  <c r="M176" i="1"/>
  <c r="O163" i="1"/>
  <c r="AO163" i="1"/>
  <c r="AC163" i="1"/>
  <c r="N163" i="1"/>
  <c r="M163" i="1"/>
  <c r="AO226" i="1"/>
  <c r="AC226" i="1"/>
  <c r="M226" i="1"/>
  <c r="N226" i="1"/>
  <c r="O226" i="1"/>
  <c r="O164" i="1"/>
  <c r="AO164" i="1"/>
  <c r="AC164" i="1"/>
  <c r="M164" i="1"/>
  <c r="N164" i="1"/>
  <c r="O198" i="1"/>
  <c r="AO198" i="1"/>
  <c r="AC198" i="1"/>
  <c r="N198" i="1"/>
  <c r="M198" i="1"/>
  <c r="N169" i="1"/>
  <c r="AO169" i="1"/>
  <c r="AC169" i="1"/>
  <c r="O169" i="1"/>
  <c r="M169" i="1"/>
  <c r="O244" i="1"/>
  <c r="AO244" i="1"/>
  <c r="AC244" i="1"/>
  <c r="M244" i="1"/>
  <c r="N244" i="1"/>
  <c r="AO216" i="1"/>
  <c r="AC216" i="1"/>
  <c r="N216" i="1"/>
  <c r="M216" i="1"/>
  <c r="O216" i="1"/>
  <c r="N203" i="1"/>
  <c r="AO203" i="1"/>
  <c r="AC203" i="1"/>
  <c r="O203" i="1"/>
  <c r="M203" i="1"/>
  <c r="N252" i="1"/>
  <c r="AO252" i="1"/>
  <c r="AC252" i="1"/>
  <c r="M252" i="1"/>
  <c r="O252" i="1"/>
  <c r="O196" i="1"/>
  <c r="AO196" i="1"/>
  <c r="AC196" i="1"/>
  <c r="N196" i="1"/>
  <c r="M196" i="1"/>
  <c r="O245" i="1"/>
  <c r="AO245" i="1"/>
  <c r="AC245" i="1"/>
  <c r="M245" i="1"/>
  <c r="N245" i="1"/>
  <c r="N193" i="1"/>
  <c r="AO193" i="1"/>
  <c r="AC193" i="1"/>
  <c r="O193" i="1"/>
  <c r="M193" i="1"/>
  <c r="N183" i="1"/>
  <c r="AO183" i="1"/>
  <c r="AC183" i="1"/>
  <c r="M183" i="1"/>
  <c r="O183" i="1"/>
  <c r="O179" i="1"/>
  <c r="AO179" i="1"/>
  <c r="AC179" i="1"/>
  <c r="M179" i="1"/>
  <c r="N179" i="1"/>
  <c r="AO168" i="1"/>
  <c r="AC168" i="1"/>
  <c r="M168" i="1"/>
  <c r="N168" i="1"/>
  <c r="O168" i="1"/>
  <c r="N185" i="1"/>
  <c r="AO185" i="1"/>
  <c r="AC185" i="1"/>
  <c r="O185" i="1"/>
  <c r="M185" i="1"/>
  <c r="O222" i="1"/>
  <c r="AO222" i="1"/>
  <c r="AC222" i="1"/>
  <c r="M222" i="1"/>
  <c r="N222" i="1"/>
  <c r="AO202" i="1"/>
  <c r="AC202" i="1"/>
  <c r="M202" i="1"/>
  <c r="O202" i="1"/>
  <c r="N202" i="1"/>
  <c r="AO242" i="1"/>
  <c r="AC242" i="1"/>
  <c r="N242" i="1"/>
  <c r="O242" i="1"/>
  <c r="M242" i="1"/>
  <c r="O253" i="1"/>
  <c r="AO253" i="1"/>
  <c r="AC253" i="1"/>
  <c r="M253" i="1"/>
  <c r="N253" i="1"/>
  <c r="N187" i="1"/>
  <c r="AO187" i="1"/>
  <c r="AC187" i="1"/>
  <c r="O187" i="1"/>
  <c r="M187" i="1"/>
  <c r="AO184" i="1"/>
  <c r="AC184" i="1"/>
  <c r="M184" i="1"/>
  <c r="N184" i="1"/>
  <c r="O184" i="1"/>
  <c r="N233" i="1"/>
  <c r="AO233" i="1"/>
  <c r="AC233" i="1"/>
  <c r="M233" i="1"/>
  <c r="O233" i="1"/>
  <c r="O205" i="1"/>
  <c r="AO205" i="1"/>
  <c r="AC205" i="1"/>
  <c r="N205" i="1"/>
  <c r="M205" i="1"/>
  <c r="O246" i="1"/>
  <c r="AO246" i="1"/>
  <c r="AC246" i="1"/>
  <c r="M246" i="1"/>
  <c r="N246" i="1"/>
  <c r="N217" i="1"/>
  <c r="AO217" i="1"/>
  <c r="AC217" i="1"/>
  <c r="O217" i="1"/>
  <c r="M217" i="1"/>
  <c r="O206" i="1"/>
  <c r="AO206" i="1"/>
  <c r="AC206" i="1"/>
  <c r="N206" i="1"/>
  <c r="M206" i="1"/>
  <c r="N161" i="1"/>
  <c r="AO161" i="1"/>
  <c r="AC161" i="1"/>
  <c r="O161" i="1"/>
  <c r="M161" i="1"/>
  <c r="O197" i="1"/>
  <c r="AO197" i="1"/>
  <c r="AC197" i="1"/>
  <c r="N197" i="1"/>
  <c r="M197" i="1"/>
  <c r="AC162" i="1"/>
  <c r="AO162" i="1"/>
  <c r="N162" i="1"/>
  <c r="M162" i="1"/>
  <c r="O162" i="1"/>
  <c r="O156" i="1"/>
  <c r="AO156" i="1"/>
  <c r="AC156" i="1"/>
  <c r="M156" i="1"/>
  <c r="N156" i="1"/>
  <c r="N204" i="1"/>
  <c r="AO204" i="1"/>
  <c r="AC204" i="1"/>
  <c r="M204" i="1"/>
  <c r="O204" i="1"/>
  <c r="N235" i="1"/>
  <c r="AO235" i="1"/>
  <c r="AC235" i="1"/>
  <c r="O235" i="1"/>
  <c r="M235" i="1"/>
  <c r="AO200" i="1"/>
  <c r="AC200" i="1"/>
  <c r="O200" i="1"/>
  <c r="M200" i="1"/>
  <c r="N200" i="1"/>
  <c r="N251" i="1"/>
  <c r="AO251" i="1"/>
  <c r="AC251" i="1"/>
  <c r="O251" i="1"/>
  <c r="M251" i="1"/>
  <c r="AA243" i="1"/>
  <c r="AO248" i="1"/>
  <c r="AC248" i="1"/>
  <c r="N248" i="1"/>
  <c r="O248" i="1"/>
  <c r="M248" i="1"/>
  <c r="O237" i="1"/>
  <c r="AO237" i="1"/>
  <c r="AC237" i="1"/>
  <c r="M237" i="1"/>
  <c r="N237" i="1"/>
  <c r="AV61" i="33" a="1"/>
  <c r="AV61" i="33" s="1"/>
  <c r="AX59" i="33"/>
  <c r="C1639" i="32"/>
  <c r="W1639" i="32" s="1"/>
  <c r="K1639" i="32" s="1"/>
  <c r="W1605" i="32"/>
  <c r="K1605" i="32" s="1"/>
  <c r="C1633" i="32"/>
  <c r="W1633" i="32" s="1"/>
  <c r="K1633" i="32" s="1"/>
  <c r="C1625" i="32"/>
  <c r="W1625" i="32" s="1"/>
  <c r="K1625" i="32" s="1"/>
  <c r="C1637" i="32"/>
  <c r="W1637" i="32" s="1"/>
  <c r="K1637" i="32" s="1"/>
  <c r="C1621" i="32"/>
  <c r="W1621" i="32" s="1"/>
  <c r="K1621" i="32" s="1"/>
  <c r="C1659" i="32"/>
  <c r="W1659" i="32" s="1"/>
  <c r="K1659" i="32" s="1"/>
  <c r="C1653" i="32"/>
  <c r="W1653" i="32" s="1"/>
  <c r="K1653" i="32" s="1"/>
  <c r="W1597" i="32"/>
  <c r="K1597" i="32" s="1"/>
  <c r="C1627" i="32"/>
  <c r="W1627" i="32" s="1"/>
  <c r="K1627" i="32" s="1"/>
  <c r="Q1607" i="32"/>
  <c r="C1651" i="32"/>
  <c r="W1651" i="32" s="1"/>
  <c r="K1651" i="32" s="1"/>
  <c r="C1645" i="32"/>
  <c r="W1645" i="32" s="1"/>
  <c r="K1645" i="32" s="1"/>
  <c r="C1657" i="32"/>
  <c r="W1657" i="32" s="1"/>
  <c r="K1657" i="32" s="1"/>
  <c r="Q1603" i="32"/>
  <c r="Q1611" i="32"/>
  <c r="W1599" i="32"/>
  <c r="K1599" i="32" s="1"/>
  <c r="C1635" i="32"/>
  <c r="W1635" i="32" s="1"/>
  <c r="K1635" i="32" s="1"/>
  <c r="C1623" i="32"/>
  <c r="W1623" i="32" s="1"/>
  <c r="K1623" i="32" s="1"/>
  <c r="C1655" i="32"/>
  <c r="W1655" i="32" s="1"/>
  <c r="K1655" i="32" s="1"/>
  <c r="C1649" i="32"/>
  <c r="W1649" i="32" s="1"/>
  <c r="K1649" i="32" s="1"/>
  <c r="W1591" i="32"/>
  <c r="K1591" i="32" s="1"/>
  <c r="W1615" i="32"/>
  <c r="K1615" i="32" s="1"/>
  <c r="AW59" i="33"/>
  <c r="Q1587" i="32"/>
  <c r="Q1585" i="32"/>
  <c r="Q1595" i="32"/>
  <c r="AS59" i="33"/>
  <c r="Q1617" i="32"/>
  <c r="C1641" i="32"/>
  <c r="W1641" i="32" s="1"/>
  <c r="K1641" i="32" s="1"/>
  <c r="C1647" i="32"/>
  <c r="W1647" i="32" s="1"/>
  <c r="K1647" i="32" s="1"/>
  <c r="C1631" i="32"/>
  <c r="W1631" i="32" s="1"/>
  <c r="K1631" i="32" s="1"/>
  <c r="C1643" i="32"/>
  <c r="W1643" i="32" s="1"/>
  <c r="K1643" i="32" s="1"/>
  <c r="Q1581" i="32"/>
  <c r="Q1619" i="32"/>
  <c r="W1589" i="32"/>
  <c r="K1589" i="32" s="1"/>
  <c r="Q1593" i="32"/>
  <c r="Q1583" i="32"/>
  <c r="Q1601" i="32"/>
  <c r="W1613" i="32"/>
  <c r="K1613" i="32" s="1"/>
  <c r="Q1629" i="32"/>
  <c r="AS17" i="34"/>
  <c r="AS10" i="34"/>
  <c r="AS21" i="34"/>
  <c r="AS26" i="34"/>
  <c r="AS13" i="34"/>
  <c r="AS19" i="34"/>
  <c r="AS11" i="34"/>
  <c r="AS18" i="34"/>
  <c r="AS23" i="34"/>
  <c r="AS20" i="34"/>
  <c r="AS27" i="34"/>
  <c r="AS12" i="34"/>
  <c r="AS25" i="34"/>
  <c r="AS16" i="34"/>
  <c r="AS24" i="34"/>
  <c r="AS22" i="34"/>
  <c r="AS15" i="34"/>
  <c r="AS9" i="34"/>
  <c r="AZ15" i="33"/>
  <c r="AZ13" i="33"/>
  <c r="AZ27" i="33"/>
  <c r="AZ19" i="33"/>
  <c r="AZ25" i="33"/>
  <c r="AZ33" i="33"/>
  <c r="AZ23" i="33"/>
  <c r="AZ9" i="33"/>
  <c r="AZ37" i="33"/>
  <c r="AZ17" i="33"/>
  <c r="AZ35" i="33"/>
  <c r="AZ21" i="33"/>
  <c r="AZ29" i="33"/>
  <c r="AZ31" i="33"/>
  <c r="AZ11" i="33"/>
  <c r="AQ61" i="33" a="1"/>
  <c r="AQ61" i="33" s="1"/>
  <c r="J61" i="33" s="1"/>
  <c r="AR61" i="33" a="1"/>
  <c r="AR61" i="33" s="1"/>
  <c r="AT61" i="33" s="1"/>
  <c r="AZ61" i="33"/>
  <c r="U665" i="32"/>
  <c r="U54" i="32"/>
  <c r="U366" i="32"/>
  <c r="BA65" i="33"/>
  <c r="AY29" i="34"/>
  <c r="G50" i="32"/>
  <c r="G61" i="33"/>
  <c r="BD63" i="33"/>
  <c r="BD28" i="34"/>
  <c r="K931" i="27"/>
  <c r="G661" i="32"/>
  <c r="G362" i="32"/>
  <c r="F931" i="27"/>
  <c r="J931" i="27" a="1"/>
  <c r="AA170" i="1" l="1"/>
  <c r="AH170" i="1"/>
  <c r="AH166" i="1"/>
  <c r="F5329" i="27"/>
  <c r="B4272" i="27"/>
  <c r="H1358" i="27"/>
  <c r="J931" i="27"/>
  <c r="H721" i="27"/>
  <c r="H300" i="27"/>
  <c r="AH195" i="1"/>
  <c r="H236" i="1"/>
  <c r="AH236" i="1"/>
  <c r="H195" i="1"/>
  <c r="H214" i="1"/>
  <c r="AH175" i="1"/>
  <c r="H175" i="1"/>
  <c r="H238" i="1"/>
  <c r="AA232" i="1"/>
  <c r="AH221" i="1"/>
  <c r="AH243" i="1"/>
  <c r="AH232" i="1"/>
  <c r="AH238" i="1"/>
  <c r="AH214" i="1"/>
  <c r="H231" i="1"/>
  <c r="AH231" i="1"/>
  <c r="AH173" i="1"/>
  <c r="AH201" i="1"/>
  <c r="AH193" i="1"/>
  <c r="AH209" i="1"/>
  <c r="AH255" i="1"/>
  <c r="AH158" i="1"/>
  <c r="H211" i="1"/>
  <c r="AH254" i="1"/>
  <c r="AH211" i="1"/>
  <c r="AH242" i="1"/>
  <c r="AH248" i="1"/>
  <c r="AH210" i="1"/>
  <c r="AH199" i="1"/>
  <c r="AH241" i="1"/>
  <c r="AA181" i="1"/>
  <c r="H181" i="1"/>
  <c r="AH184" i="1"/>
  <c r="AA247" i="1"/>
  <c r="H247" i="1"/>
  <c r="AA253" i="1"/>
  <c r="H253" i="1"/>
  <c r="AA179" i="1"/>
  <c r="H179" i="1"/>
  <c r="AA203" i="1"/>
  <c r="H203" i="1"/>
  <c r="AA220" i="1"/>
  <c r="H220" i="1"/>
  <c r="AA159" i="1"/>
  <c r="H159" i="1"/>
  <c r="AA207" i="1"/>
  <c r="H207" i="1"/>
  <c r="AA165" i="1"/>
  <c r="H165" i="1"/>
  <c r="AH235" i="1"/>
  <c r="AH187" i="1"/>
  <c r="AH233" i="1"/>
  <c r="AH163" i="1"/>
  <c r="AH191" i="1"/>
  <c r="AH162" i="1"/>
  <c r="AH234" i="1"/>
  <c r="AH194" i="1"/>
  <c r="AH186" i="1"/>
  <c r="AH205" i="1"/>
  <c r="AH244" i="1"/>
  <c r="AH253" i="1"/>
  <c r="AH212" i="1"/>
  <c r="AA199" i="1"/>
  <c r="H199" i="1"/>
  <c r="AA246" i="1"/>
  <c r="H246" i="1"/>
  <c r="AA222" i="1"/>
  <c r="H222" i="1"/>
  <c r="AA228" i="1"/>
  <c r="H228" i="1"/>
  <c r="AH215" i="1"/>
  <c r="H200" i="1"/>
  <c r="AA200" i="1"/>
  <c r="AA197" i="1"/>
  <c r="H197" i="1"/>
  <c r="AA233" i="1"/>
  <c r="H233" i="1"/>
  <c r="AA164" i="1"/>
  <c r="H164" i="1"/>
  <c r="H176" i="1"/>
  <c r="AA176" i="1"/>
  <c r="AA157" i="1"/>
  <c r="H157" i="1"/>
  <c r="AA186" i="1"/>
  <c r="H186" i="1"/>
  <c r="H224" i="1"/>
  <c r="AA224" i="1"/>
  <c r="AA182" i="1"/>
  <c r="H182" i="1"/>
  <c r="AA249" i="1"/>
  <c r="H249" i="1"/>
  <c r="H160" i="1"/>
  <c r="AA160" i="1"/>
  <c r="AH161" i="1"/>
  <c r="AH156" i="1"/>
  <c r="AH227" i="1"/>
  <c r="AH197" i="1"/>
  <c r="AH174" i="1"/>
  <c r="AH192" i="1"/>
  <c r="AH240" i="1"/>
  <c r="AH178" i="1"/>
  <c r="AH224" i="1"/>
  <c r="AH189" i="1"/>
  <c r="AA204" i="1"/>
  <c r="H204" i="1"/>
  <c r="AA217" i="1"/>
  <c r="H217" i="1"/>
  <c r="H168" i="1"/>
  <c r="AA168" i="1"/>
  <c r="AA193" i="1"/>
  <c r="H193" i="1"/>
  <c r="AA244" i="1"/>
  <c r="H244" i="1"/>
  <c r="AA178" i="1"/>
  <c r="H178" i="1"/>
  <c r="AA194" i="1"/>
  <c r="H194" i="1"/>
  <c r="AA254" i="1"/>
  <c r="H254" i="1"/>
  <c r="AA158" i="1"/>
  <c r="H158" i="1"/>
  <c r="AH179" i="1"/>
  <c r="AH219" i="1"/>
  <c r="AH222" i="1"/>
  <c r="AH207" i="1"/>
  <c r="AH223" i="1"/>
  <c r="AH165" i="1"/>
  <c r="AH252" i="1"/>
  <c r="AH218" i="1"/>
  <c r="AH250" i="1"/>
  <c r="AH159" i="1"/>
  <c r="AA241" i="1"/>
  <c r="H241" i="1"/>
  <c r="AA156" i="1"/>
  <c r="H156" i="1"/>
  <c r="H184" i="1"/>
  <c r="AA184" i="1"/>
  <c r="AA245" i="1"/>
  <c r="H245" i="1"/>
  <c r="AA169" i="1"/>
  <c r="H169" i="1"/>
  <c r="AA251" i="1"/>
  <c r="H251" i="1"/>
  <c r="AA206" i="1"/>
  <c r="H206" i="1"/>
  <c r="AA187" i="1"/>
  <c r="H187" i="1"/>
  <c r="AA202" i="1"/>
  <c r="H202" i="1"/>
  <c r="AA252" i="1"/>
  <c r="H252" i="1"/>
  <c r="AA163" i="1"/>
  <c r="H163" i="1"/>
  <c r="AA190" i="1"/>
  <c r="H190" i="1"/>
  <c r="H208" i="1"/>
  <c r="AA208" i="1"/>
  <c r="AA171" i="1"/>
  <c r="H171" i="1"/>
  <c r="AA239" i="1"/>
  <c r="H239" i="1"/>
  <c r="AA219" i="1"/>
  <c r="H219" i="1"/>
  <c r="AA191" i="1"/>
  <c r="H191" i="1"/>
  <c r="AA189" i="1"/>
  <c r="H189" i="1"/>
  <c r="AH249" i="1"/>
  <c r="AH164" i="1"/>
  <c r="AH177" i="1"/>
  <c r="AH196" i="1"/>
  <c r="AH183" i="1"/>
  <c r="AH204" i="1"/>
  <c r="AH226" i="1"/>
  <c r="AH237" i="1"/>
  <c r="AA173" i="1"/>
  <c r="H173" i="1"/>
  <c r="AA205" i="1"/>
  <c r="H205" i="1"/>
  <c r="AA185" i="1"/>
  <c r="H185" i="1"/>
  <c r="AA198" i="1"/>
  <c r="H198" i="1"/>
  <c r="H192" i="1"/>
  <c r="AA192" i="1"/>
  <c r="AA250" i="1"/>
  <c r="H250" i="1"/>
  <c r="AA223" i="1"/>
  <c r="H223" i="1"/>
  <c r="AA174" i="1"/>
  <c r="H174" i="1"/>
  <c r="AA167" i="1"/>
  <c r="H167" i="1"/>
  <c r="AA212" i="1"/>
  <c r="H212" i="1"/>
  <c r="AH169" i="1"/>
  <c r="AH251" i="1"/>
  <c r="AH160" i="1"/>
  <c r="AH245" i="1"/>
  <c r="AH213" i="1"/>
  <c r="AH181" i="1"/>
  <c r="AH229" i="1"/>
  <c r="AH168" i="1"/>
  <c r="AH202" i="1"/>
  <c r="AH206" i="1"/>
  <c r="AA221" i="1"/>
  <c r="H221" i="1"/>
  <c r="AA226" i="1"/>
  <c r="H226" i="1"/>
  <c r="AA218" i="1"/>
  <c r="H218" i="1"/>
  <c r="H248" i="1"/>
  <c r="AA248" i="1"/>
  <c r="AA235" i="1"/>
  <c r="H235" i="1"/>
  <c r="AA183" i="1"/>
  <c r="H183" i="1"/>
  <c r="AA177" i="1"/>
  <c r="H177" i="1"/>
  <c r="AA201" i="1"/>
  <c r="H201" i="1"/>
  <c r="AA234" i="1"/>
  <c r="H234" i="1"/>
  <c r="AA209" i="1"/>
  <c r="H209" i="1"/>
  <c r="AA230" i="1"/>
  <c r="H230" i="1"/>
  <c r="AA255" i="1"/>
  <c r="H255" i="1"/>
  <c r="AA180" i="1"/>
  <c r="H180" i="1"/>
  <c r="AH180" i="1"/>
  <c r="AH171" i="1"/>
  <c r="AH203" i="1"/>
  <c r="AH200" i="1"/>
  <c r="AH239" i="1"/>
  <c r="AH157" i="1"/>
  <c r="AH220" i="1"/>
  <c r="AH246" i="1"/>
  <c r="AH167" i="1"/>
  <c r="AH228" i="1"/>
  <c r="AA172" i="1"/>
  <c r="H172" i="1"/>
  <c r="AA237" i="1"/>
  <c r="H237" i="1"/>
  <c r="H215" i="1"/>
  <c r="AA215" i="1"/>
  <c r="AA162" i="1"/>
  <c r="H162" i="1"/>
  <c r="AA161" i="1"/>
  <c r="H161" i="1"/>
  <c r="AA242" i="1"/>
  <c r="H242" i="1"/>
  <c r="AA196" i="1"/>
  <c r="H196" i="1"/>
  <c r="H216" i="1"/>
  <c r="AA216" i="1"/>
  <c r="AA227" i="1"/>
  <c r="H227" i="1"/>
  <c r="AA229" i="1"/>
  <c r="H229" i="1"/>
  <c r="H240" i="1"/>
  <c r="AA240" i="1"/>
  <c r="AA213" i="1"/>
  <c r="H213" i="1"/>
  <c r="AA188" i="1"/>
  <c r="H188" i="1"/>
  <c r="AA210" i="1"/>
  <c r="H210" i="1"/>
  <c r="AH188" i="1"/>
  <c r="AH217" i="1"/>
  <c r="AH185" i="1"/>
  <c r="AH198" i="1"/>
  <c r="AH208" i="1"/>
  <c r="AH247" i="1"/>
  <c r="AH176" i="1"/>
  <c r="AH216" i="1"/>
  <c r="AH182" i="1"/>
  <c r="AH230" i="1"/>
  <c r="AH190" i="1"/>
  <c r="AV63" i="33" a="1"/>
  <c r="AV63" i="33" s="1"/>
  <c r="AY59" i="33"/>
  <c r="AW61" i="33"/>
  <c r="Q1621" i="32"/>
  <c r="Q1645" i="32"/>
  <c r="Q1653" i="32"/>
  <c r="Q1625" i="32"/>
  <c r="Q1639" i="32"/>
  <c r="Q1651" i="32"/>
  <c r="Q1633" i="32"/>
  <c r="Q1637" i="32"/>
  <c r="Q1657" i="32"/>
  <c r="Q1627" i="32"/>
  <c r="Q1635" i="32"/>
  <c r="Q1655" i="32"/>
  <c r="Q1643" i="32"/>
  <c r="Q1623" i="32"/>
  <c r="Q1649" i="32"/>
  <c r="Q1647" i="32"/>
  <c r="Q1631" i="32"/>
  <c r="Q1641" i="32"/>
  <c r="AZ63" i="33"/>
  <c r="BA67" i="33"/>
  <c r="AR63" i="33" a="1"/>
  <c r="AR63" i="33" s="1"/>
  <c r="AT63" i="33" s="1"/>
  <c r="AQ63" i="33" a="1"/>
  <c r="AQ63" i="33" s="1"/>
  <c r="J63" i="33" s="1"/>
  <c r="AS28" i="34"/>
  <c r="AY61" i="33"/>
  <c r="AS61" i="33"/>
  <c r="U368" i="32"/>
  <c r="U56" i="32"/>
  <c r="U667" i="32"/>
  <c r="AY30" i="34"/>
  <c r="C4310" i="27"/>
  <c r="B4310" i="27"/>
  <c r="K932" i="27"/>
  <c r="G52" i="32"/>
  <c r="D930" i="27"/>
  <c r="J932" i="27" a="1"/>
  <c r="G364" i="32"/>
  <c r="F932" i="27"/>
  <c r="G663" i="32"/>
  <c r="F5331" i="27" l="1"/>
  <c r="F5330" i="27"/>
  <c r="E4310" i="27"/>
  <c r="E4558" i="27"/>
  <c r="E4557" i="27"/>
  <c r="E4556" i="27"/>
  <c r="E4553" i="27"/>
  <c r="E4555" i="27"/>
  <c r="E4560" i="27"/>
  <c r="E4559" i="27"/>
  <c r="E4470" i="27"/>
  <c r="E4539" i="27"/>
  <c r="E4524" i="27"/>
  <c r="E4494" i="27"/>
  <c r="E4493" i="27"/>
  <c r="E4543" i="27"/>
  <c r="E4528" i="27"/>
  <c r="E4496" i="27"/>
  <c r="E4514" i="27"/>
  <c r="E4441" i="27"/>
  <c r="E4359" i="27"/>
  <c r="E4423" i="27"/>
  <c r="E4487" i="27"/>
  <c r="E4361" i="27"/>
  <c r="E4360" i="27"/>
  <c r="E4424" i="27"/>
  <c r="E4377" i="27"/>
  <c r="E4370" i="27"/>
  <c r="E4434" i="27"/>
  <c r="E4433" i="27"/>
  <c r="E4371" i="27"/>
  <c r="E4435" i="27"/>
  <c r="E4417" i="27"/>
  <c r="E4364" i="27"/>
  <c r="E4428" i="27"/>
  <c r="E4333" i="27"/>
  <c r="E4397" i="27"/>
  <c r="E4461" i="27"/>
  <c r="E4350" i="27"/>
  <c r="E4414" i="27"/>
  <c r="E4517" i="27"/>
  <c r="E4549" i="27"/>
  <c r="E4335" i="27"/>
  <c r="E4347" i="27"/>
  <c r="E4326" i="27"/>
  <c r="E4483" i="27"/>
  <c r="E4547" i="27"/>
  <c r="E4532" i="27"/>
  <c r="E4502" i="27"/>
  <c r="E4533" i="27"/>
  <c r="E4545" i="27"/>
  <c r="E4536" i="27"/>
  <c r="E4520" i="27"/>
  <c r="E4522" i="27"/>
  <c r="E4473" i="27"/>
  <c r="E4367" i="27"/>
  <c r="E4431" i="27"/>
  <c r="E4495" i="27"/>
  <c r="E4409" i="27"/>
  <c r="E4368" i="27"/>
  <c r="E4432" i="27"/>
  <c r="E4425" i="27"/>
  <c r="E4378" i="27"/>
  <c r="E4442" i="27"/>
  <c r="E4315" i="27"/>
  <c r="E4379" i="27"/>
  <c r="E4443" i="27"/>
  <c r="E4465" i="27"/>
  <c r="E4372" i="27"/>
  <c r="E4436" i="27"/>
  <c r="E4341" i="27"/>
  <c r="E4405" i="27"/>
  <c r="E4469" i="27"/>
  <c r="E4358" i="27"/>
  <c r="E4422" i="27"/>
  <c r="E4513" i="27"/>
  <c r="E4554" i="27"/>
  <c r="E4399" i="27"/>
  <c r="E4346" i="27"/>
  <c r="E4373" i="27"/>
  <c r="E4491" i="27"/>
  <c r="E4476" i="27"/>
  <c r="E4540" i="27"/>
  <c r="E4510" i="27"/>
  <c r="E4449" i="27"/>
  <c r="E4485" i="27"/>
  <c r="E4544" i="27"/>
  <c r="E4501" i="27"/>
  <c r="E4530" i="27"/>
  <c r="E4537" i="27"/>
  <c r="E4375" i="27"/>
  <c r="E4439" i="27"/>
  <c r="E4503" i="27"/>
  <c r="E4457" i="27"/>
  <c r="E4376" i="27"/>
  <c r="E4440" i="27"/>
  <c r="E4322" i="27"/>
  <c r="E4386" i="27"/>
  <c r="E4450" i="27"/>
  <c r="E4323" i="27"/>
  <c r="E4387" i="27"/>
  <c r="E4451" i="27"/>
  <c r="E4316" i="27"/>
  <c r="E4380" i="27"/>
  <c r="E4444" i="27"/>
  <c r="E4349" i="27"/>
  <c r="E4413" i="27"/>
  <c r="E4353" i="27"/>
  <c r="E4366" i="27"/>
  <c r="E4430" i="27"/>
  <c r="E4515" i="27"/>
  <c r="E4490" i="27"/>
  <c r="E4336" i="27"/>
  <c r="E4340" i="27"/>
  <c r="E4499" i="27"/>
  <c r="E4484" i="27"/>
  <c r="E4548" i="27"/>
  <c r="E4518" i="27"/>
  <c r="E4497" i="27"/>
  <c r="E4525" i="27"/>
  <c r="E4552" i="27"/>
  <c r="E4541" i="27"/>
  <c r="E4538" i="27"/>
  <c r="E4319" i="27"/>
  <c r="E4383" i="27"/>
  <c r="E4447" i="27"/>
  <c r="E4511" i="27"/>
  <c r="E4320" i="27"/>
  <c r="E4384" i="27"/>
  <c r="E4448" i="27"/>
  <c r="E4330" i="27"/>
  <c r="E4394" i="27"/>
  <c r="E4458" i="27"/>
  <c r="E4331" i="27"/>
  <c r="E4395" i="27"/>
  <c r="E4459" i="27"/>
  <c r="E4324" i="27"/>
  <c r="E4388" i="27"/>
  <c r="E4452" i="27"/>
  <c r="E4357" i="27"/>
  <c r="E4421" i="27"/>
  <c r="E4401" i="27"/>
  <c r="E4374" i="27"/>
  <c r="E4438" i="27"/>
  <c r="E4500" i="27"/>
  <c r="E4463" i="27"/>
  <c r="E4464" i="27"/>
  <c r="E4474" i="27"/>
  <c r="E4475" i="27"/>
  <c r="E4468" i="27"/>
  <c r="E4390" i="27"/>
  <c r="E4507" i="27"/>
  <c r="E4492" i="27"/>
  <c r="E4477" i="27"/>
  <c r="E4526" i="27"/>
  <c r="E4505" i="27"/>
  <c r="E4489" i="27"/>
  <c r="E4509" i="27"/>
  <c r="E4482" i="27"/>
  <c r="E4546" i="27"/>
  <c r="E4327" i="27"/>
  <c r="E4391" i="27"/>
  <c r="E4455" i="27"/>
  <c r="E4519" i="27"/>
  <c r="E4328" i="27"/>
  <c r="E4392" i="27"/>
  <c r="E4456" i="27"/>
  <c r="E4338" i="27"/>
  <c r="E4402" i="27"/>
  <c r="E4466" i="27"/>
  <c r="E4339" i="27"/>
  <c r="E4403" i="27"/>
  <c r="E4467" i="27"/>
  <c r="E4332" i="27"/>
  <c r="E4396" i="27"/>
  <c r="E4460" i="27"/>
  <c r="E4365" i="27"/>
  <c r="E4429" i="27"/>
  <c r="E4318" i="27"/>
  <c r="E4382" i="27"/>
  <c r="E4446" i="27"/>
  <c r="E4534" i="27"/>
  <c r="E4488" i="27"/>
  <c r="E4527" i="27"/>
  <c r="E4400" i="27"/>
  <c r="E4411" i="27"/>
  <c r="E4437" i="27"/>
  <c r="E4523" i="27"/>
  <c r="E4508" i="27"/>
  <c r="E4478" i="27"/>
  <c r="E4542" i="27"/>
  <c r="E4521" i="27"/>
  <c r="E4504" i="27"/>
  <c r="E4481" i="27"/>
  <c r="E4498" i="27"/>
  <c r="E4345" i="27"/>
  <c r="E4343" i="27"/>
  <c r="E4407" i="27"/>
  <c r="E4471" i="27"/>
  <c r="E4535" i="27"/>
  <c r="E4344" i="27"/>
  <c r="E4408" i="27"/>
  <c r="E4472" i="27"/>
  <c r="E4354" i="27"/>
  <c r="E4418" i="27"/>
  <c r="E4337" i="27"/>
  <c r="E4355" i="27"/>
  <c r="E4419" i="27"/>
  <c r="E4321" i="27"/>
  <c r="E4348" i="27"/>
  <c r="E4412" i="27"/>
  <c r="E4317" i="27"/>
  <c r="E4381" i="27"/>
  <c r="E4445" i="27"/>
  <c r="E4334" i="27"/>
  <c r="E4398" i="27"/>
  <c r="E4462" i="27"/>
  <c r="E4531" i="27"/>
  <c r="E4516" i="27"/>
  <c r="E4486" i="27"/>
  <c r="E4550" i="27"/>
  <c r="E4529" i="27"/>
  <c r="E4512" i="27"/>
  <c r="E4480" i="27"/>
  <c r="E4506" i="27"/>
  <c r="E4393" i="27"/>
  <c r="E4351" i="27"/>
  <c r="E4415" i="27"/>
  <c r="E4479" i="27"/>
  <c r="E4551" i="27"/>
  <c r="E4352" i="27"/>
  <c r="E4416" i="27"/>
  <c r="E4329" i="27"/>
  <c r="E4362" i="27"/>
  <c r="E4426" i="27"/>
  <c r="E4385" i="27"/>
  <c r="E4363" i="27"/>
  <c r="E4427" i="27"/>
  <c r="E4369" i="27"/>
  <c r="E4356" i="27"/>
  <c r="E4420" i="27"/>
  <c r="E4325" i="27"/>
  <c r="E4389" i="27"/>
  <c r="E4453" i="27"/>
  <c r="E4342" i="27"/>
  <c r="E4406" i="27"/>
  <c r="E4410" i="27"/>
  <c r="E4404" i="27"/>
  <c r="E4454" i="27"/>
  <c r="E4314" i="27"/>
  <c r="E4312" i="27"/>
  <c r="E4313" i="27"/>
  <c r="E4311" i="27"/>
  <c r="B4273" i="27"/>
  <c r="H1360" i="27"/>
  <c r="H1359" i="27"/>
  <c r="J932" i="27"/>
  <c r="H722" i="27"/>
  <c r="H301" i="27"/>
  <c r="AV65" i="33" a="1"/>
  <c r="AV65" i="33" s="1"/>
  <c r="AX61" i="33"/>
  <c r="AY63" i="33"/>
  <c r="AZ65" i="33"/>
  <c r="AQ65" i="33" a="1"/>
  <c r="AQ65" i="33" s="1"/>
  <c r="J65" i="33" s="1"/>
  <c r="G177" i="24" s="1"/>
  <c r="AR65" i="33" a="1"/>
  <c r="AR65" i="33" s="1"/>
  <c r="AT65" i="33" s="1"/>
  <c r="AS63" i="33"/>
  <c r="U370" i="32"/>
  <c r="U669" i="32"/>
  <c r="U58" i="32"/>
  <c r="AY31" i="34"/>
  <c r="D4310" i="27"/>
  <c r="D4311" i="27" s="1"/>
  <c r="D4312" i="27" s="1"/>
  <c r="D4313" i="27" s="1"/>
  <c r="D4314" i="27" s="1"/>
  <c r="D4315" i="27" s="1"/>
  <c r="D4316" i="27" s="1"/>
  <c r="D4317" i="27" s="1"/>
  <c r="D4318" i="27" s="1"/>
  <c r="D4319" i="27" s="1"/>
  <c r="D4320" i="27" s="1"/>
  <c r="D4321" i="27" s="1"/>
  <c r="D4322" i="27" s="1"/>
  <c r="D4323" i="27" s="1"/>
  <c r="D4324" i="27" s="1"/>
  <c r="D4325" i="27" s="1"/>
  <c r="D4326" i="27" s="1"/>
  <c r="D4327" i="27" s="1"/>
  <c r="D4328" i="27" s="1"/>
  <c r="D4329" i="27" s="1"/>
  <c r="D4330" i="27" s="1"/>
  <c r="D4331" i="27" s="1"/>
  <c r="D4332" i="27" s="1"/>
  <c r="D4333" i="27" s="1"/>
  <c r="D4334" i="27" s="1"/>
  <c r="D4335" i="27" s="1"/>
  <c r="D4336" i="27" s="1"/>
  <c r="D4337" i="27" s="1"/>
  <c r="D4338" i="27" s="1"/>
  <c r="D4339" i="27" s="1"/>
  <c r="D4340" i="27" s="1"/>
  <c r="D4341" i="27" s="1"/>
  <c r="D4342" i="27" s="1"/>
  <c r="D4343" i="27" s="1"/>
  <c r="D4344" i="27" s="1"/>
  <c r="D4345" i="27" s="1"/>
  <c r="D4346" i="27" s="1"/>
  <c r="D4347" i="27" s="1"/>
  <c r="D4348" i="27" s="1"/>
  <c r="D4349" i="27" s="1"/>
  <c r="D4350" i="27" s="1"/>
  <c r="D4351" i="27" s="1"/>
  <c r="D4352" i="27" s="1"/>
  <c r="D4353" i="27" s="1"/>
  <c r="D4354" i="27" s="1"/>
  <c r="D4355" i="27" s="1"/>
  <c r="D4356" i="27" s="1"/>
  <c r="D4357" i="27" s="1"/>
  <c r="D4358" i="27" s="1"/>
  <c r="D4359" i="27" s="1"/>
  <c r="D4360" i="27" s="1"/>
  <c r="D4361" i="27" s="1"/>
  <c r="D4362" i="27" s="1"/>
  <c r="D4363" i="27" s="1"/>
  <c r="D4364" i="27" s="1"/>
  <c r="D4365" i="27" s="1"/>
  <c r="D4366" i="27" s="1"/>
  <c r="D4367" i="27" s="1"/>
  <c r="D4368" i="27" s="1"/>
  <c r="D4369" i="27" s="1"/>
  <c r="D4370" i="27" s="1"/>
  <c r="D4371" i="27" s="1"/>
  <c r="D4372" i="27" s="1"/>
  <c r="D4373" i="27" s="1"/>
  <c r="D4374" i="27" s="1"/>
  <c r="D4375" i="27" s="1"/>
  <c r="D4376" i="27" s="1"/>
  <c r="D4377" i="27" s="1"/>
  <c r="D4378" i="27" s="1"/>
  <c r="D4379" i="27" s="1"/>
  <c r="D4380" i="27" s="1"/>
  <c r="D4381" i="27" s="1"/>
  <c r="D4382" i="27" s="1"/>
  <c r="D4383" i="27" s="1"/>
  <c r="D4384" i="27" s="1"/>
  <c r="D4385" i="27" s="1"/>
  <c r="D4386" i="27" s="1"/>
  <c r="D4387" i="27" s="1"/>
  <c r="D4388" i="27" s="1"/>
  <c r="D4389" i="27" s="1"/>
  <c r="D4390" i="27" s="1"/>
  <c r="D4391" i="27" s="1"/>
  <c r="D4392" i="27" s="1"/>
  <c r="D4393" i="27" s="1"/>
  <c r="D4394" i="27" s="1"/>
  <c r="D4395" i="27" s="1"/>
  <c r="D4396" i="27" s="1"/>
  <c r="D4397" i="27" s="1"/>
  <c r="D4398" i="27" s="1"/>
  <c r="D4399" i="27" s="1"/>
  <c r="D4400" i="27" s="1"/>
  <c r="D4401" i="27" s="1"/>
  <c r="D4402" i="27" s="1"/>
  <c r="D4403" i="27" s="1"/>
  <c r="D4404" i="27" s="1"/>
  <c r="D4405" i="27" s="1"/>
  <c r="D4406" i="27" s="1"/>
  <c r="D4407" i="27" s="1"/>
  <c r="D4408" i="27" s="1"/>
  <c r="D4409" i="27" s="1"/>
  <c r="D4410" i="27" s="1"/>
  <c r="D4411" i="27" s="1"/>
  <c r="D4412" i="27" s="1"/>
  <c r="D4413" i="27" s="1"/>
  <c r="D4414" i="27" s="1"/>
  <c r="D4415" i="27" s="1"/>
  <c r="D4416" i="27" s="1"/>
  <c r="D4417" i="27" s="1"/>
  <c r="D4418" i="27" s="1"/>
  <c r="D4419" i="27" s="1"/>
  <c r="D4420" i="27" s="1"/>
  <c r="D4421" i="27" s="1"/>
  <c r="D4422" i="27" s="1"/>
  <c r="D4423" i="27" s="1"/>
  <c r="D4424" i="27" s="1"/>
  <c r="D4425" i="27" s="1"/>
  <c r="D4426" i="27" s="1"/>
  <c r="D4427" i="27" s="1"/>
  <c r="D4428" i="27" s="1"/>
  <c r="D4429" i="27" s="1"/>
  <c r="D4430" i="27" s="1"/>
  <c r="D4431" i="27" s="1"/>
  <c r="D4432" i="27" s="1"/>
  <c r="D4433" i="27" s="1"/>
  <c r="D4434" i="27" s="1"/>
  <c r="D4435" i="27" s="1"/>
  <c r="D4436" i="27" s="1"/>
  <c r="D4437" i="27" s="1"/>
  <c r="D4438" i="27" s="1"/>
  <c r="D4439" i="27" s="1"/>
  <c r="D4440" i="27" s="1"/>
  <c r="D4441" i="27" s="1"/>
  <c r="D4442" i="27" s="1"/>
  <c r="D4443" i="27" s="1"/>
  <c r="D4444" i="27" s="1"/>
  <c r="D4445" i="27" s="1"/>
  <c r="D4446" i="27" s="1"/>
  <c r="D4447" i="27" s="1"/>
  <c r="D4448" i="27" s="1"/>
  <c r="D4449" i="27" s="1"/>
  <c r="D4450" i="27" s="1"/>
  <c r="D4451" i="27" s="1"/>
  <c r="D4452" i="27" s="1"/>
  <c r="D4453" i="27" s="1"/>
  <c r="D4454" i="27" s="1"/>
  <c r="D4455" i="27" s="1"/>
  <c r="D4456" i="27" s="1"/>
  <c r="D4457" i="27" s="1"/>
  <c r="D4458" i="27" s="1"/>
  <c r="D4459" i="27" s="1"/>
  <c r="D4460" i="27" s="1"/>
  <c r="D4461" i="27" s="1"/>
  <c r="D4462" i="27" s="1"/>
  <c r="D4463" i="27" s="1"/>
  <c r="D4464" i="27" s="1"/>
  <c r="D4465" i="27" s="1"/>
  <c r="D4466" i="27" s="1"/>
  <c r="D4467" i="27" s="1"/>
  <c r="D4468" i="27" s="1"/>
  <c r="D4469" i="27" s="1"/>
  <c r="D4470" i="27" s="1"/>
  <c r="D4471" i="27" s="1"/>
  <c r="D4472" i="27" s="1"/>
  <c r="D4473" i="27" s="1"/>
  <c r="D4474" i="27" s="1"/>
  <c r="D4475" i="27" s="1"/>
  <c r="D4476" i="27" s="1"/>
  <c r="D4477" i="27" s="1"/>
  <c r="D4478" i="27" s="1"/>
  <c r="D4479" i="27" s="1"/>
  <c r="D4480" i="27" s="1"/>
  <c r="D4481" i="27" s="1"/>
  <c r="D4482" i="27" s="1"/>
  <c r="D4483" i="27" s="1"/>
  <c r="D4484" i="27" s="1"/>
  <c r="D4485" i="27" s="1"/>
  <c r="D4486" i="27" s="1"/>
  <c r="D4487" i="27" s="1"/>
  <c r="D4488" i="27" s="1"/>
  <c r="D4489" i="27" s="1"/>
  <c r="D4490" i="27" s="1"/>
  <c r="D4491" i="27" s="1"/>
  <c r="D4492" i="27" s="1"/>
  <c r="D4493" i="27" s="1"/>
  <c r="D4494" i="27" s="1"/>
  <c r="D4495" i="27" s="1"/>
  <c r="D4496" i="27" s="1"/>
  <c r="D4497" i="27" s="1"/>
  <c r="D4498" i="27" s="1"/>
  <c r="D4499" i="27" s="1"/>
  <c r="D4500" i="27" s="1"/>
  <c r="D4501" i="27" s="1"/>
  <c r="D4502" i="27" s="1"/>
  <c r="D4503" i="27" s="1"/>
  <c r="D4504" i="27" s="1"/>
  <c r="D4505" i="27" s="1"/>
  <c r="D4506" i="27" s="1"/>
  <c r="D4507" i="27" s="1"/>
  <c r="D4508" i="27" s="1"/>
  <c r="D4509" i="27" s="1"/>
  <c r="D4510" i="27" s="1"/>
  <c r="D4511" i="27" s="1"/>
  <c r="D4512" i="27" s="1"/>
  <c r="D4513" i="27" s="1"/>
  <c r="D4514" i="27" s="1"/>
  <c r="D4515" i="27" s="1"/>
  <c r="D4516" i="27" s="1"/>
  <c r="D4517" i="27" s="1"/>
  <c r="D4518" i="27" s="1"/>
  <c r="D4519" i="27" s="1"/>
  <c r="D4520" i="27" s="1"/>
  <c r="D4521" i="27" s="1"/>
  <c r="D4522" i="27" s="1"/>
  <c r="D4523" i="27" s="1"/>
  <c r="D4524" i="27" s="1"/>
  <c r="D4525" i="27" s="1"/>
  <c r="D4526" i="27" s="1"/>
  <c r="D4527" i="27" s="1"/>
  <c r="D4528" i="27" s="1"/>
  <c r="D4529" i="27" s="1"/>
  <c r="D4530" i="27" s="1"/>
  <c r="D4531" i="27" s="1"/>
  <c r="D4532" i="27" s="1"/>
  <c r="D4533" i="27" s="1"/>
  <c r="D4534" i="27" s="1"/>
  <c r="D4535" i="27" s="1"/>
  <c r="D4536" i="27" s="1"/>
  <c r="D4537" i="27" s="1"/>
  <c r="D4538" i="27" s="1"/>
  <c r="D4539" i="27" s="1"/>
  <c r="D4540" i="27" s="1"/>
  <c r="D4541" i="27" s="1"/>
  <c r="D4542" i="27" s="1"/>
  <c r="D4543" i="27" s="1"/>
  <c r="D4544" i="27" s="1"/>
  <c r="D4545" i="27" s="1"/>
  <c r="D4546" i="27" s="1"/>
  <c r="D4547" i="27" s="1"/>
  <c r="D4548" i="27" s="1"/>
  <c r="D4549" i="27" s="1"/>
  <c r="D4550" i="27" s="1"/>
  <c r="D4551" i="27" s="1"/>
  <c r="D4552" i="27" s="1"/>
  <c r="D4553" i="27" s="1"/>
  <c r="D4554" i="27" s="1"/>
  <c r="D4555" i="27" s="1"/>
  <c r="D4556" i="27" s="1"/>
  <c r="D4557" i="27" s="1"/>
  <c r="D4558" i="27" s="1"/>
  <c r="D4559" i="27" s="1"/>
  <c r="D4560" i="27" s="1"/>
  <c r="D4561" i="27" s="1"/>
  <c r="D4562" i="27" s="1"/>
  <c r="D4563" i="27" s="1"/>
  <c r="D4564" i="27" s="1"/>
  <c r="D4565" i="27" s="1"/>
  <c r="D4566" i="27" s="1"/>
  <c r="D4567" i="27" s="1"/>
  <c r="D4568" i="27" s="1"/>
  <c r="D4569" i="27" s="1"/>
  <c r="D4570" i="27" s="1"/>
  <c r="D4571" i="27" s="1"/>
  <c r="D4572" i="27" s="1"/>
  <c r="D4573" i="27" s="1"/>
  <c r="D4574" i="27" s="1"/>
  <c r="D4575" i="27" s="1"/>
  <c r="D4576" i="27" s="1"/>
  <c r="D4577" i="27" s="1"/>
  <c r="D4578" i="27" s="1"/>
  <c r="D4579" i="27" s="1"/>
  <c r="D4580" i="27" s="1"/>
  <c r="D4581" i="27" s="1"/>
  <c r="D4582" i="27" s="1"/>
  <c r="D4583" i="27" s="1"/>
  <c r="D4584" i="27" s="1"/>
  <c r="D4585" i="27" s="1"/>
  <c r="D4586" i="27" s="1"/>
  <c r="D4587" i="27" s="1"/>
  <c r="D4588" i="27" s="1"/>
  <c r="D4589" i="27" s="1"/>
  <c r="D4590" i="27" s="1"/>
  <c r="D4591" i="27" s="1"/>
  <c r="D4592" i="27" s="1"/>
  <c r="D4593" i="27" s="1"/>
  <c r="D4594" i="27" s="1"/>
  <c r="D4595" i="27" s="1"/>
  <c r="D4596" i="27" s="1"/>
  <c r="D4597" i="27" s="1"/>
  <c r="D4598" i="27" s="1"/>
  <c r="D4599" i="27" s="1"/>
  <c r="D4600" i="27" s="1"/>
  <c r="D4601" i="27" s="1"/>
  <c r="D4602" i="27" s="1"/>
  <c r="D4603" i="27" s="1"/>
  <c r="D4604" i="27" s="1"/>
  <c r="D4605" i="27" s="1"/>
  <c r="D4606" i="27" s="1"/>
  <c r="D4607" i="27" s="1"/>
  <c r="D4608" i="27" s="1"/>
  <c r="D4609" i="27" s="1"/>
  <c r="D4610" i="27" s="1"/>
  <c r="D4611" i="27" s="1"/>
  <c r="D4612" i="27" s="1"/>
  <c r="D4613" i="27" s="1"/>
  <c r="D4614" i="27" s="1"/>
  <c r="D4615" i="27" s="1"/>
  <c r="D4616" i="27" s="1"/>
  <c r="D4617" i="27" s="1"/>
  <c r="D4618" i="27" s="1"/>
  <c r="D4619" i="27" s="1"/>
  <c r="D4620" i="27" s="1"/>
  <c r="D4621" i="27" s="1"/>
  <c r="D4622" i="27" s="1"/>
  <c r="D4623" i="27" s="1"/>
  <c r="D4624" i="27" s="1"/>
  <c r="D4625" i="27" s="1"/>
  <c r="D4626" i="27" s="1"/>
  <c r="D4627" i="27" s="1"/>
  <c r="D4628" i="27" s="1"/>
  <c r="D4629" i="27" s="1"/>
  <c r="D4630" i="27" s="1"/>
  <c r="D4631" i="27" s="1"/>
  <c r="D4632" i="27" s="1"/>
  <c r="D4633" i="27" s="1"/>
  <c r="D4634" i="27" s="1"/>
  <c r="D4635" i="27" s="1"/>
  <c r="D4636" i="27" s="1"/>
  <c r="D4637" i="27" s="1"/>
  <c r="D4638" i="27" s="1"/>
  <c r="D4639" i="27" s="1"/>
  <c r="D4640" i="27" s="1"/>
  <c r="D4641" i="27" s="1"/>
  <c r="D4642" i="27" s="1"/>
  <c r="D4643" i="27" s="1"/>
  <c r="D4644" i="27" s="1"/>
  <c r="D4645" i="27" s="1"/>
  <c r="D4646" i="27" s="1"/>
  <c r="D4647" i="27" s="1"/>
  <c r="D4648" i="27" s="1"/>
  <c r="D4649" i="27" s="1"/>
  <c r="D4650" i="27" s="1"/>
  <c r="D4651" i="27" s="1"/>
  <c r="D4652" i="27" s="1"/>
  <c r="D4653" i="27" s="1"/>
  <c r="D4654" i="27" s="1"/>
  <c r="D4655" i="27" s="1"/>
  <c r="D4656" i="27" s="1"/>
  <c r="D4657" i="27" s="1"/>
  <c r="D4658" i="27" s="1"/>
  <c r="D4659" i="27" s="1"/>
  <c r="D4660" i="27" s="1"/>
  <c r="D4661" i="27" s="1"/>
  <c r="D4662" i="27" s="1"/>
  <c r="D4663" i="27" s="1"/>
  <c r="D4664" i="27" s="1"/>
  <c r="D4665" i="27" s="1"/>
  <c r="D4666" i="27" s="1"/>
  <c r="D4667" i="27" s="1"/>
  <c r="D4668" i="27" s="1"/>
  <c r="D4669" i="27" s="1"/>
  <c r="D4670" i="27" s="1"/>
  <c r="D4671" i="27" s="1"/>
  <c r="D4672" i="27" s="1"/>
  <c r="D4673" i="27" s="1"/>
  <c r="D4674" i="27" s="1"/>
  <c r="D4675" i="27" s="1"/>
  <c r="D4676" i="27" s="1"/>
  <c r="D4677" i="27" s="1"/>
  <c r="D4678" i="27" s="1"/>
  <c r="D4679" i="27" s="1"/>
  <c r="D4680" i="27" s="1"/>
  <c r="D4681" i="27" s="1"/>
  <c r="D4682" i="27" s="1"/>
  <c r="D4683" i="27" s="1"/>
  <c r="D4684" i="27" s="1"/>
  <c r="D4685" i="27" s="1"/>
  <c r="D4686" i="27" s="1"/>
  <c r="D4687" i="27" s="1"/>
  <c r="D4688" i="27" s="1"/>
  <c r="D4689" i="27" s="1"/>
  <c r="D4690" i="27" s="1"/>
  <c r="D4691" i="27" s="1"/>
  <c r="D4692" i="27" s="1"/>
  <c r="D4693" i="27" s="1"/>
  <c r="D4694" i="27" s="1"/>
  <c r="D4695" i="27" s="1"/>
  <c r="D4696" i="27" s="1"/>
  <c r="D4697" i="27" s="1"/>
  <c r="D4698" i="27" s="1"/>
  <c r="D4699" i="27" s="1"/>
  <c r="D4700" i="27" s="1"/>
  <c r="D4701" i="27" s="1"/>
  <c r="D4702" i="27" s="1"/>
  <c r="D4703" i="27" s="1"/>
  <c r="D4704" i="27" s="1"/>
  <c r="D4705" i="27" s="1"/>
  <c r="D4706" i="27" s="1"/>
  <c r="D4707" i="27" s="1"/>
  <c r="D4708" i="27" s="1"/>
  <c r="D4709" i="27" s="1"/>
  <c r="D4710" i="27" s="1"/>
  <c r="D4711" i="27" s="1"/>
  <c r="D4712" i="27" s="1"/>
  <c r="D4713" i="27" s="1"/>
  <c r="D4714" i="27" s="1"/>
  <c r="D4715" i="27" s="1"/>
  <c r="D4716" i="27" s="1"/>
  <c r="D4717" i="27" s="1"/>
  <c r="D4718" i="27" s="1"/>
  <c r="D4719" i="27" s="1"/>
  <c r="D4720" i="27" s="1"/>
  <c r="D4721" i="27" s="1"/>
  <c r="D4722" i="27" s="1"/>
  <c r="D4723" i="27" s="1"/>
  <c r="D4724" i="27" s="1"/>
  <c r="D4725" i="27" s="1"/>
  <c r="D4726" i="27" s="1"/>
  <c r="D4727" i="27" s="1"/>
  <c r="D4728" i="27" s="1"/>
  <c r="D4729" i="27" s="1"/>
  <c r="D4730" i="27" s="1"/>
  <c r="D4731" i="27" s="1"/>
  <c r="D4732" i="27" s="1"/>
  <c r="D4733" i="27" s="1"/>
  <c r="D4734" i="27" s="1"/>
  <c r="D4735" i="27" s="1"/>
  <c r="D4736" i="27" s="1"/>
  <c r="D4737" i="27" s="1"/>
  <c r="D4738" i="27" s="1"/>
  <c r="D4739" i="27" s="1"/>
  <c r="D4740" i="27" s="1"/>
  <c r="D4741" i="27" s="1"/>
  <c r="D4742" i="27" s="1"/>
  <c r="D4743" i="27" s="1"/>
  <c r="D4744" i="27" s="1"/>
  <c r="D4745" i="27" s="1"/>
  <c r="D4746" i="27" s="1"/>
  <c r="D4747" i="27" s="1"/>
  <c r="D4748" i="27" s="1"/>
  <c r="D4749" i="27" s="1"/>
  <c r="D4750" i="27" s="1"/>
  <c r="D4751" i="27" s="1"/>
  <c r="D4752" i="27" s="1"/>
  <c r="D4753" i="27" s="1"/>
  <c r="D4754" i="27" s="1"/>
  <c r="D4755" i="27" s="1"/>
  <c r="D4756" i="27" s="1"/>
  <c r="D4757" i="27" s="1"/>
  <c r="D4758" i="27" s="1"/>
  <c r="D4759" i="27" s="1"/>
  <c r="D4760" i="27" s="1"/>
  <c r="D4761" i="27" s="1"/>
  <c r="D4762" i="27" s="1"/>
  <c r="D4763" i="27" s="1"/>
  <c r="D4764" i="27" s="1"/>
  <c r="D4765" i="27" s="1"/>
  <c r="D4766" i="27" s="1"/>
  <c r="D4767" i="27" s="1"/>
  <c r="D4768" i="27" s="1"/>
  <c r="D4769" i="27" s="1"/>
  <c r="D4770" i="27" s="1"/>
  <c r="D4771" i="27" s="1"/>
  <c r="D4772" i="27" s="1"/>
  <c r="D4773" i="27" s="1"/>
  <c r="D4774" i="27" s="1"/>
  <c r="D4775" i="27" s="1"/>
  <c r="D4776" i="27" s="1"/>
  <c r="D4777" i="27" s="1"/>
  <c r="D4778" i="27" s="1"/>
  <c r="D4779" i="27" s="1"/>
  <c r="D4780" i="27" s="1"/>
  <c r="D4781" i="27" s="1"/>
  <c r="D4782" i="27" s="1"/>
  <c r="D4783" i="27" s="1"/>
  <c r="D4784" i="27" s="1"/>
  <c r="D4785" i="27" s="1"/>
  <c r="D4786" i="27" s="1"/>
  <c r="D4787" i="27" s="1"/>
  <c r="D4788" i="27" s="1"/>
  <c r="D4789" i="27" s="1"/>
  <c r="D4790" i="27" s="1"/>
  <c r="D4791" i="27" s="1"/>
  <c r="D4792" i="27" s="1"/>
  <c r="D4793" i="27" s="1"/>
  <c r="D4794" i="27" s="1"/>
  <c r="D4795" i="27" s="1"/>
  <c r="D4796" i="27" s="1"/>
  <c r="D4797" i="27" s="1"/>
  <c r="D4798" i="27" s="1"/>
  <c r="D4799" i="27" s="1"/>
  <c r="D4800" i="27" s="1"/>
  <c r="D4801" i="27" s="1"/>
  <c r="D4802" i="27" s="1"/>
  <c r="D4803" i="27" s="1"/>
  <c r="D4804" i="27" s="1"/>
  <c r="D4805" i="27" s="1"/>
  <c r="D4806" i="27" s="1"/>
  <c r="D4807" i="27" s="1"/>
  <c r="D4808" i="27" s="1"/>
  <c r="D4809" i="27" s="1"/>
  <c r="D4810" i="27" s="1"/>
  <c r="D4811" i="27" s="1"/>
  <c r="D4812" i="27" s="1"/>
  <c r="D4813" i="27" s="1"/>
  <c r="D4814" i="27" s="1"/>
  <c r="D4815" i="27" s="1"/>
  <c r="D4816" i="27" s="1"/>
  <c r="D4817" i="27" s="1"/>
  <c r="D4818" i="27" s="1"/>
  <c r="D4819" i="27" s="1"/>
  <c r="D4820" i="27" s="1"/>
  <c r="D4821" i="27" s="1"/>
  <c r="D4822" i="27" s="1"/>
  <c r="D4823" i="27" s="1"/>
  <c r="D4824" i="27" s="1"/>
  <c r="D4825" i="27" s="1"/>
  <c r="D4826" i="27" s="1"/>
  <c r="D4827" i="27" s="1"/>
  <c r="D4828" i="27" s="1"/>
  <c r="D4829" i="27" s="1"/>
  <c r="D4830" i="27" s="1"/>
  <c r="D4831" i="27" s="1"/>
  <c r="D4832" i="27" s="1"/>
  <c r="D4833" i="27" s="1"/>
  <c r="D4834" i="27" s="1"/>
  <c r="D4835" i="27" s="1"/>
  <c r="D4836" i="27" s="1"/>
  <c r="D4837" i="27" s="1"/>
  <c r="D4838" i="27" s="1"/>
  <c r="D4839" i="27" s="1"/>
  <c r="D4840" i="27" s="1"/>
  <c r="D4841" i="27" s="1"/>
  <c r="D4842" i="27" s="1"/>
  <c r="D4843" i="27" s="1"/>
  <c r="D4844" i="27" s="1"/>
  <c r="D4845" i="27" s="1"/>
  <c r="D4846" i="27" s="1"/>
  <c r="D4847" i="27" s="1"/>
  <c r="D4848" i="27" s="1"/>
  <c r="D4849" i="27" s="1"/>
  <c r="D4850" i="27" s="1"/>
  <c r="D4851" i="27" s="1"/>
  <c r="D4852" i="27" s="1"/>
  <c r="D4853" i="27" s="1"/>
  <c r="D4854" i="27" s="1"/>
  <c r="D4855" i="27" s="1"/>
  <c r="D4856" i="27" s="1"/>
  <c r="D4857" i="27" s="1"/>
  <c r="D4858" i="27" s="1"/>
  <c r="D4859" i="27" s="1"/>
  <c r="D4860" i="27" s="1"/>
  <c r="D4861" i="27" s="1"/>
  <c r="D4862" i="27" s="1"/>
  <c r="D4863" i="27" s="1"/>
  <c r="D4864" i="27" s="1"/>
  <c r="D4865" i="27" s="1"/>
  <c r="D4866" i="27" s="1"/>
  <c r="D4867" i="27" s="1"/>
  <c r="D4868" i="27" s="1"/>
  <c r="D4869" i="27" s="1"/>
  <c r="D4870" i="27" s="1"/>
  <c r="D4871" i="27" s="1"/>
  <c r="D4872" i="27" s="1"/>
  <c r="D4873" i="27" s="1"/>
  <c r="D4874" i="27" s="1"/>
  <c r="D4875" i="27" s="1"/>
  <c r="D4876" i="27" s="1"/>
  <c r="D4877" i="27" s="1"/>
  <c r="D4878" i="27" s="1"/>
  <c r="D4879" i="27" s="1"/>
  <c r="D4880" i="27" s="1"/>
  <c r="D4881" i="27" s="1"/>
  <c r="D4882" i="27" s="1"/>
  <c r="D4883" i="27" s="1"/>
  <c r="D4884" i="27" s="1"/>
  <c r="D4885" i="27" s="1"/>
  <c r="D4886" i="27" s="1"/>
  <c r="D4887" i="27" s="1"/>
  <c r="D4888" i="27" s="1"/>
  <c r="D4889" i="27" s="1"/>
  <c r="D4890" i="27" s="1"/>
  <c r="D4891" i="27" s="1"/>
  <c r="D4892" i="27" s="1"/>
  <c r="D4893" i="27" s="1"/>
  <c r="D4894" i="27" s="1"/>
  <c r="D4895" i="27" s="1"/>
  <c r="D4896" i="27" s="1"/>
  <c r="D4897" i="27" s="1"/>
  <c r="D4898" i="27" s="1"/>
  <c r="D4899" i="27" s="1"/>
  <c r="D4900" i="27" s="1"/>
  <c r="D4901" i="27" s="1"/>
  <c r="D4902" i="27" s="1"/>
  <c r="D4903" i="27" s="1"/>
  <c r="D4904" i="27" s="1"/>
  <c r="D4905" i="27" s="1"/>
  <c r="D4906" i="27" s="1"/>
  <c r="D4907" i="27" s="1"/>
  <c r="D4908" i="27" s="1"/>
  <c r="D4909" i="27" s="1"/>
  <c r="D4910" i="27" s="1"/>
  <c r="D4911" i="27" s="1"/>
  <c r="D4912" i="27" s="1"/>
  <c r="D4913" i="27" s="1"/>
  <c r="D4914" i="27" s="1"/>
  <c r="D4915" i="27" s="1"/>
  <c r="D4916" i="27" s="1"/>
  <c r="D4917" i="27" s="1"/>
  <c r="D4918" i="27" s="1"/>
  <c r="D4919" i="27" s="1"/>
  <c r="D4920" i="27" s="1"/>
  <c r="D4921" i="27" s="1"/>
  <c r="D4922" i="27" s="1"/>
  <c r="D4923" i="27" s="1"/>
  <c r="D4924" i="27" s="1"/>
  <c r="D4925" i="27" s="1"/>
  <c r="D4926" i="27" s="1"/>
  <c r="D4927" i="27" s="1"/>
  <c r="D4928" i="27" s="1"/>
  <c r="D4929" i="27" s="1"/>
  <c r="D4930" i="27" s="1"/>
  <c r="D4931" i="27" s="1"/>
  <c r="D4932" i="27" s="1"/>
  <c r="D4933" i="27" s="1"/>
  <c r="D4934" i="27" s="1"/>
  <c r="D4935" i="27" s="1"/>
  <c r="D4936" i="27" s="1"/>
  <c r="D4937" i="27" s="1"/>
  <c r="D4938" i="27" s="1"/>
  <c r="D4939" i="27" s="1"/>
  <c r="D4940" i="27" s="1"/>
  <c r="D4941" i="27" s="1"/>
  <c r="D4942" i="27" s="1"/>
  <c r="D4943" i="27" s="1"/>
  <c r="D4944" i="27" s="1"/>
  <c r="D4945" i="27" s="1"/>
  <c r="D4946" i="27" s="1"/>
  <c r="D4947" i="27" s="1"/>
  <c r="D4948" i="27" s="1"/>
  <c r="D4949" i="27" s="1"/>
  <c r="D4950" i="27" s="1"/>
  <c r="D4951" i="27" s="1"/>
  <c r="D4952" i="27" s="1"/>
  <c r="D4953" i="27" s="1"/>
  <c r="D4954" i="27" s="1"/>
  <c r="D4955" i="27" s="1"/>
  <c r="D4956" i="27" s="1"/>
  <c r="D4957" i="27" s="1"/>
  <c r="D4958" i="27" s="1"/>
  <c r="D4959" i="27" s="1"/>
  <c r="D4960" i="27" s="1"/>
  <c r="D4961" i="27" s="1"/>
  <c r="D4962" i="27" s="1"/>
  <c r="D4963" i="27" s="1"/>
  <c r="D4964" i="27" s="1"/>
  <c r="D4965" i="27" s="1"/>
  <c r="D4966" i="27" s="1"/>
  <c r="D4967" i="27" s="1"/>
  <c r="D4968" i="27" s="1"/>
  <c r="D4969" i="27" s="1"/>
  <c r="D4970" i="27" s="1"/>
  <c r="D4971" i="27" s="1"/>
  <c r="D4972" i="27" s="1"/>
  <c r="D4973" i="27" s="1"/>
  <c r="D4974" i="27" s="1"/>
  <c r="D4975" i="27" s="1"/>
  <c r="D4976" i="27" s="1"/>
  <c r="D4977" i="27" s="1"/>
  <c r="D4978" i="27" s="1"/>
  <c r="D4979" i="27" s="1"/>
  <c r="D4980" i="27" s="1"/>
  <c r="D4981" i="27" s="1"/>
  <c r="D4982" i="27" s="1"/>
  <c r="D4983" i="27" s="1"/>
  <c r="D4984" i="27" s="1"/>
  <c r="D4985" i="27" s="1"/>
  <c r="D4986" i="27" s="1"/>
  <c r="D4987" i="27" s="1"/>
  <c r="D4988" i="27" s="1"/>
  <c r="D4989" i="27" s="1"/>
  <c r="D4990" i="27" s="1"/>
  <c r="D4991" i="27" s="1"/>
  <c r="D4992" i="27" s="1"/>
  <c r="D4993" i="27" s="1"/>
  <c r="D4994" i="27" s="1"/>
  <c r="D4995" i="27" s="1"/>
  <c r="D4996" i="27" s="1"/>
  <c r="D4997" i="27" s="1"/>
  <c r="D4998" i="27" s="1"/>
  <c r="D4999" i="27" s="1"/>
  <c r="D5000" i="27" s="1"/>
  <c r="D5001" i="27" s="1"/>
  <c r="D5002" i="27" s="1"/>
  <c r="D5003" i="27" s="1"/>
  <c r="D5004" i="27" s="1"/>
  <c r="D5005" i="27" s="1"/>
  <c r="D5006" i="27" s="1"/>
  <c r="D5007" i="27" s="1"/>
  <c r="D5008" i="27" s="1"/>
  <c r="D5009" i="27" s="1"/>
  <c r="D5010" i="27" s="1"/>
  <c r="D5011" i="27" s="1"/>
  <c r="D5012" i="27" s="1"/>
  <c r="D5013" i="27" s="1"/>
  <c r="D5014" i="27" s="1"/>
  <c r="D5015" i="27" s="1"/>
  <c r="D5016" i="27" s="1"/>
  <c r="D5017" i="27" s="1"/>
  <c r="D5018" i="27" s="1"/>
  <c r="D5019" i="27" s="1"/>
  <c r="D5020" i="27" s="1"/>
  <c r="D5021" i="27" s="1"/>
  <c r="D5022" i="27" s="1"/>
  <c r="D5023" i="27" s="1"/>
  <c r="D5024" i="27" s="1"/>
  <c r="D5025" i="27" s="1"/>
  <c r="D5026" i="27" s="1"/>
  <c r="D5027" i="27" s="1"/>
  <c r="D5028" i="27" s="1"/>
  <c r="D5029" i="27" s="1"/>
  <c r="D5030" i="27" s="1"/>
  <c r="D5031" i="27" s="1"/>
  <c r="D5032" i="27" s="1"/>
  <c r="D5033" i="27" s="1"/>
  <c r="D5034" i="27" s="1"/>
  <c r="D5035" i="27" s="1"/>
  <c r="D5036" i="27" s="1"/>
  <c r="D5037" i="27" s="1"/>
  <c r="D5038" i="27" s="1"/>
  <c r="D5039" i="27" s="1"/>
  <c r="D5040" i="27" s="1"/>
  <c r="D5041" i="27" s="1"/>
  <c r="D5042" i="27" s="1"/>
  <c r="D5043" i="27" s="1"/>
  <c r="D5044" i="27" s="1"/>
  <c r="D5045" i="27" s="1"/>
  <c r="D5046" i="27" s="1"/>
  <c r="D5047" i="27" s="1"/>
  <c r="D5048" i="27" s="1"/>
  <c r="D5049" i="27" s="1"/>
  <c r="D5050" i="27" s="1"/>
  <c r="D5051" i="27" s="1"/>
  <c r="D5052" i="27" s="1"/>
  <c r="D5053" i="27" s="1"/>
  <c r="D5054" i="27" s="1"/>
  <c r="D5055" i="27" s="1"/>
  <c r="D5056" i="27" s="1"/>
  <c r="D5057" i="27" s="1"/>
  <c r="D5058" i="27" s="1"/>
  <c r="D5059" i="27" s="1"/>
  <c r="D5060" i="27" s="1"/>
  <c r="D5061" i="27" s="1"/>
  <c r="D5062" i="27" s="1"/>
  <c r="D5063" i="27" s="1"/>
  <c r="D5064" i="27" s="1"/>
  <c r="D5065" i="27" s="1"/>
  <c r="D5066" i="27" s="1"/>
  <c r="D5067" i="27" s="1"/>
  <c r="D5068" i="27" s="1"/>
  <c r="D5069" i="27" s="1"/>
  <c r="D5070" i="27" s="1"/>
  <c r="D5071" i="27" s="1"/>
  <c r="D5072" i="27" s="1"/>
  <c r="D5073" i="27" s="1"/>
  <c r="D5074" i="27" s="1"/>
  <c r="D5075" i="27" s="1"/>
  <c r="D5076" i="27" s="1"/>
  <c r="D5077" i="27" s="1"/>
  <c r="D5078" i="27" s="1"/>
  <c r="D5079" i="27" s="1"/>
  <c r="D5080" i="27" s="1"/>
  <c r="D5081" i="27" s="1"/>
  <c r="D5082" i="27" s="1"/>
  <c r="D5083" i="27" s="1"/>
  <c r="D5084" i="27" s="1"/>
  <c r="D5085" i="27" s="1"/>
  <c r="D5086" i="27" s="1"/>
  <c r="D5087" i="27" s="1"/>
  <c r="D5088" i="27" s="1"/>
  <c r="D5089" i="27" s="1"/>
  <c r="D5090" i="27" s="1"/>
  <c r="D5091" i="27" s="1"/>
  <c r="D5092" i="27" s="1"/>
  <c r="D5093" i="27" s="1"/>
  <c r="D5094" i="27" s="1"/>
  <c r="D5095" i="27" s="1"/>
  <c r="D5096" i="27" s="1"/>
  <c r="D5097" i="27" s="1"/>
  <c r="D5098" i="27" s="1"/>
  <c r="D5099" i="27" s="1"/>
  <c r="D5100" i="27" s="1"/>
  <c r="D5101" i="27" s="1"/>
  <c r="D5102" i="27" s="1"/>
  <c r="D5103" i="27" s="1"/>
  <c r="D5104" i="27" s="1"/>
  <c r="D5105" i="27" s="1"/>
  <c r="D5106" i="27" s="1"/>
  <c r="D5107" i="27" s="1"/>
  <c r="D5108" i="27" s="1"/>
  <c r="D5109" i="27" s="1"/>
  <c r="D5110" i="27" s="1"/>
  <c r="D5111" i="27" s="1"/>
  <c r="D5112" i="27" s="1"/>
  <c r="D5113" i="27" s="1"/>
  <c r="D5114" i="27" s="1"/>
  <c r="D5115" i="27" s="1"/>
  <c r="D5116" i="27" s="1"/>
  <c r="D5117" i="27" s="1"/>
  <c r="D5118" i="27" s="1"/>
  <c r="D5119" i="27" s="1"/>
  <c r="D5120" i="27" s="1"/>
  <c r="D5121" i="27" s="1"/>
  <c r="D5122" i="27" s="1"/>
  <c r="D5123" i="27" s="1"/>
  <c r="D5124" i="27" s="1"/>
  <c r="D5125" i="27" s="1"/>
  <c r="D5126" i="27" s="1"/>
  <c r="D5127" i="27" s="1"/>
  <c r="D5128" i="27" s="1"/>
  <c r="D5129" i="27" s="1"/>
  <c r="D5130" i="27" s="1"/>
  <c r="D5131" i="27" s="1"/>
  <c r="D5132" i="27" s="1"/>
  <c r="D5133" i="27" s="1"/>
  <c r="D5134" i="27" s="1"/>
  <c r="D5135" i="27" s="1"/>
  <c r="D5136" i="27" s="1"/>
  <c r="D5137" i="27" s="1"/>
  <c r="D5138" i="27" s="1"/>
  <c r="D5139" i="27" s="1"/>
  <c r="D5140" i="27" s="1"/>
  <c r="D5141" i="27" s="1"/>
  <c r="D5142" i="27" s="1"/>
  <c r="D5143" i="27" s="1"/>
  <c r="D5144" i="27" s="1"/>
  <c r="D5145" i="27" s="1"/>
  <c r="D5146" i="27" s="1"/>
  <c r="D5147" i="27" s="1"/>
  <c r="D5148" i="27" s="1"/>
  <c r="D5149" i="27" s="1"/>
  <c r="D5150" i="27" s="1"/>
  <c r="D5151" i="27" s="1"/>
  <c r="D5152" i="27" s="1"/>
  <c r="D5153" i="27" s="1"/>
  <c r="D5154" i="27" s="1"/>
  <c r="D5155" i="27" s="1"/>
  <c r="D5156" i="27" s="1"/>
  <c r="D5157" i="27" s="1"/>
  <c r="D5158" i="27" s="1"/>
  <c r="D5159" i="27" s="1"/>
  <c r="D5160" i="27" s="1"/>
  <c r="D5161" i="27" s="1"/>
  <c r="D5162" i="27" s="1"/>
  <c r="D5163" i="27" s="1"/>
  <c r="D5164" i="27" s="1"/>
  <c r="D5165" i="27" s="1"/>
  <c r="D5166" i="27" s="1"/>
  <c r="D5167" i="27" s="1"/>
  <c r="D5168" i="27" s="1"/>
  <c r="D5169" i="27" s="1"/>
  <c r="D5170" i="27" s="1"/>
  <c r="D5171" i="27" s="1"/>
  <c r="D5172" i="27" s="1"/>
  <c r="D5173" i="27" s="1"/>
  <c r="D5174" i="27" s="1"/>
  <c r="D5175" i="27" s="1"/>
  <c r="D5176" i="27" s="1"/>
  <c r="D5177" i="27" s="1"/>
  <c r="D5178" i="27" s="1"/>
  <c r="D5179" i="27" s="1"/>
  <c r="D5180" i="27" s="1"/>
  <c r="D5181" i="27" s="1"/>
  <c r="D5182" i="27" s="1"/>
  <c r="D5183" i="27" s="1"/>
  <c r="D5184" i="27" s="1"/>
  <c r="D5185" i="27" s="1"/>
  <c r="D5186" i="27" s="1"/>
  <c r="D5187" i="27" s="1"/>
  <c r="D5188" i="27" s="1"/>
  <c r="D5189" i="27" s="1"/>
  <c r="D5190" i="27" s="1"/>
  <c r="D5191" i="27" s="1"/>
  <c r="D5192" i="27" s="1"/>
  <c r="D5193" i="27" s="1"/>
  <c r="D5194" i="27" s="1"/>
  <c r="D5195" i="27" s="1"/>
  <c r="D5196" i="27" s="1"/>
  <c r="D5197" i="27" s="1"/>
  <c r="D5198" i="27" s="1"/>
  <c r="D5199" i="27" s="1"/>
  <c r="D5200" i="27" s="1"/>
  <c r="D5201" i="27" s="1"/>
  <c r="D5202" i="27" s="1"/>
  <c r="D5203" i="27" s="1"/>
  <c r="D5204" i="27" s="1"/>
  <c r="D5205" i="27" s="1"/>
  <c r="D5206" i="27" s="1"/>
  <c r="D5207" i="27" s="1"/>
  <c r="D5208" i="27" s="1"/>
  <c r="D5209" i="27" s="1"/>
  <c r="D5210" i="27" s="1"/>
  <c r="D5211" i="27" s="1"/>
  <c r="D5212" i="27" s="1"/>
  <c r="D5213" i="27" s="1"/>
  <c r="D5214" i="27" s="1"/>
  <c r="D5215" i="27" s="1"/>
  <c r="D5216" i="27" s="1"/>
  <c r="D5217" i="27" s="1"/>
  <c r="D5218" i="27" s="1"/>
  <c r="D5219" i="27" s="1"/>
  <c r="D5220" i="27" s="1"/>
  <c r="D5221" i="27" s="1"/>
  <c r="D5222" i="27" s="1"/>
  <c r="D5223" i="27" s="1"/>
  <c r="D5224" i="27" s="1"/>
  <c r="D5225" i="27" s="1"/>
  <c r="D5226" i="27" s="1"/>
  <c r="D5227" i="27" s="1"/>
  <c r="D5228" i="27" s="1"/>
  <c r="D5229" i="27" s="1"/>
  <c r="D5230" i="27" s="1"/>
  <c r="D5231" i="27" s="1"/>
  <c r="D5232" i="27" s="1"/>
  <c r="D5233" i="27" s="1"/>
  <c r="D5234" i="27" s="1"/>
  <c r="D5235" i="27" s="1"/>
  <c r="D5236" i="27" s="1"/>
  <c r="D5237" i="27" s="1"/>
  <c r="D5238" i="27" s="1"/>
  <c r="D5239" i="27" s="1"/>
  <c r="D5240" i="27" s="1"/>
  <c r="D5241" i="27" s="1"/>
  <c r="D5242" i="27" s="1"/>
  <c r="D5243" i="27" s="1"/>
  <c r="D5244" i="27" s="1"/>
  <c r="D5245" i="27" s="1"/>
  <c r="D5246" i="27" s="1"/>
  <c r="D5247" i="27" s="1"/>
  <c r="D5248" i="27" s="1"/>
  <c r="D5249" i="27" s="1"/>
  <c r="D5250" i="27" s="1"/>
  <c r="D5251" i="27" s="1"/>
  <c r="D5252" i="27" s="1"/>
  <c r="D5253" i="27" s="1"/>
  <c r="D5254" i="27" s="1"/>
  <c r="D5255" i="27" s="1"/>
  <c r="D5256" i="27" s="1"/>
  <c r="D5257" i="27" s="1"/>
  <c r="D5258" i="27" s="1"/>
  <c r="D5259" i="27" s="1"/>
  <c r="D5260" i="27" s="1"/>
  <c r="D5261" i="27" s="1"/>
  <c r="D5262" i="27" s="1"/>
  <c r="D5263" i="27" s="1"/>
  <c r="D5264" i="27" s="1"/>
  <c r="D5265" i="27" s="1"/>
  <c r="D5266" i="27" s="1"/>
  <c r="D5267" i="27" s="1"/>
  <c r="D5268" i="27" s="1"/>
  <c r="D5269" i="27" s="1"/>
  <c r="D5270" i="27" s="1"/>
  <c r="D5271" i="27" s="1"/>
  <c r="D5272" i="27" s="1"/>
  <c r="D5273" i="27" s="1"/>
  <c r="D5274" i="27" s="1"/>
  <c r="D5275" i="27" s="1"/>
  <c r="D5276" i="27" s="1"/>
  <c r="D5277" i="27" s="1"/>
  <c r="D5278" i="27" s="1"/>
  <c r="D5279" i="27" s="1"/>
  <c r="D5280" i="27" s="1"/>
  <c r="D5281" i="27" s="1"/>
  <c r="D5282" i="27" s="1"/>
  <c r="D5283" i="27" s="1"/>
  <c r="D5284" i="27" s="1"/>
  <c r="D5285" i="27" s="1"/>
  <c r="D5286" i="27" s="1"/>
  <c r="D5287" i="27" s="1"/>
  <c r="D5288" i="27" s="1"/>
  <c r="D5289" i="27" s="1"/>
  <c r="D5290" i="27" s="1"/>
  <c r="D5291" i="27" s="1"/>
  <c r="D5292" i="27" s="1"/>
  <c r="D5293" i="27" s="1"/>
  <c r="D5294" i="27" s="1"/>
  <c r="D5295" i="27" s="1"/>
  <c r="D5296" i="27" s="1"/>
  <c r="D5297" i="27" s="1"/>
  <c r="D5298" i="27" s="1"/>
  <c r="D5299" i="27" s="1"/>
  <c r="D5300" i="27" s="1"/>
  <c r="D5301" i="27" s="1"/>
  <c r="D5302" i="27" s="1"/>
  <c r="D5303" i="27" s="1"/>
  <c r="D5304" i="27" s="1"/>
  <c r="D5305" i="27" s="1"/>
  <c r="D5306" i="27" s="1"/>
  <c r="D5307" i="27" s="1"/>
  <c r="D5308" i="27" s="1"/>
  <c r="D5309" i="27" s="1"/>
  <c r="D5310" i="27" s="1"/>
  <c r="D5311" i="27" s="1"/>
  <c r="D5312" i="27" s="1"/>
  <c r="D5313" i="27" s="1"/>
  <c r="D5314" i="27" s="1"/>
  <c r="D5315" i="27" s="1"/>
  <c r="D5316" i="27" s="1"/>
  <c r="D5317" i="27" s="1"/>
  <c r="D5318" i="27" s="1"/>
  <c r="D5319" i="27" s="1"/>
  <c r="D5320" i="27" s="1"/>
  <c r="D5321" i="27" s="1"/>
  <c r="D5322" i="27" s="1"/>
  <c r="D5323" i="27" s="1"/>
  <c r="D5324" i="27" s="1"/>
  <c r="D5325" i="27" s="1"/>
  <c r="D5326" i="27" s="1"/>
  <c r="D5327" i="27" s="1"/>
  <c r="D5328" i="27" s="1"/>
  <c r="D5329" i="27" s="1"/>
  <c r="D5330" i="27" s="1"/>
  <c r="D5331" i="27" s="1"/>
  <c r="D5332" i="27" s="1"/>
  <c r="D5333" i="27" s="1"/>
  <c r="D5334" i="27" s="1"/>
  <c r="D5335" i="27" s="1"/>
  <c r="D5336" i="27" s="1"/>
  <c r="D5337" i="27" s="1"/>
  <c r="D5338" i="27" s="1"/>
  <c r="D5339" i="27" s="1"/>
  <c r="D5340" i="27" s="1"/>
  <c r="D5341" i="27" s="1"/>
  <c r="D5342" i="27" s="1"/>
  <c r="D5343" i="27" s="1"/>
  <c r="D5344" i="27" s="1"/>
  <c r="D5345" i="27" s="1"/>
  <c r="D5346" i="27" s="1"/>
  <c r="D5347" i="27" s="1"/>
  <c r="D5348" i="27" s="1"/>
  <c r="D5349" i="27" s="1"/>
  <c r="D5350" i="27" s="1"/>
  <c r="D5351" i="27" s="1"/>
  <c r="D5352" i="27" s="1"/>
  <c r="D5353" i="27" s="1"/>
  <c r="D5354" i="27" s="1"/>
  <c r="D5355" i="27" s="1"/>
  <c r="D5356" i="27" s="1"/>
  <c r="D5357" i="27" s="1"/>
  <c r="D5358" i="27" s="1"/>
  <c r="D5359" i="27" s="1"/>
  <c r="D5360" i="27" s="1"/>
  <c r="D5361" i="27" s="1"/>
  <c r="D5362" i="27" s="1"/>
  <c r="D5363" i="27" s="1"/>
  <c r="D5364" i="27" s="1"/>
  <c r="D5365" i="27" s="1"/>
  <c r="D5366" i="27" s="1"/>
  <c r="D5367" i="27" s="1"/>
  <c r="D5368" i="27" s="1"/>
  <c r="D5369" i="27" s="1"/>
  <c r="D5370" i="27" s="1"/>
  <c r="D5371" i="27" s="1"/>
  <c r="D5372" i="27" s="1"/>
  <c r="D5373" i="27" s="1"/>
  <c r="D5374" i="27" s="1"/>
  <c r="D5375" i="27" s="1"/>
  <c r="D5376" i="27" s="1"/>
  <c r="D5377" i="27" s="1"/>
  <c r="D5378" i="27" s="1"/>
  <c r="D5379" i="27" s="1"/>
  <c r="D5380" i="27" s="1"/>
  <c r="D5381" i="27" s="1"/>
  <c r="D5382" i="27" s="1"/>
  <c r="D5383" i="27" s="1"/>
  <c r="D5384" i="27" s="1"/>
  <c r="D5385" i="27" s="1"/>
  <c r="D5386" i="27" s="1"/>
  <c r="D5387" i="27" s="1"/>
  <c r="D5388" i="27" s="1"/>
  <c r="D5389" i="27" s="1"/>
  <c r="D5390" i="27" s="1"/>
  <c r="D5391" i="27" s="1"/>
  <c r="D5392" i="27" s="1"/>
  <c r="D5393" i="27" s="1"/>
  <c r="D5394" i="27" s="1"/>
  <c r="D5395" i="27" s="1"/>
  <c r="D5396" i="27" s="1"/>
  <c r="D5397" i="27" s="1"/>
  <c r="D5398" i="27" s="1"/>
  <c r="D5399" i="27" s="1"/>
  <c r="D5400" i="27" s="1"/>
  <c r="D5401" i="27" s="1"/>
  <c r="D5402" i="27" s="1"/>
  <c r="D5403" i="27" s="1"/>
  <c r="D5404" i="27" s="1"/>
  <c r="D5405" i="27" s="1"/>
  <c r="D5406" i="27" s="1"/>
  <c r="D5407" i="27" s="1"/>
  <c r="D5408" i="27" s="1"/>
  <c r="D5409" i="27" s="1"/>
  <c r="D5410" i="27" s="1"/>
  <c r="D5411" i="27" s="1"/>
  <c r="D5412" i="27" s="1"/>
  <c r="D5413" i="27" s="1"/>
  <c r="D5414" i="27" s="1"/>
  <c r="D5415" i="27" s="1"/>
  <c r="D5416" i="27" s="1"/>
  <c r="D5417" i="27" s="1"/>
  <c r="D5418" i="27" s="1"/>
  <c r="D5419" i="27" s="1"/>
  <c r="D5420" i="27" s="1"/>
  <c r="D5421" i="27" s="1"/>
  <c r="D5422" i="27" s="1"/>
  <c r="D5423" i="27" s="1"/>
  <c r="D5424" i="27" s="1"/>
  <c r="D5425" i="27" s="1"/>
  <c r="D5426" i="27" s="1"/>
  <c r="D5427" i="27" s="1"/>
  <c r="D5428" i="27" s="1"/>
  <c r="D5429" i="27" s="1"/>
  <c r="D5430" i="27" s="1"/>
  <c r="D5431" i="27" s="1"/>
  <c r="D5432" i="27" s="1"/>
  <c r="D5433" i="27" s="1"/>
  <c r="D5434" i="27" s="1"/>
  <c r="D5435" i="27" s="1"/>
  <c r="D5436" i="27" s="1"/>
  <c r="D5437" i="27" s="1"/>
  <c r="D5438" i="27" s="1"/>
  <c r="D5439" i="27" s="1"/>
  <c r="D5440" i="27" s="1"/>
  <c r="D5441" i="27" s="1"/>
  <c r="D5442" i="27" s="1"/>
  <c r="D5443" i="27" s="1"/>
  <c r="D5444" i="27" s="1"/>
  <c r="D5445" i="27" s="1"/>
  <c r="D5446" i="27" s="1"/>
  <c r="D5447" i="27" s="1"/>
  <c r="D5448" i="27" s="1"/>
  <c r="D5449" i="27" s="1"/>
  <c r="D5450" i="27" s="1"/>
  <c r="D5451" i="27" s="1"/>
  <c r="D5452" i="27" s="1"/>
  <c r="D5453" i="27" s="1"/>
  <c r="D5454" i="27" s="1"/>
  <c r="D5455" i="27" s="1"/>
  <c r="D5456" i="27" s="1"/>
  <c r="D5457" i="27" s="1"/>
  <c r="D5458" i="27" s="1"/>
  <c r="D5459" i="27" s="1"/>
  <c r="D5460" i="27" s="1"/>
  <c r="D5461" i="27" s="1"/>
  <c r="D5462" i="27" s="1"/>
  <c r="D5463" i="27" s="1"/>
  <c r="D5464" i="27" s="1"/>
  <c r="D5465" i="27" s="1"/>
  <c r="D5466" i="27" s="1"/>
  <c r="D5467" i="27" s="1"/>
  <c r="D5468" i="27" s="1"/>
  <c r="D5469" i="27" s="1"/>
  <c r="D5470" i="27" s="1"/>
  <c r="D5471" i="27" s="1"/>
  <c r="D5472" i="27" s="1"/>
  <c r="D5473" i="27" s="1"/>
  <c r="D5474" i="27" s="1"/>
  <c r="D5475" i="27" s="1"/>
  <c r="D5476" i="27" s="1"/>
  <c r="D5477" i="27" s="1"/>
  <c r="D5478" i="27" s="1"/>
  <c r="D5479" i="27" s="1"/>
  <c r="D5480" i="27" s="1"/>
  <c r="D5481" i="27" s="1"/>
  <c r="D5482" i="27" s="1"/>
  <c r="D5483" i="27" s="1"/>
  <c r="D5484" i="27" s="1"/>
  <c r="D5485" i="27" s="1"/>
  <c r="D5486" i="27" s="1"/>
  <c r="D5487" i="27" s="1"/>
  <c r="D5488" i="27" s="1"/>
  <c r="D5489" i="27" s="1"/>
  <c r="D5490" i="27" s="1"/>
  <c r="D5491" i="27" s="1"/>
  <c r="D5492" i="27" s="1"/>
  <c r="D5493" i="27" s="1"/>
  <c r="D5494" i="27" s="1"/>
  <c r="D5495" i="27" s="1"/>
  <c r="D5496" i="27" s="1"/>
  <c r="D5497" i="27" s="1"/>
  <c r="D5498" i="27" s="1"/>
  <c r="D5499" i="27" s="1"/>
  <c r="D5500" i="27" s="1"/>
  <c r="D5501" i="27" s="1"/>
  <c r="D5502" i="27" s="1"/>
  <c r="D5503" i="27" s="1"/>
  <c r="D5504" i="27" s="1"/>
  <c r="D5505" i="27" s="1"/>
  <c r="D5506" i="27" s="1"/>
  <c r="D5507" i="27" s="1"/>
  <c r="D5508" i="27" s="1"/>
  <c r="D5509" i="27" s="1"/>
  <c r="D5510" i="27" s="1"/>
  <c r="D5511" i="27" s="1"/>
  <c r="D5512" i="27" s="1"/>
  <c r="D5513" i="27" s="1"/>
  <c r="D5514" i="27" s="1"/>
  <c r="D5515" i="27" s="1"/>
  <c r="D5516" i="27" s="1"/>
  <c r="D5517" i="27" s="1"/>
  <c r="D5518" i="27" s="1"/>
  <c r="D5519" i="27" s="1"/>
  <c r="D5520" i="27" s="1"/>
  <c r="D5521" i="27" s="1"/>
  <c r="D5522" i="27" s="1"/>
  <c r="D5523" i="27" s="1"/>
  <c r="D5524" i="27" s="1"/>
  <c r="D5525" i="27" s="1"/>
  <c r="D5526" i="27" s="1"/>
  <c r="D5527" i="27" s="1"/>
  <c r="D5528" i="27" s="1"/>
  <c r="D5529" i="27" s="1"/>
  <c r="D5530" i="27" s="1"/>
  <c r="D5531" i="27" s="1"/>
  <c r="D5532" i="27" s="1"/>
  <c r="D5533" i="27" s="1"/>
  <c r="D5534" i="27" s="1"/>
  <c r="D5535" i="27" s="1"/>
  <c r="D5536" i="27" s="1"/>
  <c r="D5537" i="27" s="1"/>
  <c r="D5538" i="27" s="1"/>
  <c r="D5539" i="27" s="1"/>
  <c r="D5540" i="27" s="1"/>
  <c r="D5541" i="27" s="1"/>
  <c r="D5542" i="27" s="1"/>
  <c r="D5543" i="27" s="1"/>
  <c r="D5544" i="27" s="1"/>
  <c r="D5545" i="27" s="1"/>
  <c r="D5546" i="27" s="1"/>
  <c r="D5547" i="27" s="1"/>
  <c r="D5548" i="27" s="1"/>
  <c r="D5549" i="27" s="1"/>
  <c r="D5550" i="27" s="1"/>
  <c r="D5551" i="27" s="1"/>
  <c r="D5552" i="27" s="1"/>
  <c r="D5553" i="27" s="1"/>
  <c r="D5554" i="27" s="1"/>
  <c r="D5555" i="27" s="1"/>
  <c r="D5556" i="27" s="1"/>
  <c r="D5557" i="27" s="1"/>
  <c r="D5558" i="27" s="1"/>
  <c r="D5559" i="27" s="1"/>
  <c r="D5560" i="27" s="1"/>
  <c r="D5561" i="27" s="1"/>
  <c r="D5562" i="27" s="1"/>
  <c r="D5563" i="27" s="1"/>
  <c r="D5564" i="27" s="1"/>
  <c r="D5565" i="27" s="1"/>
  <c r="D5566" i="27" s="1"/>
  <c r="D5567" i="27" s="1"/>
  <c r="D5568" i="27" s="1"/>
  <c r="D5569" i="27" s="1"/>
  <c r="D5570" i="27" s="1"/>
  <c r="D5571" i="27" s="1"/>
  <c r="D5572" i="27" s="1"/>
  <c r="D5573" i="27" s="1"/>
  <c r="D5574" i="27" s="1"/>
  <c r="D5575" i="27" s="1"/>
  <c r="D5576" i="27" s="1"/>
  <c r="D5577" i="27" s="1"/>
  <c r="D5578" i="27" s="1"/>
  <c r="D5579" i="27" s="1"/>
  <c r="D5580" i="27" s="1"/>
  <c r="D5581" i="27" s="1"/>
  <c r="D5582" i="27" s="1"/>
  <c r="D5583" i="27" s="1"/>
  <c r="D5584" i="27" s="1"/>
  <c r="D5585" i="27" s="1"/>
  <c r="D5586" i="27" s="1"/>
  <c r="D5587" i="27" s="1"/>
  <c r="D5588" i="27" s="1"/>
  <c r="D5589" i="27" s="1"/>
  <c r="D5590" i="27" s="1"/>
  <c r="D5591" i="27" s="1"/>
  <c r="D5592" i="27" s="1"/>
  <c r="D5593" i="27" s="1"/>
  <c r="D5594" i="27" s="1"/>
  <c r="D5595" i="27" s="1"/>
  <c r="D5596" i="27" s="1"/>
  <c r="D5597" i="27" s="1"/>
  <c r="D5598" i="27" s="1"/>
  <c r="D5599" i="27" s="1"/>
  <c r="D5600" i="27" s="1"/>
  <c r="D5601" i="27" s="1"/>
  <c r="D5602" i="27" s="1"/>
  <c r="D5603" i="27" s="1"/>
  <c r="D5604" i="27" s="1"/>
  <c r="D5605" i="27" s="1"/>
  <c r="D5606" i="27" s="1"/>
  <c r="D5607" i="27" s="1"/>
  <c r="D5608" i="27" s="1"/>
  <c r="D5609" i="27" s="1"/>
  <c r="D5610" i="27" s="1"/>
  <c r="D5611" i="27" s="1"/>
  <c r="D5612" i="27" s="1"/>
  <c r="D5613" i="27" s="1"/>
  <c r="D5614" i="27" s="1"/>
  <c r="D5615" i="27" s="1"/>
  <c r="D5616" i="27" s="1"/>
  <c r="D5617" i="27" s="1"/>
  <c r="D5618" i="27" s="1"/>
  <c r="D5619" i="27" s="1"/>
  <c r="D5620" i="27" s="1"/>
  <c r="D5621" i="27" s="1"/>
  <c r="D5622" i="27" s="1"/>
  <c r="D5623" i="27" s="1"/>
  <c r="D5624" i="27" s="1"/>
  <c r="D5625" i="27" s="1"/>
  <c r="D5626" i="27" s="1"/>
  <c r="D5627" i="27" s="1"/>
  <c r="D5628" i="27" s="1"/>
  <c r="D5629" i="27" s="1"/>
  <c r="D5630" i="27" s="1"/>
  <c r="D5631" i="27" s="1"/>
  <c r="D5632" i="27" s="1"/>
  <c r="D5633" i="27" s="1"/>
  <c r="D5634" i="27" s="1"/>
  <c r="D5635" i="27" s="1"/>
  <c r="D5636" i="27" s="1"/>
  <c r="D5637" i="27" s="1"/>
  <c r="D5638" i="27" s="1"/>
  <c r="D5639" i="27" s="1"/>
  <c r="D5640" i="27" s="1"/>
  <c r="D5641" i="27" s="1"/>
  <c r="D5642" i="27" s="1"/>
  <c r="D5643" i="27" s="1"/>
  <c r="D5644" i="27" s="1"/>
  <c r="D5645" i="27" s="1"/>
  <c r="D5646" i="27" s="1"/>
  <c r="D5647" i="27" s="1"/>
  <c r="D5648" i="27" s="1"/>
  <c r="D5649" i="27" s="1"/>
  <c r="D5650" i="27" s="1"/>
  <c r="D5651" i="27" s="1"/>
  <c r="D5652" i="27" s="1"/>
  <c r="D5653" i="27" s="1"/>
  <c r="D5654" i="27" s="1"/>
  <c r="D5655" i="27" s="1"/>
  <c r="D5656" i="27" s="1"/>
  <c r="D5657" i="27" s="1"/>
  <c r="D5658" i="27" s="1"/>
  <c r="D5659" i="27" s="1"/>
  <c r="D5660" i="27" s="1"/>
  <c r="D5661" i="27" s="1"/>
  <c r="D5662" i="27" s="1"/>
  <c r="D5663" i="27" s="1"/>
  <c r="D5664" i="27" s="1"/>
  <c r="D5665" i="27" s="1"/>
  <c r="D5666" i="27" s="1"/>
  <c r="D5667" i="27" s="1"/>
  <c r="D5668" i="27" s="1"/>
  <c r="D5669" i="27" s="1"/>
  <c r="D5670" i="27" s="1"/>
  <c r="D5671" i="27" s="1"/>
  <c r="D5672" i="27" s="1"/>
  <c r="D5673" i="27" s="1"/>
  <c r="D5674" i="27" s="1"/>
  <c r="D5675" i="27" s="1"/>
  <c r="D5676" i="27" s="1"/>
  <c r="D5677" i="27" s="1"/>
  <c r="D5678" i="27" s="1"/>
  <c r="D5679" i="27" s="1"/>
  <c r="D5680" i="27" s="1"/>
  <c r="D5681" i="27" s="1"/>
  <c r="D5682" i="27" s="1"/>
  <c r="D5683" i="27" s="1"/>
  <c r="D5684" i="27" s="1"/>
  <c r="D5685" i="27" s="1"/>
  <c r="D5686" i="27" s="1"/>
  <c r="D5687" i="27" s="1"/>
  <c r="D5688" i="27" s="1"/>
  <c r="D5689" i="27" s="1"/>
  <c r="D5690" i="27" s="1"/>
  <c r="D5691" i="27" s="1"/>
  <c r="D5692" i="27" s="1"/>
  <c r="D5693" i="27" s="1"/>
  <c r="D5694" i="27" s="1"/>
  <c r="D5695" i="27" s="1"/>
  <c r="D5696" i="27" s="1"/>
  <c r="D5697" i="27" s="1"/>
  <c r="D5698" i="27" s="1"/>
  <c r="D5699" i="27" s="1"/>
  <c r="D5700" i="27" s="1"/>
  <c r="D5701" i="27" s="1"/>
  <c r="D5702" i="27" s="1"/>
  <c r="D5703" i="27" s="1"/>
  <c r="D5704" i="27" s="1"/>
  <c r="D5705" i="27" s="1"/>
  <c r="D5706" i="27" s="1"/>
  <c r="D5707" i="27" s="1"/>
  <c r="D5708" i="27" s="1"/>
  <c r="D5709" i="27" s="1"/>
  <c r="D5710" i="27" s="1"/>
  <c r="D5711" i="27" s="1"/>
  <c r="D5712" i="27" s="1"/>
  <c r="D5713" i="27" s="1"/>
  <c r="D5714" i="27" s="1"/>
  <c r="D5715" i="27" s="1"/>
  <c r="D5716" i="27" s="1"/>
  <c r="D5717" i="27" s="1"/>
  <c r="D5718" i="27" s="1"/>
  <c r="D5719" i="27" s="1"/>
  <c r="D5720" i="27" s="1"/>
  <c r="D5721" i="27" s="1"/>
  <c r="D5722" i="27" s="1"/>
  <c r="D5723" i="27" s="1"/>
  <c r="D5724" i="27" s="1"/>
  <c r="D5725" i="27" s="1"/>
  <c r="D5726" i="27" s="1"/>
  <c r="D5727" i="27" s="1"/>
  <c r="D5728" i="27" s="1"/>
  <c r="D5729" i="27" s="1"/>
  <c r="D5730" i="27" s="1"/>
  <c r="D5731" i="27" s="1"/>
  <c r="D5732" i="27" s="1"/>
  <c r="D5733" i="27" s="1"/>
  <c r="D5734" i="27" s="1"/>
  <c r="D5735" i="27" s="1"/>
  <c r="D5736" i="27" s="1"/>
  <c r="D5737" i="27" s="1"/>
  <c r="D5738" i="27" s="1"/>
  <c r="D5739" i="27" s="1"/>
  <c r="D5740" i="27" s="1"/>
  <c r="D5741" i="27" s="1"/>
  <c r="D5742" i="27" s="1"/>
  <c r="D5743" i="27" s="1"/>
  <c r="D5744" i="27" s="1"/>
  <c r="D5745" i="27" s="1"/>
  <c r="D5746" i="27" s="1"/>
  <c r="D5747" i="27" s="1"/>
  <c r="D5748" i="27" s="1"/>
  <c r="D5749" i="27" s="1"/>
  <c r="D5750" i="27" s="1"/>
  <c r="B67" i="33"/>
  <c r="G366" i="32"/>
  <c r="F67" i="33"/>
  <c r="G54" i="32"/>
  <c r="D67" i="33"/>
  <c r="G665" i="32"/>
  <c r="F5332" i="27" l="1"/>
  <c r="F4317" i="27"/>
  <c r="F4318" i="27" s="1"/>
  <c r="F4319" i="27" s="1"/>
  <c r="F4320" i="27" s="1"/>
  <c r="F4321" i="27" s="1"/>
  <c r="B4274" i="27"/>
  <c r="H1361" i="27"/>
  <c r="H724" i="27"/>
  <c r="H723" i="27"/>
  <c r="H302" i="27"/>
  <c r="AV67" i="33" a="1"/>
  <c r="AV67" i="33" s="1"/>
  <c r="AX63" i="33"/>
  <c r="AW63" i="33"/>
  <c r="AY65" i="33"/>
  <c r="AR67" i="33" a="1"/>
  <c r="AR67" i="33" s="1"/>
  <c r="AQ67" i="33" a="1"/>
  <c r="AQ67" i="33" s="1"/>
  <c r="J67" i="33" s="1"/>
  <c r="AS14" i="34"/>
  <c r="AZ67" i="33"/>
  <c r="AS65" i="33"/>
  <c r="U60" i="32"/>
  <c r="U671" i="32"/>
  <c r="U372" i="32"/>
  <c r="AY32" i="34"/>
  <c r="K933" i="27"/>
  <c r="J933" i="27" a="1"/>
  <c r="F933" i="27"/>
  <c r="J933" i="27" l="1"/>
  <c r="E1029" i="27"/>
  <c r="E1028" i="27"/>
  <c r="E1027" i="27"/>
  <c r="E1030" i="27"/>
  <c r="F5333" i="27"/>
  <c r="F4323" i="27"/>
  <c r="F4324" i="27" s="1"/>
  <c r="F4325" i="27" s="1"/>
  <c r="F4326" i="27" s="1"/>
  <c r="F4327" i="27" s="1"/>
  <c r="F4322" i="27"/>
  <c r="B4275" i="27"/>
  <c r="H1362" i="27"/>
  <c r="H725" i="27"/>
  <c r="H303" i="27"/>
  <c r="AX67" i="33"/>
  <c r="AW65" i="33"/>
  <c r="AX65" i="33"/>
  <c r="AT67" i="33"/>
  <c r="AS67" i="33"/>
  <c r="U673" i="32"/>
  <c r="U62" i="32"/>
  <c r="U374" i="32"/>
  <c r="AY33" i="34"/>
  <c r="K31" i="1"/>
  <c r="A8" i="33"/>
  <c r="B1" i="32"/>
  <c r="C9" i="32"/>
  <c r="B315" i="32"/>
  <c r="A50" i="24"/>
  <c r="A213" i="24"/>
  <c r="K148" i="24"/>
  <c r="A1" i="24"/>
  <c r="A152" i="1"/>
  <c r="H148" i="24"/>
  <c r="C5" i="32"/>
  <c r="D5" i="32"/>
  <c r="A8" i="34"/>
  <c r="H220" i="24"/>
  <c r="A1" i="31"/>
  <c r="J148" i="24"/>
  <c r="E5" i="32"/>
  <c r="C315" i="32"/>
  <c r="A1" i="34"/>
  <c r="L148" i="24"/>
  <c r="I220" i="24"/>
  <c r="A1" i="33"/>
  <c r="D220" i="24"/>
  <c r="E13" i="1"/>
  <c r="T13" i="1"/>
  <c r="A31" i="1"/>
  <c r="B9" i="32"/>
  <c r="T38" i="1"/>
  <c r="A21" i="24"/>
  <c r="A18" i="1"/>
  <c r="E31" i="1"/>
  <c r="E51" i="1"/>
  <c r="C8" i="31"/>
  <c r="C220" i="24"/>
  <c r="E81" i="1"/>
  <c r="A6" i="1"/>
  <c r="A7" i="1"/>
  <c r="A8" i="1"/>
  <c r="A9" i="1"/>
  <c r="A10" i="1"/>
  <c r="A11" i="1"/>
  <c r="A5" i="30"/>
  <c r="A1" i="1"/>
  <c r="F5334" i="27" l="1"/>
  <c r="F4328" i="27"/>
  <c r="F4329" i="27"/>
  <c r="F4330" i="27" s="1"/>
  <c r="F4331" i="27" s="1"/>
  <c r="F4332" i="27" s="1"/>
  <c r="F4333" i="27" s="1"/>
  <c r="B4276" i="27"/>
  <c r="H1363" i="27"/>
  <c r="H726" i="27"/>
  <c r="H304" i="27"/>
  <c r="H305" i="27"/>
  <c r="AW67" i="33"/>
  <c r="AY67" i="33"/>
  <c r="E201" i="24"/>
  <c r="E197" i="24"/>
  <c r="E195" i="24"/>
  <c r="E193" i="24"/>
  <c r="E191" i="24"/>
  <c r="E187" i="24"/>
  <c r="E185" i="24"/>
  <c r="E183" i="24"/>
  <c r="E179" i="24"/>
  <c r="E177" i="24"/>
  <c r="E175" i="24"/>
  <c r="E171" i="24"/>
  <c r="E169" i="24"/>
  <c r="E167" i="24"/>
  <c r="E165" i="24"/>
  <c r="E163" i="24"/>
  <c r="E161" i="24"/>
  <c r="E157" i="24"/>
  <c r="E155" i="24"/>
  <c r="E153" i="24"/>
  <c r="S149" i="24"/>
  <c r="E151" i="24"/>
  <c r="Q149" i="24"/>
  <c r="R149" i="24"/>
  <c r="O149" i="24"/>
  <c r="P149" i="24"/>
  <c r="M149" i="24"/>
  <c r="N149" i="24"/>
  <c r="E149" i="24"/>
  <c r="L149" i="24"/>
  <c r="N221" i="24"/>
  <c r="C245" i="24"/>
  <c r="B245" i="24"/>
  <c r="U376" i="32"/>
  <c r="U64" i="32"/>
  <c r="U675" i="32"/>
  <c r="N227" i="24"/>
  <c r="N226" i="24"/>
  <c r="N225" i="24"/>
  <c r="N224" i="24"/>
  <c r="N223" i="24"/>
  <c r="I227" i="24"/>
  <c r="I226" i="24"/>
  <c r="I225" i="24"/>
  <c r="I223" i="24"/>
  <c r="I224" i="24"/>
  <c r="I222" i="24"/>
  <c r="I221" i="24"/>
  <c r="AY34" i="34"/>
  <c r="AD8" i="31"/>
  <c r="AD8" i="30"/>
  <c r="AA8" i="31"/>
  <c r="C148" i="24"/>
  <c r="B8" i="31"/>
  <c r="A104" i="24"/>
  <c r="AA8" i="30"/>
  <c r="A33" i="24"/>
  <c r="L9" i="32"/>
  <c r="AV8" i="34"/>
  <c r="AI8" i="34"/>
  <c r="AH8" i="34"/>
  <c r="AA8" i="34"/>
  <c r="Z8" i="34"/>
  <c r="AE8" i="34"/>
  <c r="AD8" i="34"/>
  <c r="W8" i="34"/>
  <c r="V8" i="34"/>
  <c r="AL8" i="34"/>
  <c r="AM8" i="34"/>
  <c r="S8" i="34"/>
  <c r="R8" i="34"/>
  <c r="J8" i="34"/>
  <c r="N8" i="34"/>
  <c r="K8" i="34"/>
  <c r="O8" i="34"/>
  <c r="N220" i="24"/>
  <c r="AU8" i="34"/>
  <c r="AB8" i="31"/>
  <c r="AC8" i="31"/>
  <c r="D148" i="24"/>
  <c r="AB8" i="30"/>
  <c r="AN8" i="34"/>
  <c r="O107" i="24"/>
  <c r="G220" i="24"/>
  <c r="E8" i="34"/>
  <c r="E220" i="24"/>
  <c r="E154" i="1"/>
  <c r="B220" i="24"/>
  <c r="A148" i="24"/>
  <c r="A220" i="24"/>
  <c r="B8" i="34"/>
  <c r="B148" i="24"/>
  <c r="F148" i="24"/>
  <c r="E148" i="24"/>
  <c r="J107" i="24"/>
  <c r="G148" i="24"/>
  <c r="N107" i="24"/>
  <c r="I148" i="24"/>
  <c r="N148" i="24"/>
  <c r="M148" i="24"/>
  <c r="P148" i="24"/>
  <c r="O148" i="24"/>
  <c r="S148" i="24"/>
  <c r="Q148" i="24"/>
  <c r="R107" i="24"/>
  <c r="S107" i="24"/>
  <c r="P107" i="24"/>
  <c r="Q107" i="24"/>
  <c r="I53" i="24"/>
  <c r="I107" i="24"/>
  <c r="H53" i="24"/>
  <c r="H107" i="24"/>
  <c r="E53" i="24"/>
  <c r="E107" i="24"/>
  <c r="B53" i="24"/>
  <c r="B107" i="24"/>
  <c r="A53" i="24"/>
  <c r="A107" i="24"/>
  <c r="A80" i="1"/>
  <c r="A87" i="24"/>
  <c r="R53" i="24"/>
  <c r="S53" i="24"/>
  <c r="P53" i="24"/>
  <c r="Q53" i="24"/>
  <c r="G8" i="34"/>
  <c r="O53" i="24"/>
  <c r="F8" i="34"/>
  <c r="N53" i="24"/>
  <c r="J8" i="33"/>
  <c r="J53" i="24"/>
  <c r="T14" i="1"/>
  <c r="C8" i="34"/>
  <c r="B8" i="32"/>
  <c r="D9" i="32"/>
  <c r="D315" i="32"/>
  <c r="G9" i="32"/>
  <c r="G315" i="32"/>
  <c r="E9" i="32"/>
  <c r="E315" i="32"/>
  <c r="AH8" i="33"/>
  <c r="AK8" i="33"/>
  <c r="AB8" i="33"/>
  <c r="AE8" i="33"/>
  <c r="W8" i="33"/>
  <c r="V8" i="33"/>
  <c r="Y8" i="33"/>
  <c r="X8" i="33"/>
  <c r="U8" i="33"/>
  <c r="T8" i="33"/>
  <c r="P8" i="33"/>
  <c r="S8" i="33"/>
  <c r="R8" i="33"/>
  <c r="O8" i="33"/>
  <c r="E8" i="31"/>
  <c r="G8" i="33"/>
  <c r="D8" i="31"/>
  <c r="E117" i="1"/>
  <c r="V8" i="31"/>
  <c r="Z8" i="31"/>
  <c r="T8" i="31"/>
  <c r="X8" i="31"/>
  <c r="W8" i="31"/>
  <c r="U8" i="31"/>
  <c r="Y8" i="31"/>
  <c r="S8" i="31"/>
  <c r="N8" i="31"/>
  <c r="R8" i="31"/>
  <c r="L8" i="31"/>
  <c r="P8" i="31"/>
  <c r="O8" i="31"/>
  <c r="M8" i="31"/>
  <c r="Q8" i="31"/>
  <c r="K8" i="31"/>
  <c r="J8" i="31"/>
  <c r="I8" i="31"/>
  <c r="H8" i="30"/>
  <c r="H8" i="31"/>
  <c r="G8" i="31"/>
  <c r="F8" i="31"/>
  <c r="W8" i="30"/>
  <c r="U8" i="30"/>
  <c r="Y8" i="30"/>
  <c r="V8" i="30"/>
  <c r="Z8" i="30"/>
  <c r="T8" i="30"/>
  <c r="X8" i="30"/>
  <c r="N8" i="30"/>
  <c r="L8" i="30"/>
  <c r="P8" i="30"/>
  <c r="O8" i="30"/>
  <c r="M8" i="30"/>
  <c r="E8" i="30"/>
  <c r="D8" i="30"/>
  <c r="C8" i="30"/>
  <c r="B8" i="30"/>
  <c r="A8" i="30"/>
  <c r="A1" i="30"/>
  <c r="A264" i="1"/>
  <c r="T154" i="1"/>
  <c r="K154" i="1"/>
  <c r="A154" i="1"/>
  <c r="K14" i="1"/>
  <c r="A116" i="1"/>
  <c r="A81" i="1"/>
  <c r="A51" i="1"/>
  <c r="A50" i="1"/>
  <c r="K38" i="1"/>
  <c r="G38" i="29" s="1"/>
  <c r="I15" i="29" s="1"/>
  <c r="E38" i="1"/>
  <c r="A38" i="1"/>
  <c r="A37" i="1"/>
  <c r="E26" i="1"/>
  <c r="A26" i="1"/>
  <c r="E14" i="1"/>
  <c r="K13" i="1"/>
  <c r="A13" i="1"/>
  <c r="A5" i="1"/>
  <c r="F3" i="19"/>
  <c r="F5335" i="27" l="1"/>
  <c r="F4334" i="27"/>
  <c r="F4335" i="27"/>
  <c r="F4336" i="27" s="1"/>
  <c r="F4337" i="27" s="1"/>
  <c r="F4338" i="27" s="1"/>
  <c r="F4339" i="27" s="1"/>
  <c r="B4277" i="27"/>
  <c r="H1364" i="27"/>
  <c r="H727" i="27"/>
  <c r="H306" i="27"/>
  <c r="Q1659" i="32"/>
  <c r="U677" i="32"/>
  <c r="U66" i="32"/>
  <c r="U378" i="32"/>
  <c r="G11" i="24"/>
  <c r="I16" i="29"/>
  <c r="G12" i="24" s="1"/>
  <c r="B60" i="24"/>
  <c r="AY35" i="34"/>
  <c r="AO9" i="34"/>
  <c r="F5337" i="27" l="1"/>
  <c r="F5336" i="27"/>
  <c r="F4341" i="27"/>
  <c r="F4342" i="27" s="1"/>
  <c r="F4343" i="27" s="1"/>
  <c r="F4344" i="27" s="1"/>
  <c r="F4345" i="27" s="1"/>
  <c r="F4340" i="27"/>
  <c r="B4278" i="27"/>
  <c r="H1365" i="27"/>
  <c r="H1366" i="27"/>
  <c r="H728" i="27"/>
  <c r="H307" i="27"/>
  <c r="U68" i="32"/>
  <c r="U679" i="32"/>
  <c r="U380" i="32"/>
  <c r="I17" i="29"/>
  <c r="AY36" i="34"/>
  <c r="F2" i="19"/>
  <c r="F5338" i="27" l="1"/>
  <c r="F4346" i="27"/>
  <c r="F4347" i="27"/>
  <c r="F4348" i="27" s="1"/>
  <c r="F4349" i="27" s="1"/>
  <c r="F4350" i="27" s="1"/>
  <c r="F4351" i="27" s="1"/>
  <c r="B4279" i="27"/>
  <c r="H1367" i="27"/>
  <c r="H730" i="27"/>
  <c r="H729" i="27"/>
  <c r="H308" i="27"/>
  <c r="U382" i="32"/>
  <c r="U681" i="32"/>
  <c r="U70" i="32"/>
  <c r="G13" i="24"/>
  <c r="I18" i="29"/>
  <c r="G14" i="24" s="1"/>
  <c r="AY37" i="34"/>
  <c r="A33" i="29"/>
  <c r="P108" i="24" l="1"/>
  <c r="R108" i="24"/>
  <c r="Q108" i="24"/>
  <c r="Q54" i="24"/>
  <c r="P54" i="24"/>
  <c r="R54" i="24"/>
  <c r="F5339" i="27"/>
  <c r="F4353" i="27"/>
  <c r="F4354" i="27" s="1"/>
  <c r="F4355" i="27" s="1"/>
  <c r="F4356" i="27" s="1"/>
  <c r="F4357" i="27" s="1"/>
  <c r="F4352" i="27"/>
  <c r="B4280" i="27"/>
  <c r="H1368" i="27"/>
  <c r="H731" i="27"/>
  <c r="H309" i="27"/>
  <c r="U72" i="32"/>
  <c r="U683" i="32"/>
  <c r="U384" i="32"/>
  <c r="I19" i="29"/>
  <c r="AY38" i="34"/>
  <c r="B99" i="24"/>
  <c r="B89" i="24"/>
  <c r="B90" i="24"/>
  <c r="B91" i="24"/>
  <c r="B92" i="24"/>
  <c r="B93" i="24"/>
  <c r="B94" i="24"/>
  <c r="B95" i="24"/>
  <c r="B96" i="24"/>
  <c r="B97" i="24"/>
  <c r="B98" i="24"/>
  <c r="B88" i="24"/>
  <c r="F5340" i="27" l="1"/>
  <c r="F4359" i="27"/>
  <c r="F4360" i="27" s="1"/>
  <c r="F4361" i="27" s="1"/>
  <c r="F4362" i="27" s="1"/>
  <c r="F4363" i="27" s="1"/>
  <c r="F4358" i="27"/>
  <c r="B4281" i="27"/>
  <c r="L2429" i="27"/>
  <c r="H1369" i="27"/>
  <c r="H732" i="27"/>
  <c r="H311" i="27"/>
  <c r="H310" i="27"/>
  <c r="O132" i="24"/>
  <c r="AS34" i="34"/>
  <c r="AU27" i="33"/>
  <c r="AU21" i="33"/>
  <c r="C881" i="32" s="1"/>
  <c r="B276" i="24"/>
  <c r="O128" i="24"/>
  <c r="AS30" i="34"/>
  <c r="AU37" i="33"/>
  <c r="AS31" i="34"/>
  <c r="B284" i="24"/>
  <c r="B252" i="24"/>
  <c r="AS29" i="34"/>
  <c r="AU65" i="33"/>
  <c r="AS36" i="34"/>
  <c r="B260" i="24"/>
  <c r="B228" i="24"/>
  <c r="AG37" i="30"/>
  <c r="AE37" i="30" a="1"/>
  <c r="AE37" i="30" s="1"/>
  <c r="H37" i="30" s="1"/>
  <c r="AF37" i="30" s="1"/>
  <c r="C294" i="32" s="1"/>
  <c r="Q294" i="32" s="1"/>
  <c r="AH37" i="30" a="1"/>
  <c r="AH37" i="30" s="1"/>
  <c r="O108" i="24"/>
  <c r="O110" i="24"/>
  <c r="B268" i="24"/>
  <c r="B236" i="24"/>
  <c r="B300" i="24"/>
  <c r="AU19" i="33"/>
  <c r="C821" i="32" s="1"/>
  <c r="W821" i="32" s="1"/>
  <c r="K821" i="32" s="1"/>
  <c r="AU33" i="33"/>
  <c r="AU29" i="33"/>
  <c r="C1027" i="32" s="1"/>
  <c r="O112" i="24"/>
  <c r="AU23" i="33"/>
  <c r="C923" i="32" s="1"/>
  <c r="B244" i="24"/>
  <c r="O116" i="24"/>
  <c r="B292" i="24"/>
  <c r="AE35" i="30" a="1"/>
  <c r="AE35" i="30" s="1"/>
  <c r="H35" i="30" s="1"/>
  <c r="AF35" i="30" s="1"/>
  <c r="C282" i="32" s="1"/>
  <c r="Q282" i="32" s="1"/>
  <c r="AH35" i="30" a="1"/>
  <c r="AH35" i="30" s="1"/>
  <c r="AU63" i="33"/>
  <c r="C1705" i="32" s="1"/>
  <c r="AU61" i="33"/>
  <c r="C1689" i="32" s="1"/>
  <c r="O122" i="24"/>
  <c r="AU13" i="33"/>
  <c r="AU15" i="33"/>
  <c r="C763" i="32" s="1"/>
  <c r="AS32" i="34"/>
  <c r="AU11" i="33"/>
  <c r="C677" i="32" s="1"/>
  <c r="W677" i="32" s="1"/>
  <c r="K677" i="32" s="1"/>
  <c r="AS35" i="34"/>
  <c r="O134" i="24"/>
  <c r="O114" i="24"/>
  <c r="AU31" i="33"/>
  <c r="C1073" i="32" s="1"/>
  <c r="AU35" i="33"/>
  <c r="C1157" i="32" s="1"/>
  <c r="O120" i="24"/>
  <c r="AU17" i="33"/>
  <c r="C807" i="32" s="1"/>
  <c r="W807" i="32" s="1"/>
  <c r="K807" i="32" s="1"/>
  <c r="AU25" i="33"/>
  <c r="O136" i="24"/>
  <c r="AS33" i="34"/>
  <c r="O124" i="24"/>
  <c r="AS37" i="34"/>
  <c r="U386" i="32"/>
  <c r="U685" i="32"/>
  <c r="U74" i="32"/>
  <c r="I20" i="29"/>
  <c r="G16" i="24" s="1"/>
  <c r="G15" i="24"/>
  <c r="AY39" i="34"/>
  <c r="L2" i="29" a="1"/>
  <c r="L2" i="29" s="1"/>
  <c r="L3" i="29" s="1" a="1"/>
  <c r="L3" i="29" s="1"/>
  <c r="F5341" i="27" l="1"/>
  <c r="F4365" i="27"/>
  <c r="F4366" i="27" s="1"/>
  <c r="F4367" i="27" s="1"/>
  <c r="F4368" i="27" s="1"/>
  <c r="F4369" i="27" s="1"/>
  <c r="F4364" i="27"/>
  <c r="B4282" i="27"/>
  <c r="O2429" i="27"/>
  <c r="H1370" i="27"/>
  <c r="H733" i="27"/>
  <c r="H312" i="27"/>
  <c r="C789" i="32"/>
  <c r="W789" i="32" s="1"/>
  <c r="K789" i="32" s="1"/>
  <c r="C899" i="32"/>
  <c r="W899" i="32" s="1"/>
  <c r="K899" i="32" s="1"/>
  <c r="C865" i="32"/>
  <c r="W865" i="32" s="1"/>
  <c r="K865" i="32" s="1"/>
  <c r="C1043" i="32"/>
  <c r="W1043" i="32" s="1"/>
  <c r="K1043" i="32" s="1"/>
  <c r="C286" i="32"/>
  <c r="Q286" i="32" s="1"/>
  <c r="C1159" i="32"/>
  <c r="W1159" i="32" s="1"/>
  <c r="K1159" i="32" s="1"/>
  <c r="C889" i="32"/>
  <c r="W889" i="32" s="1"/>
  <c r="K889" i="32" s="1"/>
  <c r="C873" i="32"/>
  <c r="W873" i="32" s="1"/>
  <c r="K873" i="32" s="1"/>
  <c r="C1731" i="32"/>
  <c r="Q1731" i="32" s="1"/>
  <c r="C871" i="32"/>
  <c r="C1707" i="32"/>
  <c r="W1707" i="32" s="1"/>
  <c r="K1707" i="32" s="1"/>
  <c r="C857" i="32"/>
  <c r="W857" i="32" s="1"/>
  <c r="K857" i="32" s="1"/>
  <c r="C897" i="32"/>
  <c r="W897" i="32" s="1"/>
  <c r="K897" i="32" s="1"/>
  <c r="C1025" i="32"/>
  <c r="W1025" i="32" s="1"/>
  <c r="K1025" i="32" s="1"/>
  <c r="C891" i="32"/>
  <c r="W891" i="32" s="1"/>
  <c r="K891" i="32" s="1"/>
  <c r="C863" i="32"/>
  <c r="W863" i="32" s="1"/>
  <c r="K863" i="32" s="1"/>
  <c r="C839" i="32"/>
  <c r="W839" i="32" s="1"/>
  <c r="K839" i="32" s="1"/>
  <c r="C292" i="32"/>
  <c r="W292" i="32" s="1"/>
  <c r="C304" i="32"/>
  <c r="C691" i="32"/>
  <c r="C827" i="32"/>
  <c r="W827" i="32" s="1"/>
  <c r="K827" i="32" s="1"/>
  <c r="C278" i="32"/>
  <c r="W278" i="32" s="1"/>
  <c r="C837" i="32"/>
  <c r="W837" i="32" s="1"/>
  <c r="K837" i="32" s="1"/>
  <c r="C825" i="32"/>
  <c r="W825" i="32" s="1"/>
  <c r="K825" i="32" s="1"/>
  <c r="C791" i="32"/>
  <c r="W791" i="32" s="1"/>
  <c r="K791" i="32" s="1"/>
  <c r="C919" i="32"/>
  <c r="C288" i="32"/>
  <c r="W288" i="32" s="1"/>
  <c r="C915" i="32"/>
  <c r="C939" i="32"/>
  <c r="C907" i="32"/>
  <c r="W907" i="32" s="1"/>
  <c r="K907" i="32" s="1"/>
  <c r="C675" i="32"/>
  <c r="C929" i="32"/>
  <c r="C1661" i="32"/>
  <c r="Q1661" i="32" s="1"/>
  <c r="C811" i="32"/>
  <c r="W811" i="32" s="1"/>
  <c r="K811" i="32" s="1"/>
  <c r="C270" i="32"/>
  <c r="Q270" i="32" s="1"/>
  <c r="C853" i="32"/>
  <c r="W853" i="32" s="1"/>
  <c r="K853" i="32" s="1"/>
  <c r="C1711" i="32"/>
  <c r="C1691" i="32"/>
  <c r="Q1691" i="32" s="1"/>
  <c r="C1719" i="32"/>
  <c r="C1023" i="32"/>
  <c r="W1023" i="32" s="1"/>
  <c r="K1023" i="32" s="1"/>
  <c r="C801" i="32"/>
  <c r="W801" i="32" s="1"/>
  <c r="K801" i="32" s="1"/>
  <c r="C1735" i="32"/>
  <c r="Q1735" i="32" s="1"/>
  <c r="C669" i="32"/>
  <c r="C280" i="32"/>
  <c r="C831" i="32"/>
  <c r="W831" i="32" s="1"/>
  <c r="K831" i="32" s="1"/>
  <c r="C695" i="32"/>
  <c r="C829" i="32"/>
  <c r="W829" i="32" s="1"/>
  <c r="K829" i="32" s="1"/>
  <c r="W282" i="32"/>
  <c r="C1029" i="32"/>
  <c r="W1029" i="32" s="1"/>
  <c r="K1029" i="32" s="1"/>
  <c r="C1729" i="32"/>
  <c r="Q1729" i="32" s="1"/>
  <c r="C274" i="32"/>
  <c r="Q274" i="32" s="1"/>
  <c r="C1057" i="32"/>
  <c r="C1739" i="32"/>
  <c r="Q1739" i="32" s="1"/>
  <c r="C869" i="32"/>
  <c r="W869" i="32" s="1"/>
  <c r="K869" i="32" s="1"/>
  <c r="C851" i="32"/>
  <c r="W851" i="32" s="1"/>
  <c r="K851" i="32" s="1"/>
  <c r="C1685" i="32"/>
  <c r="Q1685" i="32" s="1"/>
  <c r="C875" i="32"/>
  <c r="C843" i="32"/>
  <c r="W843" i="32" s="1"/>
  <c r="K843" i="32" s="1"/>
  <c r="C272" i="32"/>
  <c r="C276" i="32"/>
  <c r="Q276" i="32" s="1"/>
  <c r="C887" i="32"/>
  <c r="W887" i="32" s="1"/>
  <c r="K887" i="32" s="1"/>
  <c r="C1721" i="32"/>
  <c r="Q1721" i="32" s="1"/>
  <c r="C1703" i="32"/>
  <c r="Q1703" i="32" s="1"/>
  <c r="C1039" i="32"/>
  <c r="W1039" i="32" s="1"/>
  <c r="K1039" i="32" s="1"/>
  <c r="C883" i="32"/>
  <c r="C823" i="32"/>
  <c r="W823" i="32" s="1"/>
  <c r="K823" i="32" s="1"/>
  <c r="C867" i="32"/>
  <c r="W867" i="32" s="1"/>
  <c r="K867" i="32" s="1"/>
  <c r="C284" i="32"/>
  <c r="Q284" i="32" s="1"/>
  <c r="C1047" i="32"/>
  <c r="W1047" i="32" s="1"/>
  <c r="K1047" i="32" s="1"/>
  <c r="C797" i="32"/>
  <c r="W797" i="32" s="1"/>
  <c r="K797" i="32" s="1"/>
  <c r="C1723" i="32"/>
  <c r="Q1723" i="32" s="1"/>
  <c r="C685" i="32"/>
  <c r="C835" i="32"/>
  <c r="W835" i="32" s="1"/>
  <c r="K835" i="32" s="1"/>
  <c r="C855" i="32"/>
  <c r="W855" i="32" s="1"/>
  <c r="K855" i="32" s="1"/>
  <c r="C1701" i="32"/>
  <c r="W1701" i="32" s="1"/>
  <c r="K1701" i="32" s="1"/>
  <c r="Q1705" i="32"/>
  <c r="W1705" i="32"/>
  <c r="K1705" i="32" s="1"/>
  <c r="W881" i="32"/>
  <c r="K881" i="32" s="1"/>
  <c r="C773" i="32"/>
  <c r="W773" i="32" s="1"/>
  <c r="K773" i="32" s="1"/>
  <c r="C1049" i="32"/>
  <c r="C861" i="32"/>
  <c r="W861" i="32" s="1"/>
  <c r="K861" i="32" s="1"/>
  <c r="C745" i="32"/>
  <c r="C749" i="32"/>
  <c r="C1715" i="32"/>
  <c r="W1715" i="32" s="1"/>
  <c r="K1715" i="32" s="1"/>
  <c r="C817" i="32"/>
  <c r="W817" i="32" s="1"/>
  <c r="K817" i="32" s="1"/>
  <c r="C1717" i="32"/>
  <c r="W1717" i="32" s="1"/>
  <c r="K1717" i="32" s="1"/>
  <c r="C771" i="32"/>
  <c r="C781" i="32"/>
  <c r="W781" i="32" s="1"/>
  <c r="K781" i="32" s="1"/>
  <c r="C785" i="32"/>
  <c r="W785" i="32" s="1"/>
  <c r="K785" i="32" s="1"/>
  <c r="C1727" i="32"/>
  <c r="W1727" i="32" s="1"/>
  <c r="K1727" i="32" s="1"/>
  <c r="C885" i="32"/>
  <c r="C1713" i="32"/>
  <c r="Q1713" i="32" s="1"/>
  <c r="C296" i="32"/>
  <c r="W296" i="32" s="1"/>
  <c r="C308" i="32"/>
  <c r="Q308" i="32" s="1"/>
  <c r="C302" i="32"/>
  <c r="W1157" i="32"/>
  <c r="K1157" i="32" s="1"/>
  <c r="W1689" i="32"/>
  <c r="K1689" i="32" s="1"/>
  <c r="Q1689" i="32"/>
  <c r="C1667" i="32"/>
  <c r="C1143" i="32"/>
  <c r="C759" i="32"/>
  <c r="W759" i="32" s="1"/>
  <c r="K759" i="32" s="1"/>
  <c r="C927" i="32"/>
  <c r="W927" i="32" s="1"/>
  <c r="K927" i="32" s="1"/>
  <c r="C1169" i="32"/>
  <c r="C1695" i="32"/>
  <c r="W1695" i="32" s="1"/>
  <c r="K1695" i="32" s="1"/>
  <c r="C1141" i="32"/>
  <c r="C1697" i="32"/>
  <c r="Q1697" i="32" s="1"/>
  <c r="W1027" i="32"/>
  <c r="K1027" i="32" s="1"/>
  <c r="C905" i="32"/>
  <c r="C1683" i="32"/>
  <c r="Q1683" i="32" s="1"/>
  <c r="C1175" i="32"/>
  <c r="C925" i="32"/>
  <c r="C1679" i="32"/>
  <c r="C1165" i="32"/>
  <c r="W1165" i="32" s="1"/>
  <c r="K1165" i="32" s="1"/>
  <c r="C1149" i="32"/>
  <c r="C1699" i="32"/>
  <c r="C909" i="32"/>
  <c r="W909" i="32" s="1"/>
  <c r="K909" i="32" s="1"/>
  <c r="C1687" i="32"/>
  <c r="C1681" i="32"/>
  <c r="C935" i="32"/>
  <c r="W935" i="32" s="1"/>
  <c r="K935" i="32" s="1"/>
  <c r="W294" i="32"/>
  <c r="H114" i="24"/>
  <c r="H112" i="24"/>
  <c r="H116" i="24"/>
  <c r="H108" i="24"/>
  <c r="C1179" i="32"/>
  <c r="C1155" i="32"/>
  <c r="C1167" i="32"/>
  <c r="C1173" i="32"/>
  <c r="C1153" i="32"/>
  <c r="C1163" i="32"/>
  <c r="C1171" i="32"/>
  <c r="C1147" i="32"/>
  <c r="C1151" i="32"/>
  <c r="C1145" i="32"/>
  <c r="C1177" i="32"/>
  <c r="C1161" i="32"/>
  <c r="C765" i="32"/>
  <c r="C741" i="32"/>
  <c r="C743" i="32"/>
  <c r="C757" i="32"/>
  <c r="C769" i="32"/>
  <c r="C777" i="32"/>
  <c r="C767" i="32"/>
  <c r="C755" i="32"/>
  <c r="C753" i="32"/>
  <c r="C775" i="32"/>
  <c r="C761" i="32"/>
  <c r="C779" i="32"/>
  <c r="C747" i="32"/>
  <c r="C751" i="32"/>
  <c r="C1135" i="32"/>
  <c r="C1129" i="32"/>
  <c r="C1115" i="32"/>
  <c r="C1111" i="32"/>
  <c r="C1125" i="32"/>
  <c r="C1127" i="32"/>
  <c r="C1137" i="32"/>
  <c r="C1109" i="32"/>
  <c r="C1101" i="32"/>
  <c r="C1133" i="32"/>
  <c r="C1113" i="32"/>
  <c r="C1139" i="32"/>
  <c r="C1105" i="32"/>
  <c r="C1107" i="32"/>
  <c r="C1123" i="32"/>
  <c r="C1119" i="32"/>
  <c r="C1103" i="32"/>
  <c r="C1131" i="32"/>
  <c r="C1117" i="32"/>
  <c r="C1121" i="32"/>
  <c r="C849" i="32"/>
  <c r="W849" i="32" s="1"/>
  <c r="K849" i="32" s="1"/>
  <c r="C847" i="32"/>
  <c r="W847" i="32" s="1"/>
  <c r="K847" i="32" s="1"/>
  <c r="C841" i="32"/>
  <c r="W841" i="32" s="1"/>
  <c r="K841" i="32" s="1"/>
  <c r="C845" i="32"/>
  <c r="W845" i="32" s="1"/>
  <c r="K845" i="32" s="1"/>
  <c r="C859" i="32"/>
  <c r="C833" i="32"/>
  <c r="W833" i="32" s="1"/>
  <c r="K833" i="32" s="1"/>
  <c r="C306" i="32"/>
  <c r="C298" i="32"/>
  <c r="C300" i="32"/>
  <c r="C290" i="32"/>
  <c r="C1005" i="32"/>
  <c r="C1015" i="32"/>
  <c r="C1011" i="32"/>
  <c r="C1017" i="32"/>
  <c r="C995" i="32"/>
  <c r="C983" i="32"/>
  <c r="C991" i="32"/>
  <c r="C1001" i="32"/>
  <c r="C997" i="32"/>
  <c r="C985" i="32"/>
  <c r="C1003" i="32"/>
  <c r="C1009" i="32"/>
  <c r="C999" i="32"/>
  <c r="C1007" i="32"/>
  <c r="C989" i="32"/>
  <c r="C1019" i="32"/>
  <c r="C981" i="32"/>
  <c r="C1013" i="32"/>
  <c r="C987" i="32"/>
  <c r="C993" i="32"/>
  <c r="C943" i="32"/>
  <c r="C975" i="32"/>
  <c r="C973" i="32"/>
  <c r="C951" i="32"/>
  <c r="C955" i="32"/>
  <c r="C957" i="32"/>
  <c r="C949" i="32"/>
  <c r="C963" i="32"/>
  <c r="C967" i="32"/>
  <c r="C969" i="32"/>
  <c r="C965" i="32"/>
  <c r="C977" i="32"/>
  <c r="C961" i="32"/>
  <c r="C945" i="32"/>
  <c r="C947" i="32"/>
  <c r="C959" i="32"/>
  <c r="C979" i="32"/>
  <c r="C941" i="32"/>
  <c r="C971" i="32"/>
  <c r="C953" i="32"/>
  <c r="C795" i="32"/>
  <c r="W795" i="32" s="1"/>
  <c r="K795" i="32" s="1"/>
  <c r="C783" i="32"/>
  <c r="W783" i="32" s="1"/>
  <c r="K783" i="32" s="1"/>
  <c r="C793" i="32"/>
  <c r="W793" i="32" s="1"/>
  <c r="K793" i="32" s="1"/>
  <c r="C809" i="32"/>
  <c r="W809" i="32" s="1"/>
  <c r="K809" i="32" s="1"/>
  <c r="C799" i="32"/>
  <c r="W799" i="32" s="1"/>
  <c r="K799" i="32" s="1"/>
  <c r="C787" i="32"/>
  <c r="W787" i="32" s="1"/>
  <c r="K787" i="32" s="1"/>
  <c r="C815" i="32"/>
  <c r="W815" i="32" s="1"/>
  <c r="K815" i="32" s="1"/>
  <c r="C805" i="32"/>
  <c r="W805" i="32" s="1"/>
  <c r="K805" i="32" s="1"/>
  <c r="C819" i="32"/>
  <c r="C813" i="32"/>
  <c r="W813" i="32" s="1"/>
  <c r="K813" i="32" s="1"/>
  <c r="C803" i="32"/>
  <c r="W803" i="32" s="1"/>
  <c r="K803" i="32" s="1"/>
  <c r="C1099" i="32"/>
  <c r="C1067" i="32"/>
  <c r="C1077" i="32"/>
  <c r="C1065" i="32"/>
  <c r="C1085" i="32"/>
  <c r="C1061" i="32"/>
  <c r="C1083" i="32"/>
  <c r="C1081" i="32"/>
  <c r="C1075" i="32"/>
  <c r="C1087" i="32"/>
  <c r="C1071" i="32"/>
  <c r="C1079" i="32"/>
  <c r="C1069" i="32"/>
  <c r="C1091" i="32"/>
  <c r="C1097" i="32"/>
  <c r="C1089" i="32"/>
  <c r="C1095" i="32"/>
  <c r="C1093" i="32"/>
  <c r="C1063" i="32"/>
  <c r="C697" i="32"/>
  <c r="C665" i="32"/>
  <c r="C681" i="32"/>
  <c r="C671" i="32"/>
  <c r="C687" i="32"/>
  <c r="C683" i="32"/>
  <c r="C663" i="32"/>
  <c r="C667" i="32"/>
  <c r="C689" i="32"/>
  <c r="C673" i="32"/>
  <c r="C693" i="32"/>
  <c r="C699" i="32"/>
  <c r="C679" i="32"/>
  <c r="C661" i="32"/>
  <c r="C715" i="32"/>
  <c r="C703" i="32"/>
  <c r="C701" i="32"/>
  <c r="C733" i="32"/>
  <c r="C737" i="32"/>
  <c r="C713" i="32"/>
  <c r="C705" i="32"/>
  <c r="C739" i="32"/>
  <c r="C729" i="32"/>
  <c r="C709" i="32"/>
  <c r="C731" i="32"/>
  <c r="C721" i="32"/>
  <c r="C723" i="32"/>
  <c r="C719" i="32"/>
  <c r="C717" i="32"/>
  <c r="C735" i="32"/>
  <c r="C725" i="32"/>
  <c r="C707" i="32"/>
  <c r="C711" i="32"/>
  <c r="C727" i="32"/>
  <c r="C1663" i="32"/>
  <c r="C1665" i="32"/>
  <c r="C1673" i="32"/>
  <c r="C1675" i="32"/>
  <c r="C1671" i="32"/>
  <c r="C1677" i="32"/>
  <c r="C1693" i="32"/>
  <c r="C1669" i="32"/>
  <c r="C1709" i="32"/>
  <c r="C1733" i="32"/>
  <c r="C1737" i="32"/>
  <c r="C1725" i="32"/>
  <c r="C937" i="32"/>
  <c r="C903" i="32"/>
  <c r="C911" i="32"/>
  <c r="C921" i="32"/>
  <c r="C901" i="32"/>
  <c r="C931" i="32"/>
  <c r="C933" i="32"/>
  <c r="C917" i="32"/>
  <c r="C913" i="32"/>
  <c r="C1037" i="32"/>
  <c r="C1051" i="32"/>
  <c r="C1021" i="32"/>
  <c r="C1035" i="32"/>
  <c r="C1045" i="32"/>
  <c r="C1053" i="32"/>
  <c r="C1031" i="32"/>
  <c r="C1033" i="32"/>
  <c r="C1041" i="32"/>
  <c r="C1055" i="32"/>
  <c r="C1059" i="32"/>
  <c r="C1753" i="32"/>
  <c r="C1757" i="32"/>
  <c r="C1771" i="32"/>
  <c r="C1749" i="32"/>
  <c r="C1759" i="32"/>
  <c r="C1761" i="32"/>
  <c r="C1747" i="32"/>
  <c r="C1779" i="32"/>
  <c r="C1777" i="32"/>
  <c r="C1755" i="32"/>
  <c r="C1769" i="32"/>
  <c r="C1765" i="32"/>
  <c r="C1763" i="32"/>
  <c r="C1751" i="32"/>
  <c r="C1745" i="32"/>
  <c r="C1773" i="32"/>
  <c r="C1767" i="32"/>
  <c r="C1743" i="32"/>
  <c r="C1775" i="32"/>
  <c r="C1741" i="32"/>
  <c r="C1195" i="32"/>
  <c r="C1205" i="32"/>
  <c r="C1213" i="32"/>
  <c r="C1199" i="32"/>
  <c r="C1197" i="32"/>
  <c r="C1181" i="32"/>
  <c r="C1217" i="32"/>
  <c r="C1201" i="32"/>
  <c r="C1185" i="32"/>
  <c r="C1209" i="32"/>
  <c r="C1189" i="32"/>
  <c r="C1203" i="32"/>
  <c r="C1215" i="32"/>
  <c r="C1193" i="32"/>
  <c r="C1207" i="32"/>
  <c r="C1219" i="32"/>
  <c r="C1187" i="32"/>
  <c r="C1183" i="32"/>
  <c r="C1191" i="32"/>
  <c r="C1211" i="32"/>
  <c r="C877" i="32"/>
  <c r="C895" i="32"/>
  <c r="C893" i="32"/>
  <c r="C879" i="32"/>
  <c r="W763" i="32"/>
  <c r="K763" i="32" s="1"/>
  <c r="W1073" i="32"/>
  <c r="K1073" i="32" s="1"/>
  <c r="W923" i="32"/>
  <c r="K923" i="32" s="1"/>
  <c r="AS38" i="34"/>
  <c r="U76" i="32"/>
  <c r="U687" i="32"/>
  <c r="U388" i="32"/>
  <c r="I21" i="29"/>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AY40" i="34"/>
  <c r="L4" i="29" a="1"/>
  <c r="L4" i="29" s="1"/>
  <c r="L5" i="29" s="1" a="1"/>
  <c r="L5" i="29" s="1"/>
  <c r="U917" i="27"/>
  <c r="O910" i="27"/>
  <c r="C67" i="33"/>
  <c r="Q904" i="27"/>
  <c r="P906" i="27"/>
  <c r="V911" i="27"/>
  <c r="I904" i="27"/>
  <c r="M4254" i="27"/>
  <c r="N4237" i="27"/>
  <c r="V918" i="27"/>
  <c r="M4225" i="27"/>
  <c r="N4240" i="27"/>
  <c r="G675" i="32"/>
  <c r="M4241" i="27"/>
  <c r="T905" i="27"/>
  <c r="M67" i="33"/>
  <c r="V932" i="27"/>
  <c r="M4251" i="27"/>
  <c r="N4231" i="27"/>
  <c r="G376" i="32"/>
  <c r="G58" i="32"/>
  <c r="M68" i="33"/>
  <c r="F4234" i="27"/>
  <c r="O4225" i="27"/>
  <c r="N4252" i="27"/>
  <c r="E15" i="30"/>
  <c r="G56" i="32"/>
  <c r="I917" i="27"/>
  <c r="A665" i="32"/>
  <c r="O4064" i="27"/>
  <c r="L907" i="27"/>
  <c r="N4239" i="27"/>
  <c r="I930" i="27"/>
  <c r="BC33" i="34"/>
  <c r="Q932" i="27"/>
  <c r="F4248" i="27"/>
  <c r="P918" i="27"/>
  <c r="E11" i="31"/>
  <c r="N4246" i="27"/>
  <c r="K67" i="33"/>
  <c r="F4226" i="27"/>
  <c r="BD36" i="34"/>
  <c r="N4228" i="27"/>
  <c r="N4232" i="27"/>
  <c r="G669" i="32"/>
  <c r="G908" i="27"/>
  <c r="G913" i="27"/>
  <c r="P916" i="27"/>
  <c r="G679" i="32"/>
  <c r="O930" i="27"/>
  <c r="O909" i="27"/>
  <c r="O915" i="27"/>
  <c r="N4242" i="27"/>
  <c r="M4235" i="27"/>
  <c r="F4232" i="27"/>
  <c r="M4253" i="27"/>
  <c r="A661" i="32"/>
  <c r="G932" i="27"/>
  <c r="N4227" i="27"/>
  <c r="N915" i="27"/>
  <c r="M4240" i="27"/>
  <c r="L914" i="27"/>
  <c r="A54" i="32"/>
  <c r="A663" i="32"/>
  <c r="F4244" i="27"/>
  <c r="A38" i="32"/>
  <c r="F4246" i="27"/>
  <c r="A66" i="32"/>
  <c r="V909" i="27"/>
  <c r="I906" i="27"/>
  <c r="O4236" i="27"/>
  <c r="P931" i="27"/>
  <c r="O4235" i="27"/>
  <c r="K843" i="27"/>
  <c r="F4239" i="27"/>
  <c r="N913" i="27"/>
  <c r="I911" i="27"/>
  <c r="A62" i="32"/>
  <c r="V912" i="27"/>
  <c r="AM67" i="33"/>
  <c r="M4226" i="27"/>
  <c r="A370" i="32"/>
  <c r="M4246" i="27"/>
  <c r="P843" i="27"/>
  <c r="R908" i="27"/>
  <c r="N4225" i="27"/>
  <c r="G63" i="33"/>
  <c r="R915" i="27"/>
  <c r="F4229" i="27"/>
  <c r="M4255" i="27"/>
  <c r="Q910" i="27"/>
  <c r="M4230" i="27"/>
  <c r="I910" i="27"/>
  <c r="R914" i="27"/>
  <c r="R930" i="27"/>
  <c r="M4238" i="27"/>
  <c r="O932" i="27"/>
  <c r="G912" i="27"/>
  <c r="T914" i="27"/>
  <c r="U911" i="27"/>
  <c r="F4245" i="27"/>
  <c r="A352" i="32"/>
  <c r="O4253" i="27"/>
  <c r="U910" i="27"/>
  <c r="G910" i="27"/>
  <c r="T909" i="27"/>
  <c r="V916" i="27"/>
  <c r="M4233" i="27"/>
  <c r="L912" i="27"/>
  <c r="G905" i="27"/>
  <c r="P904" i="27"/>
  <c r="A679" i="32"/>
  <c r="V917" i="27"/>
  <c r="O907" i="27"/>
  <c r="BC38" i="34"/>
  <c r="N4250" i="27"/>
  <c r="I932" i="27"/>
  <c r="G673" i="32"/>
  <c r="O4229" i="27"/>
  <c r="U907" i="27"/>
  <c r="R907" i="27"/>
  <c r="L904" i="27"/>
  <c r="E931" i="27"/>
  <c r="M4248" i="27"/>
  <c r="R904" i="27"/>
  <c r="T918" i="27"/>
  <c r="O4255" i="27"/>
  <c r="N910" i="27"/>
  <c r="O4233" i="27"/>
  <c r="BD29" i="34"/>
  <c r="N908" i="27"/>
  <c r="G904" i="27"/>
  <c r="U918" i="27"/>
  <c r="G681" i="32"/>
  <c r="V914" i="27"/>
  <c r="T906" i="27"/>
  <c r="A362" i="32"/>
  <c r="F4236" i="27"/>
  <c r="E843" i="27"/>
  <c r="BC32" i="34"/>
  <c r="R910" i="27"/>
  <c r="N4247" i="27"/>
  <c r="BC37" i="34"/>
  <c r="T908" i="27"/>
  <c r="BC39" i="34"/>
  <c r="E37" i="31"/>
  <c r="E29" i="31"/>
  <c r="O906" i="27"/>
  <c r="BD30" i="34"/>
  <c r="P905" i="27"/>
  <c r="BD32" i="34"/>
  <c r="P930" i="27"/>
  <c r="F4233" i="27"/>
  <c r="N911" i="27"/>
  <c r="N4233" i="27"/>
  <c r="T916" i="27"/>
  <c r="F4240" i="27"/>
  <c r="M4229" i="27"/>
  <c r="O4240" i="27"/>
  <c r="E35" i="31"/>
  <c r="P910" i="27"/>
  <c r="BD37" i="34"/>
  <c r="O4238" i="27"/>
  <c r="M4228" i="27"/>
  <c r="O4230" i="27"/>
  <c r="T915" i="27"/>
  <c r="A677" i="32"/>
  <c r="P908" i="27"/>
  <c r="T931" i="27"/>
  <c r="O913" i="27"/>
  <c r="F4225" i="27"/>
  <c r="M4234" i="27"/>
  <c r="F4252" i="27"/>
  <c r="G930" i="27"/>
  <c r="P911" i="27"/>
  <c r="N909" i="27"/>
  <c r="O4228" i="27"/>
  <c r="A70" i="32"/>
  <c r="G70" i="32"/>
  <c r="F4251" i="27"/>
  <c r="Q907" i="27"/>
  <c r="U912" i="27"/>
  <c r="N4253" i="27"/>
  <c r="Q930" i="27"/>
  <c r="G917" i="27"/>
  <c r="I905" i="27"/>
  <c r="R913" i="27"/>
  <c r="L4064" i="27"/>
  <c r="M4231" i="27"/>
  <c r="F4243" i="27"/>
  <c r="M4249" i="27"/>
  <c r="BD67" i="33"/>
  <c r="E31" i="30"/>
  <c r="BD39" i="34"/>
  <c r="N4229" i="27"/>
  <c r="N67" i="33"/>
  <c r="E23" i="31"/>
  <c r="A58" i="32"/>
  <c r="N4230" i="27"/>
  <c r="A681" i="32"/>
  <c r="N904" i="27"/>
  <c r="E29" i="30"/>
  <c r="G671" i="32"/>
  <c r="Q917" i="27"/>
  <c r="O4232" i="27"/>
  <c r="O904" i="27"/>
  <c r="G911" i="27"/>
  <c r="R917" i="27"/>
  <c r="A52" i="32"/>
  <c r="AO67" i="33"/>
  <c r="N4238" i="27"/>
  <c r="A364" i="32"/>
  <c r="N4255" i="27"/>
  <c r="L905" i="27"/>
  <c r="O911" i="27"/>
  <c r="A64" i="32"/>
  <c r="BC30" i="34"/>
  <c r="M4245" i="27"/>
  <c r="O4250" i="27"/>
  <c r="O4226" i="27"/>
  <c r="F4235" i="27"/>
  <c r="R906" i="27"/>
  <c r="Q909" i="27"/>
  <c r="G66" i="32"/>
  <c r="F4254" i="27"/>
  <c r="G915" i="27"/>
  <c r="Q915" i="27"/>
  <c r="R912" i="27"/>
  <c r="T911" i="27"/>
  <c r="J4229" i="27"/>
  <c r="N4248" i="27"/>
  <c r="E9" i="30"/>
  <c r="G683" i="32"/>
  <c r="A683" i="32"/>
  <c r="H67" i="33"/>
  <c r="P917" i="27"/>
  <c r="N912" i="27"/>
  <c r="A322" i="32"/>
  <c r="N914" i="27"/>
  <c r="O4252" i="27"/>
  <c r="U909" i="27"/>
  <c r="G378" i="32"/>
  <c r="A641" i="32"/>
  <c r="A366" i="32"/>
  <c r="F4227" i="27"/>
  <c r="G677" i="32"/>
  <c r="A68" i="32"/>
  <c r="Q912" i="27"/>
  <c r="V910" i="27"/>
  <c r="F4242" i="27"/>
  <c r="N4226" i="27"/>
  <c r="A675" i="32"/>
  <c r="F4253" i="27"/>
  <c r="U914" i="27"/>
  <c r="T904" i="27"/>
  <c r="BD65" i="33"/>
  <c r="V905" i="27"/>
  <c r="E37" i="30"/>
  <c r="M4239" i="27"/>
  <c r="A388" i="32"/>
  <c r="L911" i="27"/>
  <c r="U904" i="27"/>
  <c r="O4248" i="27"/>
  <c r="N4254" i="27"/>
  <c r="I912" i="27"/>
  <c r="R932" i="27"/>
  <c r="BC36" i="34"/>
  <c r="A671" i="32"/>
  <c r="T930" i="27"/>
  <c r="V906" i="27"/>
  <c r="E33" i="31"/>
  <c r="I67" i="33"/>
  <c r="P909" i="27"/>
  <c r="N4236" i="27"/>
  <c r="BD31" i="34"/>
  <c r="G372" i="32"/>
  <c r="F4237" i="27"/>
  <c r="E21" i="31"/>
  <c r="L918" i="27"/>
  <c r="F4231" i="27"/>
  <c r="U930" i="27"/>
  <c r="N905" i="27"/>
  <c r="I907" i="27"/>
  <c r="O4254" i="27"/>
  <c r="M4243" i="27"/>
  <c r="P932" i="27"/>
  <c r="G370" i="32"/>
  <c r="A56" i="32"/>
  <c r="N4251" i="27"/>
  <c r="O4244" i="27"/>
  <c r="A374" i="32"/>
  <c r="O4247" i="27"/>
  <c r="Q908" i="27"/>
  <c r="R905" i="27"/>
  <c r="I914" i="27"/>
  <c r="M4227" i="27"/>
  <c r="P907" i="27"/>
  <c r="O912" i="27"/>
  <c r="I918" i="27"/>
  <c r="E11" i="30"/>
  <c r="N4235" i="27"/>
  <c r="L906" i="27"/>
  <c r="O4241" i="27"/>
  <c r="F4238" i="27"/>
  <c r="O4243" i="27"/>
  <c r="G380" i="32"/>
  <c r="N4245" i="27"/>
  <c r="G62" i="32"/>
  <c r="O908" i="27"/>
  <c r="O4249" i="27"/>
  <c r="N4234" i="27"/>
  <c r="O4234" i="27"/>
  <c r="O917" i="27"/>
  <c r="M4237" i="27"/>
  <c r="Q913" i="27"/>
  <c r="O4246" i="27"/>
  <c r="A372" i="32"/>
  <c r="BD33" i="34"/>
  <c r="E25" i="31"/>
  <c r="BD35" i="34"/>
  <c r="P912" i="27"/>
  <c r="O4227" i="27"/>
  <c r="M4244" i="27"/>
  <c r="Q916" i="27"/>
  <c r="V915" i="27"/>
  <c r="AP67" i="33"/>
  <c r="N930" i="27"/>
  <c r="N907" i="27"/>
  <c r="E932" i="27"/>
  <c r="G60" i="32"/>
  <c r="R911" i="27"/>
  <c r="F4247" i="27"/>
  <c r="N4249" i="27"/>
  <c r="A687" i="32"/>
  <c r="G68" i="32"/>
  <c r="T912" i="27"/>
  <c r="E13" i="30"/>
  <c r="U905" i="27"/>
  <c r="N931" i="27"/>
  <c r="V930" i="27"/>
  <c r="O4245" i="27"/>
  <c r="L908" i="27"/>
  <c r="A74" i="32"/>
  <c r="L915" i="27"/>
  <c r="F4255" i="27"/>
  <c r="G72" i="32"/>
  <c r="A72" i="32"/>
  <c r="L917" i="27"/>
  <c r="G374" i="32"/>
  <c r="A382" i="32"/>
  <c r="O4242" i="27"/>
  <c r="T917" i="27"/>
  <c r="R918" i="27"/>
  <c r="R931" i="27"/>
  <c r="G907" i="27"/>
  <c r="U931" i="27"/>
  <c r="T907" i="27"/>
  <c r="BC34" i="34"/>
  <c r="T910" i="27"/>
  <c r="BC35" i="34"/>
  <c r="V908" i="27"/>
  <c r="O4231" i="27"/>
  <c r="U906" i="27"/>
  <c r="BC29" i="34"/>
  <c r="A60" i="32"/>
  <c r="L931" i="27"/>
  <c r="A673" i="32"/>
  <c r="O905" i="27"/>
  <c r="E17" i="30"/>
  <c r="M932" i="27"/>
  <c r="E23" i="30"/>
  <c r="M4250" i="27"/>
  <c r="O4251" i="27"/>
  <c r="I913" i="27"/>
  <c r="L920" i="27"/>
  <c r="M4236" i="27"/>
  <c r="AN67" i="33"/>
  <c r="O4239" i="27"/>
  <c r="I915" i="27"/>
  <c r="A50" i="32"/>
  <c r="N918" i="27"/>
  <c r="L932" i="27"/>
  <c r="U915" i="27"/>
  <c r="M4242" i="27"/>
  <c r="A76" i="32"/>
  <c r="V913" i="27"/>
  <c r="A386" i="32"/>
  <c r="E67" i="33"/>
  <c r="I908" i="27"/>
  <c r="I931" i="27"/>
  <c r="M4252" i="27"/>
  <c r="N4244" i="27"/>
  <c r="P914" i="27"/>
  <c r="Q931" i="27"/>
  <c r="A376" i="32"/>
  <c r="G918" i="27"/>
  <c r="P913" i="27"/>
  <c r="G368" i="32"/>
  <c r="U913" i="27"/>
  <c r="G65" i="33"/>
  <c r="A380" i="32"/>
  <c r="BD34" i="34"/>
  <c r="O4237" i="27"/>
  <c r="BC31" i="34"/>
  <c r="L67" i="33"/>
  <c r="F4228" i="27"/>
  <c r="A384" i="32"/>
  <c r="F68" i="33"/>
  <c r="O918" i="27"/>
  <c r="L910" i="27"/>
  <c r="F4250" i="27"/>
  <c r="O914" i="27"/>
  <c r="U916" i="27"/>
  <c r="N917" i="27"/>
  <c r="F4241" i="27"/>
  <c r="A368" i="32"/>
  <c r="Q905" i="27"/>
  <c r="BD38" i="34"/>
  <c r="F4249" i="27"/>
  <c r="BD40" i="34"/>
  <c r="V907" i="27"/>
  <c r="M4232" i="27"/>
  <c r="A669" i="32"/>
  <c r="G64" i="32"/>
  <c r="A667" i="32"/>
  <c r="G914" i="27"/>
  <c r="G931" i="27"/>
  <c r="G667" i="32"/>
  <c r="A378" i="32"/>
  <c r="T913" i="27"/>
  <c r="O931" i="27"/>
  <c r="A685" i="32"/>
  <c r="L930" i="27"/>
  <c r="Q906" i="27"/>
  <c r="M4247" i="27"/>
  <c r="U908" i="27"/>
  <c r="P915" i="27"/>
  <c r="U932" i="27"/>
  <c r="G906" i="27"/>
  <c r="T932" i="27"/>
  <c r="N932" i="27"/>
  <c r="E21" i="30"/>
  <c r="Q911" i="27"/>
  <c r="N4241" i="27"/>
  <c r="L913" i="27"/>
  <c r="G382" i="32"/>
  <c r="Q914" i="27"/>
  <c r="Q918" i="27"/>
  <c r="N906" i="27"/>
  <c r="V904" i="27"/>
  <c r="V931" i="27"/>
  <c r="G384" i="32"/>
  <c r="N4243" i="27"/>
  <c r="A907" i="27" l="1"/>
  <c r="H124" i="24"/>
  <c r="H56" i="24"/>
  <c r="A909" i="27"/>
  <c r="A4243" i="27"/>
  <c r="H74" i="24"/>
  <c r="A4240" i="27"/>
  <c r="H66" i="24"/>
  <c r="H110" i="24"/>
  <c r="A912" i="27"/>
  <c r="A4247" i="27"/>
  <c r="H136" i="24"/>
  <c r="A4228" i="27"/>
  <c r="A4235" i="27"/>
  <c r="A4250" i="27"/>
  <c r="A904" i="27"/>
  <c r="A4237" i="27"/>
  <c r="E203" i="24"/>
  <c r="H76" i="24"/>
  <c r="A4229" i="27"/>
  <c r="A4232" i="27"/>
  <c r="H134" i="24"/>
  <c r="A4244" i="27"/>
  <c r="A4249" i="27"/>
  <c r="A4225" i="27"/>
  <c r="A915" i="27"/>
  <c r="H68" i="24"/>
  <c r="A914" i="27"/>
  <c r="A4236" i="27"/>
  <c r="A4253" i="27"/>
  <c r="A4241" i="27"/>
  <c r="H128" i="24"/>
  <c r="A913" i="27"/>
  <c r="A4234" i="27"/>
  <c r="A931" i="27"/>
  <c r="H62" i="24"/>
  <c r="H1973" i="27"/>
  <c r="J1971" i="27"/>
  <c r="O1972" i="27"/>
  <c r="J1973" i="27"/>
  <c r="G1973" i="27"/>
  <c r="H1972" i="27"/>
  <c r="H1971" i="27"/>
  <c r="I1972" i="27"/>
  <c r="L1973" i="27"/>
  <c r="L1971" i="27"/>
  <c r="J1972" i="27"/>
  <c r="G1971" i="27"/>
  <c r="N1971" i="27"/>
  <c r="E1971" i="27"/>
  <c r="N1973" i="27"/>
  <c r="L1972" i="27"/>
  <c r="O1971" i="27"/>
  <c r="N1972" i="27"/>
  <c r="O1973" i="27"/>
  <c r="G1972" i="27"/>
  <c r="E1973" i="27"/>
  <c r="I1971" i="27"/>
  <c r="I1973" i="27"/>
  <c r="E1972" i="27"/>
  <c r="A4239" i="27"/>
  <c r="A930" i="27"/>
  <c r="A917" i="27"/>
  <c r="A910" i="27"/>
  <c r="A906" i="27"/>
  <c r="A4251" i="27"/>
  <c r="H82" i="24"/>
  <c r="A911" i="27"/>
  <c r="A4246" i="27"/>
  <c r="A4233" i="27"/>
  <c r="A908" i="27"/>
  <c r="A4248" i="27"/>
  <c r="N2451" i="27"/>
  <c r="E2440" i="27"/>
  <c r="H2452" i="27"/>
  <c r="A4254" i="27"/>
  <c r="A918" i="27"/>
  <c r="H120" i="24"/>
  <c r="A4226" i="27"/>
  <c r="A4238" i="27"/>
  <c r="A4252" i="27"/>
  <c r="A4231" i="27"/>
  <c r="A4245" i="27"/>
  <c r="A4230" i="27"/>
  <c r="A4242" i="27"/>
  <c r="A932" i="27"/>
  <c r="A4227" i="27"/>
  <c r="A905" i="27"/>
  <c r="H122" i="24"/>
  <c r="H58" i="24"/>
  <c r="AU67" i="33"/>
  <c r="C1797" i="32" s="1"/>
  <c r="W1797" i="32" s="1"/>
  <c r="K1797" i="32" s="1"/>
  <c r="H132" i="24"/>
  <c r="A916" i="27"/>
  <c r="E205" i="24"/>
  <c r="H60" i="24"/>
  <c r="H54" i="24"/>
  <c r="F5342" i="27"/>
  <c r="F5343" i="27"/>
  <c r="F4370" i="27"/>
  <c r="F4371" i="27"/>
  <c r="F4372" i="27" s="1"/>
  <c r="F4373" i="27" s="1"/>
  <c r="F4374" i="27" s="1"/>
  <c r="F4375" i="27" s="1"/>
  <c r="A4255" i="27"/>
  <c r="B4283" i="27"/>
  <c r="H2453" i="27"/>
  <c r="H1372" i="27"/>
  <c r="H1371" i="27"/>
  <c r="H734" i="27"/>
  <c r="H313" i="27"/>
  <c r="Q1695" i="32"/>
  <c r="W919" i="32"/>
  <c r="K919" i="32" s="1"/>
  <c r="W871" i="32"/>
  <c r="K871" i="32" s="1"/>
  <c r="W1683" i="32"/>
  <c r="K1683" i="32" s="1"/>
  <c r="W1729" i="32"/>
  <c r="K1729" i="32" s="1"/>
  <c r="W1141" i="32"/>
  <c r="K1141" i="32" s="1"/>
  <c r="W1057" i="32"/>
  <c r="K1057" i="32" s="1"/>
  <c r="W691" i="32"/>
  <c r="K691" i="32" s="1"/>
  <c r="W885" i="32"/>
  <c r="K885" i="32" s="1"/>
  <c r="W286" i="32"/>
  <c r="W1049" i="32"/>
  <c r="K1049" i="32" s="1"/>
  <c r="Q1715" i="32"/>
  <c r="W1731" i="32"/>
  <c r="K1731" i="32" s="1"/>
  <c r="Q296" i="32"/>
  <c r="W1723" i="32"/>
  <c r="K1723" i="32" s="1"/>
  <c r="W1691" i="32"/>
  <c r="K1691" i="32" s="1"/>
  <c r="W1703" i="32"/>
  <c r="K1703" i="32" s="1"/>
  <c r="Q1727" i="32"/>
  <c r="W1685" i="32"/>
  <c r="K1685" i="32" s="1"/>
  <c r="W939" i="32"/>
  <c r="K939" i="32" s="1"/>
  <c r="Q1707" i="32"/>
  <c r="W1735" i="32"/>
  <c r="K1735" i="32" s="1"/>
  <c r="Q288" i="32"/>
  <c r="W1721" i="32"/>
  <c r="K1721" i="32" s="1"/>
  <c r="Q278" i="32"/>
  <c r="W270" i="32"/>
  <c r="Q292" i="32"/>
  <c r="W915" i="32"/>
  <c r="K915" i="32" s="1"/>
  <c r="Q1701" i="32"/>
  <c r="W276" i="32"/>
  <c r="W929" i="32"/>
  <c r="K929" i="32" s="1"/>
  <c r="W284" i="32"/>
  <c r="W1739" i="32"/>
  <c r="K1739" i="32" s="1"/>
  <c r="Q304" i="32"/>
  <c r="W304" i="32"/>
  <c r="W1661" i="32"/>
  <c r="K1661" i="32" s="1"/>
  <c r="W675" i="32"/>
  <c r="K675" i="32" s="1"/>
  <c r="W308" i="32"/>
  <c r="W695" i="32"/>
  <c r="K695" i="32" s="1"/>
  <c r="W875" i="32"/>
  <c r="K875" i="32" s="1"/>
  <c r="W1719" i="32"/>
  <c r="K1719" i="32" s="1"/>
  <c r="Q1719" i="32"/>
  <c r="W274" i="32"/>
  <c r="W272" i="32"/>
  <c r="Q272" i="32"/>
  <c r="W1711" i="32"/>
  <c r="K1711" i="32" s="1"/>
  <c r="Q1711" i="32"/>
  <c r="W685" i="32"/>
  <c r="K685" i="32" s="1"/>
  <c r="W883" i="32"/>
  <c r="K883" i="32" s="1"/>
  <c r="Q280" i="32"/>
  <c r="W280" i="32"/>
  <c r="W669" i="32"/>
  <c r="K669" i="32" s="1"/>
  <c r="Q1717" i="32"/>
  <c r="W1713" i="32"/>
  <c r="K1713" i="32" s="1"/>
  <c r="W749" i="32"/>
  <c r="K749" i="32" s="1"/>
  <c r="W745" i="32"/>
  <c r="K745" i="32" s="1"/>
  <c r="W771" i="32"/>
  <c r="K771" i="32" s="1"/>
  <c r="W302" i="32"/>
  <c r="Q302" i="32"/>
  <c r="W1681" i="32"/>
  <c r="K1681" i="32" s="1"/>
  <c r="Q1681" i="32"/>
  <c r="W1699" i="32"/>
  <c r="K1699" i="32" s="1"/>
  <c r="Q1699" i="32"/>
  <c r="W1175" i="32"/>
  <c r="K1175" i="32" s="1"/>
  <c r="Q1687" i="32"/>
  <c r="W1687" i="32"/>
  <c r="K1687" i="32" s="1"/>
  <c r="W1149" i="32"/>
  <c r="K1149" i="32" s="1"/>
  <c r="W1697" i="32"/>
  <c r="K1697" i="32" s="1"/>
  <c r="W1169" i="32"/>
  <c r="K1169" i="32" s="1"/>
  <c r="W1679" i="32"/>
  <c r="K1679" i="32" s="1"/>
  <c r="Q1679" i="32"/>
  <c r="W1143" i="32"/>
  <c r="K1143" i="32" s="1"/>
  <c r="W925" i="32"/>
  <c r="K925" i="32" s="1"/>
  <c r="W905" i="32"/>
  <c r="K905" i="32" s="1"/>
  <c r="Q1667" i="32"/>
  <c r="W1667" i="32"/>
  <c r="K1667" i="32" s="1"/>
  <c r="W893" i="32"/>
  <c r="K893" i="32" s="1"/>
  <c r="W877" i="32"/>
  <c r="K877" i="32" s="1"/>
  <c r="W1191" i="32"/>
  <c r="K1191" i="32" s="1"/>
  <c r="W1187" i="32"/>
  <c r="K1187" i="32" s="1"/>
  <c r="W1207" i="32"/>
  <c r="K1207" i="32" s="1"/>
  <c r="W1215" i="32"/>
  <c r="K1215" i="32" s="1"/>
  <c r="W1189" i="32"/>
  <c r="K1189" i="32" s="1"/>
  <c r="W1185" i="32"/>
  <c r="K1185" i="32" s="1"/>
  <c r="W1217" i="32"/>
  <c r="K1217" i="32" s="1"/>
  <c r="W1197" i="32"/>
  <c r="K1197" i="32" s="1"/>
  <c r="W1213" i="32"/>
  <c r="K1213" i="32" s="1"/>
  <c r="W1195" i="32"/>
  <c r="K1195" i="32" s="1"/>
  <c r="Q1775" i="32"/>
  <c r="W1775" i="32"/>
  <c r="K1775" i="32" s="1"/>
  <c r="W1767" i="32"/>
  <c r="K1767" i="32" s="1"/>
  <c r="Q1767" i="32"/>
  <c r="W1745" i="32"/>
  <c r="K1745" i="32" s="1"/>
  <c r="Q1745" i="32"/>
  <c r="Q1763" i="32"/>
  <c r="W1763" i="32"/>
  <c r="K1763" i="32" s="1"/>
  <c r="W1769" i="32"/>
  <c r="K1769" i="32" s="1"/>
  <c r="Q1769" i="32"/>
  <c r="Q1777" i="32"/>
  <c r="W1777" i="32"/>
  <c r="K1777" i="32" s="1"/>
  <c r="W1747" i="32"/>
  <c r="K1747" i="32" s="1"/>
  <c r="Q1747" i="32"/>
  <c r="W1759" i="32"/>
  <c r="K1759" i="32" s="1"/>
  <c r="Q1759" i="32"/>
  <c r="Q1771" i="32"/>
  <c r="W1771" i="32"/>
  <c r="K1771" i="32" s="1"/>
  <c r="W1753" i="32"/>
  <c r="K1753" i="32" s="1"/>
  <c r="Q1753" i="32"/>
  <c r="W1055" i="32"/>
  <c r="K1055" i="32" s="1"/>
  <c r="W1033" i="32"/>
  <c r="K1033" i="32" s="1"/>
  <c r="W1053" i="32"/>
  <c r="K1053" i="32" s="1"/>
  <c r="W1035" i="32"/>
  <c r="K1035" i="32" s="1"/>
  <c r="W1051" i="32"/>
  <c r="K1051" i="32" s="1"/>
  <c r="W913" i="32"/>
  <c r="K913" i="32" s="1"/>
  <c r="W933" i="32"/>
  <c r="K933" i="32" s="1"/>
  <c r="W901" i="32"/>
  <c r="K901" i="32" s="1"/>
  <c r="W911" i="32"/>
  <c r="K911" i="32" s="1"/>
  <c r="W937" i="32"/>
  <c r="K937" i="32" s="1"/>
  <c r="Q1737" i="32"/>
  <c r="W1737" i="32"/>
  <c r="K1737" i="32" s="1"/>
  <c r="Q1709" i="32"/>
  <c r="W1709" i="32"/>
  <c r="K1709" i="32" s="1"/>
  <c r="W1693" i="32"/>
  <c r="K1693" i="32" s="1"/>
  <c r="Q1693" i="32"/>
  <c r="W1671" i="32"/>
  <c r="K1671" i="32" s="1"/>
  <c r="Q1671" i="32"/>
  <c r="W1673" i="32"/>
  <c r="K1673" i="32" s="1"/>
  <c r="Q1673" i="32"/>
  <c r="Q1663" i="32"/>
  <c r="W1663" i="32"/>
  <c r="K1663" i="32" s="1"/>
  <c r="W711" i="32"/>
  <c r="K711" i="32" s="1"/>
  <c r="W725" i="32"/>
  <c r="K725" i="32" s="1"/>
  <c r="W717" i="32"/>
  <c r="K717" i="32" s="1"/>
  <c r="W723" i="32"/>
  <c r="K723" i="32" s="1"/>
  <c r="W731" i="32"/>
  <c r="K731" i="32" s="1"/>
  <c r="W729" i="32"/>
  <c r="K729" i="32" s="1"/>
  <c r="W705" i="32"/>
  <c r="K705" i="32" s="1"/>
  <c r="W737" i="32"/>
  <c r="K737" i="32" s="1"/>
  <c r="W701" i="32"/>
  <c r="K701" i="32" s="1"/>
  <c r="W715" i="32"/>
  <c r="K715" i="32" s="1"/>
  <c r="W679" i="32"/>
  <c r="K679" i="32" s="1"/>
  <c r="W693" i="32"/>
  <c r="K693" i="32" s="1"/>
  <c r="W689" i="32"/>
  <c r="K689" i="32" s="1"/>
  <c r="W663" i="32"/>
  <c r="K663" i="32" s="1"/>
  <c r="W687" i="32"/>
  <c r="K687" i="32" s="1"/>
  <c r="W681" i="32"/>
  <c r="K681" i="32" s="1"/>
  <c r="W697" i="32"/>
  <c r="K697" i="32" s="1"/>
  <c r="W1093" i="32"/>
  <c r="K1093" i="32" s="1"/>
  <c r="W1089" i="32"/>
  <c r="K1089" i="32" s="1"/>
  <c r="W1091" i="32"/>
  <c r="K1091" i="32" s="1"/>
  <c r="W1079" i="32"/>
  <c r="K1079" i="32" s="1"/>
  <c r="W1087" i="32"/>
  <c r="K1087" i="32" s="1"/>
  <c r="W1081" i="32"/>
  <c r="K1081" i="32" s="1"/>
  <c r="W1061" i="32"/>
  <c r="K1061" i="32" s="1"/>
  <c r="W1065" i="32"/>
  <c r="K1065" i="32" s="1"/>
  <c r="W1067" i="32"/>
  <c r="K1067" i="32" s="1"/>
  <c r="W819" i="32"/>
  <c r="K819" i="32" s="1"/>
  <c r="W971" i="32"/>
  <c r="K971" i="32" s="1"/>
  <c r="W979" i="32"/>
  <c r="K979" i="32" s="1"/>
  <c r="W947" i="32"/>
  <c r="K947" i="32" s="1"/>
  <c r="W961" i="32"/>
  <c r="K961" i="32" s="1"/>
  <c r="W965" i="32"/>
  <c r="K965" i="32" s="1"/>
  <c r="W967" i="32"/>
  <c r="K967" i="32" s="1"/>
  <c r="W949" i="32"/>
  <c r="K949" i="32" s="1"/>
  <c r="W955" i="32"/>
  <c r="K955" i="32" s="1"/>
  <c r="W973" i="32"/>
  <c r="K973" i="32" s="1"/>
  <c r="W943" i="32"/>
  <c r="K943" i="32" s="1"/>
  <c r="W987" i="32"/>
  <c r="K987" i="32" s="1"/>
  <c r="W981" i="32"/>
  <c r="K981" i="32" s="1"/>
  <c r="W989" i="32"/>
  <c r="K989" i="32" s="1"/>
  <c r="W999" i="32"/>
  <c r="K999" i="32" s="1"/>
  <c r="W1003" i="32"/>
  <c r="K1003" i="32" s="1"/>
  <c r="W997" i="32"/>
  <c r="K997" i="32" s="1"/>
  <c r="W991" i="32"/>
  <c r="K991" i="32" s="1"/>
  <c r="W995" i="32"/>
  <c r="K995" i="32" s="1"/>
  <c r="W1011" i="32"/>
  <c r="K1011" i="32" s="1"/>
  <c r="W1005" i="32"/>
  <c r="K1005" i="32" s="1"/>
  <c r="Q300" i="32"/>
  <c r="W300" i="32"/>
  <c r="Q306" i="32"/>
  <c r="W306" i="32"/>
  <c r="W859" i="32"/>
  <c r="K859" i="32" s="1"/>
  <c r="W1117" i="32"/>
  <c r="K1117" i="32" s="1"/>
  <c r="W1103" i="32"/>
  <c r="K1103" i="32" s="1"/>
  <c r="W1123" i="32"/>
  <c r="K1123" i="32" s="1"/>
  <c r="W1105" i="32"/>
  <c r="K1105" i="32" s="1"/>
  <c r="W1113" i="32"/>
  <c r="K1113" i="32" s="1"/>
  <c r="W1101" i="32"/>
  <c r="K1101" i="32" s="1"/>
  <c r="W1137" i="32"/>
  <c r="K1137" i="32" s="1"/>
  <c r="W1125" i="32"/>
  <c r="K1125" i="32" s="1"/>
  <c r="W1115" i="32"/>
  <c r="K1115" i="32" s="1"/>
  <c r="W1135" i="32"/>
  <c r="K1135" i="32" s="1"/>
  <c r="W747" i="32"/>
  <c r="K747" i="32" s="1"/>
  <c r="W761" i="32"/>
  <c r="K761" i="32" s="1"/>
  <c r="W753" i="32"/>
  <c r="K753" i="32" s="1"/>
  <c r="W767" i="32"/>
  <c r="K767" i="32" s="1"/>
  <c r="W769" i="32"/>
  <c r="K769" i="32" s="1"/>
  <c r="W743" i="32"/>
  <c r="K743" i="32" s="1"/>
  <c r="W765" i="32"/>
  <c r="K765" i="32" s="1"/>
  <c r="W1177" i="32"/>
  <c r="K1177" i="32" s="1"/>
  <c r="W1151" i="32"/>
  <c r="K1151" i="32" s="1"/>
  <c r="W1171" i="32"/>
  <c r="K1171" i="32" s="1"/>
  <c r="W1153" i="32"/>
  <c r="K1153" i="32" s="1"/>
  <c r="W1167" i="32"/>
  <c r="K1167" i="32" s="1"/>
  <c r="W1179" i="32"/>
  <c r="K1179" i="32" s="1"/>
  <c r="W879" i="32"/>
  <c r="K879" i="32" s="1"/>
  <c r="W895" i="32"/>
  <c r="K895" i="32" s="1"/>
  <c r="W1211" i="32"/>
  <c r="K1211" i="32" s="1"/>
  <c r="W1183" i="32"/>
  <c r="K1183" i="32" s="1"/>
  <c r="W1219" i="32"/>
  <c r="K1219" i="32" s="1"/>
  <c r="W1193" i="32"/>
  <c r="K1193" i="32" s="1"/>
  <c r="W1203" i="32"/>
  <c r="K1203" i="32" s="1"/>
  <c r="W1209" i="32"/>
  <c r="K1209" i="32" s="1"/>
  <c r="W1201" i="32"/>
  <c r="K1201" i="32" s="1"/>
  <c r="W1181" i="32"/>
  <c r="K1181" i="32" s="1"/>
  <c r="W1199" i="32"/>
  <c r="K1199" i="32" s="1"/>
  <c r="W1205" i="32"/>
  <c r="K1205" i="32" s="1"/>
  <c r="W1741" i="32"/>
  <c r="K1741" i="32" s="1"/>
  <c r="Q1741" i="32"/>
  <c r="Q1743" i="32"/>
  <c r="W1743" i="32"/>
  <c r="K1743" i="32" s="1"/>
  <c r="W1773" i="32"/>
  <c r="K1773" i="32" s="1"/>
  <c r="Q1773" i="32"/>
  <c r="Q1751" i="32"/>
  <c r="W1751" i="32"/>
  <c r="K1751" i="32" s="1"/>
  <c r="W1765" i="32"/>
  <c r="K1765" i="32" s="1"/>
  <c r="Q1765" i="32"/>
  <c r="W1755" i="32"/>
  <c r="K1755" i="32" s="1"/>
  <c r="Q1755" i="32"/>
  <c r="W1779" i="32"/>
  <c r="K1779" i="32" s="1"/>
  <c r="Q1779" i="32"/>
  <c r="Q1761" i="32"/>
  <c r="W1761" i="32"/>
  <c r="K1761" i="32" s="1"/>
  <c r="Q1749" i="32"/>
  <c r="W1749" i="32"/>
  <c r="K1749" i="32" s="1"/>
  <c r="Q1757" i="32"/>
  <c r="W1757" i="32"/>
  <c r="K1757" i="32" s="1"/>
  <c r="W1059" i="32"/>
  <c r="K1059" i="32" s="1"/>
  <c r="W1041" i="32"/>
  <c r="K1041" i="32" s="1"/>
  <c r="W1031" i="32"/>
  <c r="K1031" i="32" s="1"/>
  <c r="W1045" i="32"/>
  <c r="K1045" i="32" s="1"/>
  <c r="W1021" i="32"/>
  <c r="K1021" i="32" s="1"/>
  <c r="W1037" i="32"/>
  <c r="K1037" i="32" s="1"/>
  <c r="W917" i="32"/>
  <c r="K917" i="32" s="1"/>
  <c r="W931" i="32"/>
  <c r="K931" i="32" s="1"/>
  <c r="W921" i="32"/>
  <c r="K921" i="32" s="1"/>
  <c r="W903" i="32"/>
  <c r="K903" i="32" s="1"/>
  <c r="Q1725" i="32"/>
  <c r="W1725" i="32"/>
  <c r="K1725" i="32" s="1"/>
  <c r="W1733" i="32"/>
  <c r="K1733" i="32" s="1"/>
  <c r="Q1733" i="32"/>
  <c r="Q1669" i="32"/>
  <c r="W1669" i="32"/>
  <c r="K1669" i="32" s="1"/>
  <c r="Q1677" i="32"/>
  <c r="W1677" i="32"/>
  <c r="K1677" i="32" s="1"/>
  <c r="Q1675" i="32"/>
  <c r="W1675" i="32"/>
  <c r="K1675" i="32" s="1"/>
  <c r="Q1665" i="32"/>
  <c r="W1665" i="32"/>
  <c r="K1665" i="32" s="1"/>
  <c r="W727" i="32"/>
  <c r="K727" i="32" s="1"/>
  <c r="W707" i="32"/>
  <c r="K707" i="32" s="1"/>
  <c r="W735" i="32"/>
  <c r="K735" i="32" s="1"/>
  <c r="W719" i="32"/>
  <c r="K719" i="32" s="1"/>
  <c r="W721" i="32"/>
  <c r="K721" i="32" s="1"/>
  <c r="W709" i="32"/>
  <c r="K709" i="32" s="1"/>
  <c r="W739" i="32"/>
  <c r="K739" i="32" s="1"/>
  <c r="W713" i="32"/>
  <c r="K713" i="32" s="1"/>
  <c r="W733" i="32"/>
  <c r="K733" i="32" s="1"/>
  <c r="W703" i="32"/>
  <c r="K703" i="32" s="1"/>
  <c r="W661" i="32"/>
  <c r="K661" i="32" s="1"/>
  <c r="W699" i="32"/>
  <c r="K699" i="32" s="1"/>
  <c r="W673" i="32"/>
  <c r="K673" i="32" s="1"/>
  <c r="W667" i="32"/>
  <c r="K667" i="32" s="1"/>
  <c r="W683" i="32"/>
  <c r="K683" i="32" s="1"/>
  <c r="W671" i="32"/>
  <c r="K671" i="32" s="1"/>
  <c r="W665" i="32"/>
  <c r="K665" i="32" s="1"/>
  <c r="W1063" i="32"/>
  <c r="K1063" i="32" s="1"/>
  <c r="W1095" i="32"/>
  <c r="K1095" i="32" s="1"/>
  <c r="W1097" i="32"/>
  <c r="K1097" i="32" s="1"/>
  <c r="W1069" i="32"/>
  <c r="K1069" i="32" s="1"/>
  <c r="W1071" i="32"/>
  <c r="K1071" i="32" s="1"/>
  <c r="W1075" i="32"/>
  <c r="K1075" i="32" s="1"/>
  <c r="W1083" i="32"/>
  <c r="K1083" i="32" s="1"/>
  <c r="W1085" i="32"/>
  <c r="K1085" i="32" s="1"/>
  <c r="W1077" i="32"/>
  <c r="K1077" i="32" s="1"/>
  <c r="W1099" i="32"/>
  <c r="K1099" i="32" s="1"/>
  <c r="W953" i="32"/>
  <c r="K953" i="32" s="1"/>
  <c r="W941" i="32"/>
  <c r="K941" i="32" s="1"/>
  <c r="W959" i="32"/>
  <c r="K959" i="32" s="1"/>
  <c r="W945" i="32"/>
  <c r="K945" i="32" s="1"/>
  <c r="W977" i="32"/>
  <c r="K977" i="32" s="1"/>
  <c r="W969" i="32"/>
  <c r="K969" i="32" s="1"/>
  <c r="W963" i="32"/>
  <c r="K963" i="32" s="1"/>
  <c r="W957" i="32"/>
  <c r="K957" i="32" s="1"/>
  <c r="W951" i="32"/>
  <c r="K951" i="32" s="1"/>
  <c r="W975" i="32"/>
  <c r="K975" i="32" s="1"/>
  <c r="W993" i="32"/>
  <c r="K993" i="32" s="1"/>
  <c r="W1013" i="32"/>
  <c r="K1013" i="32" s="1"/>
  <c r="W1019" i="32"/>
  <c r="K1019" i="32" s="1"/>
  <c r="W1007" i="32"/>
  <c r="K1007" i="32" s="1"/>
  <c r="W1009" i="32"/>
  <c r="K1009" i="32" s="1"/>
  <c r="W985" i="32"/>
  <c r="K985" i="32" s="1"/>
  <c r="W1001" i="32"/>
  <c r="K1001" i="32" s="1"/>
  <c r="W983" i="32"/>
  <c r="K983" i="32" s="1"/>
  <c r="W1017" i="32"/>
  <c r="K1017" i="32" s="1"/>
  <c r="W1015" i="32"/>
  <c r="K1015" i="32" s="1"/>
  <c r="Q290" i="32"/>
  <c r="W290" i="32"/>
  <c r="Q298" i="32"/>
  <c r="W298" i="32"/>
  <c r="W1121" i="32"/>
  <c r="K1121" i="32" s="1"/>
  <c r="W1131" i="32"/>
  <c r="K1131" i="32" s="1"/>
  <c r="W1119" i="32"/>
  <c r="K1119" i="32" s="1"/>
  <c r="W1107" i="32"/>
  <c r="K1107" i="32" s="1"/>
  <c r="W1139" i="32"/>
  <c r="K1139" i="32" s="1"/>
  <c r="W1133" i="32"/>
  <c r="K1133" i="32" s="1"/>
  <c r="W1109" i="32"/>
  <c r="K1109" i="32" s="1"/>
  <c r="W1127" i="32"/>
  <c r="K1127" i="32" s="1"/>
  <c r="W1111" i="32"/>
  <c r="K1111" i="32" s="1"/>
  <c r="W1129" i="32"/>
  <c r="K1129" i="32" s="1"/>
  <c r="W751" i="32"/>
  <c r="K751" i="32" s="1"/>
  <c r="W779" i="32"/>
  <c r="K779" i="32" s="1"/>
  <c r="W775" i="32"/>
  <c r="K775" i="32" s="1"/>
  <c r="W755" i="32"/>
  <c r="K755" i="32" s="1"/>
  <c r="W777" i="32"/>
  <c r="K777" i="32" s="1"/>
  <c r="W757" i="32"/>
  <c r="K757" i="32" s="1"/>
  <c r="W741" i="32"/>
  <c r="K741" i="32" s="1"/>
  <c r="W1161" i="32"/>
  <c r="K1161" i="32" s="1"/>
  <c r="W1145" i="32"/>
  <c r="K1145" i="32" s="1"/>
  <c r="W1147" i="32"/>
  <c r="K1147" i="32" s="1"/>
  <c r="W1163" i="32"/>
  <c r="K1163" i="32" s="1"/>
  <c r="W1173" i="32"/>
  <c r="K1173" i="32" s="1"/>
  <c r="W1155" i="32"/>
  <c r="K1155" i="32" s="1"/>
  <c r="AS39" i="34"/>
  <c r="U390" i="32"/>
  <c r="U689" i="32"/>
  <c r="U78" i="32"/>
  <c r="AY41" i="34"/>
  <c r="L6" i="29" a="1"/>
  <c r="L6" i="29" s="1"/>
  <c r="L7" i="29" s="1" a="1"/>
  <c r="L7" i="29" s="1"/>
  <c r="M4256" i="27"/>
  <c r="BD41" i="34"/>
  <c r="D932" i="27"/>
  <c r="O933" i="27"/>
  <c r="N4256" i="27"/>
  <c r="D931" i="27"/>
  <c r="I933" i="27"/>
  <c r="F4256" i="27"/>
  <c r="G67" i="33"/>
  <c r="L933" i="27"/>
  <c r="Q933" i="27"/>
  <c r="P933" i="27"/>
  <c r="G933" i="27"/>
  <c r="A390" i="32"/>
  <c r="T933" i="27"/>
  <c r="BC40" i="34"/>
  <c r="E933" i="27"/>
  <c r="U933" i="27"/>
  <c r="G685" i="32"/>
  <c r="G386" i="32"/>
  <c r="A78" i="32"/>
  <c r="O4256" i="27"/>
  <c r="N933" i="27"/>
  <c r="R933" i="27"/>
  <c r="V933" i="27"/>
  <c r="M933" i="27"/>
  <c r="G74" i="32"/>
  <c r="A933" i="27" l="1"/>
  <c r="Q1797" i="32"/>
  <c r="C1805" i="32"/>
  <c r="Q1805" i="32" s="1"/>
  <c r="C1791" i="32"/>
  <c r="Q1791" i="32" s="1"/>
  <c r="C1801" i="32"/>
  <c r="W1801" i="32" s="1"/>
  <c r="K1801" i="32" s="1"/>
  <c r="C1807" i="32"/>
  <c r="Q1807" i="32" s="1"/>
  <c r="C1813" i="32"/>
  <c r="Q1813" i="32" s="1"/>
  <c r="C1787" i="32"/>
  <c r="Q1787" i="32" s="1"/>
  <c r="C1809" i="32"/>
  <c r="W1809" i="32" s="1"/>
  <c r="K1809" i="32" s="1"/>
  <c r="C1803" i="32"/>
  <c r="W1803" i="32" s="1"/>
  <c r="K1803" i="32" s="1"/>
  <c r="C1799" i="32"/>
  <c r="Q1799" i="32" s="1"/>
  <c r="C1789" i="32"/>
  <c r="W1789" i="32" s="1"/>
  <c r="K1789" i="32" s="1"/>
  <c r="C1793" i="32"/>
  <c r="Q1793" i="32" s="1"/>
  <c r="C1781" i="32"/>
  <c r="Q1781" i="32" s="1"/>
  <c r="C1795" i="32"/>
  <c r="Q1795" i="32" s="1"/>
  <c r="C1815" i="32"/>
  <c r="W1815" i="32" s="1"/>
  <c r="K1815" i="32" s="1"/>
  <c r="C1783" i="32"/>
  <c r="W1783" i="32" s="1"/>
  <c r="K1783" i="32" s="1"/>
  <c r="C1785" i="32"/>
  <c r="Q1785" i="32" s="1"/>
  <c r="C1811" i="32"/>
  <c r="Q1811" i="32" s="1"/>
  <c r="C1817" i="32"/>
  <c r="Q1817" i="32" s="1"/>
  <c r="C1819" i="32"/>
  <c r="W1819" i="32" s="1"/>
  <c r="K1819" i="32" s="1"/>
  <c r="E207" i="24"/>
  <c r="F5344" i="27"/>
  <c r="F4377" i="27"/>
  <c r="F4378" i="27" s="1"/>
  <c r="F4379" i="27" s="1"/>
  <c r="F4380" i="27" s="1"/>
  <c r="F4381" i="27" s="1"/>
  <c r="F4376" i="27"/>
  <c r="A4256" i="27"/>
  <c r="B4284" i="27"/>
  <c r="H2454" i="27"/>
  <c r="H1373" i="27"/>
  <c r="H736" i="27"/>
  <c r="H735" i="27"/>
  <c r="H314" i="27"/>
  <c r="AS40" i="34"/>
  <c r="U80" i="32"/>
  <c r="U691" i="32"/>
  <c r="U392" i="32"/>
  <c r="AY42" i="34"/>
  <c r="L8" i="29" a="1"/>
  <c r="L8" i="29" s="1"/>
  <c r="L9" i="29" s="1" a="1"/>
  <c r="L9" i="29" s="1"/>
  <c r="O4257" i="27"/>
  <c r="G388" i="32"/>
  <c r="BC41" i="34"/>
  <c r="G76" i="32"/>
  <c r="A689" i="32"/>
  <c r="G687" i="32"/>
  <c r="A392" i="32"/>
  <c r="M4257" i="27"/>
  <c r="N4257" i="27"/>
  <c r="BC42" i="34"/>
  <c r="D933" i="27"/>
  <c r="F4257" i="27"/>
  <c r="W1813" i="32" l="1"/>
  <c r="K1813" i="32" s="1"/>
  <c r="W1805" i="32"/>
  <c r="K1805" i="32" s="1"/>
  <c r="W1791" i="32"/>
  <c r="K1791" i="32" s="1"/>
  <c r="Q1789" i="32"/>
  <c r="W1787" i="32"/>
  <c r="K1787" i="32" s="1"/>
  <c r="W1807" i="32"/>
  <c r="K1807" i="32" s="1"/>
  <c r="W1799" i="32"/>
  <c r="K1799" i="32" s="1"/>
  <c r="W1793" i="32"/>
  <c r="K1793" i="32" s="1"/>
  <c r="Q1801" i="32"/>
  <c r="W1795" i="32"/>
  <c r="K1795" i="32" s="1"/>
  <c r="W1785" i="32"/>
  <c r="K1785" i="32" s="1"/>
  <c r="W1781" i="32"/>
  <c r="K1781" i="32" s="1"/>
  <c r="Q1809" i="32"/>
  <c r="Q1803" i="32"/>
  <c r="Q1815" i="32"/>
  <c r="W1817" i="32"/>
  <c r="K1817" i="32" s="1"/>
  <c r="Q1819" i="32"/>
  <c r="W1811" i="32"/>
  <c r="K1811" i="32" s="1"/>
  <c r="Q1783" i="32"/>
  <c r="F5345" i="27"/>
  <c r="F4383" i="27"/>
  <c r="F4384" i="27" s="1"/>
  <c r="F4385" i="27" s="1"/>
  <c r="F4386" i="27" s="1"/>
  <c r="F4387" i="27" s="1"/>
  <c r="F4382" i="27"/>
  <c r="A4257" i="27"/>
  <c r="B4285" i="27"/>
  <c r="H2455" i="27"/>
  <c r="H1374" i="27"/>
  <c r="H737" i="27"/>
  <c r="H315" i="27"/>
  <c r="AS41" i="34"/>
  <c r="U693" i="32"/>
  <c r="U82" i="32"/>
  <c r="U394" i="32"/>
  <c r="AY43" i="34"/>
  <c r="L10" i="29" a="1"/>
  <c r="L10" i="29" s="1"/>
  <c r="BD42" i="34"/>
  <c r="G78" i="32"/>
  <c r="G689" i="32"/>
  <c r="A80" i="32"/>
  <c r="BC43" i="34"/>
  <c r="F4258" i="27"/>
  <c r="A691" i="32"/>
  <c r="O4258" i="27"/>
  <c r="N4258" i="27"/>
  <c r="M4258" i="27"/>
  <c r="G390" i="32"/>
  <c r="F5346" i="27" l="1"/>
  <c r="F4389" i="27"/>
  <c r="F4390" i="27" s="1"/>
  <c r="F4391" i="27" s="1"/>
  <c r="F4392" i="27" s="1"/>
  <c r="F4393" i="27" s="1"/>
  <c r="F4388" i="27"/>
  <c r="A4258" i="27"/>
  <c r="B4286" i="27"/>
  <c r="H1375" i="27"/>
  <c r="H738" i="27"/>
  <c r="H316" i="27"/>
  <c r="H317" i="27"/>
  <c r="AS42" i="34"/>
  <c r="U84" i="32"/>
  <c r="U396" i="32"/>
  <c r="U695" i="32"/>
  <c r="AY44" i="34"/>
  <c r="L11" i="29" a="1"/>
  <c r="L11" i="29" s="1"/>
  <c r="BD43" i="34"/>
  <c r="A394" i="32"/>
  <c r="A693" i="32"/>
  <c r="A695" i="32"/>
  <c r="O4259" i="27"/>
  <c r="G691" i="32"/>
  <c r="G392" i="32"/>
  <c r="A82" i="32"/>
  <c r="BD44" i="34"/>
  <c r="M4259" i="27"/>
  <c r="F4259" i="27"/>
  <c r="G80" i="32"/>
  <c r="N4259" i="27"/>
  <c r="A396" i="32"/>
  <c r="F5347" i="27" l="1"/>
  <c r="F4395" i="27"/>
  <c r="F4396" i="27" s="1"/>
  <c r="F4397" i="27" s="1"/>
  <c r="F4398" i="27" s="1"/>
  <c r="F4399" i="27" s="1"/>
  <c r="F4394" i="27"/>
  <c r="A4259" i="27"/>
  <c r="B4287" i="27"/>
  <c r="H1376" i="27"/>
  <c r="H739" i="27"/>
  <c r="H318" i="27"/>
  <c r="AS43" i="34"/>
  <c r="U697" i="32"/>
  <c r="U398" i="32"/>
  <c r="U86" i="32"/>
  <c r="AY45" i="34"/>
  <c r="L12" i="29" a="1"/>
  <c r="L12" i="29" s="1"/>
  <c r="A398" i="32"/>
  <c r="A84" i="32"/>
  <c r="F4260" i="27"/>
  <c r="M4260" i="27"/>
  <c r="BC44" i="34"/>
  <c r="O4260" i="27"/>
  <c r="G82" i="32"/>
  <c r="N4260" i="27"/>
  <c r="G394" i="32"/>
  <c r="G693" i="32"/>
  <c r="F5348" i="27" l="1"/>
  <c r="F5349" i="27"/>
  <c r="F4401" i="27"/>
  <c r="F4402" i="27" s="1"/>
  <c r="F4403" i="27" s="1"/>
  <c r="F4404" i="27" s="1"/>
  <c r="F4405" i="27" s="1"/>
  <c r="F4400" i="27"/>
  <c r="A4260" i="27"/>
  <c r="B4288" i="27"/>
  <c r="H1377" i="27"/>
  <c r="H1378" i="27"/>
  <c r="H740" i="27"/>
  <c r="H319" i="27"/>
  <c r="AS44" i="34"/>
  <c r="U88" i="32"/>
  <c r="U699" i="32"/>
  <c r="U400" i="32"/>
  <c r="AY46" i="34"/>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477" i="27"/>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A86" i="32"/>
  <c r="N4261" i="27"/>
  <c r="G695" i="32"/>
  <c r="N4064" i="27"/>
  <c r="A400" i="32"/>
  <c r="A699" i="32"/>
  <c r="O4261" i="27"/>
  <c r="F4261" i="27"/>
  <c r="J4064" i="27"/>
  <c r="M4261" i="27"/>
  <c r="M4064" i="27"/>
  <c r="BC46" i="34"/>
  <c r="BC45" i="34"/>
  <c r="G396" i="32"/>
  <c r="F4064" i="27"/>
  <c r="A697" i="32"/>
  <c r="BD45" i="34"/>
  <c r="G84" i="32"/>
  <c r="D4064" i="27"/>
  <c r="F5350" i="27" l="1"/>
  <c r="F4406" i="27"/>
  <c r="F4407" i="27"/>
  <c r="F4408" i="27" s="1"/>
  <c r="F4409" i="27" s="1"/>
  <c r="F4410" i="27" s="1"/>
  <c r="F4411" i="27" s="1"/>
  <c r="A4261" i="27"/>
  <c r="B4289" i="27"/>
  <c r="H1379" i="27"/>
  <c r="H742" i="27"/>
  <c r="H741" i="27"/>
  <c r="H320" i="27"/>
  <c r="A4064" i="27"/>
  <c r="AS45" i="34"/>
  <c r="U402" i="32"/>
  <c r="U701" i="32"/>
  <c r="U90" i="32"/>
  <c r="AY47" i="34"/>
  <c r="H4064" i="27"/>
  <c r="H4065" i="27" s="1"/>
  <c r="H4066" i="27" s="1"/>
  <c r="H4067" i="27" s="1"/>
  <c r="H4068" i="27" s="1"/>
  <c r="H4069" i="27" s="1"/>
  <c r="H4070" i="27" s="1"/>
  <c r="H4071" i="27" s="1"/>
  <c r="H4072" i="27" s="1"/>
  <c r="H4073" i="27" s="1"/>
  <c r="H4074" i="27" s="1"/>
  <c r="H4075" i="27" s="1"/>
  <c r="H4076" i="27" s="1"/>
  <c r="H4077" i="27" s="1"/>
  <c r="H4078" i="27" s="1"/>
  <c r="H4079" i="27" s="1"/>
  <c r="H4080" i="27" s="1"/>
  <c r="H4081" i="27" s="1"/>
  <c r="H4082" i="27" s="1"/>
  <c r="H4083" i="27" s="1"/>
  <c r="H4084" i="27" s="1"/>
  <c r="H4085" i="27" s="1"/>
  <c r="H4086" i="27" s="1"/>
  <c r="H4087" i="27" s="1"/>
  <c r="H4088" i="27" s="1"/>
  <c r="H4089" i="27" s="1"/>
  <c r="H4090" i="27" s="1"/>
  <c r="H4091" i="27" s="1"/>
  <c r="H4092" i="27" s="1"/>
  <c r="H4093" i="27" s="1"/>
  <c r="H4094" i="27" s="1"/>
  <c r="H4095" i="27" s="1"/>
  <c r="H4096" i="27" s="1"/>
  <c r="H4097" i="27" s="1"/>
  <c r="H4098" i="27" s="1"/>
  <c r="H4099" i="27" s="1"/>
  <c r="H4100" i="27" s="1"/>
  <c r="H4101" i="27" s="1"/>
  <c r="H4102" i="27" s="1"/>
  <c r="H4103" i="27" s="1"/>
  <c r="H4104" i="27" s="1"/>
  <c r="H4105" i="27" s="1"/>
  <c r="H4106" i="27" s="1"/>
  <c r="H4107" i="27" s="1"/>
  <c r="H4108" i="27" s="1"/>
  <c r="H4109" i="27" s="1"/>
  <c r="H4110" i="27" s="1"/>
  <c r="H4111" i="27" s="1"/>
  <c r="H4112" i="27" s="1"/>
  <c r="H4113" i="27" s="1"/>
  <c r="H4114" i="27" s="1"/>
  <c r="H4115" i="27" s="1"/>
  <c r="H4116" i="27" s="1"/>
  <c r="H4117" i="27" s="1"/>
  <c r="H4118" i="27" s="1"/>
  <c r="H4119" i="27" s="1"/>
  <c r="H4120" i="27" s="1"/>
  <c r="H4121" i="27" s="1"/>
  <c r="H4122" i="27" s="1"/>
  <c r="H4123" i="27" s="1"/>
  <c r="H4124" i="27" s="1"/>
  <c r="H4125" i="27" s="1"/>
  <c r="H4126" i="27" s="1"/>
  <c r="H4127" i="27" s="1"/>
  <c r="H4128" i="27" s="1"/>
  <c r="H4129" i="27" s="1"/>
  <c r="H4130" i="27" s="1"/>
  <c r="H4131" i="27" s="1"/>
  <c r="H4132" i="27" s="1"/>
  <c r="H4133" i="27" s="1"/>
  <c r="H4134" i="27" s="1"/>
  <c r="H4135" i="27" s="1"/>
  <c r="H4136" i="27" s="1"/>
  <c r="H4137" i="27" s="1"/>
  <c r="H4138" i="27" s="1"/>
  <c r="H4139" i="27" s="1"/>
  <c r="H4140" i="27" s="1"/>
  <c r="H4141" i="27" s="1"/>
  <c r="H4142" i="27" s="1"/>
  <c r="H4143" i="27" s="1"/>
  <c r="H4144" i="27" s="1"/>
  <c r="H4145" i="27" s="1"/>
  <c r="H4146" i="27" s="1"/>
  <c r="H4147" i="27" s="1"/>
  <c r="H4148" i="27" s="1"/>
  <c r="H4149" i="27" s="1"/>
  <c r="H4150" i="27" s="1"/>
  <c r="H4151" i="27" s="1"/>
  <c r="H4152" i="27" s="1"/>
  <c r="H4153" i="27" s="1"/>
  <c r="H4154" i="27" s="1"/>
  <c r="H4155" i="27" s="1"/>
  <c r="H4156" i="27" s="1"/>
  <c r="H4157" i="27" s="1"/>
  <c r="H4158" i="27" s="1"/>
  <c r="H4159" i="27" s="1"/>
  <c r="H4160" i="27" s="1"/>
  <c r="H4161" i="27" s="1"/>
  <c r="H4162" i="27" s="1"/>
  <c r="H4163" i="27" s="1"/>
  <c r="H4164" i="27" s="1"/>
  <c r="H4165" i="27" s="1"/>
  <c r="H4166" i="27" s="1"/>
  <c r="H4167" i="27" s="1"/>
  <c r="H4168" i="27" s="1"/>
  <c r="H4169" i="27" s="1"/>
  <c r="H4170" i="27" s="1"/>
  <c r="H4171" i="27" s="1"/>
  <c r="H4172" i="27" s="1"/>
  <c r="H4173" i="27" s="1"/>
  <c r="H4174" i="27" s="1"/>
  <c r="H4175" i="27" s="1"/>
  <c r="H4176" i="27" s="1"/>
  <c r="H4177" i="27" s="1"/>
  <c r="H4178" i="27" s="1"/>
  <c r="H4179" i="27" s="1"/>
  <c r="H4180" i="27" s="1"/>
  <c r="H4181" i="27" s="1"/>
  <c r="H4182" i="27" s="1"/>
  <c r="H4183" i="27" s="1"/>
  <c r="H4184" i="27" s="1"/>
  <c r="H4185" i="27" s="1"/>
  <c r="H4186" i="27" s="1"/>
  <c r="H4187" i="27" s="1"/>
  <c r="H4188" i="27" s="1"/>
  <c r="H4189" i="27" s="1"/>
  <c r="H4190" i="27" s="1"/>
  <c r="H4191" i="27" s="1"/>
  <c r="H4192" i="27" s="1"/>
  <c r="H4193" i="27" s="1"/>
  <c r="H4194" i="27" s="1"/>
  <c r="H4195" i="27" s="1"/>
  <c r="H4196" i="27" s="1"/>
  <c r="H4197" i="27" s="1"/>
  <c r="H4198" i="27" s="1"/>
  <c r="H4199" i="27" s="1"/>
  <c r="H4200" i="27" s="1"/>
  <c r="H4201" i="27" s="1"/>
  <c r="H4202" i="27" s="1"/>
  <c r="H4203" i="27" s="1"/>
  <c r="H4204" i="27" s="1"/>
  <c r="H4205" i="27" s="1"/>
  <c r="H4206" i="27" s="1"/>
  <c r="H4207" i="27" s="1"/>
  <c r="H4208" i="27" s="1"/>
  <c r="H4209" i="27" s="1"/>
  <c r="H4210" i="27" s="1"/>
  <c r="H4211" i="27" s="1"/>
  <c r="H4212" i="27" s="1"/>
  <c r="H4213" i="27" s="1"/>
  <c r="H4214" i="27" s="1"/>
  <c r="H4215" i="27" s="1"/>
  <c r="H4216" i="27" s="1"/>
  <c r="H4217" i="27" s="1"/>
  <c r="H4218" i="27" s="1"/>
  <c r="H4219" i="27" s="1"/>
  <c r="H4220" i="27" s="1"/>
  <c r="H4221" i="27" s="1"/>
  <c r="H4222" i="27" s="1"/>
  <c r="H4223" i="27" s="1"/>
  <c r="H4224" i="27" s="1"/>
  <c r="H4225" i="27" s="1"/>
  <c r="H4226" i="27" s="1"/>
  <c r="H4227" i="27" s="1"/>
  <c r="H4228" i="27" s="1"/>
  <c r="H4229" i="27" s="1"/>
  <c r="H4230" i="27" s="1"/>
  <c r="H4231" i="27" s="1"/>
  <c r="H4232" i="27" s="1"/>
  <c r="H4233" i="27" s="1"/>
  <c r="H4234" i="27" s="1"/>
  <c r="H4235" i="27" s="1"/>
  <c r="H4236" i="27" s="1"/>
  <c r="H4237" i="27" s="1"/>
  <c r="H4238" i="27" s="1"/>
  <c r="H4239" i="27" s="1"/>
  <c r="H4240" i="27" s="1"/>
  <c r="H4241" i="27" s="1"/>
  <c r="H4242" i="27" s="1"/>
  <c r="H4243" i="27" s="1"/>
  <c r="H4244" i="27" s="1"/>
  <c r="H4245" i="27" s="1"/>
  <c r="H4246" i="27" s="1"/>
  <c r="H4247" i="27" s="1"/>
  <c r="H4248" i="27" s="1"/>
  <c r="H4249" i="27" s="1"/>
  <c r="H4250" i="27" s="1"/>
  <c r="H4251" i="27" s="1"/>
  <c r="H4252" i="27" s="1"/>
  <c r="H4253" i="27" s="1"/>
  <c r="H4254" i="27" s="1"/>
  <c r="H4255" i="27" s="1"/>
  <c r="H4256" i="27" s="1"/>
  <c r="H4257" i="27" s="1"/>
  <c r="H4258" i="27" s="1"/>
  <c r="H4259" i="27" s="1"/>
  <c r="H4260" i="27" s="1"/>
  <c r="H4261" i="27" s="1"/>
  <c r="H4262" i="27" s="1"/>
  <c r="H4263" i="27" s="1"/>
  <c r="H4264" i="27" s="1"/>
  <c r="H4265" i="27" s="1"/>
  <c r="H4266" i="27" s="1"/>
  <c r="H4267" i="27" s="1"/>
  <c r="H4268" i="27" s="1"/>
  <c r="H4269" i="27" s="1"/>
  <c r="H4270" i="27" s="1"/>
  <c r="H4271" i="27" s="1"/>
  <c r="H4272" i="27" s="1"/>
  <c r="H4273" i="27" s="1"/>
  <c r="H4274" i="27" s="1"/>
  <c r="H4275" i="27" s="1"/>
  <c r="H4276" i="27" s="1"/>
  <c r="H4277" i="27" s="1"/>
  <c r="H4278" i="27" s="1"/>
  <c r="H4279" i="27" s="1"/>
  <c r="H4280" i="27" s="1"/>
  <c r="H4281" i="27" s="1"/>
  <c r="H4282" i="27" s="1"/>
  <c r="H4283" i="27" s="1"/>
  <c r="H4284" i="27" s="1"/>
  <c r="H4285" i="27" s="1"/>
  <c r="H4286" i="27" s="1"/>
  <c r="H4287" i="27" s="1"/>
  <c r="H4288" i="27" s="1"/>
  <c r="H4289" i="27" s="1"/>
  <c r="H4290" i="27" s="1"/>
  <c r="H4291" i="27" s="1"/>
  <c r="H4292" i="27" s="1"/>
  <c r="H4293" i="27" s="1"/>
  <c r="H4294" i="27" s="1"/>
  <c r="H4295" i="27" s="1"/>
  <c r="H4296" i="27" s="1"/>
  <c r="H4297" i="27" s="1"/>
  <c r="H4298" i="27" s="1"/>
  <c r="H4299" i="27" s="1"/>
  <c r="H4300" i="27" s="1"/>
  <c r="H4301" i="27" s="1"/>
  <c r="H4302" i="27" s="1"/>
  <c r="H4303" i="27" s="1"/>
  <c r="H4304" i="27" s="1"/>
  <c r="G697" i="32"/>
  <c r="G398" i="32"/>
  <c r="G86" i="32"/>
  <c r="A90" i="32"/>
  <c r="A701" i="32"/>
  <c r="F929" i="27"/>
  <c r="M4262" i="27"/>
  <c r="N4262" i="27"/>
  <c r="O929" i="27"/>
  <c r="O4262" i="27"/>
  <c r="P929" i="27"/>
  <c r="N929" i="27"/>
  <c r="A88" i="32"/>
  <c r="BD46" i="34"/>
  <c r="F4262" i="27"/>
  <c r="BC47" i="34"/>
  <c r="M929" i="27"/>
  <c r="R929" i="27"/>
  <c r="L929" i="27"/>
  <c r="F5351" i="27" l="1"/>
  <c r="F4412" i="27"/>
  <c r="F4413" i="27"/>
  <c r="F4414" i="27" s="1"/>
  <c r="F4415" i="27" s="1"/>
  <c r="F4416" i="27" s="1"/>
  <c r="F4417" i="27" s="1"/>
  <c r="A4262" i="27"/>
  <c r="B4290" i="27"/>
  <c r="H2429" i="27"/>
  <c r="I2441" i="27"/>
  <c r="L2441" i="27"/>
  <c r="G2441" i="27"/>
  <c r="O2441" i="27"/>
  <c r="E2441" i="27"/>
  <c r="N2441" i="27"/>
  <c r="N2429" i="27"/>
  <c r="J2429" i="27"/>
  <c r="G2440" i="27"/>
  <c r="O2440" i="27"/>
  <c r="I2440" i="27"/>
  <c r="L2440" i="27"/>
  <c r="N2440" i="27"/>
  <c r="H1380" i="27"/>
  <c r="E1026" i="27"/>
  <c r="E1025" i="27"/>
  <c r="E1024" i="27"/>
  <c r="E1023" i="27"/>
  <c r="E1022" i="27"/>
  <c r="H743" i="27"/>
  <c r="H321" i="27"/>
  <c r="AS46" i="34"/>
  <c r="U92" i="32"/>
  <c r="U703" i="32"/>
  <c r="U404" i="32"/>
  <c r="AY48" i="34"/>
  <c r="A404" i="32"/>
  <c r="A703" i="32"/>
  <c r="A402" i="32"/>
  <c r="G26" i="32"/>
  <c r="F4263" i="27"/>
  <c r="G59" i="33"/>
  <c r="N4263" i="27"/>
  <c r="M4263" i="27"/>
  <c r="G400" i="32"/>
  <c r="BD47" i="34"/>
  <c r="BC48" i="34"/>
  <c r="G88" i="32"/>
  <c r="G699" i="32"/>
  <c r="G340" i="32"/>
  <c r="O4263" i="27"/>
  <c r="G629" i="32"/>
  <c r="F5352" i="27" l="1"/>
  <c r="F4419" i="27"/>
  <c r="F4420" i="27" s="1"/>
  <c r="F4421" i="27" s="1"/>
  <c r="F4422" i="27" s="1"/>
  <c r="F4423" i="27" s="1"/>
  <c r="F4418" i="27"/>
  <c r="A4263" i="27"/>
  <c r="B4291" i="27"/>
  <c r="E2429" i="27"/>
  <c r="H1381" i="27"/>
  <c r="H744" i="27"/>
  <c r="H322" i="27"/>
  <c r="H323" i="27"/>
  <c r="E199" i="24"/>
  <c r="AS47" i="34"/>
  <c r="U406" i="32"/>
  <c r="U705" i="32"/>
  <c r="U94" i="32"/>
  <c r="AY49" i="34"/>
  <c r="AX9" i="33"/>
  <c r="AW9" i="33"/>
  <c r="AY9" i="33"/>
  <c r="G402" i="32"/>
  <c r="A705" i="32"/>
  <c r="G90" i="32"/>
  <c r="G701" i="32"/>
  <c r="A92" i="32"/>
  <c r="BD48" i="34"/>
  <c r="N4264" i="27"/>
  <c r="BC49" i="34"/>
  <c r="O4264" i="27"/>
  <c r="F4264" i="27"/>
  <c r="D929" i="27"/>
  <c r="M4264" i="27"/>
  <c r="A406" i="32"/>
  <c r="F5353" i="27" l="1"/>
  <c r="F4425" i="27"/>
  <c r="F4426" i="27" s="1"/>
  <c r="F4427" i="27" s="1"/>
  <c r="F4428" i="27" s="1"/>
  <c r="F4429" i="27" s="1"/>
  <c r="F4424" i="27"/>
  <c r="A4264" i="27"/>
  <c r="B4292" i="27"/>
  <c r="H1382" i="27"/>
  <c r="H745" i="27"/>
  <c r="H324" i="27"/>
  <c r="AS48" i="34"/>
  <c r="U96" i="32"/>
  <c r="U707" i="32"/>
  <c r="U408" i="32"/>
  <c r="C843" i="27"/>
  <c r="AC2" i="27" s="1"/>
  <c r="AB2" i="27" s="1"/>
  <c r="AY50" i="34"/>
  <c r="B422" i="27"/>
  <c r="G703" i="32"/>
  <c r="F4265" i="27"/>
  <c r="A94" i="32"/>
  <c r="G404" i="32"/>
  <c r="BD50" i="34"/>
  <c r="O4265" i="27"/>
  <c r="BD49" i="34"/>
  <c r="A707" i="32"/>
  <c r="M4265" i="27"/>
  <c r="G92" i="32"/>
  <c r="A408" i="32"/>
  <c r="A96" i="32"/>
  <c r="N4265" i="27"/>
  <c r="I422" i="27" l="1"/>
  <c r="B423" i="27"/>
  <c r="F5355" i="27"/>
  <c r="F5354" i="27"/>
  <c r="F4430" i="27"/>
  <c r="F4431" i="27"/>
  <c r="F4432" i="27" s="1"/>
  <c r="F4433" i="27" s="1"/>
  <c r="F4434" i="27" s="1"/>
  <c r="F4435" i="27" s="1"/>
  <c r="A4265" i="27"/>
  <c r="B4293" i="27"/>
  <c r="H1383" i="27"/>
  <c r="H1384" i="27"/>
  <c r="H746" i="27"/>
  <c r="H325" i="27"/>
  <c r="B938" i="27"/>
  <c r="BB11" i="33"/>
  <c r="AS49" i="34"/>
  <c r="U410" i="32"/>
  <c r="U709" i="32"/>
  <c r="U98" i="32"/>
  <c r="C422" i="27"/>
  <c r="AY51" i="34"/>
  <c r="E58" i="27"/>
  <c r="A410" i="32"/>
  <c r="G705" i="32"/>
  <c r="BC51" i="34"/>
  <c r="M909" i="27"/>
  <c r="O422" i="27"/>
  <c r="AL33" i="30"/>
  <c r="G406" i="32"/>
  <c r="F4266" i="27"/>
  <c r="M4266" i="27"/>
  <c r="N4266" i="27"/>
  <c r="G94" i="32"/>
  <c r="BC50" i="34"/>
  <c r="O4266" i="27"/>
  <c r="B424" i="27" l="1"/>
  <c r="B425" i="27" s="1"/>
  <c r="B426" i="27" s="1"/>
  <c r="B427" i="27" s="1"/>
  <c r="B428" i="27" s="1"/>
  <c r="B429" i="27" s="1"/>
  <c r="B430" i="27" s="1"/>
  <c r="B431" i="27" s="1"/>
  <c r="B432" i="27" s="1"/>
  <c r="B433" i="27" s="1"/>
  <c r="B434" i="27" s="1"/>
  <c r="B435" i="27" s="1"/>
  <c r="B436" i="27" s="1"/>
  <c r="B437" i="27" s="1"/>
  <c r="B438" i="27" s="1"/>
  <c r="I423" i="27"/>
  <c r="F5356" i="27"/>
  <c r="F4437" i="27"/>
  <c r="F4438" i="27" s="1"/>
  <c r="F4439" i="27" s="1"/>
  <c r="F4440" i="27" s="1"/>
  <c r="F4441" i="27" s="1"/>
  <c r="F4436" i="27"/>
  <c r="A4266" i="27"/>
  <c r="B4294" i="27"/>
  <c r="H1385" i="27"/>
  <c r="B939" i="27"/>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532" i="27" s="1"/>
  <c r="B1533" i="27" s="1"/>
  <c r="B1534" i="27" s="1"/>
  <c r="B1535" i="27" s="1"/>
  <c r="B1536" i="27" s="1"/>
  <c r="B1537" i="27" s="1"/>
  <c r="B1538" i="27" s="1"/>
  <c r="B1539" i="27" s="1"/>
  <c r="B1540" i="27" s="1"/>
  <c r="B1541" i="27" s="1"/>
  <c r="B1542" i="27" s="1"/>
  <c r="B1543" i="27" s="1"/>
  <c r="B1544" i="27" s="1"/>
  <c r="B1545" i="27" s="1"/>
  <c r="B1546" i="27" s="1"/>
  <c r="B1547" i="27" s="1"/>
  <c r="B1548" i="27" s="1"/>
  <c r="B1549" i="27" s="1"/>
  <c r="B1550" i="27" s="1"/>
  <c r="B1551" i="27" s="1"/>
  <c r="B1552" i="27" s="1"/>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M939" i="27"/>
  <c r="H748" i="27"/>
  <c r="H747" i="27"/>
  <c r="H326" i="27"/>
  <c r="BB13" i="33"/>
  <c r="K58" i="27"/>
  <c r="M58" i="27"/>
  <c r="I58" i="27"/>
  <c r="J58" i="27"/>
  <c r="AS50" i="34"/>
  <c r="U412" i="32"/>
  <c r="U100" i="32"/>
  <c r="U711" i="32"/>
  <c r="O130" i="24"/>
  <c r="AY52" i="34"/>
  <c r="N58" i="27"/>
  <c r="L58" i="27"/>
  <c r="H58" i="27"/>
  <c r="L25" i="16"/>
  <c r="L24" i="16"/>
  <c r="E25" i="30"/>
  <c r="E31" i="31"/>
  <c r="R422" i="27"/>
  <c r="F4267" i="27"/>
  <c r="AL25" i="30"/>
  <c r="K1308" i="27"/>
  <c r="L1311" i="27"/>
  <c r="G1358" i="27"/>
  <c r="E19" i="30"/>
  <c r="O4267" i="27"/>
  <c r="G707" i="32"/>
  <c r="G96" i="32"/>
  <c r="K1307" i="27"/>
  <c r="AK11" i="33"/>
  <c r="E33" i="30"/>
  <c r="L1307" i="27"/>
  <c r="A709" i="32"/>
  <c r="J242" i="27"/>
  <c r="D422" i="27"/>
  <c r="M4267" i="27"/>
  <c r="F422" i="27"/>
  <c r="AE11" i="33"/>
  <c r="A711" i="32"/>
  <c r="J1309" i="27"/>
  <c r="L1306" i="27"/>
  <c r="AL27" i="30"/>
  <c r="K1311" i="27"/>
  <c r="BD51" i="34"/>
  <c r="AB11" i="33"/>
  <c r="P422" i="27"/>
  <c r="K1310" i="27"/>
  <c r="N4267" i="27"/>
  <c r="J1307" i="27"/>
  <c r="AL19" i="30"/>
  <c r="AH11" i="33"/>
  <c r="G422" i="27"/>
  <c r="Y11" i="33"/>
  <c r="A100" i="32"/>
  <c r="J1308" i="27"/>
  <c r="N422" i="27"/>
  <c r="A98" i="32"/>
  <c r="J422" i="27"/>
  <c r="L422" i="27"/>
  <c r="G408" i="32"/>
  <c r="M422" i="27" a="1"/>
  <c r="K1309" i="27"/>
  <c r="L1309" i="27"/>
  <c r="L1308" i="27"/>
  <c r="BC52" i="34"/>
  <c r="E422" i="27"/>
  <c r="AL35" i="30"/>
  <c r="J1311" i="27"/>
  <c r="M422" i="27" l="1"/>
  <c r="A422" i="27" s="1"/>
  <c r="B439" i="27"/>
  <c r="I438" i="27"/>
  <c r="I424" i="27"/>
  <c r="F5357" i="27"/>
  <c r="F4443" i="27"/>
  <c r="F4444" i="27" s="1"/>
  <c r="F4445" i="27" s="1"/>
  <c r="F4446" i="27" s="1"/>
  <c r="F4447" i="27" s="1"/>
  <c r="F4442" i="27"/>
  <c r="A4267" i="27"/>
  <c r="B4295" i="27"/>
  <c r="M1420" i="27"/>
  <c r="C1420" i="27" s="1"/>
  <c r="M1516" i="27"/>
  <c r="C1516" i="27" s="1"/>
  <c r="M1476" i="27"/>
  <c r="C1476" i="27" s="1"/>
  <c r="M1308" i="27"/>
  <c r="C1308" i="27" s="1"/>
  <c r="M1349" i="27"/>
  <c r="C1349" i="27" s="1"/>
  <c r="M1357" i="27"/>
  <c r="C1357" i="27" s="1"/>
  <c r="M1644" i="27"/>
  <c r="C1644" i="27" s="1"/>
  <c r="M1484" i="27"/>
  <c r="C1484" i="27" s="1"/>
  <c r="M1340" i="27"/>
  <c r="C1340" i="27" s="1"/>
  <c r="M1597" i="27"/>
  <c r="C1597" i="27" s="1"/>
  <c r="M1444" i="27"/>
  <c r="C1444" i="27" s="1"/>
  <c r="M1564" i="27"/>
  <c r="C1564" i="27" s="1"/>
  <c r="M1477" i="27"/>
  <c r="C1477" i="27" s="1"/>
  <c r="M1428" i="27"/>
  <c r="C1428" i="27" s="1"/>
  <c r="M1397" i="27"/>
  <c r="C1397" i="27" s="1"/>
  <c r="M1310" i="27"/>
  <c r="C1310" i="27" s="1"/>
  <c r="M1398" i="27"/>
  <c r="C1398" i="27" s="1"/>
  <c r="M1486" i="27"/>
  <c r="C1486" i="27" s="1"/>
  <c r="M1566" i="27"/>
  <c r="C1566" i="27" s="1"/>
  <c r="M1654" i="27"/>
  <c r="C1654" i="27" s="1"/>
  <c r="M1383" i="27"/>
  <c r="C1383" i="27" s="1"/>
  <c r="M1487" i="27"/>
  <c r="C1487" i="27" s="1"/>
  <c r="M1583" i="27"/>
  <c r="C1583" i="27" s="1"/>
  <c r="M1336" i="27"/>
  <c r="C1336" i="27" s="1"/>
  <c r="M1424" i="27"/>
  <c r="C1424" i="27" s="1"/>
  <c r="M1536" i="27"/>
  <c r="C1536" i="27" s="1"/>
  <c r="M1640" i="27"/>
  <c r="C1640" i="27" s="1"/>
  <c r="M1377" i="27"/>
  <c r="C1377" i="27" s="1"/>
  <c r="M1489" i="27"/>
  <c r="C1489" i="27" s="1"/>
  <c r="M1577" i="27"/>
  <c r="C1577" i="27" s="1"/>
  <c r="M1330" i="27"/>
  <c r="C1330" i="27" s="1"/>
  <c r="M1434" i="27"/>
  <c r="C1434" i="27" s="1"/>
  <c r="M1530" i="27"/>
  <c r="C1530" i="27" s="1"/>
  <c r="M1642" i="27"/>
  <c r="C1642" i="27" s="1"/>
  <c r="M1371" i="27"/>
  <c r="C1371" i="27" s="1"/>
  <c r="M1341" i="27"/>
  <c r="C1341" i="27" s="1"/>
  <c r="M1309" i="27"/>
  <c r="C1309" i="27" s="1"/>
  <c r="M1604" i="27"/>
  <c r="C1604" i="27" s="1"/>
  <c r="M1437" i="27"/>
  <c r="C1437" i="27" s="1"/>
  <c r="M1509" i="27"/>
  <c r="C1509" i="27" s="1"/>
  <c r="M1517" i="27"/>
  <c r="C1517" i="27" s="1"/>
  <c r="M1492" i="27"/>
  <c r="C1492" i="27" s="1"/>
  <c r="M1429" i="27"/>
  <c r="C1429" i="27" s="1"/>
  <c r="M1326" i="27"/>
  <c r="C1326" i="27" s="1"/>
  <c r="M1414" i="27"/>
  <c r="C1414" i="27" s="1"/>
  <c r="M1494" i="27"/>
  <c r="C1494" i="27" s="1"/>
  <c r="M1582" i="27"/>
  <c r="C1582" i="27" s="1"/>
  <c r="M1311" i="27"/>
  <c r="C1311" i="27" s="1"/>
  <c r="M1391" i="27"/>
  <c r="C1391" i="27" s="1"/>
  <c r="M1503" i="27"/>
  <c r="C1503" i="27" s="1"/>
  <c r="M1591" i="27"/>
  <c r="C1591" i="27" s="1"/>
  <c r="M1344" i="27"/>
  <c r="C1344" i="27" s="1"/>
  <c r="M1448" i="27"/>
  <c r="C1448" i="27" s="1"/>
  <c r="M1544" i="27"/>
  <c r="C1544" i="27" s="1"/>
  <c r="M1656" i="27"/>
  <c r="C1656" i="27" s="1"/>
  <c r="M1385" i="27"/>
  <c r="C1385" i="27" s="1"/>
  <c r="M1497" i="27"/>
  <c r="C1497" i="27" s="1"/>
  <c r="M1601" i="27"/>
  <c r="C1601" i="27" s="1"/>
  <c r="M1338" i="27"/>
  <c r="C1338" i="27" s="1"/>
  <c r="M1450" i="27"/>
  <c r="C1450" i="27" s="1"/>
  <c r="M1538" i="27"/>
  <c r="C1538" i="27" s="1"/>
  <c r="M1650" i="27"/>
  <c r="C1650" i="27" s="1"/>
  <c r="M1395" i="27"/>
  <c r="C1395" i="27" s="1"/>
  <c r="M1389" i="27"/>
  <c r="C1389" i="27" s="1"/>
  <c r="M1445" i="27"/>
  <c r="C1445" i="27" s="1"/>
  <c r="M1572" i="27"/>
  <c r="C1572" i="27" s="1"/>
  <c r="M1373" i="27"/>
  <c r="C1373" i="27" s="1"/>
  <c r="M1541" i="27"/>
  <c r="C1541" i="27" s="1"/>
  <c r="M1524" i="27"/>
  <c r="C1524" i="27" s="1"/>
  <c r="M1334" i="27"/>
  <c r="C1334" i="27" s="1"/>
  <c r="M1502" i="27"/>
  <c r="C1502" i="27" s="1"/>
  <c r="M1319" i="27"/>
  <c r="C1319" i="27" s="1"/>
  <c r="M1511" i="27"/>
  <c r="C1511" i="27" s="1"/>
  <c r="M1352" i="27"/>
  <c r="C1352" i="27" s="1"/>
  <c r="M1552" i="27"/>
  <c r="C1552" i="27" s="1"/>
  <c r="M1409" i="27"/>
  <c r="C1409" i="27" s="1"/>
  <c r="M1505" i="27"/>
  <c r="C1505" i="27" s="1"/>
  <c r="M1346" i="27"/>
  <c r="C1346" i="27" s="1"/>
  <c r="M1458" i="27"/>
  <c r="C1458" i="27" s="1"/>
  <c r="M1562" i="27"/>
  <c r="C1562" i="27" s="1"/>
  <c r="M1658" i="27"/>
  <c r="C1658" i="27" s="1"/>
  <c r="M1411" i="27"/>
  <c r="C1411" i="27" s="1"/>
  <c r="M1404" i="27"/>
  <c r="C1404" i="27" s="1"/>
  <c r="M1501" i="27"/>
  <c r="C1501" i="27" s="1"/>
  <c r="M1549" i="27"/>
  <c r="C1549" i="27" s="1"/>
  <c r="M1461" i="27"/>
  <c r="C1461" i="27" s="1"/>
  <c r="M1422" i="27"/>
  <c r="C1422" i="27" s="1"/>
  <c r="M1590" i="27"/>
  <c r="C1590" i="27" s="1"/>
  <c r="M1399" i="27"/>
  <c r="C1399" i="27" s="1"/>
  <c r="M1615" i="27"/>
  <c r="C1615" i="27" s="1"/>
  <c r="M1464" i="27"/>
  <c r="C1464" i="27" s="1"/>
  <c r="M1305" i="27"/>
  <c r="C1305" i="27" s="1"/>
  <c r="M1617" i="27"/>
  <c r="C1617" i="27" s="1"/>
  <c r="M1324" i="27"/>
  <c r="C1324" i="27" s="1"/>
  <c r="M1348" i="27"/>
  <c r="C1348" i="27" s="1"/>
  <c r="M1636" i="27"/>
  <c r="C1636" i="27" s="1"/>
  <c r="M1533" i="27"/>
  <c r="C1533" i="27" s="1"/>
  <c r="M1565" i="27"/>
  <c r="C1565" i="27" s="1"/>
  <c r="M1605" i="27"/>
  <c r="C1605" i="27" s="1"/>
  <c r="M1613" i="27"/>
  <c r="C1613" i="27" s="1"/>
  <c r="M1556" i="27"/>
  <c r="C1556" i="27" s="1"/>
  <c r="M1525" i="27"/>
  <c r="C1525" i="27" s="1"/>
  <c r="M1350" i="27"/>
  <c r="C1350" i="27" s="1"/>
  <c r="M1430" i="27"/>
  <c r="C1430" i="27" s="1"/>
  <c r="M1518" i="27"/>
  <c r="C1518" i="27" s="1"/>
  <c r="M1606" i="27"/>
  <c r="C1606" i="27" s="1"/>
  <c r="M1327" i="27"/>
  <c r="C1327" i="27" s="1"/>
  <c r="M1423" i="27"/>
  <c r="C1423" i="27" s="1"/>
  <c r="M1519" i="27"/>
  <c r="C1519" i="27" s="1"/>
  <c r="M1631" i="27"/>
  <c r="C1631" i="27" s="1"/>
  <c r="M1360" i="27"/>
  <c r="C1360" i="27" s="1"/>
  <c r="M1472" i="27"/>
  <c r="C1472" i="27" s="1"/>
  <c r="M1576" i="27"/>
  <c r="C1576" i="27" s="1"/>
  <c r="M1313" i="27"/>
  <c r="C1313" i="27" s="1"/>
  <c r="M1425" i="27"/>
  <c r="C1425" i="27" s="1"/>
  <c r="M1513" i="27"/>
  <c r="C1513" i="27" s="1"/>
  <c r="M1625" i="27"/>
  <c r="C1625" i="27" s="1"/>
  <c r="M1370" i="27"/>
  <c r="C1370" i="27" s="1"/>
  <c r="M1466" i="27"/>
  <c r="C1466" i="27" s="1"/>
  <c r="M1578" i="27"/>
  <c r="C1578" i="27" s="1"/>
  <c r="M1307" i="27"/>
  <c r="C1307" i="27" s="1"/>
  <c r="M1419" i="27"/>
  <c r="C1419" i="27" s="1"/>
  <c r="M1381" i="27"/>
  <c r="C1381" i="27" s="1"/>
  <c r="M1500" i="27"/>
  <c r="C1500" i="27" s="1"/>
  <c r="M1412" i="27"/>
  <c r="C1412" i="27" s="1"/>
  <c r="M1580" i="27"/>
  <c r="C1580" i="27" s="1"/>
  <c r="M1316" i="27"/>
  <c r="C1316" i="27" s="1"/>
  <c r="M1612" i="27"/>
  <c r="C1612" i="27" s="1"/>
  <c r="M1629" i="27"/>
  <c r="C1629" i="27" s="1"/>
  <c r="M1637" i="27"/>
  <c r="C1637" i="27" s="1"/>
  <c r="M1645" i="27"/>
  <c r="C1645" i="27" s="1"/>
  <c r="M1588" i="27"/>
  <c r="C1588" i="27" s="1"/>
  <c r="M1557" i="27"/>
  <c r="C1557" i="27" s="1"/>
  <c r="M1358" i="27"/>
  <c r="C1358" i="27" s="1"/>
  <c r="M1438" i="27"/>
  <c r="C1438" i="27" s="1"/>
  <c r="M1526" i="27"/>
  <c r="C1526" i="27" s="1"/>
  <c r="M1614" i="27"/>
  <c r="C1614" i="27" s="1"/>
  <c r="M1335" i="27"/>
  <c r="C1335" i="27" s="1"/>
  <c r="M1439" i="27"/>
  <c r="C1439" i="27" s="1"/>
  <c r="M1527" i="27"/>
  <c r="C1527" i="27" s="1"/>
  <c r="M1639" i="27"/>
  <c r="C1639" i="27" s="1"/>
  <c r="M1384" i="27"/>
  <c r="C1384" i="27" s="1"/>
  <c r="M1480" i="27"/>
  <c r="C1480" i="27" s="1"/>
  <c r="M1592" i="27"/>
  <c r="C1592" i="27" s="1"/>
  <c r="M1321" i="27"/>
  <c r="C1321" i="27" s="1"/>
  <c r="M1433" i="27"/>
  <c r="C1433" i="27" s="1"/>
  <c r="M1537" i="27"/>
  <c r="C1537" i="27" s="1"/>
  <c r="M1633" i="27"/>
  <c r="C1633" i="27" s="1"/>
  <c r="M1386" i="27"/>
  <c r="C1386" i="27" s="1"/>
  <c r="M1474" i="27"/>
  <c r="C1474" i="27" s="1"/>
  <c r="M1586" i="27"/>
  <c r="C1586" i="27" s="1"/>
  <c r="M1331" i="27"/>
  <c r="C1331" i="27" s="1"/>
  <c r="M1475" i="27"/>
  <c r="C1475" i="27" s="1"/>
  <c r="M1300" i="27"/>
  <c r="C1300" i="27" s="1"/>
  <c r="M1652" i="27"/>
  <c r="C1652" i="27" s="1"/>
  <c r="M1621" i="27"/>
  <c r="C1621" i="27" s="1"/>
  <c r="M1366" i="27"/>
  <c r="C1366" i="27" s="1"/>
  <c r="M1454" i="27"/>
  <c r="C1454" i="27" s="1"/>
  <c r="M1542" i="27"/>
  <c r="C1542" i="27" s="1"/>
  <c r="M1622" i="27"/>
  <c r="C1622" i="27" s="1"/>
  <c r="M1351" i="27"/>
  <c r="C1351" i="27" s="1"/>
  <c r="M1447" i="27"/>
  <c r="C1447" i="27" s="1"/>
  <c r="M1551" i="27"/>
  <c r="C1551" i="27" s="1"/>
  <c r="M1647" i="27"/>
  <c r="C1647" i="27" s="1"/>
  <c r="M1400" i="27"/>
  <c r="C1400" i="27" s="1"/>
  <c r="M1488" i="27"/>
  <c r="C1488" i="27" s="1"/>
  <c r="M1600" i="27"/>
  <c r="C1600" i="27" s="1"/>
  <c r="M1345" i="27"/>
  <c r="C1345" i="27" s="1"/>
  <c r="M1441" i="27"/>
  <c r="C1441" i="27" s="1"/>
  <c r="M1553" i="27"/>
  <c r="C1553" i="27" s="1"/>
  <c r="M1641" i="27"/>
  <c r="C1641" i="27" s="1"/>
  <c r="M1394" i="27"/>
  <c r="C1394" i="27" s="1"/>
  <c r="M1498" i="27"/>
  <c r="C1498" i="27" s="1"/>
  <c r="M1594" i="27"/>
  <c r="C1594" i="27" s="1"/>
  <c r="M1347" i="27"/>
  <c r="C1347" i="27" s="1"/>
  <c r="M1483" i="27"/>
  <c r="C1483" i="27" s="1"/>
  <c r="M1596" i="27"/>
  <c r="C1596" i="27" s="1"/>
  <c r="M1332" i="27"/>
  <c r="C1332" i="27" s="1"/>
  <c r="M1301" i="27"/>
  <c r="C1301" i="27" s="1"/>
  <c r="M1653" i="27"/>
  <c r="C1653" i="27" s="1"/>
  <c r="M1374" i="27"/>
  <c r="C1374" i="27" s="1"/>
  <c r="M1462" i="27"/>
  <c r="C1462" i="27" s="1"/>
  <c r="M1550" i="27"/>
  <c r="C1550" i="27" s="1"/>
  <c r="M1630" i="27"/>
  <c r="C1630" i="27" s="1"/>
  <c r="M1359" i="27"/>
  <c r="C1359" i="27" s="1"/>
  <c r="M1455" i="27"/>
  <c r="C1455" i="27" s="1"/>
  <c r="M1567" i="27"/>
  <c r="C1567" i="27" s="1"/>
  <c r="M1655" i="27"/>
  <c r="C1655" i="27" s="1"/>
  <c r="M1408" i="27"/>
  <c r="C1408" i="27" s="1"/>
  <c r="M1512" i="27"/>
  <c r="C1512" i="27" s="1"/>
  <c r="M1608" i="27"/>
  <c r="C1608" i="27" s="1"/>
  <c r="M1361" i="27"/>
  <c r="C1361" i="27" s="1"/>
  <c r="M1449" i="27"/>
  <c r="C1449" i="27" s="1"/>
  <c r="M1561" i="27"/>
  <c r="C1561" i="27" s="1"/>
  <c r="M1306" i="27"/>
  <c r="C1306" i="27" s="1"/>
  <c r="M1402" i="27"/>
  <c r="C1402" i="27" s="1"/>
  <c r="M1514" i="27"/>
  <c r="C1514" i="27" s="1"/>
  <c r="M1602" i="27"/>
  <c r="C1602" i="27" s="1"/>
  <c r="M1355" i="27"/>
  <c r="C1355" i="27" s="1"/>
  <c r="M1539" i="27"/>
  <c r="C1539" i="27" s="1"/>
  <c r="M1468" i="27"/>
  <c r="C1468" i="27" s="1"/>
  <c r="M1540" i="27"/>
  <c r="C1540" i="27" s="1"/>
  <c r="M1421" i="27"/>
  <c r="C1421" i="27" s="1"/>
  <c r="M1396" i="27"/>
  <c r="C1396" i="27" s="1"/>
  <c r="M1365" i="27"/>
  <c r="C1365" i="27" s="1"/>
  <c r="M1302" i="27"/>
  <c r="C1302" i="27" s="1"/>
  <c r="M1390" i="27"/>
  <c r="C1390" i="27" s="1"/>
  <c r="M1478" i="27"/>
  <c r="C1478" i="27" s="1"/>
  <c r="M1558" i="27"/>
  <c r="C1558" i="27" s="1"/>
  <c r="M1646" i="27"/>
  <c r="C1646" i="27" s="1"/>
  <c r="M1375" i="27"/>
  <c r="C1375" i="27" s="1"/>
  <c r="M1463" i="27"/>
  <c r="C1463" i="27" s="1"/>
  <c r="M1575" i="27"/>
  <c r="C1575" i="27" s="1"/>
  <c r="M1320" i="27"/>
  <c r="C1320" i="27" s="1"/>
  <c r="M1416" i="27"/>
  <c r="C1416" i="27" s="1"/>
  <c r="M1528" i="27"/>
  <c r="C1528" i="27" s="1"/>
  <c r="M1616" i="27"/>
  <c r="C1616" i="27" s="1"/>
  <c r="M1369" i="27"/>
  <c r="C1369" i="27" s="1"/>
  <c r="M1473" i="27"/>
  <c r="C1473" i="27" s="1"/>
  <c r="M1569" i="27"/>
  <c r="C1569" i="27" s="1"/>
  <c r="M1322" i="27"/>
  <c r="C1322" i="27" s="1"/>
  <c r="M1410" i="27"/>
  <c r="C1410" i="27" s="1"/>
  <c r="M1522" i="27"/>
  <c r="C1522" i="27" s="1"/>
  <c r="M1626" i="27"/>
  <c r="C1626" i="27" s="1"/>
  <c r="M1363" i="27"/>
  <c r="C1363" i="27" s="1"/>
  <c r="M1603" i="27"/>
  <c r="C1603" i="27" s="1"/>
  <c r="M1372" i="27"/>
  <c r="C1372" i="27" s="1"/>
  <c r="M1356" i="27"/>
  <c r="C1356" i="27" s="1"/>
  <c r="M1453" i="27"/>
  <c r="C1453" i="27" s="1"/>
  <c r="M1547" i="27"/>
  <c r="C1547" i="27" s="1"/>
  <c r="M1611" i="27"/>
  <c r="C1611" i="27" s="1"/>
  <c r="M1427" i="27"/>
  <c r="C1427" i="27" s="1"/>
  <c r="M1491" i="27"/>
  <c r="C1491" i="27" s="1"/>
  <c r="M1555" i="27"/>
  <c r="C1555" i="27" s="1"/>
  <c r="M1619" i="27"/>
  <c r="C1619" i="27" s="1"/>
  <c r="M1435" i="27"/>
  <c r="C1435" i="27" s="1"/>
  <c r="M1499" i="27"/>
  <c r="C1499" i="27" s="1"/>
  <c r="M1563" i="27"/>
  <c r="C1563" i="27" s="1"/>
  <c r="M1627" i="27"/>
  <c r="C1627" i="27" s="1"/>
  <c r="M1469" i="27"/>
  <c r="C1469" i="27" s="1"/>
  <c r="M1380" i="27"/>
  <c r="C1380" i="27" s="1"/>
  <c r="M1508" i="27"/>
  <c r="C1508" i="27" s="1"/>
  <c r="M1532" i="27"/>
  <c r="C1532" i="27" s="1"/>
  <c r="M1436" i="27"/>
  <c r="C1436" i="27" s="1"/>
  <c r="M1317" i="27"/>
  <c r="C1317" i="27" s="1"/>
  <c r="M1573" i="27"/>
  <c r="C1573" i="27" s="1"/>
  <c r="M1485" i="27"/>
  <c r="C1485" i="27" s="1"/>
  <c r="M1364" i="27"/>
  <c r="C1364" i="27" s="1"/>
  <c r="M1620" i="27"/>
  <c r="C1620" i="27" s="1"/>
  <c r="M1493" i="27"/>
  <c r="C1493" i="27" s="1"/>
  <c r="M1318" i="27"/>
  <c r="C1318" i="27" s="1"/>
  <c r="M1382" i="27"/>
  <c r="C1382" i="27" s="1"/>
  <c r="M1446" i="27"/>
  <c r="C1446" i="27" s="1"/>
  <c r="M1510" i="27"/>
  <c r="C1510" i="27" s="1"/>
  <c r="M1574" i="27"/>
  <c r="C1574" i="27" s="1"/>
  <c r="M1638" i="27"/>
  <c r="C1638" i="27" s="1"/>
  <c r="M1343" i="27"/>
  <c r="C1343" i="27" s="1"/>
  <c r="M1407" i="27"/>
  <c r="C1407" i="27" s="1"/>
  <c r="M1471" i="27"/>
  <c r="C1471" i="27" s="1"/>
  <c r="M1535" i="27"/>
  <c r="C1535" i="27" s="1"/>
  <c r="M1599" i="27"/>
  <c r="C1599" i="27" s="1"/>
  <c r="M1304" i="27"/>
  <c r="C1304" i="27" s="1"/>
  <c r="M1368" i="27"/>
  <c r="C1368" i="27" s="1"/>
  <c r="M1432" i="27"/>
  <c r="C1432" i="27" s="1"/>
  <c r="M1496" i="27"/>
  <c r="C1496" i="27" s="1"/>
  <c r="M1560" i="27"/>
  <c r="C1560" i="27" s="1"/>
  <c r="M1624" i="27"/>
  <c r="C1624" i="27" s="1"/>
  <c r="M1329" i="27"/>
  <c r="C1329" i="27" s="1"/>
  <c r="M1393" i="27"/>
  <c r="C1393" i="27" s="1"/>
  <c r="M1457" i="27"/>
  <c r="C1457" i="27" s="1"/>
  <c r="M1521" i="27"/>
  <c r="C1521" i="27" s="1"/>
  <c r="M1585" i="27"/>
  <c r="C1585" i="27" s="1"/>
  <c r="M1649" i="27"/>
  <c r="C1649" i="27" s="1"/>
  <c r="M1354" i="27"/>
  <c r="C1354" i="27" s="1"/>
  <c r="M1418" i="27"/>
  <c r="C1418" i="27" s="1"/>
  <c r="M1482" i="27"/>
  <c r="C1482" i="27" s="1"/>
  <c r="M1546" i="27"/>
  <c r="C1546" i="27" s="1"/>
  <c r="M1610" i="27"/>
  <c r="C1610" i="27" s="1"/>
  <c r="M1315" i="27"/>
  <c r="C1315" i="27" s="1"/>
  <c r="M1379" i="27"/>
  <c r="C1379" i="27" s="1"/>
  <c r="M1443" i="27"/>
  <c r="C1443" i="27" s="1"/>
  <c r="M1507" i="27"/>
  <c r="C1507" i="27" s="1"/>
  <c r="M1571" i="27"/>
  <c r="C1571" i="27" s="1"/>
  <c r="M1635" i="27"/>
  <c r="C1635" i="27" s="1"/>
  <c r="H1386" i="27"/>
  <c r="M1415" i="27"/>
  <c r="C1415" i="27" s="1"/>
  <c r="M1479" i="27"/>
  <c r="C1479" i="27" s="1"/>
  <c r="M1543" i="27"/>
  <c r="C1543" i="27" s="1"/>
  <c r="M1607" i="27"/>
  <c r="C1607" i="27" s="1"/>
  <c r="M1312" i="27"/>
  <c r="C1312" i="27" s="1"/>
  <c r="M1376" i="27"/>
  <c r="C1376" i="27" s="1"/>
  <c r="M1440" i="27"/>
  <c r="C1440" i="27" s="1"/>
  <c r="M1504" i="27"/>
  <c r="C1504" i="27" s="1"/>
  <c r="M1568" i="27"/>
  <c r="C1568" i="27" s="1"/>
  <c r="M1632" i="27"/>
  <c r="C1632" i="27" s="1"/>
  <c r="M1337" i="27"/>
  <c r="C1337" i="27" s="1"/>
  <c r="M1401" i="27"/>
  <c r="C1401" i="27" s="1"/>
  <c r="M1465" i="27"/>
  <c r="C1465" i="27" s="1"/>
  <c r="M1529" i="27"/>
  <c r="C1529" i="27" s="1"/>
  <c r="M1593" i="27"/>
  <c r="C1593" i="27" s="1"/>
  <c r="M1657" i="27"/>
  <c r="C1657" i="27" s="1"/>
  <c r="M1362" i="27"/>
  <c r="C1362" i="27" s="1"/>
  <c r="M1426" i="27"/>
  <c r="C1426" i="27" s="1"/>
  <c r="M1490" i="27"/>
  <c r="C1490" i="27" s="1"/>
  <c r="M1554" i="27"/>
  <c r="C1554" i="27" s="1"/>
  <c r="M1618" i="27"/>
  <c r="C1618" i="27" s="1"/>
  <c r="M1323" i="27"/>
  <c r="C1323" i="27" s="1"/>
  <c r="M1387" i="27"/>
  <c r="C1387" i="27" s="1"/>
  <c r="M1451" i="27"/>
  <c r="C1451" i="27" s="1"/>
  <c r="M1515" i="27"/>
  <c r="C1515" i="27" s="1"/>
  <c r="M1579" i="27"/>
  <c r="C1579" i="27" s="1"/>
  <c r="M1643" i="27"/>
  <c r="C1643" i="27" s="1"/>
  <c r="M1459" i="27"/>
  <c r="C1459" i="27" s="1"/>
  <c r="M1523" i="27"/>
  <c r="C1523" i="27" s="1"/>
  <c r="M1587" i="27"/>
  <c r="C1587" i="27" s="1"/>
  <c r="M1651" i="27"/>
  <c r="C1651" i="27" s="1"/>
  <c r="M1548" i="27"/>
  <c r="C1548" i="27" s="1"/>
  <c r="M1388" i="27"/>
  <c r="C1388" i="27" s="1"/>
  <c r="M1405" i="27"/>
  <c r="C1405" i="27" s="1"/>
  <c r="M1452" i="27"/>
  <c r="C1452" i="27" s="1"/>
  <c r="M1628" i="27"/>
  <c r="C1628" i="27" s="1"/>
  <c r="M1413" i="27"/>
  <c r="C1413" i="27" s="1"/>
  <c r="M1325" i="27"/>
  <c r="C1325" i="27" s="1"/>
  <c r="M1581" i="27"/>
  <c r="C1581" i="27" s="1"/>
  <c r="M1460" i="27"/>
  <c r="C1460" i="27" s="1"/>
  <c r="M1333" i="27"/>
  <c r="C1333" i="27" s="1"/>
  <c r="M1589" i="27"/>
  <c r="C1589" i="27" s="1"/>
  <c r="M1342" i="27"/>
  <c r="C1342" i="27" s="1"/>
  <c r="M1406" i="27"/>
  <c r="C1406" i="27" s="1"/>
  <c r="M1470" i="27"/>
  <c r="C1470" i="27" s="1"/>
  <c r="M1534" i="27"/>
  <c r="C1534" i="27" s="1"/>
  <c r="M1598" i="27"/>
  <c r="C1598" i="27" s="1"/>
  <c r="M1303" i="27"/>
  <c r="C1303" i="27" s="1"/>
  <c r="M1367" i="27"/>
  <c r="C1367" i="27" s="1"/>
  <c r="M1431" i="27"/>
  <c r="C1431" i="27" s="1"/>
  <c r="M1495" i="27"/>
  <c r="C1495" i="27" s="1"/>
  <c r="M1559" i="27"/>
  <c r="C1559" i="27" s="1"/>
  <c r="M1623" i="27"/>
  <c r="C1623" i="27" s="1"/>
  <c r="M1328" i="27"/>
  <c r="C1328" i="27" s="1"/>
  <c r="M1392" i="27"/>
  <c r="C1392" i="27" s="1"/>
  <c r="M1456" i="27"/>
  <c r="C1456" i="27" s="1"/>
  <c r="M1520" i="27"/>
  <c r="C1520" i="27" s="1"/>
  <c r="M1584" i="27"/>
  <c r="C1584" i="27" s="1"/>
  <c r="M1648" i="27"/>
  <c r="C1648" i="27" s="1"/>
  <c r="M1353" i="27"/>
  <c r="C1353" i="27" s="1"/>
  <c r="M1417" i="27"/>
  <c r="C1417" i="27" s="1"/>
  <c r="M1481" i="27"/>
  <c r="C1481" i="27" s="1"/>
  <c r="M1545" i="27"/>
  <c r="C1545" i="27" s="1"/>
  <c r="M1609" i="27"/>
  <c r="C1609" i="27" s="1"/>
  <c r="M1314" i="27"/>
  <c r="C1314" i="27" s="1"/>
  <c r="M1378" i="27"/>
  <c r="C1378" i="27" s="1"/>
  <c r="M1442" i="27"/>
  <c r="C1442" i="27" s="1"/>
  <c r="M1506" i="27"/>
  <c r="C1506" i="27" s="1"/>
  <c r="M1570" i="27"/>
  <c r="C1570" i="27" s="1"/>
  <c r="M1634" i="27"/>
  <c r="C1634" i="27" s="1"/>
  <c r="M1339" i="27"/>
  <c r="C1339" i="27" s="1"/>
  <c r="M1403" i="27"/>
  <c r="C1403" i="27" s="1"/>
  <c r="M1467" i="27"/>
  <c r="C1467" i="27" s="1"/>
  <c r="M1531" i="27"/>
  <c r="C1531" i="27" s="1"/>
  <c r="M1595" i="27"/>
  <c r="C1595" i="27" s="1"/>
  <c r="M1659" i="27"/>
  <c r="C1659" i="27" s="1"/>
  <c r="H749" i="27"/>
  <c r="H327" i="27"/>
  <c r="AG35" i="30"/>
  <c r="H78" i="24"/>
  <c r="H70" i="24"/>
  <c r="S151" i="24"/>
  <c r="Q151" i="24"/>
  <c r="O151" i="24"/>
  <c r="R151" i="24"/>
  <c r="BB15" i="33"/>
  <c r="H130" i="24"/>
  <c r="H64" i="24"/>
  <c r="A58" i="27"/>
  <c r="AS51" i="34"/>
  <c r="U713" i="32"/>
  <c r="U102" i="32"/>
  <c r="U414" i="32"/>
  <c r="AY53" i="34"/>
  <c r="I3" i="27"/>
  <c r="I4" i="27" s="1"/>
  <c r="I5" i="27" s="1"/>
  <c r="I6" i="27" s="1"/>
  <c r="I7" i="27" s="1"/>
  <c r="I8" i="27" s="1"/>
  <c r="I9" i="27" s="1"/>
  <c r="I10" i="27" s="1"/>
  <c r="I11" i="27" s="1"/>
  <c r="I12" i="27" s="1"/>
  <c r="I13" i="27" s="1"/>
  <c r="I14" i="27" s="1"/>
  <c r="I15" i="27" s="1"/>
  <c r="I16" i="27" s="1"/>
  <c r="I17" i="27" s="1"/>
  <c r="I18" i="27" s="1"/>
  <c r="I19" i="27" s="1"/>
  <c r="I20" i="27" s="1"/>
  <c r="I21" i="27" s="1"/>
  <c r="I22" i="27" s="1"/>
  <c r="I23" i="27" s="1"/>
  <c r="I24" i="27" s="1"/>
  <c r="I25" i="27" s="1"/>
  <c r="I26" i="27" s="1"/>
  <c r="I27" i="27" s="1"/>
  <c r="I28" i="27" s="1"/>
  <c r="I29" i="27" s="1"/>
  <c r="I30" i="27" s="1"/>
  <c r="I31" i="27" s="1"/>
  <c r="I32" i="27" s="1"/>
  <c r="I33" i="27" s="1"/>
  <c r="I34" i="27" s="1"/>
  <c r="J1306" i="27"/>
  <c r="G709" i="32"/>
  <c r="L1313" i="27"/>
  <c r="I1311" i="27"/>
  <c r="M748" i="27"/>
  <c r="I1310" i="27"/>
  <c r="L1315" i="27"/>
  <c r="L1312" i="27"/>
  <c r="J1315" i="27"/>
  <c r="O13" i="33"/>
  <c r="BD53" i="34"/>
  <c r="J748" i="27"/>
  <c r="A412" i="32"/>
  <c r="N242" i="27"/>
  <c r="AK13" i="33"/>
  <c r="A414" i="32"/>
  <c r="AB13" i="33"/>
  <c r="AE13" i="33"/>
  <c r="I748" i="27"/>
  <c r="G1359" i="27"/>
  <c r="G1374" i="27"/>
  <c r="K1314" i="27"/>
  <c r="K1317" i="27"/>
  <c r="Y13" i="33"/>
  <c r="J1313" i="27"/>
  <c r="J1316" i="27"/>
  <c r="E35" i="30"/>
  <c r="O14" i="33"/>
  <c r="M4268" i="27"/>
  <c r="I1309" i="27"/>
  <c r="K1316" i="27"/>
  <c r="N748" i="27"/>
  <c r="A102" i="32"/>
  <c r="O4268" i="27"/>
  <c r="AH13" i="33"/>
  <c r="M242" i="27"/>
  <c r="K1306" i="27"/>
  <c r="L1316" i="27"/>
  <c r="K1313" i="27"/>
  <c r="I242" i="27"/>
  <c r="G98" i="32"/>
  <c r="L1317" i="27"/>
  <c r="G410" i="32"/>
  <c r="BD52" i="34"/>
  <c r="N4268" i="27"/>
  <c r="J1317" i="27"/>
  <c r="F4268" i="27"/>
  <c r="K748" i="27"/>
  <c r="A713" i="32"/>
  <c r="K1315" i="27"/>
  <c r="I35" i="27" l="1"/>
  <c r="I425" i="27"/>
  <c r="B440" i="27"/>
  <c r="I439" i="27"/>
  <c r="A1311" i="27"/>
  <c r="A1309" i="27"/>
  <c r="F5358" i="27"/>
  <c r="F4449" i="27"/>
  <c r="F4450" i="27" s="1"/>
  <c r="F4451" i="27" s="1"/>
  <c r="F4452" i="27" s="1"/>
  <c r="F4453" i="27" s="1"/>
  <c r="F4448" i="27"/>
  <c r="A4268" i="27"/>
  <c r="B4296" i="27"/>
  <c r="H1387" i="27"/>
  <c r="A748" i="27"/>
  <c r="H750" i="27"/>
  <c r="H329" i="27"/>
  <c r="H328" i="27"/>
  <c r="H80" i="24"/>
  <c r="Q153" i="24"/>
  <c r="R153" i="24"/>
  <c r="O153" i="24"/>
  <c r="M151" i="24"/>
  <c r="S153" i="24"/>
  <c r="L151" i="24"/>
  <c r="P153" i="24"/>
  <c r="N151" i="24"/>
  <c r="BB17" i="33"/>
  <c r="AS52" i="34"/>
  <c r="U416" i="32"/>
  <c r="U104" i="32"/>
  <c r="U715" i="32"/>
  <c r="AY54" i="34"/>
  <c r="B3" i="27"/>
  <c r="M34" i="27" a="1"/>
  <c r="V15" i="33"/>
  <c r="O16" i="33"/>
  <c r="N749" i="27"/>
  <c r="E3" i="27"/>
  <c r="R34" i="27"/>
  <c r="AE15" i="33"/>
  <c r="A416" i="32"/>
  <c r="E27" i="30"/>
  <c r="J1321" i="27"/>
  <c r="Q453" i="27"/>
  <c r="I1308" i="27"/>
  <c r="H453" i="27"/>
  <c r="P34" i="27"/>
  <c r="J1323" i="27"/>
  <c r="F34" i="27"/>
  <c r="I1316" i="27"/>
  <c r="H34" i="27"/>
  <c r="Y15" i="33"/>
  <c r="J1320" i="27"/>
  <c r="AB15" i="33"/>
  <c r="J749" i="27"/>
  <c r="L3" i="27"/>
  <c r="H422" i="27"/>
  <c r="A104" i="32"/>
  <c r="G1375" i="27"/>
  <c r="F4269" i="27"/>
  <c r="J1319" i="27"/>
  <c r="J1322" i="27"/>
  <c r="L34" i="27"/>
  <c r="D34" i="27"/>
  <c r="K34" i="27"/>
  <c r="G3" i="27"/>
  <c r="Q3" i="27"/>
  <c r="I1317" i="27"/>
  <c r="H3" i="27"/>
  <c r="K1320" i="27"/>
  <c r="L1319" i="27"/>
  <c r="L1322" i="27"/>
  <c r="Q422" i="27"/>
  <c r="D3" i="27"/>
  <c r="G1360" i="27"/>
  <c r="I749" i="27"/>
  <c r="O3" i="27"/>
  <c r="K1319" i="27"/>
  <c r="I1306" i="27"/>
  <c r="M3" i="27" a="1"/>
  <c r="K749" i="27"/>
  <c r="R3" i="27"/>
  <c r="L1321" i="27"/>
  <c r="E34" i="27"/>
  <c r="K3" i="27"/>
  <c r="S15" i="33"/>
  <c r="O4269" i="27"/>
  <c r="X9" i="30"/>
  <c r="AH15" i="33"/>
  <c r="AK15" i="33"/>
  <c r="G711" i="32"/>
  <c r="G34" i="27"/>
  <c r="G939" i="27"/>
  <c r="G100" i="32"/>
  <c r="J34" i="27"/>
  <c r="L1318" i="27"/>
  <c r="P3" i="27"/>
  <c r="F3" i="27"/>
  <c r="BC54" i="34"/>
  <c r="M749" i="27"/>
  <c r="K1322" i="27"/>
  <c r="K1321" i="27"/>
  <c r="Q34" i="27"/>
  <c r="K1323" i="27"/>
  <c r="L1323" i="27"/>
  <c r="I1307" i="27"/>
  <c r="L1320" i="27"/>
  <c r="BC53" i="34"/>
  <c r="J3" i="27"/>
  <c r="M4269" i="27"/>
  <c r="I1315" i="27"/>
  <c r="K1312" i="27"/>
  <c r="G412" i="32"/>
  <c r="N4269" i="27"/>
  <c r="J1312" i="27"/>
  <c r="M34" i="27" l="1"/>
  <c r="A34" i="27" s="1"/>
  <c r="M3" i="27"/>
  <c r="A3" i="27" s="1"/>
  <c r="B441" i="27"/>
  <c r="I440" i="27"/>
  <c r="C3" i="27"/>
  <c r="B4" i="27"/>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I426" i="27"/>
  <c r="I36" i="27"/>
  <c r="A1316" i="27"/>
  <c r="A1317" i="27"/>
  <c r="A1306" i="27"/>
  <c r="A1308" i="27"/>
  <c r="A1315" i="27"/>
  <c r="A1307" i="27"/>
  <c r="F5359" i="27"/>
  <c r="F4455" i="27"/>
  <c r="F4456" i="27" s="1"/>
  <c r="F4457" i="27" s="1"/>
  <c r="F4458" i="27" s="1"/>
  <c r="F4459" i="27" s="1"/>
  <c r="F4454" i="27"/>
  <c r="A4269" i="27"/>
  <c r="B4297" i="27"/>
  <c r="H1388" i="27"/>
  <c r="A749" i="27"/>
  <c r="H751" i="27"/>
  <c r="H330" i="27"/>
  <c r="O155" i="24"/>
  <c r="L153" i="24"/>
  <c r="R155" i="24"/>
  <c r="M153" i="24"/>
  <c r="P155" i="24"/>
  <c r="Q155" i="24"/>
  <c r="BB19" i="33"/>
  <c r="S54" i="24"/>
  <c r="H72" i="24"/>
  <c r="AS53" i="34"/>
  <c r="U106" i="32"/>
  <c r="U717" i="32"/>
  <c r="U418" i="32"/>
  <c r="AY55" i="34"/>
  <c r="K1327" i="27"/>
  <c r="A106" i="32"/>
  <c r="P15" i="33"/>
  <c r="BD54" i="34"/>
  <c r="L1329" i="27"/>
  <c r="K750" i="27"/>
  <c r="I750" i="27"/>
  <c r="J1328" i="27"/>
  <c r="K1329" i="27"/>
  <c r="J750" i="27"/>
  <c r="N750" i="27"/>
  <c r="Q35" i="27"/>
  <c r="L1328" i="27"/>
  <c r="M35" i="27" a="1"/>
  <c r="G35" i="27"/>
  <c r="F35" i="27"/>
  <c r="O4270" i="27"/>
  <c r="J329" i="27"/>
  <c r="I1312" i="27"/>
  <c r="P35" i="27"/>
  <c r="J1318" i="27"/>
  <c r="L1326" i="27"/>
  <c r="K242" i="27"/>
  <c r="J1327" i="27"/>
  <c r="G102" i="32"/>
  <c r="K1326" i="27"/>
  <c r="O18" i="33"/>
  <c r="AB17" i="33"/>
  <c r="AE17" i="33"/>
  <c r="BD55" i="34"/>
  <c r="G1361" i="27"/>
  <c r="A715" i="32"/>
  <c r="H35" i="27"/>
  <c r="J1329" i="27"/>
  <c r="F4270" i="27"/>
  <c r="E35" i="27"/>
  <c r="AH17" i="33"/>
  <c r="Y17" i="33"/>
  <c r="K1318" i="27"/>
  <c r="I1322" i="27"/>
  <c r="I1323" i="27"/>
  <c r="G414" i="32"/>
  <c r="M329" i="27"/>
  <c r="M750" i="27"/>
  <c r="L1324" i="27"/>
  <c r="J1326" i="27"/>
  <c r="G1376" i="27"/>
  <c r="G713" i="32"/>
  <c r="AK17" i="33"/>
  <c r="K1328" i="27"/>
  <c r="R35" i="27"/>
  <c r="I1313" i="27"/>
  <c r="I329" i="27"/>
  <c r="N4270" i="27"/>
  <c r="H454" i="27"/>
  <c r="N329" i="27"/>
  <c r="L1327" i="27"/>
  <c r="O17" i="33"/>
  <c r="G909" i="27"/>
  <c r="J35" i="27"/>
  <c r="I1321" i="27"/>
  <c r="L35" i="27"/>
  <c r="K329" i="27"/>
  <c r="K35" i="27"/>
  <c r="D35" i="27"/>
  <c r="A418" i="32"/>
  <c r="Q454" i="27"/>
  <c r="K1325" i="27"/>
  <c r="M4270" i="27"/>
  <c r="M35" i="27" l="1"/>
  <c r="A35" i="27" s="1"/>
  <c r="I37" i="27"/>
  <c r="B442" i="27"/>
  <c r="I441" i="27"/>
  <c r="I427" i="27"/>
  <c r="C34" i="27"/>
  <c r="B35" i="27"/>
  <c r="A1321" i="27"/>
  <c r="A1313" i="27"/>
  <c r="A1322" i="27"/>
  <c r="A242" i="27"/>
  <c r="T242" i="27" s="1"/>
  <c r="A1312" i="27"/>
  <c r="A1323" i="27"/>
  <c r="F5360" i="27"/>
  <c r="F5361" i="27"/>
  <c r="F4460" i="27"/>
  <c r="F4461" i="27"/>
  <c r="F4462" i="27" s="1"/>
  <c r="F4463" i="27" s="1"/>
  <c r="F4464" i="27" s="1"/>
  <c r="F4465" i="27" s="1"/>
  <c r="A4270" i="27"/>
  <c r="B4298" i="27"/>
  <c r="H1389" i="27"/>
  <c r="H1390" i="27"/>
  <c r="A750" i="27"/>
  <c r="H752" i="27"/>
  <c r="A329" i="27"/>
  <c r="T329" i="27" s="1"/>
  <c r="H331" i="27"/>
  <c r="R157" i="24"/>
  <c r="L155" i="24"/>
  <c r="P157" i="24"/>
  <c r="S157" i="24"/>
  <c r="O157" i="24"/>
  <c r="N155" i="24"/>
  <c r="Q157" i="24"/>
  <c r="M155" i="24"/>
  <c r="BB21" i="33"/>
  <c r="AS54" i="34"/>
  <c r="U420" i="32"/>
  <c r="U108" i="32"/>
  <c r="U719" i="32"/>
  <c r="AY56" i="34"/>
  <c r="N222" i="24"/>
  <c r="F293" i="24"/>
  <c r="F285" i="24"/>
  <c r="F277" i="24"/>
  <c r="F269" i="24"/>
  <c r="F253" i="24"/>
  <c r="F245" i="24"/>
  <c r="F237" i="24"/>
  <c r="F229" i="24"/>
  <c r="F221" i="24"/>
  <c r="E293" i="24"/>
  <c r="E285" i="24"/>
  <c r="E277" i="24"/>
  <c r="E269" i="24"/>
  <c r="E253" i="24"/>
  <c r="E245" i="24"/>
  <c r="E237" i="24"/>
  <c r="E229" i="24"/>
  <c r="E221" i="24"/>
  <c r="D221" i="24"/>
  <c r="B293" i="24"/>
  <c r="B285" i="24"/>
  <c r="B277" i="24"/>
  <c r="B269" i="24"/>
  <c r="B261" i="24"/>
  <c r="B253" i="24"/>
  <c r="B237" i="24"/>
  <c r="B229" i="24"/>
  <c r="C229" i="24"/>
  <c r="B221" i="24"/>
  <c r="C237" i="24"/>
  <c r="C253" i="24"/>
  <c r="G253" i="24"/>
  <c r="C255" i="24"/>
  <c r="C257" i="24"/>
  <c r="C259" i="24"/>
  <c r="C261" i="24"/>
  <c r="C258" i="24"/>
  <c r="C262" i="24"/>
  <c r="C263" i="24"/>
  <c r="C285" i="24"/>
  <c r="C293" i="24"/>
  <c r="C256" i="24"/>
  <c r="C264" i="24"/>
  <c r="C265" i="24"/>
  <c r="C269" i="24"/>
  <c r="C254" i="24"/>
  <c r="C266" i="24"/>
  <c r="C277" i="24"/>
  <c r="C221" i="24"/>
  <c r="AU9" i="33"/>
  <c r="I1320" i="27"/>
  <c r="K1335" i="27"/>
  <c r="J1335" i="27"/>
  <c r="G104" i="32"/>
  <c r="M36" i="27" a="1"/>
  <c r="N4271" i="27"/>
  <c r="J36" i="27"/>
  <c r="K1332" i="27"/>
  <c r="H36" i="27"/>
  <c r="M330" i="27"/>
  <c r="K1331" i="27"/>
  <c r="K1324" i="27"/>
  <c r="A717" i="32"/>
  <c r="K36" i="27"/>
  <c r="L1333" i="27"/>
  <c r="J751" i="27"/>
  <c r="L36" i="27"/>
  <c r="K330" i="27"/>
  <c r="AE19" i="33"/>
  <c r="G715" i="32"/>
  <c r="AH19" i="33"/>
  <c r="K1333" i="27"/>
  <c r="J1331" i="27"/>
  <c r="BC55" i="34"/>
  <c r="J1332" i="27"/>
  <c r="K751" i="27"/>
  <c r="O4271" i="27"/>
  <c r="G1362" i="27"/>
  <c r="I1318" i="27"/>
  <c r="BC56" i="34"/>
  <c r="A108" i="32"/>
  <c r="H455" i="27"/>
  <c r="AK19" i="33"/>
  <c r="F36" i="27"/>
  <c r="N751" i="27"/>
  <c r="N330" i="27"/>
  <c r="I751" i="27"/>
  <c r="AB19" i="33"/>
  <c r="Y19" i="33"/>
  <c r="L1334" i="27"/>
  <c r="Q455" i="27"/>
  <c r="A719" i="32"/>
  <c r="I1319" i="27"/>
  <c r="J1334" i="27"/>
  <c r="R36" i="27"/>
  <c r="L1335" i="27"/>
  <c r="I1329" i="27"/>
  <c r="G416" i="32"/>
  <c r="V19" i="33"/>
  <c r="I1327" i="27"/>
  <c r="E36" i="27"/>
  <c r="K1334" i="27"/>
  <c r="Q36" i="27"/>
  <c r="A420" i="32"/>
  <c r="L1332" i="27"/>
  <c r="M751" i="27"/>
  <c r="G36" i="27"/>
  <c r="I330" i="27"/>
  <c r="I1328" i="27"/>
  <c r="J330" i="27"/>
  <c r="J1333" i="27"/>
  <c r="P36" i="27"/>
  <c r="F4271" i="27"/>
  <c r="D36" i="27"/>
  <c r="S19" i="33"/>
  <c r="L1331" i="27"/>
  <c r="G1377" i="27"/>
  <c r="L1330" i="27"/>
  <c r="M4271" i="27"/>
  <c r="O20" i="33"/>
  <c r="J1324" i="27"/>
  <c r="M36" i="27" l="1"/>
  <c r="A36" i="27" s="1"/>
  <c r="I38" i="27"/>
  <c r="B36" i="27"/>
  <c r="C35" i="27"/>
  <c r="I428" i="27"/>
  <c r="B443" i="27"/>
  <c r="I442" i="27"/>
  <c r="A1320" i="27"/>
  <c r="A1327" i="27"/>
  <c r="A1319" i="27"/>
  <c r="A1318" i="27"/>
  <c r="A1329" i="27"/>
  <c r="A1328" i="27"/>
  <c r="F5362" i="27"/>
  <c r="F4467" i="27"/>
  <c r="F4468" i="27" s="1"/>
  <c r="F4469" i="27" s="1"/>
  <c r="F4470" i="27" s="1"/>
  <c r="F4471" i="27" s="1"/>
  <c r="F4466" i="27"/>
  <c r="A4271" i="27"/>
  <c r="B4299" i="27"/>
  <c r="H1391" i="27"/>
  <c r="A751" i="27"/>
  <c r="H754" i="27"/>
  <c r="H753" i="27"/>
  <c r="A330" i="27"/>
  <c r="T330" i="27" s="1"/>
  <c r="H332" i="27"/>
  <c r="O159" i="24"/>
  <c r="N157" i="24"/>
  <c r="R159" i="24"/>
  <c r="L157" i="24"/>
  <c r="Q159" i="24"/>
  <c r="P159" i="24"/>
  <c r="S159" i="24"/>
  <c r="BB23" i="33"/>
  <c r="AS55" i="34"/>
  <c r="C621" i="32"/>
  <c r="C623" i="32"/>
  <c r="C647" i="32"/>
  <c r="C625" i="32"/>
  <c r="C649" i="32"/>
  <c r="C627" i="32"/>
  <c r="C651" i="32"/>
  <c r="C629" i="32"/>
  <c r="C653" i="32"/>
  <c r="C631" i="32"/>
  <c r="C655" i="32"/>
  <c r="C633" i="32"/>
  <c r="C657" i="32"/>
  <c r="C635" i="32"/>
  <c r="C659" i="32"/>
  <c r="C637" i="32"/>
  <c r="C639" i="32"/>
  <c r="C641" i="32"/>
  <c r="C643" i="32"/>
  <c r="C645" i="32"/>
  <c r="U721" i="32"/>
  <c r="U110" i="32"/>
  <c r="U422" i="32"/>
  <c r="C267" i="24"/>
  <c r="AY57" i="34"/>
  <c r="AS9" i="33"/>
  <c r="I1326" i="27"/>
  <c r="D37" i="27"/>
  <c r="E37" i="27"/>
  <c r="J1339" i="27"/>
  <c r="K331" i="27"/>
  <c r="P19" i="33"/>
  <c r="M331" i="27"/>
  <c r="L1341" i="27"/>
  <c r="L1337" i="27"/>
  <c r="K1330" i="27"/>
  <c r="F4272" i="27"/>
  <c r="G1363" i="27"/>
  <c r="AE21" i="33"/>
  <c r="M37" i="27" a="1"/>
  <c r="G37" i="27"/>
  <c r="G106" i="32"/>
  <c r="K37" i="27"/>
  <c r="AB21" i="33"/>
  <c r="L1339" i="27"/>
  <c r="J1341" i="27"/>
  <c r="L1340" i="27"/>
  <c r="A422" i="32"/>
  <c r="AK21" i="33"/>
  <c r="I1335" i="27"/>
  <c r="J1340" i="27"/>
  <c r="AH21" i="33"/>
  <c r="J1330" i="27"/>
  <c r="Q37" i="27"/>
  <c r="P37" i="27"/>
  <c r="H37" i="27"/>
  <c r="BC57" i="34"/>
  <c r="L1336" i="27"/>
  <c r="Q456" i="27"/>
  <c r="G1378" i="27"/>
  <c r="I1333" i="27"/>
  <c r="L1338" i="27"/>
  <c r="K1341" i="27"/>
  <c r="Y21" i="33"/>
  <c r="I331" i="27"/>
  <c r="K1338" i="27"/>
  <c r="I1334" i="27"/>
  <c r="A110" i="32"/>
  <c r="I1324" i="27"/>
  <c r="J1338" i="27"/>
  <c r="A721" i="32"/>
  <c r="M4272" i="27"/>
  <c r="H456" i="27"/>
  <c r="F37" i="27"/>
  <c r="J1337" i="27"/>
  <c r="O4272" i="27"/>
  <c r="R37" i="27"/>
  <c r="L37" i="27"/>
  <c r="K1339" i="27"/>
  <c r="BD56" i="34"/>
  <c r="K1337" i="27"/>
  <c r="J37" i="27"/>
  <c r="G418" i="32"/>
  <c r="N4272" i="27"/>
  <c r="J331" i="27"/>
  <c r="K1340" i="27"/>
  <c r="N331" i="27"/>
  <c r="G717" i="32"/>
  <c r="M37" i="27" l="1"/>
  <c r="A37" i="27" s="1"/>
  <c r="I39" i="27"/>
  <c r="B444" i="27"/>
  <c r="I443" i="27"/>
  <c r="C36" i="27"/>
  <c r="B37" i="27"/>
  <c r="I429" i="27"/>
  <c r="A1333" i="27"/>
  <c r="A1324" i="27"/>
  <c r="A1335" i="27"/>
  <c r="A1326" i="27"/>
  <c r="A1334" i="27"/>
  <c r="F5363" i="27"/>
  <c r="F4472" i="27"/>
  <c r="F4473" i="27"/>
  <c r="F4474" i="27" s="1"/>
  <c r="F4475" i="27" s="1"/>
  <c r="F4476" i="27" s="1"/>
  <c r="F4477" i="27" s="1"/>
  <c r="K2503" i="27"/>
  <c r="K3703" i="27"/>
  <c r="K2501" i="27"/>
  <c r="K3701" i="27"/>
  <c r="K2502" i="27"/>
  <c r="K3702" i="27"/>
  <c r="K2500" i="27"/>
  <c r="K3700" i="27"/>
  <c r="A4272" i="27"/>
  <c r="B4300" i="27"/>
  <c r="H1392" i="27"/>
  <c r="H755" i="27"/>
  <c r="A331" i="27"/>
  <c r="T331" i="27" s="1"/>
  <c r="H333" i="27"/>
  <c r="S161" i="24"/>
  <c r="Q161" i="24"/>
  <c r="O161" i="24"/>
  <c r="L159" i="24"/>
  <c r="M159" i="24"/>
  <c r="R161" i="24"/>
  <c r="P161" i="24"/>
  <c r="N159" i="24"/>
  <c r="BB25" i="33"/>
  <c r="W641" i="32"/>
  <c r="W649" i="32"/>
  <c r="W625" i="32"/>
  <c r="W655" i="32"/>
  <c r="W631" i="32"/>
  <c r="W653" i="32"/>
  <c r="W645" i="32"/>
  <c r="W629" i="32"/>
  <c r="W627" i="32"/>
  <c r="W637" i="32"/>
  <c r="W633" i="32"/>
  <c r="W643" i="32"/>
  <c r="W651" i="32"/>
  <c r="W639" i="32"/>
  <c r="W659" i="32"/>
  <c r="W647" i="32"/>
  <c r="W635" i="32"/>
  <c r="W623" i="32"/>
  <c r="W657" i="32"/>
  <c r="W621" i="32"/>
  <c r="AS56" i="34"/>
  <c r="U723" i="32"/>
  <c r="U424" i="32"/>
  <c r="U112" i="32"/>
  <c r="AY58" i="34"/>
  <c r="AT9" i="33"/>
  <c r="AQ9" i="33" a="1"/>
  <c r="AQ9" i="33" s="1"/>
  <c r="F79" i="16"/>
  <c r="A424" i="32"/>
  <c r="E38" i="27"/>
  <c r="L1342" i="27"/>
  <c r="J1345" i="27"/>
  <c r="M4273" i="27"/>
  <c r="A723" i="32"/>
  <c r="K1346" i="27"/>
  <c r="M332" i="27"/>
  <c r="G1364" i="27"/>
  <c r="I1332" i="27"/>
  <c r="V21" i="33"/>
  <c r="K754" i="27"/>
  <c r="N4273" i="27"/>
  <c r="I1331" i="27"/>
  <c r="J332" i="27"/>
  <c r="H457" i="27"/>
  <c r="Q457" i="27"/>
  <c r="J1347" i="27"/>
  <c r="F38" i="27"/>
  <c r="L38" i="27"/>
  <c r="K1345" i="27"/>
  <c r="K1347" i="27"/>
  <c r="J1344" i="27"/>
  <c r="L1347" i="27"/>
  <c r="O4273" i="27"/>
  <c r="F4273" i="27"/>
  <c r="AH23" i="33"/>
  <c r="J1343" i="27"/>
  <c r="J1346" i="27"/>
  <c r="D38" i="27"/>
  <c r="J1336" i="27"/>
  <c r="I1330" i="27"/>
  <c r="I1341" i="27"/>
  <c r="M38" i="27" a="1"/>
  <c r="G1379" i="27"/>
  <c r="I332" i="27"/>
  <c r="K38" i="27"/>
  <c r="K1344" i="27"/>
  <c r="BD57" i="34"/>
  <c r="L1345" i="27"/>
  <c r="Y23" i="33"/>
  <c r="G38" i="27"/>
  <c r="J754" i="27"/>
  <c r="I1340" i="27"/>
  <c r="N332" i="27"/>
  <c r="AK23" i="33"/>
  <c r="BC58" i="34"/>
  <c r="S21" i="33"/>
  <c r="L1344" i="27"/>
  <c r="I1339" i="27"/>
  <c r="K1336" i="27"/>
  <c r="Q38" i="27"/>
  <c r="G108" i="32"/>
  <c r="L1343" i="27"/>
  <c r="K1343" i="27"/>
  <c r="K332" i="27"/>
  <c r="P21" i="33"/>
  <c r="G420" i="32"/>
  <c r="N754" i="27"/>
  <c r="A112" i="32"/>
  <c r="R38" i="27"/>
  <c r="AE23" i="33"/>
  <c r="L1346" i="27"/>
  <c r="M754" i="27"/>
  <c r="G719" i="32"/>
  <c r="AB23" i="33"/>
  <c r="H38" i="27"/>
  <c r="I754" i="27"/>
  <c r="P38" i="27"/>
  <c r="J38" i="27"/>
  <c r="M38" i="27" l="1"/>
  <c r="A38" i="27" s="1"/>
  <c r="I430" i="27"/>
  <c r="B38" i="27"/>
  <c r="C37" i="27"/>
  <c r="I40" i="27"/>
  <c r="B445" i="27"/>
  <c r="I444" i="27"/>
  <c r="A1330" i="27"/>
  <c r="A1331" i="27"/>
  <c r="A1341" i="27"/>
  <c r="A1332" i="27"/>
  <c r="A1339" i="27"/>
  <c r="A1340" i="27"/>
  <c r="F5364" i="27"/>
  <c r="F4478" i="27"/>
  <c r="F4479" i="27"/>
  <c r="F4480" i="27" s="1"/>
  <c r="F4481" i="27" s="1"/>
  <c r="F4482" i="27" s="1"/>
  <c r="F4483" i="27" s="1"/>
  <c r="A4273" i="27"/>
  <c r="B4301" i="27"/>
  <c r="H1393" i="27"/>
  <c r="A754" i="27"/>
  <c r="H756" i="27"/>
  <c r="A332" i="27"/>
  <c r="T332" i="27" s="1"/>
  <c r="H334" i="27"/>
  <c r="H335" i="27"/>
  <c r="S163" i="24"/>
  <c r="Q163" i="24"/>
  <c r="L161" i="24"/>
  <c r="O163" i="24"/>
  <c r="M161" i="24"/>
  <c r="P163" i="24"/>
  <c r="R163" i="24"/>
  <c r="N161" i="24"/>
  <c r="BB27" i="33"/>
  <c r="K651" i="32"/>
  <c r="K641" i="32"/>
  <c r="K643" i="32"/>
  <c r="K657" i="32"/>
  <c r="K631" i="32"/>
  <c r="K647" i="32"/>
  <c r="K659" i="32"/>
  <c r="K625" i="32"/>
  <c r="K639" i="32"/>
  <c r="K649" i="32"/>
  <c r="K633" i="32"/>
  <c r="K637" i="32"/>
  <c r="K627" i="32"/>
  <c r="K629" i="32"/>
  <c r="K645" i="32"/>
  <c r="K653" i="32"/>
  <c r="K635" i="32"/>
  <c r="K623" i="32"/>
  <c r="K655" i="32"/>
  <c r="K621" i="32"/>
  <c r="AS57" i="34"/>
  <c r="U114" i="32"/>
  <c r="U426" i="32"/>
  <c r="U725" i="32"/>
  <c r="AY59" i="34"/>
  <c r="J9" i="33"/>
  <c r="G149" i="24" s="1"/>
  <c r="I1338" i="27"/>
  <c r="F4274" i="27"/>
  <c r="J1349" i="27"/>
  <c r="J1350" i="27"/>
  <c r="Y25" i="33"/>
  <c r="H39" i="27"/>
  <c r="N755" i="27"/>
  <c r="N4274" i="27"/>
  <c r="I1336" i="27"/>
  <c r="M39" i="27" a="1"/>
  <c r="L1349" i="27"/>
  <c r="E39" i="27"/>
  <c r="K39" i="27"/>
  <c r="AB25" i="33"/>
  <c r="I1337" i="27"/>
  <c r="L1348" i="27"/>
  <c r="Q458" i="27"/>
  <c r="H458" i="27"/>
  <c r="M755" i="27"/>
  <c r="AH25" i="33"/>
  <c r="K755" i="27"/>
  <c r="A426" i="32"/>
  <c r="L1353" i="27"/>
  <c r="AK25" i="33"/>
  <c r="K1350" i="27"/>
  <c r="M4274" i="27"/>
  <c r="J755" i="27"/>
  <c r="R39" i="27"/>
  <c r="J1352" i="27"/>
  <c r="O4274" i="27"/>
  <c r="J39" i="27"/>
  <c r="L39" i="27"/>
  <c r="I1347" i="27"/>
  <c r="AE25" i="33"/>
  <c r="K1352" i="27"/>
  <c r="G1380" i="27"/>
  <c r="J1351" i="27"/>
  <c r="BD59" i="34"/>
  <c r="G1365" i="27"/>
  <c r="G422" i="32"/>
  <c r="P39" i="27"/>
  <c r="F39" i="27"/>
  <c r="K1351" i="27"/>
  <c r="I1345" i="27"/>
  <c r="I1346" i="27"/>
  <c r="K1342" i="27"/>
  <c r="G39" i="27"/>
  <c r="J1353" i="27"/>
  <c r="D39" i="27"/>
  <c r="BD58" i="34"/>
  <c r="J1342" i="27"/>
  <c r="L1350" i="27"/>
  <c r="L1352" i="27"/>
  <c r="K1353" i="27"/>
  <c r="G721" i="32"/>
  <c r="I755" i="27"/>
  <c r="Q39" i="27"/>
  <c r="K1349" i="27"/>
  <c r="L1351" i="27"/>
  <c r="G110" i="32"/>
  <c r="M39" i="27" l="1"/>
  <c r="A39" i="27" s="1"/>
  <c r="B446" i="27"/>
  <c r="I445" i="27"/>
  <c r="B39" i="27"/>
  <c r="C38" i="27"/>
  <c r="I41" i="27"/>
  <c r="I431" i="27"/>
  <c r="A1346" i="27"/>
  <c r="A1338" i="27"/>
  <c r="A1347" i="27"/>
  <c r="A1336" i="27"/>
  <c r="A1345" i="27"/>
  <c r="A1337" i="27"/>
  <c r="F5365" i="27"/>
  <c r="F4485" i="27"/>
  <c r="F4486" i="27" s="1"/>
  <c r="F4487" i="27" s="1"/>
  <c r="F4488" i="27" s="1"/>
  <c r="F4489" i="27" s="1"/>
  <c r="F4484" i="27"/>
  <c r="A4274" i="27"/>
  <c r="B4302" i="27"/>
  <c r="H1394" i="27"/>
  <c r="A755" i="27"/>
  <c r="H757" i="27"/>
  <c r="H336" i="27"/>
  <c r="N163" i="24"/>
  <c r="P165" i="24"/>
  <c r="Q165" i="24"/>
  <c r="R165" i="24"/>
  <c r="S165" i="24"/>
  <c r="M163" i="24"/>
  <c r="L163" i="24"/>
  <c r="O165" i="24"/>
  <c r="BB29" i="33"/>
  <c r="AS58" i="34"/>
  <c r="U116" i="32"/>
  <c r="U727" i="32"/>
  <c r="U428" i="32"/>
  <c r="C270" i="24"/>
  <c r="AY60" i="34"/>
  <c r="F213" i="16"/>
  <c r="I213" i="16" s="1"/>
  <c r="I335" i="27"/>
  <c r="K1348" i="27"/>
  <c r="I1351" i="27"/>
  <c r="I756" i="27"/>
  <c r="L40" i="27"/>
  <c r="G424" i="32"/>
  <c r="K40" i="27"/>
  <c r="N335" i="27"/>
  <c r="L1357" i="27"/>
  <c r="K1356" i="27"/>
  <c r="J1357" i="27"/>
  <c r="J1356" i="27"/>
  <c r="G112" i="32"/>
  <c r="I1344" i="27"/>
  <c r="G1366" i="27"/>
  <c r="I1352" i="27"/>
  <c r="A727" i="32"/>
  <c r="A114" i="32"/>
  <c r="M756" i="27"/>
  <c r="L1359" i="27"/>
  <c r="V25" i="33"/>
  <c r="N756" i="27"/>
  <c r="G40" i="27"/>
  <c r="O4275" i="27"/>
  <c r="G1381" i="27"/>
  <c r="BC59" i="34"/>
  <c r="L1356" i="27"/>
  <c r="E40" i="27"/>
  <c r="M40" i="27" a="1"/>
  <c r="AB27" i="33"/>
  <c r="A725" i="32"/>
  <c r="V27" i="33"/>
  <c r="F40" i="27"/>
  <c r="I1342" i="27"/>
  <c r="Q40" i="27"/>
  <c r="S25" i="33"/>
  <c r="BD60" i="34"/>
  <c r="J1355" i="27"/>
  <c r="S27" i="33"/>
  <c r="P40" i="27"/>
  <c r="M4275" i="27"/>
  <c r="Q459" i="27"/>
  <c r="H40" i="27"/>
  <c r="AH27" i="33"/>
  <c r="L1358" i="27"/>
  <c r="A428" i="32"/>
  <c r="F4275" i="27"/>
  <c r="K1358" i="27"/>
  <c r="J756" i="27"/>
  <c r="I1353" i="27"/>
  <c r="A116" i="32"/>
  <c r="P25" i="33"/>
  <c r="O28" i="33"/>
  <c r="I1343" i="27"/>
  <c r="K1359" i="27"/>
  <c r="J335" i="27"/>
  <c r="D40" i="27"/>
  <c r="AE27" i="33"/>
  <c r="N4275" i="27"/>
  <c r="J1348" i="27"/>
  <c r="K335" i="27"/>
  <c r="J1358" i="27"/>
  <c r="K756" i="27"/>
  <c r="J40" i="27"/>
  <c r="AK27" i="33"/>
  <c r="L1354" i="27"/>
  <c r="R40" i="27"/>
  <c r="K1357" i="27"/>
  <c r="Y27" i="33"/>
  <c r="H459" i="27"/>
  <c r="K1355" i="27"/>
  <c r="L1355" i="27"/>
  <c r="M335" i="27"/>
  <c r="J1359" i="27"/>
  <c r="G723" i="32"/>
  <c r="M40" i="27" l="1"/>
  <c r="A40" i="27" s="1"/>
  <c r="I42" i="27"/>
  <c r="B447" i="27"/>
  <c r="I446" i="27"/>
  <c r="C39" i="27"/>
  <c r="B40" i="27"/>
  <c r="I432" i="27"/>
  <c r="A1351" i="27"/>
  <c r="A1352" i="27"/>
  <c r="A1344" i="27"/>
  <c r="A1342" i="27"/>
  <c r="A1343" i="27"/>
  <c r="A1353" i="27"/>
  <c r="F5366" i="27"/>
  <c r="F5367" i="27"/>
  <c r="F4491" i="27"/>
  <c r="F4492" i="27" s="1"/>
  <c r="F4493" i="27" s="1"/>
  <c r="F4494" i="27" s="1"/>
  <c r="F4495" i="27" s="1"/>
  <c r="F4490" i="27"/>
  <c r="A4275" i="27"/>
  <c r="B4303" i="27"/>
  <c r="H1396" i="27"/>
  <c r="H1395" i="27"/>
  <c r="A756" i="27"/>
  <c r="H758" i="27"/>
  <c r="A335" i="27"/>
  <c r="T335" i="27" s="1"/>
  <c r="H337" i="27"/>
  <c r="R167" i="24"/>
  <c r="Q167" i="24"/>
  <c r="O167" i="24"/>
  <c r="L165" i="24"/>
  <c r="N165" i="24"/>
  <c r="S167" i="24"/>
  <c r="P167" i="24"/>
  <c r="M165" i="24"/>
  <c r="BB31" i="33"/>
  <c r="AS59" i="34"/>
  <c r="U118" i="32"/>
  <c r="U430" i="32"/>
  <c r="U729" i="32"/>
  <c r="C271" i="24"/>
  <c r="AY61" i="34"/>
  <c r="F41" i="27"/>
  <c r="D41" i="27"/>
  <c r="L1360" i="27"/>
  <c r="N336" i="27"/>
  <c r="J1354" i="27"/>
  <c r="BC60" i="34"/>
  <c r="Y29" i="33"/>
  <c r="J1361" i="27"/>
  <c r="Q460" i="27"/>
  <c r="J1363" i="27"/>
  <c r="R41" i="27"/>
  <c r="K757" i="27"/>
  <c r="I757" i="27"/>
  <c r="J41" i="27"/>
  <c r="G114" i="32"/>
  <c r="AH29" i="33"/>
  <c r="K1365" i="27"/>
  <c r="K1354" i="27"/>
  <c r="L1364" i="27"/>
  <c r="I1349" i="27"/>
  <c r="AK29" i="33"/>
  <c r="J1364" i="27"/>
  <c r="M4276" i="27"/>
  <c r="H41" i="27"/>
  <c r="G725" i="32"/>
  <c r="F4276" i="27"/>
  <c r="K1362" i="27"/>
  <c r="K1361" i="27"/>
  <c r="I1358" i="27"/>
  <c r="J336" i="27"/>
  <c r="G1367" i="27"/>
  <c r="M41" i="27" a="1"/>
  <c r="K1364" i="27"/>
  <c r="L1362" i="27"/>
  <c r="M757" i="27"/>
  <c r="I1357" i="27"/>
  <c r="G1382" i="27"/>
  <c r="J1365" i="27"/>
  <c r="Q41" i="27"/>
  <c r="P27" i="33"/>
  <c r="K1363" i="27"/>
  <c r="J1362" i="27"/>
  <c r="N757" i="27"/>
  <c r="A430" i="32"/>
  <c r="I1350" i="27"/>
  <c r="E41" i="27"/>
  <c r="O4276" i="27"/>
  <c r="A729" i="32"/>
  <c r="K41" i="27"/>
  <c r="AE29" i="33"/>
  <c r="L1363" i="27"/>
  <c r="BC61" i="34"/>
  <c r="H460" i="27"/>
  <c r="L41" i="27"/>
  <c r="I1359" i="27"/>
  <c r="L1361" i="27"/>
  <c r="G41" i="27"/>
  <c r="N4276" i="27"/>
  <c r="M336" i="27"/>
  <c r="L1365" i="27"/>
  <c r="I1348" i="27"/>
  <c r="G426" i="32"/>
  <c r="J757" i="27"/>
  <c r="I336" i="27"/>
  <c r="P41" i="27"/>
  <c r="K336" i="27"/>
  <c r="BD61" i="34"/>
  <c r="AB29" i="33"/>
  <c r="A118" i="32"/>
  <c r="M41" i="27" l="1"/>
  <c r="A41" i="27" s="1"/>
  <c r="I43" i="27"/>
  <c r="C40" i="27"/>
  <c r="B41" i="27"/>
  <c r="I433" i="27"/>
  <c r="B448" i="27"/>
  <c r="I447" i="27"/>
  <c r="A1359" i="27"/>
  <c r="A1348" i="27"/>
  <c r="A1357" i="27"/>
  <c r="A1349" i="27"/>
  <c r="A1350" i="27"/>
  <c r="A1358" i="27"/>
  <c r="F5368" i="27"/>
  <c r="F4497" i="27"/>
  <c r="F4498" i="27" s="1"/>
  <c r="F4499" i="27" s="1"/>
  <c r="F4500" i="27" s="1"/>
  <c r="F4501" i="27" s="1"/>
  <c r="F4496" i="27"/>
  <c r="A4276" i="27"/>
  <c r="B4304" i="27"/>
  <c r="H1397" i="27"/>
  <c r="A757" i="27"/>
  <c r="H760" i="27"/>
  <c r="H759" i="27"/>
  <c r="A336" i="27"/>
  <c r="T336" i="27" s="1"/>
  <c r="H338" i="27"/>
  <c r="P169" i="24"/>
  <c r="S169" i="24"/>
  <c r="L167" i="24"/>
  <c r="R169" i="24"/>
  <c r="Q169" i="24"/>
  <c r="O169" i="24"/>
  <c r="M167" i="24"/>
  <c r="N167" i="24"/>
  <c r="BB33" i="33"/>
  <c r="AS60" i="34"/>
  <c r="U120" i="32"/>
  <c r="U731" i="32"/>
  <c r="U432" i="32"/>
  <c r="C272" i="24"/>
  <c r="AY62" i="34"/>
  <c r="K1371" i="27"/>
  <c r="J1369" i="27"/>
  <c r="AB31" i="33"/>
  <c r="R42" i="27"/>
  <c r="L42" i="27"/>
  <c r="P42" i="27"/>
  <c r="M42" i="27" a="1"/>
  <c r="H42" i="27"/>
  <c r="G116" i="32"/>
  <c r="Q461" i="27"/>
  <c r="J1371" i="27"/>
  <c r="AK31" i="33"/>
  <c r="I1365" i="27"/>
  <c r="J42" i="27"/>
  <c r="K1369" i="27"/>
  <c r="K1368" i="27"/>
  <c r="K42" i="27"/>
  <c r="G1383" i="27"/>
  <c r="G428" i="32"/>
  <c r="I337" i="27"/>
  <c r="S31" i="33"/>
  <c r="I1364" i="27"/>
  <c r="N4277" i="27"/>
  <c r="K1367" i="27"/>
  <c r="I1354" i="27"/>
  <c r="L1370" i="27"/>
  <c r="O4277" i="27"/>
  <c r="L1366" i="27"/>
  <c r="A731" i="32"/>
  <c r="V31" i="33"/>
  <c r="J1367" i="27"/>
  <c r="Q42" i="27"/>
  <c r="L1369" i="27"/>
  <c r="I1356" i="27"/>
  <c r="E42" i="27"/>
  <c r="L1368" i="27"/>
  <c r="I1355" i="27"/>
  <c r="BC62" i="34"/>
  <c r="K1370" i="27"/>
  <c r="J1370" i="27"/>
  <c r="AE31" i="33"/>
  <c r="J1368" i="27"/>
  <c r="G1368" i="27"/>
  <c r="D42" i="27"/>
  <c r="S29" i="33"/>
  <c r="N337" i="27"/>
  <c r="V29" i="33"/>
  <c r="K1360" i="27"/>
  <c r="I1363" i="27"/>
  <c r="L1367" i="27"/>
  <c r="P31" i="33"/>
  <c r="G42" i="27"/>
  <c r="F4277" i="27"/>
  <c r="J337" i="27"/>
  <c r="AH31" i="33"/>
  <c r="G727" i="32"/>
  <c r="F42" i="27"/>
  <c r="J1360" i="27"/>
  <c r="A120" i="32"/>
  <c r="P29" i="33"/>
  <c r="Y31" i="33"/>
  <c r="M4277" i="27"/>
  <c r="L1371" i="27"/>
  <c r="M337" i="27"/>
  <c r="H461" i="27"/>
  <c r="K337" i="27"/>
  <c r="M42" i="27" l="1"/>
  <c r="A42" i="27" s="1"/>
  <c r="I44" i="27"/>
  <c r="B449" i="27"/>
  <c r="I448" i="27"/>
  <c r="I434" i="27"/>
  <c r="C41" i="27"/>
  <c r="B42" i="27"/>
  <c r="A1354" i="27"/>
  <c r="A1365" i="27"/>
  <c r="A1363" i="27"/>
  <c r="A1364" i="27"/>
  <c r="A1355" i="27"/>
  <c r="A1356" i="27"/>
  <c r="F5369" i="27"/>
  <c r="F4503" i="27"/>
  <c r="F4504" i="27" s="1"/>
  <c r="F4505" i="27" s="1"/>
  <c r="F4506" i="27" s="1"/>
  <c r="F4507" i="27" s="1"/>
  <c r="F4502" i="27"/>
  <c r="A4277" i="27"/>
  <c r="H1398" i="27"/>
  <c r="H761" i="27"/>
  <c r="A337" i="27"/>
  <c r="T337" i="27" s="1"/>
  <c r="H339" i="27"/>
  <c r="P171" i="24"/>
  <c r="S171" i="24"/>
  <c r="Q171" i="24"/>
  <c r="R171" i="24"/>
  <c r="M169" i="24"/>
  <c r="O171" i="24"/>
  <c r="L169" i="24"/>
  <c r="N169" i="24"/>
  <c r="BB35" i="33"/>
  <c r="AS61" i="34"/>
  <c r="U434" i="32"/>
  <c r="U733" i="32"/>
  <c r="U122" i="32"/>
  <c r="C273" i="24"/>
  <c r="AY63" i="34"/>
  <c r="F43" i="27"/>
  <c r="S33" i="33"/>
  <c r="I1360" i="27"/>
  <c r="A733" i="32"/>
  <c r="G118" i="32"/>
  <c r="A432" i="32"/>
  <c r="I338" i="27"/>
  <c r="G729" i="32"/>
  <c r="Y33" i="33"/>
  <c r="V33" i="33"/>
  <c r="L1374" i="27"/>
  <c r="K338" i="27"/>
  <c r="F4278" i="27"/>
  <c r="D43" i="27"/>
  <c r="G1384" i="27"/>
  <c r="AH33" i="33"/>
  <c r="BC63" i="34"/>
  <c r="J760" i="27"/>
  <c r="L1377" i="27"/>
  <c r="M338" i="27"/>
  <c r="J1373" i="27"/>
  <c r="L43" i="27"/>
  <c r="R43" i="27"/>
  <c r="A122" i="32"/>
  <c r="I760" i="27"/>
  <c r="M43" i="27" a="1"/>
  <c r="J1376" i="27"/>
  <c r="J1374" i="27"/>
  <c r="J43" i="27"/>
  <c r="A434" i="32"/>
  <c r="I1369" i="27"/>
  <c r="P43" i="27"/>
  <c r="K1366" i="27"/>
  <c r="O4278" i="27"/>
  <c r="G43" i="27"/>
  <c r="G430" i="32"/>
  <c r="Q43" i="27"/>
  <c r="J1377" i="27"/>
  <c r="K43" i="27"/>
  <c r="Q462" i="27"/>
  <c r="I1371" i="27"/>
  <c r="K1377" i="27"/>
  <c r="L1375" i="27"/>
  <c r="N4278" i="27"/>
  <c r="AE33" i="33"/>
  <c r="K1373" i="27"/>
  <c r="N760" i="27"/>
  <c r="BD63" i="34"/>
  <c r="AB33" i="33"/>
  <c r="K1376" i="27"/>
  <c r="AK33" i="33"/>
  <c r="L1376" i="27"/>
  <c r="H462" i="27"/>
  <c r="J1375" i="27"/>
  <c r="K1375" i="27"/>
  <c r="I1361" i="27"/>
  <c r="G1369" i="27"/>
  <c r="M760" i="27"/>
  <c r="BD62" i="34"/>
  <c r="K760" i="27"/>
  <c r="I1362" i="27"/>
  <c r="L1372" i="27"/>
  <c r="I1370" i="27"/>
  <c r="N338" i="27"/>
  <c r="J1366" i="27"/>
  <c r="J338" i="27"/>
  <c r="P33" i="33"/>
  <c r="K1374" i="27"/>
  <c r="E43" i="27"/>
  <c r="L1373" i="27"/>
  <c r="M4278" i="27"/>
  <c r="H43" i="27"/>
  <c r="M43" i="27" l="1"/>
  <c r="A43" i="27" s="1"/>
  <c r="C42" i="27"/>
  <c r="B43" i="27"/>
  <c r="I45" i="27"/>
  <c r="I435" i="27"/>
  <c r="B450" i="27"/>
  <c r="I449" i="27"/>
  <c r="A1369" i="27"/>
  <c r="A1370" i="27"/>
  <c r="A1361" i="27"/>
  <c r="A1362" i="27"/>
  <c r="A1360" i="27"/>
  <c r="A1371" i="27"/>
  <c r="F5370" i="27"/>
  <c r="F4508" i="27"/>
  <c r="F4509" i="27"/>
  <c r="F4510" i="27" s="1"/>
  <c r="F4511" i="27" s="1"/>
  <c r="F4512" i="27" s="1"/>
  <c r="F4513" i="27" s="1"/>
  <c r="A4278" i="27"/>
  <c r="H1399" i="27"/>
  <c r="A760" i="27"/>
  <c r="H762" i="27"/>
  <c r="A338" i="27"/>
  <c r="T338" i="27" s="1"/>
  <c r="H340" i="27"/>
  <c r="H341" i="27"/>
  <c r="P173" i="24"/>
  <c r="Q173" i="24"/>
  <c r="M171" i="24"/>
  <c r="O173" i="24"/>
  <c r="L171" i="24"/>
  <c r="R173" i="24"/>
  <c r="N171" i="24"/>
  <c r="S173" i="24"/>
  <c r="BB37" i="33"/>
  <c r="AS62" i="34"/>
  <c r="U124" i="32"/>
  <c r="U735" i="32"/>
  <c r="U436" i="32"/>
  <c r="C274" i="24"/>
  <c r="AY64" i="34"/>
  <c r="AK35" i="33"/>
  <c r="N761" i="27"/>
  <c r="AE35" i="33"/>
  <c r="A735" i="32"/>
  <c r="V35" i="33"/>
  <c r="O4279" i="27"/>
  <c r="AB35" i="33"/>
  <c r="F4279" i="27"/>
  <c r="G1370" i="27"/>
  <c r="J1382" i="27"/>
  <c r="G1385" i="27"/>
  <c r="I1368" i="27"/>
  <c r="I1376" i="27"/>
  <c r="K1383" i="27"/>
  <c r="R44" i="27"/>
  <c r="L44" i="27"/>
  <c r="H463" i="27"/>
  <c r="J1372" i="27"/>
  <c r="I1377" i="27"/>
  <c r="AH35" i="33"/>
  <c r="F44" i="27"/>
  <c r="M44" i="27" a="1"/>
  <c r="K1379" i="27"/>
  <c r="A124" i="32"/>
  <c r="A436" i="32"/>
  <c r="L1381" i="27"/>
  <c r="I1375" i="27"/>
  <c r="K1381" i="27"/>
  <c r="J1379" i="27"/>
  <c r="K1380" i="27"/>
  <c r="J1381" i="27"/>
  <c r="K761" i="27"/>
  <c r="J44" i="27"/>
  <c r="S35" i="33"/>
  <c r="G432" i="32"/>
  <c r="Q44" i="27"/>
  <c r="K44" i="27"/>
  <c r="J1380" i="27"/>
  <c r="L1380" i="27"/>
  <c r="M761" i="27"/>
  <c r="L1378" i="27"/>
  <c r="L1383" i="27"/>
  <c r="J761" i="27"/>
  <c r="E44" i="27"/>
  <c r="Q463" i="27"/>
  <c r="Y35" i="33"/>
  <c r="N4279" i="27"/>
  <c r="I1367" i="27"/>
  <c r="D44" i="27"/>
  <c r="G731" i="32"/>
  <c r="H44" i="27"/>
  <c r="P44" i="27"/>
  <c r="K1372" i="27"/>
  <c r="G44" i="27"/>
  <c r="I1366" i="27"/>
  <c r="P35" i="33"/>
  <c r="L1379" i="27"/>
  <c r="L1382" i="27"/>
  <c r="J1383" i="27"/>
  <c r="M4279" i="27"/>
  <c r="I761" i="27"/>
  <c r="BC64" i="34"/>
  <c r="G120" i="32"/>
  <c r="K1382" i="27"/>
  <c r="M44" i="27" l="1"/>
  <c r="A44" i="27" s="1"/>
  <c r="B451" i="27"/>
  <c r="I450" i="27"/>
  <c r="I46" i="27"/>
  <c r="I436" i="27"/>
  <c r="C43" i="27"/>
  <c r="B44" i="27"/>
  <c r="A1367" i="27"/>
  <c r="A1375" i="27"/>
  <c r="A1376" i="27"/>
  <c r="A1368" i="27"/>
  <c r="A1366" i="27"/>
  <c r="A1377" i="27"/>
  <c r="F5371" i="27"/>
  <c r="F4515" i="27"/>
  <c r="F4516" i="27" s="1"/>
  <c r="F4517" i="27" s="1"/>
  <c r="F4518" i="27" s="1"/>
  <c r="F4519" i="27" s="1"/>
  <c r="F4514" i="27"/>
  <c r="A4279" i="27"/>
  <c r="H1400" i="27"/>
  <c r="A761" i="27"/>
  <c r="H763" i="27"/>
  <c r="H342" i="27"/>
  <c r="O175" i="24"/>
  <c r="S175" i="24"/>
  <c r="P175" i="24"/>
  <c r="L173" i="24"/>
  <c r="R175" i="24"/>
  <c r="N173" i="24"/>
  <c r="Q175" i="24"/>
  <c r="M173" i="24"/>
  <c r="BB39" i="33"/>
  <c r="AS63" i="34"/>
  <c r="U438" i="32"/>
  <c r="U737" i="32"/>
  <c r="U126" i="32"/>
  <c r="C275" i="24"/>
  <c r="AY65" i="34"/>
  <c r="AP9" i="34"/>
  <c r="L45" i="27"/>
  <c r="L1385" i="27"/>
  <c r="I762" i="27"/>
  <c r="I1374" i="27"/>
  <c r="K1378" i="27"/>
  <c r="A737" i="32"/>
  <c r="N4280" i="27"/>
  <c r="G1386" i="27"/>
  <c r="K762" i="27"/>
  <c r="J1389" i="27"/>
  <c r="D45" i="27"/>
  <c r="O4280" i="27"/>
  <c r="I1382" i="27"/>
  <c r="K1389" i="27"/>
  <c r="I1383" i="27"/>
  <c r="A438" i="32"/>
  <c r="J1388" i="27"/>
  <c r="E45" i="27"/>
  <c r="N762" i="27"/>
  <c r="F4280" i="27"/>
  <c r="G122" i="32"/>
  <c r="P45" i="27"/>
  <c r="L1384" i="27"/>
  <c r="K1388" i="27"/>
  <c r="K341" i="27"/>
  <c r="G45" i="27"/>
  <c r="Q45" i="27"/>
  <c r="H464" i="27"/>
  <c r="BD65" i="34"/>
  <c r="K45" i="27"/>
  <c r="J1385" i="27"/>
  <c r="BD64" i="34"/>
  <c r="N341" i="27"/>
  <c r="K1386" i="27"/>
  <c r="I1381" i="27"/>
  <c r="J1387" i="27"/>
  <c r="J1378" i="27"/>
  <c r="M4280" i="27"/>
  <c r="K1387" i="27"/>
  <c r="BC65" i="34"/>
  <c r="Q464" i="27"/>
  <c r="J341" i="27"/>
  <c r="F45" i="27"/>
  <c r="M762" i="27"/>
  <c r="J1386" i="27"/>
  <c r="K1385" i="27"/>
  <c r="I341" i="27"/>
  <c r="L1389" i="27"/>
  <c r="I1372" i="27"/>
  <c r="G733" i="32"/>
  <c r="L1386" i="27"/>
  <c r="J762" i="27"/>
  <c r="M45" i="27" a="1"/>
  <c r="J45" i="27"/>
  <c r="L1388" i="27"/>
  <c r="A126" i="32"/>
  <c r="M341" i="27"/>
  <c r="L1387" i="27"/>
  <c r="I1373" i="27"/>
  <c r="G1371" i="27"/>
  <c r="L4225" i="27"/>
  <c r="G434" i="32"/>
  <c r="R45" i="27"/>
  <c r="H45" i="27"/>
  <c r="M45" i="27" l="1"/>
  <c r="A45" i="27" s="1"/>
  <c r="B45" i="27"/>
  <c r="C44" i="27"/>
  <c r="I47" i="27"/>
  <c r="I437" i="27"/>
  <c r="B452" i="27"/>
  <c r="I451" i="27"/>
  <c r="A1373" i="27"/>
  <c r="A1372" i="27"/>
  <c r="A1382" i="27"/>
  <c r="A1383" i="27"/>
  <c r="A1381" i="27"/>
  <c r="A1374" i="27"/>
  <c r="F5373" i="27"/>
  <c r="F5372" i="27"/>
  <c r="F4521" i="27"/>
  <c r="F4522" i="27" s="1"/>
  <c r="F4523" i="27" s="1"/>
  <c r="F4524" i="27" s="1"/>
  <c r="F4525" i="27" s="1"/>
  <c r="F4520" i="27"/>
  <c r="A4280" i="27"/>
  <c r="AR9" i="34"/>
  <c r="H1401" i="27"/>
  <c r="H1402" i="27"/>
  <c r="A762" i="27"/>
  <c r="H764" i="27"/>
  <c r="A341" i="27"/>
  <c r="T341" i="27" s="1"/>
  <c r="H343" i="27"/>
  <c r="Q177" i="24"/>
  <c r="R177" i="24"/>
  <c r="P177" i="24"/>
  <c r="N175" i="24"/>
  <c r="O177" i="24"/>
  <c r="S177" i="24"/>
  <c r="L175" i="24"/>
  <c r="M175" i="24"/>
  <c r="BB41" i="33"/>
  <c r="AS64" i="34"/>
  <c r="U128" i="32"/>
  <c r="U739" i="32"/>
  <c r="U440" i="32"/>
  <c r="P621" i="32"/>
  <c r="P623" i="32" s="1"/>
  <c r="P625" i="32" s="1"/>
  <c r="P627" i="32" s="1"/>
  <c r="P629" i="32" s="1"/>
  <c r="P631" i="32" s="1"/>
  <c r="P633" i="32" s="1"/>
  <c r="P635" i="32" s="1"/>
  <c r="P637" i="32" s="1"/>
  <c r="P639" i="32" s="1"/>
  <c r="P641" i="32" s="1"/>
  <c r="P643" i="32" s="1"/>
  <c r="P645" i="32" s="1"/>
  <c r="P647" i="32" s="1"/>
  <c r="P649" i="32" s="1"/>
  <c r="P651" i="32" s="1"/>
  <c r="P653" i="32" s="1"/>
  <c r="P655" i="32" s="1"/>
  <c r="P657" i="32" s="1"/>
  <c r="P659" i="32" s="1"/>
  <c r="P661" i="32" s="1"/>
  <c r="AY66" i="34"/>
  <c r="AQ9" i="34"/>
  <c r="Y39" i="33"/>
  <c r="I1378" i="27"/>
  <c r="F4281" i="27"/>
  <c r="J763" i="27"/>
  <c r="L1393" i="27"/>
  <c r="J1395" i="27"/>
  <c r="M342" i="27"/>
  <c r="A440" i="32"/>
  <c r="G1372" i="27"/>
  <c r="L1392" i="27"/>
  <c r="K1395" i="27"/>
  <c r="J1394" i="27"/>
  <c r="O4281" i="27"/>
  <c r="R46" i="27"/>
  <c r="G1373" i="27"/>
  <c r="AK39" i="33"/>
  <c r="J1391" i="27"/>
  <c r="J46" i="27"/>
  <c r="I763" i="27"/>
  <c r="L1391" i="27"/>
  <c r="L46" i="27"/>
  <c r="I1388" i="27"/>
  <c r="AH39" i="33"/>
  <c r="Q46" i="27"/>
  <c r="I1379" i="27"/>
  <c r="A128" i="32"/>
  <c r="K763" i="27"/>
  <c r="K1384" i="27"/>
  <c r="K46" i="27"/>
  <c r="K1391" i="27"/>
  <c r="A739" i="32"/>
  <c r="I1389" i="27"/>
  <c r="D46" i="27"/>
  <c r="N342" i="27"/>
  <c r="AE39" i="33"/>
  <c r="E46" i="27"/>
  <c r="G1387" i="27"/>
  <c r="F46" i="27"/>
  <c r="I1387" i="27"/>
  <c r="M4281" i="27"/>
  <c r="L1394" i="27"/>
  <c r="BD66" i="34"/>
  <c r="G436" i="32"/>
  <c r="I1380" i="27"/>
  <c r="N763" i="27"/>
  <c r="AB39" i="33"/>
  <c r="P46" i="27"/>
  <c r="Q465" i="27"/>
  <c r="M763" i="27"/>
  <c r="K1394" i="27"/>
  <c r="L1390" i="27"/>
  <c r="I342" i="27"/>
  <c r="L1395" i="27"/>
  <c r="N4281" i="27"/>
  <c r="M46" i="27" a="1"/>
  <c r="K342" i="27"/>
  <c r="K1393" i="27"/>
  <c r="J1392" i="27"/>
  <c r="J1393" i="27"/>
  <c r="H465" i="27"/>
  <c r="H46" i="27"/>
  <c r="O40" i="33"/>
  <c r="J1384" i="27"/>
  <c r="J342" i="27"/>
  <c r="G735" i="32"/>
  <c r="K1392" i="27"/>
  <c r="G46" i="27"/>
  <c r="O39" i="33"/>
  <c r="G124" i="32"/>
  <c r="M46" i="27" l="1"/>
  <c r="A46" i="27" s="1"/>
  <c r="B453" i="27"/>
  <c r="I452" i="27"/>
  <c r="I48" i="27"/>
  <c r="B46" i="27"/>
  <c r="C45" i="27"/>
  <c r="A1378" i="27"/>
  <c r="A1387" i="27"/>
  <c r="A1380" i="27"/>
  <c r="A1389" i="27"/>
  <c r="A1379" i="27"/>
  <c r="A1388" i="27"/>
  <c r="F5374" i="27"/>
  <c r="F4527" i="27"/>
  <c r="F4528" i="27" s="1"/>
  <c r="F4529" i="27" s="1"/>
  <c r="F4530" i="27" s="1"/>
  <c r="F4531" i="27" s="1"/>
  <c r="F4526" i="27"/>
  <c r="A4281" i="27"/>
  <c r="H1403" i="27"/>
  <c r="Q621" i="32"/>
  <c r="Q625" i="32"/>
  <c r="Q641" i="32"/>
  <c r="Q633" i="32"/>
  <c r="Q659" i="32"/>
  <c r="Q655" i="32"/>
  <c r="P663" i="32"/>
  <c r="Q661" i="32"/>
  <c r="Q657" i="32"/>
  <c r="Q647" i="32"/>
  <c r="Q629" i="32"/>
  <c r="Q631" i="32"/>
  <c r="Q639" i="32"/>
  <c r="Q653" i="32"/>
  <c r="Q645" i="32"/>
  <c r="Q649" i="32"/>
  <c r="Q635" i="32"/>
  <c r="Q623" i="32"/>
  <c r="Q643" i="32"/>
  <c r="Q627" i="32"/>
  <c r="Q651" i="32"/>
  <c r="Q637" i="32"/>
  <c r="P821" i="32"/>
  <c r="A763" i="27"/>
  <c r="H766" i="27"/>
  <c r="H765" i="27"/>
  <c r="A342" i="27"/>
  <c r="T342" i="27" s="1"/>
  <c r="H344" i="27"/>
  <c r="S179" i="24"/>
  <c r="Q179" i="24"/>
  <c r="O179" i="24"/>
  <c r="N177" i="24"/>
  <c r="R179" i="24"/>
  <c r="L177" i="24"/>
  <c r="M177" i="24"/>
  <c r="P179" i="24"/>
  <c r="BB43" i="33"/>
  <c r="AS65" i="34"/>
  <c r="U442" i="32"/>
  <c r="U741" i="32"/>
  <c r="U130" i="32"/>
  <c r="AY67" i="34"/>
  <c r="H2" i="29"/>
  <c r="G737" i="32"/>
  <c r="N4282" i="27"/>
  <c r="P39" i="33"/>
  <c r="K47" i="27"/>
  <c r="K1390" i="27"/>
  <c r="L47" i="27"/>
  <c r="Q466" i="27"/>
  <c r="A442" i="32"/>
  <c r="M343" i="27"/>
  <c r="I1395" i="27"/>
  <c r="H47" i="27"/>
  <c r="L1396" i="27"/>
  <c r="L1399" i="27"/>
  <c r="V39" i="33"/>
  <c r="K1400" i="27"/>
  <c r="D47" i="27"/>
  <c r="F47" i="27"/>
  <c r="L1397" i="27"/>
  <c r="J1401" i="27"/>
  <c r="J1390" i="27"/>
  <c r="BC66" i="34"/>
  <c r="R47" i="27"/>
  <c r="J1398" i="27"/>
  <c r="L1401" i="27"/>
  <c r="I1384" i="27"/>
  <c r="I1393" i="27"/>
  <c r="G1388" i="27"/>
  <c r="M47" i="27" a="1"/>
  <c r="I1394" i="27"/>
  <c r="L1400" i="27"/>
  <c r="K1399" i="27"/>
  <c r="G438" i="32"/>
  <c r="K1398" i="27"/>
  <c r="L1398" i="27"/>
  <c r="K1397" i="27"/>
  <c r="I1385" i="27"/>
  <c r="A741" i="32"/>
  <c r="K1401" i="27"/>
  <c r="A130" i="32"/>
  <c r="I1386" i="27"/>
  <c r="Q47" i="27"/>
  <c r="J1397" i="27"/>
  <c r="H466" i="27"/>
  <c r="M4282" i="27"/>
  <c r="N343" i="27"/>
  <c r="J1399" i="27"/>
  <c r="J343" i="27"/>
  <c r="K343" i="27"/>
  <c r="P47" i="27"/>
  <c r="J1400" i="27"/>
  <c r="S39" i="33"/>
  <c r="E47" i="27"/>
  <c r="G47" i="27"/>
  <c r="I343" i="27"/>
  <c r="G126" i="32"/>
  <c r="F4282" i="27"/>
  <c r="J47" i="27"/>
  <c r="O4282" i="27"/>
  <c r="M47" i="27" l="1"/>
  <c r="A47" i="27" s="1"/>
  <c r="B47" i="27"/>
  <c r="C46" i="27"/>
  <c r="B454" i="27"/>
  <c r="C453" i="27"/>
  <c r="I453" i="27"/>
  <c r="A1386" i="27"/>
  <c r="A1384" i="27"/>
  <c r="A1394" i="27"/>
  <c r="A1385" i="27"/>
  <c r="A1395" i="27"/>
  <c r="A1393" i="27"/>
  <c r="F5375" i="27"/>
  <c r="F4533" i="27"/>
  <c r="F4534" i="27" s="1"/>
  <c r="F4535" i="27" s="1"/>
  <c r="F4536" i="27" s="1"/>
  <c r="F4537" i="27" s="1"/>
  <c r="F4532" i="27"/>
  <c r="A4282" i="27"/>
  <c r="H1404" i="27"/>
  <c r="P823" i="32"/>
  <c r="Q821" i="32"/>
  <c r="P665" i="32"/>
  <c r="Q663" i="32"/>
  <c r="P861" i="32"/>
  <c r="H767" i="27"/>
  <c r="A343" i="27"/>
  <c r="T343" i="27" s="1"/>
  <c r="H345" i="27"/>
  <c r="S181" i="24"/>
  <c r="M179" i="24"/>
  <c r="N179" i="24"/>
  <c r="O181" i="24"/>
  <c r="R181" i="24"/>
  <c r="Q181" i="24"/>
  <c r="P181" i="24"/>
  <c r="L179" i="24"/>
  <c r="BB45" i="33"/>
  <c r="AS66" i="34"/>
  <c r="U132" i="32"/>
  <c r="U743" i="32"/>
  <c r="U444" i="32"/>
  <c r="C278" i="24"/>
  <c r="AY68" i="34"/>
  <c r="G2" i="29"/>
  <c r="F2" i="29"/>
  <c r="I766" i="27"/>
  <c r="Y43" i="33"/>
  <c r="R48" i="27"/>
  <c r="A444" i="32"/>
  <c r="Q467" i="27"/>
  <c r="M4283" i="27"/>
  <c r="J344" i="27"/>
  <c r="H48" i="27"/>
  <c r="I1392" i="27"/>
  <c r="K1396" i="27"/>
  <c r="L1402" i="27"/>
  <c r="M344" i="27"/>
  <c r="O4283" i="27"/>
  <c r="M48" i="27" a="1"/>
  <c r="I1390" i="27"/>
  <c r="BD67" i="34"/>
  <c r="I1391" i="27"/>
  <c r="J48" i="27"/>
  <c r="J766" i="27"/>
  <c r="G48" i="27"/>
  <c r="L48" i="27"/>
  <c r="AB43" i="33"/>
  <c r="M766" i="27"/>
  <c r="E48" i="27"/>
  <c r="P48" i="27"/>
  <c r="AE43" i="33"/>
  <c r="H467" i="27"/>
  <c r="K766" i="27"/>
  <c r="K48" i="27"/>
  <c r="G440" i="32"/>
  <c r="N344" i="27"/>
  <c r="N4283" i="27"/>
  <c r="F48" i="27"/>
  <c r="AK43" i="33"/>
  <c r="L1403" i="27"/>
  <c r="I1400" i="27"/>
  <c r="G128" i="32"/>
  <c r="AH43" i="33"/>
  <c r="Q48" i="27"/>
  <c r="D48" i="27"/>
  <c r="J1396" i="27"/>
  <c r="K1403" i="27"/>
  <c r="I1401" i="27"/>
  <c r="N766" i="27"/>
  <c r="BC67" i="34"/>
  <c r="A743" i="32"/>
  <c r="G739" i="32"/>
  <c r="I1399" i="27"/>
  <c r="I344" i="27"/>
  <c r="F4283" i="27"/>
  <c r="K344" i="27"/>
  <c r="J1403" i="27"/>
  <c r="M48" i="27" l="1"/>
  <c r="A48" i="27" s="1"/>
  <c r="C454" i="27"/>
  <c r="B455" i="27"/>
  <c r="I454" i="27"/>
  <c r="B48" i="27"/>
  <c r="C48" i="27" s="1"/>
  <c r="C47" i="27"/>
  <c r="A1390" i="27"/>
  <c r="A1399" i="27"/>
  <c r="A1392" i="27"/>
  <c r="A1401" i="27"/>
  <c r="A1400" i="27"/>
  <c r="A1391" i="27"/>
  <c r="F5376" i="27"/>
  <c r="F4538" i="27"/>
  <c r="F4539" i="27"/>
  <c r="F4540" i="27" s="1"/>
  <c r="F4541" i="27" s="1"/>
  <c r="F4542" i="27" s="1"/>
  <c r="F4543" i="27" s="1"/>
  <c r="A4283" i="27"/>
  <c r="H1405" i="27"/>
  <c r="P863" i="32"/>
  <c r="Q861" i="32"/>
  <c r="P667" i="32"/>
  <c r="Q665" i="32"/>
  <c r="P825" i="32"/>
  <c r="Q823" i="32"/>
  <c r="A766" i="27"/>
  <c r="H768" i="27"/>
  <c r="A344" i="27"/>
  <c r="T344" i="27" s="1"/>
  <c r="H347" i="27"/>
  <c r="H346" i="27"/>
  <c r="O183" i="24"/>
  <c r="Q183" i="24"/>
  <c r="L181" i="24"/>
  <c r="N181" i="24"/>
  <c r="S183" i="24"/>
  <c r="P183" i="24"/>
  <c r="R183" i="24"/>
  <c r="M181" i="24"/>
  <c r="BB47" i="33"/>
  <c r="AS67" i="34"/>
  <c r="U446" i="32"/>
  <c r="U745" i="32"/>
  <c r="U134" i="32"/>
  <c r="C279" i="24"/>
  <c r="AY69" i="34"/>
  <c r="G3" i="29"/>
  <c r="F3" i="29"/>
  <c r="E2" i="29"/>
  <c r="D2" i="29"/>
  <c r="D3" i="29" s="1"/>
  <c r="K767" i="27"/>
  <c r="AH45" i="33"/>
  <c r="K1402" i="27"/>
  <c r="I1397" i="27"/>
  <c r="N4284" i="27"/>
  <c r="M767" i="27"/>
  <c r="E453" i="27"/>
  <c r="G741" i="32"/>
  <c r="BD68" i="34"/>
  <c r="G442" i="32"/>
  <c r="N767" i="27"/>
  <c r="G1389" i="27"/>
  <c r="K1404" i="27"/>
  <c r="F4284" i="27"/>
  <c r="M4284" i="27"/>
  <c r="V43" i="33"/>
  <c r="I1396" i="27"/>
  <c r="R453" i="27"/>
  <c r="J453" i="27"/>
  <c r="G130" i="32"/>
  <c r="AK45" i="33"/>
  <c r="A446" i="32"/>
  <c r="O4284" i="27"/>
  <c r="Y45" i="33"/>
  <c r="I767" i="27"/>
  <c r="D453" i="27"/>
  <c r="AE45" i="33"/>
  <c r="BC68" i="34"/>
  <c r="J1404" i="27"/>
  <c r="AB45" i="33"/>
  <c r="A745" i="32"/>
  <c r="P43" i="33"/>
  <c r="A132" i="32"/>
  <c r="S43" i="33"/>
  <c r="P453" i="27"/>
  <c r="F453" i="27"/>
  <c r="A134" i="32"/>
  <c r="O45" i="33"/>
  <c r="N453" i="27"/>
  <c r="I1398" i="27"/>
  <c r="M453" i="27" a="1"/>
  <c r="J767" i="27"/>
  <c r="O46" i="33"/>
  <c r="L453" i="27"/>
  <c r="L1404" i="27"/>
  <c r="BC69" i="34"/>
  <c r="G453" i="27"/>
  <c r="J1402" i="27"/>
  <c r="M453" i="27" l="1"/>
  <c r="A453" i="27" s="1"/>
  <c r="C455" i="27"/>
  <c r="B456" i="27"/>
  <c r="I455" i="27"/>
  <c r="A1398" i="27"/>
  <c r="A1397" i="27"/>
  <c r="A1396" i="27"/>
  <c r="F5377" i="27"/>
  <c r="F4544" i="27"/>
  <c r="F4545" i="27"/>
  <c r="F4546" i="27" s="1"/>
  <c r="F4547" i="27" s="1"/>
  <c r="F4548" i="27" s="1"/>
  <c r="F4549" i="27" s="1"/>
  <c r="A4284" i="27"/>
  <c r="H1406" i="27"/>
  <c r="P865" i="32"/>
  <c r="Q863" i="32"/>
  <c r="P827" i="32"/>
  <c r="Q825" i="32"/>
  <c r="P669" i="32"/>
  <c r="Q667" i="32"/>
  <c r="A767" i="27"/>
  <c r="H769" i="27"/>
  <c r="H348" i="27"/>
  <c r="O185" i="24"/>
  <c r="R185" i="24"/>
  <c r="S185" i="24"/>
  <c r="P185" i="24"/>
  <c r="N183" i="24"/>
  <c r="Q185" i="24"/>
  <c r="M183" i="24"/>
  <c r="L183" i="24"/>
  <c r="BB49" i="33"/>
  <c r="AS68" i="34"/>
  <c r="U448" i="32"/>
  <c r="U136" i="32"/>
  <c r="U747" i="32"/>
  <c r="C280" i="24"/>
  <c r="AY70" i="34"/>
  <c r="B9" i="29"/>
  <c r="E3" i="29"/>
  <c r="C2" i="29"/>
  <c r="C3" i="29" s="1"/>
  <c r="G444" i="32"/>
  <c r="Y47" i="33"/>
  <c r="I1403" i="27"/>
  <c r="A747" i="32"/>
  <c r="P454" i="27"/>
  <c r="N347" i="27"/>
  <c r="AH47" i="33"/>
  <c r="N768" i="27"/>
  <c r="I1404" i="27"/>
  <c r="BD69" i="34"/>
  <c r="N454" i="27"/>
  <c r="J1405" i="27"/>
  <c r="J768" i="27"/>
  <c r="D454" i="27"/>
  <c r="G1390" i="27"/>
  <c r="N4285" i="27"/>
  <c r="V45" i="33"/>
  <c r="F4285" i="27"/>
  <c r="J454" i="27"/>
  <c r="R454" i="27"/>
  <c r="BC70" i="34"/>
  <c r="G743" i="32"/>
  <c r="M454" i="27" a="1"/>
  <c r="I347" i="27"/>
  <c r="G454" i="27"/>
  <c r="E454" i="27"/>
  <c r="AE47" i="33"/>
  <c r="O4285" i="27"/>
  <c r="K768" i="27"/>
  <c r="I1402" i="27"/>
  <c r="M768" i="27"/>
  <c r="L454" i="27"/>
  <c r="I1405" i="27"/>
  <c r="F454" i="27"/>
  <c r="S45" i="33"/>
  <c r="AK47" i="33"/>
  <c r="M4285" i="27"/>
  <c r="L1405" i="27"/>
  <c r="G132" i="32"/>
  <c r="K347" i="27"/>
  <c r="I768" i="27"/>
  <c r="AB47" i="33"/>
  <c r="M347" i="27"/>
  <c r="J347" i="27"/>
  <c r="K1405" i="27"/>
  <c r="P45" i="33"/>
  <c r="A448" i="32"/>
  <c r="M454" i="27" l="1"/>
  <c r="A454" i="27" s="1"/>
  <c r="C456" i="27"/>
  <c r="B457" i="27"/>
  <c r="I456" i="27"/>
  <c r="A1402" i="27"/>
  <c r="A1404" i="27"/>
  <c r="A1403" i="27"/>
  <c r="F5379" i="27"/>
  <c r="F5378" i="27"/>
  <c r="F4551" i="27"/>
  <c r="F4552" i="27" s="1"/>
  <c r="F4553" i="27" s="1"/>
  <c r="F4554" i="27" s="1"/>
  <c r="F4555" i="27" s="1"/>
  <c r="F4550" i="27"/>
  <c r="A4285" i="27"/>
  <c r="A1405" i="27"/>
  <c r="H1408" i="27"/>
  <c r="H1407" i="27"/>
  <c r="P671" i="32"/>
  <c r="Q669" i="32"/>
  <c r="P829" i="32"/>
  <c r="Q827" i="32"/>
  <c r="P867" i="32"/>
  <c r="Q865" i="32"/>
  <c r="A768" i="27"/>
  <c r="H770" i="27"/>
  <c r="A347" i="27"/>
  <c r="T347" i="27" s="1"/>
  <c r="H349" i="27"/>
  <c r="M185" i="24"/>
  <c r="O187" i="24"/>
  <c r="R187" i="24"/>
  <c r="L185" i="24"/>
  <c r="S187" i="24"/>
  <c r="Q187" i="24"/>
  <c r="P187" i="24"/>
  <c r="N185" i="24"/>
  <c r="BB51" i="33"/>
  <c r="AS69" i="34"/>
  <c r="U749" i="32"/>
  <c r="U138" i="32"/>
  <c r="U450" i="32"/>
  <c r="C281" i="24"/>
  <c r="AY71" i="34"/>
  <c r="B10" i="29"/>
  <c r="C10" i="29" s="1"/>
  <c r="C9" i="29"/>
  <c r="B2" i="29"/>
  <c r="B3" i="29" s="1"/>
  <c r="N4286" i="27"/>
  <c r="N769" i="27"/>
  <c r="M769" i="27"/>
  <c r="I769" i="27"/>
  <c r="J455" i="27"/>
  <c r="G745" i="32"/>
  <c r="K1406" i="27"/>
  <c r="P455" i="27"/>
  <c r="O4286" i="27"/>
  <c r="M4286" i="27"/>
  <c r="I1406" i="27"/>
  <c r="Y49" i="33"/>
  <c r="P47" i="33"/>
  <c r="K348" i="27"/>
  <c r="N455" i="27"/>
  <c r="F4286" i="27"/>
  <c r="BD70" i="34"/>
  <c r="J1406" i="27"/>
  <c r="G134" i="32"/>
  <c r="V47" i="33"/>
  <c r="L1406" i="27"/>
  <c r="J769" i="27"/>
  <c r="R455" i="27"/>
  <c r="A138" i="32"/>
  <c r="AH49" i="33"/>
  <c r="O49" i="33"/>
  <c r="L455" i="27"/>
  <c r="N348" i="27"/>
  <c r="AK49" i="33"/>
  <c r="O50" i="33"/>
  <c r="G1391" i="27"/>
  <c r="A136" i="32"/>
  <c r="J348" i="27"/>
  <c r="S47" i="33"/>
  <c r="I348" i="27"/>
  <c r="AB49" i="33"/>
  <c r="AE49" i="33"/>
  <c r="G455" i="27"/>
  <c r="M348" i="27"/>
  <c r="E455" i="27"/>
  <c r="F455" i="27"/>
  <c r="K769" i="27"/>
  <c r="A450" i="32"/>
  <c r="M455" i="27" a="1"/>
  <c r="D455" i="27"/>
  <c r="G446" i="32"/>
  <c r="M455" i="27" l="1"/>
  <c r="A455" i="27" s="1"/>
  <c r="B458" i="27"/>
  <c r="C457" i="27"/>
  <c r="I457" i="27"/>
  <c r="F5380" i="27"/>
  <c r="F4556" i="27"/>
  <c r="F4557" i="27"/>
  <c r="F4558" i="27" s="1"/>
  <c r="F4559" i="27" s="1"/>
  <c r="F4560" i="27" s="1"/>
  <c r="F4561" i="27" s="1"/>
  <c r="A4286" i="27"/>
  <c r="A1406" i="27"/>
  <c r="H1409" i="27"/>
  <c r="P673" i="32"/>
  <c r="Q671" i="32"/>
  <c r="P869" i="32"/>
  <c r="Q867" i="32"/>
  <c r="P831" i="32"/>
  <c r="Q829" i="32"/>
  <c r="A769" i="27"/>
  <c r="H771" i="27"/>
  <c r="H772" i="27"/>
  <c r="A348" i="27"/>
  <c r="T348" i="27" s="1"/>
  <c r="H350" i="27"/>
  <c r="O189" i="24"/>
  <c r="S189" i="24"/>
  <c r="M187" i="24"/>
  <c r="N187" i="24"/>
  <c r="P189" i="24"/>
  <c r="Q189" i="24"/>
  <c r="R189" i="24"/>
  <c r="L187" i="24"/>
  <c r="BB53" i="33"/>
  <c r="AS70" i="34"/>
  <c r="U452" i="32"/>
  <c r="U140" i="32"/>
  <c r="U751" i="32"/>
  <c r="C282" i="24"/>
  <c r="AY72" i="34"/>
  <c r="N349" i="27"/>
  <c r="A140" i="32"/>
  <c r="AH51" i="33"/>
  <c r="A452" i="32"/>
  <c r="L456" i="27"/>
  <c r="J1408" i="27"/>
  <c r="R456" i="27"/>
  <c r="S49" i="33"/>
  <c r="BD72" i="34"/>
  <c r="P49" i="33"/>
  <c r="AE51" i="33"/>
  <c r="G136" i="32"/>
  <c r="M4287" i="27"/>
  <c r="G1392" i="27"/>
  <c r="I1408" i="27"/>
  <c r="G448" i="32"/>
  <c r="D456" i="27"/>
  <c r="K1408" i="27"/>
  <c r="N456" i="27"/>
  <c r="J349" i="27"/>
  <c r="AB51" i="33"/>
  <c r="M456" i="27" a="1"/>
  <c r="F456" i="27"/>
  <c r="L1407" i="27"/>
  <c r="L1408" i="27"/>
  <c r="J1407" i="27"/>
  <c r="N4287" i="27"/>
  <c r="BD71" i="34"/>
  <c r="I349" i="27"/>
  <c r="G747" i="32"/>
  <c r="G456" i="27"/>
  <c r="Y51" i="33"/>
  <c r="K1407" i="27"/>
  <c r="BC71" i="34"/>
  <c r="F4287" i="27"/>
  <c r="V49" i="33"/>
  <c r="M349" i="27"/>
  <c r="E456" i="27"/>
  <c r="O4287" i="27"/>
  <c r="A751" i="32"/>
  <c r="AK51" i="33"/>
  <c r="J456" i="27"/>
  <c r="K349" i="27"/>
  <c r="A749" i="32"/>
  <c r="I1407" i="27"/>
  <c r="P456" i="27"/>
  <c r="M456" i="27" l="1"/>
  <c r="A456" i="27" s="1"/>
  <c r="B459" i="27"/>
  <c r="C458" i="27"/>
  <c r="I458" i="27"/>
  <c r="F5381" i="27"/>
  <c r="F4563" i="27"/>
  <c r="F4564" i="27" s="1"/>
  <c r="F4565" i="27" s="1"/>
  <c r="F4566" i="27" s="1"/>
  <c r="F4567" i="27" s="1"/>
  <c r="F4562" i="27"/>
  <c r="A4287" i="27"/>
  <c r="A1407" i="27"/>
  <c r="A1408" i="27"/>
  <c r="H1410" i="27"/>
  <c r="P675" i="32"/>
  <c r="Q673" i="32"/>
  <c r="P871" i="32"/>
  <c r="Q869" i="32"/>
  <c r="P833" i="32"/>
  <c r="Q831" i="32"/>
  <c r="H773" i="27"/>
  <c r="A349" i="27"/>
  <c r="T349" i="27" s="1"/>
  <c r="H351" i="27"/>
  <c r="N189" i="24"/>
  <c r="O191" i="24"/>
  <c r="S191" i="24"/>
  <c r="L189" i="24"/>
  <c r="Q191" i="24"/>
  <c r="M189" i="24"/>
  <c r="R191" i="24"/>
  <c r="P191" i="24"/>
  <c r="BB55" i="33"/>
  <c r="AS71" i="34"/>
  <c r="U753" i="32"/>
  <c r="U142" i="32"/>
  <c r="U454" i="32"/>
  <c r="C283" i="24"/>
  <c r="AY73" i="34"/>
  <c r="I54" i="24"/>
  <c r="I56" i="24"/>
  <c r="I58" i="24"/>
  <c r="I60" i="24"/>
  <c r="I62" i="24"/>
  <c r="I64" i="24"/>
  <c r="I66" i="24"/>
  <c r="I68" i="24"/>
  <c r="I70" i="24"/>
  <c r="I72" i="24"/>
  <c r="I74" i="24"/>
  <c r="I76" i="24"/>
  <c r="B135" i="24"/>
  <c r="B133" i="24"/>
  <c r="B131" i="24"/>
  <c r="B129" i="24"/>
  <c r="B123" i="24"/>
  <c r="B121" i="24"/>
  <c r="B117" i="24"/>
  <c r="B111" i="24"/>
  <c r="B83" i="24"/>
  <c r="B75" i="24"/>
  <c r="B71" i="24"/>
  <c r="B69" i="24"/>
  <c r="B81" i="24"/>
  <c r="B73" i="24"/>
  <c r="B79" i="24"/>
  <c r="B77" i="24"/>
  <c r="B67" i="24"/>
  <c r="B65" i="24"/>
  <c r="B63" i="24"/>
  <c r="B61" i="24"/>
  <c r="B59" i="24"/>
  <c r="B57" i="24"/>
  <c r="B55" i="24"/>
  <c r="O82" i="24"/>
  <c r="O80" i="24"/>
  <c r="O78" i="24"/>
  <c r="O76" i="24"/>
  <c r="O74" i="24"/>
  <c r="O72" i="24"/>
  <c r="O70" i="24"/>
  <c r="O68" i="24"/>
  <c r="O66" i="24"/>
  <c r="O64" i="24"/>
  <c r="O62" i="24"/>
  <c r="O60" i="24"/>
  <c r="O58" i="24"/>
  <c r="O56" i="24"/>
  <c r="O54" i="24"/>
  <c r="J82" i="24"/>
  <c r="J80" i="24"/>
  <c r="I82" i="24"/>
  <c r="I80" i="24"/>
  <c r="I78" i="24"/>
  <c r="E82" i="24"/>
  <c r="E80" i="24"/>
  <c r="E78" i="24"/>
  <c r="E76" i="24"/>
  <c r="E74" i="24"/>
  <c r="E72" i="24"/>
  <c r="E70" i="24"/>
  <c r="E68" i="24"/>
  <c r="E66" i="24"/>
  <c r="E62" i="24"/>
  <c r="E60" i="24"/>
  <c r="N60" i="24" s="1"/>
  <c r="E58" i="24"/>
  <c r="E56" i="24"/>
  <c r="E54" i="24"/>
  <c r="B82" i="24"/>
  <c r="B80" i="24"/>
  <c r="B54" i="24"/>
  <c r="AH9" i="30" a="1"/>
  <c r="AH9" i="30" s="1"/>
  <c r="AO56" i="24"/>
  <c r="AO64" i="24"/>
  <c r="AO72" i="24"/>
  <c r="AO80" i="24"/>
  <c r="AO58" i="24"/>
  <c r="AO66" i="24"/>
  <c r="AO74" i="24"/>
  <c r="AO82" i="24"/>
  <c r="AO60" i="24"/>
  <c r="AO68" i="24"/>
  <c r="AO76" i="24"/>
  <c r="AO62" i="24"/>
  <c r="AO70" i="24"/>
  <c r="AO78" i="24"/>
  <c r="AO54" i="24"/>
  <c r="B23" i="29"/>
  <c r="B21" i="29"/>
  <c r="AG9" i="30"/>
  <c r="AE9" i="30" a="1"/>
  <c r="AE9" i="30" s="1"/>
  <c r="H9" i="30" s="1"/>
  <c r="AF9" i="30" s="1"/>
  <c r="N772" i="27"/>
  <c r="G457" i="27"/>
  <c r="G749" i="32"/>
  <c r="F457" i="27"/>
  <c r="I772" i="27"/>
  <c r="A142" i="32"/>
  <c r="J772" i="27"/>
  <c r="BD73" i="34"/>
  <c r="M4288" i="27"/>
  <c r="G1393" i="27"/>
  <c r="AH53" i="33"/>
  <c r="S51" i="33"/>
  <c r="A454" i="32"/>
  <c r="G138" i="32"/>
  <c r="K772" i="27"/>
  <c r="I1409" i="27"/>
  <c r="N457" i="27"/>
  <c r="G450" i="32"/>
  <c r="N350" i="27"/>
  <c r="L1409" i="27"/>
  <c r="V51" i="33"/>
  <c r="K350" i="27"/>
  <c r="N4288" i="27"/>
  <c r="E457" i="27"/>
  <c r="M772" i="27"/>
  <c r="AE53" i="33"/>
  <c r="AK53" i="33"/>
  <c r="AB53" i="33"/>
  <c r="J457" i="27"/>
  <c r="BC72" i="34"/>
  <c r="Y53" i="33"/>
  <c r="BC73" i="34"/>
  <c r="K1409" i="27"/>
  <c r="M457" i="27" a="1"/>
  <c r="P457" i="27"/>
  <c r="J1409" i="27"/>
  <c r="F4288" i="27"/>
  <c r="J350" i="27"/>
  <c r="O53" i="33"/>
  <c r="R457" i="27"/>
  <c r="O4288" i="27"/>
  <c r="A753" i="32"/>
  <c r="D457" i="27"/>
  <c r="I350" i="27"/>
  <c r="L457" i="27"/>
  <c r="M350" i="27"/>
  <c r="P51" i="33"/>
  <c r="O54" i="33"/>
  <c r="M457" i="27" l="1"/>
  <c r="A457" i="27" s="1"/>
  <c r="B460" i="27"/>
  <c r="C459" i="27"/>
  <c r="I459" i="27"/>
  <c r="F5382" i="27"/>
  <c r="F4569" i="27"/>
  <c r="F4570" i="27" s="1"/>
  <c r="F4571" i="27" s="1"/>
  <c r="F4572" i="27" s="1"/>
  <c r="F4573" i="27" s="1"/>
  <c r="F4568" i="27"/>
  <c r="A4288" i="27"/>
  <c r="A1409" i="27"/>
  <c r="H1411" i="27"/>
  <c r="P835" i="32"/>
  <c r="Q833" i="32"/>
  <c r="P873" i="32"/>
  <c r="Q871" i="32"/>
  <c r="P677" i="32"/>
  <c r="Q675" i="32"/>
  <c r="A772" i="27"/>
  <c r="H774" i="27"/>
  <c r="A350" i="27"/>
  <c r="T350" i="27" s="1"/>
  <c r="H353" i="27"/>
  <c r="H352" i="27"/>
  <c r="Q193" i="24"/>
  <c r="N191" i="24"/>
  <c r="M191" i="24"/>
  <c r="P193" i="24"/>
  <c r="S193" i="24"/>
  <c r="L191" i="24"/>
  <c r="O193" i="24"/>
  <c r="R193" i="24"/>
  <c r="BB57" i="33"/>
  <c r="N82" i="24"/>
  <c r="N80" i="24"/>
  <c r="N54" i="24"/>
  <c r="AS72" i="34"/>
  <c r="U456" i="32"/>
  <c r="U144" i="32"/>
  <c r="U755" i="32"/>
  <c r="C10" i="32"/>
  <c r="K2421" i="27" s="1"/>
  <c r="C12" i="32"/>
  <c r="K2422" i="27" s="1"/>
  <c r="C14" i="32"/>
  <c r="K2423" i="27" s="1"/>
  <c r="C16" i="32"/>
  <c r="K2424" i="27" s="1"/>
  <c r="C18" i="32"/>
  <c r="K2425" i="27" s="1"/>
  <c r="C20" i="32"/>
  <c r="K2426" i="27" s="1"/>
  <c r="C22" i="32"/>
  <c r="K2427" i="27" s="1"/>
  <c r="C24" i="32"/>
  <c r="K2428" i="27" s="1"/>
  <c r="C26" i="32"/>
  <c r="K2429" i="27" s="1"/>
  <c r="C28" i="32"/>
  <c r="K2430" i="27" s="1"/>
  <c r="AY74" i="34"/>
  <c r="B171" i="24"/>
  <c r="B204" i="24"/>
  <c r="F195" i="24"/>
  <c r="J187" i="24"/>
  <c r="F205" i="24"/>
  <c r="B202" i="24"/>
  <c r="F177" i="24"/>
  <c r="H185" i="24"/>
  <c r="AO187" i="24"/>
  <c r="B160" i="24"/>
  <c r="D187" i="24"/>
  <c r="AO155" i="24"/>
  <c r="H203" i="24"/>
  <c r="D181" i="24"/>
  <c r="C201" i="24"/>
  <c r="B195" i="24"/>
  <c r="J201" i="24"/>
  <c r="J167" i="24"/>
  <c r="H183" i="24"/>
  <c r="H179" i="24"/>
  <c r="B152" i="24"/>
  <c r="B163" i="24"/>
  <c r="H151" i="24"/>
  <c r="J199" i="24"/>
  <c r="D163" i="24"/>
  <c r="D173" i="24"/>
  <c r="J185" i="24"/>
  <c r="K163" i="24"/>
  <c r="J205" i="24"/>
  <c r="J195" i="24"/>
  <c r="C207" i="24"/>
  <c r="H195" i="24"/>
  <c r="F193" i="24"/>
  <c r="B156" i="24"/>
  <c r="H153" i="24"/>
  <c r="AO181" i="24"/>
  <c r="B168" i="24"/>
  <c r="K177" i="24"/>
  <c r="F183" i="24"/>
  <c r="D189" i="24"/>
  <c r="B174" i="24"/>
  <c r="AO183" i="24"/>
  <c r="D177" i="24"/>
  <c r="F203" i="24"/>
  <c r="C157" i="24"/>
  <c r="D199" i="24"/>
  <c r="J165" i="24"/>
  <c r="B172" i="24"/>
  <c r="B170" i="24"/>
  <c r="B191" i="24"/>
  <c r="C153" i="24"/>
  <c r="K183" i="24"/>
  <c r="C183" i="24"/>
  <c r="C189" i="24"/>
  <c r="K193" i="24"/>
  <c r="B205" i="24"/>
  <c r="B150" i="24"/>
  <c r="B185" i="24"/>
  <c r="D169" i="24"/>
  <c r="B151" i="24"/>
  <c r="K157" i="24"/>
  <c r="D149" i="24"/>
  <c r="J151" i="24"/>
  <c r="H177" i="24"/>
  <c r="B162" i="24"/>
  <c r="C167" i="24"/>
  <c r="H207" i="24"/>
  <c r="K201" i="24"/>
  <c r="B178" i="24"/>
  <c r="D205" i="24"/>
  <c r="D175" i="24"/>
  <c r="AO179" i="24"/>
  <c r="B188" i="24"/>
  <c r="J169" i="24"/>
  <c r="D165" i="24"/>
  <c r="J163" i="24"/>
  <c r="B158" i="24"/>
  <c r="H193" i="24"/>
  <c r="K155" i="24"/>
  <c r="C169" i="24"/>
  <c r="H165" i="24"/>
  <c r="H157" i="24"/>
  <c r="F197" i="24"/>
  <c r="H149" i="24"/>
  <c r="AO159" i="24"/>
  <c r="B166" i="24"/>
  <c r="K199" i="24"/>
  <c r="D171" i="24"/>
  <c r="D183" i="24"/>
  <c r="F191" i="24"/>
  <c r="K153" i="24"/>
  <c r="AO185" i="24"/>
  <c r="F187" i="24"/>
  <c r="AO167" i="24"/>
  <c r="K195" i="24"/>
  <c r="K167" i="24"/>
  <c r="C159" i="24"/>
  <c r="AO191" i="24"/>
  <c r="D195" i="24"/>
  <c r="B183" i="24"/>
  <c r="J153" i="24"/>
  <c r="C149" i="24"/>
  <c r="B161" i="24"/>
  <c r="C151" i="24"/>
  <c r="AO193" i="24"/>
  <c r="J179" i="24"/>
  <c r="H199" i="24"/>
  <c r="B149" i="24"/>
  <c r="B196" i="24"/>
  <c r="B169" i="24"/>
  <c r="B167" i="24"/>
  <c r="B190" i="24"/>
  <c r="K185" i="24"/>
  <c r="H171" i="24"/>
  <c r="F169" i="24"/>
  <c r="AO169" i="24"/>
  <c r="AO161" i="24"/>
  <c r="B157" i="24"/>
  <c r="K171" i="24"/>
  <c r="B154" i="24"/>
  <c r="D157" i="24"/>
  <c r="H205" i="24"/>
  <c r="K179" i="24"/>
  <c r="AO165" i="24"/>
  <c r="B197" i="24"/>
  <c r="K149" i="24"/>
  <c r="AO173" i="24"/>
  <c r="F157" i="24"/>
  <c r="C193" i="24"/>
  <c r="H155" i="24"/>
  <c r="B179" i="24"/>
  <c r="B201" i="24"/>
  <c r="F207" i="24"/>
  <c r="F201" i="24"/>
  <c r="K207" i="24"/>
  <c r="K151" i="24"/>
  <c r="C177" i="24"/>
  <c r="B176" i="24"/>
  <c r="B192" i="24"/>
  <c r="D151" i="24"/>
  <c r="H169" i="24"/>
  <c r="C185" i="24"/>
  <c r="B208" i="24"/>
  <c r="H201" i="24"/>
  <c r="C187" i="24"/>
  <c r="J197" i="24"/>
  <c r="AO153" i="24"/>
  <c r="B175" i="24"/>
  <c r="B182" i="24"/>
  <c r="AO163" i="24"/>
  <c r="K159" i="24"/>
  <c r="F199" i="24"/>
  <c r="B25" i="29"/>
  <c r="J161" i="24"/>
  <c r="D153" i="24"/>
  <c r="K169" i="24"/>
  <c r="C181" i="24"/>
  <c r="D191" i="24"/>
  <c r="D197" i="24"/>
  <c r="C175" i="24"/>
  <c r="F155" i="24"/>
  <c r="B164" i="24"/>
  <c r="C173" i="24"/>
  <c r="J207" i="24"/>
  <c r="AO171" i="24"/>
  <c r="AO149" i="24"/>
  <c r="B153" i="24"/>
  <c r="C197" i="24"/>
  <c r="J203" i="24"/>
  <c r="J177" i="24"/>
  <c r="C161" i="24"/>
  <c r="F161" i="24"/>
  <c r="B173" i="24"/>
  <c r="C155" i="24"/>
  <c r="D159" i="24"/>
  <c r="H167" i="24"/>
  <c r="D193" i="24"/>
  <c r="K165" i="24"/>
  <c r="D185" i="24"/>
  <c r="B200" i="24"/>
  <c r="J155" i="24"/>
  <c r="J157" i="24"/>
  <c r="B165" i="24"/>
  <c r="D161" i="24"/>
  <c r="J183" i="24"/>
  <c r="J159" i="24"/>
  <c r="B194" i="24"/>
  <c r="K173" i="24"/>
  <c r="K187" i="24"/>
  <c r="D203" i="24"/>
  <c r="D155" i="24"/>
  <c r="B203" i="24"/>
  <c r="F153" i="24"/>
  <c r="B187" i="24"/>
  <c r="B206" i="24"/>
  <c r="B198" i="24"/>
  <c r="C179" i="24"/>
  <c r="K175" i="24"/>
  <c r="F149" i="24"/>
  <c r="H187" i="24"/>
  <c r="H161" i="24"/>
  <c r="B181" i="24"/>
  <c r="AO175" i="24"/>
  <c r="C163" i="24"/>
  <c r="AO189" i="24"/>
  <c r="K189" i="24"/>
  <c r="D167" i="24"/>
  <c r="K205" i="24"/>
  <c r="C171" i="24"/>
  <c r="J171" i="24"/>
  <c r="B207" i="24"/>
  <c r="B193" i="24"/>
  <c r="B184" i="24"/>
  <c r="B177" i="24"/>
  <c r="AO151" i="24"/>
  <c r="K161" i="24"/>
  <c r="K203" i="24"/>
  <c r="B180" i="24"/>
  <c r="F189" i="24"/>
  <c r="D207" i="24"/>
  <c r="H197" i="24"/>
  <c r="F167" i="24"/>
  <c r="C191" i="24"/>
  <c r="F185" i="24"/>
  <c r="H175" i="24"/>
  <c r="B186" i="24"/>
  <c r="C205" i="24"/>
  <c r="J149" i="24"/>
  <c r="B155" i="24"/>
  <c r="K191" i="24"/>
  <c r="AO177" i="24"/>
  <c r="B189" i="24"/>
  <c r="D201" i="24"/>
  <c r="AO157" i="24"/>
  <c r="F181" i="24"/>
  <c r="K181" i="24"/>
  <c r="J175" i="24"/>
  <c r="F171" i="24"/>
  <c r="B199" i="24"/>
  <c r="C203" i="24"/>
  <c r="J193" i="24"/>
  <c r="C199" i="24"/>
  <c r="F151" i="24"/>
  <c r="F179" i="24"/>
  <c r="C195" i="24"/>
  <c r="F175" i="24"/>
  <c r="H163" i="24"/>
  <c r="F163" i="24"/>
  <c r="B159" i="24"/>
  <c r="F165" i="24"/>
  <c r="K197" i="24"/>
  <c r="D179" i="24"/>
  <c r="C165" i="24"/>
  <c r="AG25" i="30"/>
  <c r="AE25" i="30" a="1"/>
  <c r="AE25" i="30" s="1"/>
  <c r="H25" i="30" s="1"/>
  <c r="AH25" i="30" a="1"/>
  <c r="AH25" i="30" s="1"/>
  <c r="B70" i="24"/>
  <c r="N70" i="24" s="1"/>
  <c r="AG15" i="30"/>
  <c r="AH15" i="30" a="1"/>
  <c r="AH15" i="30" s="1"/>
  <c r="AE15" i="30" a="1"/>
  <c r="AE15" i="30" s="1"/>
  <c r="H15" i="30" s="1"/>
  <c r="AG23" i="30"/>
  <c r="AE23" i="30" a="1"/>
  <c r="AE23" i="30" s="1"/>
  <c r="H23" i="30" s="1"/>
  <c r="AH23" i="30" a="1"/>
  <c r="AH23" i="30" s="1"/>
  <c r="B68" i="24"/>
  <c r="N68" i="24" s="1"/>
  <c r="AG31" i="30"/>
  <c r="AE31" i="30" a="1"/>
  <c r="AE31" i="30" s="1"/>
  <c r="H31" i="30" s="1"/>
  <c r="AH31" i="30" a="1"/>
  <c r="AH31" i="30" s="1"/>
  <c r="B76" i="24"/>
  <c r="N76" i="24" s="1"/>
  <c r="AG13" i="30"/>
  <c r="AE13" i="30" a="1"/>
  <c r="AE13" i="30" s="1"/>
  <c r="H13" i="30" s="1"/>
  <c r="AH13" i="30" a="1"/>
  <c r="AH13" i="30" s="1"/>
  <c r="B58" i="24"/>
  <c r="N58" i="24" s="1"/>
  <c r="AG21" i="30"/>
  <c r="AH21" i="30" a="1"/>
  <c r="AH21" i="30" s="1"/>
  <c r="AE21" i="30" a="1"/>
  <c r="AE21" i="30" s="1"/>
  <c r="H21" i="30" s="1"/>
  <c r="B66" i="24"/>
  <c r="N66" i="24" s="1"/>
  <c r="AG29" i="30"/>
  <c r="AE29" i="30" a="1"/>
  <c r="AE29" i="30" s="1"/>
  <c r="H29" i="30" s="1"/>
  <c r="AH29" i="30" a="1"/>
  <c r="AH29" i="30" s="1"/>
  <c r="B74" i="24"/>
  <c r="N74" i="24" s="1"/>
  <c r="AG17" i="30"/>
  <c r="AH17" i="30" a="1"/>
  <c r="AH17" i="30" s="1"/>
  <c r="AE17" i="30" a="1"/>
  <c r="AE17" i="30" s="1"/>
  <c r="H17" i="30" s="1"/>
  <c r="B62" i="24"/>
  <c r="N62" i="24" s="1"/>
  <c r="AG33" i="30"/>
  <c r="AH33" i="30" a="1"/>
  <c r="AH33" i="30" s="1"/>
  <c r="AE33" i="30" a="1"/>
  <c r="AE33" i="30" s="1"/>
  <c r="H33" i="30" s="1"/>
  <c r="B78" i="24"/>
  <c r="N78" i="24" s="1"/>
  <c r="AG11" i="30"/>
  <c r="AE11" i="30" a="1"/>
  <c r="AE11" i="30" s="1"/>
  <c r="H11" i="30" s="1"/>
  <c r="AH11" i="30" a="1"/>
  <c r="AH11" i="30" s="1"/>
  <c r="B56" i="24"/>
  <c r="N56" i="24" s="1"/>
  <c r="AE19" i="30" a="1"/>
  <c r="AE19" i="30" s="1"/>
  <c r="H19" i="30" s="1"/>
  <c r="AH19" i="30" a="1"/>
  <c r="AH19" i="30" s="1"/>
  <c r="B64" i="24"/>
  <c r="AG27" i="30"/>
  <c r="AE27" i="30" a="1"/>
  <c r="AE27" i="30" s="1"/>
  <c r="H27" i="30" s="1"/>
  <c r="AH27" i="30" a="1"/>
  <c r="AH27" i="30" s="1"/>
  <c r="B72" i="24"/>
  <c r="N72" i="24" s="1"/>
  <c r="J54" i="24"/>
  <c r="L1410" i="27"/>
  <c r="L458" i="27"/>
  <c r="G458" i="27"/>
  <c r="A755" i="32"/>
  <c r="G452" i="32"/>
  <c r="AB55" i="33"/>
  <c r="O4289" i="27"/>
  <c r="F4289" i="27"/>
  <c r="P458" i="27"/>
  <c r="M4289" i="27"/>
  <c r="D458" i="27"/>
  <c r="A144" i="32"/>
  <c r="N773" i="27"/>
  <c r="R458" i="27"/>
  <c r="J773" i="27"/>
  <c r="N4289" i="27"/>
  <c r="V53" i="33"/>
  <c r="G751" i="32"/>
  <c r="K1410" i="27"/>
  <c r="J458" i="27"/>
  <c r="Y55" i="33"/>
  <c r="J1410" i="27"/>
  <c r="I1410" i="27"/>
  <c r="AK55" i="33"/>
  <c r="G140" i="32"/>
  <c r="AE55" i="33"/>
  <c r="M773" i="27"/>
  <c r="O55" i="33"/>
  <c r="S53" i="33"/>
  <c r="E458" i="27"/>
  <c r="F458" i="27"/>
  <c r="AH55" i="33"/>
  <c r="A456" i="32"/>
  <c r="M458" i="27" a="1"/>
  <c r="G1394" i="27"/>
  <c r="O56" i="33"/>
  <c r="I773" i="27"/>
  <c r="N458" i="27"/>
  <c r="P53" i="33"/>
  <c r="BC74" i="34"/>
  <c r="K773" i="27"/>
  <c r="M458" i="27" l="1"/>
  <c r="A458" i="27" s="1"/>
  <c r="C460" i="27"/>
  <c r="B461" i="27"/>
  <c r="I460" i="27"/>
  <c r="F5383" i="27"/>
  <c r="F4575" i="27"/>
  <c r="F4576" i="27" s="1"/>
  <c r="F4577" i="27" s="1"/>
  <c r="F4578" i="27" s="1"/>
  <c r="F4579" i="27" s="1"/>
  <c r="F4574" i="27"/>
  <c r="A4289" i="27"/>
  <c r="W18" i="32"/>
  <c r="K2125" i="27"/>
  <c r="W16" i="32"/>
  <c r="K2124" i="27"/>
  <c r="W14" i="32"/>
  <c r="K2123" i="27"/>
  <c r="W28" i="32"/>
  <c r="K2130" i="27"/>
  <c r="W12" i="32"/>
  <c r="K2122" i="27"/>
  <c r="W26" i="32"/>
  <c r="K2129" i="27"/>
  <c r="W10" i="32"/>
  <c r="K2121" i="27"/>
  <c r="W24" i="32"/>
  <c r="K2128" i="27"/>
  <c r="W22" i="32"/>
  <c r="K2127" i="27"/>
  <c r="W20" i="32"/>
  <c r="K2126" i="27"/>
  <c r="A1410" i="27"/>
  <c r="H1412" i="27"/>
  <c r="P679" i="32"/>
  <c r="Q677" i="32"/>
  <c r="P875" i="32"/>
  <c r="Q873" i="32"/>
  <c r="P837" i="32"/>
  <c r="Q835" i="32"/>
  <c r="A773" i="27"/>
  <c r="H775" i="27"/>
  <c r="H354" i="27"/>
  <c r="I149" i="24"/>
  <c r="I181" i="24"/>
  <c r="P195" i="24"/>
  <c r="Q195" i="24"/>
  <c r="AO195" i="24"/>
  <c r="L193" i="24"/>
  <c r="S195" i="24"/>
  <c r="O195" i="24"/>
  <c r="R195" i="24"/>
  <c r="M193" i="24"/>
  <c r="N193" i="24"/>
  <c r="BB59" i="33"/>
  <c r="I199" i="24"/>
  <c r="I205" i="24"/>
  <c r="I171" i="24"/>
  <c r="I175" i="24"/>
  <c r="I187" i="24"/>
  <c r="I203" i="24"/>
  <c r="I189" i="24"/>
  <c r="I177" i="24"/>
  <c r="I165" i="24"/>
  <c r="I207" i="24"/>
  <c r="I197" i="24"/>
  <c r="I201" i="24"/>
  <c r="I195" i="24"/>
  <c r="I173" i="24"/>
  <c r="I193" i="24"/>
  <c r="I169" i="24"/>
  <c r="I191" i="24"/>
  <c r="I185" i="24"/>
  <c r="I183" i="24"/>
  <c r="I163" i="24"/>
  <c r="I179" i="24"/>
  <c r="I167" i="24"/>
  <c r="I161" i="24"/>
  <c r="I159" i="24"/>
  <c r="I157" i="24"/>
  <c r="I155" i="24"/>
  <c r="I153" i="24"/>
  <c r="I151" i="24"/>
  <c r="AS73" i="34"/>
  <c r="U757" i="32"/>
  <c r="U146" i="32"/>
  <c r="U458" i="32"/>
  <c r="P10" i="32"/>
  <c r="P12" i="32" s="1"/>
  <c r="P14" i="32" s="1"/>
  <c r="P16" i="32" s="1"/>
  <c r="P18" i="32" s="1"/>
  <c r="P20" i="32" s="1"/>
  <c r="P22" i="32" s="1"/>
  <c r="P24" i="32" s="1"/>
  <c r="P26" i="32" s="1"/>
  <c r="P28" i="32" s="1"/>
  <c r="Q28" i="32" s="1"/>
  <c r="AY75" i="34"/>
  <c r="AF15" i="30"/>
  <c r="J60" i="24"/>
  <c r="AF33" i="30"/>
  <c r="J78" i="24"/>
  <c r="AF17" i="30"/>
  <c r="J62" i="24"/>
  <c r="AF21" i="30"/>
  <c r="J66" i="24"/>
  <c r="AF25" i="30"/>
  <c r="J70" i="24"/>
  <c r="AF27" i="30"/>
  <c r="J72" i="24"/>
  <c r="AF19" i="30"/>
  <c r="J64" i="24"/>
  <c r="AF11" i="30"/>
  <c r="J56" i="24"/>
  <c r="AF29" i="30"/>
  <c r="J74" i="24"/>
  <c r="AF13" i="30"/>
  <c r="J58" i="24"/>
  <c r="AF31" i="30"/>
  <c r="J76" i="24"/>
  <c r="AF23" i="30"/>
  <c r="J68" i="24"/>
  <c r="O4290" i="27"/>
  <c r="M774" i="27"/>
  <c r="P55" i="33"/>
  <c r="K774" i="27"/>
  <c r="V55" i="33"/>
  <c r="M459" i="27" a="1"/>
  <c r="S55" i="33"/>
  <c r="R459" i="27"/>
  <c r="N4290" i="27"/>
  <c r="J459" i="27"/>
  <c r="Y57" i="33"/>
  <c r="AK57" i="33"/>
  <c r="BD75" i="34"/>
  <c r="A458" i="32"/>
  <c r="M353" i="27"/>
  <c r="L459" i="27"/>
  <c r="AE57" i="33"/>
  <c r="F459" i="27"/>
  <c r="G459" i="27"/>
  <c r="A146" i="32"/>
  <c r="K353" i="27"/>
  <c r="N774" i="27"/>
  <c r="M4290" i="27"/>
  <c r="I353" i="27"/>
  <c r="G753" i="32"/>
  <c r="BD74" i="34"/>
  <c r="K1411" i="27"/>
  <c r="I774" i="27"/>
  <c r="E459" i="27"/>
  <c r="J774" i="27"/>
  <c r="N459" i="27"/>
  <c r="AB57" i="33"/>
  <c r="J1411" i="27"/>
  <c r="L1411" i="27"/>
  <c r="I1411" i="27"/>
  <c r="O58" i="33"/>
  <c r="N353" i="27"/>
  <c r="O57" i="33"/>
  <c r="J353" i="27"/>
  <c r="D459" i="27"/>
  <c r="G1395" i="27"/>
  <c r="G142" i="32"/>
  <c r="G454" i="32"/>
  <c r="F4290" i="27"/>
  <c r="A757" i="32"/>
  <c r="P459" i="27"/>
  <c r="AH57" i="33"/>
  <c r="M459" i="27" l="1"/>
  <c r="A459" i="27" s="1"/>
  <c r="C461" i="27"/>
  <c r="B462" i="27"/>
  <c r="I461" i="27"/>
  <c r="F5385" i="27"/>
  <c r="F5384" i="27"/>
  <c r="F4580" i="27"/>
  <c r="F4581" i="27"/>
  <c r="F4582" i="27" s="1"/>
  <c r="F4583" i="27" s="1"/>
  <c r="F4584" i="27" s="1"/>
  <c r="F4585" i="27" s="1"/>
  <c r="A4290" i="27"/>
  <c r="A1411" i="27"/>
  <c r="H1413" i="27"/>
  <c r="H1414" i="27"/>
  <c r="P839" i="32"/>
  <c r="Q837" i="32"/>
  <c r="P877" i="32"/>
  <c r="Q875" i="32"/>
  <c r="P681" i="32"/>
  <c r="Q679" i="32"/>
  <c r="A774" i="27"/>
  <c r="H776" i="27"/>
  <c r="A353" i="27"/>
  <c r="T353" i="27" s="1"/>
  <c r="H355" i="27"/>
  <c r="Q20" i="32"/>
  <c r="Q24" i="32"/>
  <c r="Q22" i="32"/>
  <c r="Q26" i="32"/>
  <c r="Q12" i="32"/>
  <c r="Q16" i="32"/>
  <c r="Q10" i="32"/>
  <c r="Q14" i="32"/>
  <c r="Q18" i="32"/>
  <c r="S197" i="24"/>
  <c r="Q197" i="24"/>
  <c r="AO197" i="24"/>
  <c r="L195" i="24"/>
  <c r="P197" i="24"/>
  <c r="R197" i="24"/>
  <c r="O197" i="24"/>
  <c r="M195" i="24"/>
  <c r="N195" i="24"/>
  <c r="BB61" i="33"/>
  <c r="AS74" i="34"/>
  <c r="U460" i="32"/>
  <c r="U148" i="32"/>
  <c r="U759" i="32"/>
  <c r="C170" i="32"/>
  <c r="W170" i="32" s="1"/>
  <c r="C172" i="32"/>
  <c r="W172" i="32" s="1"/>
  <c r="C174" i="32"/>
  <c r="W174" i="32" s="1"/>
  <c r="C176" i="32"/>
  <c r="W176" i="32" s="1"/>
  <c r="C178" i="32"/>
  <c r="W178" i="32" s="1"/>
  <c r="C180" i="32"/>
  <c r="W180" i="32" s="1"/>
  <c r="C182" i="32"/>
  <c r="W182" i="32" s="1"/>
  <c r="C184" i="32"/>
  <c r="W184" i="32" s="1"/>
  <c r="C186" i="32"/>
  <c r="W186" i="32" s="1"/>
  <c r="C188" i="32"/>
  <c r="W188" i="32" s="1"/>
  <c r="C258" i="32"/>
  <c r="W258" i="32" s="1"/>
  <c r="C268" i="32"/>
  <c r="W268" i="32" s="1"/>
  <c r="C260" i="32"/>
  <c r="W260" i="32" s="1"/>
  <c r="C262" i="32"/>
  <c r="W262" i="32" s="1"/>
  <c r="C254" i="32"/>
  <c r="W254" i="32" s="1"/>
  <c r="C264" i="32"/>
  <c r="W264" i="32" s="1"/>
  <c r="C266" i="32"/>
  <c r="W266" i="32" s="1"/>
  <c r="C256" i="32"/>
  <c r="W256" i="32" s="1"/>
  <c r="C252" i="32"/>
  <c r="W252" i="32" s="1"/>
  <c r="C250" i="32"/>
  <c r="W250" i="32" s="1"/>
  <c r="C210" i="32"/>
  <c r="W210" i="32" s="1"/>
  <c r="C224" i="32"/>
  <c r="W224" i="32" s="1"/>
  <c r="C212" i="32"/>
  <c r="W212" i="32" s="1"/>
  <c r="C214" i="32"/>
  <c r="W214" i="32" s="1"/>
  <c r="C216" i="32"/>
  <c r="W216" i="32" s="1"/>
  <c r="C218" i="32"/>
  <c r="W218" i="32" s="1"/>
  <c r="C220" i="32"/>
  <c r="W220" i="32" s="1"/>
  <c r="C222" i="32"/>
  <c r="W222" i="32" s="1"/>
  <c r="C226" i="32"/>
  <c r="W226" i="32" s="1"/>
  <c r="C228" i="32"/>
  <c r="W228" i="32" s="1"/>
  <c r="C162" i="32"/>
  <c r="W162" i="32" s="1"/>
  <c r="C164" i="32"/>
  <c r="W164" i="32" s="1"/>
  <c r="C166" i="32"/>
  <c r="W166" i="32" s="1"/>
  <c r="C168" i="32"/>
  <c r="W168" i="32" s="1"/>
  <c r="C230" i="32"/>
  <c r="W230" i="32" s="1"/>
  <c r="C232" i="32"/>
  <c r="W232" i="32" s="1"/>
  <c r="C246" i="32"/>
  <c r="W246" i="32" s="1"/>
  <c r="C234" i="32"/>
  <c r="W234" i="32" s="1"/>
  <c r="C244" i="32"/>
  <c r="W244" i="32" s="1"/>
  <c r="C248" i="32"/>
  <c r="W248" i="32" s="1"/>
  <c r="C236" i="32"/>
  <c r="W236" i="32" s="1"/>
  <c r="C238" i="32"/>
  <c r="W238" i="32" s="1"/>
  <c r="C240" i="32"/>
  <c r="W240" i="32" s="1"/>
  <c r="C242" i="32"/>
  <c r="W242" i="32" s="1"/>
  <c r="C208" i="32"/>
  <c r="W208" i="32" s="1"/>
  <c r="C202" i="32"/>
  <c r="W202" i="32" s="1"/>
  <c r="C198" i="32"/>
  <c r="W198" i="32" s="1"/>
  <c r="C190" i="32"/>
  <c r="W190" i="32" s="1"/>
  <c r="C204" i="32"/>
  <c r="W204" i="32" s="1"/>
  <c r="C192" i="32"/>
  <c r="W192" i="32" s="1"/>
  <c r="C200" i="32"/>
  <c r="W200" i="32" s="1"/>
  <c r="C206" i="32"/>
  <c r="W206" i="32" s="1"/>
  <c r="C194" i="32"/>
  <c r="W194" i="32" s="1"/>
  <c r="C196" i="32"/>
  <c r="W196" i="32" s="1"/>
  <c r="C110" i="32"/>
  <c r="W110" i="32" s="1"/>
  <c r="C112" i="32"/>
  <c r="W112" i="32" s="1"/>
  <c r="C114" i="32"/>
  <c r="W114" i="32" s="1"/>
  <c r="C116" i="32"/>
  <c r="W116" i="32" s="1"/>
  <c r="C118" i="32"/>
  <c r="W118" i="32" s="1"/>
  <c r="C120" i="32"/>
  <c r="W120" i="32" s="1"/>
  <c r="C122" i="32"/>
  <c r="W122" i="32" s="1"/>
  <c r="C124" i="32"/>
  <c r="W124" i="32" s="1"/>
  <c r="C126" i="32"/>
  <c r="W126" i="32" s="1"/>
  <c r="C128" i="32"/>
  <c r="W128" i="32" s="1"/>
  <c r="C70" i="32"/>
  <c r="C72" i="32"/>
  <c r="C74" i="32"/>
  <c r="W74" i="32" s="1"/>
  <c r="C76" i="32"/>
  <c r="W76" i="32" s="1"/>
  <c r="C78" i="32"/>
  <c r="W78" i="32" s="1"/>
  <c r="C80" i="32"/>
  <c r="W80" i="32" s="1"/>
  <c r="C88" i="32"/>
  <c r="W88" i="32" s="1"/>
  <c r="C82" i="32"/>
  <c r="W82" i="32" s="1"/>
  <c r="C84" i="32"/>
  <c r="W84" i="32" s="1"/>
  <c r="C86" i="32"/>
  <c r="W86" i="32" s="1"/>
  <c r="C30" i="32"/>
  <c r="K2431" i="27" s="1"/>
  <c r="C32" i="32"/>
  <c r="W32" i="32" s="1"/>
  <c r="C48" i="32"/>
  <c r="C34" i="32"/>
  <c r="W34" i="32" s="1"/>
  <c r="C46" i="32"/>
  <c r="W46" i="32" s="1"/>
  <c r="C36" i="32"/>
  <c r="W36" i="32" s="1"/>
  <c r="C38" i="32"/>
  <c r="W38" i="32" s="1"/>
  <c r="C40" i="32"/>
  <c r="W40" i="32" s="1"/>
  <c r="C42" i="32"/>
  <c r="W42" i="32" s="1"/>
  <c r="C44" i="32"/>
  <c r="W44" i="32" s="1"/>
  <c r="C146" i="32"/>
  <c r="W146" i="32" s="1"/>
  <c r="C130" i="32"/>
  <c r="W130" i="32" s="1"/>
  <c r="C132" i="32"/>
  <c r="W132" i="32" s="1"/>
  <c r="C134" i="32"/>
  <c r="W134" i="32" s="1"/>
  <c r="C140" i="32"/>
  <c r="W140" i="32" s="1"/>
  <c r="C144" i="32"/>
  <c r="W144" i="32" s="1"/>
  <c r="C148" i="32"/>
  <c r="W148" i="32" s="1"/>
  <c r="C136" i="32"/>
  <c r="W136" i="32" s="1"/>
  <c r="C138" i="32"/>
  <c r="W138" i="32" s="1"/>
  <c r="C142" i="32"/>
  <c r="W142" i="32" s="1"/>
  <c r="C156" i="32"/>
  <c r="W156" i="32" s="1"/>
  <c r="C158" i="32"/>
  <c r="W158" i="32" s="1"/>
  <c r="C160" i="32"/>
  <c r="W160" i="32" s="1"/>
  <c r="C154" i="32"/>
  <c r="W154" i="32" s="1"/>
  <c r="C152" i="32"/>
  <c r="W152" i="32" s="1"/>
  <c r="C150" i="32"/>
  <c r="W150" i="32" s="1"/>
  <c r="C108" i="32"/>
  <c r="W108" i="32" s="1"/>
  <c r="C104" i="32"/>
  <c r="W104" i="32" s="1"/>
  <c r="C106" i="32"/>
  <c r="W106" i="32" s="1"/>
  <c r="C90" i="32"/>
  <c r="W90" i="32" s="1"/>
  <c r="C94" i="32"/>
  <c r="W94" i="32" s="1"/>
  <c r="C92" i="32"/>
  <c r="W92" i="32" s="1"/>
  <c r="C96" i="32"/>
  <c r="W96" i="32" s="1"/>
  <c r="C98" i="32"/>
  <c r="W98" i="32" s="1"/>
  <c r="C100" i="32"/>
  <c r="W100" i="32" s="1"/>
  <c r="C102" i="32"/>
  <c r="W102" i="32" s="1"/>
  <c r="C60" i="32"/>
  <c r="W60" i="32" s="1"/>
  <c r="C62" i="32"/>
  <c r="W62" i="32" s="1"/>
  <c r="C64" i="32"/>
  <c r="W64" i="32" s="1"/>
  <c r="C66" i="32"/>
  <c r="W66" i="32" s="1"/>
  <c r="C68" i="32"/>
  <c r="W68" i="32" s="1"/>
  <c r="C52" i="32"/>
  <c r="W52" i="32" s="1"/>
  <c r="C50" i="32"/>
  <c r="C58" i="32"/>
  <c r="W58" i="32" s="1"/>
  <c r="C54" i="32"/>
  <c r="W54" i="32" s="1"/>
  <c r="C56" i="32"/>
  <c r="W56" i="32" s="1"/>
  <c r="C286" i="24"/>
  <c r="AY76" i="34"/>
  <c r="AE59" i="33"/>
  <c r="G755" i="32"/>
  <c r="D460" i="27"/>
  <c r="G460" i="27"/>
  <c r="P57" i="33"/>
  <c r="Y59" i="33"/>
  <c r="P460" i="27"/>
  <c r="F460" i="27"/>
  <c r="O59" i="33"/>
  <c r="BC75" i="34"/>
  <c r="J460" i="27"/>
  <c r="J354" i="27"/>
  <c r="I354" i="27"/>
  <c r="J1412" i="27"/>
  <c r="M775" i="27"/>
  <c r="N4291" i="27"/>
  <c r="M460" i="27" a="1"/>
  <c r="K775" i="27"/>
  <c r="I775" i="27"/>
  <c r="N354" i="27"/>
  <c r="O4291" i="27"/>
  <c r="M4291" i="27"/>
  <c r="E460" i="27"/>
  <c r="AB59" i="33"/>
  <c r="AH59" i="33"/>
  <c r="O60" i="33"/>
  <c r="I1412" i="27"/>
  <c r="A759" i="32"/>
  <c r="L1412" i="27"/>
  <c r="M354" i="27"/>
  <c r="K354" i="27"/>
  <c r="N460" i="27"/>
  <c r="K1412" i="27"/>
  <c r="R460" i="27"/>
  <c r="V57" i="33"/>
  <c r="F4291" i="27"/>
  <c r="A460" i="32"/>
  <c r="N775" i="27"/>
  <c r="J775" i="27"/>
  <c r="G144" i="32"/>
  <c r="AK59" i="33"/>
  <c r="G456" i="32"/>
  <c r="S57" i="33"/>
  <c r="A148" i="32"/>
  <c r="G1396" i="27"/>
  <c r="L460" i="27"/>
  <c r="M460" i="27" l="1"/>
  <c r="A460" i="27" s="1"/>
  <c r="C462" i="27"/>
  <c r="B463" i="27"/>
  <c r="I462" i="27"/>
  <c r="F5386" i="27"/>
  <c r="F4587" i="27"/>
  <c r="F4588" i="27" s="1"/>
  <c r="F4589" i="27" s="1"/>
  <c r="F4590" i="27" s="1"/>
  <c r="F4591" i="27" s="1"/>
  <c r="F4586" i="27"/>
  <c r="A4291" i="27"/>
  <c r="W50" i="32"/>
  <c r="K2441" i="27"/>
  <c r="W48" i="32"/>
  <c r="K2440" i="27"/>
  <c r="W72" i="32"/>
  <c r="K2152" i="27"/>
  <c r="W70" i="32"/>
  <c r="K2151" i="27"/>
  <c r="W30" i="32"/>
  <c r="K2131" i="27"/>
  <c r="A1412" i="27"/>
  <c r="H1415" i="27"/>
  <c r="P683" i="32"/>
  <c r="Q681" i="32"/>
  <c r="P879" i="32"/>
  <c r="Q877" i="32"/>
  <c r="P841" i="32"/>
  <c r="Q839" i="32"/>
  <c r="A775" i="27"/>
  <c r="H778" i="27"/>
  <c r="H777" i="27"/>
  <c r="A354" i="27"/>
  <c r="T354" i="27" s="1"/>
  <c r="H356" i="27"/>
  <c r="P199" i="24"/>
  <c r="R199" i="24"/>
  <c r="O199" i="24"/>
  <c r="L197" i="24"/>
  <c r="Q199" i="24"/>
  <c r="AO199" i="24"/>
  <c r="N197" i="24"/>
  <c r="M197" i="24"/>
  <c r="S199" i="24"/>
  <c r="BB63" i="33"/>
  <c r="AS75" i="34"/>
  <c r="U761" i="32"/>
  <c r="U150" i="32"/>
  <c r="U462" i="32"/>
  <c r="Q190" i="32"/>
  <c r="Q214" i="32"/>
  <c r="Q198" i="32"/>
  <c r="Q212" i="32"/>
  <c r="Q202" i="32"/>
  <c r="Q224" i="32"/>
  <c r="Q208" i="32"/>
  <c r="Q210" i="32"/>
  <c r="Q242" i="32"/>
  <c r="Q250" i="32"/>
  <c r="Q240" i="32"/>
  <c r="Q252" i="32"/>
  <c r="Q238" i="32"/>
  <c r="Q256" i="32"/>
  <c r="Q236" i="32"/>
  <c r="Q266" i="32"/>
  <c r="Q248" i="32"/>
  <c r="Q264" i="32"/>
  <c r="Q244" i="32"/>
  <c r="Q254" i="32"/>
  <c r="Q234" i="32"/>
  <c r="Q262" i="32"/>
  <c r="Q246" i="32"/>
  <c r="Q260" i="32"/>
  <c r="Q232" i="32"/>
  <c r="Q268" i="32"/>
  <c r="Q230" i="32"/>
  <c r="Q258" i="32"/>
  <c r="Q168" i="32"/>
  <c r="Q188" i="32"/>
  <c r="Q186" i="32"/>
  <c r="Q164" i="32"/>
  <c r="Q184" i="32"/>
  <c r="Q162" i="32"/>
  <c r="Q182" i="32"/>
  <c r="Q196" i="32"/>
  <c r="Q228" i="32"/>
  <c r="Q180" i="32"/>
  <c r="Q194" i="32"/>
  <c r="Q226" i="32"/>
  <c r="Q178" i="32"/>
  <c r="Q206" i="32"/>
  <c r="Q222" i="32"/>
  <c r="Q176" i="32"/>
  <c r="Q166" i="32"/>
  <c r="Q200" i="32"/>
  <c r="Q220" i="32"/>
  <c r="Q174" i="32"/>
  <c r="Q192" i="32"/>
  <c r="Q218" i="32"/>
  <c r="Q172" i="32"/>
  <c r="Q204" i="32"/>
  <c r="Q216" i="32"/>
  <c r="Q170" i="32"/>
  <c r="Q152" i="32"/>
  <c r="Q132" i="32"/>
  <c r="Q154" i="32"/>
  <c r="Q130" i="32"/>
  <c r="Q158" i="32"/>
  <c r="Q156" i="32"/>
  <c r="Q86" i="32"/>
  <c r="Q146" i="32"/>
  <c r="Q84" i="32"/>
  <c r="Q50" i="32"/>
  <c r="Q82" i="32"/>
  <c r="Q56" i="32"/>
  <c r="Q88" i="32"/>
  <c r="Q80" i="32"/>
  <c r="Q66" i="32"/>
  <c r="Q78" i="32"/>
  <c r="Q64" i="32"/>
  <c r="Q76" i="32"/>
  <c r="Q62" i="32"/>
  <c r="Q74" i="32"/>
  <c r="Q60" i="32"/>
  <c r="Q72" i="32"/>
  <c r="Q102" i="32"/>
  <c r="Q70" i="32"/>
  <c r="Q54" i="32"/>
  <c r="Q128" i="32"/>
  <c r="Q100" i="32"/>
  <c r="Q96" i="32"/>
  <c r="Q124" i="32"/>
  <c r="Q160" i="32"/>
  <c r="Q58" i="32"/>
  <c r="Q52" i="32"/>
  <c r="Q98" i="32"/>
  <c r="Q92" i="32"/>
  <c r="Q142" i="32"/>
  <c r="Q122" i="32"/>
  <c r="P30" i="32"/>
  <c r="P32" i="32" s="1"/>
  <c r="P34" i="32" s="1"/>
  <c r="P36" i="32" s="1"/>
  <c r="P38" i="32" s="1"/>
  <c r="P40" i="32" s="1"/>
  <c r="P42" i="32" s="1"/>
  <c r="P44" i="32" s="1"/>
  <c r="P46" i="32" s="1"/>
  <c r="P48" i="32" s="1"/>
  <c r="P50" i="32" s="1"/>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8" i="32"/>
  <c r="Q120" i="32"/>
  <c r="Q136" i="32"/>
  <c r="Q118" i="32"/>
  <c r="Q148" i="32"/>
  <c r="Q116" i="32"/>
  <c r="Q68" i="32"/>
  <c r="Q126" i="32"/>
  <c r="Q144" i="32"/>
  <c r="Q114" i="32"/>
  <c r="Q94" i="32"/>
  <c r="Q106" i="32"/>
  <c r="Q104" i="32"/>
  <c r="Q108" i="32"/>
  <c r="Q140" i="32"/>
  <c r="Q112" i="32"/>
  <c r="Q90" i="32"/>
  <c r="Q150" i="32"/>
  <c r="Q134" i="32"/>
  <c r="Q110" i="32"/>
  <c r="C287" i="24"/>
  <c r="AY77" i="34"/>
  <c r="R2" i="28"/>
  <c r="E2" i="28"/>
  <c r="J461" i="27"/>
  <c r="G461" i="27"/>
  <c r="O61" i="33"/>
  <c r="N4292" i="27"/>
  <c r="I355" i="27"/>
  <c r="R461" i="27"/>
  <c r="G458" i="32"/>
  <c r="AH61" i="33"/>
  <c r="E461" i="27"/>
  <c r="K1413" i="27"/>
  <c r="N355" i="27"/>
  <c r="O62" i="33"/>
  <c r="N461" i="27"/>
  <c r="L461" i="27"/>
  <c r="F4292" i="27"/>
  <c r="J1413" i="27"/>
  <c r="AK61" i="33"/>
  <c r="G757" i="32"/>
  <c r="P59" i="33"/>
  <c r="F461" i="27"/>
  <c r="G1397" i="27"/>
  <c r="D461" i="27"/>
  <c r="I1413" i="27"/>
  <c r="M355" i="27"/>
  <c r="AE61" i="33"/>
  <c r="Y61" i="33"/>
  <c r="L1413" i="27"/>
  <c r="M461" i="27" a="1"/>
  <c r="A761" i="32"/>
  <c r="S59" i="33"/>
  <c r="O4292" i="27"/>
  <c r="M4292" i="27"/>
  <c r="BC76" i="34"/>
  <c r="I1414" i="27"/>
  <c r="BD76" i="34"/>
  <c r="A462" i="32"/>
  <c r="K1414" i="27"/>
  <c r="G146" i="32"/>
  <c r="AB61" i="33"/>
  <c r="A150" i="32"/>
  <c r="P461" i="27"/>
  <c r="V59" i="33"/>
  <c r="K355" i="27"/>
  <c r="J1414" i="27"/>
  <c r="L1414" i="27"/>
  <c r="BC77" i="34"/>
  <c r="J355" i="27"/>
  <c r="M461" i="27" l="1"/>
  <c r="A461" i="27" s="1"/>
  <c r="C463" i="27"/>
  <c r="B464" i="27"/>
  <c r="I463" i="27"/>
  <c r="F5387" i="27"/>
  <c r="F4593" i="27"/>
  <c r="F4594" i="27" s="1"/>
  <c r="F4595" i="27" s="1"/>
  <c r="F4596" i="27" s="1"/>
  <c r="F4597" i="27" s="1"/>
  <c r="F4592" i="27"/>
  <c r="A4292" i="27"/>
  <c r="A1413" i="27"/>
  <c r="A1414" i="27"/>
  <c r="H1416" i="27"/>
  <c r="P843" i="32"/>
  <c r="Q841" i="32"/>
  <c r="P881" i="32"/>
  <c r="Q879" i="32"/>
  <c r="P685" i="32"/>
  <c r="Q683" i="32"/>
  <c r="H779" i="27"/>
  <c r="A355" i="27"/>
  <c r="T355" i="27" s="1"/>
  <c r="H357" i="27"/>
  <c r="Q40" i="32"/>
  <c r="Q32" i="32"/>
  <c r="Q36" i="32"/>
  <c r="Q30" i="32"/>
  <c r="Q34" i="32"/>
  <c r="Q42" i="32"/>
  <c r="Q38" i="32"/>
  <c r="Q44" i="32"/>
  <c r="Q46" i="32"/>
  <c r="Q48" i="32"/>
  <c r="S201" i="24"/>
  <c r="Q201" i="24"/>
  <c r="AO201" i="24"/>
  <c r="O201" i="24"/>
  <c r="M199" i="24"/>
  <c r="R201" i="24"/>
  <c r="P201" i="24"/>
  <c r="N199" i="24"/>
  <c r="L199" i="24"/>
  <c r="BB65" i="33"/>
  <c r="AS76" i="34"/>
  <c r="U464" i="32"/>
  <c r="U152" i="32"/>
  <c r="U763" i="32"/>
  <c r="C288" i="24"/>
  <c r="AY78" i="34"/>
  <c r="C2" i="28"/>
  <c r="BD77" i="34"/>
  <c r="F4293" i="27"/>
  <c r="A464" i="32"/>
  <c r="R462" i="27"/>
  <c r="AE63" i="33"/>
  <c r="G759" i="32"/>
  <c r="K356" i="27"/>
  <c r="J778" i="27"/>
  <c r="F462" i="27"/>
  <c r="P61" i="33"/>
  <c r="P462" i="27"/>
  <c r="J462" i="27"/>
  <c r="K1415" i="27"/>
  <c r="I1415" i="27"/>
  <c r="AK63" i="33"/>
  <c r="G1398" i="27"/>
  <c r="N462" i="27"/>
  <c r="L1415" i="27"/>
  <c r="Y63" i="33"/>
  <c r="G148" i="32"/>
  <c r="L462" i="27"/>
  <c r="G462" i="27"/>
  <c r="O64" i="33"/>
  <c r="M462" i="27" a="1"/>
  <c r="AB63" i="33"/>
  <c r="I356" i="27"/>
  <c r="J1415" i="27"/>
  <c r="S61" i="33"/>
  <c r="K778" i="27"/>
  <c r="N356" i="27"/>
  <c r="AH63" i="33"/>
  <c r="I778" i="27"/>
  <c r="G460" i="32"/>
  <c r="O63" i="33"/>
  <c r="M356" i="27"/>
  <c r="A152" i="32"/>
  <c r="BC78" i="34"/>
  <c r="V61" i="33"/>
  <c r="A763" i="32"/>
  <c r="M778" i="27"/>
  <c r="N4293" i="27"/>
  <c r="M4293" i="27"/>
  <c r="D462" i="27"/>
  <c r="O4293" i="27"/>
  <c r="E462" i="27"/>
  <c r="N778" i="27"/>
  <c r="J356" i="27"/>
  <c r="M462" i="27" l="1"/>
  <c r="A462" i="27" s="1"/>
  <c r="B465" i="27"/>
  <c r="C464" i="27"/>
  <c r="I464" i="27"/>
  <c r="F5388" i="27"/>
  <c r="F4598" i="27"/>
  <c r="F4599" i="27"/>
  <c r="F4600" i="27" s="1"/>
  <c r="F4601" i="27" s="1"/>
  <c r="F4602" i="27" s="1"/>
  <c r="F4603" i="27" s="1"/>
  <c r="A4293" i="27"/>
  <c r="A1415" i="27"/>
  <c r="H1417" i="27"/>
  <c r="P845" i="32"/>
  <c r="Q843" i="32"/>
  <c r="P687" i="32"/>
  <c r="Q685" i="32"/>
  <c r="P883" i="32"/>
  <c r="Q881" i="32"/>
  <c r="A778" i="27"/>
  <c r="H780" i="27"/>
  <c r="A356" i="27"/>
  <c r="T356" i="27" s="1"/>
  <c r="H359" i="27"/>
  <c r="H358" i="27"/>
  <c r="S203" i="24"/>
  <c r="Q203" i="24"/>
  <c r="AO203" i="24"/>
  <c r="M201" i="24"/>
  <c r="P203" i="24"/>
  <c r="R203" i="24"/>
  <c r="L201" i="24"/>
  <c r="O203" i="24"/>
  <c r="N201" i="24"/>
  <c r="BB67" i="33"/>
  <c r="AS77" i="34"/>
  <c r="U466" i="32"/>
  <c r="U765" i="32"/>
  <c r="U154" i="32"/>
  <c r="C289" i="24"/>
  <c r="AY79" i="34"/>
  <c r="N2" i="28"/>
  <c r="A2" i="28" s="1"/>
  <c r="B2" i="28"/>
  <c r="J2" i="28"/>
  <c r="F2" i="28"/>
  <c r="K2" i="28"/>
  <c r="H2" i="28"/>
  <c r="I2" i="28"/>
  <c r="A154" i="32"/>
  <c r="E463" i="27"/>
  <c r="N4294" i="27"/>
  <c r="M463" i="27" a="1"/>
  <c r="N779" i="27"/>
  <c r="BD79" i="34"/>
  <c r="A765" i="32"/>
  <c r="J1416" i="27"/>
  <c r="A466" i="32"/>
  <c r="O65" i="33"/>
  <c r="P463" i="27"/>
  <c r="G761" i="32"/>
  <c r="G150" i="32"/>
  <c r="F4294" i="27"/>
  <c r="J463" i="27"/>
  <c r="K779" i="27"/>
  <c r="G462" i="32"/>
  <c r="D463" i="27"/>
  <c r="M779" i="27"/>
  <c r="S63" i="33"/>
  <c r="M2" i="28"/>
  <c r="AE65" i="33"/>
  <c r="G1399" i="27"/>
  <c r="R463" i="27"/>
  <c r="I779" i="27"/>
  <c r="BD78" i="34"/>
  <c r="Y65" i="33"/>
  <c r="F463" i="27"/>
  <c r="K1416" i="27"/>
  <c r="I1416" i="27"/>
  <c r="L463" i="27"/>
  <c r="G463" i="27"/>
  <c r="AK65" i="33"/>
  <c r="AB65" i="33"/>
  <c r="V63" i="33"/>
  <c r="P63" i="33"/>
  <c r="L1416" i="27"/>
  <c r="M4294" i="27"/>
  <c r="O66" i="33"/>
  <c r="O4294" i="27"/>
  <c r="AH65" i="33"/>
  <c r="N463" i="27"/>
  <c r="J779" i="27"/>
  <c r="M463" i="27" l="1"/>
  <c r="A463" i="27" s="1"/>
  <c r="C465" i="27"/>
  <c r="B466" i="27"/>
  <c r="I465" i="27"/>
  <c r="F5389" i="27"/>
  <c r="F4605" i="27"/>
  <c r="F4606" i="27" s="1"/>
  <c r="F4607" i="27" s="1"/>
  <c r="F4608" i="27" s="1"/>
  <c r="F4609" i="27" s="1"/>
  <c r="F4604" i="27"/>
  <c r="A4294" i="27"/>
  <c r="A1416" i="27"/>
  <c r="H1418" i="27"/>
  <c r="P847" i="32"/>
  <c r="Q845" i="32"/>
  <c r="P885" i="32"/>
  <c r="Q883" i="32"/>
  <c r="P689" i="32"/>
  <c r="Q687" i="32"/>
  <c r="A779" i="27"/>
  <c r="H781" i="27"/>
  <c r="H360" i="27"/>
  <c r="S205" i="24"/>
  <c r="M203" i="24"/>
  <c r="L203" i="24"/>
  <c r="Q205" i="24"/>
  <c r="AO205" i="24"/>
  <c r="O205" i="24"/>
  <c r="N203" i="24"/>
  <c r="P205" i="24"/>
  <c r="R205" i="24"/>
  <c r="AS78" i="34"/>
  <c r="U156" i="32"/>
  <c r="U767" i="32"/>
  <c r="U468" i="32"/>
  <c r="C290" i="24"/>
  <c r="AY80" i="34"/>
  <c r="D2" i="28"/>
  <c r="N464" i="27"/>
  <c r="G763" i="32"/>
  <c r="AA68" i="33"/>
  <c r="R67" i="33"/>
  <c r="F4295" i="27"/>
  <c r="L1417" i="27"/>
  <c r="Y67" i="33"/>
  <c r="O68" i="33"/>
  <c r="M4295" i="27"/>
  <c r="AC67" i="33"/>
  <c r="AD68" i="33"/>
  <c r="A156" i="32"/>
  <c r="N359" i="27"/>
  <c r="I359" i="27"/>
  <c r="J464" i="27"/>
  <c r="X67" i="33"/>
  <c r="Q67" i="33"/>
  <c r="P65" i="33"/>
  <c r="BC80" i="34"/>
  <c r="I780" i="27"/>
  <c r="M359" i="27"/>
  <c r="AG68" i="33"/>
  <c r="K359" i="27"/>
  <c r="AJ68" i="33"/>
  <c r="AG67" i="33"/>
  <c r="I1417" i="27"/>
  <c r="P464" i="27"/>
  <c r="AF67" i="33"/>
  <c r="X68" i="33"/>
  <c r="AL67" i="33"/>
  <c r="Z67" i="33"/>
  <c r="J1417" i="27"/>
  <c r="R68" i="33"/>
  <c r="T67" i="33"/>
  <c r="G1400" i="27"/>
  <c r="A468" i="32"/>
  <c r="M464" i="27" a="1"/>
  <c r="N4295" i="27"/>
  <c r="AI67" i="33"/>
  <c r="S65" i="33"/>
  <c r="M780" i="27"/>
  <c r="AJ67" i="33"/>
  <c r="G152" i="32"/>
  <c r="AA67" i="33"/>
  <c r="J780" i="27"/>
  <c r="A767" i="32"/>
  <c r="AE67" i="33"/>
  <c r="K1417" i="27"/>
  <c r="D464" i="27"/>
  <c r="N780" i="27"/>
  <c r="U68" i="33"/>
  <c r="W67" i="33"/>
  <c r="O67" i="33"/>
  <c r="L464" i="27"/>
  <c r="J359" i="27"/>
  <c r="F464" i="27"/>
  <c r="BC79" i="34"/>
  <c r="E464" i="27"/>
  <c r="G464" i="27"/>
  <c r="AK67" i="33"/>
  <c r="R464" i="27"/>
  <c r="AB67" i="33"/>
  <c r="V65" i="33"/>
  <c r="K780" i="27"/>
  <c r="AD67" i="33"/>
  <c r="U67" i="33"/>
  <c r="G464" i="32"/>
  <c r="AH67" i="33"/>
  <c r="O4295" i="27"/>
  <c r="M464" i="27" l="1"/>
  <c r="A464" i="27" s="1"/>
  <c r="C466" i="27"/>
  <c r="B467" i="27"/>
  <c r="I466" i="27"/>
  <c r="F5391" i="27"/>
  <c r="F5390" i="27"/>
  <c r="F4611" i="27"/>
  <c r="F4612" i="27" s="1"/>
  <c r="F4613" i="27" s="1"/>
  <c r="F4614" i="27" s="1"/>
  <c r="F4615" i="27" s="1"/>
  <c r="F4610" i="27"/>
  <c r="A4295" i="27"/>
  <c r="A1417" i="27"/>
  <c r="H1419" i="27"/>
  <c r="H1420" i="27"/>
  <c r="P849" i="32"/>
  <c r="Q847" i="32"/>
  <c r="P887" i="32"/>
  <c r="Q885" i="32"/>
  <c r="P691" i="32"/>
  <c r="Q689" i="32"/>
  <c r="A780" i="27"/>
  <c r="H782" i="27"/>
  <c r="A359" i="27"/>
  <c r="T359" i="27" s="1"/>
  <c r="H361" i="27"/>
  <c r="O207" i="24"/>
  <c r="Q207" i="24"/>
  <c r="AO207" i="24"/>
  <c r="S207" i="24"/>
  <c r="P207" i="24"/>
  <c r="N205" i="24"/>
  <c r="R207" i="24"/>
  <c r="L205" i="24"/>
  <c r="M205" i="24"/>
  <c r="AS79" i="34"/>
  <c r="U470" i="32"/>
  <c r="U769" i="32"/>
  <c r="U158" i="32"/>
  <c r="C291" i="24"/>
  <c r="AY81" i="34"/>
  <c r="D465" i="27"/>
  <c r="P465" i="27"/>
  <c r="I360" i="27"/>
  <c r="M465" i="27" a="1"/>
  <c r="F465" i="27"/>
  <c r="V67" i="33"/>
  <c r="I781" i="27"/>
  <c r="R465" i="27"/>
  <c r="G1401" i="27"/>
  <c r="K781" i="27"/>
  <c r="J360" i="27"/>
  <c r="I1418" i="27"/>
  <c r="G466" i="32"/>
  <c r="A470" i="32"/>
  <c r="K1418" i="27"/>
  <c r="P67" i="33"/>
  <c r="K360" i="27"/>
  <c r="E465" i="27"/>
  <c r="A769" i="32"/>
  <c r="M4296" i="27"/>
  <c r="G154" i="32"/>
  <c r="J465" i="27"/>
  <c r="G765" i="32"/>
  <c r="N4296" i="27"/>
  <c r="N781" i="27"/>
  <c r="N465" i="27"/>
  <c r="L1418" i="27"/>
  <c r="M360" i="27"/>
  <c r="BD80" i="34"/>
  <c r="J781" i="27"/>
  <c r="J1418" i="27"/>
  <c r="A158" i="32"/>
  <c r="O4296" i="27"/>
  <c r="G465" i="27"/>
  <c r="N360" i="27"/>
  <c r="BC81" i="34"/>
  <c r="L465" i="27"/>
  <c r="M781" i="27"/>
  <c r="S67" i="33"/>
  <c r="F4296" i="27"/>
  <c r="M465" i="27" l="1"/>
  <c r="A465" i="27" s="1"/>
  <c r="C467" i="27"/>
  <c r="I467" i="27"/>
  <c r="F5392" i="27"/>
  <c r="F4617" i="27"/>
  <c r="F4618" i="27" s="1"/>
  <c r="F4619" i="27" s="1"/>
  <c r="F4620" i="27" s="1"/>
  <c r="F4621" i="27" s="1"/>
  <c r="F4616" i="27"/>
  <c r="A4296" i="27"/>
  <c r="A1418" i="27"/>
  <c r="H1421" i="27"/>
  <c r="P851" i="32"/>
  <c r="Q849" i="32"/>
  <c r="P889" i="32"/>
  <c r="Q887" i="32"/>
  <c r="P693" i="32"/>
  <c r="Q691" i="32"/>
  <c r="A781" i="27"/>
  <c r="H783" i="27"/>
  <c r="H784" i="27"/>
  <c r="A360" i="27"/>
  <c r="T360" i="27" s="1"/>
  <c r="H362" i="27"/>
  <c r="N207" i="24"/>
  <c r="L207" i="24"/>
  <c r="M207" i="24"/>
  <c r="AS80" i="34"/>
  <c r="U160" i="32"/>
  <c r="U771" i="32"/>
  <c r="U472" i="32"/>
  <c r="AY82" i="34"/>
  <c r="L1419" i="27"/>
  <c r="BD81" i="34"/>
  <c r="F466" i="27"/>
  <c r="J361" i="27"/>
  <c r="G466" i="27"/>
  <c r="M361" i="27"/>
  <c r="N361" i="27"/>
  <c r="J466" i="27"/>
  <c r="A160" i="32"/>
  <c r="K361" i="27"/>
  <c r="BC82" i="34"/>
  <c r="L1420" i="27"/>
  <c r="G1402" i="27"/>
  <c r="I1420" i="27"/>
  <c r="M466" i="27" a="1"/>
  <c r="N466" i="27"/>
  <c r="F4297" i="27"/>
  <c r="K1419" i="27"/>
  <c r="I1419" i="27"/>
  <c r="O4297" i="27"/>
  <c r="K1420" i="27"/>
  <c r="D466" i="27"/>
  <c r="I361" i="27"/>
  <c r="J1420" i="27"/>
  <c r="P466" i="27"/>
  <c r="R466" i="27"/>
  <c r="N4297" i="27"/>
  <c r="M4297" i="27"/>
  <c r="G156" i="32"/>
  <c r="E466" i="27"/>
  <c r="G767" i="32"/>
  <c r="J1419" i="27"/>
  <c r="G468" i="32"/>
  <c r="L466" i="27"/>
  <c r="A472" i="32"/>
  <c r="A771" i="32"/>
  <c r="M466" i="27" l="1"/>
  <c r="A466" i="27" s="1"/>
  <c r="F5393" i="27"/>
  <c r="F4622" i="27"/>
  <c r="F4623" i="27"/>
  <c r="F4624" i="27" s="1"/>
  <c r="F4625" i="27" s="1"/>
  <c r="F4626" i="27" s="1"/>
  <c r="F4627" i="27" s="1"/>
  <c r="A4297" i="27"/>
  <c r="A1420" i="27"/>
  <c r="A1419" i="27"/>
  <c r="H1422" i="27"/>
  <c r="P891" i="32"/>
  <c r="Q889" i="32"/>
  <c r="P853" i="32"/>
  <c r="Q851" i="32"/>
  <c r="P695" i="32"/>
  <c r="Q693" i="32"/>
  <c r="H785" i="27"/>
  <c r="A361" i="27"/>
  <c r="T361" i="27" s="1"/>
  <c r="H363" i="27"/>
  <c r="AS81" i="34"/>
  <c r="U773" i="32"/>
  <c r="U474" i="32"/>
  <c r="U162" i="32"/>
  <c r="AY83" i="34"/>
  <c r="Q2" i="28"/>
  <c r="N784" i="27"/>
  <c r="BC83" i="34"/>
  <c r="K1421" i="27"/>
  <c r="L467" i="27"/>
  <c r="P467" i="27"/>
  <c r="E467" i="27"/>
  <c r="O4298" i="27"/>
  <c r="I784" i="27"/>
  <c r="G1403" i="27"/>
  <c r="M4298" i="27"/>
  <c r="J784" i="27"/>
  <c r="M467" i="27" a="1"/>
  <c r="BD82" i="34"/>
  <c r="M784" i="27"/>
  <c r="G467" i="27"/>
  <c r="N362" i="27"/>
  <c r="G769" i="32"/>
  <c r="I1421" i="27"/>
  <c r="F4298" i="27"/>
  <c r="D467" i="27"/>
  <c r="L1421" i="27"/>
  <c r="K784" i="27"/>
  <c r="R467" i="27"/>
  <c r="F467" i="27"/>
  <c r="A162" i="32"/>
  <c r="M362" i="27"/>
  <c r="G158" i="32"/>
  <c r="J1421" i="27"/>
  <c r="A474" i="32"/>
  <c r="K362" i="27"/>
  <c r="J362" i="27"/>
  <c r="G470" i="32"/>
  <c r="N467" i="27"/>
  <c r="J467" i="27"/>
  <c r="I362" i="27"/>
  <c r="N4298" i="27"/>
  <c r="M467" i="27" l="1"/>
  <c r="A467" i="27" s="1"/>
  <c r="F5394" i="27"/>
  <c r="F4629" i="27"/>
  <c r="F4630" i="27" s="1"/>
  <c r="F4631" i="27" s="1"/>
  <c r="F4632" i="27" s="1"/>
  <c r="F4633" i="27" s="1"/>
  <c r="F4628" i="27"/>
  <c r="A4298" i="27"/>
  <c r="A1421" i="27"/>
  <c r="H1423" i="27"/>
  <c r="P855" i="32"/>
  <c r="Q853" i="32"/>
  <c r="P893" i="32"/>
  <c r="Q891" i="32"/>
  <c r="P697" i="32"/>
  <c r="Q695" i="32"/>
  <c r="A784" i="27"/>
  <c r="H786" i="27"/>
  <c r="A362" i="27"/>
  <c r="T362" i="27" s="1"/>
  <c r="H364" i="27"/>
  <c r="H365" i="27"/>
  <c r="AS82" i="34"/>
  <c r="U164" i="32"/>
  <c r="U476" i="32"/>
  <c r="U775" i="32"/>
  <c r="C294" i="24"/>
  <c r="AY84" i="34"/>
  <c r="J419" i="27"/>
  <c r="J420" i="27"/>
  <c r="J474" i="27"/>
  <c r="J475" i="27"/>
  <c r="J840" i="27"/>
  <c r="J841" i="27"/>
  <c r="J936" i="27"/>
  <c r="J937" i="27"/>
  <c r="J1661" i="27"/>
  <c r="J4060" i="27"/>
  <c r="J4061" i="27"/>
  <c r="J4062" i="27"/>
  <c r="J4305" i="27"/>
  <c r="J4306" i="27"/>
  <c r="J4307" i="27"/>
  <c r="J4308" i="27"/>
  <c r="J5751" i="27"/>
  <c r="J5752" i="27"/>
  <c r="J5753" i="27"/>
  <c r="J5754" i="27"/>
  <c r="J5755" i="27"/>
  <c r="J5756" i="27"/>
  <c r="J5757" i="27"/>
  <c r="J5758" i="27"/>
  <c r="J5759" i="27"/>
  <c r="J5760" i="27"/>
  <c r="J5761" i="27"/>
  <c r="J5762" i="27"/>
  <c r="J5763" i="27"/>
  <c r="J5764" i="27"/>
  <c r="J5765" i="27"/>
  <c r="J5766" i="27"/>
  <c r="J5767" i="27"/>
  <c r="J5768" i="27"/>
  <c r="J5769" i="27"/>
  <c r="J5770" i="27"/>
  <c r="J5771" i="27"/>
  <c r="J5772" i="27"/>
  <c r="J5773" i="27"/>
  <c r="J5774" i="27"/>
  <c r="J5775" i="27"/>
  <c r="J5776" i="27"/>
  <c r="J5777" i="27"/>
  <c r="J5778" i="27"/>
  <c r="J5779" i="27"/>
  <c r="J5780" i="27"/>
  <c r="J5781" i="27"/>
  <c r="J5782" i="27"/>
  <c r="J5783" i="27"/>
  <c r="J5784" i="27"/>
  <c r="J5785" i="27"/>
  <c r="J5786" i="27"/>
  <c r="J5787" i="27"/>
  <c r="J5788" i="27"/>
  <c r="J5789" i="27"/>
  <c r="J5790" i="27"/>
  <c r="J5791" i="27"/>
  <c r="J5792" i="27"/>
  <c r="J5793" i="27"/>
  <c r="J5794" i="27"/>
  <c r="J5795" i="27"/>
  <c r="J5796" i="27"/>
  <c r="J5797" i="27"/>
  <c r="J5798" i="27"/>
  <c r="J5799" i="27"/>
  <c r="J5800" i="27"/>
  <c r="J5801" i="27"/>
  <c r="J5802" i="27"/>
  <c r="J5803" i="27"/>
  <c r="J5804" i="27"/>
  <c r="J5805" i="27"/>
  <c r="J5806" i="27"/>
  <c r="J5807" i="27"/>
  <c r="J5808" i="27"/>
  <c r="J5809" i="27"/>
  <c r="J5810" i="27"/>
  <c r="J5811" i="27"/>
  <c r="J5812" i="27"/>
  <c r="J5813" i="27"/>
  <c r="J5814" i="27"/>
  <c r="J5815" i="27"/>
  <c r="J5816" i="27"/>
  <c r="J5817" i="27"/>
  <c r="J5818" i="27"/>
  <c r="J5819" i="27"/>
  <c r="J5820" i="27"/>
  <c r="J5821" i="27"/>
  <c r="J5822" i="27"/>
  <c r="J5823" i="27"/>
  <c r="J5824" i="27"/>
  <c r="J5825" i="27"/>
  <c r="J5826" i="27"/>
  <c r="J5827" i="27"/>
  <c r="J5828" i="27"/>
  <c r="J5829" i="27"/>
  <c r="J5830" i="27"/>
  <c r="J5831" i="27"/>
  <c r="J5832" i="27"/>
  <c r="J5833" i="27"/>
  <c r="J5834" i="27"/>
  <c r="J5835" i="27"/>
  <c r="J5836" i="27"/>
  <c r="J5837" i="27"/>
  <c r="J5838" i="27"/>
  <c r="J5839" i="27"/>
  <c r="J5840" i="27"/>
  <c r="J5841" i="27"/>
  <c r="J5842" i="27"/>
  <c r="J5843" i="27"/>
  <c r="J5844" i="27"/>
  <c r="J5845" i="27"/>
  <c r="J5846" i="27"/>
  <c r="J5847" i="27"/>
  <c r="J5848" i="27"/>
  <c r="J5849" i="27"/>
  <c r="J5850" i="27"/>
  <c r="J5851" i="27"/>
  <c r="J5852" i="27"/>
  <c r="J5853" i="27"/>
  <c r="J5854" i="27"/>
  <c r="J5855" i="27"/>
  <c r="J5856" i="27"/>
  <c r="J5857" i="27"/>
  <c r="J5858" i="27"/>
  <c r="J5859" i="27"/>
  <c r="J5860" i="27"/>
  <c r="J5861" i="27"/>
  <c r="J5862" i="27"/>
  <c r="J5863" i="27"/>
  <c r="J5864" i="27"/>
  <c r="J5865" i="27"/>
  <c r="J5866" i="27"/>
  <c r="J5867" i="27"/>
  <c r="J5868" i="27"/>
  <c r="J5869" i="27"/>
  <c r="J5870" i="27"/>
  <c r="J5871" i="27"/>
  <c r="J5872" i="27"/>
  <c r="J5873" i="27"/>
  <c r="J5874" i="27"/>
  <c r="J5875" i="27"/>
  <c r="J5876" i="27"/>
  <c r="J5877" i="27"/>
  <c r="J5878" i="27"/>
  <c r="J5879" i="27"/>
  <c r="J5880" i="27"/>
  <c r="J5881" i="27"/>
  <c r="J5882" i="27"/>
  <c r="J5883" i="27"/>
  <c r="J5884" i="27"/>
  <c r="J5885" i="27"/>
  <c r="J5886" i="27"/>
  <c r="J5887" i="27"/>
  <c r="J5888" i="27"/>
  <c r="J5889" i="27"/>
  <c r="J5890" i="27"/>
  <c r="J5891" i="27"/>
  <c r="J5892" i="27"/>
  <c r="J5893" i="27"/>
  <c r="J5894" i="27"/>
  <c r="J5895" i="27"/>
  <c r="J5896" i="27"/>
  <c r="J5897" i="27"/>
  <c r="J5898" i="27"/>
  <c r="J5899" i="27"/>
  <c r="J5900" i="27"/>
  <c r="J5901" i="27"/>
  <c r="J5902" i="27"/>
  <c r="J5903" i="27"/>
  <c r="J5904" i="27"/>
  <c r="J5905" i="27"/>
  <c r="J5906" i="27"/>
  <c r="J5907" i="27"/>
  <c r="J5908" i="27"/>
  <c r="J5909" i="27"/>
  <c r="J5910" i="27"/>
  <c r="J5911" i="27"/>
  <c r="J5912" i="27"/>
  <c r="J5913" i="27"/>
  <c r="J5914" i="27"/>
  <c r="J5915" i="27"/>
  <c r="J5916" i="27"/>
  <c r="J5917" i="27"/>
  <c r="J5918" i="27"/>
  <c r="J5919" i="27"/>
  <c r="J5920" i="27"/>
  <c r="J5921" i="27"/>
  <c r="J5922" i="27"/>
  <c r="J5923" i="27"/>
  <c r="J5924" i="27"/>
  <c r="J5925" i="27"/>
  <c r="J5926" i="27"/>
  <c r="J5927" i="27"/>
  <c r="J5928" i="27"/>
  <c r="J5929" i="27"/>
  <c r="J5930" i="27"/>
  <c r="J5931" i="27"/>
  <c r="J5932" i="27"/>
  <c r="J5933" i="27"/>
  <c r="J5934" i="27"/>
  <c r="J5935" i="27"/>
  <c r="J5936" i="27"/>
  <c r="J5937" i="27"/>
  <c r="J5938" i="27"/>
  <c r="J5939" i="27"/>
  <c r="J5940" i="27"/>
  <c r="J5941" i="27"/>
  <c r="J5942" i="27"/>
  <c r="J5943" i="27"/>
  <c r="J5944" i="27"/>
  <c r="J5945" i="27"/>
  <c r="J5946" i="27"/>
  <c r="J5947" i="27"/>
  <c r="J5948" i="27"/>
  <c r="J5949" i="27"/>
  <c r="J5950" i="27"/>
  <c r="J5951" i="27"/>
  <c r="J5952" i="27"/>
  <c r="J5953" i="27"/>
  <c r="J5954" i="27"/>
  <c r="J5955" i="27"/>
  <c r="J5956" i="27"/>
  <c r="J5957" i="27"/>
  <c r="J5958" i="27"/>
  <c r="J5959" i="27"/>
  <c r="J5960" i="27"/>
  <c r="J5961" i="27"/>
  <c r="J5962" i="27"/>
  <c r="J5963" i="27"/>
  <c r="J5964" i="27"/>
  <c r="J5965" i="27"/>
  <c r="J5966" i="27"/>
  <c r="J5967" i="27"/>
  <c r="J5968" i="27"/>
  <c r="J5969" i="27"/>
  <c r="J5970" i="27"/>
  <c r="J5971" i="27"/>
  <c r="J5972" i="27"/>
  <c r="J5973" i="27"/>
  <c r="J5974" i="27"/>
  <c r="J5975" i="27"/>
  <c r="J5976" i="27"/>
  <c r="J5977" i="27"/>
  <c r="J5978" i="27"/>
  <c r="J5979" i="27"/>
  <c r="J5980" i="27"/>
  <c r="J5981" i="27"/>
  <c r="J5982" i="27"/>
  <c r="J5983" i="27"/>
  <c r="J5984" i="27"/>
  <c r="J5985" i="27"/>
  <c r="J5986" i="27"/>
  <c r="J5987" i="27"/>
  <c r="J5988" i="27"/>
  <c r="J5989" i="27"/>
  <c r="J5990" i="27"/>
  <c r="J5991" i="27"/>
  <c r="J5992" i="27"/>
  <c r="J5993" i="27"/>
  <c r="J5994" i="27"/>
  <c r="J5995" i="27"/>
  <c r="J5996" i="27"/>
  <c r="J5997" i="27"/>
  <c r="J5998" i="27"/>
  <c r="J5999" i="27"/>
  <c r="J6000" i="27"/>
  <c r="J6001" i="27"/>
  <c r="J6002" i="27"/>
  <c r="J6003" i="27"/>
  <c r="J6004" i="27"/>
  <c r="J6005" i="27"/>
  <c r="J6006" i="27"/>
  <c r="J6007" i="27"/>
  <c r="J6008" i="27"/>
  <c r="J6009" i="27"/>
  <c r="J6010" i="27"/>
  <c r="J6011" i="27"/>
  <c r="J6012" i="27"/>
  <c r="J6013" i="27"/>
  <c r="J6014" i="27"/>
  <c r="J6015" i="27"/>
  <c r="J6016" i="27"/>
  <c r="J6017" i="27"/>
  <c r="J6018" i="27"/>
  <c r="J6019" i="27"/>
  <c r="J6020" i="27"/>
  <c r="J6021" i="27"/>
  <c r="J6022" i="27"/>
  <c r="J6023" i="27"/>
  <c r="J6024" i="27"/>
  <c r="J6025" i="27"/>
  <c r="J6026" i="27"/>
  <c r="J6027" i="27"/>
  <c r="J6028" i="27"/>
  <c r="J6029" i="27"/>
  <c r="J6030" i="27"/>
  <c r="J6031" i="27"/>
  <c r="J6032" i="27"/>
  <c r="J6033" i="27"/>
  <c r="J6034" i="27"/>
  <c r="J6035" i="27"/>
  <c r="J6036" i="27"/>
  <c r="J6037" i="27"/>
  <c r="J6038" i="27"/>
  <c r="J6039" i="27"/>
  <c r="J6040" i="27"/>
  <c r="J6041" i="27"/>
  <c r="J6042" i="27"/>
  <c r="J6043" i="27"/>
  <c r="J6044" i="27"/>
  <c r="J6045" i="27"/>
  <c r="J6046" i="27"/>
  <c r="J6047" i="27"/>
  <c r="J6048" i="27"/>
  <c r="J6049" i="27"/>
  <c r="J6050" i="27"/>
  <c r="J6051" i="27"/>
  <c r="J6052" i="27"/>
  <c r="J6053" i="27"/>
  <c r="J6054" i="27"/>
  <c r="J6055" i="27"/>
  <c r="J6056" i="27"/>
  <c r="J6057" i="27"/>
  <c r="J6058" i="27"/>
  <c r="J6059" i="27"/>
  <c r="J6060" i="27"/>
  <c r="J6061" i="27"/>
  <c r="J6062" i="27"/>
  <c r="J6063" i="27"/>
  <c r="J6064" i="27"/>
  <c r="J6065" i="27"/>
  <c r="J6066" i="27"/>
  <c r="J6067" i="27"/>
  <c r="J6068" i="27"/>
  <c r="J6069" i="27"/>
  <c r="J6070" i="27"/>
  <c r="J6071" i="27"/>
  <c r="J6072" i="27"/>
  <c r="J6073" i="27"/>
  <c r="J6074" i="27"/>
  <c r="J6075" i="27"/>
  <c r="J6076" i="27"/>
  <c r="J6077" i="27"/>
  <c r="J6078" i="27"/>
  <c r="J6079" i="27"/>
  <c r="J6080" i="27"/>
  <c r="J6081" i="27"/>
  <c r="J6082" i="27"/>
  <c r="J6083" i="27"/>
  <c r="J6084" i="27"/>
  <c r="J6085" i="27"/>
  <c r="J6086" i="27"/>
  <c r="J6087" i="27"/>
  <c r="J6088" i="27"/>
  <c r="J6089" i="27"/>
  <c r="J6090" i="27"/>
  <c r="J6091" i="27"/>
  <c r="J6092" i="27"/>
  <c r="J6093" i="27"/>
  <c r="J6094" i="27"/>
  <c r="J6095" i="27"/>
  <c r="J6096" i="27"/>
  <c r="J6097" i="27"/>
  <c r="J6098" i="27"/>
  <c r="J6099" i="27"/>
  <c r="J6100" i="27"/>
  <c r="J6101" i="27"/>
  <c r="J6102" i="27"/>
  <c r="J6103" i="27"/>
  <c r="J6104" i="27"/>
  <c r="J6105" i="27"/>
  <c r="J6106" i="27"/>
  <c r="J6107" i="27"/>
  <c r="J6108" i="27"/>
  <c r="J6109" i="27"/>
  <c r="J6110" i="27"/>
  <c r="J6111" i="27"/>
  <c r="J6112" i="27"/>
  <c r="J6113" i="27"/>
  <c r="J6114" i="27"/>
  <c r="J6115" i="27"/>
  <c r="J6116" i="27"/>
  <c r="J6117" i="27"/>
  <c r="J6118" i="27"/>
  <c r="J6119" i="27"/>
  <c r="J6120" i="27"/>
  <c r="J6121" i="27"/>
  <c r="J6122" i="27"/>
  <c r="J6123" i="27"/>
  <c r="J6124" i="27"/>
  <c r="J6125" i="27"/>
  <c r="J6126" i="27"/>
  <c r="J6127" i="27"/>
  <c r="J6128" i="27"/>
  <c r="J6129" i="27"/>
  <c r="J6130" i="27"/>
  <c r="J6131" i="27"/>
  <c r="J6132" i="27"/>
  <c r="J6133" i="27"/>
  <c r="J6134" i="27"/>
  <c r="J6135" i="27"/>
  <c r="J6136" i="27"/>
  <c r="J6137" i="27"/>
  <c r="J6138" i="27"/>
  <c r="J6139" i="27"/>
  <c r="J6140" i="27"/>
  <c r="J6141" i="27"/>
  <c r="J6142" i="27"/>
  <c r="J6143" i="27"/>
  <c r="J6144" i="27"/>
  <c r="J6145" i="27"/>
  <c r="J6146" i="27"/>
  <c r="J6147" i="27"/>
  <c r="J6148" i="27"/>
  <c r="J6149" i="27"/>
  <c r="J6150" i="27"/>
  <c r="J6151" i="27"/>
  <c r="J6152" i="27"/>
  <c r="J6153" i="27"/>
  <c r="J6154" i="27"/>
  <c r="J6155" i="27"/>
  <c r="J6156" i="27"/>
  <c r="J6157" i="27"/>
  <c r="J6158" i="27"/>
  <c r="J6159" i="27"/>
  <c r="J6160" i="27"/>
  <c r="J6161" i="27"/>
  <c r="J6162" i="27"/>
  <c r="J6163" i="27"/>
  <c r="J6164" i="27"/>
  <c r="J6165" i="27"/>
  <c r="J6166" i="27"/>
  <c r="J6167" i="27"/>
  <c r="J6168" i="27"/>
  <c r="J6169" i="27"/>
  <c r="J6170" i="27"/>
  <c r="J6171" i="27"/>
  <c r="J6172" i="27"/>
  <c r="J6173" i="27"/>
  <c r="J6174" i="27"/>
  <c r="J6175" i="27"/>
  <c r="J6176" i="27"/>
  <c r="J6177" i="27"/>
  <c r="J6178" i="27"/>
  <c r="J6179" i="27"/>
  <c r="J6180" i="27"/>
  <c r="J6181" i="27"/>
  <c r="J6182" i="27"/>
  <c r="J6183" i="27"/>
  <c r="J6184" i="27"/>
  <c r="J6185" i="27"/>
  <c r="J6186" i="27"/>
  <c r="J6187" i="27"/>
  <c r="J6188" i="27"/>
  <c r="J6189" i="27"/>
  <c r="J6190" i="27"/>
  <c r="J6191" i="27"/>
  <c r="J6192" i="27"/>
  <c r="J6193" i="27"/>
  <c r="J6194" i="27"/>
  <c r="J6195" i="27"/>
  <c r="J6196" i="27"/>
  <c r="J6197" i="27"/>
  <c r="J6198" i="27"/>
  <c r="J6199" i="27"/>
  <c r="J6200" i="27"/>
  <c r="J6201" i="27"/>
  <c r="J6202" i="27"/>
  <c r="J6203" i="27"/>
  <c r="J6204" i="27"/>
  <c r="J6205" i="27"/>
  <c r="J6206" i="27"/>
  <c r="J6207" i="27"/>
  <c r="J6208" i="27"/>
  <c r="J6209" i="27"/>
  <c r="J6210" i="27"/>
  <c r="J6211" i="27"/>
  <c r="J6212" i="27"/>
  <c r="J6213" i="27"/>
  <c r="J6214" i="27"/>
  <c r="J6215" i="27"/>
  <c r="J6216" i="27"/>
  <c r="J6217" i="27"/>
  <c r="J6218" i="27"/>
  <c r="J6219" i="27"/>
  <c r="J6220" i="27"/>
  <c r="J6221" i="27"/>
  <c r="J6222" i="27"/>
  <c r="J6223" i="27"/>
  <c r="J6224" i="27"/>
  <c r="J6225" i="27"/>
  <c r="J6226" i="27"/>
  <c r="J6227" i="27"/>
  <c r="J6228" i="27"/>
  <c r="J6229" i="27"/>
  <c r="J6230" i="27"/>
  <c r="J6231" i="27"/>
  <c r="J6232" i="27"/>
  <c r="J6233" i="27"/>
  <c r="J6234" i="27"/>
  <c r="J6235" i="27"/>
  <c r="J6236" i="27"/>
  <c r="J6237" i="27"/>
  <c r="J6238" i="27"/>
  <c r="J6239" i="27"/>
  <c r="J6240" i="27"/>
  <c r="J6241" i="27"/>
  <c r="J6242" i="27"/>
  <c r="J6243" i="27"/>
  <c r="J6244" i="27"/>
  <c r="J6245" i="27"/>
  <c r="J6246" i="27"/>
  <c r="J6247" i="27"/>
  <c r="J6248" i="27"/>
  <c r="J6249" i="27"/>
  <c r="J6250" i="27"/>
  <c r="J6251" i="27"/>
  <c r="J6252" i="27"/>
  <c r="J6253" i="27"/>
  <c r="J6254" i="27"/>
  <c r="J6255" i="27"/>
  <c r="J6256" i="27"/>
  <c r="J6257" i="27"/>
  <c r="J6258" i="27"/>
  <c r="J6259" i="27"/>
  <c r="J6260" i="27"/>
  <c r="J6261" i="27"/>
  <c r="J6262" i="27"/>
  <c r="J6263" i="27"/>
  <c r="J6264" i="27"/>
  <c r="J6265" i="27"/>
  <c r="J6266" i="27"/>
  <c r="J6267" i="27"/>
  <c r="J6268" i="27"/>
  <c r="J6269" i="27"/>
  <c r="J6270" i="27"/>
  <c r="J6271" i="27"/>
  <c r="J6272" i="27"/>
  <c r="J6273" i="27"/>
  <c r="J6274" i="27"/>
  <c r="J6275" i="27"/>
  <c r="J6276" i="27"/>
  <c r="J6277" i="27"/>
  <c r="J6278" i="27"/>
  <c r="J6279" i="27"/>
  <c r="J6280" i="27"/>
  <c r="J6281" i="27"/>
  <c r="J6282" i="27"/>
  <c r="J6283" i="27"/>
  <c r="J6284" i="27"/>
  <c r="J6285" i="27"/>
  <c r="J6286" i="27"/>
  <c r="J6287" i="27"/>
  <c r="J6288" i="27"/>
  <c r="J6289" i="27"/>
  <c r="J6290" i="27"/>
  <c r="J6291" i="27"/>
  <c r="J6292" i="27"/>
  <c r="J6293" i="27"/>
  <c r="J6294" i="27"/>
  <c r="J6295" i="27"/>
  <c r="J6296" i="27"/>
  <c r="J6297" i="27"/>
  <c r="J6298" i="27"/>
  <c r="J6299" i="27"/>
  <c r="J6300" i="27"/>
  <c r="J6301" i="27"/>
  <c r="J6302" i="27"/>
  <c r="J6303" i="27"/>
  <c r="J6304" i="27"/>
  <c r="J6305" i="27"/>
  <c r="J6306" i="27"/>
  <c r="J6307" i="27"/>
  <c r="J6308" i="27"/>
  <c r="J6309" i="27"/>
  <c r="J6310" i="27"/>
  <c r="J6311" i="27"/>
  <c r="J6312" i="27"/>
  <c r="J6313" i="27"/>
  <c r="J6314" i="27"/>
  <c r="J6315" i="27"/>
  <c r="J6316" i="27"/>
  <c r="J6317" i="27"/>
  <c r="J6318" i="27"/>
  <c r="J6319" i="27"/>
  <c r="J6320" i="27"/>
  <c r="J6321" i="27"/>
  <c r="J6322" i="27"/>
  <c r="J6323" i="27"/>
  <c r="J6324" i="27"/>
  <c r="J6325" i="27"/>
  <c r="J6326" i="27"/>
  <c r="J6327" i="27"/>
  <c r="J6328" i="27"/>
  <c r="J6329" i="27"/>
  <c r="J6330" i="27"/>
  <c r="J6331" i="27"/>
  <c r="J6332" i="27"/>
  <c r="J6333" i="27"/>
  <c r="J6334" i="27"/>
  <c r="J6335" i="27"/>
  <c r="J6336" i="27"/>
  <c r="J6337" i="27"/>
  <c r="J6338" i="27"/>
  <c r="J6339" i="27"/>
  <c r="J6340" i="27"/>
  <c r="I785" i="27"/>
  <c r="A476" i="32"/>
  <c r="N785" i="27"/>
  <c r="G160" i="32"/>
  <c r="I1422" i="27"/>
  <c r="BC84" i="34"/>
  <c r="M785" i="27"/>
  <c r="K1422" i="27"/>
  <c r="L1422" i="27"/>
  <c r="G472" i="32"/>
  <c r="J1422" i="27"/>
  <c r="A775" i="32"/>
  <c r="A164" i="32"/>
  <c r="K785" i="27"/>
  <c r="BD83" i="34"/>
  <c r="G771" i="32"/>
  <c r="A773" i="32"/>
  <c r="J785" i="27"/>
  <c r="F5395" i="27" l="1"/>
  <c r="F4635" i="27"/>
  <c r="F4636" i="27" s="1"/>
  <c r="F4637" i="27" s="1"/>
  <c r="F4638" i="27" s="1"/>
  <c r="F4639" i="27" s="1"/>
  <c r="F4634" i="27"/>
  <c r="J3700" i="27"/>
  <c r="J3701" i="27"/>
  <c r="J3702" i="27"/>
  <c r="I2465" i="27"/>
  <c r="O2465" i="27"/>
  <c r="J2464" i="27"/>
  <c r="G2464" i="27"/>
  <c r="L2465" i="27"/>
  <c r="K2465" i="27"/>
  <c r="N2465" i="27"/>
  <c r="K2464" i="27"/>
  <c r="L2464" i="27"/>
  <c r="O2464" i="27"/>
  <c r="N2464" i="27"/>
  <c r="J2465" i="27"/>
  <c r="G2465" i="27"/>
  <c r="I2464" i="27"/>
  <c r="K2481" i="27"/>
  <c r="L2480" i="27"/>
  <c r="L2481" i="27"/>
  <c r="I2480" i="27"/>
  <c r="G2480" i="27"/>
  <c r="J2481" i="27"/>
  <c r="J2480" i="27"/>
  <c r="O2480" i="27"/>
  <c r="N2480" i="27"/>
  <c r="K2480" i="27"/>
  <c r="O2481" i="27"/>
  <c r="N2481" i="27"/>
  <c r="I2481" i="27"/>
  <c r="G2481" i="27"/>
  <c r="J2425" i="27"/>
  <c r="J2427" i="27"/>
  <c r="G2432" i="27"/>
  <c r="K2433" i="27"/>
  <c r="G2433" i="27"/>
  <c r="J2432" i="27"/>
  <c r="K2432" i="27"/>
  <c r="L2433" i="27"/>
  <c r="J2433" i="27"/>
  <c r="L2432" i="27"/>
  <c r="N2432" i="27"/>
  <c r="N2433" i="27"/>
  <c r="I2433" i="27"/>
  <c r="O2433" i="27"/>
  <c r="I2432" i="27"/>
  <c r="J2440" i="27"/>
  <c r="G2435" i="27"/>
  <c r="L2435" i="27"/>
  <c r="O2434" i="27"/>
  <c r="K2434" i="27"/>
  <c r="L2434" i="27"/>
  <c r="N2435" i="27"/>
  <c r="K2435" i="27"/>
  <c r="N2434" i="27"/>
  <c r="J2434" i="27"/>
  <c r="O2435" i="27"/>
  <c r="G2434" i="27"/>
  <c r="I2434" i="27"/>
  <c r="J2470" i="27"/>
  <c r="G2470" i="27"/>
  <c r="O2470" i="27"/>
  <c r="L2471" i="27"/>
  <c r="N2471" i="27"/>
  <c r="G2471" i="27"/>
  <c r="O2471" i="27"/>
  <c r="K2470" i="27"/>
  <c r="I2471" i="27"/>
  <c r="K2471" i="27"/>
  <c r="I2470" i="27"/>
  <c r="J2471" i="27"/>
  <c r="L2470" i="27"/>
  <c r="N2470" i="27"/>
  <c r="K2461" i="27"/>
  <c r="G2460" i="27"/>
  <c r="N2460" i="27"/>
  <c r="J2460" i="27"/>
  <c r="I2461" i="27"/>
  <c r="L2461" i="27"/>
  <c r="I2460" i="27"/>
  <c r="N2461" i="27"/>
  <c r="J2461" i="27"/>
  <c r="O2461" i="27"/>
  <c r="L2460" i="27"/>
  <c r="K2460" i="27"/>
  <c r="G2461" i="27"/>
  <c r="O2460" i="27"/>
  <c r="O2486" i="27"/>
  <c r="J2487" i="27"/>
  <c r="N2487" i="27"/>
  <c r="L2487" i="27"/>
  <c r="G2487" i="27"/>
  <c r="I2487" i="27"/>
  <c r="O2487" i="27"/>
  <c r="K2486" i="27"/>
  <c r="N2486" i="27"/>
  <c r="L2486" i="27"/>
  <c r="I2486" i="27"/>
  <c r="K2487" i="27"/>
  <c r="G2486" i="27"/>
  <c r="J2486" i="27"/>
  <c r="J2478" i="27"/>
  <c r="L2478" i="27"/>
  <c r="N2479" i="27"/>
  <c r="G2478" i="27"/>
  <c r="O2478" i="27"/>
  <c r="I2479" i="27"/>
  <c r="K2479" i="27"/>
  <c r="K2478" i="27"/>
  <c r="O2479" i="27"/>
  <c r="N2478" i="27"/>
  <c r="J2479" i="27"/>
  <c r="G2479" i="27"/>
  <c r="L2479" i="27"/>
  <c r="I2478" i="27"/>
  <c r="G2462" i="27"/>
  <c r="J2463" i="27"/>
  <c r="L2463" i="27"/>
  <c r="I2463" i="27"/>
  <c r="N2463" i="27"/>
  <c r="K2463" i="27"/>
  <c r="O2463" i="27"/>
  <c r="G2463" i="27"/>
  <c r="J2462" i="27"/>
  <c r="N2462" i="27"/>
  <c r="O2462" i="27"/>
  <c r="K2462" i="27"/>
  <c r="L2462" i="27"/>
  <c r="I2462" i="27"/>
  <c r="G2437" i="27"/>
  <c r="G2436" i="27"/>
  <c r="I2436" i="27"/>
  <c r="K2437" i="27"/>
  <c r="I2437" i="27"/>
  <c r="J2437" i="27"/>
  <c r="J2436" i="27"/>
  <c r="N2436" i="27"/>
  <c r="K2436" i="27"/>
  <c r="O2436" i="27"/>
  <c r="O2437" i="27"/>
  <c r="L2436" i="27"/>
  <c r="N2437" i="27"/>
  <c r="L2437" i="27"/>
  <c r="G2448" i="27"/>
  <c r="N2448" i="27"/>
  <c r="I2448" i="27"/>
  <c r="O2448" i="27"/>
  <c r="K2449" i="27"/>
  <c r="J2449" i="27"/>
  <c r="L2449" i="27"/>
  <c r="K2448" i="27"/>
  <c r="N2449" i="27"/>
  <c r="J2448" i="27"/>
  <c r="I2449" i="27"/>
  <c r="G2449" i="27"/>
  <c r="L2448" i="27"/>
  <c r="O2449" i="27"/>
  <c r="J2472" i="27"/>
  <c r="L2472" i="27"/>
  <c r="L2473" i="27"/>
  <c r="I2473" i="27"/>
  <c r="G2473" i="27"/>
  <c r="O2473" i="27"/>
  <c r="N2472" i="27"/>
  <c r="O2472" i="27"/>
  <c r="I2472" i="27"/>
  <c r="K2472" i="27"/>
  <c r="N2473" i="27"/>
  <c r="J2473" i="27"/>
  <c r="K2473" i="27"/>
  <c r="G2472" i="27"/>
  <c r="J2431" i="27"/>
  <c r="O2475" i="27"/>
  <c r="I2474" i="27"/>
  <c r="G2475" i="27"/>
  <c r="J2474" i="27"/>
  <c r="K2475" i="27"/>
  <c r="N2475" i="27"/>
  <c r="I2475" i="27"/>
  <c r="L2474" i="27"/>
  <c r="G2474" i="27"/>
  <c r="O2474" i="27"/>
  <c r="L2475" i="27"/>
  <c r="K2474" i="27"/>
  <c r="J2475" i="27"/>
  <c r="N2474" i="27"/>
  <c r="J2443" i="27"/>
  <c r="J2442" i="27"/>
  <c r="K2442" i="27"/>
  <c r="L2442" i="27"/>
  <c r="O2443" i="27"/>
  <c r="I2442" i="27"/>
  <c r="L2443" i="27"/>
  <c r="K2443" i="27"/>
  <c r="G2442" i="27"/>
  <c r="I2443" i="27"/>
  <c r="N2442" i="27"/>
  <c r="O2442" i="27"/>
  <c r="N2443" i="27"/>
  <c r="G2443" i="27"/>
  <c r="G2445" i="27"/>
  <c r="G2444" i="27"/>
  <c r="J2445" i="27"/>
  <c r="O2444" i="27"/>
  <c r="O2445" i="27"/>
  <c r="L2444" i="27"/>
  <c r="N2444" i="27"/>
  <c r="L2445" i="27"/>
  <c r="N2445" i="27"/>
  <c r="I2444" i="27"/>
  <c r="K2444" i="27"/>
  <c r="I2445" i="27"/>
  <c r="J2444" i="27"/>
  <c r="K2445" i="27"/>
  <c r="N2456" i="27"/>
  <c r="I2456" i="27"/>
  <c r="K2457" i="27"/>
  <c r="L2456" i="27"/>
  <c r="L2457" i="27"/>
  <c r="K2456" i="27"/>
  <c r="G2457" i="27"/>
  <c r="O2456" i="27"/>
  <c r="N2457" i="27"/>
  <c r="I2457" i="27"/>
  <c r="G2456" i="27"/>
  <c r="O2457" i="27"/>
  <c r="J2456" i="27"/>
  <c r="J2457" i="27"/>
  <c r="O2466" i="27"/>
  <c r="K2466" i="27"/>
  <c r="J2466" i="27"/>
  <c r="O2467" i="27"/>
  <c r="J2467" i="27"/>
  <c r="K2467" i="27"/>
  <c r="G2466" i="27"/>
  <c r="I2467" i="27"/>
  <c r="N2467" i="27"/>
  <c r="L2466" i="27"/>
  <c r="I2466" i="27"/>
  <c r="G2467" i="27"/>
  <c r="N2466" i="27"/>
  <c r="L2467" i="27"/>
  <c r="L2454" i="27"/>
  <c r="L2455" i="27"/>
  <c r="I2455" i="27"/>
  <c r="K2454" i="27"/>
  <c r="O2455" i="27"/>
  <c r="I2454" i="27"/>
  <c r="G2454" i="27"/>
  <c r="O2454" i="27"/>
  <c r="N2455" i="27"/>
  <c r="J2455" i="27"/>
  <c r="K2455" i="27"/>
  <c r="N2454" i="27"/>
  <c r="J2454" i="27"/>
  <c r="G2455" i="27"/>
  <c r="J2441" i="27"/>
  <c r="K2469" i="27"/>
  <c r="O2469" i="27"/>
  <c r="L2469" i="27"/>
  <c r="J2469" i="27"/>
  <c r="O2468" i="27"/>
  <c r="I2468" i="27"/>
  <c r="J2468" i="27"/>
  <c r="G2469" i="27"/>
  <c r="G2468" i="27"/>
  <c r="N2469" i="27"/>
  <c r="L2468" i="27"/>
  <c r="N2468" i="27"/>
  <c r="K2468" i="27"/>
  <c r="I2469" i="27"/>
  <c r="O2491" i="27"/>
  <c r="G2490" i="27"/>
  <c r="N2490" i="27"/>
  <c r="I2490" i="27"/>
  <c r="J2491" i="27"/>
  <c r="K2490" i="27"/>
  <c r="L2491" i="27"/>
  <c r="I2491" i="27"/>
  <c r="J2490" i="27"/>
  <c r="L2490" i="27"/>
  <c r="K2491" i="27"/>
  <c r="G2491" i="27"/>
  <c r="N2491" i="27"/>
  <c r="O2490" i="27"/>
  <c r="K2495" i="27"/>
  <c r="J2495" i="27"/>
  <c r="I2495" i="27"/>
  <c r="N2495" i="27"/>
  <c r="G2494" i="27"/>
  <c r="J2494" i="27"/>
  <c r="L2495" i="27"/>
  <c r="G2495" i="27"/>
  <c r="I2494" i="27"/>
  <c r="L2494" i="27"/>
  <c r="K2494" i="27"/>
  <c r="O2495" i="27"/>
  <c r="O2494" i="27"/>
  <c r="N2494" i="27"/>
  <c r="L2482" i="27"/>
  <c r="J2483" i="27"/>
  <c r="N2482" i="27"/>
  <c r="G2482" i="27"/>
  <c r="G2483" i="27"/>
  <c r="N2483" i="27"/>
  <c r="J2482" i="27"/>
  <c r="L2483" i="27"/>
  <c r="I2483" i="27"/>
  <c r="I2482" i="27"/>
  <c r="O2482" i="27"/>
  <c r="K2483" i="27"/>
  <c r="O2483" i="27"/>
  <c r="K2482" i="27"/>
  <c r="N2489" i="27"/>
  <c r="L2489" i="27"/>
  <c r="O2488" i="27"/>
  <c r="J2489" i="27"/>
  <c r="J2488" i="27"/>
  <c r="I2488" i="27"/>
  <c r="O2489" i="27"/>
  <c r="N2488" i="27"/>
  <c r="G2489" i="27"/>
  <c r="I2489" i="27"/>
  <c r="K2489" i="27"/>
  <c r="G2488" i="27"/>
  <c r="L2488" i="27"/>
  <c r="K2488" i="27"/>
  <c r="J2492" i="27"/>
  <c r="K2493" i="27"/>
  <c r="G2492" i="27"/>
  <c r="G2493" i="27"/>
  <c r="I2492" i="27"/>
  <c r="O2492" i="27"/>
  <c r="O2493" i="27"/>
  <c r="N2492" i="27"/>
  <c r="L2493" i="27"/>
  <c r="L2492" i="27"/>
  <c r="J2493" i="27"/>
  <c r="I2493" i="27"/>
  <c r="K2492" i="27"/>
  <c r="N2493" i="27"/>
  <c r="L2447" i="27"/>
  <c r="N2447" i="27"/>
  <c r="N2446" i="27"/>
  <c r="I2446" i="27"/>
  <c r="J2446" i="27"/>
  <c r="O2447" i="27"/>
  <c r="J2447" i="27"/>
  <c r="O2446" i="27"/>
  <c r="L2446" i="27"/>
  <c r="G2447" i="27"/>
  <c r="I2447" i="27"/>
  <c r="K2446" i="27"/>
  <c r="K2447" i="27"/>
  <c r="G2446" i="27"/>
  <c r="J2430" i="27"/>
  <c r="I2459" i="27"/>
  <c r="L2458" i="27"/>
  <c r="N2458" i="27"/>
  <c r="K2458" i="27"/>
  <c r="G2458" i="27"/>
  <c r="I2458" i="27"/>
  <c r="G2459" i="27"/>
  <c r="O2458" i="27"/>
  <c r="N2459" i="27"/>
  <c r="J2459" i="27"/>
  <c r="O2459" i="27"/>
  <c r="K2459" i="27"/>
  <c r="J2458" i="27"/>
  <c r="L2459" i="27"/>
  <c r="J2426" i="27"/>
  <c r="N2477" i="27"/>
  <c r="L2477" i="27"/>
  <c r="O2477" i="27"/>
  <c r="O2476" i="27"/>
  <c r="J2477" i="27"/>
  <c r="G2477" i="27"/>
  <c r="I2477" i="27"/>
  <c r="I2476" i="27"/>
  <c r="K2476" i="27"/>
  <c r="J2476" i="27"/>
  <c r="G2476" i="27"/>
  <c r="K2477" i="27"/>
  <c r="L2476" i="27"/>
  <c r="N2476" i="27"/>
  <c r="I2485" i="27"/>
  <c r="O2485" i="27"/>
  <c r="K2484" i="27"/>
  <c r="N2484" i="27"/>
  <c r="K2485" i="27"/>
  <c r="G2485" i="27"/>
  <c r="L2485" i="27"/>
  <c r="O2484" i="27"/>
  <c r="I2484" i="27"/>
  <c r="G2484" i="27"/>
  <c r="J2485" i="27"/>
  <c r="L2484" i="27"/>
  <c r="J2484" i="27"/>
  <c r="N2485" i="27"/>
  <c r="K2146" i="27"/>
  <c r="K2145" i="27"/>
  <c r="K2166" i="27"/>
  <c r="K2165" i="27"/>
  <c r="K2194" i="27"/>
  <c r="K2193" i="27"/>
  <c r="K2177" i="27"/>
  <c r="K2178" i="27"/>
  <c r="K2170" i="27"/>
  <c r="K2169" i="27"/>
  <c r="K2154" i="27"/>
  <c r="K2153" i="27"/>
  <c r="K2147" i="27"/>
  <c r="K2148" i="27"/>
  <c r="K2173" i="27"/>
  <c r="K2174" i="27"/>
  <c r="K2188" i="27"/>
  <c r="K2187" i="27"/>
  <c r="K2195" i="27"/>
  <c r="K2196" i="27"/>
  <c r="K2160" i="27"/>
  <c r="K2159" i="27"/>
  <c r="K2192" i="27"/>
  <c r="K2191" i="27"/>
  <c r="K2189" i="27"/>
  <c r="K2190" i="27"/>
  <c r="K2144" i="27"/>
  <c r="K2143" i="27"/>
  <c r="K2171" i="27"/>
  <c r="K2172" i="27"/>
  <c r="K2155" i="27"/>
  <c r="K2156" i="27"/>
  <c r="K2183" i="27"/>
  <c r="K2184" i="27"/>
  <c r="K2185" i="27"/>
  <c r="K2186" i="27"/>
  <c r="K2198" i="27"/>
  <c r="K2197" i="27"/>
  <c r="K2167" i="27"/>
  <c r="K2168" i="27"/>
  <c r="K2180" i="27"/>
  <c r="K2179" i="27"/>
  <c r="K2176" i="27"/>
  <c r="K2175" i="27"/>
  <c r="K2158" i="27"/>
  <c r="K2157" i="27"/>
  <c r="K2182" i="27"/>
  <c r="K2181" i="27"/>
  <c r="A1422" i="27"/>
  <c r="H1424" i="27"/>
  <c r="P699" i="32"/>
  <c r="Q697" i="32"/>
  <c r="P895" i="32"/>
  <c r="Q893" i="32"/>
  <c r="P857" i="32"/>
  <c r="Q855" i="32"/>
  <c r="A785" i="27"/>
  <c r="H787" i="27"/>
  <c r="H366" i="27"/>
  <c r="U777" i="32"/>
  <c r="U478" i="32"/>
  <c r="U166" i="32"/>
  <c r="B125" i="24"/>
  <c r="B115" i="24"/>
  <c r="B137" i="24"/>
  <c r="B113" i="24"/>
  <c r="B127" i="24"/>
  <c r="AY85" i="34"/>
  <c r="M4300" i="27"/>
  <c r="N365" i="27"/>
  <c r="J4236" i="27"/>
  <c r="J4279" i="27"/>
  <c r="J4248" i="27"/>
  <c r="J4227" i="27"/>
  <c r="J4243" i="27"/>
  <c r="O4300" i="27"/>
  <c r="J4261" i="27"/>
  <c r="J1423" i="27"/>
  <c r="J4295" i="27"/>
  <c r="J4255" i="27"/>
  <c r="J4285" i="27"/>
  <c r="J4259" i="27"/>
  <c r="J4262" i="27"/>
  <c r="J4266" i="27"/>
  <c r="I786" i="27"/>
  <c r="J4293" i="27"/>
  <c r="J4278" i="27"/>
  <c r="J4283" i="27"/>
  <c r="BD84" i="34"/>
  <c r="J4235" i="27"/>
  <c r="N786" i="27"/>
  <c r="J4228" i="27"/>
  <c r="J4290" i="27"/>
  <c r="K365" i="27"/>
  <c r="N4299" i="27"/>
  <c r="J4256" i="27"/>
  <c r="J4264" i="27"/>
  <c r="M365" i="27"/>
  <c r="J4277" i="27"/>
  <c r="J4239" i="27"/>
  <c r="J4234" i="27"/>
  <c r="F4300" i="27"/>
  <c r="J4280" i="27"/>
  <c r="J4250" i="27"/>
  <c r="J4257" i="27"/>
  <c r="J4237" i="27"/>
  <c r="J4244" i="27"/>
  <c r="J4232" i="27"/>
  <c r="J4249" i="27"/>
  <c r="J365" i="27"/>
  <c r="A478" i="32"/>
  <c r="J786" i="27"/>
  <c r="J4226" i="27"/>
  <c r="G474" i="32"/>
  <c r="G773" i="32"/>
  <c r="J4291" i="27"/>
  <c r="N4300" i="27"/>
  <c r="A166" i="32"/>
  <c r="J4272" i="27"/>
  <c r="BD85" i="34"/>
  <c r="I365" i="27"/>
  <c r="J4238" i="27"/>
  <c r="J4241" i="27"/>
  <c r="J4274" i="27"/>
  <c r="K786" i="27"/>
  <c r="J4233" i="27"/>
  <c r="J4294" i="27"/>
  <c r="J4270" i="27"/>
  <c r="L1423" i="27"/>
  <c r="J4247" i="27"/>
  <c r="J4268" i="27"/>
  <c r="J4242" i="27"/>
  <c r="J4276" i="27"/>
  <c r="J4240" i="27"/>
  <c r="J4245" i="27"/>
  <c r="J4292" i="27"/>
  <c r="J4246" i="27"/>
  <c r="J4269" i="27"/>
  <c r="J4286" i="27"/>
  <c r="J4300" i="27"/>
  <c r="J4289" i="27"/>
  <c r="J4282" i="27"/>
  <c r="BC85" i="34"/>
  <c r="K1423" i="27"/>
  <c r="J4275" i="27"/>
  <c r="J4251" i="27"/>
  <c r="J4271" i="27"/>
  <c r="I1423" i="27"/>
  <c r="J4284" i="27"/>
  <c r="J4298" i="27"/>
  <c r="J4299" i="27"/>
  <c r="J4288" i="27"/>
  <c r="J4225" i="27"/>
  <c r="J4273" i="27"/>
  <c r="J4258" i="27"/>
  <c r="O4299" i="27"/>
  <c r="J4252" i="27"/>
  <c r="J4253" i="27"/>
  <c r="M4299" i="27"/>
  <c r="F4299" i="27"/>
  <c r="A777" i="32"/>
  <c r="J4231" i="27"/>
  <c r="J4263" i="27"/>
  <c r="J4281" i="27"/>
  <c r="J4296" i="27"/>
  <c r="J4254" i="27"/>
  <c r="M786" i="27"/>
  <c r="J4287" i="27"/>
  <c r="J4297" i="27"/>
  <c r="G162" i="32"/>
  <c r="J4260" i="27"/>
  <c r="J4267" i="27"/>
  <c r="J4265" i="27"/>
  <c r="F5396" i="27" l="1"/>
  <c r="F5397" i="27"/>
  <c r="F4641" i="27"/>
  <c r="F4642" i="27" s="1"/>
  <c r="F4643" i="27" s="1"/>
  <c r="F4644" i="27" s="1"/>
  <c r="F4645" i="27" s="1"/>
  <c r="F4640" i="27"/>
  <c r="A4300" i="27"/>
  <c r="A4299" i="27"/>
  <c r="K2199" i="27"/>
  <c r="A1423" i="27"/>
  <c r="H1426" i="27"/>
  <c r="H1425" i="27"/>
  <c r="P701" i="32"/>
  <c r="Q699" i="32"/>
  <c r="P859" i="32"/>
  <c r="Q859" i="32" s="1"/>
  <c r="Q857" i="32"/>
  <c r="P897" i="32"/>
  <c r="Q895" i="32"/>
  <c r="A786" i="27"/>
  <c r="H788" i="27"/>
  <c r="A365" i="27"/>
  <c r="T365" i="27" s="1"/>
  <c r="H367" i="27"/>
  <c r="G245" i="24"/>
  <c r="AS84" i="34"/>
  <c r="AS83" i="34"/>
  <c r="U168" i="32"/>
  <c r="U480" i="32"/>
  <c r="U779" i="32"/>
  <c r="G229" i="24"/>
  <c r="G290" i="24"/>
  <c r="G266" i="24"/>
  <c r="G283" i="24"/>
  <c r="G275" i="24"/>
  <c r="G272" i="24"/>
  <c r="G264" i="24"/>
  <c r="G271" i="24"/>
  <c r="G258" i="24"/>
  <c r="G277" i="24"/>
  <c r="G237" i="24"/>
  <c r="G286" i="24"/>
  <c r="G263" i="24"/>
  <c r="G259" i="24"/>
  <c r="G295" i="24"/>
  <c r="G282" i="24"/>
  <c r="G255" i="24"/>
  <c r="G296" i="24"/>
  <c r="G265" i="24"/>
  <c r="G288" i="24"/>
  <c r="G257" i="24"/>
  <c r="G221" i="24"/>
  <c r="G270" i="24"/>
  <c r="G278" i="24"/>
  <c r="G281" i="24"/>
  <c r="C295" i="24"/>
  <c r="G285" i="24"/>
  <c r="G293" i="24"/>
  <c r="G254" i="24"/>
  <c r="G267" i="24"/>
  <c r="G274" i="24"/>
  <c r="G269" i="24"/>
  <c r="G289" i="24"/>
  <c r="G280" i="24"/>
  <c r="G279" i="24"/>
  <c r="G287" i="24"/>
  <c r="G256" i="24"/>
  <c r="G294" i="24"/>
  <c r="G273" i="24"/>
  <c r="G262" i="24"/>
  <c r="G291" i="24"/>
  <c r="C296" i="24"/>
  <c r="AY86" i="34"/>
  <c r="G1301" i="27"/>
  <c r="M787" i="27"/>
  <c r="N4301" i="27"/>
  <c r="N787" i="27"/>
  <c r="G476" i="32"/>
  <c r="G164" i="32"/>
  <c r="I366" i="27"/>
  <c r="M4301" i="27"/>
  <c r="L1424" i="27"/>
  <c r="K366" i="27"/>
  <c r="A480" i="32"/>
  <c r="J366" i="27"/>
  <c r="A168" i="32"/>
  <c r="O4301" i="27"/>
  <c r="M366" i="27"/>
  <c r="J787" i="27"/>
  <c r="N366" i="27"/>
  <c r="K1424" i="27"/>
  <c r="BD86" i="34"/>
  <c r="F4301" i="27"/>
  <c r="K787" i="27"/>
  <c r="I787" i="27"/>
  <c r="J4301" i="27"/>
  <c r="I1424" i="27"/>
  <c r="J1424" i="27"/>
  <c r="A779" i="32"/>
  <c r="G775" i="32"/>
  <c r="F5398" i="27" l="1"/>
  <c r="F4646" i="27"/>
  <c r="F4647" i="27"/>
  <c r="F4648" i="27" s="1"/>
  <c r="F4649" i="27" s="1"/>
  <c r="F4650" i="27" s="1"/>
  <c r="F4651" i="27" s="1"/>
  <c r="A4301" i="27"/>
  <c r="K2200" i="27"/>
  <c r="A1424" i="27"/>
  <c r="H1427" i="27"/>
  <c r="P899" i="32"/>
  <c r="Q897" i="32"/>
  <c r="P703" i="32"/>
  <c r="Q701" i="32"/>
  <c r="A787" i="27"/>
  <c r="H789" i="27"/>
  <c r="H790" i="27"/>
  <c r="A366" i="27"/>
  <c r="T366" i="27" s="1"/>
  <c r="H368" i="27"/>
  <c r="AS85" i="34"/>
  <c r="U781" i="32"/>
  <c r="U482" i="32"/>
  <c r="U170" i="32"/>
  <c r="C297" i="24"/>
  <c r="G297" i="24"/>
  <c r="AY87" i="34"/>
  <c r="L2" i="28"/>
  <c r="P2" i="28" s="1"/>
  <c r="J1426" i="27"/>
  <c r="M367" i="27"/>
  <c r="A170" i="32"/>
  <c r="N367" i="27"/>
  <c r="N4302" i="27"/>
  <c r="K367" i="27"/>
  <c r="G1302" i="27"/>
  <c r="A482" i="32"/>
  <c r="O4302" i="27"/>
  <c r="BC86" i="34"/>
  <c r="I367" i="27"/>
  <c r="F4302" i="27"/>
  <c r="M4302" i="27"/>
  <c r="J4302" i="27"/>
  <c r="K1425" i="27"/>
  <c r="J1425" i="27"/>
  <c r="L1425" i="27"/>
  <c r="BC87" i="34"/>
  <c r="I1425" i="27"/>
  <c r="I1426" i="27"/>
  <c r="G166" i="32"/>
  <c r="G777" i="32"/>
  <c r="K1426" i="27"/>
  <c r="J367" i="27"/>
  <c r="L1426" i="27"/>
  <c r="G478" i="32"/>
  <c r="F5399" i="27" l="1"/>
  <c r="F4653" i="27"/>
  <c r="F4654" i="27" s="1"/>
  <c r="F4655" i="27" s="1"/>
  <c r="F4656" i="27" s="1"/>
  <c r="F4657" i="27" s="1"/>
  <c r="F4652" i="27"/>
  <c r="A4302" i="27"/>
  <c r="K2201" i="27"/>
  <c r="A1426" i="27"/>
  <c r="A1425" i="27"/>
  <c r="H1428" i="27"/>
  <c r="P705" i="32"/>
  <c r="Q703" i="32"/>
  <c r="P901" i="32"/>
  <c r="Q899" i="32"/>
  <c r="H791" i="27"/>
  <c r="A367" i="27"/>
  <c r="T367" i="27" s="1"/>
  <c r="H369" i="27"/>
  <c r="AS86" i="34"/>
  <c r="U172" i="32"/>
  <c r="U484" i="32"/>
  <c r="U783" i="32"/>
  <c r="G298" i="24"/>
  <c r="C298" i="24"/>
  <c r="AY88" i="34"/>
  <c r="J4303" i="27"/>
  <c r="A781" i="32"/>
  <c r="BD88" i="34"/>
  <c r="I1427" i="27"/>
  <c r="K1427" i="27"/>
  <c r="A172" i="32"/>
  <c r="J368" i="27"/>
  <c r="I790" i="27"/>
  <c r="N368" i="27"/>
  <c r="BD87" i="34"/>
  <c r="G168" i="32"/>
  <c r="A783" i="32"/>
  <c r="F4303" i="27"/>
  <c r="M790" i="27"/>
  <c r="N790" i="27"/>
  <c r="A484" i="32"/>
  <c r="I368" i="27"/>
  <c r="M368" i="27"/>
  <c r="M4303" i="27"/>
  <c r="G480" i="32"/>
  <c r="G779" i="32"/>
  <c r="J1427" i="27"/>
  <c r="G1303" i="27"/>
  <c r="N4303" i="27"/>
  <c r="J790" i="27"/>
  <c r="O4303" i="27"/>
  <c r="K790" i="27"/>
  <c r="L1427" i="27"/>
  <c r="K368" i="27"/>
  <c r="F5400" i="27" l="1"/>
  <c r="F4659" i="27"/>
  <c r="F4660" i="27" s="1"/>
  <c r="F4661" i="27" s="1"/>
  <c r="F4662" i="27" s="1"/>
  <c r="F4663" i="27" s="1"/>
  <c r="F4658" i="27"/>
  <c r="A4303" i="27"/>
  <c r="K2202" i="27"/>
  <c r="A1427" i="27"/>
  <c r="H1429" i="27"/>
  <c r="P903" i="32"/>
  <c r="Q901" i="32"/>
  <c r="P707" i="32"/>
  <c r="Q705" i="32"/>
  <c r="A790" i="27"/>
  <c r="H792" i="27"/>
  <c r="A368" i="27"/>
  <c r="T368" i="27" s="1"/>
  <c r="H370" i="27"/>
  <c r="H371" i="27"/>
  <c r="AS87" i="34"/>
  <c r="U785" i="32"/>
  <c r="U486" i="32"/>
  <c r="U174" i="32"/>
  <c r="G299" i="24"/>
  <c r="C299" i="24"/>
  <c r="A785" i="32"/>
  <c r="G1304" i="27"/>
  <c r="J1428" i="27"/>
  <c r="G781" i="32"/>
  <c r="N791" i="27"/>
  <c r="N4304" i="27"/>
  <c r="L1428" i="27"/>
  <c r="K1428" i="27"/>
  <c r="G170" i="32"/>
  <c r="G482" i="32"/>
  <c r="M791" i="27"/>
  <c r="A486" i="32"/>
  <c r="F4304" i="27"/>
  <c r="K791" i="27"/>
  <c r="I791" i="27"/>
  <c r="J4304" i="27"/>
  <c r="O4304" i="27"/>
  <c r="BC88" i="34"/>
  <c r="M4304" i="27"/>
  <c r="J791" i="27"/>
  <c r="I1428" i="27"/>
  <c r="F5401" i="27" l="1"/>
  <c r="F4664" i="27"/>
  <c r="F4665" i="27"/>
  <c r="F4666" i="27" s="1"/>
  <c r="F4667" i="27" s="1"/>
  <c r="F4668" i="27" s="1"/>
  <c r="F4669" i="27" s="1"/>
  <c r="A4304" i="27"/>
  <c r="A1428" i="27"/>
  <c r="H1430" i="27"/>
  <c r="P905" i="32"/>
  <c r="Q903" i="32"/>
  <c r="P709" i="32"/>
  <c r="Q707" i="32"/>
  <c r="A791" i="27"/>
  <c r="H793" i="27"/>
  <c r="H372" i="27"/>
  <c r="AS88" i="34"/>
  <c r="U176" i="32"/>
  <c r="U488" i="32"/>
  <c r="U787" i="32"/>
  <c r="B159" i="16" a="1"/>
  <c r="B159" i="16" s="1"/>
  <c r="I159" i="16" a="1"/>
  <c r="I159" i="16" s="1"/>
  <c r="H25" i="16" a="1"/>
  <c r="H25" i="16" s="1"/>
  <c r="H4" i="16" a="1"/>
  <c r="H4" i="16" s="1"/>
  <c r="G484" i="32"/>
  <c r="G783" i="32"/>
  <c r="J1429" i="27"/>
  <c r="K371" i="27"/>
  <c r="M792" i="27"/>
  <c r="K1429" i="27"/>
  <c r="A787" i="32"/>
  <c r="G172" i="32"/>
  <c r="A176" i="32"/>
  <c r="A488" i="32"/>
  <c r="I1429" i="27"/>
  <c r="N371" i="27"/>
  <c r="J792" i="27"/>
  <c r="J371" i="27"/>
  <c r="K792" i="27"/>
  <c r="M371" i="27"/>
  <c r="I792" i="27"/>
  <c r="L1429" i="27"/>
  <c r="A174" i="32"/>
  <c r="N792" i="27"/>
  <c r="I371" i="27"/>
  <c r="F5403" i="27" l="1"/>
  <c r="F5402" i="27"/>
  <c r="F4670" i="27"/>
  <c r="F4671" i="27"/>
  <c r="F4672" i="27" s="1"/>
  <c r="F4673" i="27" s="1"/>
  <c r="F4674" i="27" s="1"/>
  <c r="F4675" i="27" s="1"/>
  <c r="A1429" i="27"/>
  <c r="H1431" i="27"/>
  <c r="H1432" i="27"/>
  <c r="P711" i="32"/>
  <c r="Q709" i="32"/>
  <c r="P907" i="32"/>
  <c r="Q905" i="32"/>
  <c r="A792" i="27"/>
  <c r="H794" i="27"/>
  <c r="A371" i="27"/>
  <c r="T371" i="27" s="1"/>
  <c r="H373" i="27"/>
  <c r="I160" i="16" a="1"/>
  <c r="I160" i="16" s="1"/>
  <c r="J160" i="16" s="1" a="1"/>
  <c r="J160" i="16" s="1"/>
  <c r="J159" i="16" a="1"/>
  <c r="J159" i="16" s="1"/>
  <c r="B160" i="16" a="1"/>
  <c r="B160" i="16" s="1"/>
  <c r="B161" i="16" s="1" a="1"/>
  <c r="B161" i="16" s="1"/>
  <c r="H26" i="16" a="1"/>
  <c r="H26" i="16" s="1"/>
  <c r="I26" i="16" s="1" a="1"/>
  <c r="I26" i="16" s="1"/>
  <c r="H5" i="16" a="1"/>
  <c r="H5" i="16" s="1"/>
  <c r="I5" i="16" s="1" a="1"/>
  <c r="I5" i="16" s="1"/>
  <c r="U490" i="32"/>
  <c r="U789" i="32"/>
  <c r="U178" i="32"/>
  <c r="I25" i="16" a="1"/>
  <c r="I25" i="16" s="1"/>
  <c r="I4" i="16" a="1"/>
  <c r="I4" i="16" s="1"/>
  <c r="D16" i="24"/>
  <c r="D15" i="24"/>
  <c r="N372" i="27"/>
  <c r="I372" i="27"/>
  <c r="A178" i="32"/>
  <c r="A490" i="32"/>
  <c r="M793" i="27"/>
  <c r="K793" i="27"/>
  <c r="J372" i="27"/>
  <c r="I793" i="27"/>
  <c r="G785" i="32"/>
  <c r="N793" i="27"/>
  <c r="J793" i="27"/>
  <c r="J1430" i="27"/>
  <c r="M372" i="27"/>
  <c r="G1307" i="27"/>
  <c r="L1430" i="27"/>
  <c r="G174" i="32"/>
  <c r="A789" i="32"/>
  <c r="K1430" i="27"/>
  <c r="I1430" i="27"/>
  <c r="K372" i="27"/>
  <c r="G486" i="32"/>
  <c r="F5404" i="27" l="1"/>
  <c r="F4677" i="27"/>
  <c r="F4678" i="27" s="1"/>
  <c r="F4679" i="27" s="1"/>
  <c r="F4680" i="27" s="1"/>
  <c r="F4681" i="27" s="1"/>
  <c r="F4676" i="27"/>
  <c r="A1430" i="27"/>
  <c r="H1433" i="27"/>
  <c r="P713" i="32"/>
  <c r="Q711" i="32"/>
  <c r="P909" i="32"/>
  <c r="Q907" i="32"/>
  <c r="A793" i="27"/>
  <c r="H795" i="27"/>
  <c r="H796" i="27"/>
  <c r="A372" i="27"/>
  <c r="T372" i="27" s="1"/>
  <c r="H374" i="27"/>
  <c r="I161" i="16" a="1"/>
  <c r="I161" i="16" s="1"/>
  <c r="B162" i="16" a="1"/>
  <c r="B162" i="16" s="1"/>
  <c r="H27" i="16" a="1"/>
  <c r="H27" i="16" s="1"/>
  <c r="I27" i="16" s="1" a="1"/>
  <c r="I27" i="16" s="1"/>
  <c r="H6" i="16" a="1"/>
  <c r="H6" i="16" s="1"/>
  <c r="I6" i="16" s="1" a="1"/>
  <c r="I6" i="16" s="1"/>
  <c r="U180" i="32"/>
  <c r="U791" i="32"/>
  <c r="U492" i="32"/>
  <c r="B410" i="16"/>
  <c r="A492" i="32"/>
  <c r="G1308" i="27"/>
  <c r="J373" i="27"/>
  <c r="J1431" i="27"/>
  <c r="I373" i="27"/>
  <c r="I1432" i="27"/>
  <c r="L1431" i="27"/>
  <c r="L1432" i="27"/>
  <c r="K1431" i="27"/>
  <c r="J1432" i="27"/>
  <c r="G787" i="32"/>
  <c r="G488" i="32"/>
  <c r="G176" i="32"/>
  <c r="A180" i="32"/>
  <c r="I1431" i="27"/>
  <c r="N373" i="27"/>
  <c r="M373" i="27"/>
  <c r="K1432" i="27"/>
  <c r="K373" i="27"/>
  <c r="F5405" i="27" l="1"/>
  <c r="F4683" i="27"/>
  <c r="F4684" i="27" s="1"/>
  <c r="F4685" i="27" s="1"/>
  <c r="F4686" i="27" s="1"/>
  <c r="F4687" i="27" s="1"/>
  <c r="F4682" i="27"/>
  <c r="A1432" i="27"/>
  <c r="A1431" i="27"/>
  <c r="H1434" i="27"/>
  <c r="P715" i="32"/>
  <c r="Q713" i="32"/>
  <c r="P911" i="32"/>
  <c r="Q909" i="32"/>
  <c r="H797" i="27"/>
  <c r="A373" i="27"/>
  <c r="T373" i="27" s="1"/>
  <c r="H375" i="27"/>
  <c r="J161" i="16" a="1"/>
  <c r="J161" i="16" s="1"/>
  <c r="I162" i="16" a="1"/>
  <c r="I162" i="16" s="1"/>
  <c r="J162" i="16" s="1" a="1"/>
  <c r="J162" i="16" s="1"/>
  <c r="B163" i="16" a="1"/>
  <c r="B163" i="16" s="1"/>
  <c r="B164" i="16" s="1" a="1"/>
  <c r="B164" i="16" s="1"/>
  <c r="H28" i="16" a="1"/>
  <c r="H28" i="16" s="1"/>
  <c r="I28" i="16" s="1" a="1"/>
  <c r="I28" i="16" s="1"/>
  <c r="H7" i="16" a="1"/>
  <c r="H7" i="16" s="1"/>
  <c r="I7" i="16" s="1" a="1"/>
  <c r="I7" i="16" s="1"/>
  <c r="U494" i="32"/>
  <c r="U793" i="32"/>
  <c r="U182" i="32"/>
  <c r="A27" i="1"/>
  <c r="J796" i="27"/>
  <c r="N796" i="27"/>
  <c r="G1309" i="27"/>
  <c r="G789" i="32"/>
  <c r="A793" i="32"/>
  <c r="I374" i="27"/>
  <c r="A182" i="32"/>
  <c r="K374" i="27"/>
  <c r="G178" i="32"/>
  <c r="K796" i="27"/>
  <c r="A791" i="32"/>
  <c r="K1433" i="27"/>
  <c r="N374" i="27"/>
  <c r="L1433" i="27"/>
  <c r="I796" i="27"/>
  <c r="J1433" i="27"/>
  <c r="G490" i="32"/>
  <c r="J374" i="27"/>
  <c r="M374" i="27"/>
  <c r="I1433" i="27"/>
  <c r="M796" i="27"/>
  <c r="F5406" i="27" l="1"/>
  <c r="F4689" i="27"/>
  <c r="F4690" i="27" s="1"/>
  <c r="F4691" i="27" s="1"/>
  <c r="F4692" i="27" s="1"/>
  <c r="F4693" i="27" s="1"/>
  <c r="F4688" i="27"/>
  <c r="A1433" i="27"/>
  <c r="H1435" i="27"/>
  <c r="P717" i="32"/>
  <c r="Q715" i="32"/>
  <c r="P913" i="32"/>
  <c r="Q911" i="32"/>
  <c r="A796" i="27"/>
  <c r="H798" i="27"/>
  <c r="A374" i="27"/>
  <c r="T374" i="27" s="1"/>
  <c r="H376" i="27"/>
  <c r="H377" i="27"/>
  <c r="I163" i="16" a="1"/>
  <c r="I163" i="16" s="1"/>
  <c r="B165" i="16" a="1"/>
  <c r="B165" i="16" s="1"/>
  <c r="H29" i="16" a="1"/>
  <c r="H29" i="16" s="1"/>
  <c r="I29" i="16" s="1" a="1"/>
  <c r="I29" i="16" s="1"/>
  <c r="H8" i="16" a="1"/>
  <c r="H8" i="16" s="1"/>
  <c r="I8" i="16" s="1" a="1"/>
  <c r="I8" i="16" s="1"/>
  <c r="U184" i="32"/>
  <c r="U795" i="32"/>
  <c r="U496" i="32"/>
  <c r="B35" i="24"/>
  <c r="B36" i="24"/>
  <c r="B37" i="24"/>
  <c r="B38" i="24"/>
  <c r="B39" i="24"/>
  <c r="B40" i="24"/>
  <c r="B41" i="24"/>
  <c r="B42" i="24"/>
  <c r="B43" i="24"/>
  <c r="B44" i="24"/>
  <c r="B45" i="24"/>
  <c r="B34" i="24"/>
  <c r="J1434" i="27"/>
  <c r="I1434" i="27"/>
  <c r="G1310" i="27"/>
  <c r="G492" i="32"/>
  <c r="G791" i="32"/>
  <c r="G180" i="32"/>
  <c r="M797" i="27"/>
  <c r="A494" i="32"/>
  <c r="K797" i="27"/>
  <c r="J797" i="27"/>
  <c r="A496" i="32"/>
  <c r="A795" i="32"/>
  <c r="L1434" i="27"/>
  <c r="K1434" i="27"/>
  <c r="A184" i="32"/>
  <c r="N797" i="27"/>
  <c r="I797" i="27"/>
  <c r="F5407" i="27" l="1"/>
  <c r="F4694" i="27"/>
  <c r="F4695" i="27"/>
  <c r="F4696" i="27" s="1"/>
  <c r="F4697" i="27" s="1"/>
  <c r="F4698" i="27" s="1"/>
  <c r="F4699" i="27" s="1"/>
  <c r="A1434" i="27"/>
  <c r="H1436" i="27"/>
  <c r="P915" i="32"/>
  <c r="Q913" i="32"/>
  <c r="P719" i="32"/>
  <c r="Q717" i="32"/>
  <c r="A797" i="27"/>
  <c r="H799" i="27"/>
  <c r="H378" i="27"/>
  <c r="I164" i="16" a="1"/>
  <c r="I164" i="16" s="1"/>
  <c r="J164" i="16" s="1" a="1"/>
  <c r="J164" i="16" s="1"/>
  <c r="J163" i="16" a="1"/>
  <c r="J163" i="16" s="1"/>
  <c r="B166" i="16" a="1"/>
  <c r="B166" i="16" s="1"/>
  <c r="H30" i="16" a="1"/>
  <c r="H30" i="16" s="1"/>
  <c r="I30" i="16" s="1" a="1"/>
  <c r="I30" i="16" s="1"/>
  <c r="H9" i="16" a="1"/>
  <c r="H9" i="16" s="1"/>
  <c r="I9" i="16" s="1" a="1"/>
  <c r="I9" i="16" s="1"/>
  <c r="U498" i="32"/>
  <c r="U797" i="32"/>
  <c r="U186" i="32"/>
  <c r="D13" i="24"/>
  <c r="D12" i="24"/>
  <c r="I798" i="27"/>
  <c r="N798" i="27"/>
  <c r="M798" i="27"/>
  <c r="A186" i="32"/>
  <c r="L1435" i="27"/>
  <c r="K1435" i="27"/>
  <c r="G793" i="32"/>
  <c r="K798" i="27"/>
  <c r="N377" i="27"/>
  <c r="G182" i="32"/>
  <c r="I1435" i="27"/>
  <c r="J1435" i="27"/>
  <c r="M377" i="27"/>
  <c r="G494" i="32"/>
  <c r="I377" i="27"/>
  <c r="J377" i="27"/>
  <c r="A797" i="32"/>
  <c r="K377" i="27"/>
  <c r="J798" i="27"/>
  <c r="F5408" i="27" l="1"/>
  <c r="F5409" i="27"/>
  <c r="F4701" i="27"/>
  <c r="F4702" i="27" s="1"/>
  <c r="F4703" i="27" s="1"/>
  <c r="F4704" i="27" s="1"/>
  <c r="F4705" i="27" s="1"/>
  <c r="F4700" i="27"/>
  <c r="A1435" i="27"/>
  <c r="H1437" i="27"/>
  <c r="H1438" i="27"/>
  <c r="P721" i="32"/>
  <c r="Q719" i="32"/>
  <c r="P917" i="32"/>
  <c r="Q915" i="32"/>
  <c r="A798" i="27"/>
  <c r="H800" i="27"/>
  <c r="A377" i="27"/>
  <c r="T377" i="27" s="1"/>
  <c r="H379" i="27"/>
  <c r="I165" i="16" a="1"/>
  <c r="I165" i="16" s="1"/>
  <c r="B167" i="16" a="1"/>
  <c r="B167" i="16" s="1"/>
  <c r="B168" i="16" s="1" a="1"/>
  <c r="B168" i="16" s="1"/>
  <c r="B169" i="16" s="1" a="1"/>
  <c r="B169" i="16" s="1"/>
  <c r="B170" i="16" s="1" a="1"/>
  <c r="B170" i="16" s="1"/>
  <c r="B171" i="16" s="1" a="1"/>
  <c r="B171" i="16" s="1"/>
  <c r="B172" i="16" s="1" a="1"/>
  <c r="B172" i="16" s="1"/>
  <c r="B173" i="16" s="1" a="1"/>
  <c r="B173" i="16" s="1"/>
  <c r="B174" i="16" s="1" a="1"/>
  <c r="B174" i="16" s="1"/>
  <c r="B175" i="16" s="1" a="1"/>
  <c r="B175" i="16" s="1"/>
  <c r="B176" i="16" s="1" a="1"/>
  <c r="B176" i="16" s="1"/>
  <c r="B177" i="16" s="1" a="1"/>
  <c r="B177" i="16" s="1"/>
  <c r="B178" i="16" s="1" a="1"/>
  <c r="B178" i="16" s="1"/>
  <c r="B179" i="16" s="1" a="1"/>
  <c r="B179" i="16" s="1"/>
  <c r="B180" i="16" s="1" a="1"/>
  <c r="B180" i="16" s="1"/>
  <c r="B181" i="16" s="1" a="1"/>
  <c r="B181" i="16" s="1"/>
  <c r="B182" i="16" s="1" a="1"/>
  <c r="B182" i="16" s="1"/>
  <c r="B183" i="16" s="1" a="1"/>
  <c r="B183" i="16" s="1"/>
  <c r="H31" i="16" a="1"/>
  <c r="H31" i="16" s="1"/>
  <c r="H10" i="16" a="1"/>
  <c r="H10" i="16" s="1"/>
  <c r="U188" i="32"/>
  <c r="U799" i="32"/>
  <c r="U500" i="32"/>
  <c r="AW62" i="24"/>
  <c r="AW70" i="24"/>
  <c r="AW78" i="24"/>
  <c r="AW56" i="24"/>
  <c r="AW64" i="24"/>
  <c r="AW72" i="24"/>
  <c r="AW80" i="24"/>
  <c r="AW54" i="24"/>
  <c r="AW60" i="24"/>
  <c r="AW68" i="24"/>
  <c r="AW76" i="24"/>
  <c r="AW74" i="24"/>
  <c r="AW66" i="24"/>
  <c r="AW82" i="24"/>
  <c r="AW58" i="24"/>
  <c r="AX60" i="24"/>
  <c r="AX68" i="24"/>
  <c r="AX76" i="24"/>
  <c r="AX54" i="24"/>
  <c r="AX62" i="24"/>
  <c r="AX70" i="24"/>
  <c r="AX78" i="24"/>
  <c r="AX58" i="24"/>
  <c r="AX66" i="24"/>
  <c r="AX74" i="24"/>
  <c r="AX82" i="24"/>
  <c r="AX80" i="24"/>
  <c r="AX56" i="24"/>
  <c r="AX72" i="24"/>
  <c r="AX64" i="24"/>
  <c r="AU58" i="24"/>
  <c r="AU66" i="24"/>
  <c r="AU74" i="24"/>
  <c r="AU82" i="24"/>
  <c r="AU60" i="24"/>
  <c r="AU68" i="24"/>
  <c r="AU76" i="24"/>
  <c r="AU56" i="24"/>
  <c r="AU64" i="24"/>
  <c r="AU72" i="24"/>
  <c r="AU80" i="24"/>
  <c r="AU54" i="24"/>
  <c r="AU62" i="24"/>
  <c r="AU70" i="24"/>
  <c r="AU78" i="24"/>
  <c r="AT60" i="24"/>
  <c r="AT68" i="24"/>
  <c r="AT76" i="24"/>
  <c r="AT54" i="24"/>
  <c r="AT62" i="24"/>
  <c r="AT70" i="24"/>
  <c r="AT78" i="24"/>
  <c r="AT58" i="24"/>
  <c r="AT66" i="24"/>
  <c r="AT74" i="24"/>
  <c r="AT82" i="24"/>
  <c r="AT56" i="24"/>
  <c r="AT80" i="24"/>
  <c r="AT64" i="24"/>
  <c r="AT72" i="24"/>
  <c r="A799" i="32"/>
  <c r="I1436" i="27"/>
  <c r="M799" i="27"/>
  <c r="I378" i="27"/>
  <c r="G1313" i="27"/>
  <c r="I799" i="27"/>
  <c r="G184" i="32"/>
  <c r="N799" i="27"/>
  <c r="L1436" i="27"/>
  <c r="A498" i="32"/>
  <c r="G496" i="32"/>
  <c r="J799" i="27"/>
  <c r="M378" i="27"/>
  <c r="K1436" i="27"/>
  <c r="J378" i="27"/>
  <c r="G795" i="32"/>
  <c r="N378" i="27"/>
  <c r="K378" i="27"/>
  <c r="K799" i="27"/>
  <c r="A500" i="32"/>
  <c r="J1436" i="27"/>
  <c r="F5410" i="27" l="1"/>
  <c r="F4707" i="27"/>
  <c r="F4708" i="27" s="1"/>
  <c r="F4709" i="27" s="1"/>
  <c r="F4710" i="27" s="1"/>
  <c r="F4711" i="27" s="1"/>
  <c r="F4706" i="27"/>
  <c r="A1436" i="27"/>
  <c r="H1439" i="27"/>
  <c r="P723" i="32"/>
  <c r="Q721" i="32"/>
  <c r="P919" i="32"/>
  <c r="Q917" i="32"/>
  <c r="A799" i="27"/>
  <c r="H802" i="27"/>
  <c r="H801" i="27"/>
  <c r="A378" i="27"/>
  <c r="T378" i="27" s="1"/>
  <c r="H380" i="27"/>
  <c r="J165" i="16" a="1"/>
  <c r="J165" i="16" s="1"/>
  <c r="I166" i="16" a="1"/>
  <c r="I166" i="16" s="1"/>
  <c r="B184" i="16" a="1"/>
  <c r="B184" i="16" s="1"/>
  <c r="B185" i="16" s="1" a="1"/>
  <c r="B185" i="16" s="1"/>
  <c r="B186" i="16" s="1" a="1"/>
  <c r="B186" i="16" s="1"/>
  <c r="B187" i="16" s="1" a="1"/>
  <c r="B187" i="16" s="1"/>
  <c r="B188" i="16" s="1" a="1"/>
  <c r="B188" i="16" s="1"/>
  <c r="B189" i="16" s="1" a="1"/>
  <c r="B189" i="16" s="1"/>
  <c r="B190" i="16" s="1" a="1"/>
  <c r="B190" i="16" s="1"/>
  <c r="B191" i="16" s="1" a="1"/>
  <c r="B191" i="16" s="1"/>
  <c r="B192" i="16" s="1" a="1"/>
  <c r="B192" i="16" s="1"/>
  <c r="B193" i="16" s="1" a="1"/>
  <c r="B193" i="16" s="1"/>
  <c r="B194" i="16" s="1" a="1"/>
  <c r="B194" i="16" s="1"/>
  <c r="B195" i="16" s="1" a="1"/>
  <c r="B195" i="16" s="1"/>
  <c r="B196" i="16" s="1" a="1"/>
  <c r="B196" i="16" s="1"/>
  <c r="B197" i="16" s="1" a="1"/>
  <c r="B197" i="16" s="1"/>
  <c r="B198" i="16" s="1" a="1"/>
  <c r="B198" i="16" s="1"/>
  <c r="B199" i="16" s="1" a="1"/>
  <c r="B199" i="16" s="1"/>
  <c r="B200" i="16" s="1" a="1"/>
  <c r="B200" i="16" s="1"/>
  <c r="B201" i="16" s="1" a="1"/>
  <c r="B201" i="16" s="1"/>
  <c r="B202" i="16" s="1" a="1"/>
  <c r="B202" i="16" s="1"/>
  <c r="H32" i="16" a="1"/>
  <c r="H32" i="16" s="1"/>
  <c r="I31" i="16" a="1"/>
  <c r="I31" i="16" s="1"/>
  <c r="I10" i="16" a="1"/>
  <c r="I10" i="16" s="1"/>
  <c r="H11" i="16" a="1"/>
  <c r="H11" i="16" s="1"/>
  <c r="U801" i="32"/>
  <c r="U502" i="32"/>
  <c r="U190" i="32"/>
  <c r="I118" i="1"/>
  <c r="G1314" i="27"/>
  <c r="J1438" i="27"/>
  <c r="I1437" i="27"/>
  <c r="G186" i="32"/>
  <c r="G498" i="32"/>
  <c r="K379" i="27"/>
  <c r="I1438" i="27"/>
  <c r="A188" i="32"/>
  <c r="L1438" i="27"/>
  <c r="A502" i="32"/>
  <c r="K1438" i="27"/>
  <c r="A190" i="32"/>
  <c r="N379" i="27"/>
  <c r="I379" i="27"/>
  <c r="J379" i="27"/>
  <c r="K1437" i="27"/>
  <c r="J1437" i="27"/>
  <c r="M379" i="27"/>
  <c r="G797" i="32"/>
  <c r="L1437" i="27"/>
  <c r="F5411" i="27" l="1"/>
  <c r="F4713" i="27"/>
  <c r="F4714" i="27" s="1"/>
  <c r="F4715" i="27" s="1"/>
  <c r="F4716" i="27" s="1"/>
  <c r="F4717" i="27" s="1"/>
  <c r="F4712" i="27"/>
  <c r="A1437" i="27"/>
  <c r="A1438" i="27"/>
  <c r="H1440" i="27"/>
  <c r="P725" i="32"/>
  <c r="Q723" i="32"/>
  <c r="P921" i="32"/>
  <c r="Q919" i="32"/>
  <c r="H803" i="27"/>
  <c r="A379" i="27"/>
  <c r="T379" i="27" s="1"/>
  <c r="H381" i="27"/>
  <c r="J166" i="16" a="1"/>
  <c r="J166" i="16" s="1"/>
  <c r="I167" i="16" a="1"/>
  <c r="I167" i="16" s="1"/>
  <c r="I32" i="16" a="1"/>
  <c r="I32" i="16" s="1"/>
  <c r="H33" i="16" a="1"/>
  <c r="H33" i="16" s="1"/>
  <c r="H12" i="16" a="1"/>
  <c r="H12" i="16" s="1"/>
  <c r="I11" i="16" a="1"/>
  <c r="I11" i="16" s="1"/>
  <c r="U192" i="32"/>
  <c r="U504" i="32"/>
  <c r="U803" i="32"/>
  <c r="E155" i="1"/>
  <c r="AF155" i="1" s="1"/>
  <c r="I802" i="27"/>
  <c r="A504" i="32"/>
  <c r="I1439" i="27"/>
  <c r="N380" i="27"/>
  <c r="I380" i="27"/>
  <c r="G500" i="32"/>
  <c r="A801" i="32"/>
  <c r="G1315" i="27"/>
  <c r="J380" i="27"/>
  <c r="K802" i="27"/>
  <c r="M380" i="27"/>
  <c r="A803" i="32"/>
  <c r="J1439" i="27"/>
  <c r="J802" i="27"/>
  <c r="L1439" i="27"/>
  <c r="K1439" i="27"/>
  <c r="M802" i="27"/>
  <c r="G799" i="32"/>
  <c r="N802" i="27"/>
  <c r="G188" i="32"/>
  <c r="K380" i="27"/>
  <c r="F5412" i="27" l="1"/>
  <c r="F4718" i="27"/>
  <c r="F4719" i="27"/>
  <c r="F4720" i="27" s="1"/>
  <c r="F4721" i="27" s="1"/>
  <c r="F4722" i="27" s="1"/>
  <c r="F4723" i="27" s="1"/>
  <c r="A1439" i="27"/>
  <c r="H1441" i="27"/>
  <c r="P727" i="32"/>
  <c r="Q725" i="32"/>
  <c r="P923" i="32"/>
  <c r="Q921" i="32"/>
  <c r="A802" i="27"/>
  <c r="H804" i="27"/>
  <c r="A380" i="27"/>
  <c r="T380" i="27" s="1"/>
  <c r="H383" i="27"/>
  <c r="H382" i="27"/>
  <c r="J167" i="16" a="1"/>
  <c r="J167" i="16" s="1"/>
  <c r="I168" i="16" a="1"/>
  <c r="I168" i="16" s="1"/>
  <c r="H34" i="16" a="1"/>
  <c r="H34" i="16" s="1"/>
  <c r="I33" i="16" a="1"/>
  <c r="I33" i="16" s="1"/>
  <c r="H13" i="16" a="1"/>
  <c r="H13" i="16" s="1"/>
  <c r="I12" i="16" a="1"/>
  <c r="I12" i="16" s="1"/>
  <c r="U805" i="32"/>
  <c r="U506" i="32"/>
  <c r="U194" i="32"/>
  <c r="U155" i="1"/>
  <c r="L155" i="1" s="1"/>
  <c r="AD155" i="1"/>
  <c r="K10" i="1"/>
  <c r="G502" i="32"/>
  <c r="N803" i="27"/>
  <c r="A805" i="32"/>
  <c r="J1440" i="27"/>
  <c r="A506" i="32"/>
  <c r="A192" i="32"/>
  <c r="L1440" i="27"/>
  <c r="J803" i="27"/>
  <c r="M803" i="27"/>
  <c r="I803" i="27"/>
  <c r="G190" i="32"/>
  <c r="K1440" i="27"/>
  <c r="G1316" i="27"/>
  <c r="K803" i="27"/>
  <c r="I1440" i="27"/>
  <c r="A194" i="32"/>
  <c r="G801" i="32"/>
  <c r="F5413" i="27" l="1"/>
  <c r="F4725" i="27"/>
  <c r="F4726" i="27" s="1"/>
  <c r="F4727" i="27" s="1"/>
  <c r="F4728" i="27" s="1"/>
  <c r="F4729" i="27" s="1"/>
  <c r="F4724" i="27"/>
  <c r="A1440" i="27"/>
  <c r="H1442" i="27"/>
  <c r="P925" i="32"/>
  <c r="Q923" i="32"/>
  <c r="P729" i="32"/>
  <c r="Q727" i="32"/>
  <c r="A803" i="27"/>
  <c r="H805" i="27"/>
  <c r="H384" i="27"/>
  <c r="I169" i="16" a="1"/>
  <c r="I169" i="16" s="1"/>
  <c r="J168" i="16" a="1"/>
  <c r="J168" i="16" s="1"/>
  <c r="H35" i="16" a="1"/>
  <c r="H35" i="16" s="1"/>
  <c r="I34" i="16" a="1"/>
  <c r="I34" i="16" s="1"/>
  <c r="H14" i="16" a="1"/>
  <c r="H14" i="16" s="1"/>
  <c r="I13" i="16" a="1"/>
  <c r="I13" i="16" s="1"/>
  <c r="O155" i="1"/>
  <c r="AC155" i="1"/>
  <c r="H155" i="1" s="1"/>
  <c r="AO155" i="1"/>
  <c r="AT9" i="34"/>
  <c r="U196" i="32"/>
  <c r="U508" i="32"/>
  <c r="U807" i="32"/>
  <c r="E6" i="1"/>
  <c r="AN12" i="1" s="1"/>
  <c r="E5" i="1"/>
  <c r="D10" i="24" s="1"/>
  <c r="J383" i="27"/>
  <c r="G803" i="32"/>
  <c r="A508" i="32"/>
  <c r="K383" i="27"/>
  <c r="N804" i="27"/>
  <c r="I383" i="27"/>
  <c r="I804" i="27"/>
  <c r="A196" i="32"/>
  <c r="N383" i="27"/>
  <c r="M383" i="27"/>
  <c r="K804" i="27"/>
  <c r="K1441" i="27"/>
  <c r="I1441" i="27"/>
  <c r="G504" i="32"/>
  <c r="G192" i="32"/>
  <c r="J1441" i="27"/>
  <c r="M804" i="27"/>
  <c r="A807" i="32"/>
  <c r="J804" i="27"/>
  <c r="D4225" i="27"/>
  <c r="L1441" i="27"/>
  <c r="F5414" i="27" l="1"/>
  <c r="F5415" i="27"/>
  <c r="F4731" i="27"/>
  <c r="F4732" i="27" s="1"/>
  <c r="F4733" i="27" s="1"/>
  <c r="F4734" i="27" s="1"/>
  <c r="F4735" i="27" s="1"/>
  <c r="F4730" i="27"/>
  <c r="A1441" i="27"/>
  <c r="H1443" i="27"/>
  <c r="H1444" i="27"/>
  <c r="P927" i="32"/>
  <c r="Q925" i="32"/>
  <c r="P731" i="32"/>
  <c r="Q729" i="32"/>
  <c r="A804" i="27"/>
  <c r="H806" i="27"/>
  <c r="A383" i="27"/>
  <c r="T383" i="27" s="1"/>
  <c r="H385" i="27"/>
  <c r="I170" i="16" a="1"/>
  <c r="I170" i="16" s="1"/>
  <c r="J169" i="16" a="1"/>
  <c r="J169" i="16" s="1"/>
  <c r="H36" i="16" a="1"/>
  <c r="H36" i="16" s="1"/>
  <c r="I35" i="16" a="1"/>
  <c r="I35" i="16" s="1"/>
  <c r="H15" i="16" a="1"/>
  <c r="H15" i="16" s="1"/>
  <c r="I14" i="16" a="1"/>
  <c r="I14" i="16" s="1"/>
  <c r="BE9" i="34"/>
  <c r="BF9" i="34"/>
  <c r="U809" i="32"/>
  <c r="U510" i="32"/>
  <c r="U198" i="32"/>
  <c r="D11" i="24"/>
  <c r="AN11" i="1"/>
  <c r="I384" i="27"/>
  <c r="K384" i="27"/>
  <c r="G805" i="32"/>
  <c r="A510" i="32"/>
  <c r="J384" i="27"/>
  <c r="G506" i="32"/>
  <c r="K805" i="27"/>
  <c r="N805" i="27"/>
  <c r="N384" i="27"/>
  <c r="M805" i="27"/>
  <c r="K1442" i="27"/>
  <c r="L1442" i="27"/>
  <c r="I1442" i="27"/>
  <c r="G1319" i="27"/>
  <c r="K4225" i="27"/>
  <c r="M384" i="27"/>
  <c r="J1442" i="27"/>
  <c r="I805" i="27"/>
  <c r="J805" i="27"/>
  <c r="P4225" i="27"/>
  <c r="A809" i="32"/>
  <c r="A198" i="32"/>
  <c r="G194" i="32"/>
  <c r="F5416" i="27" l="1"/>
  <c r="F4737" i="27"/>
  <c r="F4738" i="27" s="1"/>
  <c r="F4739" i="27" s="1"/>
  <c r="F4740" i="27" s="1"/>
  <c r="F4741" i="27" s="1"/>
  <c r="F4736" i="27"/>
  <c r="A1442" i="27"/>
  <c r="H1445" i="27"/>
  <c r="P733" i="32"/>
  <c r="Q731" i="32"/>
  <c r="P929" i="32"/>
  <c r="Q927" i="32"/>
  <c r="A805" i="27"/>
  <c r="H808" i="27"/>
  <c r="H807" i="27"/>
  <c r="A384" i="27"/>
  <c r="T384" i="27" s="1"/>
  <c r="H386" i="27"/>
  <c r="I171" i="16" a="1"/>
  <c r="I171" i="16" s="1"/>
  <c r="J170" i="16" a="1"/>
  <c r="J170" i="16" s="1"/>
  <c r="I36" i="16" a="1"/>
  <c r="I36" i="16" s="1"/>
  <c r="H37" i="16" a="1"/>
  <c r="H37" i="16" s="1"/>
  <c r="H16" i="16" a="1"/>
  <c r="H16" i="16" s="1"/>
  <c r="I15" i="16" a="1"/>
  <c r="I15" i="16" s="1"/>
  <c r="U200" i="32"/>
  <c r="U512" i="32"/>
  <c r="U811" i="32"/>
  <c r="AN9" i="1"/>
  <c r="L1444" i="27"/>
  <c r="K385" i="27"/>
  <c r="K1444" i="27"/>
  <c r="K1443" i="27"/>
  <c r="I1443" i="27"/>
  <c r="I385" i="27"/>
  <c r="L1443" i="27"/>
  <c r="G196" i="32"/>
  <c r="J1444" i="27"/>
  <c r="A512" i="32"/>
  <c r="G807" i="32"/>
  <c r="N385" i="27"/>
  <c r="J1443" i="27"/>
  <c r="J385" i="27"/>
  <c r="I1444" i="27"/>
  <c r="G1320" i="27"/>
  <c r="G508" i="32"/>
  <c r="M385" i="27"/>
  <c r="A200" i="32"/>
  <c r="F5417" i="27" l="1"/>
  <c r="F4742" i="27"/>
  <c r="F4743" i="27"/>
  <c r="F4744" i="27" s="1"/>
  <c r="F4745" i="27" s="1"/>
  <c r="F4746" i="27" s="1"/>
  <c r="F4747" i="27" s="1"/>
  <c r="A1443" i="27"/>
  <c r="A1444" i="27"/>
  <c r="H1446" i="27"/>
  <c r="P735" i="32"/>
  <c r="Q733" i="32"/>
  <c r="P931" i="32"/>
  <c r="Q929" i="32"/>
  <c r="H809" i="27"/>
  <c r="A385" i="27"/>
  <c r="T385" i="27" s="1"/>
  <c r="H387" i="27"/>
  <c r="I172" i="16" a="1"/>
  <c r="I172" i="16" s="1"/>
  <c r="J171" i="16" a="1"/>
  <c r="J171" i="16" s="1"/>
  <c r="H38" i="16" a="1"/>
  <c r="H38" i="16" s="1"/>
  <c r="I37" i="16" a="1"/>
  <c r="I37" i="16" s="1"/>
  <c r="H17" i="16" a="1"/>
  <c r="H17" i="16" s="1"/>
  <c r="I16" i="16" a="1"/>
  <c r="I16" i="16" s="1"/>
  <c r="U813" i="32"/>
  <c r="U514" i="32"/>
  <c r="U202" i="32"/>
  <c r="AR280" i="1"/>
  <c r="E9" i="1"/>
  <c r="D14" i="24" s="1"/>
  <c r="G809" i="32"/>
  <c r="K1445" i="27"/>
  <c r="K386" i="27"/>
  <c r="A514" i="32"/>
  <c r="M808" i="27"/>
  <c r="J808" i="27"/>
  <c r="G510" i="32"/>
  <c r="A811" i="32"/>
  <c r="J1445" i="27"/>
  <c r="L1445" i="27"/>
  <c r="K808" i="27"/>
  <c r="I808" i="27"/>
  <c r="N386" i="27"/>
  <c r="I386" i="27"/>
  <c r="G198" i="32"/>
  <c r="M386" i="27"/>
  <c r="G1321" i="27"/>
  <c r="N808" i="27"/>
  <c r="J386" i="27"/>
  <c r="I1445" i="27"/>
  <c r="F5418" i="27" l="1"/>
  <c r="F4749" i="27"/>
  <c r="F4750" i="27" s="1"/>
  <c r="F4751" i="27" s="1"/>
  <c r="F4752" i="27" s="1"/>
  <c r="F4753" i="27" s="1"/>
  <c r="F4748" i="27"/>
  <c r="A1445" i="27"/>
  <c r="H1447" i="27"/>
  <c r="P933" i="32"/>
  <c r="Q931" i="32"/>
  <c r="P737" i="32"/>
  <c r="Q735" i="32"/>
  <c r="A808" i="27"/>
  <c r="H810" i="27"/>
  <c r="A386" i="27"/>
  <c r="T386" i="27" s="1"/>
  <c r="H389" i="27"/>
  <c r="H388" i="27"/>
  <c r="I173" i="16" a="1"/>
  <c r="I173" i="16" s="1"/>
  <c r="J172" i="16" a="1"/>
  <c r="J172" i="16" s="1"/>
  <c r="H39" i="16" a="1"/>
  <c r="H39" i="16" s="1"/>
  <c r="I38" i="16" a="1"/>
  <c r="I38" i="16" s="1"/>
  <c r="H18" i="16" a="1"/>
  <c r="H18" i="16" s="1"/>
  <c r="I18" i="16" s="1" a="1"/>
  <c r="I18" i="16" s="1"/>
  <c r="I17" i="16" a="1"/>
  <c r="I17" i="16" s="1"/>
  <c r="U204" i="32"/>
  <c r="U516" i="32"/>
  <c r="U815" i="32"/>
  <c r="W155" i="1"/>
  <c r="Y155" i="1"/>
  <c r="B39" i="1"/>
  <c r="B40" i="1" s="1"/>
  <c r="B41" i="1" s="1"/>
  <c r="B42" i="1" s="1"/>
  <c r="B43" i="1" s="1"/>
  <c r="B44" i="1" s="1"/>
  <c r="B45" i="1" s="1"/>
  <c r="A815" i="32"/>
  <c r="J1446" i="27"/>
  <c r="G1322" i="27"/>
  <c r="A202" i="32"/>
  <c r="G512" i="32"/>
  <c r="I1446" i="27"/>
  <c r="A813" i="32"/>
  <c r="K1446" i="27"/>
  <c r="M809" i="27"/>
  <c r="G200" i="32"/>
  <c r="A516" i="32"/>
  <c r="G811" i="32"/>
  <c r="A204" i="32"/>
  <c r="L1446" i="27"/>
  <c r="I809" i="27"/>
  <c r="N809" i="27"/>
  <c r="K809" i="27"/>
  <c r="J809" i="27"/>
  <c r="F5419" i="27" l="1"/>
  <c r="F4755" i="27"/>
  <c r="F4756" i="27" s="1"/>
  <c r="F4757" i="27" s="1"/>
  <c r="F4758" i="27" s="1"/>
  <c r="F4759" i="27" s="1"/>
  <c r="F4754" i="27"/>
  <c r="A1446" i="27"/>
  <c r="H1448" i="27"/>
  <c r="P739" i="32"/>
  <c r="Q737" i="32"/>
  <c r="P935" i="32"/>
  <c r="Q933" i="32"/>
  <c r="A809" i="27"/>
  <c r="H811" i="27"/>
  <c r="H390" i="27"/>
  <c r="I174" i="16" a="1"/>
  <c r="I174" i="16" s="1"/>
  <c r="J173" i="16" a="1"/>
  <c r="J173" i="16" s="1"/>
  <c r="H40" i="16" a="1"/>
  <c r="H40" i="16" s="1"/>
  <c r="I39" i="16" a="1"/>
  <c r="I39" i="16" s="1"/>
  <c r="V2" i="27"/>
  <c r="U2" i="27"/>
  <c r="AI11" i="30" s="1"/>
  <c r="AG7" i="33"/>
  <c r="H299" i="24"/>
  <c r="H243" i="24"/>
  <c r="H227" i="24"/>
  <c r="H283" i="24"/>
  <c r="H267" i="24"/>
  <c r="H259" i="24"/>
  <c r="H251" i="24"/>
  <c r="H235" i="24"/>
  <c r="H291" i="24"/>
  <c r="H275" i="24"/>
  <c r="AF7" i="34"/>
  <c r="AJ7" i="34"/>
  <c r="S147" i="24"/>
  <c r="R146" i="24"/>
  <c r="S146" i="24"/>
  <c r="R147" i="24"/>
  <c r="U817" i="32"/>
  <c r="U518" i="32"/>
  <c r="U206" i="32"/>
  <c r="AJ7" i="33"/>
  <c r="A30" i="24"/>
  <c r="C30" i="24"/>
  <c r="C29" i="24"/>
  <c r="A29" i="24"/>
  <c r="AE155" i="1" a="1"/>
  <c r="AE155" i="1" s="1"/>
  <c r="A39" i="1"/>
  <c r="E32" i="1"/>
  <c r="M389" i="27"/>
  <c r="G813" i="32"/>
  <c r="J389" i="27"/>
  <c r="J1447" i="27"/>
  <c r="G514" i="32"/>
  <c r="A518" i="32"/>
  <c r="J810" i="27"/>
  <c r="I389" i="27"/>
  <c r="A206" i="32"/>
  <c r="N389" i="27"/>
  <c r="I810" i="27"/>
  <c r="A817" i="32"/>
  <c r="K389" i="27"/>
  <c r="M810" i="27"/>
  <c r="K810" i="27"/>
  <c r="N810" i="27"/>
  <c r="I1447" i="27"/>
  <c r="K1447" i="27"/>
  <c r="G202" i="32"/>
  <c r="L1447" i="27"/>
  <c r="F5420" i="27" l="1"/>
  <c r="F5421" i="27"/>
  <c r="F4761" i="27"/>
  <c r="F4762" i="27" s="1"/>
  <c r="F4763" i="27" s="1"/>
  <c r="F4764" i="27" s="1"/>
  <c r="F4765" i="27" s="1"/>
  <c r="F4760" i="27"/>
  <c r="A1447" i="27"/>
  <c r="H1449" i="27"/>
  <c r="H1450" i="27"/>
  <c r="P937" i="32"/>
  <c r="Q935" i="32"/>
  <c r="P741" i="32"/>
  <c r="Q739" i="32"/>
  <c r="A810" i="27"/>
  <c r="H812" i="27"/>
  <c r="A389" i="27"/>
  <c r="T389" i="27" s="1"/>
  <c r="H391" i="27"/>
  <c r="I175" i="16" a="1"/>
  <c r="I175" i="16" s="1"/>
  <c r="J174" i="16" a="1"/>
  <c r="J174" i="16" s="1"/>
  <c r="H41" i="16" a="1"/>
  <c r="H41" i="16" s="1"/>
  <c r="I40" i="16" a="1"/>
  <c r="I40" i="16" s="1"/>
  <c r="AE156" i="1" a="1"/>
  <c r="AE156" i="1" s="1"/>
  <c r="AE157" i="1" s="1" a="1"/>
  <c r="AE157" i="1" s="1"/>
  <c r="AE158" i="1" s="1" a="1"/>
  <c r="AE158" i="1" s="1"/>
  <c r="AI13" i="30"/>
  <c r="D32" i="1"/>
  <c r="M32" i="1"/>
  <c r="L32" i="1"/>
  <c r="U208" i="32"/>
  <c r="U520" i="32"/>
  <c r="U819" i="32"/>
  <c r="E39" i="1"/>
  <c r="N32" i="1"/>
  <c r="J390" i="27"/>
  <c r="M811" i="27"/>
  <c r="N390" i="27"/>
  <c r="G516" i="32"/>
  <c r="A208" i="32"/>
  <c r="J246" i="27"/>
  <c r="G815" i="32"/>
  <c r="A819" i="32"/>
  <c r="S843" i="27"/>
  <c r="N811" i="27"/>
  <c r="I246" i="27"/>
  <c r="N248" i="27"/>
  <c r="I4064" i="27"/>
  <c r="M390" i="27"/>
  <c r="T13" i="30"/>
  <c r="I248" i="27"/>
  <c r="M245" i="27"/>
  <c r="I1448" i="27"/>
  <c r="S933" i="27"/>
  <c r="J245" i="27"/>
  <c r="I811" i="27"/>
  <c r="M246" i="27"/>
  <c r="J248" i="27"/>
  <c r="M247" i="27"/>
  <c r="N247" i="27"/>
  <c r="G204" i="32"/>
  <c r="K811" i="27"/>
  <c r="I247" i="27"/>
  <c r="G1325" i="27"/>
  <c r="J247" i="27"/>
  <c r="K1448" i="27"/>
  <c r="J1448" i="27"/>
  <c r="J811" i="27"/>
  <c r="I245" i="27"/>
  <c r="I390" i="27"/>
  <c r="L1448" i="27"/>
  <c r="K390" i="27"/>
  <c r="N245" i="27"/>
  <c r="A520" i="32"/>
  <c r="N246" i="27"/>
  <c r="M248" i="27"/>
  <c r="F5422" i="27" l="1"/>
  <c r="F4766" i="27"/>
  <c r="F4767" i="27"/>
  <c r="F4768" i="27" s="1"/>
  <c r="F4769" i="27" s="1"/>
  <c r="F4770" i="27" s="1"/>
  <c r="F4771" i="27" s="1"/>
  <c r="A1448" i="27"/>
  <c r="H1451" i="27"/>
  <c r="P743" i="32"/>
  <c r="Q741" i="32"/>
  <c r="P939" i="32"/>
  <c r="Q937" i="32"/>
  <c r="A811" i="27"/>
  <c r="H814" i="27"/>
  <c r="H813" i="27"/>
  <c r="A390" i="27"/>
  <c r="T390" i="27" s="1"/>
  <c r="H392" i="27"/>
  <c r="I176" i="16" a="1"/>
  <c r="I176" i="16" s="1"/>
  <c r="J175" i="16" a="1"/>
  <c r="J175" i="16" s="1"/>
  <c r="H42" i="16" a="1"/>
  <c r="H42" i="16" s="1"/>
  <c r="I41" i="16" a="1"/>
  <c r="I41" i="16" s="1"/>
  <c r="T39" i="1"/>
  <c r="A40" i="1"/>
  <c r="E40" i="1" s="1"/>
  <c r="AE159" i="1" a="1"/>
  <c r="AE159" i="1" s="1"/>
  <c r="AE160" i="1" s="1" a="1"/>
  <c r="AE160" i="1" s="1"/>
  <c r="AI15" i="30"/>
  <c r="U821" i="32"/>
  <c r="U522" i="32"/>
  <c r="U210" i="32"/>
  <c r="M253" i="27"/>
  <c r="K391" i="27"/>
  <c r="K1450" i="27"/>
  <c r="I391" i="27"/>
  <c r="J252" i="27"/>
  <c r="J253" i="27"/>
  <c r="G1326" i="27"/>
  <c r="N254" i="27"/>
  <c r="I254" i="27"/>
  <c r="N252" i="27"/>
  <c r="A522" i="32"/>
  <c r="K1449" i="27"/>
  <c r="I1449" i="27"/>
  <c r="M254" i="27"/>
  <c r="G518" i="32"/>
  <c r="L1450" i="27"/>
  <c r="J251" i="27"/>
  <c r="I1450" i="27"/>
  <c r="J1449" i="27"/>
  <c r="I251" i="27"/>
  <c r="I929" i="27"/>
  <c r="M251" i="27"/>
  <c r="A210" i="32"/>
  <c r="N251" i="27"/>
  <c r="J254" i="27"/>
  <c r="G817" i="32"/>
  <c r="I253" i="27"/>
  <c r="J391" i="27"/>
  <c r="A821" i="32"/>
  <c r="M252" i="27"/>
  <c r="M391" i="27"/>
  <c r="N391" i="27"/>
  <c r="J1450" i="27"/>
  <c r="G206" i="32"/>
  <c r="N253" i="27"/>
  <c r="L1449" i="27"/>
  <c r="X11" i="30"/>
  <c r="I252" i="27"/>
  <c r="F5423" i="27" l="1"/>
  <c r="F4773" i="27"/>
  <c r="F4774" i="27" s="1"/>
  <c r="F4775" i="27" s="1"/>
  <c r="F4776" i="27" s="1"/>
  <c r="F4777" i="27" s="1"/>
  <c r="F4772" i="27"/>
  <c r="I2429" i="27"/>
  <c r="A1450" i="27"/>
  <c r="A1449" i="27"/>
  <c r="H1452" i="27"/>
  <c r="P941" i="32"/>
  <c r="Q939" i="32"/>
  <c r="P745" i="32"/>
  <c r="Q743" i="32"/>
  <c r="H815" i="27"/>
  <c r="A391" i="27"/>
  <c r="T391" i="27" s="1"/>
  <c r="H393" i="27"/>
  <c r="I177" i="16" a="1"/>
  <c r="I177" i="16" s="1"/>
  <c r="J176" i="16" a="1"/>
  <c r="J176" i="16" s="1"/>
  <c r="H43" i="16" a="1"/>
  <c r="H43" i="16" s="1"/>
  <c r="I42" i="16" a="1"/>
  <c r="I42" i="16" s="1"/>
  <c r="N40" i="1"/>
  <c r="T40" i="1"/>
  <c r="A41" i="1"/>
  <c r="C23" i="24"/>
  <c r="L147" i="24"/>
  <c r="H261" i="24"/>
  <c r="L146" i="24"/>
  <c r="H7" i="34"/>
  <c r="H269" i="24"/>
  <c r="H253" i="24"/>
  <c r="H237" i="24"/>
  <c r="H221" i="24"/>
  <c r="A23" i="24"/>
  <c r="O7" i="33"/>
  <c r="H229" i="24"/>
  <c r="K7" i="30"/>
  <c r="H245" i="24"/>
  <c r="H285" i="24"/>
  <c r="K7" i="31"/>
  <c r="P52" i="24"/>
  <c r="H277" i="24"/>
  <c r="H293" i="24"/>
  <c r="AE161" i="1" a="1"/>
  <c r="AE161" i="1" s="1"/>
  <c r="AE162" i="1" s="1" a="1"/>
  <c r="AE162" i="1" s="1"/>
  <c r="AE163" i="1" s="1" a="1"/>
  <c r="AE163" i="1" s="1"/>
  <c r="P56" i="24"/>
  <c r="R56" i="24"/>
  <c r="S56" i="24"/>
  <c r="Q56" i="24"/>
  <c r="AI17" i="30"/>
  <c r="U212" i="32"/>
  <c r="U524" i="32"/>
  <c r="U823" i="32"/>
  <c r="X13" i="30"/>
  <c r="I257" i="27"/>
  <c r="K246" i="27"/>
  <c r="G208" i="32"/>
  <c r="I1451" i="27"/>
  <c r="K1451" i="27"/>
  <c r="N392" i="27"/>
  <c r="L13" i="30"/>
  <c r="N814" i="27"/>
  <c r="M260" i="27"/>
  <c r="J257" i="27"/>
  <c r="G520" i="32"/>
  <c r="G819" i="32"/>
  <c r="M259" i="27"/>
  <c r="I258" i="27"/>
  <c r="M257" i="27"/>
  <c r="M258" i="27"/>
  <c r="J259" i="27"/>
  <c r="I259" i="27"/>
  <c r="J260" i="27"/>
  <c r="M814" i="27"/>
  <c r="N257" i="27"/>
  <c r="N258" i="27"/>
  <c r="J1451" i="27"/>
  <c r="N259" i="27"/>
  <c r="I392" i="27"/>
  <c r="N260" i="27"/>
  <c r="K245" i="27"/>
  <c r="G1327" i="27"/>
  <c r="J392" i="27"/>
  <c r="K248" i="27"/>
  <c r="I260" i="27"/>
  <c r="L1451" i="27"/>
  <c r="J258" i="27"/>
  <c r="M392" i="27"/>
  <c r="A524" i="32"/>
  <c r="K392" i="27"/>
  <c r="K247" i="27"/>
  <c r="I814" i="27"/>
  <c r="J814" i="27"/>
  <c r="A823" i="32"/>
  <c r="K814" i="27"/>
  <c r="A246" i="27" l="1"/>
  <c r="T246" i="27" s="1"/>
  <c r="A247" i="27"/>
  <c r="T247" i="27" s="1"/>
  <c r="A245" i="27"/>
  <c r="T245" i="27" s="1"/>
  <c r="A248" i="27"/>
  <c r="T248" i="27" s="1"/>
  <c r="F5424" i="27"/>
  <c r="F4779" i="27"/>
  <c r="F4780" i="27" s="1"/>
  <c r="F4781" i="27" s="1"/>
  <c r="F4782" i="27" s="1"/>
  <c r="F4783" i="27" s="1"/>
  <c r="F4778" i="27"/>
  <c r="A1451" i="27"/>
  <c r="H1453" i="27"/>
  <c r="P747" i="32"/>
  <c r="Q745" i="32"/>
  <c r="P943" i="32"/>
  <c r="Q941" i="32"/>
  <c r="A814" i="27"/>
  <c r="O7" i="31"/>
  <c r="L754" i="27"/>
  <c r="L766" i="27"/>
  <c r="L802" i="27"/>
  <c r="L736" i="27"/>
  <c r="L658" i="27"/>
  <c r="L784" i="27"/>
  <c r="L748" i="27"/>
  <c r="L772" i="27"/>
  <c r="L832" i="27"/>
  <c r="L676" i="27"/>
  <c r="L700" i="27"/>
  <c r="L790" i="27"/>
  <c r="L664" i="27"/>
  <c r="L796" i="27"/>
  <c r="L682" i="27"/>
  <c r="L820" i="27"/>
  <c r="L760" i="27"/>
  <c r="L730" i="27"/>
  <c r="L742" i="27"/>
  <c r="L694" i="27"/>
  <c r="L724" i="27"/>
  <c r="L712" i="27"/>
  <c r="L688" i="27"/>
  <c r="L706" i="27"/>
  <c r="L670" i="27"/>
  <c r="L814" i="27"/>
  <c r="L718" i="27"/>
  <c r="L826" i="27"/>
  <c r="L808" i="27"/>
  <c r="L778" i="27"/>
  <c r="H816" i="27"/>
  <c r="A392" i="27"/>
  <c r="T392" i="27" s="1"/>
  <c r="O7" i="30"/>
  <c r="L401" i="27"/>
  <c r="L251" i="27"/>
  <c r="L347" i="27"/>
  <c r="L281" i="27"/>
  <c r="L329" i="27"/>
  <c r="L257" i="27"/>
  <c r="L377" i="27"/>
  <c r="L335" i="27"/>
  <c r="L293" i="27"/>
  <c r="L263" i="27"/>
  <c r="L407" i="27"/>
  <c r="L311" i="27"/>
  <c r="L371" i="27"/>
  <c r="L275" i="27"/>
  <c r="L413" i="27"/>
  <c r="L395" i="27"/>
  <c r="L299" i="27"/>
  <c r="L317" i="27"/>
  <c r="L323" i="27"/>
  <c r="L353" i="27"/>
  <c r="L389" i="27"/>
  <c r="L305" i="27"/>
  <c r="L365" i="27"/>
  <c r="L383" i="27"/>
  <c r="L341" i="27"/>
  <c r="L287" i="27"/>
  <c r="L245" i="27"/>
  <c r="L239" i="27"/>
  <c r="L359" i="27"/>
  <c r="L269" i="27"/>
  <c r="H394" i="27"/>
  <c r="H395" i="27"/>
  <c r="I178" i="16" a="1"/>
  <c r="I178" i="16" s="1"/>
  <c r="J177" i="16" a="1"/>
  <c r="J177" i="16" s="1"/>
  <c r="H44" i="16" a="1"/>
  <c r="H44" i="16" s="1"/>
  <c r="I43" i="16" a="1"/>
  <c r="I43" i="16" s="1"/>
  <c r="E41" i="1"/>
  <c r="M146" i="24"/>
  <c r="A24" i="24"/>
  <c r="Q52" i="24"/>
  <c r="P106" i="24"/>
  <c r="AE164" i="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AE175" i="1" s="1" a="1"/>
  <c r="AE175" i="1" s="1"/>
  <c r="AE176" i="1" s="1" a="1"/>
  <c r="AE176" i="1" s="1"/>
  <c r="AE177" i="1" s="1" a="1"/>
  <c r="AE177" i="1" s="1"/>
  <c r="AE178" i="1" s="1" a="1"/>
  <c r="AE178" i="1" s="1"/>
  <c r="AE179" i="1" s="1" a="1"/>
  <c r="AE179" i="1" s="1"/>
  <c r="AE180" i="1" s="1" a="1"/>
  <c r="AE180" i="1" s="1"/>
  <c r="AE181" i="1" s="1" a="1"/>
  <c r="AE181" i="1" s="1"/>
  <c r="AE182" i="1" s="1" a="1"/>
  <c r="AE182" i="1" s="1"/>
  <c r="AE183" i="1" s="1" a="1"/>
  <c r="AE183" i="1" s="1"/>
  <c r="AE184" i="1" s="1" a="1"/>
  <c r="AE184" i="1" s="1"/>
  <c r="AE185" i="1" s="1" a="1"/>
  <c r="AE185" i="1" s="1"/>
  <c r="AE186" i="1" s="1" a="1"/>
  <c r="AE186" i="1" s="1"/>
  <c r="AE187" i="1" s="1" a="1"/>
  <c r="AE187" i="1" s="1"/>
  <c r="AE188" i="1" s="1" a="1"/>
  <c r="AE188" i="1" s="1"/>
  <c r="AE189" i="1" s="1" a="1"/>
  <c r="AE189" i="1" s="1"/>
  <c r="AE190" i="1" s="1" a="1"/>
  <c r="AE190" i="1" s="1"/>
  <c r="AE191" i="1" s="1" a="1"/>
  <c r="AE191" i="1" s="1"/>
  <c r="AE192" i="1" s="1" a="1"/>
  <c r="AE192" i="1" s="1"/>
  <c r="AE193" i="1" s="1" a="1"/>
  <c r="AE193" i="1" s="1"/>
  <c r="AE194" i="1" s="1" a="1"/>
  <c r="AE194" i="1" s="1"/>
  <c r="AE195" i="1" s="1" a="1"/>
  <c r="AE195" i="1" s="1"/>
  <c r="AE196" i="1" s="1" a="1"/>
  <c r="AE196" i="1" s="1"/>
  <c r="AE197" i="1" s="1" a="1"/>
  <c r="AE197" i="1" s="1"/>
  <c r="AE198" i="1" s="1" a="1"/>
  <c r="AE198" i="1" s="1"/>
  <c r="AE199" i="1" s="1" a="1"/>
  <c r="AE199" i="1" s="1"/>
  <c r="AE200" i="1" s="1" a="1"/>
  <c r="AE200" i="1" s="1"/>
  <c r="AE201" i="1" s="1" a="1"/>
  <c r="AE201" i="1" s="1"/>
  <c r="AE202" i="1" s="1" a="1"/>
  <c r="AE202" i="1" s="1"/>
  <c r="AE203" i="1" s="1" a="1"/>
  <c r="AE203" i="1" s="1"/>
  <c r="AE204" i="1" s="1" a="1"/>
  <c r="AE204" i="1" s="1"/>
  <c r="AE205" i="1" s="1" a="1"/>
  <c r="AE205" i="1" s="1"/>
  <c r="AE206" i="1" s="1" a="1"/>
  <c r="AE206" i="1" s="1"/>
  <c r="AE207" i="1" s="1" a="1"/>
  <c r="AE207" i="1" s="1"/>
  <c r="AE208" i="1" s="1" a="1"/>
  <c r="AE208" i="1" s="1"/>
  <c r="AE209" i="1" s="1" a="1"/>
  <c r="AE209" i="1" s="1"/>
  <c r="AE210" i="1" s="1" a="1"/>
  <c r="AE210" i="1" s="1"/>
  <c r="AE211" i="1" s="1" a="1"/>
  <c r="AE211" i="1" s="1"/>
  <c r="AE212" i="1" s="1" a="1"/>
  <c r="AE212" i="1" s="1"/>
  <c r="AE213" i="1" s="1" a="1"/>
  <c r="AE213" i="1" s="1"/>
  <c r="AE214" i="1" s="1" a="1"/>
  <c r="AE214" i="1" s="1"/>
  <c r="AE215" i="1" s="1" a="1"/>
  <c r="AE215" i="1" s="1"/>
  <c r="AE216" i="1" s="1" a="1"/>
  <c r="AE216" i="1" s="1"/>
  <c r="AE217" i="1" s="1" a="1"/>
  <c r="AE217" i="1" s="1"/>
  <c r="AE218" i="1" s="1" a="1"/>
  <c r="AE218" i="1" s="1"/>
  <c r="AE219" i="1" s="1" a="1"/>
  <c r="AE219" i="1" s="1"/>
  <c r="AE220" i="1" s="1" a="1"/>
  <c r="AE220" i="1" s="1"/>
  <c r="AE221" i="1" s="1" a="1"/>
  <c r="AE221" i="1" s="1"/>
  <c r="AE222" i="1" s="1" a="1"/>
  <c r="AE222" i="1" s="1"/>
  <c r="AE223" i="1" s="1" a="1"/>
  <c r="AE223" i="1" s="1"/>
  <c r="AE224" i="1" s="1" a="1"/>
  <c r="AE224" i="1" s="1"/>
  <c r="AE225" i="1" s="1" a="1"/>
  <c r="AE225" i="1" s="1"/>
  <c r="AE226" i="1" s="1" a="1"/>
  <c r="AE226" i="1" s="1"/>
  <c r="AE227" i="1" s="1" a="1"/>
  <c r="AE227" i="1" s="1"/>
  <c r="AE228" i="1" s="1" a="1"/>
  <c r="AE228" i="1" s="1"/>
  <c r="AE229" i="1" s="1" a="1"/>
  <c r="AE229" i="1" s="1"/>
  <c r="AE230" i="1" s="1" a="1"/>
  <c r="AE230" i="1" s="1"/>
  <c r="AE231" i="1" s="1" a="1"/>
  <c r="AE231" i="1" s="1"/>
  <c r="AE232" i="1" s="1" a="1"/>
  <c r="AE232" i="1" s="1"/>
  <c r="AE233" i="1" s="1" a="1"/>
  <c r="AE233" i="1" s="1"/>
  <c r="AE234" i="1" s="1" a="1"/>
  <c r="AE234" i="1" s="1"/>
  <c r="AE235" i="1" s="1" a="1"/>
  <c r="AE235" i="1" s="1"/>
  <c r="AE236" i="1" s="1" a="1"/>
  <c r="AE236" i="1" s="1"/>
  <c r="AE237" i="1" s="1" a="1"/>
  <c r="AE237" i="1" s="1"/>
  <c r="AE238" i="1" s="1" a="1"/>
  <c r="AE238" i="1" s="1"/>
  <c r="AE239" i="1" s="1" a="1"/>
  <c r="AE239" i="1" s="1"/>
  <c r="AE240" i="1" s="1" a="1"/>
  <c r="AE240" i="1" s="1"/>
  <c r="AE241" i="1" s="1" a="1"/>
  <c r="AE241" i="1" s="1"/>
  <c r="AE242" i="1" s="1" a="1"/>
  <c r="AE242" i="1" s="1"/>
  <c r="AE243" i="1" s="1" a="1"/>
  <c r="AE243" i="1" s="1"/>
  <c r="AE244" i="1" s="1" a="1"/>
  <c r="AE244" i="1" s="1"/>
  <c r="AE245" i="1" s="1" a="1"/>
  <c r="AE245" i="1" s="1"/>
  <c r="AE246" i="1" s="1" a="1"/>
  <c r="AE246" i="1" s="1"/>
  <c r="AE247" i="1" s="1" a="1"/>
  <c r="AE247" i="1" s="1"/>
  <c r="AE248" i="1" s="1" a="1"/>
  <c r="AE248" i="1" s="1"/>
  <c r="AE249" i="1" s="1" a="1"/>
  <c r="AE249" i="1" s="1"/>
  <c r="AE250" i="1" s="1" a="1"/>
  <c r="AE250" i="1" s="1"/>
  <c r="AE251" i="1" s="1" a="1"/>
  <c r="AE251" i="1" s="1"/>
  <c r="AE252" i="1" s="1" a="1"/>
  <c r="AE252" i="1" s="1"/>
  <c r="AE253" i="1" s="1" a="1"/>
  <c r="AE253" i="1" s="1"/>
  <c r="AE254" i="1" s="1" a="1"/>
  <c r="AE254" i="1" s="1"/>
  <c r="AE255" i="1" s="1" a="1"/>
  <c r="AE255" i="1" s="1"/>
  <c r="P58" i="24"/>
  <c r="R58" i="24"/>
  <c r="S58" i="24"/>
  <c r="AI19" i="30"/>
  <c r="U825" i="32"/>
  <c r="U526" i="32"/>
  <c r="U214" i="32"/>
  <c r="J615" i="22"/>
  <c r="J309" i="22"/>
  <c r="G1328" i="27"/>
  <c r="J263" i="27"/>
  <c r="J1452" i="27"/>
  <c r="J264" i="27"/>
  <c r="X15" i="30"/>
  <c r="J815" i="27"/>
  <c r="L15" i="30"/>
  <c r="K254" i="27"/>
  <c r="N815" i="27"/>
  <c r="I1452" i="27"/>
  <c r="M265" i="27"/>
  <c r="K815" i="27"/>
  <c r="A212" i="32"/>
  <c r="I815" i="27"/>
  <c r="M266" i="27"/>
  <c r="N265" i="27"/>
  <c r="A526" i="32"/>
  <c r="I265" i="27"/>
  <c r="J266" i="27"/>
  <c r="N263" i="27"/>
  <c r="K251" i="27"/>
  <c r="N266" i="27"/>
  <c r="I266" i="27"/>
  <c r="K253" i="27"/>
  <c r="G821" i="32"/>
  <c r="M263" i="27"/>
  <c r="J265" i="27"/>
  <c r="L1452" i="27"/>
  <c r="I263" i="27"/>
  <c r="G210" i="32"/>
  <c r="T15" i="30"/>
  <c r="P15" i="30"/>
  <c r="K1452" i="27"/>
  <c r="M815" i="27"/>
  <c r="G522" i="32"/>
  <c r="A253" i="27" l="1"/>
  <c r="T253" i="27" s="1"/>
  <c r="A251" i="27"/>
  <c r="T251" i="27" s="1"/>
  <c r="A254" i="27"/>
  <c r="T254" i="27" s="1"/>
  <c r="F5425" i="27"/>
  <c r="F4785" i="27"/>
  <c r="F4786" i="27" s="1"/>
  <c r="F4787" i="27" s="1"/>
  <c r="F4788" i="27" s="1"/>
  <c r="F4789" i="27" s="1"/>
  <c r="F4784" i="27"/>
  <c r="A1452" i="27"/>
  <c r="H1454" i="27"/>
  <c r="P945" i="32"/>
  <c r="Q943" i="32"/>
  <c r="P749" i="32"/>
  <c r="Q747" i="32"/>
  <c r="A815" i="27"/>
  <c r="S7" i="31"/>
  <c r="L689" i="27"/>
  <c r="L713" i="27"/>
  <c r="L695" i="27"/>
  <c r="L791" i="27"/>
  <c r="L671" i="27"/>
  <c r="L809" i="27"/>
  <c r="L719" i="27"/>
  <c r="L773" i="27"/>
  <c r="L821" i="27"/>
  <c r="L833" i="27"/>
  <c r="L803" i="27"/>
  <c r="L749" i="27"/>
  <c r="L797" i="27"/>
  <c r="L665" i="27"/>
  <c r="L779" i="27"/>
  <c r="L701" i="27"/>
  <c r="L785" i="27"/>
  <c r="L707" i="27"/>
  <c r="L767" i="27"/>
  <c r="L755" i="27"/>
  <c r="L743" i="27"/>
  <c r="L761" i="27"/>
  <c r="L731" i="27"/>
  <c r="L815" i="27"/>
  <c r="L677" i="27"/>
  <c r="L827" i="27"/>
  <c r="L737" i="27"/>
  <c r="L659" i="27"/>
  <c r="L725" i="27"/>
  <c r="L683" i="27"/>
  <c r="H817" i="27"/>
  <c r="H396" i="27"/>
  <c r="S7" i="30"/>
  <c r="L306" i="27"/>
  <c r="L402" i="27"/>
  <c r="L252" i="27"/>
  <c r="L300" i="27"/>
  <c r="L282" i="27"/>
  <c r="L318" i="27"/>
  <c r="L408" i="27"/>
  <c r="L414" i="27"/>
  <c r="L354" i="27"/>
  <c r="L378" i="27"/>
  <c r="L324" i="27"/>
  <c r="L390" i="27"/>
  <c r="L396" i="27"/>
  <c r="L342" i="27"/>
  <c r="L366" i="27"/>
  <c r="L294" i="27"/>
  <c r="L246" i="27"/>
  <c r="L288" i="27"/>
  <c r="L330" i="27"/>
  <c r="L372" i="27"/>
  <c r="L312" i="27"/>
  <c r="L270" i="27"/>
  <c r="L258" i="27"/>
  <c r="L276" i="27"/>
  <c r="L264" i="27"/>
  <c r="L360" i="27"/>
  <c r="L348" i="27"/>
  <c r="L384" i="27"/>
  <c r="L336" i="27"/>
  <c r="L240" i="27"/>
  <c r="H230" i="24"/>
  <c r="H254" i="24"/>
  <c r="R7" i="33"/>
  <c r="I179" i="16" a="1"/>
  <c r="I179" i="16" s="1"/>
  <c r="J178" i="16" a="1"/>
  <c r="J178" i="16" s="1"/>
  <c r="H45" i="16" a="1"/>
  <c r="H45" i="16" s="1"/>
  <c r="I44" i="16" a="1"/>
  <c r="I44" i="16" s="1"/>
  <c r="H238" i="24"/>
  <c r="L7" i="34"/>
  <c r="H294" i="24"/>
  <c r="H286" i="24"/>
  <c r="H278" i="24"/>
  <c r="H246" i="24"/>
  <c r="H222" i="24"/>
  <c r="H270" i="24"/>
  <c r="H262" i="24"/>
  <c r="N41" i="1"/>
  <c r="T41" i="1"/>
  <c r="A42" i="1"/>
  <c r="C24" i="24"/>
  <c r="M147" i="24"/>
  <c r="Q106" i="24"/>
  <c r="R52" i="24"/>
  <c r="S60" i="24"/>
  <c r="R60" i="24"/>
  <c r="Q60" i="24"/>
  <c r="P60" i="24"/>
  <c r="AI21" i="30"/>
  <c r="U216" i="32"/>
  <c r="U528" i="32"/>
  <c r="U827" i="32"/>
  <c r="E64" i="24"/>
  <c r="N64" i="24" s="1"/>
  <c r="AG19" i="30"/>
  <c r="J3" i="22"/>
  <c r="M271" i="27"/>
  <c r="N816" i="27"/>
  <c r="M269" i="27"/>
  <c r="A827" i="32"/>
  <c r="N395" i="27"/>
  <c r="A216" i="32"/>
  <c r="J272" i="27"/>
  <c r="I1453" i="27"/>
  <c r="K259" i="27"/>
  <c r="J271" i="27"/>
  <c r="K1453" i="27"/>
  <c r="J1453" i="27"/>
  <c r="J270" i="27"/>
  <c r="N270" i="27"/>
  <c r="I816" i="27"/>
  <c r="K257" i="27"/>
  <c r="M395" i="27"/>
  <c r="N269" i="27"/>
  <c r="I270" i="27"/>
  <c r="A825" i="32"/>
  <c r="K258" i="27"/>
  <c r="K816" i="27"/>
  <c r="L1453" i="27"/>
  <c r="L17" i="30"/>
  <c r="K260" i="27"/>
  <c r="A214" i="32"/>
  <c r="N271" i="27"/>
  <c r="M816" i="27"/>
  <c r="G212" i="32"/>
  <c r="M272" i="27"/>
  <c r="A528" i="32"/>
  <c r="G823" i="32"/>
  <c r="I395" i="27"/>
  <c r="N272" i="27"/>
  <c r="K395" i="27"/>
  <c r="G524" i="32"/>
  <c r="J816" i="27"/>
  <c r="M270" i="27"/>
  <c r="I271" i="27"/>
  <c r="I269" i="27"/>
  <c r="X17" i="30"/>
  <c r="I272" i="27"/>
  <c r="J269" i="27"/>
  <c r="T17" i="30"/>
  <c r="J395" i="27"/>
  <c r="A258" i="27" l="1"/>
  <c r="T258" i="27" s="1"/>
  <c r="A260" i="27"/>
  <c r="T260" i="27" s="1"/>
  <c r="A259" i="27"/>
  <c r="T259" i="27" s="1"/>
  <c r="A257" i="27"/>
  <c r="T257" i="27" s="1"/>
  <c r="F5426" i="27"/>
  <c r="F5427" i="27"/>
  <c r="F4790" i="27"/>
  <c r="F4791" i="27"/>
  <c r="F4792" i="27" s="1"/>
  <c r="F4793" i="27" s="1"/>
  <c r="F4794" i="27" s="1"/>
  <c r="F4795" i="27" s="1"/>
  <c r="A1453" i="27"/>
  <c r="H1456" i="27"/>
  <c r="H1455" i="27"/>
  <c r="P751" i="32"/>
  <c r="Q749" i="32"/>
  <c r="P947" i="32"/>
  <c r="Q945" i="32"/>
  <c r="A816" i="27"/>
  <c r="W7" i="31"/>
  <c r="L828" i="27"/>
  <c r="L702" i="27"/>
  <c r="L822" i="27"/>
  <c r="L744" i="27"/>
  <c r="L780" i="27"/>
  <c r="L720" i="27"/>
  <c r="L684" i="27"/>
  <c r="L696" i="27"/>
  <c r="L750" i="27"/>
  <c r="L678" i="27"/>
  <c r="L804" i="27"/>
  <c r="L738" i="27"/>
  <c r="L792" i="27"/>
  <c r="L810" i="27"/>
  <c r="L708" i="27"/>
  <c r="L756" i="27"/>
  <c r="L834" i="27"/>
  <c r="L768" i="27"/>
  <c r="L732" i="27"/>
  <c r="L726" i="27"/>
  <c r="L666" i="27"/>
  <c r="L762" i="27"/>
  <c r="L660" i="27"/>
  <c r="L816" i="27"/>
  <c r="L714" i="27"/>
  <c r="L774" i="27"/>
  <c r="L798" i="27"/>
  <c r="L672" i="27"/>
  <c r="L690" i="27"/>
  <c r="L786" i="27"/>
  <c r="H818" i="27"/>
  <c r="A395" i="27"/>
  <c r="T395" i="27" s="1"/>
  <c r="W7" i="30"/>
  <c r="L283" i="27"/>
  <c r="L331" i="27"/>
  <c r="L247" i="27"/>
  <c r="L289" i="27"/>
  <c r="L391" i="27"/>
  <c r="L241" i="27"/>
  <c r="L361" i="27"/>
  <c r="L415" i="27"/>
  <c r="L385" i="27"/>
  <c r="L373" i="27"/>
  <c r="L367" i="27"/>
  <c r="L409" i="27"/>
  <c r="L319" i="27"/>
  <c r="L349" i="27"/>
  <c r="L403" i="27"/>
  <c r="L301" i="27"/>
  <c r="L271" i="27"/>
  <c r="L259" i="27"/>
  <c r="L337" i="27"/>
  <c r="L397" i="27"/>
  <c r="L355" i="27"/>
  <c r="L265" i="27"/>
  <c r="L325" i="27"/>
  <c r="L253" i="27"/>
  <c r="L343" i="27"/>
  <c r="L277" i="27"/>
  <c r="L307" i="27"/>
  <c r="L379" i="27"/>
  <c r="L313" i="27"/>
  <c r="L295" i="27"/>
  <c r="H397" i="27"/>
  <c r="I180" i="16" a="1"/>
  <c r="I180" i="16" s="1"/>
  <c r="J179" i="16" a="1"/>
  <c r="J179" i="16" s="1"/>
  <c r="H46" i="16" a="1"/>
  <c r="H46" i="16" s="1"/>
  <c r="I45" i="16" a="1"/>
  <c r="I45" i="16" s="1"/>
  <c r="E42" i="1"/>
  <c r="N146" i="24"/>
  <c r="A25" i="24"/>
  <c r="S52" i="24"/>
  <c r="S106" i="24" s="1"/>
  <c r="R106" i="24"/>
  <c r="P62" i="24"/>
  <c r="S62" i="24"/>
  <c r="R62" i="24"/>
  <c r="AI23" i="30"/>
  <c r="U829" i="32"/>
  <c r="U530" i="32"/>
  <c r="U218" i="32"/>
  <c r="F25" i="16" a="1"/>
  <c r="F25" i="16" s="1"/>
  <c r="N276" i="27"/>
  <c r="J277" i="27"/>
  <c r="I396" i="27"/>
  <c r="M278" i="27"/>
  <c r="J817" i="27"/>
  <c r="N396" i="27"/>
  <c r="G526" i="32"/>
  <c r="A530" i="32"/>
  <c r="N817" i="27"/>
  <c r="G1331" i="27"/>
  <c r="P19" i="30"/>
  <c r="L19" i="30"/>
  <c r="M396" i="27"/>
  <c r="L1454" i="27"/>
  <c r="K266" i="27"/>
  <c r="X19" i="30"/>
  <c r="N278" i="27"/>
  <c r="I276" i="27"/>
  <c r="J278" i="27"/>
  <c r="M276" i="27"/>
  <c r="K263" i="27"/>
  <c r="G825" i="32"/>
  <c r="K817" i="27"/>
  <c r="K265" i="27"/>
  <c r="K396" i="27"/>
  <c r="J276" i="27"/>
  <c r="J396" i="27"/>
  <c r="M817" i="27"/>
  <c r="K1454" i="27"/>
  <c r="J1454" i="27"/>
  <c r="I278" i="27"/>
  <c r="I1454" i="27"/>
  <c r="I817" i="27"/>
  <c r="G214" i="32"/>
  <c r="A265" i="27" l="1"/>
  <c r="T265" i="27" s="1"/>
  <c r="A266" i="27"/>
  <c r="T266" i="27" s="1"/>
  <c r="A263" i="27"/>
  <c r="T263" i="27" s="1"/>
  <c r="F5428" i="27"/>
  <c r="F4797" i="27"/>
  <c r="F4798" i="27" s="1"/>
  <c r="F4799" i="27" s="1"/>
  <c r="F4800" i="27" s="1"/>
  <c r="F4801" i="27" s="1"/>
  <c r="F4796" i="27"/>
  <c r="A1454" i="27"/>
  <c r="H1457" i="27"/>
  <c r="P949" i="32"/>
  <c r="Q947" i="32"/>
  <c r="P753" i="32"/>
  <c r="Q751" i="32"/>
  <c r="A817" i="27"/>
  <c r="L721" i="27"/>
  <c r="L793" i="27"/>
  <c r="L679" i="27"/>
  <c r="L703" i="27"/>
  <c r="L697" i="27"/>
  <c r="L799" i="27"/>
  <c r="L733" i="27"/>
  <c r="L787" i="27"/>
  <c r="L661" i="27"/>
  <c r="L751" i="27"/>
  <c r="L805" i="27"/>
  <c r="L763" i="27"/>
  <c r="L745" i="27"/>
  <c r="L823" i="27"/>
  <c r="L685" i="27"/>
  <c r="L829" i="27"/>
  <c r="L709" i="27"/>
  <c r="L811" i="27"/>
  <c r="L757" i="27"/>
  <c r="L727" i="27"/>
  <c r="L769" i="27"/>
  <c r="L817" i="27"/>
  <c r="L673" i="27"/>
  <c r="L739" i="27"/>
  <c r="L691" i="27"/>
  <c r="L781" i="27"/>
  <c r="L835" i="27"/>
  <c r="L775" i="27"/>
  <c r="L715" i="27"/>
  <c r="L667" i="27"/>
  <c r="H820" i="27"/>
  <c r="H819" i="27"/>
  <c r="A396" i="27"/>
  <c r="T396" i="27" s="1"/>
  <c r="H398" i="27"/>
  <c r="L284" i="27"/>
  <c r="L260" i="27"/>
  <c r="L314" i="27"/>
  <c r="L338" i="27"/>
  <c r="L368" i="27"/>
  <c r="L278" i="27"/>
  <c r="L350" i="27"/>
  <c r="L386" i="27"/>
  <c r="L332" i="27"/>
  <c r="L356" i="27"/>
  <c r="L416" i="27"/>
  <c r="L308" i="27"/>
  <c r="L398" i="27"/>
  <c r="L272" i="27"/>
  <c r="L410" i="27"/>
  <c r="L254" i="27"/>
  <c r="L326" i="27"/>
  <c r="L266" i="27"/>
  <c r="L302" i="27"/>
  <c r="L320" i="27"/>
  <c r="L404" i="27"/>
  <c r="L290" i="27"/>
  <c r="L248" i="27"/>
  <c r="L344" i="27"/>
  <c r="L242" i="27"/>
  <c r="L362" i="27"/>
  <c r="L374" i="27"/>
  <c r="L392" i="27"/>
  <c r="L296" i="27"/>
  <c r="L380" i="27"/>
  <c r="H255" i="24"/>
  <c r="H271" i="24"/>
  <c r="I181" i="16" a="1"/>
  <c r="I181" i="16" s="1"/>
  <c r="J180" i="16" a="1"/>
  <c r="J180" i="16" s="1"/>
  <c r="F26" i="16" a="1"/>
  <c r="F26" i="16" s="1"/>
  <c r="F27" i="16" s="1" a="1"/>
  <c r="F27" i="16" s="1"/>
  <c r="H47" i="16" a="1"/>
  <c r="H47" i="16" s="1"/>
  <c r="I46" i="16" a="1"/>
  <c r="I46" i="16" s="1"/>
  <c r="H247" i="24"/>
  <c r="H231" i="24"/>
  <c r="P7" i="34"/>
  <c r="U7" i="33"/>
  <c r="H279" i="24"/>
  <c r="H287" i="24"/>
  <c r="H295" i="24"/>
  <c r="H263" i="24"/>
  <c r="H223" i="24"/>
  <c r="H239" i="24"/>
  <c r="N42" i="1"/>
  <c r="T42" i="1"/>
  <c r="A43" i="1"/>
  <c r="N147" i="24"/>
  <c r="C25" i="24"/>
  <c r="P64" i="24"/>
  <c r="S64" i="24"/>
  <c r="Q64" i="24"/>
  <c r="AI25" i="30"/>
  <c r="U220" i="32"/>
  <c r="U532" i="32"/>
  <c r="U831" i="32"/>
  <c r="F4" i="16" a="1"/>
  <c r="F4" i="16" s="1"/>
  <c r="K270" i="27"/>
  <c r="A829" i="32"/>
  <c r="G827" i="32"/>
  <c r="G528" i="32"/>
  <c r="K272" i="27"/>
  <c r="G216" i="32"/>
  <c r="A831" i="32"/>
  <c r="M283" i="27"/>
  <c r="M281" i="27"/>
  <c r="K397" i="27"/>
  <c r="J281" i="27"/>
  <c r="X21" i="30"/>
  <c r="N281" i="27"/>
  <c r="M284" i="27"/>
  <c r="L1455" i="27"/>
  <c r="I284" i="27"/>
  <c r="P21" i="30"/>
  <c r="I281" i="27"/>
  <c r="J283" i="27"/>
  <c r="A218" i="32"/>
  <c r="K1456" i="27"/>
  <c r="J282" i="27"/>
  <c r="M397" i="27"/>
  <c r="J397" i="27"/>
  <c r="J1456" i="27"/>
  <c r="K1455" i="27"/>
  <c r="K269" i="27"/>
  <c r="I397" i="27"/>
  <c r="I283" i="27"/>
  <c r="N397" i="27"/>
  <c r="N283" i="27"/>
  <c r="I1455" i="27"/>
  <c r="J284" i="27"/>
  <c r="G1332" i="27"/>
  <c r="N284" i="27"/>
  <c r="I1456" i="27"/>
  <c r="L1456" i="27"/>
  <c r="J1455" i="27"/>
  <c r="A270" i="27" l="1"/>
  <c r="T270" i="27" s="1"/>
  <c r="A272" i="27"/>
  <c r="T272" i="27" s="1"/>
  <c r="A269" i="27"/>
  <c r="T269" i="27" s="1"/>
  <c r="F5429" i="27"/>
  <c r="F4803" i="27"/>
  <c r="F4804" i="27" s="1"/>
  <c r="F4805" i="27" s="1"/>
  <c r="F4806" i="27" s="1"/>
  <c r="F4807" i="27" s="1"/>
  <c r="F4802" i="27"/>
  <c r="A1456" i="27"/>
  <c r="A1455" i="27"/>
  <c r="H1458" i="27"/>
  <c r="P755" i="32"/>
  <c r="Q753" i="32"/>
  <c r="P951" i="32"/>
  <c r="Q949" i="32"/>
  <c r="H821" i="27"/>
  <c r="A397" i="27"/>
  <c r="T397" i="27" s="1"/>
  <c r="H399" i="27"/>
  <c r="F28" i="16" a="1"/>
  <c r="F28" i="16" s="1"/>
  <c r="F29" i="16" s="1" a="1"/>
  <c r="F29" i="16" s="1"/>
  <c r="I182" i="16" a="1"/>
  <c r="I182" i="16" s="1"/>
  <c r="J181" i="16" a="1"/>
  <c r="J181" i="16" s="1"/>
  <c r="H48" i="16" a="1"/>
  <c r="H48" i="16" s="1"/>
  <c r="I47" i="16" a="1"/>
  <c r="I47" i="16" s="1"/>
  <c r="F5" i="16" a="1"/>
  <c r="F5" i="16" s="1"/>
  <c r="F6" i="16" s="1" a="1"/>
  <c r="F6" i="16" s="1"/>
  <c r="E43" i="1"/>
  <c r="X7" i="33"/>
  <c r="O146" i="24"/>
  <c r="A26" i="24"/>
  <c r="T7" i="34"/>
  <c r="Q66" i="24"/>
  <c r="S66" i="24"/>
  <c r="AI27" i="30"/>
  <c r="U222" i="32"/>
  <c r="U833" i="32"/>
  <c r="U534" i="32"/>
  <c r="I820" i="27"/>
  <c r="M289" i="27"/>
  <c r="M820" i="27"/>
  <c r="G829" i="32"/>
  <c r="K1457" i="27"/>
  <c r="J1457" i="27"/>
  <c r="M398" i="27"/>
  <c r="J287" i="27"/>
  <c r="A534" i="32"/>
  <c r="K278" i="27"/>
  <c r="K276" i="27"/>
  <c r="G1333" i="27"/>
  <c r="X23" i="30"/>
  <c r="K398" i="27"/>
  <c r="M288" i="27"/>
  <c r="I287" i="27"/>
  <c r="J289" i="27"/>
  <c r="N289" i="27"/>
  <c r="A532" i="32"/>
  <c r="N287" i="27"/>
  <c r="I1457" i="27"/>
  <c r="J820" i="27"/>
  <c r="I398" i="27"/>
  <c r="I289" i="27"/>
  <c r="J288" i="27"/>
  <c r="N288" i="27"/>
  <c r="L1457" i="27"/>
  <c r="N398" i="27"/>
  <c r="A220" i="32"/>
  <c r="G218" i="32"/>
  <c r="A833" i="32"/>
  <c r="K820" i="27"/>
  <c r="I288" i="27"/>
  <c r="G530" i="32"/>
  <c r="T23" i="30"/>
  <c r="M287" i="27"/>
  <c r="J398" i="27"/>
  <c r="L23" i="30"/>
  <c r="N820" i="27"/>
  <c r="A276" i="27" l="1"/>
  <c r="T276" i="27" s="1"/>
  <c r="A278" i="27"/>
  <c r="T278" i="27" s="1"/>
  <c r="F5430" i="27"/>
  <c r="F4809" i="27"/>
  <c r="F4810" i="27" s="1"/>
  <c r="F4811" i="27" s="1"/>
  <c r="F4812" i="27" s="1"/>
  <c r="F4813" i="27" s="1"/>
  <c r="F4808" i="27"/>
  <c r="A1457" i="27"/>
  <c r="H1459" i="27"/>
  <c r="P757" i="32"/>
  <c r="Q755" i="32"/>
  <c r="P953" i="32"/>
  <c r="Q951" i="32"/>
  <c r="A820" i="27"/>
  <c r="H822" i="27"/>
  <c r="A398" i="27"/>
  <c r="T398" i="27" s="1"/>
  <c r="H401" i="27"/>
  <c r="H400" i="27"/>
  <c r="H240" i="24"/>
  <c r="F30" i="16" a="1"/>
  <c r="F30" i="16" s="1"/>
  <c r="F31" i="16" s="1" a="1"/>
  <c r="F31" i="16" s="1"/>
  <c r="I183" i="16" a="1"/>
  <c r="I183" i="16" s="1"/>
  <c r="J182" i="16" a="1"/>
  <c r="J182" i="16" s="1"/>
  <c r="H49" i="16" a="1"/>
  <c r="H49" i="16" s="1"/>
  <c r="I48" i="16" a="1"/>
  <c r="I48" i="16" s="1"/>
  <c r="F7" i="16" a="1"/>
  <c r="F7" i="16" s="1"/>
  <c r="H288" i="24"/>
  <c r="H280" i="24"/>
  <c r="H272" i="24"/>
  <c r="H232" i="24"/>
  <c r="H248" i="24"/>
  <c r="H256" i="24"/>
  <c r="H264" i="24"/>
  <c r="H224" i="24"/>
  <c r="H296" i="24"/>
  <c r="N43" i="1"/>
  <c r="T43" i="1"/>
  <c r="A44" i="1"/>
  <c r="O147" i="24"/>
  <c r="C26" i="24"/>
  <c r="S68" i="24"/>
  <c r="P68" i="24"/>
  <c r="R68" i="24"/>
  <c r="AI29" i="30"/>
  <c r="K114" i="32"/>
  <c r="K218" i="32"/>
  <c r="K134" i="32"/>
  <c r="K240" i="32"/>
  <c r="K94" i="32"/>
  <c r="K190" i="32"/>
  <c r="K154" i="32"/>
  <c r="K236" i="32"/>
  <c r="K68" i="32"/>
  <c r="K116" i="32"/>
  <c r="K56" i="32"/>
  <c r="K20" i="32"/>
  <c r="K272" i="32"/>
  <c r="K142" i="32"/>
  <c r="K64" i="32"/>
  <c r="K76" i="32"/>
  <c r="K258" i="32"/>
  <c r="K122" i="32"/>
  <c r="K176" i="32"/>
  <c r="K72" i="32"/>
  <c r="K210" i="32"/>
  <c r="K42" i="32"/>
  <c r="K262" i="32"/>
  <c r="K22" i="32"/>
  <c r="K302" i="32"/>
  <c r="K96" i="32"/>
  <c r="K32" i="32"/>
  <c r="K162" i="32"/>
  <c r="K138" i="32"/>
  <c r="K232" i="32"/>
  <c r="K130" i="32"/>
  <c r="K226" i="32"/>
  <c r="K106" i="32"/>
  <c r="K202" i="32"/>
  <c r="K98" i="32"/>
  <c r="K244" i="32"/>
  <c r="K24" i="32"/>
  <c r="K292" i="32"/>
  <c r="K108" i="32"/>
  <c r="K112" i="32"/>
  <c r="K58" i="32"/>
  <c r="K204" i="32"/>
  <c r="K60" i="32"/>
  <c r="K196" i="32"/>
  <c r="K186" i="32"/>
  <c r="K88" i="32"/>
  <c r="K172" i="32"/>
  <c r="K128" i="32"/>
  <c r="K26" i="32"/>
  <c r="K278" i="32"/>
  <c r="K54" i="32"/>
  <c r="K252" i="32"/>
  <c r="K38" i="32"/>
  <c r="K214" i="32"/>
  <c r="K86" i="32"/>
  <c r="K266" i="32"/>
  <c r="K148" i="32"/>
  <c r="K168" i="32"/>
  <c r="K158" i="32"/>
  <c r="K220" i="32"/>
  <c r="K140" i="32"/>
  <c r="K288" i="32"/>
  <c r="K284" i="32"/>
  <c r="K200" i="32"/>
  <c r="K242" i="32"/>
  <c r="K92" i="32"/>
  <c r="K246" i="32"/>
  <c r="K152" i="32"/>
  <c r="K238" i="32"/>
  <c r="K52" i="32"/>
  <c r="K118" i="32"/>
  <c r="K100" i="32"/>
  <c r="K206" i="32"/>
  <c r="K66" i="32"/>
  <c r="K282" i="32"/>
  <c r="K306" i="32"/>
  <c r="K78" i="32"/>
  <c r="K268" i="32"/>
  <c r="K124" i="32"/>
  <c r="K178" i="32"/>
  <c r="K46" i="32"/>
  <c r="K224" i="32"/>
  <c r="K44" i="32"/>
  <c r="K254" i="32"/>
  <c r="K48" i="32"/>
  <c r="K28" i="32"/>
  <c r="K280" i="32"/>
  <c r="K290" i="32"/>
  <c r="K164" i="32"/>
  <c r="K216" i="32"/>
  <c r="K132" i="32"/>
  <c r="K228" i="32"/>
  <c r="K90" i="32"/>
  <c r="K198" i="32"/>
  <c r="K160" i="32"/>
  <c r="K248" i="32"/>
  <c r="K104" i="32"/>
  <c r="K296" i="32"/>
  <c r="K274" i="32"/>
  <c r="K192" i="32"/>
  <c r="K62" i="32"/>
  <c r="K74" i="32"/>
  <c r="K188" i="32"/>
  <c r="K82" i="32"/>
  <c r="K174" i="32"/>
  <c r="K70" i="32"/>
  <c r="K250" i="32"/>
  <c r="K12" i="32"/>
  <c r="K308" i="32"/>
  <c r="K276" i="32"/>
  <c r="K40" i="32"/>
  <c r="K260" i="32"/>
  <c r="K30" i="32"/>
  <c r="K256" i="32"/>
  <c r="K136" i="32"/>
  <c r="K230" i="32"/>
  <c r="K146" i="32"/>
  <c r="K222" i="32"/>
  <c r="K144" i="32"/>
  <c r="K208" i="32"/>
  <c r="K14" i="32"/>
  <c r="K270" i="32"/>
  <c r="K294" i="32"/>
  <c r="K234" i="32"/>
  <c r="K150" i="32"/>
  <c r="K110" i="32"/>
  <c r="K50" i="32"/>
  <c r="K120" i="32"/>
  <c r="K102" i="32"/>
  <c r="K194" i="32"/>
  <c r="K184" i="32"/>
  <c r="K80" i="32"/>
  <c r="K16" i="32"/>
  <c r="K300" i="32"/>
  <c r="K304" i="32"/>
  <c r="K182" i="32"/>
  <c r="K170" i="32"/>
  <c r="K126" i="32"/>
  <c r="K180" i="32"/>
  <c r="K36" i="32"/>
  <c r="K212" i="32"/>
  <c r="K84" i="32"/>
  <c r="K264" i="32"/>
  <c r="K34" i="32"/>
  <c r="K166" i="32"/>
  <c r="K156" i="32"/>
  <c r="K18" i="32"/>
  <c r="K298" i="32"/>
  <c r="K286" i="32"/>
  <c r="K10" i="32"/>
  <c r="U835" i="32"/>
  <c r="U224" i="32"/>
  <c r="U536" i="32"/>
  <c r="C23" i="19" a="1"/>
  <c r="C23" i="19" s="1"/>
  <c r="C3" i="19" a="1"/>
  <c r="C3" i="19" s="1"/>
  <c r="M821" i="27"/>
  <c r="M293" i="27"/>
  <c r="I296" i="27"/>
  <c r="N294" i="27"/>
  <c r="N296" i="27"/>
  <c r="L1458" i="27"/>
  <c r="I294" i="27"/>
  <c r="M296" i="27"/>
  <c r="K284" i="27"/>
  <c r="G831" i="32"/>
  <c r="I293" i="27"/>
  <c r="G220" i="32"/>
  <c r="A222" i="32"/>
  <c r="N821" i="27"/>
  <c r="I1458" i="27"/>
  <c r="N293" i="27"/>
  <c r="J296" i="27"/>
  <c r="J1458" i="27"/>
  <c r="K281" i="27"/>
  <c r="L25" i="30"/>
  <c r="A536" i="32"/>
  <c r="I821" i="27"/>
  <c r="P25" i="30"/>
  <c r="G532" i="32"/>
  <c r="J295" i="27"/>
  <c r="A835" i="32"/>
  <c r="T25" i="30"/>
  <c r="J293" i="27"/>
  <c r="J821" i="27"/>
  <c r="M294" i="27"/>
  <c r="J294" i="27"/>
  <c r="G1334" i="27"/>
  <c r="K821" i="27"/>
  <c r="K1458" i="27"/>
  <c r="K283" i="27"/>
  <c r="C24" i="19" l="1" a="1"/>
  <c r="C24" i="19" s="1"/>
  <c r="C25" i="19" s="1" a="1"/>
  <c r="C25" i="19" s="1"/>
  <c r="A284" i="27"/>
  <c r="T284" i="27" s="1"/>
  <c r="A283" i="27"/>
  <c r="T283" i="27" s="1"/>
  <c r="A281" i="27"/>
  <c r="T281" i="27" s="1"/>
  <c r="F5431" i="27"/>
  <c r="F4814" i="27"/>
  <c r="F4815" i="27"/>
  <c r="F4816" i="27" s="1"/>
  <c r="F4817" i="27" s="1"/>
  <c r="F4818" i="27" s="1"/>
  <c r="F4819" i="27" s="1"/>
  <c r="A1458" i="27"/>
  <c r="H1460" i="27"/>
  <c r="P955" i="32"/>
  <c r="Q953" i="32"/>
  <c r="P759" i="32"/>
  <c r="Q757" i="32"/>
  <c r="A821" i="27"/>
  <c r="H823" i="27"/>
  <c r="H402" i="27"/>
  <c r="C4" i="19" a="1"/>
  <c r="C4" i="19" s="1"/>
  <c r="C5" i="19" s="1" a="1"/>
  <c r="C5" i="19" s="1"/>
  <c r="F32" i="16" a="1"/>
  <c r="F32" i="16" s="1"/>
  <c r="F33" i="16" s="1" a="1"/>
  <c r="F33" i="16" s="1"/>
  <c r="I184" i="16" a="1"/>
  <c r="I184" i="16" s="1"/>
  <c r="J183" i="16" a="1"/>
  <c r="J183" i="16" s="1"/>
  <c r="H50" i="16" a="1"/>
  <c r="H50" i="16" s="1"/>
  <c r="I49" i="16" a="1"/>
  <c r="I49" i="16" s="1"/>
  <c r="F8" i="16" a="1"/>
  <c r="F8" i="16" s="1"/>
  <c r="F9" i="16" s="1" a="1"/>
  <c r="F9" i="16" s="1"/>
  <c r="E44" i="1"/>
  <c r="P146" i="24"/>
  <c r="A27" i="24"/>
  <c r="AA7" i="33"/>
  <c r="X7" i="34"/>
  <c r="P70" i="24"/>
  <c r="R70" i="24"/>
  <c r="Q70" i="24"/>
  <c r="AI31" i="30"/>
  <c r="U837" i="32"/>
  <c r="U538" i="32"/>
  <c r="U226" i="32"/>
  <c r="Z155" i="1"/>
  <c r="G118" i="1"/>
  <c r="G82" i="1"/>
  <c r="G52" i="1"/>
  <c r="M299" i="27"/>
  <c r="K287" i="27"/>
  <c r="L1459" i="27"/>
  <c r="M401" i="27"/>
  <c r="I300" i="27"/>
  <c r="N301" i="27"/>
  <c r="A224" i="32"/>
  <c r="M302" i="27"/>
  <c r="J300" i="27"/>
  <c r="J299" i="27"/>
  <c r="I302" i="27"/>
  <c r="J1459" i="27"/>
  <c r="K822" i="27"/>
  <c r="I299" i="27"/>
  <c r="K289" i="27"/>
  <c r="G222" i="32"/>
  <c r="I1459" i="27"/>
  <c r="I401" i="27"/>
  <c r="A226" i="32"/>
  <c r="I822" i="27"/>
  <c r="N300" i="27"/>
  <c r="I301" i="27"/>
  <c r="J301" i="27"/>
  <c r="A538" i="32"/>
  <c r="N299" i="27"/>
  <c r="L27" i="30"/>
  <c r="G534" i="32"/>
  <c r="N302" i="27"/>
  <c r="M300" i="27"/>
  <c r="A837" i="32"/>
  <c r="K1459" i="27"/>
  <c r="G833" i="32"/>
  <c r="M822" i="27"/>
  <c r="N822" i="27"/>
  <c r="J822" i="27"/>
  <c r="P27" i="30"/>
  <c r="M301" i="27"/>
  <c r="K288" i="27"/>
  <c r="J401" i="27"/>
  <c r="N401" i="27"/>
  <c r="X27" i="30"/>
  <c r="J302" i="27"/>
  <c r="K401" i="27"/>
  <c r="C26" i="19" l="1" a="1"/>
  <c r="C26" i="19" s="1"/>
  <c r="A288" i="27"/>
  <c r="T288" i="27" s="1"/>
  <c r="A287" i="27"/>
  <c r="T287" i="27" s="1"/>
  <c r="A289" i="27"/>
  <c r="T289" i="27" s="1"/>
  <c r="F5432" i="27"/>
  <c r="F5433" i="27"/>
  <c r="F4821" i="27"/>
  <c r="F4822" i="27" s="1"/>
  <c r="F4823" i="27" s="1"/>
  <c r="F4824" i="27" s="1"/>
  <c r="F4825" i="27" s="1"/>
  <c r="F4820" i="27"/>
  <c r="A1459" i="27"/>
  <c r="H1461" i="27"/>
  <c r="H1462" i="27"/>
  <c r="P761" i="32"/>
  <c r="Q759" i="32"/>
  <c r="P957" i="32"/>
  <c r="Q955" i="32"/>
  <c r="A822" i="27"/>
  <c r="H824" i="27"/>
  <c r="A401" i="27"/>
  <c r="T401" i="27" s="1"/>
  <c r="H403" i="27"/>
  <c r="H249" i="24"/>
  <c r="C6" i="19" a="1"/>
  <c r="C6" i="19" s="1"/>
  <c r="F34" i="16" a="1"/>
  <c r="F34" i="16" s="1"/>
  <c r="I185" i="16" a="1"/>
  <c r="I185" i="16" s="1"/>
  <c r="J184" i="16" a="1"/>
  <c r="J184" i="16" s="1"/>
  <c r="H51" i="16" a="1"/>
  <c r="H51" i="16" s="1"/>
  <c r="I50" i="16" a="1"/>
  <c r="I50" i="16" s="1"/>
  <c r="F10" i="16" a="1"/>
  <c r="F10" i="16" s="1"/>
  <c r="F11" i="16" s="1" a="1"/>
  <c r="F11" i="16" s="1"/>
  <c r="F12" i="16" s="1" a="1"/>
  <c r="F12" i="16" s="1"/>
  <c r="F13" i="16" s="1" a="1"/>
  <c r="F13" i="16" s="1"/>
  <c r="F14" i="16" s="1" a="1"/>
  <c r="F14" i="16" s="1"/>
  <c r="F15" i="16" s="1" a="1"/>
  <c r="F15" i="16" s="1"/>
  <c r="F16" i="16" s="1" a="1"/>
  <c r="F16" i="16" s="1"/>
  <c r="F17" i="16" s="1" a="1"/>
  <c r="F17" i="16" s="1"/>
  <c r="F18" i="16" s="1" a="1"/>
  <c r="F18" i="16" s="1"/>
  <c r="H281" i="24"/>
  <c r="H273" i="24"/>
  <c r="H297" i="24"/>
  <c r="H225" i="24"/>
  <c r="H265" i="24"/>
  <c r="H289" i="24"/>
  <c r="H241" i="24"/>
  <c r="H257" i="24"/>
  <c r="H233" i="24"/>
  <c r="N44" i="1"/>
  <c r="T44" i="1"/>
  <c r="A45" i="1"/>
  <c r="P147" i="24"/>
  <c r="C27" i="24"/>
  <c r="Q72" i="24"/>
  <c r="P72" i="24"/>
  <c r="S72" i="24"/>
  <c r="AI33" i="30"/>
  <c r="U228" i="32"/>
  <c r="U540" i="32"/>
  <c r="U839" i="32"/>
  <c r="A1106" i="19" a="1"/>
  <c r="A1106" i="19" s="1"/>
  <c r="A1107" i="19" s="1" a="1"/>
  <c r="A1107" i="19" s="1"/>
  <c r="A1108" i="19" s="1" a="1"/>
  <c r="A1108" i="19" s="1"/>
  <c r="A1109" i="19" s="1" a="1"/>
  <c r="A1109" i="19" s="1"/>
  <c r="C155" i="20"/>
  <c r="D155" i="20" s="1"/>
  <c r="C69" i="20"/>
  <c r="D69" i="20" s="1"/>
  <c r="C3" i="20"/>
  <c r="I823" i="27"/>
  <c r="I306" i="27"/>
  <c r="J1460" i="27"/>
  <c r="G835" i="32"/>
  <c r="K823" i="27"/>
  <c r="M307" i="27"/>
  <c r="K1460" i="27"/>
  <c r="G1337" i="27"/>
  <c r="J305" i="27"/>
  <c r="N402" i="27"/>
  <c r="G536" i="32"/>
  <c r="A839" i="32"/>
  <c r="L1460" i="27"/>
  <c r="N305" i="27"/>
  <c r="T29" i="30"/>
  <c r="X29" i="30"/>
  <c r="J308" i="27"/>
  <c r="N308" i="27"/>
  <c r="I402" i="27"/>
  <c r="J306" i="27"/>
  <c r="A540" i="32"/>
  <c r="K402" i="27"/>
  <c r="J823" i="27"/>
  <c r="P29" i="30"/>
  <c r="N823" i="27"/>
  <c r="M306" i="27"/>
  <c r="M305" i="27"/>
  <c r="I308" i="27"/>
  <c r="I307" i="27"/>
  <c r="I305" i="27"/>
  <c r="K294" i="27"/>
  <c r="I1460" i="27"/>
  <c r="A228" i="32"/>
  <c r="M402" i="27"/>
  <c r="K296" i="27"/>
  <c r="J402" i="27"/>
  <c r="L29" i="30"/>
  <c r="N306" i="27"/>
  <c r="N307" i="27"/>
  <c r="M308" i="27"/>
  <c r="J307" i="27"/>
  <c r="K293" i="27"/>
  <c r="M823" i="27"/>
  <c r="G224" i="32"/>
  <c r="C27" i="19" l="1" a="1"/>
  <c r="C27" i="19" s="1"/>
  <c r="A296" i="27"/>
  <c r="T296" i="27" s="1"/>
  <c r="A294" i="27"/>
  <c r="T294" i="27" s="1"/>
  <c r="A293" i="27"/>
  <c r="T293" i="27" s="1"/>
  <c r="F5434" i="27"/>
  <c r="F4827" i="27"/>
  <c r="F4828" i="27" s="1"/>
  <c r="F4829" i="27" s="1"/>
  <c r="F4830" i="27" s="1"/>
  <c r="F4831" i="27" s="1"/>
  <c r="F4826" i="27"/>
  <c r="A1460" i="27"/>
  <c r="H1463" i="27"/>
  <c r="P959" i="32"/>
  <c r="Q957" i="32"/>
  <c r="P763" i="32"/>
  <c r="Q761" i="32"/>
  <c r="A823" i="27"/>
  <c r="H825" i="27"/>
  <c r="H826" i="27"/>
  <c r="A402" i="27"/>
  <c r="T402" i="27" s="1"/>
  <c r="H404" i="27"/>
  <c r="C7" i="19" a="1"/>
  <c r="C7" i="19" s="1"/>
  <c r="F35" i="16" a="1"/>
  <c r="F35" i="16" s="1"/>
  <c r="I186" i="16" a="1"/>
  <c r="I186" i="16" s="1"/>
  <c r="J185" i="16" a="1"/>
  <c r="J185" i="16" s="1"/>
  <c r="H52" i="16" a="1"/>
  <c r="H52" i="16" s="1"/>
  <c r="I51" i="16" a="1"/>
  <c r="I51" i="16" s="1"/>
  <c r="E45" i="1"/>
  <c r="A28" i="24"/>
  <c r="AD7" i="33"/>
  <c r="Q146" i="24"/>
  <c r="AB7" i="34"/>
  <c r="R74" i="24"/>
  <c r="Q74" i="24"/>
  <c r="P74" i="24"/>
  <c r="S74" i="24"/>
  <c r="AI35" i="30"/>
  <c r="V615" i="32" a="1"/>
  <c r="V615" i="32" s="1"/>
  <c r="V607" i="32" a="1"/>
  <c r="V607" i="32" s="1"/>
  <c r="V599" i="32" a="1"/>
  <c r="V599" i="32" s="1"/>
  <c r="V591" i="32" a="1"/>
  <c r="V591" i="32" s="1"/>
  <c r="V583" i="32" a="1"/>
  <c r="V583" i="32" s="1"/>
  <c r="V575" i="32" a="1"/>
  <c r="V575" i="32" s="1"/>
  <c r="V567" i="32" a="1"/>
  <c r="V567" i="32" s="1"/>
  <c r="V559" i="32" a="1"/>
  <c r="V559" i="32" s="1"/>
  <c r="V551" i="32" a="1"/>
  <c r="V551" i="32" s="1"/>
  <c r="V543" i="32" a="1"/>
  <c r="V543" i="32" s="1"/>
  <c r="V535" i="32" a="1"/>
  <c r="V535" i="32" s="1"/>
  <c r="V527" i="32" a="1"/>
  <c r="V527" i="32" s="1"/>
  <c r="V519" i="32" a="1"/>
  <c r="V519" i="32" s="1"/>
  <c r="V511" i="32" a="1"/>
  <c r="V511" i="32" s="1"/>
  <c r="V503" i="32" a="1"/>
  <c r="V503" i="32" s="1"/>
  <c r="V495" i="32" a="1"/>
  <c r="V495" i="32" s="1"/>
  <c r="V487" i="32" a="1"/>
  <c r="V487" i="32" s="1"/>
  <c r="V479" i="32" a="1"/>
  <c r="V479" i="32" s="1"/>
  <c r="V471" i="32" a="1"/>
  <c r="V471" i="32" s="1"/>
  <c r="V463" i="32" a="1"/>
  <c r="V463" i="32" s="1"/>
  <c r="V455" i="32" a="1"/>
  <c r="V455" i="32" s="1"/>
  <c r="V447" i="32" a="1"/>
  <c r="V447" i="32" s="1"/>
  <c r="V439" i="32" a="1"/>
  <c r="V439" i="32" s="1"/>
  <c r="V431" i="32" a="1"/>
  <c r="V431" i="32" s="1"/>
  <c r="V423" i="32" a="1"/>
  <c r="V423" i="32" s="1"/>
  <c r="V415" i="32" a="1"/>
  <c r="V415" i="32" s="1"/>
  <c r="V407" i="32" a="1"/>
  <c r="V407" i="32" s="1"/>
  <c r="V399" i="32" a="1"/>
  <c r="V399" i="32" s="1"/>
  <c r="V391" i="32" a="1"/>
  <c r="V391" i="32" s="1"/>
  <c r="V383" i="32" a="1"/>
  <c r="V383" i="32" s="1"/>
  <c r="V367" i="32" a="1"/>
  <c r="V367" i="32" s="1"/>
  <c r="V343" i="32" a="1"/>
  <c r="V343" i="32" s="1"/>
  <c r="V327" i="32" a="1"/>
  <c r="V327" i="32" s="1"/>
  <c r="V555" i="32" a="1"/>
  <c r="V555" i="32" s="1"/>
  <c r="V531" i="32" a="1"/>
  <c r="V531" i="32" s="1"/>
  <c r="V491" i="32" a="1"/>
  <c r="V491" i="32" s="1"/>
  <c r="V467" i="32" a="1"/>
  <c r="V467" i="32" s="1"/>
  <c r="V443" i="32" a="1"/>
  <c r="V443" i="32" s="1"/>
  <c r="V419" i="32" a="1"/>
  <c r="V419" i="32" s="1"/>
  <c r="V379" i="32" a="1"/>
  <c r="V379" i="32" s="1"/>
  <c r="V355" i="32" a="1"/>
  <c r="V355" i="32" s="1"/>
  <c r="V331" i="32" a="1"/>
  <c r="V331" i="32" s="1"/>
  <c r="V613" i="32" a="1"/>
  <c r="V613" i="32" s="1"/>
  <c r="V605" i="32" a="1"/>
  <c r="V605" i="32" s="1"/>
  <c r="V597" i="32" a="1"/>
  <c r="V597" i="32" s="1"/>
  <c r="V589" i="32" a="1"/>
  <c r="V589" i="32" s="1"/>
  <c r="V581" i="32" a="1"/>
  <c r="V581" i="32" s="1"/>
  <c r="V573" i="32" a="1"/>
  <c r="V573" i="32" s="1"/>
  <c r="V565" i="32" a="1"/>
  <c r="V565" i="32" s="1"/>
  <c r="V557" i="32" a="1"/>
  <c r="V557" i="32" s="1"/>
  <c r="V549" i="32" a="1"/>
  <c r="V549" i="32" s="1"/>
  <c r="V541" i="32" a="1"/>
  <c r="V541" i="32" s="1"/>
  <c r="V533" i="32" a="1"/>
  <c r="V533" i="32" s="1"/>
  <c r="V525" i="32" a="1"/>
  <c r="V525" i="32" s="1"/>
  <c r="V517" i="32" a="1"/>
  <c r="V517" i="32" s="1"/>
  <c r="V509" i="32" a="1"/>
  <c r="V509" i="32" s="1"/>
  <c r="V501" i="32" a="1"/>
  <c r="V501" i="32" s="1"/>
  <c r="V493" i="32" a="1"/>
  <c r="V493" i="32" s="1"/>
  <c r="V485" i="32" a="1"/>
  <c r="V485" i="32" s="1"/>
  <c r="V477" i="32" a="1"/>
  <c r="V477" i="32" s="1"/>
  <c r="V469" i="32" a="1"/>
  <c r="V469" i="32" s="1"/>
  <c r="V461" i="32" a="1"/>
  <c r="V461" i="32" s="1"/>
  <c r="V453" i="32" a="1"/>
  <c r="V453" i="32" s="1"/>
  <c r="V445" i="32" a="1"/>
  <c r="V445" i="32" s="1"/>
  <c r="V437" i="32" a="1"/>
  <c r="V437" i="32" s="1"/>
  <c r="V429" i="32" a="1"/>
  <c r="V429" i="32" s="1"/>
  <c r="V421" i="32" a="1"/>
  <c r="V421" i="32" s="1"/>
  <c r="V413" i="32" a="1"/>
  <c r="V413" i="32" s="1"/>
  <c r="V405" i="32" a="1"/>
  <c r="V405" i="32" s="1"/>
  <c r="V397" i="32" a="1"/>
  <c r="V397" i="32" s="1"/>
  <c r="V389" i="32" a="1"/>
  <c r="V389" i="32" s="1"/>
  <c r="V381" i="32" a="1"/>
  <c r="V381" i="32" s="1"/>
  <c r="V373" i="32" a="1"/>
  <c r="V373" i="32" s="1"/>
  <c r="V365" i="32" a="1"/>
  <c r="V365" i="32" s="1"/>
  <c r="V357" i="32" a="1"/>
  <c r="V357" i="32" s="1"/>
  <c r="V349" i="32" a="1"/>
  <c r="V349" i="32" s="1"/>
  <c r="V341" i="32" a="1"/>
  <c r="V341" i="32" s="1"/>
  <c r="V333" i="32" a="1"/>
  <c r="V333" i="32" s="1"/>
  <c r="V325" i="32" a="1"/>
  <c r="V325" i="32" s="1"/>
  <c r="V317" i="32" a="1"/>
  <c r="V317" i="32" s="1"/>
  <c r="V603" i="32" a="1"/>
  <c r="V603" i="32" s="1"/>
  <c r="V595" i="32" a="1"/>
  <c r="V595" i="32" s="1"/>
  <c r="V587" i="32" a="1"/>
  <c r="V587" i="32" s="1"/>
  <c r="V579" i="32" a="1"/>
  <c r="V579" i="32" s="1"/>
  <c r="V563" i="32" a="1"/>
  <c r="V563" i="32" s="1"/>
  <c r="V539" i="32" a="1"/>
  <c r="V539" i="32" s="1"/>
  <c r="V523" i="32" a="1"/>
  <c r="V523" i="32" s="1"/>
  <c r="V507" i="32" a="1"/>
  <c r="V507" i="32" s="1"/>
  <c r="V483" i="32" a="1"/>
  <c r="V483" i="32" s="1"/>
  <c r="V459" i="32" a="1"/>
  <c r="V459" i="32" s="1"/>
  <c r="V427" i="32" a="1"/>
  <c r="V427" i="32" s="1"/>
  <c r="V403" i="32" a="1"/>
  <c r="V403" i="32" s="1"/>
  <c r="V395" i="32" a="1"/>
  <c r="V395" i="32" s="1"/>
  <c r="V371" i="32" a="1"/>
  <c r="V371" i="32" s="1"/>
  <c r="V347" i="32" a="1"/>
  <c r="V347" i="32" s="1"/>
  <c r="V611" i="32" a="1"/>
  <c r="V611" i="32" s="1"/>
  <c r="V609" i="32" a="1"/>
  <c r="V609" i="32" s="1"/>
  <c r="V601" i="32" a="1"/>
  <c r="V601" i="32" s="1"/>
  <c r="V593" i="32" a="1"/>
  <c r="V593" i="32" s="1"/>
  <c r="V585" i="32" a="1"/>
  <c r="V585" i="32" s="1"/>
  <c r="V577" i="32" a="1"/>
  <c r="V577" i="32" s="1"/>
  <c r="V569" i="32" a="1"/>
  <c r="V569" i="32" s="1"/>
  <c r="V561" i="32" a="1"/>
  <c r="V561" i="32" s="1"/>
  <c r="V553" i="32" a="1"/>
  <c r="V553" i="32" s="1"/>
  <c r="V545" i="32" a="1"/>
  <c r="V545" i="32" s="1"/>
  <c r="V537" i="32" a="1"/>
  <c r="V537" i="32" s="1"/>
  <c r="V529" i="32" a="1"/>
  <c r="V529" i="32" s="1"/>
  <c r="V521" i="32" a="1"/>
  <c r="V521" i="32" s="1"/>
  <c r="V513" i="32" a="1"/>
  <c r="V513" i="32" s="1"/>
  <c r="V505" i="32" a="1"/>
  <c r="V505" i="32" s="1"/>
  <c r="V497" i="32" a="1"/>
  <c r="V497" i="32" s="1"/>
  <c r="V489" i="32" a="1"/>
  <c r="V489" i="32" s="1"/>
  <c r="V481" i="32" a="1"/>
  <c r="V481" i="32" s="1"/>
  <c r="V473" i="32" a="1"/>
  <c r="V473" i="32" s="1"/>
  <c r="V465" i="32" a="1"/>
  <c r="V465" i="32" s="1"/>
  <c r="V457" i="32" a="1"/>
  <c r="V457" i="32" s="1"/>
  <c r="V449" i="32" a="1"/>
  <c r="V449" i="32" s="1"/>
  <c r="V441" i="32" a="1"/>
  <c r="V441" i="32" s="1"/>
  <c r="V433" i="32" a="1"/>
  <c r="V433" i="32" s="1"/>
  <c r="V425" i="32" a="1"/>
  <c r="V425" i="32" s="1"/>
  <c r="V417" i="32" a="1"/>
  <c r="V417" i="32" s="1"/>
  <c r="V409" i="32" a="1"/>
  <c r="V409" i="32" s="1"/>
  <c r="V401" i="32" a="1"/>
  <c r="V401" i="32" s="1"/>
  <c r="V393" i="32" a="1"/>
  <c r="V393" i="32" s="1"/>
  <c r="V385" i="32" a="1"/>
  <c r="V385" i="32" s="1"/>
  <c r="V377" i="32" a="1"/>
  <c r="V377" i="32" s="1"/>
  <c r="V369" i="32" a="1"/>
  <c r="V369" i="32" s="1"/>
  <c r="V361" i="32" a="1"/>
  <c r="V361" i="32" s="1"/>
  <c r="V353" i="32" a="1"/>
  <c r="V353" i="32" s="1"/>
  <c r="V345" i="32" a="1"/>
  <c r="V345" i="32" s="1"/>
  <c r="V337" i="32" a="1"/>
  <c r="V337" i="32" s="1"/>
  <c r="V329" i="32" a="1"/>
  <c r="V329" i="32" s="1"/>
  <c r="V321" i="32" a="1"/>
  <c r="V321" i="32" s="1"/>
  <c r="V375" i="32" a="1"/>
  <c r="V375" i="32" s="1"/>
  <c r="V359" i="32" a="1"/>
  <c r="V359" i="32" s="1"/>
  <c r="V351" i="32" a="1"/>
  <c r="V351" i="32" s="1"/>
  <c r="V335" i="32" a="1"/>
  <c r="V335" i="32" s="1"/>
  <c r="V319" i="32" a="1"/>
  <c r="V319" i="32" s="1"/>
  <c r="V571" i="32" a="1"/>
  <c r="V571" i="32" s="1"/>
  <c r="V547" i="32" a="1"/>
  <c r="V547" i="32" s="1"/>
  <c r="V515" i="32" a="1"/>
  <c r="V515" i="32" s="1"/>
  <c r="V499" i="32" a="1"/>
  <c r="V499" i="32" s="1"/>
  <c r="V475" i="32" a="1"/>
  <c r="V475" i="32" s="1"/>
  <c r="V451" i="32" a="1"/>
  <c r="V451" i="32" s="1"/>
  <c r="V435" i="32" a="1"/>
  <c r="V435" i="32" s="1"/>
  <c r="V411" i="32" a="1"/>
  <c r="V411" i="32" s="1"/>
  <c r="V387" i="32" a="1"/>
  <c r="V387" i="32" s="1"/>
  <c r="V363" i="32" a="1"/>
  <c r="V363" i="32" s="1"/>
  <c r="V339" i="32" a="1"/>
  <c r="V339" i="32" s="1"/>
  <c r="V323" i="32" a="1"/>
  <c r="V323" i="32" s="1"/>
  <c r="R1455" i="32" a="1"/>
  <c r="R1455" i="32" s="1"/>
  <c r="D1455" i="32" s="1"/>
  <c r="R1457" i="32" a="1"/>
  <c r="R1457" i="32" s="1"/>
  <c r="D1457" i="32" s="1"/>
  <c r="R1425" i="32" a="1"/>
  <c r="R1425" i="32" s="1"/>
  <c r="D1425" i="32" s="1"/>
  <c r="R1429" i="32" a="1"/>
  <c r="R1429" i="32" s="1"/>
  <c r="D1429" i="32" s="1"/>
  <c r="R1431" i="32" a="1"/>
  <c r="R1431" i="32" s="1"/>
  <c r="D1431" i="32" s="1"/>
  <c r="R1421" i="32" a="1"/>
  <c r="R1421" i="32" s="1"/>
  <c r="D1421" i="32" s="1"/>
  <c r="R1447" i="32" a="1"/>
  <c r="R1447" i="32" s="1"/>
  <c r="D1447" i="32" s="1"/>
  <c r="R1449" i="32" a="1"/>
  <c r="R1449" i="32" s="1"/>
  <c r="D1449" i="32" s="1"/>
  <c r="R1439" i="32" a="1"/>
  <c r="R1439" i="32" s="1"/>
  <c r="D1439" i="32" s="1"/>
  <c r="R1437" i="32" a="1"/>
  <c r="R1437" i="32" s="1"/>
  <c r="D1437" i="32" s="1"/>
  <c r="R1433" i="32" a="1"/>
  <c r="R1433" i="32" s="1"/>
  <c r="D1433" i="32" s="1"/>
  <c r="R1435" i="32" a="1"/>
  <c r="R1435" i="32" s="1"/>
  <c r="D1435" i="32" s="1"/>
  <c r="R1427" i="32" a="1"/>
  <c r="R1427" i="32" s="1"/>
  <c r="D1427" i="32" s="1"/>
  <c r="R1453" i="32" a="1"/>
  <c r="R1453" i="32" s="1"/>
  <c r="D1453" i="32" s="1"/>
  <c r="R1423" i="32" a="1"/>
  <c r="R1423" i="32" s="1"/>
  <c r="D1423" i="32" s="1"/>
  <c r="R1443" i="32" a="1"/>
  <c r="R1443" i="32" s="1"/>
  <c r="D1443" i="32" s="1"/>
  <c r="R1445" i="32" a="1"/>
  <c r="R1445" i="32" s="1"/>
  <c r="D1445" i="32" s="1"/>
  <c r="R1459" i="32" a="1"/>
  <c r="R1459" i="32" s="1"/>
  <c r="D1459" i="32" s="1"/>
  <c r="R1451" i="32" a="1"/>
  <c r="R1451" i="32" s="1"/>
  <c r="D1451" i="32" s="1"/>
  <c r="R1441" i="32" a="1"/>
  <c r="R1441" i="32" s="1"/>
  <c r="D1441" i="32" s="1"/>
  <c r="T1441" i="32" a="1"/>
  <c r="T1441" i="32" s="1"/>
  <c r="V1455" i="32" a="1"/>
  <c r="V1455" i="32" s="1"/>
  <c r="L1455" i="32" s="1"/>
  <c r="V1457" i="32" a="1"/>
  <c r="V1457" i="32" s="1"/>
  <c r="L1457" i="32" s="1"/>
  <c r="V1425" i="32" a="1"/>
  <c r="V1425" i="32" s="1"/>
  <c r="L1425" i="32" s="1"/>
  <c r="V1429" i="32" a="1"/>
  <c r="V1429" i="32" s="1"/>
  <c r="L1429" i="32" s="1"/>
  <c r="V1431" i="32" a="1"/>
  <c r="V1431" i="32" s="1"/>
  <c r="L1431" i="32" s="1"/>
  <c r="V1421" i="32" a="1"/>
  <c r="V1421" i="32" s="1"/>
  <c r="L1421" i="32" s="1"/>
  <c r="V1447" i="32" a="1"/>
  <c r="V1447" i="32" s="1"/>
  <c r="L1447" i="32" s="1"/>
  <c r="V1449" i="32" a="1"/>
  <c r="V1449" i="32" s="1"/>
  <c r="L1449" i="32" s="1"/>
  <c r="V1439" i="32" a="1"/>
  <c r="V1439" i="32" s="1"/>
  <c r="L1439" i="32" s="1"/>
  <c r="V1437" i="32" a="1"/>
  <c r="V1437" i="32" s="1"/>
  <c r="L1437" i="32" s="1"/>
  <c r="V1433" i="32" a="1"/>
  <c r="V1433" i="32" s="1"/>
  <c r="L1433" i="32" s="1"/>
  <c r="V1435" i="32" a="1"/>
  <c r="V1435" i="32" s="1"/>
  <c r="L1435" i="32" s="1"/>
  <c r="V1427" i="32" a="1"/>
  <c r="V1427" i="32" s="1"/>
  <c r="L1427" i="32" s="1"/>
  <c r="V1453" i="32" a="1"/>
  <c r="V1453" i="32" s="1"/>
  <c r="L1453" i="32" s="1"/>
  <c r="V1423" i="32" a="1"/>
  <c r="V1423" i="32" s="1"/>
  <c r="L1423" i="32" s="1"/>
  <c r="V1443" i="32" a="1"/>
  <c r="V1443" i="32" s="1"/>
  <c r="L1443" i="32" s="1"/>
  <c r="V1445" i="32" a="1"/>
  <c r="V1445" i="32" s="1"/>
  <c r="L1445" i="32" s="1"/>
  <c r="V1459" i="32" a="1"/>
  <c r="V1459" i="32" s="1"/>
  <c r="L1459" i="32" s="1"/>
  <c r="V1451" i="32" a="1"/>
  <c r="V1451" i="32" s="1"/>
  <c r="L1451" i="32" s="1"/>
  <c r="V1441" i="32" a="1"/>
  <c r="V1441" i="32" s="1"/>
  <c r="L1441" i="32" s="1"/>
  <c r="T1439" i="32" a="1"/>
  <c r="T1439" i="32" s="1"/>
  <c r="T1437" i="32" a="1"/>
  <c r="T1437" i="32" s="1"/>
  <c r="T1433" i="32" a="1"/>
  <c r="T1433" i="32" s="1"/>
  <c r="T1435" i="32" a="1"/>
  <c r="T1435" i="32" s="1"/>
  <c r="T1427" i="32" a="1"/>
  <c r="T1427" i="32" s="1"/>
  <c r="T1453" i="32" a="1"/>
  <c r="T1453" i="32" s="1"/>
  <c r="T1423" i="32" a="1"/>
  <c r="T1423" i="32" s="1"/>
  <c r="T1443" i="32" a="1"/>
  <c r="T1443" i="32" s="1"/>
  <c r="T1445" i="32" a="1"/>
  <c r="T1445" i="32" s="1"/>
  <c r="T1459" i="32" a="1"/>
  <c r="T1459" i="32" s="1"/>
  <c r="T1455" i="32" a="1"/>
  <c r="T1455" i="32" s="1"/>
  <c r="T1457" i="32" a="1"/>
  <c r="T1457" i="32" s="1"/>
  <c r="T1425" i="32" a="1"/>
  <c r="T1425" i="32" s="1"/>
  <c r="T1429" i="32" a="1"/>
  <c r="T1429" i="32" s="1"/>
  <c r="T1431" i="32" a="1"/>
  <c r="T1431" i="32" s="1"/>
  <c r="T1421" i="32" a="1"/>
  <c r="T1421" i="32" s="1"/>
  <c r="T1447" i="32" a="1"/>
  <c r="T1447" i="32" s="1"/>
  <c r="T1449" i="32" a="1"/>
  <c r="T1449" i="32" s="1"/>
  <c r="S1455" i="32" a="1"/>
  <c r="S1455" i="32" s="1"/>
  <c r="E1455" i="32" s="1"/>
  <c r="S1457" i="32" a="1"/>
  <c r="S1457" i="32" s="1"/>
  <c r="E1457" i="32" s="1"/>
  <c r="S1425" i="32" a="1"/>
  <c r="S1425" i="32" s="1"/>
  <c r="E1425" i="32" s="1"/>
  <c r="S1429" i="32" a="1"/>
  <c r="S1429" i="32" s="1"/>
  <c r="E1429" i="32" s="1"/>
  <c r="S1431" i="32" a="1"/>
  <c r="S1431" i="32" s="1"/>
  <c r="E1431" i="32" s="1"/>
  <c r="S1421" i="32" a="1"/>
  <c r="S1421" i="32" s="1"/>
  <c r="E1421" i="32" s="1"/>
  <c r="S1447" i="32" a="1"/>
  <c r="S1447" i="32" s="1"/>
  <c r="E1447" i="32" s="1"/>
  <c r="S1449" i="32" a="1"/>
  <c r="S1449" i="32" s="1"/>
  <c r="E1449" i="32" s="1"/>
  <c r="S1439" i="32" a="1"/>
  <c r="S1439" i="32" s="1"/>
  <c r="E1439" i="32" s="1"/>
  <c r="S1437" i="32" a="1"/>
  <c r="S1437" i="32" s="1"/>
  <c r="E1437" i="32" s="1"/>
  <c r="S1433" i="32" a="1"/>
  <c r="S1433" i="32" s="1"/>
  <c r="E1433" i="32" s="1"/>
  <c r="S1435" i="32" a="1"/>
  <c r="S1435" i="32" s="1"/>
  <c r="E1435" i="32" s="1"/>
  <c r="S1427" i="32" a="1"/>
  <c r="S1427" i="32" s="1"/>
  <c r="E1427" i="32" s="1"/>
  <c r="S1453" i="32" a="1"/>
  <c r="S1453" i="32" s="1"/>
  <c r="E1453" i="32" s="1"/>
  <c r="S1423" i="32" a="1"/>
  <c r="S1423" i="32" s="1"/>
  <c r="E1423" i="32" s="1"/>
  <c r="S1443" i="32" a="1"/>
  <c r="S1443" i="32" s="1"/>
  <c r="E1443" i="32" s="1"/>
  <c r="S1445" i="32" a="1"/>
  <c r="S1445" i="32" s="1"/>
  <c r="E1445" i="32" s="1"/>
  <c r="S1459" i="32" a="1"/>
  <c r="S1459" i="32" s="1"/>
  <c r="E1459" i="32" s="1"/>
  <c r="S1451" i="32" a="1"/>
  <c r="S1451" i="32" s="1"/>
  <c r="E1451" i="32" s="1"/>
  <c r="S1441" i="32" a="1"/>
  <c r="S1441" i="32" s="1"/>
  <c r="E1441" i="32" s="1"/>
  <c r="T1451" i="32" a="1"/>
  <c r="T1451" i="32" s="1"/>
  <c r="R1507" i="32" a="1"/>
  <c r="R1507" i="32" s="1"/>
  <c r="D1507" i="32" s="1"/>
  <c r="R1533" i="32" a="1"/>
  <c r="R1533" i="32" s="1"/>
  <c r="D1533" i="32" s="1"/>
  <c r="R1531" i="32" a="1"/>
  <c r="R1531" i="32" s="1"/>
  <c r="D1531" i="32" s="1"/>
  <c r="R1539" i="32" a="1"/>
  <c r="R1539" i="32" s="1"/>
  <c r="D1539" i="32" s="1"/>
  <c r="R1523" i="32" a="1"/>
  <c r="R1523" i="32" s="1"/>
  <c r="D1523" i="32" s="1"/>
  <c r="R1511" i="32" a="1"/>
  <c r="R1511" i="32" s="1"/>
  <c r="D1511" i="32" s="1"/>
  <c r="R1503" i="32" a="1"/>
  <c r="R1503" i="32" s="1"/>
  <c r="D1503" i="32" s="1"/>
  <c r="R1515" i="32" a="1"/>
  <c r="R1515" i="32" s="1"/>
  <c r="D1515" i="32" s="1"/>
  <c r="R1525" i="32" a="1"/>
  <c r="R1525" i="32" s="1"/>
  <c r="D1525" i="32" s="1"/>
  <c r="R1527" i="32" a="1"/>
  <c r="R1527" i="32" s="1"/>
  <c r="D1527" i="32" s="1"/>
  <c r="R1521" i="32" a="1"/>
  <c r="R1521" i="32" s="1"/>
  <c r="D1521" i="32" s="1"/>
  <c r="R1529" i="32" a="1"/>
  <c r="R1529" i="32" s="1"/>
  <c r="D1529" i="32" s="1"/>
  <c r="R1537" i="32" a="1"/>
  <c r="R1537" i="32" s="1"/>
  <c r="D1537" i="32" s="1"/>
  <c r="R1509" i="32" a="1"/>
  <c r="R1509" i="32" s="1"/>
  <c r="D1509" i="32" s="1"/>
  <c r="R1517" i="32" a="1"/>
  <c r="R1517" i="32" s="1"/>
  <c r="D1517" i="32" s="1"/>
  <c r="R1519" i="32" a="1"/>
  <c r="R1519" i="32" s="1"/>
  <c r="D1519" i="32" s="1"/>
  <c r="R1513" i="32" a="1"/>
  <c r="R1513" i="32" s="1"/>
  <c r="D1513" i="32" s="1"/>
  <c r="R1535" i="32" a="1"/>
  <c r="R1535" i="32" s="1"/>
  <c r="D1535" i="32" s="1"/>
  <c r="R1505" i="32" a="1"/>
  <c r="R1505" i="32" s="1"/>
  <c r="D1505" i="32" s="1"/>
  <c r="V1507" i="32" a="1"/>
  <c r="V1507" i="32" s="1"/>
  <c r="L1507" i="32" s="1"/>
  <c r="V1533" i="32" a="1"/>
  <c r="V1533" i="32" s="1"/>
  <c r="L1533" i="32" s="1"/>
  <c r="V1531" i="32" a="1"/>
  <c r="V1531" i="32" s="1"/>
  <c r="L1531" i="32" s="1"/>
  <c r="V1539" i="32" a="1"/>
  <c r="V1539" i="32" s="1"/>
  <c r="L1539" i="32" s="1"/>
  <c r="V1523" i="32" a="1"/>
  <c r="V1523" i="32" s="1"/>
  <c r="L1523" i="32" s="1"/>
  <c r="V1511" i="32" a="1"/>
  <c r="V1511" i="32" s="1"/>
  <c r="L1511" i="32" s="1"/>
  <c r="V1503" i="32" a="1"/>
  <c r="V1503" i="32" s="1"/>
  <c r="L1503" i="32" s="1"/>
  <c r="V1515" i="32" a="1"/>
  <c r="V1515" i="32" s="1"/>
  <c r="L1515" i="32" s="1"/>
  <c r="V1525" i="32" a="1"/>
  <c r="V1525" i="32" s="1"/>
  <c r="L1525" i="32" s="1"/>
  <c r="V1527" i="32" a="1"/>
  <c r="V1527" i="32" s="1"/>
  <c r="L1527" i="32" s="1"/>
  <c r="V1521" i="32" a="1"/>
  <c r="V1521" i="32" s="1"/>
  <c r="L1521" i="32" s="1"/>
  <c r="V1529" i="32" a="1"/>
  <c r="V1529" i="32" s="1"/>
  <c r="L1529" i="32" s="1"/>
  <c r="V1537" i="32" a="1"/>
  <c r="V1537" i="32" s="1"/>
  <c r="L1537" i="32" s="1"/>
  <c r="V1509" i="32" a="1"/>
  <c r="V1509" i="32" s="1"/>
  <c r="L1509" i="32" s="1"/>
  <c r="V1517" i="32" a="1"/>
  <c r="V1517" i="32" s="1"/>
  <c r="L1517" i="32" s="1"/>
  <c r="V1519" i="32" a="1"/>
  <c r="V1519" i="32" s="1"/>
  <c r="L1519" i="32" s="1"/>
  <c r="V1513" i="32" a="1"/>
  <c r="V1513" i="32" s="1"/>
  <c r="L1513" i="32" s="1"/>
  <c r="V1535" i="32" a="1"/>
  <c r="V1535" i="32" s="1"/>
  <c r="L1535" i="32" s="1"/>
  <c r="V1505" i="32" a="1"/>
  <c r="V1505" i="32" s="1"/>
  <c r="L1505" i="32" s="1"/>
  <c r="T1507" i="32" a="1"/>
  <c r="T1507" i="32" s="1"/>
  <c r="T1533" i="32" a="1"/>
  <c r="T1533" i="32" s="1"/>
  <c r="T1531" i="32" a="1"/>
  <c r="T1531" i="32" s="1"/>
  <c r="T1539" i="32" a="1"/>
  <c r="T1539" i="32" s="1"/>
  <c r="T1523" i="32" a="1"/>
  <c r="T1523" i="32" s="1"/>
  <c r="T1511" i="32" a="1"/>
  <c r="T1511" i="32" s="1"/>
  <c r="T1503" i="32" a="1"/>
  <c r="T1503" i="32" s="1"/>
  <c r="T1515" i="32" a="1"/>
  <c r="T1515" i="32" s="1"/>
  <c r="T1525" i="32" a="1"/>
  <c r="T1525" i="32" s="1"/>
  <c r="T1527" i="32" a="1"/>
  <c r="T1527" i="32" s="1"/>
  <c r="T1521" i="32" a="1"/>
  <c r="T1521" i="32" s="1"/>
  <c r="T1529" i="32" a="1"/>
  <c r="T1529" i="32" s="1"/>
  <c r="T1537" i="32" a="1"/>
  <c r="T1537" i="32" s="1"/>
  <c r="T1509" i="32" a="1"/>
  <c r="T1509" i="32" s="1"/>
  <c r="T1517" i="32" a="1"/>
  <c r="T1517" i="32" s="1"/>
  <c r="T1519" i="32" a="1"/>
  <c r="T1519" i="32" s="1"/>
  <c r="T1513" i="32" a="1"/>
  <c r="T1513" i="32" s="1"/>
  <c r="T1535" i="32" a="1"/>
  <c r="T1535" i="32" s="1"/>
  <c r="T1505" i="32" a="1"/>
  <c r="T1505" i="32" s="1"/>
  <c r="S1507" i="32" a="1"/>
  <c r="S1507" i="32" s="1"/>
  <c r="E1507" i="32" s="1"/>
  <c r="S1533" i="32" a="1"/>
  <c r="S1533" i="32" s="1"/>
  <c r="E1533" i="32" s="1"/>
  <c r="S1531" i="32" a="1"/>
  <c r="S1531" i="32" s="1"/>
  <c r="E1531" i="32" s="1"/>
  <c r="S1539" i="32" a="1"/>
  <c r="S1539" i="32" s="1"/>
  <c r="E1539" i="32" s="1"/>
  <c r="S1523" i="32" a="1"/>
  <c r="S1523" i="32" s="1"/>
  <c r="E1523" i="32" s="1"/>
  <c r="S1511" i="32" a="1"/>
  <c r="S1511" i="32" s="1"/>
  <c r="E1511" i="32" s="1"/>
  <c r="S1503" i="32" a="1"/>
  <c r="S1503" i="32" s="1"/>
  <c r="E1503" i="32" s="1"/>
  <c r="S1515" i="32" a="1"/>
  <c r="S1515" i="32" s="1"/>
  <c r="E1515" i="32" s="1"/>
  <c r="S1525" i="32" a="1"/>
  <c r="S1525" i="32" s="1"/>
  <c r="E1525" i="32" s="1"/>
  <c r="S1527" i="32" a="1"/>
  <c r="S1527" i="32" s="1"/>
  <c r="E1527" i="32" s="1"/>
  <c r="S1521" i="32" a="1"/>
  <c r="S1521" i="32" s="1"/>
  <c r="E1521" i="32" s="1"/>
  <c r="S1529" i="32" a="1"/>
  <c r="S1529" i="32" s="1"/>
  <c r="E1529" i="32" s="1"/>
  <c r="S1537" i="32" a="1"/>
  <c r="S1537" i="32" s="1"/>
  <c r="E1537" i="32" s="1"/>
  <c r="S1509" i="32" a="1"/>
  <c r="S1509" i="32" s="1"/>
  <c r="E1509" i="32" s="1"/>
  <c r="S1517" i="32" a="1"/>
  <c r="S1517" i="32" s="1"/>
  <c r="E1517" i="32" s="1"/>
  <c r="S1519" i="32" a="1"/>
  <c r="S1519" i="32" s="1"/>
  <c r="E1519" i="32" s="1"/>
  <c r="S1513" i="32" a="1"/>
  <c r="S1513" i="32" s="1"/>
  <c r="E1513" i="32" s="1"/>
  <c r="S1535" i="32" a="1"/>
  <c r="S1535" i="32" s="1"/>
  <c r="E1535" i="32" s="1"/>
  <c r="S1505" i="32" a="1"/>
  <c r="S1505" i="32" s="1"/>
  <c r="E1505" i="32" s="1"/>
  <c r="R1501" i="32" a="1"/>
  <c r="R1501" i="32" s="1"/>
  <c r="D1501" i="32" s="1"/>
  <c r="V1501" i="32" a="1"/>
  <c r="V1501" i="32" s="1"/>
  <c r="L1501" i="32" s="1"/>
  <c r="T1501" i="32" a="1"/>
  <c r="T1501" i="32" s="1"/>
  <c r="S1501" i="32" a="1"/>
  <c r="S1501" i="32" s="1"/>
  <c r="E1501" i="32" s="1"/>
  <c r="V1591" i="32" a="1"/>
  <c r="V1591" i="32" s="1"/>
  <c r="L1591" i="32" s="1"/>
  <c r="V1613" i="32" a="1"/>
  <c r="V1613" i="32" s="1"/>
  <c r="L1613" i="32" s="1"/>
  <c r="V1615" i="32" a="1"/>
  <c r="V1615" i="32" s="1"/>
  <c r="L1615" i="32" s="1"/>
  <c r="V1597" i="32" a="1"/>
  <c r="V1597" i="32" s="1"/>
  <c r="L1597" i="32" s="1"/>
  <c r="V1599" i="32" a="1"/>
  <c r="V1599" i="32" s="1"/>
  <c r="L1599" i="32" s="1"/>
  <c r="V1609" i="32" a="1"/>
  <c r="V1609" i="32" s="1"/>
  <c r="L1609" i="32" s="1"/>
  <c r="V1605" i="32" a="1"/>
  <c r="V1605" i="32" s="1"/>
  <c r="L1605" i="32" s="1"/>
  <c r="V1589" i="32" a="1"/>
  <c r="V1589" i="32" s="1"/>
  <c r="L1589" i="32" s="1"/>
  <c r="T1591" i="32" a="1"/>
  <c r="T1591" i="32" s="1"/>
  <c r="T1613" i="32" a="1"/>
  <c r="T1613" i="32" s="1"/>
  <c r="T1615" i="32" a="1"/>
  <c r="T1615" i="32" s="1"/>
  <c r="T1597" i="32" a="1"/>
  <c r="T1597" i="32" s="1"/>
  <c r="T1599" i="32" a="1"/>
  <c r="T1599" i="32" s="1"/>
  <c r="T1609" i="32" a="1"/>
  <c r="T1609" i="32" s="1"/>
  <c r="T1605" i="32" a="1"/>
  <c r="T1605" i="32" s="1"/>
  <c r="T1589" i="32" a="1"/>
  <c r="T1589" i="32" s="1"/>
  <c r="S1591" i="32" a="1"/>
  <c r="S1591" i="32" s="1"/>
  <c r="E1591" i="32" s="1"/>
  <c r="S1613" i="32" a="1"/>
  <c r="S1613" i="32" s="1"/>
  <c r="E1613" i="32" s="1"/>
  <c r="S1615" i="32" a="1"/>
  <c r="S1615" i="32" s="1"/>
  <c r="E1615" i="32" s="1"/>
  <c r="S1597" i="32" a="1"/>
  <c r="S1597" i="32" s="1"/>
  <c r="E1597" i="32" s="1"/>
  <c r="S1599" i="32" a="1"/>
  <c r="S1599" i="32" s="1"/>
  <c r="E1599" i="32" s="1"/>
  <c r="S1609" i="32" a="1"/>
  <c r="S1609" i="32" s="1"/>
  <c r="E1609" i="32" s="1"/>
  <c r="S1605" i="32" a="1"/>
  <c r="S1605" i="32" s="1"/>
  <c r="E1605" i="32" s="1"/>
  <c r="S1589" i="32" a="1"/>
  <c r="S1589" i="32" s="1"/>
  <c r="E1589" i="32" s="1"/>
  <c r="R1591" i="32" a="1"/>
  <c r="R1591" i="32" s="1"/>
  <c r="D1591" i="32" s="1"/>
  <c r="R1613" i="32" a="1"/>
  <c r="R1613" i="32" s="1"/>
  <c r="D1613" i="32" s="1"/>
  <c r="R1615" i="32" a="1"/>
  <c r="R1615" i="32" s="1"/>
  <c r="D1615" i="32" s="1"/>
  <c r="R1597" i="32" a="1"/>
  <c r="R1597" i="32" s="1"/>
  <c r="D1597" i="32" s="1"/>
  <c r="R1599" i="32" a="1"/>
  <c r="R1599" i="32" s="1"/>
  <c r="D1599" i="32" s="1"/>
  <c r="R1609" i="32" a="1"/>
  <c r="R1609" i="32" s="1"/>
  <c r="D1609" i="32" s="1"/>
  <c r="R1605" i="32" a="1"/>
  <c r="R1605" i="32" s="1"/>
  <c r="D1605" i="32" s="1"/>
  <c r="R1589" i="32" a="1"/>
  <c r="R1589" i="32" s="1"/>
  <c r="D1589" i="32" s="1"/>
  <c r="V1611" i="32" a="1"/>
  <c r="V1611" i="32" s="1"/>
  <c r="L1611" i="32" s="1"/>
  <c r="V1583" i="32" a="1"/>
  <c r="V1583" i="32" s="1"/>
  <c r="L1583" i="32" s="1"/>
  <c r="V1587" i="32" a="1"/>
  <c r="V1587" i="32" s="1"/>
  <c r="L1587" i="32" s="1"/>
  <c r="V1601" i="32" a="1"/>
  <c r="V1601" i="32" s="1"/>
  <c r="L1601" i="32" s="1"/>
  <c r="V1607" i="32" a="1"/>
  <c r="V1607" i="32" s="1"/>
  <c r="L1607" i="32" s="1"/>
  <c r="V1595" i="32" a="1"/>
  <c r="V1595" i="32" s="1"/>
  <c r="L1595" i="32" s="1"/>
  <c r="V1603" i="32" a="1"/>
  <c r="V1603" i="32" s="1"/>
  <c r="L1603" i="32" s="1"/>
  <c r="V1581" i="32" a="1"/>
  <c r="V1581" i="32" s="1"/>
  <c r="L1581" i="32" s="1"/>
  <c r="V1619" i="32" a="1"/>
  <c r="V1619" i="32" s="1"/>
  <c r="L1619" i="32" s="1"/>
  <c r="V1617" i="32" a="1"/>
  <c r="V1617" i="32" s="1"/>
  <c r="L1617" i="32" s="1"/>
  <c r="V1585" i="32" a="1"/>
  <c r="V1585" i="32" s="1"/>
  <c r="L1585" i="32" s="1"/>
  <c r="V1593" i="32" a="1"/>
  <c r="V1593" i="32" s="1"/>
  <c r="L1593" i="32" s="1"/>
  <c r="T1611" i="32" a="1"/>
  <c r="T1611" i="32" s="1"/>
  <c r="T1583" i="32" a="1"/>
  <c r="T1583" i="32" s="1"/>
  <c r="T1587" i="32" a="1"/>
  <c r="T1587" i="32" s="1"/>
  <c r="T1601" i="32" a="1"/>
  <c r="T1601" i="32" s="1"/>
  <c r="T1607" i="32" a="1"/>
  <c r="T1607" i="32" s="1"/>
  <c r="T1595" i="32" a="1"/>
  <c r="T1595" i="32" s="1"/>
  <c r="T1603" i="32" a="1"/>
  <c r="T1603" i="32" s="1"/>
  <c r="T1581" i="32" a="1"/>
  <c r="T1581" i="32" s="1"/>
  <c r="T1619" i="32" a="1"/>
  <c r="T1619" i="32" s="1"/>
  <c r="T1617" i="32" a="1"/>
  <c r="T1617" i="32" s="1"/>
  <c r="T1585" i="32" a="1"/>
  <c r="T1585" i="32" s="1"/>
  <c r="T1593" i="32" a="1"/>
  <c r="T1593" i="32" s="1"/>
  <c r="S1611" i="32" a="1"/>
  <c r="S1611" i="32" s="1"/>
  <c r="E1611" i="32" s="1"/>
  <c r="S1583" i="32" a="1"/>
  <c r="S1583" i="32" s="1"/>
  <c r="E1583" i="32" s="1"/>
  <c r="S1587" i="32" a="1"/>
  <c r="S1587" i="32" s="1"/>
  <c r="E1587" i="32" s="1"/>
  <c r="S1601" i="32" a="1"/>
  <c r="S1601" i="32" s="1"/>
  <c r="E1601" i="32" s="1"/>
  <c r="S1607" i="32" a="1"/>
  <c r="S1607" i="32" s="1"/>
  <c r="E1607" i="32" s="1"/>
  <c r="S1595" i="32" a="1"/>
  <c r="S1595" i="32" s="1"/>
  <c r="E1595" i="32" s="1"/>
  <c r="S1603" i="32" a="1"/>
  <c r="S1603" i="32" s="1"/>
  <c r="E1603" i="32" s="1"/>
  <c r="S1581" i="32" a="1"/>
  <c r="S1581" i="32" s="1"/>
  <c r="E1581" i="32" s="1"/>
  <c r="S1619" i="32" a="1"/>
  <c r="S1619" i="32" s="1"/>
  <c r="E1619" i="32" s="1"/>
  <c r="S1617" i="32" a="1"/>
  <c r="S1617" i="32" s="1"/>
  <c r="E1617" i="32" s="1"/>
  <c r="S1585" i="32" a="1"/>
  <c r="S1585" i="32" s="1"/>
  <c r="E1585" i="32" s="1"/>
  <c r="S1593" i="32" a="1"/>
  <c r="S1593" i="32" s="1"/>
  <c r="E1593" i="32" s="1"/>
  <c r="R1611" i="32" a="1"/>
  <c r="R1611" i="32" s="1"/>
  <c r="D1611" i="32" s="1"/>
  <c r="R1583" i="32" a="1"/>
  <c r="R1583" i="32" s="1"/>
  <c r="D1583" i="32" s="1"/>
  <c r="R1587" i="32" a="1"/>
  <c r="R1587" i="32" s="1"/>
  <c r="D1587" i="32" s="1"/>
  <c r="R1601" i="32" a="1"/>
  <c r="R1601" i="32" s="1"/>
  <c r="D1601" i="32" s="1"/>
  <c r="R1607" i="32" a="1"/>
  <c r="R1607" i="32" s="1"/>
  <c r="D1607" i="32" s="1"/>
  <c r="R1595" i="32" a="1"/>
  <c r="R1595" i="32" s="1"/>
  <c r="D1595" i="32" s="1"/>
  <c r="R1603" i="32" a="1"/>
  <c r="R1603" i="32" s="1"/>
  <c r="D1603" i="32" s="1"/>
  <c r="R1581" i="32" a="1"/>
  <c r="R1581" i="32" s="1"/>
  <c r="D1581" i="32" s="1"/>
  <c r="R1619" i="32" a="1"/>
  <c r="R1619" i="32" s="1"/>
  <c r="D1619" i="32" s="1"/>
  <c r="R1617" i="32" a="1"/>
  <c r="R1617" i="32" s="1"/>
  <c r="D1617" i="32" s="1"/>
  <c r="R1585" i="32" a="1"/>
  <c r="R1585" i="32" s="1"/>
  <c r="D1585" i="32" s="1"/>
  <c r="R1593" i="32" a="1"/>
  <c r="R1593" i="32" s="1"/>
  <c r="D1593" i="32" s="1"/>
  <c r="R1649" i="32" a="1"/>
  <c r="R1649" i="32" s="1"/>
  <c r="D1649" i="32" s="1"/>
  <c r="R1657" i="32" a="1"/>
  <c r="R1657" i="32" s="1"/>
  <c r="D1657" i="32" s="1"/>
  <c r="R1637" i="32" a="1"/>
  <c r="R1637" i="32" s="1"/>
  <c r="D1637" i="32" s="1"/>
  <c r="R1645" i="32" a="1"/>
  <c r="R1645" i="32" s="1"/>
  <c r="D1645" i="32" s="1"/>
  <c r="R1639" i="32" a="1"/>
  <c r="R1639" i="32" s="1"/>
  <c r="D1639" i="32" s="1"/>
  <c r="R1631" i="32" a="1"/>
  <c r="R1631" i="32" s="1"/>
  <c r="D1631" i="32" s="1"/>
  <c r="R1647" i="32" a="1"/>
  <c r="R1647" i="32" s="1"/>
  <c r="D1647" i="32" s="1"/>
  <c r="R1629" i="32" a="1"/>
  <c r="R1629" i="32" s="1"/>
  <c r="D1629" i="32" s="1"/>
  <c r="R1641" i="32" a="1"/>
  <c r="R1641" i="32" s="1"/>
  <c r="D1641" i="32" s="1"/>
  <c r="R1627" i="32" a="1"/>
  <c r="R1627" i="32" s="1"/>
  <c r="D1627" i="32" s="1"/>
  <c r="R1635" i="32" a="1"/>
  <c r="R1635" i="32" s="1"/>
  <c r="D1635" i="32" s="1"/>
  <c r="R1633" i="32" a="1"/>
  <c r="R1633" i="32" s="1"/>
  <c r="D1633" i="32" s="1"/>
  <c r="R1643" i="32" a="1"/>
  <c r="R1643" i="32" s="1"/>
  <c r="D1643" i="32" s="1"/>
  <c r="R1653" i="32" a="1"/>
  <c r="R1653" i="32" s="1"/>
  <c r="D1653" i="32" s="1"/>
  <c r="R1621" i="32" a="1"/>
  <c r="R1621" i="32" s="1"/>
  <c r="D1621" i="32" s="1"/>
  <c r="R1625" i="32" a="1"/>
  <c r="R1625" i="32" s="1"/>
  <c r="D1625" i="32" s="1"/>
  <c r="R1623" i="32" a="1"/>
  <c r="R1623" i="32" s="1"/>
  <c r="D1623" i="32" s="1"/>
  <c r="R1651" i="32" a="1"/>
  <c r="R1651" i="32" s="1"/>
  <c r="D1651" i="32" s="1"/>
  <c r="R1655" i="32" a="1"/>
  <c r="R1655" i="32" s="1"/>
  <c r="D1655" i="32" s="1"/>
  <c r="V1649" i="32" a="1"/>
  <c r="V1649" i="32" s="1"/>
  <c r="L1649" i="32" s="1"/>
  <c r="V1657" i="32" a="1"/>
  <c r="V1657" i="32" s="1"/>
  <c r="L1657" i="32" s="1"/>
  <c r="V1637" i="32" a="1"/>
  <c r="V1637" i="32" s="1"/>
  <c r="L1637" i="32" s="1"/>
  <c r="V1645" i="32" a="1"/>
  <c r="V1645" i="32" s="1"/>
  <c r="L1645" i="32" s="1"/>
  <c r="V1639" i="32" a="1"/>
  <c r="V1639" i="32" s="1"/>
  <c r="L1639" i="32" s="1"/>
  <c r="V1631" i="32" a="1"/>
  <c r="V1631" i="32" s="1"/>
  <c r="L1631" i="32" s="1"/>
  <c r="V1647" i="32" a="1"/>
  <c r="V1647" i="32" s="1"/>
  <c r="L1647" i="32" s="1"/>
  <c r="V1629" i="32" a="1"/>
  <c r="V1629" i="32" s="1"/>
  <c r="L1629" i="32" s="1"/>
  <c r="V1641" i="32" a="1"/>
  <c r="V1641" i="32" s="1"/>
  <c r="L1641" i="32" s="1"/>
  <c r="V1627" i="32" a="1"/>
  <c r="V1627" i="32" s="1"/>
  <c r="L1627" i="32" s="1"/>
  <c r="V1635" i="32" a="1"/>
  <c r="V1635" i="32" s="1"/>
  <c r="L1635" i="32" s="1"/>
  <c r="V1633" i="32" a="1"/>
  <c r="V1633" i="32" s="1"/>
  <c r="L1633" i="32" s="1"/>
  <c r="V1643" i="32" a="1"/>
  <c r="V1643" i="32" s="1"/>
  <c r="L1643" i="32" s="1"/>
  <c r="V1653" i="32" a="1"/>
  <c r="V1653" i="32" s="1"/>
  <c r="L1653" i="32" s="1"/>
  <c r="V1621" i="32" a="1"/>
  <c r="V1621" i="32" s="1"/>
  <c r="L1621" i="32" s="1"/>
  <c r="V1625" i="32" a="1"/>
  <c r="V1625" i="32" s="1"/>
  <c r="L1625" i="32" s="1"/>
  <c r="V1623" i="32" a="1"/>
  <c r="V1623" i="32" s="1"/>
  <c r="L1623" i="32" s="1"/>
  <c r="V1651" i="32" a="1"/>
  <c r="V1651" i="32" s="1"/>
  <c r="L1651" i="32" s="1"/>
  <c r="V1655" i="32" a="1"/>
  <c r="V1655" i="32" s="1"/>
  <c r="L1655" i="32" s="1"/>
  <c r="T1649" i="32" a="1"/>
  <c r="T1649" i="32" s="1"/>
  <c r="T1657" i="32" a="1"/>
  <c r="T1657" i="32" s="1"/>
  <c r="T1637" i="32" a="1"/>
  <c r="T1637" i="32" s="1"/>
  <c r="T1645" i="32" a="1"/>
  <c r="T1645" i="32" s="1"/>
  <c r="T1639" i="32" a="1"/>
  <c r="T1639" i="32" s="1"/>
  <c r="T1631" i="32" a="1"/>
  <c r="T1631" i="32" s="1"/>
  <c r="T1647" i="32" a="1"/>
  <c r="T1647" i="32" s="1"/>
  <c r="T1629" i="32" a="1"/>
  <c r="T1629" i="32" s="1"/>
  <c r="T1641" i="32" a="1"/>
  <c r="T1641" i="32" s="1"/>
  <c r="T1627" i="32" a="1"/>
  <c r="T1627" i="32" s="1"/>
  <c r="T1635" i="32" a="1"/>
  <c r="T1635" i="32" s="1"/>
  <c r="T1633" i="32" a="1"/>
  <c r="T1633" i="32" s="1"/>
  <c r="T1643" i="32" a="1"/>
  <c r="T1643" i="32" s="1"/>
  <c r="T1653" i="32" a="1"/>
  <c r="T1653" i="32" s="1"/>
  <c r="T1621" i="32" a="1"/>
  <c r="T1621" i="32" s="1"/>
  <c r="T1625" i="32" a="1"/>
  <c r="T1625" i="32" s="1"/>
  <c r="T1623" i="32" a="1"/>
  <c r="T1623" i="32" s="1"/>
  <c r="T1651" i="32" a="1"/>
  <c r="T1651" i="32" s="1"/>
  <c r="T1655" i="32" a="1"/>
  <c r="T1655" i="32" s="1"/>
  <c r="S1649" i="32" a="1"/>
  <c r="S1649" i="32" s="1"/>
  <c r="E1649" i="32" s="1"/>
  <c r="S1657" i="32" a="1"/>
  <c r="S1657" i="32" s="1"/>
  <c r="E1657" i="32" s="1"/>
  <c r="S1637" i="32" a="1"/>
  <c r="S1637" i="32" s="1"/>
  <c r="E1637" i="32" s="1"/>
  <c r="S1645" i="32" a="1"/>
  <c r="S1645" i="32" s="1"/>
  <c r="E1645" i="32" s="1"/>
  <c r="S1639" i="32" a="1"/>
  <c r="S1639" i="32" s="1"/>
  <c r="E1639" i="32" s="1"/>
  <c r="S1631" i="32" a="1"/>
  <c r="S1631" i="32" s="1"/>
  <c r="E1631" i="32" s="1"/>
  <c r="S1647" i="32" a="1"/>
  <c r="S1647" i="32" s="1"/>
  <c r="E1647" i="32" s="1"/>
  <c r="S1629" i="32" a="1"/>
  <c r="S1629" i="32" s="1"/>
  <c r="E1629" i="32" s="1"/>
  <c r="S1641" i="32" a="1"/>
  <c r="S1641" i="32" s="1"/>
  <c r="E1641" i="32" s="1"/>
  <c r="S1627" i="32" a="1"/>
  <c r="S1627" i="32" s="1"/>
  <c r="E1627" i="32" s="1"/>
  <c r="S1635" i="32" a="1"/>
  <c r="S1635" i="32" s="1"/>
  <c r="E1635" i="32" s="1"/>
  <c r="S1633" i="32" a="1"/>
  <c r="S1633" i="32" s="1"/>
  <c r="E1633" i="32" s="1"/>
  <c r="S1643" i="32" a="1"/>
  <c r="S1643" i="32" s="1"/>
  <c r="E1643" i="32" s="1"/>
  <c r="S1653" i="32" a="1"/>
  <c r="S1653" i="32" s="1"/>
  <c r="E1653" i="32" s="1"/>
  <c r="S1621" i="32" a="1"/>
  <c r="S1621" i="32" s="1"/>
  <c r="E1621" i="32" s="1"/>
  <c r="S1625" i="32" a="1"/>
  <c r="S1625" i="32" s="1"/>
  <c r="E1625" i="32" s="1"/>
  <c r="S1623" i="32" a="1"/>
  <c r="S1623" i="32" s="1"/>
  <c r="E1623" i="32" s="1"/>
  <c r="S1651" i="32" a="1"/>
  <c r="S1651" i="32" s="1"/>
  <c r="E1651" i="32" s="1"/>
  <c r="S1655" i="32" a="1"/>
  <c r="S1655" i="32" s="1"/>
  <c r="E1655" i="32" s="1"/>
  <c r="S1799" i="32" a="1"/>
  <c r="S1799" i="32" s="1"/>
  <c r="E1799" i="32" s="1"/>
  <c r="S1731" i="32" a="1"/>
  <c r="S1731" i="32" s="1"/>
  <c r="E1731" i="32" s="1"/>
  <c r="S941" i="32" a="1"/>
  <c r="S941" i="32" s="1"/>
  <c r="E941" i="32" s="1"/>
  <c r="S1687" i="32" a="1"/>
  <c r="S1687" i="32" s="1"/>
  <c r="E1687" i="32" s="1"/>
  <c r="S877" i="32" a="1"/>
  <c r="S877" i="32" s="1"/>
  <c r="E877" i="32" s="1"/>
  <c r="S899" i="32" a="1"/>
  <c r="S899" i="32" s="1"/>
  <c r="E899" i="32" s="1"/>
  <c r="S939" i="32" a="1"/>
  <c r="S939" i="32" s="1"/>
  <c r="E939" i="32" s="1"/>
  <c r="S1791" i="32" a="1"/>
  <c r="S1791" i="32" s="1"/>
  <c r="E1791" i="32" s="1"/>
  <c r="S1741" i="32" a="1"/>
  <c r="S1741" i="32" s="1"/>
  <c r="E1741" i="32" s="1"/>
  <c r="S691" i="32" a="1"/>
  <c r="S691" i="32" s="1"/>
  <c r="E691" i="32" s="1"/>
  <c r="S1797" i="32" a="1"/>
  <c r="S1797" i="32" s="1"/>
  <c r="E1797" i="32" s="1"/>
  <c r="S1753" i="32" a="1"/>
  <c r="S1753" i="32" s="1"/>
  <c r="E1753" i="32" s="1"/>
  <c r="S661" i="32" a="1"/>
  <c r="S661" i="32" s="1"/>
  <c r="E661" i="32" s="1"/>
  <c r="S663" i="32" a="1"/>
  <c r="S663" i="32" s="1"/>
  <c r="E663" i="32" s="1"/>
  <c r="S1683" i="32" a="1"/>
  <c r="S1683" i="32" s="1"/>
  <c r="E1683" i="32" s="1"/>
  <c r="S731" i="32" a="1"/>
  <c r="S731" i="32" s="1"/>
  <c r="E731" i="32" s="1"/>
  <c r="S753" i="32" a="1"/>
  <c r="S753" i="32" s="1"/>
  <c r="E753" i="32" s="1"/>
  <c r="S743" i="32" a="1"/>
  <c r="S743" i="32" s="1"/>
  <c r="E743" i="32" s="1"/>
  <c r="S1729" i="32" a="1"/>
  <c r="S1729" i="32" s="1"/>
  <c r="E1729" i="32" s="1"/>
  <c r="S885" i="32" a="1"/>
  <c r="S885" i="32" s="1"/>
  <c r="E885" i="32" s="1"/>
  <c r="S667" i="32" a="1"/>
  <c r="S667" i="32" s="1"/>
  <c r="E667" i="32" s="1"/>
  <c r="S1713" i="32" a="1"/>
  <c r="S1713" i="32" s="1"/>
  <c r="E1713" i="32" s="1"/>
  <c r="S1735" i="32" a="1"/>
  <c r="S1735" i="32" s="1"/>
  <c r="E1735" i="32" s="1"/>
  <c r="S1677" i="32" a="1"/>
  <c r="S1677" i="32" s="1"/>
  <c r="E1677" i="32" s="1"/>
  <c r="S1705" i="32" a="1"/>
  <c r="S1705" i="32" s="1"/>
  <c r="E1705" i="32" s="1"/>
  <c r="S913" i="32" a="1"/>
  <c r="S913" i="32" s="1"/>
  <c r="E913" i="32" s="1"/>
  <c r="S1773" i="32" a="1"/>
  <c r="S1773" i="32" s="1"/>
  <c r="E1773" i="32" s="1"/>
  <c r="S673" i="32" a="1"/>
  <c r="S673" i="32" s="1"/>
  <c r="E673" i="32" s="1"/>
  <c r="S1815" i="32" a="1"/>
  <c r="S1815" i="32" s="1"/>
  <c r="E1815" i="32" s="1"/>
  <c r="S681" i="32" a="1"/>
  <c r="S681" i="32" s="1"/>
  <c r="E681" i="32" s="1"/>
  <c r="S1783" i="32" a="1"/>
  <c r="S1783" i="32" s="1"/>
  <c r="E1783" i="32" s="1"/>
  <c r="S1803" i="32" a="1"/>
  <c r="S1803" i="32" s="1"/>
  <c r="E1803" i="32" s="1"/>
  <c r="S1749" i="32" a="1"/>
  <c r="S1749" i="32" s="1"/>
  <c r="E1749" i="32" s="1"/>
  <c r="S747" i="32" a="1"/>
  <c r="S747" i="32" s="1"/>
  <c r="E747" i="32" s="1"/>
  <c r="S911" i="32" a="1"/>
  <c r="S911" i="32" s="1"/>
  <c r="E911" i="32" s="1"/>
  <c r="S737" i="32" a="1"/>
  <c r="S737" i="32" s="1"/>
  <c r="E737" i="32" s="1"/>
  <c r="S873" i="32" a="1"/>
  <c r="S873" i="32" s="1"/>
  <c r="E873" i="32" s="1"/>
  <c r="S1775" i="32" a="1"/>
  <c r="S1775" i="32" s="1"/>
  <c r="E1775" i="32" s="1"/>
  <c r="S1679" i="32" a="1"/>
  <c r="S1679" i="32" s="1"/>
  <c r="E1679" i="32" s="1"/>
  <c r="S709" i="32" a="1"/>
  <c r="S709" i="32" s="1"/>
  <c r="E709" i="32" s="1"/>
  <c r="S1771" i="32" a="1"/>
  <c r="S1771" i="32" s="1"/>
  <c r="E1771" i="32" s="1"/>
  <c r="S1697" i="32" a="1"/>
  <c r="S1697" i="32" s="1"/>
  <c r="E1697" i="32" s="1"/>
  <c r="S1743" i="32" a="1"/>
  <c r="S1743" i="32" s="1"/>
  <c r="E1743" i="32" s="1"/>
  <c r="S1763" i="32" a="1"/>
  <c r="S1763" i="32" s="1"/>
  <c r="E1763" i="32" s="1"/>
  <c r="S1757" i="32" a="1"/>
  <c r="S1757" i="32" s="1"/>
  <c r="E1757" i="32" s="1"/>
  <c r="S693" i="32" a="1"/>
  <c r="S693" i="32" s="1"/>
  <c r="E693" i="32" s="1"/>
  <c r="S717" i="32" a="1"/>
  <c r="S717" i="32" s="1"/>
  <c r="E717" i="32" s="1"/>
  <c r="S919" i="32" a="1"/>
  <c r="S919" i="32" s="1"/>
  <c r="E919" i="32" s="1"/>
  <c r="S741" i="32" a="1"/>
  <c r="S741" i="32" s="1"/>
  <c r="E741" i="32" s="1"/>
  <c r="S707" i="32" a="1"/>
  <c r="S707" i="32" s="1"/>
  <c r="E707" i="32" s="1"/>
  <c r="S1723" i="32" a="1"/>
  <c r="S1723" i="32" s="1"/>
  <c r="E1723" i="32" s="1"/>
  <c r="S861" i="32" a="1"/>
  <c r="S861" i="32" s="1"/>
  <c r="E861" i="32" s="1"/>
  <c r="S751" i="32" a="1"/>
  <c r="S751" i="32" s="1"/>
  <c r="E751" i="32" s="1"/>
  <c r="S929" i="32" a="1"/>
  <c r="S929" i="32" s="1"/>
  <c r="E929" i="32" s="1"/>
  <c r="S915" i="32" a="1"/>
  <c r="S915" i="32" s="1"/>
  <c r="E915" i="32" s="1"/>
  <c r="S881" i="32" a="1"/>
  <c r="S881" i="32" s="1"/>
  <c r="E881" i="32" s="1"/>
  <c r="S1669" i="32" a="1"/>
  <c r="S1669" i="32" s="1"/>
  <c r="E1669" i="32" s="1"/>
  <c r="S931" i="32" a="1"/>
  <c r="S931" i="32" s="1"/>
  <c r="E931" i="32" s="1"/>
  <c r="S1725" i="32" a="1"/>
  <c r="S1725" i="32" s="1"/>
  <c r="E1725" i="32" s="1"/>
  <c r="S955" i="32" a="1"/>
  <c r="S955" i="32" s="1"/>
  <c r="E955" i="32" s="1"/>
  <c r="S1787" i="32" a="1"/>
  <c r="S1787" i="32" s="1"/>
  <c r="E1787" i="32" s="1"/>
  <c r="S1805" i="32" a="1"/>
  <c r="S1805" i="32" s="1"/>
  <c r="E1805" i="32" s="1"/>
  <c r="S1759" i="32" a="1"/>
  <c r="S1759" i="32" s="1"/>
  <c r="E1759" i="32" s="1"/>
  <c r="S1745" i="32" a="1"/>
  <c r="S1745" i="32" s="1"/>
  <c r="E1745" i="32" s="1"/>
  <c r="S665" i="32" a="1"/>
  <c r="S665" i="32" s="1"/>
  <c r="E665" i="32" s="1"/>
  <c r="S671" i="32" a="1"/>
  <c r="S671" i="32" s="1"/>
  <c r="E671" i="32" s="1"/>
  <c r="S1817" i="32" a="1"/>
  <c r="S1817" i="32" s="1"/>
  <c r="E1817" i="32" s="1"/>
  <c r="S757" i="32" a="1"/>
  <c r="S757" i="32" s="1"/>
  <c r="E757" i="32" s="1"/>
  <c r="S905" i="32" a="1"/>
  <c r="S905" i="32" s="1"/>
  <c r="E905" i="32" s="1"/>
  <c r="S1811" i="32" a="1"/>
  <c r="S1811" i="32" s="1"/>
  <c r="E1811" i="32" s="1"/>
  <c r="S695" i="32" a="1"/>
  <c r="S695" i="32" s="1"/>
  <c r="E695" i="32" s="1"/>
  <c r="S887" i="32" a="1"/>
  <c r="S887" i="32" s="1"/>
  <c r="E887" i="32" s="1"/>
  <c r="R1799" i="32" a="1"/>
  <c r="R1799" i="32" s="1"/>
  <c r="D1799" i="32" s="1"/>
  <c r="R1731" i="32" a="1"/>
  <c r="R1731" i="32" s="1"/>
  <c r="D1731" i="32" s="1"/>
  <c r="R941" i="32" a="1"/>
  <c r="R941" i="32" s="1"/>
  <c r="D941" i="32" s="1"/>
  <c r="R1687" i="32" a="1"/>
  <c r="R1687" i="32" s="1"/>
  <c r="D1687" i="32" s="1"/>
  <c r="R877" i="32" a="1"/>
  <c r="R877" i="32" s="1"/>
  <c r="D877" i="32" s="1"/>
  <c r="R899" i="32" a="1"/>
  <c r="R899" i="32" s="1"/>
  <c r="D899" i="32" s="1"/>
  <c r="R939" i="32" a="1"/>
  <c r="R939" i="32" s="1"/>
  <c r="D939" i="32" s="1"/>
  <c r="R1791" i="32" a="1"/>
  <c r="R1791" i="32" s="1"/>
  <c r="D1791" i="32" s="1"/>
  <c r="R1741" i="32" a="1"/>
  <c r="R1741" i="32" s="1"/>
  <c r="D1741" i="32" s="1"/>
  <c r="R691" i="32" a="1"/>
  <c r="R691" i="32" s="1"/>
  <c r="D691" i="32" s="1"/>
  <c r="R1797" i="32" a="1"/>
  <c r="R1797" i="32" s="1"/>
  <c r="D1797" i="32" s="1"/>
  <c r="R1753" i="32" a="1"/>
  <c r="R1753" i="32" s="1"/>
  <c r="D1753" i="32" s="1"/>
  <c r="R661" i="32" a="1"/>
  <c r="R661" i="32" s="1"/>
  <c r="D661" i="32" s="1"/>
  <c r="R663" i="32" a="1"/>
  <c r="R663" i="32" s="1"/>
  <c r="D663" i="32" s="1"/>
  <c r="R1683" i="32" a="1"/>
  <c r="R1683" i="32" s="1"/>
  <c r="D1683" i="32" s="1"/>
  <c r="R731" i="32" a="1"/>
  <c r="R731" i="32" s="1"/>
  <c r="D731" i="32" s="1"/>
  <c r="R753" i="32" a="1"/>
  <c r="R753" i="32" s="1"/>
  <c r="D753" i="32" s="1"/>
  <c r="R743" i="32" a="1"/>
  <c r="R743" i="32" s="1"/>
  <c r="D743" i="32" s="1"/>
  <c r="R1729" i="32" a="1"/>
  <c r="R1729" i="32" s="1"/>
  <c r="D1729" i="32" s="1"/>
  <c r="R885" i="32" a="1"/>
  <c r="R885" i="32" s="1"/>
  <c r="D885" i="32" s="1"/>
  <c r="R667" i="32" a="1"/>
  <c r="R667" i="32" s="1"/>
  <c r="D667" i="32" s="1"/>
  <c r="R1713" i="32" a="1"/>
  <c r="R1713" i="32" s="1"/>
  <c r="D1713" i="32" s="1"/>
  <c r="R1735" i="32" a="1"/>
  <c r="R1735" i="32" s="1"/>
  <c r="D1735" i="32" s="1"/>
  <c r="R1677" i="32" a="1"/>
  <c r="R1677" i="32" s="1"/>
  <c r="D1677" i="32" s="1"/>
  <c r="R1705" i="32" a="1"/>
  <c r="R1705" i="32" s="1"/>
  <c r="D1705" i="32" s="1"/>
  <c r="R913" i="32" a="1"/>
  <c r="R913" i="32" s="1"/>
  <c r="D913" i="32" s="1"/>
  <c r="R1773" i="32" a="1"/>
  <c r="R1773" i="32" s="1"/>
  <c r="D1773" i="32" s="1"/>
  <c r="R673" i="32" a="1"/>
  <c r="R673" i="32" s="1"/>
  <c r="D673" i="32" s="1"/>
  <c r="R1815" i="32" a="1"/>
  <c r="R1815" i="32" s="1"/>
  <c r="D1815" i="32" s="1"/>
  <c r="R681" i="32" a="1"/>
  <c r="R681" i="32" s="1"/>
  <c r="D681" i="32" s="1"/>
  <c r="R1783" i="32" a="1"/>
  <c r="R1783" i="32" s="1"/>
  <c r="D1783" i="32" s="1"/>
  <c r="R1803" i="32" a="1"/>
  <c r="R1803" i="32" s="1"/>
  <c r="D1803" i="32" s="1"/>
  <c r="R1749" i="32" a="1"/>
  <c r="R1749" i="32" s="1"/>
  <c r="D1749" i="32" s="1"/>
  <c r="R747" i="32" a="1"/>
  <c r="R747" i="32" s="1"/>
  <c r="D747" i="32" s="1"/>
  <c r="R911" i="32" a="1"/>
  <c r="R911" i="32" s="1"/>
  <c r="D911" i="32" s="1"/>
  <c r="R737" i="32" a="1"/>
  <c r="R737" i="32" s="1"/>
  <c r="D737" i="32" s="1"/>
  <c r="R873" i="32" a="1"/>
  <c r="R873" i="32" s="1"/>
  <c r="D873" i="32" s="1"/>
  <c r="R1775" i="32" a="1"/>
  <c r="R1775" i="32" s="1"/>
  <c r="D1775" i="32" s="1"/>
  <c r="R1679" i="32" a="1"/>
  <c r="R1679" i="32" s="1"/>
  <c r="D1679" i="32" s="1"/>
  <c r="R709" i="32" a="1"/>
  <c r="R709" i="32" s="1"/>
  <c r="D709" i="32" s="1"/>
  <c r="R1771" i="32" a="1"/>
  <c r="R1771" i="32" s="1"/>
  <c r="D1771" i="32" s="1"/>
  <c r="R1697" i="32" a="1"/>
  <c r="R1697" i="32" s="1"/>
  <c r="D1697" i="32" s="1"/>
  <c r="R1743" i="32" a="1"/>
  <c r="R1743" i="32" s="1"/>
  <c r="D1743" i="32" s="1"/>
  <c r="R1763" i="32" a="1"/>
  <c r="R1763" i="32" s="1"/>
  <c r="D1763" i="32" s="1"/>
  <c r="R1757" i="32" a="1"/>
  <c r="R1757" i="32" s="1"/>
  <c r="D1757" i="32" s="1"/>
  <c r="R693" i="32" a="1"/>
  <c r="R693" i="32" s="1"/>
  <c r="D693" i="32" s="1"/>
  <c r="R717" i="32" a="1"/>
  <c r="R717" i="32" s="1"/>
  <c r="D717" i="32" s="1"/>
  <c r="R919" i="32" a="1"/>
  <c r="R919" i="32" s="1"/>
  <c r="D919" i="32" s="1"/>
  <c r="R741" i="32" a="1"/>
  <c r="R741" i="32" s="1"/>
  <c r="D741" i="32" s="1"/>
  <c r="R707" i="32" a="1"/>
  <c r="R707" i="32" s="1"/>
  <c r="D707" i="32" s="1"/>
  <c r="R1723" i="32" a="1"/>
  <c r="R1723" i="32" s="1"/>
  <c r="D1723" i="32" s="1"/>
  <c r="R861" i="32" a="1"/>
  <c r="R861" i="32" s="1"/>
  <c r="D861" i="32" s="1"/>
  <c r="R751" i="32" a="1"/>
  <c r="R751" i="32" s="1"/>
  <c r="D751" i="32" s="1"/>
  <c r="R929" i="32" a="1"/>
  <c r="R929" i="32" s="1"/>
  <c r="D929" i="32" s="1"/>
  <c r="R915" i="32" a="1"/>
  <c r="R915" i="32" s="1"/>
  <c r="D915" i="32" s="1"/>
  <c r="R881" i="32" a="1"/>
  <c r="R881" i="32" s="1"/>
  <c r="D881" i="32" s="1"/>
  <c r="R1669" i="32" a="1"/>
  <c r="R1669" i="32" s="1"/>
  <c r="D1669" i="32" s="1"/>
  <c r="R931" i="32" a="1"/>
  <c r="R931" i="32" s="1"/>
  <c r="D931" i="32" s="1"/>
  <c r="R1725" i="32" a="1"/>
  <c r="R1725" i="32" s="1"/>
  <c r="D1725" i="32" s="1"/>
  <c r="R955" i="32" a="1"/>
  <c r="R955" i="32" s="1"/>
  <c r="D955" i="32" s="1"/>
  <c r="R1787" i="32" a="1"/>
  <c r="R1787" i="32" s="1"/>
  <c r="D1787" i="32" s="1"/>
  <c r="R1805" i="32" a="1"/>
  <c r="R1805" i="32" s="1"/>
  <c r="D1805" i="32" s="1"/>
  <c r="R1759" i="32" a="1"/>
  <c r="R1759" i="32" s="1"/>
  <c r="D1759" i="32" s="1"/>
  <c r="R1745" i="32" a="1"/>
  <c r="R1745" i="32" s="1"/>
  <c r="D1745" i="32" s="1"/>
  <c r="R665" i="32" a="1"/>
  <c r="R665" i="32" s="1"/>
  <c r="D665" i="32" s="1"/>
  <c r="R671" i="32" a="1"/>
  <c r="R671" i="32" s="1"/>
  <c r="D671" i="32" s="1"/>
  <c r="R1817" i="32" a="1"/>
  <c r="R1817" i="32" s="1"/>
  <c r="D1817" i="32" s="1"/>
  <c r="R757" i="32" a="1"/>
  <c r="R757" i="32" s="1"/>
  <c r="D757" i="32" s="1"/>
  <c r="R905" i="32" a="1"/>
  <c r="R905" i="32" s="1"/>
  <c r="D905" i="32" s="1"/>
  <c r="R1811" i="32" a="1"/>
  <c r="R1811" i="32" s="1"/>
  <c r="D1811" i="32" s="1"/>
  <c r="R695" i="32" a="1"/>
  <c r="R695" i="32" s="1"/>
  <c r="D695" i="32" s="1"/>
  <c r="R887" i="32" a="1"/>
  <c r="R887" i="32" s="1"/>
  <c r="D887" i="32" s="1"/>
  <c r="V1799" i="32" a="1"/>
  <c r="V1799" i="32" s="1"/>
  <c r="L1799" i="32" s="1"/>
  <c r="V1731" i="32" a="1"/>
  <c r="V1731" i="32" s="1"/>
  <c r="L1731" i="32" s="1"/>
  <c r="V941" i="32" a="1"/>
  <c r="V941" i="32" s="1"/>
  <c r="L941" i="32" s="1"/>
  <c r="V1687" i="32" a="1"/>
  <c r="V1687" i="32" s="1"/>
  <c r="L1687" i="32" s="1"/>
  <c r="V877" i="32" a="1"/>
  <c r="V877" i="32" s="1"/>
  <c r="L877" i="32" s="1"/>
  <c r="V899" i="32" a="1"/>
  <c r="V899" i="32" s="1"/>
  <c r="L899" i="32" s="1"/>
  <c r="V939" i="32" a="1"/>
  <c r="V939" i="32" s="1"/>
  <c r="L939" i="32" s="1"/>
  <c r="V1791" i="32" a="1"/>
  <c r="V1791" i="32" s="1"/>
  <c r="L1791" i="32" s="1"/>
  <c r="V1741" i="32" a="1"/>
  <c r="V1741" i="32" s="1"/>
  <c r="L1741" i="32" s="1"/>
  <c r="V691" i="32" a="1"/>
  <c r="V691" i="32" s="1"/>
  <c r="L691" i="32" s="1"/>
  <c r="V1797" i="32" a="1"/>
  <c r="V1797" i="32" s="1"/>
  <c r="L1797" i="32" s="1"/>
  <c r="V1753" i="32" a="1"/>
  <c r="V1753" i="32" s="1"/>
  <c r="L1753" i="32" s="1"/>
  <c r="V661" i="32" a="1"/>
  <c r="V661" i="32" s="1"/>
  <c r="L661" i="32" s="1"/>
  <c r="V663" i="32" a="1"/>
  <c r="V663" i="32" s="1"/>
  <c r="L663" i="32" s="1"/>
  <c r="V1683" i="32" a="1"/>
  <c r="V1683" i="32" s="1"/>
  <c r="L1683" i="32" s="1"/>
  <c r="V731" i="32" a="1"/>
  <c r="V731" i="32" s="1"/>
  <c r="L731" i="32" s="1"/>
  <c r="V753" i="32" a="1"/>
  <c r="V753" i="32" s="1"/>
  <c r="L753" i="32" s="1"/>
  <c r="V743" i="32" a="1"/>
  <c r="V743" i="32" s="1"/>
  <c r="L743" i="32" s="1"/>
  <c r="V1729" i="32" a="1"/>
  <c r="V1729" i="32" s="1"/>
  <c r="L1729" i="32" s="1"/>
  <c r="V885" i="32" a="1"/>
  <c r="V885" i="32" s="1"/>
  <c r="L885" i="32" s="1"/>
  <c r="V667" i="32" a="1"/>
  <c r="V667" i="32" s="1"/>
  <c r="L667" i="32" s="1"/>
  <c r="V1713" i="32" a="1"/>
  <c r="V1713" i="32" s="1"/>
  <c r="L1713" i="32" s="1"/>
  <c r="V1735" i="32" a="1"/>
  <c r="V1735" i="32" s="1"/>
  <c r="L1735" i="32" s="1"/>
  <c r="V1677" i="32" a="1"/>
  <c r="V1677" i="32" s="1"/>
  <c r="L1677" i="32" s="1"/>
  <c r="V1705" i="32" a="1"/>
  <c r="V1705" i="32" s="1"/>
  <c r="L1705" i="32" s="1"/>
  <c r="V913" i="32" a="1"/>
  <c r="V913" i="32" s="1"/>
  <c r="L913" i="32" s="1"/>
  <c r="V1773" i="32" a="1"/>
  <c r="V1773" i="32" s="1"/>
  <c r="L1773" i="32" s="1"/>
  <c r="V673" i="32" a="1"/>
  <c r="V673" i="32" s="1"/>
  <c r="L673" i="32" s="1"/>
  <c r="V1815" i="32" a="1"/>
  <c r="V1815" i="32" s="1"/>
  <c r="L1815" i="32" s="1"/>
  <c r="V681" i="32" a="1"/>
  <c r="V681" i="32" s="1"/>
  <c r="L681" i="32" s="1"/>
  <c r="V1783" i="32" a="1"/>
  <c r="V1783" i="32" s="1"/>
  <c r="L1783" i="32" s="1"/>
  <c r="V1803" i="32" a="1"/>
  <c r="V1803" i="32" s="1"/>
  <c r="L1803" i="32" s="1"/>
  <c r="V1749" i="32" a="1"/>
  <c r="V1749" i="32" s="1"/>
  <c r="L1749" i="32" s="1"/>
  <c r="V747" i="32" a="1"/>
  <c r="V747" i="32" s="1"/>
  <c r="L747" i="32" s="1"/>
  <c r="V911" i="32" a="1"/>
  <c r="V911" i="32" s="1"/>
  <c r="L911" i="32" s="1"/>
  <c r="V737" i="32" a="1"/>
  <c r="V737" i="32" s="1"/>
  <c r="L737" i="32" s="1"/>
  <c r="V873" i="32" a="1"/>
  <c r="V873" i="32" s="1"/>
  <c r="L873" i="32" s="1"/>
  <c r="V1775" i="32" a="1"/>
  <c r="V1775" i="32" s="1"/>
  <c r="L1775" i="32" s="1"/>
  <c r="V1679" i="32" a="1"/>
  <c r="V1679" i="32" s="1"/>
  <c r="L1679" i="32" s="1"/>
  <c r="V709" i="32" a="1"/>
  <c r="V709" i="32" s="1"/>
  <c r="L709" i="32" s="1"/>
  <c r="V1771" i="32" a="1"/>
  <c r="V1771" i="32" s="1"/>
  <c r="L1771" i="32" s="1"/>
  <c r="V1697" i="32" a="1"/>
  <c r="V1697" i="32" s="1"/>
  <c r="L1697" i="32" s="1"/>
  <c r="V1743" i="32" a="1"/>
  <c r="V1743" i="32" s="1"/>
  <c r="L1743" i="32" s="1"/>
  <c r="V1763" i="32" a="1"/>
  <c r="V1763" i="32" s="1"/>
  <c r="L1763" i="32" s="1"/>
  <c r="V1757" i="32" a="1"/>
  <c r="V1757" i="32" s="1"/>
  <c r="L1757" i="32" s="1"/>
  <c r="V693" i="32" a="1"/>
  <c r="V693" i="32" s="1"/>
  <c r="L693" i="32" s="1"/>
  <c r="V717" i="32" a="1"/>
  <c r="V717" i="32" s="1"/>
  <c r="L717" i="32" s="1"/>
  <c r="V919" i="32" a="1"/>
  <c r="V919" i="32" s="1"/>
  <c r="L919" i="32" s="1"/>
  <c r="V741" i="32" a="1"/>
  <c r="V741" i="32" s="1"/>
  <c r="L741" i="32" s="1"/>
  <c r="V707" i="32" a="1"/>
  <c r="V707" i="32" s="1"/>
  <c r="L707" i="32" s="1"/>
  <c r="V1723" i="32" a="1"/>
  <c r="V1723" i="32" s="1"/>
  <c r="L1723" i="32" s="1"/>
  <c r="V861" i="32" a="1"/>
  <c r="V861" i="32" s="1"/>
  <c r="L861" i="32" s="1"/>
  <c r="V751" i="32" a="1"/>
  <c r="V751" i="32" s="1"/>
  <c r="L751" i="32" s="1"/>
  <c r="V929" i="32" a="1"/>
  <c r="V929" i="32" s="1"/>
  <c r="L929" i="32" s="1"/>
  <c r="V915" i="32" a="1"/>
  <c r="V915" i="32" s="1"/>
  <c r="L915" i="32" s="1"/>
  <c r="V881" i="32" a="1"/>
  <c r="V881" i="32" s="1"/>
  <c r="L881" i="32" s="1"/>
  <c r="V1669" i="32" a="1"/>
  <c r="V1669" i="32" s="1"/>
  <c r="L1669" i="32" s="1"/>
  <c r="V931" i="32" a="1"/>
  <c r="V931" i="32" s="1"/>
  <c r="L931" i="32" s="1"/>
  <c r="V1725" i="32" a="1"/>
  <c r="V1725" i="32" s="1"/>
  <c r="L1725" i="32" s="1"/>
  <c r="V955" i="32" a="1"/>
  <c r="V955" i="32" s="1"/>
  <c r="L955" i="32" s="1"/>
  <c r="V1787" i="32" a="1"/>
  <c r="V1787" i="32" s="1"/>
  <c r="L1787" i="32" s="1"/>
  <c r="V1805" i="32" a="1"/>
  <c r="V1805" i="32" s="1"/>
  <c r="L1805" i="32" s="1"/>
  <c r="V1759" i="32" a="1"/>
  <c r="V1759" i="32" s="1"/>
  <c r="L1759" i="32" s="1"/>
  <c r="V1745" i="32" a="1"/>
  <c r="V1745" i="32" s="1"/>
  <c r="L1745" i="32" s="1"/>
  <c r="V665" i="32" a="1"/>
  <c r="V665" i="32" s="1"/>
  <c r="L665" i="32" s="1"/>
  <c r="V671" i="32" a="1"/>
  <c r="V671" i="32" s="1"/>
  <c r="L671" i="32" s="1"/>
  <c r="V1817" i="32" a="1"/>
  <c r="V1817" i="32" s="1"/>
  <c r="L1817" i="32" s="1"/>
  <c r="V757" i="32" a="1"/>
  <c r="V757" i="32" s="1"/>
  <c r="L757" i="32" s="1"/>
  <c r="V905" i="32" a="1"/>
  <c r="V905" i="32" s="1"/>
  <c r="L905" i="32" s="1"/>
  <c r="V1811" i="32" a="1"/>
  <c r="V1811" i="32" s="1"/>
  <c r="L1811" i="32" s="1"/>
  <c r="V695" i="32" a="1"/>
  <c r="V695" i="32" s="1"/>
  <c r="L695" i="32" s="1"/>
  <c r="V887" i="32" a="1"/>
  <c r="V887" i="32" s="1"/>
  <c r="L887" i="32" s="1"/>
  <c r="T1799" i="32" a="1"/>
  <c r="T1799" i="32" s="1"/>
  <c r="T1731" i="32" a="1"/>
  <c r="T1731" i="32" s="1"/>
  <c r="T941" i="32" a="1"/>
  <c r="T941" i="32" s="1"/>
  <c r="T1687" i="32" a="1"/>
  <c r="T1687" i="32" s="1"/>
  <c r="T877" i="32" a="1"/>
  <c r="T877" i="32" s="1"/>
  <c r="T899" i="32" a="1"/>
  <c r="T899" i="32" s="1"/>
  <c r="T939" i="32" a="1"/>
  <c r="T939" i="32" s="1"/>
  <c r="T1791" i="32" a="1"/>
  <c r="T1791" i="32" s="1"/>
  <c r="T1741" i="32" a="1"/>
  <c r="T1741" i="32" s="1"/>
  <c r="T691" i="32" a="1"/>
  <c r="T691" i="32" s="1"/>
  <c r="T1797" i="32" a="1"/>
  <c r="T1797" i="32" s="1"/>
  <c r="T1753" i="32" a="1"/>
  <c r="T1753" i="32" s="1"/>
  <c r="T661" i="32" a="1"/>
  <c r="T661" i="32" s="1"/>
  <c r="T663" i="32" a="1"/>
  <c r="T663" i="32" s="1"/>
  <c r="T1683" i="32" a="1"/>
  <c r="T1683" i="32" s="1"/>
  <c r="T731" i="32" a="1"/>
  <c r="T731" i="32" s="1"/>
  <c r="T753" i="32" a="1"/>
  <c r="T753" i="32" s="1"/>
  <c r="T743" i="32" a="1"/>
  <c r="T743" i="32" s="1"/>
  <c r="T1729" i="32" a="1"/>
  <c r="T1729" i="32" s="1"/>
  <c r="T885" i="32" a="1"/>
  <c r="T885" i="32" s="1"/>
  <c r="T667" i="32" a="1"/>
  <c r="T667" i="32" s="1"/>
  <c r="T1713" i="32" a="1"/>
  <c r="T1713" i="32" s="1"/>
  <c r="T1735" i="32" a="1"/>
  <c r="T1735" i="32" s="1"/>
  <c r="T1677" i="32" a="1"/>
  <c r="T1677" i="32" s="1"/>
  <c r="T1705" i="32" a="1"/>
  <c r="T1705" i="32" s="1"/>
  <c r="T913" i="32" a="1"/>
  <c r="T913" i="32" s="1"/>
  <c r="T1773" i="32" a="1"/>
  <c r="T1773" i="32" s="1"/>
  <c r="T673" i="32" a="1"/>
  <c r="T673" i="32" s="1"/>
  <c r="T1815" i="32" a="1"/>
  <c r="T1815" i="32" s="1"/>
  <c r="T681" i="32" a="1"/>
  <c r="T681" i="32" s="1"/>
  <c r="T1783" i="32" a="1"/>
  <c r="T1783" i="32" s="1"/>
  <c r="T1803" i="32" a="1"/>
  <c r="T1803" i="32" s="1"/>
  <c r="T1749" i="32" a="1"/>
  <c r="T1749" i="32" s="1"/>
  <c r="T747" i="32" a="1"/>
  <c r="T747" i="32" s="1"/>
  <c r="T911" i="32" a="1"/>
  <c r="T911" i="32" s="1"/>
  <c r="T737" i="32" a="1"/>
  <c r="T737" i="32" s="1"/>
  <c r="T873" i="32" a="1"/>
  <c r="T873" i="32" s="1"/>
  <c r="T1775" i="32" a="1"/>
  <c r="T1775" i="32" s="1"/>
  <c r="T1679" i="32" a="1"/>
  <c r="T1679" i="32" s="1"/>
  <c r="T709" i="32" a="1"/>
  <c r="T709" i="32" s="1"/>
  <c r="T1771" i="32" a="1"/>
  <c r="T1771" i="32" s="1"/>
  <c r="T1697" i="32" a="1"/>
  <c r="T1697" i="32" s="1"/>
  <c r="T1743" i="32" a="1"/>
  <c r="T1743" i="32" s="1"/>
  <c r="T1763" i="32" a="1"/>
  <c r="T1763" i="32" s="1"/>
  <c r="T1757" i="32" a="1"/>
  <c r="T1757" i="32" s="1"/>
  <c r="T693" i="32" a="1"/>
  <c r="T693" i="32" s="1"/>
  <c r="T717" i="32" a="1"/>
  <c r="T717" i="32" s="1"/>
  <c r="T919" i="32" a="1"/>
  <c r="T919" i="32" s="1"/>
  <c r="T741" i="32" a="1"/>
  <c r="T741" i="32" s="1"/>
  <c r="T707" i="32" a="1"/>
  <c r="T707" i="32" s="1"/>
  <c r="T1723" i="32" a="1"/>
  <c r="T1723" i="32" s="1"/>
  <c r="T861" i="32" a="1"/>
  <c r="T861" i="32" s="1"/>
  <c r="T751" i="32" a="1"/>
  <c r="T751" i="32" s="1"/>
  <c r="T929" i="32" a="1"/>
  <c r="T929" i="32" s="1"/>
  <c r="T915" i="32" a="1"/>
  <c r="T915" i="32" s="1"/>
  <c r="T881" i="32" a="1"/>
  <c r="T881" i="32" s="1"/>
  <c r="T1669" i="32" a="1"/>
  <c r="T1669" i="32" s="1"/>
  <c r="T931" i="32" a="1"/>
  <c r="T931" i="32" s="1"/>
  <c r="T1725" i="32" a="1"/>
  <c r="T1725" i="32" s="1"/>
  <c r="T955" i="32" a="1"/>
  <c r="T955" i="32" s="1"/>
  <c r="T1787" i="32" a="1"/>
  <c r="T1787" i="32" s="1"/>
  <c r="T1805" i="32" a="1"/>
  <c r="T1805" i="32" s="1"/>
  <c r="T1759" i="32" a="1"/>
  <c r="T1759" i="32" s="1"/>
  <c r="T1745" i="32" a="1"/>
  <c r="T1745" i="32" s="1"/>
  <c r="T665" i="32" a="1"/>
  <c r="T665" i="32" s="1"/>
  <c r="T671" i="32" a="1"/>
  <c r="T671" i="32" s="1"/>
  <c r="T1817" i="32" a="1"/>
  <c r="T1817" i="32" s="1"/>
  <c r="T757" i="32" a="1"/>
  <c r="T757" i="32" s="1"/>
  <c r="T905" i="32" a="1"/>
  <c r="T905" i="32" s="1"/>
  <c r="T1811" i="32" a="1"/>
  <c r="T1811" i="32" s="1"/>
  <c r="T695" i="32" a="1"/>
  <c r="T695" i="32" s="1"/>
  <c r="T887" i="32" a="1"/>
  <c r="T887" i="32" s="1"/>
  <c r="R907" i="32" a="1"/>
  <c r="R907" i="32" s="1"/>
  <c r="D907" i="32" s="1"/>
  <c r="R1701" i="32" a="1"/>
  <c r="R1701" i="32" s="1"/>
  <c r="D1701" i="32" s="1"/>
  <c r="R1663" i="32" a="1"/>
  <c r="R1663" i="32" s="1"/>
  <c r="D1663" i="32" s="1"/>
  <c r="R947" i="32" a="1"/>
  <c r="R947" i="32" s="1"/>
  <c r="D947" i="32" s="1"/>
  <c r="R923" i="32" a="1"/>
  <c r="R923" i="32" s="1"/>
  <c r="D923" i="32" s="1"/>
  <c r="R1781" i="32" a="1"/>
  <c r="R1781" i="32" s="1"/>
  <c r="D1781" i="32" s="1"/>
  <c r="R1737" i="32" a="1"/>
  <c r="R1737" i="32" s="1"/>
  <c r="D1737" i="32" s="1"/>
  <c r="R891" i="32" a="1"/>
  <c r="R891" i="32" s="1"/>
  <c r="D891" i="32" s="1"/>
  <c r="R909" i="32" a="1"/>
  <c r="R909" i="32" s="1"/>
  <c r="D909" i="32" s="1"/>
  <c r="R723" i="32" a="1"/>
  <c r="R723" i="32" s="1"/>
  <c r="D723" i="32" s="1"/>
  <c r="R1769" i="32" a="1"/>
  <c r="R1769" i="32" s="1"/>
  <c r="D1769" i="32" s="1"/>
  <c r="R875" i="32" a="1"/>
  <c r="R875" i="32" s="1"/>
  <c r="D875" i="32" s="1"/>
  <c r="R701" i="32" a="1"/>
  <c r="R701" i="32" s="1"/>
  <c r="D701" i="32" s="1"/>
  <c r="R1809" i="32" a="1"/>
  <c r="R1809" i="32" s="1"/>
  <c r="D1809" i="32" s="1"/>
  <c r="R745" i="32" a="1"/>
  <c r="R745" i="32" s="1"/>
  <c r="D745" i="32" s="1"/>
  <c r="R1739" i="32" a="1"/>
  <c r="R1739" i="32" s="1"/>
  <c r="D1739" i="32" s="1"/>
  <c r="R735" i="32" a="1"/>
  <c r="R735" i="32" s="1"/>
  <c r="D735" i="32" s="1"/>
  <c r="R1793" i="32" a="1"/>
  <c r="R1793" i="32" s="1"/>
  <c r="D1793" i="32" s="1"/>
  <c r="R761" i="32" a="1"/>
  <c r="R761" i="32" s="1"/>
  <c r="D761" i="32" s="1"/>
  <c r="R949" i="32" a="1"/>
  <c r="R949" i="32" s="1"/>
  <c r="D949" i="32" s="1"/>
  <c r="R1727" i="32" a="1"/>
  <c r="R1727" i="32" s="1"/>
  <c r="D1727" i="32" s="1"/>
  <c r="R901" i="32" a="1"/>
  <c r="R901" i="32" s="1"/>
  <c r="D901" i="32" s="1"/>
  <c r="R1785" i="32" a="1"/>
  <c r="R1785" i="32" s="1"/>
  <c r="D1785" i="32" s="1"/>
  <c r="R669" i="32" a="1"/>
  <c r="R669" i="32" s="1"/>
  <c r="D669" i="32" s="1"/>
  <c r="R897" i="32" a="1"/>
  <c r="R897" i="32" s="1"/>
  <c r="D897" i="32" s="1"/>
  <c r="R1721" i="32" a="1"/>
  <c r="R1721" i="32" s="1"/>
  <c r="D1721" i="32" s="1"/>
  <c r="R927" i="32" a="1"/>
  <c r="R927" i="32" s="1"/>
  <c r="D927" i="32" s="1"/>
  <c r="R699" i="32" a="1"/>
  <c r="R699" i="32" s="1"/>
  <c r="D699" i="32" s="1"/>
  <c r="R935" i="32" a="1"/>
  <c r="R935" i="32" s="1"/>
  <c r="D935" i="32" s="1"/>
  <c r="R865" i="32" a="1"/>
  <c r="R865" i="32" s="1"/>
  <c r="D865" i="32" s="1"/>
  <c r="R1665" i="32" a="1"/>
  <c r="R1665" i="32" s="1"/>
  <c r="D1665" i="32" s="1"/>
  <c r="R1755" i="32" a="1"/>
  <c r="R1755" i="32" s="1"/>
  <c r="D1755" i="32" s="1"/>
  <c r="R749" i="32" a="1"/>
  <c r="R749" i="32" s="1"/>
  <c r="D749" i="32" s="1"/>
  <c r="R1789" i="32" a="1"/>
  <c r="R1789" i="32" s="1"/>
  <c r="D1789" i="32" s="1"/>
  <c r="R689" i="32" a="1"/>
  <c r="R689" i="32" s="1"/>
  <c r="D689" i="32" s="1"/>
  <c r="R687" i="32" a="1"/>
  <c r="R687" i="32" s="1"/>
  <c r="D687" i="32" s="1"/>
  <c r="R951" i="32" a="1"/>
  <c r="R951" i="32" s="1"/>
  <c r="D951" i="32" s="1"/>
  <c r="R957" i="32" a="1"/>
  <c r="R957" i="32" s="1"/>
  <c r="D957" i="32" s="1"/>
  <c r="R933" i="32" a="1"/>
  <c r="R933" i="32" s="1"/>
  <c r="D933" i="32" s="1"/>
  <c r="R755" i="32" a="1"/>
  <c r="R755" i="32" s="1"/>
  <c r="D755" i="32" s="1"/>
  <c r="R739" i="32" a="1"/>
  <c r="R739" i="32" s="1"/>
  <c r="D739" i="32" s="1"/>
  <c r="R869" i="32" a="1"/>
  <c r="R869" i="32" s="1"/>
  <c r="D869" i="32" s="1"/>
  <c r="R1715" i="32" a="1"/>
  <c r="R1715" i="32" s="1"/>
  <c r="D1715" i="32" s="1"/>
  <c r="R945" i="32" a="1"/>
  <c r="R945" i="32" s="1"/>
  <c r="D945" i="32" s="1"/>
  <c r="R943" i="32" a="1"/>
  <c r="R943" i="32" s="1"/>
  <c r="D943" i="32" s="1"/>
  <c r="R711" i="32" a="1"/>
  <c r="R711" i="32" s="1"/>
  <c r="D711" i="32" s="1"/>
  <c r="R1767" i="32" a="1"/>
  <c r="R1767" i="32" s="1"/>
  <c r="D1767" i="32" s="1"/>
  <c r="R1693" i="32" a="1"/>
  <c r="R1693" i="32" s="1"/>
  <c r="D1693" i="32" s="1"/>
  <c r="R821" i="32" a="1"/>
  <c r="R821" i="32" s="1"/>
  <c r="D821" i="32" s="1"/>
  <c r="R713" i="32" a="1"/>
  <c r="R713" i="32" s="1"/>
  <c r="D713" i="32" s="1"/>
  <c r="R1747" i="32" a="1"/>
  <c r="R1747" i="32" s="1"/>
  <c r="D1747" i="32" s="1"/>
  <c r="R1761" i="32" a="1"/>
  <c r="R1761" i="32" s="1"/>
  <c r="D1761" i="32" s="1"/>
  <c r="R1777" i="32" a="1"/>
  <c r="R1777" i="32" s="1"/>
  <c r="D1777" i="32" s="1"/>
  <c r="R715" i="32" a="1"/>
  <c r="R715" i="32" s="1"/>
  <c r="D715" i="32" s="1"/>
  <c r="R1751" i="32" a="1"/>
  <c r="R1751" i="32" s="1"/>
  <c r="D1751" i="32" s="1"/>
  <c r="R759" i="32" a="1"/>
  <c r="R759" i="32" s="1"/>
  <c r="D759" i="32" s="1"/>
  <c r="R719" i="32" a="1"/>
  <c r="R719" i="32" s="1"/>
  <c r="D719" i="32" s="1"/>
  <c r="R921" i="32" a="1"/>
  <c r="R921" i="32" s="1"/>
  <c r="D921" i="32" s="1"/>
  <c r="R697" i="32" a="1"/>
  <c r="R697" i="32" s="1"/>
  <c r="D697" i="32" s="1"/>
  <c r="R1661" i="32" a="1"/>
  <c r="R1661" i="32" s="1"/>
  <c r="D1661" i="32" s="1"/>
  <c r="R953" i="32" a="1"/>
  <c r="R953" i="32" s="1"/>
  <c r="D953" i="32" s="1"/>
  <c r="R733" i="32" a="1"/>
  <c r="R733" i="32" s="1"/>
  <c r="D733" i="32" s="1"/>
  <c r="R1689" i="32" a="1"/>
  <c r="R1689" i="32" s="1"/>
  <c r="D1689" i="32" s="1"/>
  <c r="R1717" i="32" a="1"/>
  <c r="R1717" i="32" s="1"/>
  <c r="D1717" i="32" s="1"/>
  <c r="R1733" i="32" a="1"/>
  <c r="R1733" i="32" s="1"/>
  <c r="D1733" i="32" s="1"/>
  <c r="R721" i="32" a="1"/>
  <c r="R721" i="32" s="1"/>
  <c r="D721" i="32" s="1"/>
  <c r="R705" i="32" a="1"/>
  <c r="R705" i="32" s="1"/>
  <c r="D705" i="32" s="1"/>
  <c r="R871" i="32" a="1"/>
  <c r="R871" i="32" s="1"/>
  <c r="D871" i="32" s="1"/>
  <c r="R1707" i="32" a="1"/>
  <c r="R1707" i="32" s="1"/>
  <c r="D1707" i="32" s="1"/>
  <c r="R1673" i="32" a="1"/>
  <c r="R1673" i="32" s="1"/>
  <c r="D1673" i="32" s="1"/>
  <c r="R1695" i="32" a="1"/>
  <c r="R1695" i="32" s="1"/>
  <c r="D1695" i="32" s="1"/>
  <c r="R925" i="32" a="1"/>
  <c r="R925" i="32" s="1"/>
  <c r="D925" i="32" s="1"/>
  <c r="R1675" i="32" a="1"/>
  <c r="R1675" i="32" s="1"/>
  <c r="D1675" i="32" s="1"/>
  <c r="R937" i="32" a="1"/>
  <c r="R937" i="32" s="1"/>
  <c r="D937" i="32" s="1"/>
  <c r="R1659" i="32" a="1"/>
  <c r="R1659" i="32" s="1"/>
  <c r="D1659" i="32" s="1"/>
  <c r="R1719" i="32" a="1"/>
  <c r="R1719" i="32" s="1"/>
  <c r="D1719" i="32" s="1"/>
  <c r="R1709" i="32" a="1"/>
  <c r="R1709" i="32" s="1"/>
  <c r="D1709" i="32" s="1"/>
  <c r="R883" i="32" a="1"/>
  <c r="R883" i="32" s="1"/>
  <c r="D883" i="32" s="1"/>
  <c r="R1795" i="32" a="1"/>
  <c r="R1795" i="32" s="1"/>
  <c r="D1795" i="32" s="1"/>
  <c r="R903" i="32" a="1"/>
  <c r="R903" i="32" s="1"/>
  <c r="D903" i="32" s="1"/>
  <c r="R895" i="32" a="1"/>
  <c r="R895" i="32" s="1"/>
  <c r="D895" i="32" s="1"/>
  <c r="R683" i="32" a="1"/>
  <c r="R683" i="32" s="1"/>
  <c r="D683" i="32" s="1"/>
  <c r="R1765" i="32" a="1"/>
  <c r="R1765" i="32" s="1"/>
  <c r="D1765" i="32" s="1"/>
  <c r="R729" i="32" a="1"/>
  <c r="R729" i="32" s="1"/>
  <c r="D729" i="32" s="1"/>
  <c r="R1685" i="32" a="1"/>
  <c r="R1685" i="32" s="1"/>
  <c r="D1685" i="32" s="1"/>
  <c r="R1699" i="32" a="1"/>
  <c r="R1699" i="32" s="1"/>
  <c r="D1699" i="32" s="1"/>
  <c r="R893" i="32" a="1"/>
  <c r="R893" i="32" s="1"/>
  <c r="D893" i="32" s="1"/>
  <c r="R1681" i="32" a="1"/>
  <c r="R1681" i="32" s="1"/>
  <c r="D1681" i="32" s="1"/>
  <c r="R725" i="32" a="1"/>
  <c r="R725" i="32" s="1"/>
  <c r="D725" i="32" s="1"/>
  <c r="R679" i="32" a="1"/>
  <c r="R679" i="32" s="1"/>
  <c r="D679" i="32" s="1"/>
  <c r="R727" i="32" a="1"/>
  <c r="R727" i="32" s="1"/>
  <c r="D727" i="32" s="1"/>
  <c r="R1711" i="32" a="1"/>
  <c r="R1711" i="32" s="1"/>
  <c r="D1711" i="32" s="1"/>
  <c r="R889" i="32" a="1"/>
  <c r="R889" i="32" s="1"/>
  <c r="D889" i="32" s="1"/>
  <c r="R1813" i="32" a="1"/>
  <c r="R1813" i="32" s="1"/>
  <c r="D1813" i="32" s="1"/>
  <c r="R1807" i="32" a="1"/>
  <c r="R1807" i="32" s="1"/>
  <c r="D1807" i="32" s="1"/>
  <c r="R1667" i="32" a="1"/>
  <c r="R1667" i="32" s="1"/>
  <c r="D1667" i="32" s="1"/>
  <c r="R703" i="32" a="1"/>
  <c r="R703" i="32" s="1"/>
  <c r="D703" i="32" s="1"/>
  <c r="R1801" i="32" a="1"/>
  <c r="R1801" i="32" s="1"/>
  <c r="D1801" i="32" s="1"/>
  <c r="R1691" i="32" a="1"/>
  <c r="R1691" i="32" s="1"/>
  <c r="D1691" i="32" s="1"/>
  <c r="R685" i="32" a="1"/>
  <c r="R685" i="32" s="1"/>
  <c r="D685" i="32" s="1"/>
  <c r="R879" i="32" a="1"/>
  <c r="R879" i="32" s="1"/>
  <c r="D879" i="32" s="1"/>
  <c r="R677" i="32" a="1"/>
  <c r="R677" i="32" s="1"/>
  <c r="D677" i="32" s="1"/>
  <c r="R1779" i="32" a="1"/>
  <c r="R1779" i="32" s="1"/>
  <c r="D1779" i="32" s="1"/>
  <c r="R1703" i="32" a="1"/>
  <c r="R1703" i="32" s="1"/>
  <c r="D1703" i="32" s="1"/>
  <c r="R675" i="32" a="1"/>
  <c r="R675" i="32" s="1"/>
  <c r="D675" i="32" s="1"/>
  <c r="R1671" i="32" a="1"/>
  <c r="R1671" i="32" s="1"/>
  <c r="D1671" i="32" s="1"/>
  <c r="R917" i="32" a="1"/>
  <c r="R917" i="32" s="1"/>
  <c r="D917" i="32" s="1"/>
  <c r="R1819" i="32" a="1"/>
  <c r="R1819" i="32" s="1"/>
  <c r="D1819" i="32" s="1"/>
  <c r="V907" i="32" a="1"/>
  <c r="V907" i="32" s="1"/>
  <c r="L907" i="32" s="1"/>
  <c r="V1701" i="32" a="1"/>
  <c r="V1701" i="32" s="1"/>
  <c r="L1701" i="32" s="1"/>
  <c r="V1663" i="32" a="1"/>
  <c r="V1663" i="32" s="1"/>
  <c r="L1663" i="32" s="1"/>
  <c r="V947" i="32" a="1"/>
  <c r="V947" i="32" s="1"/>
  <c r="L947" i="32" s="1"/>
  <c r="V923" i="32" a="1"/>
  <c r="V923" i="32" s="1"/>
  <c r="L923" i="32" s="1"/>
  <c r="V1781" i="32" a="1"/>
  <c r="V1781" i="32" s="1"/>
  <c r="L1781" i="32" s="1"/>
  <c r="V1737" i="32" a="1"/>
  <c r="V1737" i="32" s="1"/>
  <c r="L1737" i="32" s="1"/>
  <c r="V891" i="32" a="1"/>
  <c r="V891" i="32" s="1"/>
  <c r="L891" i="32" s="1"/>
  <c r="V909" i="32" a="1"/>
  <c r="V909" i="32" s="1"/>
  <c r="L909" i="32" s="1"/>
  <c r="V723" i="32" a="1"/>
  <c r="V723" i="32" s="1"/>
  <c r="L723" i="32" s="1"/>
  <c r="V1769" i="32" a="1"/>
  <c r="V1769" i="32" s="1"/>
  <c r="L1769" i="32" s="1"/>
  <c r="V875" i="32" a="1"/>
  <c r="V875" i="32" s="1"/>
  <c r="L875" i="32" s="1"/>
  <c r="V701" i="32" a="1"/>
  <c r="V701" i="32" s="1"/>
  <c r="L701" i="32" s="1"/>
  <c r="V1809" i="32" a="1"/>
  <c r="V1809" i="32" s="1"/>
  <c r="L1809" i="32" s="1"/>
  <c r="V745" i="32" a="1"/>
  <c r="V745" i="32" s="1"/>
  <c r="L745" i="32" s="1"/>
  <c r="V1739" i="32" a="1"/>
  <c r="V1739" i="32" s="1"/>
  <c r="L1739" i="32" s="1"/>
  <c r="V735" i="32" a="1"/>
  <c r="V735" i="32" s="1"/>
  <c r="L735" i="32" s="1"/>
  <c r="V1793" i="32" a="1"/>
  <c r="V1793" i="32" s="1"/>
  <c r="L1793" i="32" s="1"/>
  <c r="V761" i="32" a="1"/>
  <c r="V761" i="32" s="1"/>
  <c r="L761" i="32" s="1"/>
  <c r="V949" i="32" a="1"/>
  <c r="V949" i="32" s="1"/>
  <c r="L949" i="32" s="1"/>
  <c r="V1727" i="32" a="1"/>
  <c r="V1727" i="32" s="1"/>
  <c r="L1727" i="32" s="1"/>
  <c r="V901" i="32" a="1"/>
  <c r="V901" i="32" s="1"/>
  <c r="L901" i="32" s="1"/>
  <c r="V1785" i="32" a="1"/>
  <c r="V1785" i="32" s="1"/>
  <c r="L1785" i="32" s="1"/>
  <c r="V669" i="32" a="1"/>
  <c r="V669" i="32" s="1"/>
  <c r="L669" i="32" s="1"/>
  <c r="V897" i="32" a="1"/>
  <c r="V897" i="32" s="1"/>
  <c r="L897" i="32" s="1"/>
  <c r="V1721" i="32" a="1"/>
  <c r="V1721" i="32" s="1"/>
  <c r="L1721" i="32" s="1"/>
  <c r="V927" i="32" a="1"/>
  <c r="V927" i="32" s="1"/>
  <c r="L927" i="32" s="1"/>
  <c r="V699" i="32" a="1"/>
  <c r="V699" i="32" s="1"/>
  <c r="L699" i="32" s="1"/>
  <c r="V935" i="32" a="1"/>
  <c r="V935" i="32" s="1"/>
  <c r="L935" i="32" s="1"/>
  <c r="V865" i="32" a="1"/>
  <c r="V865" i="32" s="1"/>
  <c r="L865" i="32" s="1"/>
  <c r="V1665" i="32" a="1"/>
  <c r="V1665" i="32" s="1"/>
  <c r="L1665" i="32" s="1"/>
  <c r="V1755" i="32" a="1"/>
  <c r="V1755" i="32" s="1"/>
  <c r="L1755" i="32" s="1"/>
  <c r="V749" i="32" a="1"/>
  <c r="V749" i="32" s="1"/>
  <c r="L749" i="32" s="1"/>
  <c r="V1789" i="32" a="1"/>
  <c r="V1789" i="32" s="1"/>
  <c r="L1789" i="32" s="1"/>
  <c r="V689" i="32" a="1"/>
  <c r="V689" i="32" s="1"/>
  <c r="L689" i="32" s="1"/>
  <c r="V687" i="32" a="1"/>
  <c r="V687" i="32" s="1"/>
  <c r="L687" i="32" s="1"/>
  <c r="V951" i="32" a="1"/>
  <c r="V951" i="32" s="1"/>
  <c r="L951" i="32" s="1"/>
  <c r="V957" i="32" a="1"/>
  <c r="V957" i="32" s="1"/>
  <c r="L957" i="32" s="1"/>
  <c r="V933" i="32" a="1"/>
  <c r="V933" i="32" s="1"/>
  <c r="L933" i="32" s="1"/>
  <c r="V755" i="32" a="1"/>
  <c r="V755" i="32" s="1"/>
  <c r="L755" i="32" s="1"/>
  <c r="V739" i="32" a="1"/>
  <c r="V739" i="32" s="1"/>
  <c r="L739" i="32" s="1"/>
  <c r="V869" i="32" a="1"/>
  <c r="V869" i="32" s="1"/>
  <c r="L869" i="32" s="1"/>
  <c r="V1715" i="32" a="1"/>
  <c r="V1715" i="32" s="1"/>
  <c r="L1715" i="32" s="1"/>
  <c r="V945" i="32" a="1"/>
  <c r="V945" i="32" s="1"/>
  <c r="L945" i="32" s="1"/>
  <c r="V943" i="32" a="1"/>
  <c r="V943" i="32" s="1"/>
  <c r="L943" i="32" s="1"/>
  <c r="V711" i="32" a="1"/>
  <c r="V711" i="32" s="1"/>
  <c r="L711" i="32" s="1"/>
  <c r="V1767" i="32" a="1"/>
  <c r="V1767" i="32" s="1"/>
  <c r="L1767" i="32" s="1"/>
  <c r="V1693" i="32" a="1"/>
  <c r="V1693" i="32" s="1"/>
  <c r="L1693" i="32" s="1"/>
  <c r="V821" i="32" a="1"/>
  <c r="V821" i="32" s="1"/>
  <c r="L821" i="32" s="1"/>
  <c r="V713" i="32" a="1"/>
  <c r="V713" i="32" s="1"/>
  <c r="L713" i="32" s="1"/>
  <c r="V1747" i="32" a="1"/>
  <c r="V1747" i="32" s="1"/>
  <c r="L1747" i="32" s="1"/>
  <c r="V1761" i="32" a="1"/>
  <c r="V1761" i="32" s="1"/>
  <c r="L1761" i="32" s="1"/>
  <c r="V1777" i="32" a="1"/>
  <c r="V1777" i="32" s="1"/>
  <c r="L1777" i="32" s="1"/>
  <c r="V715" i="32" a="1"/>
  <c r="V715" i="32" s="1"/>
  <c r="L715" i="32" s="1"/>
  <c r="V1751" i="32" a="1"/>
  <c r="V1751" i="32" s="1"/>
  <c r="L1751" i="32" s="1"/>
  <c r="V759" i="32" a="1"/>
  <c r="V759" i="32" s="1"/>
  <c r="L759" i="32" s="1"/>
  <c r="V719" i="32" a="1"/>
  <c r="V719" i="32" s="1"/>
  <c r="L719" i="32" s="1"/>
  <c r="V921" i="32" a="1"/>
  <c r="V921" i="32" s="1"/>
  <c r="L921" i="32" s="1"/>
  <c r="V697" i="32" a="1"/>
  <c r="V697" i="32" s="1"/>
  <c r="L697" i="32" s="1"/>
  <c r="V1661" i="32" a="1"/>
  <c r="V1661" i="32" s="1"/>
  <c r="L1661" i="32" s="1"/>
  <c r="V953" i="32" a="1"/>
  <c r="V953" i="32" s="1"/>
  <c r="L953" i="32" s="1"/>
  <c r="V733" i="32" a="1"/>
  <c r="V733" i="32" s="1"/>
  <c r="L733" i="32" s="1"/>
  <c r="V1689" i="32" a="1"/>
  <c r="V1689" i="32" s="1"/>
  <c r="L1689" i="32" s="1"/>
  <c r="V1717" i="32" a="1"/>
  <c r="V1717" i="32" s="1"/>
  <c r="L1717" i="32" s="1"/>
  <c r="V1733" i="32" a="1"/>
  <c r="V1733" i="32" s="1"/>
  <c r="L1733" i="32" s="1"/>
  <c r="V721" i="32" a="1"/>
  <c r="V721" i="32" s="1"/>
  <c r="L721" i="32" s="1"/>
  <c r="V705" i="32" a="1"/>
  <c r="V705" i="32" s="1"/>
  <c r="L705" i="32" s="1"/>
  <c r="V871" i="32" a="1"/>
  <c r="V871" i="32" s="1"/>
  <c r="L871" i="32" s="1"/>
  <c r="V1707" i="32" a="1"/>
  <c r="V1707" i="32" s="1"/>
  <c r="L1707" i="32" s="1"/>
  <c r="V1673" i="32" a="1"/>
  <c r="V1673" i="32" s="1"/>
  <c r="L1673" i="32" s="1"/>
  <c r="V1695" i="32" a="1"/>
  <c r="V1695" i="32" s="1"/>
  <c r="L1695" i="32" s="1"/>
  <c r="V925" i="32" a="1"/>
  <c r="V925" i="32" s="1"/>
  <c r="L925" i="32" s="1"/>
  <c r="V1675" i="32" a="1"/>
  <c r="V1675" i="32" s="1"/>
  <c r="L1675" i="32" s="1"/>
  <c r="V937" i="32" a="1"/>
  <c r="V937" i="32" s="1"/>
  <c r="L937" i="32" s="1"/>
  <c r="V1659" i="32" a="1"/>
  <c r="V1659" i="32" s="1"/>
  <c r="L1659" i="32" s="1"/>
  <c r="V1719" i="32" a="1"/>
  <c r="V1719" i="32" s="1"/>
  <c r="L1719" i="32" s="1"/>
  <c r="V1709" i="32" a="1"/>
  <c r="V1709" i="32" s="1"/>
  <c r="L1709" i="32" s="1"/>
  <c r="V883" i="32" a="1"/>
  <c r="V883" i="32" s="1"/>
  <c r="L883" i="32" s="1"/>
  <c r="V1795" i="32" a="1"/>
  <c r="V1795" i="32" s="1"/>
  <c r="L1795" i="32" s="1"/>
  <c r="V903" i="32" a="1"/>
  <c r="V903" i="32" s="1"/>
  <c r="L903" i="32" s="1"/>
  <c r="V895" i="32" a="1"/>
  <c r="V895" i="32" s="1"/>
  <c r="L895" i="32" s="1"/>
  <c r="V683" i="32" a="1"/>
  <c r="V683" i="32" s="1"/>
  <c r="L683" i="32" s="1"/>
  <c r="V1765" i="32" a="1"/>
  <c r="V1765" i="32" s="1"/>
  <c r="L1765" i="32" s="1"/>
  <c r="V729" i="32" a="1"/>
  <c r="V729" i="32" s="1"/>
  <c r="L729" i="32" s="1"/>
  <c r="V1685" i="32" a="1"/>
  <c r="V1685" i="32" s="1"/>
  <c r="L1685" i="32" s="1"/>
  <c r="V1699" i="32" a="1"/>
  <c r="V1699" i="32" s="1"/>
  <c r="L1699" i="32" s="1"/>
  <c r="V893" i="32" a="1"/>
  <c r="V893" i="32" s="1"/>
  <c r="L893" i="32" s="1"/>
  <c r="V1681" i="32" a="1"/>
  <c r="V1681" i="32" s="1"/>
  <c r="L1681" i="32" s="1"/>
  <c r="V725" i="32" a="1"/>
  <c r="V725" i="32" s="1"/>
  <c r="L725" i="32" s="1"/>
  <c r="V679" i="32" a="1"/>
  <c r="V679" i="32" s="1"/>
  <c r="L679" i="32" s="1"/>
  <c r="V727" i="32" a="1"/>
  <c r="V727" i="32" s="1"/>
  <c r="L727" i="32" s="1"/>
  <c r="V1711" i="32" a="1"/>
  <c r="V1711" i="32" s="1"/>
  <c r="L1711" i="32" s="1"/>
  <c r="V889" i="32" a="1"/>
  <c r="V889" i="32" s="1"/>
  <c r="L889" i="32" s="1"/>
  <c r="V1813" i="32" a="1"/>
  <c r="V1813" i="32" s="1"/>
  <c r="L1813" i="32" s="1"/>
  <c r="V1807" i="32" a="1"/>
  <c r="V1807" i="32" s="1"/>
  <c r="L1807" i="32" s="1"/>
  <c r="V1667" i="32" a="1"/>
  <c r="V1667" i="32" s="1"/>
  <c r="L1667" i="32" s="1"/>
  <c r="V703" i="32" a="1"/>
  <c r="V703" i="32" s="1"/>
  <c r="L703" i="32" s="1"/>
  <c r="V1801" i="32" a="1"/>
  <c r="V1801" i="32" s="1"/>
  <c r="L1801" i="32" s="1"/>
  <c r="V1691" i="32" a="1"/>
  <c r="V1691" i="32" s="1"/>
  <c r="L1691" i="32" s="1"/>
  <c r="V685" i="32" a="1"/>
  <c r="V685" i="32" s="1"/>
  <c r="L685" i="32" s="1"/>
  <c r="V879" i="32" a="1"/>
  <c r="V879" i="32" s="1"/>
  <c r="L879" i="32" s="1"/>
  <c r="V677" i="32" a="1"/>
  <c r="V677" i="32" s="1"/>
  <c r="L677" i="32" s="1"/>
  <c r="V1779" i="32" a="1"/>
  <c r="V1779" i="32" s="1"/>
  <c r="L1779" i="32" s="1"/>
  <c r="V1703" i="32" a="1"/>
  <c r="V1703" i="32" s="1"/>
  <c r="L1703" i="32" s="1"/>
  <c r="V675" i="32" a="1"/>
  <c r="V675" i="32" s="1"/>
  <c r="L675" i="32" s="1"/>
  <c r="V1671" i="32" a="1"/>
  <c r="V1671" i="32" s="1"/>
  <c r="L1671" i="32" s="1"/>
  <c r="V917" i="32" a="1"/>
  <c r="V917" i="32" s="1"/>
  <c r="L917" i="32" s="1"/>
  <c r="V1819" i="32" a="1"/>
  <c r="V1819" i="32" s="1"/>
  <c r="L1819" i="32" s="1"/>
  <c r="V867" i="32" a="1"/>
  <c r="V867" i="32" s="1"/>
  <c r="L867" i="32" s="1"/>
  <c r="V863" i="32" a="1"/>
  <c r="V863" i="32" s="1"/>
  <c r="L863" i="32" s="1"/>
  <c r="T867" i="32" a="1"/>
  <c r="T867" i="32" s="1"/>
  <c r="T863" i="32" a="1"/>
  <c r="T863" i="32" s="1"/>
  <c r="T907" i="32" a="1"/>
  <c r="T907" i="32" s="1"/>
  <c r="T1701" i="32" a="1"/>
  <c r="T1701" i="32" s="1"/>
  <c r="T1663" i="32" a="1"/>
  <c r="T1663" i="32" s="1"/>
  <c r="T947" i="32" a="1"/>
  <c r="T947" i="32" s="1"/>
  <c r="T923" i="32" a="1"/>
  <c r="T923" i="32" s="1"/>
  <c r="T1781" i="32" a="1"/>
  <c r="T1781" i="32" s="1"/>
  <c r="T1737" i="32" a="1"/>
  <c r="T1737" i="32" s="1"/>
  <c r="T891" i="32" a="1"/>
  <c r="T891" i="32" s="1"/>
  <c r="T909" i="32" a="1"/>
  <c r="T909" i="32" s="1"/>
  <c r="T723" i="32" a="1"/>
  <c r="T723" i="32" s="1"/>
  <c r="T1769" i="32" a="1"/>
  <c r="T1769" i="32" s="1"/>
  <c r="T875" i="32" a="1"/>
  <c r="T875" i="32" s="1"/>
  <c r="T701" i="32" a="1"/>
  <c r="T701" i="32" s="1"/>
  <c r="T1809" i="32" a="1"/>
  <c r="T1809" i="32" s="1"/>
  <c r="T745" i="32" a="1"/>
  <c r="T745" i="32" s="1"/>
  <c r="T1739" i="32" a="1"/>
  <c r="T1739" i="32" s="1"/>
  <c r="T735" i="32" a="1"/>
  <c r="T735" i="32" s="1"/>
  <c r="T1793" i="32" a="1"/>
  <c r="T1793" i="32" s="1"/>
  <c r="T761" i="32" a="1"/>
  <c r="T761" i="32" s="1"/>
  <c r="T949" i="32" a="1"/>
  <c r="T949" i="32" s="1"/>
  <c r="T1727" i="32" a="1"/>
  <c r="T1727" i="32" s="1"/>
  <c r="T901" i="32" a="1"/>
  <c r="T901" i="32" s="1"/>
  <c r="T1785" i="32" a="1"/>
  <c r="T1785" i="32" s="1"/>
  <c r="T669" i="32" a="1"/>
  <c r="T669" i="32" s="1"/>
  <c r="T897" i="32" a="1"/>
  <c r="T897" i="32" s="1"/>
  <c r="T1721" i="32" a="1"/>
  <c r="T1721" i="32" s="1"/>
  <c r="T927" i="32" a="1"/>
  <c r="T927" i="32" s="1"/>
  <c r="T699" i="32" a="1"/>
  <c r="T699" i="32" s="1"/>
  <c r="T935" i="32" a="1"/>
  <c r="T935" i="32" s="1"/>
  <c r="T865" i="32" a="1"/>
  <c r="T865" i="32" s="1"/>
  <c r="T1665" i="32" a="1"/>
  <c r="T1665" i="32" s="1"/>
  <c r="T1755" i="32" a="1"/>
  <c r="T1755" i="32" s="1"/>
  <c r="T749" i="32" a="1"/>
  <c r="T749" i="32" s="1"/>
  <c r="T1789" i="32" a="1"/>
  <c r="T1789" i="32" s="1"/>
  <c r="T689" i="32" a="1"/>
  <c r="T689" i="32" s="1"/>
  <c r="T687" i="32" a="1"/>
  <c r="T687" i="32" s="1"/>
  <c r="T951" i="32" a="1"/>
  <c r="T951" i="32" s="1"/>
  <c r="T957" i="32" a="1"/>
  <c r="T957" i="32" s="1"/>
  <c r="T933" i="32" a="1"/>
  <c r="T933" i="32" s="1"/>
  <c r="T755" i="32" a="1"/>
  <c r="T755" i="32" s="1"/>
  <c r="T739" i="32" a="1"/>
  <c r="T739" i="32" s="1"/>
  <c r="T869" i="32" a="1"/>
  <c r="T869" i="32" s="1"/>
  <c r="T1715" i="32" a="1"/>
  <c r="T1715" i="32" s="1"/>
  <c r="T945" i="32" a="1"/>
  <c r="T945" i="32" s="1"/>
  <c r="T943" i="32" a="1"/>
  <c r="T943" i="32" s="1"/>
  <c r="T711" i="32" a="1"/>
  <c r="T711" i="32" s="1"/>
  <c r="T1767" i="32" a="1"/>
  <c r="T1767" i="32" s="1"/>
  <c r="T1693" i="32" a="1"/>
  <c r="T1693" i="32" s="1"/>
  <c r="T821" i="32" a="1"/>
  <c r="T821" i="32" s="1"/>
  <c r="T713" i="32" a="1"/>
  <c r="T713" i="32" s="1"/>
  <c r="T1747" i="32" a="1"/>
  <c r="T1747" i="32" s="1"/>
  <c r="T1761" i="32" a="1"/>
  <c r="T1761" i="32" s="1"/>
  <c r="T1777" i="32" a="1"/>
  <c r="T1777" i="32" s="1"/>
  <c r="T715" i="32" a="1"/>
  <c r="T715" i="32" s="1"/>
  <c r="T1751" i="32" a="1"/>
  <c r="T1751" i="32" s="1"/>
  <c r="T759" i="32" a="1"/>
  <c r="T759" i="32" s="1"/>
  <c r="T719" i="32" a="1"/>
  <c r="T719" i="32" s="1"/>
  <c r="T921" i="32" a="1"/>
  <c r="T921" i="32" s="1"/>
  <c r="T697" i="32" a="1"/>
  <c r="T697" i="32" s="1"/>
  <c r="T1661" i="32" a="1"/>
  <c r="T1661" i="32" s="1"/>
  <c r="T953" i="32" a="1"/>
  <c r="T953" i="32" s="1"/>
  <c r="T733" i="32" a="1"/>
  <c r="T733" i="32" s="1"/>
  <c r="T1689" i="32" a="1"/>
  <c r="T1689" i="32" s="1"/>
  <c r="T1717" i="32" a="1"/>
  <c r="T1717" i="32" s="1"/>
  <c r="T1733" i="32" a="1"/>
  <c r="T1733" i="32" s="1"/>
  <c r="T721" i="32" a="1"/>
  <c r="T721" i="32" s="1"/>
  <c r="T705" i="32" a="1"/>
  <c r="T705" i="32" s="1"/>
  <c r="T871" i="32" a="1"/>
  <c r="T871" i="32" s="1"/>
  <c r="T1707" i="32" a="1"/>
  <c r="T1707" i="32" s="1"/>
  <c r="T1673" i="32" a="1"/>
  <c r="T1673" i="32" s="1"/>
  <c r="T1695" i="32" a="1"/>
  <c r="T1695" i="32" s="1"/>
  <c r="T925" i="32" a="1"/>
  <c r="T925" i="32" s="1"/>
  <c r="T1675" i="32" a="1"/>
  <c r="T1675" i="32" s="1"/>
  <c r="T937" i="32" a="1"/>
  <c r="T937" i="32" s="1"/>
  <c r="T1659" i="32" a="1"/>
  <c r="T1659" i="32" s="1"/>
  <c r="T1719" i="32" a="1"/>
  <c r="T1719" i="32" s="1"/>
  <c r="T1709" i="32" a="1"/>
  <c r="T1709" i="32" s="1"/>
  <c r="T883" i="32" a="1"/>
  <c r="T883" i="32" s="1"/>
  <c r="T1795" i="32" a="1"/>
  <c r="T1795" i="32" s="1"/>
  <c r="T903" i="32" a="1"/>
  <c r="T903" i="32" s="1"/>
  <c r="T895" i="32" a="1"/>
  <c r="T895" i="32" s="1"/>
  <c r="T683" i="32" a="1"/>
  <c r="T683" i="32" s="1"/>
  <c r="T1765" i="32" a="1"/>
  <c r="T1765" i="32" s="1"/>
  <c r="T729" i="32" a="1"/>
  <c r="T729" i="32" s="1"/>
  <c r="T1685" i="32" a="1"/>
  <c r="T1685" i="32" s="1"/>
  <c r="T1699" i="32" a="1"/>
  <c r="T1699" i="32" s="1"/>
  <c r="T893" i="32" a="1"/>
  <c r="T893" i="32" s="1"/>
  <c r="T1681" i="32" a="1"/>
  <c r="T1681" i="32" s="1"/>
  <c r="T725" i="32" a="1"/>
  <c r="T725" i="32" s="1"/>
  <c r="T679" i="32" a="1"/>
  <c r="T679" i="32" s="1"/>
  <c r="T727" i="32" a="1"/>
  <c r="T727" i="32" s="1"/>
  <c r="T1711" i="32" a="1"/>
  <c r="T1711" i="32" s="1"/>
  <c r="T889" i="32" a="1"/>
  <c r="T889" i="32" s="1"/>
  <c r="T1813" i="32" a="1"/>
  <c r="T1813" i="32" s="1"/>
  <c r="T1807" i="32" a="1"/>
  <c r="T1807" i="32" s="1"/>
  <c r="T1667" i="32" a="1"/>
  <c r="T1667" i="32" s="1"/>
  <c r="T703" i="32" a="1"/>
  <c r="T703" i="32" s="1"/>
  <c r="T1801" i="32" a="1"/>
  <c r="T1801" i="32" s="1"/>
  <c r="T1691" i="32" a="1"/>
  <c r="T1691" i="32" s="1"/>
  <c r="T685" i="32" a="1"/>
  <c r="T685" i="32" s="1"/>
  <c r="T879" i="32" a="1"/>
  <c r="T879" i="32" s="1"/>
  <c r="T677" i="32" a="1"/>
  <c r="T677" i="32" s="1"/>
  <c r="T1779" i="32" a="1"/>
  <c r="T1779" i="32" s="1"/>
  <c r="T1703" i="32" a="1"/>
  <c r="T1703" i="32" s="1"/>
  <c r="T675" i="32" a="1"/>
  <c r="T675" i="32" s="1"/>
  <c r="T1671" i="32" a="1"/>
  <c r="T1671" i="32" s="1"/>
  <c r="T917" i="32" a="1"/>
  <c r="T917" i="32" s="1"/>
  <c r="T1819" i="32" a="1"/>
  <c r="T1819" i="32" s="1"/>
  <c r="S907" i="32" a="1"/>
  <c r="S907" i="32" s="1"/>
  <c r="E907" i="32" s="1"/>
  <c r="S1701" i="32" a="1"/>
  <c r="S1701" i="32" s="1"/>
  <c r="E1701" i="32" s="1"/>
  <c r="S1663" i="32" a="1"/>
  <c r="S1663" i="32" s="1"/>
  <c r="E1663" i="32" s="1"/>
  <c r="S947" i="32" a="1"/>
  <c r="S947" i="32" s="1"/>
  <c r="E947" i="32" s="1"/>
  <c r="S923" i="32" a="1"/>
  <c r="S923" i="32" s="1"/>
  <c r="E923" i="32" s="1"/>
  <c r="S1781" i="32" a="1"/>
  <c r="S1781" i="32" s="1"/>
  <c r="E1781" i="32" s="1"/>
  <c r="S1737" i="32" a="1"/>
  <c r="S1737" i="32" s="1"/>
  <c r="E1737" i="32" s="1"/>
  <c r="S891" i="32" a="1"/>
  <c r="S891" i="32" s="1"/>
  <c r="E891" i="32" s="1"/>
  <c r="S909" i="32" a="1"/>
  <c r="S909" i="32" s="1"/>
  <c r="E909" i="32" s="1"/>
  <c r="S723" i="32" a="1"/>
  <c r="S723" i="32" s="1"/>
  <c r="E723" i="32" s="1"/>
  <c r="S1769" i="32" a="1"/>
  <c r="S1769" i="32" s="1"/>
  <c r="E1769" i="32" s="1"/>
  <c r="S875" i="32" a="1"/>
  <c r="S875" i="32" s="1"/>
  <c r="E875" i="32" s="1"/>
  <c r="S701" i="32" a="1"/>
  <c r="S701" i="32" s="1"/>
  <c r="E701" i="32" s="1"/>
  <c r="S1809" i="32" a="1"/>
  <c r="S1809" i="32" s="1"/>
  <c r="E1809" i="32" s="1"/>
  <c r="S745" i="32" a="1"/>
  <c r="S745" i="32" s="1"/>
  <c r="E745" i="32" s="1"/>
  <c r="S1739" i="32" a="1"/>
  <c r="S1739" i="32" s="1"/>
  <c r="E1739" i="32" s="1"/>
  <c r="S735" i="32" a="1"/>
  <c r="S735" i="32" s="1"/>
  <c r="E735" i="32" s="1"/>
  <c r="S1793" i="32" a="1"/>
  <c r="S1793" i="32" s="1"/>
  <c r="E1793" i="32" s="1"/>
  <c r="S761" i="32" a="1"/>
  <c r="S761" i="32" s="1"/>
  <c r="E761" i="32" s="1"/>
  <c r="S949" i="32" a="1"/>
  <c r="S949" i="32" s="1"/>
  <c r="E949" i="32" s="1"/>
  <c r="S1727" i="32" a="1"/>
  <c r="S1727" i="32" s="1"/>
  <c r="E1727" i="32" s="1"/>
  <c r="S901" i="32" a="1"/>
  <c r="S901" i="32" s="1"/>
  <c r="E901" i="32" s="1"/>
  <c r="S1785" i="32" a="1"/>
  <c r="S1785" i="32" s="1"/>
  <c r="E1785" i="32" s="1"/>
  <c r="S669" i="32" a="1"/>
  <c r="S669" i="32" s="1"/>
  <c r="E669" i="32" s="1"/>
  <c r="S897" i="32" a="1"/>
  <c r="S897" i="32" s="1"/>
  <c r="E897" i="32" s="1"/>
  <c r="S1721" i="32" a="1"/>
  <c r="S1721" i="32" s="1"/>
  <c r="E1721" i="32" s="1"/>
  <c r="S927" i="32" a="1"/>
  <c r="S927" i="32" s="1"/>
  <c r="E927" i="32" s="1"/>
  <c r="S699" i="32" a="1"/>
  <c r="S699" i="32" s="1"/>
  <c r="E699" i="32" s="1"/>
  <c r="S935" i="32" a="1"/>
  <c r="S935" i="32" s="1"/>
  <c r="E935" i="32" s="1"/>
  <c r="S865" i="32" a="1"/>
  <c r="S865" i="32" s="1"/>
  <c r="E865" i="32" s="1"/>
  <c r="S1665" i="32" a="1"/>
  <c r="S1665" i="32" s="1"/>
  <c r="E1665" i="32" s="1"/>
  <c r="S1755" i="32" a="1"/>
  <c r="S1755" i="32" s="1"/>
  <c r="E1755" i="32" s="1"/>
  <c r="S749" i="32" a="1"/>
  <c r="S749" i="32" s="1"/>
  <c r="E749" i="32" s="1"/>
  <c r="S1789" i="32" a="1"/>
  <c r="S1789" i="32" s="1"/>
  <c r="E1789" i="32" s="1"/>
  <c r="S689" i="32" a="1"/>
  <c r="S689" i="32" s="1"/>
  <c r="E689" i="32" s="1"/>
  <c r="S687" i="32" a="1"/>
  <c r="S687" i="32" s="1"/>
  <c r="E687" i="32" s="1"/>
  <c r="S951" i="32" a="1"/>
  <c r="S951" i="32" s="1"/>
  <c r="E951" i="32" s="1"/>
  <c r="S957" i="32" a="1"/>
  <c r="S957" i="32" s="1"/>
  <c r="E957" i="32" s="1"/>
  <c r="S933" i="32" a="1"/>
  <c r="S933" i="32" s="1"/>
  <c r="E933" i="32" s="1"/>
  <c r="S755" i="32" a="1"/>
  <c r="S755" i="32" s="1"/>
  <c r="E755" i="32" s="1"/>
  <c r="S739" i="32" a="1"/>
  <c r="S739" i="32" s="1"/>
  <c r="E739" i="32" s="1"/>
  <c r="S869" i="32" a="1"/>
  <c r="S869" i="32" s="1"/>
  <c r="E869" i="32" s="1"/>
  <c r="S1715" i="32" a="1"/>
  <c r="S1715" i="32" s="1"/>
  <c r="E1715" i="32" s="1"/>
  <c r="S945" i="32" a="1"/>
  <c r="S945" i="32" s="1"/>
  <c r="E945" i="32" s="1"/>
  <c r="S943" i="32" a="1"/>
  <c r="S943" i="32" s="1"/>
  <c r="E943" i="32" s="1"/>
  <c r="S711" i="32" a="1"/>
  <c r="S711" i="32" s="1"/>
  <c r="E711" i="32" s="1"/>
  <c r="S1767" i="32" a="1"/>
  <c r="S1767" i="32" s="1"/>
  <c r="E1767" i="32" s="1"/>
  <c r="S1693" i="32" a="1"/>
  <c r="S1693" i="32" s="1"/>
  <c r="E1693" i="32" s="1"/>
  <c r="S821" i="32" a="1"/>
  <c r="S821" i="32" s="1"/>
  <c r="E821" i="32" s="1"/>
  <c r="S713" i="32" a="1"/>
  <c r="S713" i="32" s="1"/>
  <c r="E713" i="32" s="1"/>
  <c r="S1747" i="32" a="1"/>
  <c r="S1747" i="32" s="1"/>
  <c r="E1747" i="32" s="1"/>
  <c r="S1761" i="32" a="1"/>
  <c r="S1761" i="32" s="1"/>
  <c r="E1761" i="32" s="1"/>
  <c r="S1777" i="32" a="1"/>
  <c r="S1777" i="32" s="1"/>
  <c r="E1777" i="32" s="1"/>
  <c r="S715" i="32" a="1"/>
  <c r="S715" i="32" s="1"/>
  <c r="E715" i="32" s="1"/>
  <c r="S1751" i="32" a="1"/>
  <c r="S1751" i="32" s="1"/>
  <c r="E1751" i="32" s="1"/>
  <c r="S759" i="32" a="1"/>
  <c r="S759" i="32" s="1"/>
  <c r="E759" i="32" s="1"/>
  <c r="S719" i="32" a="1"/>
  <c r="S719" i="32" s="1"/>
  <c r="E719" i="32" s="1"/>
  <c r="S921" i="32" a="1"/>
  <c r="S921" i="32" s="1"/>
  <c r="E921" i="32" s="1"/>
  <c r="S697" i="32" a="1"/>
  <c r="S697" i="32" s="1"/>
  <c r="E697" i="32" s="1"/>
  <c r="S1661" i="32" a="1"/>
  <c r="S1661" i="32" s="1"/>
  <c r="E1661" i="32" s="1"/>
  <c r="S953" i="32" a="1"/>
  <c r="S953" i="32" s="1"/>
  <c r="E953" i="32" s="1"/>
  <c r="S733" i="32" a="1"/>
  <c r="S733" i="32" s="1"/>
  <c r="E733" i="32" s="1"/>
  <c r="S1689" i="32" a="1"/>
  <c r="S1689" i="32" s="1"/>
  <c r="E1689" i="32" s="1"/>
  <c r="S1717" i="32" a="1"/>
  <c r="S1717" i="32" s="1"/>
  <c r="E1717" i="32" s="1"/>
  <c r="S1733" i="32" a="1"/>
  <c r="S1733" i="32" s="1"/>
  <c r="E1733" i="32" s="1"/>
  <c r="S721" i="32" a="1"/>
  <c r="S721" i="32" s="1"/>
  <c r="E721" i="32" s="1"/>
  <c r="S705" i="32" a="1"/>
  <c r="S705" i="32" s="1"/>
  <c r="E705" i="32" s="1"/>
  <c r="S871" i="32" a="1"/>
  <c r="S871" i="32" s="1"/>
  <c r="E871" i="32" s="1"/>
  <c r="S1707" i="32" a="1"/>
  <c r="S1707" i="32" s="1"/>
  <c r="E1707" i="32" s="1"/>
  <c r="S1673" i="32" a="1"/>
  <c r="S1673" i="32" s="1"/>
  <c r="E1673" i="32" s="1"/>
  <c r="S1695" i="32" a="1"/>
  <c r="S1695" i="32" s="1"/>
  <c r="E1695" i="32" s="1"/>
  <c r="S925" i="32" a="1"/>
  <c r="S925" i="32" s="1"/>
  <c r="E925" i="32" s="1"/>
  <c r="S1675" i="32" a="1"/>
  <c r="S1675" i="32" s="1"/>
  <c r="E1675" i="32" s="1"/>
  <c r="S937" i="32" a="1"/>
  <c r="S937" i="32" s="1"/>
  <c r="E937" i="32" s="1"/>
  <c r="S1659" i="32" a="1"/>
  <c r="S1659" i="32" s="1"/>
  <c r="E1659" i="32" s="1"/>
  <c r="S1719" i="32" a="1"/>
  <c r="S1719" i="32" s="1"/>
  <c r="E1719" i="32" s="1"/>
  <c r="S1709" i="32" a="1"/>
  <c r="S1709" i="32" s="1"/>
  <c r="E1709" i="32" s="1"/>
  <c r="S883" i="32" a="1"/>
  <c r="S883" i="32" s="1"/>
  <c r="E883" i="32" s="1"/>
  <c r="S1795" i="32" a="1"/>
  <c r="S1795" i="32" s="1"/>
  <c r="E1795" i="32" s="1"/>
  <c r="S903" i="32" a="1"/>
  <c r="S903" i="32" s="1"/>
  <c r="E903" i="32" s="1"/>
  <c r="S895" i="32" a="1"/>
  <c r="S895" i="32" s="1"/>
  <c r="E895" i="32" s="1"/>
  <c r="S683" i="32" a="1"/>
  <c r="S683" i="32" s="1"/>
  <c r="E683" i="32" s="1"/>
  <c r="S1765" i="32" a="1"/>
  <c r="S1765" i="32" s="1"/>
  <c r="E1765" i="32" s="1"/>
  <c r="S729" i="32" a="1"/>
  <c r="S729" i="32" s="1"/>
  <c r="E729" i="32" s="1"/>
  <c r="S1685" i="32" a="1"/>
  <c r="S1685" i="32" s="1"/>
  <c r="E1685" i="32" s="1"/>
  <c r="S1699" i="32" a="1"/>
  <c r="S1699" i="32" s="1"/>
  <c r="E1699" i="32" s="1"/>
  <c r="S893" i="32" a="1"/>
  <c r="S893" i="32" s="1"/>
  <c r="E893" i="32" s="1"/>
  <c r="S1681" i="32" a="1"/>
  <c r="S1681" i="32" s="1"/>
  <c r="E1681" i="32" s="1"/>
  <c r="S725" i="32" a="1"/>
  <c r="S725" i="32" s="1"/>
  <c r="E725" i="32" s="1"/>
  <c r="S679" i="32" a="1"/>
  <c r="S679" i="32" s="1"/>
  <c r="E679" i="32" s="1"/>
  <c r="S727" i="32" a="1"/>
  <c r="S727" i="32" s="1"/>
  <c r="E727" i="32" s="1"/>
  <c r="S1711" i="32" a="1"/>
  <c r="S1711" i="32" s="1"/>
  <c r="E1711" i="32" s="1"/>
  <c r="S889" i="32" a="1"/>
  <c r="S889" i="32" s="1"/>
  <c r="E889" i="32" s="1"/>
  <c r="S1813" i="32" a="1"/>
  <c r="S1813" i="32" s="1"/>
  <c r="E1813" i="32" s="1"/>
  <c r="S1807" i="32" a="1"/>
  <c r="S1807" i="32" s="1"/>
  <c r="E1807" i="32" s="1"/>
  <c r="S1667" i="32" a="1"/>
  <c r="S1667" i="32" s="1"/>
  <c r="E1667" i="32" s="1"/>
  <c r="S703" i="32" a="1"/>
  <c r="S703" i="32" s="1"/>
  <c r="E703" i="32" s="1"/>
  <c r="S1801" i="32" a="1"/>
  <c r="S1801" i="32" s="1"/>
  <c r="E1801" i="32" s="1"/>
  <c r="S1691" i="32" a="1"/>
  <c r="S1691" i="32" s="1"/>
  <c r="E1691" i="32" s="1"/>
  <c r="S685" i="32" a="1"/>
  <c r="S685" i="32" s="1"/>
  <c r="E685" i="32" s="1"/>
  <c r="S879" i="32" a="1"/>
  <c r="S879" i="32" s="1"/>
  <c r="E879" i="32" s="1"/>
  <c r="S677" i="32" a="1"/>
  <c r="S677" i="32" s="1"/>
  <c r="E677" i="32" s="1"/>
  <c r="S1779" i="32" a="1"/>
  <c r="S1779" i="32" s="1"/>
  <c r="E1779" i="32" s="1"/>
  <c r="S1703" i="32" a="1"/>
  <c r="S1703" i="32" s="1"/>
  <c r="E1703" i="32" s="1"/>
  <c r="S675" i="32" a="1"/>
  <c r="S675" i="32" s="1"/>
  <c r="E675" i="32" s="1"/>
  <c r="S1671" i="32" a="1"/>
  <c r="S1671" i="32" s="1"/>
  <c r="E1671" i="32" s="1"/>
  <c r="S917" i="32" a="1"/>
  <c r="S917" i="32" s="1"/>
  <c r="E917" i="32" s="1"/>
  <c r="S1819" i="32" a="1"/>
  <c r="S1819" i="32" s="1"/>
  <c r="E1819" i="32" s="1"/>
  <c r="S867" i="32" a="1"/>
  <c r="S867" i="32" s="1"/>
  <c r="E867" i="32" s="1"/>
  <c r="S863" i="32" a="1"/>
  <c r="S863" i="32" s="1"/>
  <c r="E863" i="32" s="1"/>
  <c r="R867" i="32" a="1"/>
  <c r="R867" i="32" s="1"/>
  <c r="D867" i="32" s="1"/>
  <c r="R863" i="32" a="1"/>
  <c r="R863" i="32" s="1"/>
  <c r="D863" i="32" s="1"/>
  <c r="V825" i="32" a="1"/>
  <c r="V825" i="32" s="1"/>
  <c r="L825" i="32" s="1"/>
  <c r="V823" i="32" a="1"/>
  <c r="V823" i="32" s="1"/>
  <c r="L823" i="32" s="1"/>
  <c r="T825" i="32" a="1"/>
  <c r="T825" i="32" s="1"/>
  <c r="T823" i="32" a="1"/>
  <c r="T823" i="32" s="1"/>
  <c r="S825" i="32" a="1"/>
  <c r="S825" i="32" s="1"/>
  <c r="E825" i="32" s="1"/>
  <c r="S823" i="32" a="1"/>
  <c r="S823" i="32" s="1"/>
  <c r="E823" i="32" s="1"/>
  <c r="R825" i="32" a="1"/>
  <c r="R825" i="32" s="1"/>
  <c r="D825" i="32" s="1"/>
  <c r="R823" i="32" a="1"/>
  <c r="R823" i="32" s="1"/>
  <c r="D823" i="32" s="1"/>
  <c r="V827" i="32" a="1"/>
  <c r="V827" i="32" s="1"/>
  <c r="L827" i="32" s="1"/>
  <c r="T827" i="32" a="1"/>
  <c r="T827" i="32" s="1"/>
  <c r="S827" i="32" a="1"/>
  <c r="S827" i="32" s="1"/>
  <c r="E827" i="32" s="1"/>
  <c r="R827" i="32" a="1"/>
  <c r="R827" i="32" s="1"/>
  <c r="D827" i="32" s="1"/>
  <c r="V829" i="32" a="1"/>
  <c r="V829" i="32" s="1"/>
  <c r="L829" i="32" s="1"/>
  <c r="T829" i="32" a="1"/>
  <c r="T829" i="32" s="1"/>
  <c r="S829" i="32" a="1"/>
  <c r="S829" i="32" s="1"/>
  <c r="E829" i="32" s="1"/>
  <c r="R829" i="32" a="1"/>
  <c r="R829" i="32" s="1"/>
  <c r="D829" i="32" s="1"/>
  <c r="T831" i="32" a="1"/>
  <c r="T831" i="32" s="1"/>
  <c r="S831" i="32" a="1"/>
  <c r="S831" i="32" s="1"/>
  <c r="E831" i="32" s="1"/>
  <c r="R831" i="32" a="1"/>
  <c r="R831" i="32" s="1"/>
  <c r="D831" i="32" s="1"/>
  <c r="V831" i="32" a="1"/>
  <c r="V831" i="32" s="1"/>
  <c r="L831" i="32" s="1"/>
  <c r="S833" i="32" a="1"/>
  <c r="S833" i="32" s="1"/>
  <c r="E833" i="32" s="1"/>
  <c r="R833" i="32" a="1"/>
  <c r="R833" i="32" s="1"/>
  <c r="D833" i="32" s="1"/>
  <c r="V833" i="32" a="1"/>
  <c r="V833" i="32" s="1"/>
  <c r="L833" i="32" s="1"/>
  <c r="T833" i="32" a="1"/>
  <c r="T833" i="32" s="1"/>
  <c r="V835" i="32" a="1"/>
  <c r="V835" i="32" s="1"/>
  <c r="L835" i="32" s="1"/>
  <c r="T835" i="32" a="1"/>
  <c r="T835" i="32" s="1"/>
  <c r="S835" i="32" a="1"/>
  <c r="S835" i="32" s="1"/>
  <c r="E835" i="32" s="1"/>
  <c r="R835" i="32" a="1"/>
  <c r="R835" i="32" s="1"/>
  <c r="D835" i="32" s="1"/>
  <c r="T837" i="32" a="1"/>
  <c r="T837" i="32" s="1"/>
  <c r="S837" i="32" a="1"/>
  <c r="S837" i="32" s="1"/>
  <c r="E837" i="32" s="1"/>
  <c r="R837" i="32" a="1"/>
  <c r="R837" i="32" s="1"/>
  <c r="D837" i="32" s="1"/>
  <c r="V837" i="32" a="1"/>
  <c r="V837" i="32" s="1"/>
  <c r="L837" i="32" s="1"/>
  <c r="V839" i="32" a="1"/>
  <c r="V839" i="32" s="1"/>
  <c r="L839" i="32" s="1"/>
  <c r="T839" i="32" a="1"/>
  <c r="T839" i="32" s="1"/>
  <c r="S839" i="32" a="1"/>
  <c r="S839" i="32" s="1"/>
  <c r="E839" i="32" s="1"/>
  <c r="R839" i="32" a="1"/>
  <c r="R839" i="32" s="1"/>
  <c r="D839" i="32" s="1"/>
  <c r="S841" i="32" a="1"/>
  <c r="S841" i="32" s="1"/>
  <c r="E841" i="32" s="1"/>
  <c r="R841" i="32" a="1"/>
  <c r="R841" i="32" s="1"/>
  <c r="D841" i="32" s="1"/>
  <c r="V841" i="32" a="1"/>
  <c r="V841" i="32" s="1"/>
  <c r="L841" i="32" s="1"/>
  <c r="T841" i="32" a="1"/>
  <c r="T841" i="32" s="1"/>
  <c r="V843" i="32" a="1"/>
  <c r="V843" i="32" s="1"/>
  <c r="L843" i="32" s="1"/>
  <c r="T843" i="32" a="1"/>
  <c r="T843" i="32" s="1"/>
  <c r="S843" i="32" a="1"/>
  <c r="S843" i="32" s="1"/>
  <c r="E843" i="32" s="1"/>
  <c r="R843" i="32" a="1"/>
  <c r="R843" i="32" s="1"/>
  <c r="D843" i="32" s="1"/>
  <c r="S845" i="32" a="1"/>
  <c r="S845" i="32" s="1"/>
  <c r="E845" i="32" s="1"/>
  <c r="R845" i="32" a="1"/>
  <c r="R845" i="32" s="1"/>
  <c r="D845" i="32" s="1"/>
  <c r="V845" i="32" a="1"/>
  <c r="V845" i="32" s="1"/>
  <c r="L845" i="32" s="1"/>
  <c r="T845" i="32" a="1"/>
  <c r="T845" i="32" s="1"/>
  <c r="T847" i="32" a="1"/>
  <c r="T847" i="32" s="1"/>
  <c r="R847" i="32" a="1"/>
  <c r="R847" i="32" s="1"/>
  <c r="D847" i="32" s="1"/>
  <c r="S847" i="32" a="1"/>
  <c r="S847" i="32" s="1"/>
  <c r="E847" i="32" s="1"/>
  <c r="V847" i="32" a="1"/>
  <c r="V847" i="32" s="1"/>
  <c r="L847" i="32" s="1"/>
  <c r="T849" i="32" a="1"/>
  <c r="T849" i="32" s="1"/>
  <c r="S849" i="32" a="1"/>
  <c r="S849" i="32" s="1"/>
  <c r="E849" i="32" s="1"/>
  <c r="R849" i="32" a="1"/>
  <c r="R849" i="32" s="1"/>
  <c r="D849" i="32" s="1"/>
  <c r="V849" i="32" a="1"/>
  <c r="V849" i="32" s="1"/>
  <c r="L849" i="32" s="1"/>
  <c r="R851" i="32" a="1"/>
  <c r="R851" i="32" s="1"/>
  <c r="D851" i="32" s="1"/>
  <c r="V851" i="32" a="1"/>
  <c r="V851" i="32" s="1"/>
  <c r="L851" i="32" s="1"/>
  <c r="T851" i="32" a="1"/>
  <c r="T851" i="32" s="1"/>
  <c r="S851" i="32" a="1"/>
  <c r="S851" i="32" s="1"/>
  <c r="E851" i="32" s="1"/>
  <c r="S853" i="32" a="1"/>
  <c r="S853" i="32" s="1"/>
  <c r="E853" i="32" s="1"/>
  <c r="R853" i="32" a="1"/>
  <c r="R853" i="32" s="1"/>
  <c r="D853" i="32" s="1"/>
  <c r="V853" i="32" a="1"/>
  <c r="V853" i="32" s="1"/>
  <c r="L853" i="32" s="1"/>
  <c r="T853" i="32" a="1"/>
  <c r="T853" i="32" s="1"/>
  <c r="S855" i="32" a="1"/>
  <c r="S855" i="32" s="1"/>
  <c r="E855" i="32" s="1"/>
  <c r="R855" i="32" a="1"/>
  <c r="R855" i="32" s="1"/>
  <c r="D855" i="32" s="1"/>
  <c r="V855" i="32" a="1"/>
  <c r="V855" i="32" s="1"/>
  <c r="L855" i="32" s="1"/>
  <c r="T855" i="32" a="1"/>
  <c r="T855" i="32" s="1"/>
  <c r="T857" i="32" a="1"/>
  <c r="T857" i="32" s="1"/>
  <c r="S859" i="32" a="1"/>
  <c r="S859" i="32" s="1"/>
  <c r="E859" i="32" s="1"/>
  <c r="S857" i="32" a="1"/>
  <c r="S857" i="32" s="1"/>
  <c r="E857" i="32" s="1"/>
  <c r="R859" i="32" a="1"/>
  <c r="R859" i="32" s="1"/>
  <c r="D859" i="32" s="1"/>
  <c r="R857" i="32" a="1"/>
  <c r="R857" i="32" s="1"/>
  <c r="D857" i="32" s="1"/>
  <c r="V859" i="32" a="1"/>
  <c r="V859" i="32" s="1"/>
  <c r="L859" i="32" s="1"/>
  <c r="V857" i="32" a="1"/>
  <c r="V857" i="32" s="1"/>
  <c r="L857" i="32" s="1"/>
  <c r="T859" i="32" a="1"/>
  <c r="T859" i="32" s="1"/>
  <c r="S657" i="32" a="1"/>
  <c r="S657" i="32" s="1"/>
  <c r="E657" i="32" s="1"/>
  <c r="S639" i="32" a="1"/>
  <c r="S639" i="32" s="1"/>
  <c r="E639" i="32" s="1"/>
  <c r="S647" i="32" a="1"/>
  <c r="S647" i="32" s="1"/>
  <c r="E647" i="32" s="1"/>
  <c r="S653" i="32" a="1"/>
  <c r="S653" i="32" s="1"/>
  <c r="E653" i="32" s="1"/>
  <c r="S625" i="32" a="1"/>
  <c r="S625" i="32" s="1"/>
  <c r="E625" i="32" s="1"/>
  <c r="F3702" i="27" s="1"/>
  <c r="S621" i="32" a="1"/>
  <c r="S621" i="32" s="1"/>
  <c r="E621" i="32" s="1"/>
  <c r="F3700" i="27" s="1"/>
  <c r="S659" i="32" a="1"/>
  <c r="S659" i="32" s="1"/>
  <c r="E659" i="32" s="1"/>
  <c r="S641" i="32" a="1"/>
  <c r="S641" i="32" s="1"/>
  <c r="E641" i="32" s="1"/>
  <c r="S655" i="32" a="1"/>
  <c r="S655" i="32" s="1"/>
  <c r="E655" i="32" s="1"/>
  <c r="S633" i="32" a="1"/>
  <c r="S633" i="32" s="1"/>
  <c r="E633" i="32" s="1"/>
  <c r="S645" i="32" a="1"/>
  <c r="S645" i="32" s="1"/>
  <c r="E645" i="32" s="1"/>
  <c r="S627" i="32" a="1"/>
  <c r="S627" i="32" s="1"/>
  <c r="E627" i="32" s="1"/>
  <c r="F3703" i="27" s="1"/>
  <c r="S649" i="32" a="1"/>
  <c r="S649" i="32" s="1"/>
  <c r="E649" i="32" s="1"/>
  <c r="S651" i="32" a="1"/>
  <c r="S651" i="32" s="1"/>
  <c r="E651" i="32" s="1"/>
  <c r="S635" i="32" a="1"/>
  <c r="S635" i="32" s="1"/>
  <c r="E635" i="32" s="1"/>
  <c r="S629" i="32" a="1"/>
  <c r="S629" i="32" s="1"/>
  <c r="E629" i="32" s="1"/>
  <c r="S623" i="32" a="1"/>
  <c r="S623" i="32" s="1"/>
  <c r="E623" i="32" s="1"/>
  <c r="F3701" i="27" s="1"/>
  <c r="S637" i="32" a="1"/>
  <c r="S637" i="32" s="1"/>
  <c r="E637" i="32" s="1"/>
  <c r="S643" i="32" a="1"/>
  <c r="S643" i="32" s="1"/>
  <c r="E643" i="32" s="1"/>
  <c r="S631" i="32" a="1"/>
  <c r="S631" i="32" s="1"/>
  <c r="E631" i="32" s="1"/>
  <c r="R657" i="32" a="1"/>
  <c r="R657" i="32" s="1"/>
  <c r="D657" i="32" s="1"/>
  <c r="R639" i="32" a="1"/>
  <c r="R639" i="32" s="1"/>
  <c r="D639" i="32" s="1"/>
  <c r="R647" i="32" a="1"/>
  <c r="R647" i="32" s="1"/>
  <c r="D647" i="32" s="1"/>
  <c r="R653" i="32" a="1"/>
  <c r="R653" i="32" s="1"/>
  <c r="D653" i="32" s="1"/>
  <c r="R625" i="32" a="1"/>
  <c r="R625" i="32" s="1"/>
  <c r="D625" i="32" s="1"/>
  <c r="R621" i="32" a="1"/>
  <c r="R621" i="32" s="1"/>
  <c r="D621" i="32" s="1"/>
  <c r="R659" i="32" a="1"/>
  <c r="R659" i="32" s="1"/>
  <c r="D659" i="32" s="1"/>
  <c r="R641" i="32" a="1"/>
  <c r="R641" i="32" s="1"/>
  <c r="D641" i="32" s="1"/>
  <c r="R655" i="32" a="1"/>
  <c r="R655" i="32" s="1"/>
  <c r="D655" i="32" s="1"/>
  <c r="R633" i="32" a="1"/>
  <c r="R633" i="32" s="1"/>
  <c r="D633" i="32" s="1"/>
  <c r="R645" i="32" a="1"/>
  <c r="R645" i="32" s="1"/>
  <c r="D645" i="32" s="1"/>
  <c r="R627" i="32" a="1"/>
  <c r="R627" i="32" s="1"/>
  <c r="D627" i="32" s="1"/>
  <c r="R649" i="32" a="1"/>
  <c r="R649" i="32" s="1"/>
  <c r="D649" i="32" s="1"/>
  <c r="R651" i="32" a="1"/>
  <c r="R651" i="32" s="1"/>
  <c r="D651" i="32" s="1"/>
  <c r="R635" i="32" a="1"/>
  <c r="R635" i="32" s="1"/>
  <c r="D635" i="32" s="1"/>
  <c r="R629" i="32" a="1"/>
  <c r="R629" i="32" s="1"/>
  <c r="D629" i="32" s="1"/>
  <c r="R623" i="32" a="1"/>
  <c r="R623" i="32" s="1"/>
  <c r="D623" i="32" s="1"/>
  <c r="R637" i="32" a="1"/>
  <c r="R637" i="32" s="1"/>
  <c r="D637" i="32" s="1"/>
  <c r="R643" i="32" a="1"/>
  <c r="R643" i="32" s="1"/>
  <c r="D643" i="32" s="1"/>
  <c r="R631" i="32" a="1"/>
  <c r="R631" i="32" s="1"/>
  <c r="D631" i="32" s="1"/>
  <c r="V657" i="32" a="1"/>
  <c r="V657" i="32" s="1"/>
  <c r="L657" i="32" s="1"/>
  <c r="V639" i="32" a="1"/>
  <c r="V639" i="32" s="1"/>
  <c r="L639" i="32" s="1"/>
  <c r="V647" i="32" a="1"/>
  <c r="V647" i="32" s="1"/>
  <c r="L647" i="32" s="1"/>
  <c r="V653" i="32" a="1"/>
  <c r="V653" i="32" s="1"/>
  <c r="L653" i="32" s="1"/>
  <c r="V625" i="32" a="1"/>
  <c r="V625" i="32" s="1"/>
  <c r="L625" i="32" s="1"/>
  <c r="V621" i="32" a="1"/>
  <c r="V621" i="32" s="1"/>
  <c r="L621" i="32" s="1"/>
  <c r="V659" i="32" a="1"/>
  <c r="V659" i="32" s="1"/>
  <c r="L659" i="32" s="1"/>
  <c r="V641" i="32" a="1"/>
  <c r="V641" i="32" s="1"/>
  <c r="L641" i="32" s="1"/>
  <c r="V655" i="32" a="1"/>
  <c r="V655" i="32" s="1"/>
  <c r="L655" i="32" s="1"/>
  <c r="V633" i="32" a="1"/>
  <c r="V633" i="32" s="1"/>
  <c r="L633" i="32" s="1"/>
  <c r="V645" i="32" a="1"/>
  <c r="V645" i="32" s="1"/>
  <c r="L645" i="32" s="1"/>
  <c r="V627" i="32" a="1"/>
  <c r="V627" i="32" s="1"/>
  <c r="L627" i="32" s="1"/>
  <c r="V649" i="32" a="1"/>
  <c r="V649" i="32" s="1"/>
  <c r="L649" i="32" s="1"/>
  <c r="V651" i="32" a="1"/>
  <c r="V651" i="32" s="1"/>
  <c r="L651" i="32" s="1"/>
  <c r="V635" i="32" a="1"/>
  <c r="V635" i="32" s="1"/>
  <c r="L635" i="32" s="1"/>
  <c r="V629" i="32" a="1"/>
  <c r="V629" i="32" s="1"/>
  <c r="L629" i="32" s="1"/>
  <c r="V623" i="32" a="1"/>
  <c r="V623" i="32" s="1"/>
  <c r="L623" i="32" s="1"/>
  <c r="V637" i="32" a="1"/>
  <c r="V637" i="32" s="1"/>
  <c r="L637" i="32" s="1"/>
  <c r="V643" i="32" a="1"/>
  <c r="V643" i="32" s="1"/>
  <c r="L643" i="32" s="1"/>
  <c r="V631" i="32" a="1"/>
  <c r="V631" i="32" s="1"/>
  <c r="L631" i="32" s="1"/>
  <c r="T657" i="32" a="1"/>
  <c r="T657" i="32" s="1"/>
  <c r="T639" i="32" a="1"/>
  <c r="T639" i="32" s="1"/>
  <c r="T647" i="32" a="1"/>
  <c r="T647" i="32" s="1"/>
  <c r="T653" i="32" a="1"/>
  <c r="T653" i="32" s="1"/>
  <c r="T625" i="32" a="1"/>
  <c r="T625" i="32" s="1"/>
  <c r="M3702" i="27" s="1"/>
  <c r="A3702" i="27" s="1"/>
  <c r="T621" i="32" a="1"/>
  <c r="T621" i="32" s="1"/>
  <c r="M3700" i="27" s="1"/>
  <c r="A3700" i="27" s="1"/>
  <c r="T659" i="32" a="1"/>
  <c r="T659" i="32" s="1"/>
  <c r="T641" i="32" a="1"/>
  <c r="T641" i="32" s="1"/>
  <c r="T655" i="32" a="1"/>
  <c r="T655" i="32" s="1"/>
  <c r="T633" i="32" a="1"/>
  <c r="T633" i="32" s="1"/>
  <c r="T645" i="32" a="1"/>
  <c r="T645" i="32" s="1"/>
  <c r="T627" i="32" a="1"/>
  <c r="T627" i="32" s="1"/>
  <c r="M3703" i="27" s="1"/>
  <c r="A3703" i="27" s="1"/>
  <c r="T649" i="32" a="1"/>
  <c r="T649" i="32" s="1"/>
  <c r="T651" i="32" a="1"/>
  <c r="T651" i="32" s="1"/>
  <c r="T635" i="32" a="1"/>
  <c r="T635" i="32" s="1"/>
  <c r="T629" i="32" a="1"/>
  <c r="T629" i="32" s="1"/>
  <c r="T623" i="32" a="1"/>
  <c r="T623" i="32" s="1"/>
  <c r="M3701" i="27" s="1"/>
  <c r="A3701" i="27" s="1"/>
  <c r="T637" i="32" a="1"/>
  <c r="T637" i="32" s="1"/>
  <c r="T643" i="32" a="1"/>
  <c r="T643" i="32" s="1"/>
  <c r="T631" i="32" a="1"/>
  <c r="T631" i="32" s="1"/>
  <c r="U841" i="32"/>
  <c r="U542" i="32"/>
  <c r="U230" i="32"/>
  <c r="D3" i="20"/>
  <c r="B1106" i="19"/>
  <c r="B1107" i="19" s="1"/>
  <c r="B1108" i="19" s="1"/>
  <c r="B1109" i="19" s="1"/>
  <c r="A542" i="32"/>
  <c r="O463" i="27"/>
  <c r="S917" i="27"/>
  <c r="I1462" i="27"/>
  <c r="O454" i="27"/>
  <c r="S910" i="27"/>
  <c r="A230" i="32"/>
  <c r="P31" i="30"/>
  <c r="O453" i="27"/>
  <c r="M314" i="27"/>
  <c r="O46" i="27"/>
  <c r="N403" i="27"/>
  <c r="J1462" i="27"/>
  <c r="L1461" i="27"/>
  <c r="O458" i="27"/>
  <c r="I311" i="27"/>
  <c r="S909" i="27"/>
  <c r="X31" i="30"/>
  <c r="S929" i="27"/>
  <c r="M311" i="27"/>
  <c r="K302" i="27"/>
  <c r="O38" i="27"/>
  <c r="S931" i="27"/>
  <c r="O461" i="27"/>
  <c r="O35" i="27"/>
  <c r="S930" i="27"/>
  <c r="S916" i="27"/>
  <c r="O40" i="27"/>
  <c r="N313" i="27"/>
  <c r="S924" i="27"/>
  <c r="O455" i="27"/>
  <c r="K1462" i="27"/>
  <c r="O464" i="27"/>
  <c r="J311" i="27"/>
  <c r="O34" i="27"/>
  <c r="S907" i="27"/>
  <c r="S908" i="27"/>
  <c r="O45" i="27"/>
  <c r="O44" i="27"/>
  <c r="S904" i="27"/>
  <c r="K403" i="27"/>
  <c r="S923" i="27"/>
  <c r="S911" i="27"/>
  <c r="K1461" i="27"/>
  <c r="S912" i="27"/>
  <c r="S919" i="27"/>
  <c r="J314" i="27"/>
  <c r="S905" i="27"/>
  <c r="S927" i="27"/>
  <c r="I1461" i="27"/>
  <c r="G837" i="32"/>
  <c r="O42" i="27"/>
  <c r="S921" i="27"/>
  <c r="S926" i="27"/>
  <c r="S915" i="27"/>
  <c r="O466" i="27"/>
  <c r="O43" i="27"/>
  <c r="S928" i="27"/>
  <c r="J313" i="27"/>
  <c r="J403" i="27"/>
  <c r="S918" i="27"/>
  <c r="G226" i="32"/>
  <c r="N311" i="27"/>
  <c r="S914" i="27"/>
  <c r="S920" i="27"/>
  <c r="L31" i="30"/>
  <c r="S906" i="27"/>
  <c r="S925" i="27"/>
  <c r="I312" i="27"/>
  <c r="O36" i="27"/>
  <c r="M403" i="27"/>
  <c r="K299" i="27"/>
  <c r="O41" i="27"/>
  <c r="O47" i="27"/>
  <c r="T31" i="30"/>
  <c r="O39" i="27"/>
  <c r="J312" i="27"/>
  <c r="G538" i="32"/>
  <c r="O465" i="27"/>
  <c r="K300" i="27"/>
  <c r="K301" i="27"/>
  <c r="M313" i="27"/>
  <c r="N312" i="27"/>
  <c r="O48" i="27"/>
  <c r="I314" i="27"/>
  <c r="O467" i="27"/>
  <c r="A841" i="32"/>
  <c r="O37" i="27"/>
  <c r="O460" i="27"/>
  <c r="M312" i="27"/>
  <c r="I313" i="27"/>
  <c r="O462" i="27"/>
  <c r="I403" i="27"/>
  <c r="S932" i="27"/>
  <c r="J1461" i="27"/>
  <c r="O457" i="27"/>
  <c r="N314" i="27"/>
  <c r="S922" i="27"/>
  <c r="O459" i="27"/>
  <c r="O456" i="27"/>
  <c r="G1338" i="27"/>
  <c r="S913" i="27"/>
  <c r="L1462" i="27"/>
  <c r="C28" i="19" l="1" a="1"/>
  <c r="C28" i="19" s="1"/>
  <c r="A299" i="27"/>
  <c r="T299" i="27" s="1"/>
  <c r="A301" i="27"/>
  <c r="T301" i="27" s="1"/>
  <c r="A302" i="27"/>
  <c r="T302" i="27" s="1"/>
  <c r="A300" i="27"/>
  <c r="T300" i="27" s="1"/>
  <c r="F5435" i="27"/>
  <c r="F4833" i="27"/>
  <c r="F4834" i="27" s="1"/>
  <c r="F4835" i="27" s="1"/>
  <c r="F4836" i="27" s="1"/>
  <c r="F4837" i="27" s="1"/>
  <c r="F4832" i="27"/>
  <c r="E2434" i="27"/>
  <c r="E2489" i="27"/>
  <c r="E2488" i="27"/>
  <c r="E2432" i="27"/>
  <c r="E2433" i="27"/>
  <c r="E2487" i="27"/>
  <c r="E2486" i="27"/>
  <c r="G2439" i="27"/>
  <c r="N2439" i="27"/>
  <c r="N2438" i="27"/>
  <c r="L2438" i="27"/>
  <c r="K2438" i="27"/>
  <c r="I2438" i="27"/>
  <c r="K2439" i="27"/>
  <c r="G2438" i="27"/>
  <c r="J2438" i="27"/>
  <c r="J2439" i="27"/>
  <c r="I2439" i="27"/>
  <c r="L2439" i="27"/>
  <c r="O2439" i="27"/>
  <c r="O2438" i="27"/>
  <c r="E2442" i="27"/>
  <c r="E2443" i="27"/>
  <c r="E2464" i="27"/>
  <c r="E2465" i="27"/>
  <c r="E2455" i="27"/>
  <c r="E2454" i="27"/>
  <c r="E2456" i="27"/>
  <c r="E2457" i="27"/>
  <c r="E2458" i="27"/>
  <c r="E2459" i="27"/>
  <c r="E2476" i="27"/>
  <c r="E2477" i="27"/>
  <c r="E2494" i="27"/>
  <c r="E2495" i="27"/>
  <c r="E2461" i="27"/>
  <c r="E2460" i="27"/>
  <c r="J2451" i="27"/>
  <c r="K2451" i="27"/>
  <c r="O2450" i="27"/>
  <c r="L2451" i="27"/>
  <c r="J2450" i="27"/>
  <c r="L2450" i="27"/>
  <c r="N2450" i="27"/>
  <c r="I2450" i="27"/>
  <c r="G2451" i="27"/>
  <c r="O2451" i="27"/>
  <c r="I2451" i="27"/>
  <c r="G2450" i="27"/>
  <c r="K2450" i="27"/>
  <c r="E2448" i="27"/>
  <c r="E2449" i="27"/>
  <c r="E2444" i="27"/>
  <c r="E2445" i="27"/>
  <c r="E2451" i="27"/>
  <c r="E2450" i="27"/>
  <c r="E2490" i="27"/>
  <c r="E2491" i="27"/>
  <c r="E2492" i="27"/>
  <c r="E2493" i="27"/>
  <c r="E2447" i="27"/>
  <c r="E2446" i="27"/>
  <c r="E2470" i="27"/>
  <c r="E2471" i="27"/>
  <c r="E2480" i="27"/>
  <c r="E2481" i="27"/>
  <c r="E2466" i="27"/>
  <c r="E2467" i="27"/>
  <c r="E2469" i="27"/>
  <c r="E2468" i="27"/>
  <c r="E2484" i="27"/>
  <c r="E2485" i="27"/>
  <c r="E2478" i="27"/>
  <c r="E2479" i="27"/>
  <c r="E2475" i="27"/>
  <c r="E2474" i="27"/>
  <c r="E2463" i="27"/>
  <c r="E2462" i="27"/>
  <c r="E2437" i="27"/>
  <c r="E2436" i="27"/>
  <c r="E2439" i="27"/>
  <c r="E2438" i="27"/>
  <c r="E2483" i="27"/>
  <c r="E2482" i="27"/>
  <c r="E2473" i="27"/>
  <c r="E2472" i="27"/>
  <c r="A1462" i="27"/>
  <c r="A1461" i="27"/>
  <c r="H1464" i="27"/>
  <c r="P765" i="32"/>
  <c r="Q763" i="32"/>
  <c r="P961" i="32"/>
  <c r="Q959" i="32"/>
  <c r="H827" i="27"/>
  <c r="A403" i="27"/>
  <c r="T403" i="27" s="1"/>
  <c r="H405" i="27"/>
  <c r="H282" i="24"/>
  <c r="C8" i="19" a="1"/>
  <c r="C8" i="19" s="1"/>
  <c r="C9" i="19" s="1" a="1"/>
  <c r="C9" i="19" s="1"/>
  <c r="C10" i="19" s="1" a="1"/>
  <c r="C10" i="19" s="1"/>
  <c r="C11" i="19" s="1" a="1"/>
  <c r="C11" i="19" s="1"/>
  <c r="C12" i="19" s="1" a="1"/>
  <c r="C12" i="19" s="1"/>
  <c r="C13" i="19" s="1" a="1"/>
  <c r="C13" i="19" s="1"/>
  <c r="C14" i="19" s="1" a="1"/>
  <c r="C14" i="19" s="1"/>
  <c r="I187" i="16" a="1"/>
  <c r="I187" i="16" s="1"/>
  <c r="J186" i="16" a="1"/>
  <c r="J186" i="16" s="1"/>
  <c r="F36" i="16" a="1"/>
  <c r="F36" i="16" s="1"/>
  <c r="H53" i="16" a="1"/>
  <c r="H53" i="16" s="1"/>
  <c r="I52" i="16" a="1"/>
  <c r="I52" i="16" s="1"/>
  <c r="H274" i="24"/>
  <c r="H298" i="24"/>
  <c r="H234" i="24"/>
  <c r="H242" i="24"/>
  <c r="H266" i="24"/>
  <c r="H226" i="24"/>
  <c r="H250" i="24"/>
  <c r="H290" i="24"/>
  <c r="H258" i="24"/>
  <c r="N45" i="1"/>
  <c r="T45" i="1"/>
  <c r="Q147" i="24"/>
  <c r="C28" i="24"/>
  <c r="S76" i="24"/>
  <c r="Q76" i="24"/>
  <c r="P76" i="24"/>
  <c r="R76" i="24"/>
  <c r="AI37" i="30"/>
  <c r="R296" i="32" a="1"/>
  <c r="R296" i="32" s="1"/>
  <c r="D296" i="32" s="1"/>
  <c r="S290" i="32" a="1"/>
  <c r="S290" i="32" s="1"/>
  <c r="E290" i="32" s="1"/>
  <c r="S298" i="32" a="1"/>
  <c r="S298" i="32" s="1"/>
  <c r="E298" i="32" s="1"/>
  <c r="S276" i="32" a="1"/>
  <c r="S276" i="32" s="1"/>
  <c r="E276" i="32" s="1"/>
  <c r="S286" i="32" a="1"/>
  <c r="S286" i="32" s="1"/>
  <c r="E286" i="32" s="1"/>
  <c r="R304" i="32" a="1"/>
  <c r="R304" i="32" s="1"/>
  <c r="D304" i="32" s="1"/>
  <c r="S294" i="32" a="1"/>
  <c r="S294" i="32" s="1"/>
  <c r="E294" i="32" s="1"/>
  <c r="R272" i="32" a="1"/>
  <c r="R272" i="32" s="1"/>
  <c r="D272" i="32" s="1"/>
  <c r="S300" i="32" a="1"/>
  <c r="S300" i="32" s="1"/>
  <c r="E300" i="32" s="1"/>
  <c r="S296" i="32" a="1"/>
  <c r="S296" i="32" s="1"/>
  <c r="E296" i="32" s="1"/>
  <c r="R290" i="32" a="1"/>
  <c r="R290" i="32" s="1"/>
  <c r="D290" i="32" s="1"/>
  <c r="R298" i="32" a="1"/>
  <c r="R298" i="32" s="1"/>
  <c r="D298" i="32" s="1"/>
  <c r="R276" i="32" a="1"/>
  <c r="R276" i="32" s="1"/>
  <c r="D276" i="32" s="1"/>
  <c r="R286" i="32" a="1"/>
  <c r="R286" i="32" s="1"/>
  <c r="D286" i="32" s="1"/>
  <c r="S304" i="32" a="1"/>
  <c r="S304" i="32" s="1"/>
  <c r="E304" i="32" s="1"/>
  <c r="R294" i="32" a="1"/>
  <c r="R294" i="32" s="1"/>
  <c r="D294" i="32" s="1"/>
  <c r="S272" i="32" a="1"/>
  <c r="S272" i="32" s="1"/>
  <c r="E272" i="32" s="1"/>
  <c r="R300" i="32" a="1"/>
  <c r="R300" i="32" s="1"/>
  <c r="D300" i="32" s="1"/>
  <c r="V296" i="32" a="1"/>
  <c r="V296" i="32" s="1"/>
  <c r="L296" i="32" s="1"/>
  <c r="V290" i="32" a="1"/>
  <c r="V290" i="32" s="1"/>
  <c r="L290" i="32" s="1"/>
  <c r="V298" i="32" a="1"/>
  <c r="V298" i="32" s="1"/>
  <c r="L298" i="32" s="1"/>
  <c r="V276" i="32" a="1"/>
  <c r="V276" i="32" s="1"/>
  <c r="L276" i="32" s="1"/>
  <c r="V286" i="32" a="1"/>
  <c r="V286" i="32" s="1"/>
  <c r="L286" i="32" s="1"/>
  <c r="V304" i="32" a="1"/>
  <c r="V304" i="32" s="1"/>
  <c r="L304" i="32" s="1"/>
  <c r="V294" i="32" a="1"/>
  <c r="V294" i="32" s="1"/>
  <c r="L294" i="32" s="1"/>
  <c r="V272" i="32" a="1"/>
  <c r="V272" i="32" s="1"/>
  <c r="L272" i="32" s="1"/>
  <c r="V300" i="32" a="1"/>
  <c r="V300" i="32" s="1"/>
  <c r="L300" i="32" s="1"/>
  <c r="T296" i="32" a="1"/>
  <c r="T296" i="32" s="1"/>
  <c r="T290" i="32" a="1"/>
  <c r="T290" i="32" s="1"/>
  <c r="T298" i="32" a="1"/>
  <c r="T298" i="32" s="1"/>
  <c r="T276" i="32" a="1"/>
  <c r="T276" i="32" s="1"/>
  <c r="T286" i="32" a="1"/>
  <c r="T286" i="32" s="1"/>
  <c r="T304" i="32" a="1"/>
  <c r="T304" i="32" s="1"/>
  <c r="T294" i="32" a="1"/>
  <c r="T294" i="32" s="1"/>
  <c r="T272" i="32" a="1"/>
  <c r="T272" i="32" s="1"/>
  <c r="T300" i="32" a="1"/>
  <c r="T300" i="32" s="1"/>
  <c r="R306" i="32" a="1"/>
  <c r="R306" i="32" s="1"/>
  <c r="D306" i="32" s="1"/>
  <c r="R274" i="32" a="1"/>
  <c r="R274" i="32" s="1"/>
  <c r="D274" i="32" s="1"/>
  <c r="R302" i="32" a="1"/>
  <c r="R302" i="32" s="1"/>
  <c r="D302" i="32" s="1"/>
  <c r="S280" i="32" a="1"/>
  <c r="S280" i="32" s="1"/>
  <c r="E280" i="32" s="1"/>
  <c r="R292" i="32" a="1"/>
  <c r="R292" i="32" s="1"/>
  <c r="D292" i="32" s="1"/>
  <c r="R270" i="32" a="1"/>
  <c r="R270" i="32" s="1"/>
  <c r="D270" i="32" s="1"/>
  <c r="S288" i="32" a="1"/>
  <c r="S288" i="32" s="1"/>
  <c r="E288" i="32" s="1"/>
  <c r="R308" i="32" a="1"/>
  <c r="R308" i="32" s="1"/>
  <c r="D308" i="32" s="1"/>
  <c r="R282" i="32" a="1"/>
  <c r="R282" i="32" s="1"/>
  <c r="D282" i="32" s="1"/>
  <c r="R284" i="32" a="1"/>
  <c r="R284" i="32" s="1"/>
  <c r="D284" i="32" s="1"/>
  <c r="R278" i="32" a="1"/>
  <c r="R278" i="32" s="1"/>
  <c r="D278" i="32" s="1"/>
  <c r="V306" i="32" a="1"/>
  <c r="V306" i="32" s="1"/>
  <c r="L306" i="32" s="1"/>
  <c r="V274" i="32" a="1"/>
  <c r="V274" i="32" s="1"/>
  <c r="L274" i="32" s="1"/>
  <c r="V302" i="32" a="1"/>
  <c r="V302" i="32" s="1"/>
  <c r="L302" i="32" s="1"/>
  <c r="V280" i="32" a="1"/>
  <c r="V280" i="32" s="1"/>
  <c r="L280" i="32" s="1"/>
  <c r="V292" i="32" a="1"/>
  <c r="V292" i="32" s="1"/>
  <c r="L292" i="32" s="1"/>
  <c r="V270" i="32" a="1"/>
  <c r="V270" i="32" s="1"/>
  <c r="L270" i="32" s="1"/>
  <c r="V288" i="32" a="1"/>
  <c r="V288" i="32" s="1"/>
  <c r="L288" i="32" s="1"/>
  <c r="V308" i="32" a="1"/>
  <c r="V308" i="32" s="1"/>
  <c r="L308" i="32" s="1"/>
  <c r="V282" i="32" a="1"/>
  <c r="V282" i="32" s="1"/>
  <c r="L282" i="32" s="1"/>
  <c r="V284" i="32" a="1"/>
  <c r="V284" i="32" s="1"/>
  <c r="L284" i="32" s="1"/>
  <c r="V278" i="32" a="1"/>
  <c r="V278" i="32" s="1"/>
  <c r="L278" i="32" s="1"/>
  <c r="T306" i="32" a="1"/>
  <c r="T306" i="32" s="1"/>
  <c r="T274" i="32" a="1"/>
  <c r="T274" i="32" s="1"/>
  <c r="T302" i="32" a="1"/>
  <c r="T302" i="32" s="1"/>
  <c r="T280" i="32" a="1"/>
  <c r="T280" i="32" s="1"/>
  <c r="T292" i="32" a="1"/>
  <c r="T292" i="32" s="1"/>
  <c r="T270" i="32" a="1"/>
  <c r="T270" i="32" s="1"/>
  <c r="T288" i="32" a="1"/>
  <c r="T288" i="32" s="1"/>
  <c r="T308" i="32" a="1"/>
  <c r="T308" i="32" s="1"/>
  <c r="T282" i="32" a="1"/>
  <c r="T282" i="32" s="1"/>
  <c r="T284" i="32" a="1"/>
  <c r="T284" i="32" s="1"/>
  <c r="T278" i="32" a="1"/>
  <c r="T278" i="32" s="1"/>
  <c r="S306" i="32" a="1"/>
  <c r="S306" i="32" s="1"/>
  <c r="E306" i="32" s="1"/>
  <c r="S274" i="32" a="1"/>
  <c r="S274" i="32" s="1"/>
  <c r="E274" i="32" s="1"/>
  <c r="S302" i="32" a="1"/>
  <c r="S302" i="32" s="1"/>
  <c r="E302" i="32" s="1"/>
  <c r="R280" i="32" a="1"/>
  <c r="R280" i="32" s="1"/>
  <c r="D280" i="32" s="1"/>
  <c r="S292" i="32" a="1"/>
  <c r="S292" i="32" s="1"/>
  <c r="E292" i="32" s="1"/>
  <c r="S270" i="32" a="1"/>
  <c r="S270" i="32" s="1"/>
  <c r="E270" i="32" s="1"/>
  <c r="R288" i="32" a="1"/>
  <c r="R288" i="32" s="1"/>
  <c r="D288" i="32" s="1"/>
  <c r="S308" i="32" a="1"/>
  <c r="S308" i="32" s="1"/>
  <c r="E308" i="32" s="1"/>
  <c r="S282" i="32" a="1"/>
  <c r="S282" i="32" s="1"/>
  <c r="E282" i="32" s="1"/>
  <c r="S284" i="32" a="1"/>
  <c r="S284" i="32" s="1"/>
  <c r="E284" i="32" s="1"/>
  <c r="S278" i="32" a="1"/>
  <c r="S278" i="32" s="1"/>
  <c r="E278" i="32" s="1"/>
  <c r="V12" i="32" a="1"/>
  <c r="V12" i="32" s="1"/>
  <c r="L12" i="32" s="1"/>
  <c r="V20" i="32" a="1"/>
  <c r="V20" i="32" s="1"/>
  <c r="L20" i="32" s="1"/>
  <c r="V28" i="32" a="1"/>
  <c r="V28" i="32" s="1"/>
  <c r="L28" i="32" s="1"/>
  <c r="V14" i="32" a="1"/>
  <c r="V14" i="32" s="1"/>
  <c r="L14" i="32" s="1"/>
  <c r="V22" i="32" a="1"/>
  <c r="V22" i="32" s="1"/>
  <c r="L22" i="32" s="1"/>
  <c r="V16" i="32" a="1"/>
  <c r="V16" i="32" s="1"/>
  <c r="L16" i="32" s="1"/>
  <c r="V24" i="32" a="1"/>
  <c r="V24" i="32" s="1"/>
  <c r="L24" i="32" s="1"/>
  <c r="V10" i="32" a="1"/>
  <c r="V10" i="32" s="1"/>
  <c r="L10" i="32" s="1"/>
  <c r="V18" i="32" a="1"/>
  <c r="V18" i="32" s="1"/>
  <c r="L18" i="32" s="1"/>
  <c r="V26" i="32" a="1"/>
  <c r="V26" i="32" s="1"/>
  <c r="L26" i="32" s="1"/>
  <c r="T12" i="32" a="1"/>
  <c r="T12" i="32" s="1"/>
  <c r="M2422" i="27" s="1"/>
  <c r="A2422" i="27" s="1"/>
  <c r="T20" i="32" a="1"/>
  <c r="T20" i="32" s="1"/>
  <c r="M2426" i="27" s="1"/>
  <c r="A2426" i="27" s="1"/>
  <c r="T28" i="32" a="1"/>
  <c r="T28" i="32" s="1"/>
  <c r="M2430" i="27" s="1"/>
  <c r="A2430" i="27" s="1"/>
  <c r="T14" i="32" a="1"/>
  <c r="T14" i="32" s="1"/>
  <c r="M2423" i="27" s="1"/>
  <c r="A2423" i="27" s="1"/>
  <c r="T22" i="32" a="1"/>
  <c r="T22" i="32" s="1"/>
  <c r="M2427" i="27" s="1"/>
  <c r="A2427" i="27" s="1"/>
  <c r="T16" i="32" a="1"/>
  <c r="T16" i="32" s="1"/>
  <c r="M2424" i="27" s="1"/>
  <c r="A2424" i="27" s="1"/>
  <c r="T24" i="32" a="1"/>
  <c r="T24" i="32" s="1"/>
  <c r="M2428" i="27" s="1"/>
  <c r="A2428" i="27" s="1"/>
  <c r="T10" i="32" a="1"/>
  <c r="T10" i="32" s="1"/>
  <c r="M2421" i="27" s="1"/>
  <c r="A2421" i="27" s="1"/>
  <c r="T18" i="32" a="1"/>
  <c r="T18" i="32" s="1"/>
  <c r="M2425" i="27" s="1"/>
  <c r="A2425" i="27" s="1"/>
  <c r="T26" i="32" a="1"/>
  <c r="T26" i="32" s="1"/>
  <c r="M2429" i="27" s="1"/>
  <c r="A2429" i="27" s="1"/>
  <c r="S12" i="32" a="1"/>
  <c r="S12" i="32" s="1"/>
  <c r="E12" i="32" s="1"/>
  <c r="F2422" i="27" s="1"/>
  <c r="S20" i="32" a="1"/>
  <c r="S20" i="32" s="1"/>
  <c r="E20" i="32" s="1"/>
  <c r="F2426" i="27" s="1"/>
  <c r="S28" i="32" a="1"/>
  <c r="S28" i="32" s="1"/>
  <c r="E28" i="32" s="1"/>
  <c r="F2430" i="27" s="1"/>
  <c r="S14" i="32" a="1"/>
  <c r="S14" i="32" s="1"/>
  <c r="E14" i="32" s="1"/>
  <c r="F2423" i="27" s="1"/>
  <c r="S22" i="32" a="1"/>
  <c r="S22" i="32" s="1"/>
  <c r="E22" i="32" s="1"/>
  <c r="F2427" i="27" s="1"/>
  <c r="R16" i="32" a="1"/>
  <c r="R16" i="32" s="1"/>
  <c r="D16" i="32" s="1"/>
  <c r="R24" i="32" a="1"/>
  <c r="R24" i="32" s="1"/>
  <c r="D24" i="32" s="1"/>
  <c r="S10" i="32" a="1"/>
  <c r="S10" i="32" s="1"/>
  <c r="E10" i="32" s="1"/>
  <c r="F2421" i="27" s="1"/>
  <c r="S18" i="32" a="1"/>
  <c r="S18" i="32" s="1"/>
  <c r="E18" i="32" s="1"/>
  <c r="F2425" i="27" s="1"/>
  <c r="S26" i="32" a="1"/>
  <c r="S26" i="32" s="1"/>
  <c r="E26" i="32" s="1"/>
  <c r="F2429" i="27" s="1"/>
  <c r="R12" i="32" a="1"/>
  <c r="R12" i="32" s="1"/>
  <c r="D12" i="32" s="1"/>
  <c r="R20" i="32" a="1"/>
  <c r="R20" i="32" s="1"/>
  <c r="D20" i="32" s="1"/>
  <c r="R28" i="32" a="1"/>
  <c r="R28" i="32" s="1"/>
  <c r="D28" i="32" s="1"/>
  <c r="R14" i="32" a="1"/>
  <c r="R14" i="32" s="1"/>
  <c r="D14" i="32" s="1"/>
  <c r="R22" i="32" a="1"/>
  <c r="R22" i="32" s="1"/>
  <c r="D22" i="32" s="1"/>
  <c r="S16" i="32" a="1"/>
  <c r="S16" i="32" s="1"/>
  <c r="E16" i="32" s="1"/>
  <c r="F2424" i="27" s="1"/>
  <c r="S24" i="32" a="1"/>
  <c r="S24" i="32" s="1"/>
  <c r="E24" i="32" s="1"/>
  <c r="F2428" i="27" s="1"/>
  <c r="R10" i="32" a="1"/>
  <c r="R10" i="32" s="1"/>
  <c r="D10" i="32" s="1"/>
  <c r="R18" i="32" a="1"/>
  <c r="R18" i="32" s="1"/>
  <c r="D18" i="32" s="1"/>
  <c r="R26" i="32" a="1"/>
  <c r="R26" i="32" s="1"/>
  <c r="D26" i="32" s="1"/>
  <c r="V112" i="32" a="1"/>
  <c r="V112" i="32" s="1"/>
  <c r="L112" i="32" s="1"/>
  <c r="V106" i="32" a="1"/>
  <c r="V106" i="32" s="1"/>
  <c r="L106" i="32" s="1"/>
  <c r="V126" i="32" a="1"/>
  <c r="V126" i="32" s="1"/>
  <c r="L126" i="32" s="1"/>
  <c r="V118" i="32" a="1"/>
  <c r="V118" i="32" s="1"/>
  <c r="L118" i="32" s="1"/>
  <c r="V134" i="32" a="1"/>
  <c r="V134" i="32" s="1"/>
  <c r="L134" i="32" s="1"/>
  <c r="V140" i="32" a="1"/>
  <c r="V140" i="32" s="1"/>
  <c r="L140" i="32" s="1"/>
  <c r="V94" i="32" a="1"/>
  <c r="V94" i="32" s="1"/>
  <c r="L94" i="32" s="1"/>
  <c r="V68" i="32" a="1"/>
  <c r="V68" i="32" s="1"/>
  <c r="L68" i="32" s="1"/>
  <c r="V136" i="32" a="1"/>
  <c r="V136" i="32" s="1"/>
  <c r="L136" i="32" s="1"/>
  <c r="V30" i="32" a="1"/>
  <c r="V30" i="32" s="1"/>
  <c r="L30" i="32" s="1"/>
  <c r="V98" i="32" a="1"/>
  <c r="V98" i="32" s="1"/>
  <c r="L98" i="32" s="1"/>
  <c r="V124" i="32" a="1"/>
  <c r="V124" i="32" s="1"/>
  <c r="L124" i="32" s="1"/>
  <c r="V128" i="32" a="1"/>
  <c r="V128" i="32" s="1"/>
  <c r="L128" i="32" s="1"/>
  <c r="V102" i="32" a="1"/>
  <c r="V102" i="32" s="1"/>
  <c r="L102" i="32" s="1"/>
  <c r="V74" i="32" a="1"/>
  <c r="V74" i="32" s="1"/>
  <c r="L74" i="32" s="1"/>
  <c r="V36" i="32" a="1"/>
  <c r="V36" i="32" s="1"/>
  <c r="L36" i="32" s="1"/>
  <c r="V66" i="32" a="1"/>
  <c r="V66" i="32" s="1"/>
  <c r="L66" i="32" s="1"/>
  <c r="V42" i="32" a="1"/>
  <c r="V42" i="32" s="1"/>
  <c r="L42" i="32" s="1"/>
  <c r="V50" i="32" a="1"/>
  <c r="V50" i="32" s="1"/>
  <c r="L50" i="32" s="1"/>
  <c r="V156" i="32" a="1"/>
  <c r="V156" i="32" s="1"/>
  <c r="L156" i="32" s="1"/>
  <c r="V132" i="32" a="1"/>
  <c r="V132" i="32" s="1"/>
  <c r="L132" i="32" s="1"/>
  <c r="V204" i="32" a="1"/>
  <c r="V204" i="32" s="1"/>
  <c r="L204" i="32" s="1"/>
  <c r="V174" i="32" a="1"/>
  <c r="V174" i="32" s="1"/>
  <c r="L174" i="32" s="1"/>
  <c r="V176" i="32" a="1"/>
  <c r="V176" i="32" s="1"/>
  <c r="L176" i="32" s="1"/>
  <c r="V226" i="32" a="1"/>
  <c r="V226" i="32" s="1"/>
  <c r="L226" i="32" s="1"/>
  <c r="V196" i="32" a="1"/>
  <c r="V196" i="32" s="1"/>
  <c r="L196" i="32" s="1"/>
  <c r="V164" i="32" a="1"/>
  <c r="V164" i="32" s="1"/>
  <c r="L164" i="32" s="1"/>
  <c r="V258" i="32" a="1"/>
  <c r="V258" i="32" s="1"/>
  <c r="L258" i="32" s="1"/>
  <c r="V260" i="32" a="1"/>
  <c r="V260" i="32" s="1"/>
  <c r="L260" i="32" s="1"/>
  <c r="V254" i="32" a="1"/>
  <c r="V254" i="32" s="1"/>
  <c r="L254" i="32" s="1"/>
  <c r="V266" i="32" a="1"/>
  <c r="V266" i="32" s="1"/>
  <c r="L266" i="32" s="1"/>
  <c r="V252" i="32" a="1"/>
  <c r="V252" i="32" s="1"/>
  <c r="L252" i="32" s="1"/>
  <c r="V210" i="32" a="1"/>
  <c r="V210" i="32" s="1"/>
  <c r="L210" i="32" s="1"/>
  <c r="V212" i="32" a="1"/>
  <c r="V212" i="32" s="1"/>
  <c r="L212" i="32" s="1"/>
  <c r="V110" i="32" a="1"/>
  <c r="V110" i="32" s="1"/>
  <c r="L110" i="32" s="1"/>
  <c r="V150" i="32" a="1"/>
  <c r="V150" i="32" s="1"/>
  <c r="L150" i="32" s="1"/>
  <c r="V108" i="32" a="1"/>
  <c r="V108" i="32" s="1"/>
  <c r="L108" i="32" s="1"/>
  <c r="V114" i="32" a="1"/>
  <c r="V114" i="32" s="1"/>
  <c r="L114" i="32" s="1"/>
  <c r="V116" i="32" a="1"/>
  <c r="V116" i="32" s="1"/>
  <c r="L116" i="32" s="1"/>
  <c r="V120" i="32" a="1"/>
  <c r="V120" i="32" s="1"/>
  <c r="L120" i="32" s="1"/>
  <c r="V122" i="32" a="1"/>
  <c r="V122" i="32" s="1"/>
  <c r="L122" i="32" s="1"/>
  <c r="V52" i="32" a="1"/>
  <c r="V52" i="32" s="1"/>
  <c r="L52" i="32" s="1"/>
  <c r="V96" i="32" a="1"/>
  <c r="V96" i="32" s="1"/>
  <c r="L96" i="32" s="1"/>
  <c r="V54" i="32" a="1"/>
  <c r="V54" i="32" s="1"/>
  <c r="L54" i="32" s="1"/>
  <c r="V72" i="32" a="1"/>
  <c r="V72" i="32" s="1"/>
  <c r="L72" i="32" s="1"/>
  <c r="V46" i="32" a="1"/>
  <c r="V46" i="32" s="1"/>
  <c r="L46" i="32" s="1"/>
  <c r="V64" i="32" a="1"/>
  <c r="V64" i="32" s="1"/>
  <c r="L64" i="32" s="1"/>
  <c r="V80" i="32" a="1"/>
  <c r="V80" i="32" s="1"/>
  <c r="L80" i="32" s="1"/>
  <c r="V56" i="32" a="1"/>
  <c r="V56" i="32" s="1"/>
  <c r="L56" i="32" s="1"/>
  <c r="V84" i="32" a="1"/>
  <c r="V84" i="32" s="1"/>
  <c r="L84" i="32" s="1"/>
  <c r="V158" i="32" a="1"/>
  <c r="V158" i="32" s="1"/>
  <c r="L158" i="32" s="1"/>
  <c r="V152" i="32" a="1"/>
  <c r="V152" i="32" s="1"/>
  <c r="L152" i="32" s="1"/>
  <c r="V172" i="32" a="1"/>
  <c r="V172" i="32" s="1"/>
  <c r="L172" i="32" s="1"/>
  <c r="V220" i="32" a="1"/>
  <c r="V220" i="32" s="1"/>
  <c r="L220" i="32" s="1"/>
  <c r="V222" i="32" a="1"/>
  <c r="V222" i="32" s="1"/>
  <c r="L222" i="32" s="1"/>
  <c r="V194" i="32" a="1"/>
  <c r="V194" i="32" s="1"/>
  <c r="L194" i="32" s="1"/>
  <c r="V182" i="32" a="1"/>
  <c r="V182" i="32" s="1"/>
  <c r="L182" i="32" s="1"/>
  <c r="V186" i="32" a="1"/>
  <c r="V186" i="32" s="1"/>
  <c r="L186" i="32" s="1"/>
  <c r="V230" i="32" a="1"/>
  <c r="V230" i="32" s="1"/>
  <c r="L230" i="32" s="1"/>
  <c r="V246" i="32" a="1"/>
  <c r="V246" i="32" s="1"/>
  <c r="L246" i="32" s="1"/>
  <c r="V244" i="32" a="1"/>
  <c r="V244" i="32" s="1"/>
  <c r="L244" i="32" s="1"/>
  <c r="V236" i="32" a="1"/>
  <c r="V236" i="32" s="1"/>
  <c r="L236" i="32" s="1"/>
  <c r="V240" i="32" a="1"/>
  <c r="V240" i="32" s="1"/>
  <c r="L240" i="32" s="1"/>
  <c r="V208" i="32" a="1"/>
  <c r="V208" i="32" s="1"/>
  <c r="L208" i="32" s="1"/>
  <c r="V198" i="32" a="1"/>
  <c r="V198" i="32" s="1"/>
  <c r="L198" i="32" s="1"/>
  <c r="V90" i="32" a="1"/>
  <c r="V90" i="32" s="1"/>
  <c r="L90" i="32" s="1"/>
  <c r="V104" i="32" a="1"/>
  <c r="V104" i="32" s="1"/>
  <c r="L104" i="32" s="1"/>
  <c r="V144" i="32" a="1"/>
  <c r="V144" i="32" s="1"/>
  <c r="L144" i="32" s="1"/>
  <c r="V148" i="32" a="1"/>
  <c r="V148" i="32" s="1"/>
  <c r="L148" i="32" s="1"/>
  <c r="V138" i="32" a="1"/>
  <c r="V138" i="32" s="1"/>
  <c r="L138" i="32" s="1"/>
  <c r="V142" i="32" a="1"/>
  <c r="V142" i="32" s="1"/>
  <c r="L142" i="32" s="1"/>
  <c r="V58" i="32" a="1"/>
  <c r="V58" i="32" s="1"/>
  <c r="L58" i="32" s="1"/>
  <c r="V32" i="32" a="1"/>
  <c r="V32" i="32" s="1"/>
  <c r="L32" i="32" s="1"/>
  <c r="V70" i="32" a="1"/>
  <c r="V70" i="32" s="1"/>
  <c r="L70" i="32" s="1"/>
  <c r="V34" i="32" a="1"/>
  <c r="V34" i="32" s="1"/>
  <c r="L34" i="32" s="1"/>
  <c r="V62" i="32" a="1"/>
  <c r="V62" i="32" s="1"/>
  <c r="L62" i="32" s="1"/>
  <c r="V78" i="32" a="1"/>
  <c r="V78" i="32" s="1"/>
  <c r="L78" i="32" s="1"/>
  <c r="V40" i="32" a="1"/>
  <c r="V40" i="32" s="1"/>
  <c r="L40" i="32" s="1"/>
  <c r="V82" i="32" a="1"/>
  <c r="V82" i="32" s="1"/>
  <c r="L82" i="32" s="1"/>
  <c r="V146" i="32" a="1"/>
  <c r="V146" i="32" s="1"/>
  <c r="L146" i="32" s="1"/>
  <c r="V130" i="32" a="1"/>
  <c r="V130" i="32" s="1"/>
  <c r="L130" i="32" s="1"/>
  <c r="V170" i="32" a="1"/>
  <c r="V170" i="32" s="1"/>
  <c r="L170" i="32" s="1"/>
  <c r="V218" i="32" a="1"/>
  <c r="V218" i="32" s="1"/>
  <c r="L218" i="32" s="1"/>
  <c r="V200" i="32" a="1"/>
  <c r="V200" i="32" s="1"/>
  <c r="L200" i="32" s="1"/>
  <c r="V206" i="32" a="1"/>
  <c r="V206" i="32" s="1"/>
  <c r="L206" i="32" s="1"/>
  <c r="V180" i="32" a="1"/>
  <c r="V180" i="32" s="1"/>
  <c r="L180" i="32" s="1"/>
  <c r="V162" i="32" a="1"/>
  <c r="V162" i="32" s="1"/>
  <c r="L162" i="32" s="1"/>
  <c r="V188" i="32" a="1"/>
  <c r="V188" i="32" s="1"/>
  <c r="L188" i="32" s="1"/>
  <c r="V268" i="32" a="1"/>
  <c r="V268" i="32" s="1"/>
  <c r="L268" i="32" s="1"/>
  <c r="V262" i="32" a="1"/>
  <c r="V262" i="32" s="1"/>
  <c r="L262" i="32" s="1"/>
  <c r="V264" i="32" a="1"/>
  <c r="V264" i="32" s="1"/>
  <c r="L264" i="32" s="1"/>
  <c r="V256" i="32" a="1"/>
  <c r="V256" i="32" s="1"/>
  <c r="L256" i="32" s="1"/>
  <c r="V250" i="32" a="1"/>
  <c r="V250" i="32" s="1"/>
  <c r="L250" i="32" s="1"/>
  <c r="V224" i="32" a="1"/>
  <c r="V224" i="32" s="1"/>
  <c r="L224" i="32" s="1"/>
  <c r="V214" i="32" a="1"/>
  <c r="V214" i="32" s="1"/>
  <c r="L214" i="32" s="1"/>
  <c r="V92" i="32" a="1"/>
  <c r="V92" i="32" s="1"/>
  <c r="L92" i="32" s="1"/>
  <c r="V160" i="32" a="1"/>
  <c r="V160" i="32" s="1"/>
  <c r="L160" i="32" s="1"/>
  <c r="V100" i="32" a="1"/>
  <c r="V100" i="32" s="1"/>
  <c r="L100" i="32" s="1"/>
  <c r="V48" i="32" a="1"/>
  <c r="V48" i="32" s="1"/>
  <c r="L48" i="32" s="1"/>
  <c r="V60" i="32" a="1"/>
  <c r="V60" i="32" s="1"/>
  <c r="L60" i="32" s="1"/>
  <c r="V76" i="32" a="1"/>
  <c r="V76" i="32" s="1"/>
  <c r="L76" i="32" s="1"/>
  <c r="V38" i="32" a="1"/>
  <c r="V38" i="32" s="1"/>
  <c r="L38" i="32" s="1"/>
  <c r="V88" i="32" a="1"/>
  <c r="V88" i="32" s="1"/>
  <c r="L88" i="32" s="1"/>
  <c r="V44" i="32" a="1"/>
  <c r="V44" i="32" s="1"/>
  <c r="L44" i="32" s="1"/>
  <c r="V86" i="32" a="1"/>
  <c r="V86" i="32" s="1"/>
  <c r="L86" i="32" s="1"/>
  <c r="V154" i="32" a="1"/>
  <c r="V154" i="32" s="1"/>
  <c r="L154" i="32" s="1"/>
  <c r="V216" i="32" a="1"/>
  <c r="V216" i="32" s="1"/>
  <c r="L216" i="32" s="1"/>
  <c r="V192" i="32" a="1"/>
  <c r="V192" i="32" s="1"/>
  <c r="L192" i="32" s="1"/>
  <c r="V166" i="32" a="1"/>
  <c r="V166" i="32" s="1"/>
  <c r="L166" i="32" s="1"/>
  <c r="V178" i="32" a="1"/>
  <c r="V178" i="32" s="1"/>
  <c r="L178" i="32" s="1"/>
  <c r="V228" i="32" a="1"/>
  <c r="V228" i="32" s="1"/>
  <c r="L228" i="32" s="1"/>
  <c r="V184" i="32" a="1"/>
  <c r="V184" i="32" s="1"/>
  <c r="L184" i="32" s="1"/>
  <c r="V168" i="32" a="1"/>
  <c r="V168" i="32" s="1"/>
  <c r="L168" i="32" s="1"/>
  <c r="V232" i="32" a="1"/>
  <c r="V232" i="32" s="1"/>
  <c r="L232" i="32" s="1"/>
  <c r="V234" i="32" a="1"/>
  <c r="V234" i="32" s="1"/>
  <c r="L234" i="32" s="1"/>
  <c r="V248" i="32" a="1"/>
  <c r="V248" i="32" s="1"/>
  <c r="L248" i="32" s="1"/>
  <c r="V242" i="32" a="1"/>
  <c r="V242" i="32" s="1"/>
  <c r="L242" i="32" s="1"/>
  <c r="V190" i="32" a="1"/>
  <c r="V190" i="32" s="1"/>
  <c r="L190" i="32" s="1"/>
  <c r="T112" i="32" a="1"/>
  <c r="T112" i="32" s="1"/>
  <c r="M2472" i="27" s="1"/>
  <c r="A2472" i="27" s="1"/>
  <c r="T106" i="32" a="1"/>
  <c r="T106" i="32" s="1"/>
  <c r="M2469" i="27" s="1"/>
  <c r="A2469" i="27" s="1"/>
  <c r="T126" i="32" a="1"/>
  <c r="T126" i="32" s="1"/>
  <c r="M2479" i="27" s="1"/>
  <c r="A2479" i="27" s="1"/>
  <c r="T118" i="32" a="1"/>
  <c r="T118" i="32" s="1"/>
  <c r="M2475" i="27" s="1"/>
  <c r="A2475" i="27" s="1"/>
  <c r="T134" i="32" a="1"/>
  <c r="T134" i="32" s="1"/>
  <c r="M2483" i="27" s="1"/>
  <c r="A2483" i="27" s="1"/>
  <c r="T140" i="32" a="1"/>
  <c r="T140" i="32" s="1"/>
  <c r="M2486" i="27" s="1"/>
  <c r="A2486" i="27" s="1"/>
  <c r="T94" i="32" a="1"/>
  <c r="T94" i="32" s="1"/>
  <c r="M2463" i="27" s="1"/>
  <c r="A2463" i="27" s="1"/>
  <c r="T68" i="32" a="1"/>
  <c r="T68" i="32" s="1"/>
  <c r="M2450" i="27" s="1"/>
  <c r="A2450" i="27" s="1"/>
  <c r="T136" i="32" a="1"/>
  <c r="T136" i="32" s="1"/>
  <c r="M2484" i="27" s="1"/>
  <c r="A2484" i="27" s="1"/>
  <c r="T30" i="32" a="1"/>
  <c r="T30" i="32" s="1"/>
  <c r="M2431" i="27" s="1"/>
  <c r="A2431" i="27" s="1"/>
  <c r="T98" i="32" a="1"/>
  <c r="T98" i="32" s="1"/>
  <c r="M2465" i="27" s="1"/>
  <c r="A2465" i="27" s="1"/>
  <c r="T124" i="32" a="1"/>
  <c r="T124" i="32" s="1"/>
  <c r="M2478" i="27" s="1"/>
  <c r="A2478" i="27" s="1"/>
  <c r="T128" i="32" a="1"/>
  <c r="T128" i="32" s="1"/>
  <c r="M2480" i="27" s="1"/>
  <c r="A2480" i="27" s="1"/>
  <c r="T102" i="32" a="1"/>
  <c r="T102" i="32" s="1"/>
  <c r="M2467" i="27" s="1"/>
  <c r="A2467" i="27" s="1"/>
  <c r="T74" i="32" a="1"/>
  <c r="T74" i="32" s="1"/>
  <c r="T36" i="32" a="1"/>
  <c r="T36" i="32" s="1"/>
  <c r="M2434" i="27" s="1"/>
  <c r="A2434" i="27" s="1"/>
  <c r="T66" i="32" a="1"/>
  <c r="T66" i="32" s="1"/>
  <c r="M2449" i="27" s="1"/>
  <c r="A2449" i="27" s="1"/>
  <c r="T42" i="32" a="1"/>
  <c r="T42" i="32" s="1"/>
  <c r="M2437" i="27" s="1"/>
  <c r="A2437" i="27" s="1"/>
  <c r="T50" i="32" a="1"/>
  <c r="T50" i="32" s="1"/>
  <c r="M2441" i="27" s="1"/>
  <c r="A2441" i="27" s="1"/>
  <c r="T156" i="32" a="1"/>
  <c r="T156" i="32" s="1"/>
  <c r="M2494" i="27" s="1"/>
  <c r="A2494" i="27" s="1"/>
  <c r="T132" i="32" a="1"/>
  <c r="T132" i="32" s="1"/>
  <c r="M2482" i="27" s="1"/>
  <c r="A2482" i="27" s="1"/>
  <c r="T204" i="32" a="1"/>
  <c r="T204" i="32" s="1"/>
  <c r="T174" i="32" a="1"/>
  <c r="T174" i="32" s="1"/>
  <c r="T176" i="32" a="1"/>
  <c r="T176" i="32" s="1"/>
  <c r="T226" i="32" a="1"/>
  <c r="T226" i="32" s="1"/>
  <c r="T196" i="32" a="1"/>
  <c r="T196" i="32" s="1"/>
  <c r="T164" i="32" a="1"/>
  <c r="T164" i="32" s="1"/>
  <c r="T258" i="32" a="1"/>
  <c r="T258" i="32" s="1"/>
  <c r="T260" i="32" a="1"/>
  <c r="T260" i="32" s="1"/>
  <c r="T254" i="32" a="1"/>
  <c r="T254" i="32" s="1"/>
  <c r="T266" i="32" a="1"/>
  <c r="T266" i="32" s="1"/>
  <c r="T252" i="32" a="1"/>
  <c r="T252" i="32" s="1"/>
  <c r="T210" i="32" a="1"/>
  <c r="T210" i="32" s="1"/>
  <c r="T212" i="32" a="1"/>
  <c r="T212" i="32" s="1"/>
  <c r="T110" i="32" a="1"/>
  <c r="T110" i="32" s="1"/>
  <c r="M2471" i="27" s="1"/>
  <c r="A2471" i="27" s="1"/>
  <c r="T150" i="32" a="1"/>
  <c r="T150" i="32" s="1"/>
  <c r="M2491" i="27" s="1"/>
  <c r="A2491" i="27" s="1"/>
  <c r="T108" i="32" a="1"/>
  <c r="T108" i="32" s="1"/>
  <c r="M2470" i="27" s="1"/>
  <c r="A2470" i="27" s="1"/>
  <c r="T114" i="32" a="1"/>
  <c r="T114" i="32" s="1"/>
  <c r="M2473" i="27" s="1"/>
  <c r="A2473" i="27" s="1"/>
  <c r="T116" i="32" a="1"/>
  <c r="T116" i="32" s="1"/>
  <c r="M2474" i="27" s="1"/>
  <c r="A2474" i="27" s="1"/>
  <c r="T120" i="32" a="1"/>
  <c r="T120" i="32" s="1"/>
  <c r="M2476" i="27" s="1"/>
  <c r="A2476" i="27" s="1"/>
  <c r="T122" i="32" a="1"/>
  <c r="T122" i="32" s="1"/>
  <c r="M2477" i="27" s="1"/>
  <c r="A2477" i="27" s="1"/>
  <c r="T52" i="32" a="1"/>
  <c r="T52" i="32" s="1"/>
  <c r="M2442" i="27" s="1"/>
  <c r="A2442" i="27" s="1"/>
  <c r="T96" i="32" a="1"/>
  <c r="T96" i="32" s="1"/>
  <c r="M2464" i="27" s="1"/>
  <c r="A2464" i="27" s="1"/>
  <c r="T54" i="32" a="1"/>
  <c r="T54" i="32" s="1"/>
  <c r="M2443" i="27" s="1"/>
  <c r="A2443" i="27" s="1"/>
  <c r="T72" i="32" a="1"/>
  <c r="T72" i="32" s="1"/>
  <c r="M2452" i="27" s="1"/>
  <c r="A2452" i="27" s="1"/>
  <c r="T46" i="32" a="1"/>
  <c r="T46" i="32" s="1"/>
  <c r="M2439" i="27" s="1"/>
  <c r="A2439" i="27" s="1"/>
  <c r="T64" i="32" a="1"/>
  <c r="T64" i="32" s="1"/>
  <c r="M2448" i="27" s="1"/>
  <c r="A2448" i="27" s="1"/>
  <c r="T80" i="32" a="1"/>
  <c r="T80" i="32" s="1"/>
  <c r="M2456" i="27" s="1"/>
  <c r="A2456" i="27" s="1"/>
  <c r="T56" i="32" a="1"/>
  <c r="T56" i="32" s="1"/>
  <c r="M2444" i="27" s="1"/>
  <c r="A2444" i="27" s="1"/>
  <c r="T84" i="32" a="1"/>
  <c r="T84" i="32" s="1"/>
  <c r="M2458" i="27" s="1"/>
  <c r="A2458" i="27" s="1"/>
  <c r="T158" i="32" a="1"/>
  <c r="T158" i="32" s="1"/>
  <c r="M2495" i="27" s="1"/>
  <c r="A2495" i="27" s="1"/>
  <c r="T152" i="32" a="1"/>
  <c r="T152" i="32" s="1"/>
  <c r="M2492" i="27" s="1"/>
  <c r="A2492" i="27" s="1"/>
  <c r="T172" i="32" a="1"/>
  <c r="T172" i="32" s="1"/>
  <c r="T220" i="32" a="1"/>
  <c r="T220" i="32" s="1"/>
  <c r="T222" i="32" a="1"/>
  <c r="T222" i="32" s="1"/>
  <c r="T194" i="32" a="1"/>
  <c r="T194" i="32" s="1"/>
  <c r="T182" i="32" a="1"/>
  <c r="T182" i="32" s="1"/>
  <c r="T186" i="32" a="1"/>
  <c r="T186" i="32" s="1"/>
  <c r="T230" i="32" a="1"/>
  <c r="T230" i="32" s="1"/>
  <c r="T246" i="32" a="1"/>
  <c r="T246" i="32" s="1"/>
  <c r="T244" i="32" a="1"/>
  <c r="T244" i="32" s="1"/>
  <c r="T236" i="32" a="1"/>
  <c r="T236" i="32" s="1"/>
  <c r="T240" i="32" a="1"/>
  <c r="T240" i="32" s="1"/>
  <c r="T208" i="32" a="1"/>
  <c r="T208" i="32" s="1"/>
  <c r="T198" i="32" a="1"/>
  <c r="T198" i="32" s="1"/>
  <c r="T90" i="32" a="1"/>
  <c r="T90" i="32" s="1"/>
  <c r="M2461" i="27" s="1"/>
  <c r="A2461" i="27" s="1"/>
  <c r="T104" i="32" a="1"/>
  <c r="T104" i="32" s="1"/>
  <c r="M2468" i="27" s="1"/>
  <c r="A2468" i="27" s="1"/>
  <c r="T144" i="32" a="1"/>
  <c r="T144" i="32" s="1"/>
  <c r="M2488" i="27" s="1"/>
  <c r="A2488" i="27" s="1"/>
  <c r="T148" i="32" a="1"/>
  <c r="T148" i="32" s="1"/>
  <c r="M2490" i="27" s="1"/>
  <c r="A2490" i="27" s="1"/>
  <c r="T138" i="32" a="1"/>
  <c r="T138" i="32" s="1"/>
  <c r="M2485" i="27" s="1"/>
  <c r="A2485" i="27" s="1"/>
  <c r="T142" i="32" a="1"/>
  <c r="T142" i="32" s="1"/>
  <c r="M2487" i="27" s="1"/>
  <c r="A2487" i="27" s="1"/>
  <c r="T58" i="32" a="1"/>
  <c r="T58" i="32" s="1"/>
  <c r="M2445" i="27" s="1"/>
  <c r="A2445" i="27" s="1"/>
  <c r="T32" i="32" a="1"/>
  <c r="T32" i="32" s="1"/>
  <c r="M2432" i="27" s="1"/>
  <c r="A2432" i="27" s="1"/>
  <c r="T70" i="32" a="1"/>
  <c r="T70" i="32" s="1"/>
  <c r="M2451" i="27" s="1"/>
  <c r="A2451" i="27" s="1"/>
  <c r="T34" i="32" a="1"/>
  <c r="T34" i="32" s="1"/>
  <c r="M2433" i="27" s="1"/>
  <c r="A2433" i="27" s="1"/>
  <c r="T62" i="32" a="1"/>
  <c r="T62" i="32" s="1"/>
  <c r="M2447" i="27" s="1"/>
  <c r="A2447" i="27" s="1"/>
  <c r="T78" i="32" a="1"/>
  <c r="T78" i="32" s="1"/>
  <c r="M2455" i="27" s="1"/>
  <c r="A2455" i="27" s="1"/>
  <c r="T40" i="32" a="1"/>
  <c r="T40" i="32" s="1"/>
  <c r="M2436" i="27" s="1"/>
  <c r="A2436" i="27" s="1"/>
  <c r="T82" i="32" a="1"/>
  <c r="T82" i="32" s="1"/>
  <c r="M2457" i="27" s="1"/>
  <c r="A2457" i="27" s="1"/>
  <c r="T146" i="32" a="1"/>
  <c r="T146" i="32" s="1"/>
  <c r="M2489" i="27" s="1"/>
  <c r="A2489" i="27" s="1"/>
  <c r="T130" i="32" a="1"/>
  <c r="T130" i="32" s="1"/>
  <c r="M2481" i="27" s="1"/>
  <c r="A2481" i="27" s="1"/>
  <c r="T170" i="32" a="1"/>
  <c r="T170" i="32" s="1"/>
  <c r="T218" i="32" a="1"/>
  <c r="T218" i="32" s="1"/>
  <c r="T200" i="32" a="1"/>
  <c r="T200" i="32" s="1"/>
  <c r="T206" i="32" a="1"/>
  <c r="T206" i="32" s="1"/>
  <c r="T180" i="32" a="1"/>
  <c r="T180" i="32" s="1"/>
  <c r="T162" i="32" a="1"/>
  <c r="T162" i="32" s="1"/>
  <c r="T188" i="32" a="1"/>
  <c r="T188" i="32" s="1"/>
  <c r="T268" i="32" a="1"/>
  <c r="T268" i="32" s="1"/>
  <c r="T262" i="32" a="1"/>
  <c r="T262" i="32" s="1"/>
  <c r="T264" i="32" a="1"/>
  <c r="T264" i="32" s="1"/>
  <c r="T256" i="32" a="1"/>
  <c r="T256" i="32" s="1"/>
  <c r="T250" i="32" a="1"/>
  <c r="T250" i="32" s="1"/>
  <c r="T224" i="32" a="1"/>
  <c r="T224" i="32" s="1"/>
  <c r="T214" i="32" a="1"/>
  <c r="T214" i="32" s="1"/>
  <c r="T92" i="32" a="1"/>
  <c r="T92" i="32" s="1"/>
  <c r="M2462" i="27" s="1"/>
  <c r="A2462" i="27" s="1"/>
  <c r="T160" i="32" a="1"/>
  <c r="T160" i="32" s="1"/>
  <c r="T100" i="32" a="1"/>
  <c r="T100" i="32" s="1"/>
  <c r="M2466" i="27" s="1"/>
  <c r="A2466" i="27" s="1"/>
  <c r="T48" i="32" a="1"/>
  <c r="T48" i="32" s="1"/>
  <c r="M2440" i="27" s="1"/>
  <c r="A2440" i="27" s="1"/>
  <c r="T60" i="32" a="1"/>
  <c r="T60" i="32" s="1"/>
  <c r="M2446" i="27" s="1"/>
  <c r="A2446" i="27" s="1"/>
  <c r="T76" i="32" a="1"/>
  <c r="T76" i="32" s="1"/>
  <c r="M2454" i="27" s="1"/>
  <c r="A2454" i="27" s="1"/>
  <c r="T38" i="32" a="1"/>
  <c r="T38" i="32" s="1"/>
  <c r="M2435" i="27" s="1"/>
  <c r="A2435" i="27" s="1"/>
  <c r="T88" i="32" a="1"/>
  <c r="T88" i="32" s="1"/>
  <c r="M2460" i="27" s="1"/>
  <c r="A2460" i="27" s="1"/>
  <c r="T44" i="32" a="1"/>
  <c r="T44" i="32" s="1"/>
  <c r="M2438" i="27" s="1"/>
  <c r="A2438" i="27" s="1"/>
  <c r="T86" i="32" a="1"/>
  <c r="T86" i="32" s="1"/>
  <c r="M2459" i="27" s="1"/>
  <c r="A2459" i="27" s="1"/>
  <c r="T154" i="32" a="1"/>
  <c r="T154" i="32" s="1"/>
  <c r="M2493" i="27" s="1"/>
  <c r="A2493" i="27" s="1"/>
  <c r="T216" i="32" a="1"/>
  <c r="T216" i="32" s="1"/>
  <c r="T192" i="32" a="1"/>
  <c r="T192" i="32" s="1"/>
  <c r="T166" i="32" a="1"/>
  <c r="T166" i="32" s="1"/>
  <c r="T178" i="32" a="1"/>
  <c r="T178" i="32" s="1"/>
  <c r="T228" i="32" a="1"/>
  <c r="T228" i="32" s="1"/>
  <c r="T184" i="32" a="1"/>
  <c r="T184" i="32" s="1"/>
  <c r="T168" i="32" a="1"/>
  <c r="T168" i="32" s="1"/>
  <c r="T232" i="32" a="1"/>
  <c r="T232" i="32" s="1"/>
  <c r="T234" i="32" a="1"/>
  <c r="T234" i="32" s="1"/>
  <c r="T248" i="32" a="1"/>
  <c r="T248" i="32" s="1"/>
  <c r="T238" i="32" a="1"/>
  <c r="T238" i="32" s="1"/>
  <c r="T242" i="32" a="1"/>
  <c r="T242" i="32" s="1"/>
  <c r="T202" i="32" a="1"/>
  <c r="T202" i="32" s="1"/>
  <c r="T190" i="32" a="1"/>
  <c r="T190" i="32" s="1"/>
  <c r="R248" i="32" a="1"/>
  <c r="R248" i="32" s="1"/>
  <c r="D248" i="32" s="1"/>
  <c r="S242" i="32" a="1"/>
  <c r="S242" i="32" s="1"/>
  <c r="E242" i="32" s="1"/>
  <c r="S190" i="32" a="1"/>
  <c r="S190" i="32" s="1"/>
  <c r="E190" i="32" s="1"/>
  <c r="R112" i="32" a="1"/>
  <c r="R112" i="32" s="1"/>
  <c r="D112" i="32" s="1"/>
  <c r="S106" i="32" a="1"/>
  <c r="S106" i="32" s="1"/>
  <c r="E106" i="32" s="1"/>
  <c r="F2469" i="27" s="1"/>
  <c r="S126" i="32" a="1"/>
  <c r="S126" i="32" s="1"/>
  <c r="E126" i="32" s="1"/>
  <c r="F2479" i="27" s="1"/>
  <c r="S118" i="32" a="1"/>
  <c r="S118" i="32" s="1"/>
  <c r="E118" i="32" s="1"/>
  <c r="F2475" i="27" s="1"/>
  <c r="S134" i="32" a="1"/>
  <c r="S134" i="32" s="1"/>
  <c r="E134" i="32" s="1"/>
  <c r="F2483" i="27" s="1"/>
  <c r="S140" i="32" a="1"/>
  <c r="S140" i="32" s="1"/>
  <c r="E140" i="32" s="1"/>
  <c r="F2486" i="27" s="1"/>
  <c r="S94" i="32" a="1"/>
  <c r="S94" i="32" s="1"/>
  <c r="E94" i="32" s="1"/>
  <c r="F2463" i="27" s="1"/>
  <c r="S68" i="32" a="1"/>
  <c r="S68" i="32" s="1"/>
  <c r="E68" i="32" s="1"/>
  <c r="F2450" i="27" s="1"/>
  <c r="R136" i="32" a="1"/>
  <c r="R136" i="32" s="1"/>
  <c r="D136" i="32" s="1"/>
  <c r="S30" i="32" a="1"/>
  <c r="S30" i="32" s="1"/>
  <c r="E30" i="32" s="1"/>
  <c r="F2431" i="27" s="1"/>
  <c r="S98" i="32" a="1"/>
  <c r="S98" i="32" s="1"/>
  <c r="E98" i="32" s="1"/>
  <c r="F2465" i="27" s="1"/>
  <c r="S124" i="32" a="1"/>
  <c r="S124" i="32" s="1"/>
  <c r="E124" i="32" s="1"/>
  <c r="F2478" i="27" s="1"/>
  <c r="R128" i="32" a="1"/>
  <c r="R128" i="32" s="1"/>
  <c r="D128" i="32" s="1"/>
  <c r="S102" i="32" a="1"/>
  <c r="S102" i="32" s="1"/>
  <c r="E102" i="32" s="1"/>
  <c r="F2467" i="27" s="1"/>
  <c r="S74" i="32" a="1"/>
  <c r="S74" i="32" s="1"/>
  <c r="E74" i="32" s="1"/>
  <c r="S36" i="32" a="1"/>
  <c r="S36" i="32" s="1"/>
  <c r="E36" i="32" s="1"/>
  <c r="F2434" i="27" s="1"/>
  <c r="S66" i="32" a="1"/>
  <c r="S66" i="32" s="1"/>
  <c r="E66" i="32" s="1"/>
  <c r="F2449" i="27" s="1"/>
  <c r="S42" i="32" a="1"/>
  <c r="S42" i="32" s="1"/>
  <c r="E42" i="32" s="1"/>
  <c r="F2437" i="27" s="1"/>
  <c r="S50" i="32" a="1"/>
  <c r="S50" i="32" s="1"/>
  <c r="E50" i="32" s="1"/>
  <c r="F2441" i="27" s="1"/>
  <c r="S156" i="32" a="1"/>
  <c r="S156" i="32" s="1"/>
  <c r="E156" i="32" s="1"/>
  <c r="F2494" i="27" s="1"/>
  <c r="S132" i="32" a="1"/>
  <c r="S132" i="32" s="1"/>
  <c r="E132" i="32" s="1"/>
  <c r="F2482" i="27" s="1"/>
  <c r="S204" i="32" a="1"/>
  <c r="S204" i="32" s="1"/>
  <c r="E204" i="32" s="1"/>
  <c r="S174" i="32" a="1"/>
  <c r="S174" i="32" s="1"/>
  <c r="E174" i="32" s="1"/>
  <c r="R176" i="32" a="1"/>
  <c r="R176" i="32" s="1"/>
  <c r="D176" i="32" s="1"/>
  <c r="S226" i="32" a="1"/>
  <c r="S226" i="32" s="1"/>
  <c r="E226" i="32" s="1"/>
  <c r="S196" i="32" a="1"/>
  <c r="S196" i="32" s="1"/>
  <c r="E196" i="32" s="1"/>
  <c r="S164" i="32" a="1"/>
  <c r="S164" i="32" s="1"/>
  <c r="E164" i="32" s="1"/>
  <c r="S258" i="32" a="1"/>
  <c r="S258" i="32" s="1"/>
  <c r="E258" i="32" s="1"/>
  <c r="S260" i="32" a="1"/>
  <c r="S260" i="32" s="1"/>
  <c r="E260" i="32" s="1"/>
  <c r="S254" i="32" a="1"/>
  <c r="S254" i="32" s="1"/>
  <c r="E254" i="32" s="1"/>
  <c r="S266" i="32" a="1"/>
  <c r="S266" i="32" s="1"/>
  <c r="E266" i="32" s="1"/>
  <c r="S252" i="32" a="1"/>
  <c r="S252" i="32" s="1"/>
  <c r="E252" i="32" s="1"/>
  <c r="S210" i="32" a="1"/>
  <c r="S210" i="32" s="1"/>
  <c r="E210" i="32" s="1"/>
  <c r="S212" i="32" a="1"/>
  <c r="S212" i="32" s="1"/>
  <c r="E212" i="32" s="1"/>
  <c r="S110" i="32" a="1"/>
  <c r="S110" i="32" s="1"/>
  <c r="E110" i="32" s="1"/>
  <c r="F2471" i="27" s="1"/>
  <c r="S150" i="32" a="1"/>
  <c r="S150" i="32" s="1"/>
  <c r="E150" i="32" s="1"/>
  <c r="F2491" i="27" s="1"/>
  <c r="S108" i="32" a="1"/>
  <c r="S108" i="32" s="1"/>
  <c r="E108" i="32" s="1"/>
  <c r="F2470" i="27" s="1"/>
  <c r="S114" i="32" a="1"/>
  <c r="S114" i="32" s="1"/>
  <c r="E114" i="32" s="1"/>
  <c r="F2473" i="27" s="1"/>
  <c r="S116" i="32" a="1"/>
  <c r="S116" i="32" s="1"/>
  <c r="E116" i="32" s="1"/>
  <c r="F2474" i="27" s="1"/>
  <c r="R120" i="32" a="1"/>
  <c r="R120" i="32" s="1"/>
  <c r="D120" i="32" s="1"/>
  <c r="S122" i="32" a="1"/>
  <c r="S122" i="32" s="1"/>
  <c r="E122" i="32" s="1"/>
  <c r="F2477" i="27" s="1"/>
  <c r="S52" i="32" a="1"/>
  <c r="S52" i="32" s="1"/>
  <c r="E52" i="32" s="1"/>
  <c r="F2442" i="27" s="1"/>
  <c r="R96" i="32" a="1"/>
  <c r="R96" i="32" s="1"/>
  <c r="D96" i="32" s="1"/>
  <c r="S54" i="32" a="1"/>
  <c r="S54" i="32" s="1"/>
  <c r="E54" i="32" s="1"/>
  <c r="F2443" i="27" s="1"/>
  <c r="R72" i="32" a="1"/>
  <c r="R72" i="32" s="1"/>
  <c r="D72" i="32" s="1"/>
  <c r="S46" i="32" a="1"/>
  <c r="S46" i="32" s="1"/>
  <c r="E46" i="32" s="1"/>
  <c r="F2439" i="27" s="1"/>
  <c r="R64" i="32" a="1"/>
  <c r="R64" i="32" s="1"/>
  <c r="D64" i="32" s="1"/>
  <c r="R80" i="32" a="1"/>
  <c r="R80" i="32" s="1"/>
  <c r="D80" i="32" s="1"/>
  <c r="R56" i="32" a="1"/>
  <c r="R56" i="32" s="1"/>
  <c r="D56" i="32" s="1"/>
  <c r="S84" i="32" a="1"/>
  <c r="S84" i="32" s="1"/>
  <c r="E84" i="32" s="1"/>
  <c r="F2458" i="27" s="1"/>
  <c r="S158" i="32" a="1"/>
  <c r="S158" i="32" s="1"/>
  <c r="E158" i="32" s="1"/>
  <c r="F2495" i="27" s="1"/>
  <c r="R152" i="32" a="1"/>
  <c r="R152" i="32" s="1"/>
  <c r="D152" i="32" s="1"/>
  <c r="S172" i="32" a="1"/>
  <c r="S172" i="32" s="1"/>
  <c r="E172" i="32" s="1"/>
  <c r="S220" i="32" a="1"/>
  <c r="S220" i="32" s="1"/>
  <c r="E220" i="32" s="1"/>
  <c r="S222" i="32" a="1"/>
  <c r="S222" i="32" s="1"/>
  <c r="E222" i="32" s="1"/>
  <c r="S194" i="32" a="1"/>
  <c r="S194" i="32" s="1"/>
  <c r="E194" i="32" s="1"/>
  <c r="S182" i="32" a="1"/>
  <c r="S182" i="32" s="1"/>
  <c r="E182" i="32" s="1"/>
  <c r="S186" i="32" a="1"/>
  <c r="S186" i="32" s="1"/>
  <c r="E186" i="32" s="1"/>
  <c r="S230" i="32" a="1"/>
  <c r="S230" i="32" s="1"/>
  <c r="E230" i="32" s="1"/>
  <c r="S246" i="32" a="1"/>
  <c r="S246" i="32" s="1"/>
  <c r="E246" i="32" s="1"/>
  <c r="S244" i="32" a="1"/>
  <c r="S244" i="32" s="1"/>
  <c r="E244" i="32" s="1"/>
  <c r="S236" i="32" a="1"/>
  <c r="S236" i="32" s="1"/>
  <c r="E236" i="32" s="1"/>
  <c r="R240" i="32" a="1"/>
  <c r="R240" i="32" s="1"/>
  <c r="D240" i="32" s="1"/>
  <c r="R208" i="32" a="1"/>
  <c r="R208" i="32" s="1"/>
  <c r="D208" i="32" s="1"/>
  <c r="S198" i="32" a="1"/>
  <c r="S198" i="32" s="1"/>
  <c r="E198" i="32" s="1"/>
  <c r="S90" i="32" a="1"/>
  <c r="S90" i="32" s="1"/>
  <c r="E90" i="32" s="1"/>
  <c r="F2461" i="27" s="1"/>
  <c r="R104" i="32" a="1"/>
  <c r="R104" i="32" s="1"/>
  <c r="D104" i="32" s="1"/>
  <c r="R144" i="32" a="1"/>
  <c r="R144" i="32" s="1"/>
  <c r="D144" i="32" s="1"/>
  <c r="S148" i="32" a="1"/>
  <c r="S148" i="32" s="1"/>
  <c r="E148" i="32" s="1"/>
  <c r="F2490" i="27" s="1"/>
  <c r="S138" i="32" a="1"/>
  <c r="S138" i="32" s="1"/>
  <c r="E138" i="32" s="1"/>
  <c r="F2485" i="27" s="1"/>
  <c r="S142" i="32" a="1"/>
  <c r="S142" i="32" s="1"/>
  <c r="E142" i="32" s="1"/>
  <c r="F2487" i="27" s="1"/>
  <c r="S58" i="32" a="1"/>
  <c r="S58" i="32" s="1"/>
  <c r="E58" i="32" s="1"/>
  <c r="F2445" i="27" s="1"/>
  <c r="R32" i="32" a="1"/>
  <c r="R32" i="32" s="1"/>
  <c r="D32" i="32" s="1"/>
  <c r="S70" i="32" a="1"/>
  <c r="S70" i="32" s="1"/>
  <c r="E70" i="32" s="1"/>
  <c r="F2451" i="27" s="1"/>
  <c r="S34" i="32" a="1"/>
  <c r="S34" i="32" s="1"/>
  <c r="E34" i="32" s="1"/>
  <c r="F2433" i="27" s="1"/>
  <c r="S62" i="32" a="1"/>
  <c r="S62" i="32" s="1"/>
  <c r="E62" i="32" s="1"/>
  <c r="F2447" i="27" s="1"/>
  <c r="S78" i="32" a="1"/>
  <c r="S78" i="32" s="1"/>
  <c r="E78" i="32" s="1"/>
  <c r="F2455" i="27" s="1"/>
  <c r="R40" i="32" a="1"/>
  <c r="R40" i="32" s="1"/>
  <c r="D40" i="32" s="1"/>
  <c r="S82" i="32" a="1"/>
  <c r="S82" i="32" s="1"/>
  <c r="E82" i="32" s="1"/>
  <c r="F2457" i="27" s="1"/>
  <c r="S146" i="32" a="1"/>
  <c r="S146" i="32" s="1"/>
  <c r="E146" i="32" s="1"/>
  <c r="F2489" i="27" s="1"/>
  <c r="S130" i="32" a="1"/>
  <c r="S130" i="32" s="1"/>
  <c r="E130" i="32" s="1"/>
  <c r="F2481" i="27" s="1"/>
  <c r="S170" i="32" a="1"/>
  <c r="S170" i="32" s="1"/>
  <c r="E170" i="32" s="1"/>
  <c r="S218" i="32" a="1"/>
  <c r="S218" i="32" s="1"/>
  <c r="E218" i="32" s="1"/>
  <c r="R200" i="32" a="1"/>
  <c r="R200" i="32" s="1"/>
  <c r="D200" i="32" s="1"/>
  <c r="S206" i="32" a="1"/>
  <c r="S206" i="32" s="1"/>
  <c r="E206" i="32" s="1"/>
  <c r="S180" i="32" a="1"/>
  <c r="S180" i="32" s="1"/>
  <c r="E180" i="32" s="1"/>
  <c r="S162" i="32" a="1"/>
  <c r="S162" i="32" s="1"/>
  <c r="E162" i="32" s="1"/>
  <c r="S188" i="32" a="1"/>
  <c r="S188" i="32" s="1"/>
  <c r="E188" i="32" s="1"/>
  <c r="S268" i="32" a="1"/>
  <c r="S268" i="32" s="1"/>
  <c r="E268" i="32" s="1"/>
  <c r="S262" i="32" a="1"/>
  <c r="S262" i="32" s="1"/>
  <c r="E262" i="32" s="1"/>
  <c r="R264" i="32" a="1"/>
  <c r="R264" i="32" s="1"/>
  <c r="D264" i="32" s="1"/>
  <c r="R256" i="32" a="1"/>
  <c r="R256" i="32" s="1"/>
  <c r="D256" i="32" s="1"/>
  <c r="S250" i="32" a="1"/>
  <c r="S250" i="32" s="1"/>
  <c r="E250" i="32" s="1"/>
  <c r="R224" i="32" a="1"/>
  <c r="R224" i="32" s="1"/>
  <c r="D224" i="32" s="1"/>
  <c r="S214" i="32" a="1"/>
  <c r="S214" i="32" s="1"/>
  <c r="E214" i="32" s="1"/>
  <c r="S92" i="32" a="1"/>
  <c r="S92" i="32" s="1"/>
  <c r="E92" i="32" s="1"/>
  <c r="F2462" i="27" s="1"/>
  <c r="R160" i="32" a="1"/>
  <c r="R160" i="32" s="1"/>
  <c r="D160" i="32" s="1"/>
  <c r="S100" i="32" a="1"/>
  <c r="S100" i="32" s="1"/>
  <c r="E100" i="32" s="1"/>
  <c r="F2466" i="27" s="1"/>
  <c r="R48" i="32" a="1"/>
  <c r="R48" i="32" s="1"/>
  <c r="D48" i="32" s="1"/>
  <c r="S60" i="32" a="1"/>
  <c r="S60" i="32" s="1"/>
  <c r="E60" i="32" s="1"/>
  <c r="F2446" i="27" s="1"/>
  <c r="S76" i="32" a="1"/>
  <c r="S76" i="32" s="1"/>
  <c r="E76" i="32" s="1"/>
  <c r="F2454" i="27" s="1"/>
  <c r="S38" i="32" a="1"/>
  <c r="S38" i="32" s="1"/>
  <c r="E38" i="32" s="1"/>
  <c r="F2435" i="27" s="1"/>
  <c r="R88" i="32" a="1"/>
  <c r="R88" i="32" s="1"/>
  <c r="D88" i="32" s="1"/>
  <c r="S44" i="32" a="1"/>
  <c r="S44" i="32" s="1"/>
  <c r="E44" i="32" s="1"/>
  <c r="F2438" i="27" s="1"/>
  <c r="S86" i="32" a="1"/>
  <c r="S86" i="32" s="1"/>
  <c r="E86" i="32" s="1"/>
  <c r="F2459" i="27" s="1"/>
  <c r="S154" i="32" a="1"/>
  <c r="S154" i="32" s="1"/>
  <c r="E154" i="32" s="1"/>
  <c r="F2493" i="27" s="1"/>
  <c r="R216" i="32" a="1"/>
  <c r="R216" i="32" s="1"/>
  <c r="D216" i="32" s="1"/>
  <c r="R192" i="32" a="1"/>
  <c r="R192" i="32" s="1"/>
  <c r="D192" i="32" s="1"/>
  <c r="S166" i="32" a="1"/>
  <c r="S166" i="32" s="1"/>
  <c r="E166" i="32" s="1"/>
  <c r="S178" i="32" a="1"/>
  <c r="S178" i="32" s="1"/>
  <c r="E178" i="32" s="1"/>
  <c r="S228" i="32" a="1"/>
  <c r="S228" i="32" s="1"/>
  <c r="E228" i="32" s="1"/>
  <c r="R184" i="32" a="1"/>
  <c r="R184" i="32" s="1"/>
  <c r="D184" i="32" s="1"/>
  <c r="R168" i="32" a="1"/>
  <c r="R168" i="32" s="1"/>
  <c r="D168" i="32" s="1"/>
  <c r="R232" i="32" a="1"/>
  <c r="R232" i="32" s="1"/>
  <c r="D232" i="32" s="1"/>
  <c r="S234" i="32" a="1"/>
  <c r="S234" i="32" s="1"/>
  <c r="E234" i="32" s="1"/>
  <c r="S238" i="32" a="1"/>
  <c r="S238" i="32" s="1"/>
  <c r="E238" i="32" s="1"/>
  <c r="S202" i="32" a="1"/>
  <c r="S202" i="32" s="1"/>
  <c r="E202" i="32" s="1"/>
  <c r="S112" i="32" a="1"/>
  <c r="S112" i="32" s="1"/>
  <c r="E112" i="32" s="1"/>
  <c r="F2472" i="27" s="1"/>
  <c r="R106" i="32" a="1"/>
  <c r="R106" i="32" s="1"/>
  <c r="D106" i="32" s="1"/>
  <c r="R126" i="32" a="1"/>
  <c r="R126" i="32" s="1"/>
  <c r="D126" i="32" s="1"/>
  <c r="R118" i="32" a="1"/>
  <c r="R118" i="32" s="1"/>
  <c r="D118" i="32" s="1"/>
  <c r="R134" i="32" a="1"/>
  <c r="R134" i="32" s="1"/>
  <c r="D134" i="32" s="1"/>
  <c r="R140" i="32" a="1"/>
  <c r="R140" i="32" s="1"/>
  <c r="D140" i="32" s="1"/>
  <c r="R94" i="32" a="1"/>
  <c r="R94" i="32" s="1"/>
  <c r="D94" i="32" s="1"/>
  <c r="R68" i="32" a="1"/>
  <c r="R68" i="32" s="1"/>
  <c r="D68" i="32" s="1"/>
  <c r="S136" i="32" a="1"/>
  <c r="S136" i="32" s="1"/>
  <c r="E136" i="32" s="1"/>
  <c r="F2484" i="27" s="1"/>
  <c r="R30" i="32" a="1"/>
  <c r="R30" i="32" s="1"/>
  <c r="D30" i="32" s="1"/>
  <c r="R98" i="32" a="1"/>
  <c r="R98" i="32" s="1"/>
  <c r="D98" i="32" s="1"/>
  <c r="R124" i="32" a="1"/>
  <c r="R124" i="32" s="1"/>
  <c r="D124" i="32" s="1"/>
  <c r="S128" i="32" a="1"/>
  <c r="S128" i="32" s="1"/>
  <c r="E128" i="32" s="1"/>
  <c r="F2480" i="27" s="1"/>
  <c r="R102" i="32" a="1"/>
  <c r="R102" i="32" s="1"/>
  <c r="D102" i="32" s="1"/>
  <c r="R74" i="32" a="1"/>
  <c r="R74" i="32" s="1"/>
  <c r="D74" i="32" s="1"/>
  <c r="R36" i="32" a="1"/>
  <c r="R36" i="32" s="1"/>
  <c r="D36" i="32" s="1"/>
  <c r="R66" i="32" a="1"/>
  <c r="R66" i="32" s="1"/>
  <c r="D66" i="32" s="1"/>
  <c r="R42" i="32" a="1"/>
  <c r="R42" i="32" s="1"/>
  <c r="D42" i="32" s="1"/>
  <c r="R50" i="32" a="1"/>
  <c r="R50" i="32" s="1"/>
  <c r="D50" i="32" s="1"/>
  <c r="R156" i="32" a="1"/>
  <c r="R156" i="32" s="1"/>
  <c r="D156" i="32" s="1"/>
  <c r="R132" i="32" a="1"/>
  <c r="R132" i="32" s="1"/>
  <c r="D132" i="32" s="1"/>
  <c r="R204" i="32" a="1"/>
  <c r="R204" i="32" s="1"/>
  <c r="D204" i="32" s="1"/>
  <c r="R174" i="32" a="1"/>
  <c r="R174" i="32" s="1"/>
  <c r="D174" i="32" s="1"/>
  <c r="S176" i="32" a="1"/>
  <c r="S176" i="32" s="1"/>
  <c r="E176" i="32" s="1"/>
  <c r="R226" i="32" a="1"/>
  <c r="R226" i="32" s="1"/>
  <c r="D226" i="32" s="1"/>
  <c r="R196" i="32" a="1"/>
  <c r="R196" i="32" s="1"/>
  <c r="D196" i="32" s="1"/>
  <c r="R164" i="32" a="1"/>
  <c r="R164" i="32" s="1"/>
  <c r="D164" i="32" s="1"/>
  <c r="R258" i="32" a="1"/>
  <c r="R258" i="32" s="1"/>
  <c r="D258" i="32" s="1"/>
  <c r="R260" i="32" a="1"/>
  <c r="R260" i="32" s="1"/>
  <c r="D260" i="32" s="1"/>
  <c r="R254" i="32" a="1"/>
  <c r="R254" i="32" s="1"/>
  <c r="D254" i="32" s="1"/>
  <c r="R266" i="32" a="1"/>
  <c r="R266" i="32" s="1"/>
  <c r="D266" i="32" s="1"/>
  <c r="R252" i="32" a="1"/>
  <c r="R252" i="32" s="1"/>
  <c r="D252" i="32" s="1"/>
  <c r="R210" i="32" a="1"/>
  <c r="R210" i="32" s="1"/>
  <c r="D210" i="32" s="1"/>
  <c r="R212" i="32" a="1"/>
  <c r="R212" i="32" s="1"/>
  <c r="D212" i="32" s="1"/>
  <c r="R110" i="32" a="1"/>
  <c r="R110" i="32" s="1"/>
  <c r="D110" i="32" s="1"/>
  <c r="R150" i="32" a="1"/>
  <c r="R150" i="32" s="1"/>
  <c r="D150" i="32" s="1"/>
  <c r="R108" i="32" a="1"/>
  <c r="R108" i="32" s="1"/>
  <c r="D108" i="32" s="1"/>
  <c r="R114" i="32" a="1"/>
  <c r="R114" i="32" s="1"/>
  <c r="D114" i="32" s="1"/>
  <c r="R116" i="32" a="1"/>
  <c r="R116" i="32" s="1"/>
  <c r="D116" i="32" s="1"/>
  <c r="S120" i="32" a="1"/>
  <c r="S120" i="32" s="1"/>
  <c r="E120" i="32" s="1"/>
  <c r="F2476" i="27" s="1"/>
  <c r="R122" i="32" a="1"/>
  <c r="R122" i="32" s="1"/>
  <c r="D122" i="32" s="1"/>
  <c r="R52" i="32" a="1"/>
  <c r="R52" i="32" s="1"/>
  <c r="D52" i="32" s="1"/>
  <c r="S96" i="32" a="1"/>
  <c r="S96" i="32" s="1"/>
  <c r="E96" i="32" s="1"/>
  <c r="F2464" i="27" s="1"/>
  <c r="R54" i="32" a="1"/>
  <c r="R54" i="32" s="1"/>
  <c r="D54" i="32" s="1"/>
  <c r="S72" i="32" a="1"/>
  <c r="S72" i="32" s="1"/>
  <c r="E72" i="32" s="1"/>
  <c r="F2452" i="27" s="1"/>
  <c r="R46" i="32" a="1"/>
  <c r="R46" i="32" s="1"/>
  <c r="D46" i="32" s="1"/>
  <c r="S64" i="32" a="1"/>
  <c r="S64" i="32" s="1"/>
  <c r="E64" i="32" s="1"/>
  <c r="F2448" i="27" s="1"/>
  <c r="S80" i="32" a="1"/>
  <c r="S80" i="32" s="1"/>
  <c r="E80" i="32" s="1"/>
  <c r="F2456" i="27" s="1"/>
  <c r="S56" i="32" a="1"/>
  <c r="S56" i="32" s="1"/>
  <c r="E56" i="32" s="1"/>
  <c r="F2444" i="27" s="1"/>
  <c r="R84" i="32" a="1"/>
  <c r="R84" i="32" s="1"/>
  <c r="D84" i="32" s="1"/>
  <c r="R158" i="32" a="1"/>
  <c r="R158" i="32" s="1"/>
  <c r="D158" i="32" s="1"/>
  <c r="S152" i="32" a="1"/>
  <c r="S152" i="32" s="1"/>
  <c r="E152" i="32" s="1"/>
  <c r="F2492" i="27" s="1"/>
  <c r="R172" i="32" a="1"/>
  <c r="R172" i="32" s="1"/>
  <c r="D172" i="32" s="1"/>
  <c r="R220" i="32" a="1"/>
  <c r="R220" i="32" s="1"/>
  <c r="D220" i="32" s="1"/>
  <c r="R222" i="32" a="1"/>
  <c r="R222" i="32" s="1"/>
  <c r="D222" i="32" s="1"/>
  <c r="R194" i="32" a="1"/>
  <c r="R194" i="32" s="1"/>
  <c r="D194" i="32" s="1"/>
  <c r="R182" i="32" a="1"/>
  <c r="R182" i="32" s="1"/>
  <c r="D182" i="32" s="1"/>
  <c r="R186" i="32" a="1"/>
  <c r="R186" i="32" s="1"/>
  <c r="D186" i="32" s="1"/>
  <c r="R230" i="32" a="1"/>
  <c r="R230" i="32" s="1"/>
  <c r="D230" i="32" s="1"/>
  <c r="R246" i="32" a="1"/>
  <c r="R246" i="32" s="1"/>
  <c r="D246" i="32" s="1"/>
  <c r="R244" i="32" a="1"/>
  <c r="R244" i="32" s="1"/>
  <c r="D244" i="32" s="1"/>
  <c r="R236" i="32" a="1"/>
  <c r="R236" i="32" s="1"/>
  <c r="D236" i="32" s="1"/>
  <c r="S240" i="32" a="1"/>
  <c r="S240" i="32" s="1"/>
  <c r="E240" i="32" s="1"/>
  <c r="S208" i="32" a="1"/>
  <c r="S208" i="32" s="1"/>
  <c r="E208" i="32" s="1"/>
  <c r="R198" i="32" a="1"/>
  <c r="R198" i="32" s="1"/>
  <c r="D198" i="32" s="1"/>
  <c r="R90" i="32" a="1"/>
  <c r="R90" i="32" s="1"/>
  <c r="D90" i="32" s="1"/>
  <c r="S104" i="32" a="1"/>
  <c r="S104" i="32" s="1"/>
  <c r="E104" i="32" s="1"/>
  <c r="F2468" i="27" s="1"/>
  <c r="S144" i="32" a="1"/>
  <c r="S144" i="32" s="1"/>
  <c r="E144" i="32" s="1"/>
  <c r="F2488" i="27" s="1"/>
  <c r="R148" i="32" a="1"/>
  <c r="R148" i="32" s="1"/>
  <c r="D148" i="32" s="1"/>
  <c r="R138" i="32" a="1"/>
  <c r="R138" i="32" s="1"/>
  <c r="D138" i="32" s="1"/>
  <c r="R142" i="32" a="1"/>
  <c r="R142" i="32" s="1"/>
  <c r="D142" i="32" s="1"/>
  <c r="R58" i="32" a="1"/>
  <c r="R58" i="32" s="1"/>
  <c r="D58" i="32" s="1"/>
  <c r="S32" i="32" a="1"/>
  <c r="S32" i="32" s="1"/>
  <c r="E32" i="32" s="1"/>
  <c r="F2432" i="27" s="1"/>
  <c r="R70" i="32" a="1"/>
  <c r="R70" i="32" s="1"/>
  <c r="D70" i="32" s="1"/>
  <c r="R34" i="32" a="1"/>
  <c r="R34" i="32" s="1"/>
  <c r="D34" i="32" s="1"/>
  <c r="R62" i="32" a="1"/>
  <c r="R62" i="32" s="1"/>
  <c r="D62" i="32" s="1"/>
  <c r="R78" i="32" a="1"/>
  <c r="R78" i="32" s="1"/>
  <c r="D78" i="32" s="1"/>
  <c r="S40" i="32" a="1"/>
  <c r="S40" i="32" s="1"/>
  <c r="E40" i="32" s="1"/>
  <c r="F2436" i="27" s="1"/>
  <c r="R82" i="32" a="1"/>
  <c r="R82" i="32" s="1"/>
  <c r="D82" i="32" s="1"/>
  <c r="R146" i="32" a="1"/>
  <c r="R146" i="32" s="1"/>
  <c r="D146" i="32" s="1"/>
  <c r="R130" i="32" a="1"/>
  <c r="R130" i="32" s="1"/>
  <c r="D130" i="32" s="1"/>
  <c r="R170" i="32" a="1"/>
  <c r="R170" i="32" s="1"/>
  <c r="D170" i="32" s="1"/>
  <c r="R218" i="32" a="1"/>
  <c r="R218" i="32" s="1"/>
  <c r="D218" i="32" s="1"/>
  <c r="S200" i="32" a="1"/>
  <c r="S200" i="32" s="1"/>
  <c r="E200" i="32" s="1"/>
  <c r="R206" i="32" a="1"/>
  <c r="R206" i="32" s="1"/>
  <c r="D206" i="32" s="1"/>
  <c r="R180" i="32" a="1"/>
  <c r="R180" i="32" s="1"/>
  <c r="D180" i="32" s="1"/>
  <c r="R162" i="32" a="1"/>
  <c r="R162" i="32" s="1"/>
  <c r="D162" i="32" s="1"/>
  <c r="R188" i="32" a="1"/>
  <c r="R188" i="32" s="1"/>
  <c r="D188" i="32" s="1"/>
  <c r="R268" i="32" a="1"/>
  <c r="R268" i="32" s="1"/>
  <c r="D268" i="32" s="1"/>
  <c r="R262" i="32" a="1"/>
  <c r="R262" i="32" s="1"/>
  <c r="D262" i="32" s="1"/>
  <c r="S264" i="32" a="1"/>
  <c r="S264" i="32" s="1"/>
  <c r="E264" i="32" s="1"/>
  <c r="S256" i="32" a="1"/>
  <c r="S256" i="32" s="1"/>
  <c r="E256" i="32" s="1"/>
  <c r="R250" i="32" a="1"/>
  <c r="R250" i="32" s="1"/>
  <c r="D250" i="32" s="1"/>
  <c r="S224" i="32" a="1"/>
  <c r="S224" i="32" s="1"/>
  <c r="E224" i="32" s="1"/>
  <c r="R214" i="32" a="1"/>
  <c r="R214" i="32" s="1"/>
  <c r="D214" i="32" s="1"/>
  <c r="R92" i="32" a="1"/>
  <c r="R92" i="32" s="1"/>
  <c r="D92" i="32" s="1"/>
  <c r="S160" i="32" a="1"/>
  <c r="S160" i="32" s="1"/>
  <c r="E160" i="32" s="1"/>
  <c r="R100" i="32" a="1"/>
  <c r="R100" i="32" s="1"/>
  <c r="D100" i="32" s="1"/>
  <c r="S48" i="32" a="1"/>
  <c r="S48" i="32" s="1"/>
  <c r="E48" i="32" s="1"/>
  <c r="F2440" i="27" s="1"/>
  <c r="R60" i="32" a="1"/>
  <c r="R60" i="32" s="1"/>
  <c r="D60" i="32" s="1"/>
  <c r="R76" i="32" a="1"/>
  <c r="R76" i="32" s="1"/>
  <c r="D76" i="32" s="1"/>
  <c r="R38" i="32" a="1"/>
  <c r="R38" i="32" s="1"/>
  <c r="D38" i="32" s="1"/>
  <c r="S88" i="32" a="1"/>
  <c r="S88" i="32" s="1"/>
  <c r="E88" i="32" s="1"/>
  <c r="F2460" i="27" s="1"/>
  <c r="R44" i="32" a="1"/>
  <c r="R44" i="32" s="1"/>
  <c r="D44" i="32" s="1"/>
  <c r="R86" i="32" a="1"/>
  <c r="R86" i="32" s="1"/>
  <c r="D86" i="32" s="1"/>
  <c r="R154" i="32" a="1"/>
  <c r="R154" i="32" s="1"/>
  <c r="D154" i="32" s="1"/>
  <c r="S216" i="32" a="1"/>
  <c r="S216" i="32" s="1"/>
  <c r="E216" i="32" s="1"/>
  <c r="S192" i="32" a="1"/>
  <c r="S192" i="32" s="1"/>
  <c r="E192" i="32" s="1"/>
  <c r="R166" i="32" a="1"/>
  <c r="R166" i="32" s="1"/>
  <c r="D166" i="32" s="1"/>
  <c r="R178" i="32" a="1"/>
  <c r="R178" i="32" s="1"/>
  <c r="D178" i="32" s="1"/>
  <c r="R228" i="32" a="1"/>
  <c r="R228" i="32" s="1"/>
  <c r="D228" i="32" s="1"/>
  <c r="S184" i="32" a="1"/>
  <c r="S184" i="32" s="1"/>
  <c r="E184" i="32" s="1"/>
  <c r="S168" i="32" a="1"/>
  <c r="S168" i="32" s="1"/>
  <c r="E168" i="32" s="1"/>
  <c r="S232" i="32" a="1"/>
  <c r="S232" i="32" s="1"/>
  <c r="E232" i="32" s="1"/>
  <c r="R234" i="32" a="1"/>
  <c r="R234" i="32" s="1"/>
  <c r="D234" i="32" s="1"/>
  <c r="S248" i="32" a="1"/>
  <c r="S248" i="32" s="1"/>
  <c r="E248" i="32" s="1"/>
  <c r="R238" i="32" a="1"/>
  <c r="R238" i="32" s="1"/>
  <c r="D238" i="32" s="1"/>
  <c r="R242" i="32" a="1"/>
  <c r="R242" i="32" s="1"/>
  <c r="D242" i="32" s="1"/>
  <c r="R202" i="32" a="1"/>
  <c r="R202" i="32" s="1"/>
  <c r="D202" i="32" s="1"/>
  <c r="R190" i="32" a="1"/>
  <c r="R190" i="32" s="1"/>
  <c r="D190" i="32" s="1"/>
  <c r="V238" i="32" a="1"/>
  <c r="V238" i="32" s="1"/>
  <c r="L238" i="32" s="1"/>
  <c r="V202" i="32" a="1"/>
  <c r="V202" i="32" s="1"/>
  <c r="L202" i="32" s="1"/>
  <c r="U232" i="32"/>
  <c r="U544" i="32"/>
  <c r="U843" i="32"/>
  <c r="K305" i="27"/>
  <c r="M320" i="27"/>
  <c r="M318" i="27"/>
  <c r="J319" i="27"/>
  <c r="G839" i="32"/>
  <c r="K306" i="27"/>
  <c r="N404" i="27"/>
  <c r="G228" i="32"/>
  <c r="M317" i="27"/>
  <c r="J1463" i="27"/>
  <c r="L1463" i="27"/>
  <c r="I320" i="27"/>
  <c r="N277" i="27"/>
  <c r="N826" i="27"/>
  <c r="M920" i="27"/>
  <c r="J320" i="27"/>
  <c r="G1339" i="27"/>
  <c r="N275" i="27"/>
  <c r="N319" i="27"/>
  <c r="L33" i="30"/>
  <c r="K404" i="27"/>
  <c r="L21" i="30"/>
  <c r="J826" i="27"/>
  <c r="K307" i="27"/>
  <c r="I317" i="27"/>
  <c r="J275" i="27"/>
  <c r="P33" i="30"/>
  <c r="M275" i="27"/>
  <c r="F920" i="27"/>
  <c r="A232" i="32"/>
  <c r="K1463" i="27"/>
  <c r="M319" i="27"/>
  <c r="N318" i="27"/>
  <c r="G540" i="32"/>
  <c r="A843" i="32"/>
  <c r="K308" i="27"/>
  <c r="I404" i="27"/>
  <c r="I826" i="27"/>
  <c r="J317" i="27"/>
  <c r="T33" i="30"/>
  <c r="I319" i="27"/>
  <c r="M277" i="27"/>
  <c r="N320" i="27"/>
  <c r="I318" i="27"/>
  <c r="N317" i="27"/>
  <c r="M404" i="27"/>
  <c r="I1463" i="27"/>
  <c r="X33" i="30"/>
  <c r="I275" i="27"/>
  <c r="L1310" i="27"/>
  <c r="K826" i="27"/>
  <c r="J404" i="27"/>
  <c r="I277" i="27"/>
  <c r="M826" i="27"/>
  <c r="J318" i="27"/>
  <c r="A544" i="32"/>
  <c r="J1310" i="27"/>
  <c r="C29" i="19" l="1" a="1"/>
  <c r="C29" i="19" s="1"/>
  <c r="C30" i="19" s="1" a="1"/>
  <c r="C30" i="19" s="1"/>
  <c r="C31" i="19" s="1" a="1"/>
  <c r="C31" i="19" s="1"/>
  <c r="C32" i="19" s="1" a="1"/>
  <c r="C32" i="19" s="1"/>
  <c r="C33" i="19" s="1"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A306" i="27"/>
  <c r="T306" i="27" s="1"/>
  <c r="A308" i="27"/>
  <c r="T308" i="27" s="1"/>
  <c r="A307" i="27"/>
  <c r="T307" i="27" s="1"/>
  <c r="A305" i="27"/>
  <c r="T305" i="27" s="1"/>
  <c r="F5436" i="27"/>
  <c r="F4838" i="27"/>
  <c r="F4839" i="27"/>
  <c r="F4840" i="27" s="1"/>
  <c r="F4841" i="27" s="1"/>
  <c r="F4842" i="27" s="1"/>
  <c r="F4843" i="27" s="1"/>
  <c r="A1310" i="27"/>
  <c r="A1463" i="27"/>
  <c r="H1465" i="27"/>
  <c r="T959" i="32" a="1"/>
  <c r="T959" i="32" s="1"/>
  <c r="S959" i="32" a="1"/>
  <c r="S959" i="32" s="1"/>
  <c r="E959" i="32" s="1"/>
  <c r="R959" i="32" a="1"/>
  <c r="R959" i="32" s="1"/>
  <c r="D959" i="32" s="1"/>
  <c r="V959" i="32" a="1"/>
  <c r="V959" i="32" s="1"/>
  <c r="L959" i="32" s="1"/>
  <c r="P963" i="32"/>
  <c r="Q961" i="32"/>
  <c r="T763" i="32" a="1"/>
  <c r="T763" i="32" s="1"/>
  <c r="V763" i="32" a="1"/>
  <c r="V763" i="32" s="1"/>
  <c r="L763" i="32" s="1"/>
  <c r="R763" i="32" a="1"/>
  <c r="R763" i="32" s="1"/>
  <c r="D763" i="32" s="1"/>
  <c r="S763" i="32" a="1"/>
  <c r="S763" i="32" s="1"/>
  <c r="E763" i="32" s="1"/>
  <c r="P767" i="32"/>
  <c r="Q765" i="32"/>
  <c r="A826" i="27"/>
  <c r="H828" i="27"/>
  <c r="A404" i="27"/>
  <c r="T404" i="27" s="1"/>
  <c r="H406" i="27"/>
  <c r="H407" i="27"/>
  <c r="I188" i="16" a="1"/>
  <c r="I188" i="16" s="1"/>
  <c r="J187" i="16" a="1"/>
  <c r="J187" i="16" s="1"/>
  <c r="F37" i="16" a="1"/>
  <c r="F37" i="16" s="1"/>
  <c r="H54" i="16" a="1"/>
  <c r="H54" i="16" s="1"/>
  <c r="I53" i="16" a="1"/>
  <c r="I53" i="16" s="1"/>
  <c r="P66" i="24"/>
  <c r="R78" i="24"/>
  <c r="Q78" i="24"/>
  <c r="P78" i="24"/>
  <c r="S78" i="24"/>
  <c r="P151" i="24"/>
  <c r="U845" i="32"/>
  <c r="U546" i="32"/>
  <c r="U234" i="32"/>
  <c r="X155" i="1"/>
  <c r="AH155" i="1" s="1"/>
  <c r="K1464" i="27"/>
  <c r="J325" i="27"/>
  <c r="I1464" i="27"/>
  <c r="M325" i="27"/>
  <c r="J324" i="27"/>
  <c r="I325" i="27"/>
  <c r="G1340" i="27"/>
  <c r="G841" i="32"/>
  <c r="N827" i="27"/>
  <c r="J326" i="27"/>
  <c r="J1464" i="27"/>
  <c r="G542" i="32"/>
  <c r="P35" i="30"/>
  <c r="T35" i="30"/>
  <c r="A546" i="32"/>
  <c r="K313" i="27"/>
  <c r="M326" i="27"/>
  <c r="K312" i="27"/>
  <c r="I324" i="27"/>
  <c r="I323" i="27"/>
  <c r="A234" i="32"/>
  <c r="G230" i="32"/>
  <c r="K827" i="27"/>
  <c r="I827" i="27"/>
  <c r="N323" i="27"/>
  <c r="M827" i="27"/>
  <c r="K314" i="27"/>
  <c r="M324" i="27"/>
  <c r="X35" i="30"/>
  <c r="N325" i="27"/>
  <c r="N324" i="27"/>
  <c r="K275" i="27"/>
  <c r="J323" i="27"/>
  <c r="J827" i="27"/>
  <c r="T21" i="30"/>
  <c r="L35" i="30"/>
  <c r="K311" i="27"/>
  <c r="L1464" i="27"/>
  <c r="I326" i="27"/>
  <c r="N326" i="27"/>
  <c r="M323" i="27"/>
  <c r="A311" i="27" l="1"/>
  <c r="T311" i="27" s="1"/>
  <c r="A312" i="27"/>
  <c r="T312" i="27" s="1"/>
  <c r="A313" i="27"/>
  <c r="T313" i="27" s="1"/>
  <c r="A314" i="27"/>
  <c r="T314" i="27" s="1"/>
  <c r="A275" i="27"/>
  <c r="T275" i="27" s="1"/>
  <c r="F5437" i="27"/>
  <c r="F4845" i="27"/>
  <c r="F4846" i="27" s="1"/>
  <c r="F4847" i="27" s="1"/>
  <c r="F4848" i="27" s="1"/>
  <c r="F4849" i="27" s="1"/>
  <c r="F4844" i="27"/>
  <c r="A1464" i="27"/>
  <c r="H1466" i="27"/>
  <c r="R961" i="32" a="1"/>
  <c r="R961" i="32" s="1"/>
  <c r="D961" i="32" s="1"/>
  <c r="V961" i="32" a="1"/>
  <c r="V961" i="32" s="1"/>
  <c r="L961" i="32" s="1"/>
  <c r="T961" i="32" a="1"/>
  <c r="T961" i="32" s="1"/>
  <c r="S961" i="32" a="1"/>
  <c r="S961" i="32" s="1"/>
  <c r="E961" i="32" s="1"/>
  <c r="P965" i="32"/>
  <c r="Q963" i="32"/>
  <c r="S765" i="32" a="1"/>
  <c r="S765" i="32" s="1"/>
  <c r="E765" i="32" s="1"/>
  <c r="T765" i="32" a="1"/>
  <c r="T765" i="32" s="1"/>
  <c r="V765" i="32" a="1"/>
  <c r="V765" i="32" s="1"/>
  <c r="L765" i="32" s="1"/>
  <c r="R765" i="32" a="1"/>
  <c r="R765" i="32" s="1"/>
  <c r="D765" i="32" s="1"/>
  <c r="P769" i="32"/>
  <c r="Q767" i="32"/>
  <c r="A827" i="27"/>
  <c r="H829" i="27"/>
  <c r="H408" i="27"/>
  <c r="I189" i="16" a="1"/>
  <c r="I189" i="16" s="1"/>
  <c r="J188" i="16" a="1"/>
  <c r="J188" i="16" s="1"/>
  <c r="F38" i="16" a="1"/>
  <c r="F38" i="16" s="1"/>
  <c r="F39" i="16" s="1" a="1"/>
  <c r="F39" i="16" s="1"/>
  <c r="H55" i="16" a="1"/>
  <c r="H55" i="16" s="1"/>
  <c r="I54" i="16" a="1"/>
  <c r="I54" i="16" s="1"/>
  <c r="AI155" i="1"/>
  <c r="AI175" i="1"/>
  <c r="AI211" i="1"/>
  <c r="AI248" i="1"/>
  <c r="AI214" i="1"/>
  <c r="AI209" i="1"/>
  <c r="AI241" i="1"/>
  <c r="AI170" i="1"/>
  <c r="AI201" i="1"/>
  <c r="AI243" i="1"/>
  <c r="AI195" i="1"/>
  <c r="AI231" i="1"/>
  <c r="AI255" i="1"/>
  <c r="AI199" i="1"/>
  <c r="AI173" i="1"/>
  <c r="AI210" i="1"/>
  <c r="AI193" i="1"/>
  <c r="AI238" i="1"/>
  <c r="AI166" i="1"/>
  <c r="AI232" i="1"/>
  <c r="AI242" i="1"/>
  <c r="AI225" i="1"/>
  <c r="AI221" i="1"/>
  <c r="AI172" i="1"/>
  <c r="AI254" i="1"/>
  <c r="AI158" i="1"/>
  <c r="AI236" i="1"/>
  <c r="AI168" i="1"/>
  <c r="AI169" i="1"/>
  <c r="AI250" i="1"/>
  <c r="AI184" i="1"/>
  <c r="AI197" i="1"/>
  <c r="AI245" i="1"/>
  <c r="AI182" i="1"/>
  <c r="AI224" i="1"/>
  <c r="AI203" i="1"/>
  <c r="AI205" i="1"/>
  <c r="AI253" i="1"/>
  <c r="AI159" i="1"/>
  <c r="AI222" i="1"/>
  <c r="AI229" i="1"/>
  <c r="AI234" i="1"/>
  <c r="AI239" i="1"/>
  <c r="AI207" i="1"/>
  <c r="AI164" i="1"/>
  <c r="AI183" i="1"/>
  <c r="AI240" i="1"/>
  <c r="AI220" i="1"/>
  <c r="AI212" i="1"/>
  <c r="AI196" i="1"/>
  <c r="AI185" i="1"/>
  <c r="AI156" i="1"/>
  <c r="AI202" i="1"/>
  <c r="AI187" i="1"/>
  <c r="AI251" i="1"/>
  <c r="AI226" i="1"/>
  <c r="AI177" i="1"/>
  <c r="AI190" i="1"/>
  <c r="AI160" i="1"/>
  <c r="AI219" i="1"/>
  <c r="AI249" i="1"/>
  <c r="AI208" i="1"/>
  <c r="AI213" i="1"/>
  <c r="AI191" i="1"/>
  <c r="AI223" i="1"/>
  <c r="AI228" i="1"/>
  <c r="AI244" i="1"/>
  <c r="AI161" i="1"/>
  <c r="AI218" i="1"/>
  <c r="AI246" i="1"/>
  <c r="AI165" i="1"/>
  <c r="AI204" i="1"/>
  <c r="AI189" i="1"/>
  <c r="AI200" i="1"/>
  <c r="AI233" i="1"/>
  <c r="AI247" i="1"/>
  <c r="AI179" i="1"/>
  <c r="AI181" i="1"/>
  <c r="AI162" i="1"/>
  <c r="AI186" i="1"/>
  <c r="AI227" i="1"/>
  <c r="AI206" i="1"/>
  <c r="AI176" i="1"/>
  <c r="AI217" i="1"/>
  <c r="AI167" i="1"/>
  <c r="AI192" i="1"/>
  <c r="AI252" i="1"/>
  <c r="AI235" i="1"/>
  <c r="AI171" i="1"/>
  <c r="AI180" i="1"/>
  <c r="AI215" i="1"/>
  <c r="AI174" i="1"/>
  <c r="AI198" i="1"/>
  <c r="AI230" i="1"/>
  <c r="AI163" i="1"/>
  <c r="AI237" i="1"/>
  <c r="AI216" i="1"/>
  <c r="AI194" i="1"/>
  <c r="AI157" i="1"/>
  <c r="AI188" i="1"/>
  <c r="AI178" i="1"/>
  <c r="P80" i="24"/>
  <c r="R80" i="24"/>
  <c r="Q80" i="24"/>
  <c r="S80" i="24"/>
  <c r="R66" i="24"/>
  <c r="U548" i="32"/>
  <c r="U236" i="32"/>
  <c r="U847" i="32"/>
  <c r="N39" i="1"/>
  <c r="K319" i="27"/>
  <c r="X37" i="30"/>
  <c r="K828" i="27"/>
  <c r="I1465" i="27"/>
  <c r="K1465" i="27"/>
  <c r="K277" i="27"/>
  <c r="M407" i="27"/>
  <c r="K407" i="27"/>
  <c r="N407" i="27"/>
  <c r="I828" i="27"/>
  <c r="K320" i="27"/>
  <c r="J828" i="27"/>
  <c r="L1465" i="27"/>
  <c r="J407" i="27"/>
  <c r="A845" i="32"/>
  <c r="A548" i="32"/>
  <c r="K317" i="27"/>
  <c r="M828" i="27"/>
  <c r="N828" i="27"/>
  <c r="I407" i="27"/>
  <c r="G843" i="32"/>
  <c r="L37" i="30"/>
  <c r="T37" i="30"/>
  <c r="G544" i="32"/>
  <c r="P37" i="30"/>
  <c r="G232" i="32"/>
  <c r="J1465" i="27"/>
  <c r="K318" i="27"/>
  <c r="A847" i="32"/>
  <c r="A320" i="27" l="1"/>
  <c r="T320" i="27" s="1"/>
  <c r="A277" i="27"/>
  <c r="T277" i="27" s="1"/>
  <c r="A317" i="27"/>
  <c r="T317" i="27" s="1"/>
  <c r="A318" i="27"/>
  <c r="T318" i="27" s="1"/>
  <c r="A319" i="27"/>
  <c r="T319" i="27" s="1"/>
  <c r="F5438" i="27"/>
  <c r="F5439" i="27"/>
  <c r="F4851" i="27"/>
  <c r="F4852" i="27" s="1"/>
  <c r="F4853" i="27" s="1"/>
  <c r="F4854" i="27" s="1"/>
  <c r="F4855" i="27" s="1"/>
  <c r="F4850" i="27"/>
  <c r="A1465" i="27"/>
  <c r="H1467" i="27"/>
  <c r="H1468" i="27"/>
  <c r="P771" i="32"/>
  <c r="Q769" i="32"/>
  <c r="T767" i="32" a="1"/>
  <c r="T767" i="32" s="1"/>
  <c r="V767" i="32" a="1"/>
  <c r="V767" i="32" s="1"/>
  <c r="L767" i="32" s="1"/>
  <c r="R767" i="32" a="1"/>
  <c r="R767" i="32" s="1"/>
  <c r="D767" i="32" s="1"/>
  <c r="S767" i="32" a="1"/>
  <c r="S767" i="32" s="1"/>
  <c r="E767" i="32" s="1"/>
  <c r="S963" i="32" a="1"/>
  <c r="S963" i="32" s="1"/>
  <c r="E963" i="32" s="1"/>
  <c r="R963" i="32" a="1"/>
  <c r="R963" i="32" s="1"/>
  <c r="D963" i="32" s="1"/>
  <c r="V963" i="32" a="1"/>
  <c r="V963" i="32" s="1"/>
  <c r="L963" i="32" s="1"/>
  <c r="T963" i="32" a="1"/>
  <c r="T963" i="32" s="1"/>
  <c r="P967" i="32"/>
  <c r="Q965" i="32"/>
  <c r="A828" i="27"/>
  <c r="H830" i="27"/>
  <c r="A407" i="27"/>
  <c r="T407" i="27" s="1"/>
  <c r="H409" i="27"/>
  <c r="I190" i="16" a="1"/>
  <c r="I190" i="16" s="1"/>
  <c r="J189" i="16" a="1"/>
  <c r="J189" i="16" s="1"/>
  <c r="F40" i="16" a="1"/>
  <c r="F40" i="16" s="1"/>
  <c r="F41" i="16" s="1" a="1"/>
  <c r="F41" i="16" s="1"/>
  <c r="H56" i="16" a="1"/>
  <c r="H56" i="16" s="1"/>
  <c r="I55" i="16" a="1"/>
  <c r="I55" i="16" s="1"/>
  <c r="AJ188" i="1"/>
  <c r="AJ203" i="1"/>
  <c r="AJ237" i="1"/>
  <c r="AJ235" i="1"/>
  <c r="AJ186" i="1"/>
  <c r="AJ204" i="1"/>
  <c r="AJ191" i="1"/>
  <c r="AJ226" i="1"/>
  <c r="AJ220" i="1"/>
  <c r="AJ222" i="1"/>
  <c r="AJ197" i="1"/>
  <c r="AJ172" i="1"/>
  <c r="AJ210" i="1"/>
  <c r="AJ170" i="1"/>
  <c r="AJ247" i="1"/>
  <c r="AJ163" i="1"/>
  <c r="AJ252" i="1"/>
  <c r="AJ162" i="1"/>
  <c r="AJ165" i="1"/>
  <c r="AJ213" i="1"/>
  <c r="AJ251" i="1"/>
  <c r="AJ240" i="1"/>
  <c r="AJ159" i="1"/>
  <c r="AJ184" i="1"/>
  <c r="AJ221" i="1"/>
  <c r="AJ173" i="1"/>
  <c r="AJ241" i="1"/>
  <c r="AJ207" i="1"/>
  <c r="AJ230" i="1"/>
  <c r="AJ192" i="1"/>
  <c r="AJ181" i="1"/>
  <c r="AJ246" i="1"/>
  <c r="AJ208" i="1"/>
  <c r="AJ187" i="1"/>
  <c r="AJ183" i="1"/>
  <c r="AJ253" i="1"/>
  <c r="AJ250" i="1"/>
  <c r="AJ225" i="1"/>
  <c r="AJ199" i="1"/>
  <c r="AJ209" i="1"/>
  <c r="AJ217" i="1"/>
  <c r="AJ232" i="1"/>
  <c r="AJ178" i="1"/>
  <c r="AJ198" i="1"/>
  <c r="AJ167" i="1"/>
  <c r="AJ179" i="1"/>
  <c r="AJ218" i="1"/>
  <c r="AJ249" i="1"/>
  <c r="AJ202" i="1"/>
  <c r="AJ164" i="1"/>
  <c r="AJ205" i="1"/>
  <c r="AJ169" i="1"/>
  <c r="AJ242" i="1"/>
  <c r="AJ255" i="1"/>
  <c r="AJ214" i="1"/>
  <c r="AJ248" i="1"/>
  <c r="AJ161" i="1"/>
  <c r="AJ168" i="1"/>
  <c r="AJ231" i="1"/>
  <c r="AJ157" i="1"/>
  <c r="AJ215" i="1"/>
  <c r="AJ176" i="1"/>
  <c r="AJ233" i="1"/>
  <c r="AJ244" i="1"/>
  <c r="AJ160" i="1"/>
  <c r="AJ185" i="1"/>
  <c r="AJ239" i="1"/>
  <c r="AJ224" i="1"/>
  <c r="AJ236" i="1"/>
  <c r="AJ166" i="1"/>
  <c r="AJ195" i="1"/>
  <c r="AJ211" i="1"/>
  <c r="AJ219" i="1"/>
  <c r="AJ194" i="1"/>
  <c r="AJ180" i="1"/>
  <c r="AJ206" i="1"/>
  <c r="AJ200" i="1"/>
  <c r="AJ228" i="1"/>
  <c r="AJ190" i="1"/>
  <c r="AJ196" i="1"/>
  <c r="AJ234" i="1"/>
  <c r="AJ182" i="1"/>
  <c r="AJ158" i="1"/>
  <c r="AJ238" i="1"/>
  <c r="AJ243" i="1"/>
  <c r="AJ175" i="1"/>
  <c r="AJ174" i="1"/>
  <c r="AJ156" i="1"/>
  <c r="AJ216" i="1"/>
  <c r="AJ171" i="1"/>
  <c r="AJ227" i="1"/>
  <c r="AJ189" i="1"/>
  <c r="AJ223" i="1"/>
  <c r="AJ177" i="1"/>
  <c r="AJ212" i="1"/>
  <c r="AJ229" i="1"/>
  <c r="AJ245" i="1"/>
  <c r="AJ254" i="1"/>
  <c r="AJ193" i="1"/>
  <c r="AJ201" i="1"/>
  <c r="S82" i="24"/>
  <c r="Q82" i="24"/>
  <c r="P82" i="24"/>
  <c r="R82" i="24"/>
  <c r="U849" i="32"/>
  <c r="U238" i="32"/>
  <c r="U550" i="32"/>
  <c r="U2" i="28"/>
  <c r="A550" i="32"/>
  <c r="N829" i="27"/>
  <c r="G546" i="32"/>
  <c r="G234" i="32"/>
  <c r="J1466" i="27"/>
  <c r="K323" i="27"/>
  <c r="A236" i="32"/>
  <c r="M408" i="27"/>
  <c r="K326" i="27"/>
  <c r="L1466" i="27"/>
  <c r="K1466" i="27"/>
  <c r="I1466" i="27"/>
  <c r="M829" i="27"/>
  <c r="K324" i="27"/>
  <c r="K829" i="27"/>
  <c r="G1343" i="27"/>
  <c r="N408" i="27"/>
  <c r="J408" i="27"/>
  <c r="A849" i="32"/>
  <c r="J829" i="27"/>
  <c r="G845" i="32"/>
  <c r="I829" i="27"/>
  <c r="K325" i="27"/>
  <c r="I408" i="27"/>
  <c r="K408" i="27"/>
  <c r="A238" i="32"/>
  <c r="A325" i="27" l="1"/>
  <c r="T325" i="27" s="1"/>
  <c r="A326" i="27"/>
  <c r="T326" i="27" s="1"/>
  <c r="A324" i="27"/>
  <c r="T324" i="27" s="1"/>
  <c r="A323" i="27"/>
  <c r="T323" i="27" s="1"/>
  <c r="F5440" i="27"/>
  <c r="F4857" i="27"/>
  <c r="F4858" i="27" s="1"/>
  <c r="F4859" i="27" s="1"/>
  <c r="F4860" i="27" s="1"/>
  <c r="F4861" i="27" s="1"/>
  <c r="F4856" i="27"/>
  <c r="A1466" i="27"/>
  <c r="H1469" i="27"/>
  <c r="R965" i="32" a="1"/>
  <c r="R965" i="32" s="1"/>
  <c r="D965" i="32" s="1"/>
  <c r="V965" i="32" a="1"/>
  <c r="V965" i="32" s="1"/>
  <c r="L965" i="32" s="1"/>
  <c r="T965" i="32" a="1"/>
  <c r="T965" i="32" s="1"/>
  <c r="S965" i="32" a="1"/>
  <c r="S965" i="32" s="1"/>
  <c r="E965" i="32" s="1"/>
  <c r="P969" i="32"/>
  <c r="Q967" i="32"/>
  <c r="T769" i="32" a="1"/>
  <c r="T769" i="32" s="1"/>
  <c r="V769" i="32" a="1"/>
  <c r="V769" i="32" s="1"/>
  <c r="L769" i="32" s="1"/>
  <c r="R769" i="32" a="1"/>
  <c r="R769" i="32" s="1"/>
  <c r="D769" i="32" s="1"/>
  <c r="S769" i="32" a="1"/>
  <c r="S769" i="32" s="1"/>
  <c r="E769" i="32" s="1"/>
  <c r="P773" i="32"/>
  <c r="Q771" i="32"/>
  <c r="A829" i="27"/>
  <c r="H831" i="27"/>
  <c r="H832" i="27"/>
  <c r="A408" i="27"/>
  <c r="T408" i="27" s="1"/>
  <c r="H410" i="27"/>
  <c r="F42" i="16" a="1"/>
  <c r="F42" i="16" s="1"/>
  <c r="I191" i="16" a="1"/>
  <c r="I191" i="16" s="1"/>
  <c r="J190" i="16" a="1"/>
  <c r="J190" i="16" s="1"/>
  <c r="H57" i="16" a="1"/>
  <c r="H57" i="16" s="1"/>
  <c r="I56" i="16" a="1"/>
  <c r="I56" i="16" s="1"/>
  <c r="U552" i="32"/>
  <c r="U240" i="32"/>
  <c r="U851" i="32"/>
  <c r="T58" i="27"/>
  <c r="J1468" i="27"/>
  <c r="G1344" i="27"/>
  <c r="I1467" i="27"/>
  <c r="L1467" i="27"/>
  <c r="K1468" i="27"/>
  <c r="N409" i="27"/>
  <c r="K409" i="27"/>
  <c r="A851" i="32"/>
  <c r="A552" i="32"/>
  <c r="J409" i="27"/>
  <c r="G548" i="32"/>
  <c r="M409" i="27"/>
  <c r="L1468" i="27"/>
  <c r="G847" i="32"/>
  <c r="I409" i="27"/>
  <c r="G236" i="32"/>
  <c r="J1467" i="27"/>
  <c r="K1467" i="27"/>
  <c r="I1468" i="27"/>
  <c r="F5441" i="27" l="1"/>
  <c r="F4862" i="27"/>
  <c r="F4863" i="27"/>
  <c r="F4864" i="27" s="1"/>
  <c r="F4865" i="27" s="1"/>
  <c r="F4866" i="27" s="1"/>
  <c r="F4867" i="27" s="1"/>
  <c r="A1468" i="27"/>
  <c r="A1467" i="27"/>
  <c r="H1470" i="27"/>
  <c r="T771" i="32" a="1"/>
  <c r="T771" i="32" s="1"/>
  <c r="V771" i="32" a="1"/>
  <c r="V771" i="32" s="1"/>
  <c r="L771" i="32" s="1"/>
  <c r="R771" i="32" a="1"/>
  <c r="R771" i="32" s="1"/>
  <c r="D771" i="32" s="1"/>
  <c r="S771" i="32" a="1"/>
  <c r="S771" i="32" s="1"/>
  <c r="E771" i="32" s="1"/>
  <c r="P775" i="32"/>
  <c r="Q773" i="32"/>
  <c r="R967" i="32" a="1"/>
  <c r="R967" i="32" s="1"/>
  <c r="D967" i="32" s="1"/>
  <c r="V967" i="32" a="1"/>
  <c r="V967" i="32" s="1"/>
  <c r="L967" i="32" s="1"/>
  <c r="T967" i="32" a="1"/>
  <c r="T967" i="32" s="1"/>
  <c r="S967" i="32" a="1"/>
  <c r="S967" i="32" s="1"/>
  <c r="E967" i="32" s="1"/>
  <c r="P971" i="32"/>
  <c r="Q969" i="32"/>
  <c r="H833" i="27"/>
  <c r="A409" i="27"/>
  <c r="T409" i="27" s="1"/>
  <c r="H411" i="27"/>
  <c r="I192" i="16" a="1"/>
  <c r="I192" i="16" s="1"/>
  <c r="J191" i="16" a="1"/>
  <c r="J191" i="16" s="1"/>
  <c r="F43" i="16" a="1"/>
  <c r="F43" i="16" s="1"/>
  <c r="H58" i="16" a="1"/>
  <c r="H58" i="16" s="1"/>
  <c r="I57" i="16" a="1"/>
  <c r="I57" i="16" s="1"/>
  <c r="U853" i="32"/>
  <c r="U242" i="32"/>
  <c r="U554" i="32"/>
  <c r="AT167" i="24"/>
  <c r="N832" i="27"/>
  <c r="A853" i="32"/>
  <c r="G1345" i="27"/>
  <c r="K410" i="27"/>
  <c r="J410" i="27"/>
  <c r="M832" i="27"/>
  <c r="N410" i="27"/>
  <c r="M410" i="27"/>
  <c r="J832" i="27"/>
  <c r="I1469" i="27"/>
  <c r="K832" i="27"/>
  <c r="A242" i="32"/>
  <c r="G238" i="32"/>
  <c r="J1469" i="27"/>
  <c r="K1469" i="27"/>
  <c r="L1469" i="27"/>
  <c r="A240" i="32"/>
  <c r="I410" i="27"/>
  <c r="G550" i="32"/>
  <c r="I832" i="27"/>
  <c r="G849" i="32"/>
  <c r="F5442" i="27" l="1"/>
  <c r="F4869" i="27"/>
  <c r="F4870" i="27" s="1"/>
  <c r="F4871" i="27" s="1"/>
  <c r="F4872" i="27" s="1"/>
  <c r="F4873" i="27" s="1"/>
  <c r="F4868" i="27"/>
  <c r="A1469" i="27"/>
  <c r="H1471" i="27"/>
  <c r="P973" i="32"/>
  <c r="Q971" i="32"/>
  <c r="T969" i="32" a="1"/>
  <c r="T969" i="32" s="1"/>
  <c r="S969" i="32" a="1"/>
  <c r="S969" i="32" s="1"/>
  <c r="E969" i="32" s="1"/>
  <c r="R969" i="32" a="1"/>
  <c r="R969" i="32" s="1"/>
  <c r="D969" i="32" s="1"/>
  <c r="V969" i="32" a="1"/>
  <c r="V969" i="32" s="1"/>
  <c r="L969" i="32" s="1"/>
  <c r="T773" i="32" a="1"/>
  <c r="T773" i="32" s="1"/>
  <c r="S773" i="32" a="1"/>
  <c r="S773" i="32" s="1"/>
  <c r="E773" i="32" s="1"/>
  <c r="R773" i="32" a="1"/>
  <c r="R773" i="32" s="1"/>
  <c r="D773" i="32" s="1"/>
  <c r="V773" i="32" a="1"/>
  <c r="V773" i="32" s="1"/>
  <c r="L773" i="32" s="1"/>
  <c r="P777" i="32"/>
  <c r="Q775" i="32"/>
  <c r="A832" i="27"/>
  <c r="H834" i="27"/>
  <c r="A410" i="27"/>
  <c r="T410" i="27" s="1"/>
  <c r="H413" i="27"/>
  <c r="H412" i="27"/>
  <c r="F44" i="16" a="1"/>
  <c r="F44" i="16" s="1"/>
  <c r="F45" i="16" s="1" a="1"/>
  <c r="F45" i="16" s="1"/>
  <c r="I193" i="16" a="1"/>
  <c r="I193" i="16" s="1"/>
  <c r="J192" i="16" a="1"/>
  <c r="J192" i="16" s="1"/>
  <c r="H59" i="16" a="1"/>
  <c r="H59" i="16" s="1"/>
  <c r="I58" i="16" a="1"/>
  <c r="I58" i="16" s="1"/>
  <c r="U556" i="32"/>
  <c r="U244" i="32"/>
  <c r="U855" i="32"/>
  <c r="AT159" i="24"/>
  <c r="AT187" i="24"/>
  <c r="AT195" i="24"/>
  <c r="AT157" i="24"/>
  <c r="AT163" i="24"/>
  <c r="AT169" i="24"/>
  <c r="AT151" i="24"/>
  <c r="AT181" i="24"/>
  <c r="AT201" i="24"/>
  <c r="AT203" i="24"/>
  <c r="AT199" i="24"/>
  <c r="AT193" i="24"/>
  <c r="AT173" i="24"/>
  <c r="AT161" i="24"/>
  <c r="AT153" i="24"/>
  <c r="AT179" i="24"/>
  <c r="AT183" i="24"/>
  <c r="AT205" i="24"/>
  <c r="AT189" i="24"/>
  <c r="AT155" i="24"/>
  <c r="AT165" i="24"/>
  <c r="AT191" i="24"/>
  <c r="AT171" i="24"/>
  <c r="AT175" i="24"/>
  <c r="AT177" i="24"/>
  <c r="AT197" i="24"/>
  <c r="AT149" i="24"/>
  <c r="AT185" i="24"/>
  <c r="AW201" i="24"/>
  <c r="AU175" i="24"/>
  <c r="I833" i="27"/>
  <c r="K833" i="27"/>
  <c r="N833" i="27"/>
  <c r="A244" i="32"/>
  <c r="J833" i="27"/>
  <c r="G552" i="32"/>
  <c r="J1470" i="27"/>
  <c r="A855" i="32"/>
  <c r="M833" i="27"/>
  <c r="G851" i="32"/>
  <c r="G240" i="32"/>
  <c r="K1470" i="27"/>
  <c r="A556" i="32"/>
  <c r="A554" i="32"/>
  <c r="G1346" i="27"/>
  <c r="L1470" i="27"/>
  <c r="I1470" i="27"/>
  <c r="F5443" i="27" l="1"/>
  <c r="F4875" i="27"/>
  <c r="F4876" i="27" s="1"/>
  <c r="F4877" i="27" s="1"/>
  <c r="F4878" i="27" s="1"/>
  <c r="F4879" i="27" s="1"/>
  <c r="F4874" i="27"/>
  <c r="A1470" i="27"/>
  <c r="H1472" i="27"/>
  <c r="T775" i="32" a="1"/>
  <c r="T775" i="32" s="1"/>
  <c r="V775" i="32" a="1"/>
  <c r="V775" i="32" s="1"/>
  <c r="L775" i="32" s="1"/>
  <c r="R775" i="32" a="1"/>
  <c r="R775" i="32" s="1"/>
  <c r="D775" i="32" s="1"/>
  <c r="S775" i="32" a="1"/>
  <c r="S775" i="32" s="1"/>
  <c r="E775" i="32" s="1"/>
  <c r="P779" i="32"/>
  <c r="Q777" i="32"/>
  <c r="T971" i="32" a="1"/>
  <c r="T971" i="32" s="1"/>
  <c r="V971" i="32" a="1"/>
  <c r="V971" i="32" s="1"/>
  <c r="L971" i="32" s="1"/>
  <c r="R971" i="32" a="1"/>
  <c r="R971" i="32" s="1"/>
  <c r="D971" i="32" s="1"/>
  <c r="S971" i="32" a="1"/>
  <c r="S971" i="32" s="1"/>
  <c r="E971" i="32" s="1"/>
  <c r="P975" i="32"/>
  <c r="Q973" i="32"/>
  <c r="A833" i="27"/>
  <c r="H835" i="27"/>
  <c r="H414" i="27"/>
  <c r="I194" i="16" a="1"/>
  <c r="I194" i="16" s="1"/>
  <c r="J193" i="16" a="1"/>
  <c r="J193" i="16" s="1"/>
  <c r="F46" i="16" a="1"/>
  <c r="F46" i="16" s="1"/>
  <c r="F47" i="16" s="1" a="1"/>
  <c r="F47" i="16" s="1"/>
  <c r="H60" i="16" a="1"/>
  <c r="H60" i="16" s="1"/>
  <c r="I59" i="16" a="1"/>
  <c r="I59" i="16" s="1"/>
  <c r="U857" i="32"/>
  <c r="U246" i="32"/>
  <c r="U558" i="32"/>
  <c r="AY169" i="24"/>
  <c r="AY205" i="24"/>
  <c r="AY177" i="24"/>
  <c r="AY175" i="24"/>
  <c r="AY183" i="24"/>
  <c r="AY173" i="24"/>
  <c r="AY157" i="24"/>
  <c r="AY149" i="24"/>
  <c r="AY207" i="24"/>
  <c r="AY203" i="24"/>
  <c r="AY179" i="24"/>
  <c r="AY193" i="24"/>
  <c r="AY185" i="24"/>
  <c r="AY151" i="24"/>
  <c r="AY167" i="24"/>
  <c r="AY155" i="24"/>
  <c r="AY191" i="24"/>
  <c r="AY171" i="24"/>
  <c r="AY163" i="24"/>
  <c r="AY153" i="24"/>
  <c r="AY189" i="24"/>
  <c r="AY159" i="24"/>
  <c r="AY181" i="24"/>
  <c r="AY161" i="24"/>
  <c r="AY195" i="24"/>
  <c r="AY197" i="24"/>
  <c r="AY165" i="24"/>
  <c r="AY201" i="24"/>
  <c r="AY187" i="24"/>
  <c r="AY199" i="24"/>
  <c r="AV151" i="24"/>
  <c r="AV207" i="24"/>
  <c r="AV161" i="24"/>
  <c r="AV165" i="24"/>
  <c r="AV187" i="24"/>
  <c r="AV201" i="24"/>
  <c r="AV205" i="24"/>
  <c r="AV185" i="24"/>
  <c r="AV155" i="24"/>
  <c r="AV169" i="24"/>
  <c r="AV183" i="24"/>
  <c r="AV163" i="24"/>
  <c r="AV191" i="24"/>
  <c r="AV179" i="24"/>
  <c r="AV153" i="24"/>
  <c r="AV175" i="24"/>
  <c r="AV157" i="24"/>
  <c r="AV189" i="24"/>
  <c r="AV195" i="24"/>
  <c r="AV171" i="24"/>
  <c r="AV177" i="24"/>
  <c r="AV173" i="24"/>
  <c r="AV181" i="24"/>
  <c r="AV167" i="24"/>
  <c r="AV203" i="24"/>
  <c r="AV149" i="24"/>
  <c r="AV193" i="24"/>
  <c r="AV199" i="24"/>
  <c r="AV197" i="24"/>
  <c r="AV159" i="24"/>
  <c r="AU153" i="24"/>
  <c r="AU167" i="24"/>
  <c r="AU173" i="24"/>
  <c r="AU203" i="24"/>
  <c r="AU163" i="24"/>
  <c r="AU207" i="24"/>
  <c r="AU149" i="24"/>
  <c r="AU157" i="24"/>
  <c r="BA207" i="24"/>
  <c r="BA197" i="24"/>
  <c r="BA161" i="24"/>
  <c r="BA177" i="24"/>
  <c r="BA199" i="24"/>
  <c r="BA153" i="24"/>
  <c r="BA187" i="24"/>
  <c r="BA149" i="24"/>
  <c r="BA203" i="24"/>
  <c r="BA159" i="24"/>
  <c r="BA195" i="24"/>
  <c r="BA157" i="24"/>
  <c r="BA167" i="24"/>
  <c r="BA173" i="24"/>
  <c r="BA169" i="24"/>
  <c r="BA155" i="24"/>
  <c r="BA151" i="24"/>
  <c r="BA165" i="24"/>
  <c r="BA189" i="24"/>
  <c r="BA175" i="24"/>
  <c r="BA171" i="24"/>
  <c r="BA205" i="24"/>
  <c r="BA183" i="24"/>
  <c r="BA201" i="24"/>
  <c r="BA163" i="24"/>
  <c r="BA179" i="24"/>
  <c r="BA185" i="24"/>
  <c r="BA191" i="24"/>
  <c r="BA181" i="24"/>
  <c r="BA193" i="24"/>
  <c r="AU159" i="24"/>
  <c r="AU201" i="24"/>
  <c r="AU183" i="24"/>
  <c r="AU171" i="24"/>
  <c r="AU187" i="24"/>
  <c r="AU185" i="24"/>
  <c r="AU151" i="24"/>
  <c r="AU165" i="24"/>
  <c r="AU193" i="24"/>
  <c r="AU205" i="24"/>
  <c r="AU177" i="24"/>
  <c r="AU197" i="24"/>
  <c r="AU191" i="24"/>
  <c r="AU199" i="24"/>
  <c r="AU189" i="24"/>
  <c r="AX173" i="24"/>
  <c r="AX175" i="24"/>
  <c r="AX183" i="24"/>
  <c r="AX181" i="24"/>
  <c r="AX171" i="24"/>
  <c r="AX185" i="24"/>
  <c r="AX203" i="24"/>
  <c r="AX169" i="24"/>
  <c r="AX163" i="24"/>
  <c r="AX201" i="24"/>
  <c r="AX153" i="24"/>
  <c r="AX205" i="24"/>
  <c r="AX161" i="24"/>
  <c r="AX167" i="24"/>
  <c r="AX197" i="24"/>
  <c r="AX165" i="24"/>
  <c r="AX195" i="24"/>
  <c r="AX179" i="24"/>
  <c r="AX191" i="24"/>
  <c r="AX199" i="24"/>
  <c r="AX157" i="24"/>
  <c r="AX207" i="24"/>
  <c r="AX159" i="24"/>
  <c r="AX155" i="24"/>
  <c r="AX187" i="24"/>
  <c r="AX189" i="24"/>
  <c r="AX151" i="24"/>
  <c r="AX193" i="24"/>
  <c r="AX177" i="24"/>
  <c r="AX149" i="24"/>
  <c r="AZ193" i="24"/>
  <c r="AZ173" i="24"/>
  <c r="AZ183" i="24"/>
  <c r="AZ191" i="24"/>
  <c r="AZ181" i="24"/>
  <c r="AZ159" i="24"/>
  <c r="AZ189" i="24"/>
  <c r="AZ155" i="24"/>
  <c r="AZ203" i="24"/>
  <c r="AZ167" i="24"/>
  <c r="AZ149" i="24"/>
  <c r="AZ171" i="24"/>
  <c r="AZ205" i="24"/>
  <c r="AZ195" i="24"/>
  <c r="AZ169" i="24"/>
  <c r="AZ175" i="24"/>
  <c r="AZ157" i="24"/>
  <c r="AZ187" i="24"/>
  <c r="AZ201" i="24"/>
  <c r="AZ163" i="24"/>
  <c r="AZ153" i="24"/>
  <c r="AZ179" i="24"/>
  <c r="AZ165" i="24"/>
  <c r="AZ185" i="24"/>
  <c r="AZ207" i="24"/>
  <c r="AZ177" i="24"/>
  <c r="AZ197" i="24"/>
  <c r="AZ199" i="24"/>
  <c r="AZ151" i="24"/>
  <c r="AZ161" i="24"/>
  <c r="AU155" i="24"/>
  <c r="AU181" i="24"/>
  <c r="AU169" i="24"/>
  <c r="AU161" i="24"/>
  <c r="AU195" i="24"/>
  <c r="AU179" i="24"/>
  <c r="AW207" i="24"/>
  <c r="AW155" i="24"/>
  <c r="AW187" i="24"/>
  <c r="AW203" i="24"/>
  <c r="AW205" i="24"/>
  <c r="AW149" i="24"/>
  <c r="AW161" i="24"/>
  <c r="AW163" i="24"/>
  <c r="AW153" i="24"/>
  <c r="AW165" i="24"/>
  <c r="AW151" i="24"/>
  <c r="AW191" i="24"/>
  <c r="AW197" i="24"/>
  <c r="AW199" i="24"/>
  <c r="AW175" i="24"/>
  <c r="AW195" i="24"/>
  <c r="AW171" i="24"/>
  <c r="AW179" i="24"/>
  <c r="AW177" i="24"/>
  <c r="AW157" i="24"/>
  <c r="AW173" i="24"/>
  <c r="AW183" i="24"/>
  <c r="AW189" i="24"/>
  <c r="AW169" i="24"/>
  <c r="AW167" i="24"/>
  <c r="AW185" i="24"/>
  <c r="AW181" i="24"/>
  <c r="AW159" i="24"/>
  <c r="AW193" i="24"/>
  <c r="G853" i="32"/>
  <c r="J413" i="27"/>
  <c r="I413" i="27"/>
  <c r="M834" i="27"/>
  <c r="J1471" i="27"/>
  <c r="L1471" i="27"/>
  <c r="N413" i="27"/>
  <c r="G554" i="32"/>
  <c r="I834" i="27"/>
  <c r="A246" i="32"/>
  <c r="M413" i="27"/>
  <c r="K1471" i="27"/>
  <c r="N834" i="27"/>
  <c r="I1471" i="27"/>
  <c r="A857" i="32"/>
  <c r="K413" i="27"/>
  <c r="K834" i="27"/>
  <c r="A558" i="32"/>
  <c r="J834" i="27"/>
  <c r="G242" i="32"/>
  <c r="F5444" i="27" l="1"/>
  <c r="F5445" i="27"/>
  <c r="F4881" i="27"/>
  <c r="F4882" i="27" s="1"/>
  <c r="F4883" i="27" s="1"/>
  <c r="F4884" i="27" s="1"/>
  <c r="F4885" i="27" s="1"/>
  <c r="F4880" i="27"/>
  <c r="A1471" i="27"/>
  <c r="H1474" i="27"/>
  <c r="H1473" i="27"/>
  <c r="P977" i="32"/>
  <c r="Q975" i="32"/>
  <c r="V973" i="32" a="1"/>
  <c r="V973" i="32" s="1"/>
  <c r="L973" i="32" s="1"/>
  <c r="T973" i="32" a="1"/>
  <c r="T973" i="32" s="1"/>
  <c r="S973" i="32" a="1"/>
  <c r="S973" i="32" s="1"/>
  <c r="E973" i="32" s="1"/>
  <c r="R973" i="32" a="1"/>
  <c r="R973" i="32" s="1"/>
  <c r="D973" i="32" s="1"/>
  <c r="V777" i="32" a="1"/>
  <c r="V777" i="32" s="1"/>
  <c r="L777" i="32" s="1"/>
  <c r="T777" i="32" a="1"/>
  <c r="T777" i="32" s="1"/>
  <c r="S777" i="32" a="1"/>
  <c r="S777" i="32" s="1"/>
  <c r="E777" i="32" s="1"/>
  <c r="R777" i="32" a="1"/>
  <c r="R777" i="32" s="1"/>
  <c r="D777" i="32" s="1"/>
  <c r="P781" i="32"/>
  <c r="Q779" i="32"/>
  <c r="A834" i="27"/>
  <c r="H836" i="27"/>
  <c r="H837" i="27" s="1"/>
  <c r="A413" i="27"/>
  <c r="T413" i="27" s="1"/>
  <c r="H415" i="27"/>
  <c r="F48" i="16" a="1"/>
  <c r="F48" i="16" s="1"/>
  <c r="I195" i="16" a="1"/>
  <c r="I195" i="16" s="1"/>
  <c r="J194" i="16" a="1"/>
  <c r="J194" i="16" s="1"/>
  <c r="H61" i="16" a="1"/>
  <c r="H61" i="16" s="1"/>
  <c r="I60" i="16" a="1"/>
  <c r="I60" i="16" s="1"/>
  <c r="U560" i="32"/>
  <c r="U248" i="32"/>
  <c r="U859" i="32"/>
  <c r="G855" i="32"/>
  <c r="L1472" i="27"/>
  <c r="J1472" i="27"/>
  <c r="M414" i="27"/>
  <c r="A248" i="32"/>
  <c r="M835" i="27"/>
  <c r="G244" i="32"/>
  <c r="N835" i="27"/>
  <c r="J835" i="27"/>
  <c r="K1472" i="27"/>
  <c r="J414" i="27"/>
  <c r="K835" i="27"/>
  <c r="I414" i="27"/>
  <c r="I835" i="27"/>
  <c r="I1472" i="27"/>
  <c r="K414" i="27"/>
  <c r="G1349" i="27"/>
  <c r="A859" i="32"/>
  <c r="N414" i="27"/>
  <c r="A560" i="32"/>
  <c r="G556" i="32"/>
  <c r="F5446" i="27" l="1"/>
  <c r="F4886" i="27"/>
  <c r="F4887" i="27"/>
  <c r="F4888" i="27" s="1"/>
  <c r="F4889" i="27" s="1"/>
  <c r="F4890" i="27" s="1"/>
  <c r="F4891" i="27" s="1"/>
  <c r="A1472" i="27"/>
  <c r="H1475" i="27"/>
  <c r="R779" i="32" a="1"/>
  <c r="R779" i="32" s="1"/>
  <c r="D779" i="32" s="1"/>
  <c r="S779" i="32" a="1"/>
  <c r="S779" i="32" s="1"/>
  <c r="E779" i="32" s="1"/>
  <c r="T779" i="32" a="1"/>
  <c r="T779" i="32" s="1"/>
  <c r="V779" i="32" a="1"/>
  <c r="V779" i="32" s="1"/>
  <c r="L779" i="32" s="1"/>
  <c r="P783" i="32"/>
  <c r="Q781" i="32"/>
  <c r="T975" i="32" a="1"/>
  <c r="T975" i="32" s="1"/>
  <c r="S975" i="32" a="1"/>
  <c r="S975" i="32" s="1"/>
  <c r="E975" i="32" s="1"/>
  <c r="R975" i="32" a="1"/>
  <c r="R975" i="32" s="1"/>
  <c r="D975" i="32" s="1"/>
  <c r="V975" i="32" a="1"/>
  <c r="V975" i="32" s="1"/>
  <c r="L975" i="32" s="1"/>
  <c r="P979" i="32"/>
  <c r="Q977" i="32"/>
  <c r="A835" i="27"/>
  <c r="A414" i="27"/>
  <c r="T414" i="27" s="1"/>
  <c r="H416" i="27"/>
  <c r="F49" i="16" a="1"/>
  <c r="F49" i="16" s="1"/>
  <c r="F50" i="16" s="1" a="1"/>
  <c r="F50" i="16" s="1"/>
  <c r="I196" i="16" a="1"/>
  <c r="I196" i="16" s="1"/>
  <c r="J195" i="16" a="1"/>
  <c r="J195" i="16" s="1"/>
  <c r="H62" i="16" a="1"/>
  <c r="H62" i="16" s="1"/>
  <c r="I61" i="16" a="1"/>
  <c r="I61" i="16" s="1"/>
  <c r="U861" i="32"/>
  <c r="U250" i="32"/>
  <c r="U562" i="32"/>
  <c r="F4310" i="27"/>
  <c r="H4310" i="27"/>
  <c r="G246" i="32"/>
  <c r="G857" i="32"/>
  <c r="A562" i="32"/>
  <c r="N295" i="27"/>
  <c r="A250" i="32"/>
  <c r="N415" i="27"/>
  <c r="J415" i="27"/>
  <c r="L1325" i="27"/>
  <c r="L1474" i="27"/>
  <c r="I1473" i="27"/>
  <c r="J1325" i="27"/>
  <c r="K415" i="27"/>
  <c r="G558" i="32"/>
  <c r="M415" i="27"/>
  <c r="I415" i="27"/>
  <c r="K1473" i="27"/>
  <c r="I295" i="27"/>
  <c r="M295" i="27"/>
  <c r="J1474" i="27"/>
  <c r="J290" i="27"/>
  <c r="I290" i="27"/>
  <c r="J1473" i="27"/>
  <c r="I1474" i="27"/>
  <c r="F4230" i="27"/>
  <c r="N290" i="27"/>
  <c r="L1473" i="27"/>
  <c r="K1474" i="27"/>
  <c r="G1350" i="27"/>
  <c r="M290" i="27"/>
  <c r="A861" i="32"/>
  <c r="F5447" i="27" l="1"/>
  <c r="F4893" i="27"/>
  <c r="F4894" i="27" s="1"/>
  <c r="F4895" i="27" s="1"/>
  <c r="F4896" i="27" s="1"/>
  <c r="F4897" i="27" s="1"/>
  <c r="F4892" i="27"/>
  <c r="K2164" i="27"/>
  <c r="A1474" i="27"/>
  <c r="A1473" i="27"/>
  <c r="H1476" i="27"/>
  <c r="T977" i="32" a="1"/>
  <c r="T977" i="32" s="1"/>
  <c r="V977" i="32" a="1"/>
  <c r="V977" i="32" s="1"/>
  <c r="L977" i="32" s="1"/>
  <c r="R977" i="32" a="1"/>
  <c r="R977" i="32" s="1"/>
  <c r="D977" i="32" s="1"/>
  <c r="S977" i="32" a="1"/>
  <c r="S977" i="32" s="1"/>
  <c r="E977" i="32" s="1"/>
  <c r="P981" i="32"/>
  <c r="Q979" i="32"/>
  <c r="T781" i="32" a="1"/>
  <c r="T781" i="32" s="1"/>
  <c r="V781" i="32" a="1"/>
  <c r="V781" i="32" s="1"/>
  <c r="L781" i="32" s="1"/>
  <c r="R781" i="32" a="1"/>
  <c r="R781" i="32" s="1"/>
  <c r="D781" i="32" s="1"/>
  <c r="S781" i="32" a="1"/>
  <c r="S781" i="32" s="1"/>
  <c r="E781" i="32" s="1"/>
  <c r="P785" i="32"/>
  <c r="Q783" i="32"/>
  <c r="A415" i="27"/>
  <c r="T415" i="27" s="1"/>
  <c r="H417" i="27"/>
  <c r="H418" i="27" s="1"/>
  <c r="F51" i="16" a="1"/>
  <c r="F51" i="16" s="1"/>
  <c r="F52" i="16" s="1" a="1"/>
  <c r="F52" i="16" s="1"/>
  <c r="I197" i="16" a="1"/>
  <c r="I197" i="16" s="1"/>
  <c r="J196" i="16" a="1"/>
  <c r="J196" i="16" s="1"/>
  <c r="H63" i="16" a="1"/>
  <c r="H63" i="16" s="1"/>
  <c r="I62" i="16" a="1"/>
  <c r="I62" i="16" s="1"/>
  <c r="S155" i="24"/>
  <c r="U252" i="32"/>
  <c r="U564" i="32"/>
  <c r="U863" i="32"/>
  <c r="E261" i="24"/>
  <c r="I4310" i="27"/>
  <c r="K4310" i="27"/>
  <c r="J4310" i="27"/>
  <c r="G248" i="32"/>
  <c r="J416" i="27"/>
  <c r="J1475" i="27"/>
  <c r="G859" i="32"/>
  <c r="K416" i="27"/>
  <c r="X25" i="30"/>
  <c r="G352" i="32"/>
  <c r="L1475" i="27"/>
  <c r="G38" i="32"/>
  <c r="N416" i="27"/>
  <c r="G560" i="32"/>
  <c r="I1475" i="27"/>
  <c r="T27" i="30"/>
  <c r="A863" i="32"/>
  <c r="G1351" i="27"/>
  <c r="I416" i="27"/>
  <c r="K1475" i="27"/>
  <c r="A564" i="32"/>
  <c r="M416" i="27"/>
  <c r="F5448" i="27" l="1"/>
  <c r="F4899" i="27"/>
  <c r="F4900" i="27" s="1"/>
  <c r="F4901" i="27" s="1"/>
  <c r="F4902" i="27" s="1"/>
  <c r="F4903" i="27" s="1"/>
  <c r="F4898" i="27"/>
  <c r="J2435" i="27"/>
  <c r="I2435" i="27"/>
  <c r="F2453" i="27"/>
  <c r="J2453" i="27"/>
  <c r="N2453" i="27"/>
  <c r="G2453" i="27"/>
  <c r="L2453" i="27"/>
  <c r="M2453" i="27"/>
  <c r="A2453" i="27" s="1"/>
  <c r="I2453" i="27"/>
  <c r="E2453" i="27"/>
  <c r="K2453" i="27"/>
  <c r="O2453" i="27"/>
  <c r="E2435" i="27"/>
  <c r="E2452" i="27"/>
  <c r="L2452" i="27"/>
  <c r="O2452" i="27"/>
  <c r="N2452" i="27"/>
  <c r="K2452" i="27"/>
  <c r="J2452" i="27"/>
  <c r="I2452" i="27"/>
  <c r="G2452" i="27"/>
  <c r="A1475" i="27"/>
  <c r="H1477" i="27"/>
  <c r="P787" i="32"/>
  <c r="Q785" i="32"/>
  <c r="R783" i="32" a="1"/>
  <c r="R783" i="32" s="1"/>
  <c r="D783" i="32" s="1"/>
  <c r="S783" i="32" a="1"/>
  <c r="S783" i="32" s="1"/>
  <c r="E783" i="32" s="1"/>
  <c r="V783" i="32" a="1"/>
  <c r="V783" i="32" s="1"/>
  <c r="L783" i="32" s="1"/>
  <c r="T783" i="32" a="1"/>
  <c r="T783" i="32" s="1"/>
  <c r="T979" i="32" a="1"/>
  <c r="T979" i="32" s="1"/>
  <c r="V979" i="32" a="1"/>
  <c r="V979" i="32" s="1"/>
  <c r="L979" i="32" s="1"/>
  <c r="R979" i="32" a="1"/>
  <c r="R979" i="32" s="1"/>
  <c r="D979" i="32" s="1"/>
  <c r="S979" i="32" a="1"/>
  <c r="S979" i="32" s="1"/>
  <c r="E979" i="32" s="1"/>
  <c r="P983" i="32"/>
  <c r="Q981" i="32"/>
  <c r="A416" i="27"/>
  <c r="T416" i="27" s="1"/>
  <c r="F53" i="16" a="1"/>
  <c r="F53" i="16" s="1"/>
  <c r="F54" i="16" s="1" a="1"/>
  <c r="F54" i="16" s="1"/>
  <c r="I198" i="16" a="1"/>
  <c r="I198" i="16" s="1"/>
  <c r="J197" i="16" a="1"/>
  <c r="J197" i="16" s="1"/>
  <c r="H64" i="16" a="1"/>
  <c r="H64" i="16" s="1"/>
  <c r="I63" i="16" a="1"/>
  <c r="I63" i="16" s="1"/>
  <c r="S70" i="24"/>
  <c r="A4310" i="27"/>
  <c r="R72" i="24"/>
  <c r="M157" i="24"/>
  <c r="U865" i="32"/>
  <c r="U566" i="32"/>
  <c r="U254" i="32"/>
  <c r="G250" i="32"/>
  <c r="L1476" i="27"/>
  <c r="I1325" i="27"/>
  <c r="J4230" i="27"/>
  <c r="A566" i="32"/>
  <c r="I1476" i="27"/>
  <c r="G861" i="32"/>
  <c r="K290" i="27"/>
  <c r="G562" i="32"/>
  <c r="G641" i="32"/>
  <c r="A252" i="32"/>
  <c r="K295" i="27"/>
  <c r="G1352" i="27"/>
  <c r="A865" i="32"/>
  <c r="K1476" i="27"/>
  <c r="J1476" i="27"/>
  <c r="A290" i="27" l="1"/>
  <c r="T290" i="27" s="1"/>
  <c r="A1325" i="27"/>
  <c r="A295" i="27"/>
  <c r="T295" i="27" s="1"/>
  <c r="F5449" i="27"/>
  <c r="F4905" i="27"/>
  <c r="F4906" i="27" s="1"/>
  <c r="F4907" i="27" s="1"/>
  <c r="F4908" i="27" s="1"/>
  <c r="F4909" i="27" s="1"/>
  <c r="F4904" i="27"/>
  <c r="K2163" i="27"/>
  <c r="A1476" i="27"/>
  <c r="H1478" i="27"/>
  <c r="R981" i="32" a="1"/>
  <c r="R981" i="32" s="1"/>
  <c r="D981" i="32" s="1"/>
  <c r="S981" i="32" a="1"/>
  <c r="S981" i="32" s="1"/>
  <c r="E981" i="32" s="1"/>
  <c r="T981" i="32" a="1"/>
  <c r="T981" i="32" s="1"/>
  <c r="V981" i="32" a="1"/>
  <c r="V981" i="32" s="1"/>
  <c r="L981" i="32" s="1"/>
  <c r="P985" i="32"/>
  <c r="Q983" i="32"/>
  <c r="R785" i="32" a="1"/>
  <c r="R785" i="32" s="1"/>
  <c r="D785" i="32" s="1"/>
  <c r="T785" i="32" a="1"/>
  <c r="T785" i="32" s="1"/>
  <c r="S785" i="32" a="1"/>
  <c r="S785" i="32" s="1"/>
  <c r="E785" i="32" s="1"/>
  <c r="V785" i="32" a="1"/>
  <c r="V785" i="32" s="1"/>
  <c r="L785" i="32" s="1"/>
  <c r="P789" i="32"/>
  <c r="Q787" i="32"/>
  <c r="F55" i="16" a="1"/>
  <c r="F55" i="16" s="1"/>
  <c r="F56" i="16" s="1" a="1"/>
  <c r="F56" i="16" s="1"/>
  <c r="I199" i="16" a="1"/>
  <c r="I199" i="16" s="1"/>
  <c r="J198" i="16" a="1"/>
  <c r="J198" i="16" s="1"/>
  <c r="H65" i="16" a="1"/>
  <c r="H65" i="16" s="1"/>
  <c r="I64" i="16" a="1"/>
  <c r="I64" i="16" s="1"/>
  <c r="F261" i="24"/>
  <c r="AO10" i="34"/>
  <c r="AP10" i="34" s="1"/>
  <c r="AT10" i="34"/>
  <c r="D229" i="24"/>
  <c r="U256" i="32"/>
  <c r="U568" i="32"/>
  <c r="U867" i="32"/>
  <c r="G261" i="24"/>
  <c r="A254" i="32"/>
  <c r="L1477" i="27"/>
  <c r="A256" i="32"/>
  <c r="A867" i="32"/>
  <c r="L4226" i="27"/>
  <c r="G252" i="32"/>
  <c r="J1477" i="27"/>
  <c r="G863" i="32"/>
  <c r="D4226" i="27"/>
  <c r="I1477" i="27"/>
  <c r="G564" i="32"/>
  <c r="A568" i="32"/>
  <c r="K1477" i="27"/>
  <c r="F5451" i="27" l="1"/>
  <c r="F5450" i="27"/>
  <c r="F4910" i="27"/>
  <c r="F4911" i="27"/>
  <c r="F4912" i="27" s="1"/>
  <c r="F4913" i="27" s="1"/>
  <c r="F4914" i="27" s="1"/>
  <c r="F4915" i="27" s="1"/>
  <c r="A1477" i="27"/>
  <c r="H1479" i="27"/>
  <c r="H1480" i="27"/>
  <c r="R787" i="32" a="1"/>
  <c r="R787" i="32" s="1"/>
  <c r="D787" i="32" s="1"/>
  <c r="T787" i="32" a="1"/>
  <c r="T787" i="32" s="1"/>
  <c r="V787" i="32" a="1"/>
  <c r="V787" i="32" s="1"/>
  <c r="L787" i="32" s="1"/>
  <c r="S787" i="32" a="1"/>
  <c r="S787" i="32" s="1"/>
  <c r="E787" i="32" s="1"/>
  <c r="P791" i="32"/>
  <c r="Q789" i="32"/>
  <c r="T983" i="32" a="1"/>
  <c r="T983" i="32" s="1"/>
  <c r="V983" i="32" a="1"/>
  <c r="V983" i="32" s="1"/>
  <c r="L983" i="32" s="1"/>
  <c r="R983" i="32" a="1"/>
  <c r="R983" i="32" s="1"/>
  <c r="D983" i="32" s="1"/>
  <c r="S983" i="32" a="1"/>
  <c r="S983" i="32" s="1"/>
  <c r="E983" i="32" s="1"/>
  <c r="P987" i="32"/>
  <c r="Q985" i="32"/>
  <c r="I200" i="16" a="1"/>
  <c r="I200" i="16" s="1"/>
  <c r="J199" i="16" a="1"/>
  <c r="J199" i="16" s="1"/>
  <c r="H66" i="16" a="1"/>
  <c r="H66" i="16" s="1"/>
  <c r="I65" i="16" a="1"/>
  <c r="I65" i="16" s="1"/>
  <c r="F57" i="16" a="1"/>
  <c r="F57" i="16" s="1"/>
  <c r="BE10" i="34"/>
  <c r="BF10" i="34"/>
  <c r="AO11" i="34"/>
  <c r="AP11" i="34" s="1"/>
  <c r="AT11" i="34"/>
  <c r="D237" i="24"/>
  <c r="AQ10" i="34"/>
  <c r="AR10" i="34"/>
  <c r="U869" i="32"/>
  <c r="U570" i="32"/>
  <c r="U258" i="32"/>
  <c r="D4227" i="27"/>
  <c r="P4226" i="27"/>
  <c r="G254" i="32"/>
  <c r="K4226" i="27"/>
  <c r="J1478" i="27"/>
  <c r="G865" i="32"/>
  <c r="A570" i="32"/>
  <c r="K1478" i="27"/>
  <c r="L1478" i="27"/>
  <c r="I1478" i="27"/>
  <c r="G566" i="32"/>
  <c r="A258" i="32"/>
  <c r="L4227" i="27"/>
  <c r="F5452" i="27" l="1"/>
  <c r="F4917" i="27"/>
  <c r="F4918" i="27" s="1"/>
  <c r="F4919" i="27" s="1"/>
  <c r="F4920" i="27" s="1"/>
  <c r="F4921" i="27" s="1"/>
  <c r="F4916" i="27"/>
  <c r="A1478" i="27"/>
  <c r="H1481" i="27"/>
  <c r="R789" i="32" a="1"/>
  <c r="R789" i="32" s="1"/>
  <c r="D789" i="32" s="1"/>
  <c r="V789" i="32" a="1"/>
  <c r="V789" i="32" s="1"/>
  <c r="L789" i="32" s="1"/>
  <c r="T789" i="32" a="1"/>
  <c r="T789" i="32" s="1"/>
  <c r="S789" i="32" a="1"/>
  <c r="S789" i="32" s="1"/>
  <c r="E789" i="32" s="1"/>
  <c r="P793" i="32"/>
  <c r="Q791" i="32"/>
  <c r="V985" i="32" a="1"/>
  <c r="V985" i="32" s="1"/>
  <c r="L985" i="32" s="1"/>
  <c r="T985" i="32" a="1"/>
  <c r="T985" i="32" s="1"/>
  <c r="S985" i="32" a="1"/>
  <c r="S985" i="32" s="1"/>
  <c r="E985" i="32" s="1"/>
  <c r="R985" i="32" a="1"/>
  <c r="R985" i="32" s="1"/>
  <c r="D985" i="32" s="1"/>
  <c r="P989" i="32"/>
  <c r="Q987" i="32"/>
  <c r="I201" i="16" a="1"/>
  <c r="I201" i="16" s="1"/>
  <c r="J200" i="16" a="1"/>
  <c r="J200" i="16" s="1"/>
  <c r="F58" i="16" a="1"/>
  <c r="F58" i="16" s="1"/>
  <c r="F59" i="16" s="1" a="1"/>
  <c r="F59" i="16" s="1"/>
  <c r="H67" i="16" a="1"/>
  <c r="H67" i="16" s="1"/>
  <c r="I66" i="16" a="1"/>
  <c r="I66" i="16" s="1"/>
  <c r="BE11" i="34"/>
  <c r="BF11" i="34"/>
  <c r="AO13" i="34"/>
  <c r="AP13" i="34" s="1"/>
  <c r="AT13" i="34"/>
  <c r="D253" i="24"/>
  <c r="AT12" i="34"/>
  <c r="AO12" i="34"/>
  <c r="AP12" i="34" s="1"/>
  <c r="D245" i="24"/>
  <c r="AR11" i="34"/>
  <c r="AQ11" i="34"/>
  <c r="U260" i="32"/>
  <c r="U572" i="32"/>
  <c r="U871" i="32"/>
  <c r="A869" i="32"/>
  <c r="G867" i="32"/>
  <c r="P4227" i="27"/>
  <c r="G568" i="32"/>
  <c r="G256" i="32"/>
  <c r="J1479" i="27"/>
  <c r="K1480" i="27"/>
  <c r="L1480" i="27"/>
  <c r="D4228" i="27"/>
  <c r="D4229" i="27"/>
  <c r="A871" i="32"/>
  <c r="L1479" i="27"/>
  <c r="L4229" i="27"/>
  <c r="K1479" i="27"/>
  <c r="J1480" i="27"/>
  <c r="I1480" i="27"/>
  <c r="L4228" i="27"/>
  <c r="I1479" i="27"/>
  <c r="A260" i="32"/>
  <c r="K4227" i="27"/>
  <c r="F5453" i="27" l="1"/>
  <c r="F4923" i="27"/>
  <c r="F4924" i="27" s="1"/>
  <c r="F4925" i="27" s="1"/>
  <c r="F4926" i="27" s="1"/>
  <c r="F4927" i="27" s="1"/>
  <c r="F4922" i="27"/>
  <c r="A1479" i="27"/>
  <c r="A1480" i="27"/>
  <c r="H1482" i="27"/>
  <c r="R791" i="32" a="1"/>
  <c r="R791" i="32" s="1"/>
  <c r="D791" i="32" s="1"/>
  <c r="V791" i="32" a="1"/>
  <c r="V791" i="32" s="1"/>
  <c r="L791" i="32" s="1"/>
  <c r="S791" i="32" a="1"/>
  <c r="S791" i="32" s="1"/>
  <c r="E791" i="32" s="1"/>
  <c r="T791" i="32" a="1"/>
  <c r="T791" i="32" s="1"/>
  <c r="P795" i="32"/>
  <c r="Q793" i="32"/>
  <c r="V987" i="32" a="1"/>
  <c r="V987" i="32" s="1"/>
  <c r="L987" i="32" s="1"/>
  <c r="R987" i="32" a="1"/>
  <c r="R987" i="32" s="1"/>
  <c r="D987" i="32" s="1"/>
  <c r="S987" i="32" a="1"/>
  <c r="S987" i="32" s="1"/>
  <c r="E987" i="32" s="1"/>
  <c r="T987" i="32" a="1"/>
  <c r="T987" i="32" s="1"/>
  <c r="P991" i="32"/>
  <c r="Q989" i="32"/>
  <c r="I202" i="16" a="1"/>
  <c r="I202" i="16" s="1"/>
  <c r="J202" i="16" s="1" a="1"/>
  <c r="J202" i="16" s="1"/>
  <c r="J201" i="16" a="1"/>
  <c r="J201" i="16" s="1"/>
  <c r="F60" i="16" a="1"/>
  <c r="F60" i="16" s="1"/>
  <c r="F61" i="16" s="1" a="1"/>
  <c r="F61" i="16" s="1"/>
  <c r="H68" i="16" a="1"/>
  <c r="H68" i="16" s="1"/>
  <c r="I67" i="16" a="1"/>
  <c r="I67" i="16" s="1"/>
  <c r="BE12" i="34"/>
  <c r="BF12" i="34"/>
  <c r="BE13" i="34"/>
  <c r="BF13" i="34"/>
  <c r="AO14" i="34"/>
  <c r="AP14" i="34" s="1"/>
  <c r="AT14" i="34"/>
  <c r="D261" i="24"/>
  <c r="AR12" i="34"/>
  <c r="AQ12" i="34"/>
  <c r="AR13" i="34"/>
  <c r="AQ13" i="34"/>
  <c r="U873" i="32"/>
  <c r="U574" i="32"/>
  <c r="U262" i="32"/>
  <c r="D4230" i="27"/>
  <c r="A572" i="32"/>
  <c r="K4229" i="27"/>
  <c r="L1481" i="27"/>
  <c r="J1481" i="27"/>
  <c r="G570" i="32"/>
  <c r="G258" i="32"/>
  <c r="G869" i="32"/>
  <c r="A262" i="32"/>
  <c r="P4229" i="27"/>
  <c r="K1481" i="27"/>
  <c r="K4228" i="27"/>
  <c r="L4230" i="27"/>
  <c r="I1481" i="27"/>
  <c r="A873" i="32"/>
  <c r="P4228" i="27"/>
  <c r="F5454" i="27" l="1"/>
  <c r="F4929" i="27"/>
  <c r="F4930" i="27" s="1"/>
  <c r="F4931" i="27" s="1"/>
  <c r="F4932" i="27" s="1"/>
  <c r="F4933" i="27" s="1"/>
  <c r="F4928" i="27"/>
  <c r="A1481" i="27"/>
  <c r="H1483" i="27"/>
  <c r="V793" i="32" a="1"/>
  <c r="V793" i="32" s="1"/>
  <c r="L793" i="32" s="1"/>
  <c r="T793" i="32" a="1"/>
  <c r="T793" i="32" s="1"/>
  <c r="S793" i="32" a="1"/>
  <c r="S793" i="32" s="1"/>
  <c r="E793" i="32" s="1"/>
  <c r="R793" i="32" a="1"/>
  <c r="R793" i="32" s="1"/>
  <c r="D793" i="32" s="1"/>
  <c r="P797" i="32"/>
  <c r="Q795" i="32"/>
  <c r="S989" i="32" a="1"/>
  <c r="S989" i="32" s="1"/>
  <c r="E989" i="32" s="1"/>
  <c r="R989" i="32" a="1"/>
  <c r="R989" i="32" s="1"/>
  <c r="D989" i="32" s="1"/>
  <c r="V989" i="32" a="1"/>
  <c r="V989" i="32" s="1"/>
  <c r="L989" i="32" s="1"/>
  <c r="T989" i="32" a="1"/>
  <c r="T989" i="32" s="1"/>
  <c r="P993" i="32"/>
  <c r="Q991" i="32"/>
  <c r="H69" i="16" a="1"/>
  <c r="H69" i="16" s="1"/>
  <c r="I68" i="16" a="1"/>
  <c r="I68" i="16" s="1"/>
  <c r="F62" i="16" a="1"/>
  <c r="F62" i="16" s="1"/>
  <c r="F63" i="16" s="1" a="1"/>
  <c r="F63" i="16" s="1"/>
  <c r="BE14" i="34"/>
  <c r="BF14" i="34"/>
  <c r="AT15" i="34"/>
  <c r="AO15" i="34"/>
  <c r="AP15" i="34" s="1"/>
  <c r="D269" i="24"/>
  <c r="AR14" i="34"/>
  <c r="AQ14" i="34"/>
  <c r="U264" i="32"/>
  <c r="U576" i="32"/>
  <c r="U875" i="32"/>
  <c r="K1482" i="27"/>
  <c r="A574" i="32"/>
  <c r="L1482" i="27"/>
  <c r="I1482" i="27"/>
  <c r="J1482" i="27"/>
  <c r="K4230" i="27"/>
  <c r="G572" i="32"/>
  <c r="A264" i="32"/>
  <c r="D4231" i="27"/>
  <c r="A875" i="32"/>
  <c r="G260" i="32"/>
  <c r="A576" i="32"/>
  <c r="G871" i="32"/>
  <c r="L4231" i="27"/>
  <c r="P4230" i="27"/>
  <c r="F5455" i="27" l="1"/>
  <c r="F4934" i="27"/>
  <c r="F4935" i="27"/>
  <c r="F4936" i="27" s="1"/>
  <c r="F4937" i="27" s="1"/>
  <c r="F4938" i="27" s="1"/>
  <c r="F4939" i="27" s="1"/>
  <c r="A1482" i="27"/>
  <c r="H1484" i="27"/>
  <c r="T991" i="32" a="1"/>
  <c r="T991" i="32" s="1"/>
  <c r="S991" i="32" a="1"/>
  <c r="S991" i="32" s="1"/>
  <c r="E991" i="32" s="1"/>
  <c r="R991" i="32" a="1"/>
  <c r="R991" i="32" s="1"/>
  <c r="D991" i="32" s="1"/>
  <c r="V991" i="32" a="1"/>
  <c r="V991" i="32" s="1"/>
  <c r="L991" i="32" s="1"/>
  <c r="S795" i="32" a="1"/>
  <c r="S795" i="32" s="1"/>
  <c r="E795" i="32" s="1"/>
  <c r="R795" i="32" a="1"/>
  <c r="R795" i="32" s="1"/>
  <c r="D795" i="32" s="1"/>
  <c r="V795" i="32" a="1"/>
  <c r="V795" i="32" s="1"/>
  <c r="L795" i="32" s="1"/>
  <c r="T795" i="32" a="1"/>
  <c r="T795" i="32" s="1"/>
  <c r="P799" i="32"/>
  <c r="Q797" i="32"/>
  <c r="P995" i="32"/>
  <c r="Q993" i="32"/>
  <c r="H70" i="16" a="1"/>
  <c r="H70" i="16" s="1"/>
  <c r="I69" i="16" a="1"/>
  <c r="I69" i="16" s="1"/>
  <c r="F64" i="16" a="1"/>
  <c r="F64" i="16" s="1"/>
  <c r="BF15" i="34"/>
  <c r="BE15" i="34"/>
  <c r="AT16" i="34"/>
  <c r="AO16" i="34"/>
  <c r="AP16" i="34" s="1"/>
  <c r="D277" i="24"/>
  <c r="AQ15" i="34"/>
  <c r="AR15" i="34"/>
  <c r="U877" i="32"/>
  <c r="U578" i="32"/>
  <c r="U266" i="32"/>
  <c r="J1483" i="27"/>
  <c r="K4231" i="27"/>
  <c r="K1483" i="27"/>
  <c r="I1483" i="27"/>
  <c r="A578" i="32"/>
  <c r="L4232" i="27"/>
  <c r="D4232" i="27"/>
  <c r="G873" i="32"/>
  <c r="P4231" i="27"/>
  <c r="A877" i="32"/>
  <c r="G262" i="32"/>
  <c r="L1483" i="27"/>
  <c r="G574" i="32"/>
  <c r="F5457" i="27" l="1"/>
  <c r="F5456" i="27"/>
  <c r="F4941" i="27"/>
  <c r="F4942" i="27" s="1"/>
  <c r="F4943" i="27" s="1"/>
  <c r="F4944" i="27" s="1"/>
  <c r="F4945" i="27" s="1"/>
  <c r="F4940" i="27"/>
  <c r="A1483" i="27"/>
  <c r="H1485" i="27"/>
  <c r="H1486" i="27"/>
  <c r="T993" i="32" a="1"/>
  <c r="T993" i="32" s="1"/>
  <c r="V993" i="32" a="1"/>
  <c r="V993" i="32" s="1"/>
  <c r="L993" i="32" s="1"/>
  <c r="R993" i="32" a="1"/>
  <c r="R993" i="32" s="1"/>
  <c r="D993" i="32" s="1"/>
  <c r="S993" i="32" a="1"/>
  <c r="S993" i="32" s="1"/>
  <c r="E993" i="32" s="1"/>
  <c r="P997" i="32"/>
  <c r="Q995" i="32"/>
  <c r="V797" i="32" a="1"/>
  <c r="V797" i="32" s="1"/>
  <c r="L797" i="32" s="1"/>
  <c r="T797" i="32" a="1"/>
  <c r="T797" i="32" s="1"/>
  <c r="S797" i="32" a="1"/>
  <c r="S797" i="32" s="1"/>
  <c r="E797" i="32" s="1"/>
  <c r="R797" i="32" a="1"/>
  <c r="R797" i="32" s="1"/>
  <c r="D797" i="32" s="1"/>
  <c r="P801" i="32"/>
  <c r="Q799" i="32"/>
  <c r="F65" i="16" a="1"/>
  <c r="F65" i="16" s="1"/>
  <c r="H71" i="16" a="1"/>
  <c r="H71" i="16" s="1"/>
  <c r="I70" i="16" a="1"/>
  <c r="I70" i="16" s="1"/>
  <c r="BE16" i="34"/>
  <c r="BF16" i="34"/>
  <c r="AO17" i="34"/>
  <c r="AP17" i="34" s="1"/>
  <c r="AT17" i="34"/>
  <c r="D285" i="24"/>
  <c r="AQ16" i="34"/>
  <c r="AR16" i="34"/>
  <c r="U268" i="32"/>
  <c r="U580" i="32"/>
  <c r="U879" i="32"/>
  <c r="G875" i="32"/>
  <c r="L4233" i="27"/>
  <c r="P4232" i="27"/>
  <c r="A580" i="32"/>
  <c r="D4233" i="27"/>
  <c r="K4232" i="27"/>
  <c r="A266" i="32"/>
  <c r="K1484" i="27"/>
  <c r="L1484" i="27"/>
  <c r="A879" i="32"/>
  <c r="G264" i="32"/>
  <c r="A268" i="32"/>
  <c r="I1484" i="27"/>
  <c r="G576" i="32"/>
  <c r="J1484" i="27"/>
  <c r="F5458" i="27" l="1"/>
  <c r="F4947" i="27"/>
  <c r="F4948" i="27" s="1"/>
  <c r="F4949" i="27" s="1"/>
  <c r="F4950" i="27" s="1"/>
  <c r="F4951" i="27" s="1"/>
  <c r="F4946" i="27"/>
  <c r="A1484" i="27"/>
  <c r="H1487" i="27"/>
  <c r="T799" i="32" a="1"/>
  <c r="T799" i="32" s="1"/>
  <c r="S799" i="32" a="1"/>
  <c r="S799" i="32" s="1"/>
  <c r="E799" i="32" s="1"/>
  <c r="R799" i="32" a="1"/>
  <c r="R799" i="32" s="1"/>
  <c r="D799" i="32" s="1"/>
  <c r="V799" i="32" a="1"/>
  <c r="V799" i="32" s="1"/>
  <c r="L799" i="32" s="1"/>
  <c r="P803" i="32"/>
  <c r="Q801" i="32"/>
  <c r="R995" i="32" a="1"/>
  <c r="R995" i="32" s="1"/>
  <c r="D995" i="32" s="1"/>
  <c r="S995" i="32" a="1"/>
  <c r="S995" i="32" s="1"/>
  <c r="E995" i="32" s="1"/>
  <c r="T995" i="32" a="1"/>
  <c r="T995" i="32" s="1"/>
  <c r="V995" i="32" a="1"/>
  <c r="V995" i="32" s="1"/>
  <c r="L995" i="32" s="1"/>
  <c r="P999" i="32"/>
  <c r="Q997" i="32"/>
  <c r="H72" i="16" a="1"/>
  <c r="H72" i="16" s="1"/>
  <c r="I72" i="16" s="1" a="1"/>
  <c r="I72" i="16" s="1"/>
  <c r="I71" i="16" a="1"/>
  <c r="I71" i="16" s="1"/>
  <c r="F66" i="16" a="1"/>
  <c r="F66" i="16" s="1"/>
  <c r="F67" i="16" s="1" a="1"/>
  <c r="F67" i="16" s="1"/>
  <c r="BE17" i="34"/>
  <c r="BF17" i="34"/>
  <c r="AO18" i="34"/>
  <c r="AP18" i="34" s="1"/>
  <c r="AT18" i="34"/>
  <c r="D293" i="24"/>
  <c r="AQ17" i="34"/>
  <c r="AR17" i="34"/>
  <c r="U881" i="32"/>
  <c r="U582" i="32"/>
  <c r="U270" i="32"/>
  <c r="K1486" i="27"/>
  <c r="P4233" i="27"/>
  <c r="L1486" i="27"/>
  <c r="K1485" i="27"/>
  <c r="I1486" i="27"/>
  <c r="J1486" i="27"/>
  <c r="J1485" i="27"/>
  <c r="I1485" i="27"/>
  <c r="G877" i="32"/>
  <c r="L4234" i="27"/>
  <c r="A881" i="32"/>
  <c r="D4234" i="27"/>
  <c r="G266" i="32"/>
  <c r="L1485" i="27"/>
  <c r="G578" i="32"/>
  <c r="K4233" i="27"/>
  <c r="F5459" i="27" l="1"/>
  <c r="F4953" i="27"/>
  <c r="F4954" i="27" s="1"/>
  <c r="F4955" i="27" s="1"/>
  <c r="F4956" i="27" s="1"/>
  <c r="F4957" i="27" s="1"/>
  <c r="F4952" i="27"/>
  <c r="A1485" i="27"/>
  <c r="A1486" i="27"/>
  <c r="H1488" i="27"/>
  <c r="T801" i="32" a="1"/>
  <c r="T801" i="32" s="1"/>
  <c r="S801" i="32" a="1"/>
  <c r="S801" i="32" s="1"/>
  <c r="E801" i="32" s="1"/>
  <c r="R801" i="32" a="1"/>
  <c r="R801" i="32" s="1"/>
  <c r="D801" i="32" s="1"/>
  <c r="V801" i="32" a="1"/>
  <c r="V801" i="32" s="1"/>
  <c r="L801" i="32" s="1"/>
  <c r="P805" i="32"/>
  <c r="Q803" i="32"/>
  <c r="T997" i="32" a="1"/>
  <c r="T997" i="32" s="1"/>
  <c r="S997" i="32" a="1"/>
  <c r="S997" i="32" s="1"/>
  <c r="E997" i="32" s="1"/>
  <c r="R997" i="32" a="1"/>
  <c r="R997" i="32" s="1"/>
  <c r="D997" i="32" s="1"/>
  <c r="V997" i="32" a="1"/>
  <c r="V997" i="32" s="1"/>
  <c r="L997" i="32" s="1"/>
  <c r="P1001" i="32"/>
  <c r="Q999" i="32"/>
  <c r="F68" i="16" a="1"/>
  <c r="F68" i="16" s="1"/>
  <c r="BE18" i="34"/>
  <c r="BF18" i="34"/>
  <c r="AT19" i="34"/>
  <c r="AO19" i="34"/>
  <c r="AP19" i="34" s="1"/>
  <c r="AR18" i="34"/>
  <c r="AQ18" i="34"/>
  <c r="U584" i="32"/>
  <c r="U272" i="32"/>
  <c r="U883" i="32"/>
  <c r="A270" i="32"/>
  <c r="A272" i="32"/>
  <c r="G580" i="32"/>
  <c r="A584" i="32"/>
  <c r="K4234" i="27"/>
  <c r="A582" i="32"/>
  <c r="L4235" i="27"/>
  <c r="D4235" i="27"/>
  <c r="J1487" i="27"/>
  <c r="K1487" i="27"/>
  <c r="I1487" i="27"/>
  <c r="A883" i="32"/>
  <c r="G879" i="32"/>
  <c r="P4234" i="27"/>
  <c r="G268" i="32"/>
  <c r="L1487" i="27"/>
  <c r="F5460" i="27" l="1"/>
  <c r="F4958" i="27"/>
  <c r="F4959" i="27"/>
  <c r="F4960" i="27" s="1"/>
  <c r="F4961" i="27" s="1"/>
  <c r="F4962" i="27" s="1"/>
  <c r="F4963" i="27" s="1"/>
  <c r="A1487" i="27"/>
  <c r="H1489" i="27"/>
  <c r="S803" i="32" a="1"/>
  <c r="S803" i="32" s="1"/>
  <c r="E803" i="32" s="1"/>
  <c r="T803" i="32" a="1"/>
  <c r="T803" i="32" s="1"/>
  <c r="R803" i="32" a="1"/>
  <c r="R803" i="32" s="1"/>
  <c r="D803" i="32" s="1"/>
  <c r="V803" i="32" a="1"/>
  <c r="V803" i="32" s="1"/>
  <c r="L803" i="32" s="1"/>
  <c r="P807" i="32"/>
  <c r="Q805" i="32"/>
  <c r="S999" i="32" a="1"/>
  <c r="S999" i="32" s="1"/>
  <c r="E999" i="32" s="1"/>
  <c r="R999" i="32" a="1"/>
  <c r="R999" i="32" s="1"/>
  <c r="D999" i="32" s="1"/>
  <c r="V999" i="32" a="1"/>
  <c r="V999" i="32" s="1"/>
  <c r="L999" i="32" s="1"/>
  <c r="T999" i="32" a="1"/>
  <c r="T999" i="32" s="1"/>
  <c r="P1003" i="32"/>
  <c r="Q1001" i="32"/>
  <c r="F69" i="16" a="1"/>
  <c r="F69" i="16" s="1"/>
  <c r="F70" i="16" s="1" a="1"/>
  <c r="F70" i="16" s="1"/>
  <c r="BE19" i="34"/>
  <c r="BF19" i="34"/>
  <c r="AT20" i="34"/>
  <c r="AO20" i="34"/>
  <c r="AP20" i="34" s="1"/>
  <c r="AR19" i="34"/>
  <c r="AQ19" i="34"/>
  <c r="U885" i="32"/>
  <c r="U274" i="32"/>
  <c r="U586" i="32"/>
  <c r="G270" i="32"/>
  <c r="K1488" i="27"/>
  <c r="A885" i="32"/>
  <c r="L1488" i="27"/>
  <c r="L4236" i="27"/>
  <c r="A586" i="32"/>
  <c r="I1488" i="27"/>
  <c r="J1488" i="27"/>
  <c r="P4235" i="27"/>
  <c r="D4236" i="27"/>
  <c r="K4235" i="27"/>
  <c r="G881" i="32"/>
  <c r="A274" i="32"/>
  <c r="G582" i="32"/>
  <c r="F5461" i="27" l="1"/>
  <c r="F4965" i="27"/>
  <c r="F4966" i="27" s="1"/>
  <c r="F4967" i="27" s="1"/>
  <c r="F4968" i="27" s="1"/>
  <c r="F4969" i="27" s="1"/>
  <c r="F4964" i="27"/>
  <c r="A1488" i="27"/>
  <c r="H1490" i="27"/>
  <c r="P1005" i="32"/>
  <c r="Q1003" i="32"/>
  <c r="V805" i="32" a="1"/>
  <c r="V805" i="32" s="1"/>
  <c r="L805" i="32" s="1"/>
  <c r="R805" i="32" a="1"/>
  <c r="R805" i="32" s="1"/>
  <c r="D805" i="32" s="1"/>
  <c r="T805" i="32" a="1"/>
  <c r="T805" i="32" s="1"/>
  <c r="S805" i="32" a="1"/>
  <c r="S805" i="32" s="1"/>
  <c r="E805" i="32" s="1"/>
  <c r="P809" i="32"/>
  <c r="Q807" i="32"/>
  <c r="T1001" i="32" a="1"/>
  <c r="T1001" i="32" s="1"/>
  <c r="S1001" i="32" a="1"/>
  <c r="S1001" i="32" s="1"/>
  <c r="E1001" i="32" s="1"/>
  <c r="R1001" i="32" a="1"/>
  <c r="R1001" i="32" s="1"/>
  <c r="D1001" i="32" s="1"/>
  <c r="V1001" i="32" a="1"/>
  <c r="V1001" i="32" s="1"/>
  <c r="L1001" i="32" s="1"/>
  <c r="F71" i="16" a="1"/>
  <c r="F71" i="16" s="1"/>
  <c r="F72" i="16" s="1" a="1"/>
  <c r="F72" i="16" s="1"/>
  <c r="BE20" i="34"/>
  <c r="BF20" i="34"/>
  <c r="AO21" i="34"/>
  <c r="AP21" i="34" s="1"/>
  <c r="AT21" i="34"/>
  <c r="AR20" i="34"/>
  <c r="AQ20" i="34"/>
  <c r="U588" i="32"/>
  <c r="U276" i="32"/>
  <c r="U887" i="32"/>
  <c r="G883" i="32"/>
  <c r="P4236" i="27"/>
  <c r="G272" i="32"/>
  <c r="K4236" i="27"/>
  <c r="A588" i="32"/>
  <c r="I1489" i="27"/>
  <c r="J1489" i="27"/>
  <c r="L4237" i="27"/>
  <c r="A887" i="32"/>
  <c r="G584" i="32"/>
  <c r="D4237" i="27"/>
  <c r="K1489" i="27"/>
  <c r="L1489" i="27"/>
  <c r="A276" i="32"/>
  <c r="F5463" i="27" l="1"/>
  <c r="F5462" i="27"/>
  <c r="F4971" i="27"/>
  <c r="F4972" i="27" s="1"/>
  <c r="F4973" i="27" s="1"/>
  <c r="F4974" i="27" s="1"/>
  <c r="F4975" i="27" s="1"/>
  <c r="F4970" i="27"/>
  <c r="A1489" i="27"/>
  <c r="H1491" i="27"/>
  <c r="H1492" i="27"/>
  <c r="V807" i="32" a="1"/>
  <c r="V807" i="32" s="1"/>
  <c r="L807" i="32" s="1"/>
  <c r="T807" i="32" a="1"/>
  <c r="T807" i="32" s="1"/>
  <c r="R807" i="32" a="1"/>
  <c r="R807" i="32" s="1"/>
  <c r="D807" i="32" s="1"/>
  <c r="S807" i="32" a="1"/>
  <c r="S807" i="32" s="1"/>
  <c r="E807" i="32" s="1"/>
  <c r="P811" i="32"/>
  <c r="Q809" i="32"/>
  <c r="T1003" i="32" a="1"/>
  <c r="T1003" i="32" s="1"/>
  <c r="S1003" i="32" a="1"/>
  <c r="S1003" i="32" s="1"/>
  <c r="E1003" i="32" s="1"/>
  <c r="R1003" i="32" a="1"/>
  <c r="R1003" i="32" s="1"/>
  <c r="D1003" i="32" s="1"/>
  <c r="V1003" i="32" a="1"/>
  <c r="V1003" i="32" s="1"/>
  <c r="L1003" i="32" s="1"/>
  <c r="P1007" i="32"/>
  <c r="Q1005" i="32"/>
  <c r="BF21" i="34"/>
  <c r="BE21" i="34"/>
  <c r="AT23" i="34"/>
  <c r="AO23" i="34"/>
  <c r="AP23" i="34" s="1"/>
  <c r="AT22" i="34"/>
  <c r="AO22" i="34"/>
  <c r="AP22" i="34" s="1"/>
  <c r="AR21" i="34"/>
  <c r="AQ21" i="34"/>
  <c r="U889" i="32"/>
  <c r="U278" i="32"/>
  <c r="U590" i="32"/>
  <c r="J1490" i="27"/>
  <c r="L1490" i="27"/>
  <c r="K1490" i="27"/>
  <c r="A889" i="32"/>
  <c r="G274" i="32"/>
  <c r="D4239" i="27"/>
  <c r="G586" i="32"/>
  <c r="L4238" i="27"/>
  <c r="G885" i="32"/>
  <c r="L4239" i="27"/>
  <c r="I1490" i="27"/>
  <c r="K4237" i="27"/>
  <c r="P4237" i="27"/>
  <c r="A590" i="32"/>
  <c r="D4238" i="27"/>
  <c r="F5464" i="27" l="1"/>
  <c r="F4977" i="27"/>
  <c r="F4978" i="27" s="1"/>
  <c r="F4979" i="27" s="1"/>
  <c r="F4980" i="27" s="1"/>
  <c r="F4981" i="27" s="1"/>
  <c r="F4976" i="27"/>
  <c r="A1490" i="27"/>
  <c r="H1493" i="27"/>
  <c r="T1005" i="32" a="1"/>
  <c r="T1005" i="32" s="1"/>
  <c r="S1005" i="32" a="1"/>
  <c r="S1005" i="32" s="1"/>
  <c r="E1005" i="32" s="1"/>
  <c r="R1005" i="32" a="1"/>
  <c r="R1005" i="32" s="1"/>
  <c r="D1005" i="32" s="1"/>
  <c r="V1005" i="32" a="1"/>
  <c r="V1005" i="32" s="1"/>
  <c r="L1005" i="32" s="1"/>
  <c r="V809" i="32" a="1"/>
  <c r="V809" i="32" s="1"/>
  <c r="L809" i="32" s="1"/>
  <c r="T809" i="32" a="1"/>
  <c r="T809" i="32" s="1"/>
  <c r="S809" i="32" a="1"/>
  <c r="S809" i="32" s="1"/>
  <c r="E809" i="32" s="1"/>
  <c r="R809" i="32" a="1"/>
  <c r="R809" i="32" s="1"/>
  <c r="D809" i="32" s="1"/>
  <c r="P813" i="32"/>
  <c r="Q811" i="32"/>
  <c r="P1009" i="32"/>
  <c r="Q1007" i="32"/>
  <c r="BE22" i="34"/>
  <c r="BF22" i="34"/>
  <c r="BE23" i="34"/>
  <c r="BF23" i="34"/>
  <c r="AQ22" i="34"/>
  <c r="AR22" i="34"/>
  <c r="AQ23" i="34"/>
  <c r="AR23" i="34"/>
  <c r="U592" i="32"/>
  <c r="U280" i="32"/>
  <c r="U891" i="32"/>
  <c r="G588" i="32"/>
  <c r="A891" i="32"/>
  <c r="K1492" i="27"/>
  <c r="G276" i="32"/>
  <c r="J1492" i="27"/>
  <c r="L1491" i="27"/>
  <c r="J1491" i="27"/>
  <c r="P4238" i="27"/>
  <c r="L1492" i="27"/>
  <c r="P4239" i="27"/>
  <c r="A592" i="32"/>
  <c r="I1492" i="27"/>
  <c r="I1491" i="27"/>
  <c r="K1491" i="27"/>
  <c r="K4239" i="27"/>
  <c r="K4238" i="27"/>
  <c r="A278" i="32"/>
  <c r="G887" i="32"/>
  <c r="A280" i="32"/>
  <c r="F5465" i="27" l="1"/>
  <c r="F4982" i="27"/>
  <c r="F4983" i="27"/>
  <c r="F4984" i="27" s="1"/>
  <c r="F4985" i="27" s="1"/>
  <c r="F4986" i="27" s="1"/>
  <c r="F4987" i="27" s="1"/>
  <c r="A1491" i="27"/>
  <c r="A1492" i="27"/>
  <c r="H1494" i="27"/>
  <c r="V1007" i="32" a="1"/>
  <c r="V1007" i="32" s="1"/>
  <c r="L1007" i="32" s="1"/>
  <c r="R1007" i="32" a="1"/>
  <c r="R1007" i="32" s="1"/>
  <c r="D1007" i="32" s="1"/>
  <c r="S1007" i="32" a="1"/>
  <c r="S1007" i="32" s="1"/>
  <c r="E1007" i="32" s="1"/>
  <c r="T1007" i="32" a="1"/>
  <c r="T1007" i="32" s="1"/>
  <c r="P1011" i="32"/>
  <c r="Q1009" i="32"/>
  <c r="T811" i="32" a="1"/>
  <c r="T811" i="32" s="1"/>
  <c r="S811" i="32" a="1"/>
  <c r="S811" i="32" s="1"/>
  <c r="E811" i="32" s="1"/>
  <c r="R811" i="32" a="1"/>
  <c r="R811" i="32" s="1"/>
  <c r="D811" i="32" s="1"/>
  <c r="V811" i="32" a="1"/>
  <c r="V811" i="32" s="1"/>
  <c r="L811" i="32" s="1"/>
  <c r="P815" i="32"/>
  <c r="Q813" i="32"/>
  <c r="AT24" i="34"/>
  <c r="AO24" i="34"/>
  <c r="AP24" i="34" s="1"/>
  <c r="U893" i="32"/>
  <c r="U594" i="32"/>
  <c r="U282" i="32"/>
  <c r="I1493" i="27"/>
  <c r="J1493" i="27"/>
  <c r="A893" i="32"/>
  <c r="A594" i="32"/>
  <c r="G889" i="32"/>
  <c r="D4240" i="27"/>
  <c r="G590" i="32"/>
  <c r="K1493" i="27"/>
  <c r="L4240" i="27"/>
  <c r="G278" i="32"/>
  <c r="L1493" i="27"/>
  <c r="F5466" i="27" l="1"/>
  <c r="F4989" i="27"/>
  <c r="F4990" i="27" s="1"/>
  <c r="F4991" i="27" s="1"/>
  <c r="F4992" i="27" s="1"/>
  <c r="F4993" i="27" s="1"/>
  <c r="F4988" i="27"/>
  <c r="A1493" i="27"/>
  <c r="H1495" i="27"/>
  <c r="V813" i="32" a="1"/>
  <c r="V813" i="32" s="1"/>
  <c r="L813" i="32" s="1"/>
  <c r="T813" i="32" a="1"/>
  <c r="T813" i="32" s="1"/>
  <c r="S813" i="32" a="1"/>
  <c r="S813" i="32" s="1"/>
  <c r="E813" i="32" s="1"/>
  <c r="R813" i="32" a="1"/>
  <c r="R813" i="32" s="1"/>
  <c r="D813" i="32" s="1"/>
  <c r="P817" i="32"/>
  <c r="Q815" i="32"/>
  <c r="T1009" i="32" a="1"/>
  <c r="T1009" i="32" s="1"/>
  <c r="S1009" i="32" a="1"/>
  <c r="S1009" i="32" s="1"/>
  <c r="E1009" i="32" s="1"/>
  <c r="R1009" i="32" a="1"/>
  <c r="R1009" i="32" s="1"/>
  <c r="D1009" i="32" s="1"/>
  <c r="V1009" i="32" a="1"/>
  <c r="V1009" i="32" s="1"/>
  <c r="L1009" i="32" s="1"/>
  <c r="P1013" i="32"/>
  <c r="Q1011" i="32"/>
  <c r="BE24" i="34"/>
  <c r="BF24" i="34"/>
  <c r="AT25" i="34"/>
  <c r="AO25" i="34"/>
  <c r="AP25" i="34" s="1"/>
  <c r="AR24" i="34"/>
  <c r="AQ24" i="34"/>
  <c r="U284" i="32"/>
  <c r="U596" i="32"/>
  <c r="U895" i="32"/>
  <c r="A282" i="32"/>
  <c r="J1494" i="27"/>
  <c r="L4241" i="27"/>
  <c r="I1494" i="27"/>
  <c r="G592" i="32"/>
  <c r="L1494" i="27"/>
  <c r="P4240" i="27"/>
  <c r="G891" i="32"/>
  <c r="D4241" i="27"/>
  <c r="K4240" i="27"/>
  <c r="G280" i="32"/>
  <c r="A895" i="32"/>
  <c r="K1494" i="27"/>
  <c r="A596" i="32"/>
  <c r="F5467" i="27" l="1"/>
  <c r="F4995" i="27"/>
  <c r="F4996" i="27" s="1"/>
  <c r="F4997" i="27" s="1"/>
  <c r="F4998" i="27" s="1"/>
  <c r="F4999" i="27" s="1"/>
  <c r="F4994" i="27"/>
  <c r="A1494" i="27"/>
  <c r="H1496" i="27"/>
  <c r="S1011" i="32" a="1"/>
  <c r="S1011" i="32" s="1"/>
  <c r="E1011" i="32" s="1"/>
  <c r="R1011" i="32" a="1"/>
  <c r="R1011" i="32" s="1"/>
  <c r="D1011" i="32" s="1"/>
  <c r="V1011" i="32" a="1"/>
  <c r="V1011" i="32" s="1"/>
  <c r="L1011" i="32" s="1"/>
  <c r="T1011" i="32" a="1"/>
  <c r="T1011" i="32" s="1"/>
  <c r="P1015" i="32"/>
  <c r="Q1013" i="32"/>
  <c r="V815" i="32" a="1"/>
  <c r="V815" i="32" s="1"/>
  <c r="L815" i="32" s="1"/>
  <c r="S815" i="32" a="1"/>
  <c r="S815" i="32" s="1"/>
  <c r="E815" i="32" s="1"/>
  <c r="T815" i="32" a="1"/>
  <c r="T815" i="32" s="1"/>
  <c r="R815" i="32" a="1"/>
  <c r="R815" i="32" s="1"/>
  <c r="D815" i="32" s="1"/>
  <c r="P819" i="32"/>
  <c r="Q819" i="32" s="1"/>
  <c r="Q817" i="32"/>
  <c r="BE25" i="34"/>
  <c r="BF25" i="34"/>
  <c r="AO26" i="34"/>
  <c r="AP26" i="34" s="1"/>
  <c r="AT26" i="34"/>
  <c r="AQ25" i="34"/>
  <c r="AR25" i="34"/>
  <c r="U897" i="32"/>
  <c r="U598" i="32"/>
  <c r="U286" i="32"/>
  <c r="D4242" i="27"/>
  <c r="L1495" i="27"/>
  <c r="G282" i="32"/>
  <c r="A284" i="32"/>
  <c r="K1495" i="27"/>
  <c r="L4242" i="27"/>
  <c r="G594" i="32"/>
  <c r="A598" i="32"/>
  <c r="J1495" i="27"/>
  <c r="G893" i="32"/>
  <c r="K4241" i="27"/>
  <c r="I1495" i="27"/>
  <c r="P4241" i="27"/>
  <c r="F5468" i="27" l="1"/>
  <c r="F5469" i="27"/>
  <c r="F5001" i="27"/>
  <c r="F5002" i="27" s="1"/>
  <c r="F5003" i="27" s="1"/>
  <c r="F5004" i="27" s="1"/>
  <c r="F5005" i="27" s="1"/>
  <c r="F5000" i="27"/>
  <c r="A1495" i="27"/>
  <c r="H1498" i="27"/>
  <c r="H1497" i="27"/>
  <c r="R819" i="32" a="1"/>
  <c r="R819" i="32" s="1"/>
  <c r="D819" i="32" s="1"/>
  <c r="T819" i="32" a="1"/>
  <c r="T819" i="32" s="1"/>
  <c r="S819" i="32" a="1"/>
  <c r="S819" i="32" s="1"/>
  <c r="E819" i="32" s="1"/>
  <c r="V819" i="32" a="1"/>
  <c r="V819" i="32" s="1"/>
  <c r="L819" i="32" s="1"/>
  <c r="T817" i="32" a="1"/>
  <c r="T817" i="32" s="1"/>
  <c r="R817" i="32" a="1"/>
  <c r="R817" i="32" s="1"/>
  <c r="D817" i="32" s="1"/>
  <c r="S817" i="32" a="1"/>
  <c r="S817" i="32" s="1"/>
  <c r="E817" i="32" s="1"/>
  <c r="V817" i="32" a="1"/>
  <c r="V817" i="32" s="1"/>
  <c r="L817" i="32" s="1"/>
  <c r="T1013" i="32" a="1"/>
  <c r="T1013" i="32" s="1"/>
  <c r="S1013" i="32" a="1"/>
  <c r="S1013" i="32" s="1"/>
  <c r="E1013" i="32" s="1"/>
  <c r="R1013" i="32" a="1"/>
  <c r="R1013" i="32" s="1"/>
  <c r="D1013" i="32" s="1"/>
  <c r="V1013" i="32" a="1"/>
  <c r="V1013" i="32" s="1"/>
  <c r="L1013" i="32" s="1"/>
  <c r="P1017" i="32"/>
  <c r="Q1015" i="32"/>
  <c r="BE26" i="34"/>
  <c r="BF26" i="34"/>
  <c r="AO27" i="34"/>
  <c r="AP27" i="34" s="1"/>
  <c r="AT27" i="34"/>
  <c r="AR26" i="34"/>
  <c r="AQ26" i="34"/>
  <c r="U288" i="32"/>
  <c r="U600" i="32"/>
  <c r="U899" i="32"/>
  <c r="A897" i="32"/>
  <c r="I1496" i="27"/>
  <c r="D4243" i="27"/>
  <c r="G284" i="32"/>
  <c r="G895" i="32"/>
  <c r="L1496" i="27"/>
  <c r="J1496" i="27"/>
  <c r="P4242" i="27"/>
  <c r="A288" i="32"/>
  <c r="A286" i="32"/>
  <c r="G596" i="32"/>
  <c r="A600" i="32"/>
  <c r="K1496" i="27"/>
  <c r="K4242" i="27"/>
  <c r="L4243" i="27"/>
  <c r="A899" i="32"/>
  <c r="F5470" i="27" l="1"/>
  <c r="F5006" i="27"/>
  <c r="F5007" i="27"/>
  <c r="F5008" i="27" s="1"/>
  <c r="F5009" i="27" s="1"/>
  <c r="F5010" i="27" s="1"/>
  <c r="F5011" i="27" s="1"/>
  <c r="A1496" i="27"/>
  <c r="H1499" i="27"/>
  <c r="T1015" i="32" a="1"/>
  <c r="T1015" i="32" s="1"/>
  <c r="S1015" i="32" a="1"/>
  <c r="S1015" i="32" s="1"/>
  <c r="E1015" i="32" s="1"/>
  <c r="R1015" i="32" a="1"/>
  <c r="R1015" i="32" s="1"/>
  <c r="D1015" i="32" s="1"/>
  <c r="V1015" i="32" a="1"/>
  <c r="V1015" i="32" s="1"/>
  <c r="L1015" i="32" s="1"/>
  <c r="P1019" i="32"/>
  <c r="Q1017" i="32"/>
  <c r="BE27" i="34"/>
  <c r="BF27" i="34"/>
  <c r="AT29" i="34"/>
  <c r="AO29" i="34"/>
  <c r="AP29" i="34" s="1"/>
  <c r="AO28" i="34"/>
  <c r="AP28" i="34" s="1"/>
  <c r="AT28" i="34"/>
  <c r="AQ27" i="34"/>
  <c r="AR27" i="34"/>
  <c r="U901" i="32"/>
  <c r="U602" i="32"/>
  <c r="U290" i="32"/>
  <c r="D4244" i="27"/>
  <c r="I1497" i="27"/>
  <c r="L4244" i="27"/>
  <c r="G286" i="32"/>
  <c r="J1497" i="27"/>
  <c r="K1497" i="27"/>
  <c r="K4243" i="27"/>
  <c r="G598" i="32"/>
  <c r="J1498" i="27"/>
  <c r="L1497" i="27"/>
  <c r="A290" i="32"/>
  <c r="D4245" i="27"/>
  <c r="L1498" i="27"/>
  <c r="A602" i="32"/>
  <c r="P4243" i="27"/>
  <c r="A901" i="32"/>
  <c r="L4245" i="27"/>
  <c r="K1498" i="27"/>
  <c r="I1498" i="27"/>
  <c r="G897" i="32"/>
  <c r="F5471" i="27" l="1"/>
  <c r="F5013" i="27"/>
  <c r="F5014" i="27" s="1"/>
  <c r="F5015" i="27" s="1"/>
  <c r="F5016" i="27" s="1"/>
  <c r="F5017" i="27" s="1"/>
  <c r="F5012" i="27"/>
  <c r="A1498" i="27"/>
  <c r="A1497" i="27"/>
  <c r="H1500" i="27"/>
  <c r="R1017" i="32" a="1"/>
  <c r="R1017" i="32" s="1"/>
  <c r="D1017" i="32" s="1"/>
  <c r="V1017" i="32" a="1"/>
  <c r="V1017" i="32" s="1"/>
  <c r="L1017" i="32" s="1"/>
  <c r="T1017" i="32" a="1"/>
  <c r="T1017" i="32" s="1"/>
  <c r="S1017" i="32" a="1"/>
  <c r="S1017" i="32" s="1"/>
  <c r="E1017" i="32" s="1"/>
  <c r="P1021" i="32"/>
  <c r="Q1019" i="32"/>
  <c r="BE28" i="34"/>
  <c r="BF28" i="34"/>
  <c r="BE29" i="34"/>
  <c r="BF29" i="34"/>
  <c r="AR28" i="34"/>
  <c r="AQ28" i="34"/>
  <c r="AR29" i="34"/>
  <c r="AQ29" i="34"/>
  <c r="U292" i="32"/>
  <c r="U604" i="32"/>
  <c r="U903" i="32"/>
  <c r="A903" i="32"/>
  <c r="K1499" i="27"/>
  <c r="A604" i="32"/>
  <c r="P4245" i="27"/>
  <c r="G288" i="32"/>
  <c r="K4244" i="27"/>
  <c r="G899" i="32"/>
  <c r="I1499" i="27"/>
  <c r="K4245" i="27"/>
  <c r="J1499" i="27"/>
  <c r="A292" i="32"/>
  <c r="G600" i="32"/>
  <c r="L1499" i="27"/>
  <c r="P4244" i="27"/>
  <c r="F5472" i="27" l="1"/>
  <c r="F5019" i="27"/>
  <c r="F5020" i="27" s="1"/>
  <c r="F5021" i="27" s="1"/>
  <c r="F5022" i="27" s="1"/>
  <c r="F5023" i="27" s="1"/>
  <c r="F5018" i="27"/>
  <c r="A1499" i="27"/>
  <c r="H1501" i="27"/>
  <c r="S1019" i="32" a="1"/>
  <c r="S1019" i="32" s="1"/>
  <c r="E1019" i="32" s="1"/>
  <c r="R1019" i="32" a="1"/>
  <c r="R1019" i="32" s="1"/>
  <c r="D1019" i="32" s="1"/>
  <c r="V1019" i="32" a="1"/>
  <c r="V1019" i="32" s="1"/>
  <c r="L1019" i="32" s="1"/>
  <c r="T1019" i="32" a="1"/>
  <c r="T1019" i="32" s="1"/>
  <c r="P1023" i="32"/>
  <c r="Q1021" i="32"/>
  <c r="AT30" i="34"/>
  <c r="AO30" i="34"/>
  <c r="AP30" i="34" s="1"/>
  <c r="U905" i="32"/>
  <c r="U606" i="32"/>
  <c r="U294" i="32"/>
  <c r="K1500" i="27"/>
  <c r="A905" i="32"/>
  <c r="G602" i="32"/>
  <c r="G901" i="32"/>
  <c r="I1500" i="27"/>
  <c r="J1500" i="27"/>
  <c r="L4246" i="27"/>
  <c r="L1500" i="27"/>
  <c r="D4246" i="27"/>
  <c r="G290" i="32"/>
  <c r="F5473" i="27" l="1"/>
  <c r="F5025" i="27"/>
  <c r="F5026" i="27" s="1"/>
  <c r="F5027" i="27" s="1"/>
  <c r="F5028" i="27" s="1"/>
  <c r="F5029" i="27" s="1"/>
  <c r="F5024" i="27"/>
  <c r="A1500" i="27"/>
  <c r="H1502" i="27"/>
  <c r="T1021" i="32" a="1"/>
  <c r="T1021" i="32" s="1"/>
  <c r="S1021" i="32" a="1"/>
  <c r="S1021" i="32" s="1"/>
  <c r="E1021" i="32" s="1"/>
  <c r="R1021" i="32" a="1"/>
  <c r="R1021" i="32" s="1"/>
  <c r="D1021" i="32" s="1"/>
  <c r="V1021" i="32" a="1"/>
  <c r="V1021" i="32" s="1"/>
  <c r="L1021" i="32" s="1"/>
  <c r="P1025" i="32"/>
  <c r="Q1023" i="32"/>
  <c r="BE30" i="34"/>
  <c r="BF30" i="34"/>
  <c r="AT31" i="34"/>
  <c r="AO31" i="34"/>
  <c r="AP31" i="34" s="1"/>
  <c r="AR30" i="34"/>
  <c r="AQ30" i="34"/>
  <c r="U296" i="32"/>
  <c r="U608" i="32"/>
  <c r="U907" i="32"/>
  <c r="G604" i="32"/>
  <c r="G903" i="32"/>
  <c r="A294" i="32"/>
  <c r="L1501" i="27"/>
  <c r="L4247" i="27"/>
  <c r="K1501" i="27"/>
  <c r="K4246" i="27"/>
  <c r="A608" i="32"/>
  <c r="A296" i="32"/>
  <c r="D4247" i="27"/>
  <c r="A907" i="32"/>
  <c r="G292" i="32"/>
  <c r="J1501" i="27"/>
  <c r="A606" i="32"/>
  <c r="P4246" i="27"/>
  <c r="I1501" i="27"/>
  <c r="F5475" i="27" l="1"/>
  <c r="F5474" i="27"/>
  <c r="F5030" i="27"/>
  <c r="F5031" i="27"/>
  <c r="F5032" i="27" s="1"/>
  <c r="F5033" i="27" s="1"/>
  <c r="F5034" i="27" s="1"/>
  <c r="F5035" i="27" s="1"/>
  <c r="A1501" i="27"/>
  <c r="H1503" i="27"/>
  <c r="H1504" i="27"/>
  <c r="T1023" i="32" a="1"/>
  <c r="T1023" i="32" s="1"/>
  <c r="S1023" i="32" a="1"/>
  <c r="S1023" i="32" s="1"/>
  <c r="E1023" i="32" s="1"/>
  <c r="R1023" i="32" a="1"/>
  <c r="R1023" i="32" s="1"/>
  <c r="D1023" i="32" s="1"/>
  <c r="V1023" i="32" a="1"/>
  <c r="V1023" i="32" s="1"/>
  <c r="L1023" i="32" s="1"/>
  <c r="P1027" i="32"/>
  <c r="Q1025" i="32"/>
  <c r="BE31" i="34"/>
  <c r="BF31" i="34"/>
  <c r="AO32" i="34"/>
  <c r="AP32" i="34" s="1"/>
  <c r="AT32" i="34"/>
  <c r="AQ31" i="34"/>
  <c r="AR31" i="34"/>
  <c r="U909" i="32"/>
  <c r="U610" i="32"/>
  <c r="U298" i="32"/>
  <c r="A298" i="32"/>
  <c r="P4247" i="27"/>
  <c r="J1502" i="27"/>
  <c r="G294" i="32"/>
  <c r="A610" i="32"/>
  <c r="G905" i="32"/>
  <c r="L4248" i="27"/>
  <c r="D4248" i="27"/>
  <c r="K4247" i="27"/>
  <c r="I1502" i="27"/>
  <c r="G606" i="32"/>
  <c r="L1502" i="27"/>
  <c r="K1502" i="27"/>
  <c r="A909" i="32"/>
  <c r="F5476" i="27" l="1"/>
  <c r="F5037" i="27"/>
  <c r="F5038" i="27" s="1"/>
  <c r="F5039" i="27" s="1"/>
  <c r="F5040" i="27" s="1"/>
  <c r="F5041" i="27" s="1"/>
  <c r="F5036" i="27"/>
  <c r="A1502" i="27"/>
  <c r="H1505" i="27"/>
  <c r="S1025" i="32" a="1"/>
  <c r="S1025" i="32" s="1"/>
  <c r="E1025" i="32" s="1"/>
  <c r="R1025" i="32" a="1"/>
  <c r="R1025" i="32" s="1"/>
  <c r="D1025" i="32" s="1"/>
  <c r="V1025" i="32" a="1"/>
  <c r="V1025" i="32" s="1"/>
  <c r="L1025" i="32" s="1"/>
  <c r="T1025" i="32" a="1"/>
  <c r="T1025" i="32" s="1"/>
  <c r="P1029" i="32"/>
  <c r="Q1027" i="32"/>
  <c r="BE32" i="34"/>
  <c r="BF32" i="34"/>
  <c r="AT33" i="34"/>
  <c r="AO33" i="34"/>
  <c r="AP33" i="34" s="1"/>
  <c r="AR32" i="34"/>
  <c r="AQ32" i="34"/>
  <c r="U300" i="32"/>
  <c r="U612" i="32"/>
  <c r="U911" i="32"/>
  <c r="D4249" i="27"/>
  <c r="I1504" i="27"/>
  <c r="G907" i="32"/>
  <c r="K1503" i="27"/>
  <c r="L4249" i="27"/>
  <c r="L1504" i="27"/>
  <c r="K1504" i="27"/>
  <c r="J1503" i="27"/>
  <c r="A911" i="32"/>
  <c r="G296" i="32"/>
  <c r="J1504" i="27"/>
  <c r="A300" i="32"/>
  <c r="G608" i="32"/>
  <c r="K4248" i="27"/>
  <c r="L1503" i="27"/>
  <c r="I1503" i="27"/>
  <c r="P4248" i="27"/>
  <c r="F5477" i="27" l="1"/>
  <c r="F5043" i="27"/>
  <c r="F5044" i="27" s="1"/>
  <c r="F5045" i="27" s="1"/>
  <c r="F5046" i="27" s="1"/>
  <c r="F5047" i="27" s="1"/>
  <c r="F5042" i="27"/>
  <c r="A1503" i="27"/>
  <c r="A1504" i="27"/>
  <c r="H1506" i="27"/>
  <c r="V1027" i="32" a="1"/>
  <c r="V1027" i="32" s="1"/>
  <c r="L1027" i="32" s="1"/>
  <c r="T1027" i="32" a="1"/>
  <c r="T1027" i="32" s="1"/>
  <c r="S1027" i="32" a="1"/>
  <c r="S1027" i="32" s="1"/>
  <c r="E1027" i="32" s="1"/>
  <c r="R1027" i="32" a="1"/>
  <c r="R1027" i="32" s="1"/>
  <c r="D1027" i="32" s="1"/>
  <c r="P1031" i="32"/>
  <c r="Q1029" i="32"/>
  <c r="BF33" i="34"/>
  <c r="BE33" i="34"/>
  <c r="AO34" i="34"/>
  <c r="AP34" i="34" s="1"/>
  <c r="AT34" i="34"/>
  <c r="AR33" i="34"/>
  <c r="AQ33" i="34"/>
  <c r="U913" i="32"/>
  <c r="U614" i="32"/>
  <c r="U302" i="32"/>
  <c r="A612" i="32"/>
  <c r="A913" i="32"/>
  <c r="K4249" i="27"/>
  <c r="L1505" i="27"/>
  <c r="L4250" i="27"/>
  <c r="P4249" i="27"/>
  <c r="G610" i="32"/>
  <c r="K1505" i="27"/>
  <c r="G909" i="32"/>
  <c r="J1505" i="27"/>
  <c r="I1505" i="27"/>
  <c r="G298" i="32"/>
  <c r="D4250" i="27"/>
  <c r="F5478" i="27" l="1"/>
  <c r="F5049" i="27"/>
  <c r="F5050" i="27" s="1"/>
  <c r="F5051" i="27" s="1"/>
  <c r="F5052" i="27" s="1"/>
  <c r="F5053" i="27" s="1"/>
  <c r="F5048" i="27"/>
  <c r="A1505" i="27"/>
  <c r="H1507" i="27"/>
  <c r="V1029" i="32" a="1"/>
  <c r="V1029" i="32" s="1"/>
  <c r="L1029" i="32" s="1"/>
  <c r="R1029" i="32" a="1"/>
  <c r="R1029" i="32" s="1"/>
  <c r="D1029" i="32" s="1"/>
  <c r="S1029" i="32" a="1"/>
  <c r="S1029" i="32" s="1"/>
  <c r="E1029" i="32" s="1"/>
  <c r="T1029" i="32" a="1"/>
  <c r="T1029" i="32" s="1"/>
  <c r="P1033" i="32"/>
  <c r="Q1031" i="32"/>
  <c r="BE34" i="34"/>
  <c r="BF34" i="34"/>
  <c r="AT35" i="34"/>
  <c r="AO35" i="34"/>
  <c r="AP35" i="34" s="1"/>
  <c r="AR34" i="34"/>
  <c r="AQ34" i="34"/>
  <c r="U304" i="32"/>
  <c r="U915" i="32"/>
  <c r="D4251" i="27"/>
  <c r="G300" i="32"/>
  <c r="L4251" i="27"/>
  <c r="G612" i="32"/>
  <c r="J1506" i="27"/>
  <c r="A915" i="32"/>
  <c r="A302" i="32"/>
  <c r="P4250" i="27"/>
  <c r="I1506" i="27"/>
  <c r="K1506" i="27"/>
  <c r="K4250" i="27"/>
  <c r="G911" i="32"/>
  <c r="A614" i="32"/>
  <c r="L1506" i="27"/>
  <c r="F5479" i="27" l="1"/>
  <c r="F5054" i="27"/>
  <c r="F5055" i="27"/>
  <c r="F5056" i="27" s="1"/>
  <c r="F5057" i="27" s="1"/>
  <c r="F5058" i="27" s="1"/>
  <c r="F5059" i="27" s="1"/>
  <c r="H2431" i="27"/>
  <c r="H2438" i="27"/>
  <c r="H2436" i="27"/>
  <c r="H2437" i="27"/>
  <c r="H2434" i="27"/>
  <c r="H2433" i="27"/>
  <c r="H2432" i="27"/>
  <c r="H2435" i="27"/>
  <c r="H2439" i="27"/>
  <c r="H2430" i="27"/>
  <c r="A1506" i="27"/>
  <c r="H1508" i="27"/>
  <c r="S1031" i="32" a="1"/>
  <c r="S1031" i="32" s="1"/>
  <c r="E1031" i="32" s="1"/>
  <c r="T1031" i="32" a="1"/>
  <c r="T1031" i="32" s="1"/>
  <c r="V1031" i="32" a="1"/>
  <c r="V1031" i="32" s="1"/>
  <c r="L1031" i="32" s="1"/>
  <c r="R1031" i="32" a="1"/>
  <c r="R1031" i="32" s="1"/>
  <c r="D1031" i="32" s="1"/>
  <c r="P1035" i="32"/>
  <c r="Q1033" i="32"/>
  <c r="BE35" i="34"/>
  <c r="BF35" i="34"/>
  <c r="AO36" i="34"/>
  <c r="AP36" i="34" s="1"/>
  <c r="AT36" i="34"/>
  <c r="AQ35" i="34"/>
  <c r="AR35" i="34"/>
  <c r="U917" i="32"/>
  <c r="U306" i="32"/>
  <c r="L1507" i="27"/>
  <c r="G614" i="32"/>
  <c r="A304" i="32"/>
  <c r="J1507" i="27"/>
  <c r="D4252" i="27"/>
  <c r="I1507" i="27"/>
  <c r="G913" i="32"/>
  <c r="L4252" i="27"/>
  <c r="P4251" i="27"/>
  <c r="K4251" i="27"/>
  <c r="K1507" i="27"/>
  <c r="G302" i="32"/>
  <c r="F5481" i="27" l="1"/>
  <c r="F5480" i="27"/>
  <c r="F5061" i="27"/>
  <c r="F5062" i="27" s="1"/>
  <c r="F5063" i="27" s="1"/>
  <c r="F5064" i="27" s="1"/>
  <c r="F5065" i="27" s="1"/>
  <c r="F5060" i="27"/>
  <c r="A1507" i="27"/>
  <c r="H1510" i="27"/>
  <c r="H1509" i="27"/>
  <c r="R1033" i="32" a="1"/>
  <c r="R1033" i="32" s="1"/>
  <c r="D1033" i="32" s="1"/>
  <c r="V1033" i="32" a="1"/>
  <c r="V1033" i="32" s="1"/>
  <c r="L1033" i="32" s="1"/>
  <c r="T1033" i="32" a="1"/>
  <c r="T1033" i="32" s="1"/>
  <c r="S1033" i="32" a="1"/>
  <c r="S1033" i="32" s="1"/>
  <c r="E1033" i="32" s="1"/>
  <c r="P1037" i="32"/>
  <c r="Q1035" i="32"/>
  <c r="BE36" i="34"/>
  <c r="BF36" i="34"/>
  <c r="AO37" i="34"/>
  <c r="AP37" i="34" s="1"/>
  <c r="AT37" i="34"/>
  <c r="AR36" i="34"/>
  <c r="AQ36" i="34"/>
  <c r="U308" i="32"/>
  <c r="U919" i="32"/>
  <c r="D4253" i="27"/>
  <c r="L4253" i="27"/>
  <c r="G304" i="32"/>
  <c r="P4252" i="27"/>
  <c r="K4252" i="27"/>
  <c r="K1508" i="27"/>
  <c r="G915" i="32"/>
  <c r="I1508" i="27"/>
  <c r="L1508" i="27"/>
  <c r="J1508" i="27"/>
  <c r="A917" i="32"/>
  <c r="A306" i="32"/>
  <c r="F5482" i="27" l="1"/>
  <c r="F5067" i="27"/>
  <c r="F5068" i="27" s="1"/>
  <c r="F5069" i="27" s="1"/>
  <c r="F5070" i="27" s="1"/>
  <c r="F5071" i="27" s="1"/>
  <c r="F5066" i="27"/>
  <c r="A1508" i="27"/>
  <c r="H1511" i="27"/>
  <c r="T1035" i="32" a="1"/>
  <c r="T1035" i="32" s="1"/>
  <c r="V1035" i="32" a="1"/>
  <c r="V1035" i="32" s="1"/>
  <c r="L1035" i="32" s="1"/>
  <c r="R1035" i="32" a="1"/>
  <c r="R1035" i="32" s="1"/>
  <c r="D1035" i="32" s="1"/>
  <c r="S1035" i="32" a="1"/>
  <c r="S1035" i="32" s="1"/>
  <c r="E1035" i="32" s="1"/>
  <c r="P1039" i="32"/>
  <c r="Q1037" i="32"/>
  <c r="BE37" i="34"/>
  <c r="BF37" i="34"/>
  <c r="AT38" i="34"/>
  <c r="AO38" i="34"/>
  <c r="AP38" i="34" s="1"/>
  <c r="AR37" i="34"/>
  <c r="AQ37" i="34"/>
  <c r="U921" i="32"/>
  <c r="K1510" i="27"/>
  <c r="G306" i="32"/>
  <c r="P4253" i="27"/>
  <c r="L1509" i="27"/>
  <c r="K4253" i="27"/>
  <c r="L1510" i="27"/>
  <c r="A921" i="32"/>
  <c r="I1510" i="27"/>
  <c r="I1509" i="27"/>
  <c r="A308" i="32"/>
  <c r="J1510" i="27"/>
  <c r="G917" i="32"/>
  <c r="J1509" i="27"/>
  <c r="D4254" i="27"/>
  <c r="A919" i="32"/>
  <c r="K1509" i="27"/>
  <c r="L4254" i="27"/>
  <c r="F5483" i="27" l="1"/>
  <c r="F5073" i="27"/>
  <c r="F5074" i="27" s="1"/>
  <c r="F5075" i="27" s="1"/>
  <c r="F5076" i="27" s="1"/>
  <c r="F5077" i="27" s="1"/>
  <c r="F5072" i="27"/>
  <c r="N2120" i="27"/>
  <c r="L2120" i="27"/>
  <c r="K2120" i="27"/>
  <c r="M2120" i="27"/>
  <c r="A2120" i="27" s="1"/>
  <c r="F2120" i="27"/>
  <c r="A1509" i="27"/>
  <c r="A1510" i="27"/>
  <c r="H1512" i="27"/>
  <c r="T1037" i="32" a="1"/>
  <c r="T1037" i="32" s="1"/>
  <c r="S1037" i="32" a="1"/>
  <c r="S1037" i="32" s="1"/>
  <c r="E1037" i="32" s="1"/>
  <c r="R1037" i="32" a="1"/>
  <c r="R1037" i="32" s="1"/>
  <c r="D1037" i="32" s="1"/>
  <c r="V1037" i="32" a="1"/>
  <c r="V1037" i="32" s="1"/>
  <c r="L1037" i="32" s="1"/>
  <c r="P1041" i="32"/>
  <c r="Q1039" i="32"/>
  <c r="BE38" i="34"/>
  <c r="BF38" i="34"/>
  <c r="AT39" i="34"/>
  <c r="AO39" i="34"/>
  <c r="AP39" i="34" s="1"/>
  <c r="AR38" i="34"/>
  <c r="AQ38" i="34"/>
  <c r="U923" i="32"/>
  <c r="I1511" i="27"/>
  <c r="G919" i="32"/>
  <c r="L4255" i="27"/>
  <c r="P4254" i="27"/>
  <c r="J1511" i="27"/>
  <c r="K4254" i="27"/>
  <c r="D4255" i="27"/>
  <c r="G308" i="32"/>
  <c r="A923" i="32"/>
  <c r="K1511" i="27"/>
  <c r="L1511" i="27"/>
  <c r="F5484" i="27" l="1"/>
  <c r="F5078" i="27"/>
  <c r="F5079" i="27"/>
  <c r="F5080" i="27" s="1"/>
  <c r="F5081" i="27" s="1"/>
  <c r="F5082" i="27" s="1"/>
  <c r="F5083" i="27" s="1"/>
  <c r="L1970" i="27"/>
  <c r="N1970" i="27"/>
  <c r="K2133" i="27"/>
  <c r="A1511" i="27"/>
  <c r="H1513" i="27"/>
  <c r="T1039" i="32" a="1"/>
  <c r="T1039" i="32" s="1"/>
  <c r="S1039" i="32" a="1"/>
  <c r="S1039" i="32" s="1"/>
  <c r="E1039" i="32" s="1"/>
  <c r="R1039" i="32" a="1"/>
  <c r="R1039" i="32" s="1"/>
  <c r="D1039" i="32" s="1"/>
  <c r="V1039" i="32" a="1"/>
  <c r="V1039" i="32" s="1"/>
  <c r="L1039" i="32" s="1"/>
  <c r="P1043" i="32"/>
  <c r="Q1041" i="32"/>
  <c r="BE39" i="34"/>
  <c r="BF39" i="34"/>
  <c r="AT40" i="34"/>
  <c r="AO40" i="34"/>
  <c r="AP40" i="34" s="1"/>
  <c r="AR39" i="34"/>
  <c r="AQ39" i="34"/>
  <c r="U925" i="32"/>
  <c r="D4256" i="27"/>
  <c r="K4255" i="27"/>
  <c r="P4255" i="27"/>
  <c r="I1512" i="27"/>
  <c r="L1512" i="27"/>
  <c r="L4256" i="27"/>
  <c r="K1512" i="27"/>
  <c r="G921" i="32"/>
  <c r="J1512" i="27"/>
  <c r="F5485" i="27" l="1"/>
  <c r="F5085" i="27"/>
  <c r="F5086" i="27" s="1"/>
  <c r="F5087" i="27" s="1"/>
  <c r="F5088" i="27" s="1"/>
  <c r="F5089" i="27" s="1"/>
  <c r="F5084" i="27"/>
  <c r="A1512" i="27"/>
  <c r="H1514" i="27"/>
  <c r="T1041" i="32" a="1"/>
  <c r="T1041" i="32" s="1"/>
  <c r="S1041" i="32" a="1"/>
  <c r="S1041" i="32" s="1"/>
  <c r="E1041" i="32" s="1"/>
  <c r="R1041" i="32" a="1"/>
  <c r="R1041" i="32" s="1"/>
  <c r="D1041" i="32" s="1"/>
  <c r="V1041" i="32" a="1"/>
  <c r="V1041" i="32" s="1"/>
  <c r="L1041" i="32" s="1"/>
  <c r="P1045" i="32"/>
  <c r="Q1043" i="32"/>
  <c r="BE40" i="34"/>
  <c r="BF40" i="34"/>
  <c r="AO41" i="34"/>
  <c r="AP41" i="34" s="1"/>
  <c r="AT41" i="34"/>
  <c r="AQ40" i="34"/>
  <c r="AR40" i="34"/>
  <c r="U927" i="32"/>
  <c r="A925" i="32"/>
  <c r="L4257" i="27"/>
  <c r="L1513" i="27"/>
  <c r="D4257" i="27"/>
  <c r="G923" i="32"/>
  <c r="P4256" i="27"/>
  <c r="K4256" i="27"/>
  <c r="K1513" i="27"/>
  <c r="I1513" i="27"/>
  <c r="J1513" i="27"/>
  <c r="F5486" i="27" l="1"/>
  <c r="F5487" i="27"/>
  <c r="F5091" i="27"/>
  <c r="F5092" i="27" s="1"/>
  <c r="F5093" i="27" s="1"/>
  <c r="F5094" i="27" s="1"/>
  <c r="F5095" i="27" s="1"/>
  <c r="F5090" i="27"/>
  <c r="A1513" i="27"/>
  <c r="H1516" i="27"/>
  <c r="H1515" i="27"/>
  <c r="R1043" i="32" a="1"/>
  <c r="R1043" i="32" s="1"/>
  <c r="D1043" i="32" s="1"/>
  <c r="V1043" i="32" a="1"/>
  <c r="V1043" i="32" s="1"/>
  <c r="L1043" i="32" s="1"/>
  <c r="T1043" i="32" a="1"/>
  <c r="T1043" i="32" s="1"/>
  <c r="S1043" i="32" a="1"/>
  <c r="S1043" i="32" s="1"/>
  <c r="E1043" i="32" s="1"/>
  <c r="P1047" i="32"/>
  <c r="Q1045" i="32"/>
  <c r="BE41" i="34"/>
  <c r="BF41" i="34"/>
  <c r="AO42" i="34"/>
  <c r="AP42" i="34" s="1"/>
  <c r="AT42" i="34"/>
  <c r="AR41" i="34"/>
  <c r="AQ41" i="34"/>
  <c r="U929" i="32"/>
  <c r="A929" i="32"/>
  <c r="P4257" i="27"/>
  <c r="A927" i="32"/>
  <c r="I1514" i="27"/>
  <c r="J1514" i="27"/>
  <c r="K1514" i="27"/>
  <c r="G925" i="32"/>
  <c r="L4258" i="27"/>
  <c r="L1514" i="27"/>
  <c r="K4257" i="27"/>
  <c r="D4258" i="27"/>
  <c r="F5488" i="27" l="1"/>
  <c r="F5097" i="27"/>
  <c r="F5098" i="27" s="1"/>
  <c r="F5099" i="27" s="1"/>
  <c r="F5100" i="27" s="1"/>
  <c r="F5101" i="27" s="1"/>
  <c r="F5096" i="27"/>
  <c r="A1514" i="27"/>
  <c r="H1517" i="27"/>
  <c r="S1045" i="32" a="1"/>
  <c r="S1045" i="32" s="1"/>
  <c r="E1045" i="32" s="1"/>
  <c r="R1045" i="32" a="1"/>
  <c r="R1045" i="32" s="1"/>
  <c r="D1045" i="32" s="1"/>
  <c r="V1045" i="32" a="1"/>
  <c r="V1045" i="32" s="1"/>
  <c r="L1045" i="32" s="1"/>
  <c r="T1045" i="32" a="1"/>
  <c r="T1045" i="32" s="1"/>
  <c r="P1049" i="32"/>
  <c r="Q1047" i="32"/>
  <c r="BE42" i="34"/>
  <c r="BF42" i="34"/>
  <c r="AT43" i="34"/>
  <c r="AO43" i="34"/>
  <c r="AP43" i="34" s="1"/>
  <c r="AR42" i="34"/>
  <c r="AQ42" i="34"/>
  <c r="U931" i="32"/>
  <c r="L1515" i="27"/>
  <c r="L4259" i="27"/>
  <c r="K1515" i="27"/>
  <c r="I1515" i="27"/>
  <c r="K1516" i="27"/>
  <c r="J1516" i="27"/>
  <c r="I1516" i="27"/>
  <c r="D4259" i="27"/>
  <c r="G927" i="32"/>
  <c r="P4258" i="27"/>
  <c r="K4258" i="27"/>
  <c r="J1515" i="27"/>
  <c r="L1516" i="27"/>
  <c r="F5489" i="27" l="1"/>
  <c r="F5102" i="27"/>
  <c r="F5103" i="27"/>
  <c r="F5104" i="27" s="1"/>
  <c r="F5105" i="27" s="1"/>
  <c r="F5106" i="27" s="1"/>
  <c r="F5107" i="27" s="1"/>
  <c r="A1516" i="27"/>
  <c r="A1515" i="27"/>
  <c r="H1518" i="27"/>
  <c r="T1047" i="32" a="1"/>
  <c r="T1047" i="32" s="1"/>
  <c r="S1047" i="32" a="1"/>
  <c r="S1047" i="32" s="1"/>
  <c r="E1047" i="32" s="1"/>
  <c r="R1047" i="32" a="1"/>
  <c r="R1047" i="32" s="1"/>
  <c r="D1047" i="32" s="1"/>
  <c r="V1047" i="32" a="1"/>
  <c r="V1047" i="32" s="1"/>
  <c r="L1047" i="32" s="1"/>
  <c r="P1051" i="32"/>
  <c r="Q1049" i="32"/>
  <c r="BE43" i="34"/>
  <c r="BF43" i="34"/>
  <c r="AO45" i="34"/>
  <c r="AP45" i="34" s="1"/>
  <c r="AT45" i="34"/>
  <c r="AO44" i="34"/>
  <c r="AP44" i="34" s="1"/>
  <c r="AT44" i="34"/>
  <c r="AQ43" i="34"/>
  <c r="AR43" i="34"/>
  <c r="U933" i="32"/>
  <c r="D4261" i="27"/>
  <c r="L4261" i="27"/>
  <c r="J1517" i="27"/>
  <c r="I1517" i="27"/>
  <c r="P4259" i="27"/>
  <c r="K1517" i="27"/>
  <c r="K4259" i="27"/>
  <c r="A933" i="32"/>
  <c r="G929" i="32"/>
  <c r="D4260" i="27"/>
  <c r="L4260" i="27"/>
  <c r="A931" i="32"/>
  <c r="L1517" i="27"/>
  <c r="F5490" i="27" l="1"/>
  <c r="F5109" i="27"/>
  <c r="F5110" i="27" s="1"/>
  <c r="F5111" i="27" s="1"/>
  <c r="F5112" i="27" s="1"/>
  <c r="F5113" i="27" s="1"/>
  <c r="F5108" i="27"/>
  <c r="A1517" i="27"/>
  <c r="H1519" i="27"/>
  <c r="S1049" i="32" a="1"/>
  <c r="S1049" i="32" s="1"/>
  <c r="E1049" i="32" s="1"/>
  <c r="R1049" i="32" a="1"/>
  <c r="R1049" i="32" s="1"/>
  <c r="D1049" i="32" s="1"/>
  <c r="V1049" i="32" a="1"/>
  <c r="V1049" i="32" s="1"/>
  <c r="L1049" i="32" s="1"/>
  <c r="T1049" i="32" a="1"/>
  <c r="T1049" i="32" s="1"/>
  <c r="P1053" i="32"/>
  <c r="Q1051" i="32"/>
  <c r="BE44" i="34"/>
  <c r="BF44" i="34"/>
  <c r="BF45" i="34"/>
  <c r="BE45" i="34"/>
  <c r="AR44" i="34"/>
  <c r="AQ44" i="34"/>
  <c r="AR45" i="34"/>
  <c r="AQ45" i="34"/>
  <c r="U935" i="32"/>
  <c r="J1518" i="27"/>
  <c r="I1518" i="27"/>
  <c r="L1518" i="27"/>
  <c r="K4261" i="27"/>
  <c r="P4261" i="27"/>
  <c r="P4260" i="27"/>
  <c r="K1518" i="27"/>
  <c r="K4260" i="27"/>
  <c r="G931" i="32"/>
  <c r="A935" i="32"/>
  <c r="F5491" i="27" l="1"/>
  <c r="F5115" i="27"/>
  <c r="F5116" i="27" s="1"/>
  <c r="F5117" i="27" s="1"/>
  <c r="F5118" i="27" s="1"/>
  <c r="F5119" i="27" s="1"/>
  <c r="F5114" i="27"/>
  <c r="A1518" i="27"/>
  <c r="H1520" i="27"/>
  <c r="S1051" i="32" a="1"/>
  <c r="S1051" i="32" s="1"/>
  <c r="E1051" i="32" s="1"/>
  <c r="T1051" i="32" a="1"/>
  <c r="T1051" i="32" s="1"/>
  <c r="V1051" i="32" a="1"/>
  <c r="V1051" i="32" s="1"/>
  <c r="L1051" i="32" s="1"/>
  <c r="R1051" i="32" a="1"/>
  <c r="R1051" i="32" s="1"/>
  <c r="D1051" i="32" s="1"/>
  <c r="P1055" i="32"/>
  <c r="Q1053" i="32"/>
  <c r="AT46" i="34"/>
  <c r="AO46" i="34"/>
  <c r="AP46" i="34" s="1"/>
  <c r="U937" i="32"/>
  <c r="G933" i="32"/>
  <c r="J1519" i="27"/>
  <c r="I1519" i="27"/>
  <c r="D4262" i="27"/>
  <c r="L1519" i="27"/>
  <c r="L4262" i="27"/>
  <c r="K1519" i="27"/>
  <c r="F5493" i="27" l="1"/>
  <c r="F5492" i="27"/>
  <c r="F5121" i="27"/>
  <c r="F5122" i="27" s="1"/>
  <c r="F5123" i="27" s="1"/>
  <c r="F5124" i="27" s="1"/>
  <c r="F5125" i="27" s="1"/>
  <c r="F5120" i="27"/>
  <c r="A1519" i="27"/>
  <c r="H1522" i="27"/>
  <c r="H1521" i="27"/>
  <c r="T1053" i="32" a="1"/>
  <c r="T1053" i="32" s="1"/>
  <c r="V1053" i="32" a="1"/>
  <c r="V1053" i="32" s="1"/>
  <c r="L1053" i="32" s="1"/>
  <c r="R1053" i="32" a="1"/>
  <c r="R1053" i="32" s="1"/>
  <c r="D1053" i="32" s="1"/>
  <c r="S1053" i="32" a="1"/>
  <c r="S1053" i="32" s="1"/>
  <c r="E1053" i="32" s="1"/>
  <c r="P1057" i="32"/>
  <c r="Q1055" i="32"/>
  <c r="BE46" i="34"/>
  <c r="BF46" i="34"/>
  <c r="AT47" i="34"/>
  <c r="AO47" i="34"/>
  <c r="AP47" i="34" s="1"/>
  <c r="AT48" i="34"/>
  <c r="AO48" i="34"/>
  <c r="AP48" i="34" s="1"/>
  <c r="AR46" i="34"/>
  <c r="AQ46" i="34"/>
  <c r="U939" i="32"/>
  <c r="A939" i="32"/>
  <c r="I1520" i="27"/>
  <c r="D4264" i="27"/>
  <c r="L4264" i="27"/>
  <c r="K1520" i="27"/>
  <c r="P4262" i="27"/>
  <c r="D4263" i="27"/>
  <c r="K4262" i="27"/>
  <c r="A937" i="32"/>
  <c r="G935" i="32"/>
  <c r="L4263" i="27"/>
  <c r="L1520" i="27"/>
  <c r="J1520" i="27"/>
  <c r="F5494" i="27" l="1"/>
  <c r="F5126" i="27"/>
  <c r="F5127" i="27"/>
  <c r="F5128" i="27" s="1"/>
  <c r="F5129" i="27" s="1"/>
  <c r="F5130" i="27" s="1"/>
  <c r="F5131" i="27" s="1"/>
  <c r="A1520" i="27"/>
  <c r="H1523" i="27"/>
  <c r="T1055" i="32" a="1"/>
  <c r="T1055" i="32" s="1"/>
  <c r="V1055" i="32" a="1"/>
  <c r="V1055" i="32" s="1"/>
  <c r="L1055" i="32" s="1"/>
  <c r="R1055" i="32" a="1"/>
  <c r="R1055" i="32" s="1"/>
  <c r="D1055" i="32" s="1"/>
  <c r="S1055" i="32" a="1"/>
  <c r="S1055" i="32" s="1"/>
  <c r="E1055" i="32" s="1"/>
  <c r="P1059" i="32"/>
  <c r="Q1057" i="32"/>
  <c r="BE47" i="34"/>
  <c r="BF47" i="34"/>
  <c r="BE48" i="34"/>
  <c r="BF48" i="34"/>
  <c r="AQ48" i="34"/>
  <c r="AR48" i="34"/>
  <c r="AR47" i="34"/>
  <c r="AQ47" i="34"/>
  <c r="U941" i="32"/>
  <c r="L1522" i="27"/>
  <c r="P4263" i="27"/>
  <c r="K4264" i="27"/>
  <c r="K1522" i="27"/>
  <c r="J1522" i="27"/>
  <c r="I1521" i="27"/>
  <c r="I1522" i="27"/>
  <c r="P4264" i="27"/>
  <c r="J1521" i="27"/>
  <c r="G937" i="32"/>
  <c r="K4263" i="27"/>
  <c r="L1521" i="27"/>
  <c r="A941" i="32"/>
  <c r="K1521" i="27"/>
  <c r="F5495" i="27" l="1"/>
  <c r="F5133" i="27"/>
  <c r="F5134" i="27" s="1"/>
  <c r="F5135" i="27" s="1"/>
  <c r="F5136" i="27" s="1"/>
  <c r="F5137" i="27" s="1"/>
  <c r="F5132" i="27"/>
  <c r="A1521" i="27"/>
  <c r="A1522" i="27"/>
  <c r="H1524" i="27"/>
  <c r="P1061" i="32"/>
  <c r="Q1059" i="32"/>
  <c r="V1057" i="32" a="1"/>
  <c r="V1057" i="32" s="1"/>
  <c r="L1057" i="32" s="1"/>
  <c r="S1057" i="32" a="1"/>
  <c r="S1057" i="32" s="1"/>
  <c r="E1057" i="32" s="1"/>
  <c r="T1057" i="32" a="1"/>
  <c r="T1057" i="32" s="1"/>
  <c r="R1057" i="32" a="1"/>
  <c r="R1057" i="32" s="1"/>
  <c r="D1057" i="32" s="1"/>
  <c r="AT49" i="34"/>
  <c r="AO49" i="34"/>
  <c r="AP49" i="34" s="1"/>
  <c r="U943" i="32"/>
  <c r="J1523" i="27"/>
  <c r="K1523" i="27"/>
  <c r="G939" i="32"/>
  <c r="L4265" i="27"/>
  <c r="I1523" i="27"/>
  <c r="D4265" i="27"/>
  <c r="L1523" i="27"/>
  <c r="P1063" i="32" l="1"/>
  <c r="Q1061" i="32"/>
  <c r="F5496" i="27"/>
  <c r="F5139" i="27"/>
  <c r="F5140" i="27" s="1"/>
  <c r="F5141" i="27" s="1"/>
  <c r="F5142" i="27" s="1"/>
  <c r="F5143" i="27" s="1"/>
  <c r="F5138" i="27"/>
  <c r="A1523" i="27"/>
  <c r="H1525" i="27"/>
  <c r="T1059" i="32" a="1"/>
  <c r="T1059" i="32" s="1"/>
  <c r="S1059" i="32" a="1"/>
  <c r="S1059" i="32" s="1"/>
  <c r="E1059" i="32" s="1"/>
  <c r="R1059" i="32" a="1"/>
  <c r="R1059" i="32" s="1"/>
  <c r="D1059" i="32" s="1"/>
  <c r="V1059" i="32" a="1"/>
  <c r="V1059" i="32" s="1"/>
  <c r="L1059" i="32" s="1"/>
  <c r="BE49" i="34"/>
  <c r="BF49" i="34"/>
  <c r="AT50" i="34"/>
  <c r="AO50" i="34"/>
  <c r="AP50" i="34" s="1"/>
  <c r="AQ49" i="34"/>
  <c r="AR49" i="34"/>
  <c r="U945" i="32"/>
  <c r="A943" i="32"/>
  <c r="K4265" i="27"/>
  <c r="L4266" i="27"/>
  <c r="G941" i="32"/>
  <c r="I1524" i="27"/>
  <c r="L1524" i="27"/>
  <c r="A945" i="32"/>
  <c r="K1524" i="27"/>
  <c r="J1524" i="27"/>
  <c r="D4266" i="27"/>
  <c r="P4265" i="27"/>
  <c r="R1061" i="32" l="1" a="1"/>
  <c r="R1061" i="32" s="1"/>
  <c r="D1061" i="32" s="1"/>
  <c r="V1061" i="32" a="1"/>
  <c r="V1061" i="32" s="1"/>
  <c r="L1061" i="32" s="1"/>
  <c r="T1061" i="32" a="1"/>
  <c r="T1061" i="32" s="1"/>
  <c r="S1061" i="32" a="1"/>
  <c r="S1061" i="32" s="1"/>
  <c r="E1061" i="32" s="1"/>
  <c r="P1065" i="32"/>
  <c r="Q1063" i="32"/>
  <c r="F5497" i="27"/>
  <c r="F5145" i="27"/>
  <c r="F5146" i="27" s="1"/>
  <c r="F5147" i="27" s="1"/>
  <c r="F5148" i="27" s="1"/>
  <c r="F5149" i="27" s="1"/>
  <c r="F5144" i="27"/>
  <c r="A1524" i="27"/>
  <c r="H1526" i="27"/>
  <c r="BE50" i="34"/>
  <c r="BF50" i="34"/>
  <c r="AT51" i="34"/>
  <c r="AO51" i="34"/>
  <c r="AP51" i="34" s="1"/>
  <c r="AR50" i="34"/>
  <c r="AQ50" i="34"/>
  <c r="U947" i="32"/>
  <c r="K4266" i="27"/>
  <c r="P4266" i="27"/>
  <c r="G943" i="32"/>
  <c r="L1525" i="27"/>
  <c r="A947" i="32"/>
  <c r="D4267" i="27"/>
  <c r="K1525" i="27"/>
  <c r="I1525" i="27"/>
  <c r="J1525" i="27"/>
  <c r="L4267" i="27"/>
  <c r="R1063" i="32" l="1" a="1"/>
  <c r="R1063" i="32" s="1"/>
  <c r="D1063" i="32" s="1"/>
  <c r="V1063" i="32" a="1"/>
  <c r="V1063" i="32" s="1"/>
  <c r="L1063" i="32" s="1"/>
  <c r="T1063" i="32" a="1"/>
  <c r="T1063" i="32" s="1"/>
  <c r="S1063" i="32" a="1"/>
  <c r="S1063" i="32" s="1"/>
  <c r="E1063" i="32" s="1"/>
  <c r="P1067" i="32"/>
  <c r="Q1065" i="32"/>
  <c r="F5498" i="27"/>
  <c r="F5499" i="27"/>
  <c r="F5150" i="27"/>
  <c r="F5151" i="27"/>
  <c r="F5152" i="27" s="1"/>
  <c r="F5153" i="27" s="1"/>
  <c r="F5154" i="27" s="1"/>
  <c r="F5155" i="27" s="1"/>
  <c r="A1525" i="27"/>
  <c r="H1527" i="27"/>
  <c r="H1528" i="27"/>
  <c r="BF51" i="34"/>
  <c r="BE51" i="34"/>
  <c r="AT52" i="34"/>
  <c r="AO52" i="34"/>
  <c r="AP52" i="34" s="1"/>
  <c r="AQ51" i="34"/>
  <c r="AR51" i="34"/>
  <c r="U949" i="32"/>
  <c r="K4267" i="27"/>
  <c r="G945" i="32"/>
  <c r="J1526" i="27"/>
  <c r="L4268" i="27"/>
  <c r="I1526" i="27"/>
  <c r="K1526" i="27"/>
  <c r="D4268" i="27"/>
  <c r="P4267" i="27"/>
  <c r="L1526" i="27"/>
  <c r="R1065" i="32" l="1" a="1"/>
  <c r="R1065" i="32" s="1"/>
  <c r="D1065" i="32" s="1"/>
  <c r="V1065" i="32" a="1"/>
  <c r="V1065" i="32" s="1"/>
  <c r="L1065" i="32" s="1"/>
  <c r="T1065" i="32" a="1"/>
  <c r="T1065" i="32" s="1"/>
  <c r="S1065" i="32" a="1"/>
  <c r="S1065" i="32" s="1"/>
  <c r="E1065" i="32" s="1"/>
  <c r="P1069" i="32"/>
  <c r="Q1067" i="32"/>
  <c r="F5500" i="27"/>
  <c r="F5157" i="27"/>
  <c r="F5158" i="27" s="1"/>
  <c r="F5159" i="27" s="1"/>
  <c r="F5160" i="27" s="1"/>
  <c r="F5161" i="27" s="1"/>
  <c r="F5156" i="27"/>
  <c r="A1526" i="27"/>
  <c r="H1529" i="27"/>
  <c r="BE52" i="34"/>
  <c r="BF52" i="34"/>
  <c r="AT53" i="34"/>
  <c r="AO53" i="34"/>
  <c r="AP53" i="34" s="1"/>
  <c r="AQ52" i="34"/>
  <c r="AR52" i="34"/>
  <c r="U951" i="32"/>
  <c r="K1527" i="27"/>
  <c r="L4269" i="27"/>
  <c r="A949" i="32"/>
  <c r="I1527" i="27"/>
  <c r="K4268" i="27"/>
  <c r="G947" i="32"/>
  <c r="J1527" i="27"/>
  <c r="I1528" i="27"/>
  <c r="L1527" i="27"/>
  <c r="A951" i="32"/>
  <c r="J1528" i="27"/>
  <c r="K1528" i="27"/>
  <c r="D4269" i="27"/>
  <c r="P4268" i="27"/>
  <c r="L1528" i="27"/>
  <c r="R1067" i="32" l="1" a="1"/>
  <c r="R1067" i="32" s="1"/>
  <c r="D1067" i="32" s="1"/>
  <c r="V1067" i="32" a="1"/>
  <c r="V1067" i="32" s="1"/>
  <c r="L1067" i="32" s="1"/>
  <c r="T1067" i="32" a="1"/>
  <c r="T1067" i="32" s="1"/>
  <c r="S1067" i="32" a="1"/>
  <c r="S1067" i="32" s="1"/>
  <c r="E1067" i="32" s="1"/>
  <c r="P1071" i="32"/>
  <c r="Q1069" i="32"/>
  <c r="F5501" i="27"/>
  <c r="F5163" i="27"/>
  <c r="F5164" i="27" s="1"/>
  <c r="F5165" i="27" s="1"/>
  <c r="F5166" i="27" s="1"/>
  <c r="F5167" i="27" s="1"/>
  <c r="F5162" i="27"/>
  <c r="A1528" i="27"/>
  <c r="A1527" i="27"/>
  <c r="H1530" i="27"/>
  <c r="BF53" i="34"/>
  <c r="BE53" i="34"/>
  <c r="AO54" i="34"/>
  <c r="AP54" i="34" s="1"/>
  <c r="AT54" i="34"/>
  <c r="AT55" i="34"/>
  <c r="AO55" i="34"/>
  <c r="AP55" i="34" s="1"/>
  <c r="AQ53" i="34"/>
  <c r="AR53" i="34"/>
  <c r="U953" i="32"/>
  <c r="D4271" i="27"/>
  <c r="G949" i="32"/>
  <c r="D4270" i="27"/>
  <c r="L1529" i="27"/>
  <c r="L4271" i="27"/>
  <c r="J1529" i="27"/>
  <c r="L4270" i="27"/>
  <c r="A953" i="32"/>
  <c r="K1529" i="27"/>
  <c r="P4269" i="27"/>
  <c r="K4269" i="27"/>
  <c r="I1529" i="27"/>
  <c r="R1069" i="32" l="1" a="1"/>
  <c r="R1069" i="32" s="1"/>
  <c r="D1069" i="32" s="1"/>
  <c r="V1069" i="32" a="1"/>
  <c r="V1069" i="32" s="1"/>
  <c r="L1069" i="32" s="1"/>
  <c r="T1069" i="32" a="1"/>
  <c r="T1069" i="32" s="1"/>
  <c r="S1069" i="32" a="1"/>
  <c r="S1069" i="32" s="1"/>
  <c r="E1069" i="32" s="1"/>
  <c r="P1073" i="32"/>
  <c r="Q1071" i="32"/>
  <c r="F5502" i="27"/>
  <c r="F5169" i="27"/>
  <c r="F5170" i="27" s="1"/>
  <c r="F5171" i="27" s="1"/>
  <c r="F5172" i="27" s="1"/>
  <c r="F5173" i="27" s="1"/>
  <c r="F5168" i="27"/>
  <c r="A1529" i="27"/>
  <c r="H1531" i="27"/>
  <c r="BE55" i="34"/>
  <c r="BF55" i="34"/>
  <c r="BE54" i="34"/>
  <c r="BF54" i="34"/>
  <c r="AQ55" i="34"/>
  <c r="AR55" i="34"/>
  <c r="AR54" i="34"/>
  <c r="AQ54" i="34"/>
  <c r="U955" i="32"/>
  <c r="K4270" i="27"/>
  <c r="I1530" i="27"/>
  <c r="K1530" i="27"/>
  <c r="K4271" i="27"/>
  <c r="L1530" i="27"/>
  <c r="P4270" i="27"/>
  <c r="J1530" i="27"/>
  <c r="A955" i="32"/>
  <c r="P4271" i="27"/>
  <c r="G951" i="32"/>
  <c r="R1071" i="32" l="1" a="1"/>
  <c r="R1071" i="32" s="1"/>
  <c r="D1071" i="32" s="1"/>
  <c r="V1071" i="32" a="1"/>
  <c r="V1071" i="32" s="1"/>
  <c r="L1071" i="32" s="1"/>
  <c r="T1071" i="32" a="1"/>
  <c r="T1071" i="32" s="1"/>
  <c r="S1071" i="32" a="1"/>
  <c r="S1071" i="32" s="1"/>
  <c r="E1071" i="32" s="1"/>
  <c r="P1075" i="32"/>
  <c r="Q1073" i="32"/>
  <c r="F5503" i="27"/>
  <c r="F5174" i="27"/>
  <c r="F5175" i="27"/>
  <c r="F5176" i="27" s="1"/>
  <c r="F5177" i="27" s="1"/>
  <c r="F5178" i="27" s="1"/>
  <c r="F5179" i="27" s="1"/>
  <c r="A1530" i="27"/>
  <c r="H1532" i="27"/>
  <c r="AO56" i="34"/>
  <c r="AP56" i="34" s="1"/>
  <c r="AT56" i="34"/>
  <c r="U957" i="32"/>
  <c r="D4272" i="27"/>
  <c r="L1531" i="27"/>
  <c r="K1531" i="27"/>
  <c r="L4272" i="27"/>
  <c r="I1531" i="27"/>
  <c r="J1531" i="27"/>
  <c r="G953" i="32"/>
  <c r="S1073" i="32" l="1" a="1"/>
  <c r="S1073" i="32" s="1"/>
  <c r="E1073" i="32" s="1"/>
  <c r="R1073" i="32" a="1"/>
  <c r="R1073" i="32" s="1"/>
  <c r="D1073" i="32" s="1"/>
  <c r="V1073" i="32" a="1"/>
  <c r="V1073" i="32" s="1"/>
  <c r="L1073" i="32" s="1"/>
  <c r="T1073" i="32" a="1"/>
  <c r="T1073" i="32" s="1"/>
  <c r="P1077" i="32"/>
  <c r="Q1075" i="32"/>
  <c r="F5504" i="27"/>
  <c r="F5505" i="27"/>
  <c r="F5181" i="27"/>
  <c r="F5182" i="27" s="1"/>
  <c r="F5183" i="27" s="1"/>
  <c r="F5184" i="27" s="1"/>
  <c r="F5185" i="27" s="1"/>
  <c r="F5180" i="27"/>
  <c r="A1531" i="27"/>
  <c r="H1534" i="27"/>
  <c r="H1533" i="27"/>
  <c r="BE56" i="34"/>
  <c r="BF56" i="34"/>
  <c r="AT57" i="34"/>
  <c r="AO57" i="34"/>
  <c r="AP57" i="34" s="1"/>
  <c r="AQ56" i="34"/>
  <c r="AR56" i="34"/>
  <c r="U959" i="32"/>
  <c r="P4272" i="27"/>
  <c r="K4272" i="27"/>
  <c r="L1532" i="27"/>
  <c r="D4273" i="27"/>
  <c r="K1532" i="27"/>
  <c r="J1532" i="27"/>
  <c r="G955" i="32"/>
  <c r="A959" i="32"/>
  <c r="L4273" i="27"/>
  <c r="A957" i="32"/>
  <c r="I1532" i="27"/>
  <c r="S1075" i="32" l="1" a="1"/>
  <c r="S1075" i="32" s="1"/>
  <c r="E1075" i="32" s="1"/>
  <c r="R1075" i="32" a="1"/>
  <c r="R1075" i="32" s="1"/>
  <c r="D1075" i="32" s="1"/>
  <c r="V1075" i="32" a="1"/>
  <c r="V1075" i="32" s="1"/>
  <c r="L1075" i="32" s="1"/>
  <c r="T1075" i="32" a="1"/>
  <c r="T1075" i="32" s="1"/>
  <c r="P1079" i="32"/>
  <c r="Q1077" i="32"/>
  <c r="F5506" i="27"/>
  <c r="F5187" i="27"/>
  <c r="F5188" i="27" s="1"/>
  <c r="F5189" i="27" s="1"/>
  <c r="F5190" i="27" s="1"/>
  <c r="F5191" i="27" s="1"/>
  <c r="F5186" i="27"/>
  <c r="A1532" i="27"/>
  <c r="H1535" i="27"/>
  <c r="BE57" i="34"/>
  <c r="BF57" i="34"/>
  <c r="AT58" i="34"/>
  <c r="AO58" i="34"/>
  <c r="AP58" i="34" s="1"/>
  <c r="AQ57" i="34"/>
  <c r="AR57" i="34"/>
  <c r="U961" i="32"/>
  <c r="J1534" i="27"/>
  <c r="L1533" i="27"/>
  <c r="K1534" i="27"/>
  <c r="G957" i="32"/>
  <c r="J1533" i="27"/>
  <c r="K4273" i="27"/>
  <c r="D4274" i="27"/>
  <c r="L4274" i="27"/>
  <c r="K1533" i="27"/>
  <c r="P4273" i="27"/>
  <c r="L1534" i="27"/>
  <c r="I1534" i="27"/>
  <c r="I1533" i="27"/>
  <c r="R1077" i="32" l="1" a="1"/>
  <c r="R1077" i="32" s="1"/>
  <c r="D1077" i="32" s="1"/>
  <c r="V1077" i="32" a="1"/>
  <c r="V1077" i="32" s="1"/>
  <c r="L1077" i="32" s="1"/>
  <c r="T1077" i="32" a="1"/>
  <c r="T1077" i="32" s="1"/>
  <c r="S1077" i="32" a="1"/>
  <c r="S1077" i="32" s="1"/>
  <c r="E1077" i="32" s="1"/>
  <c r="P1081" i="32"/>
  <c r="Q1079" i="32"/>
  <c r="F5507" i="27"/>
  <c r="F5193" i="27"/>
  <c r="F5194" i="27" s="1"/>
  <c r="F5195" i="27" s="1"/>
  <c r="F5196" i="27" s="1"/>
  <c r="F5197" i="27" s="1"/>
  <c r="F5192" i="27"/>
  <c r="A1534" i="27"/>
  <c r="A1533" i="27"/>
  <c r="H1536" i="27"/>
  <c r="BE58" i="34"/>
  <c r="BF58" i="34"/>
  <c r="AT59" i="34"/>
  <c r="AO59" i="34"/>
  <c r="AP59" i="34" s="1"/>
  <c r="AR58" i="34"/>
  <c r="AQ58" i="34"/>
  <c r="U963" i="32"/>
  <c r="I1535" i="27"/>
  <c r="P4274" i="27"/>
  <c r="D4275" i="27"/>
  <c r="K4274" i="27"/>
  <c r="L1535" i="27"/>
  <c r="K1535" i="27"/>
  <c r="A961" i="32"/>
  <c r="L4275" i="27"/>
  <c r="G959" i="32"/>
  <c r="J1535" i="27"/>
  <c r="A963" i="32"/>
  <c r="R1079" i="32" l="1" a="1"/>
  <c r="R1079" i="32" s="1"/>
  <c r="D1079" i="32" s="1"/>
  <c r="V1079" i="32" a="1"/>
  <c r="V1079" i="32" s="1"/>
  <c r="L1079" i="32" s="1"/>
  <c r="T1079" i="32" a="1"/>
  <c r="T1079" i="32" s="1"/>
  <c r="S1079" i="32" a="1"/>
  <c r="S1079" i="32" s="1"/>
  <c r="E1079" i="32" s="1"/>
  <c r="P1083" i="32"/>
  <c r="Q1081" i="32"/>
  <c r="F5508" i="27"/>
  <c r="F5198" i="27"/>
  <c r="F5199" i="27"/>
  <c r="F5200" i="27" s="1"/>
  <c r="F5201" i="27" s="1"/>
  <c r="F5202" i="27" s="1"/>
  <c r="F5203" i="27" s="1"/>
  <c r="A1535" i="27"/>
  <c r="H1537" i="27"/>
  <c r="BE59" i="34"/>
  <c r="BF59" i="34"/>
  <c r="AT60" i="34"/>
  <c r="AO60" i="34"/>
  <c r="AP60" i="34" s="1"/>
  <c r="AR59" i="34"/>
  <c r="AQ59" i="34"/>
  <c r="U965" i="32"/>
  <c r="E477" i="27"/>
  <c r="P4275" i="27"/>
  <c r="D4276" i="27"/>
  <c r="L1536" i="27"/>
  <c r="I1536" i="27"/>
  <c r="K4275" i="27"/>
  <c r="G961" i="32"/>
  <c r="K1536" i="27"/>
  <c r="J1536" i="27"/>
  <c r="L4276" i="27"/>
  <c r="R1081" i="32" l="1" a="1"/>
  <c r="R1081" i="32" s="1"/>
  <c r="D1081" i="32" s="1"/>
  <c r="V1081" i="32" a="1"/>
  <c r="V1081" i="32" s="1"/>
  <c r="L1081" i="32" s="1"/>
  <c r="T1081" i="32" a="1"/>
  <c r="T1081" i="32" s="1"/>
  <c r="S1081" i="32" a="1"/>
  <c r="S1081" i="32" s="1"/>
  <c r="E1081" i="32" s="1"/>
  <c r="P1085" i="32"/>
  <c r="Q1083" i="32"/>
  <c r="F5509" i="27"/>
  <c r="F5205" i="27"/>
  <c r="F5206" i="27" s="1"/>
  <c r="F5207" i="27" s="1"/>
  <c r="F5208" i="27" s="1"/>
  <c r="F5209" i="27" s="1"/>
  <c r="F5204" i="27"/>
  <c r="A1536" i="27"/>
  <c r="H1538" i="27"/>
  <c r="K477" i="27"/>
  <c r="M477" i="27"/>
  <c r="I477" i="27"/>
  <c r="J477" i="27"/>
  <c r="BE60" i="34"/>
  <c r="BF60" i="34"/>
  <c r="AO61" i="34"/>
  <c r="AP61" i="34" s="1"/>
  <c r="AT61" i="34"/>
  <c r="AR60" i="34"/>
  <c r="AQ60" i="34"/>
  <c r="U967" i="32"/>
  <c r="L477" i="27"/>
  <c r="AG11" i="31"/>
  <c r="H477" i="27"/>
  <c r="N477" i="27"/>
  <c r="M664" i="27"/>
  <c r="L4277" i="27"/>
  <c r="L1537" i="27"/>
  <c r="G1413" i="27"/>
  <c r="P13" i="30"/>
  <c r="J667" i="27"/>
  <c r="J1537" i="27"/>
  <c r="A967" i="32"/>
  <c r="E27" i="31"/>
  <c r="D4277" i="27"/>
  <c r="A965" i="32"/>
  <c r="J664" i="27"/>
  <c r="P4276" i="27"/>
  <c r="K4276" i="27"/>
  <c r="I1537" i="27"/>
  <c r="K1537" i="27"/>
  <c r="J665" i="27"/>
  <c r="G963" i="32"/>
  <c r="S1083" i="32" l="1" a="1"/>
  <c r="S1083" i="32" s="1"/>
  <c r="E1083" i="32" s="1"/>
  <c r="R1083" i="32" a="1"/>
  <c r="R1083" i="32" s="1"/>
  <c r="D1083" i="32" s="1"/>
  <c r="V1083" i="32" a="1"/>
  <c r="V1083" i="32" s="1"/>
  <c r="L1083" i="32" s="1"/>
  <c r="T1083" i="32" a="1"/>
  <c r="T1083" i="32" s="1"/>
  <c r="P1087" i="32"/>
  <c r="Q1085" i="32"/>
  <c r="F5511" i="27"/>
  <c r="F5510" i="27"/>
  <c r="F5211" i="27"/>
  <c r="F5212" i="27" s="1"/>
  <c r="F5213" i="27" s="1"/>
  <c r="F5214" i="27" s="1"/>
  <c r="F5215" i="27" s="1"/>
  <c r="F5210" i="27"/>
  <c r="A1537" i="27"/>
  <c r="H1539" i="27"/>
  <c r="H1540" i="27"/>
  <c r="Q58" i="24"/>
  <c r="H126" i="24"/>
  <c r="O126" i="24"/>
  <c r="H118" i="24"/>
  <c r="A477" i="27"/>
  <c r="BE61" i="34"/>
  <c r="BF61" i="34"/>
  <c r="AT62" i="34"/>
  <c r="AO62" i="34"/>
  <c r="AP62" i="34" s="1"/>
  <c r="AQ61" i="34"/>
  <c r="AR61" i="34"/>
  <c r="U969" i="32"/>
  <c r="O118" i="24"/>
  <c r="AG13" i="31"/>
  <c r="B119" i="24"/>
  <c r="I665" i="27"/>
  <c r="D4278" i="27"/>
  <c r="N667" i="27"/>
  <c r="M673" i="27"/>
  <c r="N665" i="27"/>
  <c r="K4277" i="27"/>
  <c r="M665" i="27"/>
  <c r="I1538" i="27"/>
  <c r="J1538" i="27"/>
  <c r="N664" i="27"/>
  <c r="J666" i="27"/>
  <c r="N666" i="27"/>
  <c r="P4277" i="27"/>
  <c r="K252" i="27"/>
  <c r="L4278" i="27"/>
  <c r="M666" i="27"/>
  <c r="K1538" i="27"/>
  <c r="L1538" i="27"/>
  <c r="J670" i="27"/>
  <c r="G965" i="32"/>
  <c r="I664" i="27"/>
  <c r="A969" i="32"/>
  <c r="I666" i="27"/>
  <c r="M667" i="27"/>
  <c r="I667" i="27"/>
  <c r="S1085" i="32" l="1" a="1"/>
  <c r="S1085" i="32" s="1"/>
  <c r="E1085" i="32" s="1"/>
  <c r="R1085" i="32" a="1"/>
  <c r="R1085" i="32" s="1"/>
  <c r="D1085" i="32" s="1"/>
  <c r="V1085" i="32" a="1"/>
  <c r="V1085" i="32" s="1"/>
  <c r="L1085" i="32" s="1"/>
  <c r="T1085" i="32" a="1"/>
  <c r="T1085" i="32" s="1"/>
  <c r="P1089" i="32"/>
  <c r="Q1087" i="32"/>
  <c r="A252" i="27"/>
  <c r="T252" i="27" s="1"/>
  <c r="F5512" i="27"/>
  <c r="F5217" i="27"/>
  <c r="F5218" i="27" s="1"/>
  <c r="F5219" i="27" s="1"/>
  <c r="F5220" i="27" s="1"/>
  <c r="F5221" i="27" s="1"/>
  <c r="F5216" i="27"/>
  <c r="A1538" i="27"/>
  <c r="H1541" i="27"/>
  <c r="BE62" i="34"/>
  <c r="BF62" i="34"/>
  <c r="AT64" i="34"/>
  <c r="AO64" i="34"/>
  <c r="AP64" i="34" s="1"/>
  <c r="AO63" i="34"/>
  <c r="AP63" i="34" s="1"/>
  <c r="AT63" i="34"/>
  <c r="AR62" i="34"/>
  <c r="AQ62" i="34"/>
  <c r="U971" i="32"/>
  <c r="AG15" i="31"/>
  <c r="D4280" i="27"/>
  <c r="J1540" i="27"/>
  <c r="G967" i="32"/>
  <c r="G1603" i="27"/>
  <c r="N672" i="27"/>
  <c r="J672" i="27"/>
  <c r="L1539" i="27"/>
  <c r="J679" i="27"/>
  <c r="K1539" i="27"/>
  <c r="I1540" i="27"/>
  <c r="A971" i="32"/>
  <c r="K4278" i="27"/>
  <c r="N677" i="27"/>
  <c r="L4279" i="27"/>
  <c r="M672" i="27"/>
  <c r="P4278" i="27"/>
  <c r="I673" i="27"/>
  <c r="N670" i="27"/>
  <c r="I1539" i="27"/>
  <c r="G1601" i="27"/>
  <c r="L4280" i="27"/>
  <c r="J671" i="27"/>
  <c r="M670" i="27"/>
  <c r="G1602" i="27"/>
  <c r="K1540" i="27"/>
  <c r="J673" i="27"/>
  <c r="I670" i="27"/>
  <c r="X11" i="31"/>
  <c r="G1600" i="27"/>
  <c r="D4279" i="27"/>
  <c r="N673" i="27"/>
  <c r="I672" i="27"/>
  <c r="L1540" i="27"/>
  <c r="J1539" i="27"/>
  <c r="S1087" i="32" l="1" a="1"/>
  <c r="S1087" i="32" s="1"/>
  <c r="E1087" i="32" s="1"/>
  <c r="R1087" i="32" a="1"/>
  <c r="R1087" i="32" s="1"/>
  <c r="D1087" i="32" s="1"/>
  <c r="V1087" i="32" a="1"/>
  <c r="V1087" i="32" s="1"/>
  <c r="L1087" i="32" s="1"/>
  <c r="T1087" i="32" a="1"/>
  <c r="T1087" i="32" s="1"/>
  <c r="P1091" i="32"/>
  <c r="Q1089" i="32"/>
  <c r="F5513" i="27"/>
  <c r="F5222" i="27"/>
  <c r="F5223" i="27"/>
  <c r="F5224" i="27" s="1"/>
  <c r="F5225" i="27" s="1"/>
  <c r="F5226" i="27" s="1"/>
  <c r="F5227" i="27" s="1"/>
  <c r="A1539" i="27"/>
  <c r="A1540" i="27"/>
  <c r="H1542" i="27"/>
  <c r="R110" i="24"/>
  <c r="S110" i="24"/>
  <c r="Q110" i="24"/>
  <c r="P110" i="24"/>
  <c r="BF63" i="34"/>
  <c r="BE63" i="34"/>
  <c r="BE64" i="34"/>
  <c r="BF64" i="34"/>
  <c r="AR63" i="34"/>
  <c r="AQ63" i="34"/>
  <c r="AQ64" i="34"/>
  <c r="AR64" i="34"/>
  <c r="U973" i="32"/>
  <c r="AG17" i="31"/>
  <c r="C58" i="27"/>
  <c r="M679" i="27"/>
  <c r="I679" i="27"/>
  <c r="P4280" i="27"/>
  <c r="G1609" i="27"/>
  <c r="J1541" i="27"/>
  <c r="I1541" i="27"/>
  <c r="N678" i="27"/>
  <c r="I676" i="27"/>
  <c r="N679" i="27"/>
  <c r="G1608" i="27"/>
  <c r="G1606" i="27"/>
  <c r="K1541" i="27"/>
  <c r="K667" i="27"/>
  <c r="I678" i="27"/>
  <c r="K664" i="27"/>
  <c r="J682" i="27"/>
  <c r="K4280" i="27"/>
  <c r="P4279" i="27"/>
  <c r="J678" i="27"/>
  <c r="G969" i="32"/>
  <c r="J677" i="27"/>
  <c r="K4279" i="27"/>
  <c r="K665" i="27"/>
  <c r="N676" i="27"/>
  <c r="J676" i="27"/>
  <c r="M677" i="27"/>
  <c r="M676" i="27"/>
  <c r="M678" i="27"/>
  <c r="L1541" i="27"/>
  <c r="I677" i="27"/>
  <c r="K666" i="27"/>
  <c r="A973" i="32"/>
  <c r="X13" i="31"/>
  <c r="S1089" i="32" l="1" a="1"/>
  <c r="S1089" i="32" s="1"/>
  <c r="E1089" i="32" s="1"/>
  <c r="R1089" i="32" a="1"/>
  <c r="R1089" i="32" s="1"/>
  <c r="D1089" i="32" s="1"/>
  <c r="V1089" i="32" a="1"/>
  <c r="V1089" i="32" s="1"/>
  <c r="L1089" i="32" s="1"/>
  <c r="T1089" i="32" a="1"/>
  <c r="T1089" i="32" s="1"/>
  <c r="P1093" i="32"/>
  <c r="Q1091" i="32"/>
  <c r="A667" i="27"/>
  <c r="A666" i="27"/>
  <c r="A665" i="27"/>
  <c r="A664" i="27"/>
  <c r="F5514" i="27"/>
  <c r="F5229" i="27"/>
  <c r="F5230" i="27" s="1"/>
  <c r="F5231" i="27" s="1"/>
  <c r="F5232" i="27" s="1"/>
  <c r="F5233" i="27" s="1"/>
  <c r="F5228" i="27"/>
  <c r="A1541" i="27"/>
  <c r="H1543" i="27"/>
  <c r="O238" i="27"/>
  <c r="O230" i="27"/>
  <c r="O222" i="27"/>
  <c r="O214" i="27"/>
  <c r="O206" i="27"/>
  <c r="O198" i="27"/>
  <c r="O190" i="27"/>
  <c r="O182" i="27"/>
  <c r="O174" i="27"/>
  <c r="O166" i="27"/>
  <c r="O158" i="27"/>
  <c r="O150" i="27"/>
  <c r="O142" i="27"/>
  <c r="O134" i="27"/>
  <c r="O126" i="27"/>
  <c r="O118" i="27"/>
  <c r="O110" i="27"/>
  <c r="O102" i="27"/>
  <c r="O94" i="27"/>
  <c r="O86" i="27"/>
  <c r="O78" i="27"/>
  <c r="O70" i="27"/>
  <c r="O62" i="27"/>
  <c r="O211" i="27"/>
  <c r="O179" i="27"/>
  <c r="O163" i="27"/>
  <c r="O139" i="27"/>
  <c r="O115" i="27"/>
  <c r="O91" i="27"/>
  <c r="O75" i="27"/>
  <c r="O59" i="27"/>
  <c r="O237" i="27"/>
  <c r="O229" i="27"/>
  <c r="O221" i="27"/>
  <c r="O213" i="27"/>
  <c r="O205" i="27"/>
  <c r="O197" i="27"/>
  <c r="O189" i="27"/>
  <c r="O181" i="27"/>
  <c r="O173" i="27"/>
  <c r="O165" i="27"/>
  <c r="O157" i="27"/>
  <c r="O149" i="27"/>
  <c r="O141" i="27"/>
  <c r="O133" i="27"/>
  <c r="O125" i="27"/>
  <c r="O117" i="27"/>
  <c r="O109" i="27"/>
  <c r="O101" i="27"/>
  <c r="O93" i="27"/>
  <c r="O85" i="27"/>
  <c r="O77" i="27"/>
  <c r="O69" i="27"/>
  <c r="O61" i="27"/>
  <c r="O203" i="27"/>
  <c r="O155" i="27"/>
  <c r="O131" i="27"/>
  <c r="O99" i="27"/>
  <c r="O67" i="27"/>
  <c r="O236" i="27"/>
  <c r="O228" i="27"/>
  <c r="O220" i="27"/>
  <c r="O212" i="27"/>
  <c r="O204" i="27"/>
  <c r="O196" i="27"/>
  <c r="O188" i="27"/>
  <c r="O180" i="27"/>
  <c r="O172" i="27"/>
  <c r="O164" i="27"/>
  <c r="O156" i="27"/>
  <c r="O148" i="27"/>
  <c r="O140" i="27"/>
  <c r="O132" i="27"/>
  <c r="O124" i="27"/>
  <c r="O116" i="27"/>
  <c r="O108" i="27"/>
  <c r="O100" i="27"/>
  <c r="O92" i="27"/>
  <c r="O84" i="27"/>
  <c r="O76" i="27"/>
  <c r="O68" i="27"/>
  <c r="O60" i="27"/>
  <c r="O219" i="27"/>
  <c r="O187" i="27"/>
  <c r="O171" i="27"/>
  <c r="O147" i="27"/>
  <c r="O123" i="27"/>
  <c r="O107" i="27"/>
  <c r="O83" i="27"/>
  <c r="O235" i="27"/>
  <c r="O227" i="27"/>
  <c r="O195" i="27"/>
  <c r="O234" i="27"/>
  <c r="O226" i="27"/>
  <c r="O218" i="27"/>
  <c r="O210" i="27"/>
  <c r="O202" i="27"/>
  <c r="O194" i="27"/>
  <c r="O186" i="27"/>
  <c r="O178" i="27"/>
  <c r="O170" i="27"/>
  <c r="O162" i="27"/>
  <c r="O154" i="27"/>
  <c r="O146" i="27"/>
  <c r="O138" i="27"/>
  <c r="O130" i="27"/>
  <c r="O122" i="27"/>
  <c r="O114" i="27"/>
  <c r="O106" i="27"/>
  <c r="O98" i="27"/>
  <c r="O90" i="27"/>
  <c r="O82" i="27"/>
  <c r="O74" i="27"/>
  <c r="O66" i="27"/>
  <c r="O209" i="27"/>
  <c r="O193" i="27"/>
  <c r="O185" i="27"/>
  <c r="O177" i="27"/>
  <c r="O169" i="27"/>
  <c r="O161" i="27"/>
  <c r="O153" i="27"/>
  <c r="O145" i="27"/>
  <c r="O137" i="27"/>
  <c r="O129" i="27"/>
  <c r="O121" i="27"/>
  <c r="O113" i="27"/>
  <c r="O105" i="27"/>
  <c r="O97" i="27"/>
  <c r="O89" i="27"/>
  <c r="O81" i="27"/>
  <c r="O73" i="27"/>
  <c r="O65" i="27"/>
  <c r="O233" i="27"/>
  <c r="O225" i="27"/>
  <c r="O217" i="27"/>
  <c r="O201" i="27"/>
  <c r="O232" i="27"/>
  <c r="O224" i="27"/>
  <c r="O216" i="27"/>
  <c r="O208" i="27"/>
  <c r="O200" i="27"/>
  <c r="O192" i="27"/>
  <c r="O184" i="27"/>
  <c r="O176" i="27"/>
  <c r="O168" i="27"/>
  <c r="O160" i="27"/>
  <c r="O152" i="27"/>
  <c r="O144" i="27"/>
  <c r="O136" i="27"/>
  <c r="O128" i="27"/>
  <c r="O120" i="27"/>
  <c r="O112" i="27"/>
  <c r="O104" i="27"/>
  <c r="O96" i="27"/>
  <c r="O88" i="27"/>
  <c r="O80" i="27"/>
  <c r="O72" i="27"/>
  <c r="O64" i="27"/>
  <c r="O231" i="27"/>
  <c r="O223" i="27"/>
  <c r="O215" i="27"/>
  <c r="O207" i="27"/>
  <c r="O199" i="27"/>
  <c r="O191" i="27"/>
  <c r="O183" i="27"/>
  <c r="O175" i="27"/>
  <c r="O167" i="27"/>
  <c r="O159" i="27"/>
  <c r="O151" i="27"/>
  <c r="O143" i="27"/>
  <c r="O135" i="27"/>
  <c r="O127" i="27"/>
  <c r="O119" i="27"/>
  <c r="O111" i="27"/>
  <c r="O103" i="27"/>
  <c r="O95" i="27"/>
  <c r="O87" i="27"/>
  <c r="O79" i="27"/>
  <c r="O71" i="27"/>
  <c r="O63" i="27"/>
  <c r="R112" i="24"/>
  <c r="S112" i="24"/>
  <c r="P112" i="24"/>
  <c r="AT65" i="34"/>
  <c r="AO65" i="34"/>
  <c r="AP65" i="34" s="1"/>
  <c r="U975" i="32"/>
  <c r="AG19" i="31"/>
  <c r="B108" i="24"/>
  <c r="AE9" i="31" a="1"/>
  <c r="AE9" i="31" s="1"/>
  <c r="K673" i="27"/>
  <c r="K1542" i="27"/>
  <c r="I683" i="27"/>
  <c r="D4281" i="27"/>
  <c r="N682" i="27"/>
  <c r="G1615" i="27"/>
  <c r="J1542" i="27"/>
  <c r="L4281" i="27"/>
  <c r="M682" i="27"/>
  <c r="I682" i="27"/>
  <c r="M685" i="27"/>
  <c r="I685" i="27"/>
  <c r="A975" i="32"/>
  <c r="I1542" i="27"/>
  <c r="N685" i="27"/>
  <c r="G1613" i="27"/>
  <c r="T19" i="31"/>
  <c r="J685" i="27"/>
  <c r="M683" i="27"/>
  <c r="K670" i="27"/>
  <c r="N683" i="27"/>
  <c r="K672" i="27"/>
  <c r="L1542" i="27"/>
  <c r="G1614" i="27"/>
  <c r="X15" i="31"/>
  <c r="G971" i="32"/>
  <c r="J691" i="27"/>
  <c r="G1612" i="27"/>
  <c r="J683" i="27"/>
  <c r="S1091" i="32" l="1" a="1"/>
  <c r="S1091" i="32" s="1"/>
  <c r="E1091" i="32" s="1"/>
  <c r="R1091" i="32" a="1"/>
  <c r="R1091" i="32" s="1"/>
  <c r="D1091" i="32" s="1"/>
  <c r="V1091" i="32" a="1"/>
  <c r="V1091" i="32" s="1"/>
  <c r="L1091" i="32" s="1"/>
  <c r="T1091" i="32" a="1"/>
  <c r="T1091" i="32" s="1"/>
  <c r="P1095" i="32"/>
  <c r="Q1093" i="32"/>
  <c r="A672" i="27"/>
  <c r="A670" i="27"/>
  <c r="A673" i="27"/>
  <c r="F5515" i="27"/>
  <c r="F5234" i="27"/>
  <c r="F5235" i="27"/>
  <c r="F5236" i="27" s="1"/>
  <c r="F5237" i="27" s="1"/>
  <c r="F5238" i="27" s="1"/>
  <c r="F5239" i="27" s="1"/>
  <c r="A1542" i="27"/>
  <c r="H1544" i="27"/>
  <c r="R114" i="24"/>
  <c r="S114" i="24"/>
  <c r="Q114" i="24"/>
  <c r="BF65" i="34"/>
  <c r="BE65" i="34"/>
  <c r="AO66" i="34"/>
  <c r="AP66" i="34" s="1"/>
  <c r="AT66" i="34"/>
  <c r="AQ65" i="34"/>
  <c r="AR65" i="34"/>
  <c r="U977" i="32"/>
  <c r="AG21" i="31"/>
  <c r="B109" i="24"/>
  <c r="H9" i="31"/>
  <c r="J108" i="24" s="1"/>
  <c r="I108" i="24"/>
  <c r="L1543" i="27"/>
  <c r="M688" i="27"/>
  <c r="J696" i="27"/>
  <c r="J690" i="27"/>
  <c r="J1543" i="27"/>
  <c r="I1543" i="27"/>
  <c r="X17" i="31"/>
  <c r="M690" i="27"/>
  <c r="M691" i="27"/>
  <c r="J688" i="27"/>
  <c r="I691" i="27"/>
  <c r="G973" i="32"/>
  <c r="K677" i="27"/>
  <c r="L4282" i="27"/>
  <c r="A977" i="32"/>
  <c r="I690" i="27"/>
  <c r="G1621" i="27"/>
  <c r="G1619" i="27"/>
  <c r="G1618" i="27"/>
  <c r="N688" i="27"/>
  <c r="K679" i="27"/>
  <c r="K678" i="27"/>
  <c r="P4281" i="27"/>
  <c r="N690" i="27"/>
  <c r="K4281" i="27"/>
  <c r="J689" i="27"/>
  <c r="I688" i="27"/>
  <c r="N691" i="27"/>
  <c r="D4282" i="27"/>
  <c r="K1543" i="27"/>
  <c r="R1093" i="32" l="1" a="1"/>
  <c r="R1093" i="32" s="1"/>
  <c r="D1093" i="32" s="1"/>
  <c r="V1093" i="32" a="1"/>
  <c r="V1093" i="32" s="1"/>
  <c r="L1093" i="32" s="1"/>
  <c r="T1093" i="32" a="1"/>
  <c r="T1093" i="32" s="1"/>
  <c r="S1093" i="32" a="1"/>
  <c r="S1093" i="32" s="1"/>
  <c r="E1093" i="32" s="1"/>
  <c r="P1097" i="32"/>
  <c r="Q1095" i="32"/>
  <c r="A678" i="27"/>
  <c r="A679" i="27"/>
  <c r="A677" i="27"/>
  <c r="F5516" i="27"/>
  <c r="F5517" i="27"/>
  <c r="F5241" i="27"/>
  <c r="F5242" i="27" s="1"/>
  <c r="F5243" i="27" s="1"/>
  <c r="F5244" i="27" s="1"/>
  <c r="F5245" i="27" s="1"/>
  <c r="F5240" i="27"/>
  <c r="A1543" i="27"/>
  <c r="H1546" i="27"/>
  <c r="H1545" i="27"/>
  <c r="S116" i="24"/>
  <c r="Q116" i="24"/>
  <c r="P116" i="24"/>
  <c r="BE66" i="34"/>
  <c r="BF66" i="34"/>
  <c r="AO67" i="34"/>
  <c r="AP67" i="34" s="1"/>
  <c r="AT67" i="34"/>
  <c r="AR66" i="34"/>
  <c r="AQ66" i="34"/>
  <c r="U979" i="32"/>
  <c r="AG23" i="31"/>
  <c r="AF9" i="31"/>
  <c r="E108" i="24"/>
  <c r="N108" i="24" s="1"/>
  <c r="E120" i="24"/>
  <c r="B116" i="24"/>
  <c r="AF17" i="31"/>
  <c r="B122" i="24"/>
  <c r="AF23" i="31"/>
  <c r="E130" i="24"/>
  <c r="AF27" i="31"/>
  <c r="B126" i="24"/>
  <c r="AF19" i="31"/>
  <c r="B118" i="24"/>
  <c r="B132" i="24"/>
  <c r="AF33" i="31"/>
  <c r="B136" i="24"/>
  <c r="AF37" i="31"/>
  <c r="E124" i="24"/>
  <c r="E116" i="24"/>
  <c r="AF15" i="31"/>
  <c r="B114" i="24"/>
  <c r="AF11" i="31"/>
  <c r="B110" i="24"/>
  <c r="AF29" i="31"/>
  <c r="B128" i="24"/>
  <c r="AF35" i="31"/>
  <c r="B134" i="24"/>
  <c r="B112" i="24"/>
  <c r="AF13" i="31"/>
  <c r="E122" i="24"/>
  <c r="B120" i="24"/>
  <c r="AF21" i="31"/>
  <c r="B124" i="24"/>
  <c r="AF25" i="31"/>
  <c r="E134" i="24"/>
  <c r="B130" i="24"/>
  <c r="AF31" i="31"/>
  <c r="AE27" i="31" a="1"/>
  <c r="AE27" i="31" s="1"/>
  <c r="E126" i="24"/>
  <c r="E114" i="24"/>
  <c r="E136" i="24"/>
  <c r="E132" i="24"/>
  <c r="E118" i="24"/>
  <c r="E110" i="24"/>
  <c r="AE37" i="31" a="1"/>
  <c r="AE37" i="31" s="1"/>
  <c r="E128" i="24"/>
  <c r="AE19" i="31" a="1"/>
  <c r="AE19" i="31" s="1"/>
  <c r="AE21" i="31" a="1"/>
  <c r="AE21" i="31" s="1"/>
  <c r="AE35" i="31" a="1"/>
  <c r="AE35" i="31" s="1"/>
  <c r="AE33" i="31" a="1"/>
  <c r="AE33" i="31" s="1"/>
  <c r="AE11" i="31" a="1"/>
  <c r="AE11" i="31" s="1"/>
  <c r="AE29" i="31" a="1"/>
  <c r="AE29" i="31" s="1"/>
  <c r="AE25" i="31" a="1"/>
  <c r="AE25" i="31" s="1"/>
  <c r="AE17" i="31" a="1"/>
  <c r="AE17" i="31" s="1"/>
  <c r="AE31" i="31" a="1"/>
  <c r="AE31" i="31" s="1"/>
  <c r="AE13" i="31" a="1"/>
  <c r="AE13" i="31" s="1"/>
  <c r="E112" i="24"/>
  <c r="AE15" i="31" a="1"/>
  <c r="AE15" i="31" s="1"/>
  <c r="AE23" i="31" a="1"/>
  <c r="AE23" i="31" s="1"/>
  <c r="N696" i="27"/>
  <c r="M695" i="27"/>
  <c r="G1626" i="27"/>
  <c r="N697" i="27"/>
  <c r="G975" i="32"/>
  <c r="K683" i="27"/>
  <c r="I694" i="27"/>
  <c r="X19" i="31"/>
  <c r="K685" i="27"/>
  <c r="J702" i="27"/>
  <c r="G1627" i="27"/>
  <c r="I695" i="27"/>
  <c r="J700" i="27"/>
  <c r="N695" i="27"/>
  <c r="A979" i="32"/>
  <c r="J703" i="27"/>
  <c r="J694" i="27"/>
  <c r="D4283" i="27"/>
  <c r="N694" i="27"/>
  <c r="M701" i="27"/>
  <c r="J697" i="27"/>
  <c r="L1544" i="27"/>
  <c r="M694" i="27"/>
  <c r="I1544" i="27"/>
  <c r="J695" i="27"/>
  <c r="K1544" i="27"/>
  <c r="I696" i="27"/>
  <c r="L4283" i="27"/>
  <c r="K4282" i="27"/>
  <c r="P4282" i="27"/>
  <c r="M696" i="27"/>
  <c r="J1544" i="27"/>
  <c r="M697" i="27"/>
  <c r="K682" i="27"/>
  <c r="I697" i="27"/>
  <c r="J701" i="27"/>
  <c r="G1624" i="27"/>
  <c r="S1095" i="32" l="1" a="1"/>
  <c r="S1095" i="32" s="1"/>
  <c r="E1095" i="32" s="1"/>
  <c r="R1095" i="32" a="1"/>
  <c r="R1095" i="32" s="1"/>
  <c r="D1095" i="32" s="1"/>
  <c r="V1095" i="32" a="1"/>
  <c r="V1095" i="32" s="1"/>
  <c r="L1095" i="32" s="1"/>
  <c r="T1095" i="32" a="1"/>
  <c r="T1095" i="32" s="1"/>
  <c r="P1099" i="32"/>
  <c r="Q1097" i="32"/>
  <c r="A685" i="27"/>
  <c r="A682" i="27"/>
  <c r="A683" i="27"/>
  <c r="F5518" i="27"/>
  <c r="F5246" i="27"/>
  <c r="F5247" i="27"/>
  <c r="F5248" i="27" s="1"/>
  <c r="F5249" i="27" s="1"/>
  <c r="F5250" i="27" s="1"/>
  <c r="F5251" i="27" s="1"/>
  <c r="A1544" i="27"/>
  <c r="H1547" i="27"/>
  <c r="N124" i="24"/>
  <c r="N120" i="24"/>
  <c r="N136" i="24"/>
  <c r="N134" i="24"/>
  <c r="N132" i="24"/>
  <c r="N130" i="24"/>
  <c r="N128" i="24"/>
  <c r="N126" i="24"/>
  <c r="N122" i="24"/>
  <c r="N118" i="24"/>
  <c r="N116" i="24"/>
  <c r="N114" i="24"/>
  <c r="N112" i="24"/>
  <c r="N110" i="24"/>
  <c r="R118" i="24"/>
  <c r="S118" i="24"/>
  <c r="P118" i="24"/>
  <c r="BE67" i="34"/>
  <c r="BF67" i="34"/>
  <c r="AT68" i="34"/>
  <c r="AO68" i="34"/>
  <c r="AP68" i="34" s="1"/>
  <c r="AR67" i="34"/>
  <c r="AQ67" i="34"/>
  <c r="U981" i="32"/>
  <c r="AG25" i="31"/>
  <c r="C454" i="32"/>
  <c r="W454" i="32" s="1"/>
  <c r="C446" i="32"/>
  <c r="W446" i="32" s="1"/>
  <c r="C438" i="32"/>
  <c r="W438" i="32" s="1"/>
  <c r="C450" i="32"/>
  <c r="W450" i="32" s="1"/>
  <c r="C440" i="32"/>
  <c r="W440" i="32" s="1"/>
  <c r="C452" i="32"/>
  <c r="W452" i="32" s="1"/>
  <c r="C444" i="32"/>
  <c r="W444" i="32" s="1"/>
  <c r="C436" i="32"/>
  <c r="W436" i="32" s="1"/>
  <c r="C442" i="32"/>
  <c r="W442" i="32" s="1"/>
  <c r="C448" i="32"/>
  <c r="W448" i="32" s="1"/>
  <c r="C534" i="32"/>
  <c r="W534" i="32" s="1"/>
  <c r="C526" i="32"/>
  <c r="W526" i="32" s="1"/>
  <c r="C518" i="32"/>
  <c r="W518" i="32" s="1"/>
  <c r="C530" i="32"/>
  <c r="W530" i="32" s="1"/>
  <c r="C522" i="32"/>
  <c r="W522" i="32" s="1"/>
  <c r="C528" i="32"/>
  <c r="W528" i="32" s="1"/>
  <c r="C520" i="32"/>
  <c r="W520" i="32" s="1"/>
  <c r="C532" i="32"/>
  <c r="W532" i="32" s="1"/>
  <c r="C524" i="32"/>
  <c r="W524" i="32" s="1"/>
  <c r="C516" i="32"/>
  <c r="W516" i="32" s="1"/>
  <c r="C390" i="32"/>
  <c r="W390" i="32" s="1"/>
  <c r="C382" i="32"/>
  <c r="W382" i="32" s="1"/>
  <c r="C386" i="32"/>
  <c r="W386" i="32" s="1"/>
  <c r="C392" i="32"/>
  <c r="W392" i="32" s="1"/>
  <c r="C376" i="32"/>
  <c r="W376" i="32" s="1"/>
  <c r="C388" i="32"/>
  <c r="W388" i="32" s="1"/>
  <c r="C380" i="32"/>
  <c r="W380" i="32" s="1"/>
  <c r="C394" i="32"/>
  <c r="W394" i="32" s="1"/>
  <c r="C378" i="32"/>
  <c r="W378" i="32" s="1"/>
  <c r="C384" i="32"/>
  <c r="W384" i="32" s="1"/>
  <c r="C430" i="32"/>
  <c r="W430" i="32" s="1"/>
  <c r="C422" i="32"/>
  <c r="W422" i="32" s="1"/>
  <c r="C434" i="32"/>
  <c r="W434" i="32" s="1"/>
  <c r="C418" i="32"/>
  <c r="W418" i="32" s="1"/>
  <c r="C424" i="32"/>
  <c r="W424" i="32" s="1"/>
  <c r="C428" i="32"/>
  <c r="W428" i="32" s="1"/>
  <c r="C420" i="32"/>
  <c r="W420" i="32" s="1"/>
  <c r="C426" i="32"/>
  <c r="W426" i="32" s="1"/>
  <c r="C432" i="32"/>
  <c r="W432" i="32" s="1"/>
  <c r="C416" i="32"/>
  <c r="W416" i="32" s="1"/>
  <c r="C470" i="32"/>
  <c r="W470" i="32" s="1"/>
  <c r="C462" i="32"/>
  <c r="W462" i="32" s="1"/>
  <c r="C474" i="32"/>
  <c r="W474" i="32" s="1"/>
  <c r="C458" i="32"/>
  <c r="W458" i="32" s="1"/>
  <c r="C472" i="32"/>
  <c r="W472" i="32" s="1"/>
  <c r="C456" i="32"/>
  <c r="W456" i="32" s="1"/>
  <c r="C468" i="32"/>
  <c r="W468" i="32" s="1"/>
  <c r="C460" i="32"/>
  <c r="W460" i="32" s="1"/>
  <c r="C466" i="32"/>
  <c r="W466" i="32" s="1"/>
  <c r="C464" i="32"/>
  <c r="W464" i="32" s="1"/>
  <c r="C574" i="32"/>
  <c r="W574" i="32" s="1"/>
  <c r="C566" i="32"/>
  <c r="W566" i="32" s="1"/>
  <c r="C558" i="32"/>
  <c r="W558" i="32" s="1"/>
  <c r="C562" i="32"/>
  <c r="W562" i="32" s="1"/>
  <c r="C560" i="32"/>
  <c r="W560" i="32" s="1"/>
  <c r="C572" i="32"/>
  <c r="W572" i="32" s="1"/>
  <c r="C564" i="32"/>
  <c r="W564" i="32" s="1"/>
  <c r="C556" i="32"/>
  <c r="W556" i="32" s="1"/>
  <c r="C570" i="32"/>
  <c r="W570" i="32" s="1"/>
  <c r="C568" i="32"/>
  <c r="W568" i="32" s="1"/>
  <c r="C494" i="32"/>
  <c r="W494" i="32" s="1"/>
  <c r="C486" i="32"/>
  <c r="W486" i="32" s="1"/>
  <c r="C478" i="32"/>
  <c r="W478" i="32" s="1"/>
  <c r="C490" i="32"/>
  <c r="W490" i="32" s="1"/>
  <c r="C488" i="32"/>
  <c r="W488" i="32" s="1"/>
  <c r="C492" i="32"/>
  <c r="W492" i="32" s="1"/>
  <c r="C484" i="32"/>
  <c r="W484" i="32" s="1"/>
  <c r="C476" i="32"/>
  <c r="W476" i="32" s="1"/>
  <c r="C482" i="32"/>
  <c r="W482" i="32" s="1"/>
  <c r="C480" i="32"/>
  <c r="W480" i="32" s="1"/>
  <c r="C590" i="32"/>
  <c r="W590" i="32" s="1"/>
  <c r="C582" i="32"/>
  <c r="W582" i="32" s="1"/>
  <c r="C594" i="32"/>
  <c r="W594" i="32" s="1"/>
  <c r="C578" i="32"/>
  <c r="W578" i="32" s="1"/>
  <c r="C592" i="32"/>
  <c r="W592" i="32" s="1"/>
  <c r="C576" i="32"/>
  <c r="W576" i="32" s="1"/>
  <c r="C588" i="32"/>
  <c r="W588" i="32" s="1"/>
  <c r="C580" i="32"/>
  <c r="W580" i="32" s="1"/>
  <c r="C586" i="32"/>
  <c r="W586" i="32" s="1"/>
  <c r="C584" i="32"/>
  <c r="W584" i="32" s="1"/>
  <c r="C350" i="32"/>
  <c r="W350" i="32" s="1"/>
  <c r="C342" i="32"/>
  <c r="W342" i="32" s="1"/>
  <c r="C354" i="32"/>
  <c r="W354" i="32" s="1"/>
  <c r="C346" i="32"/>
  <c r="W346" i="32" s="1"/>
  <c r="C344" i="32"/>
  <c r="W344" i="32" s="1"/>
  <c r="C336" i="32"/>
  <c r="W336" i="32" s="1"/>
  <c r="C348" i="32"/>
  <c r="W348" i="32" s="1"/>
  <c r="C340" i="32"/>
  <c r="W340" i="32" s="1"/>
  <c r="C338" i="32"/>
  <c r="W338" i="32" s="1"/>
  <c r="C352" i="32"/>
  <c r="W352" i="32" s="1"/>
  <c r="C510" i="32"/>
  <c r="W510" i="32" s="1"/>
  <c r="C502" i="32"/>
  <c r="W502" i="32" s="1"/>
  <c r="C506" i="32"/>
  <c r="W506" i="32" s="1"/>
  <c r="C504" i="32"/>
  <c r="W504" i="32" s="1"/>
  <c r="C508" i="32"/>
  <c r="W508" i="32" s="1"/>
  <c r="C500" i="32"/>
  <c r="W500" i="32" s="1"/>
  <c r="C514" i="32"/>
  <c r="W514" i="32" s="1"/>
  <c r="C498" i="32"/>
  <c r="W498" i="32" s="1"/>
  <c r="C512" i="32"/>
  <c r="W512" i="32" s="1"/>
  <c r="C496" i="32"/>
  <c r="W496" i="32" s="1"/>
  <c r="C414" i="32"/>
  <c r="W414" i="32" s="1"/>
  <c r="C406" i="32"/>
  <c r="W406" i="32" s="1"/>
  <c r="C398" i="32"/>
  <c r="W398" i="32" s="1"/>
  <c r="C402" i="32"/>
  <c r="W402" i="32" s="1"/>
  <c r="C408" i="32"/>
  <c r="W408" i="32" s="1"/>
  <c r="C412" i="32"/>
  <c r="W412" i="32" s="1"/>
  <c r="C404" i="32"/>
  <c r="W404" i="32" s="1"/>
  <c r="C396" i="32"/>
  <c r="W396" i="32" s="1"/>
  <c r="C410" i="32"/>
  <c r="W410" i="32" s="1"/>
  <c r="C400" i="32"/>
  <c r="W400" i="32" s="1"/>
  <c r="C316" i="32"/>
  <c r="C334" i="32"/>
  <c r="W334" i="32" s="1"/>
  <c r="C326" i="32"/>
  <c r="K1972" i="27" s="1"/>
  <c r="C318" i="32"/>
  <c r="K1968" i="27" s="1"/>
  <c r="C332" i="32"/>
  <c r="W332" i="32" s="1"/>
  <c r="C330" i="32"/>
  <c r="W330" i="32" s="1"/>
  <c r="C320" i="32"/>
  <c r="K1969" i="27" s="1"/>
  <c r="C324" i="32"/>
  <c r="K1971" i="27" s="1"/>
  <c r="C322" i="32"/>
  <c r="C328" i="32"/>
  <c r="K1973" i="27" s="1"/>
  <c r="C550" i="32"/>
  <c r="W550" i="32" s="1"/>
  <c r="C542" i="32"/>
  <c r="W542" i="32" s="1"/>
  <c r="C546" i="32"/>
  <c r="W546" i="32" s="1"/>
  <c r="C544" i="32"/>
  <c r="W544" i="32" s="1"/>
  <c r="C548" i="32"/>
  <c r="W548" i="32" s="1"/>
  <c r="C540" i="32"/>
  <c r="W540" i="32" s="1"/>
  <c r="C554" i="32"/>
  <c r="W554" i="32" s="1"/>
  <c r="C538" i="32"/>
  <c r="W538" i="32" s="1"/>
  <c r="C552" i="32"/>
  <c r="W552" i="32" s="1"/>
  <c r="C536" i="32"/>
  <c r="W536" i="32" s="1"/>
  <c r="C374" i="32"/>
  <c r="W374" i="32" s="1"/>
  <c r="C366" i="32"/>
  <c r="W366" i="32" s="1"/>
  <c r="C358" i="32"/>
  <c r="W358" i="32" s="1"/>
  <c r="C370" i="32"/>
  <c r="W370" i="32" s="1"/>
  <c r="C360" i="32"/>
  <c r="W360" i="32" s="1"/>
  <c r="C372" i="32"/>
  <c r="W372" i="32" s="1"/>
  <c r="C364" i="32"/>
  <c r="W364" i="32" s="1"/>
  <c r="C356" i="32"/>
  <c r="W356" i="32" s="1"/>
  <c r="C362" i="32"/>
  <c r="W362" i="32" s="1"/>
  <c r="C368" i="32"/>
  <c r="W368" i="32" s="1"/>
  <c r="C614" i="32"/>
  <c r="W614" i="32" s="1"/>
  <c r="C606" i="32"/>
  <c r="W606" i="32" s="1"/>
  <c r="C598" i="32"/>
  <c r="W598" i="32" s="1"/>
  <c r="C610" i="32"/>
  <c r="W610" i="32" s="1"/>
  <c r="C608" i="32"/>
  <c r="W608" i="32" s="1"/>
  <c r="C612" i="32"/>
  <c r="W612" i="32" s="1"/>
  <c r="C604" i="32"/>
  <c r="W604" i="32" s="1"/>
  <c r="C596" i="32"/>
  <c r="W596" i="32" s="1"/>
  <c r="C602" i="32"/>
  <c r="W602" i="32" s="1"/>
  <c r="C600" i="32"/>
  <c r="W600" i="32" s="1"/>
  <c r="H15" i="31"/>
  <c r="J114" i="24" s="1"/>
  <c r="H17" i="31"/>
  <c r="J116" i="24" s="1"/>
  <c r="H33" i="31"/>
  <c r="J132" i="24" s="1"/>
  <c r="H27" i="31"/>
  <c r="J126" i="24" s="1"/>
  <c r="H21" i="31"/>
  <c r="J120" i="24" s="1"/>
  <c r="H25" i="31"/>
  <c r="J124" i="24" s="1"/>
  <c r="H35" i="31"/>
  <c r="J134" i="24" s="1"/>
  <c r="H13" i="31"/>
  <c r="J112" i="24" s="1"/>
  <c r="H29" i="31"/>
  <c r="J128" i="24" s="1"/>
  <c r="H37" i="31"/>
  <c r="J136" i="24" s="1"/>
  <c r="H23" i="31"/>
  <c r="J122" i="24" s="1"/>
  <c r="H31" i="31"/>
  <c r="J130" i="24" s="1"/>
  <c r="H11" i="31"/>
  <c r="J110" i="24" s="1"/>
  <c r="H19" i="31"/>
  <c r="J118" i="24" s="1"/>
  <c r="K688" i="27"/>
  <c r="K1545" i="27"/>
  <c r="X21" i="31"/>
  <c r="N700" i="27"/>
  <c r="L1546" i="27"/>
  <c r="G1633" i="27"/>
  <c r="M706" i="27"/>
  <c r="N708" i="27"/>
  <c r="J706" i="27"/>
  <c r="N706" i="27"/>
  <c r="N709" i="27"/>
  <c r="L4284" i="27"/>
  <c r="N707" i="27"/>
  <c r="I700" i="27"/>
  <c r="I1546" i="27"/>
  <c r="P19" i="31"/>
  <c r="M709" i="27"/>
  <c r="M707" i="27"/>
  <c r="D4284" i="27"/>
  <c r="G1630" i="27"/>
  <c r="P4283" i="27"/>
  <c r="M700" i="27"/>
  <c r="M702" i="27"/>
  <c r="K1546" i="27"/>
  <c r="A981" i="32"/>
  <c r="N703" i="27"/>
  <c r="G1631" i="27"/>
  <c r="J1546" i="27"/>
  <c r="T21" i="31"/>
  <c r="N702" i="27"/>
  <c r="M708" i="27"/>
  <c r="K691" i="27"/>
  <c r="K4283" i="27"/>
  <c r="G1632" i="27"/>
  <c r="J708" i="27"/>
  <c r="I1545" i="27"/>
  <c r="I701" i="27"/>
  <c r="N701" i="27"/>
  <c r="J1545" i="27"/>
  <c r="J709" i="27"/>
  <c r="L21" i="31"/>
  <c r="M703" i="27"/>
  <c r="L1545" i="27"/>
  <c r="K690" i="27"/>
  <c r="I702" i="27"/>
  <c r="J707" i="27"/>
  <c r="I703" i="27"/>
  <c r="G977" i="32"/>
  <c r="S1097" i="32" l="1" a="1"/>
  <c r="S1097" i="32" s="1"/>
  <c r="E1097" i="32" s="1"/>
  <c r="R1097" i="32" a="1"/>
  <c r="R1097" i="32" s="1"/>
  <c r="D1097" i="32" s="1"/>
  <c r="V1097" i="32" a="1"/>
  <c r="V1097" i="32" s="1"/>
  <c r="L1097" i="32" s="1"/>
  <c r="T1097" i="32" a="1"/>
  <c r="T1097" i="32" s="1"/>
  <c r="P1101" i="32"/>
  <c r="Q1099" i="32"/>
  <c r="A690" i="27"/>
  <c r="A691" i="27"/>
  <c r="A688" i="27"/>
  <c r="F5519" i="27"/>
  <c r="F5253" i="27"/>
  <c r="F5254" i="27" s="1"/>
  <c r="F5255" i="27" s="1"/>
  <c r="F5256" i="27" s="1"/>
  <c r="F5257" i="27" s="1"/>
  <c r="F5252" i="27"/>
  <c r="K1670" i="27"/>
  <c r="K1970" i="27"/>
  <c r="K1667" i="27"/>
  <c r="K1967" i="27"/>
  <c r="W326" i="32"/>
  <c r="K326" i="32" s="1"/>
  <c r="K1672" i="27"/>
  <c r="W318" i="32"/>
  <c r="K318" i="32" s="1"/>
  <c r="K1668" i="27"/>
  <c r="W324" i="32"/>
  <c r="K324" i="32" s="1"/>
  <c r="K1671" i="27"/>
  <c r="W328" i="32"/>
  <c r="K328" i="32" s="1"/>
  <c r="K1673" i="27"/>
  <c r="W320" i="32"/>
  <c r="K320" i="32" s="1"/>
  <c r="K1669" i="27"/>
  <c r="A1545" i="27"/>
  <c r="A1546" i="27"/>
  <c r="H1548" i="27"/>
  <c r="R120" i="24"/>
  <c r="S120" i="24"/>
  <c r="Q120" i="24"/>
  <c r="P120" i="24"/>
  <c r="BE68" i="34"/>
  <c r="BF68" i="34"/>
  <c r="W322" i="32"/>
  <c r="W316" i="32"/>
  <c r="AT69" i="34"/>
  <c r="AO69" i="34"/>
  <c r="AP69" i="34" s="1"/>
  <c r="AT70" i="34"/>
  <c r="AO70" i="34"/>
  <c r="AP70" i="34" s="1"/>
  <c r="AQ68" i="34"/>
  <c r="AR68" i="34"/>
  <c r="K606" i="32"/>
  <c r="K480" i="32"/>
  <c r="K552" i="32"/>
  <c r="K472" i="32"/>
  <c r="K368" i="32"/>
  <c r="K572" i="32"/>
  <c r="K554" i="32"/>
  <c r="K608" i="32"/>
  <c r="K358" i="32"/>
  <c r="K550" i="32"/>
  <c r="K410" i="32"/>
  <c r="K514" i="32"/>
  <c r="K344" i="32"/>
  <c r="K594" i="32"/>
  <c r="K494" i="32"/>
  <c r="K466" i="32"/>
  <c r="K420" i="32"/>
  <c r="K376" i="32"/>
  <c r="K518" i="32"/>
  <c r="K454" i="32"/>
  <c r="K342" i="32"/>
  <c r="K556" i="32"/>
  <c r="K476" i="32"/>
  <c r="K586" i="32"/>
  <c r="K604" i="32"/>
  <c r="K360" i="32"/>
  <c r="K610" i="32"/>
  <c r="K366" i="32"/>
  <c r="K396" i="32"/>
  <c r="K500" i="32"/>
  <c r="K346" i="32"/>
  <c r="K582" i="32"/>
  <c r="K568" i="32"/>
  <c r="K460" i="32"/>
  <c r="K428" i="32"/>
  <c r="K392" i="32"/>
  <c r="K526" i="32"/>
  <c r="K536" i="32"/>
  <c r="K382" i="32"/>
  <c r="K506" i="32"/>
  <c r="K598" i="32"/>
  <c r="K374" i="32"/>
  <c r="K404" i="32"/>
  <c r="K508" i="32"/>
  <c r="K354" i="32"/>
  <c r="K590" i="32"/>
  <c r="K570" i="32"/>
  <c r="K468" i="32"/>
  <c r="K424" i="32"/>
  <c r="K386" i="32"/>
  <c r="K534" i="32"/>
  <c r="K418" i="32"/>
  <c r="K408" i="32"/>
  <c r="K434" i="32"/>
  <c r="K402" i="32"/>
  <c r="K510" i="32"/>
  <c r="K444" i="32"/>
  <c r="K600" i="32"/>
  <c r="K356" i="32"/>
  <c r="K540" i="32"/>
  <c r="K406" i="32"/>
  <c r="K352" i="32"/>
  <c r="K580" i="32"/>
  <c r="K492" i="32"/>
  <c r="K562" i="32"/>
  <c r="K462" i="32"/>
  <c r="K384" i="32"/>
  <c r="K532" i="32"/>
  <c r="K452" i="32"/>
  <c r="K482" i="32"/>
  <c r="K442" i="32"/>
  <c r="K584" i="32"/>
  <c r="K436" i="32"/>
  <c r="K332" i="32"/>
  <c r="K560" i="32"/>
  <c r="K524" i="32"/>
  <c r="K602" i="32"/>
  <c r="K364" i="32"/>
  <c r="K548" i="32"/>
  <c r="K414" i="32"/>
  <c r="K338" i="32"/>
  <c r="K588" i="32"/>
  <c r="K488" i="32"/>
  <c r="K558" i="32"/>
  <c r="K470" i="32"/>
  <c r="K378" i="32"/>
  <c r="K520" i="32"/>
  <c r="K440" i="32"/>
  <c r="K504" i="32"/>
  <c r="K448" i="32"/>
  <c r="K350" i="32"/>
  <c r="K390" i="32"/>
  <c r="K330" i="32"/>
  <c r="K516" i="32"/>
  <c r="K398" i="32"/>
  <c r="K484" i="32"/>
  <c r="K430" i="32"/>
  <c r="K596" i="32"/>
  <c r="K372" i="32"/>
  <c r="K544" i="32"/>
  <c r="K334" i="32"/>
  <c r="K496" i="32"/>
  <c r="K340" i="32"/>
  <c r="K576" i="32"/>
  <c r="K490" i="32"/>
  <c r="K566" i="32"/>
  <c r="K416" i="32"/>
  <c r="K394" i="32"/>
  <c r="K528" i="32"/>
  <c r="K450" i="32"/>
  <c r="K564" i="32"/>
  <c r="K538" i="32"/>
  <c r="K422" i="32"/>
  <c r="K512" i="32"/>
  <c r="K348" i="32"/>
  <c r="K592" i="32"/>
  <c r="K478" i="32"/>
  <c r="K574" i="32"/>
  <c r="K432" i="32"/>
  <c r="K380" i="32"/>
  <c r="K522" i="32"/>
  <c r="K438" i="32"/>
  <c r="K412" i="32"/>
  <c r="K456" i="32"/>
  <c r="K614" i="32"/>
  <c r="K502" i="32"/>
  <c r="K458" i="32"/>
  <c r="K362" i="32"/>
  <c r="K474" i="32"/>
  <c r="K546" i="32"/>
  <c r="K612" i="32"/>
  <c r="K370" i="32"/>
  <c r="K542" i="32"/>
  <c r="K400" i="32"/>
  <c r="K498" i="32"/>
  <c r="K336" i="32"/>
  <c r="K578" i="32"/>
  <c r="K486" i="32"/>
  <c r="K464" i="32"/>
  <c r="K426" i="32"/>
  <c r="K388" i="32"/>
  <c r="K530" i="32"/>
  <c r="K446" i="32"/>
  <c r="U983" i="32"/>
  <c r="AG27" i="31"/>
  <c r="P316" i="32"/>
  <c r="P318" i="32" s="1"/>
  <c r="P320" i="32" s="1"/>
  <c r="P322" i="32" s="1"/>
  <c r="P324" i="32" s="1"/>
  <c r="P326" i="32" s="1"/>
  <c r="P328" i="32" s="1"/>
  <c r="P330" i="32" s="1"/>
  <c r="P332" i="32" s="1"/>
  <c r="P334" i="32" s="1"/>
  <c r="P336" i="32" s="1"/>
  <c r="P338" i="32" s="1"/>
  <c r="P340" i="32" s="1"/>
  <c r="P342" i="32" s="1"/>
  <c r="P344" i="32" s="1"/>
  <c r="P346" i="32" s="1"/>
  <c r="P348" i="32" s="1"/>
  <c r="P350" i="32" s="1"/>
  <c r="P352" i="32" s="1"/>
  <c r="P354" i="32" s="1"/>
  <c r="P356" i="32" s="1"/>
  <c r="P358" i="32" s="1"/>
  <c r="P360" i="32" s="1"/>
  <c r="P362" i="32" s="1"/>
  <c r="P364" i="32" s="1"/>
  <c r="P366" i="32" s="1"/>
  <c r="P368" i="32" s="1"/>
  <c r="P370" i="32" s="1"/>
  <c r="P372" i="32" s="1"/>
  <c r="P374" i="32" s="1"/>
  <c r="P376" i="32" s="1"/>
  <c r="P378" i="32" s="1"/>
  <c r="P380" i="32" s="1"/>
  <c r="P382" i="32" s="1"/>
  <c r="P384" i="32" s="1"/>
  <c r="P386" i="32" s="1"/>
  <c r="P388" i="32" s="1"/>
  <c r="P390" i="32" s="1"/>
  <c r="P392" i="32" s="1"/>
  <c r="P394" i="32" s="1"/>
  <c r="P396" i="32" s="1"/>
  <c r="P398" i="32" s="1"/>
  <c r="P400" i="32" s="1"/>
  <c r="P402" i="32" s="1"/>
  <c r="P404" i="32" s="1"/>
  <c r="P406" i="32" s="1"/>
  <c r="P408" i="32" s="1"/>
  <c r="P410" i="32" s="1"/>
  <c r="P412" i="32" s="1"/>
  <c r="P414" i="32" s="1"/>
  <c r="P416" i="32" s="1"/>
  <c r="P418" i="32" s="1"/>
  <c r="P420" i="32" s="1"/>
  <c r="P422" i="32" s="1"/>
  <c r="P424" i="32" s="1"/>
  <c r="P426" i="32" s="1"/>
  <c r="P428" i="32" s="1"/>
  <c r="P430" i="32" s="1"/>
  <c r="P432" i="32" s="1"/>
  <c r="P434" i="32" s="1"/>
  <c r="P436" i="32" s="1"/>
  <c r="P438" i="32" s="1"/>
  <c r="P440" i="32" s="1"/>
  <c r="P442" i="32" s="1"/>
  <c r="P444" i="32" s="1"/>
  <c r="P446" i="32" s="1"/>
  <c r="P448" i="32" s="1"/>
  <c r="P450" i="32" s="1"/>
  <c r="P452" i="32" s="1"/>
  <c r="P454" i="32" s="1"/>
  <c r="P456" i="32" s="1"/>
  <c r="P458" i="32" s="1"/>
  <c r="P460" i="32" s="1"/>
  <c r="P462" i="32" s="1"/>
  <c r="P464" i="32" s="1"/>
  <c r="P466" i="32" s="1"/>
  <c r="P468" i="32" s="1"/>
  <c r="P470" i="32" s="1"/>
  <c r="P472" i="32" s="1"/>
  <c r="P474" i="32" s="1"/>
  <c r="P476" i="32" s="1"/>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614" i="32" s="1"/>
  <c r="Q496" i="32"/>
  <c r="Q500" i="32"/>
  <c r="Q502" i="32"/>
  <c r="Q584" i="32"/>
  <c r="Q576" i="32"/>
  <c r="Q582" i="32"/>
  <c r="Q568" i="32"/>
  <c r="Q572" i="32"/>
  <c r="Q566" i="32"/>
  <c r="Q460" i="32"/>
  <c r="Q458" i="32"/>
  <c r="Q436" i="32"/>
  <c r="Q450" i="32"/>
  <c r="Q512" i="32"/>
  <c r="Q508" i="32"/>
  <c r="Q510" i="32"/>
  <c r="Q586" i="32"/>
  <c r="Q592" i="32"/>
  <c r="Q590" i="32"/>
  <c r="Q570" i="32"/>
  <c r="Q560" i="32"/>
  <c r="Q574" i="32"/>
  <c r="Q468" i="32"/>
  <c r="Q474" i="32"/>
  <c r="Q444" i="32"/>
  <c r="Q438" i="32"/>
  <c r="Q498" i="32"/>
  <c r="Q504" i="32"/>
  <c r="Q580" i="32"/>
  <c r="Q578" i="32"/>
  <c r="Q556" i="32"/>
  <c r="Q562" i="32"/>
  <c r="Q464" i="32"/>
  <c r="Q456" i="32"/>
  <c r="Q462" i="32"/>
  <c r="Q448" i="32"/>
  <c r="Q452" i="32"/>
  <c r="Q446" i="32"/>
  <c r="Q514" i="32"/>
  <c r="Q506" i="32"/>
  <c r="Q588" i="32"/>
  <c r="Q594" i="32"/>
  <c r="Q564" i="32"/>
  <c r="Q558" i="32"/>
  <c r="Q466" i="32"/>
  <c r="Q472" i="32"/>
  <c r="Q470" i="32"/>
  <c r="Q442" i="32"/>
  <c r="Q440" i="32"/>
  <c r="Q454" i="32"/>
  <c r="I130" i="24"/>
  <c r="I136" i="24"/>
  <c r="I128" i="24"/>
  <c r="I120" i="24"/>
  <c r="I110" i="24"/>
  <c r="I122" i="24"/>
  <c r="I114" i="24"/>
  <c r="I112" i="24"/>
  <c r="I134" i="24"/>
  <c r="I124" i="24"/>
  <c r="I118" i="24"/>
  <c r="I126" i="24"/>
  <c r="I132" i="24"/>
  <c r="I116" i="24"/>
  <c r="K695" i="27"/>
  <c r="J712" i="27"/>
  <c r="M715" i="27"/>
  <c r="D4285" i="27"/>
  <c r="K697" i="27"/>
  <c r="L4285" i="27"/>
  <c r="D4286" i="27"/>
  <c r="J715" i="27"/>
  <c r="N712" i="27"/>
  <c r="I706" i="27"/>
  <c r="L1547" i="27"/>
  <c r="K4284" i="27"/>
  <c r="P4284" i="27"/>
  <c r="J714" i="27"/>
  <c r="I708" i="27"/>
  <c r="N715" i="27"/>
  <c r="N714" i="27"/>
  <c r="G1636" i="27"/>
  <c r="M712" i="27"/>
  <c r="L23" i="31"/>
  <c r="K694" i="27"/>
  <c r="I709" i="27"/>
  <c r="K696" i="27"/>
  <c r="J713" i="27"/>
  <c r="K1547" i="27"/>
  <c r="M714" i="27"/>
  <c r="G1638" i="27"/>
  <c r="A983" i="32"/>
  <c r="P23" i="31"/>
  <c r="T19" i="30"/>
  <c r="M713" i="27"/>
  <c r="N713" i="27"/>
  <c r="J1547" i="27"/>
  <c r="X23" i="31"/>
  <c r="T23" i="31"/>
  <c r="I1547" i="27"/>
  <c r="G1639" i="27"/>
  <c r="G1637" i="27"/>
  <c r="I707" i="27"/>
  <c r="L4286" i="27"/>
  <c r="G979" i="32"/>
  <c r="R1099" i="32" l="1" a="1"/>
  <c r="R1099" i="32" s="1"/>
  <c r="D1099" i="32" s="1"/>
  <c r="V1099" i="32" a="1"/>
  <c r="V1099" i="32" s="1"/>
  <c r="L1099" i="32" s="1"/>
  <c r="T1099" i="32" a="1"/>
  <c r="T1099" i="32" s="1"/>
  <c r="S1099" i="32" a="1"/>
  <c r="S1099" i="32" s="1"/>
  <c r="E1099" i="32" s="1"/>
  <c r="Q1101" i="32"/>
  <c r="P1103" i="32"/>
  <c r="Q420" i="32"/>
  <c r="V420" i="32" s="1" a="1"/>
  <c r="V420" i="32" s="1"/>
  <c r="L420" i="32" s="1"/>
  <c r="Q416" i="32"/>
  <c r="V416" i="32" s="1" a="1"/>
  <c r="V416" i="32" s="1"/>
  <c r="L416" i="32" s="1"/>
  <c r="Q426" i="32"/>
  <c r="Q430" i="32"/>
  <c r="Q422" i="32"/>
  <c r="Q434" i="32"/>
  <c r="Q424" i="32"/>
  <c r="Q428" i="32"/>
  <c r="V428" i="32" s="1" a="1"/>
  <c r="V428" i="32" s="1"/>
  <c r="L428" i="32" s="1"/>
  <c r="Q432" i="32"/>
  <c r="S432" i="32" s="1" a="1"/>
  <c r="S432" i="32" s="1"/>
  <c r="E432" i="32" s="1"/>
  <c r="Q418" i="32"/>
  <c r="V418" i="32" s="1" a="1"/>
  <c r="V418" i="32" s="1"/>
  <c r="L418" i="32" s="1"/>
  <c r="Q386" i="32"/>
  <c r="Q382" i="32"/>
  <c r="Q376" i="32"/>
  <c r="Q384" i="32"/>
  <c r="Q394" i="32"/>
  <c r="Q390" i="32"/>
  <c r="V390" i="32" s="1" a="1"/>
  <c r="V390" i="32" s="1"/>
  <c r="L390" i="32" s="1"/>
  <c r="Q392" i="32"/>
  <c r="V392" i="32" s="1" a="1"/>
  <c r="V392" i="32" s="1"/>
  <c r="L392" i="32" s="1"/>
  <c r="Q378" i="32"/>
  <c r="S378" i="32" s="1" a="1"/>
  <c r="S378" i="32" s="1"/>
  <c r="E378" i="32" s="1"/>
  <c r="Q388" i="32"/>
  <c r="Q380" i="32"/>
  <c r="Q364" i="32"/>
  <c r="Q368" i="32"/>
  <c r="Q370" i="32"/>
  <c r="Q358" i="32"/>
  <c r="V358" i="32" s="1" a="1"/>
  <c r="V358" i="32" s="1"/>
  <c r="L358" i="32" s="1"/>
  <c r="Q356" i="32"/>
  <c r="S356" i="32" s="1" a="1"/>
  <c r="S356" i="32" s="1"/>
  <c r="E356" i="32" s="1"/>
  <c r="Q360" i="32"/>
  <c r="V360" i="32" s="1" a="1"/>
  <c r="V360" i="32" s="1"/>
  <c r="L360" i="32" s="1"/>
  <c r="Q366" i="32"/>
  <c r="Q374" i="32"/>
  <c r="Q362" i="32"/>
  <c r="Q372" i="32"/>
  <c r="A697" i="27"/>
  <c r="A696" i="27"/>
  <c r="A694" i="27"/>
  <c r="A695" i="27"/>
  <c r="F5520" i="27"/>
  <c r="F5259" i="27"/>
  <c r="F5260" i="27" s="1"/>
  <c r="F5261" i="27" s="1"/>
  <c r="F5262" i="27" s="1"/>
  <c r="F5263" i="27" s="1"/>
  <c r="F5258" i="27"/>
  <c r="A1547" i="27"/>
  <c r="H1549" i="27"/>
  <c r="Q320" i="32"/>
  <c r="V320" i="32" s="1" a="1"/>
  <c r="V320" i="32" s="1"/>
  <c r="L320" i="32" s="1"/>
  <c r="K2132" i="27" s="1"/>
  <c r="Q318" i="32"/>
  <c r="V318" i="32" s="1" a="1"/>
  <c r="V318" i="32" s="1"/>
  <c r="L318" i="32" s="1"/>
  <c r="Q316" i="32"/>
  <c r="T316" i="32" s="1" a="1"/>
  <c r="T316" i="32" s="1"/>
  <c r="M1967" i="27" s="1"/>
  <c r="A1967" i="27" s="1"/>
  <c r="Q338" i="32"/>
  <c r="V338" i="32" s="1" a="1"/>
  <c r="V338" i="32" s="1"/>
  <c r="L338" i="32" s="1"/>
  <c r="Q348" i="32"/>
  <c r="V348" i="32" s="1" a="1"/>
  <c r="V348" i="32" s="1"/>
  <c r="L348" i="32" s="1"/>
  <c r="Q324" i="32"/>
  <c r="V324" i="32" s="1" a="1"/>
  <c r="V324" i="32" s="1"/>
  <c r="L324" i="32" s="1"/>
  <c r="Q326" i="32"/>
  <c r="R326" i="32" s="1" a="1"/>
  <c r="R326" i="32" s="1"/>
  <c r="D326" i="32" s="1"/>
  <c r="Q330" i="32"/>
  <c r="T330" i="32" s="1" a="1"/>
  <c r="T330" i="32" s="1"/>
  <c r="Q336" i="32"/>
  <c r="V336" i="32" s="1" a="1"/>
  <c r="V336" i="32" s="1"/>
  <c r="L336" i="32" s="1"/>
  <c r="Q344" i="32"/>
  <c r="V344" i="32" s="1" a="1"/>
  <c r="V344" i="32" s="1"/>
  <c r="L344" i="32" s="1"/>
  <c r="Q332" i="32"/>
  <c r="V332" i="32" s="1" a="1"/>
  <c r="V332" i="32" s="1"/>
  <c r="L332" i="32" s="1"/>
  <c r="Q322" i="32"/>
  <c r="V322" i="32" s="1" a="1"/>
  <c r="V322" i="32" s="1"/>
  <c r="L322" i="32" s="1"/>
  <c r="Q334" i="32"/>
  <c r="S334" i="32" s="1" a="1"/>
  <c r="S334" i="32" s="1"/>
  <c r="E334" i="32" s="1"/>
  <c r="Q350" i="32"/>
  <c r="T350" i="32" s="1" a="1"/>
  <c r="T350" i="32" s="1"/>
  <c r="Q342" i="32"/>
  <c r="Q354" i="32"/>
  <c r="V354" i="32" s="1" a="1"/>
  <c r="V354" i="32" s="1"/>
  <c r="L354" i="32" s="1"/>
  <c r="Q328" i="32"/>
  <c r="V328" i="32" s="1" a="1"/>
  <c r="V328" i="32" s="1"/>
  <c r="L328" i="32" s="1"/>
  <c r="Q346" i="32"/>
  <c r="T346" i="32" s="1" a="1"/>
  <c r="T346" i="32" s="1"/>
  <c r="Q352" i="32"/>
  <c r="V352" i="32" s="1" a="1"/>
  <c r="V352" i="32" s="1"/>
  <c r="L352" i="32" s="1"/>
  <c r="Q340" i="32"/>
  <c r="V340" i="32" s="1" a="1"/>
  <c r="V340" i="32" s="1"/>
  <c r="L340" i="32" s="1"/>
  <c r="R64" i="24"/>
  <c r="P114" i="24"/>
  <c r="Q478" i="32"/>
  <c r="R478" i="32" s="1" a="1"/>
  <c r="R478" i="32" s="1"/>
  <c r="D478" i="32" s="1"/>
  <c r="Q604" i="32"/>
  <c r="T604" i="32" s="1" a="1"/>
  <c r="T604" i="32" s="1"/>
  <c r="Q606" i="32"/>
  <c r="T606" i="32" s="1" a="1"/>
  <c r="T606" i="32" s="1"/>
  <c r="Q484" i="32"/>
  <c r="V484" i="32" s="1" a="1"/>
  <c r="V484" i="32" s="1"/>
  <c r="L484" i="32" s="1"/>
  <c r="Q488" i="32"/>
  <c r="S488" i="32" s="1" a="1"/>
  <c r="S488" i="32" s="1"/>
  <c r="E488" i="32" s="1"/>
  <c r="Q612" i="32"/>
  <c r="S612" i="32" s="1" a="1"/>
  <c r="S612" i="32" s="1"/>
  <c r="E612" i="32" s="1"/>
  <c r="Q596" i="32"/>
  <c r="V596" i="32" s="1" a="1"/>
  <c r="V596" i="32" s="1"/>
  <c r="L596" i="32" s="1"/>
  <c r="Q482" i="32"/>
  <c r="T482" i="32" s="1" a="1"/>
  <c r="T482" i="32" s="1"/>
  <c r="Q598" i="32"/>
  <c r="R598" i="32" s="1" a="1"/>
  <c r="R598" i="32" s="1"/>
  <c r="D598" i="32" s="1"/>
  <c r="Q486" i="32"/>
  <c r="T486" i="32" s="1" a="1"/>
  <c r="T486" i="32" s="1"/>
  <c r="Q600" i="32"/>
  <c r="S600" i="32" s="1" a="1"/>
  <c r="S600" i="32" s="1"/>
  <c r="E600" i="32" s="1"/>
  <c r="Q608" i="32"/>
  <c r="V608" i="32" s="1" a="1"/>
  <c r="V608" i="32" s="1"/>
  <c r="L608" i="32" s="1"/>
  <c r="Q492" i="32"/>
  <c r="V492" i="32" s="1" a="1"/>
  <c r="V492" i="32" s="1"/>
  <c r="L492" i="32" s="1"/>
  <c r="Q476" i="32"/>
  <c r="V476" i="32" s="1" a="1"/>
  <c r="V476" i="32" s="1"/>
  <c r="L476" i="32" s="1"/>
  <c r="Q494" i="32"/>
  <c r="R494" i="32" s="1" a="1"/>
  <c r="R494" i="32" s="1"/>
  <c r="D494" i="32" s="1"/>
  <c r="Q602" i="32"/>
  <c r="V602" i="32" s="1" a="1"/>
  <c r="V602" i="32" s="1"/>
  <c r="L602" i="32" s="1"/>
  <c r="Q480" i="32"/>
  <c r="R480" i="32" s="1" a="1"/>
  <c r="R480" i="32" s="1"/>
  <c r="D480" i="32" s="1"/>
  <c r="Q490" i="32"/>
  <c r="V490" i="32" s="1" a="1"/>
  <c r="V490" i="32" s="1"/>
  <c r="L490" i="32" s="1"/>
  <c r="Q610" i="32"/>
  <c r="V610" i="32" s="1" a="1"/>
  <c r="V610" i="32" s="1"/>
  <c r="L610" i="32" s="1"/>
  <c r="R122" i="24"/>
  <c r="S122" i="24"/>
  <c r="Q122" i="24"/>
  <c r="P122" i="24"/>
  <c r="V442" i="32" a="1"/>
  <c r="V442" i="32" s="1"/>
  <c r="L442" i="32" s="1"/>
  <c r="T442" i="32" a="1"/>
  <c r="T442" i="32" s="1"/>
  <c r="S442" i="32" a="1"/>
  <c r="S442" i="32" s="1"/>
  <c r="E442" i="32" s="1"/>
  <c r="R442" i="32" a="1"/>
  <c r="R442" i="32" s="1"/>
  <c r="D442" i="32" s="1"/>
  <c r="V434" i="32" a="1"/>
  <c r="V434" i="32" s="1"/>
  <c r="L434" i="32" s="1"/>
  <c r="T434" i="32" a="1"/>
  <c r="T434" i="32" s="1"/>
  <c r="S434" i="32" a="1"/>
  <c r="S434" i="32" s="1"/>
  <c r="E434" i="32" s="1"/>
  <c r="R434" i="32" a="1"/>
  <c r="R434" i="32" s="1"/>
  <c r="D434" i="32" s="1"/>
  <c r="V466" i="32" a="1"/>
  <c r="V466" i="32" s="1"/>
  <c r="L466" i="32" s="1"/>
  <c r="T466" i="32" a="1"/>
  <c r="T466" i="32" s="1"/>
  <c r="S466" i="32" a="1"/>
  <c r="S466" i="32" s="1"/>
  <c r="E466" i="32" s="1"/>
  <c r="R466" i="32" a="1"/>
  <c r="R466" i="32" s="1"/>
  <c r="D466" i="32" s="1"/>
  <c r="V350" i="32" a="1"/>
  <c r="V350" i="32" s="1"/>
  <c r="L350" i="32" s="1"/>
  <c r="V514" i="32" a="1"/>
  <c r="V514" i="32" s="1"/>
  <c r="L514" i="32" s="1"/>
  <c r="T514" i="32" a="1"/>
  <c r="T514" i="32" s="1"/>
  <c r="S514" i="32" a="1"/>
  <c r="S514" i="32" s="1"/>
  <c r="E514" i="32" s="1"/>
  <c r="R514" i="32" a="1"/>
  <c r="R514" i="32" s="1"/>
  <c r="D514" i="32" s="1"/>
  <c r="V364" i="32" a="1"/>
  <c r="V364" i="32" s="1"/>
  <c r="L364" i="32" s="1"/>
  <c r="T364" i="32" a="1"/>
  <c r="T364" i="32" s="1"/>
  <c r="S364" i="32" a="1"/>
  <c r="S364" i="32" s="1"/>
  <c r="E364" i="32" s="1"/>
  <c r="R364" i="32" a="1"/>
  <c r="R364" i="32" s="1"/>
  <c r="D364" i="32" s="1"/>
  <c r="V446" i="32" a="1"/>
  <c r="V446" i="32" s="1"/>
  <c r="L446" i="32" s="1"/>
  <c r="T446" i="32" a="1"/>
  <c r="T446" i="32" s="1"/>
  <c r="R446" i="32" a="1"/>
  <c r="R446" i="32" s="1"/>
  <c r="D446" i="32" s="1"/>
  <c r="S446" i="32" a="1"/>
  <c r="S446" i="32" s="1"/>
  <c r="E446" i="32" s="1"/>
  <c r="V388" i="32" a="1"/>
  <c r="V388" i="32" s="1"/>
  <c r="L388" i="32" s="1"/>
  <c r="T388" i="32" a="1"/>
  <c r="T388" i="32" s="1"/>
  <c r="S388" i="32" a="1"/>
  <c r="S388" i="32" s="1"/>
  <c r="E388" i="32" s="1"/>
  <c r="R388" i="32" a="1"/>
  <c r="R388" i="32" s="1"/>
  <c r="D388" i="32" s="1"/>
  <c r="V462" i="32" a="1"/>
  <c r="V462" i="32" s="1"/>
  <c r="L462" i="32" s="1"/>
  <c r="T462" i="32" a="1"/>
  <c r="T462" i="32" s="1"/>
  <c r="R462" i="32" a="1"/>
  <c r="R462" i="32" s="1"/>
  <c r="D462" i="32" s="1"/>
  <c r="S462" i="32" a="1"/>
  <c r="S462" i="32" s="1"/>
  <c r="E462" i="32" s="1"/>
  <c r="V556" i="32" a="1"/>
  <c r="V556" i="32" s="1"/>
  <c r="L556" i="32" s="1"/>
  <c r="T556" i="32" a="1"/>
  <c r="T556" i="32" s="1"/>
  <c r="S556" i="32" a="1"/>
  <c r="S556" i="32" s="1"/>
  <c r="E556" i="32" s="1"/>
  <c r="R556" i="32" a="1"/>
  <c r="R556" i="32" s="1"/>
  <c r="D556" i="32" s="1"/>
  <c r="V578" i="32" a="1"/>
  <c r="V578" i="32" s="1"/>
  <c r="L578" i="32" s="1"/>
  <c r="T578" i="32" a="1"/>
  <c r="T578" i="32" s="1"/>
  <c r="S578" i="32" a="1"/>
  <c r="S578" i="32" s="1"/>
  <c r="E578" i="32" s="1"/>
  <c r="R578" i="32" a="1"/>
  <c r="R578" i="32" s="1"/>
  <c r="D578" i="32" s="1"/>
  <c r="S324" i="32" a="1"/>
  <c r="S324" i="32" s="1"/>
  <c r="E324" i="32" s="1"/>
  <c r="R324" i="32" a="1"/>
  <c r="R324" i="32" s="1"/>
  <c r="D324" i="32" s="1"/>
  <c r="V386" i="32" a="1"/>
  <c r="V386" i="32" s="1"/>
  <c r="L386" i="32" s="1"/>
  <c r="T386" i="32" a="1"/>
  <c r="T386" i="32" s="1"/>
  <c r="S386" i="32" a="1"/>
  <c r="S386" i="32" s="1"/>
  <c r="E386" i="32" s="1"/>
  <c r="R386" i="32" a="1"/>
  <c r="R386" i="32" s="1"/>
  <c r="D386" i="32" s="1"/>
  <c r="V560" i="32" a="1"/>
  <c r="V560" i="32" s="1"/>
  <c r="L560" i="32" s="1"/>
  <c r="T560" i="32" a="1"/>
  <c r="T560" i="32" s="1"/>
  <c r="S560" i="32" a="1"/>
  <c r="S560" i="32" s="1"/>
  <c r="E560" i="32" s="1"/>
  <c r="R560" i="32" a="1"/>
  <c r="R560" i="32" s="1"/>
  <c r="D560" i="32" s="1"/>
  <c r="V590" i="32" a="1"/>
  <c r="V590" i="32" s="1"/>
  <c r="L590" i="32" s="1"/>
  <c r="T590" i="32" a="1"/>
  <c r="T590" i="32" s="1"/>
  <c r="R590" i="32" a="1"/>
  <c r="R590" i="32" s="1"/>
  <c r="D590" i="32" s="1"/>
  <c r="S590" i="32" a="1"/>
  <c r="S590" i="32" s="1"/>
  <c r="E590" i="32" s="1"/>
  <c r="V362" i="32" a="1"/>
  <c r="V362" i="32" s="1"/>
  <c r="L362" i="32" s="1"/>
  <c r="T362" i="32" a="1"/>
  <c r="T362" i="32" s="1"/>
  <c r="S362" i="32" a="1"/>
  <c r="S362" i="32" s="1"/>
  <c r="E362" i="32" s="1"/>
  <c r="R362" i="32" a="1"/>
  <c r="R362" i="32" s="1"/>
  <c r="D362" i="32" s="1"/>
  <c r="V436" i="32" a="1"/>
  <c r="V436" i="32" s="1"/>
  <c r="L436" i="32" s="1"/>
  <c r="T436" i="32" a="1"/>
  <c r="T436" i="32" s="1"/>
  <c r="S436" i="32" a="1"/>
  <c r="S436" i="32" s="1"/>
  <c r="E436" i="32" s="1"/>
  <c r="R436" i="32" a="1"/>
  <c r="R436" i="32" s="1"/>
  <c r="D436" i="32" s="1"/>
  <c r="V566" i="32" a="1"/>
  <c r="V566" i="32" s="1"/>
  <c r="L566" i="32" s="1"/>
  <c r="T566" i="32" a="1"/>
  <c r="T566" i="32" s="1"/>
  <c r="R566" i="32" a="1"/>
  <c r="R566" i="32" s="1"/>
  <c r="D566" i="32" s="1"/>
  <c r="S566" i="32" a="1"/>
  <c r="S566" i="32" s="1"/>
  <c r="E566" i="32" s="1"/>
  <c r="V496" i="32" a="1"/>
  <c r="V496" i="32" s="1"/>
  <c r="L496" i="32" s="1"/>
  <c r="T496" i="32" a="1"/>
  <c r="T496" i="32" s="1"/>
  <c r="S496" i="32" a="1"/>
  <c r="S496" i="32" s="1"/>
  <c r="E496" i="32" s="1"/>
  <c r="R496" i="32" a="1"/>
  <c r="R496" i="32" s="1"/>
  <c r="D496" i="32" s="1"/>
  <c r="V366" i="32" a="1"/>
  <c r="V366" i="32" s="1"/>
  <c r="L366" i="32" s="1"/>
  <c r="T366" i="32" a="1"/>
  <c r="T366" i="32" s="1"/>
  <c r="R366" i="32" a="1"/>
  <c r="R366" i="32" s="1"/>
  <c r="D366" i="32" s="1"/>
  <c r="S366" i="32" a="1"/>
  <c r="S366" i="32" s="1"/>
  <c r="E366" i="32" s="1"/>
  <c r="V558" i="32" a="1"/>
  <c r="V558" i="32" s="1"/>
  <c r="L558" i="32" s="1"/>
  <c r="T558" i="32" a="1"/>
  <c r="T558" i="32" s="1"/>
  <c r="R558" i="32" a="1"/>
  <c r="R558" i="32" s="1"/>
  <c r="D558" i="32" s="1"/>
  <c r="S558" i="32" a="1"/>
  <c r="S558" i="32" s="1"/>
  <c r="E558" i="32" s="1"/>
  <c r="V456" i="32" a="1"/>
  <c r="V456" i="32" s="1"/>
  <c r="L456" i="32" s="1"/>
  <c r="T456" i="32" a="1"/>
  <c r="T456" i="32" s="1"/>
  <c r="S456" i="32" a="1"/>
  <c r="S456" i="32" s="1"/>
  <c r="E456" i="32" s="1"/>
  <c r="R456" i="32" a="1"/>
  <c r="R456" i="32" s="1"/>
  <c r="D456" i="32" s="1"/>
  <c r="V614" i="32" a="1"/>
  <c r="V614" i="32" s="1"/>
  <c r="L614" i="32" s="1"/>
  <c r="T614" i="32" a="1"/>
  <c r="T614" i="32" s="1"/>
  <c r="S614" i="32" a="1"/>
  <c r="S614" i="32" s="1"/>
  <c r="E614" i="32" s="1"/>
  <c r="R614" i="32" a="1"/>
  <c r="R614" i="32" s="1"/>
  <c r="D614" i="32" s="1"/>
  <c r="V384" i="32" a="1"/>
  <c r="V384" i="32" s="1"/>
  <c r="L384" i="32" s="1"/>
  <c r="T384" i="32" a="1"/>
  <c r="T384" i="32" s="1"/>
  <c r="S384" i="32" a="1"/>
  <c r="S384" i="32" s="1"/>
  <c r="E384" i="32" s="1"/>
  <c r="R384" i="32" a="1"/>
  <c r="R384" i="32" s="1"/>
  <c r="D384" i="32" s="1"/>
  <c r="V580" i="32" a="1"/>
  <c r="V580" i="32" s="1"/>
  <c r="L580" i="32" s="1"/>
  <c r="T580" i="32" a="1"/>
  <c r="T580" i="32" s="1"/>
  <c r="S580" i="32" a="1"/>
  <c r="S580" i="32" s="1"/>
  <c r="E580" i="32" s="1"/>
  <c r="R580" i="32" a="1"/>
  <c r="R580" i="32" s="1"/>
  <c r="D580" i="32" s="1"/>
  <c r="V370" i="32" a="1"/>
  <c r="V370" i="32" s="1"/>
  <c r="L370" i="32" s="1"/>
  <c r="T370" i="32" a="1"/>
  <c r="T370" i="32" s="1"/>
  <c r="S370" i="32" a="1"/>
  <c r="S370" i="32" s="1"/>
  <c r="E370" i="32" s="1"/>
  <c r="R370" i="32" a="1"/>
  <c r="R370" i="32" s="1"/>
  <c r="D370" i="32" s="1"/>
  <c r="V380" i="32" a="1"/>
  <c r="V380" i="32" s="1"/>
  <c r="L380" i="32" s="1"/>
  <c r="T380" i="32" a="1"/>
  <c r="T380" i="32" s="1"/>
  <c r="S380" i="32" a="1"/>
  <c r="S380" i="32" s="1"/>
  <c r="E380" i="32" s="1"/>
  <c r="R380" i="32" a="1"/>
  <c r="R380" i="32" s="1"/>
  <c r="D380" i="32" s="1"/>
  <c r="V570" i="32" a="1"/>
  <c r="V570" i="32" s="1"/>
  <c r="L570" i="32" s="1"/>
  <c r="T570" i="32" a="1"/>
  <c r="T570" i="32" s="1"/>
  <c r="S570" i="32" a="1"/>
  <c r="S570" i="32" s="1"/>
  <c r="E570" i="32" s="1"/>
  <c r="R570" i="32" a="1"/>
  <c r="R570" i="32" s="1"/>
  <c r="D570" i="32" s="1"/>
  <c r="V510" i="32" a="1"/>
  <c r="V510" i="32" s="1"/>
  <c r="L510" i="32" s="1"/>
  <c r="T510" i="32" a="1"/>
  <c r="T510" i="32" s="1"/>
  <c r="R510" i="32" a="1"/>
  <c r="R510" i="32" s="1"/>
  <c r="D510" i="32" s="1"/>
  <c r="S510" i="32" a="1"/>
  <c r="S510" i="32" s="1"/>
  <c r="E510" i="32" s="1"/>
  <c r="V454" i="32" a="1"/>
  <c r="V454" i="32" s="1"/>
  <c r="L454" i="32" s="1"/>
  <c r="T454" i="32" a="1"/>
  <c r="T454" i="32" s="1"/>
  <c r="R454" i="32" a="1"/>
  <c r="R454" i="32" s="1"/>
  <c r="D454" i="32" s="1"/>
  <c r="S454" i="32" a="1"/>
  <c r="S454" i="32" s="1"/>
  <c r="E454" i="32" s="1"/>
  <c r="V376" i="32" a="1"/>
  <c r="V376" i="32" s="1"/>
  <c r="L376" i="32" s="1"/>
  <c r="T376" i="32" a="1"/>
  <c r="T376" i="32" s="1"/>
  <c r="S376" i="32" a="1"/>
  <c r="S376" i="32" s="1"/>
  <c r="E376" i="32" s="1"/>
  <c r="R376" i="32" a="1"/>
  <c r="R376" i="32" s="1"/>
  <c r="D376" i="32" s="1"/>
  <c r="V470" i="32" a="1"/>
  <c r="V470" i="32" s="1"/>
  <c r="L470" i="32" s="1"/>
  <c r="T470" i="32" a="1"/>
  <c r="T470" i="32" s="1"/>
  <c r="R470" i="32" a="1"/>
  <c r="R470" i="32" s="1"/>
  <c r="D470" i="32" s="1"/>
  <c r="S470" i="32" a="1"/>
  <c r="S470" i="32" s="1"/>
  <c r="E470" i="32" s="1"/>
  <c r="V564" i="32" a="1"/>
  <c r="V564" i="32" s="1"/>
  <c r="L564" i="32" s="1"/>
  <c r="T564" i="32" a="1"/>
  <c r="T564" i="32" s="1"/>
  <c r="S564" i="32" a="1"/>
  <c r="S564" i="32" s="1"/>
  <c r="E564" i="32" s="1"/>
  <c r="R564" i="32" a="1"/>
  <c r="R564" i="32" s="1"/>
  <c r="D564" i="32" s="1"/>
  <c r="V594" i="32" a="1"/>
  <c r="V594" i="32" s="1"/>
  <c r="L594" i="32" s="1"/>
  <c r="T594" i="32" a="1"/>
  <c r="T594" i="32" s="1"/>
  <c r="S594" i="32" a="1"/>
  <c r="S594" i="32" s="1"/>
  <c r="E594" i="32" s="1"/>
  <c r="R594" i="32" a="1"/>
  <c r="R594" i="32" s="1"/>
  <c r="D594" i="32" s="1"/>
  <c r="V448" i="32" a="1"/>
  <c r="V448" i="32" s="1"/>
  <c r="L448" i="32" s="1"/>
  <c r="T448" i="32" a="1"/>
  <c r="T448" i="32" s="1"/>
  <c r="S448" i="32" a="1"/>
  <c r="S448" i="32" s="1"/>
  <c r="E448" i="32" s="1"/>
  <c r="R448" i="32" a="1"/>
  <c r="R448" i="32" s="1"/>
  <c r="D448" i="32" s="1"/>
  <c r="V464" i="32" a="1"/>
  <c r="V464" i="32" s="1"/>
  <c r="L464" i="32" s="1"/>
  <c r="T464" i="32" a="1"/>
  <c r="T464" i="32" s="1"/>
  <c r="S464" i="32" a="1"/>
  <c r="S464" i="32" s="1"/>
  <c r="E464" i="32" s="1"/>
  <c r="R464" i="32" a="1"/>
  <c r="R464" i="32" s="1"/>
  <c r="D464" i="32" s="1"/>
  <c r="V342" i="32" a="1"/>
  <c r="V342" i="32" s="1"/>
  <c r="L342" i="32" s="1"/>
  <c r="T342" i="32" a="1"/>
  <c r="T342" i="32" s="1"/>
  <c r="R342" i="32" a="1"/>
  <c r="R342" i="32" s="1"/>
  <c r="D342" i="32" s="1"/>
  <c r="S342" i="32" a="1"/>
  <c r="S342" i="32" s="1"/>
  <c r="E342" i="32" s="1"/>
  <c r="V498" i="32" a="1"/>
  <c r="V498" i="32" s="1"/>
  <c r="L498" i="32" s="1"/>
  <c r="T498" i="32" a="1"/>
  <c r="T498" i="32" s="1"/>
  <c r="S498" i="32" a="1"/>
  <c r="S498" i="32" s="1"/>
  <c r="E498" i="32" s="1"/>
  <c r="R498" i="32" a="1"/>
  <c r="R498" i="32" s="1"/>
  <c r="D498" i="32" s="1"/>
  <c r="V438" i="32" a="1"/>
  <c r="V438" i="32" s="1"/>
  <c r="L438" i="32" s="1"/>
  <c r="T438" i="32" a="1"/>
  <c r="T438" i="32" s="1"/>
  <c r="R438" i="32" a="1"/>
  <c r="R438" i="32" s="1"/>
  <c r="D438" i="32" s="1"/>
  <c r="S438" i="32" a="1"/>
  <c r="S438" i="32" s="1"/>
  <c r="E438" i="32" s="1"/>
  <c r="V430" i="32" a="1"/>
  <c r="V430" i="32" s="1"/>
  <c r="L430" i="32" s="1"/>
  <c r="T430" i="32" a="1"/>
  <c r="T430" i="32" s="1"/>
  <c r="R430" i="32" a="1"/>
  <c r="R430" i="32" s="1"/>
  <c r="D430" i="32" s="1"/>
  <c r="S430" i="32" a="1"/>
  <c r="S430" i="32" s="1"/>
  <c r="E430" i="32" s="1"/>
  <c r="V468" i="32" a="1"/>
  <c r="V468" i="32" s="1"/>
  <c r="L468" i="32" s="1"/>
  <c r="T468" i="32" a="1"/>
  <c r="T468" i="32" s="1"/>
  <c r="S468" i="32" a="1"/>
  <c r="S468" i="32" s="1"/>
  <c r="E468" i="32" s="1"/>
  <c r="R468" i="32" a="1"/>
  <c r="R468" i="32" s="1"/>
  <c r="D468" i="32" s="1"/>
  <c r="V586" i="32" a="1"/>
  <c r="V586" i="32" s="1"/>
  <c r="L586" i="32" s="1"/>
  <c r="T586" i="32" a="1"/>
  <c r="T586" i="32" s="1"/>
  <c r="S586" i="32" a="1"/>
  <c r="S586" i="32" s="1"/>
  <c r="E586" i="32" s="1"/>
  <c r="R586" i="32" a="1"/>
  <c r="R586" i="32" s="1"/>
  <c r="D586" i="32" s="1"/>
  <c r="V508" i="32" a="1"/>
  <c r="V508" i="32" s="1"/>
  <c r="L508" i="32" s="1"/>
  <c r="T508" i="32" a="1"/>
  <c r="T508" i="32" s="1"/>
  <c r="S508" i="32" a="1"/>
  <c r="S508" i="32" s="1"/>
  <c r="E508" i="32" s="1"/>
  <c r="R508" i="32" a="1"/>
  <c r="R508" i="32" s="1"/>
  <c r="D508" i="32" s="1"/>
  <c r="V374" i="32" a="1"/>
  <c r="V374" i="32" s="1"/>
  <c r="L374" i="32" s="1"/>
  <c r="T374" i="32" a="1"/>
  <c r="T374" i="32" s="1"/>
  <c r="R374" i="32" a="1"/>
  <c r="R374" i="32" s="1"/>
  <c r="D374" i="32" s="1"/>
  <c r="S374" i="32" a="1"/>
  <c r="S374" i="32" s="1"/>
  <c r="E374" i="32" s="1"/>
  <c r="V394" i="32" a="1"/>
  <c r="V394" i="32" s="1"/>
  <c r="L394" i="32" s="1"/>
  <c r="T394" i="32" a="1"/>
  <c r="T394" i="32" s="1"/>
  <c r="S394" i="32" a="1"/>
  <c r="S394" i="32" s="1"/>
  <c r="E394" i="32" s="1"/>
  <c r="R394" i="32" a="1"/>
  <c r="R394" i="32" s="1"/>
  <c r="D394" i="32" s="1"/>
  <c r="V458" i="32" a="1"/>
  <c r="V458" i="32" s="1"/>
  <c r="L458" i="32" s="1"/>
  <c r="T458" i="32" a="1"/>
  <c r="T458" i="32" s="1"/>
  <c r="S458" i="32" a="1"/>
  <c r="S458" i="32" s="1"/>
  <c r="E458" i="32" s="1"/>
  <c r="R458" i="32" a="1"/>
  <c r="R458" i="32" s="1"/>
  <c r="D458" i="32" s="1"/>
  <c r="V568" i="32" a="1"/>
  <c r="V568" i="32" s="1"/>
  <c r="L568" i="32" s="1"/>
  <c r="T568" i="32" a="1"/>
  <c r="T568" i="32" s="1"/>
  <c r="S568" i="32" a="1"/>
  <c r="S568" i="32" s="1"/>
  <c r="E568" i="32" s="1"/>
  <c r="R568" i="32" a="1"/>
  <c r="R568" i="32" s="1"/>
  <c r="D568" i="32" s="1"/>
  <c r="V576" i="32" a="1"/>
  <c r="V576" i="32" s="1"/>
  <c r="L576" i="32" s="1"/>
  <c r="T576" i="32" a="1"/>
  <c r="T576" i="32" s="1"/>
  <c r="S576" i="32" a="1"/>
  <c r="S576" i="32" s="1"/>
  <c r="E576" i="32" s="1"/>
  <c r="R576" i="32" a="1"/>
  <c r="R576" i="32" s="1"/>
  <c r="D576" i="32" s="1"/>
  <c r="V502" i="32" a="1"/>
  <c r="V502" i="32" s="1"/>
  <c r="L502" i="32" s="1"/>
  <c r="T502" i="32" a="1"/>
  <c r="T502" i="32" s="1"/>
  <c r="R502" i="32" a="1"/>
  <c r="R502" i="32" s="1"/>
  <c r="D502" i="32" s="1"/>
  <c r="S502" i="32" a="1"/>
  <c r="S502" i="32" s="1"/>
  <c r="E502" i="32" s="1"/>
  <c r="V368" i="32" a="1"/>
  <c r="V368" i="32" s="1"/>
  <c r="L368" i="32" s="1"/>
  <c r="T368" i="32" a="1"/>
  <c r="T368" i="32" s="1"/>
  <c r="S368" i="32" a="1"/>
  <c r="S368" i="32" s="1"/>
  <c r="E368" i="32" s="1"/>
  <c r="R368" i="32" a="1"/>
  <c r="R368" i="32" s="1"/>
  <c r="D368" i="32" s="1"/>
  <c r="V452" i="32" a="1"/>
  <c r="V452" i="32" s="1"/>
  <c r="L452" i="32" s="1"/>
  <c r="T452" i="32" a="1"/>
  <c r="T452" i="32" s="1"/>
  <c r="S452" i="32" a="1"/>
  <c r="S452" i="32" s="1"/>
  <c r="E452" i="32" s="1"/>
  <c r="R452" i="32" a="1"/>
  <c r="R452" i="32" s="1"/>
  <c r="D452" i="32" s="1"/>
  <c r="V504" i="32" a="1"/>
  <c r="V504" i="32" s="1"/>
  <c r="L504" i="32" s="1"/>
  <c r="T504" i="32" a="1"/>
  <c r="T504" i="32" s="1"/>
  <c r="S504" i="32" a="1"/>
  <c r="S504" i="32" s="1"/>
  <c r="E504" i="32" s="1"/>
  <c r="R504" i="32" a="1"/>
  <c r="R504" i="32" s="1"/>
  <c r="D504" i="32" s="1"/>
  <c r="V474" i="32" a="1"/>
  <c r="V474" i="32" s="1"/>
  <c r="L474" i="32" s="1"/>
  <c r="T474" i="32" a="1"/>
  <c r="T474" i="32" s="1"/>
  <c r="S474" i="32" a="1"/>
  <c r="S474" i="32" s="1"/>
  <c r="E474" i="32" s="1"/>
  <c r="R474" i="32" a="1"/>
  <c r="R474" i="32" s="1"/>
  <c r="D474" i="32" s="1"/>
  <c r="V592" i="32" a="1"/>
  <c r="V592" i="32" s="1"/>
  <c r="L592" i="32" s="1"/>
  <c r="T592" i="32" a="1"/>
  <c r="T592" i="32" s="1"/>
  <c r="S592" i="32" a="1"/>
  <c r="S592" i="32" s="1"/>
  <c r="E592" i="32" s="1"/>
  <c r="R592" i="32" a="1"/>
  <c r="R592" i="32" s="1"/>
  <c r="D592" i="32" s="1"/>
  <c r="V572" i="32" a="1"/>
  <c r="V572" i="32" s="1"/>
  <c r="L572" i="32" s="1"/>
  <c r="T572" i="32" a="1"/>
  <c r="T572" i="32" s="1"/>
  <c r="S572" i="32" a="1"/>
  <c r="S572" i="32" s="1"/>
  <c r="E572" i="32" s="1"/>
  <c r="R572" i="32" a="1"/>
  <c r="R572" i="32" s="1"/>
  <c r="D572" i="32" s="1"/>
  <c r="V582" i="32" a="1"/>
  <c r="V582" i="32" s="1"/>
  <c r="L582" i="32" s="1"/>
  <c r="T582" i="32" a="1"/>
  <c r="T582" i="32" s="1"/>
  <c r="R582" i="32" a="1"/>
  <c r="R582" i="32" s="1"/>
  <c r="D582" i="32" s="1"/>
  <c r="S582" i="32" a="1"/>
  <c r="S582" i="32" s="1"/>
  <c r="E582" i="32" s="1"/>
  <c r="V372" i="32" a="1"/>
  <c r="V372" i="32" s="1"/>
  <c r="L372" i="32" s="1"/>
  <c r="T372" i="32" a="1"/>
  <c r="T372" i="32" s="1"/>
  <c r="S372" i="32" a="1"/>
  <c r="S372" i="32" s="1"/>
  <c r="E372" i="32" s="1"/>
  <c r="R372" i="32" a="1"/>
  <c r="R372" i="32" s="1"/>
  <c r="D372" i="32" s="1"/>
  <c r="V440" i="32" a="1"/>
  <c r="V440" i="32" s="1"/>
  <c r="L440" i="32" s="1"/>
  <c r="T440" i="32" a="1"/>
  <c r="T440" i="32" s="1"/>
  <c r="S440" i="32" a="1"/>
  <c r="S440" i="32" s="1"/>
  <c r="E440" i="32" s="1"/>
  <c r="R440" i="32" a="1"/>
  <c r="R440" i="32" s="1"/>
  <c r="D440" i="32" s="1"/>
  <c r="V472" i="32" a="1"/>
  <c r="V472" i="32" s="1"/>
  <c r="L472" i="32" s="1"/>
  <c r="T472" i="32" a="1"/>
  <c r="T472" i="32" s="1"/>
  <c r="S472" i="32" a="1"/>
  <c r="S472" i="32" s="1"/>
  <c r="E472" i="32" s="1"/>
  <c r="R472" i="32" a="1"/>
  <c r="R472" i="32" s="1"/>
  <c r="D472" i="32" s="1"/>
  <c r="V588" i="32" a="1"/>
  <c r="V588" i="32" s="1"/>
  <c r="L588" i="32" s="1"/>
  <c r="T588" i="32" a="1"/>
  <c r="T588" i="32" s="1"/>
  <c r="S588" i="32" a="1"/>
  <c r="S588" i="32" s="1"/>
  <c r="E588" i="32" s="1"/>
  <c r="R588" i="32" a="1"/>
  <c r="R588" i="32" s="1"/>
  <c r="D588" i="32" s="1"/>
  <c r="V506" i="32" a="1"/>
  <c r="V506" i="32" s="1"/>
  <c r="L506" i="32" s="1"/>
  <c r="T506" i="32" a="1"/>
  <c r="T506" i="32" s="1"/>
  <c r="S506" i="32" a="1"/>
  <c r="S506" i="32" s="1"/>
  <c r="E506" i="32" s="1"/>
  <c r="R506" i="32" a="1"/>
  <c r="R506" i="32" s="1"/>
  <c r="D506" i="32" s="1"/>
  <c r="V382" i="32" a="1"/>
  <c r="V382" i="32" s="1"/>
  <c r="L382" i="32" s="1"/>
  <c r="T382" i="32" a="1"/>
  <c r="T382" i="32" s="1"/>
  <c r="R382" i="32" a="1"/>
  <c r="R382" i="32" s="1"/>
  <c r="D382" i="32" s="1"/>
  <c r="S382" i="32" a="1"/>
  <c r="S382" i="32" s="1"/>
  <c r="E382" i="32" s="1"/>
  <c r="V426" i="32" a="1"/>
  <c r="V426" i="32" s="1"/>
  <c r="L426" i="32" s="1"/>
  <c r="T426" i="32" a="1"/>
  <c r="T426" i="32" s="1"/>
  <c r="S426" i="32" a="1"/>
  <c r="S426" i="32" s="1"/>
  <c r="E426" i="32" s="1"/>
  <c r="R426" i="32" a="1"/>
  <c r="R426" i="32" s="1"/>
  <c r="D426" i="32" s="1"/>
  <c r="V562" i="32" a="1"/>
  <c r="V562" i="32" s="1"/>
  <c r="L562" i="32" s="1"/>
  <c r="T562" i="32" a="1"/>
  <c r="T562" i="32" s="1"/>
  <c r="S562" i="32" a="1"/>
  <c r="S562" i="32" s="1"/>
  <c r="E562" i="32" s="1"/>
  <c r="R562" i="32" a="1"/>
  <c r="R562" i="32" s="1"/>
  <c r="D562" i="32" s="1"/>
  <c r="V444" i="32" a="1"/>
  <c r="V444" i="32" s="1"/>
  <c r="L444" i="32" s="1"/>
  <c r="T444" i="32" a="1"/>
  <c r="T444" i="32" s="1"/>
  <c r="S444" i="32" a="1"/>
  <c r="S444" i="32" s="1"/>
  <c r="E444" i="32" s="1"/>
  <c r="R444" i="32" a="1"/>
  <c r="R444" i="32" s="1"/>
  <c r="D444" i="32" s="1"/>
  <c r="V424" i="32" a="1"/>
  <c r="V424" i="32" s="1"/>
  <c r="L424" i="32" s="1"/>
  <c r="T424" i="32" a="1"/>
  <c r="T424" i="32" s="1"/>
  <c r="S424" i="32" a="1"/>
  <c r="S424" i="32" s="1"/>
  <c r="E424" i="32" s="1"/>
  <c r="R424" i="32" a="1"/>
  <c r="R424" i="32" s="1"/>
  <c r="D424" i="32" s="1"/>
  <c r="V574" i="32" a="1"/>
  <c r="V574" i="32" s="1"/>
  <c r="L574" i="32" s="1"/>
  <c r="T574" i="32" a="1"/>
  <c r="T574" i="32" s="1"/>
  <c r="R574" i="32" a="1"/>
  <c r="R574" i="32" s="1"/>
  <c r="D574" i="32" s="1"/>
  <c r="S574" i="32" a="1"/>
  <c r="S574" i="32" s="1"/>
  <c r="E574" i="32" s="1"/>
  <c r="T354" i="32" a="1"/>
  <c r="T354" i="32" s="1"/>
  <c r="V512" i="32" a="1"/>
  <c r="V512" i="32" s="1"/>
  <c r="L512" i="32" s="1"/>
  <c r="T512" i="32" a="1"/>
  <c r="T512" i="32" s="1"/>
  <c r="S512" i="32" a="1"/>
  <c r="S512" i="32" s="1"/>
  <c r="E512" i="32" s="1"/>
  <c r="R512" i="32" a="1"/>
  <c r="R512" i="32" s="1"/>
  <c r="D512" i="32" s="1"/>
  <c r="V450" i="32" a="1"/>
  <c r="V450" i="32" s="1"/>
  <c r="L450" i="32" s="1"/>
  <c r="T450" i="32" a="1"/>
  <c r="T450" i="32" s="1"/>
  <c r="S450" i="32" a="1"/>
  <c r="S450" i="32" s="1"/>
  <c r="E450" i="32" s="1"/>
  <c r="R450" i="32" a="1"/>
  <c r="R450" i="32" s="1"/>
  <c r="D450" i="32" s="1"/>
  <c r="V422" i="32" a="1"/>
  <c r="V422" i="32" s="1"/>
  <c r="L422" i="32" s="1"/>
  <c r="T422" i="32" a="1"/>
  <c r="T422" i="32" s="1"/>
  <c r="R422" i="32" a="1"/>
  <c r="R422" i="32" s="1"/>
  <c r="D422" i="32" s="1"/>
  <c r="S422" i="32" a="1"/>
  <c r="S422" i="32" s="1"/>
  <c r="E422" i="32" s="1"/>
  <c r="V460" i="32" a="1"/>
  <c r="V460" i="32" s="1"/>
  <c r="L460" i="32" s="1"/>
  <c r="T460" i="32" a="1"/>
  <c r="T460" i="32" s="1"/>
  <c r="S460" i="32" a="1"/>
  <c r="S460" i="32" s="1"/>
  <c r="E460" i="32" s="1"/>
  <c r="R460" i="32" a="1"/>
  <c r="R460" i="32" s="1"/>
  <c r="D460" i="32" s="1"/>
  <c r="V584" i="32" a="1"/>
  <c r="V584" i="32" s="1"/>
  <c r="L584" i="32" s="1"/>
  <c r="T584" i="32" a="1"/>
  <c r="T584" i="32" s="1"/>
  <c r="S584" i="32" a="1"/>
  <c r="S584" i="32" s="1"/>
  <c r="E584" i="32" s="1"/>
  <c r="R584" i="32" a="1"/>
  <c r="R584" i="32" s="1"/>
  <c r="D584" i="32" s="1"/>
  <c r="V500" i="32" a="1"/>
  <c r="V500" i="32" s="1"/>
  <c r="L500" i="32" s="1"/>
  <c r="T500" i="32" a="1"/>
  <c r="T500" i="32" s="1"/>
  <c r="S500" i="32" a="1"/>
  <c r="S500" i="32" s="1"/>
  <c r="E500" i="32" s="1"/>
  <c r="R500" i="32" a="1"/>
  <c r="R500" i="32" s="1"/>
  <c r="D500" i="32" s="1"/>
  <c r="Q406" i="32"/>
  <c r="Q410" i="32"/>
  <c r="Q412" i="32"/>
  <c r="Q400" i="32"/>
  <c r="Q402" i="32"/>
  <c r="Q414" i="32"/>
  <c r="Q408" i="32"/>
  <c r="Q398" i="32"/>
  <c r="Q396" i="32"/>
  <c r="Q404" i="32"/>
  <c r="BE70" i="34"/>
  <c r="BF70" i="34"/>
  <c r="BF69" i="34"/>
  <c r="BE69" i="34"/>
  <c r="K322" i="32"/>
  <c r="K316" i="32"/>
  <c r="AO71" i="34"/>
  <c r="AP71" i="34" s="1"/>
  <c r="AT71" i="34"/>
  <c r="AR70" i="34"/>
  <c r="AQ70" i="34"/>
  <c r="AR69" i="34"/>
  <c r="AQ69" i="34"/>
  <c r="Q548" i="32"/>
  <c r="Q540" i="32"/>
  <c r="Q552" i="32"/>
  <c r="Q536" i="32"/>
  <c r="Q544" i="32"/>
  <c r="Q538" i="32"/>
  <c r="Q546" i="32"/>
  <c r="Q554" i="32"/>
  <c r="Q550" i="32"/>
  <c r="Q542" i="32"/>
  <c r="U985" i="32"/>
  <c r="AG29" i="31"/>
  <c r="Q518" i="32"/>
  <c r="Q530" i="32"/>
  <c r="Q522" i="32"/>
  <c r="Q528" i="32"/>
  <c r="Q520" i="32"/>
  <c r="Q532" i="32"/>
  <c r="Q534" i="32"/>
  <c r="Q524" i="32"/>
  <c r="Q526" i="32"/>
  <c r="Q516" i="32"/>
  <c r="K1548" i="27"/>
  <c r="I715" i="27"/>
  <c r="G981" i="32"/>
  <c r="K676" i="27"/>
  <c r="D4287" i="27"/>
  <c r="X25" i="31"/>
  <c r="M721" i="27"/>
  <c r="K700" i="27"/>
  <c r="J1548" i="27"/>
  <c r="L4287" i="27"/>
  <c r="K4286" i="27"/>
  <c r="A985" i="32"/>
  <c r="L1548" i="27"/>
  <c r="G1645" i="27"/>
  <c r="M916" i="27"/>
  <c r="T25" i="31"/>
  <c r="I712" i="27"/>
  <c r="K701" i="27"/>
  <c r="I714" i="27"/>
  <c r="P25" i="31"/>
  <c r="K702" i="27"/>
  <c r="G1642" i="27"/>
  <c r="K703" i="27"/>
  <c r="L25" i="31"/>
  <c r="P4285" i="27"/>
  <c r="G1644" i="27"/>
  <c r="K271" i="27"/>
  <c r="I1548" i="27"/>
  <c r="K4285" i="27"/>
  <c r="G1643" i="27"/>
  <c r="P4286" i="27"/>
  <c r="I713" i="27"/>
  <c r="S390" i="32" l="1" a="1"/>
  <c r="S390" i="32" s="1"/>
  <c r="E390" i="32" s="1"/>
  <c r="R428" i="32" a="1"/>
  <c r="R428" i="32" s="1"/>
  <c r="D428" i="32" s="1"/>
  <c r="R358" i="32" a="1"/>
  <c r="R358" i="32" s="1"/>
  <c r="D358" i="32" s="1"/>
  <c r="R390" i="32" a="1"/>
  <c r="R390" i="32" s="1"/>
  <c r="D390" i="32" s="1"/>
  <c r="S428" i="32" a="1"/>
  <c r="S428" i="32" s="1"/>
  <c r="E428" i="32" s="1"/>
  <c r="T358" i="32" a="1"/>
  <c r="T358" i="32" s="1"/>
  <c r="T390" i="32" a="1"/>
  <c r="T390" i="32" s="1"/>
  <c r="T428" i="32" a="1"/>
  <c r="T428" i="32" s="1"/>
  <c r="S358" i="32" a="1"/>
  <c r="S358" i="32" s="1"/>
  <c r="E358" i="32" s="1"/>
  <c r="S336" i="32" a="1"/>
  <c r="S336" i="32" s="1"/>
  <c r="E336" i="32" s="1"/>
  <c r="T378" i="32" a="1"/>
  <c r="T378" i="32" s="1"/>
  <c r="T416" i="32" a="1"/>
  <c r="T416" i="32" s="1"/>
  <c r="R360" i="32" a="1"/>
  <c r="R360" i="32" s="1"/>
  <c r="D360" i="32" s="1"/>
  <c r="V378" i="32" a="1"/>
  <c r="V378" i="32" s="1"/>
  <c r="L378" i="32" s="1"/>
  <c r="R416" i="32" a="1"/>
  <c r="R416" i="32" s="1"/>
  <c r="D416" i="32" s="1"/>
  <c r="R418" i="32" a="1"/>
  <c r="R418" i="32" s="1"/>
  <c r="D418" i="32" s="1"/>
  <c r="S416" i="32" a="1"/>
  <c r="S416" i="32" s="1"/>
  <c r="E416" i="32" s="1"/>
  <c r="S418" i="32" a="1"/>
  <c r="S418" i="32" s="1"/>
  <c r="E418" i="32" s="1"/>
  <c r="T418" i="32" a="1"/>
  <c r="T418" i="32" s="1"/>
  <c r="T352" i="32" a="1"/>
  <c r="T352" i="32" s="1"/>
  <c r="S360" i="32" a="1"/>
  <c r="S360" i="32" s="1"/>
  <c r="E360" i="32" s="1"/>
  <c r="T360" i="32" a="1"/>
  <c r="T360" i="32" s="1"/>
  <c r="R378" i="32" a="1"/>
  <c r="R378" i="32" s="1"/>
  <c r="D378" i="32" s="1"/>
  <c r="V356" i="32" a="1"/>
  <c r="V356" i="32" s="1"/>
  <c r="L356" i="32" s="1"/>
  <c r="V432" i="32" a="1"/>
  <c r="V432" i="32" s="1"/>
  <c r="L432" i="32" s="1"/>
  <c r="T356" i="32" a="1"/>
  <c r="T356" i="32" s="1"/>
  <c r="T432" i="32" a="1"/>
  <c r="T432" i="32" s="1"/>
  <c r="R392" i="32" a="1"/>
  <c r="R392" i="32" s="1"/>
  <c r="D392" i="32" s="1"/>
  <c r="R420" i="32" a="1"/>
  <c r="R420" i="32" s="1"/>
  <c r="D420" i="32" s="1"/>
  <c r="S392" i="32" a="1"/>
  <c r="S392" i="32" s="1"/>
  <c r="E392" i="32" s="1"/>
  <c r="S420" i="32" a="1"/>
  <c r="S420" i="32" s="1"/>
  <c r="E420" i="32" s="1"/>
  <c r="T392" i="32" a="1"/>
  <c r="T392" i="32" s="1"/>
  <c r="T420" i="32" a="1"/>
  <c r="T420" i="32" s="1"/>
  <c r="R356" i="32" a="1"/>
  <c r="R356" i="32" s="1"/>
  <c r="D356" i="32" s="1"/>
  <c r="R432" i="32" a="1"/>
  <c r="R432" i="32" s="1"/>
  <c r="D432" i="32" s="1"/>
  <c r="Q1103" i="32"/>
  <c r="P1105" i="32"/>
  <c r="S1101" i="32" a="1"/>
  <c r="S1101" i="32" s="1"/>
  <c r="E1101" i="32" s="1"/>
  <c r="V1101" i="32" a="1"/>
  <c r="V1101" i="32" s="1"/>
  <c r="L1101" i="32" s="1"/>
  <c r="T1101" i="32" a="1"/>
  <c r="T1101" i="32" s="1"/>
  <c r="R1101" i="32" a="1"/>
  <c r="R1101" i="32" s="1"/>
  <c r="D1101" i="32" s="1"/>
  <c r="A271" i="27"/>
  <c r="T271" i="27" s="1"/>
  <c r="A701" i="27"/>
  <c r="A702" i="27"/>
  <c r="A703" i="27"/>
  <c r="A700" i="27"/>
  <c r="A676" i="27"/>
  <c r="F5521" i="27"/>
  <c r="F5265" i="27"/>
  <c r="F5266" i="27" s="1"/>
  <c r="F5267" i="27" s="1"/>
  <c r="F5268" i="27" s="1"/>
  <c r="F5269" i="27" s="1"/>
  <c r="F5270" i="27" s="1"/>
  <c r="F5264" i="27"/>
  <c r="S318" i="32" a="1"/>
  <c r="S318" i="32" s="1"/>
  <c r="E318" i="32" s="1"/>
  <c r="R318" i="32" a="1"/>
  <c r="R318" i="32" s="1"/>
  <c r="D318" i="32" s="1"/>
  <c r="T318" i="32" a="1"/>
  <c r="T318" i="32" s="1"/>
  <c r="M1968" i="27" s="1"/>
  <c r="A1968" i="27" s="1"/>
  <c r="R354" i="32" a="1"/>
  <c r="R354" i="32" s="1"/>
  <c r="D354" i="32" s="1"/>
  <c r="V330" i="32" a="1"/>
  <c r="V330" i="32" s="1"/>
  <c r="L330" i="32" s="1"/>
  <c r="S354" i="32" a="1"/>
  <c r="S354" i="32" s="1"/>
  <c r="E354" i="32" s="1"/>
  <c r="R330" i="32" a="1"/>
  <c r="R330" i="32" s="1"/>
  <c r="D330" i="32" s="1"/>
  <c r="S330" i="32" a="1"/>
  <c r="S330" i="32" s="1"/>
  <c r="E330" i="32" s="1"/>
  <c r="K2251" i="27"/>
  <c r="K2252" i="27"/>
  <c r="K2227" i="27"/>
  <c r="K2228" i="27"/>
  <c r="K2264" i="27"/>
  <c r="K2263" i="27"/>
  <c r="K2269" i="27"/>
  <c r="K2270" i="27"/>
  <c r="K2241" i="27"/>
  <c r="K2242" i="27"/>
  <c r="K2229" i="27"/>
  <c r="K2230" i="27"/>
  <c r="K2266" i="27"/>
  <c r="K2265" i="27"/>
  <c r="K2267" i="27"/>
  <c r="K2268" i="27"/>
  <c r="K2248" i="27"/>
  <c r="K2247" i="27"/>
  <c r="K2243" i="27"/>
  <c r="K2244" i="27"/>
  <c r="K2254" i="27"/>
  <c r="K2253" i="27"/>
  <c r="K2139" i="27"/>
  <c r="K2140" i="27"/>
  <c r="K2236" i="27"/>
  <c r="K2235" i="27"/>
  <c r="K2258" i="27"/>
  <c r="K2257" i="27"/>
  <c r="K2234" i="27"/>
  <c r="K2233" i="27"/>
  <c r="K2238" i="27"/>
  <c r="K2237" i="27"/>
  <c r="K2206" i="27"/>
  <c r="K2205" i="27"/>
  <c r="K2250" i="27"/>
  <c r="K2249" i="27"/>
  <c r="K2259" i="27"/>
  <c r="K2260" i="27"/>
  <c r="K2203" i="27"/>
  <c r="K2204" i="27"/>
  <c r="K2240" i="27"/>
  <c r="K2239" i="27"/>
  <c r="K2162" i="27"/>
  <c r="K2161" i="27"/>
  <c r="K2245" i="27"/>
  <c r="K2246" i="27"/>
  <c r="K2232" i="27"/>
  <c r="K2231" i="27"/>
  <c r="K2136" i="27"/>
  <c r="K2135" i="27"/>
  <c r="K2149" i="27"/>
  <c r="K2150" i="27"/>
  <c r="K2261" i="27"/>
  <c r="K2262" i="27"/>
  <c r="K2256" i="27"/>
  <c r="K2255" i="27"/>
  <c r="A1548" i="27"/>
  <c r="H1550" i="27"/>
  <c r="R320" i="32" a="1"/>
  <c r="R320" i="32" s="1"/>
  <c r="D320" i="32" s="1"/>
  <c r="S320" i="32" a="1"/>
  <c r="S320" i="32" s="1"/>
  <c r="E320" i="32" s="1"/>
  <c r="T320" i="32" a="1"/>
  <c r="T320" i="32" s="1"/>
  <c r="M1969" i="27" s="1"/>
  <c r="A1969" i="27" s="1"/>
  <c r="R340" i="32" a="1"/>
  <c r="R340" i="32" s="1"/>
  <c r="D340" i="32" s="1"/>
  <c r="R322" i="32" a="1"/>
  <c r="R322" i="32" s="1"/>
  <c r="D322" i="32" s="1"/>
  <c r="V316" i="32" a="1"/>
  <c r="V316" i="32" s="1"/>
  <c r="L316" i="32" s="1"/>
  <c r="R348" i="32" a="1"/>
  <c r="R348" i="32" s="1"/>
  <c r="D348" i="32" s="1"/>
  <c r="R334" i="32" a="1"/>
  <c r="R334" i="32" s="1"/>
  <c r="D334" i="32" s="1"/>
  <c r="S348" i="32" a="1"/>
  <c r="S348" i="32" s="1"/>
  <c r="E348" i="32" s="1"/>
  <c r="V334" i="32" a="1"/>
  <c r="V334" i="32" s="1"/>
  <c r="L334" i="32" s="1"/>
  <c r="T348" i="32" a="1"/>
  <c r="T348" i="32" s="1"/>
  <c r="S340" i="32" a="1"/>
  <c r="S340" i="32" s="1"/>
  <c r="E340" i="32" s="1"/>
  <c r="S322" i="32" a="1"/>
  <c r="S322" i="32" s="1"/>
  <c r="E322" i="32" s="1"/>
  <c r="T340" i="32" a="1"/>
  <c r="T340" i="32" s="1"/>
  <c r="T322" i="32" a="1"/>
  <c r="T322" i="32" s="1"/>
  <c r="M1970" i="27" s="1"/>
  <c r="A1970" i="27" s="1"/>
  <c r="R338" i="32" a="1"/>
  <c r="R338" i="32" s="1"/>
  <c r="D338" i="32" s="1"/>
  <c r="S338" i="32" a="1"/>
  <c r="S338" i="32" s="1"/>
  <c r="E338" i="32" s="1"/>
  <c r="T338" i="32" a="1"/>
  <c r="T338" i="32" s="1"/>
  <c r="R316" i="32" a="1"/>
  <c r="R316" i="32" s="1"/>
  <c r="D316" i="32" s="1"/>
  <c r="S316" i="32" a="1"/>
  <c r="S316" i="32" s="1"/>
  <c r="E316" i="32" s="1"/>
  <c r="R352" i="32" a="1"/>
  <c r="R352" i="32" s="1"/>
  <c r="D352" i="32" s="1"/>
  <c r="S326" i="32" a="1"/>
  <c r="S326" i="32" s="1"/>
  <c r="E326" i="32" s="1"/>
  <c r="T326" i="32" a="1"/>
  <c r="T326" i="32" s="1"/>
  <c r="M1972" i="27" s="1"/>
  <c r="A1972" i="27" s="1"/>
  <c r="V326" i="32" a="1"/>
  <c r="V326" i="32" s="1"/>
  <c r="L326" i="32" s="1"/>
  <c r="T324" i="32" a="1"/>
  <c r="T324" i="32" s="1"/>
  <c r="M1971" i="27" s="1"/>
  <c r="A1971" i="27" s="1"/>
  <c r="S350" i="32" a="1"/>
  <c r="S350" i="32" s="1"/>
  <c r="E350" i="32" s="1"/>
  <c r="R328" i="32" a="1"/>
  <c r="R328" i="32" s="1"/>
  <c r="D328" i="32" s="1"/>
  <c r="S328" i="32" a="1"/>
  <c r="S328" i="32" s="1"/>
  <c r="E328" i="32" s="1"/>
  <c r="T328" i="32" a="1"/>
  <c r="T328" i="32" s="1"/>
  <c r="M1973" i="27" s="1"/>
  <c r="A1973" i="27" s="1"/>
  <c r="R350" i="32" a="1"/>
  <c r="R350" i="32" s="1"/>
  <c r="D350" i="32" s="1"/>
  <c r="R336" i="32" a="1"/>
  <c r="R336" i="32" s="1"/>
  <c r="D336" i="32" s="1"/>
  <c r="R344" i="32" a="1"/>
  <c r="R344" i="32" s="1"/>
  <c r="D344" i="32" s="1"/>
  <c r="S344" i="32" a="1"/>
  <c r="S344" i="32" s="1"/>
  <c r="E344" i="32" s="1"/>
  <c r="S606" i="32" a="1"/>
  <c r="S606" i="32" s="1"/>
  <c r="E606" i="32" s="1"/>
  <c r="T336" i="32" a="1"/>
  <c r="T336" i="32" s="1"/>
  <c r="T344" i="32" a="1"/>
  <c r="T344" i="32" s="1"/>
  <c r="V606" i="32" a="1"/>
  <c r="V606" i="32" s="1"/>
  <c r="L606" i="32" s="1"/>
  <c r="V346" i="32" a="1"/>
  <c r="V346" i="32" s="1"/>
  <c r="L346" i="32" s="1"/>
  <c r="T334" i="32" a="1"/>
  <c r="T334" i="32" s="1"/>
  <c r="S352" i="32" a="1"/>
  <c r="S352" i="32" s="1"/>
  <c r="E352" i="32" s="1"/>
  <c r="R332" i="32" a="1"/>
  <c r="R332" i="32" s="1"/>
  <c r="D332" i="32" s="1"/>
  <c r="S332" i="32" a="1"/>
  <c r="S332" i="32" s="1"/>
  <c r="E332" i="32" s="1"/>
  <c r="T332" i="32" a="1"/>
  <c r="T332" i="32" s="1"/>
  <c r="R346" i="32" a="1"/>
  <c r="R346" i="32" s="1"/>
  <c r="D346" i="32" s="1"/>
  <c r="S346" i="32" a="1"/>
  <c r="S346" i="32" s="1"/>
  <c r="E346" i="32" s="1"/>
  <c r="S604" i="32" a="1"/>
  <c r="S604" i="32" s="1"/>
  <c r="E604" i="32" s="1"/>
  <c r="R610" i="32" a="1"/>
  <c r="R610" i="32" s="1"/>
  <c r="D610" i="32" s="1"/>
  <c r="S610" i="32" a="1"/>
  <c r="S610" i="32" s="1"/>
  <c r="E610" i="32" s="1"/>
  <c r="T610" i="32" a="1"/>
  <c r="T610" i="32" s="1"/>
  <c r="V600" i="32" a="1"/>
  <c r="V600" i="32" s="1"/>
  <c r="L600" i="32" s="1"/>
  <c r="R606" i="32" a="1"/>
  <c r="R606" i="32" s="1"/>
  <c r="D606" i="32" s="1"/>
  <c r="T600" i="32" a="1"/>
  <c r="T600" i="32" s="1"/>
  <c r="R486" i="32" a="1"/>
  <c r="R486" i="32" s="1"/>
  <c r="D486" i="32" s="1"/>
  <c r="R492" i="32" a="1"/>
  <c r="R492" i="32" s="1"/>
  <c r="D492" i="32" s="1"/>
  <c r="S492" i="32" a="1"/>
  <c r="S492" i="32" s="1"/>
  <c r="E492" i="32" s="1"/>
  <c r="T478" i="32" a="1"/>
  <c r="T478" i="32" s="1"/>
  <c r="T598" i="32" a="1"/>
  <c r="T598" i="32" s="1"/>
  <c r="T492" i="32" a="1"/>
  <c r="T492" i="32" s="1"/>
  <c r="V598" i="32" a="1"/>
  <c r="V598" i="32" s="1"/>
  <c r="L598" i="32" s="1"/>
  <c r="S480" i="32" a="1"/>
  <c r="S480" i="32" s="1"/>
  <c r="E480" i="32" s="1"/>
  <c r="T480" i="32" a="1"/>
  <c r="T480" i="32" s="1"/>
  <c r="V478" i="32" a="1"/>
  <c r="V478" i="32" s="1"/>
  <c r="L478" i="32" s="1"/>
  <c r="V480" i="32" a="1"/>
  <c r="V480" i="32" s="1"/>
  <c r="L480" i="32" s="1"/>
  <c r="S598" i="32" a="1"/>
  <c r="S598" i="32" s="1"/>
  <c r="E598" i="32" s="1"/>
  <c r="S478" i="32" a="1"/>
  <c r="S478" i="32" s="1"/>
  <c r="E478" i="32" s="1"/>
  <c r="R490" i="32" a="1"/>
  <c r="R490" i="32" s="1"/>
  <c r="D490" i="32" s="1"/>
  <c r="V486" i="32" a="1"/>
  <c r="V486" i="32" s="1"/>
  <c r="L486" i="32" s="1"/>
  <c r="V604" i="32" a="1"/>
  <c r="V604" i="32" s="1"/>
  <c r="L604" i="32" s="1"/>
  <c r="S490" i="32" a="1"/>
  <c r="S490" i="32" s="1"/>
  <c r="E490" i="32" s="1"/>
  <c r="T490" i="32" a="1"/>
  <c r="T490" i="32" s="1"/>
  <c r="S486" i="32" a="1"/>
  <c r="S486" i="32" s="1"/>
  <c r="E486" i="32" s="1"/>
  <c r="R604" i="32" a="1"/>
  <c r="R604" i="32" s="1"/>
  <c r="D604" i="32" s="1"/>
  <c r="T488" i="32" a="1"/>
  <c r="T488" i="32" s="1"/>
  <c r="V494" i="32" a="1"/>
  <c r="V494" i="32" s="1"/>
  <c r="L494" i="32" s="1"/>
  <c r="R488" i="32" a="1"/>
  <c r="R488" i="32" s="1"/>
  <c r="D488" i="32" s="1"/>
  <c r="V488" i="32" a="1"/>
  <c r="V488" i="32" s="1"/>
  <c r="L488" i="32" s="1"/>
  <c r="R476" i="32" a="1"/>
  <c r="R476" i="32" s="1"/>
  <c r="D476" i="32" s="1"/>
  <c r="T612" i="32" a="1"/>
  <c r="T612" i="32" s="1"/>
  <c r="R484" i="32" a="1"/>
  <c r="R484" i="32" s="1"/>
  <c r="D484" i="32" s="1"/>
  <c r="T608" i="32" a="1"/>
  <c r="T608" i="32" s="1"/>
  <c r="T494" i="32" a="1"/>
  <c r="T494" i="32" s="1"/>
  <c r="V612" i="32" a="1"/>
  <c r="V612" i="32" s="1"/>
  <c r="L612" i="32" s="1"/>
  <c r="S476" i="32" a="1"/>
  <c r="S476" i="32" s="1"/>
  <c r="E476" i="32" s="1"/>
  <c r="T476" i="32" a="1"/>
  <c r="T476" i="32" s="1"/>
  <c r="R612" i="32" a="1"/>
  <c r="R612" i="32" s="1"/>
  <c r="D612" i="32" s="1"/>
  <c r="R608" i="32" a="1"/>
  <c r="R608" i="32" s="1"/>
  <c r="D608" i="32" s="1"/>
  <c r="S608" i="32" a="1"/>
  <c r="S608" i="32" s="1"/>
  <c r="E608" i="32" s="1"/>
  <c r="S484" i="32" a="1"/>
  <c r="S484" i="32" s="1"/>
  <c r="E484" i="32" s="1"/>
  <c r="T484" i="32" a="1"/>
  <c r="T484" i="32" s="1"/>
  <c r="R600" i="32" a="1"/>
  <c r="R600" i="32" s="1"/>
  <c r="D600" i="32" s="1"/>
  <c r="R596" i="32" a="1"/>
  <c r="R596" i="32" s="1"/>
  <c r="D596" i="32" s="1"/>
  <c r="S596" i="32" a="1"/>
  <c r="S596" i="32" s="1"/>
  <c r="E596" i="32" s="1"/>
  <c r="T596" i="32" a="1"/>
  <c r="T596" i="32" s="1"/>
  <c r="S494" i="32" a="1"/>
  <c r="S494" i="32" s="1"/>
  <c r="E494" i="32" s="1"/>
  <c r="V482" i="32" a="1"/>
  <c r="V482" i="32" s="1"/>
  <c r="L482" i="32" s="1"/>
  <c r="R602" i="32" a="1"/>
  <c r="R602" i="32" s="1"/>
  <c r="D602" i="32" s="1"/>
  <c r="S602" i="32" a="1"/>
  <c r="S602" i="32" s="1"/>
  <c r="E602" i="32" s="1"/>
  <c r="T602" i="32" a="1"/>
  <c r="T602" i="32" s="1"/>
  <c r="R482" i="32" a="1"/>
  <c r="R482" i="32" s="1"/>
  <c r="D482" i="32" s="1"/>
  <c r="S482" i="32" a="1"/>
  <c r="S482" i="32" s="1"/>
  <c r="E482" i="32" s="1"/>
  <c r="R124" i="24"/>
  <c r="S124" i="24"/>
  <c r="Q124" i="24"/>
  <c r="P124" i="24"/>
  <c r="V516" i="32" a="1"/>
  <c r="V516" i="32" s="1"/>
  <c r="L516" i="32" s="1"/>
  <c r="T516" i="32" a="1"/>
  <c r="T516" i="32" s="1"/>
  <c r="S516" i="32" a="1"/>
  <c r="S516" i="32" s="1"/>
  <c r="E516" i="32" s="1"/>
  <c r="R516" i="32" a="1"/>
  <c r="R516" i="32" s="1"/>
  <c r="D516" i="32" s="1"/>
  <c r="V530" i="32" a="1"/>
  <c r="V530" i="32" s="1"/>
  <c r="L530" i="32" s="1"/>
  <c r="T530" i="32" a="1"/>
  <c r="T530" i="32" s="1"/>
  <c r="S530" i="32" a="1"/>
  <c r="S530" i="32" s="1"/>
  <c r="E530" i="32" s="1"/>
  <c r="R530" i="32" a="1"/>
  <c r="R530" i="32" s="1"/>
  <c r="D530" i="32" s="1"/>
  <c r="V414" i="32" a="1"/>
  <c r="V414" i="32" s="1"/>
  <c r="L414" i="32" s="1"/>
  <c r="T414" i="32" a="1"/>
  <c r="T414" i="32" s="1"/>
  <c r="R414" i="32" a="1"/>
  <c r="R414" i="32" s="1"/>
  <c r="D414" i="32" s="1"/>
  <c r="S414" i="32" a="1"/>
  <c r="S414" i="32" s="1"/>
  <c r="E414" i="32" s="1"/>
  <c r="V524" i="32" a="1"/>
  <c r="V524" i="32" s="1"/>
  <c r="L524" i="32" s="1"/>
  <c r="T524" i="32" a="1"/>
  <c r="T524" i="32" s="1"/>
  <c r="S524" i="32" a="1"/>
  <c r="S524" i="32" s="1"/>
  <c r="E524" i="32" s="1"/>
  <c r="R524" i="32" a="1"/>
  <c r="R524" i="32" s="1"/>
  <c r="D524" i="32" s="1"/>
  <c r="V528" i="32" a="1"/>
  <c r="V528" i="32" s="1"/>
  <c r="L528" i="32" s="1"/>
  <c r="T528" i="32" a="1"/>
  <c r="T528" i="32" s="1"/>
  <c r="S528" i="32" a="1"/>
  <c r="S528" i="32" s="1"/>
  <c r="E528" i="32" s="1"/>
  <c r="R528" i="32" a="1"/>
  <c r="R528" i="32" s="1"/>
  <c r="D528" i="32" s="1"/>
  <c r="V550" i="32" a="1"/>
  <c r="V550" i="32" s="1"/>
  <c r="L550" i="32" s="1"/>
  <c r="T550" i="32" a="1"/>
  <c r="T550" i="32" s="1"/>
  <c r="R550" i="32" a="1"/>
  <c r="R550" i="32" s="1"/>
  <c r="D550" i="32" s="1"/>
  <c r="S550" i="32" a="1"/>
  <c r="S550" i="32" s="1"/>
  <c r="E550" i="32" s="1"/>
  <c r="V544" i="32" a="1"/>
  <c r="V544" i="32" s="1"/>
  <c r="L544" i="32" s="1"/>
  <c r="T544" i="32" a="1"/>
  <c r="T544" i="32" s="1"/>
  <c r="S544" i="32" a="1"/>
  <c r="S544" i="32" s="1"/>
  <c r="E544" i="32" s="1"/>
  <c r="R544" i="32" a="1"/>
  <c r="R544" i="32" s="1"/>
  <c r="D544" i="32" s="1"/>
  <c r="V548" i="32" a="1"/>
  <c r="V548" i="32" s="1"/>
  <c r="L548" i="32" s="1"/>
  <c r="T548" i="32" a="1"/>
  <c r="T548" i="32" s="1"/>
  <c r="S548" i="32" a="1"/>
  <c r="S548" i="32" s="1"/>
  <c r="E548" i="32" s="1"/>
  <c r="R548" i="32" a="1"/>
  <c r="R548" i="32" s="1"/>
  <c r="D548" i="32" s="1"/>
  <c r="V398" i="32" a="1"/>
  <c r="V398" i="32" s="1"/>
  <c r="L398" i="32" s="1"/>
  <c r="T398" i="32" a="1"/>
  <c r="T398" i="32" s="1"/>
  <c r="R398" i="32" a="1"/>
  <c r="R398" i="32" s="1"/>
  <c r="D398" i="32" s="1"/>
  <c r="S398" i="32" a="1"/>
  <c r="S398" i="32" s="1"/>
  <c r="E398" i="32" s="1"/>
  <c r="V400" i="32" a="1"/>
  <c r="V400" i="32" s="1"/>
  <c r="L400" i="32" s="1"/>
  <c r="T400" i="32" a="1"/>
  <c r="T400" i="32" s="1"/>
  <c r="S400" i="32" a="1"/>
  <c r="S400" i="32" s="1"/>
  <c r="E400" i="32" s="1"/>
  <c r="R400" i="32" a="1"/>
  <c r="R400" i="32" s="1"/>
  <c r="D400" i="32" s="1"/>
  <c r="V522" i="32" a="1"/>
  <c r="V522" i="32" s="1"/>
  <c r="L522" i="32" s="1"/>
  <c r="T522" i="32" a="1"/>
  <c r="T522" i="32" s="1"/>
  <c r="S522" i="32" a="1"/>
  <c r="S522" i="32" s="1"/>
  <c r="E522" i="32" s="1"/>
  <c r="R522" i="32" a="1"/>
  <c r="R522" i="32" s="1"/>
  <c r="D522" i="32" s="1"/>
  <c r="V536" i="32" a="1"/>
  <c r="V536" i="32" s="1"/>
  <c r="L536" i="32" s="1"/>
  <c r="T536" i="32" a="1"/>
  <c r="T536" i="32" s="1"/>
  <c r="S536" i="32" a="1"/>
  <c r="S536" i="32" s="1"/>
  <c r="E536" i="32" s="1"/>
  <c r="R536" i="32" a="1"/>
  <c r="R536" i="32" s="1"/>
  <c r="D536" i="32" s="1"/>
  <c r="V408" i="32" a="1"/>
  <c r="V408" i="32" s="1"/>
  <c r="L408" i="32" s="1"/>
  <c r="T408" i="32" a="1"/>
  <c r="T408" i="32" s="1"/>
  <c r="S408" i="32" a="1"/>
  <c r="S408" i="32" s="1"/>
  <c r="E408" i="32" s="1"/>
  <c r="R408" i="32" a="1"/>
  <c r="R408" i="32" s="1"/>
  <c r="D408" i="32" s="1"/>
  <c r="V546" i="32" a="1"/>
  <c r="V546" i="32" s="1"/>
  <c r="L546" i="32" s="1"/>
  <c r="T546" i="32" a="1"/>
  <c r="T546" i="32" s="1"/>
  <c r="S546" i="32" a="1"/>
  <c r="S546" i="32" s="1"/>
  <c r="E546" i="32" s="1"/>
  <c r="R546" i="32" a="1"/>
  <c r="R546" i="32" s="1"/>
  <c r="D546" i="32" s="1"/>
  <c r="V410" i="32" a="1"/>
  <c r="V410" i="32" s="1"/>
  <c r="L410" i="32" s="1"/>
  <c r="T410" i="32" a="1"/>
  <c r="T410" i="32" s="1"/>
  <c r="S410" i="32" a="1"/>
  <c r="S410" i="32" s="1"/>
  <c r="E410" i="32" s="1"/>
  <c r="R410" i="32" a="1"/>
  <c r="R410" i="32" s="1"/>
  <c r="D410" i="32" s="1"/>
  <c r="V534" i="32" a="1"/>
  <c r="V534" i="32" s="1"/>
  <c r="L534" i="32" s="1"/>
  <c r="T534" i="32" a="1"/>
  <c r="T534" i="32" s="1"/>
  <c r="R534" i="32" a="1"/>
  <c r="R534" i="32" s="1"/>
  <c r="D534" i="32" s="1"/>
  <c r="S534" i="32" a="1"/>
  <c r="S534" i="32" s="1"/>
  <c r="E534" i="32" s="1"/>
  <c r="V554" i="32" a="1"/>
  <c r="V554" i="32" s="1"/>
  <c r="L554" i="32" s="1"/>
  <c r="T554" i="32" a="1"/>
  <c r="T554" i="32" s="1"/>
  <c r="S554" i="32" a="1"/>
  <c r="S554" i="32" s="1"/>
  <c r="E554" i="32" s="1"/>
  <c r="R554" i="32" a="1"/>
  <c r="R554" i="32" s="1"/>
  <c r="D554" i="32" s="1"/>
  <c r="V412" i="32" a="1"/>
  <c r="V412" i="32" s="1"/>
  <c r="L412" i="32" s="1"/>
  <c r="T412" i="32" a="1"/>
  <c r="T412" i="32" s="1"/>
  <c r="S412" i="32" a="1"/>
  <c r="S412" i="32" s="1"/>
  <c r="E412" i="32" s="1"/>
  <c r="R412" i="32" a="1"/>
  <c r="R412" i="32" s="1"/>
  <c r="D412" i="32" s="1"/>
  <c r="V532" i="32" a="1"/>
  <c r="V532" i="32" s="1"/>
  <c r="L532" i="32" s="1"/>
  <c r="T532" i="32" a="1"/>
  <c r="T532" i="32" s="1"/>
  <c r="S532" i="32" a="1"/>
  <c r="S532" i="32" s="1"/>
  <c r="E532" i="32" s="1"/>
  <c r="R532" i="32" a="1"/>
  <c r="R532" i="32" s="1"/>
  <c r="D532" i="32" s="1"/>
  <c r="V552" i="32" a="1"/>
  <c r="V552" i="32" s="1"/>
  <c r="L552" i="32" s="1"/>
  <c r="T552" i="32" a="1"/>
  <c r="T552" i="32" s="1"/>
  <c r="S552" i="32" a="1"/>
  <c r="S552" i="32" s="1"/>
  <c r="E552" i="32" s="1"/>
  <c r="R552" i="32" a="1"/>
  <c r="R552" i="32" s="1"/>
  <c r="D552" i="32" s="1"/>
  <c r="V404" i="32" a="1"/>
  <c r="V404" i="32" s="1"/>
  <c r="L404" i="32" s="1"/>
  <c r="T404" i="32" a="1"/>
  <c r="T404" i="32" s="1"/>
  <c r="S404" i="32" a="1"/>
  <c r="S404" i="32" s="1"/>
  <c r="E404" i="32" s="1"/>
  <c r="R404" i="32" a="1"/>
  <c r="R404" i="32" s="1"/>
  <c r="D404" i="32" s="1"/>
  <c r="V526" i="32" a="1"/>
  <c r="V526" i="32" s="1"/>
  <c r="L526" i="32" s="1"/>
  <c r="T526" i="32" a="1"/>
  <c r="T526" i="32" s="1"/>
  <c r="R526" i="32" a="1"/>
  <c r="R526" i="32" s="1"/>
  <c r="D526" i="32" s="1"/>
  <c r="S526" i="32" a="1"/>
  <c r="S526" i="32" s="1"/>
  <c r="E526" i="32" s="1"/>
  <c r="V520" i="32" a="1"/>
  <c r="V520" i="32" s="1"/>
  <c r="L520" i="32" s="1"/>
  <c r="T520" i="32" a="1"/>
  <c r="T520" i="32" s="1"/>
  <c r="S520" i="32" a="1"/>
  <c r="S520" i="32" s="1"/>
  <c r="E520" i="32" s="1"/>
  <c r="R520" i="32" a="1"/>
  <c r="R520" i="32" s="1"/>
  <c r="D520" i="32" s="1"/>
  <c r="V518" i="32" a="1"/>
  <c r="V518" i="32" s="1"/>
  <c r="L518" i="32" s="1"/>
  <c r="T518" i="32" a="1"/>
  <c r="T518" i="32" s="1"/>
  <c r="R518" i="32" a="1"/>
  <c r="R518" i="32" s="1"/>
  <c r="D518" i="32" s="1"/>
  <c r="S518" i="32" a="1"/>
  <c r="S518" i="32" s="1"/>
  <c r="E518" i="32" s="1"/>
  <c r="V542" i="32" a="1"/>
  <c r="V542" i="32" s="1"/>
  <c r="L542" i="32" s="1"/>
  <c r="T542" i="32" a="1"/>
  <c r="T542" i="32" s="1"/>
  <c r="R542" i="32" a="1"/>
  <c r="R542" i="32" s="1"/>
  <c r="D542" i="32" s="1"/>
  <c r="S542" i="32" a="1"/>
  <c r="S542" i="32" s="1"/>
  <c r="E542" i="32" s="1"/>
  <c r="V538" i="32" a="1"/>
  <c r="V538" i="32" s="1"/>
  <c r="L538" i="32" s="1"/>
  <c r="T538" i="32" a="1"/>
  <c r="T538" i="32" s="1"/>
  <c r="S538" i="32" a="1"/>
  <c r="S538" i="32" s="1"/>
  <c r="E538" i="32" s="1"/>
  <c r="R538" i="32" a="1"/>
  <c r="R538" i="32" s="1"/>
  <c r="D538" i="32" s="1"/>
  <c r="V540" i="32" a="1"/>
  <c r="V540" i="32" s="1"/>
  <c r="L540" i="32" s="1"/>
  <c r="T540" i="32" a="1"/>
  <c r="T540" i="32" s="1"/>
  <c r="S540" i="32" a="1"/>
  <c r="S540" i="32" s="1"/>
  <c r="E540" i="32" s="1"/>
  <c r="R540" i="32" a="1"/>
  <c r="R540" i="32" s="1"/>
  <c r="D540" i="32" s="1"/>
  <c r="V396" i="32" a="1"/>
  <c r="V396" i="32" s="1"/>
  <c r="L396" i="32" s="1"/>
  <c r="T396" i="32" a="1"/>
  <c r="T396" i="32" s="1"/>
  <c r="S396" i="32" a="1"/>
  <c r="S396" i="32" s="1"/>
  <c r="E396" i="32" s="1"/>
  <c r="R396" i="32" a="1"/>
  <c r="R396" i="32" s="1"/>
  <c r="D396" i="32" s="1"/>
  <c r="V402" i="32" a="1"/>
  <c r="V402" i="32" s="1"/>
  <c r="L402" i="32" s="1"/>
  <c r="T402" i="32" a="1"/>
  <c r="T402" i="32" s="1"/>
  <c r="S402" i="32" a="1"/>
  <c r="S402" i="32" s="1"/>
  <c r="E402" i="32" s="1"/>
  <c r="R402" i="32" a="1"/>
  <c r="R402" i="32" s="1"/>
  <c r="D402" i="32" s="1"/>
  <c r="V406" i="32" a="1"/>
  <c r="V406" i="32" s="1"/>
  <c r="L406" i="32" s="1"/>
  <c r="T406" i="32" a="1"/>
  <c r="T406" i="32" s="1"/>
  <c r="R406" i="32" a="1"/>
  <c r="R406" i="32" s="1"/>
  <c r="D406" i="32" s="1"/>
  <c r="S406" i="32" a="1"/>
  <c r="S406" i="32" s="1"/>
  <c r="E406" i="32" s="1"/>
  <c r="BE71" i="34"/>
  <c r="BF71" i="34"/>
  <c r="AT72" i="34"/>
  <c r="AO72" i="34"/>
  <c r="AP72" i="34" s="1"/>
  <c r="AR71" i="34"/>
  <c r="AQ71" i="34"/>
  <c r="U987" i="32"/>
  <c r="AG31" i="31"/>
  <c r="G1651" i="27"/>
  <c r="G983" i="32"/>
  <c r="J721" i="27"/>
  <c r="N721" i="27"/>
  <c r="K709" i="27"/>
  <c r="I718" i="27"/>
  <c r="J719" i="27"/>
  <c r="K707" i="27"/>
  <c r="K1549" i="27"/>
  <c r="I719" i="27"/>
  <c r="X27" i="31"/>
  <c r="I721" i="27"/>
  <c r="I1549" i="27"/>
  <c r="J727" i="27"/>
  <c r="A987" i="32"/>
  <c r="L27" i="31"/>
  <c r="T27" i="31"/>
  <c r="L4288" i="27"/>
  <c r="J720" i="27"/>
  <c r="D4288" i="27"/>
  <c r="G1650" i="27"/>
  <c r="K706" i="27"/>
  <c r="I720" i="27"/>
  <c r="N720" i="27"/>
  <c r="P4287" i="27"/>
  <c r="M719" i="27"/>
  <c r="L1549" i="27"/>
  <c r="K4287" i="27"/>
  <c r="G1649" i="27"/>
  <c r="J1549" i="27"/>
  <c r="N718" i="27"/>
  <c r="M720" i="27"/>
  <c r="K708" i="27"/>
  <c r="P27" i="31"/>
  <c r="M718" i="27"/>
  <c r="N719" i="27"/>
  <c r="J718" i="27"/>
  <c r="G1648" i="27"/>
  <c r="Q1105" i="32" l="1"/>
  <c r="P1107" i="32"/>
  <c r="S1103" i="32" a="1"/>
  <c r="S1103" i="32" s="1"/>
  <c r="E1103" i="32" s="1"/>
  <c r="V1103" i="32" a="1"/>
  <c r="V1103" i="32" s="1"/>
  <c r="L1103" i="32" s="1"/>
  <c r="T1103" i="32" a="1"/>
  <c r="T1103" i="32" s="1"/>
  <c r="R1103" i="32" a="1"/>
  <c r="R1103" i="32" s="1"/>
  <c r="D1103" i="32" s="1"/>
  <c r="A709" i="27"/>
  <c r="A706" i="27"/>
  <c r="A707" i="27"/>
  <c r="A708" i="27"/>
  <c r="F5523" i="27"/>
  <c r="F5522" i="27"/>
  <c r="K2215" i="27"/>
  <c r="K2216" i="27"/>
  <c r="K2221" i="27"/>
  <c r="K2222" i="27"/>
  <c r="K2220" i="27"/>
  <c r="K2219" i="27"/>
  <c r="K2210" i="27"/>
  <c r="K2209" i="27"/>
  <c r="K2225" i="27"/>
  <c r="K2226" i="27"/>
  <c r="K2137" i="27"/>
  <c r="K2138" i="27"/>
  <c r="K2218" i="27"/>
  <c r="K2217" i="27"/>
  <c r="K2208" i="27"/>
  <c r="K2207" i="27"/>
  <c r="K2223" i="27"/>
  <c r="K2224" i="27"/>
  <c r="K2211" i="27"/>
  <c r="K2212" i="27"/>
  <c r="K2213" i="27"/>
  <c r="K2214" i="27"/>
  <c r="A1549" i="27"/>
  <c r="H1551" i="27"/>
  <c r="H1552" i="27"/>
  <c r="R126" i="24"/>
  <c r="S126" i="24"/>
  <c r="Q126" i="24"/>
  <c r="P126" i="24"/>
  <c r="BE72" i="34"/>
  <c r="BF72" i="34"/>
  <c r="AO73" i="34"/>
  <c r="AP73" i="34" s="1"/>
  <c r="AT73" i="34"/>
  <c r="AR72" i="34"/>
  <c r="AQ72" i="34"/>
  <c r="U989" i="32"/>
  <c r="AG33" i="31"/>
  <c r="I725" i="27"/>
  <c r="L29" i="31"/>
  <c r="K1550" i="27"/>
  <c r="J1550" i="27"/>
  <c r="L1550" i="27"/>
  <c r="N726" i="27"/>
  <c r="A989" i="32"/>
  <c r="K714" i="27"/>
  <c r="J733" i="27"/>
  <c r="J725" i="27"/>
  <c r="N724" i="27"/>
  <c r="G1657" i="27"/>
  <c r="M724" i="27"/>
  <c r="J731" i="27"/>
  <c r="I727" i="27"/>
  <c r="N725" i="27"/>
  <c r="X29" i="31"/>
  <c r="M726" i="27"/>
  <c r="G1655" i="27"/>
  <c r="L4289" i="27"/>
  <c r="K712" i="27"/>
  <c r="G1654" i="27"/>
  <c r="I724" i="27"/>
  <c r="K713" i="27"/>
  <c r="J724" i="27"/>
  <c r="G985" i="32"/>
  <c r="K715" i="27"/>
  <c r="P29" i="31"/>
  <c r="M727" i="27"/>
  <c r="J732" i="27"/>
  <c r="T29" i="31"/>
  <c r="N727" i="27"/>
  <c r="M725" i="27"/>
  <c r="D4289" i="27"/>
  <c r="I1550" i="27"/>
  <c r="I726" i="27"/>
  <c r="P4288" i="27"/>
  <c r="G1656" i="27"/>
  <c r="J726" i="27"/>
  <c r="K4288" i="27"/>
  <c r="Q1107" i="32" l="1"/>
  <c r="P1109" i="32"/>
  <c r="S1105" i="32" a="1"/>
  <c r="S1105" i="32" s="1"/>
  <c r="E1105" i="32" s="1"/>
  <c r="R1105" i="32" a="1"/>
  <c r="R1105" i="32" s="1"/>
  <c r="D1105" i="32" s="1"/>
  <c r="V1105" i="32" a="1"/>
  <c r="V1105" i="32" s="1"/>
  <c r="L1105" i="32" s="1"/>
  <c r="T1105" i="32" a="1"/>
  <c r="T1105" i="32" s="1"/>
  <c r="A714" i="27"/>
  <c r="A713" i="27"/>
  <c r="A712" i="27"/>
  <c r="A715" i="27"/>
  <c r="F5524" i="27"/>
  <c r="A1550" i="27"/>
  <c r="H1553" i="27"/>
  <c r="R128" i="24"/>
  <c r="S128" i="24"/>
  <c r="Q128" i="24"/>
  <c r="P128" i="24"/>
  <c r="BE73" i="34"/>
  <c r="BF73" i="34"/>
  <c r="AO74" i="34"/>
  <c r="AP74" i="34" s="1"/>
  <c r="AT74" i="34"/>
  <c r="AR73" i="34"/>
  <c r="AQ73" i="34"/>
  <c r="U991" i="32"/>
  <c r="AG35" i="31"/>
  <c r="K4289" i="27"/>
  <c r="J1552" i="27"/>
  <c r="M732" i="27"/>
  <c r="I732" i="27"/>
  <c r="J737" i="27"/>
  <c r="M730" i="27"/>
  <c r="M731" i="27"/>
  <c r="K720" i="27"/>
  <c r="T31" i="31"/>
  <c r="K721" i="27"/>
  <c r="J1551" i="27"/>
  <c r="I733" i="27"/>
  <c r="P31" i="31"/>
  <c r="D4290" i="27"/>
  <c r="I1552" i="27"/>
  <c r="X31" i="31"/>
  <c r="N730" i="27"/>
  <c r="G987" i="32"/>
  <c r="K718" i="27"/>
  <c r="L4290" i="27"/>
  <c r="I1551" i="27"/>
  <c r="I730" i="27"/>
  <c r="M733" i="27"/>
  <c r="L31" i="31"/>
  <c r="L1551" i="27"/>
  <c r="K719" i="27"/>
  <c r="L1552" i="27"/>
  <c r="J730" i="27"/>
  <c r="N733" i="27"/>
  <c r="N739" i="27"/>
  <c r="K1552" i="27"/>
  <c r="A991" i="32"/>
  <c r="N732" i="27"/>
  <c r="I731" i="27"/>
  <c r="K1551" i="27"/>
  <c r="J736" i="27"/>
  <c r="P4289" i="27"/>
  <c r="N731" i="27"/>
  <c r="P1111" i="32" l="1"/>
  <c r="Q1109" i="32"/>
  <c r="S1107" i="32" a="1"/>
  <c r="S1107" i="32" s="1"/>
  <c r="E1107" i="32" s="1"/>
  <c r="V1107" i="32" a="1"/>
  <c r="V1107" i="32" s="1"/>
  <c r="L1107" i="32" s="1"/>
  <c r="T1107" i="32" a="1"/>
  <c r="T1107" i="32" s="1"/>
  <c r="R1107" i="32" a="1"/>
  <c r="R1107" i="32" s="1"/>
  <c r="D1107" i="32" s="1"/>
  <c r="A720" i="27"/>
  <c r="A718" i="27"/>
  <c r="A721" i="27"/>
  <c r="A719" i="27"/>
  <c r="F5525" i="27"/>
  <c r="A1551" i="27"/>
  <c r="A1552" i="27"/>
  <c r="H1554" i="27"/>
  <c r="R130" i="24"/>
  <c r="S130" i="24"/>
  <c r="Q130" i="24"/>
  <c r="P130" i="24"/>
  <c r="BE74" i="34"/>
  <c r="BF74" i="34"/>
  <c r="AR74" i="34"/>
  <c r="AQ74" i="34"/>
  <c r="U993" i="32"/>
  <c r="AG37" i="31"/>
  <c r="P33" i="31"/>
  <c r="K4290" i="27"/>
  <c r="J739" i="27"/>
  <c r="X33" i="31"/>
  <c r="L1553" i="27"/>
  <c r="I1553" i="27"/>
  <c r="T33" i="31"/>
  <c r="K724" i="27"/>
  <c r="A993" i="32"/>
  <c r="N736" i="27"/>
  <c r="J1553" i="27"/>
  <c r="I738" i="27"/>
  <c r="G989" i="32"/>
  <c r="M738" i="27"/>
  <c r="M737" i="27"/>
  <c r="I739" i="27"/>
  <c r="M736" i="27"/>
  <c r="K1553" i="27"/>
  <c r="M739" i="27"/>
  <c r="K726" i="27"/>
  <c r="I737" i="27"/>
  <c r="I736" i="27"/>
  <c r="J742" i="27"/>
  <c r="J744" i="27"/>
  <c r="J738" i="27"/>
  <c r="P4290" i="27"/>
  <c r="N737" i="27"/>
  <c r="J745" i="27"/>
  <c r="K725" i="27"/>
  <c r="N738" i="27"/>
  <c r="K727" i="27"/>
  <c r="L33" i="31"/>
  <c r="V1109" i="32" l="1" a="1"/>
  <c r="V1109" i="32" s="1"/>
  <c r="L1109" i="32" s="1"/>
  <c r="S1109" i="32" a="1"/>
  <c r="S1109" i="32" s="1"/>
  <c r="E1109" i="32" s="1"/>
  <c r="T1109" i="32" a="1"/>
  <c r="T1109" i="32" s="1"/>
  <c r="R1109" i="32" a="1"/>
  <c r="R1109" i="32" s="1"/>
  <c r="D1109" i="32" s="1"/>
  <c r="Q1111" i="32"/>
  <c r="P1113" i="32"/>
  <c r="A724" i="27"/>
  <c r="A727" i="27"/>
  <c r="A725" i="27"/>
  <c r="A726" i="27"/>
  <c r="F5526" i="27"/>
  <c r="A1553" i="27"/>
  <c r="H1555" i="27"/>
  <c r="R132" i="24"/>
  <c r="S132" i="24"/>
  <c r="Q132" i="24"/>
  <c r="P132" i="24"/>
  <c r="AO75" i="34"/>
  <c r="AP75" i="34" s="1"/>
  <c r="AT75" i="34"/>
  <c r="U995" i="32"/>
  <c r="M742" i="27"/>
  <c r="L4291" i="27"/>
  <c r="G991" i="32"/>
  <c r="J743" i="27"/>
  <c r="X35" i="31"/>
  <c r="M744" i="27"/>
  <c r="I745" i="27"/>
  <c r="I744" i="27"/>
  <c r="N742" i="27"/>
  <c r="P35" i="31"/>
  <c r="T35" i="31"/>
  <c r="K730" i="27"/>
  <c r="A995" i="32"/>
  <c r="N743" i="27"/>
  <c r="K733" i="27"/>
  <c r="I1554" i="27"/>
  <c r="M745" i="27"/>
  <c r="K731" i="27"/>
  <c r="D4291" i="27"/>
  <c r="M743" i="27"/>
  <c r="L1554" i="27"/>
  <c r="I742" i="27"/>
  <c r="N745" i="27"/>
  <c r="J1554" i="27"/>
  <c r="I743" i="27"/>
  <c r="L35" i="31"/>
  <c r="K1554" i="27"/>
  <c r="K732" i="27"/>
  <c r="N744" i="27"/>
  <c r="Q1113" i="32" l="1"/>
  <c r="P1115" i="32"/>
  <c r="V1111" i="32" a="1"/>
  <c r="V1111" i="32" s="1"/>
  <c r="L1111" i="32" s="1"/>
  <c r="S1111" i="32" a="1"/>
  <c r="S1111" i="32" s="1"/>
  <c r="E1111" i="32" s="1"/>
  <c r="T1111" i="32" a="1"/>
  <c r="T1111" i="32" s="1"/>
  <c r="R1111" i="32" a="1"/>
  <c r="R1111" i="32" s="1"/>
  <c r="D1111" i="32" s="1"/>
  <c r="A731" i="27"/>
  <c r="A730" i="27"/>
  <c r="A732" i="27"/>
  <c r="A733" i="27"/>
  <c r="F5527" i="27"/>
  <c r="A1554" i="27"/>
  <c r="H1556" i="27"/>
  <c r="R134" i="24"/>
  <c r="S134" i="24"/>
  <c r="Q134" i="24"/>
  <c r="P134" i="24"/>
  <c r="BF75" i="34"/>
  <c r="BE75" i="34"/>
  <c r="AO76" i="34"/>
  <c r="AP76" i="34" s="1"/>
  <c r="AT76" i="34"/>
  <c r="AR75" i="34"/>
  <c r="AQ75" i="34"/>
  <c r="U997" i="32"/>
  <c r="K4291" i="27"/>
  <c r="J1555" i="27"/>
  <c r="X37" i="31"/>
  <c r="L37" i="31"/>
  <c r="M671" i="27"/>
  <c r="T37" i="31"/>
  <c r="I1555" i="27"/>
  <c r="N671" i="27"/>
  <c r="N264" i="27"/>
  <c r="D4292" i="27"/>
  <c r="K1555" i="27"/>
  <c r="M264" i="27"/>
  <c r="G993" i="32"/>
  <c r="K736" i="27"/>
  <c r="I671" i="27"/>
  <c r="K739" i="27"/>
  <c r="K737" i="27"/>
  <c r="K738" i="27"/>
  <c r="L4292" i="27"/>
  <c r="L1555" i="27"/>
  <c r="P4291" i="27"/>
  <c r="P37" i="31"/>
  <c r="I264" i="27"/>
  <c r="A997" i="32"/>
  <c r="Q1115" i="32" l="1"/>
  <c r="P1117" i="32"/>
  <c r="V1113" i="32" a="1"/>
  <c r="V1113" i="32" s="1"/>
  <c r="L1113" i="32" s="1"/>
  <c r="S1113" i="32" a="1"/>
  <c r="S1113" i="32" s="1"/>
  <c r="E1113" i="32" s="1"/>
  <c r="T1113" i="32" a="1"/>
  <c r="T1113" i="32" s="1"/>
  <c r="R1113" i="32" a="1"/>
  <c r="R1113" i="32" s="1"/>
  <c r="D1113" i="32" s="1"/>
  <c r="A739" i="27"/>
  <c r="A738" i="27"/>
  <c r="A737" i="27"/>
  <c r="A736" i="27"/>
  <c r="F5528" i="27"/>
  <c r="F5529" i="27"/>
  <c r="A1555" i="27"/>
  <c r="H1558" i="27"/>
  <c r="H1557" i="27"/>
  <c r="R136" i="24"/>
  <c r="S136" i="24"/>
  <c r="Q136" i="24"/>
  <c r="P136" i="24"/>
  <c r="BE76" i="34"/>
  <c r="BF76" i="34"/>
  <c r="AO77" i="34"/>
  <c r="AP77" i="34" s="1"/>
  <c r="AT77" i="34"/>
  <c r="AQ76" i="34"/>
  <c r="AR76" i="34"/>
  <c r="U999" i="32"/>
  <c r="K4292" i="27"/>
  <c r="K742" i="27"/>
  <c r="K743" i="27"/>
  <c r="E909" i="27"/>
  <c r="J1556" i="27"/>
  <c r="D4293" i="27"/>
  <c r="I1556" i="27"/>
  <c r="A999" i="32"/>
  <c r="K1556" i="27"/>
  <c r="G995" i="32"/>
  <c r="P4292" i="27"/>
  <c r="K745" i="27"/>
  <c r="G1607" i="27"/>
  <c r="L1556" i="27"/>
  <c r="K744" i="27"/>
  <c r="L4293" i="27"/>
  <c r="Q1117" i="32" l="1"/>
  <c r="P1119" i="32"/>
  <c r="S1115" i="32" a="1"/>
  <c r="S1115" i="32" s="1"/>
  <c r="E1115" i="32" s="1"/>
  <c r="V1115" i="32" a="1"/>
  <c r="V1115" i="32" s="1"/>
  <c r="L1115" i="32" s="1"/>
  <c r="T1115" i="32" a="1"/>
  <c r="T1115" i="32" s="1"/>
  <c r="R1115" i="32" a="1"/>
  <c r="R1115" i="32" s="1"/>
  <c r="D1115" i="32" s="1"/>
  <c r="A745" i="27"/>
  <c r="A742" i="27"/>
  <c r="A744" i="27"/>
  <c r="A743" i="27"/>
  <c r="F5530" i="27"/>
  <c r="A1556" i="27"/>
  <c r="H1559" i="27"/>
  <c r="Q112" i="24"/>
  <c r="BF77" i="34"/>
  <c r="BE77" i="34"/>
  <c r="AO78" i="34"/>
  <c r="AP78" i="34" s="1"/>
  <c r="AT78" i="34"/>
  <c r="AR77" i="34"/>
  <c r="AQ77" i="34"/>
  <c r="U1001" i="32"/>
  <c r="K1557" i="27"/>
  <c r="K4293" i="27"/>
  <c r="P4293" i="27"/>
  <c r="G997" i="32"/>
  <c r="D4294" i="27"/>
  <c r="L1558" i="27"/>
  <c r="J1558" i="27"/>
  <c r="K1558" i="27"/>
  <c r="L4294" i="27"/>
  <c r="J1557" i="27"/>
  <c r="L1557" i="27"/>
  <c r="K671" i="27"/>
  <c r="I1557" i="27"/>
  <c r="I1558" i="27"/>
  <c r="G19" i="33"/>
  <c r="L916" i="27"/>
  <c r="P1121" i="32" l="1"/>
  <c r="Q1119" i="32"/>
  <c r="T1117" i="32" a="1"/>
  <c r="T1117" i="32" s="1"/>
  <c r="R1117" i="32" a="1"/>
  <c r="R1117" i="32" s="1"/>
  <c r="D1117" i="32" s="1"/>
  <c r="V1117" i="32" a="1"/>
  <c r="V1117" i="32" s="1"/>
  <c r="L1117" i="32" s="1"/>
  <c r="S1117" i="32" a="1"/>
  <c r="S1117" i="32" s="1"/>
  <c r="E1117" i="32" s="1"/>
  <c r="A671" i="27"/>
  <c r="F5531" i="27"/>
  <c r="A1558" i="27"/>
  <c r="A1557" i="27"/>
  <c r="H1560" i="27"/>
  <c r="E159" i="24"/>
  <c r="BE78" i="34"/>
  <c r="BF78" i="34"/>
  <c r="AT79" i="34"/>
  <c r="AO79" i="34"/>
  <c r="AP79" i="34" s="1"/>
  <c r="AR78" i="34"/>
  <c r="AQ78" i="34"/>
  <c r="U1003" i="32"/>
  <c r="F173" i="24"/>
  <c r="L1559" i="27"/>
  <c r="D4295" i="27"/>
  <c r="G999" i="32"/>
  <c r="L4295" i="27"/>
  <c r="I1559" i="27"/>
  <c r="J1559" i="27"/>
  <c r="A1001" i="32"/>
  <c r="D909" i="27"/>
  <c r="P4294" i="27"/>
  <c r="K4294" i="27"/>
  <c r="K1559" i="27"/>
  <c r="S1119" i="32" l="1" a="1"/>
  <c r="S1119" i="32" s="1"/>
  <c r="E1119" i="32" s="1"/>
  <c r="V1119" i="32" a="1"/>
  <c r="V1119" i="32" s="1"/>
  <c r="L1119" i="32" s="1"/>
  <c r="T1119" i="32" a="1"/>
  <c r="T1119" i="32" s="1"/>
  <c r="R1119" i="32" a="1"/>
  <c r="R1119" i="32" s="1"/>
  <c r="D1119" i="32" s="1"/>
  <c r="P1123" i="32"/>
  <c r="Q1121" i="32"/>
  <c r="F5532" i="27"/>
  <c r="A1559" i="27"/>
  <c r="H1561" i="27"/>
  <c r="BE79" i="34"/>
  <c r="BF79" i="34"/>
  <c r="AT80" i="34"/>
  <c r="AO80" i="34"/>
  <c r="AP80" i="34" s="1"/>
  <c r="AR79" i="34"/>
  <c r="AQ79" i="34"/>
  <c r="U1005" i="32"/>
  <c r="K2499" i="27"/>
  <c r="F2499" i="27"/>
  <c r="I2499" i="27"/>
  <c r="N684" i="27"/>
  <c r="M689" i="27"/>
  <c r="J1314" i="27"/>
  <c r="A330" i="32"/>
  <c r="J684" i="27"/>
  <c r="A1005" i="32"/>
  <c r="P4295" i="27"/>
  <c r="I282" i="27"/>
  <c r="G1001" i="32"/>
  <c r="I1560" i="27"/>
  <c r="A1003" i="32"/>
  <c r="K1560" i="27"/>
  <c r="I689" i="27"/>
  <c r="N689" i="27"/>
  <c r="E924" i="27"/>
  <c r="J1560" i="27"/>
  <c r="R909" i="27"/>
  <c r="L4296" i="27"/>
  <c r="D4296" i="27"/>
  <c r="I924" i="27"/>
  <c r="M684" i="27"/>
  <c r="K4295" i="27"/>
  <c r="L909" i="27"/>
  <c r="M282" i="27"/>
  <c r="L1314" i="27"/>
  <c r="I684" i="27"/>
  <c r="L1560" i="27"/>
  <c r="N282" i="27"/>
  <c r="I909" i="27"/>
  <c r="F924" i="27"/>
  <c r="V1121" i="32" l="1" a="1"/>
  <c r="V1121" i="32" s="1"/>
  <c r="L1121" i="32" s="1"/>
  <c r="S1121" i="32" a="1"/>
  <c r="S1121" i="32" s="1"/>
  <c r="E1121" i="32" s="1"/>
  <c r="T1121" i="32" a="1"/>
  <c r="T1121" i="32" s="1"/>
  <c r="R1121" i="32" a="1"/>
  <c r="R1121" i="32" s="1"/>
  <c r="D1121" i="32" s="1"/>
  <c r="Q1123" i="32"/>
  <c r="P1125" i="32"/>
  <c r="F5533" i="27"/>
  <c r="I1974" i="27"/>
  <c r="H1977" i="27"/>
  <c r="K1976" i="27"/>
  <c r="O1978" i="27"/>
  <c r="G1978" i="27"/>
  <c r="I1978" i="27"/>
  <c r="N1976" i="27"/>
  <c r="E1978" i="27"/>
  <c r="N1974" i="27"/>
  <c r="K1974" i="27"/>
  <c r="O1976" i="27"/>
  <c r="O1974" i="27"/>
  <c r="J1977" i="27"/>
  <c r="M1976" i="27"/>
  <c r="A1976" i="27" s="1"/>
  <c r="N1975" i="27"/>
  <c r="I1975" i="27"/>
  <c r="N1977" i="27"/>
  <c r="H1976" i="27"/>
  <c r="E1975" i="27"/>
  <c r="H1975" i="27"/>
  <c r="J1975" i="27"/>
  <c r="E1976" i="27"/>
  <c r="E1977" i="27"/>
  <c r="J1978" i="27"/>
  <c r="L1976" i="27"/>
  <c r="G1977" i="27"/>
  <c r="K1977" i="27"/>
  <c r="G1975" i="27"/>
  <c r="N1978" i="27"/>
  <c r="L1978" i="27"/>
  <c r="L1975" i="27"/>
  <c r="M1974" i="27"/>
  <c r="A1974" i="27" s="1"/>
  <c r="M1975" i="27"/>
  <c r="A1975" i="27" s="1"/>
  <c r="L1974" i="27"/>
  <c r="L1977" i="27"/>
  <c r="K1975" i="27"/>
  <c r="J1976" i="27"/>
  <c r="M1978" i="27"/>
  <c r="A1978" i="27" s="1"/>
  <c r="O1975" i="27"/>
  <c r="I1976" i="27"/>
  <c r="M1977" i="27"/>
  <c r="A1977" i="27" s="1"/>
  <c r="H1978" i="27"/>
  <c r="O1977" i="27"/>
  <c r="I1977" i="27"/>
  <c r="G1976" i="27"/>
  <c r="K1978" i="27"/>
  <c r="K1676" i="27"/>
  <c r="K1674" i="27"/>
  <c r="K1678" i="27"/>
  <c r="K1675" i="27"/>
  <c r="K1677" i="27"/>
  <c r="I2424" i="27"/>
  <c r="A1560" i="27"/>
  <c r="H1562" i="27"/>
  <c r="E1021" i="27"/>
  <c r="E1020" i="27"/>
  <c r="E1019" i="27"/>
  <c r="E1018" i="27"/>
  <c r="E1017" i="27"/>
  <c r="E942" i="27"/>
  <c r="E980" i="27"/>
  <c r="E947" i="27"/>
  <c r="E960" i="27"/>
  <c r="E951" i="27"/>
  <c r="E982" i="27"/>
  <c r="E956" i="27"/>
  <c r="E950" i="27"/>
  <c r="E941" i="27"/>
  <c r="E1016" i="27"/>
  <c r="E985" i="27"/>
  <c r="E962" i="27"/>
  <c r="E971" i="27"/>
  <c r="E959" i="27"/>
  <c r="E969" i="27"/>
  <c r="E996" i="27"/>
  <c r="E957" i="27"/>
  <c r="E964" i="27"/>
  <c r="E984" i="27"/>
  <c r="E1015" i="27"/>
  <c r="E983" i="27"/>
  <c r="E975" i="27"/>
  <c r="E966" i="27"/>
  <c r="E990" i="27"/>
  <c r="E991" i="27"/>
  <c r="E1001" i="27"/>
  <c r="E998" i="27"/>
  <c r="E989" i="27"/>
  <c r="E968" i="27"/>
  <c r="E972" i="27"/>
  <c r="E1011" i="27"/>
  <c r="E940" i="27"/>
  <c r="E1004" i="27"/>
  <c r="E997" i="27"/>
  <c r="E961" i="27"/>
  <c r="E946" i="27"/>
  <c r="E955" i="27"/>
  <c r="E979" i="27"/>
  <c r="E1014" i="27"/>
  <c r="E992" i="27"/>
  <c r="E967" i="27"/>
  <c r="E987" i="27"/>
  <c r="E988" i="27"/>
  <c r="E944" i="27"/>
  <c r="E945" i="27"/>
  <c r="E999" i="27"/>
  <c r="E995" i="27"/>
  <c r="E981" i="27"/>
  <c r="E963" i="27"/>
  <c r="E986" i="27"/>
  <c r="E1010" i="27"/>
  <c r="E1013" i="27"/>
  <c r="E1002" i="27"/>
  <c r="E1009" i="27"/>
  <c r="E958" i="27"/>
  <c r="E976" i="27"/>
  <c r="E974" i="27"/>
  <c r="E954" i="27"/>
  <c r="E1006" i="27"/>
  <c r="E970" i="27"/>
  <c r="E1003" i="27"/>
  <c r="E943" i="27"/>
  <c r="E1000" i="27"/>
  <c r="E993" i="27"/>
  <c r="E952" i="27"/>
  <c r="E1012" i="27"/>
  <c r="E965" i="27"/>
  <c r="E949" i="27"/>
  <c r="E953" i="27"/>
  <c r="E1007" i="27"/>
  <c r="E973" i="27"/>
  <c r="E978" i="27"/>
  <c r="E1008" i="27"/>
  <c r="E994" i="27"/>
  <c r="E1005" i="27"/>
  <c r="E977" i="27"/>
  <c r="E948" i="27"/>
  <c r="E939" i="27"/>
  <c r="L939" i="27" s="1"/>
  <c r="R116" i="24"/>
  <c r="BE80" i="34"/>
  <c r="BF80" i="34"/>
  <c r="F159" i="24"/>
  <c r="H159" i="24"/>
  <c r="AT81" i="34"/>
  <c r="AO81" i="34"/>
  <c r="AP81" i="34" s="1"/>
  <c r="AR80" i="34"/>
  <c r="AQ80" i="34"/>
  <c r="U1007" i="32"/>
  <c r="I2120" i="27"/>
  <c r="L1561" i="27"/>
  <c r="A1007" i="32"/>
  <c r="K684" i="27"/>
  <c r="G1625" i="27"/>
  <c r="P4296" i="27"/>
  <c r="K4296" i="27"/>
  <c r="I1561" i="27"/>
  <c r="I920" i="27"/>
  <c r="P17" i="30"/>
  <c r="P23" i="30"/>
  <c r="G49" i="33"/>
  <c r="K1561" i="27"/>
  <c r="G1620" i="27"/>
  <c r="L4297" i="27"/>
  <c r="J1561" i="27"/>
  <c r="D4297" i="27"/>
  <c r="G1003" i="32"/>
  <c r="Q1125" i="32" l="1"/>
  <c r="P1127" i="32"/>
  <c r="T1123" i="32" a="1"/>
  <c r="T1123" i="32" s="1"/>
  <c r="R1123" i="32" a="1"/>
  <c r="R1123" i="32" s="1"/>
  <c r="D1123" i="32" s="1"/>
  <c r="S1123" i="32" a="1"/>
  <c r="S1123" i="32" s="1"/>
  <c r="E1123" i="32" s="1"/>
  <c r="V1123" i="32" a="1"/>
  <c r="V1123" i="32" s="1"/>
  <c r="L1123" i="32" s="1"/>
  <c r="I939" i="27"/>
  <c r="J939" i="27"/>
  <c r="K939" i="27"/>
  <c r="A684" i="27"/>
  <c r="F5534" i="27"/>
  <c r="F5535" i="27"/>
  <c r="I1970" i="27"/>
  <c r="A1561" i="27"/>
  <c r="H1563" i="27"/>
  <c r="H1564" i="27"/>
  <c r="H946" i="27"/>
  <c r="H947" i="27" s="1"/>
  <c r="H948" i="27" s="1"/>
  <c r="H949" i="27" s="1"/>
  <c r="H950" i="27" s="1"/>
  <c r="Q62" i="24"/>
  <c r="H939" i="27"/>
  <c r="Q118" i="24"/>
  <c r="Q68" i="24"/>
  <c r="E189" i="24"/>
  <c r="N153" i="24"/>
  <c r="BE81" i="34"/>
  <c r="BF81" i="34"/>
  <c r="AO82" i="34"/>
  <c r="AP82" i="34" s="1"/>
  <c r="AT82" i="34"/>
  <c r="AQ81" i="34"/>
  <c r="AR81" i="34"/>
  <c r="U1009" i="32"/>
  <c r="K1562" i="27"/>
  <c r="G924" i="27"/>
  <c r="L1562" i="27"/>
  <c r="K4297" i="27"/>
  <c r="I916" i="27"/>
  <c r="K689" i="27"/>
  <c r="K264" i="27"/>
  <c r="D924" i="27"/>
  <c r="L4298" i="27"/>
  <c r="I1562" i="27"/>
  <c r="J1562" i="27"/>
  <c r="D4298" i="27"/>
  <c r="G1005" i="32"/>
  <c r="I1314" i="27"/>
  <c r="P4297" i="27"/>
  <c r="K282" i="27"/>
  <c r="A1009" i="32"/>
  <c r="P1129" i="32" l="1"/>
  <c r="Q1127" i="32"/>
  <c r="R1125" i="32" a="1"/>
  <c r="R1125" i="32" s="1"/>
  <c r="D1125" i="32" s="1"/>
  <c r="T1125" i="32" a="1"/>
  <c r="T1125" i="32" s="1"/>
  <c r="V1125" i="32" a="1"/>
  <c r="V1125" i="32" s="1"/>
  <c r="L1125" i="32" s="1"/>
  <c r="S1125" i="32" a="1"/>
  <c r="S1125" i="32" s="1"/>
  <c r="E1125" i="32" s="1"/>
  <c r="A264" i="27"/>
  <c r="T264" i="27" s="1"/>
  <c r="A939" i="27"/>
  <c r="A689" i="27"/>
  <c r="A1314" i="27"/>
  <c r="A282" i="27"/>
  <c r="T282" i="27" s="1"/>
  <c r="F5536" i="27"/>
  <c r="G1974" i="27"/>
  <c r="G2424" i="27"/>
  <c r="A1562" i="27"/>
  <c r="H1565" i="27"/>
  <c r="H951" i="27"/>
  <c r="H952" i="27"/>
  <c r="H953" i="27" s="1"/>
  <c r="H954" i="27" s="1"/>
  <c r="H955" i="27" s="1"/>
  <c r="H956" i="27" s="1"/>
  <c r="G2120" i="27"/>
  <c r="BE82" i="34"/>
  <c r="BF82" i="34"/>
  <c r="AT83" i="34"/>
  <c r="AO83" i="34"/>
  <c r="AP83" i="34" s="1"/>
  <c r="AR82" i="34"/>
  <c r="AQ82" i="34"/>
  <c r="U1011" i="32"/>
  <c r="L1563" i="27"/>
  <c r="P4298" i="27"/>
  <c r="I1564" i="27"/>
  <c r="G1007" i="32"/>
  <c r="I1563" i="27"/>
  <c r="J1563" i="27"/>
  <c r="K1563" i="27"/>
  <c r="L4299" i="27"/>
  <c r="G920" i="27"/>
  <c r="K1564" i="27"/>
  <c r="K4298" i="27"/>
  <c r="A1011" i="32"/>
  <c r="J1564" i="27"/>
  <c r="L1564" i="27"/>
  <c r="D4299" i="27"/>
  <c r="R1127" i="32" l="1" a="1"/>
  <c r="R1127" i="32" s="1"/>
  <c r="D1127" i="32" s="1"/>
  <c r="T1127" i="32" a="1"/>
  <c r="T1127" i="32" s="1"/>
  <c r="V1127" i="32" a="1"/>
  <c r="V1127" i="32" s="1"/>
  <c r="L1127" i="32" s="1"/>
  <c r="S1127" i="32" a="1"/>
  <c r="S1127" i="32" s="1"/>
  <c r="E1127" i="32" s="1"/>
  <c r="P1131" i="32"/>
  <c r="Q1129" i="32"/>
  <c r="F5537" i="27"/>
  <c r="G1970" i="27"/>
  <c r="A1564" i="27"/>
  <c r="A1563" i="27"/>
  <c r="H1566" i="27"/>
  <c r="H957" i="27"/>
  <c r="H958" i="27"/>
  <c r="H959" i="27" s="1"/>
  <c r="H960" i="27" s="1"/>
  <c r="H961" i="27" s="1"/>
  <c r="H962" i="27" s="1"/>
  <c r="BF83" i="34"/>
  <c r="BE83" i="34"/>
  <c r="AT84" i="34"/>
  <c r="AO84" i="34"/>
  <c r="AP84" i="34" s="1"/>
  <c r="AR83" i="34"/>
  <c r="AQ83" i="34"/>
  <c r="U1013" i="32"/>
  <c r="O2120" i="27"/>
  <c r="P2499" i="27"/>
  <c r="C939" i="27"/>
  <c r="G1009" i="32"/>
  <c r="I1565" i="27"/>
  <c r="G916" i="27"/>
  <c r="A1013" i="32"/>
  <c r="A629" i="32"/>
  <c r="P4299" i="27"/>
  <c r="A340" i="32"/>
  <c r="D4300" i="27"/>
  <c r="K1565" i="27"/>
  <c r="L1565" i="27"/>
  <c r="L4300" i="27"/>
  <c r="P924" i="27"/>
  <c r="J1565" i="27"/>
  <c r="O920" i="27"/>
  <c r="K4299" i="27"/>
  <c r="S1129" i="32" l="1" a="1"/>
  <c r="S1129" i="32" s="1"/>
  <c r="E1129" i="32" s="1"/>
  <c r="V1129" i="32" a="1"/>
  <c r="V1129" i="32" s="1"/>
  <c r="L1129" i="32" s="1"/>
  <c r="T1129" i="32" a="1"/>
  <c r="T1129" i="32" s="1"/>
  <c r="R1129" i="32" a="1"/>
  <c r="R1129" i="32" s="1"/>
  <c r="D1129" i="32" s="1"/>
  <c r="Q1131" i="32"/>
  <c r="P1133" i="32"/>
  <c r="F5538" i="27"/>
  <c r="E3860" i="27"/>
  <c r="E3828" i="27"/>
  <c r="K3735" i="27"/>
  <c r="J3783" i="27"/>
  <c r="G3831" i="27"/>
  <c r="I3879" i="27"/>
  <c r="J3720" i="27"/>
  <c r="G3768" i="27"/>
  <c r="J3816" i="27"/>
  <c r="M3864" i="27"/>
  <c r="A3864" i="27" s="1"/>
  <c r="E3737" i="27"/>
  <c r="J3785" i="27"/>
  <c r="H3833" i="27"/>
  <c r="K3881" i="27"/>
  <c r="E3868" i="27"/>
  <c r="P3727" i="27"/>
  <c r="N3775" i="27"/>
  <c r="N3823" i="27"/>
  <c r="J3871" i="27"/>
  <c r="J3712" i="27"/>
  <c r="M3760" i="27"/>
  <c r="A3760" i="27" s="1"/>
  <c r="O3808" i="27"/>
  <c r="E3848" i="27"/>
  <c r="F3896" i="27"/>
  <c r="H3729" i="27"/>
  <c r="K3777" i="27"/>
  <c r="N3825" i="27"/>
  <c r="P3873" i="27"/>
  <c r="K3727" i="27"/>
  <c r="I3791" i="27"/>
  <c r="H3855" i="27"/>
  <c r="H3760" i="27"/>
  <c r="K3824" i="27"/>
  <c r="P3888" i="27"/>
  <c r="I3713" i="27"/>
  <c r="G3777" i="27"/>
  <c r="J3841" i="27"/>
  <c r="N3706" i="27"/>
  <c r="O3754" i="27"/>
  <c r="K3751" i="27"/>
  <c r="J3815" i="27"/>
  <c r="E3879" i="27"/>
  <c r="F3720" i="27"/>
  <c r="J3711" i="27"/>
  <c r="H3775" i="27"/>
  <c r="F3839" i="27"/>
  <c r="E3744" i="27"/>
  <c r="I3808" i="27"/>
  <c r="K3872" i="27"/>
  <c r="N3705" i="27"/>
  <c r="P3769" i="27"/>
  <c r="H3825" i="27"/>
  <c r="J3889" i="27"/>
  <c r="I3719" i="27"/>
  <c r="G3783" i="27"/>
  <c r="P3855" i="27"/>
  <c r="E3752" i="27"/>
  <c r="F3816" i="27"/>
  <c r="K3880" i="27"/>
  <c r="N3713" i="27"/>
  <c r="O3727" i="27"/>
  <c r="O3791" i="27"/>
  <c r="K3855" i="27"/>
  <c r="K3760" i="27"/>
  <c r="P3824" i="27"/>
  <c r="I3880" i="27"/>
  <c r="G3713" i="27"/>
  <c r="J3777" i="27"/>
  <c r="O3841" i="27"/>
  <c r="M3727" i="27"/>
  <c r="A3727" i="27" s="1"/>
  <c r="M3791" i="27"/>
  <c r="A3791" i="27" s="1"/>
  <c r="I3855" i="27"/>
  <c r="J3760" i="27"/>
  <c r="O3824" i="27"/>
  <c r="E3880" i="27"/>
  <c r="J3824" i="27"/>
  <c r="M3753" i="27"/>
  <c r="A3753" i="27" s="1"/>
  <c r="E3849" i="27"/>
  <c r="O3746" i="27"/>
  <c r="G3794" i="27"/>
  <c r="I3842" i="27"/>
  <c r="E3735" i="27"/>
  <c r="K3848" i="27"/>
  <c r="N3769" i="27"/>
  <c r="O3865" i="27"/>
  <c r="J3808" i="27"/>
  <c r="O3745" i="27"/>
  <c r="G3841" i="27"/>
  <c r="G3738" i="27"/>
  <c r="N3794" i="27"/>
  <c r="P3842" i="27"/>
  <c r="F3882" i="27"/>
  <c r="F3715" i="27"/>
  <c r="F3763" i="27"/>
  <c r="I3811" i="27"/>
  <c r="J3859" i="27"/>
  <c r="M3847" i="27"/>
  <c r="A3847" i="27" s="1"/>
  <c r="O3752" i="27"/>
  <c r="K3705" i="27"/>
  <c r="N3809" i="27"/>
  <c r="N3722" i="27"/>
  <c r="E3770" i="27"/>
  <c r="E3818" i="27"/>
  <c r="G3866" i="27"/>
  <c r="I3747" i="27"/>
  <c r="I3795" i="27"/>
  <c r="M3843" i="27"/>
  <c r="A3843" i="27" s="1"/>
  <c r="M3891" i="27"/>
  <c r="A3891" i="27" s="1"/>
  <c r="E3783" i="27"/>
  <c r="H3872" i="27"/>
  <c r="M3785" i="27"/>
  <c r="A3785" i="27" s="1"/>
  <c r="P3881" i="27"/>
  <c r="G3706" i="27"/>
  <c r="K3762" i="27"/>
  <c r="I3810" i="27"/>
  <c r="P3800" i="27"/>
  <c r="H3800" i="27"/>
  <c r="G3737" i="27"/>
  <c r="P3841" i="27"/>
  <c r="M3738" i="27"/>
  <c r="A3738" i="27" s="1"/>
  <c r="E3786" i="27"/>
  <c r="G3834" i="27"/>
  <c r="I3882" i="27"/>
  <c r="I3889" i="27"/>
  <c r="J3762" i="27"/>
  <c r="E3866" i="27"/>
  <c r="P3731" i="27"/>
  <c r="F3787" i="27"/>
  <c r="I3851" i="27"/>
  <c r="I3708" i="27"/>
  <c r="G3756" i="27"/>
  <c r="G3719" i="27"/>
  <c r="H3849" i="27"/>
  <c r="P3746" i="27"/>
  <c r="H3858" i="27"/>
  <c r="N3723" i="27"/>
  <c r="O3787" i="27"/>
  <c r="F3843" i="27"/>
  <c r="O3756" i="27"/>
  <c r="G3804" i="27"/>
  <c r="N3860" i="27"/>
  <c r="E3806" i="27"/>
  <c r="G3774" i="27"/>
  <c r="M3743" i="27"/>
  <c r="A3743" i="27" s="1"/>
  <c r="K3791" i="27"/>
  <c r="J3839" i="27"/>
  <c r="H3887" i="27"/>
  <c r="H3728" i="27"/>
  <c r="K3776" i="27"/>
  <c r="N3824" i="27"/>
  <c r="P3872" i="27"/>
  <c r="F3745" i="27"/>
  <c r="I3793" i="27"/>
  <c r="M3841" i="27"/>
  <c r="A3841" i="27" s="1"/>
  <c r="O3889" i="27"/>
  <c r="J3727" i="27"/>
  <c r="F3775" i="27"/>
  <c r="P3831" i="27"/>
  <c r="M3879" i="27"/>
  <c r="A3879" i="27" s="1"/>
  <c r="N3720" i="27"/>
  <c r="P3768" i="27"/>
  <c r="F3808" i="27"/>
  <c r="H3856" i="27"/>
  <c r="M3737" i="27"/>
  <c r="A3737" i="27" s="1"/>
  <c r="O3785" i="27"/>
  <c r="E3825" i="27"/>
  <c r="G3873" i="27"/>
  <c r="E3748" i="27"/>
  <c r="P3735" i="27"/>
  <c r="K3799" i="27"/>
  <c r="E3863" i="27"/>
  <c r="J3704" i="27"/>
  <c r="I3768" i="27"/>
  <c r="M3832" i="27"/>
  <c r="A3832" i="27" s="1"/>
  <c r="I3721" i="27"/>
  <c r="G3785" i="27"/>
  <c r="K3849" i="27"/>
  <c r="E3706" i="27"/>
  <c r="I3754" i="27"/>
  <c r="E3798" i="27"/>
  <c r="K3759" i="27"/>
  <c r="H3823" i="27"/>
  <c r="E3887" i="27"/>
  <c r="J3728" i="27"/>
  <c r="J3719" i="27"/>
  <c r="H3783" i="27"/>
  <c r="E3847" i="27"/>
  <c r="I3752" i="27"/>
  <c r="G3816" i="27"/>
  <c r="M3880" i="27"/>
  <c r="A3880" i="27" s="1"/>
  <c r="O3713" i="27"/>
  <c r="E3769" i="27"/>
  <c r="F3833" i="27"/>
  <c r="H3727" i="27"/>
  <c r="J3791" i="27"/>
  <c r="O3863" i="27"/>
  <c r="N3704" i="27"/>
  <c r="E3760" i="27"/>
  <c r="H3824" i="27"/>
  <c r="J3888" i="27"/>
  <c r="M3721" i="27"/>
  <c r="A3721" i="27" s="1"/>
  <c r="O3735" i="27"/>
  <c r="N3799" i="27"/>
  <c r="K3863" i="27"/>
  <c r="I3704" i="27"/>
  <c r="M3768" i="27"/>
  <c r="A3768" i="27" s="1"/>
  <c r="O3832" i="27"/>
  <c r="G3888" i="27"/>
  <c r="G3721" i="27"/>
  <c r="K3785" i="27"/>
  <c r="N3849" i="27"/>
  <c r="M3735" i="27"/>
  <c r="A3735" i="27" s="1"/>
  <c r="M3799" i="27"/>
  <c r="A3799" i="27" s="1"/>
  <c r="J3863" i="27"/>
  <c r="H3704" i="27"/>
  <c r="K3768" i="27"/>
  <c r="N3832" i="27"/>
  <c r="F3888" i="27"/>
  <c r="I3735" i="27"/>
  <c r="F3840" i="27"/>
  <c r="O3769" i="27"/>
  <c r="P3865" i="27"/>
  <c r="N3754" i="27"/>
  <c r="I3802" i="27"/>
  <c r="M3850" i="27"/>
  <c r="A3850" i="27" s="1"/>
  <c r="E3767" i="27"/>
  <c r="F3864" i="27"/>
  <c r="F3777" i="27"/>
  <c r="I3873" i="27"/>
  <c r="J3706" i="27"/>
  <c r="I3711" i="27"/>
  <c r="F3824" i="27"/>
  <c r="I3753" i="27"/>
  <c r="O3857" i="27"/>
  <c r="J3746" i="27"/>
  <c r="E3794" i="27"/>
  <c r="G3842" i="27"/>
  <c r="I3890" i="27"/>
  <c r="E3723" i="27"/>
  <c r="J3771" i="27"/>
  <c r="J3819" i="27"/>
  <c r="N3867" i="27"/>
  <c r="N3879" i="27"/>
  <c r="H3768" i="27"/>
  <c r="K3721" i="27"/>
  <c r="I3817" i="27"/>
  <c r="P3730" i="27"/>
  <c r="I3778" i="27"/>
  <c r="H3826" i="27"/>
  <c r="I3874" i="27"/>
  <c r="J3707" i="27"/>
  <c r="J3755" i="27"/>
  <c r="N3803" i="27"/>
  <c r="O3851" i="27"/>
  <c r="P3823" i="27"/>
  <c r="N3728" i="27"/>
  <c r="E3774" i="27"/>
  <c r="E3743" i="27"/>
  <c r="P3799" i="27"/>
  <c r="O3847" i="27"/>
  <c r="K3895" i="27"/>
  <c r="M3736" i="27"/>
  <c r="A3736" i="27" s="1"/>
  <c r="O3784" i="27"/>
  <c r="E3824" i="27"/>
  <c r="G3872" i="27"/>
  <c r="H3705" i="27"/>
  <c r="K3753" i="27"/>
  <c r="N3801" i="27"/>
  <c r="P3849" i="27"/>
  <c r="F3889" i="27"/>
  <c r="J3735" i="27"/>
  <c r="I3783" i="27"/>
  <c r="I3831" i="27"/>
  <c r="P3887" i="27"/>
  <c r="E3720" i="27"/>
  <c r="F3768" i="27"/>
  <c r="H3816" i="27"/>
  <c r="K3864" i="27"/>
  <c r="P3745" i="27"/>
  <c r="E3785" i="27"/>
  <c r="G3833" i="27"/>
  <c r="J3881" i="27"/>
  <c r="E3892" i="27"/>
  <c r="K3743" i="27"/>
  <c r="K3807" i="27"/>
  <c r="G3871" i="27"/>
  <c r="F3712" i="27"/>
  <c r="H3776" i="27"/>
  <c r="N3840" i="27"/>
  <c r="J3729" i="27"/>
  <c r="G3793" i="27"/>
  <c r="M3857" i="27"/>
  <c r="A3857" i="27" s="1"/>
  <c r="G3714" i="27"/>
  <c r="H3762" i="27"/>
  <c r="I3767" i="27"/>
  <c r="H3831" i="27"/>
  <c r="F3736" i="27"/>
  <c r="I3727" i="27"/>
  <c r="G3791" i="27"/>
  <c r="P3863" i="27"/>
  <c r="O3704" i="27"/>
  <c r="F3760" i="27"/>
  <c r="I3824" i="27"/>
  <c r="K3888" i="27"/>
  <c r="N3721" i="27"/>
  <c r="I3777" i="27"/>
  <c r="H3841" i="27"/>
  <c r="E3788" i="27"/>
  <c r="G3735" i="27"/>
  <c r="G3799" i="27"/>
  <c r="O3871" i="27"/>
  <c r="O3712" i="27"/>
  <c r="E3768" i="27"/>
  <c r="H3832" i="27"/>
  <c r="K3896" i="27"/>
  <c r="E3876" i="27"/>
  <c r="O3743" i="27"/>
  <c r="N3807" i="27"/>
  <c r="I3871" i="27"/>
  <c r="H3712" i="27"/>
  <c r="N3776" i="27"/>
  <c r="P3840" i="27"/>
  <c r="G3729" i="27"/>
  <c r="M3793" i="27"/>
  <c r="A3793" i="27" s="1"/>
  <c r="E3884" i="27"/>
  <c r="N3743" i="27"/>
  <c r="M3807" i="27"/>
  <c r="A3807" i="27" s="1"/>
  <c r="H3871" i="27"/>
  <c r="G3712" i="27"/>
  <c r="M3776" i="27"/>
  <c r="A3776" i="27" s="1"/>
  <c r="O3840" i="27"/>
  <c r="J3767" i="27"/>
  <c r="G3864" i="27"/>
  <c r="H3777" i="27"/>
  <c r="K3873" i="27"/>
  <c r="M3706" i="27"/>
  <c r="A3706" i="27" s="1"/>
  <c r="P3762" i="27"/>
  <c r="N3810" i="27"/>
  <c r="P3858" i="27"/>
  <c r="O3807" i="27"/>
  <c r="M3712" i="27"/>
  <c r="A3712" i="27" s="1"/>
  <c r="I3888" i="27"/>
  <c r="N3793" i="27"/>
  <c r="I3881" i="27"/>
  <c r="N3714" i="27"/>
  <c r="J3743" i="27"/>
  <c r="G3848" i="27"/>
  <c r="M3769" i="27"/>
  <c r="A3769" i="27" s="1"/>
  <c r="J3865" i="27"/>
  <c r="H3715" i="27"/>
  <c r="E3742" i="27"/>
  <c r="G3751" i="27"/>
  <c r="I3799" i="27"/>
  <c r="O3855" i="27"/>
  <c r="P3744" i="27"/>
  <c r="J3784" i="27"/>
  <c r="G3832" i="27"/>
  <c r="J3880" i="27"/>
  <c r="M3713" i="27"/>
  <c r="A3713" i="27" s="1"/>
  <c r="O3761" i="27"/>
  <c r="E3801" i="27"/>
  <c r="I3849" i="27"/>
  <c r="E3782" i="27"/>
  <c r="P3743" i="27"/>
  <c r="N3791" i="27"/>
  <c r="I3839" i="27"/>
  <c r="G3887" i="27"/>
  <c r="G3728" i="27"/>
  <c r="J3776" i="27"/>
  <c r="M3824" i="27"/>
  <c r="A3824" i="27" s="1"/>
  <c r="O3872" i="27"/>
  <c r="H3734" i="27"/>
  <c r="J3745" i="27"/>
  <c r="H3793" i="27"/>
  <c r="K3841" i="27"/>
  <c r="N3889" i="27"/>
  <c r="N3751" i="27"/>
  <c r="G3815" i="27"/>
  <c r="G3879" i="27"/>
  <c r="G3720" i="27"/>
  <c r="I3784" i="27"/>
  <c r="M3848" i="27"/>
  <c r="A3848" i="27" s="1"/>
  <c r="F3737" i="27"/>
  <c r="H3801" i="27"/>
  <c r="K3865" i="27"/>
  <c r="K3722" i="27"/>
  <c r="M3770" i="27"/>
  <c r="A3770" i="27" s="1"/>
  <c r="K3711" i="27"/>
  <c r="J3775" i="27"/>
  <c r="G3839" i="27"/>
  <c r="H3780" i="27"/>
  <c r="H3735" i="27"/>
  <c r="H3799" i="27"/>
  <c r="P3871" i="27"/>
  <c r="P3712" i="27"/>
  <c r="J3768" i="27"/>
  <c r="J3832" i="27"/>
  <c r="M3896" i="27"/>
  <c r="A3896" i="27" s="1"/>
  <c r="O3729" i="27"/>
  <c r="I3785" i="27"/>
  <c r="G3849" i="27"/>
  <c r="G3743" i="27"/>
  <c r="E3807" i="27"/>
  <c r="P3879" i="27"/>
  <c r="P3720" i="27"/>
  <c r="I3776" i="27"/>
  <c r="H3840" i="27"/>
  <c r="P3751" i="27"/>
  <c r="M3815" i="27"/>
  <c r="A3815" i="27" s="1"/>
  <c r="K3879" i="27"/>
  <c r="I3720" i="27"/>
  <c r="M3784" i="27"/>
  <c r="A3784" i="27" s="1"/>
  <c r="E3840" i="27"/>
  <c r="H3737" i="27"/>
  <c r="K3801" i="27"/>
  <c r="M3751" i="27"/>
  <c r="A3751" i="27" s="1"/>
  <c r="K3815" i="27"/>
  <c r="H3879" i="27"/>
  <c r="H3720" i="27"/>
  <c r="K3784" i="27"/>
  <c r="P3848" i="27"/>
  <c r="P3807" i="27"/>
  <c r="N3712" i="27"/>
  <c r="O3888" i="27"/>
  <c r="O3793" i="27"/>
  <c r="F3881" i="27"/>
  <c r="O3714" i="27"/>
  <c r="I3762" i="27"/>
  <c r="E3810" i="27"/>
  <c r="F3858" i="27"/>
  <c r="M3839" i="27"/>
  <c r="A3839" i="27" s="1"/>
  <c r="M3744" i="27"/>
  <c r="A3744" i="27" s="1"/>
  <c r="F3847" i="27"/>
  <c r="I3801" i="27"/>
  <c r="P3722" i="27"/>
  <c r="E3775" i="27"/>
  <c r="M3872" i="27"/>
  <c r="A3872" i="27" s="1"/>
  <c r="E3777" i="27"/>
  <c r="F3873" i="27"/>
  <c r="I3706" i="27"/>
  <c r="N3762" i="27"/>
  <c r="K3810" i="27"/>
  <c r="N3858" i="27"/>
  <c r="P3739" i="27"/>
  <c r="G3779" i="27"/>
  <c r="F3827" i="27"/>
  <c r="H3875" i="27"/>
  <c r="E3808" i="27"/>
  <c r="I3745" i="27"/>
  <c r="F3841" i="27"/>
  <c r="F3738" i="27"/>
  <c r="M3794" i="27"/>
  <c r="A3794" i="27" s="1"/>
  <c r="O3842" i="27"/>
  <c r="E3882" i="27"/>
  <c r="G3715" i="27"/>
  <c r="G3763" i="27"/>
  <c r="H3811" i="27"/>
  <c r="I3859" i="27"/>
  <c r="N3887" i="27"/>
  <c r="P3776" i="27"/>
  <c r="H3721" i="27"/>
  <c r="E3817" i="27"/>
  <c r="N3730" i="27"/>
  <c r="E3778" i="27"/>
  <c r="F3759" i="27"/>
  <c r="E3759" i="27"/>
  <c r="N3864" i="27"/>
  <c r="N3777" i="27"/>
  <c r="N3873" i="27"/>
  <c r="O3706" i="27"/>
  <c r="E3754" i="27"/>
  <c r="O3810" i="27"/>
  <c r="E3850" i="27"/>
  <c r="H3810" i="27"/>
  <c r="H3747" i="27"/>
  <c r="G3811" i="27"/>
  <c r="I3875" i="27"/>
  <c r="G3724" i="27"/>
  <c r="M3780" i="27"/>
  <c r="A3780" i="27" s="1"/>
  <c r="F3794" i="27"/>
  <c r="J3890" i="27"/>
  <c r="O3747" i="27"/>
  <c r="P3811" i="27"/>
  <c r="E3867" i="27"/>
  <c r="N3724" i="27"/>
  <c r="I3772" i="27"/>
  <c r="O3828" i="27"/>
  <c r="P3884" i="27"/>
  <c r="J3717" i="27"/>
  <c r="N3765" i="27"/>
  <c r="E3762" i="27"/>
  <c r="M3874" i="27"/>
  <c r="A3874" i="27" s="1"/>
  <c r="E3710" i="27"/>
  <c r="O3711" i="27"/>
  <c r="I3759" i="27"/>
  <c r="H3807" i="27"/>
  <c r="F3855" i="27"/>
  <c r="F3744" i="27"/>
  <c r="H3792" i="27"/>
  <c r="K3840" i="27"/>
  <c r="N3888" i="27"/>
  <c r="P3721" i="27"/>
  <c r="J3761" i="27"/>
  <c r="G3809" i="27"/>
  <c r="J3857" i="27"/>
  <c r="G3755" i="27"/>
  <c r="O3751" i="27"/>
  <c r="O3799" i="27"/>
  <c r="N3847" i="27"/>
  <c r="J3895" i="27"/>
  <c r="K3736" i="27"/>
  <c r="N3784" i="27"/>
  <c r="P3832" i="27"/>
  <c r="F3872" i="27"/>
  <c r="G3705" i="27"/>
  <c r="J3753" i="27"/>
  <c r="M3801" i="27"/>
  <c r="A3801" i="27" s="1"/>
  <c r="O3849" i="27"/>
  <c r="E3889" i="27"/>
  <c r="E3790" i="27"/>
  <c r="N3759" i="27"/>
  <c r="I3823" i="27"/>
  <c r="F3887" i="27"/>
  <c r="F3728" i="27"/>
  <c r="K3792" i="27"/>
  <c r="N3856" i="27"/>
  <c r="K3745" i="27"/>
  <c r="I3809" i="27"/>
  <c r="M3873" i="27"/>
  <c r="A3873" i="27" s="1"/>
  <c r="O3730" i="27"/>
  <c r="P3778" i="27"/>
  <c r="K3719" i="27"/>
  <c r="N3783" i="27"/>
  <c r="G3847" i="27"/>
  <c r="H3743" i="27"/>
  <c r="F3807" i="27"/>
  <c r="E3871" i="27"/>
  <c r="I3712" i="27"/>
  <c r="F3776" i="27"/>
  <c r="I3840" i="27"/>
  <c r="P3737" i="27"/>
  <c r="J3793" i="27"/>
  <c r="H3857" i="27"/>
  <c r="E3726" i="27"/>
  <c r="H3751" i="27"/>
  <c r="E3815" i="27"/>
  <c r="M3887" i="27"/>
  <c r="A3887" i="27" s="1"/>
  <c r="O3728" i="27"/>
  <c r="F3784" i="27"/>
  <c r="H3848" i="27"/>
  <c r="E3758" i="27"/>
  <c r="M3759" i="27"/>
  <c r="A3759" i="27" s="1"/>
  <c r="K3823" i="27"/>
  <c r="K3887" i="27"/>
  <c r="K3728" i="27"/>
  <c r="N3792" i="27"/>
  <c r="P3856" i="27"/>
  <c r="H3745" i="27"/>
  <c r="M3809" i="27"/>
  <c r="A3809" i="27" s="1"/>
  <c r="E3766" i="27"/>
  <c r="P3759" i="27"/>
  <c r="J3823" i="27"/>
  <c r="I3887" i="27"/>
  <c r="I3728" i="27"/>
  <c r="M3792" i="27"/>
  <c r="A3792" i="27" s="1"/>
  <c r="O3856" i="27"/>
  <c r="N3839" i="27"/>
  <c r="N3744" i="27"/>
  <c r="E3812" i="27"/>
  <c r="G3801" i="27"/>
  <c r="E3714" i="27"/>
  <c r="H3770" i="27"/>
  <c r="H3818" i="27"/>
  <c r="J3866" i="27"/>
  <c r="M3871" i="27"/>
  <c r="A3871" i="27" s="1"/>
  <c r="O3768" i="27"/>
  <c r="F3713" i="27"/>
  <c r="M3817" i="27"/>
  <c r="A3817" i="27" s="1"/>
  <c r="I3722" i="27"/>
  <c r="P3815" i="27"/>
  <c r="M3720" i="27"/>
  <c r="A3720" i="27" s="1"/>
  <c r="H3888" i="27"/>
  <c r="K3793" i="27"/>
  <c r="E3881" i="27"/>
  <c r="M3714" i="27"/>
  <c r="A3714" i="27" s="1"/>
  <c r="P3770" i="27"/>
  <c r="O3818" i="27"/>
  <c r="E3858" i="27"/>
  <c r="G3739" i="27"/>
  <c r="I3787" i="27"/>
  <c r="H3835" i="27"/>
  <c r="M3883" i="27"/>
  <c r="A3883" i="27" s="1"/>
  <c r="F3711" i="27"/>
  <c r="K3832" i="27"/>
  <c r="P3761" i="27"/>
  <c r="N3857" i="27"/>
  <c r="G3732" i="27"/>
  <c r="E3716" i="27"/>
  <c r="N3719" i="27"/>
  <c r="N3767" i="27"/>
  <c r="N3815" i="27"/>
  <c r="H3863" i="27"/>
  <c r="G3704" i="27"/>
  <c r="J3752" i="27"/>
  <c r="M3800" i="27"/>
  <c r="A3800" i="27" s="1"/>
  <c r="O3848" i="27"/>
  <c r="E3888" i="27"/>
  <c r="J3721" i="27"/>
  <c r="H3769" i="27"/>
  <c r="K3817" i="27"/>
  <c r="N3865" i="27"/>
  <c r="E3751" i="27"/>
  <c r="E3799" i="27"/>
  <c r="M3855" i="27"/>
  <c r="A3855" i="27" s="1"/>
  <c r="O3744" i="27"/>
  <c r="E3784" i="27"/>
  <c r="F3832" i="27"/>
  <c r="H3880" i="27"/>
  <c r="K3713" i="27"/>
  <c r="N3761" i="27"/>
  <c r="P3809" i="27"/>
  <c r="J3849" i="27"/>
  <c r="K3767" i="27"/>
  <c r="J3831" i="27"/>
  <c r="I3895" i="27"/>
  <c r="G3736" i="27"/>
  <c r="J3800" i="27"/>
  <c r="O3864" i="27"/>
  <c r="F3753" i="27"/>
  <c r="G3817" i="27"/>
  <c r="N3881" i="27"/>
  <c r="F3730" i="27"/>
  <c r="F3778" i="27"/>
  <c r="N3727" i="27"/>
  <c r="H3791" i="27"/>
  <c r="G3855" i="27"/>
  <c r="F3831" i="27"/>
  <c r="E3718" i="27"/>
  <c r="J3751" i="27"/>
  <c r="I3815" i="27"/>
  <c r="O3887" i="27"/>
  <c r="P3728" i="27"/>
  <c r="G3784" i="27"/>
  <c r="J3848" i="27"/>
  <c r="N3745" i="27"/>
  <c r="F3801" i="27"/>
  <c r="H3865" i="27"/>
  <c r="G3838" i="27"/>
  <c r="G3759" i="27"/>
  <c r="F3823" i="27"/>
  <c r="O3895" i="27"/>
  <c r="P3736" i="27"/>
  <c r="J3792" i="27"/>
  <c r="J3856" i="27"/>
  <c r="O3767" i="27"/>
  <c r="M3831" i="27"/>
  <c r="A3831" i="27" s="1"/>
  <c r="H3895" i="27"/>
  <c r="J3736" i="27"/>
  <c r="O3800" i="27"/>
  <c r="E3856" i="27"/>
  <c r="H3753" i="27"/>
  <c r="N3817" i="27"/>
  <c r="P3767" i="27"/>
  <c r="K3831" i="27"/>
  <c r="G3895" i="27"/>
  <c r="H3736" i="27"/>
  <c r="N3800" i="27"/>
  <c r="P3864" i="27"/>
  <c r="N3871" i="27"/>
  <c r="G3760" i="27"/>
  <c r="H3713" i="27"/>
  <c r="O3817" i="27"/>
  <c r="F3722" i="27"/>
  <c r="K3778" i="27"/>
  <c r="K3826" i="27"/>
  <c r="N3874" i="27"/>
  <c r="H3784" i="27"/>
  <c r="K3729" i="27"/>
  <c r="P3833" i="27"/>
  <c r="H3730" i="27"/>
  <c r="P3847" i="27"/>
  <c r="G3744" i="27"/>
  <c r="O3705" i="27"/>
  <c r="O3809" i="27"/>
  <c r="O3722" i="27"/>
  <c r="F3770" i="27"/>
  <c r="F3818" i="27"/>
  <c r="H3866" i="27"/>
  <c r="M3747" i="27"/>
  <c r="A3747" i="27" s="1"/>
  <c r="J3795" i="27"/>
  <c r="E3820" i="27"/>
  <c r="E3719" i="27"/>
  <c r="P3775" i="27"/>
  <c r="M3823" i="27"/>
  <c r="A3823" i="27" s="1"/>
  <c r="K3871" i="27"/>
  <c r="K3712" i="27"/>
  <c r="N3760" i="27"/>
  <c r="P3808" i="27"/>
  <c r="I3848" i="27"/>
  <c r="I3729" i="27"/>
  <c r="M3777" i="27"/>
  <c r="A3777" i="27" s="1"/>
  <c r="O3825" i="27"/>
  <c r="E3865" i="27"/>
  <c r="N3711" i="27"/>
  <c r="J3759" i="27"/>
  <c r="G3807" i="27"/>
  <c r="E3855" i="27"/>
  <c r="P3704" i="27"/>
  <c r="J3744" i="27"/>
  <c r="G3792" i="27"/>
  <c r="J3840" i="27"/>
  <c r="M3888" i="27"/>
  <c r="A3888" i="27" s="1"/>
  <c r="O3721" i="27"/>
  <c r="E3761" i="27"/>
  <c r="F3809" i="27"/>
  <c r="I3857" i="27"/>
  <c r="M3711" i="27"/>
  <c r="A3711" i="27" s="1"/>
  <c r="K3775" i="27"/>
  <c r="H3839" i="27"/>
  <c r="H3744" i="27"/>
  <c r="K3808" i="27"/>
  <c r="N3872" i="27"/>
  <c r="P3705" i="27"/>
  <c r="F3761" i="27"/>
  <c r="I3825" i="27"/>
  <c r="M3889" i="27"/>
  <c r="A3889" i="27" s="1"/>
  <c r="H3738" i="27"/>
  <c r="E3756" i="27"/>
  <c r="N3735" i="27"/>
  <c r="J3799" i="27"/>
  <c r="I3863" i="27"/>
  <c r="E3704" i="27"/>
  <c r="E3814" i="27"/>
  <c r="H3759" i="27"/>
  <c r="G3823" i="27"/>
  <c r="P3895" i="27"/>
  <c r="E3728" i="27"/>
  <c r="F3792" i="27"/>
  <c r="K3856" i="27"/>
  <c r="P3753" i="27"/>
  <c r="J3809" i="27"/>
  <c r="J3873" i="27"/>
  <c r="G3767" i="27"/>
  <c r="P3839" i="27"/>
  <c r="E3736" i="27"/>
  <c r="F3800" i="27"/>
  <c r="H3864" i="27"/>
  <c r="M3775" i="27"/>
  <c r="A3775" i="27" s="1"/>
  <c r="O3839" i="27"/>
  <c r="K3744" i="27"/>
  <c r="N3808" i="27"/>
  <c r="I3864" i="27"/>
  <c r="F3719" i="27"/>
  <c r="H3761" i="27"/>
  <c r="M3825" i="27"/>
  <c r="A3825" i="27" s="1"/>
  <c r="P3711" i="27"/>
  <c r="O3775" i="27"/>
  <c r="K3839" i="27"/>
  <c r="I3744" i="27"/>
  <c r="M3808" i="27"/>
  <c r="A3808" i="27" s="1"/>
  <c r="E3864" i="27"/>
  <c r="P3784" i="27"/>
  <c r="M3729" i="27"/>
  <c r="A3729" i="27" s="1"/>
  <c r="G3825" i="27"/>
  <c r="I3730" i="27"/>
  <c r="M3786" i="27"/>
  <c r="A3786" i="27" s="1"/>
  <c r="O3834" i="27"/>
  <c r="H3812" i="27"/>
  <c r="E3800" i="27"/>
  <c r="M3745" i="27"/>
  <c r="A3745" i="27" s="1"/>
  <c r="I3841" i="27"/>
  <c r="J3738" i="27"/>
  <c r="J3879" i="27"/>
  <c r="N3768" i="27"/>
  <c r="E3713" i="27"/>
  <c r="F3817" i="27"/>
  <c r="E3722" i="27"/>
  <c r="G3778" i="27"/>
  <c r="I3826" i="27"/>
  <c r="K3874" i="27"/>
  <c r="O3719" i="27"/>
  <c r="O3880" i="27"/>
  <c r="J3817" i="27"/>
  <c r="P3752" i="27"/>
  <c r="O3783" i="27"/>
  <c r="K3847" i="27"/>
  <c r="G3796" i="27"/>
  <c r="P3792" i="27"/>
  <c r="O3882" i="27"/>
  <c r="M3707" i="27"/>
  <c r="A3707" i="27" s="1"/>
  <c r="O3827" i="27"/>
  <c r="M3833" i="27"/>
  <c r="A3833" i="27" s="1"/>
  <c r="F3704" i="27"/>
  <c r="E3721" i="27"/>
  <c r="K3783" i="27"/>
  <c r="I3736" i="27"/>
  <c r="H3881" i="27"/>
  <c r="H3808" i="27"/>
  <c r="J3847" i="27"/>
  <c r="G3753" i="27"/>
  <c r="F3735" i="27"/>
  <c r="P3715" i="27"/>
  <c r="K3843" i="27"/>
  <c r="G3865" i="27"/>
  <c r="H3706" i="27"/>
  <c r="P3802" i="27"/>
  <c r="P3866" i="27"/>
  <c r="O3739" i="27"/>
  <c r="K3819" i="27"/>
  <c r="H3883" i="27"/>
  <c r="E3734" i="27"/>
  <c r="N3752" i="27"/>
  <c r="K3809" i="27"/>
  <c r="M3722" i="27"/>
  <c r="A3722" i="27" s="1"/>
  <c r="K3794" i="27"/>
  <c r="N3895" i="27"/>
  <c r="E3727" i="27"/>
  <c r="N3736" i="27"/>
  <c r="I3761" i="27"/>
  <c r="G3889" i="27"/>
  <c r="I3770" i="27"/>
  <c r="P3834" i="27"/>
  <c r="E3750" i="27"/>
  <c r="J3834" i="27"/>
  <c r="P3771" i="27"/>
  <c r="E3843" i="27"/>
  <c r="J3772" i="27"/>
  <c r="F3714" i="27"/>
  <c r="K3882" i="27"/>
  <c r="N3715" i="27"/>
  <c r="F3795" i="27"/>
  <c r="E3883" i="27"/>
  <c r="H3724" i="27"/>
  <c r="O3796" i="27"/>
  <c r="M3868" i="27"/>
  <c r="A3868" i="27" s="1"/>
  <c r="O3720" i="27"/>
  <c r="N3737" i="27"/>
  <c r="M3719" i="27"/>
  <c r="A3719" i="27" s="1"/>
  <c r="H3752" i="27"/>
  <c r="G3769" i="27"/>
  <c r="H3847" i="27"/>
  <c r="M3746" i="27"/>
  <c r="A3746" i="27" s="1"/>
  <c r="E3712" i="27"/>
  <c r="G3800" i="27"/>
  <c r="H3711" i="27"/>
  <c r="J3872" i="27"/>
  <c r="F3705" i="27"/>
  <c r="K3738" i="27"/>
  <c r="P3857" i="27"/>
  <c r="F3729" i="27"/>
  <c r="G3730" i="27"/>
  <c r="M3731" i="27"/>
  <c r="A3731" i="27" s="1"/>
  <c r="P3851" i="27"/>
  <c r="E3873" i="27"/>
  <c r="K3714" i="27"/>
  <c r="G3802" i="27"/>
  <c r="N3882" i="27"/>
  <c r="H3739" i="27"/>
  <c r="N3827" i="27"/>
  <c r="H3719" i="27"/>
  <c r="I3792" i="27"/>
  <c r="J3833" i="27"/>
  <c r="P3738" i="27"/>
  <c r="O3802" i="27"/>
  <c r="E3791" i="27"/>
  <c r="O3760" i="27"/>
  <c r="P3793" i="27"/>
  <c r="P3714" i="27"/>
  <c r="J3778" i="27"/>
  <c r="J3842" i="27"/>
  <c r="K3816" i="27"/>
  <c r="P3850" i="27"/>
  <c r="F3771" i="27"/>
  <c r="G3859" i="27"/>
  <c r="O3716" i="27"/>
  <c r="N3788" i="27"/>
  <c r="O3753" i="27"/>
  <c r="G3762" i="27"/>
  <c r="O3731" i="27"/>
  <c r="F3811" i="27"/>
  <c r="E3891" i="27"/>
  <c r="K3732" i="27"/>
  <c r="O3804" i="27"/>
  <c r="P3876" i="27"/>
  <c r="I3757" i="27"/>
  <c r="E3832" i="27"/>
  <c r="P3818" i="27"/>
  <c r="K3763" i="27"/>
  <c r="P3827" i="27"/>
  <c r="F3883" i="27"/>
  <c r="H3732" i="27"/>
  <c r="K3788" i="27"/>
  <c r="P3844" i="27"/>
  <c r="F3892" i="27"/>
  <c r="P3791" i="27"/>
  <c r="F3857" i="27"/>
  <c r="E3746" i="27"/>
  <c r="O3866" i="27"/>
  <c r="K3723" i="27"/>
  <c r="M3787" i="27"/>
  <c r="A3787" i="27" s="1"/>
  <c r="N3851" i="27"/>
  <c r="M3756" i="27"/>
  <c r="A3756" i="27" s="1"/>
  <c r="O3812" i="27"/>
  <c r="J3860" i="27"/>
  <c r="N3749" i="27"/>
  <c r="K3802" i="27"/>
  <c r="E3890" i="27"/>
  <c r="J3747" i="27"/>
  <c r="M3811" i="27"/>
  <c r="A3811" i="27" s="1"/>
  <c r="N3875" i="27"/>
  <c r="M3724" i="27"/>
  <c r="A3724" i="27" s="1"/>
  <c r="G3770" i="27"/>
  <c r="E3811" i="27"/>
  <c r="M3740" i="27"/>
  <c r="A3740" i="27" s="1"/>
  <c r="G3836" i="27"/>
  <c r="K3765" i="27"/>
  <c r="P3821" i="27"/>
  <c r="F3861" i="27"/>
  <c r="G3742" i="27"/>
  <c r="O3798" i="27"/>
  <c r="K3846" i="27"/>
  <c r="N3894" i="27"/>
  <c r="I3771" i="27"/>
  <c r="F3708" i="27"/>
  <c r="M3820" i="27"/>
  <c r="A3820" i="27" s="1"/>
  <c r="E3796" i="27"/>
  <c r="H3749" i="27"/>
  <c r="H3805" i="27"/>
  <c r="J3853" i="27"/>
  <c r="K3706" i="27"/>
  <c r="G3795" i="27"/>
  <c r="N3732" i="27"/>
  <c r="G3727" i="27"/>
  <c r="I3760" i="27"/>
  <c r="P3785" i="27"/>
  <c r="M3767" i="27"/>
  <c r="A3767" i="27" s="1"/>
  <c r="K3800" i="27"/>
  <c r="H3817" i="27"/>
  <c r="E3705" i="27"/>
  <c r="J3864" i="27"/>
  <c r="G3775" i="27"/>
  <c r="K3769" i="27"/>
  <c r="I3800" i="27"/>
  <c r="P3794" i="27"/>
  <c r="O3833" i="27"/>
  <c r="K3754" i="27"/>
  <c r="N3755" i="27"/>
  <c r="E3851" i="27"/>
  <c r="K3720" i="27"/>
  <c r="P3889" i="27"/>
  <c r="E3730" i="27"/>
  <c r="J3810" i="27"/>
  <c r="H3890" i="27"/>
  <c r="O3763" i="27"/>
  <c r="G3827" i="27"/>
  <c r="I3751" i="27"/>
  <c r="P3816" i="27"/>
  <c r="I3705" i="27"/>
  <c r="E3841" i="27"/>
  <c r="I3738" i="27"/>
  <c r="F3802" i="27"/>
  <c r="N3831" i="27"/>
  <c r="E3776" i="27"/>
  <c r="J3801" i="27"/>
  <c r="I3714" i="27"/>
  <c r="N3786" i="27"/>
  <c r="N3850" i="27"/>
  <c r="I3858" i="27"/>
  <c r="P3707" i="27"/>
  <c r="F3779" i="27"/>
  <c r="K3867" i="27"/>
  <c r="H3716" i="27"/>
  <c r="P3796" i="27"/>
  <c r="O3801" i="27"/>
  <c r="P3786" i="27"/>
  <c r="N3739" i="27"/>
  <c r="F3819" i="27"/>
  <c r="I3740" i="27"/>
  <c r="I3812" i="27"/>
  <c r="F3884" i="27"/>
  <c r="H3709" i="27"/>
  <c r="E3765" i="27"/>
  <c r="J3826" i="27"/>
  <c r="N3707" i="27"/>
  <c r="N3771" i="27"/>
  <c r="O3835" i="27"/>
  <c r="F3891" i="27"/>
  <c r="K3740" i="27"/>
  <c r="M3796" i="27"/>
  <c r="A3796" i="27" s="1"/>
  <c r="J3844" i="27"/>
  <c r="K3770" i="27"/>
  <c r="H3874" i="27"/>
  <c r="K3731" i="27"/>
  <c r="N3795" i="27"/>
  <c r="O3859" i="27"/>
  <c r="M3708" i="27"/>
  <c r="A3708" i="27" s="1"/>
  <c r="M3764" i="27"/>
  <c r="A3764" i="27" s="1"/>
  <c r="F3812" i="27"/>
  <c r="J3868" i="27"/>
  <c r="O3709" i="27"/>
  <c r="E3749" i="27"/>
  <c r="J3818" i="27"/>
  <c r="I3755" i="27"/>
  <c r="N3819" i="27"/>
  <c r="O3883" i="27"/>
  <c r="J3855" i="27"/>
  <c r="K3737" i="27"/>
  <c r="M3810" i="27"/>
  <c r="A3810" i="27" s="1"/>
  <c r="J3835" i="27"/>
  <c r="H3748" i="27"/>
  <c r="N3852" i="27"/>
  <c r="G3709" i="27"/>
  <c r="I3773" i="27"/>
  <c r="G3821" i="27"/>
  <c r="J3869" i="27"/>
  <c r="J3750" i="27"/>
  <c r="P3806" i="27"/>
  <c r="O3854" i="27"/>
  <c r="E3894" i="27"/>
  <c r="P3706" i="27"/>
  <c r="K3795" i="27"/>
  <c r="O3732" i="27"/>
  <c r="F3828" i="27"/>
  <c r="I3847" i="27"/>
  <c r="G3757" i="27"/>
  <c r="K3813" i="27"/>
  <c r="N3861" i="27"/>
  <c r="M3778" i="27"/>
  <c r="A3778" i="27" s="1"/>
  <c r="H3819" i="27"/>
  <c r="F3740" i="27"/>
  <c r="N3844" i="27"/>
  <c r="P3709" i="27"/>
  <c r="G3765" i="27"/>
  <c r="N3821" i="27"/>
  <c r="P3869" i="27"/>
  <c r="F3742" i="27"/>
  <c r="M3798" i="27"/>
  <c r="A3798" i="27" s="1"/>
  <c r="M3846" i="27"/>
  <c r="A3846" i="27" s="1"/>
  <c r="M3894" i="27"/>
  <c r="A3894" i="27" s="1"/>
  <c r="I3779" i="27"/>
  <c r="I3775" i="27"/>
  <c r="G3808" i="27"/>
  <c r="F3825" i="27"/>
  <c r="H3815" i="27"/>
  <c r="N3848" i="27"/>
  <c r="M3865" i="27"/>
  <c r="A3865" i="27" s="1"/>
  <c r="F3769" i="27"/>
  <c r="H3767" i="27"/>
  <c r="E3839" i="27"/>
  <c r="N3833" i="27"/>
  <c r="K3752" i="27"/>
  <c r="F3834" i="27"/>
  <c r="J3786" i="27"/>
  <c r="P3763" i="27"/>
  <c r="F3867" i="27"/>
  <c r="O3792" i="27"/>
  <c r="E3729" i="27"/>
  <c r="H3746" i="27"/>
  <c r="N3818" i="27"/>
  <c r="E3771" i="27"/>
  <c r="I3835" i="27"/>
  <c r="N3855" i="27"/>
  <c r="I3832" i="27"/>
  <c r="O3737" i="27"/>
  <c r="K3857" i="27"/>
  <c r="G3746" i="27"/>
  <c r="M3704" i="27"/>
  <c r="A3704" i="27" s="1"/>
  <c r="M3863" i="27"/>
  <c r="A3863" i="27" s="1"/>
  <c r="E3816" i="27"/>
  <c r="P3817" i="27"/>
  <c r="G3722" i="27"/>
  <c r="H3794" i="27"/>
  <c r="G3858" i="27"/>
  <c r="H3714" i="27"/>
  <c r="M3882" i="27"/>
  <c r="A3882" i="27" s="1"/>
  <c r="F3707" i="27"/>
  <c r="E3795" i="27"/>
  <c r="I3883" i="27"/>
  <c r="I3732" i="27"/>
  <c r="H3796" i="27"/>
  <c r="H3889" i="27"/>
  <c r="G3810" i="27"/>
  <c r="P3755" i="27"/>
  <c r="P3835" i="27"/>
  <c r="M3748" i="27"/>
  <c r="A3748" i="27" s="1"/>
  <c r="J3820" i="27"/>
  <c r="I3892" i="27"/>
  <c r="O3725" i="27"/>
  <c r="H3773" i="27"/>
  <c r="E3834" i="27"/>
  <c r="M3715" i="27"/>
  <c r="A3715" i="27" s="1"/>
  <c r="O3779" i="27"/>
  <c r="P3843" i="27"/>
  <c r="I3746" i="27"/>
  <c r="K3748" i="27"/>
  <c r="N3804" i="27"/>
  <c r="G3852" i="27"/>
  <c r="M3840" i="27"/>
  <c r="A3840" i="27" s="1"/>
  <c r="K3786" i="27"/>
  <c r="H3882" i="27"/>
  <c r="K3739" i="27"/>
  <c r="M3803" i="27"/>
  <c r="A3803" i="27" s="1"/>
  <c r="P3867" i="27"/>
  <c r="I3716" i="27"/>
  <c r="O3772" i="27"/>
  <c r="H3820" i="27"/>
  <c r="M3876" i="27"/>
  <c r="A3876" i="27" s="1"/>
  <c r="F3709" i="27"/>
  <c r="H3757" i="27"/>
  <c r="F3721" i="27"/>
  <c r="F3826" i="27"/>
  <c r="M3763" i="27"/>
  <c r="A3763" i="27" s="1"/>
  <c r="J3827" i="27"/>
  <c r="O3891" i="27"/>
  <c r="O3879" i="27"/>
  <c r="G3752" i="27"/>
  <c r="I3807" i="27"/>
  <c r="O3816" i="27"/>
  <c r="P3719" i="27"/>
  <c r="P3880" i="27"/>
  <c r="N3841" i="27"/>
  <c r="K3746" i="27"/>
  <c r="M3834" i="27"/>
  <c r="A3834" i="27" s="1"/>
  <c r="O3803" i="27"/>
  <c r="G3891" i="27"/>
  <c r="P3783" i="27"/>
  <c r="I3872" i="27"/>
  <c r="N3785" i="27"/>
  <c r="M3762" i="27"/>
  <c r="A3762" i="27" s="1"/>
  <c r="F3842" i="27"/>
  <c r="O3715" i="27"/>
  <c r="P3787" i="27"/>
  <c r="M3867" i="27"/>
  <c r="A3867" i="27" s="1"/>
  <c r="M3761" i="27"/>
  <c r="A3761" i="27" s="1"/>
  <c r="K3889" i="27"/>
  <c r="N3770" i="27"/>
  <c r="F3791" i="27"/>
  <c r="P3760" i="27"/>
  <c r="F3880" i="27"/>
  <c r="J3713" i="27"/>
  <c r="F3849" i="27"/>
  <c r="N3746" i="27"/>
  <c r="F3810" i="27"/>
  <c r="O3874" i="27"/>
  <c r="P3801" i="27"/>
  <c r="H3778" i="27"/>
  <c r="F3731" i="27"/>
  <c r="E3819" i="27"/>
  <c r="N3748" i="27"/>
  <c r="H3834" i="27"/>
  <c r="O3771" i="27"/>
  <c r="F3851" i="27"/>
  <c r="G3764" i="27"/>
  <c r="F3836" i="27"/>
  <c r="K3733" i="27"/>
  <c r="O3789" i="27"/>
  <c r="K3761" i="27"/>
  <c r="J3722" i="27"/>
  <c r="J3858" i="27"/>
  <c r="N3731" i="27"/>
  <c r="O3795" i="27"/>
  <c r="P3859" i="27"/>
  <c r="K3708" i="27"/>
  <c r="O3764" i="27"/>
  <c r="G3812" i="27"/>
  <c r="K3868" i="27"/>
  <c r="M3818" i="27"/>
  <c r="A3818" i="27" s="1"/>
  <c r="M3755" i="27"/>
  <c r="A3755" i="27" s="1"/>
  <c r="O3819" i="27"/>
  <c r="P3883" i="27"/>
  <c r="P3732" i="27"/>
  <c r="I3780" i="27"/>
  <c r="M3836" i="27"/>
  <c r="A3836" i="27" s="1"/>
  <c r="P3892" i="27"/>
  <c r="M3725" i="27"/>
  <c r="A3725" i="27" s="1"/>
  <c r="O3773" i="27"/>
  <c r="P3825" i="27"/>
  <c r="M3730" i="27"/>
  <c r="A3730" i="27" s="1"/>
  <c r="G3850" i="27"/>
  <c r="I3715" i="27"/>
  <c r="K3779" i="27"/>
  <c r="N3843" i="27"/>
  <c r="J3887" i="27"/>
  <c r="O3881" i="27"/>
  <c r="G3731" i="27"/>
  <c r="F3788" i="27"/>
  <c r="M3884" i="27"/>
  <c r="A3884" i="27" s="1"/>
  <c r="H3733" i="27"/>
  <c r="P3797" i="27"/>
  <c r="E3837" i="27"/>
  <c r="G3885" i="27"/>
  <c r="M3718" i="27"/>
  <c r="A3718" i="27" s="1"/>
  <c r="H3766" i="27"/>
  <c r="M3822" i="27"/>
  <c r="A3822" i="27" s="1"/>
  <c r="M3870" i="27"/>
  <c r="A3870" i="27" s="1"/>
  <c r="E3842" i="27"/>
  <c r="K3859" i="27"/>
  <c r="P3772" i="27"/>
  <c r="F3860" i="27"/>
  <c r="F3717" i="27"/>
  <c r="I3781" i="27"/>
  <c r="K3829" i="27"/>
  <c r="I3877" i="27"/>
  <c r="E3724" i="27"/>
  <c r="M3816" i="27"/>
  <c r="A3816" i="27" s="1"/>
  <c r="F3871" i="27"/>
  <c r="E3753" i="27"/>
  <c r="E3711" i="27"/>
  <c r="E3872" i="27"/>
  <c r="I3850" i="27"/>
  <c r="E3875" i="27"/>
  <c r="G3786" i="27"/>
  <c r="J3825" i="27"/>
  <c r="J3874" i="27"/>
  <c r="E3745" i="27"/>
  <c r="E3827" i="27"/>
  <c r="F3835" i="27"/>
  <c r="P3836" i="27"/>
  <c r="P3749" i="27"/>
  <c r="G3857" i="27"/>
  <c r="G3890" i="27"/>
  <c r="O3811" i="27"/>
  <c r="G3772" i="27"/>
  <c r="O3884" i="27"/>
  <c r="K3707" i="27"/>
  <c r="N3835" i="27"/>
  <c r="J3788" i="27"/>
  <c r="H3892" i="27"/>
  <c r="P3733" i="27"/>
  <c r="I3865" i="27"/>
  <c r="N3866" i="27"/>
  <c r="K3787" i="27"/>
  <c r="H3708" i="27"/>
  <c r="I3833" i="27"/>
  <c r="F3747" i="27"/>
  <c r="N3820" i="27"/>
  <c r="H3844" i="27"/>
  <c r="N3789" i="27"/>
  <c r="O3861" i="27"/>
  <c r="N3726" i="27"/>
  <c r="G3806" i="27"/>
  <c r="F3878" i="27"/>
  <c r="J3756" i="27"/>
  <c r="J3892" i="27"/>
  <c r="H3765" i="27"/>
  <c r="P3845" i="27"/>
  <c r="F3850" i="27"/>
  <c r="H3731" i="27"/>
  <c r="N3772" i="27"/>
  <c r="O3876" i="27"/>
  <c r="F3749" i="27"/>
  <c r="J3813" i="27"/>
  <c r="G3869" i="27"/>
  <c r="K3726" i="27"/>
  <c r="G3782" i="27"/>
  <c r="F3838" i="27"/>
  <c r="E3740" i="27"/>
  <c r="E3755" i="27"/>
  <c r="K3716" i="27"/>
  <c r="F3820" i="27"/>
  <c r="P3757" i="27"/>
  <c r="F3805" i="27"/>
  <c r="H3853" i="27"/>
  <c r="K3858" i="27"/>
  <c r="F3751" i="27"/>
  <c r="H3867" i="27"/>
  <c r="K3772" i="27"/>
  <c r="P3868" i="27"/>
  <c r="N3725" i="27"/>
  <c r="G3781" i="27"/>
  <c r="F3829" i="27"/>
  <c r="H3877" i="27"/>
  <c r="J3794" i="27"/>
  <c r="I3827" i="27"/>
  <c r="I3748" i="27"/>
  <c r="K3844" i="27"/>
  <c r="J3709" i="27"/>
  <c r="N3773" i="27"/>
  <c r="I3821" i="27"/>
  <c r="I3869" i="27"/>
  <c r="G3860" i="27"/>
  <c r="N3750" i="27"/>
  <c r="F3798" i="27"/>
  <c r="E3846" i="27"/>
  <c r="F3894" i="27"/>
  <c r="H3787" i="27"/>
  <c r="J3724" i="27"/>
  <c r="F3885" i="27"/>
  <c r="P3766" i="27"/>
  <c r="N3846" i="27"/>
  <c r="G3876" i="27"/>
  <c r="G3789" i="27"/>
  <c r="H3710" i="27"/>
  <c r="N3798" i="27"/>
  <c r="F3870" i="27"/>
  <c r="E3813" i="27"/>
  <c r="O3726" i="27"/>
  <c r="I3806" i="27"/>
  <c r="N3886" i="27"/>
  <c r="O3869" i="27"/>
  <c r="O3750" i="27"/>
  <c r="N3830" i="27"/>
  <c r="M3757" i="27"/>
  <c r="A3757" i="27" s="1"/>
  <c r="N3774" i="27"/>
  <c r="J3804" i="27"/>
  <c r="M3741" i="27"/>
  <c r="A3741" i="27" s="1"/>
  <c r="O3782" i="27"/>
  <c r="E3854" i="27"/>
  <c r="G3883" i="27"/>
  <c r="K3842" i="27"/>
  <c r="J3805" i="27"/>
  <c r="K3718" i="27"/>
  <c r="H3798" i="27"/>
  <c r="J3878" i="27"/>
  <c r="J3708" i="27"/>
  <c r="J3885" i="27"/>
  <c r="F3758" i="27"/>
  <c r="E3838" i="27"/>
  <c r="N3854" i="27"/>
  <c r="E3823" i="27"/>
  <c r="M3705" i="27"/>
  <c r="A3705" i="27" s="1"/>
  <c r="I3737" i="27"/>
  <c r="H3802" i="27"/>
  <c r="F3743" i="27"/>
  <c r="M3858" i="27"/>
  <c r="A3858" i="27" s="1"/>
  <c r="I3723" i="27"/>
  <c r="F3727" i="27"/>
  <c r="K3704" i="27"/>
  <c r="E3857" i="27"/>
  <c r="K3730" i="27"/>
  <c r="M3890" i="27"/>
  <c r="A3890" i="27" s="1"/>
  <c r="M3849" i="27"/>
  <c r="A3849" i="27" s="1"/>
  <c r="G3835" i="27"/>
  <c r="E3859" i="27"/>
  <c r="G3819" i="27"/>
  <c r="G3844" i="27"/>
  <c r="G3749" i="27"/>
  <c r="P3819" i="27"/>
  <c r="J3780" i="27"/>
  <c r="G3884" i="27"/>
  <c r="H3722" i="27"/>
  <c r="J3715" i="27"/>
  <c r="O3843" i="27"/>
  <c r="N3796" i="27"/>
  <c r="G3733" i="27"/>
  <c r="G3874" i="27"/>
  <c r="M3795" i="27"/>
  <c r="A3795" i="27" s="1"/>
  <c r="M3716" i="27"/>
  <c r="A3716" i="27" s="1"/>
  <c r="H3842" i="27"/>
  <c r="H3771" i="27"/>
  <c r="I3828" i="27"/>
  <c r="F3797" i="27"/>
  <c r="M3877" i="27"/>
  <c r="A3877" i="27" s="1"/>
  <c r="P3734" i="27"/>
  <c r="I3814" i="27"/>
  <c r="I3886" i="27"/>
  <c r="E3792" i="27"/>
  <c r="F3780" i="27"/>
  <c r="K3773" i="27"/>
  <c r="G3845" i="27"/>
  <c r="P3882" i="27"/>
  <c r="H3755" i="27"/>
  <c r="G3780" i="27"/>
  <c r="I3884" i="27"/>
  <c r="E3836" i="27"/>
  <c r="F3757" i="27"/>
  <c r="E3821" i="27"/>
  <c r="J3877" i="27"/>
  <c r="N3734" i="27"/>
  <c r="I3790" i="27"/>
  <c r="M3854" i="27"/>
  <c r="A3854" i="27" s="1"/>
  <c r="K3803" i="27"/>
  <c r="M3732" i="27"/>
  <c r="A3732" i="27" s="1"/>
  <c r="G3828" i="27"/>
  <c r="E3757" i="27"/>
  <c r="I3813" i="27"/>
  <c r="I3861" i="27"/>
  <c r="O3890" i="27"/>
  <c r="P3723" i="27"/>
  <c r="K3891" i="27"/>
  <c r="O3788" i="27"/>
  <c r="J3876" i="27"/>
  <c r="N3733" i="27"/>
  <c r="I3789" i="27"/>
  <c r="K3837" i="27"/>
  <c r="M3885" i="27"/>
  <c r="A3885" i="27" s="1"/>
  <c r="N3834" i="27"/>
  <c r="M3851" i="27"/>
  <c r="A3851" i="27" s="1"/>
  <c r="K3764" i="27"/>
  <c r="P3860" i="27"/>
  <c r="M3717" i="27"/>
  <c r="A3717" i="27" s="1"/>
  <c r="P3781" i="27"/>
  <c r="N3829" i="27"/>
  <c r="P3877" i="27"/>
  <c r="P3758" i="27"/>
  <c r="J3806" i="27"/>
  <c r="K3854" i="27"/>
  <c r="F3754" i="27"/>
  <c r="K3811" i="27"/>
  <c r="O3780" i="27"/>
  <c r="I3725" i="27"/>
  <c r="K3774" i="27"/>
  <c r="J3854" i="27"/>
  <c r="F3813" i="27"/>
  <c r="P3726" i="27"/>
  <c r="K3806" i="27"/>
  <c r="P3886" i="27"/>
  <c r="G3787" i="27"/>
  <c r="F3837" i="27"/>
  <c r="K3734" i="27"/>
  <c r="H3814" i="27"/>
  <c r="K3894" i="27"/>
  <c r="E3877" i="27"/>
  <c r="O3758" i="27"/>
  <c r="J3838" i="27"/>
  <c r="E3853" i="27"/>
  <c r="N3806" i="27"/>
  <c r="O3852" i="27"/>
  <c r="J3773" i="27"/>
  <c r="M3790" i="27"/>
  <c r="A3790" i="27" s="1"/>
  <c r="N3870" i="27"/>
  <c r="M3829" i="27"/>
  <c r="A3829" i="27" s="1"/>
  <c r="I3726" i="27"/>
  <c r="O3814" i="27"/>
  <c r="K3886" i="27"/>
  <c r="J3764" i="27"/>
  <c r="H3717" i="27"/>
  <c r="P3774" i="27"/>
  <c r="P3854" i="27"/>
  <c r="E3804" i="27"/>
  <c r="K3724" i="27"/>
  <c r="G3886" i="27"/>
  <c r="I3878" i="27"/>
  <c r="H3850" i="27"/>
  <c r="J3770" i="27"/>
  <c r="I3731" i="27"/>
  <c r="N3837" i="27"/>
  <c r="H3774" i="27"/>
  <c r="M3819" i="27"/>
  <c r="A3819" i="27" s="1"/>
  <c r="F3785" i="27"/>
  <c r="N3797" i="27"/>
  <c r="I3822" i="27"/>
  <c r="P3826" i="27"/>
  <c r="J3837" i="27"/>
  <c r="H3803" i="27"/>
  <c r="O3836" i="27"/>
  <c r="P3765" i="27"/>
  <c r="M3861" i="27"/>
  <c r="A3861" i="27" s="1"/>
  <c r="E3763" i="27"/>
  <c r="J3812" i="27"/>
  <c r="O3853" i="27"/>
  <c r="K3782" i="27"/>
  <c r="H3723" i="27"/>
  <c r="J3814" i="27"/>
  <c r="N3766" i="27"/>
  <c r="J3807" i="27"/>
  <c r="H3822" i="27"/>
  <c r="H3797" i="27"/>
  <c r="O3878" i="27"/>
  <c r="H3846" i="27"/>
  <c r="H3707" i="27"/>
  <c r="N3814" i="27"/>
  <c r="F3726" i="27"/>
  <c r="K3838" i="27"/>
  <c r="J3742" i="27"/>
  <c r="G3788" i="27"/>
  <c r="I3774" i="27"/>
  <c r="O3813" i="27"/>
  <c r="I3870" i="27"/>
  <c r="K3821" i="27"/>
  <c r="M3726" i="27"/>
  <c r="A3726" i="27" s="1"/>
  <c r="J3886" i="27"/>
  <c r="O3885" i="27"/>
  <c r="M3758" i="27"/>
  <c r="A3758" i="27" s="1"/>
  <c r="P3820" i="27"/>
  <c r="H3876" i="27"/>
  <c r="M3875" i="27"/>
  <c r="A3875" i="27" s="1"/>
  <c r="N3742" i="27"/>
  <c r="E3803" i="27"/>
  <c r="P3795" i="27"/>
  <c r="H3809" i="27"/>
  <c r="H3772" i="27"/>
  <c r="I3856" i="27"/>
  <c r="J3850" i="27"/>
  <c r="O3815" i="27"/>
  <c r="J3731" i="27"/>
  <c r="G3745" i="27"/>
  <c r="O3831" i="27"/>
  <c r="G3840" i="27"/>
  <c r="G3881" i="27"/>
  <c r="P3754" i="27"/>
  <c r="H3891" i="27"/>
  <c r="G3875" i="27"/>
  <c r="I3852" i="27"/>
  <c r="J3781" i="27"/>
  <c r="M3723" i="27"/>
  <c r="A3723" i="27" s="1"/>
  <c r="G3843" i="27"/>
  <c r="F3804" i="27"/>
  <c r="M3802" i="27"/>
  <c r="A3802" i="27" s="1"/>
  <c r="K3747" i="27"/>
  <c r="O3875" i="27"/>
  <c r="P3804" i="27"/>
  <c r="K3741" i="27"/>
  <c r="G3882" i="27"/>
  <c r="J3803" i="27"/>
  <c r="F3752" i="27"/>
  <c r="F3874" i="27"/>
  <c r="H3795" i="27"/>
  <c r="F3767" i="27"/>
  <c r="K3860" i="27"/>
  <c r="G3717" i="27"/>
  <c r="K3805" i="27"/>
  <c r="P3885" i="27"/>
  <c r="G3734" i="27"/>
  <c r="O3830" i="27"/>
  <c r="O3777" i="27"/>
  <c r="I3707" i="27"/>
  <c r="K3796" i="27"/>
  <c r="M3789" i="27"/>
  <c r="A3789" i="27" s="1"/>
  <c r="E3861" i="27"/>
  <c r="H3779" i="27"/>
  <c r="J3796" i="27"/>
  <c r="G3892" i="27"/>
  <c r="G3773" i="27"/>
  <c r="H3829" i="27"/>
  <c r="N3885" i="27"/>
  <c r="O3742" i="27"/>
  <c r="O3806" i="27"/>
  <c r="P3862" i="27"/>
  <c r="K3825" i="27"/>
  <c r="I3819" i="27"/>
  <c r="O3748" i="27"/>
  <c r="M3844" i="27"/>
  <c r="A3844" i="27" s="1"/>
  <c r="N3709" i="27"/>
  <c r="F3765" i="27"/>
  <c r="M3821" i="27"/>
  <c r="A3821" i="27" s="1"/>
  <c r="E3739" i="27"/>
  <c r="F3796" i="27"/>
  <c r="H3884" i="27"/>
  <c r="O3741" i="27"/>
  <c r="J3797" i="27"/>
  <c r="M3845" i="27"/>
  <c r="A3845" i="27" s="1"/>
  <c r="O3893" i="27"/>
  <c r="M3866" i="27"/>
  <c r="A3866" i="27" s="1"/>
  <c r="F3879" i="27"/>
  <c r="I3867" i="27"/>
  <c r="F3772" i="27"/>
  <c r="N3868" i="27"/>
  <c r="K3725" i="27"/>
  <c r="F3781" i="27"/>
  <c r="E3829" i="27"/>
  <c r="G3877" i="27"/>
  <c r="M3710" i="27"/>
  <c r="A3710" i="27" s="1"/>
  <c r="G3758" i="27"/>
  <c r="M3814" i="27"/>
  <c r="A3814" i="27" s="1"/>
  <c r="K3862" i="27"/>
  <c r="E3802" i="27"/>
  <c r="H3827" i="27"/>
  <c r="N3828" i="27"/>
  <c r="J3757" i="27"/>
  <c r="F3782" i="27"/>
  <c r="M3862" i="27"/>
  <c r="A3862" i="27" s="1"/>
  <c r="G3771" i="27"/>
  <c r="G3837" i="27"/>
  <c r="M3734" i="27"/>
  <c r="A3734" i="27" s="1"/>
  <c r="G3814" i="27"/>
  <c r="O3894" i="27"/>
  <c r="G3861" i="27"/>
  <c r="H3742" i="27"/>
  <c r="P3830" i="27"/>
  <c r="G3748" i="27"/>
  <c r="I3709" i="27"/>
  <c r="M3893" i="27"/>
  <c r="A3893" i="27" s="1"/>
  <c r="J3766" i="27"/>
  <c r="F3846" i="27"/>
  <c r="F3723" i="27"/>
  <c r="H3885" i="27"/>
  <c r="P3846" i="27"/>
  <c r="P3810" i="27"/>
  <c r="K3892" i="27"/>
  <c r="G3797" i="27"/>
  <c r="N3718" i="27"/>
  <c r="I3798" i="27"/>
  <c r="M3878" i="27"/>
  <c r="A3878" i="27" s="1"/>
  <c r="H3851" i="27"/>
  <c r="N3853" i="27"/>
  <c r="P3742" i="27"/>
  <c r="K3822" i="27"/>
  <c r="H3894" i="27"/>
  <c r="O3820" i="27"/>
  <c r="J3749" i="27"/>
  <c r="J3782" i="27"/>
  <c r="O3862" i="27"/>
  <c r="M3828" i="27"/>
  <c r="A3828" i="27" s="1"/>
  <c r="F3724" i="27"/>
  <c r="E3809" i="27"/>
  <c r="J3779" i="27"/>
  <c r="G3740" i="27"/>
  <c r="E3764" i="27"/>
  <c r="N3859" i="27"/>
  <c r="N3880" i="27"/>
  <c r="F3854" i="27"/>
  <c r="G3725" i="27"/>
  <c r="E3725" i="27"/>
  <c r="P3710" i="27"/>
  <c r="N3878" i="27"/>
  <c r="P3788" i="27"/>
  <c r="J3789" i="27"/>
  <c r="N3738" i="27"/>
  <c r="H3813" i="27"/>
  <c r="P3708" i="27"/>
  <c r="M3805" i="27"/>
  <c r="A3805" i="27" s="1"/>
  <c r="G3726" i="27"/>
  <c r="K3878" i="27"/>
  <c r="G3747" i="27"/>
  <c r="P3894" i="27"/>
  <c r="O3740" i="27"/>
  <c r="H3790" i="27"/>
  <c r="I3733" i="27"/>
  <c r="G3854" i="27"/>
  <c r="P3837" i="27"/>
  <c r="K3830" i="27"/>
  <c r="G3893" i="27"/>
  <c r="G3766" i="27"/>
  <c r="J3829" i="27"/>
  <c r="H3726" i="27"/>
  <c r="G3716" i="27"/>
  <c r="J3734" i="27"/>
  <c r="N3862" i="27"/>
  <c r="J3822" i="27"/>
  <c r="E3781" i="27"/>
  <c r="P3875" i="27"/>
  <c r="M3895" i="27"/>
  <c r="A3895" i="27" s="1"/>
  <c r="I3816" i="27"/>
  <c r="M3788" i="27"/>
  <c r="A3788" i="27" s="1"/>
  <c r="J3882" i="27"/>
  <c r="H3764" i="27"/>
  <c r="K3717" i="27"/>
  <c r="H3873" i="27"/>
  <c r="K3833" i="27"/>
  <c r="M3752" i="27"/>
  <c r="A3752" i="27" s="1"/>
  <c r="F3848" i="27"/>
  <c r="F3863" i="27"/>
  <c r="M3779" i="27"/>
  <c r="A3779" i="27" s="1"/>
  <c r="J3769" i="27"/>
  <c r="N3863" i="27"/>
  <c r="F3762" i="27"/>
  <c r="E3738" i="27"/>
  <c r="J3740" i="27"/>
  <c r="N3708" i="27"/>
  <c r="F3783" i="27"/>
  <c r="F3789" i="27"/>
  <c r="F3746" i="27"/>
  <c r="M3739" i="27"/>
  <c r="A3739" i="27" s="1"/>
  <c r="F3859" i="27"/>
  <c r="J3716" i="27"/>
  <c r="I3820" i="27"/>
  <c r="P3713" i="27"/>
  <c r="G3826" i="27"/>
  <c r="J3763" i="27"/>
  <c r="P3891" i="27"/>
  <c r="P3724" i="27"/>
  <c r="J3828" i="27"/>
  <c r="J3765" i="27"/>
  <c r="H3756" i="27"/>
  <c r="E3707" i="27"/>
  <c r="M3835" i="27"/>
  <c r="A3835" i="27" s="1"/>
  <c r="F3856" i="27"/>
  <c r="M3859" i="27"/>
  <c r="A3859" i="27" s="1"/>
  <c r="G3708" i="27"/>
  <c r="G3868" i="27"/>
  <c r="H3725" i="27"/>
  <c r="M3813" i="27"/>
  <c r="A3813" i="27" s="1"/>
  <c r="J3893" i="27"/>
  <c r="K3758" i="27"/>
  <c r="G3830" i="27"/>
  <c r="N3778" i="27"/>
  <c r="E3731" i="27"/>
  <c r="P3812" i="27"/>
  <c r="O3797" i="27"/>
  <c r="H3869" i="27"/>
  <c r="J3843" i="27"/>
  <c r="N3812" i="27"/>
  <c r="P3717" i="27"/>
  <c r="K3781" i="27"/>
  <c r="I3837" i="27"/>
  <c r="E3885" i="27"/>
  <c r="G3750" i="27"/>
  <c r="P3814" i="27"/>
  <c r="H3862" i="27"/>
  <c r="J3730" i="27"/>
  <c r="I3843" i="27"/>
  <c r="K3756" i="27"/>
  <c r="J3852" i="27"/>
  <c r="O3717" i="27"/>
  <c r="F3773" i="27"/>
  <c r="P3829" i="27"/>
  <c r="E3833" i="27"/>
  <c r="I3763" i="27"/>
  <c r="K3812" i="27"/>
  <c r="O3749" i="27"/>
  <c r="N3805" i="27"/>
  <c r="P3853" i="27"/>
  <c r="F3893" i="27"/>
  <c r="N3890" i="27"/>
  <c r="G3723" i="27"/>
  <c r="J3891" i="27"/>
  <c r="I3788" i="27"/>
  <c r="K3876" i="27"/>
  <c r="M3733" i="27"/>
  <c r="A3733" i="27" s="1"/>
  <c r="H3789" i="27"/>
  <c r="H3837" i="27"/>
  <c r="I3885" i="27"/>
  <c r="P3718" i="27"/>
  <c r="I3766" i="27"/>
  <c r="N3822" i="27"/>
  <c r="P3870" i="27"/>
  <c r="I3834" i="27"/>
  <c r="J3851" i="27"/>
  <c r="P3729" i="27"/>
  <c r="H3868" i="27"/>
  <c r="P3789" i="27"/>
  <c r="J3710" i="27"/>
  <c r="P3798" i="27"/>
  <c r="H3870" i="27"/>
  <c r="H3861" i="27"/>
  <c r="I3742" i="27"/>
  <c r="E3822" i="27"/>
  <c r="K3710" i="27"/>
  <c r="F3877" i="27"/>
  <c r="N3758" i="27"/>
  <c r="N3838" i="27"/>
  <c r="K3742" i="27"/>
  <c r="K3804" i="27"/>
  <c r="I3741" i="27"/>
  <c r="F3799" i="27"/>
  <c r="F3774" i="27"/>
  <c r="H3854" i="27"/>
  <c r="G3711" i="27"/>
  <c r="P3780" i="27"/>
  <c r="G3878" i="27"/>
  <c r="H3821" i="27"/>
  <c r="J3726" i="27"/>
  <c r="F3806" i="27"/>
  <c r="M3886" i="27"/>
  <c r="A3886" i="27" s="1"/>
  <c r="K3869" i="27"/>
  <c r="M3750" i="27"/>
  <c r="A3750" i="27" s="1"/>
  <c r="J3830" i="27"/>
  <c r="M3860" i="27"/>
  <c r="A3860" i="27" s="1"/>
  <c r="N3781" i="27"/>
  <c r="N3710" i="27"/>
  <c r="G3790" i="27"/>
  <c r="K3870" i="27"/>
  <c r="N3836" i="27"/>
  <c r="P3852" i="27"/>
  <c r="M3728" i="27"/>
  <c r="A3728" i="27" s="1"/>
  <c r="O3738" i="27"/>
  <c r="I3764" i="27"/>
  <c r="I3749" i="27"/>
  <c r="E3874" i="27"/>
  <c r="M3852" i="27"/>
  <c r="A3852" i="27" s="1"/>
  <c r="O3821" i="27"/>
  <c r="K3883" i="27"/>
  <c r="H3828" i="27"/>
  <c r="F3845" i="27"/>
  <c r="M3766" i="27"/>
  <c r="A3766" i="27" s="1"/>
  <c r="J3883" i="27"/>
  <c r="I3876" i="27"/>
  <c r="O3733" i="27"/>
  <c r="J3732" i="27"/>
  <c r="O3873" i="27"/>
  <c r="M3749" i="27"/>
  <c r="A3749" i="27" s="1"/>
  <c r="E3893" i="27"/>
  <c r="I3830" i="27"/>
  <c r="I3891" i="27"/>
  <c r="O3837" i="27"/>
  <c r="O3734" i="27"/>
  <c r="P3893" i="27"/>
  <c r="J3846" i="27"/>
  <c r="H3788" i="27"/>
  <c r="O3762" i="27"/>
  <c r="J3798" i="27"/>
  <c r="M3869" i="27"/>
  <c r="A3869" i="27" s="1"/>
  <c r="P3750" i="27"/>
  <c r="N3764" i="27"/>
  <c r="F3886" i="27"/>
  <c r="F3853" i="27"/>
  <c r="O3886" i="27"/>
  <c r="E3747" i="27"/>
  <c r="P3861" i="27"/>
  <c r="F3822" i="27"/>
  <c r="J3733" i="27"/>
  <c r="E3844" i="27"/>
  <c r="I3854" i="27"/>
  <c r="H3830" i="27"/>
  <c r="J3836" i="27"/>
  <c r="I3765" i="27"/>
  <c r="E3862" i="27"/>
  <c r="H3806" i="27"/>
  <c r="I3838" i="27"/>
  <c r="K3834" i="27"/>
  <c r="M3856" i="27"/>
  <c r="A3856" i="27" s="1"/>
  <c r="N3753" i="27"/>
  <c r="K3866" i="27"/>
  <c r="N3876" i="27"/>
  <c r="N3884" i="27"/>
  <c r="M3842" i="27"/>
  <c r="A3842" i="27" s="1"/>
  <c r="G3824" i="27"/>
  <c r="J3754" i="27"/>
  <c r="E3787" i="27"/>
  <c r="E3793" i="27"/>
  <c r="O3736" i="27"/>
  <c r="J3802" i="27"/>
  <c r="I3794" i="27"/>
  <c r="O3723" i="27"/>
  <c r="P3756" i="27"/>
  <c r="N3826" i="27"/>
  <c r="O3707" i="27"/>
  <c r="N3716" i="27"/>
  <c r="K3797" i="27"/>
  <c r="O3786" i="27"/>
  <c r="N3747" i="27"/>
  <c r="G3867" i="27"/>
  <c r="O3724" i="27"/>
  <c r="K3828" i="27"/>
  <c r="G3761" i="27"/>
  <c r="N3842" i="27"/>
  <c r="M3771" i="27"/>
  <c r="A3771" i="27" s="1"/>
  <c r="F3732" i="27"/>
  <c r="O3844" i="27"/>
  <c r="O3823" i="27"/>
  <c r="M3754" i="27"/>
  <c r="A3754" i="27" s="1"/>
  <c r="J3723" i="27"/>
  <c r="K3851" i="27"/>
  <c r="O3776" i="27"/>
  <c r="F3706" i="27"/>
  <c r="J3875" i="27"/>
  <c r="I3724" i="27"/>
  <c r="N3892" i="27"/>
  <c r="H3741" i="27"/>
  <c r="I3829" i="27"/>
  <c r="O3766" i="27"/>
  <c r="M3838" i="27"/>
  <c r="A3838" i="27" s="1"/>
  <c r="I3818" i="27"/>
  <c r="K3755" i="27"/>
  <c r="H3836" i="27"/>
  <c r="E3709" i="27"/>
  <c r="E3797" i="27"/>
  <c r="G3880" i="27"/>
  <c r="H3859" i="27"/>
  <c r="K3820" i="27"/>
  <c r="E3717" i="27"/>
  <c r="K3789" i="27"/>
  <c r="O3845" i="27"/>
  <c r="H3893" i="27"/>
  <c r="J3758" i="27"/>
  <c r="F3814" i="27"/>
  <c r="J3870" i="27"/>
  <c r="I3786" i="27"/>
  <c r="J3867" i="27"/>
  <c r="M3772" i="27"/>
  <c r="A3772" i="27" s="1"/>
  <c r="O3868" i="27"/>
  <c r="P3725" i="27"/>
  <c r="H3781" i="27"/>
  <c r="G3829" i="27"/>
  <c r="E3779" i="27"/>
  <c r="F3716" i="27"/>
  <c r="G3820" i="27"/>
  <c r="O3757" i="27"/>
  <c r="E3805" i="27"/>
  <c r="G3853" i="27"/>
  <c r="F3739" i="27"/>
  <c r="M3804" i="27"/>
  <c r="A3804" i="27" s="1"/>
  <c r="O3892" i="27"/>
  <c r="N3741" i="27"/>
  <c r="I3797" i="27"/>
  <c r="I3845" i="27"/>
  <c r="N3893" i="27"/>
  <c r="H3718" i="27"/>
  <c r="J3774" i="27"/>
  <c r="G3822" i="27"/>
  <c r="G3870" i="27"/>
  <c r="I3866" i="27"/>
  <c r="K3875" i="27"/>
  <c r="N3813" i="27"/>
  <c r="G3718" i="27"/>
  <c r="M3806" i="27"/>
  <c r="A3806" i="27" s="1"/>
  <c r="E3878" i="27"/>
  <c r="K3877" i="27"/>
  <c r="H3750" i="27"/>
  <c r="O3838" i="27"/>
  <c r="I3750" i="27"/>
  <c r="N3740" i="27"/>
  <c r="K3893" i="27"/>
  <c r="K3766" i="27"/>
  <c r="I3846" i="27"/>
  <c r="I3782" i="27"/>
  <c r="F3844" i="27"/>
  <c r="M3773" i="27"/>
  <c r="A3773" i="27" s="1"/>
  <c r="N3790" i="27"/>
  <c r="G3862" i="27"/>
  <c r="I3868" i="27"/>
  <c r="K3835" i="27"/>
  <c r="J3845" i="27"/>
  <c r="F3734" i="27"/>
  <c r="O3822" i="27"/>
  <c r="I3894" i="27"/>
  <c r="O3708" i="27"/>
  <c r="K3885" i="27"/>
  <c r="I3758" i="27"/>
  <c r="H3838" i="27"/>
  <c r="F3866" i="27"/>
  <c r="I3805" i="27"/>
  <c r="J3718" i="27"/>
  <c r="G3798" i="27"/>
  <c r="M3774" i="27"/>
  <c r="A3774" i="27" s="1"/>
  <c r="F3815" i="27"/>
  <c r="M3892" i="27"/>
  <c r="A3892" i="27" s="1"/>
  <c r="O3718" i="27"/>
  <c r="I3717" i="27"/>
  <c r="K3749" i="27"/>
  <c r="N3782" i="27"/>
  <c r="H3758" i="27"/>
  <c r="K3827" i="27"/>
  <c r="K3771" i="27"/>
  <c r="H3785" i="27"/>
  <c r="I3743" i="27"/>
  <c r="M3783" i="27"/>
  <c r="A3783" i="27" s="1"/>
  <c r="N3779" i="27"/>
  <c r="I3769" i="27"/>
  <c r="O3770" i="27"/>
  <c r="F3803" i="27"/>
  <c r="F3865" i="27"/>
  <c r="J3714" i="27"/>
  <c r="G3776" i="27"/>
  <c r="E3780" i="27"/>
  <c r="K3818" i="27"/>
  <c r="O3826" i="27"/>
  <c r="P3747" i="27"/>
  <c r="F3764" i="27"/>
  <c r="O3850" i="27"/>
  <c r="N3763" i="27"/>
  <c r="P3764" i="27"/>
  <c r="O3759" i="27"/>
  <c r="N3802" i="27"/>
  <c r="O3755" i="27"/>
  <c r="F3875" i="27"/>
  <c r="E3772" i="27"/>
  <c r="P3790" i="27"/>
  <c r="G3863" i="27"/>
  <c r="E3831" i="27"/>
  <c r="N3816" i="27"/>
  <c r="G3803" i="27"/>
  <c r="F3793" i="27"/>
  <c r="H3786" i="27"/>
  <c r="G3851" i="27"/>
  <c r="H3754" i="27"/>
  <c r="N3729" i="27"/>
  <c r="M3826" i="27"/>
  <c r="A3826" i="27" s="1"/>
  <c r="K3890" i="27"/>
  <c r="F3755" i="27"/>
  <c r="H3804" i="27"/>
  <c r="P3874" i="27"/>
  <c r="P3779" i="27"/>
  <c r="K3780" i="27"/>
  <c r="F3725" i="27"/>
  <c r="J3705" i="27"/>
  <c r="K3850" i="27"/>
  <c r="N3787" i="27"/>
  <c r="N3756" i="27"/>
  <c r="I3860" i="27"/>
  <c r="F3890" i="27"/>
  <c r="N3811" i="27"/>
  <c r="J3748" i="27"/>
  <c r="H3852" i="27"/>
  <c r="G3856" i="27"/>
  <c r="F3786" i="27"/>
  <c r="J3739" i="27"/>
  <c r="O3867" i="27"/>
  <c r="J3737" i="27"/>
  <c r="N3780" i="27"/>
  <c r="K3757" i="27"/>
  <c r="H3845" i="27"/>
  <c r="M3782" i="27"/>
  <c r="A3782" i="27" s="1"/>
  <c r="I3862" i="27"/>
  <c r="E3835" i="27"/>
  <c r="F3895" i="27"/>
  <c r="F3868" i="27"/>
  <c r="F3733" i="27"/>
  <c r="F3821" i="27"/>
  <c r="P3716" i="27"/>
  <c r="K3852" i="27"/>
  <c r="E3733" i="27"/>
  <c r="P3805" i="27"/>
  <c r="I3853" i="27"/>
  <c r="G3710" i="27"/>
  <c r="O3774" i="27"/>
  <c r="M3830" i="27"/>
  <c r="A3830" i="27" s="1"/>
  <c r="H3878" i="27"/>
  <c r="O3858" i="27"/>
  <c r="E3715" i="27"/>
  <c r="I3796" i="27"/>
  <c r="J3884" i="27"/>
  <c r="P3741" i="27"/>
  <c r="M3797" i="27"/>
  <c r="A3797" i="27" s="1"/>
  <c r="N3845" i="27"/>
  <c r="O3794" i="27"/>
  <c r="M3827" i="27"/>
  <c r="A3827" i="27" s="1"/>
  <c r="P3748" i="27"/>
  <c r="I3844" i="27"/>
  <c r="M3709" i="27"/>
  <c r="A3709" i="27" s="1"/>
  <c r="P3773" i="27"/>
  <c r="J3821" i="27"/>
  <c r="N3869" i="27"/>
  <c r="J3787" i="27"/>
  <c r="P3828" i="27"/>
  <c r="N3757" i="27"/>
  <c r="P3813" i="27"/>
  <c r="O3790" i="27"/>
  <c r="K3853" i="27"/>
  <c r="G3894" i="27"/>
  <c r="E3852" i="27"/>
  <c r="N3891" i="27"/>
  <c r="O3778" i="27"/>
  <c r="J3741" i="27"/>
  <c r="P3803" i="27"/>
  <c r="P3777" i="27"/>
  <c r="M3781" i="27"/>
  <c r="A3781" i="27" s="1"/>
  <c r="P3878" i="27"/>
  <c r="H3860" i="27"/>
  <c r="E3773" i="27"/>
  <c r="K3836" i="27"/>
  <c r="I3836" i="27"/>
  <c r="I3734" i="27"/>
  <c r="G3846" i="27"/>
  <c r="G3707" i="27"/>
  <c r="M3837" i="27"/>
  <c r="A3837" i="27" s="1"/>
  <c r="E3869" i="27"/>
  <c r="F3750" i="27"/>
  <c r="J3894" i="27"/>
  <c r="I3718" i="27"/>
  <c r="F3756" i="27"/>
  <c r="G3754" i="27"/>
  <c r="H3763" i="27"/>
  <c r="E3830" i="27"/>
  <c r="J3862" i="27"/>
  <c r="K3798" i="27"/>
  <c r="I3893" i="27"/>
  <c r="O3870" i="27"/>
  <c r="K3814" i="27"/>
  <c r="N3883" i="27"/>
  <c r="G3805" i="27"/>
  <c r="F3790" i="27"/>
  <c r="F3876" i="27"/>
  <c r="K3845" i="27"/>
  <c r="O3860" i="27"/>
  <c r="F3830" i="27"/>
  <c r="E3732" i="27"/>
  <c r="E3845" i="27"/>
  <c r="O3846" i="27"/>
  <c r="O3781" i="27"/>
  <c r="K3884" i="27"/>
  <c r="M3812" i="27"/>
  <c r="A3812" i="27" s="1"/>
  <c r="M3853" i="27"/>
  <c r="A3853" i="27" s="1"/>
  <c r="G3741" i="27"/>
  <c r="H3843" i="27"/>
  <c r="O3829" i="27"/>
  <c r="M3881" i="27"/>
  <c r="A3881" i="27" s="1"/>
  <c r="M3765" i="27"/>
  <c r="A3765" i="27" s="1"/>
  <c r="P3822" i="27"/>
  <c r="F3748" i="27"/>
  <c r="O3710" i="27"/>
  <c r="F3869" i="27"/>
  <c r="F3710" i="27"/>
  <c r="K3709" i="27"/>
  <c r="J3790" i="27"/>
  <c r="O3877" i="27"/>
  <c r="G3818" i="27"/>
  <c r="P3890" i="27"/>
  <c r="J3811" i="27"/>
  <c r="E3708" i="27"/>
  <c r="P3838" i="27"/>
  <c r="O3805" i="27"/>
  <c r="G3813" i="27"/>
  <c r="H3740" i="27"/>
  <c r="J3861" i="27"/>
  <c r="J3725" i="27"/>
  <c r="E3826" i="27"/>
  <c r="E3886" i="27"/>
  <c r="E3789" i="27"/>
  <c r="F3766" i="27"/>
  <c r="I3804" i="27"/>
  <c r="K3715" i="27"/>
  <c r="F3741" i="27"/>
  <c r="P3782" i="27"/>
  <c r="I3739" i="27"/>
  <c r="E3741" i="27"/>
  <c r="F3852" i="27"/>
  <c r="O3765" i="27"/>
  <c r="M3742" i="27"/>
  <c r="A3742" i="27" s="1"/>
  <c r="E3870" i="27"/>
  <c r="K3750" i="27"/>
  <c r="I3803" i="27"/>
  <c r="H3782" i="27"/>
  <c r="I3710" i="27"/>
  <c r="H3886" i="27"/>
  <c r="K3790" i="27"/>
  <c r="P3740" i="27"/>
  <c r="F3718" i="27"/>
  <c r="K3861" i="27"/>
  <c r="F3862" i="27"/>
  <c r="I3756" i="27"/>
  <c r="N3717" i="27"/>
  <c r="N3877" i="27"/>
  <c r="K2889" i="27"/>
  <c r="K2888" i="27"/>
  <c r="K2824" i="27"/>
  <c r="K2760" i="27"/>
  <c r="K2863" i="27"/>
  <c r="K2799" i="27"/>
  <c r="K2881" i="27"/>
  <c r="K2880" i="27"/>
  <c r="K2816" i="27"/>
  <c r="K2752" i="27"/>
  <c r="K2855" i="27"/>
  <c r="K2791" i="27"/>
  <c r="K2822" i="27"/>
  <c r="K2873" i="27"/>
  <c r="K2872" i="27"/>
  <c r="K2808" i="27"/>
  <c r="K2744" i="27"/>
  <c r="K2847" i="27"/>
  <c r="K2783" i="27"/>
  <c r="K2812" i="27"/>
  <c r="K2730" i="27"/>
  <c r="K2865" i="27"/>
  <c r="K2864" i="27"/>
  <c r="K2800" i="27"/>
  <c r="K2839" i="27"/>
  <c r="K2775" i="27"/>
  <c r="K2857" i="27"/>
  <c r="K2792" i="27"/>
  <c r="K2831" i="27"/>
  <c r="K2858" i="27"/>
  <c r="K2748" i="27"/>
  <c r="K2674" i="27"/>
  <c r="K2610" i="27"/>
  <c r="K2546" i="27"/>
  <c r="K2886" i="27"/>
  <c r="K2821" i="27"/>
  <c r="K2737" i="27"/>
  <c r="K2673" i="27"/>
  <c r="K2609" i="27"/>
  <c r="K2545" i="27"/>
  <c r="K2573" i="27"/>
  <c r="K2842" i="27"/>
  <c r="K2756" i="27"/>
  <c r="K2688" i="27"/>
  <c r="K2624" i="27"/>
  <c r="K2560" i="27"/>
  <c r="K2557" i="27"/>
  <c r="K2841" i="27"/>
  <c r="K2755" i="27"/>
  <c r="K2687" i="27"/>
  <c r="K2623" i="27"/>
  <c r="K2559" i="27"/>
  <c r="K2849" i="27"/>
  <c r="K2784" i="27"/>
  <c r="K2823" i="27"/>
  <c r="K2844" i="27"/>
  <c r="K2738" i="27"/>
  <c r="K2666" i="27"/>
  <c r="K2602" i="27"/>
  <c r="K2538" i="27"/>
  <c r="K2805" i="27"/>
  <c r="K2811" i="27"/>
  <c r="K2729" i="27"/>
  <c r="K2665" i="27"/>
  <c r="K2601" i="27"/>
  <c r="K2537" i="27"/>
  <c r="K2525" i="27"/>
  <c r="K2830" i="27"/>
  <c r="K2746" i="27"/>
  <c r="K2680" i="27"/>
  <c r="K2616" i="27"/>
  <c r="K2552" i="27"/>
  <c r="K2509" i="27"/>
  <c r="K2829" i="27"/>
  <c r="K2745" i="27"/>
  <c r="K2679" i="27"/>
  <c r="K2615" i="27"/>
  <c r="K2551" i="27"/>
  <c r="K2621" i="27"/>
  <c r="K2851" i="27"/>
  <c r="K2764" i="27"/>
  <c r="K2694" i="27"/>
  <c r="K2776" i="27"/>
  <c r="K2815" i="27"/>
  <c r="K2834" i="27"/>
  <c r="K2722" i="27"/>
  <c r="K2658" i="27"/>
  <c r="K2594" i="27"/>
  <c r="K2530" i="27"/>
  <c r="K2741" i="27"/>
  <c r="K2801" i="27"/>
  <c r="K2721" i="27"/>
  <c r="K2657" i="27"/>
  <c r="K2593" i="27"/>
  <c r="K2529" i="27"/>
  <c r="K2820" i="27"/>
  <c r="K2736" i="27"/>
  <c r="K2672" i="27"/>
  <c r="K2608" i="27"/>
  <c r="K2544" i="27"/>
  <c r="K2875" i="27"/>
  <c r="K2819" i="27"/>
  <c r="K2735" i="27"/>
  <c r="K2671" i="27"/>
  <c r="K2607" i="27"/>
  <c r="K2543" i="27"/>
  <c r="K2768" i="27"/>
  <c r="K2807" i="27"/>
  <c r="K2802" i="27"/>
  <c r="K2714" i="27"/>
  <c r="K2650" i="27"/>
  <c r="K2586" i="27"/>
  <c r="K2522" i="27"/>
  <c r="K2701" i="27"/>
  <c r="K2882" i="27"/>
  <c r="K2789" i="27"/>
  <c r="K2713" i="27"/>
  <c r="K2649" i="27"/>
  <c r="K2585" i="27"/>
  <c r="K2521" i="27"/>
  <c r="K2850" i="27"/>
  <c r="K2810" i="27"/>
  <c r="K2728" i="27"/>
  <c r="K2664" i="27"/>
  <c r="K2600" i="27"/>
  <c r="K2536" i="27"/>
  <c r="K2817" i="27"/>
  <c r="K2809" i="27"/>
  <c r="K2727" i="27"/>
  <c r="K2663" i="27"/>
  <c r="K2599" i="27"/>
  <c r="K2535" i="27"/>
  <c r="K2533" i="27"/>
  <c r="K2828" i="27"/>
  <c r="K2742" i="27"/>
  <c r="K2678" i="27"/>
  <c r="K2856" i="27"/>
  <c r="K2767" i="27"/>
  <c r="K2790" i="27"/>
  <c r="K2642" i="27"/>
  <c r="K2514" i="27"/>
  <c r="K2779" i="27"/>
  <c r="K2641" i="27"/>
  <c r="K2513" i="27"/>
  <c r="K2798" i="27"/>
  <c r="K2656" i="27"/>
  <c r="K2528" i="27"/>
  <c r="K2797" i="27"/>
  <c r="K2655" i="27"/>
  <c r="K2527" i="27"/>
  <c r="K2677" i="27"/>
  <c r="K2862" i="27"/>
  <c r="K2734" i="27"/>
  <c r="K2654" i="27"/>
  <c r="K2590" i="27"/>
  <c r="K2526" i="27"/>
  <c r="K2874" i="27"/>
  <c r="K2782" i="27"/>
  <c r="K2708" i="27"/>
  <c r="K2644" i="27"/>
  <c r="K2580" i="27"/>
  <c r="K2516" i="27"/>
  <c r="K2837" i="27"/>
  <c r="K2803" i="27"/>
  <c r="K2723" i="27"/>
  <c r="K2659" i="27"/>
  <c r="K2595" i="27"/>
  <c r="K2531" i="27"/>
  <c r="K2541" i="27"/>
  <c r="K2848" i="27"/>
  <c r="K2759" i="27"/>
  <c r="K2780" i="27"/>
  <c r="K2634" i="27"/>
  <c r="K2506" i="27"/>
  <c r="K2769" i="27"/>
  <c r="K2633" i="27"/>
  <c r="K2505" i="27"/>
  <c r="K2788" i="27"/>
  <c r="K2648" i="27"/>
  <c r="K2520" i="27"/>
  <c r="K2787" i="27"/>
  <c r="K2647" i="27"/>
  <c r="K2519" i="27"/>
  <c r="K2581" i="27"/>
  <c r="K2838" i="27"/>
  <c r="K2726" i="27"/>
  <c r="K2646" i="27"/>
  <c r="K2582" i="27"/>
  <c r="K2518" i="27"/>
  <c r="K2860" i="27"/>
  <c r="K2772" i="27"/>
  <c r="K2700" i="27"/>
  <c r="K2636" i="27"/>
  <c r="K2572" i="27"/>
  <c r="K2508" i="27"/>
  <c r="K2773" i="27"/>
  <c r="K2884" i="27"/>
  <c r="K2793" i="27"/>
  <c r="K2715" i="27"/>
  <c r="K2651" i="27"/>
  <c r="K2587" i="27"/>
  <c r="K2523" i="27"/>
  <c r="K2706" i="27"/>
  <c r="K2577" i="27"/>
  <c r="K2753" i="27"/>
  <c r="K2622" i="27"/>
  <c r="K2676" i="27"/>
  <c r="K2761" i="27"/>
  <c r="K2627" i="27"/>
  <c r="K2709" i="27"/>
  <c r="K2698" i="27"/>
  <c r="K2605" i="27"/>
  <c r="K2697" i="27"/>
  <c r="K2717" i="27"/>
  <c r="K2712" i="27"/>
  <c r="K2693" i="27"/>
  <c r="K2583" i="27"/>
  <c r="K2614" i="27"/>
  <c r="K2732" i="27"/>
  <c r="K2540" i="27"/>
  <c r="K2619" i="27"/>
  <c r="K2562" i="27"/>
  <c r="K2669" i="27"/>
  <c r="K2576" i="27"/>
  <c r="K2575" i="27"/>
  <c r="K2774" i="27"/>
  <c r="K2724" i="27"/>
  <c r="K2825" i="27"/>
  <c r="K2554" i="27"/>
  <c r="K2553" i="27"/>
  <c r="K2853" i="27"/>
  <c r="K2695" i="27"/>
  <c r="K2588" i="27"/>
  <c r="K2840" i="27"/>
  <c r="K2751" i="27"/>
  <c r="K2770" i="27"/>
  <c r="K2626" i="27"/>
  <c r="K2757" i="27"/>
  <c r="K2625" i="27"/>
  <c r="K2778" i="27"/>
  <c r="K2640" i="27"/>
  <c r="K2512" i="27"/>
  <c r="K2777" i="27"/>
  <c r="K2639" i="27"/>
  <c r="K2511" i="27"/>
  <c r="K2818" i="27"/>
  <c r="K2718" i="27"/>
  <c r="K2638" i="27"/>
  <c r="K2574" i="27"/>
  <c r="K2510" i="27"/>
  <c r="K2846" i="27"/>
  <c r="K2762" i="27"/>
  <c r="K2692" i="27"/>
  <c r="K2628" i="27"/>
  <c r="K2564" i="27"/>
  <c r="K2733" i="27"/>
  <c r="K2870" i="27"/>
  <c r="K2781" i="27"/>
  <c r="K2707" i="27"/>
  <c r="K2643" i="27"/>
  <c r="K2579" i="27"/>
  <c r="K2515" i="27"/>
  <c r="K2827" i="27"/>
  <c r="K2653" i="27"/>
  <c r="K2705" i="27"/>
  <c r="K2592" i="27"/>
  <c r="K2719" i="27"/>
  <c r="K2702" i="27"/>
  <c r="K2826" i="27"/>
  <c r="K2548" i="27"/>
  <c r="K2845" i="27"/>
  <c r="K2563" i="27"/>
  <c r="K2887" i="27"/>
  <c r="K2569" i="27"/>
  <c r="K2878" i="27"/>
  <c r="K2786" i="27"/>
  <c r="K2814" i="27"/>
  <c r="K2749" i="27"/>
  <c r="K2879" i="27"/>
  <c r="K2690" i="27"/>
  <c r="K2689" i="27"/>
  <c r="K2704" i="27"/>
  <c r="K2866" i="27"/>
  <c r="K2596" i="27"/>
  <c r="K2675" i="27"/>
  <c r="K2869" i="27"/>
  <c r="K2833" i="27"/>
  <c r="K2567" i="27"/>
  <c r="K2754" i="27"/>
  <c r="K2731" i="27"/>
  <c r="K2832" i="27"/>
  <c r="K2743" i="27"/>
  <c r="K2758" i="27"/>
  <c r="K2618" i="27"/>
  <c r="K2747" i="27"/>
  <c r="K2617" i="27"/>
  <c r="K2766" i="27"/>
  <c r="K2632" i="27"/>
  <c r="K2765" i="27"/>
  <c r="K2631" i="27"/>
  <c r="K2806" i="27"/>
  <c r="K2710" i="27"/>
  <c r="K2630" i="27"/>
  <c r="K2566" i="27"/>
  <c r="K2836" i="27"/>
  <c r="K2750" i="27"/>
  <c r="K2684" i="27"/>
  <c r="K2620" i="27"/>
  <c r="K2556" i="27"/>
  <c r="K2685" i="27"/>
  <c r="K2859" i="27"/>
  <c r="K2771" i="27"/>
  <c r="K2699" i="27"/>
  <c r="K2635" i="27"/>
  <c r="K2571" i="27"/>
  <c r="K2507" i="27"/>
  <c r="K2763" i="27"/>
  <c r="K2578" i="27"/>
  <c r="K2868" i="27"/>
  <c r="K2795" i="27"/>
  <c r="K2720" i="27"/>
  <c r="K2591" i="27"/>
  <c r="K2796" i="27"/>
  <c r="K2558" i="27"/>
  <c r="K2740" i="27"/>
  <c r="K2612" i="27"/>
  <c r="K2613" i="27"/>
  <c r="K2691" i="27"/>
  <c r="K2570" i="27"/>
  <c r="K2854" i="27"/>
  <c r="K2584" i="27"/>
  <c r="K2877" i="27"/>
  <c r="K2861" i="27"/>
  <c r="K2550" i="27"/>
  <c r="K2668" i="27"/>
  <c r="K2565" i="27"/>
  <c r="K2683" i="27"/>
  <c r="K2661" i="27"/>
  <c r="K2549" i="27"/>
  <c r="K2561" i="27"/>
  <c r="K2645" i="27"/>
  <c r="K2785" i="27"/>
  <c r="K2670" i="27"/>
  <c r="K2542" i="27"/>
  <c r="K2532" i="27"/>
  <c r="K2547" i="27"/>
  <c r="K2871" i="27"/>
  <c r="K2682" i="27"/>
  <c r="K2568" i="27"/>
  <c r="K2725" i="27"/>
  <c r="K2662" i="27"/>
  <c r="K2652" i="27"/>
  <c r="K2539" i="27"/>
  <c r="K2711" i="27"/>
  <c r="K2686" i="27"/>
  <c r="K2604" i="27"/>
  <c r="K2835" i="27"/>
  <c r="K2555" i="27"/>
  <c r="K2883" i="27"/>
  <c r="K2843" i="27"/>
  <c r="K2867" i="27"/>
  <c r="K2703" i="27"/>
  <c r="K2606" i="27"/>
  <c r="K2804" i="27"/>
  <c r="K2517" i="27"/>
  <c r="K2739" i="27"/>
  <c r="K2629" i="27"/>
  <c r="K2637" i="27"/>
  <c r="K2597" i="27"/>
  <c r="K2534" i="27"/>
  <c r="K2716" i="27"/>
  <c r="K2603" i="27"/>
  <c r="K2598" i="27"/>
  <c r="K2794" i="27"/>
  <c r="K2667" i="27"/>
  <c r="K2890" i="27"/>
  <c r="K2660" i="27"/>
  <c r="K2611" i="27"/>
  <c r="K2681" i="27"/>
  <c r="K2696" i="27"/>
  <c r="K2852" i="27"/>
  <c r="K2876" i="27"/>
  <c r="K2885" i="27"/>
  <c r="K2524" i="27"/>
  <c r="K2813" i="27"/>
  <c r="K2589" i="27"/>
  <c r="H2065" i="27"/>
  <c r="M2081" i="27"/>
  <c r="A2081" i="27" s="1"/>
  <c r="E2057" i="27"/>
  <c r="G2022" i="27"/>
  <c r="O2080" i="27"/>
  <c r="G2019" i="27"/>
  <c r="K2061" i="27"/>
  <c r="L2003" i="27"/>
  <c r="O1999" i="27"/>
  <c r="I2075" i="27"/>
  <c r="K2067" i="27"/>
  <c r="M2089" i="27"/>
  <c r="A2089" i="27" s="1"/>
  <c r="N2008" i="27"/>
  <c r="M2051" i="27"/>
  <c r="A2051" i="27" s="1"/>
  <c r="H2063" i="27"/>
  <c r="M1989" i="27"/>
  <c r="A1989" i="27" s="1"/>
  <c r="E2097" i="27"/>
  <c r="J2037" i="27"/>
  <c r="K1985" i="27"/>
  <c r="G2087" i="27"/>
  <c r="H2069" i="27"/>
  <c r="G2065" i="27"/>
  <c r="L2079" i="27"/>
  <c r="O2070" i="27"/>
  <c r="E1983" i="27"/>
  <c r="M1991" i="27"/>
  <c r="A1991" i="27" s="1"/>
  <c r="K2111" i="27"/>
  <c r="I2043" i="27"/>
  <c r="O2024" i="27"/>
  <c r="G2030" i="27"/>
  <c r="J2081" i="27"/>
  <c r="E2109" i="27"/>
  <c r="N2064" i="27"/>
  <c r="I2060" i="27"/>
  <c r="N2019" i="27"/>
  <c r="J2056" i="27"/>
  <c r="G2062" i="27"/>
  <c r="L2078" i="27"/>
  <c r="H2068" i="27"/>
  <c r="E2028" i="27"/>
  <c r="I1996" i="27"/>
  <c r="L2075" i="27"/>
  <c r="K2045" i="27"/>
  <c r="N1979" i="27"/>
  <c r="J2111" i="27"/>
  <c r="I2087" i="27"/>
  <c r="I2033" i="27"/>
  <c r="E2110" i="27"/>
  <c r="M2048" i="27"/>
  <c r="A2048" i="27" s="1"/>
  <c r="N1992" i="27"/>
  <c r="H2115" i="27"/>
  <c r="J2080" i="27"/>
  <c r="H2004" i="27"/>
  <c r="L2059" i="27"/>
  <c r="E1987" i="27"/>
  <c r="H2000" i="27"/>
  <c r="M2053" i="27"/>
  <c r="A2053" i="27" s="1"/>
  <c r="M1982" i="27"/>
  <c r="A1982" i="27" s="1"/>
  <c r="K2035" i="27"/>
  <c r="O2040" i="27"/>
  <c r="G2104" i="27"/>
  <c r="J2069" i="27"/>
  <c r="I2053" i="27"/>
  <c r="K1987" i="27"/>
  <c r="I2103" i="27"/>
  <c r="G2085" i="27"/>
  <c r="H2067" i="27"/>
  <c r="L2025" i="27"/>
  <c r="N2087" i="27"/>
  <c r="K2024" i="27"/>
  <c r="E2045" i="27"/>
  <c r="L2095" i="27"/>
  <c r="H2112" i="27"/>
  <c r="E1992" i="27"/>
  <c r="I2108" i="27"/>
  <c r="G2106" i="27"/>
  <c r="N2015" i="27"/>
  <c r="N2092" i="27"/>
  <c r="L2030" i="27"/>
  <c r="G2113" i="27"/>
  <c r="I2107" i="27"/>
  <c r="E2059" i="27"/>
  <c r="E2049" i="27"/>
  <c r="J1994" i="27"/>
  <c r="J2087" i="27"/>
  <c r="I2088" i="27"/>
  <c r="O2108" i="27"/>
  <c r="H2088" i="27"/>
  <c r="L2056" i="27"/>
  <c r="M2060" i="27"/>
  <c r="A2060" i="27" s="1"/>
  <c r="E2043" i="27"/>
  <c r="N2031" i="27"/>
  <c r="O2048" i="27"/>
  <c r="L2050" i="27"/>
  <c r="J2018" i="27"/>
  <c r="H2055" i="27"/>
  <c r="O2026" i="27"/>
  <c r="M2050" i="27"/>
  <c r="A2050" i="27" s="1"/>
  <c r="H2107" i="27"/>
  <c r="M1979" i="27"/>
  <c r="A1979" i="27" s="1"/>
  <c r="H2098" i="27"/>
  <c r="K2033" i="27"/>
  <c r="N2084" i="27"/>
  <c r="O2032" i="27"/>
  <c r="L1990" i="27"/>
  <c r="N2088" i="27"/>
  <c r="L2010" i="27"/>
  <c r="E2098" i="27"/>
  <c r="E2074" i="27"/>
  <c r="H1988" i="27"/>
  <c r="J1984" i="27"/>
  <c r="M2017" i="27"/>
  <c r="A2017" i="27" s="1"/>
  <c r="N2104" i="27"/>
  <c r="H2007" i="27"/>
  <c r="E2063" i="27"/>
  <c r="O2035" i="27"/>
  <c r="J2106" i="27"/>
  <c r="G2053" i="27"/>
  <c r="K2007" i="27"/>
  <c r="E2046" i="27"/>
  <c r="O2009" i="27"/>
  <c r="L2024" i="27"/>
  <c r="G2005" i="27"/>
  <c r="E2040" i="27"/>
  <c r="K2053" i="27"/>
  <c r="L2111" i="27"/>
  <c r="J1983" i="27"/>
  <c r="M2046" i="27"/>
  <c r="A2046" i="27" s="1"/>
  <c r="E1989" i="27"/>
  <c r="K2034" i="27"/>
  <c r="L2046" i="27"/>
  <c r="K2089" i="27"/>
  <c r="L2092" i="27"/>
  <c r="G1992" i="27"/>
  <c r="G2072" i="27"/>
  <c r="G2116" i="27"/>
  <c r="M2092" i="27"/>
  <c r="A2092" i="27" s="1"/>
  <c r="O1989" i="27"/>
  <c r="L2000" i="27"/>
  <c r="L2091" i="27"/>
  <c r="I2034" i="27"/>
  <c r="I2102" i="27"/>
  <c r="J2028" i="27"/>
  <c r="H2093" i="27"/>
  <c r="N1983" i="27"/>
  <c r="N2071" i="27"/>
  <c r="I2072" i="27"/>
  <c r="G2096" i="27"/>
  <c r="L1982" i="27"/>
  <c r="L2066" i="27"/>
  <c r="L1994" i="27"/>
  <c r="N2107" i="27"/>
  <c r="N2079" i="27"/>
  <c r="E2026" i="27"/>
  <c r="K2055" i="27"/>
  <c r="K2116" i="27"/>
  <c r="G2058" i="27"/>
  <c r="J2002" i="27"/>
  <c r="L2022" i="27"/>
  <c r="N2065" i="27"/>
  <c r="E2116" i="27"/>
  <c r="G2038" i="27"/>
  <c r="I2068" i="27"/>
  <c r="H2011" i="27"/>
  <c r="E2102" i="27"/>
  <c r="N2005" i="27"/>
  <c r="O2094" i="27"/>
  <c r="J2062" i="27"/>
  <c r="O2077" i="27"/>
  <c r="I2086" i="27"/>
  <c r="H2075" i="27"/>
  <c r="I1987" i="27"/>
  <c r="H2109" i="27"/>
  <c r="N2099" i="27"/>
  <c r="K2069" i="27"/>
  <c r="N2072" i="27"/>
  <c r="O2023" i="27"/>
  <c r="I2073" i="27"/>
  <c r="M2014" i="27"/>
  <c r="A2014" i="27" s="1"/>
  <c r="G2098" i="27"/>
  <c r="N1985" i="27"/>
  <c r="L2083" i="27"/>
  <c r="M2028" i="27"/>
  <c r="A2028" i="27" s="1"/>
  <c r="E2061" i="27"/>
  <c r="M2013" i="27"/>
  <c r="A2013" i="27" s="1"/>
  <c r="L2088" i="27"/>
  <c r="K2023" i="27"/>
  <c r="O2076" i="27"/>
  <c r="O2039" i="27"/>
  <c r="M2082" i="27"/>
  <c r="A2082" i="27" s="1"/>
  <c r="I2093" i="27"/>
  <c r="J2038" i="27"/>
  <c r="O2097" i="27"/>
  <c r="M2010" i="27"/>
  <c r="A2010" i="27" s="1"/>
  <c r="K2107" i="27"/>
  <c r="H2028" i="27"/>
  <c r="K1988" i="27"/>
  <c r="H2101" i="27"/>
  <c r="K2073" i="27"/>
  <c r="H2015" i="27"/>
  <c r="M1984" i="27"/>
  <c r="A1984" i="27" s="1"/>
  <c r="K1991" i="27"/>
  <c r="J2095" i="27"/>
  <c r="K2039" i="27"/>
  <c r="O2104" i="27"/>
  <c r="M2094" i="27"/>
  <c r="A2094" i="27" s="1"/>
  <c r="M2058" i="27"/>
  <c r="A2058" i="27" s="1"/>
  <c r="J2017" i="27"/>
  <c r="H2090" i="27"/>
  <c r="L2096" i="27"/>
  <c r="I2021" i="27"/>
  <c r="G2041" i="27"/>
  <c r="H2036" i="27"/>
  <c r="L2089" i="27"/>
  <c r="N2102" i="27"/>
  <c r="O2074" i="27"/>
  <c r="I2027" i="27"/>
  <c r="O2000" i="27"/>
  <c r="E2108" i="27"/>
  <c r="H2102" i="27"/>
  <c r="H2113" i="27"/>
  <c r="L2026" i="27"/>
  <c r="O2114" i="27"/>
  <c r="E2092" i="27"/>
  <c r="O2020" i="27"/>
  <c r="E2071" i="27"/>
  <c r="J2098" i="27"/>
  <c r="O2098" i="27"/>
  <c r="G2109" i="27"/>
  <c r="K1995" i="27"/>
  <c r="N2040" i="27"/>
  <c r="G2055" i="27"/>
  <c r="M2007" i="27"/>
  <c r="A2007" i="27" s="1"/>
  <c r="O2096" i="27"/>
  <c r="N2033" i="27"/>
  <c r="I2077" i="27"/>
  <c r="L2112" i="27"/>
  <c r="I2011" i="27"/>
  <c r="O2110" i="27"/>
  <c r="G2080" i="27"/>
  <c r="N1993" i="27"/>
  <c r="L2108" i="27"/>
  <c r="G1987" i="27"/>
  <c r="G1983" i="27"/>
  <c r="M2103" i="27"/>
  <c r="A2103" i="27" s="1"/>
  <c r="N2073" i="27"/>
  <c r="H2016" i="27"/>
  <c r="E2084" i="27"/>
  <c r="K2004" i="27"/>
  <c r="G2074" i="27"/>
  <c r="I2063" i="27"/>
  <c r="O1993" i="27"/>
  <c r="G2060" i="27"/>
  <c r="G1982" i="27"/>
  <c r="G2083" i="27"/>
  <c r="J2061" i="27"/>
  <c r="H1981" i="27"/>
  <c r="K2040" i="27"/>
  <c r="I1985" i="27"/>
  <c r="I2080" i="27"/>
  <c r="H2014" i="27"/>
  <c r="N2100" i="27"/>
  <c r="M2080" i="27"/>
  <c r="A2080" i="27" s="1"/>
  <c r="I2010" i="27"/>
  <c r="O2053" i="27"/>
  <c r="J2063" i="27"/>
  <c r="J2068" i="27"/>
  <c r="E2069" i="27"/>
  <c r="G1997" i="27"/>
  <c r="O2085" i="27"/>
  <c r="L2073" i="27"/>
  <c r="J2008" i="27"/>
  <c r="K1997" i="27"/>
  <c r="G2033" i="27"/>
  <c r="I2105" i="27"/>
  <c r="G1981" i="27"/>
  <c r="H2103" i="27"/>
  <c r="H2081" i="27"/>
  <c r="H2035" i="27"/>
  <c r="N2044" i="27"/>
  <c r="N2103" i="27"/>
  <c r="L2100" i="27"/>
  <c r="I1983" i="27"/>
  <c r="K2097" i="27"/>
  <c r="N2077" i="27"/>
  <c r="H2084" i="27"/>
  <c r="I2025" i="27"/>
  <c r="O2016" i="27"/>
  <c r="G2057" i="27"/>
  <c r="M2031" i="27"/>
  <c r="A2031" i="27" s="1"/>
  <c r="L2038" i="27"/>
  <c r="J2032" i="27"/>
  <c r="G2059" i="27"/>
  <c r="N2060" i="27"/>
  <c r="H2060" i="27"/>
  <c r="L2005" i="27"/>
  <c r="J1982" i="27"/>
  <c r="J1996" i="27"/>
  <c r="L2009" i="27"/>
  <c r="E2070" i="27"/>
  <c r="E2050" i="27"/>
  <c r="J2110" i="27"/>
  <c r="M2042" i="27"/>
  <c r="A2042" i="27" s="1"/>
  <c r="G2091" i="27"/>
  <c r="J2104" i="27"/>
  <c r="G2107" i="27"/>
  <c r="M2026" i="27"/>
  <c r="A2026" i="27" s="1"/>
  <c r="I2113" i="27"/>
  <c r="J2024" i="27"/>
  <c r="O2103" i="27"/>
  <c r="G2046" i="27"/>
  <c r="N2085" i="27"/>
  <c r="G2025" i="27"/>
  <c r="I2101" i="27"/>
  <c r="N2014" i="27"/>
  <c r="I2110" i="27"/>
  <c r="H2099" i="27"/>
  <c r="M2109" i="27"/>
  <c r="A2109" i="27" s="1"/>
  <c r="O2116" i="27"/>
  <c r="I2099" i="27"/>
  <c r="J2065" i="27"/>
  <c r="L2001" i="27"/>
  <c r="M2004" i="27"/>
  <c r="A2004" i="27" s="1"/>
  <c r="H2106" i="27"/>
  <c r="H2046" i="27"/>
  <c r="K2092" i="27"/>
  <c r="E1993" i="27"/>
  <c r="J2013" i="27"/>
  <c r="J2083" i="27"/>
  <c r="K2066" i="27"/>
  <c r="H1982" i="27"/>
  <c r="I2046" i="27"/>
  <c r="J2021" i="27"/>
  <c r="N2066" i="27"/>
  <c r="G2031" i="27"/>
  <c r="I2023" i="27"/>
  <c r="I2054" i="27"/>
  <c r="O2064" i="27"/>
  <c r="K2083" i="27"/>
  <c r="J2107" i="27"/>
  <c r="M2106" i="27"/>
  <c r="A2106" i="27" s="1"/>
  <c r="K2036" i="27"/>
  <c r="N2059" i="27"/>
  <c r="M2033" i="27"/>
  <c r="A2033" i="27" s="1"/>
  <c r="E1988" i="27"/>
  <c r="K2020" i="27"/>
  <c r="K2105" i="27"/>
  <c r="G2011" i="27"/>
  <c r="G2101" i="27"/>
  <c r="N2039" i="27"/>
  <c r="G2082" i="27"/>
  <c r="L2069" i="27"/>
  <c r="H2032" i="27"/>
  <c r="G2112" i="27"/>
  <c r="N2091" i="27"/>
  <c r="H2045" i="27"/>
  <c r="O2055" i="27"/>
  <c r="L2064" i="27"/>
  <c r="E2112" i="27"/>
  <c r="O2084" i="27"/>
  <c r="O2099" i="27"/>
  <c r="N2045" i="27"/>
  <c r="K2019" i="27"/>
  <c r="L2097" i="27"/>
  <c r="O2001" i="27"/>
  <c r="H2029" i="27"/>
  <c r="H2066" i="27"/>
  <c r="I2035" i="27"/>
  <c r="I2041" i="27"/>
  <c r="N1996" i="27"/>
  <c r="K2093" i="27"/>
  <c r="O2021" i="27"/>
  <c r="E2012" i="27"/>
  <c r="L2049" i="27"/>
  <c r="M2030" i="27"/>
  <c r="A2030" i="27" s="1"/>
  <c r="G2067" i="27"/>
  <c r="J2113" i="27"/>
  <c r="M2006" i="27"/>
  <c r="A2006" i="27" s="1"/>
  <c r="E1981" i="27"/>
  <c r="L2006" i="27"/>
  <c r="M2061" i="27"/>
  <c r="A2061" i="27" s="1"/>
  <c r="H2017" i="27"/>
  <c r="L1997" i="27"/>
  <c r="O2013" i="27"/>
  <c r="K2084" i="27"/>
  <c r="I2091" i="27"/>
  <c r="H2105" i="27"/>
  <c r="J2085" i="27"/>
  <c r="O2022" i="27"/>
  <c r="O2093" i="27"/>
  <c r="O2065" i="27"/>
  <c r="J2078" i="27"/>
  <c r="H2070" i="27"/>
  <c r="J2090" i="27"/>
  <c r="L2020" i="27"/>
  <c r="I2009" i="27"/>
  <c r="G2115" i="27"/>
  <c r="H1989" i="27"/>
  <c r="J2067" i="27"/>
  <c r="E2089" i="27"/>
  <c r="K2065" i="27"/>
  <c r="H2083" i="27"/>
  <c r="G2079" i="27"/>
  <c r="E2075" i="27"/>
  <c r="H2064" i="27"/>
  <c r="G2020" i="27"/>
  <c r="H2025" i="27"/>
  <c r="H2059" i="27"/>
  <c r="E1980" i="27"/>
  <c r="G2037" i="27"/>
  <c r="G2102" i="27"/>
  <c r="O2030" i="27"/>
  <c r="I1990" i="27"/>
  <c r="N2105" i="27"/>
  <c r="L2007" i="27"/>
  <c r="M2110" i="27"/>
  <c r="A2110" i="27" s="1"/>
  <c r="N1981" i="27"/>
  <c r="G2095" i="27"/>
  <c r="I2064" i="27"/>
  <c r="G2014" i="27"/>
  <c r="O2079" i="27"/>
  <c r="L2077" i="27"/>
  <c r="N2007" i="27"/>
  <c r="H1985" i="27"/>
  <c r="E2047" i="27"/>
  <c r="J1987" i="27"/>
  <c r="H2008" i="27"/>
  <c r="G2054" i="27"/>
  <c r="G2103" i="27"/>
  <c r="O2002" i="27"/>
  <c r="N2003" i="27"/>
  <c r="N2043" i="27"/>
  <c r="G2010" i="27"/>
  <c r="M1998" i="27"/>
  <c r="A1998" i="27" s="1"/>
  <c r="O2082" i="27"/>
  <c r="E2095" i="27"/>
  <c r="J2023" i="27"/>
  <c r="J2076" i="27"/>
  <c r="M2009" i="27"/>
  <c r="A2009" i="27" s="1"/>
  <c r="G2097" i="27"/>
  <c r="H2089" i="27"/>
  <c r="E2008" i="27"/>
  <c r="O2010" i="27"/>
  <c r="G1979" i="27"/>
  <c r="G1993" i="27"/>
  <c r="M2072" i="27"/>
  <c r="A2072" i="27" s="1"/>
  <c r="N2056" i="27"/>
  <c r="E2085" i="27"/>
  <c r="E2053" i="27"/>
  <c r="J2101" i="27"/>
  <c r="N2070" i="27"/>
  <c r="J2009" i="27"/>
  <c r="M1992" i="27"/>
  <c r="A1992" i="27" s="1"/>
  <c r="L2043" i="27"/>
  <c r="L2072" i="27"/>
  <c r="O2019" i="27"/>
  <c r="O2063" i="27"/>
  <c r="N2111" i="27"/>
  <c r="G2017" i="27"/>
  <c r="L1998" i="27"/>
  <c r="N2036" i="27"/>
  <c r="H2038" i="27"/>
  <c r="N2027" i="27"/>
  <c r="K2060" i="27"/>
  <c r="I2003" i="27"/>
  <c r="H2058" i="27"/>
  <c r="L2023" i="27"/>
  <c r="H2039" i="27"/>
  <c r="G2012" i="27"/>
  <c r="L2039" i="27"/>
  <c r="H2111" i="27"/>
  <c r="K1982" i="27"/>
  <c r="K2059" i="27"/>
  <c r="G1991" i="27"/>
  <c r="N2109" i="27"/>
  <c r="E2013" i="27"/>
  <c r="O2003" i="27"/>
  <c r="E2002" i="27"/>
  <c r="N2017" i="27"/>
  <c r="H2020" i="27"/>
  <c r="N1990" i="27"/>
  <c r="E1998" i="27"/>
  <c r="I2047" i="27"/>
  <c r="K2000" i="27"/>
  <c r="E1999" i="27"/>
  <c r="K1993" i="27"/>
  <c r="N2110" i="27"/>
  <c r="N2113" i="27"/>
  <c r="K2106" i="27"/>
  <c r="E2072" i="27"/>
  <c r="G2108" i="27"/>
  <c r="K2018" i="27"/>
  <c r="N2114" i="27"/>
  <c r="L2105" i="27"/>
  <c r="J2041" i="27"/>
  <c r="E2036" i="27"/>
  <c r="K2049" i="27"/>
  <c r="O2036" i="27"/>
  <c r="G2036" i="27"/>
  <c r="O1985" i="27"/>
  <c r="E2011" i="27"/>
  <c r="K2001" i="27"/>
  <c r="K1990" i="27"/>
  <c r="E2086" i="27"/>
  <c r="E2066" i="27"/>
  <c r="H2033" i="27"/>
  <c r="O1991" i="27"/>
  <c r="M1988" i="27"/>
  <c r="A1988" i="27" s="1"/>
  <c r="I2076" i="27"/>
  <c r="I2022" i="27"/>
  <c r="G2003" i="27"/>
  <c r="H2053" i="27"/>
  <c r="K2021" i="27"/>
  <c r="M2054" i="27"/>
  <c r="A2054" i="27" s="1"/>
  <c r="E2096" i="27"/>
  <c r="H2021" i="27"/>
  <c r="K2095" i="27"/>
  <c r="L2102" i="27"/>
  <c r="M2037" i="27"/>
  <c r="A2037" i="27" s="1"/>
  <c r="M2059" i="27"/>
  <c r="A2059" i="27" s="1"/>
  <c r="E2093" i="27"/>
  <c r="K2114" i="27"/>
  <c r="K2027" i="27"/>
  <c r="N2089" i="27"/>
  <c r="I2000" i="27"/>
  <c r="L2054" i="27"/>
  <c r="L2002" i="27"/>
  <c r="G2056" i="27"/>
  <c r="L2084" i="27"/>
  <c r="M2018" i="27"/>
  <c r="A2018" i="27" s="1"/>
  <c r="O2052" i="27"/>
  <c r="J1989" i="27"/>
  <c r="K2079" i="27"/>
  <c r="M2077" i="27"/>
  <c r="A2077" i="27" s="1"/>
  <c r="N2001" i="27"/>
  <c r="O1983" i="27"/>
  <c r="I2038" i="27"/>
  <c r="H2061" i="27"/>
  <c r="K2077" i="27"/>
  <c r="L2017" i="27"/>
  <c r="L2087" i="27"/>
  <c r="O2087" i="27"/>
  <c r="N2051" i="27"/>
  <c r="G2052" i="27"/>
  <c r="L2104" i="27"/>
  <c r="K1992" i="27"/>
  <c r="G2073" i="27"/>
  <c r="K1983" i="27"/>
  <c r="M2087" i="27"/>
  <c r="A2087" i="27" s="1"/>
  <c r="O2015" i="27"/>
  <c r="H2114" i="27"/>
  <c r="L2116" i="27"/>
  <c r="H2040" i="27"/>
  <c r="G2043" i="27"/>
  <c r="L2016" i="27"/>
  <c r="E1991" i="27"/>
  <c r="O2042" i="27"/>
  <c r="J2058" i="27"/>
  <c r="I1992" i="27"/>
  <c r="O2049" i="27"/>
  <c r="E2010" i="27"/>
  <c r="O2017" i="27"/>
  <c r="K2031" i="27"/>
  <c r="N2112" i="27"/>
  <c r="O2061" i="27"/>
  <c r="K2048" i="27"/>
  <c r="N2038" i="27"/>
  <c r="J2074" i="27"/>
  <c r="J2108" i="27"/>
  <c r="G2032" i="27"/>
  <c r="G1998" i="27"/>
  <c r="J2060" i="27"/>
  <c r="O2107" i="27"/>
  <c r="O1994" i="27"/>
  <c r="O2075" i="27"/>
  <c r="E2009" i="27"/>
  <c r="O2089" i="27"/>
  <c r="K2052" i="27"/>
  <c r="N1987" i="27"/>
  <c r="K2110" i="27"/>
  <c r="E2090" i="27"/>
  <c r="K2072" i="27"/>
  <c r="M2069" i="27"/>
  <c r="A2069" i="27" s="1"/>
  <c r="L2027" i="27"/>
  <c r="J2025" i="27"/>
  <c r="N1986" i="27"/>
  <c r="G2000" i="27"/>
  <c r="L2012" i="27"/>
  <c r="E2091" i="27"/>
  <c r="E2106" i="27"/>
  <c r="I2050" i="27"/>
  <c r="J2049" i="27"/>
  <c r="M2056" i="27"/>
  <c r="A2056" i="27" s="1"/>
  <c r="L2040" i="27"/>
  <c r="I2052" i="27"/>
  <c r="N2080" i="27"/>
  <c r="I2084" i="27"/>
  <c r="O2011" i="27"/>
  <c r="N2078" i="27"/>
  <c r="J2000" i="27"/>
  <c r="J2091" i="27"/>
  <c r="H2013" i="27"/>
  <c r="I2062" i="27"/>
  <c r="I2018" i="27"/>
  <c r="N2029" i="27"/>
  <c r="O2086" i="27"/>
  <c r="J2054" i="27"/>
  <c r="I2042" i="27"/>
  <c r="I2071" i="27"/>
  <c r="J2100" i="27"/>
  <c r="O2071" i="27"/>
  <c r="O2090" i="27"/>
  <c r="M2001" i="27"/>
  <c r="A2001" i="27" s="1"/>
  <c r="N2025" i="27"/>
  <c r="E2016" i="27"/>
  <c r="N1994" i="27"/>
  <c r="G2081" i="27"/>
  <c r="I2016" i="27"/>
  <c r="H1979" i="27"/>
  <c r="M2044" i="27"/>
  <c r="A2044" i="27" s="1"/>
  <c r="M2063" i="27"/>
  <c r="A2063" i="27" s="1"/>
  <c r="L1984" i="27"/>
  <c r="E2019" i="27"/>
  <c r="M2038" i="27"/>
  <c r="A2038" i="27" s="1"/>
  <c r="I2017" i="27"/>
  <c r="M2076" i="27"/>
  <c r="A2076" i="27" s="1"/>
  <c r="M1981" i="27"/>
  <c r="A1981" i="27" s="1"/>
  <c r="L2029" i="27"/>
  <c r="L2076" i="27"/>
  <c r="L2099" i="27"/>
  <c r="O2028" i="27"/>
  <c r="J2082" i="27"/>
  <c r="K2032" i="27"/>
  <c r="G2076" i="27"/>
  <c r="M1985" i="27"/>
  <c r="A1985" i="27" s="1"/>
  <c r="L2067" i="27"/>
  <c r="G2111" i="27"/>
  <c r="G1994" i="27"/>
  <c r="M2015" i="27"/>
  <c r="A2015" i="27" s="1"/>
  <c r="J2035" i="27"/>
  <c r="O2058" i="27"/>
  <c r="L2013" i="27"/>
  <c r="N2053" i="27"/>
  <c r="J2016" i="27"/>
  <c r="O2060" i="27"/>
  <c r="G2034" i="27"/>
  <c r="O2004" i="27"/>
  <c r="L2031" i="27"/>
  <c r="G2016" i="27"/>
  <c r="K2082" i="27"/>
  <c r="K1980" i="27"/>
  <c r="G2069" i="27"/>
  <c r="H1992" i="27"/>
  <c r="K2068" i="27"/>
  <c r="K1984" i="27"/>
  <c r="E2000" i="27"/>
  <c r="N2097" i="27"/>
  <c r="H1980" i="27"/>
  <c r="O2054" i="27"/>
  <c r="M2012" i="27"/>
  <c r="A2012" i="27" s="1"/>
  <c r="J2053" i="27"/>
  <c r="I2051" i="27"/>
  <c r="E2114" i="27"/>
  <c r="O1992" i="27"/>
  <c r="L2115" i="27"/>
  <c r="H2031" i="27"/>
  <c r="I2001" i="27"/>
  <c r="J2055" i="27"/>
  <c r="J2039" i="27"/>
  <c r="H2042" i="27"/>
  <c r="L2047" i="27"/>
  <c r="O2041" i="27"/>
  <c r="I1988" i="27"/>
  <c r="J2102" i="27"/>
  <c r="I2049" i="27"/>
  <c r="E2076" i="27"/>
  <c r="E2034" i="27"/>
  <c r="E1996" i="27"/>
  <c r="H2094" i="27"/>
  <c r="H2051" i="27"/>
  <c r="H2054" i="27"/>
  <c r="O2113" i="27"/>
  <c r="H2097" i="27"/>
  <c r="I1993" i="27"/>
  <c r="E2035" i="27"/>
  <c r="L2086" i="27"/>
  <c r="E2082" i="27"/>
  <c r="O2056" i="27"/>
  <c r="L2042" i="27"/>
  <c r="N2023" i="27"/>
  <c r="O2046" i="27"/>
  <c r="H2110" i="27"/>
  <c r="K2112" i="27"/>
  <c r="O2014" i="27"/>
  <c r="L2032" i="27"/>
  <c r="N2009" i="27"/>
  <c r="L2037" i="27"/>
  <c r="M2029" i="27"/>
  <c r="A2029" i="27" s="1"/>
  <c r="J2086" i="27"/>
  <c r="K1994" i="27"/>
  <c r="L2098" i="27"/>
  <c r="O2018" i="27"/>
  <c r="I2112" i="27"/>
  <c r="G2050" i="27"/>
  <c r="H2116" i="27"/>
  <c r="M2057" i="27"/>
  <c r="A2057" i="27" s="1"/>
  <c r="J1999" i="27"/>
  <c r="J1980" i="27"/>
  <c r="J2020" i="27"/>
  <c r="O2067" i="27"/>
  <c r="G2093" i="27"/>
  <c r="K2016" i="27"/>
  <c r="H2048" i="27"/>
  <c r="M2073" i="27"/>
  <c r="A2073" i="27" s="1"/>
  <c r="M2107" i="27"/>
  <c r="A2107" i="27" s="1"/>
  <c r="E2067" i="27"/>
  <c r="E2081" i="27"/>
  <c r="O2012" i="27"/>
  <c r="O2050" i="27"/>
  <c r="I2111" i="27"/>
  <c r="E2064" i="27"/>
  <c r="I2094" i="27"/>
  <c r="E2107" i="27"/>
  <c r="K2025" i="27"/>
  <c r="H2049" i="27"/>
  <c r="H2019" i="27"/>
  <c r="N2069" i="27"/>
  <c r="E2022" i="27"/>
  <c r="H2077" i="27"/>
  <c r="J2059" i="27"/>
  <c r="J2092" i="27"/>
  <c r="E2014" i="27"/>
  <c r="G1986" i="27"/>
  <c r="J2109" i="27"/>
  <c r="M2075" i="27"/>
  <c r="A2075" i="27" s="1"/>
  <c r="L2014" i="27"/>
  <c r="M2036" i="27"/>
  <c r="A2036" i="27" s="1"/>
  <c r="N2000" i="27"/>
  <c r="O1996" i="27"/>
  <c r="G2114" i="27"/>
  <c r="K1981" i="27"/>
  <c r="E2094" i="27"/>
  <c r="E2024" i="27"/>
  <c r="I2082" i="27"/>
  <c r="N1998" i="27"/>
  <c r="M1994" i="27"/>
  <c r="A1994" i="27" s="1"/>
  <c r="K2047" i="27"/>
  <c r="N2057" i="27"/>
  <c r="G2029" i="27"/>
  <c r="N2082" i="27"/>
  <c r="L2048" i="27"/>
  <c r="K2064" i="27"/>
  <c r="L2093" i="27"/>
  <c r="M2016" i="27"/>
  <c r="A2016" i="27" s="1"/>
  <c r="M2113" i="27"/>
  <c r="A2113" i="27" s="1"/>
  <c r="K2081" i="27"/>
  <c r="J2003" i="27"/>
  <c r="O2109" i="27"/>
  <c r="O2102" i="27"/>
  <c r="K2015" i="27"/>
  <c r="K2115" i="27"/>
  <c r="N2081" i="27"/>
  <c r="N2022" i="27"/>
  <c r="M2062" i="27"/>
  <c r="A2062" i="27" s="1"/>
  <c r="O2007" i="27"/>
  <c r="M2027" i="27"/>
  <c r="A2027" i="27" s="1"/>
  <c r="N1997" i="27"/>
  <c r="O2038" i="27"/>
  <c r="I2006" i="27"/>
  <c r="G2006" i="27"/>
  <c r="O2066" i="27"/>
  <c r="I2089" i="27"/>
  <c r="K2108" i="27"/>
  <c r="I2039" i="27"/>
  <c r="O2029" i="27"/>
  <c r="H2037" i="27"/>
  <c r="K2008" i="27"/>
  <c r="L1991" i="27"/>
  <c r="J1992" i="27"/>
  <c r="J2011" i="27"/>
  <c r="I2057" i="27"/>
  <c r="E1994" i="27"/>
  <c r="K2103" i="27"/>
  <c r="M2101" i="27"/>
  <c r="A2101" i="27" s="1"/>
  <c r="M2108" i="27"/>
  <c r="A2108" i="27" s="1"/>
  <c r="M2091" i="27"/>
  <c r="A2091" i="27" s="1"/>
  <c r="N1995" i="27"/>
  <c r="K2063" i="27"/>
  <c r="N2042" i="27"/>
  <c r="E1985" i="27"/>
  <c r="K2078" i="27"/>
  <c r="O2095" i="27"/>
  <c r="N1984" i="27"/>
  <c r="M1987" i="27"/>
  <c r="A1987" i="27" s="1"/>
  <c r="L1992" i="27"/>
  <c r="E2099" i="27"/>
  <c r="L2041" i="27"/>
  <c r="H2022" i="27"/>
  <c r="E2018" i="27"/>
  <c r="E2105" i="27"/>
  <c r="N2062" i="27"/>
  <c r="J2075" i="27"/>
  <c r="M2020" i="27"/>
  <c r="A2020" i="27" s="1"/>
  <c r="M2043" i="27"/>
  <c r="A2043" i="27" s="1"/>
  <c r="I1995" i="27"/>
  <c r="I1989" i="27"/>
  <c r="J2019" i="27"/>
  <c r="N2096" i="27"/>
  <c r="L2018" i="27"/>
  <c r="O2034" i="27"/>
  <c r="N2063" i="27"/>
  <c r="O1998" i="27"/>
  <c r="K2030" i="27"/>
  <c r="I2098" i="27"/>
  <c r="L1995" i="27"/>
  <c r="N2013" i="27"/>
  <c r="K2096" i="27"/>
  <c r="G1999" i="27"/>
  <c r="I2055" i="27"/>
  <c r="I2020" i="27"/>
  <c r="I1991" i="27"/>
  <c r="J2047" i="27"/>
  <c r="O2092" i="27"/>
  <c r="H2006" i="27"/>
  <c r="M2090" i="27"/>
  <c r="A2090" i="27" s="1"/>
  <c r="K2005" i="27"/>
  <c r="N2024" i="27"/>
  <c r="M2064" i="27"/>
  <c r="A2064" i="27" s="1"/>
  <c r="G2092" i="27"/>
  <c r="K2050" i="27"/>
  <c r="G2084" i="27"/>
  <c r="H2100" i="27"/>
  <c r="M1993" i="27"/>
  <c r="A1993" i="27" s="1"/>
  <c r="O2045" i="27"/>
  <c r="H2043" i="27"/>
  <c r="K1996" i="27"/>
  <c r="H2005" i="27"/>
  <c r="O2005" i="27"/>
  <c r="I2056" i="27"/>
  <c r="E2054" i="27"/>
  <c r="M2097" i="27"/>
  <c r="A2097" i="27" s="1"/>
  <c r="J2050" i="27"/>
  <c r="M1986" i="27"/>
  <c r="A1986" i="27" s="1"/>
  <c r="M2025" i="27"/>
  <c r="A2025" i="27" s="1"/>
  <c r="J2097" i="27"/>
  <c r="M2074" i="27"/>
  <c r="A2074" i="27" s="1"/>
  <c r="I2048" i="27"/>
  <c r="O2062" i="27"/>
  <c r="H1998" i="27"/>
  <c r="J2034" i="27"/>
  <c r="N1991" i="27"/>
  <c r="N2048" i="27"/>
  <c r="E2039" i="27"/>
  <c r="J2079" i="27"/>
  <c r="M2003" i="27"/>
  <c r="A2003" i="27" s="1"/>
  <c r="K2037" i="27"/>
  <c r="G1988" i="27"/>
  <c r="L1986" i="27"/>
  <c r="K2013" i="27"/>
  <c r="J1995" i="27"/>
  <c r="J2014" i="27"/>
  <c r="I2095" i="27"/>
  <c r="I2024" i="27"/>
  <c r="O2078" i="27"/>
  <c r="J1991" i="27"/>
  <c r="J2077" i="27"/>
  <c r="H1996" i="27"/>
  <c r="O2115" i="27"/>
  <c r="O2106" i="27"/>
  <c r="M2045" i="27"/>
  <c r="A2045" i="27" s="1"/>
  <c r="H2080" i="27"/>
  <c r="I2104" i="27"/>
  <c r="M1997" i="27"/>
  <c r="A1997" i="27" s="1"/>
  <c r="N2030" i="27"/>
  <c r="K2010" i="27"/>
  <c r="G2061" i="27"/>
  <c r="G2051" i="27"/>
  <c r="M2099" i="27"/>
  <c r="A2099" i="27" s="1"/>
  <c r="K2054" i="27"/>
  <c r="H2003" i="27"/>
  <c r="O1984" i="27"/>
  <c r="L2028" i="27"/>
  <c r="H2078" i="27"/>
  <c r="M2041" i="27"/>
  <c r="A2041" i="27" s="1"/>
  <c r="E2083" i="27"/>
  <c r="K1998" i="27"/>
  <c r="H2010" i="27"/>
  <c r="O1982" i="27"/>
  <c r="E2052" i="27"/>
  <c r="H2062" i="27"/>
  <c r="M2098" i="27"/>
  <c r="A2098" i="27" s="1"/>
  <c r="H2012" i="27"/>
  <c r="H2041" i="27"/>
  <c r="J2070" i="27"/>
  <c r="N2086" i="27"/>
  <c r="M2047" i="27"/>
  <c r="A2047" i="27" s="1"/>
  <c r="E2031" i="27"/>
  <c r="J2004" i="27"/>
  <c r="M1996" i="27"/>
  <c r="A1996" i="27" s="1"/>
  <c r="M2066" i="27"/>
  <c r="A2066" i="27" s="1"/>
  <c r="L1987" i="27"/>
  <c r="H2073" i="27"/>
  <c r="E2007" i="27"/>
  <c r="N2083" i="27"/>
  <c r="N2094" i="27"/>
  <c r="G2110" i="27"/>
  <c r="L2106" i="27"/>
  <c r="J2096" i="27"/>
  <c r="H1993" i="27"/>
  <c r="E2015" i="27"/>
  <c r="K2029" i="27"/>
  <c r="L2052" i="27"/>
  <c r="H2087" i="27"/>
  <c r="L1999" i="27"/>
  <c r="O1986" i="27"/>
  <c r="K2076" i="27"/>
  <c r="J2051" i="27"/>
  <c r="N2052" i="27"/>
  <c r="G2009" i="27"/>
  <c r="G2007" i="27"/>
  <c r="N2090" i="27"/>
  <c r="G2071" i="27"/>
  <c r="N2095" i="27"/>
  <c r="I2092" i="27"/>
  <c r="E2038" i="27"/>
  <c r="J2114" i="27"/>
  <c r="H1990" i="27"/>
  <c r="I2116" i="27"/>
  <c r="L2060" i="27"/>
  <c r="M2068" i="27"/>
  <c r="A2068" i="27" s="1"/>
  <c r="O2100" i="27"/>
  <c r="K2006" i="27"/>
  <c r="I2070" i="27"/>
  <c r="L2109" i="27"/>
  <c r="N2093" i="27"/>
  <c r="M2115" i="27"/>
  <c r="A2115" i="27" s="1"/>
  <c r="N2028" i="27"/>
  <c r="M1999" i="27"/>
  <c r="A1999" i="27" s="1"/>
  <c r="E1990" i="27"/>
  <c r="H2091" i="27"/>
  <c r="E1979" i="27"/>
  <c r="N2018" i="27"/>
  <c r="O2037" i="27"/>
  <c r="I2069" i="27"/>
  <c r="O1987" i="27"/>
  <c r="J1986" i="27"/>
  <c r="E2051" i="27"/>
  <c r="K2026" i="27"/>
  <c r="K2080" i="27"/>
  <c r="M2049" i="27"/>
  <c r="A2049" i="27" s="1"/>
  <c r="M1990" i="27"/>
  <c r="A1990" i="27" s="1"/>
  <c r="O2031" i="27"/>
  <c r="H2047" i="27"/>
  <c r="N2067" i="27"/>
  <c r="G2088" i="27"/>
  <c r="E2033" i="27"/>
  <c r="H2086" i="27"/>
  <c r="M2088" i="27"/>
  <c r="A2088" i="27" s="1"/>
  <c r="L2081" i="27"/>
  <c r="I2037" i="27"/>
  <c r="J2071" i="27"/>
  <c r="L1983" i="27"/>
  <c r="N2055" i="27"/>
  <c r="N1988" i="27"/>
  <c r="E2058" i="27"/>
  <c r="J2007" i="27"/>
  <c r="I2007" i="27"/>
  <c r="K2009" i="27"/>
  <c r="H2071" i="27"/>
  <c r="E2100" i="27"/>
  <c r="E2041" i="27"/>
  <c r="M2067" i="27"/>
  <c r="A2067" i="27" s="1"/>
  <c r="L2057" i="27"/>
  <c r="M2105" i="27"/>
  <c r="A2105" i="27" s="1"/>
  <c r="M2104" i="27"/>
  <c r="A2104" i="27" s="1"/>
  <c r="N2074" i="27"/>
  <c r="L2082" i="27"/>
  <c r="M2096" i="27"/>
  <c r="A2096" i="27" s="1"/>
  <c r="K2046" i="27"/>
  <c r="K2022" i="27"/>
  <c r="M2100" i="27"/>
  <c r="A2100" i="27" s="1"/>
  <c r="E2113" i="27"/>
  <c r="L2045" i="27"/>
  <c r="K2071" i="27"/>
  <c r="N2035" i="27"/>
  <c r="O2072" i="27"/>
  <c r="J1993" i="27"/>
  <c r="G2045" i="27"/>
  <c r="L2068" i="27"/>
  <c r="G2047" i="27"/>
  <c r="L2110" i="27"/>
  <c r="K2113" i="27"/>
  <c r="H2009" i="27"/>
  <c r="O2043" i="27"/>
  <c r="E2017" i="27"/>
  <c r="I2109" i="27"/>
  <c r="K2100" i="27"/>
  <c r="H1997" i="27"/>
  <c r="H2072" i="27"/>
  <c r="E2048" i="27"/>
  <c r="J2088" i="27"/>
  <c r="G2024" i="27"/>
  <c r="N2037" i="27"/>
  <c r="L2090" i="27"/>
  <c r="L2065" i="27"/>
  <c r="N2011" i="27"/>
  <c r="N2012" i="27"/>
  <c r="E2079" i="27"/>
  <c r="H2082" i="27"/>
  <c r="L2070" i="27"/>
  <c r="J2005" i="27"/>
  <c r="N2049" i="27"/>
  <c r="I2079" i="27"/>
  <c r="J2045" i="27"/>
  <c r="L2071" i="27"/>
  <c r="G2027" i="27"/>
  <c r="E1986" i="27"/>
  <c r="O2088" i="27"/>
  <c r="L2058" i="27"/>
  <c r="I2032" i="27"/>
  <c r="K2102" i="27"/>
  <c r="E1995" i="27"/>
  <c r="L2053" i="27"/>
  <c r="M2021" i="27"/>
  <c r="A2021" i="27" s="1"/>
  <c r="G2044" i="27"/>
  <c r="O2111" i="27"/>
  <c r="L1989" i="27"/>
  <c r="L1996" i="27"/>
  <c r="J2015" i="27"/>
  <c r="J2036" i="27"/>
  <c r="I2019" i="27"/>
  <c r="N2075" i="27"/>
  <c r="M2008" i="27"/>
  <c r="A2008" i="27" s="1"/>
  <c r="G2002" i="27"/>
  <c r="N2115" i="27"/>
  <c r="O2105" i="27"/>
  <c r="G2068" i="27"/>
  <c r="G2089" i="27"/>
  <c r="H2023" i="27"/>
  <c r="O1981" i="27"/>
  <c r="G2105" i="27"/>
  <c r="J2026" i="27"/>
  <c r="M2034" i="27"/>
  <c r="A2034" i="27" s="1"/>
  <c r="G2040" i="27"/>
  <c r="J2103" i="27"/>
  <c r="O2006" i="27"/>
  <c r="N2068" i="27"/>
  <c r="M2102" i="27"/>
  <c r="A2102" i="27" s="1"/>
  <c r="H1986" i="27"/>
  <c r="K1989" i="27"/>
  <c r="K1979" i="27"/>
  <c r="J2030" i="27"/>
  <c r="O1980" i="27"/>
  <c r="H1999" i="27"/>
  <c r="L2035" i="27"/>
  <c r="N2016" i="27"/>
  <c r="K2086" i="27"/>
  <c r="J1988" i="27"/>
  <c r="G2028" i="27"/>
  <c r="J2046" i="27"/>
  <c r="M2024" i="27"/>
  <c r="A2024" i="27" s="1"/>
  <c r="L2055" i="27"/>
  <c r="I2090" i="27"/>
  <c r="M2019" i="27"/>
  <c r="A2019" i="27" s="1"/>
  <c r="K2043" i="27"/>
  <c r="O2008" i="27"/>
  <c r="J2066" i="27"/>
  <c r="L2063" i="27"/>
  <c r="M2114" i="27"/>
  <c r="A2114" i="27" s="1"/>
  <c r="I1979" i="27"/>
  <c r="L2011" i="27"/>
  <c r="K2098" i="27"/>
  <c r="N1980" i="27"/>
  <c r="H2085" i="27"/>
  <c r="E1982" i="27"/>
  <c r="O2101" i="27"/>
  <c r="I2028" i="27"/>
  <c r="L2114" i="27"/>
  <c r="I2067" i="27"/>
  <c r="E2060" i="27"/>
  <c r="M2086" i="27"/>
  <c r="A2086" i="27" s="1"/>
  <c r="N2047" i="27"/>
  <c r="H1987" i="27"/>
  <c r="H1984" i="27"/>
  <c r="I2085" i="27"/>
  <c r="J2105" i="27"/>
  <c r="G2023" i="27"/>
  <c r="L2004" i="27"/>
  <c r="E2027" i="27"/>
  <c r="K2090" i="27"/>
  <c r="K2041" i="27"/>
  <c r="I2078" i="27"/>
  <c r="H2079" i="27"/>
  <c r="N2108" i="27"/>
  <c r="K2056" i="27"/>
  <c r="K2091" i="27"/>
  <c r="J2012" i="27"/>
  <c r="J2029" i="27"/>
  <c r="L2103" i="27"/>
  <c r="H2092" i="27"/>
  <c r="M2071" i="27"/>
  <c r="A2071" i="27" s="1"/>
  <c r="G2077" i="27"/>
  <c r="J2064" i="27"/>
  <c r="M2116" i="27"/>
  <c r="A2116" i="27" s="1"/>
  <c r="I2029" i="27"/>
  <c r="O1979" i="27"/>
  <c r="N2002" i="27"/>
  <c r="I2005" i="27"/>
  <c r="E1997" i="27"/>
  <c r="E2065" i="27"/>
  <c r="M2022" i="27"/>
  <c r="A2022" i="27" s="1"/>
  <c r="N2050" i="27"/>
  <c r="J2048" i="27"/>
  <c r="I2083" i="27"/>
  <c r="M2065" i="27"/>
  <c r="A2065" i="27" s="1"/>
  <c r="G2039" i="27"/>
  <c r="H2024" i="27"/>
  <c r="G2048" i="27"/>
  <c r="J2073" i="27"/>
  <c r="H2057" i="27"/>
  <c r="I2115" i="27"/>
  <c r="O2081" i="27"/>
  <c r="K2017" i="27"/>
  <c r="L1979" i="27"/>
  <c r="H1995" i="27"/>
  <c r="H1983" i="27"/>
  <c r="M1995" i="27"/>
  <c r="A1995" i="27" s="1"/>
  <c r="N1999" i="27"/>
  <c r="M2032" i="27"/>
  <c r="A2032" i="27" s="1"/>
  <c r="L2101" i="27"/>
  <c r="M2079" i="27"/>
  <c r="A2079" i="27" s="1"/>
  <c r="G1996" i="27"/>
  <c r="O2044" i="27"/>
  <c r="O2057" i="27"/>
  <c r="J2072" i="27"/>
  <c r="O1990" i="27"/>
  <c r="O2073" i="27"/>
  <c r="I2059" i="27"/>
  <c r="E2056" i="27"/>
  <c r="L2008" i="27"/>
  <c r="J2115" i="27"/>
  <c r="K2094" i="27"/>
  <c r="E2115" i="27"/>
  <c r="O2069" i="27"/>
  <c r="M2055" i="27"/>
  <c r="A2055" i="27" s="1"/>
  <c r="E2023" i="27"/>
  <c r="N2058" i="27"/>
  <c r="N2041" i="27"/>
  <c r="E1984" i="27"/>
  <c r="K1999" i="27"/>
  <c r="K2011" i="27"/>
  <c r="N2004" i="27"/>
  <c r="H2095" i="27"/>
  <c r="N2034" i="27"/>
  <c r="E2037" i="27"/>
  <c r="E2003" i="27"/>
  <c r="N2106" i="27"/>
  <c r="M1983" i="27"/>
  <c r="A1983" i="27" s="1"/>
  <c r="I1994" i="27"/>
  <c r="M2011" i="27"/>
  <c r="A2011" i="27" s="1"/>
  <c r="H2027" i="27"/>
  <c r="K2051" i="27"/>
  <c r="J2057" i="27"/>
  <c r="I2036" i="27"/>
  <c r="G2100" i="27"/>
  <c r="G2099" i="27"/>
  <c r="K2104" i="27"/>
  <c r="L2051" i="27"/>
  <c r="N2046" i="27"/>
  <c r="K2070" i="27"/>
  <c r="K2088" i="27"/>
  <c r="E2032" i="27"/>
  <c r="G1984" i="27"/>
  <c r="G2021" i="27"/>
  <c r="L2044" i="27"/>
  <c r="O2051" i="27"/>
  <c r="N2020" i="27"/>
  <c r="M2112" i="27"/>
  <c r="A2112" i="27" s="1"/>
  <c r="I2096" i="27"/>
  <c r="O2059" i="27"/>
  <c r="I1999" i="27"/>
  <c r="L1980" i="27"/>
  <c r="J2042" i="27"/>
  <c r="H2056" i="27"/>
  <c r="M2039" i="27"/>
  <c r="A2039" i="27" s="1"/>
  <c r="L1981" i="27"/>
  <c r="K2058" i="27"/>
  <c r="O2091" i="27"/>
  <c r="G2001" i="27"/>
  <c r="G2078" i="27"/>
  <c r="E2020" i="27"/>
  <c r="K2028" i="27"/>
  <c r="E2073" i="27"/>
  <c r="G2013" i="27"/>
  <c r="K2101" i="27"/>
  <c r="J2093" i="27"/>
  <c r="L2015" i="27"/>
  <c r="J2027" i="27"/>
  <c r="M2000" i="27"/>
  <c r="A2000" i="27" s="1"/>
  <c r="H2030" i="27"/>
  <c r="E2004" i="27"/>
  <c r="I2004" i="27"/>
  <c r="H2076" i="27"/>
  <c r="G2064" i="27"/>
  <c r="M1980" i="27"/>
  <c r="A1980" i="27" s="1"/>
  <c r="G1995" i="27"/>
  <c r="E2087" i="27"/>
  <c r="E2088" i="27"/>
  <c r="G2004" i="27"/>
  <c r="I2081" i="27"/>
  <c r="L1988" i="27"/>
  <c r="O2025" i="27"/>
  <c r="I2040" i="27"/>
  <c r="E2001" i="27"/>
  <c r="I1997" i="27"/>
  <c r="E2080" i="27"/>
  <c r="J2094" i="27"/>
  <c r="O1988" i="27"/>
  <c r="H1991" i="27"/>
  <c r="L2033" i="27"/>
  <c r="E2042" i="27"/>
  <c r="N2032" i="27"/>
  <c r="K2085" i="27"/>
  <c r="N2061" i="27"/>
  <c r="I2058" i="27"/>
  <c r="I2026" i="27"/>
  <c r="J2112" i="27"/>
  <c r="K2044" i="27"/>
  <c r="I2100" i="27"/>
  <c r="J2043" i="27"/>
  <c r="I1984" i="27"/>
  <c r="G2018" i="27"/>
  <c r="I2044" i="27"/>
  <c r="O2047" i="27"/>
  <c r="I2031" i="27"/>
  <c r="L2021" i="27"/>
  <c r="N2098" i="27"/>
  <c r="I2008" i="27"/>
  <c r="I2012" i="27"/>
  <c r="L2074" i="27"/>
  <c r="H2044" i="27"/>
  <c r="I2066" i="27"/>
  <c r="H2108" i="27"/>
  <c r="I2015" i="27"/>
  <c r="L2080" i="27"/>
  <c r="G2094" i="27"/>
  <c r="M2095" i="27"/>
  <c r="A2095" i="27" s="1"/>
  <c r="J1998" i="27"/>
  <c r="M2052" i="27"/>
  <c r="A2052" i="27" s="1"/>
  <c r="J2040" i="27"/>
  <c r="K2062" i="27"/>
  <c r="J1985" i="27"/>
  <c r="O2083" i="27"/>
  <c r="L2061" i="27"/>
  <c r="K2012" i="27"/>
  <c r="M2078" i="27"/>
  <c r="A2078" i="27" s="1"/>
  <c r="K2074" i="27"/>
  <c r="J2116" i="27"/>
  <c r="M2084" i="27"/>
  <c r="A2084" i="27" s="1"/>
  <c r="J2031" i="27"/>
  <c r="N2101" i="27"/>
  <c r="G2075" i="27"/>
  <c r="L1985" i="27"/>
  <c r="E2006" i="27"/>
  <c r="J2001" i="27"/>
  <c r="M2035" i="27"/>
  <c r="A2035" i="27" s="1"/>
  <c r="K2075" i="27"/>
  <c r="H2074" i="27"/>
  <c r="E2044" i="27"/>
  <c r="N2076" i="27"/>
  <c r="I2065" i="27"/>
  <c r="O2112" i="27"/>
  <c r="J2006" i="27"/>
  <c r="G2035" i="27"/>
  <c r="J1990" i="27"/>
  <c r="N2021" i="27"/>
  <c r="H2104" i="27"/>
  <c r="E2104" i="27"/>
  <c r="K2014" i="27"/>
  <c r="L2019" i="27"/>
  <c r="N2116" i="27"/>
  <c r="H2052" i="27"/>
  <c r="O1997" i="27"/>
  <c r="H2002" i="27"/>
  <c r="K2099" i="27"/>
  <c r="L2062" i="27"/>
  <c r="E2068" i="27"/>
  <c r="G2086" i="27"/>
  <c r="L2034" i="27"/>
  <c r="J1981" i="27"/>
  <c r="E2111" i="27"/>
  <c r="L2113" i="27"/>
  <c r="I2030" i="27"/>
  <c r="J2084" i="27"/>
  <c r="E2062" i="27"/>
  <c r="H2026" i="27"/>
  <c r="M2111" i="27"/>
  <c r="A2111" i="27" s="1"/>
  <c r="G1980" i="27"/>
  <c r="K2003" i="27"/>
  <c r="H2096" i="27"/>
  <c r="M2023" i="27"/>
  <c r="A2023" i="27" s="1"/>
  <c r="M2083" i="27"/>
  <c r="A2083" i="27" s="1"/>
  <c r="M2085" i="27"/>
  <c r="A2085" i="27" s="1"/>
  <c r="I1980" i="27"/>
  <c r="N2010" i="27"/>
  <c r="N2026" i="27"/>
  <c r="I2002" i="27"/>
  <c r="N1982" i="27"/>
  <c r="N1989" i="27"/>
  <c r="O1995" i="27"/>
  <c r="K2002" i="27"/>
  <c r="K2042" i="27"/>
  <c r="L2085" i="27"/>
  <c r="M2040" i="27"/>
  <c r="A2040" i="27" s="1"/>
  <c r="J2099" i="27"/>
  <c r="J2052" i="27"/>
  <c r="M2070" i="27"/>
  <c r="A2070" i="27" s="1"/>
  <c r="G2008" i="27"/>
  <c r="L2094" i="27"/>
  <c r="E2021" i="27"/>
  <c r="J1979" i="27"/>
  <c r="G2070" i="27"/>
  <c r="K1986" i="27"/>
  <c r="O2068" i="27"/>
  <c r="M2005" i="27"/>
  <c r="A2005" i="27" s="1"/>
  <c r="O2033" i="27"/>
  <c r="O2027" i="27"/>
  <c r="L2036" i="27"/>
  <c r="J2044" i="27"/>
  <c r="E2055" i="27"/>
  <c r="N2054" i="27"/>
  <c r="K2057" i="27"/>
  <c r="I2061" i="27"/>
  <c r="O1970" i="27"/>
  <c r="G2063" i="27"/>
  <c r="H2050" i="27"/>
  <c r="N2006" i="27"/>
  <c r="K2038" i="27"/>
  <c r="L1993" i="27"/>
  <c r="I2045" i="27"/>
  <c r="M2002" i="27"/>
  <c r="A2002" i="27" s="1"/>
  <c r="H1994" i="27"/>
  <c r="G1990" i="27"/>
  <c r="I2014" i="27"/>
  <c r="G2015" i="27"/>
  <c r="J1997" i="27"/>
  <c r="G2026" i="27"/>
  <c r="E2029" i="27"/>
  <c r="H2018" i="27"/>
  <c r="J2010" i="27"/>
  <c r="E2025" i="27"/>
  <c r="G1985" i="27"/>
  <c r="H2001" i="27"/>
  <c r="H2034" i="27"/>
  <c r="E2030" i="27"/>
  <c r="G2042" i="27"/>
  <c r="J2022" i="27"/>
  <c r="I1998" i="27"/>
  <c r="I2013" i="27"/>
  <c r="E2005" i="27"/>
  <c r="I1981" i="27"/>
  <c r="I1982" i="27"/>
  <c r="J2033" i="27"/>
  <c r="G1989" i="27"/>
  <c r="I1986" i="27"/>
  <c r="G2049" i="27"/>
  <c r="K1966" i="27"/>
  <c r="K1737" i="27"/>
  <c r="K1827" i="27"/>
  <c r="K1906" i="27"/>
  <c r="K1709" i="27"/>
  <c r="K1873" i="27"/>
  <c r="K1754" i="27"/>
  <c r="K1836" i="27"/>
  <c r="K1769" i="27"/>
  <c r="K1901" i="27"/>
  <c r="K1905" i="27"/>
  <c r="K1707" i="27"/>
  <c r="K1957" i="27"/>
  <c r="K1807" i="27"/>
  <c r="K1809" i="27"/>
  <c r="K1899" i="27"/>
  <c r="K1922" i="27"/>
  <c r="K1839" i="27"/>
  <c r="K1907" i="27"/>
  <c r="K1750" i="27"/>
  <c r="K1816" i="27"/>
  <c r="K1689" i="27"/>
  <c r="K1852" i="27"/>
  <c r="K1962" i="27"/>
  <c r="K1741" i="27"/>
  <c r="K1799" i="27"/>
  <c r="K1858" i="27"/>
  <c r="K1775" i="27"/>
  <c r="K1916" i="27"/>
  <c r="K1939" i="27"/>
  <c r="K1725" i="27"/>
  <c r="K1867" i="27"/>
  <c r="K1940" i="27"/>
  <c r="K1953" i="27"/>
  <c r="K1773" i="27"/>
  <c r="K1743" i="27"/>
  <c r="K1924" i="27"/>
  <c r="K1679" i="27"/>
  <c r="K1748" i="27"/>
  <c r="K1693" i="27"/>
  <c r="K1869" i="27"/>
  <c r="K1927" i="27"/>
  <c r="K1825" i="27"/>
  <c r="K1746" i="27"/>
  <c r="K1845" i="27"/>
  <c r="K1932" i="27"/>
  <c r="K1734" i="27"/>
  <c r="K1857" i="27"/>
  <c r="K1872" i="27"/>
  <c r="K1840" i="27"/>
  <c r="K1914" i="27"/>
  <c r="K1752" i="27"/>
  <c r="K1722" i="27"/>
  <c r="K1703" i="27"/>
  <c r="K1954" i="27"/>
  <c r="K1797" i="27"/>
  <c r="K1918" i="27"/>
  <c r="K1787" i="27"/>
  <c r="K1742" i="27"/>
  <c r="K1903" i="27"/>
  <c r="K1730" i="27"/>
  <c r="K1723" i="27"/>
  <c r="K1863" i="27"/>
  <c r="K1761" i="27"/>
  <c r="K1935" i="27"/>
  <c r="K1846" i="27"/>
  <c r="K1868" i="27"/>
  <c r="K1721" i="27"/>
  <c r="K1697" i="27"/>
  <c r="K1895" i="27"/>
  <c r="K1926" i="27"/>
  <c r="K1801" i="27"/>
  <c r="K1757" i="27"/>
  <c r="K1815" i="27"/>
  <c r="K1913" i="27"/>
  <c r="K1862" i="27"/>
  <c r="K1803" i="27"/>
  <c r="K1951" i="27"/>
  <c r="K1832" i="27"/>
  <c r="K1930" i="27"/>
  <c r="K1847" i="27"/>
  <c r="K1864" i="27"/>
  <c r="K1781" i="27"/>
  <c r="K1871" i="27"/>
  <c r="K1786" i="27"/>
  <c r="K1819" i="27"/>
  <c r="K1887" i="27"/>
  <c r="K1690" i="27"/>
  <c r="K1772" i="27"/>
  <c r="K1705" i="27"/>
  <c r="K1923" i="27"/>
  <c r="K1698" i="27"/>
  <c r="K1780" i="27"/>
  <c r="K1765" i="27"/>
  <c r="K1965" i="27"/>
  <c r="K1925" i="27"/>
  <c r="K1745" i="27"/>
  <c r="K1835" i="27"/>
  <c r="K1917" i="27"/>
  <c r="K1936" i="27"/>
  <c r="K1731" i="27"/>
  <c r="K1793" i="27"/>
  <c r="K1808" i="27"/>
  <c r="K1767" i="27"/>
  <c r="K1856" i="27"/>
  <c r="K1861" i="27"/>
  <c r="K1894" i="27"/>
  <c r="K1784" i="27"/>
  <c r="K1718" i="27"/>
  <c r="K1777" i="27"/>
  <c r="K1892" i="27"/>
  <c r="K1843" i="27"/>
  <c r="K1779" i="27"/>
  <c r="K1785" i="27"/>
  <c r="K1842" i="27"/>
  <c r="K1920" i="27"/>
  <c r="K1729" i="27"/>
  <c r="K1870" i="27"/>
  <c r="K1851" i="27"/>
  <c r="K1933" i="27"/>
  <c r="K1696" i="27"/>
  <c r="K1956" i="27"/>
  <c r="K1889" i="27"/>
  <c r="K1766" i="27"/>
  <c r="K1942" i="27"/>
  <c r="K1713" i="27"/>
  <c r="K1859" i="27"/>
  <c r="K1829" i="27"/>
  <c r="K1716" i="27"/>
  <c r="K1945" i="27"/>
  <c r="K1684" i="27"/>
  <c r="K1702" i="27"/>
  <c r="K1768" i="27"/>
  <c r="K1866" i="27"/>
  <c r="K1783" i="27"/>
  <c r="K1710" i="27"/>
  <c r="K1776" i="27"/>
  <c r="K1874" i="27"/>
  <c r="K1728" i="27"/>
  <c r="K1756" i="27"/>
  <c r="K1934" i="27"/>
  <c r="K1823" i="27"/>
  <c r="K1921" i="27"/>
  <c r="K1708" i="27"/>
  <c r="K1719" i="27"/>
  <c r="K1740" i="27"/>
  <c r="K1686" i="27"/>
  <c r="K1792" i="27"/>
  <c r="K1744" i="27"/>
  <c r="K1915" i="27"/>
  <c r="K1893" i="27"/>
  <c r="K1755" i="27"/>
  <c r="K1882" i="27"/>
  <c r="K1919" i="27"/>
  <c r="K1687" i="27"/>
  <c r="K1759" i="27"/>
  <c r="K1947" i="27"/>
  <c r="K1774" i="27"/>
  <c r="K1938" i="27"/>
  <c r="K1929" i="27"/>
  <c r="K1682" i="27"/>
  <c r="K1960" i="27"/>
  <c r="K1855" i="27"/>
  <c r="K1963" i="27"/>
  <c r="K1683" i="27"/>
  <c r="K1824" i="27"/>
  <c r="K1712" i="27"/>
  <c r="K1758" i="27"/>
  <c r="K1805" i="27"/>
  <c r="K1828" i="27"/>
  <c r="K1877" i="27"/>
  <c r="K1738" i="27"/>
  <c r="K1770" i="27"/>
  <c r="K1950" i="27"/>
  <c r="K1764" i="27"/>
  <c r="K1822" i="27"/>
  <c r="K1955" i="27"/>
  <c r="K1685" i="27"/>
  <c r="K1811" i="27"/>
  <c r="K1680" i="27"/>
  <c r="K1937" i="27"/>
  <c r="K1724" i="27"/>
  <c r="K1806" i="27"/>
  <c r="K1747" i="27"/>
  <c r="K1701" i="27"/>
  <c r="K1860" i="27"/>
  <c r="K1733" i="27"/>
  <c r="K1791" i="27"/>
  <c r="K1854" i="27"/>
  <c r="K1958" i="27"/>
  <c r="K1812" i="27"/>
  <c r="K1810" i="27"/>
  <c r="K1885" i="27"/>
  <c r="K1875" i="27"/>
  <c r="K1796" i="27"/>
  <c r="K1878" i="27"/>
  <c r="K1944" i="27"/>
  <c r="K1778" i="27"/>
  <c r="K1804" i="27"/>
  <c r="K1886" i="27"/>
  <c r="K1952" i="27"/>
  <c r="K1909" i="27"/>
  <c r="K1850" i="27"/>
  <c r="K1688" i="27"/>
  <c r="K1941" i="27"/>
  <c r="K1704" i="27"/>
  <c r="K1802" i="27"/>
  <c r="K1881" i="27"/>
  <c r="K1834" i="27"/>
  <c r="K1888" i="27"/>
  <c r="K1692" i="27"/>
  <c r="K1931" i="27"/>
  <c r="K1694" i="27"/>
  <c r="K1795" i="27"/>
  <c r="K1736" i="27"/>
  <c r="K1964" i="27"/>
  <c r="K1891" i="27"/>
  <c r="K1720" i="27"/>
  <c r="K1818" i="27"/>
  <c r="K1900" i="27"/>
  <c r="K1833" i="27"/>
  <c r="K1959" i="27"/>
  <c r="K1890" i="27"/>
  <c r="K1763" i="27"/>
  <c r="K1714" i="27"/>
  <c r="K1948" i="27"/>
  <c r="K1865" i="27"/>
  <c r="K1949" i="27"/>
  <c r="K1848" i="27"/>
  <c r="K1831" i="27"/>
  <c r="K1826" i="27"/>
  <c r="K1908" i="27"/>
  <c r="K1727" i="27"/>
  <c r="K1790" i="27"/>
  <c r="K1898" i="27"/>
  <c r="K1735" i="27"/>
  <c r="K1700" i="27"/>
  <c r="K1928" i="27"/>
  <c r="K1961" i="27"/>
  <c r="K1732" i="27"/>
  <c r="K1814" i="27"/>
  <c r="K1880" i="27"/>
  <c r="K1726" i="27"/>
  <c r="K1912" i="27"/>
  <c r="K1789" i="27"/>
  <c r="K1910" i="27"/>
  <c r="K1821" i="27"/>
  <c r="K1760" i="27"/>
  <c r="K1706" i="27"/>
  <c r="K1841" i="27"/>
  <c r="K1897" i="27"/>
  <c r="K1753" i="27"/>
  <c r="K1830" i="27"/>
  <c r="K1896" i="27"/>
  <c r="K1691" i="27"/>
  <c r="K1911" i="27"/>
  <c r="K1902" i="27"/>
  <c r="K1751" i="27"/>
  <c r="K1849" i="27"/>
  <c r="K1798" i="27"/>
  <c r="K1739" i="27"/>
  <c r="K1946" i="27"/>
  <c r="K1695" i="27"/>
  <c r="K1876" i="27"/>
  <c r="K1749" i="27"/>
  <c r="K1838" i="27"/>
  <c r="K1904" i="27"/>
  <c r="K1699" i="27"/>
  <c r="K1817" i="27"/>
  <c r="K1884" i="27"/>
  <c r="K1681" i="27"/>
  <c r="K1771" i="27"/>
  <c r="K1853" i="27"/>
  <c r="K1794" i="27"/>
  <c r="K1711" i="27"/>
  <c r="K1837" i="27"/>
  <c r="K1762" i="27"/>
  <c r="K1844" i="27"/>
  <c r="K1782" i="27"/>
  <c r="K1820" i="27"/>
  <c r="K1813" i="27"/>
  <c r="K1883" i="27"/>
  <c r="K1943" i="27"/>
  <c r="K1879" i="27"/>
  <c r="K1717" i="27"/>
  <c r="K1788" i="27"/>
  <c r="K1715" i="27"/>
  <c r="K1800" i="27"/>
  <c r="L1666" i="27"/>
  <c r="K1666" i="27"/>
  <c r="M1666" i="27"/>
  <c r="A1666" i="27" s="1"/>
  <c r="I1666" i="27"/>
  <c r="G1666" i="27"/>
  <c r="H2445" i="27"/>
  <c r="H2440" i="27"/>
  <c r="H2446" i="27"/>
  <c r="H2448" i="27"/>
  <c r="H2451" i="27"/>
  <c r="H2450" i="27"/>
  <c r="H2449" i="27"/>
  <c r="H2447" i="27"/>
  <c r="H2441" i="27"/>
  <c r="H2443" i="27"/>
  <c r="H2442" i="27"/>
  <c r="H2444" i="27"/>
  <c r="H2456" i="27"/>
  <c r="H2459" i="27"/>
  <c r="H2458" i="27"/>
  <c r="H2457" i="27"/>
  <c r="H2463" i="27"/>
  <c r="H2466" i="27"/>
  <c r="H2465" i="27"/>
  <c r="H2468" i="27"/>
  <c r="H2471" i="27"/>
  <c r="H2469" i="27"/>
  <c r="H2464" i="27"/>
  <c r="H2470" i="27"/>
  <c r="H2461" i="27"/>
  <c r="H2467" i="27"/>
  <c r="H2460" i="27"/>
  <c r="H2462" i="27"/>
  <c r="H2486" i="27"/>
  <c r="H2489" i="27"/>
  <c r="H2494" i="27"/>
  <c r="H2483" i="27"/>
  <c r="H2488" i="27"/>
  <c r="H2480" i="27"/>
  <c r="H2495" i="27"/>
  <c r="H2491" i="27"/>
  <c r="H2477" i="27"/>
  <c r="H2493" i="27"/>
  <c r="H2476" i="27"/>
  <c r="H2487" i="27"/>
  <c r="H2481" i="27"/>
  <c r="H2475" i="27"/>
  <c r="H2478" i="27"/>
  <c r="H2485" i="27"/>
  <c r="H2473" i="27"/>
  <c r="H2490" i="27"/>
  <c r="H2472" i="27"/>
  <c r="H2492" i="27"/>
  <c r="H2474" i="27"/>
  <c r="H2479" i="27"/>
  <c r="H2482" i="27"/>
  <c r="H2484" i="27"/>
  <c r="K2272" i="27"/>
  <c r="K2308" i="27"/>
  <c r="K2325" i="27"/>
  <c r="K2373" i="27"/>
  <c r="K2386" i="27"/>
  <c r="K2287" i="27"/>
  <c r="K2274" i="27"/>
  <c r="K2406" i="27"/>
  <c r="K2276" i="27"/>
  <c r="K2295" i="27"/>
  <c r="K2285" i="27"/>
  <c r="K2369" i="27"/>
  <c r="K2409" i="27"/>
  <c r="K2366" i="27"/>
  <c r="K2335" i="27"/>
  <c r="K2348" i="27"/>
  <c r="K2350" i="27"/>
  <c r="K2334" i="27"/>
  <c r="K2290" i="27"/>
  <c r="K2375" i="27"/>
  <c r="K2288" i="27"/>
  <c r="K2318" i="27"/>
  <c r="K2284" i="27"/>
  <c r="K2410" i="27"/>
  <c r="K2328" i="27"/>
  <c r="K2377" i="27"/>
  <c r="K2407" i="27"/>
  <c r="K2384" i="27"/>
  <c r="K2393" i="27"/>
  <c r="K2374" i="27"/>
  <c r="K2385" i="27"/>
  <c r="K2316" i="27"/>
  <c r="K2392" i="27"/>
  <c r="K2381" i="27"/>
  <c r="K2302" i="27"/>
  <c r="K2398" i="27"/>
  <c r="K2367" i="27"/>
  <c r="K2306" i="27"/>
  <c r="K2329" i="27"/>
  <c r="K2299" i="27"/>
  <c r="K2336" i="27"/>
  <c r="K2341" i="27"/>
  <c r="K2291" i="27"/>
  <c r="K2330" i="27"/>
  <c r="K2311" i="27"/>
  <c r="K2309" i="27"/>
  <c r="K2282" i="27"/>
  <c r="K2362" i="27"/>
  <c r="K2363" i="27"/>
  <c r="K2292" i="27"/>
  <c r="K2278" i="27"/>
  <c r="K2324" i="27"/>
  <c r="K2380" i="27"/>
  <c r="K2388" i="27"/>
  <c r="K2394" i="27"/>
  <c r="K2317" i="27"/>
  <c r="K2320" i="27"/>
  <c r="K2401" i="27"/>
  <c r="K2371" i="27"/>
  <c r="K2400" i="27"/>
  <c r="K2281" i="27"/>
  <c r="K2305" i="27"/>
  <c r="K2331" i="27"/>
  <c r="K2298" i="27"/>
  <c r="K2327" i="27"/>
  <c r="K2300" i="27"/>
  <c r="K2416" i="27"/>
  <c r="K2349" i="27"/>
  <c r="K2346" i="27"/>
  <c r="K2304" i="27"/>
  <c r="K2395" i="27"/>
  <c r="K2319" i="27"/>
  <c r="K2280" i="27"/>
  <c r="K2347" i="27"/>
  <c r="K2343" i="27"/>
  <c r="K2312" i="27"/>
  <c r="K2303" i="27"/>
  <c r="K2376" i="27"/>
  <c r="K2321" i="27"/>
  <c r="K2387" i="27"/>
  <c r="K2405" i="27"/>
  <c r="K2275" i="27"/>
  <c r="K2419" i="27"/>
  <c r="K2413" i="27"/>
  <c r="K2314" i="27"/>
  <c r="K2296" i="27"/>
  <c r="K2332" i="27"/>
  <c r="K2355" i="27"/>
  <c r="K2411" i="27"/>
  <c r="K2359" i="27"/>
  <c r="K2345" i="27"/>
  <c r="K2353" i="27"/>
  <c r="K2342" i="27"/>
  <c r="K2360" i="27"/>
  <c r="K2326" i="27"/>
  <c r="K2271" i="27"/>
  <c r="K2307" i="27"/>
  <c r="K2389" i="27"/>
  <c r="K2322" i="27"/>
  <c r="K2391" i="27"/>
  <c r="K2382" i="27"/>
  <c r="K2396" i="27"/>
  <c r="K2283" i="27"/>
  <c r="K2279" i="27"/>
  <c r="K2301" i="27"/>
  <c r="K2356" i="27"/>
  <c r="K2337" i="27"/>
  <c r="K2339" i="27"/>
  <c r="K2412" i="27"/>
  <c r="K2351" i="27"/>
  <c r="K2289" i="27"/>
  <c r="K2415" i="27"/>
  <c r="K2417" i="27"/>
  <c r="K2383" i="27"/>
  <c r="K2378" i="27"/>
  <c r="K2408" i="27"/>
  <c r="K2403" i="27"/>
  <c r="K2390" i="27"/>
  <c r="K2402" i="27"/>
  <c r="K2372" i="27"/>
  <c r="K2273" i="27"/>
  <c r="K2286" i="27"/>
  <c r="K2370" i="27"/>
  <c r="K2399" i="27"/>
  <c r="K2338" i="27"/>
  <c r="K2358" i="27"/>
  <c r="K2293" i="27"/>
  <c r="K2340" i="27"/>
  <c r="K2344" i="27"/>
  <c r="K2418" i="27"/>
  <c r="K2354" i="27"/>
  <c r="K2297" i="27"/>
  <c r="K2379" i="27"/>
  <c r="K2277" i="27"/>
  <c r="K2323" i="27"/>
  <c r="K2310" i="27"/>
  <c r="K2404" i="27"/>
  <c r="K2420" i="27"/>
  <c r="K2414" i="27"/>
  <c r="K2315" i="27"/>
  <c r="K2397" i="27"/>
  <c r="K2368" i="27"/>
  <c r="K2313" i="27"/>
  <c r="K2357" i="27"/>
  <c r="K2361" i="27"/>
  <c r="K2364" i="27"/>
  <c r="K2294" i="27"/>
  <c r="K2333" i="27"/>
  <c r="K2352" i="27"/>
  <c r="K2365" i="27"/>
  <c r="A1565" i="27"/>
  <c r="H1567" i="27"/>
  <c r="M1242" i="27"/>
  <c r="M1178" i="27"/>
  <c r="M1114" i="27"/>
  <c r="M1050" i="27"/>
  <c r="M1249" i="27"/>
  <c r="M1185" i="27"/>
  <c r="M1121" i="27"/>
  <c r="M1057" i="27"/>
  <c r="M993" i="27"/>
  <c r="M1227" i="27"/>
  <c r="M1141" i="27"/>
  <c r="M1055" i="27"/>
  <c r="M980" i="27"/>
  <c r="M1268" i="27"/>
  <c r="M1182" i="27"/>
  <c r="M1096" i="27"/>
  <c r="M1015" i="27"/>
  <c r="M947" i="27"/>
  <c r="M1223" i="27"/>
  <c r="M1139" i="27"/>
  <c r="M1053" i="27"/>
  <c r="M978" i="27"/>
  <c r="M1264" i="27"/>
  <c r="M1180" i="27"/>
  <c r="M1094" i="27"/>
  <c r="M1013" i="27"/>
  <c r="M945" i="27"/>
  <c r="M1221" i="27"/>
  <c r="M1135" i="27"/>
  <c r="M1051" i="27"/>
  <c r="M976" i="27"/>
  <c r="M1262" i="27"/>
  <c r="M1176" i="27"/>
  <c r="M1092" i="27"/>
  <c r="M1011" i="27"/>
  <c r="M943" i="27"/>
  <c r="M1219" i="27"/>
  <c r="M1133" i="27"/>
  <c r="M1047" i="27"/>
  <c r="M974" i="27"/>
  <c r="M1260" i="27"/>
  <c r="M1174" i="27"/>
  <c r="M1088" i="27"/>
  <c r="M1008" i="27"/>
  <c r="M941" i="27"/>
  <c r="M942" i="27"/>
  <c r="M1046" i="27"/>
  <c r="M1155" i="27"/>
  <c r="M951" i="27"/>
  <c r="M1143" i="27"/>
  <c r="M1170" i="27"/>
  <c r="M1106" i="27"/>
  <c r="M1042" i="27"/>
  <c r="M1241" i="27"/>
  <c r="M1177" i="27"/>
  <c r="M1113" i="27"/>
  <c r="M1049" i="27"/>
  <c r="M985" i="27"/>
  <c r="M1215" i="27"/>
  <c r="M1131" i="27"/>
  <c r="M1045" i="27"/>
  <c r="M972" i="27"/>
  <c r="M1256" i="27"/>
  <c r="M1172" i="27"/>
  <c r="M1086" i="27"/>
  <c r="M1006" i="27"/>
  <c r="M1299" i="27"/>
  <c r="M1213" i="27"/>
  <c r="M1127" i="27"/>
  <c r="M1043" i="27"/>
  <c r="M970" i="27"/>
  <c r="M1254" i="27"/>
  <c r="M1168" i="27"/>
  <c r="M1084" i="27"/>
  <c r="M1004" i="27"/>
  <c r="M1295" i="27"/>
  <c r="M1211" i="27"/>
  <c r="M1125" i="27"/>
  <c r="M1039" i="27"/>
  <c r="M968" i="27"/>
  <c r="M1252" i="27"/>
  <c r="M1166" i="27"/>
  <c r="M1080" i="27"/>
  <c r="M1002" i="27"/>
  <c r="M1293" i="27"/>
  <c r="M1207" i="27"/>
  <c r="M1123" i="27"/>
  <c r="M1037" i="27"/>
  <c r="M966" i="27"/>
  <c r="M1248" i="27"/>
  <c r="M1164" i="27"/>
  <c r="M1078" i="27"/>
  <c r="M999" i="27"/>
  <c r="M1068" i="27"/>
  <c r="M1010" i="27"/>
  <c r="M1132" i="27"/>
  <c r="M1196" i="27"/>
  <c r="M949" i="27"/>
  <c r="M1226" i="27"/>
  <c r="M1162" i="27"/>
  <c r="M1098" i="27"/>
  <c r="M1297" i="27"/>
  <c r="M1233" i="27"/>
  <c r="M1169" i="27"/>
  <c r="M1105" i="27"/>
  <c r="M1041" i="27"/>
  <c r="M1291" i="27"/>
  <c r="M1205" i="27"/>
  <c r="M1119" i="27"/>
  <c r="M1035" i="27"/>
  <c r="M964" i="27"/>
  <c r="M1246" i="27"/>
  <c r="M1160" i="27"/>
  <c r="M1076" i="27"/>
  <c r="M997" i="27"/>
  <c r="M1287" i="27"/>
  <c r="M1203" i="27"/>
  <c r="M1117" i="27"/>
  <c r="M1032" i="27"/>
  <c r="M962" i="27"/>
  <c r="M1244" i="27"/>
  <c r="M1158" i="27"/>
  <c r="M1072" i="27"/>
  <c r="M995" i="27"/>
  <c r="M1285" i="27"/>
  <c r="M1199" i="27"/>
  <c r="M1115" i="27"/>
  <c r="M1030" i="27"/>
  <c r="M960" i="27"/>
  <c r="M1240" i="27"/>
  <c r="M1156" i="27"/>
  <c r="M1070" i="27"/>
  <c r="M992" i="27"/>
  <c r="M1283" i="27"/>
  <c r="M1197" i="27"/>
  <c r="M1111" i="27"/>
  <c r="M1028" i="27"/>
  <c r="M958" i="27"/>
  <c r="M1238" i="27"/>
  <c r="M1152" i="27"/>
  <c r="M990" i="27"/>
  <c r="M1091" i="27"/>
  <c r="M959" i="27"/>
  <c r="M1239" i="27"/>
  <c r="M1229" i="27"/>
  <c r="M1218" i="27"/>
  <c r="M1154" i="27"/>
  <c r="M1090" i="27"/>
  <c r="M1289" i="27"/>
  <c r="M1225" i="27"/>
  <c r="M1161" i="27"/>
  <c r="M1097" i="27"/>
  <c r="M1033" i="27"/>
  <c r="M1279" i="27"/>
  <c r="M1195" i="27"/>
  <c r="M1109" i="27"/>
  <c r="M1026" i="27"/>
  <c r="M956" i="27"/>
  <c r="M1236" i="27"/>
  <c r="M1150" i="27"/>
  <c r="M1064" i="27"/>
  <c r="M988" i="27"/>
  <c r="M1277" i="27"/>
  <c r="M1191" i="27"/>
  <c r="M1107" i="27"/>
  <c r="M1023" i="27"/>
  <c r="M954" i="27"/>
  <c r="M1232" i="27"/>
  <c r="M1148" i="27"/>
  <c r="M1062" i="27"/>
  <c r="M986" i="27"/>
  <c r="M1275" i="27"/>
  <c r="M1189" i="27"/>
  <c r="M1103" i="27"/>
  <c r="M1021" i="27"/>
  <c r="M952" i="27"/>
  <c r="M1230" i="27"/>
  <c r="M1144" i="27"/>
  <c r="M1060" i="27"/>
  <c r="M983" i="27"/>
  <c r="M1271" i="27"/>
  <c r="M1187" i="27"/>
  <c r="M1101" i="27"/>
  <c r="M1019" i="27"/>
  <c r="M950" i="27"/>
  <c r="M1228" i="27"/>
  <c r="M1142" i="27"/>
  <c r="M1056" i="27"/>
  <c r="M981" i="27"/>
  <c r="M1261" i="27"/>
  <c r="M973" i="27"/>
  <c r="M1029" i="27"/>
  <c r="M991" i="27"/>
  <c r="M1110" i="27"/>
  <c r="M1059" i="27"/>
  <c r="M1210" i="27"/>
  <c r="M1146" i="27"/>
  <c r="M1082" i="27"/>
  <c r="M1281" i="27"/>
  <c r="M1217" i="27"/>
  <c r="M1153" i="27"/>
  <c r="M1089" i="27"/>
  <c r="M1025" i="27"/>
  <c r="M1269" i="27"/>
  <c r="M1183" i="27"/>
  <c r="M1099" i="27"/>
  <c r="M1016" i="27"/>
  <c r="M948" i="27"/>
  <c r="M1224" i="27"/>
  <c r="M1140" i="27"/>
  <c r="M1054" i="27"/>
  <c r="M979" i="27"/>
  <c r="M1267" i="27"/>
  <c r="M1181" i="27"/>
  <c r="M1095" i="27"/>
  <c r="M1014" i="27"/>
  <c r="M946" i="27"/>
  <c r="M1222" i="27"/>
  <c r="M1136" i="27"/>
  <c r="M1052" i="27"/>
  <c r="M977" i="27"/>
  <c r="M1263" i="27"/>
  <c r="M1179" i="27"/>
  <c r="M1093" i="27"/>
  <c r="M1012" i="27"/>
  <c r="M944" i="27"/>
  <c r="M1220" i="27"/>
  <c r="M1134" i="27"/>
  <c r="M1048" i="27"/>
  <c r="M975" i="27"/>
  <c r="M1175" i="27"/>
  <c r="M1216" i="27"/>
  <c r="M1027" i="27"/>
  <c r="M1020" i="27"/>
  <c r="M1270" i="27"/>
  <c r="M1202" i="27"/>
  <c r="M1138" i="27"/>
  <c r="M1074" i="27"/>
  <c r="M1273" i="27"/>
  <c r="M1209" i="27"/>
  <c r="M1145" i="27"/>
  <c r="M1081" i="27"/>
  <c r="M1017" i="27"/>
  <c r="M1259" i="27"/>
  <c r="M1173" i="27"/>
  <c r="M1087" i="27"/>
  <c r="M1007" i="27"/>
  <c r="M940" i="27"/>
  <c r="M1214" i="27"/>
  <c r="M1128" i="27"/>
  <c r="M1044" i="27"/>
  <c r="M971" i="27"/>
  <c r="M1255" i="27"/>
  <c r="M1171" i="27"/>
  <c r="M1085" i="27"/>
  <c r="M1005" i="27"/>
  <c r="M1296" i="27"/>
  <c r="M1212" i="27"/>
  <c r="M1126" i="27"/>
  <c r="M1040" i="27"/>
  <c r="M969" i="27"/>
  <c r="M1253" i="27"/>
  <c r="M1167" i="27"/>
  <c r="M1083" i="27"/>
  <c r="M1003" i="27"/>
  <c r="M1294" i="27"/>
  <c r="M1208" i="27"/>
  <c r="M1124" i="27"/>
  <c r="M1038" i="27"/>
  <c r="M967" i="27"/>
  <c r="M1251" i="27"/>
  <c r="M1165" i="27"/>
  <c r="M1079" i="27"/>
  <c r="M1000" i="27"/>
  <c r="M1292" i="27"/>
  <c r="M1206" i="27"/>
  <c r="M1120" i="27"/>
  <c r="M1036" i="27"/>
  <c r="M965" i="27"/>
  <c r="M1112" i="27"/>
  <c r="M1069" i="27"/>
  <c r="M957" i="27"/>
  <c r="M1102" i="27"/>
  <c r="M1184" i="27"/>
  <c r="M1194" i="27"/>
  <c r="M1130" i="27"/>
  <c r="M1066" i="27"/>
  <c r="M1265" i="27"/>
  <c r="M1201" i="27"/>
  <c r="M1137" i="27"/>
  <c r="M1073" i="27"/>
  <c r="M1009" i="27"/>
  <c r="M1247" i="27"/>
  <c r="M1163" i="27"/>
  <c r="M1077" i="27"/>
  <c r="M998" i="27"/>
  <c r="M1288" i="27"/>
  <c r="M1204" i="27"/>
  <c r="M1118" i="27"/>
  <c r="M1034" i="27"/>
  <c r="M963" i="27"/>
  <c r="M1245" i="27"/>
  <c r="M1159" i="27"/>
  <c r="M1075" i="27"/>
  <c r="M996" i="27"/>
  <c r="M1286" i="27"/>
  <c r="M1200" i="27"/>
  <c r="M1116" i="27"/>
  <c r="M1031" i="27"/>
  <c r="M961" i="27"/>
  <c r="M1243" i="27"/>
  <c r="M1157" i="27"/>
  <c r="M1071" i="27"/>
  <c r="M994" i="27"/>
  <c r="M1284" i="27"/>
  <c r="M1198" i="27"/>
  <c r="M1280" i="27"/>
  <c r="M1100" i="27"/>
  <c r="M1250" i="27"/>
  <c r="M1186" i="27"/>
  <c r="M1122" i="27"/>
  <c r="M1058" i="27"/>
  <c r="M1257" i="27"/>
  <c r="M1193" i="27"/>
  <c r="M1129" i="27"/>
  <c r="M1065" i="27"/>
  <c r="M1001" i="27"/>
  <c r="M1237" i="27"/>
  <c r="M1151" i="27"/>
  <c r="M1067" i="27"/>
  <c r="M989" i="27"/>
  <c r="M1278" i="27"/>
  <c r="M1192" i="27"/>
  <c r="M1108" i="27"/>
  <c r="M1024" i="27"/>
  <c r="M955" i="27"/>
  <c r="M1235" i="27"/>
  <c r="M1149" i="27"/>
  <c r="M1063" i="27"/>
  <c r="M987" i="27"/>
  <c r="M1276" i="27"/>
  <c r="M1190" i="27"/>
  <c r="M1104" i="27"/>
  <c r="M1022" i="27"/>
  <c r="M953" i="27"/>
  <c r="M1231" i="27"/>
  <c r="M1147" i="27"/>
  <c r="M1061" i="27"/>
  <c r="M984" i="27"/>
  <c r="M1272" i="27"/>
  <c r="M1188" i="27"/>
  <c r="M982" i="27"/>
  <c r="M1018" i="27"/>
  <c r="M1258" i="27"/>
  <c r="M1266" i="27"/>
  <c r="M1274" i="27"/>
  <c r="M1282" i="27"/>
  <c r="M1290" i="27"/>
  <c r="M1234" i="27"/>
  <c r="M1298" i="27"/>
  <c r="H963" i="27"/>
  <c r="H964" i="27"/>
  <c r="H965" i="27" s="1"/>
  <c r="H966" i="27" s="1"/>
  <c r="H967" i="27" s="1"/>
  <c r="H968" i="27" s="1"/>
  <c r="J189" i="24"/>
  <c r="BE84" i="34"/>
  <c r="BF84" i="34"/>
  <c r="AT85" i="34"/>
  <c r="AO85" i="34"/>
  <c r="AP85" i="34" s="1"/>
  <c r="AQ84" i="34"/>
  <c r="AR84" i="34"/>
  <c r="U1015" i="32"/>
  <c r="J191" i="24"/>
  <c r="J181" i="24"/>
  <c r="O1666" i="27"/>
  <c r="K4300" i="27"/>
  <c r="O916" i="27"/>
  <c r="K1566" i="27"/>
  <c r="A1015" i="32"/>
  <c r="G1011" i="32"/>
  <c r="P4300" i="27"/>
  <c r="L4301" i="27"/>
  <c r="J1566" i="27"/>
  <c r="I1566" i="27"/>
  <c r="L1566" i="27"/>
  <c r="D4301" i="27"/>
  <c r="P1135" i="32" l="1"/>
  <c r="Q1133" i="32"/>
  <c r="R1131" i="32" a="1"/>
  <c r="R1131" i="32" s="1"/>
  <c r="D1131" i="32" s="1"/>
  <c r="T1131" i="32" a="1"/>
  <c r="T1131" i="32" s="1"/>
  <c r="V1131" i="32" a="1"/>
  <c r="V1131" i="32" s="1"/>
  <c r="L1131" i="32" s="1"/>
  <c r="S1131" i="32" a="1"/>
  <c r="S1131" i="32" s="1"/>
  <c r="E1131" i="32" s="1"/>
  <c r="F5539" i="27"/>
  <c r="K3897" i="27"/>
  <c r="F3897" i="27"/>
  <c r="M3897" i="27"/>
  <c r="A3897" i="27" s="1"/>
  <c r="G3896" i="27"/>
  <c r="E3895" i="27"/>
  <c r="J3896" i="27"/>
  <c r="O3896" i="27"/>
  <c r="N3896" i="27"/>
  <c r="I3896" i="27"/>
  <c r="H3896" i="27"/>
  <c r="P3896" i="27"/>
  <c r="K2892" i="27"/>
  <c r="K2891" i="27"/>
  <c r="J1974" i="27"/>
  <c r="H1974" i="27"/>
  <c r="H2424" i="27"/>
  <c r="J2424" i="27"/>
  <c r="K2141" i="27"/>
  <c r="K2142" i="27"/>
  <c r="A1566" i="27"/>
  <c r="H1568" i="27"/>
  <c r="H970" i="27"/>
  <c r="H971" i="27" s="1"/>
  <c r="H972" i="27" s="1"/>
  <c r="H973" i="27" s="1"/>
  <c r="H974" i="27" s="1"/>
  <c r="H969" i="27"/>
  <c r="BE85" i="34"/>
  <c r="BF85" i="34"/>
  <c r="J2120" i="27"/>
  <c r="AT86" i="34"/>
  <c r="AO86" i="34"/>
  <c r="AP86" i="34" s="1"/>
  <c r="AQ85" i="34"/>
  <c r="AR85" i="34"/>
  <c r="H2120" i="27"/>
  <c r="U1017" i="32"/>
  <c r="J173" i="24"/>
  <c r="N155" i="1"/>
  <c r="M155" i="1"/>
  <c r="I4281" i="27"/>
  <c r="I4297" i="27"/>
  <c r="I4264" i="27"/>
  <c r="I4273" i="27"/>
  <c r="I4270" i="27"/>
  <c r="J1567" i="27"/>
  <c r="I4302" i="27"/>
  <c r="I4295" i="27"/>
  <c r="K1567" i="27"/>
  <c r="I4303" i="27"/>
  <c r="I4252" i="27"/>
  <c r="I4257" i="27"/>
  <c r="I4256" i="27"/>
  <c r="I4272" i="27"/>
  <c r="I4227" i="27"/>
  <c r="I4268" i="27"/>
  <c r="I4231" i="27"/>
  <c r="I4261" i="27"/>
  <c r="I4304" i="27"/>
  <c r="I4291" i="27"/>
  <c r="I4277" i="27"/>
  <c r="I4300" i="27"/>
  <c r="I4258" i="27"/>
  <c r="I4278" i="27"/>
  <c r="I4247" i="27"/>
  <c r="I4233" i="27"/>
  <c r="I4296" i="27"/>
  <c r="I4290" i="27"/>
  <c r="I4238" i="27"/>
  <c r="I4232" i="27"/>
  <c r="I4269" i="27"/>
  <c r="D4302" i="27"/>
  <c r="I4229" i="27"/>
  <c r="G1013" i="32"/>
  <c r="G330" i="32"/>
  <c r="I4289" i="27"/>
  <c r="I4266" i="27"/>
  <c r="I4235" i="27"/>
  <c r="I4285" i="27"/>
  <c r="I4242" i="27"/>
  <c r="I1567" i="27"/>
  <c r="I4267" i="27"/>
  <c r="I4244" i="27"/>
  <c r="I4274" i="27"/>
  <c r="I4292" i="27"/>
  <c r="L1567" i="27"/>
  <c r="I4243" i="27"/>
  <c r="I4240" i="27"/>
  <c r="I4241" i="27"/>
  <c r="I4287" i="27"/>
  <c r="I4298" i="27"/>
  <c r="I4293" i="27"/>
  <c r="I4259" i="27"/>
  <c r="I4245" i="27"/>
  <c r="I4294" i="27"/>
  <c r="N920" i="27"/>
  <c r="K4301" i="27"/>
  <c r="A1017" i="32"/>
  <c r="I4239" i="27"/>
  <c r="I4260" i="27"/>
  <c r="I4286" i="27"/>
  <c r="I4299" i="27"/>
  <c r="I4280" i="27"/>
  <c r="I4271" i="27"/>
  <c r="I4230" i="27"/>
  <c r="I4265" i="27"/>
  <c r="I4279" i="27"/>
  <c r="I4236" i="27"/>
  <c r="G16" i="32"/>
  <c r="I4253" i="27"/>
  <c r="I4255" i="27"/>
  <c r="I4226" i="27"/>
  <c r="I4228" i="27"/>
  <c r="I4237" i="27"/>
  <c r="I4288" i="27"/>
  <c r="I4301" i="27"/>
  <c r="I4249" i="27"/>
  <c r="I4282" i="27"/>
  <c r="I4234" i="27"/>
  <c r="I4254" i="27"/>
  <c r="I4276" i="27"/>
  <c r="R924" i="27"/>
  <c r="I4284" i="27"/>
  <c r="L4302" i="27"/>
  <c r="I4225" i="27"/>
  <c r="I4262" i="27"/>
  <c r="I4263" i="27"/>
  <c r="I4248" i="27"/>
  <c r="I4246" i="27"/>
  <c r="I4251" i="27"/>
  <c r="P4301" i="27"/>
  <c r="I4283" i="27"/>
  <c r="I4275" i="27"/>
  <c r="I4250" i="27"/>
  <c r="T1133" i="32" l="1" a="1"/>
  <c r="T1133" i="32" s="1"/>
  <c r="R1133" i="32" a="1"/>
  <c r="R1133" i="32" s="1"/>
  <c r="D1133" i="32" s="1"/>
  <c r="S1133" i="32" a="1"/>
  <c r="S1133" i="32" s="1"/>
  <c r="E1133" i="32" s="1"/>
  <c r="V1133" i="32" a="1"/>
  <c r="V1133" i="32" s="1"/>
  <c r="L1133" i="32" s="1"/>
  <c r="P1137" i="32"/>
  <c r="Q1135" i="32"/>
  <c r="F5540" i="27"/>
  <c r="F5541" i="27"/>
  <c r="N3897" i="27"/>
  <c r="G3897" i="27"/>
  <c r="O3897" i="27"/>
  <c r="J3897" i="27"/>
  <c r="H3897" i="27"/>
  <c r="I3897" i="27"/>
  <c r="F3898" i="27"/>
  <c r="M3898" i="27"/>
  <c r="A3898" i="27" s="1"/>
  <c r="K3898" i="27"/>
  <c r="P3897" i="27"/>
  <c r="E3896" i="27"/>
  <c r="K2894" i="27"/>
  <c r="K2893" i="27"/>
  <c r="G2066" i="27"/>
  <c r="J1970" i="27"/>
  <c r="E1974" i="27"/>
  <c r="H1970" i="27"/>
  <c r="E2424" i="27"/>
  <c r="K2134" i="27"/>
  <c r="A1567" i="27"/>
  <c r="H1569" i="27"/>
  <c r="H1570" i="27"/>
  <c r="H976" i="27"/>
  <c r="H977" i="27" s="1"/>
  <c r="H978" i="27" s="1"/>
  <c r="H979" i="27" s="1"/>
  <c r="H980" i="27" s="1"/>
  <c r="H975" i="27"/>
  <c r="E2120" i="27"/>
  <c r="H189" i="24"/>
  <c r="BE86" i="34"/>
  <c r="BF86" i="34"/>
  <c r="J1666" i="27"/>
  <c r="N1666" i="27"/>
  <c r="AT87" i="34"/>
  <c r="AO87" i="34"/>
  <c r="AP87" i="34" s="1"/>
  <c r="AR86" i="34"/>
  <c r="AQ86" i="34"/>
  <c r="H1666" i="27"/>
  <c r="H191" i="24"/>
  <c r="U1019" i="32"/>
  <c r="AA155" i="1"/>
  <c r="AJ155" i="1" s="1"/>
  <c r="K4302" i="27"/>
  <c r="D4303" i="27"/>
  <c r="I1568" i="27"/>
  <c r="L4303" i="27"/>
  <c r="J1568" i="27"/>
  <c r="P4302" i="27"/>
  <c r="E920" i="27"/>
  <c r="A1019" i="32"/>
  <c r="G1015" i="32"/>
  <c r="K1568" i="27"/>
  <c r="G322" i="32"/>
  <c r="L1568" i="27"/>
  <c r="R920" i="27"/>
  <c r="N916" i="27"/>
  <c r="V1135" i="32" l="1" a="1"/>
  <c r="V1135" i="32" s="1"/>
  <c r="L1135" i="32" s="1"/>
  <c r="S1135" i="32" a="1"/>
  <c r="S1135" i="32" s="1"/>
  <c r="E1135" i="32" s="1"/>
  <c r="T1135" i="32" a="1"/>
  <c r="T1135" i="32" s="1"/>
  <c r="R1135" i="32" a="1"/>
  <c r="R1135" i="32" s="1"/>
  <c r="D1135" i="32" s="1"/>
  <c r="P1139" i="32"/>
  <c r="Q1137" i="32"/>
  <c r="F5542" i="27"/>
  <c r="E3897" i="27"/>
  <c r="K2896" i="27"/>
  <c r="K2895" i="27"/>
  <c r="E1970" i="27"/>
  <c r="A1568" i="27"/>
  <c r="H1571" i="27"/>
  <c r="H982" i="27"/>
  <c r="H983" i="27" s="1"/>
  <c r="H984" i="27" s="1"/>
  <c r="H985" i="27" s="1"/>
  <c r="H986" i="27" s="1"/>
  <c r="H981" i="27"/>
  <c r="AM255" i="1"/>
  <c r="AM247" i="1"/>
  <c r="AM239" i="1"/>
  <c r="AM231" i="1"/>
  <c r="AM223" i="1"/>
  <c r="AM215" i="1"/>
  <c r="AM207" i="1"/>
  <c r="AM199" i="1"/>
  <c r="AM191" i="1"/>
  <c r="AM183" i="1"/>
  <c r="AM175" i="1"/>
  <c r="AM167" i="1"/>
  <c r="AM159" i="1"/>
  <c r="AL251" i="1"/>
  <c r="AL243" i="1"/>
  <c r="AM254" i="1"/>
  <c r="AM246" i="1"/>
  <c r="AM238" i="1"/>
  <c r="AM230" i="1"/>
  <c r="AM222" i="1"/>
  <c r="AM214" i="1"/>
  <c r="AM206" i="1"/>
  <c r="AM198" i="1"/>
  <c r="AM190" i="1"/>
  <c r="AM182" i="1"/>
  <c r="AM174" i="1"/>
  <c r="AM166" i="1"/>
  <c r="AM158" i="1"/>
  <c r="AL250" i="1"/>
  <c r="AL242" i="1"/>
  <c r="AL234" i="1"/>
  <c r="AL226" i="1"/>
  <c r="AL218" i="1"/>
  <c r="AL210" i="1"/>
  <c r="AL202" i="1"/>
  <c r="AL194" i="1"/>
  <c r="AL186" i="1"/>
  <c r="AL178" i="1"/>
  <c r="AL170" i="1"/>
  <c r="AL162" i="1"/>
  <c r="AK254" i="1"/>
  <c r="AK246" i="1"/>
  <c r="AK238" i="1"/>
  <c r="AK230" i="1"/>
  <c r="AK222" i="1"/>
  <c r="AK214" i="1"/>
  <c r="AK206" i="1"/>
  <c r="AK198" i="1"/>
  <c r="AK190" i="1"/>
  <c r="AK182" i="1"/>
  <c r="AK174" i="1"/>
  <c r="AK166" i="1"/>
  <c r="AK158" i="1"/>
  <c r="AM253" i="1"/>
  <c r="AM245" i="1"/>
  <c r="AM237" i="1"/>
  <c r="AM229" i="1"/>
  <c r="AM221" i="1"/>
  <c r="AM213" i="1"/>
  <c r="AM205" i="1"/>
  <c r="AM197" i="1"/>
  <c r="AM189" i="1"/>
  <c r="AM181" i="1"/>
  <c r="AM173" i="1"/>
  <c r="AM165" i="1"/>
  <c r="AM157" i="1"/>
  <c r="AL249" i="1"/>
  <c r="AL241" i="1"/>
  <c r="AL233" i="1"/>
  <c r="AL225" i="1"/>
  <c r="AL217" i="1"/>
  <c r="AL209" i="1"/>
  <c r="AL201" i="1"/>
  <c r="AL193" i="1"/>
  <c r="AL185" i="1"/>
  <c r="AL177" i="1"/>
  <c r="AL169" i="1"/>
  <c r="AL161" i="1"/>
  <c r="AK253" i="1"/>
  <c r="AK245" i="1"/>
  <c r="AK237" i="1"/>
  <c r="AK229" i="1"/>
  <c r="AK221" i="1"/>
  <c r="AK213" i="1"/>
  <c r="AK205" i="1"/>
  <c r="AK197" i="1"/>
  <c r="AK189" i="1"/>
  <c r="AK181" i="1"/>
  <c r="AK173" i="1"/>
  <c r="AK165" i="1"/>
  <c r="AK157" i="1"/>
  <c r="AM252" i="1"/>
  <c r="AM244" i="1"/>
  <c r="AM236" i="1"/>
  <c r="AM228" i="1"/>
  <c r="AM220" i="1"/>
  <c r="AM212" i="1"/>
  <c r="AM204" i="1"/>
  <c r="AM196" i="1"/>
  <c r="AM188" i="1"/>
  <c r="AM180" i="1"/>
  <c r="AM172" i="1"/>
  <c r="AM164" i="1"/>
  <c r="AM156" i="1"/>
  <c r="AL248" i="1"/>
  <c r="AL240" i="1"/>
  <c r="AL232" i="1"/>
  <c r="AL224" i="1"/>
  <c r="AL216" i="1"/>
  <c r="AL208" i="1"/>
  <c r="AL200" i="1"/>
  <c r="AL192" i="1"/>
  <c r="AL184" i="1"/>
  <c r="AL176" i="1"/>
  <c r="AL168" i="1"/>
  <c r="AL160" i="1"/>
  <c r="AK252" i="1"/>
  <c r="AK244" i="1"/>
  <c r="AK236" i="1"/>
  <c r="AK228" i="1"/>
  <c r="AK220" i="1"/>
  <c r="AK212" i="1"/>
  <c r="AK204" i="1"/>
  <c r="AK196" i="1"/>
  <c r="AK188" i="1"/>
  <c r="AK180" i="1"/>
  <c r="AK172" i="1"/>
  <c r="AK164" i="1"/>
  <c r="AK156" i="1"/>
  <c r="AM251" i="1"/>
  <c r="AM243" i="1"/>
  <c r="AM235" i="1"/>
  <c r="AM227" i="1"/>
  <c r="AM219" i="1"/>
  <c r="AM211" i="1"/>
  <c r="AM203" i="1"/>
  <c r="AM195" i="1"/>
  <c r="AM187" i="1"/>
  <c r="AM179" i="1"/>
  <c r="AM171" i="1"/>
  <c r="AM163" i="1"/>
  <c r="AL255" i="1"/>
  <c r="AL247" i="1"/>
  <c r="AL239" i="1"/>
  <c r="AL231" i="1"/>
  <c r="AL223" i="1"/>
  <c r="AL215" i="1"/>
  <c r="AL207" i="1"/>
  <c r="AL199" i="1"/>
  <c r="AL191" i="1"/>
  <c r="AL183" i="1"/>
  <c r="AL175" i="1"/>
  <c r="AL167" i="1"/>
  <c r="AL159" i="1"/>
  <c r="AK251" i="1"/>
  <c r="AK243" i="1"/>
  <c r="AK235" i="1"/>
  <c r="AM249" i="1"/>
  <c r="AM241" i="1"/>
  <c r="AM233" i="1"/>
  <c r="AM225" i="1"/>
  <c r="AM217" i="1"/>
  <c r="AM209" i="1"/>
  <c r="AM201" i="1"/>
  <c r="AM193" i="1"/>
  <c r="AM185" i="1"/>
  <c r="AM177" i="1"/>
  <c r="AM169" i="1"/>
  <c r="AM161" i="1"/>
  <c r="AL253" i="1"/>
  <c r="AL245" i="1"/>
  <c r="AL237" i="1"/>
  <c r="AL229" i="1"/>
  <c r="AL221" i="1"/>
  <c r="AL213" i="1"/>
  <c r="AL205" i="1"/>
  <c r="AL197" i="1"/>
  <c r="AL189" i="1"/>
  <c r="AL181" i="1"/>
  <c r="AL173" i="1"/>
  <c r="AL165" i="1"/>
  <c r="AL157" i="1"/>
  <c r="AK249" i="1"/>
  <c r="AK241" i="1"/>
  <c r="AK233" i="1"/>
  <c r="AK225" i="1"/>
  <c r="AK217" i="1"/>
  <c r="AK209" i="1"/>
  <c r="AK201" i="1"/>
  <c r="AK193" i="1"/>
  <c r="AK185" i="1"/>
  <c r="AK177" i="1"/>
  <c r="AK169" i="1"/>
  <c r="AK161" i="1"/>
  <c r="AM226" i="1"/>
  <c r="AM194" i="1"/>
  <c r="AM162" i="1"/>
  <c r="AL235" i="1"/>
  <c r="AL212" i="1"/>
  <c r="AL190" i="1"/>
  <c r="AL171" i="1"/>
  <c r="AK248" i="1"/>
  <c r="AK227" i="1"/>
  <c r="AK211" i="1"/>
  <c r="AK195" i="1"/>
  <c r="AK179" i="1"/>
  <c r="AK163" i="1"/>
  <c r="AM224" i="1"/>
  <c r="AM192" i="1"/>
  <c r="AM160" i="1"/>
  <c r="AL230" i="1"/>
  <c r="AL211" i="1"/>
  <c r="AL188" i="1"/>
  <c r="AL166" i="1"/>
  <c r="AK247" i="1"/>
  <c r="AN247" i="1" s="1"/>
  <c r="AK226" i="1"/>
  <c r="AN226" i="1" s="1"/>
  <c r="AK210" i="1"/>
  <c r="AK194" i="1"/>
  <c r="AK178" i="1"/>
  <c r="AK162" i="1"/>
  <c r="AM250" i="1"/>
  <c r="AM218" i="1"/>
  <c r="AM186" i="1"/>
  <c r="AL254" i="1"/>
  <c r="AL228" i="1"/>
  <c r="AL206" i="1"/>
  <c r="AL187" i="1"/>
  <c r="AL164" i="1"/>
  <c r="AK242" i="1"/>
  <c r="AK224" i="1"/>
  <c r="AK208" i="1"/>
  <c r="AK192" i="1"/>
  <c r="AN192" i="1" s="1"/>
  <c r="AK176" i="1"/>
  <c r="AK160" i="1"/>
  <c r="AM248" i="1"/>
  <c r="AM216" i="1"/>
  <c r="AM184" i="1"/>
  <c r="AL252" i="1"/>
  <c r="AL227" i="1"/>
  <c r="AL204" i="1"/>
  <c r="AL182" i="1"/>
  <c r="AL163" i="1"/>
  <c r="AK240" i="1"/>
  <c r="AK223" i="1"/>
  <c r="AK207" i="1"/>
  <c r="AK191" i="1"/>
  <c r="AN191" i="1" s="1"/>
  <c r="AK175" i="1"/>
  <c r="AK159" i="1"/>
  <c r="AM242" i="1"/>
  <c r="AM210" i="1"/>
  <c r="AM178" i="1"/>
  <c r="AL246" i="1"/>
  <c r="AL222" i="1"/>
  <c r="AL203" i="1"/>
  <c r="AL180" i="1"/>
  <c r="AL158" i="1"/>
  <c r="AK239" i="1"/>
  <c r="AK219" i="1"/>
  <c r="AK203" i="1"/>
  <c r="AK187" i="1"/>
  <c r="AK171" i="1"/>
  <c r="AM240" i="1"/>
  <c r="AM208" i="1"/>
  <c r="AM176" i="1"/>
  <c r="AL244" i="1"/>
  <c r="AL220" i="1"/>
  <c r="AL198" i="1"/>
  <c r="AL179" i="1"/>
  <c r="AL156" i="1"/>
  <c r="AM170" i="1"/>
  <c r="AL174" i="1"/>
  <c r="AK216" i="1"/>
  <c r="AK170" i="1"/>
  <c r="AM168" i="1"/>
  <c r="AL172" i="1"/>
  <c r="AK215" i="1"/>
  <c r="AK168" i="1"/>
  <c r="AL238" i="1"/>
  <c r="AK255" i="1"/>
  <c r="AK202" i="1"/>
  <c r="AK167" i="1"/>
  <c r="AN167" i="1" s="1"/>
  <c r="AL236" i="1"/>
  <c r="AK250" i="1"/>
  <c r="AK200" i="1"/>
  <c r="AM234" i="1"/>
  <c r="AL219" i="1"/>
  <c r="AK234" i="1"/>
  <c r="AK199" i="1"/>
  <c r="AM232" i="1"/>
  <c r="AL214" i="1"/>
  <c r="AK232" i="1"/>
  <c r="AN232" i="1" s="1"/>
  <c r="AK186" i="1"/>
  <c r="AK184" i="1"/>
  <c r="AK183" i="1"/>
  <c r="AM202" i="1"/>
  <c r="AL195" i="1"/>
  <c r="AM200" i="1"/>
  <c r="AL196" i="1"/>
  <c r="AK231" i="1"/>
  <c r="AK218" i="1"/>
  <c r="E1666" i="27"/>
  <c r="BF87" i="34"/>
  <c r="BE87" i="34"/>
  <c r="AK155" i="1"/>
  <c r="AM155" i="1"/>
  <c r="AT88" i="34"/>
  <c r="AO88" i="34"/>
  <c r="AP88" i="34" s="1"/>
  <c r="AQ87" i="34"/>
  <c r="AR87" i="34"/>
  <c r="H181" i="24"/>
  <c r="U1021" i="32"/>
  <c r="AL155" i="1"/>
  <c r="P4303" i="27"/>
  <c r="J1570" i="27"/>
  <c r="D4304" i="27"/>
  <c r="G1017" i="32"/>
  <c r="L4304" i="27"/>
  <c r="I1570" i="27"/>
  <c r="L1569" i="27"/>
  <c r="J1569" i="27"/>
  <c r="L1570" i="27"/>
  <c r="E916" i="27"/>
  <c r="K1570" i="27"/>
  <c r="K1569" i="27"/>
  <c r="R916" i="27"/>
  <c r="A1021" i="32"/>
  <c r="I1569" i="27"/>
  <c r="K4303" i="27"/>
  <c r="AN210" i="1" l="1"/>
  <c r="AN176" i="1"/>
  <c r="AN169" i="1"/>
  <c r="AN202" i="1"/>
  <c r="Q1139" i="32"/>
  <c r="S1139" i="32" s="1" a="1"/>
  <c r="S1139" i="32" s="1"/>
  <c r="E1139" i="32" s="1"/>
  <c r="P1141" i="32"/>
  <c r="S1137" i="32" a="1"/>
  <c r="S1137" i="32" s="1"/>
  <c r="E1137" i="32" s="1"/>
  <c r="V1137" i="32" a="1"/>
  <c r="V1137" i="32" s="1"/>
  <c r="L1137" i="32" s="1"/>
  <c r="T1137" i="32" a="1"/>
  <c r="T1137" i="32" s="1"/>
  <c r="R1137" i="32" a="1"/>
  <c r="R1137" i="32" s="1"/>
  <c r="D1137" i="32" s="1"/>
  <c r="F5543" i="27"/>
  <c r="A1570" i="27"/>
  <c r="A1569" i="27"/>
  <c r="H1572" i="27"/>
  <c r="H988" i="27"/>
  <c r="H989" i="27" s="1"/>
  <c r="H990" i="27" s="1"/>
  <c r="H991" i="27" s="1"/>
  <c r="H992" i="27" s="1"/>
  <c r="H987" i="27"/>
  <c r="AN233" i="1"/>
  <c r="AN159" i="1"/>
  <c r="AN177" i="1"/>
  <c r="AN241" i="1"/>
  <c r="AN250" i="1"/>
  <c r="AN199" i="1"/>
  <c r="AN216" i="1"/>
  <c r="AN181" i="1"/>
  <c r="AN245" i="1"/>
  <c r="AN198" i="1"/>
  <c r="AN255" i="1"/>
  <c r="AN208" i="1"/>
  <c r="AN185" i="1"/>
  <c r="AN249" i="1"/>
  <c r="AN186" i="1"/>
  <c r="AN215" i="1"/>
  <c r="AN161" i="1"/>
  <c r="AN225" i="1"/>
  <c r="AN164" i="1"/>
  <c r="AN168" i="1"/>
  <c r="AN234" i="1"/>
  <c r="AN187" i="1"/>
  <c r="AN170" i="1"/>
  <c r="AN242" i="1"/>
  <c r="AN223" i="1"/>
  <c r="AN200" i="1"/>
  <c r="AN243" i="1"/>
  <c r="AN240" i="1"/>
  <c r="AN178" i="1"/>
  <c r="AN251" i="1"/>
  <c r="AN183" i="1"/>
  <c r="AN207" i="1"/>
  <c r="AN217" i="1"/>
  <c r="AN160" i="1"/>
  <c r="AN194" i="1"/>
  <c r="AN228" i="1"/>
  <c r="AN224" i="1"/>
  <c r="AN193" i="1"/>
  <c r="AN184" i="1"/>
  <c r="AN171" i="1"/>
  <c r="AN201" i="1"/>
  <c r="AN218" i="1"/>
  <c r="AN231" i="1"/>
  <c r="AN248" i="1"/>
  <c r="AN175" i="1"/>
  <c r="AN163" i="1"/>
  <c r="AN172" i="1"/>
  <c r="AN236" i="1"/>
  <c r="AN189" i="1"/>
  <c r="AN253" i="1"/>
  <c r="AN206" i="1"/>
  <c r="AN179" i="1"/>
  <c r="AN180" i="1"/>
  <c r="AN244" i="1"/>
  <c r="AN197" i="1"/>
  <c r="AN214" i="1"/>
  <c r="AN195" i="1"/>
  <c r="AN235" i="1"/>
  <c r="AN188" i="1"/>
  <c r="AN252" i="1"/>
  <c r="AN205" i="1"/>
  <c r="AN158" i="1"/>
  <c r="AN222" i="1"/>
  <c r="AN162" i="1"/>
  <c r="AN211" i="1"/>
  <c r="AN209" i="1"/>
  <c r="AN196" i="1"/>
  <c r="AN213" i="1"/>
  <c r="AN166" i="1"/>
  <c r="AN230" i="1"/>
  <c r="AN203" i="1"/>
  <c r="AN227" i="1"/>
  <c r="AN204" i="1"/>
  <c r="AN157" i="1"/>
  <c r="AN221" i="1"/>
  <c r="AN174" i="1"/>
  <c r="AN238" i="1"/>
  <c r="AN219" i="1"/>
  <c r="AN212" i="1"/>
  <c r="AN165" i="1"/>
  <c r="AN229" i="1"/>
  <c r="AN182" i="1"/>
  <c r="AN246" i="1"/>
  <c r="AN239" i="1"/>
  <c r="AN156" i="1"/>
  <c r="AN220" i="1"/>
  <c r="AN173" i="1"/>
  <c r="AN237" i="1"/>
  <c r="AN190" i="1"/>
  <c r="AN254" i="1"/>
  <c r="E181" i="24"/>
  <c r="BE88" i="34"/>
  <c r="BF88" i="34"/>
  <c r="AN155" i="1"/>
  <c r="AR88" i="34"/>
  <c r="AQ88" i="34"/>
  <c r="H173" i="24"/>
  <c r="U1023" i="32"/>
  <c r="K1571" i="27"/>
  <c r="J1571" i="27"/>
  <c r="L1571" i="27"/>
  <c r="K4304" i="27"/>
  <c r="D920" i="27"/>
  <c r="I1571" i="27"/>
  <c r="P4304" i="27"/>
  <c r="G1019" i="32"/>
  <c r="R1139" i="32" l="1" a="1"/>
  <c r="R1139" i="32" s="1"/>
  <c r="D1139" i="32" s="1"/>
  <c r="T1139" i="32" a="1"/>
  <c r="T1139" i="32" s="1"/>
  <c r="V1139" i="32" a="1"/>
  <c r="V1139" i="32" s="1"/>
  <c r="L1139" i="32" s="1"/>
  <c r="P1143" i="32"/>
  <c r="Q1141" i="32"/>
  <c r="F5544" i="27"/>
  <c r="K2897" i="27"/>
  <c r="K2898" i="27"/>
  <c r="A1571" i="27"/>
  <c r="H1573" i="27"/>
  <c r="H994" i="27"/>
  <c r="H995" i="27" s="1"/>
  <c r="H996" i="27" s="1"/>
  <c r="H997" i="27" s="1"/>
  <c r="H998" i="27" s="1"/>
  <c r="H993" i="27"/>
  <c r="P2" i="29" a="1"/>
  <c r="P2" i="29" s="1"/>
  <c r="Q2" i="29" s="1"/>
  <c r="E173" i="24"/>
  <c r="U1025" i="32"/>
  <c r="I1572" i="27"/>
  <c r="D916" i="27"/>
  <c r="J1572" i="27"/>
  <c r="K1572" i="27"/>
  <c r="A1023" i="32"/>
  <c r="L1572" i="27"/>
  <c r="G1021" i="32"/>
  <c r="A1025" i="32"/>
  <c r="R1141" i="32" l="1" a="1"/>
  <c r="R1141" i="32" s="1"/>
  <c r="D1141" i="32" s="1"/>
  <c r="T1141" i="32" a="1"/>
  <c r="T1141" i="32" s="1"/>
  <c r="S1141" i="32" a="1"/>
  <c r="S1141" i="32" s="1"/>
  <c r="E1141" i="32" s="1"/>
  <c r="V1141" i="32" a="1"/>
  <c r="V1141" i="32" s="1"/>
  <c r="L1141" i="32" s="1"/>
  <c r="P1145" i="32"/>
  <c r="Q1143" i="32"/>
  <c r="F5545" i="27"/>
  <c r="K2899" i="27"/>
  <c r="K2900" i="27"/>
  <c r="I2074" i="27"/>
  <c r="A1572" i="27"/>
  <c r="H1574" i="27"/>
  <c r="H1000" i="27"/>
  <c r="H1001" i="27" s="1"/>
  <c r="H1002" i="27" s="1"/>
  <c r="H1003" i="27" s="1"/>
  <c r="H1004" i="27" s="1"/>
  <c r="H999" i="27"/>
  <c r="P3" i="29" a="1"/>
  <c r="P3" i="29" s="1"/>
  <c r="P4" i="29" s="1" a="1"/>
  <c r="P4" i="29" s="1"/>
  <c r="O4" i="29" s="1"/>
  <c r="O2" i="29"/>
  <c r="U1027" i="32"/>
  <c r="I1573" i="27"/>
  <c r="L1573" i="27"/>
  <c r="J1573" i="27"/>
  <c r="K1573" i="27"/>
  <c r="A1027" i="32"/>
  <c r="G1023" i="32"/>
  <c r="R1143" i="32" l="1" a="1"/>
  <c r="R1143" i="32" s="1"/>
  <c r="D1143" i="32" s="1"/>
  <c r="T1143" i="32" a="1"/>
  <c r="T1143" i="32" s="1"/>
  <c r="S1143" i="32" a="1"/>
  <c r="S1143" i="32" s="1"/>
  <c r="E1143" i="32" s="1"/>
  <c r="V1143" i="32" a="1"/>
  <c r="V1143" i="32" s="1"/>
  <c r="L1143" i="32" s="1"/>
  <c r="P1147" i="32"/>
  <c r="Q1145" i="32"/>
  <c r="F5546" i="27"/>
  <c r="F5547" i="27"/>
  <c r="K2902" i="27"/>
  <c r="K2901" i="27"/>
  <c r="E2077" i="27"/>
  <c r="A1573" i="27"/>
  <c r="H1575" i="27"/>
  <c r="H1576" i="27"/>
  <c r="H1006" i="27"/>
  <c r="H1007" i="27" s="1"/>
  <c r="H1008" i="27" s="1"/>
  <c r="H1009" i="27" s="1"/>
  <c r="H1010" i="27" s="1"/>
  <c r="H1005" i="27"/>
  <c r="Q3" i="29"/>
  <c r="Q4" i="29"/>
  <c r="P5" i="29" a="1"/>
  <c r="P5" i="29" s="1"/>
  <c r="P6" i="29" s="1" a="1"/>
  <c r="P6" i="29" s="1"/>
  <c r="O6" i="29" s="1"/>
  <c r="O3" i="29"/>
  <c r="U1029" i="32"/>
  <c r="I1574" i="27"/>
  <c r="G1025" i="32"/>
  <c r="A1029" i="32"/>
  <c r="L1574" i="27"/>
  <c r="K1574" i="27"/>
  <c r="J1574" i="27"/>
  <c r="V1145" i="32" l="1" a="1"/>
  <c r="V1145" i="32" s="1"/>
  <c r="L1145" i="32" s="1"/>
  <c r="S1145" i="32" a="1"/>
  <c r="S1145" i="32" s="1"/>
  <c r="E1145" i="32" s="1"/>
  <c r="R1145" i="32" a="1"/>
  <c r="R1145" i="32" s="1"/>
  <c r="D1145" i="32" s="1"/>
  <c r="T1145" i="32" a="1"/>
  <c r="T1145" i="32" s="1"/>
  <c r="P1149" i="32"/>
  <c r="Q1147" i="32"/>
  <c r="F5548" i="27"/>
  <c r="K2904" i="27"/>
  <c r="K2903" i="27"/>
  <c r="E2078" i="27"/>
  <c r="A1574" i="27"/>
  <c r="H1577" i="27"/>
  <c r="H1011" i="27"/>
  <c r="H1012" i="27"/>
  <c r="H1013" i="27" s="1"/>
  <c r="H1014" i="27" s="1"/>
  <c r="H1015" i="27" s="1"/>
  <c r="H1016" i="27" s="1"/>
  <c r="O5" i="29"/>
  <c r="Q6" i="29"/>
  <c r="P7" i="29" a="1"/>
  <c r="P7" i="29" s="1"/>
  <c r="P8" i="29" s="1" a="1"/>
  <c r="P8" i="29" s="1"/>
  <c r="Q5" i="29"/>
  <c r="U1031" i="32"/>
  <c r="L1575" i="27"/>
  <c r="I1576" i="27"/>
  <c r="J1575" i="27"/>
  <c r="G1027" i="32"/>
  <c r="K1575" i="27"/>
  <c r="I1575" i="27"/>
  <c r="L1576" i="27"/>
  <c r="J1576" i="27"/>
  <c r="K1576" i="27"/>
  <c r="A1031" i="32"/>
  <c r="R1147" i="32" l="1" a="1"/>
  <c r="R1147" i="32" s="1"/>
  <c r="D1147" i="32" s="1"/>
  <c r="T1147" i="32" a="1"/>
  <c r="T1147" i="32" s="1"/>
  <c r="S1147" i="32" a="1"/>
  <c r="S1147" i="32" s="1"/>
  <c r="E1147" i="32" s="1"/>
  <c r="V1147" i="32" a="1"/>
  <c r="V1147" i="32" s="1"/>
  <c r="L1147" i="32" s="1"/>
  <c r="P1151" i="32"/>
  <c r="Q1149" i="32"/>
  <c r="F5549" i="27"/>
  <c r="K2905" i="27"/>
  <c r="K2906" i="27"/>
  <c r="A1576" i="27"/>
  <c r="A1575" i="27"/>
  <c r="H1578" i="27"/>
  <c r="H1018" i="27"/>
  <c r="H1019" i="27" s="1"/>
  <c r="H1020" i="27" s="1"/>
  <c r="H1021" i="27" s="1"/>
  <c r="H1022" i="27" s="1"/>
  <c r="H1017" i="27"/>
  <c r="Q7" i="29"/>
  <c r="O7" i="29"/>
  <c r="U1033" i="32"/>
  <c r="O8" i="29"/>
  <c r="Q8" i="29"/>
  <c r="P9" i="29" a="1"/>
  <c r="P9" i="29" s="1"/>
  <c r="K1577" i="27"/>
  <c r="I1577" i="27"/>
  <c r="G1029" i="32"/>
  <c r="J1577" i="27"/>
  <c r="A1033" i="32"/>
  <c r="L1577" i="27"/>
  <c r="R1149" i="32" l="1" a="1"/>
  <c r="R1149" i="32" s="1"/>
  <c r="D1149" i="32" s="1"/>
  <c r="T1149" i="32" a="1"/>
  <c r="T1149" i="32" s="1"/>
  <c r="V1149" i="32" a="1"/>
  <c r="V1149" i="32" s="1"/>
  <c r="L1149" i="32" s="1"/>
  <c r="S1149" i="32" a="1"/>
  <c r="S1149" i="32" s="1"/>
  <c r="E1149" i="32" s="1"/>
  <c r="P1153" i="32"/>
  <c r="Q1151" i="32"/>
  <c r="F5550" i="27"/>
  <c r="K2907" i="27"/>
  <c r="K2908" i="27"/>
  <c r="A1577" i="27"/>
  <c r="H1579" i="27"/>
  <c r="H1024" i="27"/>
  <c r="H1025" i="27" s="1"/>
  <c r="H1026" i="27" s="1"/>
  <c r="H1027" i="27" s="1"/>
  <c r="H1028" i="27" s="1"/>
  <c r="H1023" i="27"/>
  <c r="U1035" i="32"/>
  <c r="O9" i="29"/>
  <c r="Q9" i="29"/>
  <c r="P10" i="29" a="1"/>
  <c r="P10" i="29" s="1"/>
  <c r="G1031" i="32"/>
  <c r="K1578" i="27"/>
  <c r="J1578" i="27"/>
  <c r="I1578" i="27"/>
  <c r="L1578" i="27"/>
  <c r="A1035" i="32"/>
  <c r="R1151" i="32" l="1" a="1"/>
  <c r="R1151" i="32" s="1"/>
  <c r="D1151" i="32" s="1"/>
  <c r="T1151" i="32" a="1"/>
  <c r="T1151" i="32" s="1"/>
  <c r="V1151" i="32" a="1"/>
  <c r="V1151" i="32" s="1"/>
  <c r="L1151" i="32" s="1"/>
  <c r="S1151" i="32" a="1"/>
  <c r="S1151" i="32" s="1"/>
  <c r="E1151" i="32" s="1"/>
  <c r="P1155" i="32"/>
  <c r="Q1153" i="32"/>
  <c r="F5551" i="27"/>
  <c r="K2909" i="27"/>
  <c r="K2910" i="27"/>
  <c r="A1578" i="27"/>
  <c r="H1580" i="27"/>
  <c r="H1029" i="27"/>
  <c r="H1030" i="27"/>
  <c r="H1031" i="27" s="1"/>
  <c r="H1032" i="27" s="1"/>
  <c r="H1033" i="27" s="1"/>
  <c r="H1034" i="27" s="1"/>
  <c r="U1037" i="32"/>
  <c r="Q10" i="29"/>
  <c r="O10" i="29"/>
  <c r="P11" i="29" a="1"/>
  <c r="P11" i="29" s="1"/>
  <c r="K1579" i="27"/>
  <c r="L1579" i="27"/>
  <c r="A1037" i="32"/>
  <c r="J1579" i="27"/>
  <c r="I1579" i="27"/>
  <c r="G1033" i="32"/>
  <c r="S1153" i="32" l="1" a="1"/>
  <c r="S1153" i="32" s="1"/>
  <c r="E1153" i="32" s="1"/>
  <c r="V1153" i="32" a="1"/>
  <c r="V1153" i="32" s="1"/>
  <c r="L1153" i="32" s="1"/>
  <c r="R1153" i="32" a="1"/>
  <c r="R1153" i="32" s="1"/>
  <c r="D1153" i="32" s="1"/>
  <c r="T1153" i="32" a="1"/>
  <c r="T1153" i="32" s="1"/>
  <c r="P1157" i="32"/>
  <c r="Q1155" i="32"/>
  <c r="F5553" i="27"/>
  <c r="F5552" i="27"/>
  <c r="K2912" i="27"/>
  <c r="K2911" i="27"/>
  <c r="K2087" i="27"/>
  <c r="A1579" i="27"/>
  <c r="H1581" i="27"/>
  <c r="H1582" i="27"/>
  <c r="H1035" i="27"/>
  <c r="H1036" i="27"/>
  <c r="H1037" i="27" s="1"/>
  <c r="H1038" i="27" s="1"/>
  <c r="H1039" i="27" s="1"/>
  <c r="H1040" i="27" s="1"/>
  <c r="U1039" i="32"/>
  <c r="O11" i="29"/>
  <c r="Q11" i="29"/>
  <c r="P12" i="29" a="1"/>
  <c r="P12" i="29" s="1"/>
  <c r="K1580" i="27"/>
  <c r="J1580" i="27"/>
  <c r="L1580" i="27"/>
  <c r="G1035" i="32"/>
  <c r="I1580" i="27"/>
  <c r="A1039" i="32"/>
  <c r="R1155" i="32" l="1" a="1"/>
  <c r="R1155" i="32" s="1"/>
  <c r="D1155" i="32" s="1"/>
  <c r="T1155" i="32" a="1"/>
  <c r="T1155" i="32" s="1"/>
  <c r="V1155" i="32" a="1"/>
  <c r="V1155" i="32" s="1"/>
  <c r="L1155" i="32" s="1"/>
  <c r="S1155" i="32" a="1"/>
  <c r="S1155" i="32" s="1"/>
  <c r="E1155" i="32" s="1"/>
  <c r="P1159" i="32"/>
  <c r="Q1157" i="32"/>
  <c r="F5554" i="27"/>
  <c r="K2914" i="27"/>
  <c r="K2913" i="27"/>
  <c r="J2089" i="27"/>
  <c r="A1580" i="27"/>
  <c r="H1583" i="27"/>
  <c r="H1042" i="27"/>
  <c r="H1043" i="27" s="1"/>
  <c r="H1044" i="27" s="1"/>
  <c r="H1045" i="27" s="1"/>
  <c r="H1046" i="27" s="1"/>
  <c r="H1041" i="27"/>
  <c r="U1041" i="32"/>
  <c r="Q12" i="29"/>
  <c r="O12" i="29"/>
  <c r="P13" i="29" a="1"/>
  <c r="P13" i="29" s="1"/>
  <c r="J1581" i="27"/>
  <c r="A1041" i="32"/>
  <c r="L1581" i="27"/>
  <c r="G1037" i="32"/>
  <c r="K1582" i="27"/>
  <c r="K1581" i="27"/>
  <c r="L1582" i="27"/>
  <c r="J1582" i="27"/>
  <c r="I1581" i="27"/>
  <c r="I1582" i="27"/>
  <c r="V1157" i="32" l="1" a="1"/>
  <c r="V1157" i="32" s="1"/>
  <c r="L1157" i="32" s="1"/>
  <c r="S1157" i="32" a="1"/>
  <c r="S1157" i="32" s="1"/>
  <c r="E1157" i="32" s="1"/>
  <c r="R1157" i="32" a="1"/>
  <c r="R1157" i="32" s="1"/>
  <c r="D1157" i="32" s="1"/>
  <c r="T1157" i="32" a="1"/>
  <c r="T1157" i="32" s="1"/>
  <c r="P1161" i="32"/>
  <c r="Q1159" i="32"/>
  <c r="F5555" i="27"/>
  <c r="K2916" i="27"/>
  <c r="K2915" i="27"/>
  <c r="G2090" i="27"/>
  <c r="A1581" i="27"/>
  <c r="A1582" i="27"/>
  <c r="H1584" i="27"/>
  <c r="H1048" i="27"/>
  <c r="H1049" i="27" s="1"/>
  <c r="H1050" i="27" s="1"/>
  <c r="H1051" i="27" s="1"/>
  <c r="H1052" i="27" s="1"/>
  <c r="H1047" i="27"/>
  <c r="U1043" i="32"/>
  <c r="Q13" i="29"/>
  <c r="O13" i="29"/>
  <c r="P14" i="29" a="1"/>
  <c r="P14" i="29" s="1"/>
  <c r="A1043" i="32"/>
  <c r="J1583" i="27"/>
  <c r="K1583" i="27"/>
  <c r="G1039" i="32"/>
  <c r="L1583" i="27"/>
  <c r="I1583" i="27"/>
  <c r="V1159" i="32" l="1" a="1"/>
  <c r="V1159" i="32" s="1"/>
  <c r="L1159" i="32" s="1"/>
  <c r="S1159" i="32" a="1"/>
  <c r="S1159" i="32" s="1"/>
  <c r="E1159" i="32" s="1"/>
  <c r="R1159" i="32" a="1"/>
  <c r="R1159" i="32" s="1"/>
  <c r="D1159" i="32" s="1"/>
  <c r="T1159" i="32" a="1"/>
  <c r="T1159" i="32" s="1"/>
  <c r="P1163" i="32"/>
  <c r="Q1161" i="32"/>
  <c r="F5556" i="27"/>
  <c r="K2917" i="27"/>
  <c r="K2918" i="27"/>
  <c r="M2093" i="27"/>
  <c r="A2093" i="27" s="1"/>
  <c r="A1583" i="27"/>
  <c r="H1585" i="27"/>
  <c r="H1054" i="27"/>
  <c r="H1055" i="27" s="1"/>
  <c r="H1056" i="27" s="1"/>
  <c r="H1057" i="27" s="1"/>
  <c r="H1058" i="27" s="1"/>
  <c r="H1053" i="27"/>
  <c r="U1045" i="32"/>
  <c r="Q14" i="29"/>
  <c r="O14" i="29"/>
  <c r="P15" i="29" a="1"/>
  <c r="P15" i="29" s="1"/>
  <c r="I1584" i="27"/>
  <c r="G1041" i="32"/>
  <c r="L1584" i="27"/>
  <c r="J1584" i="27"/>
  <c r="K1584" i="27"/>
  <c r="A1045" i="32"/>
  <c r="S1161" i="32" l="1" a="1"/>
  <c r="S1161" i="32" s="1"/>
  <c r="E1161" i="32" s="1"/>
  <c r="V1161" i="32" a="1"/>
  <c r="V1161" i="32" s="1"/>
  <c r="L1161" i="32" s="1"/>
  <c r="R1161" i="32" a="1"/>
  <c r="R1161" i="32" s="1"/>
  <c r="D1161" i="32" s="1"/>
  <c r="T1161" i="32" a="1"/>
  <c r="T1161" i="32" s="1"/>
  <c r="P1165" i="32"/>
  <c r="Q1163" i="32"/>
  <c r="F5557" i="27"/>
  <c r="K2920" i="27"/>
  <c r="K2919" i="27"/>
  <c r="A1584" i="27"/>
  <c r="H1586" i="27"/>
  <c r="H1059" i="27"/>
  <c r="H1060" i="27"/>
  <c r="H1061" i="27" s="1"/>
  <c r="H1062" i="27" s="1"/>
  <c r="H1063" i="27" s="1"/>
  <c r="H1064" i="27" s="1"/>
  <c r="U1047" i="32"/>
  <c r="O15" i="29"/>
  <c r="Q15" i="29"/>
  <c r="P16" i="29" a="1"/>
  <c r="P16" i="29" s="1"/>
  <c r="L1585" i="27"/>
  <c r="K1585" i="27"/>
  <c r="G1043" i="32"/>
  <c r="J1585" i="27"/>
  <c r="A1047" i="32"/>
  <c r="I1585" i="27"/>
  <c r="S1163" i="32" l="1" a="1"/>
  <c r="S1163" i="32" s="1"/>
  <c r="E1163" i="32" s="1"/>
  <c r="V1163" i="32" a="1"/>
  <c r="V1163" i="32" s="1"/>
  <c r="L1163" i="32" s="1"/>
  <c r="R1163" i="32" a="1"/>
  <c r="R1163" i="32" s="1"/>
  <c r="D1163" i="32" s="1"/>
  <c r="T1163" i="32" a="1"/>
  <c r="T1163" i="32" s="1"/>
  <c r="P1167" i="32"/>
  <c r="Q1165" i="32"/>
  <c r="F5559" i="27"/>
  <c r="F5558" i="27"/>
  <c r="K2922" i="27"/>
  <c r="K2921" i="27"/>
  <c r="I2097" i="27"/>
  <c r="A1585" i="27"/>
  <c r="H1588" i="27"/>
  <c r="H1587" i="27"/>
  <c r="H1066" i="27"/>
  <c r="H1067" i="27" s="1"/>
  <c r="H1068" i="27" s="1"/>
  <c r="H1069" i="27" s="1"/>
  <c r="H1070" i="27" s="1"/>
  <c r="H1065" i="27"/>
  <c r="U1049" i="32"/>
  <c r="Q16" i="29"/>
  <c r="O16" i="29"/>
  <c r="P17" i="29" a="1"/>
  <c r="P17" i="29" s="1"/>
  <c r="I1586" i="27"/>
  <c r="A1049" i="32"/>
  <c r="L1586" i="27"/>
  <c r="J1586" i="27"/>
  <c r="K1586" i="27"/>
  <c r="G1045" i="32"/>
  <c r="V1165" i="32" l="1" a="1"/>
  <c r="V1165" i="32" s="1"/>
  <c r="L1165" i="32" s="1"/>
  <c r="S1165" i="32" a="1"/>
  <c r="S1165" i="32" s="1"/>
  <c r="E1165" i="32" s="1"/>
  <c r="R1165" i="32" a="1"/>
  <c r="R1165" i="32" s="1"/>
  <c r="D1165" i="32" s="1"/>
  <c r="T1165" i="32" a="1"/>
  <c r="T1165" i="32" s="1"/>
  <c r="P1169" i="32"/>
  <c r="Q1167" i="32"/>
  <c r="F5560" i="27"/>
  <c r="K2923" i="27"/>
  <c r="K2924" i="27"/>
  <c r="A1586" i="27"/>
  <c r="H1589" i="27"/>
  <c r="H1072" i="27"/>
  <c r="H1073" i="27" s="1"/>
  <c r="H1074" i="27" s="1"/>
  <c r="H1075" i="27" s="1"/>
  <c r="H1076" i="27" s="1"/>
  <c r="H1071" i="27"/>
  <c r="U1051" i="32"/>
  <c r="Q17" i="29"/>
  <c r="O17" i="29"/>
  <c r="P18" i="29" a="1"/>
  <c r="P18" i="29" s="1"/>
  <c r="G1047" i="32"/>
  <c r="J1588" i="27"/>
  <c r="A1051" i="32"/>
  <c r="J1587" i="27"/>
  <c r="L1587" i="27"/>
  <c r="K1588" i="27"/>
  <c r="K1587" i="27"/>
  <c r="I1588" i="27"/>
  <c r="L1588" i="27"/>
  <c r="I1587" i="27"/>
  <c r="R1167" i="32" l="1" a="1"/>
  <c r="R1167" i="32" s="1"/>
  <c r="D1167" i="32" s="1"/>
  <c r="T1167" i="32" a="1"/>
  <c r="T1167" i="32" s="1"/>
  <c r="S1167" i="32" a="1"/>
  <c r="S1167" i="32" s="1"/>
  <c r="E1167" i="32" s="1"/>
  <c r="V1167" i="32" a="1"/>
  <c r="V1167" i="32" s="1"/>
  <c r="L1167" i="32" s="1"/>
  <c r="P1171" i="32"/>
  <c r="Q1169" i="32"/>
  <c r="F5561" i="27"/>
  <c r="K2925" i="27"/>
  <c r="K2926" i="27"/>
  <c r="E2101" i="27"/>
  <c r="A1587" i="27"/>
  <c r="A1588" i="27"/>
  <c r="H1590" i="27"/>
  <c r="H1078" i="27"/>
  <c r="H1079" i="27" s="1"/>
  <c r="H1080" i="27" s="1"/>
  <c r="H1081" i="27" s="1"/>
  <c r="H1082" i="27" s="1"/>
  <c r="H1077" i="27"/>
  <c r="U1053" i="32"/>
  <c r="Q18" i="29"/>
  <c r="O18" i="29"/>
  <c r="P19" i="29" a="1"/>
  <c r="P19" i="29" s="1"/>
  <c r="A1053" i="32"/>
  <c r="J1589" i="27"/>
  <c r="G1049" i="32"/>
  <c r="L1589" i="27"/>
  <c r="K1589" i="27"/>
  <c r="I1589" i="27"/>
  <c r="R1169" i="32" l="1" a="1"/>
  <c r="R1169" i="32" s="1"/>
  <c r="D1169" i="32" s="1"/>
  <c r="T1169" i="32" a="1"/>
  <c r="T1169" i="32" s="1"/>
  <c r="V1169" i="32" a="1"/>
  <c r="V1169" i="32" s="1"/>
  <c r="L1169" i="32" s="1"/>
  <c r="S1169" i="32" a="1"/>
  <c r="S1169" i="32" s="1"/>
  <c r="E1169" i="32" s="1"/>
  <c r="P1173" i="32"/>
  <c r="Q1171" i="32"/>
  <c r="F5562" i="27"/>
  <c r="K2928" i="27"/>
  <c r="K2927" i="27"/>
  <c r="E2103" i="27"/>
  <c r="A1589" i="27"/>
  <c r="H1591" i="27"/>
  <c r="H1083" i="27"/>
  <c r="H1084" i="27"/>
  <c r="H1085" i="27" s="1"/>
  <c r="H1086" i="27" s="1"/>
  <c r="H1087" i="27" s="1"/>
  <c r="H1088" i="27" s="1"/>
  <c r="U1055" i="32"/>
  <c r="O19" i="29"/>
  <c r="Q19" i="29"/>
  <c r="P20" i="29" a="1"/>
  <c r="P20" i="29" s="1"/>
  <c r="J1590" i="27"/>
  <c r="A1055" i="32"/>
  <c r="K1590" i="27"/>
  <c r="I1590" i="27"/>
  <c r="G1051" i="32"/>
  <c r="L1590" i="27"/>
  <c r="V1171" i="32" l="1" a="1"/>
  <c r="V1171" i="32" s="1"/>
  <c r="L1171" i="32" s="1"/>
  <c r="S1171" i="32" a="1"/>
  <c r="S1171" i="32" s="1"/>
  <c r="E1171" i="32" s="1"/>
  <c r="R1171" i="32" a="1"/>
  <c r="R1171" i="32" s="1"/>
  <c r="D1171" i="32" s="1"/>
  <c r="T1171" i="32" a="1"/>
  <c r="T1171" i="32" s="1"/>
  <c r="P1175" i="32"/>
  <c r="Q1173" i="32"/>
  <c r="F5563" i="27"/>
  <c r="K2929" i="27"/>
  <c r="K2930" i="27"/>
  <c r="A1590" i="27"/>
  <c r="H1592" i="27"/>
  <c r="H1090" i="27"/>
  <c r="H1091" i="27" s="1"/>
  <c r="H1092" i="27" s="1"/>
  <c r="H1093" i="27" s="1"/>
  <c r="H1094" i="27" s="1"/>
  <c r="H1089" i="27"/>
  <c r="U1057" i="32"/>
  <c r="O20" i="29"/>
  <c r="Q20" i="29"/>
  <c r="P21" i="29" a="1"/>
  <c r="P21" i="29" s="1"/>
  <c r="I1591" i="27"/>
  <c r="G1053" i="32"/>
  <c r="K1591" i="27"/>
  <c r="A1057" i="32"/>
  <c r="L1591" i="27"/>
  <c r="J1591" i="27"/>
  <c r="R1173" i="32" l="1" a="1"/>
  <c r="R1173" i="32" s="1"/>
  <c r="D1173" i="32" s="1"/>
  <c r="T1173" i="32" a="1"/>
  <c r="T1173" i="32" s="1"/>
  <c r="V1173" i="32" a="1"/>
  <c r="V1173" i="32" s="1"/>
  <c r="L1173" i="32" s="1"/>
  <c r="S1173" i="32" a="1"/>
  <c r="S1173" i="32" s="1"/>
  <c r="E1173" i="32" s="1"/>
  <c r="P1177" i="32"/>
  <c r="Q1175" i="32"/>
  <c r="F5565" i="27"/>
  <c r="F5564" i="27"/>
  <c r="K2931" i="27"/>
  <c r="K2932" i="27"/>
  <c r="I2106" i="27"/>
  <c r="L2107" i="27"/>
  <c r="A1591" i="27"/>
  <c r="H1593" i="27"/>
  <c r="H1594" i="27"/>
  <c r="H1096" i="27"/>
  <c r="H1097" i="27" s="1"/>
  <c r="H1098" i="27" s="1"/>
  <c r="H1099" i="27" s="1"/>
  <c r="H1100" i="27" s="1"/>
  <c r="H1095" i="27"/>
  <c r="U1059" i="32"/>
  <c r="Q21" i="29"/>
  <c r="O21" i="29"/>
  <c r="P22" i="29" a="1"/>
  <c r="P22" i="29" s="1"/>
  <c r="G1055" i="32"/>
  <c r="L1592" i="27"/>
  <c r="A1059" i="32"/>
  <c r="I1592" i="27"/>
  <c r="K1592" i="27"/>
  <c r="J1592" i="27"/>
  <c r="S1175" i="32" l="1" a="1"/>
  <c r="S1175" i="32" s="1"/>
  <c r="E1175" i="32" s="1"/>
  <c r="V1175" i="32" a="1"/>
  <c r="V1175" i="32" s="1"/>
  <c r="L1175" i="32" s="1"/>
  <c r="R1175" i="32" a="1"/>
  <c r="R1175" i="32" s="1"/>
  <c r="D1175" i="32" s="1"/>
  <c r="T1175" i="32" a="1"/>
  <c r="T1175" i="32" s="1"/>
  <c r="P1179" i="32"/>
  <c r="Q1177" i="32"/>
  <c r="F5566" i="27"/>
  <c r="K2933" i="27"/>
  <c r="K2934" i="27"/>
  <c r="K2109" i="27"/>
  <c r="A1592" i="27"/>
  <c r="H1595" i="27"/>
  <c r="H1102" i="27"/>
  <c r="H1103" i="27" s="1"/>
  <c r="H1104" i="27" s="1"/>
  <c r="H1105" i="27" s="1"/>
  <c r="H1106" i="27" s="1"/>
  <c r="H1101" i="27"/>
  <c r="U1061" i="32"/>
  <c r="O22" i="29"/>
  <c r="Q22" i="29"/>
  <c r="P23" i="29" a="1"/>
  <c r="P23" i="29" s="1"/>
  <c r="J1594" i="27"/>
  <c r="J1593" i="27"/>
  <c r="G1057" i="32"/>
  <c r="I1593" i="27"/>
  <c r="I1594" i="27"/>
  <c r="A1061" i="32"/>
  <c r="K1593" i="27"/>
  <c r="L1593" i="27"/>
  <c r="K1594" i="27"/>
  <c r="L1594" i="27"/>
  <c r="R1177" i="32" l="1" a="1"/>
  <c r="R1177" i="32" s="1"/>
  <c r="D1177" i="32" s="1"/>
  <c r="T1177" i="32" a="1"/>
  <c r="T1177" i="32" s="1"/>
  <c r="V1177" i="32" a="1"/>
  <c r="V1177" i="32" s="1"/>
  <c r="L1177" i="32" s="1"/>
  <c r="S1177" i="32" a="1"/>
  <c r="S1177" i="32" s="1"/>
  <c r="E1177" i="32" s="1"/>
  <c r="P1181" i="32"/>
  <c r="Q1179" i="32"/>
  <c r="F5567" i="27"/>
  <c r="K2935" i="27"/>
  <c r="K2936" i="27"/>
  <c r="A1594" i="27"/>
  <c r="A1593" i="27"/>
  <c r="H1596" i="27"/>
  <c r="H1107" i="27"/>
  <c r="H1108" i="27"/>
  <c r="H1109" i="27" s="1"/>
  <c r="H1110" i="27" s="1"/>
  <c r="H1111" i="27" s="1"/>
  <c r="H1112" i="27" s="1"/>
  <c r="U1063" i="32"/>
  <c r="Q23" i="29"/>
  <c r="O23" i="29"/>
  <c r="P24" i="29" a="1"/>
  <c r="P24" i="29" s="1"/>
  <c r="I1595" i="27"/>
  <c r="K1595" i="27"/>
  <c r="L1595" i="27"/>
  <c r="A1063" i="32"/>
  <c r="J1595" i="27"/>
  <c r="G1059" i="32"/>
  <c r="P1183" i="32" l="1"/>
  <c r="Q1181" i="32"/>
  <c r="V1179" i="32" a="1"/>
  <c r="V1179" i="32" s="1"/>
  <c r="L1179" i="32" s="1"/>
  <c r="S1179" i="32" a="1"/>
  <c r="S1179" i="32" s="1"/>
  <c r="E1179" i="32" s="1"/>
  <c r="R1179" i="32" a="1"/>
  <c r="R1179" i="32" s="1"/>
  <c r="D1179" i="32" s="1"/>
  <c r="T1179" i="32" a="1"/>
  <c r="T1179" i="32" s="1"/>
  <c r="F5568" i="27"/>
  <c r="K2937" i="27"/>
  <c r="K2938" i="27"/>
  <c r="A1595" i="27"/>
  <c r="H1597" i="27"/>
  <c r="H1114" i="27"/>
  <c r="H1115" i="27" s="1"/>
  <c r="H1116" i="27" s="1"/>
  <c r="H1117" i="27" s="1"/>
  <c r="H1118" i="27" s="1"/>
  <c r="H1113" i="27"/>
  <c r="U1065" i="32"/>
  <c r="Q24" i="29"/>
  <c r="O24" i="29"/>
  <c r="P25" i="29" a="1"/>
  <c r="P25" i="29" s="1"/>
  <c r="L1596" i="27"/>
  <c r="G1061" i="32"/>
  <c r="J1596" i="27"/>
  <c r="A1065" i="32"/>
  <c r="I1596" i="27"/>
  <c r="K1596" i="27"/>
  <c r="T1181" i="32" l="1" a="1"/>
  <c r="T1181" i="32" s="1"/>
  <c r="R1181" i="32" a="1"/>
  <c r="R1181" i="32" s="1"/>
  <c r="D1181" i="32" s="1"/>
  <c r="S1181" i="32" a="1"/>
  <c r="S1181" i="32" s="1"/>
  <c r="E1181" i="32" s="1"/>
  <c r="V1181" i="32" a="1"/>
  <c r="V1181" i="32" s="1"/>
  <c r="L1181" i="32" s="1"/>
  <c r="P1185" i="32"/>
  <c r="Q1183" i="32"/>
  <c r="F5569" i="27"/>
  <c r="K2940" i="27"/>
  <c r="K2939" i="27"/>
  <c r="I2114" i="27"/>
  <c r="A1596" i="27"/>
  <c r="H1598" i="27"/>
  <c r="H1120" i="27"/>
  <c r="H1121" i="27" s="1"/>
  <c r="H1122" i="27" s="1"/>
  <c r="H1123" i="27" s="1"/>
  <c r="H1124" i="27" s="1"/>
  <c r="H1119" i="27"/>
  <c r="U1067" i="32"/>
  <c r="O25" i="29"/>
  <c r="Q25" i="29"/>
  <c r="P26" i="29" a="1"/>
  <c r="P26" i="29" s="1"/>
  <c r="J1597" i="27"/>
  <c r="K1597" i="27"/>
  <c r="G1063" i="32"/>
  <c r="A1067" i="32"/>
  <c r="I1597" i="27"/>
  <c r="L1597" i="27"/>
  <c r="T1183" i="32" l="1" a="1"/>
  <c r="T1183" i="32" s="1"/>
  <c r="S1183" i="32" a="1"/>
  <c r="S1183" i="32" s="1"/>
  <c r="E1183" i="32" s="1"/>
  <c r="R1183" i="32" a="1"/>
  <c r="R1183" i="32" s="1"/>
  <c r="D1183" i="32" s="1"/>
  <c r="V1183" i="32" a="1"/>
  <c r="V1183" i="32" s="1"/>
  <c r="L1183" i="32" s="1"/>
  <c r="P1187" i="32"/>
  <c r="Q1185" i="32"/>
  <c r="F5571" i="27"/>
  <c r="F5570" i="27"/>
  <c r="K2942" i="27"/>
  <c r="K2941" i="27"/>
  <c r="A1597" i="27"/>
  <c r="H1599" i="27"/>
  <c r="H1600" i="27"/>
  <c r="H1126" i="27"/>
  <c r="H1127" i="27" s="1"/>
  <c r="H1128" i="27" s="1"/>
  <c r="H1129" i="27" s="1"/>
  <c r="H1130" i="27" s="1"/>
  <c r="H1125" i="27"/>
  <c r="U1069" i="32"/>
  <c r="O26" i="29"/>
  <c r="Q26" i="29"/>
  <c r="P27" i="29" a="1"/>
  <c r="P27" i="29" s="1"/>
  <c r="K1598" i="27"/>
  <c r="J1598" i="27"/>
  <c r="L1598" i="27"/>
  <c r="G1065" i="32"/>
  <c r="I1598" i="27"/>
  <c r="A1069" i="32"/>
  <c r="V1185" i="32" l="1" a="1"/>
  <c r="V1185" i="32" s="1"/>
  <c r="L1185" i="32" s="1"/>
  <c r="T1185" i="32" a="1"/>
  <c r="T1185" i="32" s="1"/>
  <c r="R1185" i="32" a="1"/>
  <c r="R1185" i="32" s="1"/>
  <c r="D1185" i="32" s="1"/>
  <c r="S1185" i="32" a="1"/>
  <c r="S1185" i="32" s="1"/>
  <c r="E1185" i="32" s="1"/>
  <c r="P1189" i="32"/>
  <c r="Q1187" i="32"/>
  <c r="F5572" i="27"/>
  <c r="K2944" i="27"/>
  <c r="K2943" i="27"/>
  <c r="A1598" i="27"/>
  <c r="H1601" i="27"/>
  <c r="H1131" i="27"/>
  <c r="H1132" i="27"/>
  <c r="H1133" i="27" s="1"/>
  <c r="H1134" i="27" s="1"/>
  <c r="H1135" i="27" s="1"/>
  <c r="H1136" i="27" s="1"/>
  <c r="U1071" i="32"/>
  <c r="O27" i="29"/>
  <c r="Q27" i="29"/>
  <c r="P28" i="29" a="1"/>
  <c r="P28" i="29" s="1"/>
  <c r="G1067" i="32"/>
  <c r="I1599" i="27"/>
  <c r="J1600" i="27"/>
  <c r="L1600" i="27"/>
  <c r="A1071" i="32"/>
  <c r="L1599" i="27"/>
  <c r="K1600" i="27"/>
  <c r="K1599" i="27"/>
  <c r="I1600" i="27"/>
  <c r="J1599" i="27"/>
  <c r="V1187" i="32" l="1" a="1"/>
  <c r="V1187" i="32" s="1"/>
  <c r="L1187" i="32" s="1"/>
  <c r="R1187" i="32" a="1"/>
  <c r="R1187" i="32" s="1"/>
  <c r="D1187" i="32" s="1"/>
  <c r="T1187" i="32" a="1"/>
  <c r="T1187" i="32" s="1"/>
  <c r="S1187" i="32" a="1"/>
  <c r="S1187" i="32" s="1"/>
  <c r="E1187" i="32" s="1"/>
  <c r="P1191" i="32"/>
  <c r="Q1189" i="32"/>
  <c r="F5573" i="27"/>
  <c r="K2945" i="27"/>
  <c r="K2946" i="27"/>
  <c r="A1600" i="27"/>
  <c r="A1599" i="27"/>
  <c r="H1602" i="27"/>
  <c r="H1138" i="27"/>
  <c r="H1139" i="27" s="1"/>
  <c r="H1140" i="27" s="1"/>
  <c r="H1141" i="27" s="1"/>
  <c r="H1142" i="27" s="1"/>
  <c r="H1137" i="27"/>
  <c r="U1073" i="32"/>
  <c r="Q28" i="29"/>
  <c r="O28" i="29"/>
  <c r="P29" i="29" a="1"/>
  <c r="P29" i="29" s="1"/>
  <c r="J1601" i="27"/>
  <c r="A1073" i="32"/>
  <c r="I1601" i="27"/>
  <c r="L1601" i="27"/>
  <c r="G1069" i="32"/>
  <c r="K1601" i="27"/>
  <c r="R1189" i="32" l="1" a="1"/>
  <c r="R1189" i="32" s="1"/>
  <c r="D1189" i="32" s="1"/>
  <c r="T1189" i="32" a="1"/>
  <c r="T1189" i="32" s="1"/>
  <c r="S1189" i="32" a="1"/>
  <c r="S1189" i="32" s="1"/>
  <c r="E1189" i="32" s="1"/>
  <c r="V1189" i="32" a="1"/>
  <c r="V1189" i="32" s="1"/>
  <c r="L1189" i="32" s="1"/>
  <c r="P1193" i="32"/>
  <c r="Q1191" i="32"/>
  <c r="F5574" i="27"/>
  <c r="K2947" i="27"/>
  <c r="K2948" i="27"/>
  <c r="A1601" i="27"/>
  <c r="H1603" i="27"/>
  <c r="H1144" i="27"/>
  <c r="H1145" i="27" s="1"/>
  <c r="H1146" i="27" s="1"/>
  <c r="H1147" i="27" s="1"/>
  <c r="H1148" i="27" s="1"/>
  <c r="H1143" i="27"/>
  <c r="U1075" i="32"/>
  <c r="O29" i="29"/>
  <c r="Q29" i="29"/>
  <c r="P30" i="29" a="1"/>
  <c r="P30" i="29" s="1"/>
  <c r="K1602" i="27"/>
  <c r="I1602" i="27"/>
  <c r="L1602" i="27"/>
  <c r="J1602" i="27"/>
  <c r="G1071" i="32"/>
  <c r="A1075" i="32"/>
  <c r="S1191" i="32" l="1" a="1"/>
  <c r="S1191" i="32" s="1"/>
  <c r="E1191" i="32" s="1"/>
  <c r="R1191" i="32" a="1"/>
  <c r="R1191" i="32" s="1"/>
  <c r="D1191" i="32" s="1"/>
  <c r="V1191" i="32" a="1"/>
  <c r="V1191" i="32" s="1"/>
  <c r="L1191" i="32" s="1"/>
  <c r="T1191" i="32" a="1"/>
  <c r="T1191" i="32" s="1"/>
  <c r="P1195" i="32"/>
  <c r="Q1193" i="32"/>
  <c r="F5575" i="27"/>
  <c r="K2949" i="27"/>
  <c r="K2950" i="27"/>
  <c r="A1602" i="27"/>
  <c r="H1604" i="27"/>
  <c r="H1150" i="27"/>
  <c r="H1151" i="27" s="1"/>
  <c r="H1152" i="27" s="1"/>
  <c r="H1153" i="27" s="1"/>
  <c r="H1154" i="27" s="1"/>
  <c r="H1149" i="27"/>
  <c r="U1077" i="32"/>
  <c r="O30" i="29"/>
  <c r="Q30" i="29"/>
  <c r="P31" i="29" a="1"/>
  <c r="P31" i="29" s="1"/>
  <c r="A1077" i="32"/>
  <c r="L1603" i="27"/>
  <c r="K1603" i="27"/>
  <c r="G1073" i="32"/>
  <c r="I1603" i="27"/>
  <c r="J1603" i="27"/>
  <c r="V1193" i="32" l="1" a="1"/>
  <c r="V1193" i="32" s="1"/>
  <c r="L1193" i="32" s="1"/>
  <c r="T1193" i="32" a="1"/>
  <c r="T1193" i="32" s="1"/>
  <c r="S1193" i="32" a="1"/>
  <c r="S1193" i="32" s="1"/>
  <c r="E1193" i="32" s="1"/>
  <c r="R1193" i="32" a="1"/>
  <c r="R1193" i="32" s="1"/>
  <c r="D1193" i="32" s="1"/>
  <c r="P1197" i="32"/>
  <c r="Q1195" i="32"/>
  <c r="F5577" i="27"/>
  <c r="F5576" i="27"/>
  <c r="K2952" i="27"/>
  <c r="K2951" i="27"/>
  <c r="A1603" i="27"/>
  <c r="H1605" i="27"/>
  <c r="H1606" i="27"/>
  <c r="H1155" i="27"/>
  <c r="H1156" i="27"/>
  <c r="H1157" i="27" s="1"/>
  <c r="H1158" i="27" s="1"/>
  <c r="H1159" i="27" s="1"/>
  <c r="H1160" i="27" s="1"/>
  <c r="U1079" i="32"/>
  <c r="Q31" i="29"/>
  <c r="O31" i="29"/>
  <c r="P32" i="29" a="1"/>
  <c r="P32" i="29" s="1"/>
  <c r="J1604" i="27"/>
  <c r="L1604" i="27"/>
  <c r="G1075" i="32"/>
  <c r="K1604" i="27"/>
  <c r="I1604" i="27"/>
  <c r="A1079" i="32"/>
  <c r="V1195" i="32" l="1" a="1"/>
  <c r="V1195" i="32" s="1"/>
  <c r="L1195" i="32" s="1"/>
  <c r="T1195" i="32" a="1"/>
  <c r="T1195" i="32" s="1"/>
  <c r="R1195" i="32" a="1"/>
  <c r="R1195" i="32" s="1"/>
  <c r="D1195" i="32" s="1"/>
  <c r="S1195" i="32" a="1"/>
  <c r="S1195" i="32" s="1"/>
  <c r="E1195" i="32" s="1"/>
  <c r="P1199" i="32"/>
  <c r="Q1197" i="32"/>
  <c r="F5578" i="27"/>
  <c r="K2954" i="27"/>
  <c r="K2953" i="27"/>
  <c r="A1604" i="27"/>
  <c r="H1607" i="27"/>
  <c r="H1162" i="27"/>
  <c r="H1163" i="27" s="1"/>
  <c r="H1164" i="27" s="1"/>
  <c r="H1165" i="27" s="1"/>
  <c r="H1166" i="27" s="1"/>
  <c r="H1161" i="27"/>
  <c r="U1081" i="32"/>
  <c r="O32" i="29"/>
  <c r="Q32" i="29"/>
  <c r="P33" i="29" a="1"/>
  <c r="P33" i="29" s="1"/>
  <c r="I1606" i="27"/>
  <c r="A1081" i="32"/>
  <c r="I1605" i="27"/>
  <c r="G1077" i="32"/>
  <c r="J1606" i="27"/>
  <c r="K1606" i="27"/>
  <c r="L1606" i="27"/>
  <c r="J1605" i="27"/>
  <c r="K1605" i="27"/>
  <c r="L1605" i="27"/>
  <c r="V1197" i="32" l="1" a="1"/>
  <c r="V1197" i="32" s="1"/>
  <c r="L1197" i="32" s="1"/>
  <c r="R1197" i="32" a="1"/>
  <c r="R1197" i="32" s="1"/>
  <c r="D1197" i="32" s="1"/>
  <c r="T1197" i="32" a="1"/>
  <c r="T1197" i="32" s="1"/>
  <c r="S1197" i="32" a="1"/>
  <c r="S1197" i="32" s="1"/>
  <c r="E1197" i="32" s="1"/>
  <c r="P1201" i="32"/>
  <c r="Q1199" i="32"/>
  <c r="F5579" i="27"/>
  <c r="K2955" i="27"/>
  <c r="K2956" i="27"/>
  <c r="A1605" i="27"/>
  <c r="A1606" i="27"/>
  <c r="H1608" i="27"/>
  <c r="H1168" i="27"/>
  <c r="H1169" i="27" s="1"/>
  <c r="H1170" i="27" s="1"/>
  <c r="H1171" i="27" s="1"/>
  <c r="H1172" i="27" s="1"/>
  <c r="H1167" i="27"/>
  <c r="U1083" i="32"/>
  <c r="Q33" i="29"/>
  <c r="O33" i="29"/>
  <c r="P34" i="29" a="1"/>
  <c r="P34" i="29" s="1"/>
  <c r="J1607" i="27"/>
  <c r="A1083" i="32"/>
  <c r="K1607" i="27"/>
  <c r="I1607" i="27"/>
  <c r="L1607" i="27"/>
  <c r="G1079" i="32"/>
  <c r="S1199" i="32" l="1" a="1"/>
  <c r="S1199" i="32" s="1"/>
  <c r="E1199" i="32" s="1"/>
  <c r="T1199" i="32" a="1"/>
  <c r="T1199" i="32" s="1"/>
  <c r="R1199" i="32" a="1"/>
  <c r="R1199" i="32" s="1"/>
  <c r="D1199" i="32" s="1"/>
  <c r="V1199" i="32" a="1"/>
  <c r="V1199" i="32" s="1"/>
  <c r="L1199" i="32" s="1"/>
  <c r="P1203" i="32"/>
  <c r="Q1201" i="32"/>
  <c r="F5580" i="27"/>
  <c r="K2958" i="27"/>
  <c r="K2957" i="27"/>
  <c r="A1607" i="27"/>
  <c r="H1609" i="27"/>
  <c r="H1174" i="27"/>
  <c r="H1175" i="27" s="1"/>
  <c r="H1176" i="27" s="1"/>
  <c r="H1177" i="27" s="1"/>
  <c r="H1178" i="27" s="1"/>
  <c r="H1173" i="27"/>
  <c r="U1085" i="32"/>
  <c r="O34" i="29"/>
  <c r="Q34" i="29"/>
  <c r="P35" i="29" a="1"/>
  <c r="P35" i="29" s="1"/>
  <c r="J1608" i="27"/>
  <c r="L1608" i="27"/>
  <c r="G1081" i="32"/>
  <c r="A1085" i="32"/>
  <c r="K1608" i="27"/>
  <c r="I1608" i="27"/>
  <c r="R1201" i="32" l="1" a="1"/>
  <c r="R1201" i="32" s="1"/>
  <c r="D1201" i="32" s="1"/>
  <c r="S1201" i="32" a="1"/>
  <c r="S1201" i="32" s="1"/>
  <c r="E1201" i="32" s="1"/>
  <c r="V1201" i="32" a="1"/>
  <c r="V1201" i="32" s="1"/>
  <c r="L1201" i="32" s="1"/>
  <c r="T1201" i="32" a="1"/>
  <c r="T1201" i="32" s="1"/>
  <c r="P1205" i="32"/>
  <c r="Q1203" i="32"/>
  <c r="F5581" i="27"/>
  <c r="K2959" i="27"/>
  <c r="K2960" i="27"/>
  <c r="A1608" i="27"/>
  <c r="H1610" i="27"/>
  <c r="H1179" i="27"/>
  <c r="H1180" i="27"/>
  <c r="H1181" i="27" s="1"/>
  <c r="H1182" i="27" s="1"/>
  <c r="H1183" i="27" s="1"/>
  <c r="H1184" i="27" s="1"/>
  <c r="U1087" i="32"/>
  <c r="O35" i="29"/>
  <c r="Q35" i="29"/>
  <c r="P36" i="29" a="1"/>
  <c r="P36" i="29" s="1"/>
  <c r="A1087" i="32"/>
  <c r="J1609" i="27"/>
  <c r="G1083" i="32"/>
  <c r="L1609" i="27"/>
  <c r="K1609" i="27"/>
  <c r="I1609" i="27"/>
  <c r="S1203" i="32" l="1" a="1"/>
  <c r="S1203" i="32" s="1"/>
  <c r="E1203" i="32" s="1"/>
  <c r="V1203" i="32" a="1"/>
  <c r="V1203" i="32" s="1"/>
  <c r="L1203" i="32" s="1"/>
  <c r="T1203" i="32" a="1"/>
  <c r="T1203" i="32" s="1"/>
  <c r="R1203" i="32" a="1"/>
  <c r="R1203" i="32" s="1"/>
  <c r="D1203" i="32" s="1"/>
  <c r="P1207" i="32"/>
  <c r="Q1205" i="32"/>
  <c r="F5582" i="27"/>
  <c r="F5583" i="27"/>
  <c r="K2962" i="27"/>
  <c r="K2961" i="27"/>
  <c r="A1609" i="27"/>
  <c r="H1611" i="27"/>
  <c r="H1612" i="27"/>
  <c r="H1186" i="27"/>
  <c r="H1187" i="27" s="1"/>
  <c r="H1188" i="27" s="1"/>
  <c r="H1189" i="27" s="1"/>
  <c r="H1190" i="27" s="1"/>
  <c r="H1185" i="27"/>
  <c r="U1089" i="32"/>
  <c r="Q36" i="29"/>
  <c r="O36" i="29"/>
  <c r="P37" i="29" a="1"/>
  <c r="P37" i="29" s="1"/>
  <c r="K1610" i="27"/>
  <c r="J1610" i="27"/>
  <c r="I1610" i="27"/>
  <c r="L1610" i="27"/>
  <c r="A1089" i="32"/>
  <c r="G1085" i="32"/>
  <c r="T1205" i="32" l="1" a="1"/>
  <c r="T1205" i="32" s="1"/>
  <c r="S1205" i="32" a="1"/>
  <c r="S1205" i="32" s="1"/>
  <c r="E1205" i="32" s="1"/>
  <c r="R1205" i="32" a="1"/>
  <c r="R1205" i="32" s="1"/>
  <c r="D1205" i="32" s="1"/>
  <c r="V1205" i="32" a="1"/>
  <c r="V1205" i="32" s="1"/>
  <c r="L1205" i="32" s="1"/>
  <c r="P1209" i="32"/>
  <c r="Q1207" i="32"/>
  <c r="F5584" i="27"/>
  <c r="K2963" i="27"/>
  <c r="K2964" i="27"/>
  <c r="A1610" i="27"/>
  <c r="H1613" i="27"/>
  <c r="H1192" i="27"/>
  <c r="H1193" i="27" s="1"/>
  <c r="H1194" i="27" s="1"/>
  <c r="H1195" i="27" s="1"/>
  <c r="H1196" i="27" s="1"/>
  <c r="H1191" i="27"/>
  <c r="U1091" i="32"/>
  <c r="O37" i="29"/>
  <c r="Q37" i="29"/>
  <c r="P38" i="29" a="1"/>
  <c r="P38" i="29" s="1"/>
  <c r="J1611" i="27"/>
  <c r="J1612" i="27"/>
  <c r="K1612" i="27"/>
  <c r="I1612" i="27"/>
  <c r="K1611" i="27"/>
  <c r="L1612" i="27"/>
  <c r="L1611" i="27"/>
  <c r="I1611" i="27"/>
  <c r="A1091" i="32"/>
  <c r="G1087" i="32"/>
  <c r="R1207" i="32" l="1" a="1"/>
  <c r="R1207" i="32" s="1"/>
  <c r="D1207" i="32" s="1"/>
  <c r="T1207" i="32" a="1"/>
  <c r="T1207" i="32" s="1"/>
  <c r="V1207" i="32" a="1"/>
  <c r="V1207" i="32" s="1"/>
  <c r="L1207" i="32" s="1"/>
  <c r="S1207" i="32" a="1"/>
  <c r="S1207" i="32" s="1"/>
  <c r="E1207" i="32" s="1"/>
  <c r="P1211" i="32"/>
  <c r="Q1209" i="32"/>
  <c r="F5585" i="27"/>
  <c r="K2965" i="27"/>
  <c r="K2966" i="27"/>
  <c r="A1611" i="27"/>
  <c r="A1612" i="27"/>
  <c r="H1614" i="27"/>
  <c r="H1198" i="27"/>
  <c r="H1199" i="27" s="1"/>
  <c r="H1200" i="27" s="1"/>
  <c r="H1201" i="27" s="1"/>
  <c r="H1202" i="27" s="1"/>
  <c r="H1197" i="27"/>
  <c r="U1093" i="32"/>
  <c r="Q38" i="29"/>
  <c r="O38" i="29"/>
  <c r="P39" i="29" a="1"/>
  <c r="P39" i="29" s="1"/>
  <c r="G1089" i="32"/>
  <c r="J1613" i="27"/>
  <c r="L1613" i="27"/>
  <c r="K1613" i="27"/>
  <c r="I1613" i="27"/>
  <c r="A1093" i="32"/>
  <c r="S1209" i="32" l="1" a="1"/>
  <c r="S1209" i="32" s="1"/>
  <c r="E1209" i="32" s="1"/>
  <c r="V1209" i="32" a="1"/>
  <c r="V1209" i="32" s="1"/>
  <c r="L1209" i="32" s="1"/>
  <c r="T1209" i="32" a="1"/>
  <c r="T1209" i="32" s="1"/>
  <c r="R1209" i="32" a="1"/>
  <c r="R1209" i="32" s="1"/>
  <c r="D1209" i="32" s="1"/>
  <c r="P1213" i="32"/>
  <c r="Q1211" i="32"/>
  <c r="F5586" i="27"/>
  <c r="K2968" i="27"/>
  <c r="K2967" i="27"/>
  <c r="A1613" i="27"/>
  <c r="H1615" i="27"/>
  <c r="H1203" i="27"/>
  <c r="H1204" i="27"/>
  <c r="H1205" i="27" s="1"/>
  <c r="H1206" i="27" s="1"/>
  <c r="H1207" i="27" s="1"/>
  <c r="H1208" i="27" s="1"/>
  <c r="U1095" i="32"/>
  <c r="Q39" i="29"/>
  <c r="O39" i="29"/>
  <c r="P40" i="29" a="1"/>
  <c r="P40" i="29" s="1"/>
  <c r="I1614" i="27"/>
  <c r="J1614" i="27"/>
  <c r="G1091" i="32"/>
  <c r="K1614" i="27"/>
  <c r="L1614" i="27"/>
  <c r="A1095" i="32"/>
  <c r="V1211" i="32" l="1" a="1"/>
  <c r="V1211" i="32" s="1"/>
  <c r="L1211" i="32" s="1"/>
  <c r="T1211" i="32" a="1"/>
  <c r="T1211" i="32" s="1"/>
  <c r="R1211" i="32" a="1"/>
  <c r="R1211" i="32" s="1"/>
  <c r="D1211" i="32" s="1"/>
  <c r="S1211" i="32" a="1"/>
  <c r="S1211" i="32" s="1"/>
  <c r="E1211" i="32" s="1"/>
  <c r="P1215" i="32"/>
  <c r="Q1213" i="32"/>
  <c r="F5587" i="27"/>
  <c r="K2969" i="27"/>
  <c r="K2970" i="27"/>
  <c r="A1614" i="27"/>
  <c r="H1616" i="27"/>
  <c r="H1210" i="27"/>
  <c r="H1211" i="27" s="1"/>
  <c r="H1212" i="27" s="1"/>
  <c r="H1213" i="27" s="1"/>
  <c r="H1214" i="27" s="1"/>
  <c r="H1209" i="27"/>
  <c r="U1097" i="32"/>
  <c r="Q40" i="29"/>
  <c r="O40" i="29"/>
  <c r="P41" i="29" a="1"/>
  <c r="P41" i="29" s="1"/>
  <c r="G1093" i="32"/>
  <c r="L1615" i="27"/>
  <c r="I1615" i="27"/>
  <c r="J1615" i="27"/>
  <c r="A1097" i="32"/>
  <c r="K1615" i="27"/>
  <c r="R1213" i="32" l="1" a="1"/>
  <c r="R1213" i="32" s="1"/>
  <c r="D1213" i="32" s="1"/>
  <c r="V1213" i="32" a="1"/>
  <c r="V1213" i="32" s="1"/>
  <c r="L1213" i="32" s="1"/>
  <c r="S1213" i="32" a="1"/>
  <c r="S1213" i="32" s="1"/>
  <c r="E1213" i="32" s="1"/>
  <c r="T1213" i="32" a="1"/>
  <c r="T1213" i="32" s="1"/>
  <c r="P1217" i="32"/>
  <c r="Q1215" i="32"/>
  <c r="F5588" i="27"/>
  <c r="F5589" i="27"/>
  <c r="K2972" i="27"/>
  <c r="K2971" i="27"/>
  <c r="A1615" i="27"/>
  <c r="H1617" i="27"/>
  <c r="H1618" i="27"/>
  <c r="H1216" i="27"/>
  <c r="H1217" i="27" s="1"/>
  <c r="H1218" i="27" s="1"/>
  <c r="H1219" i="27" s="1"/>
  <c r="H1220" i="27" s="1"/>
  <c r="H1215" i="27"/>
  <c r="U1099" i="32"/>
  <c r="O41" i="29"/>
  <c r="Q41" i="29"/>
  <c r="P42" i="29" a="1"/>
  <c r="P42" i="29" s="1"/>
  <c r="G1095" i="32"/>
  <c r="L1616" i="27"/>
  <c r="I1616" i="27"/>
  <c r="A1099" i="32"/>
  <c r="K1616" i="27"/>
  <c r="J1616" i="27"/>
  <c r="S1215" i="32" l="1" a="1"/>
  <c r="S1215" i="32" s="1"/>
  <c r="E1215" i="32" s="1"/>
  <c r="V1215" i="32" a="1"/>
  <c r="V1215" i="32" s="1"/>
  <c r="L1215" i="32" s="1"/>
  <c r="T1215" i="32" a="1"/>
  <c r="T1215" i="32" s="1"/>
  <c r="R1215" i="32" a="1"/>
  <c r="R1215" i="32" s="1"/>
  <c r="D1215" i="32" s="1"/>
  <c r="P1219" i="32"/>
  <c r="Q1217" i="32"/>
  <c r="F5590" i="27"/>
  <c r="K2973" i="27"/>
  <c r="K2974" i="27"/>
  <c r="A1616" i="27"/>
  <c r="H1619" i="27"/>
  <c r="H1222" i="27"/>
  <c r="H1223" i="27" s="1"/>
  <c r="H1224" i="27" s="1"/>
  <c r="H1225" i="27" s="1"/>
  <c r="H1226" i="27" s="1"/>
  <c r="H1221" i="27"/>
  <c r="U1101" i="32"/>
  <c r="Q42" i="29"/>
  <c r="O42" i="29"/>
  <c r="P43" i="29" a="1"/>
  <c r="P43" i="29" s="1"/>
  <c r="G1097" i="32"/>
  <c r="I1617" i="27"/>
  <c r="K1618" i="27"/>
  <c r="J1618" i="27"/>
  <c r="J1617" i="27"/>
  <c r="I1618" i="27"/>
  <c r="K1617" i="27"/>
  <c r="L1617" i="27"/>
  <c r="A1101" i="32"/>
  <c r="L1618" i="27"/>
  <c r="S1217" i="32" l="1" a="1"/>
  <c r="S1217" i="32" s="1"/>
  <c r="E1217" i="32" s="1"/>
  <c r="V1217" i="32" a="1"/>
  <c r="V1217" i="32" s="1"/>
  <c r="L1217" i="32" s="1"/>
  <c r="T1217" i="32" a="1"/>
  <c r="T1217" i="32" s="1"/>
  <c r="R1217" i="32" a="1"/>
  <c r="R1217" i="32" s="1"/>
  <c r="D1217" i="32" s="1"/>
  <c r="P1221" i="32"/>
  <c r="Q1219" i="32"/>
  <c r="F5591" i="27"/>
  <c r="K2976" i="27"/>
  <c r="K2975" i="27"/>
  <c r="A1618" i="27"/>
  <c r="A1617" i="27"/>
  <c r="H1620" i="27"/>
  <c r="H1227" i="27"/>
  <c r="H1228" i="27"/>
  <c r="H1229" i="27" s="1"/>
  <c r="H1230" i="27" s="1"/>
  <c r="H1231" i="27" s="1"/>
  <c r="H1232" i="27" s="1"/>
  <c r="U1103" i="32"/>
  <c r="Q43" i="29"/>
  <c r="O43" i="29"/>
  <c r="P44" i="29" a="1"/>
  <c r="P44" i="29" s="1"/>
  <c r="J1619" i="27"/>
  <c r="K1619" i="27"/>
  <c r="G1099" i="32"/>
  <c r="L1619" i="27"/>
  <c r="I1619" i="27"/>
  <c r="A1103" i="32"/>
  <c r="P1223" i="32" l="1"/>
  <c r="Q1221" i="32"/>
  <c r="V1219" i="32" a="1"/>
  <c r="V1219" i="32" s="1"/>
  <c r="L1219" i="32" s="1"/>
  <c r="T1219" i="32" a="1"/>
  <c r="T1219" i="32" s="1"/>
  <c r="S1219" i="32" a="1"/>
  <c r="S1219" i="32" s="1"/>
  <c r="E1219" i="32" s="1"/>
  <c r="R1219" i="32" a="1"/>
  <c r="R1219" i="32" s="1"/>
  <c r="D1219" i="32" s="1"/>
  <c r="F5592" i="27"/>
  <c r="K2978" i="27"/>
  <c r="K2977" i="27"/>
  <c r="A1619" i="27"/>
  <c r="H1621" i="27"/>
  <c r="H1234" i="27"/>
  <c r="H1235" i="27" s="1"/>
  <c r="H1236" i="27" s="1"/>
  <c r="H1237" i="27" s="1"/>
  <c r="H1238" i="27" s="1"/>
  <c r="H1233" i="27"/>
  <c r="U1105" i="32"/>
  <c r="Q44" i="29"/>
  <c r="O44" i="29"/>
  <c r="P45" i="29" a="1"/>
  <c r="P45" i="29" s="1"/>
  <c r="L1620" i="27"/>
  <c r="J1620" i="27"/>
  <c r="I1620" i="27"/>
  <c r="A1105" i="32"/>
  <c r="G1101" i="32"/>
  <c r="K1620" i="27"/>
  <c r="V1221" i="32" l="1" a="1"/>
  <c r="V1221" i="32" s="1"/>
  <c r="L1221" i="32" s="1"/>
  <c r="R1221" i="32" a="1"/>
  <c r="R1221" i="32" s="1"/>
  <c r="D1221" i="32" s="1"/>
  <c r="T1221" i="32" a="1"/>
  <c r="T1221" i="32" s="1"/>
  <c r="S1221" i="32" a="1"/>
  <c r="S1221" i="32" s="1"/>
  <c r="E1221" i="32" s="1"/>
  <c r="P1225" i="32"/>
  <c r="Q1223" i="32"/>
  <c r="F5593" i="27"/>
  <c r="K2980" i="27"/>
  <c r="K2979" i="27"/>
  <c r="A1620" i="27"/>
  <c r="H1622" i="27"/>
  <c r="H1240" i="27"/>
  <c r="H1241" i="27" s="1"/>
  <c r="H1242" i="27" s="1"/>
  <c r="H1243" i="27" s="1"/>
  <c r="H1244" i="27" s="1"/>
  <c r="H1239" i="27"/>
  <c r="U1107" i="32"/>
  <c r="Q45" i="29"/>
  <c r="O45" i="29"/>
  <c r="P46" i="29" a="1"/>
  <c r="P46" i="29" s="1"/>
  <c r="J1621" i="27"/>
  <c r="L1621" i="27"/>
  <c r="A1107" i="32"/>
  <c r="K1621" i="27"/>
  <c r="G1103" i="32"/>
  <c r="I1621" i="27"/>
  <c r="V1223" i="32" l="1" a="1"/>
  <c r="V1223" i="32" s="1"/>
  <c r="L1223" i="32" s="1"/>
  <c r="T1223" i="32" a="1"/>
  <c r="T1223" i="32" s="1"/>
  <c r="S1223" i="32" a="1"/>
  <c r="S1223" i="32" s="1"/>
  <c r="E1223" i="32" s="1"/>
  <c r="R1223" i="32" a="1"/>
  <c r="R1223" i="32" s="1"/>
  <c r="D1223" i="32" s="1"/>
  <c r="P1227" i="32"/>
  <c r="Q1225" i="32"/>
  <c r="F5594" i="27"/>
  <c r="F5595" i="27"/>
  <c r="K2981" i="27"/>
  <c r="K2982" i="27"/>
  <c r="A1621" i="27"/>
  <c r="H1623" i="27"/>
  <c r="H1624" i="27"/>
  <c r="H1246" i="27"/>
  <c r="H1247" i="27" s="1"/>
  <c r="H1248" i="27" s="1"/>
  <c r="H1249" i="27" s="1"/>
  <c r="H1250" i="27" s="1"/>
  <c r="H1245" i="27"/>
  <c r="U1109" i="32"/>
  <c r="Q46" i="29"/>
  <c r="O46" i="29"/>
  <c r="P47" i="29" a="1"/>
  <c r="P47" i="29" s="1"/>
  <c r="A1109" i="32"/>
  <c r="I1622" i="27"/>
  <c r="K1622" i="27"/>
  <c r="G1105" i="32"/>
  <c r="J1622" i="27"/>
  <c r="L1622" i="27"/>
  <c r="V1225" i="32" l="1" a="1"/>
  <c r="V1225" i="32" s="1"/>
  <c r="L1225" i="32" s="1"/>
  <c r="R1225" i="32" a="1"/>
  <c r="R1225" i="32" s="1"/>
  <c r="D1225" i="32" s="1"/>
  <c r="T1225" i="32" a="1"/>
  <c r="T1225" i="32" s="1"/>
  <c r="S1225" i="32" a="1"/>
  <c r="S1225" i="32" s="1"/>
  <c r="E1225" i="32" s="1"/>
  <c r="P1229" i="32"/>
  <c r="Q1227" i="32"/>
  <c r="F5596" i="27"/>
  <c r="K2983" i="27"/>
  <c r="K2984" i="27"/>
  <c r="A1622" i="27"/>
  <c r="H1625" i="27"/>
  <c r="H1251" i="27"/>
  <c r="H1252" i="27"/>
  <c r="H1253" i="27" s="1"/>
  <c r="H1254" i="27" s="1"/>
  <c r="H1255" i="27" s="1"/>
  <c r="H1256" i="27" s="1"/>
  <c r="U1111" i="32"/>
  <c r="O47" i="29"/>
  <c r="Q47" i="29"/>
  <c r="P48" i="29" a="1"/>
  <c r="P48" i="29" s="1"/>
  <c r="K1624" i="27"/>
  <c r="A1111" i="32"/>
  <c r="L1624" i="27"/>
  <c r="J1623" i="27"/>
  <c r="L1623" i="27"/>
  <c r="J1624" i="27"/>
  <c r="I1624" i="27"/>
  <c r="G1107" i="32"/>
  <c r="K1623" i="27"/>
  <c r="I1623" i="27"/>
  <c r="R1227" i="32" l="1" a="1"/>
  <c r="R1227" i="32" s="1"/>
  <c r="D1227" i="32" s="1"/>
  <c r="V1227" i="32" a="1"/>
  <c r="V1227" i="32" s="1"/>
  <c r="L1227" i="32" s="1"/>
  <c r="T1227" i="32" a="1"/>
  <c r="T1227" i="32" s="1"/>
  <c r="S1227" i="32" a="1"/>
  <c r="S1227" i="32" s="1"/>
  <c r="E1227" i="32" s="1"/>
  <c r="P1231" i="32"/>
  <c r="Q1229" i="32"/>
  <c r="F5597" i="27"/>
  <c r="K2986" i="27"/>
  <c r="K2985" i="27"/>
  <c r="A1624" i="27"/>
  <c r="A1623" i="27"/>
  <c r="H1626" i="27"/>
  <c r="H1258" i="27"/>
  <c r="H1259" i="27" s="1"/>
  <c r="H1260" i="27" s="1"/>
  <c r="H1261" i="27" s="1"/>
  <c r="H1262" i="27" s="1"/>
  <c r="H1257" i="27"/>
  <c r="U1113" i="32"/>
  <c r="Q48" i="29"/>
  <c r="O48" i="29"/>
  <c r="P49" i="29" a="1"/>
  <c r="P49" i="29" s="1"/>
  <c r="J1625" i="27"/>
  <c r="L1625" i="27"/>
  <c r="K1625" i="27"/>
  <c r="G1109" i="32"/>
  <c r="A1113" i="32"/>
  <c r="I1625" i="27"/>
  <c r="V1229" i="32" l="1" a="1"/>
  <c r="V1229" i="32" s="1"/>
  <c r="L1229" i="32" s="1"/>
  <c r="T1229" i="32" a="1"/>
  <c r="T1229" i="32" s="1"/>
  <c r="R1229" i="32" a="1"/>
  <c r="R1229" i="32" s="1"/>
  <c r="D1229" i="32" s="1"/>
  <c r="S1229" i="32" a="1"/>
  <c r="S1229" i="32" s="1"/>
  <c r="E1229" i="32" s="1"/>
  <c r="P1233" i="32"/>
  <c r="Q1231" i="32"/>
  <c r="F5598" i="27"/>
  <c r="K2987" i="27"/>
  <c r="K2988" i="27"/>
  <c r="A1625" i="27"/>
  <c r="H1627" i="27"/>
  <c r="H1264" i="27"/>
  <c r="H1265" i="27" s="1"/>
  <c r="H1266" i="27" s="1"/>
  <c r="H1267" i="27" s="1"/>
  <c r="H1268" i="27" s="1"/>
  <c r="H1263" i="27"/>
  <c r="U1115" i="32"/>
  <c r="Q49" i="29"/>
  <c r="O49" i="29"/>
  <c r="P50" i="29" a="1"/>
  <c r="P50" i="29" s="1"/>
  <c r="I1626" i="27"/>
  <c r="J1626" i="27"/>
  <c r="K1626" i="27"/>
  <c r="G1111" i="32"/>
  <c r="L1626" i="27"/>
  <c r="A1115" i="32"/>
  <c r="V1231" i="32" l="1" a="1"/>
  <c r="V1231" i="32" s="1"/>
  <c r="L1231" i="32" s="1"/>
  <c r="T1231" i="32" a="1"/>
  <c r="T1231" i="32" s="1"/>
  <c r="S1231" i="32" a="1"/>
  <c r="S1231" i="32" s="1"/>
  <c r="E1231" i="32" s="1"/>
  <c r="R1231" i="32" a="1"/>
  <c r="R1231" i="32" s="1"/>
  <c r="D1231" i="32" s="1"/>
  <c r="P1235" i="32"/>
  <c r="Q1233" i="32"/>
  <c r="F5599" i="27"/>
  <c r="K2990" i="27"/>
  <c r="K2989" i="27"/>
  <c r="A1626" i="27"/>
  <c r="H1628" i="27"/>
  <c r="H1270" i="27"/>
  <c r="H1271" i="27" s="1"/>
  <c r="H1272" i="27" s="1"/>
  <c r="H1273" i="27" s="1"/>
  <c r="H1274" i="27" s="1"/>
  <c r="H1269" i="27"/>
  <c r="U1117" i="32"/>
  <c r="O50" i="29"/>
  <c r="Q50" i="29"/>
  <c r="P51" i="29" a="1"/>
  <c r="P51" i="29" s="1"/>
  <c r="I1627" i="27"/>
  <c r="J1627" i="27"/>
  <c r="G1113" i="32"/>
  <c r="L1627" i="27"/>
  <c r="K1627" i="27"/>
  <c r="A1117" i="32"/>
  <c r="V1233" i="32" l="1" a="1"/>
  <c r="V1233" i="32" s="1"/>
  <c r="L1233" i="32" s="1"/>
  <c r="T1233" i="32" a="1"/>
  <c r="T1233" i="32" s="1"/>
  <c r="S1233" i="32" a="1"/>
  <c r="S1233" i="32" s="1"/>
  <c r="E1233" i="32" s="1"/>
  <c r="R1233" i="32" a="1"/>
  <c r="R1233" i="32" s="1"/>
  <c r="D1233" i="32" s="1"/>
  <c r="P1237" i="32"/>
  <c r="Q1235" i="32"/>
  <c r="F5600" i="27"/>
  <c r="F5601" i="27"/>
  <c r="K2992" i="27"/>
  <c r="K2991" i="27"/>
  <c r="A1627" i="27"/>
  <c r="H1630" i="27"/>
  <c r="H1629" i="27"/>
  <c r="H1275" i="27"/>
  <c r="H1276" i="27"/>
  <c r="H1277" i="27" s="1"/>
  <c r="H1278" i="27" s="1"/>
  <c r="H1279" i="27" s="1"/>
  <c r="H1280" i="27" s="1"/>
  <c r="U1119" i="32"/>
  <c r="O51" i="29"/>
  <c r="Q51" i="29"/>
  <c r="P52" i="29" a="1"/>
  <c r="P52" i="29" s="1"/>
  <c r="K1628" i="27"/>
  <c r="L1628" i="27"/>
  <c r="I1628" i="27"/>
  <c r="G1115" i="32"/>
  <c r="J1628" i="27"/>
  <c r="A1119" i="32"/>
  <c r="R1235" i="32" l="1" a="1"/>
  <c r="R1235" i="32" s="1"/>
  <c r="D1235" i="32" s="1"/>
  <c r="V1235" i="32" a="1"/>
  <c r="V1235" i="32" s="1"/>
  <c r="L1235" i="32" s="1"/>
  <c r="T1235" i="32" a="1"/>
  <c r="T1235" i="32" s="1"/>
  <c r="S1235" i="32" a="1"/>
  <c r="S1235" i="32" s="1"/>
  <c r="E1235" i="32" s="1"/>
  <c r="P1239" i="32"/>
  <c r="Q1237" i="32"/>
  <c r="F5602" i="27"/>
  <c r="K2993" i="27"/>
  <c r="K2994" i="27"/>
  <c r="A1628" i="27"/>
  <c r="H1631" i="27"/>
  <c r="H1282" i="27"/>
  <c r="H1283" i="27" s="1"/>
  <c r="H1284" i="27" s="1"/>
  <c r="H1285" i="27" s="1"/>
  <c r="H1286" i="27" s="1"/>
  <c r="H1281" i="27"/>
  <c r="U1121" i="32"/>
  <c r="O52" i="29"/>
  <c r="Q52" i="29"/>
  <c r="P53" i="29" a="1"/>
  <c r="P53" i="29" s="1"/>
  <c r="J1630" i="27"/>
  <c r="K1630" i="27"/>
  <c r="A1121" i="32"/>
  <c r="K1629" i="27"/>
  <c r="L1630" i="27"/>
  <c r="L1629" i="27"/>
  <c r="I1629" i="27"/>
  <c r="I1630" i="27"/>
  <c r="J1629" i="27"/>
  <c r="G1117" i="32"/>
  <c r="T1237" i="32" l="1" a="1"/>
  <c r="T1237" i="32" s="1"/>
  <c r="R1237" i="32" a="1"/>
  <c r="R1237" i="32" s="1"/>
  <c r="D1237" i="32" s="1"/>
  <c r="S1237" i="32" a="1"/>
  <c r="S1237" i="32" s="1"/>
  <c r="E1237" i="32" s="1"/>
  <c r="V1237" i="32" a="1"/>
  <c r="V1237" i="32" s="1"/>
  <c r="L1237" i="32" s="1"/>
  <c r="P1241" i="32"/>
  <c r="Q1239" i="32"/>
  <c r="F5603" i="27"/>
  <c r="K2995" i="27"/>
  <c r="K2996" i="27"/>
  <c r="A1629" i="27"/>
  <c r="A1630" i="27"/>
  <c r="H1632" i="27"/>
  <c r="H1288" i="27"/>
  <c r="H1289" i="27" s="1"/>
  <c r="H1290" i="27" s="1"/>
  <c r="H1291" i="27" s="1"/>
  <c r="H1292" i="27" s="1"/>
  <c r="H1287" i="27"/>
  <c r="U1123" i="32"/>
  <c r="O53" i="29"/>
  <c r="Q53" i="29"/>
  <c r="P54" i="29" a="1"/>
  <c r="P54" i="29" s="1"/>
  <c r="L1631" i="27"/>
  <c r="A1123" i="32"/>
  <c r="G1119" i="32"/>
  <c r="J1631" i="27"/>
  <c r="K1631" i="27"/>
  <c r="I1631" i="27"/>
  <c r="T1239" i="32" l="1" a="1"/>
  <c r="T1239" i="32" s="1"/>
  <c r="S1239" i="32" a="1"/>
  <c r="S1239" i="32" s="1"/>
  <c r="E1239" i="32" s="1"/>
  <c r="R1239" i="32" a="1"/>
  <c r="R1239" i="32" s="1"/>
  <c r="D1239" i="32" s="1"/>
  <c r="V1239" i="32" a="1"/>
  <c r="V1239" i="32" s="1"/>
  <c r="L1239" i="32" s="1"/>
  <c r="P1243" i="32"/>
  <c r="Q1241" i="32"/>
  <c r="F5604" i="27"/>
  <c r="K2997" i="27"/>
  <c r="K2998" i="27"/>
  <c r="A1631" i="27"/>
  <c r="H1633" i="27"/>
  <c r="H1294" i="27"/>
  <c r="H1295" i="27" s="1"/>
  <c r="H1296" i="27" s="1"/>
  <c r="H1297" i="27" s="1"/>
  <c r="H1298" i="27" s="1"/>
  <c r="H1299" i="27" s="1"/>
  <c r="H1293" i="27"/>
  <c r="U1125" i="32"/>
  <c r="O54" i="29"/>
  <c r="Q54" i="29"/>
  <c r="P55" i="29" a="1"/>
  <c r="P55" i="29" s="1"/>
  <c r="A1125" i="32"/>
  <c r="I1632" i="27"/>
  <c r="J1632" i="27"/>
  <c r="G1121" i="32"/>
  <c r="L1632" i="27"/>
  <c r="K1632" i="27"/>
  <c r="T1241" i="32" l="1" a="1"/>
  <c r="T1241" i="32" s="1"/>
  <c r="S1241" i="32" a="1"/>
  <c r="S1241" i="32" s="1"/>
  <c r="E1241" i="32" s="1"/>
  <c r="R1241" i="32" a="1"/>
  <c r="R1241" i="32" s="1"/>
  <c r="D1241" i="32" s="1"/>
  <c r="V1241" i="32" a="1"/>
  <c r="V1241" i="32" s="1"/>
  <c r="L1241" i="32" s="1"/>
  <c r="P1245" i="32"/>
  <c r="Q1243" i="32"/>
  <c r="F5605" i="27"/>
  <c r="K3000" i="27"/>
  <c r="K2999" i="27"/>
  <c r="A1632" i="27"/>
  <c r="H1634" i="27"/>
  <c r="U1127" i="32"/>
  <c r="Q55" i="29"/>
  <c r="O55" i="29"/>
  <c r="P56" i="29" a="1"/>
  <c r="P56" i="29" s="1"/>
  <c r="K1633" i="27"/>
  <c r="I1633" i="27"/>
  <c r="G1123" i="32"/>
  <c r="J1633" i="27"/>
  <c r="A1127" i="32"/>
  <c r="L1633" i="27"/>
  <c r="T1243" i="32" l="1" a="1"/>
  <c r="T1243" i="32" s="1"/>
  <c r="S1243" i="32" a="1"/>
  <c r="S1243" i="32" s="1"/>
  <c r="E1243" i="32" s="1"/>
  <c r="R1243" i="32" a="1"/>
  <c r="R1243" i="32" s="1"/>
  <c r="D1243" i="32" s="1"/>
  <c r="V1243" i="32" a="1"/>
  <c r="V1243" i="32" s="1"/>
  <c r="L1243" i="32" s="1"/>
  <c r="P1247" i="32"/>
  <c r="Q1245" i="32"/>
  <c r="F5606" i="27"/>
  <c r="F5607" i="27"/>
  <c r="K3002" i="27"/>
  <c r="K3001" i="27"/>
  <c r="A1633" i="27"/>
  <c r="H1636" i="27"/>
  <c r="H1635" i="27"/>
  <c r="U1129" i="32"/>
  <c r="Q56" i="29"/>
  <c r="O56" i="29"/>
  <c r="P57" i="29" a="1"/>
  <c r="P57" i="29" s="1"/>
  <c r="K1634" i="27"/>
  <c r="I1634" i="27"/>
  <c r="A1129" i="32"/>
  <c r="J1634" i="27"/>
  <c r="G1125" i="32"/>
  <c r="L1634" i="27"/>
  <c r="R1245" i="32" l="1" a="1"/>
  <c r="R1245" i="32" s="1"/>
  <c r="D1245" i="32" s="1"/>
  <c r="V1245" i="32" a="1"/>
  <c r="V1245" i="32" s="1"/>
  <c r="L1245" i="32" s="1"/>
  <c r="T1245" i="32" a="1"/>
  <c r="T1245" i="32" s="1"/>
  <c r="S1245" i="32" a="1"/>
  <c r="S1245" i="32" s="1"/>
  <c r="E1245" i="32" s="1"/>
  <c r="P1249" i="32"/>
  <c r="Q1247" i="32"/>
  <c r="F5608" i="27"/>
  <c r="K3004" i="27"/>
  <c r="K3003" i="27"/>
  <c r="A1634" i="27"/>
  <c r="H1637" i="27"/>
  <c r="U1131" i="32"/>
  <c r="O57" i="29"/>
  <c r="Q57" i="29"/>
  <c r="P58" i="29" a="1"/>
  <c r="P58" i="29" s="1"/>
  <c r="L1635" i="27"/>
  <c r="K1636" i="27"/>
  <c r="A1131" i="32"/>
  <c r="J1636" i="27"/>
  <c r="I1635" i="27"/>
  <c r="I1636" i="27"/>
  <c r="L1636" i="27"/>
  <c r="J1635" i="27"/>
  <c r="K1635" i="27"/>
  <c r="G1127" i="32"/>
  <c r="V1247" i="32" l="1" a="1"/>
  <c r="V1247" i="32" s="1"/>
  <c r="L1247" i="32" s="1"/>
  <c r="R1247" i="32" a="1"/>
  <c r="R1247" i="32" s="1"/>
  <c r="D1247" i="32" s="1"/>
  <c r="T1247" i="32" a="1"/>
  <c r="T1247" i="32" s="1"/>
  <c r="S1247" i="32" a="1"/>
  <c r="S1247" i="32" s="1"/>
  <c r="E1247" i="32" s="1"/>
  <c r="P1251" i="32"/>
  <c r="Q1249" i="32"/>
  <c r="F5609" i="27"/>
  <c r="K3006" i="27"/>
  <c r="K3005" i="27"/>
  <c r="A1636" i="27"/>
  <c r="A1635" i="27"/>
  <c r="H1638" i="27"/>
  <c r="U1133" i="32"/>
  <c r="O58" i="29"/>
  <c r="Q58" i="29"/>
  <c r="P59" i="29" a="1"/>
  <c r="P59" i="29" s="1"/>
  <c r="K1637" i="27"/>
  <c r="I1637" i="27"/>
  <c r="J1637" i="27"/>
  <c r="A1133" i="32"/>
  <c r="L1637" i="27"/>
  <c r="G1129" i="32"/>
  <c r="V1249" i="32" l="1" a="1"/>
  <c r="V1249" i="32" s="1"/>
  <c r="L1249" i="32" s="1"/>
  <c r="T1249" i="32" a="1"/>
  <c r="T1249" i="32" s="1"/>
  <c r="S1249" i="32" a="1"/>
  <c r="S1249" i="32" s="1"/>
  <c r="E1249" i="32" s="1"/>
  <c r="R1249" i="32" a="1"/>
  <c r="R1249" i="32" s="1"/>
  <c r="D1249" i="32" s="1"/>
  <c r="P1253" i="32"/>
  <c r="Q1251" i="32"/>
  <c r="F5610" i="27"/>
  <c r="K3008" i="27"/>
  <c r="K3007" i="27"/>
  <c r="A1637" i="27"/>
  <c r="H1639" i="27"/>
  <c r="U1135" i="32"/>
  <c r="Q59" i="29"/>
  <c r="O59" i="29"/>
  <c r="P60" i="29" a="1"/>
  <c r="P60" i="29" s="1"/>
  <c r="G1131" i="32"/>
  <c r="J1638" i="27"/>
  <c r="K1638" i="27"/>
  <c r="I1638" i="27"/>
  <c r="L1638" i="27"/>
  <c r="A1135" i="32"/>
  <c r="V1251" i="32" l="1" a="1"/>
  <c r="V1251" i="32" s="1"/>
  <c r="L1251" i="32" s="1"/>
  <c r="T1251" i="32" a="1"/>
  <c r="T1251" i="32" s="1"/>
  <c r="S1251" i="32" a="1"/>
  <c r="S1251" i="32" s="1"/>
  <c r="E1251" i="32" s="1"/>
  <c r="R1251" i="32" a="1"/>
  <c r="R1251" i="32" s="1"/>
  <c r="D1251" i="32" s="1"/>
  <c r="P1255" i="32"/>
  <c r="Q1253" i="32"/>
  <c r="F5611" i="27"/>
  <c r="K3009" i="27"/>
  <c r="K3010" i="27"/>
  <c r="A1638" i="27"/>
  <c r="H1640" i="27"/>
  <c r="U1137" i="32"/>
  <c r="Q60" i="29"/>
  <c r="O60" i="29"/>
  <c r="P61" i="29" a="1"/>
  <c r="P61" i="29" s="1"/>
  <c r="A1137" i="32"/>
  <c r="L1639" i="27"/>
  <c r="K1639" i="27"/>
  <c r="G1133" i="32"/>
  <c r="I1639" i="27"/>
  <c r="J1639" i="27"/>
  <c r="V1253" i="32" l="1" a="1"/>
  <c r="V1253" i="32" s="1"/>
  <c r="L1253" i="32" s="1"/>
  <c r="R1253" i="32" a="1"/>
  <c r="R1253" i="32" s="1"/>
  <c r="D1253" i="32" s="1"/>
  <c r="T1253" i="32" a="1"/>
  <c r="T1253" i="32" s="1"/>
  <c r="S1253" i="32" a="1"/>
  <c r="S1253" i="32" s="1"/>
  <c r="E1253" i="32" s="1"/>
  <c r="P1257" i="32"/>
  <c r="Q1255" i="32"/>
  <c r="F5612" i="27"/>
  <c r="F5613" i="27"/>
  <c r="K3012" i="27"/>
  <c r="K3011" i="27"/>
  <c r="A1639" i="27"/>
  <c r="H1642" i="27"/>
  <c r="H1641" i="27"/>
  <c r="U1139" i="32"/>
  <c r="O61" i="29"/>
  <c r="Q61" i="29"/>
  <c r="G1135" i="32"/>
  <c r="K1640" i="27"/>
  <c r="I1640" i="27"/>
  <c r="J1640" i="27"/>
  <c r="L1640" i="27"/>
  <c r="V1255" i="32" l="1" a="1"/>
  <c r="V1255" i="32" s="1"/>
  <c r="L1255" i="32" s="1"/>
  <c r="T1255" i="32" a="1"/>
  <c r="T1255" i="32" s="1"/>
  <c r="S1255" i="32" a="1"/>
  <c r="S1255" i="32" s="1"/>
  <c r="E1255" i="32" s="1"/>
  <c r="R1255" i="32" a="1"/>
  <c r="R1255" i="32" s="1"/>
  <c r="D1255" i="32" s="1"/>
  <c r="P1259" i="32"/>
  <c r="Q1257" i="32"/>
  <c r="F5614" i="27"/>
  <c r="K3014" i="27"/>
  <c r="K3013" i="27"/>
  <c r="A1640" i="27"/>
  <c r="H1643" i="27"/>
  <c r="U1141" i="32"/>
  <c r="L1642" i="27"/>
  <c r="G1137" i="32"/>
  <c r="J1642" i="27"/>
  <c r="I1641" i="27"/>
  <c r="J1641" i="27"/>
  <c r="I1642" i="27"/>
  <c r="A1139" i="32"/>
  <c r="K1642" i="27"/>
  <c r="L1641" i="27"/>
  <c r="A1141" i="32"/>
  <c r="K1641" i="27"/>
  <c r="V1257" i="32" l="1" a="1"/>
  <c r="V1257" i="32" s="1"/>
  <c r="L1257" i="32" s="1"/>
  <c r="T1257" i="32" a="1"/>
  <c r="T1257" i="32" s="1"/>
  <c r="S1257" i="32" a="1"/>
  <c r="S1257" i="32" s="1"/>
  <c r="E1257" i="32" s="1"/>
  <c r="R1257" i="32" a="1"/>
  <c r="R1257" i="32" s="1"/>
  <c r="D1257" i="32" s="1"/>
  <c r="P1261" i="32"/>
  <c r="Q1259" i="32"/>
  <c r="F5615" i="27"/>
  <c r="K3016" i="27"/>
  <c r="K3015" i="27"/>
  <c r="A1642" i="27"/>
  <c r="A1641" i="27"/>
  <c r="H1644" i="27"/>
  <c r="U1143" i="32"/>
  <c r="K1643" i="27"/>
  <c r="A1143" i="32"/>
  <c r="J1643" i="27"/>
  <c r="I1643" i="27"/>
  <c r="L1643" i="27"/>
  <c r="G1139" i="32"/>
  <c r="P1263" i="32" l="1"/>
  <c r="Q1261" i="32"/>
  <c r="R1259" i="32" a="1"/>
  <c r="R1259" i="32" s="1"/>
  <c r="D1259" i="32" s="1"/>
  <c r="V1259" i="32" a="1"/>
  <c r="V1259" i="32" s="1"/>
  <c r="L1259" i="32" s="1"/>
  <c r="T1259" i="32" a="1"/>
  <c r="T1259" i="32" s="1"/>
  <c r="S1259" i="32" a="1"/>
  <c r="S1259" i="32" s="1"/>
  <c r="E1259" i="32" s="1"/>
  <c r="F5616" i="27"/>
  <c r="K3017" i="27"/>
  <c r="K3018" i="27"/>
  <c r="A1643" i="27"/>
  <c r="H1645" i="27"/>
  <c r="U1145" i="32"/>
  <c r="K1644" i="27"/>
  <c r="J1644" i="27"/>
  <c r="G1141" i="32"/>
  <c r="L1644" i="27"/>
  <c r="A1145" i="32"/>
  <c r="I1644" i="27"/>
  <c r="S1261" i="32" l="1" a="1"/>
  <c r="S1261" i="32" s="1"/>
  <c r="E1261" i="32" s="1"/>
  <c r="V1261" i="32" a="1"/>
  <c r="V1261" i="32" s="1"/>
  <c r="L1261" i="32" s="1"/>
  <c r="T1261" i="32" a="1"/>
  <c r="T1261" i="32" s="1"/>
  <c r="R1261" i="32" a="1"/>
  <c r="R1261" i="32" s="1"/>
  <c r="D1261" i="32" s="1"/>
  <c r="P1265" i="32"/>
  <c r="Q1263" i="32"/>
  <c r="F5617" i="27"/>
  <c r="K3019" i="27"/>
  <c r="K3020" i="27"/>
  <c r="A1644" i="27"/>
  <c r="H1646" i="27"/>
  <c r="U1147" i="32"/>
  <c r="G1143" i="32"/>
  <c r="L1645" i="27"/>
  <c r="I1645" i="27"/>
  <c r="J1645" i="27"/>
  <c r="K1645" i="27"/>
  <c r="A1147" i="32"/>
  <c r="S1263" i="32" l="1" a="1"/>
  <c r="S1263" i="32" s="1"/>
  <c r="E1263" i="32" s="1"/>
  <c r="V1263" i="32" a="1"/>
  <c r="V1263" i="32" s="1"/>
  <c r="L1263" i="32" s="1"/>
  <c r="T1263" i="32" a="1"/>
  <c r="T1263" i="32" s="1"/>
  <c r="R1263" i="32" a="1"/>
  <c r="R1263" i="32" s="1"/>
  <c r="D1263" i="32" s="1"/>
  <c r="P1267" i="32"/>
  <c r="Q1265" i="32"/>
  <c r="F5619" i="27"/>
  <c r="F5618" i="27"/>
  <c r="K3022" i="27"/>
  <c r="K3021" i="27"/>
  <c r="A1645" i="27"/>
  <c r="H1647" i="27"/>
  <c r="H1648" i="27"/>
  <c r="U1149" i="32"/>
  <c r="I1646" i="27"/>
  <c r="K1646" i="27"/>
  <c r="J1646" i="27"/>
  <c r="A1149" i="32"/>
  <c r="G1145" i="32"/>
  <c r="L1646" i="27"/>
  <c r="R1265" i="32" l="1" a="1"/>
  <c r="R1265" i="32" s="1"/>
  <c r="D1265" i="32" s="1"/>
  <c r="T1265" i="32" a="1"/>
  <c r="T1265" i="32" s="1"/>
  <c r="S1265" i="32" a="1"/>
  <c r="S1265" i="32" s="1"/>
  <c r="E1265" i="32" s="1"/>
  <c r="V1265" i="32" a="1"/>
  <c r="V1265" i="32" s="1"/>
  <c r="L1265" i="32" s="1"/>
  <c r="P1269" i="32"/>
  <c r="Q1267" i="32"/>
  <c r="F5620" i="27"/>
  <c r="K3024" i="27"/>
  <c r="K3023" i="27"/>
  <c r="A1646" i="27"/>
  <c r="H1649" i="27"/>
  <c r="U1151" i="32"/>
  <c r="L1648" i="27"/>
  <c r="I1648" i="27"/>
  <c r="K1647" i="27"/>
  <c r="K1648" i="27"/>
  <c r="J1647" i="27"/>
  <c r="I1647" i="27"/>
  <c r="G1147" i="32"/>
  <c r="A1151" i="32"/>
  <c r="L1647" i="27"/>
  <c r="J1648" i="27"/>
  <c r="R1267" i="32" l="1" a="1"/>
  <c r="R1267" i="32" s="1"/>
  <c r="D1267" i="32" s="1"/>
  <c r="T1267" i="32" a="1"/>
  <c r="T1267" i="32" s="1"/>
  <c r="S1267" i="32" a="1"/>
  <c r="S1267" i="32" s="1"/>
  <c r="E1267" i="32" s="1"/>
  <c r="V1267" i="32" a="1"/>
  <c r="V1267" i="32" s="1"/>
  <c r="L1267" i="32" s="1"/>
  <c r="P1271" i="32"/>
  <c r="Q1269" i="32"/>
  <c r="F5621" i="27"/>
  <c r="K3026" i="27"/>
  <c r="K3025" i="27"/>
  <c r="A1648" i="27"/>
  <c r="A1647" i="27"/>
  <c r="H1650" i="27"/>
  <c r="U1153" i="32"/>
  <c r="I1649" i="27"/>
  <c r="L1649" i="27"/>
  <c r="K1649" i="27"/>
  <c r="A1153" i="32"/>
  <c r="G1149" i="32"/>
  <c r="J1649" i="27"/>
  <c r="S1269" i="32" l="1" a="1"/>
  <c r="S1269" i="32" s="1"/>
  <c r="E1269" i="32" s="1"/>
  <c r="V1269" i="32" a="1"/>
  <c r="V1269" i="32" s="1"/>
  <c r="L1269" i="32" s="1"/>
  <c r="R1269" i="32" a="1"/>
  <c r="R1269" i="32" s="1"/>
  <c r="D1269" i="32" s="1"/>
  <c r="T1269" i="32" a="1"/>
  <c r="T1269" i="32" s="1"/>
  <c r="P1273" i="32"/>
  <c r="Q1271" i="32"/>
  <c r="F5622" i="27"/>
  <c r="K3027" i="27"/>
  <c r="K3028" i="27"/>
  <c r="A1649" i="27"/>
  <c r="H1651" i="27"/>
  <c r="U1155" i="32"/>
  <c r="J1650" i="27"/>
  <c r="A1155" i="32"/>
  <c r="G1151" i="32"/>
  <c r="L1650" i="27"/>
  <c r="I1650" i="27"/>
  <c r="K1650" i="27"/>
  <c r="T1271" i="32" l="1" a="1"/>
  <c r="T1271" i="32" s="1"/>
  <c r="R1271" i="32" a="1"/>
  <c r="R1271" i="32" s="1"/>
  <c r="D1271" i="32" s="1"/>
  <c r="S1271" i="32" a="1"/>
  <c r="S1271" i="32" s="1"/>
  <c r="E1271" i="32" s="1"/>
  <c r="V1271" i="32" a="1"/>
  <c r="V1271" i="32" s="1"/>
  <c r="L1271" i="32" s="1"/>
  <c r="P1275" i="32"/>
  <c r="Q1273" i="32"/>
  <c r="F5623" i="27"/>
  <c r="K3030" i="27"/>
  <c r="K3029" i="27"/>
  <c r="A1650" i="27"/>
  <c r="H1652" i="27"/>
  <c r="U1157" i="32"/>
  <c r="I1651" i="27"/>
  <c r="G1153" i="32"/>
  <c r="A1157" i="32"/>
  <c r="L1651" i="27"/>
  <c r="K1651" i="27"/>
  <c r="J1651" i="27"/>
  <c r="T1273" i="32" l="1" a="1"/>
  <c r="T1273" i="32" s="1"/>
  <c r="V1273" i="32" a="1"/>
  <c r="V1273" i="32" s="1"/>
  <c r="L1273" i="32" s="1"/>
  <c r="R1273" i="32" a="1"/>
  <c r="R1273" i="32" s="1"/>
  <c r="D1273" i="32" s="1"/>
  <c r="S1273" i="32" a="1"/>
  <c r="S1273" i="32" s="1"/>
  <c r="E1273" i="32" s="1"/>
  <c r="P1277" i="32"/>
  <c r="Q1275" i="32"/>
  <c r="F5624" i="27"/>
  <c r="F5625" i="27"/>
  <c r="K3031" i="27"/>
  <c r="K3032" i="27"/>
  <c r="A1651" i="27"/>
  <c r="H1653" i="27"/>
  <c r="H1654" i="27"/>
  <c r="U1159" i="32"/>
  <c r="J1652" i="27"/>
  <c r="L1652" i="27"/>
  <c r="K1652" i="27"/>
  <c r="I1652" i="27"/>
  <c r="A1159" i="32"/>
  <c r="G1155" i="32"/>
  <c r="R1275" i="32" l="1" a="1"/>
  <c r="R1275" i="32" s="1"/>
  <c r="D1275" i="32" s="1"/>
  <c r="T1275" i="32" a="1"/>
  <c r="T1275" i="32" s="1"/>
  <c r="S1275" i="32" a="1"/>
  <c r="S1275" i="32" s="1"/>
  <c r="E1275" i="32" s="1"/>
  <c r="V1275" i="32" a="1"/>
  <c r="V1275" i="32" s="1"/>
  <c r="L1275" i="32" s="1"/>
  <c r="P1279" i="32"/>
  <c r="Q1277" i="32"/>
  <c r="F5626" i="27"/>
  <c r="K3034" i="27"/>
  <c r="K3033" i="27"/>
  <c r="A1652" i="27"/>
  <c r="H1655" i="27"/>
  <c r="U1161" i="32"/>
  <c r="K1653" i="27"/>
  <c r="L1654" i="27"/>
  <c r="I1654" i="27"/>
  <c r="I1653" i="27"/>
  <c r="G1157" i="32"/>
  <c r="J1653" i="27"/>
  <c r="A1161" i="32"/>
  <c r="J1654" i="27"/>
  <c r="L1653" i="27"/>
  <c r="K1654" i="27"/>
  <c r="T1277" i="32" l="1" a="1"/>
  <c r="T1277" i="32" s="1"/>
  <c r="R1277" i="32" a="1"/>
  <c r="R1277" i="32" s="1"/>
  <c r="D1277" i="32" s="1"/>
  <c r="S1277" i="32" a="1"/>
  <c r="S1277" i="32" s="1"/>
  <c r="E1277" i="32" s="1"/>
  <c r="V1277" i="32" a="1"/>
  <c r="V1277" i="32" s="1"/>
  <c r="L1277" i="32" s="1"/>
  <c r="P1281" i="32"/>
  <c r="Q1279" i="32"/>
  <c r="F5627" i="27"/>
  <c r="K3036" i="27"/>
  <c r="K3035" i="27"/>
  <c r="A1654" i="27"/>
  <c r="A1653" i="27"/>
  <c r="H1656" i="27"/>
  <c r="U1163" i="32"/>
  <c r="G1159" i="32"/>
  <c r="L1655" i="27"/>
  <c r="K1655" i="27"/>
  <c r="A1163" i="32"/>
  <c r="I1655" i="27"/>
  <c r="J1655" i="27"/>
  <c r="V1279" i="32" l="1" a="1"/>
  <c r="V1279" i="32" s="1"/>
  <c r="L1279" i="32" s="1"/>
  <c r="S1279" i="32" a="1"/>
  <c r="S1279" i="32" s="1"/>
  <c r="E1279" i="32" s="1"/>
  <c r="R1279" i="32" a="1"/>
  <c r="R1279" i="32" s="1"/>
  <c r="D1279" i="32" s="1"/>
  <c r="T1279" i="32" a="1"/>
  <c r="T1279" i="32" s="1"/>
  <c r="P1283" i="32"/>
  <c r="Q1281" i="32"/>
  <c r="F5628" i="27"/>
  <c r="K3037" i="27"/>
  <c r="K3038" i="27"/>
  <c r="A1655" i="27"/>
  <c r="H1657" i="27"/>
  <c r="U1165" i="32"/>
  <c r="L1656" i="27"/>
  <c r="G1161" i="32"/>
  <c r="K1656" i="27"/>
  <c r="J1656" i="27"/>
  <c r="A1165" i="32"/>
  <c r="I1656" i="27"/>
  <c r="T1281" i="32" l="1" a="1"/>
  <c r="T1281" i="32" s="1"/>
  <c r="V1281" i="32" a="1"/>
  <c r="V1281" i="32" s="1"/>
  <c r="L1281" i="32" s="1"/>
  <c r="S1281" i="32" a="1"/>
  <c r="S1281" i="32" s="1"/>
  <c r="E1281" i="32" s="1"/>
  <c r="R1281" i="32" a="1"/>
  <c r="R1281" i="32" s="1"/>
  <c r="D1281" i="32" s="1"/>
  <c r="P1285" i="32"/>
  <c r="Q1283" i="32"/>
  <c r="F5629" i="27"/>
  <c r="K3039" i="27"/>
  <c r="K3040" i="27"/>
  <c r="A1656" i="27"/>
  <c r="H1658" i="27"/>
  <c r="U1167" i="32"/>
  <c r="L1657" i="27"/>
  <c r="I1657" i="27"/>
  <c r="G1163" i="32"/>
  <c r="A1167" i="32"/>
  <c r="K1657" i="27"/>
  <c r="J1657" i="27"/>
  <c r="V1283" i="32" l="1" a="1"/>
  <c r="V1283" i="32" s="1"/>
  <c r="L1283" i="32" s="1"/>
  <c r="S1283" i="32" a="1"/>
  <c r="S1283" i="32" s="1"/>
  <c r="E1283" i="32" s="1"/>
  <c r="R1283" i="32" a="1"/>
  <c r="R1283" i="32" s="1"/>
  <c r="D1283" i="32" s="1"/>
  <c r="T1283" i="32" a="1"/>
  <c r="T1283" i="32" s="1"/>
  <c r="P1287" i="32"/>
  <c r="Q1285" i="32"/>
  <c r="F5630" i="27"/>
  <c r="F5631" i="27"/>
  <c r="K3041" i="27"/>
  <c r="K3042" i="27"/>
  <c r="A1657" i="27"/>
  <c r="H1659" i="27"/>
  <c r="U1169" i="32"/>
  <c r="K1658" i="27"/>
  <c r="L1658" i="27"/>
  <c r="A1169" i="32"/>
  <c r="J1658" i="27"/>
  <c r="G1165" i="32"/>
  <c r="I1658" i="27"/>
  <c r="S1285" i="32" l="1" a="1"/>
  <c r="S1285" i="32" s="1"/>
  <c r="E1285" i="32" s="1"/>
  <c r="V1285" i="32" a="1"/>
  <c r="V1285" i="32" s="1"/>
  <c r="L1285" i="32" s="1"/>
  <c r="R1285" i="32" a="1"/>
  <c r="R1285" i="32" s="1"/>
  <c r="D1285" i="32" s="1"/>
  <c r="T1285" i="32" a="1"/>
  <c r="T1285" i="32" s="1"/>
  <c r="P1289" i="32"/>
  <c r="Q1287" i="32"/>
  <c r="F5632" i="27"/>
  <c r="K3044" i="27"/>
  <c r="K3043" i="27"/>
  <c r="A1658" i="27"/>
  <c r="U1171" i="32"/>
  <c r="G1167" i="32"/>
  <c r="K1659" i="27"/>
  <c r="J1659" i="27"/>
  <c r="I1659" i="27"/>
  <c r="L1659" i="27"/>
  <c r="A1171" i="32"/>
  <c r="T1287" i="32" l="1" a="1"/>
  <c r="T1287" i="32" s="1"/>
  <c r="S1287" i="32" a="1"/>
  <c r="S1287" i="32" s="1"/>
  <c r="E1287" i="32" s="1"/>
  <c r="V1287" i="32" a="1"/>
  <c r="V1287" i="32" s="1"/>
  <c r="L1287" i="32" s="1"/>
  <c r="R1287" i="32" a="1"/>
  <c r="R1287" i="32" s="1"/>
  <c r="D1287" i="32" s="1"/>
  <c r="P1291" i="32"/>
  <c r="Q1289" i="32"/>
  <c r="F5633" i="27"/>
  <c r="K3045" i="27"/>
  <c r="K3046" i="27"/>
  <c r="A1659" i="27"/>
  <c r="U1173" i="32"/>
  <c r="A1173" i="32"/>
  <c r="G1169" i="32"/>
  <c r="V1289" i="32" l="1" a="1"/>
  <c r="V1289" i="32" s="1"/>
  <c r="L1289" i="32" s="1"/>
  <c r="R1289" i="32" a="1"/>
  <c r="R1289" i="32" s="1"/>
  <c r="D1289" i="32" s="1"/>
  <c r="T1289" i="32" a="1"/>
  <c r="T1289" i="32" s="1"/>
  <c r="S1289" i="32" a="1"/>
  <c r="S1289" i="32" s="1"/>
  <c r="E1289" i="32" s="1"/>
  <c r="P1293" i="32"/>
  <c r="Q1291" i="32"/>
  <c r="F5634" i="27"/>
  <c r="K3047" i="27"/>
  <c r="K3048" i="27"/>
  <c r="U1175" i="32"/>
  <c r="G1171" i="32"/>
  <c r="A1175" i="32"/>
  <c r="T1291" i="32" l="1" a="1"/>
  <c r="T1291" i="32" s="1"/>
  <c r="V1291" i="32" a="1"/>
  <c r="V1291" i="32" s="1"/>
  <c r="L1291" i="32" s="1"/>
  <c r="S1291" i="32" a="1"/>
  <c r="S1291" i="32" s="1"/>
  <c r="E1291" i="32" s="1"/>
  <c r="R1291" i="32" a="1"/>
  <c r="R1291" i="32" s="1"/>
  <c r="D1291" i="32" s="1"/>
  <c r="P1295" i="32"/>
  <c r="Q1293" i="32"/>
  <c r="F5635" i="27"/>
  <c r="K3050" i="27"/>
  <c r="K3049" i="27"/>
  <c r="U1177" i="32"/>
  <c r="A1177" i="32"/>
  <c r="G1173" i="32"/>
  <c r="V1293" i="32" l="1" a="1"/>
  <c r="V1293" i="32" s="1"/>
  <c r="L1293" i="32" s="1"/>
  <c r="T1293" i="32" a="1"/>
  <c r="T1293" i="32" s="1"/>
  <c r="R1293" i="32" a="1"/>
  <c r="R1293" i="32" s="1"/>
  <c r="D1293" i="32" s="1"/>
  <c r="S1293" i="32" a="1"/>
  <c r="S1293" i="32" s="1"/>
  <c r="E1293" i="32" s="1"/>
  <c r="P1297" i="32"/>
  <c r="Q1295" i="32"/>
  <c r="F5637" i="27"/>
  <c r="F5636" i="27"/>
  <c r="K3052" i="27"/>
  <c r="K3051" i="27"/>
  <c r="U1179" i="32"/>
  <c r="G1175" i="32"/>
  <c r="A1179" i="32"/>
  <c r="T1295" i="32" l="1" a="1"/>
  <c r="T1295" i="32" s="1"/>
  <c r="R1295" i="32" a="1"/>
  <c r="R1295" i="32" s="1"/>
  <c r="D1295" i="32" s="1"/>
  <c r="V1295" i="32" a="1"/>
  <c r="V1295" i="32" s="1"/>
  <c r="L1295" i="32" s="1"/>
  <c r="S1295" i="32" a="1"/>
  <c r="S1295" i="32" s="1"/>
  <c r="E1295" i="32" s="1"/>
  <c r="P1299" i="32"/>
  <c r="Q1297" i="32"/>
  <c r="F5638" i="27"/>
  <c r="K3053" i="27"/>
  <c r="K3054" i="27"/>
  <c r="U1181" i="32"/>
  <c r="A1181" i="32"/>
  <c r="G1177" i="32"/>
  <c r="R1297" i="32" l="1" a="1"/>
  <c r="R1297" i="32" s="1"/>
  <c r="D1297" i="32" s="1"/>
  <c r="S1297" i="32" a="1"/>
  <c r="S1297" i="32" s="1"/>
  <c r="E1297" i="32" s="1"/>
  <c r="V1297" i="32" a="1"/>
  <c r="V1297" i="32" s="1"/>
  <c r="L1297" i="32" s="1"/>
  <c r="T1297" i="32" a="1"/>
  <c r="T1297" i="32" s="1"/>
  <c r="P1301" i="32"/>
  <c r="Q1299" i="32"/>
  <c r="F5639" i="27"/>
  <c r="K3056" i="27"/>
  <c r="K3055" i="27"/>
  <c r="U1183" i="32"/>
  <c r="G1179" i="32"/>
  <c r="A1183" i="32"/>
  <c r="P1303" i="32" l="1"/>
  <c r="Q1301" i="32"/>
  <c r="Q1341" i="32"/>
  <c r="R1299" i="32" a="1"/>
  <c r="R1299" i="32" s="1"/>
  <c r="D1299" i="32" s="1"/>
  <c r="S1299" i="32" a="1"/>
  <c r="S1299" i="32" s="1"/>
  <c r="E1299" i="32" s="1"/>
  <c r="V1299" i="32" a="1"/>
  <c r="V1299" i="32" s="1"/>
  <c r="L1299" i="32" s="1"/>
  <c r="T1299" i="32" a="1"/>
  <c r="T1299" i="32" s="1"/>
  <c r="F5640" i="27"/>
  <c r="K3058" i="27"/>
  <c r="K3057" i="27"/>
  <c r="U1185" i="32"/>
  <c r="G1181" i="32"/>
  <c r="A1185" i="32"/>
  <c r="V1301" i="32" l="1" a="1"/>
  <c r="V1301" i="32" s="1"/>
  <c r="L1301" i="32" s="1"/>
  <c r="T1301" i="32" a="1"/>
  <c r="T1301" i="32" s="1"/>
  <c r="S1301" i="32" a="1"/>
  <c r="S1301" i="32" s="1"/>
  <c r="E1301" i="32" s="1"/>
  <c r="R1301" i="32" a="1"/>
  <c r="R1301" i="32" s="1"/>
  <c r="D1301" i="32" s="1"/>
  <c r="P1305" i="32"/>
  <c r="Q1303" i="32"/>
  <c r="T1341" i="32" a="1"/>
  <c r="T1341" i="32" s="1"/>
  <c r="V1341" i="32" a="1"/>
  <c r="V1341" i="32" s="1"/>
  <c r="L1341" i="32" s="1"/>
  <c r="R1341" i="32" a="1"/>
  <c r="R1341" i="32" s="1"/>
  <c r="D1341" i="32" s="1"/>
  <c r="S1341" i="32" a="1"/>
  <c r="S1341" i="32" s="1"/>
  <c r="E1341" i="32" s="1"/>
  <c r="Q1343" i="32"/>
  <c r="F5641" i="27"/>
  <c r="K3060" i="27"/>
  <c r="K3059" i="27"/>
  <c r="U1187" i="32"/>
  <c r="A1187" i="32"/>
  <c r="G1183" i="32"/>
  <c r="V1303" i="32" l="1" a="1"/>
  <c r="V1303" i="32" s="1"/>
  <c r="L1303" i="32" s="1"/>
  <c r="T1303" i="32" a="1"/>
  <c r="T1303" i="32" s="1"/>
  <c r="R1303" i="32" a="1"/>
  <c r="R1303" i="32" s="1"/>
  <c r="D1303" i="32" s="1"/>
  <c r="S1303" i="32" a="1"/>
  <c r="S1303" i="32" s="1"/>
  <c r="E1303" i="32" s="1"/>
  <c r="P1307" i="32"/>
  <c r="Q1305" i="32"/>
  <c r="Q1345" i="32"/>
  <c r="S1343" i="32" a="1"/>
  <c r="S1343" i="32" s="1"/>
  <c r="E1343" i="32" s="1"/>
  <c r="T1343" i="32" a="1"/>
  <c r="T1343" i="32" s="1"/>
  <c r="V1343" i="32" a="1"/>
  <c r="V1343" i="32" s="1"/>
  <c r="L1343" i="32" s="1"/>
  <c r="R1343" i="32" a="1"/>
  <c r="R1343" i="32" s="1"/>
  <c r="D1343" i="32" s="1"/>
  <c r="F5643" i="27"/>
  <c r="F5642" i="27"/>
  <c r="K3062" i="27"/>
  <c r="K3061" i="27"/>
  <c r="U1189" i="32"/>
  <c r="G1185" i="32"/>
  <c r="A1189" i="32"/>
  <c r="R1305" i="32" l="1" a="1"/>
  <c r="R1305" i="32" s="1"/>
  <c r="D1305" i="32" s="1"/>
  <c r="S1305" i="32" a="1"/>
  <c r="S1305" i="32" s="1"/>
  <c r="E1305" i="32" s="1"/>
  <c r="V1305" i="32" a="1"/>
  <c r="V1305" i="32" s="1"/>
  <c r="L1305" i="32" s="1"/>
  <c r="T1305" i="32" a="1"/>
  <c r="T1305" i="32" s="1"/>
  <c r="P1309" i="32"/>
  <c r="Q1307" i="32"/>
  <c r="S1345" i="32" a="1"/>
  <c r="S1345" i="32" s="1"/>
  <c r="E1345" i="32" s="1"/>
  <c r="T1345" i="32" a="1"/>
  <c r="T1345" i="32" s="1"/>
  <c r="V1345" i="32" a="1"/>
  <c r="V1345" i="32" s="1"/>
  <c r="L1345" i="32" s="1"/>
  <c r="R1345" i="32" a="1"/>
  <c r="R1345" i="32" s="1"/>
  <c r="D1345" i="32" s="1"/>
  <c r="Q1347" i="32"/>
  <c r="F5644" i="27"/>
  <c r="K3063" i="27"/>
  <c r="K3064" i="27"/>
  <c r="U1191" i="32"/>
  <c r="A1191" i="32"/>
  <c r="G1187" i="32"/>
  <c r="V1307" i="32" l="1" a="1"/>
  <c r="V1307" i="32" s="1"/>
  <c r="L1307" i="32" s="1"/>
  <c r="S1307" i="32" a="1"/>
  <c r="S1307" i="32" s="1"/>
  <c r="E1307" i="32" s="1"/>
  <c r="T1307" i="32" a="1"/>
  <c r="T1307" i="32" s="1"/>
  <c r="R1307" i="32" a="1"/>
  <c r="R1307" i="32" s="1"/>
  <c r="D1307" i="32" s="1"/>
  <c r="P1311" i="32"/>
  <c r="Q1309" i="32"/>
  <c r="R1347" i="32" a="1"/>
  <c r="R1347" i="32" s="1"/>
  <c r="D1347" i="32" s="1"/>
  <c r="S1347" i="32" a="1"/>
  <c r="S1347" i="32" s="1"/>
  <c r="E1347" i="32" s="1"/>
  <c r="T1347" i="32" a="1"/>
  <c r="T1347" i="32" s="1"/>
  <c r="V1347" i="32" a="1"/>
  <c r="V1347" i="32" s="1"/>
  <c r="L1347" i="32" s="1"/>
  <c r="Q1349" i="32"/>
  <c r="F5645" i="27"/>
  <c r="K3065" i="27"/>
  <c r="K3066" i="27"/>
  <c r="U1193" i="32"/>
  <c r="G1189" i="32"/>
  <c r="A1193" i="32"/>
  <c r="V1309" i="32" l="1" a="1"/>
  <c r="V1309" i="32" s="1"/>
  <c r="L1309" i="32" s="1"/>
  <c r="T1309" i="32" a="1"/>
  <c r="T1309" i="32" s="1"/>
  <c r="R1309" i="32" a="1"/>
  <c r="R1309" i="32" s="1"/>
  <c r="D1309" i="32" s="1"/>
  <c r="S1309" i="32" a="1"/>
  <c r="S1309" i="32" s="1"/>
  <c r="E1309" i="32" s="1"/>
  <c r="P1313" i="32"/>
  <c r="Q1311" i="32"/>
  <c r="R1349" i="32" a="1"/>
  <c r="R1349" i="32" s="1"/>
  <c r="D1349" i="32" s="1"/>
  <c r="T1349" i="32" a="1"/>
  <c r="T1349" i="32" s="1"/>
  <c r="V1349" i="32" a="1"/>
  <c r="V1349" i="32" s="1"/>
  <c r="L1349" i="32" s="1"/>
  <c r="S1349" i="32" a="1"/>
  <c r="S1349" i="32" s="1"/>
  <c r="E1349" i="32" s="1"/>
  <c r="Q1351" i="32"/>
  <c r="F5646" i="27"/>
  <c r="K3067" i="27"/>
  <c r="K3068" i="27"/>
  <c r="U1195" i="32"/>
  <c r="G1191" i="32"/>
  <c r="A1195" i="32"/>
  <c r="V1311" i="32" l="1" a="1"/>
  <c r="V1311" i="32" s="1"/>
  <c r="L1311" i="32" s="1"/>
  <c r="T1311" i="32" a="1"/>
  <c r="T1311" i="32" s="1"/>
  <c r="R1311" i="32" a="1"/>
  <c r="R1311" i="32" s="1"/>
  <c r="D1311" i="32" s="1"/>
  <c r="S1311" i="32" a="1"/>
  <c r="S1311" i="32" s="1"/>
  <c r="E1311" i="32" s="1"/>
  <c r="P1315" i="32"/>
  <c r="Q1313" i="32"/>
  <c r="S1351" i="32" a="1"/>
  <c r="S1351" i="32" s="1"/>
  <c r="E1351" i="32" s="1"/>
  <c r="T1351" i="32" a="1"/>
  <c r="T1351" i="32" s="1"/>
  <c r="V1351" i="32" a="1"/>
  <c r="V1351" i="32" s="1"/>
  <c r="L1351" i="32" s="1"/>
  <c r="R1351" i="32" a="1"/>
  <c r="R1351" i="32" s="1"/>
  <c r="D1351" i="32" s="1"/>
  <c r="Q1353" i="32"/>
  <c r="F5647" i="27"/>
  <c r="K3069" i="27"/>
  <c r="K3070" i="27"/>
  <c r="U1197" i="32"/>
  <c r="A1197" i="32"/>
  <c r="G1193" i="32"/>
  <c r="T1313" i="32" l="1" a="1"/>
  <c r="T1313" i="32" s="1"/>
  <c r="S1313" i="32" a="1"/>
  <c r="S1313" i="32" s="1"/>
  <c r="E1313" i="32" s="1"/>
  <c r="R1313" i="32" a="1"/>
  <c r="R1313" i="32" s="1"/>
  <c r="D1313" i="32" s="1"/>
  <c r="V1313" i="32" a="1"/>
  <c r="V1313" i="32" s="1"/>
  <c r="L1313" i="32" s="1"/>
  <c r="P1317" i="32"/>
  <c r="Q1315" i="32"/>
  <c r="S1353" i="32" a="1"/>
  <c r="S1353" i="32" s="1"/>
  <c r="E1353" i="32" s="1"/>
  <c r="T1353" i="32" a="1"/>
  <c r="T1353" i="32" s="1"/>
  <c r="V1353" i="32" a="1"/>
  <c r="V1353" i="32" s="1"/>
  <c r="L1353" i="32" s="1"/>
  <c r="R1353" i="32" a="1"/>
  <c r="R1353" i="32" s="1"/>
  <c r="D1353" i="32" s="1"/>
  <c r="Q1355" i="32"/>
  <c r="F5649" i="27"/>
  <c r="F5648" i="27"/>
  <c r="K3071" i="27"/>
  <c r="K3072" i="27"/>
  <c r="U1199" i="32"/>
  <c r="A1199" i="32"/>
  <c r="G1195" i="32"/>
  <c r="R1315" i="32" l="1" a="1"/>
  <c r="R1315" i="32" s="1"/>
  <c r="D1315" i="32" s="1"/>
  <c r="S1315" i="32" a="1"/>
  <c r="S1315" i="32" s="1"/>
  <c r="E1315" i="32" s="1"/>
  <c r="V1315" i="32" a="1"/>
  <c r="V1315" i="32" s="1"/>
  <c r="L1315" i="32" s="1"/>
  <c r="T1315" i="32" a="1"/>
  <c r="T1315" i="32" s="1"/>
  <c r="P1319" i="32"/>
  <c r="Q1317" i="32"/>
  <c r="T1355" i="32" a="1"/>
  <c r="T1355" i="32" s="1"/>
  <c r="V1355" i="32" a="1"/>
  <c r="V1355" i="32" s="1"/>
  <c r="L1355" i="32" s="1"/>
  <c r="R1355" i="32" a="1"/>
  <c r="R1355" i="32" s="1"/>
  <c r="D1355" i="32" s="1"/>
  <c r="S1355" i="32" a="1"/>
  <c r="S1355" i="32" s="1"/>
  <c r="E1355" i="32" s="1"/>
  <c r="Q1357" i="32"/>
  <c r="F5650" i="27"/>
  <c r="K3073" i="27"/>
  <c r="K3074" i="27"/>
  <c r="U1201" i="32"/>
  <c r="A1201" i="32"/>
  <c r="G1197" i="32"/>
  <c r="T1317" i="32" l="1" a="1"/>
  <c r="T1317" i="32" s="1"/>
  <c r="R1317" i="32" a="1"/>
  <c r="R1317" i="32" s="1"/>
  <c r="D1317" i="32" s="1"/>
  <c r="S1317" i="32" a="1"/>
  <c r="S1317" i="32" s="1"/>
  <c r="E1317" i="32" s="1"/>
  <c r="V1317" i="32" a="1"/>
  <c r="V1317" i="32" s="1"/>
  <c r="L1317" i="32" s="1"/>
  <c r="P1321" i="32"/>
  <c r="Q1319" i="32"/>
  <c r="S1357" i="32" a="1"/>
  <c r="S1357" i="32" s="1"/>
  <c r="E1357" i="32" s="1"/>
  <c r="T1357" i="32" a="1"/>
  <c r="T1357" i="32" s="1"/>
  <c r="V1357" i="32" a="1"/>
  <c r="V1357" i="32" s="1"/>
  <c r="L1357" i="32" s="1"/>
  <c r="R1357" i="32" a="1"/>
  <c r="R1357" i="32" s="1"/>
  <c r="D1357" i="32" s="1"/>
  <c r="Q1359" i="32"/>
  <c r="F5651" i="27"/>
  <c r="K3076" i="27"/>
  <c r="K3075" i="27"/>
  <c r="U1203" i="32"/>
  <c r="G1199" i="32"/>
  <c r="A1203" i="32"/>
  <c r="S1319" i="32" l="1" a="1"/>
  <c r="S1319" i="32" s="1"/>
  <c r="E1319" i="32" s="1"/>
  <c r="R1319" i="32" a="1"/>
  <c r="R1319" i="32" s="1"/>
  <c r="D1319" i="32" s="1"/>
  <c r="V1319" i="32" a="1"/>
  <c r="V1319" i="32" s="1"/>
  <c r="L1319" i="32" s="1"/>
  <c r="T1319" i="32" a="1"/>
  <c r="T1319" i="32" s="1"/>
  <c r="P1323" i="32"/>
  <c r="Q1321" i="32"/>
  <c r="S1359" i="32" a="1"/>
  <c r="S1359" i="32" s="1"/>
  <c r="E1359" i="32" s="1"/>
  <c r="R1359" i="32" a="1"/>
  <c r="R1359" i="32" s="1"/>
  <c r="D1359" i="32" s="1"/>
  <c r="T1359" i="32" a="1"/>
  <c r="T1359" i="32" s="1"/>
  <c r="V1359" i="32" a="1"/>
  <c r="V1359" i="32" s="1"/>
  <c r="L1359" i="32" s="1"/>
  <c r="Q1361" i="32"/>
  <c r="F5652" i="27"/>
  <c r="K3077" i="27"/>
  <c r="K3078" i="27"/>
  <c r="U1205" i="32"/>
  <c r="A1205" i="32"/>
  <c r="G1201" i="32"/>
  <c r="T1321" i="32" l="1" a="1"/>
  <c r="T1321" i="32" s="1"/>
  <c r="S1321" i="32" a="1"/>
  <c r="S1321" i="32" s="1"/>
  <c r="E1321" i="32" s="1"/>
  <c r="R1321" i="32" a="1"/>
  <c r="R1321" i="32" s="1"/>
  <c r="D1321" i="32" s="1"/>
  <c r="V1321" i="32" a="1"/>
  <c r="V1321" i="32" s="1"/>
  <c r="L1321" i="32" s="1"/>
  <c r="P1325" i="32"/>
  <c r="Q1323" i="32"/>
  <c r="S1361" i="32" a="1"/>
  <c r="S1361" i="32" s="1"/>
  <c r="E1361" i="32" s="1"/>
  <c r="T1361" i="32" a="1"/>
  <c r="T1361" i="32" s="1"/>
  <c r="V1361" i="32" a="1"/>
  <c r="V1361" i="32" s="1"/>
  <c r="L1361" i="32" s="1"/>
  <c r="R1361" i="32" a="1"/>
  <c r="R1361" i="32" s="1"/>
  <c r="D1361" i="32" s="1"/>
  <c r="Q1363" i="32"/>
  <c r="F5653" i="27"/>
  <c r="K3079" i="27"/>
  <c r="K3080" i="27"/>
  <c r="U1207" i="32"/>
  <c r="A1207" i="32"/>
  <c r="G1203" i="32"/>
  <c r="R1323" i="32" l="1" a="1"/>
  <c r="R1323" i="32" s="1"/>
  <c r="D1323" i="32" s="1"/>
  <c r="S1323" i="32" a="1"/>
  <c r="S1323" i="32" s="1"/>
  <c r="E1323" i="32" s="1"/>
  <c r="V1323" i="32" a="1"/>
  <c r="V1323" i="32" s="1"/>
  <c r="L1323" i="32" s="1"/>
  <c r="T1323" i="32" a="1"/>
  <c r="T1323" i="32" s="1"/>
  <c r="P1327" i="32"/>
  <c r="Q1325" i="32"/>
  <c r="S1363" i="32" a="1"/>
  <c r="S1363" i="32" s="1"/>
  <c r="E1363" i="32" s="1"/>
  <c r="R1363" i="32" a="1"/>
  <c r="R1363" i="32" s="1"/>
  <c r="D1363" i="32" s="1"/>
  <c r="T1363" i="32" a="1"/>
  <c r="T1363" i="32" s="1"/>
  <c r="V1363" i="32" a="1"/>
  <c r="V1363" i="32" s="1"/>
  <c r="L1363" i="32" s="1"/>
  <c r="Q1365" i="32"/>
  <c r="F5655" i="27"/>
  <c r="F5654" i="27"/>
  <c r="K3082" i="27"/>
  <c r="K3081" i="27"/>
  <c r="U1209" i="32"/>
  <c r="A1209" i="32"/>
  <c r="G1205" i="32"/>
  <c r="R1325" i="32" l="1" a="1"/>
  <c r="R1325" i="32" s="1"/>
  <c r="D1325" i="32" s="1"/>
  <c r="V1325" i="32" a="1"/>
  <c r="V1325" i="32" s="1"/>
  <c r="L1325" i="32" s="1"/>
  <c r="S1325" i="32" a="1"/>
  <c r="S1325" i="32" s="1"/>
  <c r="E1325" i="32" s="1"/>
  <c r="T1325" i="32" a="1"/>
  <c r="T1325" i="32" s="1"/>
  <c r="P1329" i="32"/>
  <c r="Q1327" i="32"/>
  <c r="S1365" i="32" a="1"/>
  <c r="S1365" i="32" s="1"/>
  <c r="E1365" i="32" s="1"/>
  <c r="R1365" i="32" a="1"/>
  <c r="R1365" i="32" s="1"/>
  <c r="D1365" i="32" s="1"/>
  <c r="T1365" i="32" a="1"/>
  <c r="T1365" i="32" s="1"/>
  <c r="V1365" i="32" a="1"/>
  <c r="V1365" i="32" s="1"/>
  <c r="L1365" i="32" s="1"/>
  <c r="Q1367" i="32"/>
  <c r="F5656" i="27"/>
  <c r="K3084" i="27"/>
  <c r="K3083" i="27"/>
  <c r="U1211" i="32"/>
  <c r="A1211" i="32"/>
  <c r="G1207" i="32"/>
  <c r="V1327" i="32" l="1" a="1"/>
  <c r="V1327" i="32" s="1"/>
  <c r="L1327" i="32" s="1"/>
  <c r="S1327" i="32" a="1"/>
  <c r="S1327" i="32" s="1"/>
  <c r="E1327" i="32" s="1"/>
  <c r="T1327" i="32" a="1"/>
  <c r="T1327" i="32" s="1"/>
  <c r="R1327" i="32" a="1"/>
  <c r="R1327" i="32" s="1"/>
  <c r="D1327" i="32" s="1"/>
  <c r="P1331" i="32"/>
  <c r="Q1329" i="32"/>
  <c r="T1367" i="32" a="1"/>
  <c r="T1367" i="32" s="1"/>
  <c r="V1367" i="32" a="1"/>
  <c r="V1367" i="32" s="1"/>
  <c r="L1367" i="32" s="1"/>
  <c r="R1367" i="32" a="1"/>
  <c r="R1367" i="32" s="1"/>
  <c r="D1367" i="32" s="1"/>
  <c r="S1367" i="32" a="1"/>
  <c r="S1367" i="32" s="1"/>
  <c r="E1367" i="32" s="1"/>
  <c r="Q1369" i="32"/>
  <c r="F5657" i="27"/>
  <c r="K3085" i="27"/>
  <c r="K3086" i="27"/>
  <c r="U1213" i="32"/>
  <c r="G1209" i="32"/>
  <c r="A1213" i="32"/>
  <c r="R1329" i="32" l="1" a="1"/>
  <c r="R1329" i="32" s="1"/>
  <c r="D1329" i="32" s="1"/>
  <c r="S1329" i="32" a="1"/>
  <c r="S1329" i="32" s="1"/>
  <c r="E1329" i="32" s="1"/>
  <c r="V1329" i="32" a="1"/>
  <c r="V1329" i="32" s="1"/>
  <c r="L1329" i="32" s="1"/>
  <c r="T1329" i="32" a="1"/>
  <c r="T1329" i="32" s="1"/>
  <c r="P1333" i="32"/>
  <c r="Q1331" i="32"/>
  <c r="Q1371" i="32"/>
  <c r="R1369" i="32" a="1"/>
  <c r="R1369" i="32" s="1"/>
  <c r="D1369" i="32" s="1"/>
  <c r="S1369" i="32" a="1"/>
  <c r="S1369" i="32" s="1"/>
  <c r="E1369" i="32" s="1"/>
  <c r="T1369" i="32" a="1"/>
  <c r="T1369" i="32" s="1"/>
  <c r="V1369" i="32" a="1"/>
  <c r="V1369" i="32" s="1"/>
  <c r="L1369" i="32" s="1"/>
  <c r="F5658" i="27"/>
  <c r="K3088" i="27"/>
  <c r="K3087" i="27"/>
  <c r="U1215" i="32"/>
  <c r="G1211" i="32"/>
  <c r="A1215" i="32"/>
  <c r="T1331" i="32" l="1" a="1"/>
  <c r="T1331" i="32" s="1"/>
  <c r="R1331" i="32" a="1"/>
  <c r="R1331" i="32" s="1"/>
  <c r="D1331" i="32" s="1"/>
  <c r="S1331" i="32" a="1"/>
  <c r="S1331" i="32" s="1"/>
  <c r="E1331" i="32" s="1"/>
  <c r="V1331" i="32" a="1"/>
  <c r="V1331" i="32" s="1"/>
  <c r="L1331" i="32" s="1"/>
  <c r="P1335" i="32"/>
  <c r="Q1333" i="32"/>
  <c r="S1371" i="32" a="1"/>
  <c r="S1371" i="32" s="1"/>
  <c r="E1371" i="32" s="1"/>
  <c r="R1371" i="32" a="1"/>
  <c r="R1371" i="32" s="1"/>
  <c r="D1371" i="32" s="1"/>
  <c r="T1371" i="32" a="1"/>
  <c r="T1371" i="32" s="1"/>
  <c r="V1371" i="32" a="1"/>
  <c r="V1371" i="32" s="1"/>
  <c r="L1371" i="32" s="1"/>
  <c r="Q1373" i="32"/>
  <c r="F5659" i="27"/>
  <c r="K3090" i="27"/>
  <c r="K3089" i="27"/>
  <c r="U1217" i="32"/>
  <c r="A1217" i="32"/>
  <c r="G1213" i="32"/>
  <c r="R1333" i="32" l="1" a="1"/>
  <c r="R1333" i="32" s="1"/>
  <c r="D1333" i="32" s="1"/>
  <c r="S1333" i="32" a="1"/>
  <c r="S1333" i="32" s="1"/>
  <c r="E1333" i="32" s="1"/>
  <c r="V1333" i="32" a="1"/>
  <c r="V1333" i="32" s="1"/>
  <c r="L1333" i="32" s="1"/>
  <c r="T1333" i="32" a="1"/>
  <c r="T1333" i="32" s="1"/>
  <c r="P1337" i="32"/>
  <c r="Q1335" i="32"/>
  <c r="T1373" i="32" a="1"/>
  <c r="T1373" i="32" s="1"/>
  <c r="V1373" i="32" a="1"/>
  <c r="V1373" i="32" s="1"/>
  <c r="L1373" i="32" s="1"/>
  <c r="R1373" i="32" a="1"/>
  <c r="R1373" i="32" s="1"/>
  <c r="D1373" i="32" s="1"/>
  <c r="S1373" i="32" a="1"/>
  <c r="S1373" i="32" s="1"/>
  <c r="E1373" i="32" s="1"/>
  <c r="Q1375" i="32"/>
  <c r="F5661" i="27"/>
  <c r="F5660" i="27"/>
  <c r="K3092" i="27"/>
  <c r="K3091" i="27"/>
  <c r="U1219" i="32"/>
  <c r="A1219" i="32"/>
  <c r="G1215" i="32"/>
  <c r="T1335" i="32" l="1" a="1"/>
  <c r="T1335" i="32" s="1"/>
  <c r="R1335" i="32" a="1"/>
  <c r="R1335" i="32" s="1"/>
  <c r="D1335" i="32" s="1"/>
  <c r="S1335" i="32" a="1"/>
  <c r="S1335" i="32" s="1"/>
  <c r="E1335" i="32" s="1"/>
  <c r="V1335" i="32" a="1"/>
  <c r="V1335" i="32" s="1"/>
  <c r="L1335" i="32" s="1"/>
  <c r="P1339" i="32"/>
  <c r="Q1337" i="32"/>
  <c r="S1375" i="32" a="1"/>
  <c r="S1375" i="32" s="1"/>
  <c r="E1375" i="32" s="1"/>
  <c r="T1375" i="32" a="1"/>
  <c r="T1375" i="32" s="1"/>
  <c r="V1375" i="32" a="1"/>
  <c r="V1375" i="32" s="1"/>
  <c r="L1375" i="32" s="1"/>
  <c r="R1375" i="32" a="1"/>
  <c r="R1375" i="32" s="1"/>
  <c r="D1375" i="32" s="1"/>
  <c r="Q1377" i="32"/>
  <c r="F5662" i="27"/>
  <c r="K3093" i="27"/>
  <c r="K3094" i="27"/>
  <c r="U1221" i="32"/>
  <c r="G1217" i="32"/>
  <c r="A1221" i="32"/>
  <c r="S1337" i="32" l="1" a="1"/>
  <c r="S1337" i="32" s="1"/>
  <c r="E1337" i="32" s="1"/>
  <c r="R1337" i="32" a="1"/>
  <c r="R1337" i="32" s="1"/>
  <c r="D1337" i="32" s="1"/>
  <c r="V1337" i="32" a="1"/>
  <c r="V1337" i="32" s="1"/>
  <c r="L1337" i="32" s="1"/>
  <c r="T1337" i="32" a="1"/>
  <c r="T1337" i="32" s="1"/>
  <c r="P1341" i="32"/>
  <c r="P1343" i="32" s="1"/>
  <c r="P1345" i="32" s="1"/>
  <c r="P1347" i="32" s="1"/>
  <c r="P1349" i="32" s="1"/>
  <c r="P1351" i="32" s="1"/>
  <c r="P1353" i="32" s="1"/>
  <c r="P1355" i="32" s="1"/>
  <c r="P1357" i="32" s="1"/>
  <c r="P1359" i="32" s="1"/>
  <c r="P1361" i="32" s="1"/>
  <c r="P1363" i="32" s="1"/>
  <c r="P1365" i="32" s="1"/>
  <c r="P1367" i="32" s="1"/>
  <c r="P1369" i="32" s="1"/>
  <c r="P1371" i="32" s="1"/>
  <c r="P1373" i="32" s="1"/>
  <c r="P1375" i="32" s="1"/>
  <c r="P1377" i="32" s="1"/>
  <c r="P1379" i="32" s="1"/>
  <c r="Q1339" i="32"/>
  <c r="S1377" i="32" a="1"/>
  <c r="S1377" i="32" s="1"/>
  <c r="E1377" i="32" s="1"/>
  <c r="T1377" i="32" a="1"/>
  <c r="T1377" i="32" s="1"/>
  <c r="V1377" i="32" a="1"/>
  <c r="V1377" i="32" s="1"/>
  <c r="L1377" i="32" s="1"/>
  <c r="R1377" i="32" a="1"/>
  <c r="R1377" i="32" s="1"/>
  <c r="D1377" i="32" s="1"/>
  <c r="P1381" i="32"/>
  <c r="Q1379" i="32"/>
  <c r="F5663" i="27"/>
  <c r="K3096" i="27"/>
  <c r="K3095" i="27"/>
  <c r="U1223" i="32"/>
  <c r="G1219" i="32"/>
  <c r="A1223" i="32"/>
  <c r="P1383" i="32" l="1"/>
  <c r="Q1381" i="32"/>
  <c r="R1339" i="32" a="1"/>
  <c r="R1339" i="32" s="1"/>
  <c r="D1339" i="32" s="1"/>
  <c r="S1339" i="32" a="1"/>
  <c r="S1339" i="32" s="1"/>
  <c r="E1339" i="32" s="1"/>
  <c r="V1339" i="32" a="1"/>
  <c r="V1339" i="32" s="1"/>
  <c r="L1339" i="32" s="1"/>
  <c r="T1339" i="32" a="1"/>
  <c r="T1339" i="32" s="1"/>
  <c r="S1379" i="32" a="1"/>
  <c r="S1379" i="32" s="1"/>
  <c r="E1379" i="32" s="1"/>
  <c r="R1379" i="32" a="1"/>
  <c r="R1379" i="32" s="1"/>
  <c r="D1379" i="32" s="1"/>
  <c r="T1379" i="32" a="1"/>
  <c r="T1379" i="32" s="1"/>
  <c r="V1379" i="32" a="1"/>
  <c r="V1379" i="32" s="1"/>
  <c r="L1379" i="32" s="1"/>
  <c r="F5664" i="27"/>
  <c r="K3098" i="27"/>
  <c r="K3097" i="27"/>
  <c r="U1225" i="32"/>
  <c r="G1221" i="32"/>
  <c r="A1225" i="32"/>
  <c r="T1381" i="32" l="1" a="1"/>
  <c r="T1381" i="32" s="1"/>
  <c r="R1381" i="32" a="1"/>
  <c r="R1381" i="32" s="1"/>
  <c r="D1381" i="32" s="1"/>
  <c r="S1381" i="32" a="1"/>
  <c r="S1381" i="32" s="1"/>
  <c r="E1381" i="32" s="1"/>
  <c r="V1381" i="32" a="1"/>
  <c r="V1381" i="32" s="1"/>
  <c r="L1381" i="32" s="1"/>
  <c r="P1385" i="32"/>
  <c r="Q1383" i="32"/>
  <c r="F5665" i="27"/>
  <c r="K3100" i="27"/>
  <c r="K3099" i="27"/>
  <c r="U1227" i="32"/>
  <c r="A1227" i="32"/>
  <c r="G1223" i="32"/>
  <c r="R1383" i="32" l="1" a="1"/>
  <c r="R1383" i="32" s="1"/>
  <c r="D1383" i="32" s="1"/>
  <c r="S1383" i="32" a="1"/>
  <c r="S1383" i="32" s="1"/>
  <c r="E1383" i="32" s="1"/>
  <c r="V1383" i="32" a="1"/>
  <c r="V1383" i="32" s="1"/>
  <c r="L1383" i="32" s="1"/>
  <c r="T1383" i="32" a="1"/>
  <c r="T1383" i="32" s="1"/>
  <c r="P1387" i="32"/>
  <c r="Q1385" i="32"/>
  <c r="F5667" i="27"/>
  <c r="F5666" i="27"/>
  <c r="K3102" i="27"/>
  <c r="K3101" i="27"/>
  <c r="U1229" i="32"/>
  <c r="G1225" i="32"/>
  <c r="A1229" i="32"/>
  <c r="R1385" i="32" l="1" a="1"/>
  <c r="R1385" i="32" s="1"/>
  <c r="D1385" i="32" s="1"/>
  <c r="S1385" i="32" a="1"/>
  <c r="S1385" i="32" s="1"/>
  <c r="E1385" i="32" s="1"/>
  <c r="V1385" i="32" a="1"/>
  <c r="V1385" i="32" s="1"/>
  <c r="L1385" i="32" s="1"/>
  <c r="T1385" i="32" a="1"/>
  <c r="T1385" i="32" s="1"/>
  <c r="P1389" i="32"/>
  <c r="Q1387" i="32"/>
  <c r="F5668" i="27"/>
  <c r="K3103" i="27"/>
  <c r="K3104" i="27"/>
  <c r="U1231" i="32"/>
  <c r="G1227" i="32"/>
  <c r="A1231" i="32"/>
  <c r="T1387" i="32" l="1" a="1"/>
  <c r="T1387" i="32" s="1"/>
  <c r="R1387" i="32" a="1"/>
  <c r="R1387" i="32" s="1"/>
  <c r="D1387" i="32" s="1"/>
  <c r="S1387" i="32" a="1"/>
  <c r="S1387" i="32" s="1"/>
  <c r="E1387" i="32" s="1"/>
  <c r="V1387" i="32" a="1"/>
  <c r="V1387" i="32" s="1"/>
  <c r="L1387" i="32" s="1"/>
  <c r="P1391" i="32"/>
  <c r="Q1389" i="32"/>
  <c r="F5669" i="27"/>
  <c r="K3106" i="27"/>
  <c r="K3105" i="27"/>
  <c r="U1233" i="32"/>
  <c r="A1233" i="32"/>
  <c r="G1229" i="32"/>
  <c r="S1389" i="32" l="1" a="1"/>
  <c r="S1389" i="32" s="1"/>
  <c r="E1389" i="32" s="1"/>
  <c r="V1389" i="32" a="1"/>
  <c r="V1389" i="32" s="1"/>
  <c r="L1389" i="32" s="1"/>
  <c r="R1389" i="32" a="1"/>
  <c r="R1389" i="32" s="1"/>
  <c r="D1389" i="32" s="1"/>
  <c r="T1389" i="32" a="1"/>
  <c r="T1389" i="32" s="1"/>
  <c r="P1393" i="32"/>
  <c r="Q1391" i="32"/>
  <c r="F5670" i="27"/>
  <c r="K3108" i="27"/>
  <c r="K3107" i="27"/>
  <c r="U1235" i="32"/>
  <c r="A1235" i="32"/>
  <c r="G1231" i="32"/>
  <c r="R1391" i="32" l="1" a="1"/>
  <c r="R1391" i="32" s="1"/>
  <c r="D1391" i="32" s="1"/>
  <c r="T1391" i="32" a="1"/>
  <c r="T1391" i="32" s="1"/>
  <c r="S1391" i="32" a="1"/>
  <c r="S1391" i="32" s="1"/>
  <c r="E1391" i="32" s="1"/>
  <c r="V1391" i="32" a="1"/>
  <c r="V1391" i="32" s="1"/>
  <c r="L1391" i="32" s="1"/>
  <c r="P1395" i="32"/>
  <c r="Q1393" i="32"/>
  <c r="F5671" i="27"/>
  <c r="K3109" i="27"/>
  <c r="K3110" i="27"/>
  <c r="U1237" i="32"/>
  <c r="A1237" i="32"/>
  <c r="G1233" i="32"/>
  <c r="S1393" i="32" l="1" a="1"/>
  <c r="S1393" i="32" s="1"/>
  <c r="E1393" i="32" s="1"/>
  <c r="V1393" i="32" a="1"/>
  <c r="V1393" i="32" s="1"/>
  <c r="L1393" i="32" s="1"/>
  <c r="T1393" i="32" a="1"/>
  <c r="T1393" i="32" s="1"/>
  <c r="R1393" i="32" a="1"/>
  <c r="R1393" i="32" s="1"/>
  <c r="D1393" i="32" s="1"/>
  <c r="P1397" i="32"/>
  <c r="Q1395" i="32"/>
  <c r="F5672" i="27"/>
  <c r="F5673" i="27"/>
  <c r="K3111" i="27"/>
  <c r="K3112" i="27"/>
  <c r="U1239" i="32"/>
  <c r="A1239" i="32"/>
  <c r="G1235" i="32"/>
  <c r="T1395" i="32" l="1" a="1"/>
  <c r="T1395" i="32" s="1"/>
  <c r="R1395" i="32" a="1"/>
  <c r="R1395" i="32" s="1"/>
  <c r="D1395" i="32" s="1"/>
  <c r="S1395" i="32" a="1"/>
  <c r="S1395" i="32" s="1"/>
  <c r="E1395" i="32" s="1"/>
  <c r="V1395" i="32" a="1"/>
  <c r="V1395" i="32" s="1"/>
  <c r="L1395" i="32" s="1"/>
  <c r="P1399" i="32"/>
  <c r="Q1397" i="32"/>
  <c r="F5674" i="27"/>
  <c r="K3113" i="27"/>
  <c r="K3114" i="27"/>
  <c r="U1241" i="32"/>
  <c r="A1241" i="32"/>
  <c r="G1237" i="32"/>
  <c r="T1397" i="32" l="1" a="1"/>
  <c r="T1397" i="32" s="1"/>
  <c r="R1397" i="32" a="1"/>
  <c r="R1397" i="32" s="1"/>
  <c r="D1397" i="32" s="1"/>
  <c r="S1397" i="32" a="1"/>
  <c r="S1397" i="32" s="1"/>
  <c r="E1397" i="32" s="1"/>
  <c r="V1397" i="32" a="1"/>
  <c r="V1397" i="32" s="1"/>
  <c r="L1397" i="32" s="1"/>
  <c r="P1401" i="32"/>
  <c r="Q1399" i="32"/>
  <c r="F5675" i="27"/>
  <c r="K3115" i="27"/>
  <c r="K3116" i="27"/>
  <c r="U1243" i="32"/>
  <c r="A1243" i="32"/>
  <c r="G1239" i="32"/>
  <c r="P1403" i="32" l="1"/>
  <c r="Q1401" i="32"/>
  <c r="T1399" i="32" a="1"/>
  <c r="T1399" i="32" s="1"/>
  <c r="R1399" i="32" a="1"/>
  <c r="R1399" i="32" s="1"/>
  <c r="D1399" i="32" s="1"/>
  <c r="S1399" i="32" a="1"/>
  <c r="S1399" i="32" s="1"/>
  <c r="E1399" i="32" s="1"/>
  <c r="V1399" i="32" a="1"/>
  <c r="V1399" i="32" s="1"/>
  <c r="L1399" i="32" s="1"/>
  <c r="F5676" i="27"/>
  <c r="K3118" i="27"/>
  <c r="K3117" i="27"/>
  <c r="U1245" i="32"/>
  <c r="G1241" i="32"/>
  <c r="A1245" i="32"/>
  <c r="P1405" i="32" l="1"/>
  <c r="Q1403" i="32"/>
  <c r="S1401" i="32" a="1"/>
  <c r="S1401" i="32" s="1"/>
  <c r="E1401" i="32" s="1"/>
  <c r="R1401" i="32" a="1"/>
  <c r="R1401" i="32" s="1"/>
  <c r="D1401" i="32" s="1"/>
  <c r="V1401" i="32" a="1"/>
  <c r="V1401" i="32" s="1"/>
  <c r="L1401" i="32" s="1"/>
  <c r="T1401" i="32" a="1"/>
  <c r="T1401" i="32" s="1"/>
  <c r="F5677" i="27"/>
  <c r="K3119" i="27"/>
  <c r="K3120" i="27"/>
  <c r="U1247" i="32"/>
  <c r="A1247" i="32"/>
  <c r="G1243" i="32"/>
  <c r="P1407" i="32" l="1"/>
  <c r="Q1405" i="32"/>
  <c r="T1403" i="32" a="1"/>
  <c r="T1403" i="32" s="1"/>
  <c r="R1403" i="32" a="1"/>
  <c r="R1403" i="32" s="1"/>
  <c r="D1403" i="32" s="1"/>
  <c r="S1403" i="32" a="1"/>
  <c r="S1403" i="32" s="1"/>
  <c r="E1403" i="32" s="1"/>
  <c r="V1403" i="32" a="1"/>
  <c r="V1403" i="32" s="1"/>
  <c r="L1403" i="32" s="1"/>
  <c r="F5679" i="27"/>
  <c r="F5678" i="27"/>
  <c r="K3121" i="27"/>
  <c r="K3122" i="27"/>
  <c r="U1249" i="32"/>
  <c r="G1245" i="32"/>
  <c r="A1249" i="32"/>
  <c r="P1409" i="32" l="1"/>
  <c r="Q1407" i="32"/>
  <c r="S1405" i="32" a="1"/>
  <c r="S1405" i="32" s="1"/>
  <c r="E1405" i="32" s="1"/>
  <c r="R1405" i="32" a="1"/>
  <c r="R1405" i="32" s="1"/>
  <c r="D1405" i="32" s="1"/>
  <c r="V1405" i="32" a="1"/>
  <c r="V1405" i="32" s="1"/>
  <c r="L1405" i="32" s="1"/>
  <c r="T1405" i="32" a="1"/>
  <c r="T1405" i="32" s="1"/>
  <c r="F5680" i="27"/>
  <c r="K3123" i="27"/>
  <c r="K3124" i="27"/>
  <c r="U1251" i="32"/>
  <c r="G1247" i="32"/>
  <c r="A1251" i="32"/>
  <c r="P1411" i="32" l="1"/>
  <c r="Q1409" i="32"/>
  <c r="T1407" i="32" a="1"/>
  <c r="T1407" i="32" s="1"/>
  <c r="R1407" i="32" a="1"/>
  <c r="R1407" i="32" s="1"/>
  <c r="D1407" i="32" s="1"/>
  <c r="S1407" i="32" a="1"/>
  <c r="S1407" i="32" s="1"/>
  <c r="E1407" i="32" s="1"/>
  <c r="V1407" i="32" a="1"/>
  <c r="V1407" i="32" s="1"/>
  <c r="L1407" i="32" s="1"/>
  <c r="F5681" i="27"/>
  <c r="K3125" i="27"/>
  <c r="K3126" i="27"/>
  <c r="U1253" i="32"/>
  <c r="G1249" i="32"/>
  <c r="A1253" i="32"/>
  <c r="P1413" i="32" l="1"/>
  <c r="Q1411" i="32"/>
  <c r="S1409" i="32" a="1"/>
  <c r="S1409" i="32" s="1"/>
  <c r="E1409" i="32" s="1"/>
  <c r="V1409" i="32" a="1"/>
  <c r="V1409" i="32" s="1"/>
  <c r="L1409" i="32" s="1"/>
  <c r="R1409" i="32" a="1"/>
  <c r="R1409" i="32" s="1"/>
  <c r="D1409" i="32" s="1"/>
  <c r="T1409" i="32" a="1"/>
  <c r="T1409" i="32" s="1"/>
  <c r="F5682" i="27"/>
  <c r="K3127" i="27"/>
  <c r="K3128" i="27"/>
  <c r="U1255" i="32"/>
  <c r="G1251" i="32"/>
  <c r="T1411" i="32" l="1" a="1"/>
  <c r="T1411" i="32" s="1"/>
  <c r="S1411" i="32" a="1"/>
  <c r="S1411" i="32" s="1"/>
  <c r="E1411" i="32" s="1"/>
  <c r="V1411" i="32" a="1"/>
  <c r="V1411" i="32" s="1"/>
  <c r="L1411" i="32" s="1"/>
  <c r="R1411" i="32" a="1"/>
  <c r="R1411" i="32" s="1"/>
  <c r="D1411" i="32" s="1"/>
  <c r="P1415" i="32"/>
  <c r="Q1413" i="32"/>
  <c r="F5683" i="27"/>
  <c r="K3130" i="27"/>
  <c r="K3129" i="27"/>
  <c r="U1257" i="32"/>
  <c r="A1255" i="32"/>
  <c r="A1257" i="32"/>
  <c r="G1253" i="32"/>
  <c r="T1413" i="32" l="1" a="1"/>
  <c r="T1413" i="32" s="1"/>
  <c r="R1413" i="32" a="1"/>
  <c r="R1413" i="32" s="1"/>
  <c r="D1413" i="32" s="1"/>
  <c r="S1413" i="32" a="1"/>
  <c r="S1413" i="32" s="1"/>
  <c r="E1413" i="32" s="1"/>
  <c r="V1413" i="32" a="1"/>
  <c r="V1413" i="32" s="1"/>
  <c r="L1413" i="32" s="1"/>
  <c r="P1417" i="32"/>
  <c r="Q1415" i="32"/>
  <c r="F5684" i="27"/>
  <c r="F5685" i="27"/>
  <c r="K3131" i="27"/>
  <c r="K3132" i="27"/>
  <c r="U1259" i="32"/>
  <c r="A1259" i="32"/>
  <c r="G1255" i="32"/>
  <c r="T1415" i="32" l="1" a="1"/>
  <c r="T1415" i="32" s="1"/>
  <c r="S1415" i="32" a="1"/>
  <c r="S1415" i="32" s="1"/>
  <c r="E1415" i="32" s="1"/>
  <c r="R1415" i="32" a="1"/>
  <c r="R1415" i="32" s="1"/>
  <c r="D1415" i="32" s="1"/>
  <c r="V1415" i="32" a="1"/>
  <c r="V1415" i="32" s="1"/>
  <c r="L1415" i="32" s="1"/>
  <c r="P1419" i="32"/>
  <c r="Q1417" i="32"/>
  <c r="F5686" i="27"/>
  <c r="K3133" i="27"/>
  <c r="K3134" i="27"/>
  <c r="U1261" i="32"/>
  <c r="G1257" i="32"/>
  <c r="A1261" i="32"/>
  <c r="S1417" i="32" l="1" a="1"/>
  <c r="S1417" i="32" s="1"/>
  <c r="E1417" i="32" s="1"/>
  <c r="V1417" i="32" a="1"/>
  <c r="V1417" i="32" s="1"/>
  <c r="L1417" i="32" s="1"/>
  <c r="R1417" i="32" a="1"/>
  <c r="R1417" i="32" s="1"/>
  <c r="D1417" i="32" s="1"/>
  <c r="T1417" i="32" a="1"/>
  <c r="T1417" i="32" s="1"/>
  <c r="P1421" i="32"/>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Q1419" i="32"/>
  <c r="P1501" i="32"/>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F5687" i="27"/>
  <c r="K3135" i="27"/>
  <c r="K3136" i="27"/>
  <c r="U1263" i="32"/>
  <c r="G1259" i="32"/>
  <c r="A1263" i="32"/>
  <c r="P1543" i="32" l="1"/>
  <c r="Q1541" i="32"/>
  <c r="R1419" i="32" a="1"/>
  <c r="R1419" i="32" s="1"/>
  <c r="D1419" i="32" s="1"/>
  <c r="T1419" i="32" a="1"/>
  <c r="T1419" i="32" s="1"/>
  <c r="S1419" i="32" a="1"/>
  <c r="S1419" i="32" s="1"/>
  <c r="E1419" i="32" s="1"/>
  <c r="V1419" i="32" a="1"/>
  <c r="V1419" i="32" s="1"/>
  <c r="L1419" i="32" s="1"/>
  <c r="P1463" i="32"/>
  <c r="Q1461" i="32"/>
  <c r="F5688" i="27"/>
  <c r="K3138" i="27"/>
  <c r="K3137" i="27"/>
  <c r="U1265" i="32"/>
  <c r="A1265" i="32"/>
  <c r="G1261" i="32"/>
  <c r="S1541" i="32" l="1" a="1"/>
  <c r="S1541" i="32" s="1"/>
  <c r="E1541" i="32" s="1"/>
  <c r="R1541" i="32" a="1"/>
  <c r="R1541" i="32" s="1"/>
  <c r="D1541" i="32" s="1"/>
  <c r="T1541" i="32" a="1"/>
  <c r="T1541" i="32" s="1"/>
  <c r="V1541" i="32" a="1"/>
  <c r="V1541" i="32" s="1"/>
  <c r="L1541" i="32" s="1"/>
  <c r="P1545" i="32"/>
  <c r="Q1543" i="32"/>
  <c r="V1461" i="32" a="1"/>
  <c r="V1461" i="32" s="1"/>
  <c r="L1461" i="32" s="1"/>
  <c r="T1461" i="32" a="1"/>
  <c r="T1461" i="32" s="1"/>
  <c r="S1461" i="32" a="1"/>
  <c r="S1461" i="32" s="1"/>
  <c r="E1461" i="32" s="1"/>
  <c r="R1461" i="32" a="1"/>
  <c r="R1461" i="32" s="1"/>
  <c r="D1461" i="32" s="1"/>
  <c r="Q1463" i="32"/>
  <c r="P1465" i="32"/>
  <c r="F5689" i="27"/>
  <c r="K3139" i="27"/>
  <c r="K3140" i="27"/>
  <c r="U1267" i="32"/>
  <c r="G1263" i="32"/>
  <c r="A1267" i="32"/>
  <c r="T1543" i="32" l="1" a="1"/>
  <c r="T1543" i="32" s="1"/>
  <c r="V1543" i="32" a="1"/>
  <c r="V1543" i="32" s="1"/>
  <c r="L1543" i="32" s="1"/>
  <c r="S1543" i="32" a="1"/>
  <c r="S1543" i="32" s="1"/>
  <c r="E1543" i="32" s="1"/>
  <c r="R1543" i="32" a="1"/>
  <c r="R1543" i="32" s="1"/>
  <c r="D1543" i="32" s="1"/>
  <c r="P1547" i="32"/>
  <c r="Q1545" i="32"/>
  <c r="Q1465" i="32"/>
  <c r="P1467" i="32"/>
  <c r="S1463" i="32" a="1"/>
  <c r="S1463" i="32" s="1"/>
  <c r="E1463" i="32" s="1"/>
  <c r="R1463" i="32" a="1"/>
  <c r="R1463" i="32" s="1"/>
  <c r="D1463" i="32" s="1"/>
  <c r="V1463" i="32" a="1"/>
  <c r="V1463" i="32" s="1"/>
  <c r="L1463" i="32" s="1"/>
  <c r="T1463" i="32" a="1"/>
  <c r="T1463" i="32" s="1"/>
  <c r="F5690" i="27"/>
  <c r="F5691" i="27"/>
  <c r="K3142" i="27"/>
  <c r="K3141" i="27"/>
  <c r="U1269" i="32"/>
  <c r="G1265" i="32"/>
  <c r="A1269" i="32"/>
  <c r="R1545" i="32" l="1" a="1"/>
  <c r="R1545" i="32" s="1"/>
  <c r="D1545" i="32" s="1"/>
  <c r="T1545" i="32" a="1"/>
  <c r="T1545" i="32" s="1"/>
  <c r="V1545" i="32" a="1"/>
  <c r="V1545" i="32" s="1"/>
  <c r="L1545" i="32" s="1"/>
  <c r="S1545" i="32" a="1"/>
  <c r="S1545" i="32" s="1"/>
  <c r="E1545" i="32" s="1"/>
  <c r="P1549" i="32"/>
  <c r="Q1547" i="32"/>
  <c r="Q1467" i="32"/>
  <c r="P1469" i="32"/>
  <c r="R1465" i="32" a="1"/>
  <c r="R1465" i="32" s="1"/>
  <c r="D1465" i="32" s="1"/>
  <c r="V1465" i="32" a="1"/>
  <c r="V1465" i="32" s="1"/>
  <c r="L1465" i="32" s="1"/>
  <c r="T1465" i="32" a="1"/>
  <c r="T1465" i="32" s="1"/>
  <c r="S1465" i="32" a="1"/>
  <c r="S1465" i="32" s="1"/>
  <c r="E1465" i="32" s="1"/>
  <c r="F5692" i="27"/>
  <c r="K3143" i="27"/>
  <c r="K3144" i="27"/>
  <c r="U1271" i="32"/>
  <c r="G1267" i="32"/>
  <c r="A1271" i="32"/>
  <c r="V1547" i="32" l="1" a="1"/>
  <c r="V1547" i="32" s="1"/>
  <c r="L1547" i="32" s="1"/>
  <c r="S1547" i="32" a="1"/>
  <c r="S1547" i="32" s="1"/>
  <c r="E1547" i="32" s="1"/>
  <c r="R1547" i="32" a="1"/>
  <c r="R1547" i="32" s="1"/>
  <c r="D1547" i="32" s="1"/>
  <c r="T1547" i="32" a="1"/>
  <c r="T1547" i="32" s="1"/>
  <c r="P1551" i="32"/>
  <c r="Q1549" i="32"/>
  <c r="P1471" i="32"/>
  <c r="Q1469" i="32"/>
  <c r="V1467" i="32" a="1"/>
  <c r="V1467" i="32" s="1"/>
  <c r="L1467" i="32" s="1"/>
  <c r="R1467" i="32" a="1"/>
  <c r="R1467" i="32" s="1"/>
  <c r="D1467" i="32" s="1"/>
  <c r="S1467" i="32" a="1"/>
  <c r="S1467" i="32" s="1"/>
  <c r="E1467" i="32" s="1"/>
  <c r="T1467" i="32" a="1"/>
  <c r="T1467" i="32" s="1"/>
  <c r="F5693" i="27"/>
  <c r="K3145" i="27"/>
  <c r="K3146" i="27"/>
  <c r="U1273" i="32"/>
  <c r="A1273" i="32"/>
  <c r="G1269" i="32"/>
  <c r="V1549" i="32" l="1" a="1"/>
  <c r="V1549" i="32" s="1"/>
  <c r="L1549" i="32" s="1"/>
  <c r="S1549" i="32" a="1"/>
  <c r="S1549" i="32" s="1"/>
  <c r="E1549" i="32" s="1"/>
  <c r="R1549" i="32" a="1"/>
  <c r="R1549" i="32" s="1"/>
  <c r="D1549" i="32" s="1"/>
  <c r="T1549" i="32" a="1"/>
  <c r="T1549" i="32" s="1"/>
  <c r="P1553" i="32"/>
  <c r="Q1551" i="32"/>
  <c r="R1469" i="32" a="1"/>
  <c r="R1469" i="32" s="1"/>
  <c r="D1469" i="32" s="1"/>
  <c r="V1469" i="32" a="1"/>
  <c r="V1469" i="32" s="1"/>
  <c r="L1469" i="32" s="1"/>
  <c r="T1469" i="32" a="1"/>
  <c r="T1469" i="32" s="1"/>
  <c r="S1469" i="32" a="1"/>
  <c r="S1469" i="32" s="1"/>
  <c r="E1469" i="32" s="1"/>
  <c r="Q1471" i="32"/>
  <c r="P1473" i="32"/>
  <c r="F5694" i="27"/>
  <c r="K3148" i="27"/>
  <c r="K3147" i="27"/>
  <c r="U1275" i="32"/>
  <c r="G1271" i="32"/>
  <c r="A1275" i="32"/>
  <c r="V1551" i="32" l="1" a="1"/>
  <c r="V1551" i="32" s="1"/>
  <c r="L1551" i="32" s="1"/>
  <c r="S1551" i="32" a="1"/>
  <c r="S1551" i="32" s="1"/>
  <c r="E1551" i="32" s="1"/>
  <c r="R1551" i="32" a="1"/>
  <c r="R1551" i="32" s="1"/>
  <c r="D1551" i="32" s="1"/>
  <c r="T1551" i="32" a="1"/>
  <c r="T1551" i="32" s="1"/>
  <c r="P1555" i="32"/>
  <c r="Q1553" i="32"/>
  <c r="Q1473" i="32"/>
  <c r="P1475" i="32"/>
  <c r="R1471" i="32" a="1"/>
  <c r="R1471" i="32" s="1"/>
  <c r="D1471" i="32" s="1"/>
  <c r="V1471" i="32" a="1"/>
  <c r="V1471" i="32" s="1"/>
  <c r="L1471" i="32" s="1"/>
  <c r="T1471" i="32" a="1"/>
  <c r="T1471" i="32" s="1"/>
  <c r="S1471" i="32" a="1"/>
  <c r="S1471" i="32" s="1"/>
  <c r="E1471" i="32" s="1"/>
  <c r="F5695" i="27"/>
  <c r="K3150" i="27"/>
  <c r="K3149" i="27"/>
  <c r="U1277" i="32"/>
  <c r="G1273" i="32"/>
  <c r="A1277" i="32"/>
  <c r="V1553" i="32" l="1" a="1"/>
  <c r="V1553" i="32" s="1"/>
  <c r="L1553" i="32" s="1"/>
  <c r="S1553" i="32" a="1"/>
  <c r="S1553" i="32" s="1"/>
  <c r="E1553" i="32" s="1"/>
  <c r="R1553" i="32" a="1"/>
  <c r="R1553" i="32" s="1"/>
  <c r="D1553" i="32" s="1"/>
  <c r="T1553" i="32" a="1"/>
  <c r="T1553" i="32" s="1"/>
  <c r="P1557" i="32"/>
  <c r="Q1555" i="32"/>
  <c r="Q1475" i="32"/>
  <c r="P1477" i="32"/>
  <c r="V1473" i="32" a="1"/>
  <c r="V1473" i="32" s="1"/>
  <c r="L1473" i="32" s="1"/>
  <c r="R1473" i="32" a="1"/>
  <c r="R1473" i="32" s="1"/>
  <c r="D1473" i="32" s="1"/>
  <c r="S1473" i="32" a="1"/>
  <c r="S1473" i="32" s="1"/>
  <c r="E1473" i="32" s="1"/>
  <c r="T1473" i="32" a="1"/>
  <c r="T1473" i="32" s="1"/>
  <c r="F5696" i="27"/>
  <c r="F5697" i="27"/>
  <c r="K3151" i="27"/>
  <c r="K3152" i="27"/>
  <c r="U1279" i="32"/>
  <c r="G1275" i="32"/>
  <c r="A1279" i="32"/>
  <c r="V1555" i="32" l="1" a="1"/>
  <c r="V1555" i="32" s="1"/>
  <c r="L1555" i="32" s="1"/>
  <c r="S1555" i="32" a="1"/>
  <c r="S1555" i="32" s="1"/>
  <c r="E1555" i="32" s="1"/>
  <c r="R1555" i="32" a="1"/>
  <c r="R1555" i="32" s="1"/>
  <c r="D1555" i="32" s="1"/>
  <c r="T1555" i="32" a="1"/>
  <c r="T1555" i="32" s="1"/>
  <c r="P1559" i="32"/>
  <c r="Q1557" i="32"/>
  <c r="V1475" i="32" a="1"/>
  <c r="V1475" i="32" s="1"/>
  <c r="L1475" i="32" s="1"/>
  <c r="S1475" i="32" a="1"/>
  <c r="S1475" i="32" s="1"/>
  <c r="E1475" i="32" s="1"/>
  <c r="R1475" i="32" a="1"/>
  <c r="R1475" i="32" s="1"/>
  <c r="D1475" i="32" s="1"/>
  <c r="T1475" i="32" a="1"/>
  <c r="T1475" i="32" s="1"/>
  <c r="P1479" i="32"/>
  <c r="Q1477" i="32"/>
  <c r="F5698" i="27"/>
  <c r="K3154" i="27"/>
  <c r="K3153" i="27"/>
  <c r="U1281" i="32"/>
  <c r="A1281" i="32"/>
  <c r="G1277" i="32"/>
  <c r="S1557" i="32" l="1" a="1"/>
  <c r="S1557" i="32" s="1"/>
  <c r="E1557" i="32" s="1"/>
  <c r="R1557" i="32" a="1"/>
  <c r="R1557" i="32" s="1"/>
  <c r="D1557" i="32" s="1"/>
  <c r="T1557" i="32" a="1"/>
  <c r="T1557" i="32" s="1"/>
  <c r="V1557" i="32" a="1"/>
  <c r="V1557" i="32" s="1"/>
  <c r="L1557" i="32" s="1"/>
  <c r="P1561" i="32"/>
  <c r="Q1559" i="32"/>
  <c r="V1477" i="32" a="1"/>
  <c r="V1477" i="32" s="1"/>
  <c r="L1477" i="32" s="1"/>
  <c r="S1477" i="32" a="1"/>
  <c r="S1477" i="32" s="1"/>
  <c r="E1477" i="32" s="1"/>
  <c r="R1477" i="32" a="1"/>
  <c r="R1477" i="32" s="1"/>
  <c r="D1477" i="32" s="1"/>
  <c r="T1477" i="32" a="1"/>
  <c r="T1477" i="32" s="1"/>
  <c r="P1481" i="32"/>
  <c r="Q1479" i="32"/>
  <c r="F5699" i="27"/>
  <c r="K3155" i="27"/>
  <c r="K3156" i="27"/>
  <c r="U1283" i="32"/>
  <c r="G1279" i="32"/>
  <c r="A1283" i="32"/>
  <c r="S1559" i="32" l="1" a="1"/>
  <c r="S1559" i="32" s="1"/>
  <c r="E1559" i="32" s="1"/>
  <c r="R1559" i="32" a="1"/>
  <c r="R1559" i="32" s="1"/>
  <c r="D1559" i="32" s="1"/>
  <c r="T1559" i="32" a="1"/>
  <c r="T1559" i="32" s="1"/>
  <c r="V1559" i="32" a="1"/>
  <c r="V1559" i="32" s="1"/>
  <c r="L1559" i="32" s="1"/>
  <c r="P1563" i="32"/>
  <c r="Q1561" i="32"/>
  <c r="T1479" i="32" a="1"/>
  <c r="T1479" i="32" s="1"/>
  <c r="V1479" i="32" a="1"/>
  <c r="V1479" i="32" s="1"/>
  <c r="L1479" i="32" s="1"/>
  <c r="S1479" i="32" a="1"/>
  <c r="S1479" i="32" s="1"/>
  <c r="E1479" i="32" s="1"/>
  <c r="R1479" i="32" a="1"/>
  <c r="R1479" i="32" s="1"/>
  <c r="D1479" i="32" s="1"/>
  <c r="P1483" i="32"/>
  <c r="Q1481" i="32"/>
  <c r="F5700" i="27"/>
  <c r="K3158" i="27"/>
  <c r="K3157" i="27"/>
  <c r="U1285" i="32"/>
  <c r="A1285" i="32"/>
  <c r="G1281" i="32"/>
  <c r="R1561" i="32" l="1" a="1"/>
  <c r="R1561" i="32" s="1"/>
  <c r="D1561" i="32" s="1"/>
  <c r="T1561" i="32" a="1"/>
  <c r="T1561" i="32" s="1"/>
  <c r="V1561" i="32" a="1"/>
  <c r="V1561" i="32" s="1"/>
  <c r="L1561" i="32" s="1"/>
  <c r="S1561" i="32" a="1"/>
  <c r="S1561" i="32" s="1"/>
  <c r="E1561" i="32" s="1"/>
  <c r="P1565" i="32"/>
  <c r="Q1563" i="32"/>
  <c r="S1481" i="32" a="1"/>
  <c r="S1481" i="32" s="1"/>
  <c r="E1481" i="32" s="1"/>
  <c r="R1481" i="32" a="1"/>
  <c r="R1481" i="32" s="1"/>
  <c r="D1481" i="32" s="1"/>
  <c r="T1481" i="32" a="1"/>
  <c r="T1481" i="32" s="1"/>
  <c r="V1481" i="32" a="1"/>
  <c r="V1481" i="32" s="1"/>
  <c r="L1481" i="32" s="1"/>
  <c r="P1485" i="32"/>
  <c r="Q1483" i="32"/>
  <c r="F5701" i="27"/>
  <c r="K3159" i="27"/>
  <c r="K3160" i="27"/>
  <c r="U1287" i="32"/>
  <c r="A1287" i="32"/>
  <c r="G1283" i="32"/>
  <c r="T1563" i="32" l="1" a="1"/>
  <c r="T1563" i="32" s="1"/>
  <c r="V1563" i="32" a="1"/>
  <c r="V1563" i="32" s="1"/>
  <c r="L1563" i="32" s="1"/>
  <c r="S1563" i="32" a="1"/>
  <c r="S1563" i="32" s="1"/>
  <c r="E1563" i="32" s="1"/>
  <c r="R1563" i="32" a="1"/>
  <c r="R1563" i="32" s="1"/>
  <c r="D1563" i="32" s="1"/>
  <c r="P1567" i="32"/>
  <c r="Q1565" i="32"/>
  <c r="T1483" i="32" a="1"/>
  <c r="T1483" i="32" s="1"/>
  <c r="V1483" i="32" a="1"/>
  <c r="V1483" i="32" s="1"/>
  <c r="L1483" i="32" s="1"/>
  <c r="R1483" i="32" a="1"/>
  <c r="R1483" i="32" s="1"/>
  <c r="D1483" i="32" s="1"/>
  <c r="S1483" i="32" a="1"/>
  <c r="S1483" i="32" s="1"/>
  <c r="E1483" i="32" s="1"/>
  <c r="P1487" i="32"/>
  <c r="Q1485" i="32"/>
  <c r="F5702" i="27"/>
  <c r="F5703" i="27"/>
  <c r="K3162" i="27"/>
  <c r="K3161" i="27"/>
  <c r="U1289" i="32"/>
  <c r="A1289" i="32"/>
  <c r="G1285" i="32"/>
  <c r="T1565" i="32" l="1" a="1"/>
  <c r="T1565" i="32" s="1"/>
  <c r="V1565" i="32" a="1"/>
  <c r="V1565" i="32" s="1"/>
  <c r="L1565" i="32" s="1"/>
  <c r="S1565" i="32" a="1"/>
  <c r="S1565" i="32" s="1"/>
  <c r="E1565" i="32" s="1"/>
  <c r="R1565" i="32" a="1"/>
  <c r="R1565" i="32" s="1"/>
  <c r="D1565" i="32" s="1"/>
  <c r="P1569" i="32"/>
  <c r="Q1567" i="32"/>
  <c r="T1485" i="32" a="1"/>
  <c r="T1485" i="32" s="1"/>
  <c r="V1485" i="32" a="1"/>
  <c r="V1485" i="32" s="1"/>
  <c r="L1485" i="32" s="1"/>
  <c r="S1485" i="32" a="1"/>
  <c r="S1485" i="32" s="1"/>
  <c r="E1485" i="32" s="1"/>
  <c r="R1485" i="32" a="1"/>
  <c r="R1485" i="32" s="1"/>
  <c r="D1485" i="32" s="1"/>
  <c r="P1489" i="32"/>
  <c r="Q1487" i="32"/>
  <c r="F5704" i="27"/>
  <c r="K3164" i="27"/>
  <c r="K3163" i="27"/>
  <c r="U1291" i="32"/>
  <c r="G1287" i="32"/>
  <c r="A1291" i="32"/>
  <c r="V1567" i="32" l="1" a="1"/>
  <c r="V1567" i="32" s="1"/>
  <c r="L1567" i="32" s="1"/>
  <c r="S1567" i="32" a="1"/>
  <c r="S1567" i="32" s="1"/>
  <c r="E1567" i="32" s="1"/>
  <c r="R1567" i="32" a="1"/>
  <c r="R1567" i="32" s="1"/>
  <c r="D1567" i="32" s="1"/>
  <c r="T1567" i="32" a="1"/>
  <c r="T1567" i="32" s="1"/>
  <c r="P1571" i="32"/>
  <c r="Q1569" i="32"/>
  <c r="S1487" i="32" a="1"/>
  <c r="S1487" i="32" s="1"/>
  <c r="E1487" i="32" s="1"/>
  <c r="R1487" i="32" a="1"/>
  <c r="R1487" i="32" s="1"/>
  <c r="D1487" i="32" s="1"/>
  <c r="T1487" i="32" a="1"/>
  <c r="T1487" i="32" s="1"/>
  <c r="V1487" i="32" a="1"/>
  <c r="V1487" i="32" s="1"/>
  <c r="L1487" i="32" s="1"/>
  <c r="P1491" i="32"/>
  <c r="Q1489" i="32"/>
  <c r="F5705" i="27"/>
  <c r="K3165" i="27"/>
  <c r="K3166" i="27"/>
  <c r="U1293" i="32"/>
  <c r="A1293" i="32"/>
  <c r="G1289" i="32"/>
  <c r="T1569" i="32" l="1" a="1"/>
  <c r="T1569" i="32" s="1"/>
  <c r="V1569" i="32" a="1"/>
  <c r="V1569" i="32" s="1"/>
  <c r="L1569" i="32" s="1"/>
  <c r="S1569" i="32" a="1"/>
  <c r="S1569" i="32" s="1"/>
  <c r="E1569" i="32" s="1"/>
  <c r="R1569" i="32" a="1"/>
  <c r="R1569" i="32" s="1"/>
  <c r="D1569" i="32" s="1"/>
  <c r="P1573" i="32"/>
  <c r="Q1571" i="32"/>
  <c r="V1489" i="32" a="1"/>
  <c r="V1489" i="32" s="1"/>
  <c r="L1489" i="32" s="1"/>
  <c r="S1489" i="32" a="1"/>
  <c r="S1489" i="32" s="1"/>
  <c r="E1489" i="32" s="1"/>
  <c r="R1489" i="32" a="1"/>
  <c r="R1489" i="32" s="1"/>
  <c r="D1489" i="32" s="1"/>
  <c r="T1489" i="32" a="1"/>
  <c r="T1489" i="32" s="1"/>
  <c r="P1493" i="32"/>
  <c r="Q1491" i="32"/>
  <c r="F5706" i="27"/>
  <c r="K3168" i="27"/>
  <c r="K3167" i="27"/>
  <c r="U1295" i="32"/>
  <c r="A1295" i="32"/>
  <c r="G1291" i="32"/>
  <c r="T1571" i="32" l="1" a="1"/>
  <c r="T1571" i="32" s="1"/>
  <c r="V1571" i="32" a="1"/>
  <c r="V1571" i="32" s="1"/>
  <c r="L1571" i="32" s="1"/>
  <c r="S1571" i="32" a="1"/>
  <c r="S1571" i="32" s="1"/>
  <c r="E1571" i="32" s="1"/>
  <c r="R1571" i="32" a="1"/>
  <c r="R1571" i="32" s="1"/>
  <c r="D1571" i="32" s="1"/>
  <c r="P1575" i="32"/>
  <c r="Q1573" i="32"/>
  <c r="R1491" i="32" a="1"/>
  <c r="R1491" i="32" s="1"/>
  <c r="D1491" i="32" s="1"/>
  <c r="T1491" i="32" a="1"/>
  <c r="T1491" i="32" s="1"/>
  <c r="V1491" i="32" a="1"/>
  <c r="V1491" i="32" s="1"/>
  <c r="L1491" i="32" s="1"/>
  <c r="S1491" i="32" a="1"/>
  <c r="S1491" i="32" s="1"/>
  <c r="E1491" i="32" s="1"/>
  <c r="Q1493" i="32"/>
  <c r="P1495" i="32"/>
  <c r="F5707" i="27"/>
  <c r="K3169" i="27"/>
  <c r="K3170" i="27"/>
  <c r="U1297" i="32"/>
  <c r="G1293" i="32"/>
  <c r="A1297" i="32"/>
  <c r="T1573" i="32" l="1" a="1"/>
  <c r="T1573" i="32" s="1"/>
  <c r="V1573" i="32" a="1"/>
  <c r="V1573" i="32" s="1"/>
  <c r="L1573" i="32" s="1"/>
  <c r="S1573" i="32" a="1"/>
  <c r="S1573" i="32" s="1"/>
  <c r="E1573" i="32" s="1"/>
  <c r="R1573" i="32" a="1"/>
  <c r="R1573" i="32" s="1"/>
  <c r="D1573" i="32" s="1"/>
  <c r="P1577" i="32"/>
  <c r="Q1575" i="32"/>
  <c r="Q1495" i="32"/>
  <c r="P1497" i="32"/>
  <c r="S1493" i="32" a="1"/>
  <c r="S1493" i="32" s="1"/>
  <c r="E1493" i="32" s="1"/>
  <c r="R1493" i="32" a="1"/>
  <c r="R1493" i="32" s="1"/>
  <c r="D1493" i="32" s="1"/>
  <c r="V1493" i="32" a="1"/>
  <c r="V1493" i="32" s="1"/>
  <c r="L1493" i="32" s="1"/>
  <c r="T1493" i="32" a="1"/>
  <c r="T1493" i="32" s="1"/>
  <c r="F5708" i="27"/>
  <c r="F5709" i="27"/>
  <c r="K3171" i="27"/>
  <c r="K3172" i="27"/>
  <c r="U1299" i="32"/>
  <c r="G1295" i="32"/>
  <c r="A1299" i="32"/>
  <c r="R1575" i="32" l="1" a="1"/>
  <c r="R1575" i="32" s="1"/>
  <c r="D1575" i="32" s="1"/>
  <c r="T1575" i="32" a="1"/>
  <c r="T1575" i="32" s="1"/>
  <c r="V1575" i="32" a="1"/>
  <c r="V1575" i="32" s="1"/>
  <c r="L1575" i="32" s="1"/>
  <c r="S1575" i="32" a="1"/>
  <c r="S1575" i="32" s="1"/>
  <c r="E1575" i="32" s="1"/>
  <c r="P1579" i="32"/>
  <c r="Q1577" i="32"/>
  <c r="Q1497" i="32"/>
  <c r="P1499" i="32"/>
  <c r="Q1499" i="32" s="1"/>
  <c r="V1495" i="32" a="1"/>
  <c r="V1495" i="32" s="1"/>
  <c r="L1495" i="32" s="1"/>
  <c r="S1495" i="32" a="1"/>
  <c r="S1495" i="32" s="1"/>
  <c r="E1495" i="32" s="1"/>
  <c r="R1495" i="32" a="1"/>
  <c r="R1495" i="32" s="1"/>
  <c r="D1495" i="32" s="1"/>
  <c r="T1495" i="32" a="1"/>
  <c r="T1495" i="32" s="1"/>
  <c r="F5710" i="27"/>
  <c r="K3173" i="27"/>
  <c r="K3174" i="27"/>
  <c r="U1301" i="32"/>
  <c r="A1301" i="32"/>
  <c r="G1297" i="32"/>
  <c r="V1577" i="32" l="1" a="1"/>
  <c r="V1577" i="32" s="1"/>
  <c r="L1577" i="32" s="1"/>
  <c r="S1577" i="32" a="1"/>
  <c r="S1577" i="32" s="1"/>
  <c r="E1577" i="32" s="1"/>
  <c r="R1577" i="32" a="1"/>
  <c r="R1577" i="32" s="1"/>
  <c r="D1577" i="32" s="1"/>
  <c r="T1577" i="32" a="1"/>
  <c r="T1577" i="32" s="1"/>
  <c r="P1581" i="32"/>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Q1579" i="32"/>
  <c r="R1499" i="32" a="1"/>
  <c r="R1499" i="32" s="1"/>
  <c r="D1499" i="32" s="1"/>
  <c r="T1499" i="32" a="1"/>
  <c r="T1499" i="32" s="1"/>
  <c r="V1499" i="32" a="1"/>
  <c r="V1499" i="32" s="1"/>
  <c r="L1499" i="32" s="1"/>
  <c r="S1499" i="32" a="1"/>
  <c r="S1499" i="32" s="1"/>
  <c r="E1499" i="32" s="1"/>
  <c r="R1497" i="32" a="1"/>
  <c r="R1497" i="32" s="1"/>
  <c r="D1497" i="32" s="1"/>
  <c r="T1497" i="32" a="1"/>
  <c r="T1497" i="32" s="1"/>
  <c r="V1497" i="32" a="1"/>
  <c r="V1497" i="32" s="1"/>
  <c r="L1497" i="32" s="1"/>
  <c r="S1497" i="32" a="1"/>
  <c r="S1497" i="32" s="1"/>
  <c r="E1497" i="32" s="1"/>
  <c r="F5711" i="27"/>
  <c r="K3176" i="27"/>
  <c r="K3175" i="27"/>
  <c r="U1303" i="32"/>
  <c r="A1303" i="32"/>
  <c r="G1299" i="32"/>
  <c r="S1579" i="32" l="1" a="1"/>
  <c r="S1579" i="32" s="1"/>
  <c r="E1579" i="32" s="1"/>
  <c r="R1579" i="32" a="1"/>
  <c r="R1579" i="32" s="1"/>
  <c r="D1579" i="32" s="1"/>
  <c r="T1579" i="32" a="1"/>
  <c r="T1579" i="32" s="1"/>
  <c r="V1579" i="32" a="1"/>
  <c r="V1579" i="32" s="1"/>
  <c r="L1579" i="32" s="1"/>
  <c r="F5712" i="27"/>
  <c r="K3178" i="27"/>
  <c r="K3177" i="27"/>
  <c r="U1305" i="32"/>
  <c r="G1301" i="32"/>
  <c r="A1305" i="32"/>
  <c r="F5713" i="27" l="1"/>
  <c r="K3179" i="27"/>
  <c r="K3180" i="27"/>
  <c r="U1307" i="32"/>
  <c r="A1307" i="32"/>
  <c r="G1303" i="32"/>
  <c r="F5715" i="27" l="1"/>
  <c r="F5714" i="27"/>
  <c r="K3182" i="27"/>
  <c r="K3181" i="27"/>
  <c r="U1309" i="32"/>
  <c r="G1305" i="32"/>
  <c r="A1309" i="32"/>
  <c r="F5716" i="27" l="1"/>
  <c r="K3183" i="27"/>
  <c r="K3184" i="27"/>
  <c r="U1311" i="32"/>
  <c r="A1311" i="32"/>
  <c r="G1307" i="32"/>
  <c r="F5717" i="27" l="1"/>
  <c r="K3186" i="27"/>
  <c r="K3185" i="27"/>
  <c r="U1313" i="32"/>
  <c r="G1309" i="32"/>
  <c r="A1313" i="32"/>
  <c r="F5718" i="27" l="1"/>
  <c r="K3188" i="27"/>
  <c r="K3187" i="27"/>
  <c r="U1315" i="32"/>
  <c r="G1311" i="32"/>
  <c r="A1315" i="32"/>
  <c r="F5719" i="27" l="1"/>
  <c r="K3189" i="27"/>
  <c r="K3190" i="27"/>
  <c r="U1317" i="32"/>
  <c r="G1313" i="32"/>
  <c r="A1317" i="32"/>
  <c r="F5720" i="27" l="1"/>
  <c r="F5721" i="27"/>
  <c r="K3192" i="27"/>
  <c r="K3191" i="27"/>
  <c r="U1319" i="32"/>
  <c r="G1315" i="32"/>
  <c r="A1319" i="32"/>
  <c r="F5722" i="27" l="1"/>
  <c r="K3194" i="27"/>
  <c r="K3193" i="27"/>
  <c r="U1321" i="32"/>
  <c r="A1321" i="32"/>
  <c r="G1317" i="32"/>
  <c r="F5723" i="27" l="1"/>
  <c r="K3195" i="27"/>
  <c r="K3196" i="27"/>
  <c r="U1323" i="32"/>
  <c r="G1319" i="32"/>
  <c r="A1323" i="32"/>
  <c r="F5724" i="27" l="1"/>
  <c r="K3198" i="27"/>
  <c r="K3197" i="27"/>
  <c r="U1325" i="32"/>
  <c r="A1325" i="32"/>
  <c r="G1321" i="32"/>
  <c r="F5725" i="27" l="1"/>
  <c r="K3199" i="27"/>
  <c r="K3200" i="27"/>
  <c r="U1327" i="32"/>
  <c r="G1323" i="32"/>
  <c r="A1327" i="32"/>
  <c r="F5726" i="27" l="1"/>
  <c r="F5727" i="27"/>
  <c r="K3201" i="27"/>
  <c r="K3202" i="27"/>
  <c r="U1329" i="32"/>
  <c r="A1329" i="32"/>
  <c r="G1325" i="32"/>
  <c r="F5728" i="27" l="1"/>
  <c r="K3203" i="27"/>
  <c r="K3204" i="27"/>
  <c r="U1331" i="32"/>
  <c r="G1327" i="32"/>
  <c r="F5729" i="27" l="1"/>
  <c r="K3206" i="27"/>
  <c r="K3205" i="27"/>
  <c r="U1333" i="32"/>
  <c r="A1331" i="32"/>
  <c r="A1333" i="32"/>
  <c r="G1329" i="32"/>
  <c r="F5730" i="27" l="1"/>
  <c r="K3208" i="27"/>
  <c r="K3207" i="27"/>
  <c r="U1335" i="32"/>
  <c r="G1331" i="32"/>
  <c r="A1335" i="32"/>
  <c r="F5731" i="27" l="1"/>
  <c r="K3210" i="27"/>
  <c r="K3209" i="27"/>
  <c r="U1337" i="32"/>
  <c r="G1333" i="32"/>
  <c r="A1337" i="32"/>
  <c r="F5733" i="27" l="1"/>
  <c r="F5732" i="27"/>
  <c r="K3212" i="27"/>
  <c r="K3211" i="27"/>
  <c r="U1339" i="32"/>
  <c r="A1339" i="32"/>
  <c r="G1335" i="32"/>
  <c r="F5734" i="27" l="1"/>
  <c r="K3213" i="27"/>
  <c r="K3214" i="27"/>
  <c r="U1341" i="32"/>
  <c r="A1341" i="32"/>
  <c r="G1337" i="32"/>
  <c r="F5735" i="27" l="1"/>
  <c r="K3216" i="27"/>
  <c r="K3215" i="27"/>
  <c r="U1343" i="32"/>
  <c r="A1343" i="32"/>
  <c r="G1339" i="32"/>
  <c r="F5736" i="27" l="1"/>
  <c r="K3218" i="27"/>
  <c r="K3217" i="27"/>
  <c r="U1345" i="32"/>
  <c r="G1341" i="32"/>
  <c r="A1345" i="32"/>
  <c r="F5737" i="27" l="1"/>
  <c r="K3219" i="27"/>
  <c r="K3220" i="27"/>
  <c r="U1347" i="32"/>
  <c r="G1343" i="32"/>
  <c r="A1347" i="32"/>
  <c r="F5739" i="27" l="1"/>
  <c r="F5738" i="27"/>
  <c r="K3222" i="27"/>
  <c r="K3221" i="27"/>
  <c r="U1349" i="32"/>
  <c r="G1345" i="32"/>
  <c r="A1349" i="32"/>
  <c r="F5740" i="27" l="1"/>
  <c r="K3223" i="27"/>
  <c r="K3224" i="27"/>
  <c r="U1351" i="32"/>
  <c r="A1351" i="32"/>
  <c r="G1347" i="32"/>
  <c r="F5741" i="27" l="1"/>
  <c r="K3225" i="27"/>
  <c r="K3226" i="27"/>
  <c r="U1353" i="32"/>
  <c r="A1353" i="32"/>
  <c r="G1349" i="32"/>
  <c r="F5742" i="27" l="1"/>
  <c r="K3228" i="27"/>
  <c r="K3227" i="27"/>
  <c r="U1355" i="32"/>
  <c r="G1351" i="32"/>
  <c r="A1355" i="32"/>
  <c r="F5743" i="27" l="1"/>
  <c r="K3230" i="27"/>
  <c r="K3229" i="27"/>
  <c r="U1357" i="32"/>
  <c r="G1353" i="32"/>
  <c r="A1357" i="32"/>
  <c r="F5745" i="27" l="1"/>
  <c r="F5744" i="27"/>
  <c r="K3231" i="27"/>
  <c r="K3232" i="27"/>
  <c r="U1359" i="32"/>
  <c r="G1355" i="32"/>
  <c r="A1359" i="32"/>
  <c r="F5746" i="27" l="1"/>
  <c r="K3234" i="27"/>
  <c r="K3233" i="27"/>
  <c r="U1361" i="32"/>
  <c r="G1357" i="32"/>
  <c r="A1361" i="32"/>
  <c r="F5747" i="27" l="1"/>
  <c r="K3236" i="27"/>
  <c r="K3235" i="27"/>
  <c r="U1363" i="32"/>
  <c r="A1363" i="32"/>
  <c r="G1359" i="32"/>
  <c r="F5748" i="27" l="1"/>
  <c r="K3237" i="27"/>
  <c r="K3238" i="27"/>
  <c r="U1365" i="32"/>
  <c r="A1365" i="32"/>
  <c r="G1361" i="32"/>
  <c r="F5749" i="27" l="1"/>
  <c r="K3239" i="27"/>
  <c r="K3240" i="27"/>
  <c r="U1367" i="32"/>
  <c r="G1363" i="32"/>
  <c r="A1367" i="32"/>
  <c r="F5750" i="27" l="1"/>
  <c r="K3242" i="27"/>
  <c r="K3241" i="27"/>
  <c r="U1369" i="32"/>
  <c r="G1365" i="32"/>
  <c r="A1369" i="32"/>
  <c r="K3244" i="27" l="1"/>
  <c r="K3243" i="27"/>
  <c r="U1371" i="32"/>
  <c r="G1367" i="32"/>
  <c r="A1371" i="32"/>
  <c r="K3245" i="27" l="1"/>
  <c r="K3246" i="27"/>
  <c r="U1373" i="32"/>
  <c r="A1373" i="32"/>
  <c r="G1369" i="32"/>
  <c r="K3248" i="27" l="1"/>
  <c r="K3247" i="27"/>
  <c r="U1375" i="32"/>
  <c r="A1375" i="32"/>
  <c r="G1371" i="32"/>
  <c r="K3250" i="27" l="1"/>
  <c r="K3249" i="27"/>
  <c r="U1377" i="32"/>
  <c r="G1373" i="32"/>
  <c r="A1377" i="32"/>
  <c r="K3251" i="27" l="1"/>
  <c r="K3252" i="27"/>
  <c r="U1379" i="32"/>
  <c r="A1379" i="32"/>
  <c r="G1375" i="32"/>
  <c r="K3253" i="27" l="1"/>
  <c r="K3254" i="27"/>
  <c r="U1381" i="32"/>
  <c r="G1377" i="32"/>
  <c r="A1381" i="32"/>
  <c r="K3256" i="27" l="1"/>
  <c r="K3255" i="27"/>
  <c r="U1383" i="32"/>
  <c r="A1383" i="32"/>
  <c r="G1379" i="32"/>
  <c r="K3258" i="27" l="1"/>
  <c r="K3257" i="27"/>
  <c r="U1385" i="32"/>
  <c r="A1385" i="32"/>
  <c r="G1381" i="32"/>
  <c r="K3260" i="27" l="1"/>
  <c r="K3259" i="27"/>
  <c r="U1387" i="32"/>
  <c r="G1383" i="32"/>
  <c r="A1387" i="32"/>
  <c r="K3261" i="27" l="1"/>
  <c r="K3262" i="27"/>
  <c r="U1389" i="32"/>
  <c r="G1385" i="32"/>
  <c r="A1389" i="32"/>
  <c r="K3264" i="27" l="1"/>
  <c r="K3263" i="27"/>
  <c r="U1391" i="32"/>
  <c r="G1387" i="32"/>
  <c r="A1391" i="32"/>
  <c r="K3265" i="27" l="1"/>
  <c r="K3266" i="27"/>
  <c r="U1393" i="32"/>
  <c r="G1389" i="32"/>
  <c r="A1393" i="32"/>
  <c r="K3268" i="27" l="1"/>
  <c r="K3267" i="27"/>
  <c r="U1395" i="32"/>
  <c r="G1391" i="32"/>
  <c r="A1395" i="32"/>
  <c r="K3270" i="27" l="1"/>
  <c r="K3269" i="27"/>
  <c r="U1397" i="32"/>
  <c r="A1397" i="32"/>
  <c r="G1393" i="32"/>
  <c r="K3272" i="27" l="1"/>
  <c r="K3271" i="27"/>
  <c r="U1399" i="32"/>
  <c r="A1399" i="32"/>
  <c r="G1395" i="32"/>
  <c r="K3274" i="27" l="1"/>
  <c r="K3273" i="27"/>
  <c r="U1401" i="32"/>
  <c r="G1397" i="32"/>
  <c r="A1401" i="32"/>
  <c r="K3276" i="27" l="1"/>
  <c r="K3275" i="27"/>
  <c r="U1403" i="32"/>
  <c r="G1399" i="32"/>
  <c r="A1403" i="32"/>
  <c r="K3278" i="27" l="1"/>
  <c r="K3277" i="27"/>
  <c r="U1405" i="32"/>
  <c r="G1401" i="32"/>
  <c r="A1405" i="32"/>
  <c r="K3279" i="27" l="1"/>
  <c r="K3280" i="27"/>
  <c r="U1407" i="32"/>
  <c r="A1407" i="32"/>
  <c r="G1403" i="32"/>
  <c r="K3282" i="27" l="1"/>
  <c r="K3281" i="27"/>
  <c r="U1409" i="32"/>
  <c r="A1409" i="32"/>
  <c r="G1405" i="32"/>
  <c r="K3283" i="27" l="1"/>
  <c r="K3284" i="27"/>
  <c r="U1411" i="32"/>
  <c r="G1407" i="32"/>
  <c r="A1411" i="32"/>
  <c r="K3286" i="27" l="1"/>
  <c r="K3285" i="27"/>
  <c r="U1413" i="32"/>
  <c r="G1409" i="32"/>
  <c r="A1413" i="32"/>
  <c r="K3288" i="27" l="1"/>
  <c r="K3287" i="27"/>
  <c r="U1415" i="32"/>
  <c r="G1411" i="32"/>
  <c r="A1415" i="32"/>
  <c r="K3289" i="27" l="1"/>
  <c r="K3290" i="27"/>
  <c r="U1417" i="32"/>
  <c r="G1413" i="32"/>
  <c r="A1417" i="32"/>
  <c r="K3292" i="27" l="1"/>
  <c r="K3291" i="27"/>
  <c r="U1419" i="32"/>
  <c r="G1415" i="32"/>
  <c r="A1419" i="32"/>
  <c r="K3293" i="27" l="1"/>
  <c r="K3294" i="27"/>
  <c r="U1421" i="32"/>
  <c r="G1417" i="32"/>
  <c r="A1421" i="32"/>
  <c r="K3295" i="27" l="1"/>
  <c r="K3296" i="27"/>
  <c r="U1423" i="32"/>
  <c r="A1423" i="32"/>
  <c r="G1419" i="32"/>
  <c r="K3298" i="27" l="1"/>
  <c r="K3297" i="27"/>
  <c r="U1425" i="32"/>
  <c r="A1425" i="32"/>
  <c r="G1421" i="32"/>
  <c r="K3300" i="27" l="1"/>
  <c r="K3299" i="27"/>
  <c r="U1427" i="32"/>
  <c r="A1427" i="32"/>
  <c r="G1423" i="32"/>
  <c r="K3301" i="27" l="1"/>
  <c r="K3302" i="27"/>
  <c r="U1429" i="32"/>
  <c r="G1425" i="32"/>
  <c r="A1429" i="32"/>
  <c r="K3303" i="27" l="1"/>
  <c r="K3304" i="27"/>
  <c r="U1431" i="32"/>
  <c r="A1431" i="32"/>
  <c r="G1427" i="32"/>
  <c r="K3306" i="27" l="1"/>
  <c r="K3305" i="27"/>
  <c r="U1433" i="32"/>
  <c r="A1433" i="32"/>
  <c r="G1429" i="32"/>
  <c r="K3307" i="27" l="1"/>
  <c r="K3308" i="27"/>
  <c r="U1435" i="32"/>
  <c r="G1431" i="32"/>
  <c r="A1435" i="32"/>
  <c r="K3309" i="27" l="1"/>
  <c r="K3310" i="27"/>
  <c r="U1437" i="32"/>
  <c r="G1433" i="32"/>
  <c r="A1437" i="32"/>
  <c r="K3311" i="27" l="1"/>
  <c r="K3312" i="27"/>
  <c r="U1439" i="32"/>
  <c r="A1439" i="32"/>
  <c r="G1435" i="32"/>
  <c r="K3314" i="27" l="1"/>
  <c r="K3313" i="27"/>
  <c r="U1441" i="32"/>
  <c r="A1441" i="32"/>
  <c r="G1437" i="32"/>
  <c r="K3316" i="27" l="1"/>
  <c r="K3315" i="27"/>
  <c r="U1443" i="32"/>
  <c r="A1443" i="32"/>
  <c r="G1439" i="32"/>
  <c r="K3317" i="27" l="1"/>
  <c r="K3318" i="27"/>
  <c r="U1445" i="32"/>
  <c r="G1441" i="32"/>
  <c r="A1445" i="32"/>
  <c r="K3319" i="27" l="1"/>
  <c r="K3320" i="27"/>
  <c r="U1447" i="32"/>
  <c r="A1447" i="32"/>
  <c r="G1443" i="32"/>
  <c r="K3321" i="27" l="1"/>
  <c r="K3322" i="27"/>
  <c r="U1449" i="32"/>
  <c r="G1445" i="32"/>
  <c r="A1449" i="32"/>
  <c r="K3324" i="27" l="1"/>
  <c r="K3323" i="27"/>
  <c r="U1451" i="32"/>
  <c r="G1447" i="32"/>
  <c r="A1451" i="32"/>
  <c r="K3326" i="27" l="1"/>
  <c r="K3325" i="27"/>
  <c r="U1453" i="32"/>
  <c r="G1449" i="32"/>
  <c r="A1453" i="32"/>
  <c r="K3328" i="27" l="1"/>
  <c r="K3327" i="27"/>
  <c r="U1455" i="32"/>
  <c r="A1455" i="32"/>
  <c r="G1451" i="32"/>
  <c r="K3330" i="27" l="1"/>
  <c r="K3329" i="27"/>
  <c r="U1457" i="32"/>
  <c r="A1457" i="32"/>
  <c r="G1453" i="32"/>
  <c r="K3331" i="27" l="1"/>
  <c r="K3332" i="27"/>
  <c r="U1459" i="32"/>
  <c r="A1459" i="32"/>
  <c r="G1455" i="32"/>
  <c r="K3334" i="27" l="1"/>
  <c r="K3333" i="27"/>
  <c r="U1461" i="32"/>
  <c r="G1457" i="32"/>
  <c r="A1461" i="32"/>
  <c r="K3335" i="27" l="1"/>
  <c r="K3336" i="27"/>
  <c r="U1463" i="32"/>
  <c r="A1463" i="32"/>
  <c r="G1459" i="32"/>
  <c r="K3337" i="27" l="1"/>
  <c r="K3338" i="27"/>
  <c r="U1465" i="32"/>
  <c r="A1465" i="32"/>
  <c r="G1461" i="32"/>
  <c r="K3340" i="27" l="1"/>
  <c r="K3339" i="27"/>
  <c r="U1467" i="32"/>
  <c r="G1463" i="32"/>
  <c r="A1467" i="32"/>
  <c r="K3342" i="27" l="1"/>
  <c r="K3341" i="27"/>
  <c r="U1469" i="32"/>
  <c r="A1469" i="32"/>
  <c r="G1465" i="32"/>
  <c r="K3344" i="27" l="1"/>
  <c r="K3343" i="27"/>
  <c r="U1471" i="32"/>
  <c r="G1467" i="32"/>
  <c r="A1471" i="32"/>
  <c r="K3345" i="27" l="1"/>
  <c r="K3346" i="27"/>
  <c r="U1473" i="32"/>
  <c r="A1473" i="32"/>
  <c r="G1469" i="32"/>
  <c r="K3347" i="27" l="1"/>
  <c r="K3348" i="27"/>
  <c r="U1475" i="32"/>
  <c r="G1471" i="32"/>
  <c r="A1475" i="32"/>
  <c r="K3350" i="27" l="1"/>
  <c r="K3349" i="27"/>
  <c r="U1477" i="32"/>
  <c r="A1477" i="32"/>
  <c r="G1473" i="32"/>
  <c r="K3352" i="27" l="1"/>
  <c r="K3351" i="27"/>
  <c r="U1479" i="32"/>
  <c r="A1479" i="32"/>
  <c r="G1475" i="32"/>
  <c r="K3353" i="27" l="1"/>
  <c r="K3354" i="27"/>
  <c r="U1481" i="32"/>
  <c r="G1477" i="32"/>
  <c r="A1481" i="32"/>
  <c r="K3355" i="27" l="1"/>
  <c r="K3356" i="27"/>
  <c r="U1483" i="32"/>
  <c r="A1483" i="32"/>
  <c r="G1479" i="32"/>
  <c r="K3357" i="27" l="1"/>
  <c r="K3358" i="27"/>
  <c r="U1485" i="32"/>
  <c r="G1481" i="32"/>
  <c r="A1485" i="32"/>
  <c r="K3360" i="27" l="1"/>
  <c r="K3359" i="27"/>
  <c r="U1487" i="32"/>
  <c r="G1483" i="32"/>
  <c r="A1487" i="32"/>
  <c r="K3361" i="27" l="1"/>
  <c r="K3362" i="27"/>
  <c r="U1489" i="32"/>
  <c r="A1489" i="32"/>
  <c r="G1485" i="32"/>
  <c r="K3364" i="27" l="1"/>
  <c r="K3363" i="27"/>
  <c r="U1491" i="32"/>
  <c r="A1491" i="32"/>
  <c r="G1487" i="32"/>
  <c r="K3365" i="27" l="1"/>
  <c r="K3366" i="27"/>
  <c r="U1493" i="32"/>
  <c r="G1489" i="32"/>
  <c r="A1493" i="32"/>
  <c r="K3367" i="27" l="1"/>
  <c r="K3368" i="27"/>
  <c r="U1495" i="32"/>
  <c r="A1495" i="32"/>
  <c r="G1491" i="32"/>
  <c r="K3369" i="27" l="1"/>
  <c r="K3370" i="27"/>
  <c r="U1497" i="32"/>
  <c r="G1493" i="32"/>
  <c r="A1497" i="32"/>
  <c r="K3371" i="27" l="1"/>
  <c r="K3372" i="27"/>
  <c r="U1499" i="32"/>
  <c r="G1495" i="32"/>
  <c r="A1499" i="32"/>
  <c r="K3374" i="27" l="1"/>
  <c r="K3373" i="27"/>
  <c r="U1501" i="32"/>
  <c r="A1501" i="32"/>
  <c r="G1497" i="32"/>
  <c r="K3375" i="27" l="1"/>
  <c r="K3376" i="27"/>
  <c r="U1503" i="32"/>
  <c r="G1499" i="32"/>
  <c r="A1503" i="32"/>
  <c r="K3377" i="27" l="1"/>
  <c r="K3378" i="27"/>
  <c r="U1505" i="32"/>
  <c r="G1501" i="32"/>
  <c r="A1505" i="32"/>
  <c r="K3380" i="27" l="1"/>
  <c r="K3379" i="27"/>
  <c r="U1507" i="32"/>
  <c r="G1503" i="32"/>
  <c r="A1507" i="32"/>
  <c r="K3381" i="27" l="1"/>
  <c r="K3382" i="27"/>
  <c r="U1509" i="32"/>
  <c r="A1509" i="32"/>
  <c r="G1505" i="32"/>
  <c r="K3383" i="27" l="1"/>
  <c r="K3384" i="27"/>
  <c r="U1511" i="32"/>
  <c r="A1511" i="32"/>
  <c r="G1507" i="32"/>
  <c r="K3385" i="27" l="1"/>
  <c r="K3386" i="27"/>
  <c r="U1513" i="32"/>
  <c r="A1513" i="32"/>
  <c r="G1509" i="32"/>
  <c r="K3388" i="27" l="1"/>
  <c r="K3387" i="27"/>
  <c r="U1515" i="32"/>
  <c r="A1515" i="32"/>
  <c r="G1511" i="32"/>
  <c r="K3390" i="27" l="1"/>
  <c r="K3389" i="27"/>
  <c r="U1517" i="32"/>
  <c r="G1513" i="32"/>
  <c r="A1517" i="32"/>
  <c r="K3392" i="27" l="1"/>
  <c r="K3391" i="27"/>
  <c r="U1519" i="32"/>
  <c r="G1515" i="32"/>
  <c r="A1519" i="32"/>
  <c r="K3393" i="27" l="1"/>
  <c r="K3394" i="27"/>
  <c r="U1521" i="32"/>
  <c r="G1517" i="32"/>
  <c r="A1521" i="32"/>
  <c r="K3395" i="27" l="1"/>
  <c r="K3396" i="27"/>
  <c r="U1523" i="32"/>
  <c r="G1519" i="32"/>
  <c r="A1523" i="32"/>
  <c r="K3397" i="27" l="1"/>
  <c r="K3398" i="27"/>
  <c r="U1525" i="32"/>
  <c r="G1521" i="32"/>
  <c r="A1525" i="32"/>
  <c r="K3399" i="27" l="1"/>
  <c r="K3400" i="27"/>
  <c r="U1527" i="32"/>
  <c r="A1527" i="32"/>
  <c r="G1523" i="32"/>
  <c r="K3401" i="27" l="1"/>
  <c r="K3402" i="27"/>
  <c r="U1529" i="32"/>
  <c r="G1525" i="32"/>
  <c r="A1529" i="32"/>
  <c r="K3403" i="27" l="1"/>
  <c r="K3404" i="27"/>
  <c r="U1531" i="32"/>
  <c r="G1527" i="32"/>
  <c r="A1531" i="32"/>
  <c r="K3405" i="27" l="1"/>
  <c r="K3406" i="27"/>
  <c r="U1533" i="32"/>
  <c r="A1533" i="32"/>
  <c r="G1529" i="32"/>
  <c r="K3408" i="27" l="1"/>
  <c r="K3407" i="27"/>
  <c r="U1535" i="32"/>
  <c r="G1531" i="32"/>
  <c r="A1535" i="32"/>
  <c r="K3410" i="27" l="1"/>
  <c r="K3409" i="27"/>
  <c r="U1537" i="32"/>
  <c r="G1533" i="32"/>
  <c r="A1537" i="32"/>
  <c r="K3412" i="27" l="1"/>
  <c r="K3411" i="27"/>
  <c r="U1539" i="32"/>
  <c r="A1539" i="32"/>
  <c r="G1535" i="32"/>
  <c r="K3413" i="27" l="1"/>
  <c r="K3414" i="27"/>
  <c r="U1541" i="32"/>
  <c r="A1541" i="32"/>
  <c r="G1537" i="32"/>
  <c r="K3416" i="27" l="1"/>
  <c r="K3415" i="27"/>
  <c r="U1543" i="32"/>
  <c r="G1539" i="32"/>
  <c r="A1543" i="32"/>
  <c r="K3418" i="27" l="1"/>
  <c r="K3417" i="27"/>
  <c r="U1545" i="32"/>
  <c r="G1541" i="32"/>
  <c r="A1545" i="32"/>
  <c r="K3420" i="27" l="1"/>
  <c r="K3419" i="27"/>
  <c r="U1547" i="32"/>
  <c r="A1547" i="32"/>
  <c r="G1543" i="32"/>
  <c r="K3422" i="27" l="1"/>
  <c r="K3421" i="27"/>
  <c r="U1549" i="32"/>
  <c r="G1545" i="32"/>
  <c r="A1549" i="32"/>
  <c r="K3424" i="27" l="1"/>
  <c r="K3423" i="27"/>
  <c r="U1551" i="32"/>
  <c r="G1547" i="32"/>
  <c r="A1551" i="32"/>
  <c r="K3426" i="27" l="1"/>
  <c r="K3425" i="27"/>
  <c r="U1553" i="32"/>
  <c r="G1549" i="32"/>
  <c r="A1553" i="32"/>
  <c r="K3428" i="27" l="1"/>
  <c r="K3427" i="27"/>
  <c r="U1555" i="32"/>
  <c r="A1555" i="32"/>
  <c r="G1551" i="32"/>
  <c r="K3430" i="27" l="1"/>
  <c r="K3429" i="27"/>
  <c r="U1557" i="32"/>
  <c r="A1557" i="32"/>
  <c r="G1553" i="32"/>
  <c r="K3432" i="27" l="1"/>
  <c r="K3431" i="27"/>
  <c r="U1559" i="32"/>
  <c r="G1555" i="32"/>
  <c r="A1559" i="32"/>
  <c r="K3434" i="27" l="1"/>
  <c r="K3433" i="27"/>
  <c r="U1561" i="32"/>
  <c r="A1561" i="32"/>
  <c r="G1557" i="32"/>
  <c r="K3435" i="27" l="1"/>
  <c r="K3436" i="27"/>
  <c r="U1563" i="32"/>
  <c r="G1559" i="32"/>
  <c r="A1563" i="32"/>
  <c r="K3437" i="27" l="1"/>
  <c r="K3438" i="27"/>
  <c r="U1565" i="32"/>
  <c r="A1565" i="32"/>
  <c r="G1561" i="32"/>
  <c r="K3439" i="27" l="1"/>
  <c r="K3440" i="27"/>
  <c r="U1567" i="32"/>
  <c r="G1563" i="32"/>
  <c r="A1567" i="32"/>
  <c r="K3441" i="27" l="1"/>
  <c r="K3442" i="27"/>
  <c r="U1569" i="32"/>
  <c r="A1569" i="32"/>
  <c r="G1565" i="32"/>
  <c r="K3443" i="27" l="1"/>
  <c r="K3444" i="27"/>
  <c r="U1571" i="32"/>
  <c r="G1567" i="32"/>
  <c r="A1571" i="32"/>
  <c r="K3446" i="27" l="1"/>
  <c r="K3445" i="27"/>
  <c r="U1573" i="32"/>
  <c r="G1569" i="32"/>
  <c r="A1573" i="32"/>
  <c r="K3448" i="27" l="1"/>
  <c r="K3447" i="27"/>
  <c r="U1575" i="32"/>
  <c r="A1575" i="32"/>
  <c r="G1571" i="32"/>
  <c r="K3449" i="27" l="1"/>
  <c r="K3450" i="27"/>
  <c r="U1577" i="32"/>
  <c r="G1573" i="32"/>
  <c r="A1577" i="32"/>
  <c r="K3452" i="27" l="1"/>
  <c r="K3451" i="27"/>
  <c r="U1579" i="32"/>
  <c r="G1575" i="32"/>
  <c r="A1579" i="32"/>
  <c r="K3453" i="27" l="1"/>
  <c r="K3454" i="27"/>
  <c r="U1581" i="32"/>
  <c r="A1581" i="32"/>
  <c r="G1577" i="32"/>
  <c r="K3455" i="27" l="1"/>
  <c r="K3456" i="27"/>
  <c r="U1583" i="32"/>
  <c r="G1579" i="32"/>
  <c r="A1583" i="32"/>
  <c r="K3457" i="27" l="1"/>
  <c r="K3458" i="27"/>
  <c r="U1585" i="32"/>
  <c r="A1585" i="32"/>
  <c r="G1581" i="32"/>
  <c r="K3459" i="27" l="1"/>
  <c r="K3460" i="27"/>
  <c r="U1587" i="32"/>
  <c r="A1587" i="32"/>
  <c r="G1583" i="32"/>
  <c r="K3462" i="27" l="1"/>
  <c r="K3461" i="27"/>
  <c r="U1589" i="32"/>
  <c r="G1585" i="32"/>
  <c r="A1589" i="32"/>
  <c r="K3464" i="27" l="1"/>
  <c r="K3463" i="27"/>
  <c r="U1591" i="32"/>
  <c r="A1591" i="32"/>
  <c r="G1587" i="32"/>
  <c r="K3465" i="27" l="1"/>
  <c r="K3466" i="27"/>
  <c r="U1593" i="32"/>
  <c r="A1593" i="32"/>
  <c r="G1589" i="32"/>
  <c r="K3468" i="27" l="1"/>
  <c r="K3467" i="27"/>
  <c r="U1595" i="32"/>
  <c r="G1591" i="32"/>
  <c r="A1595" i="32"/>
  <c r="K3470" i="27" l="1"/>
  <c r="K3469" i="27"/>
  <c r="U1597" i="32"/>
  <c r="G1593" i="32"/>
  <c r="A1597" i="32"/>
  <c r="K3472" i="27" l="1"/>
  <c r="K3471" i="27"/>
  <c r="U1599" i="32"/>
  <c r="G1595" i="32"/>
  <c r="A1599" i="32"/>
  <c r="K3474" i="27" l="1"/>
  <c r="K3473" i="27"/>
  <c r="U1601" i="32"/>
  <c r="A1601" i="32"/>
  <c r="G1597" i="32"/>
  <c r="K3475" i="27" l="1"/>
  <c r="K3476" i="27"/>
  <c r="U1603" i="32"/>
  <c r="A1603" i="32"/>
  <c r="G1599" i="32"/>
  <c r="K3477" i="27" l="1"/>
  <c r="K3478" i="27"/>
  <c r="U1605" i="32"/>
  <c r="A1605" i="32"/>
  <c r="G1601" i="32"/>
  <c r="K3479" i="27" l="1"/>
  <c r="K3480" i="27"/>
  <c r="U1607" i="32"/>
  <c r="A1607" i="32"/>
  <c r="G1603" i="32"/>
  <c r="K3482" i="27" l="1"/>
  <c r="K3481" i="27"/>
  <c r="U1609" i="32"/>
  <c r="A1609" i="32"/>
  <c r="G1605" i="32"/>
  <c r="K3484" i="27" l="1"/>
  <c r="K3483" i="27"/>
  <c r="U1611" i="32"/>
  <c r="A1611" i="32"/>
  <c r="G1607" i="32"/>
  <c r="K3485" i="27" l="1"/>
  <c r="K3486" i="27"/>
  <c r="U1613" i="32"/>
  <c r="A1613" i="32"/>
  <c r="G1609" i="32"/>
  <c r="K3488" i="27" l="1"/>
  <c r="K3487" i="27"/>
  <c r="U1615" i="32"/>
  <c r="A1615" i="32"/>
  <c r="G1611" i="32"/>
  <c r="K3490" i="27" l="1"/>
  <c r="K3489" i="27"/>
  <c r="U1617" i="32"/>
  <c r="A1617" i="32"/>
  <c r="G1613" i="32"/>
  <c r="K3491" i="27" l="1"/>
  <c r="K3492" i="27"/>
  <c r="U1619" i="32"/>
  <c r="A1619" i="32"/>
  <c r="G1615" i="32"/>
  <c r="K3493" i="27" l="1"/>
  <c r="K3494" i="27"/>
  <c r="U1621" i="32"/>
  <c r="A1621" i="32"/>
  <c r="G1617" i="32"/>
  <c r="K3495" i="27" l="1"/>
  <c r="K3496" i="27"/>
  <c r="U1623" i="32"/>
  <c r="A1623" i="32"/>
  <c r="G1619" i="32"/>
  <c r="K3498" i="27" l="1"/>
  <c r="K3497" i="27"/>
  <c r="U1625" i="32"/>
  <c r="G1621" i="32"/>
  <c r="A1625" i="32"/>
  <c r="K3499" i="27" l="1"/>
  <c r="K3500" i="27"/>
  <c r="U1627" i="32"/>
  <c r="G1623" i="32"/>
  <c r="A1627" i="32"/>
  <c r="K3502" i="27" l="1"/>
  <c r="K3501" i="27"/>
  <c r="U1629" i="32"/>
  <c r="G1625" i="32"/>
  <c r="A1629" i="32"/>
  <c r="K3503" i="27" l="1"/>
  <c r="K3504" i="27"/>
  <c r="U1631" i="32"/>
  <c r="A1631" i="32"/>
  <c r="G1627" i="32"/>
  <c r="K3505" i="27" l="1"/>
  <c r="K3506" i="27"/>
  <c r="U1633" i="32"/>
  <c r="A1633" i="32"/>
  <c r="G1629" i="32"/>
  <c r="K3508" i="27" l="1"/>
  <c r="K3507" i="27"/>
  <c r="U1635" i="32"/>
  <c r="G1631" i="32"/>
  <c r="A1635" i="32"/>
  <c r="K3509" i="27" l="1"/>
  <c r="K3510" i="27"/>
  <c r="U1637" i="32"/>
  <c r="G1633" i="32"/>
  <c r="A1637" i="32"/>
  <c r="K3511" i="27" l="1"/>
  <c r="K3512" i="27"/>
  <c r="U1639" i="32"/>
  <c r="G1635" i="32"/>
  <c r="A1639" i="32"/>
  <c r="K3514" i="27" l="1"/>
  <c r="K3513" i="27"/>
  <c r="U1641" i="32"/>
  <c r="G1637" i="32"/>
  <c r="A1641" i="32"/>
  <c r="K3515" i="27" l="1"/>
  <c r="K3516" i="27"/>
  <c r="U1643" i="32"/>
  <c r="A1643" i="32"/>
  <c r="G1639" i="32"/>
  <c r="K3518" i="27" l="1"/>
  <c r="K3517" i="27"/>
  <c r="U1645" i="32"/>
  <c r="G1641" i="32"/>
  <c r="A1645" i="32"/>
  <c r="K3519" i="27" l="1"/>
  <c r="K3520" i="27"/>
  <c r="U1647" i="32"/>
  <c r="G1643" i="32"/>
  <c r="A1647" i="32"/>
  <c r="K3522" i="27" l="1"/>
  <c r="K3521" i="27"/>
  <c r="U1649" i="32"/>
  <c r="A1649" i="32"/>
  <c r="G1645" i="32"/>
  <c r="K3523" i="27" l="1"/>
  <c r="K3524" i="27"/>
  <c r="U1651" i="32"/>
  <c r="G1647" i="32"/>
  <c r="A1651" i="32"/>
  <c r="K3525" i="27" l="1"/>
  <c r="K3526" i="27"/>
  <c r="U1653" i="32"/>
  <c r="A1653" i="32"/>
  <c r="G1649" i="32"/>
  <c r="K3528" i="27" l="1"/>
  <c r="K3527" i="27"/>
  <c r="U1655" i="32"/>
  <c r="G1651" i="32"/>
  <c r="A1655" i="32"/>
  <c r="K3530" i="27" l="1"/>
  <c r="K3529" i="27"/>
  <c r="U1657" i="32"/>
  <c r="G1653" i="32"/>
  <c r="A1657" i="32"/>
  <c r="K3532" i="27" l="1"/>
  <c r="K3531" i="27"/>
  <c r="U1659" i="32"/>
  <c r="G1655" i="32"/>
  <c r="A1659" i="32"/>
  <c r="K3533" i="27" l="1"/>
  <c r="K3534" i="27"/>
  <c r="U1661" i="32"/>
  <c r="G1657" i="32"/>
  <c r="A1661" i="32"/>
  <c r="K3536" i="27" l="1"/>
  <c r="K3535" i="27"/>
  <c r="U1663" i="32"/>
  <c r="G1659" i="32"/>
  <c r="A1663" i="32"/>
  <c r="K3537" i="27" l="1"/>
  <c r="K3538" i="27"/>
  <c r="U1665" i="32"/>
  <c r="G1661" i="32"/>
  <c r="A1665" i="32"/>
  <c r="K3540" i="27" l="1"/>
  <c r="K3539" i="27"/>
  <c r="U1667" i="32"/>
  <c r="A1667" i="32"/>
  <c r="G1663" i="32"/>
  <c r="K3541" i="27" l="1"/>
  <c r="K3542" i="27"/>
  <c r="U1669" i="32"/>
  <c r="G1665" i="32"/>
  <c r="A1669" i="32"/>
  <c r="K3543" i="27" l="1"/>
  <c r="K3544" i="27"/>
  <c r="U1671" i="32"/>
  <c r="G1667" i="32"/>
  <c r="A1671" i="32"/>
  <c r="K3545" i="27" l="1"/>
  <c r="K3546" i="27"/>
  <c r="U1673" i="32"/>
  <c r="A1673" i="32"/>
  <c r="G1669" i="32"/>
  <c r="K3547" i="27" l="1"/>
  <c r="K3548" i="27"/>
  <c r="U1675" i="32"/>
  <c r="G1671" i="32"/>
  <c r="A1675" i="32"/>
  <c r="K3550" i="27" l="1"/>
  <c r="K3549" i="27"/>
  <c r="U1677" i="32"/>
  <c r="A1677" i="32"/>
  <c r="G1673" i="32"/>
  <c r="K3551" i="27" l="1"/>
  <c r="K3552" i="27"/>
  <c r="U1679" i="32"/>
  <c r="G1675" i="32"/>
  <c r="A1679" i="32"/>
  <c r="K3553" i="27" l="1"/>
  <c r="K3554" i="27"/>
  <c r="U1681" i="32"/>
  <c r="A1681" i="32"/>
  <c r="G1677" i="32"/>
  <c r="K3556" i="27" l="1"/>
  <c r="K3555" i="27"/>
  <c r="U1683" i="32"/>
  <c r="A1683" i="32"/>
  <c r="G1679" i="32"/>
  <c r="K3557" i="27" l="1"/>
  <c r="K3558" i="27"/>
  <c r="U1685" i="32"/>
  <c r="G1681" i="32"/>
  <c r="A1685" i="32"/>
  <c r="K3560" i="27" l="1"/>
  <c r="K3559" i="27"/>
  <c r="U1687" i="32"/>
  <c r="G1683" i="32"/>
  <c r="A1687" i="32"/>
  <c r="K3562" i="27" l="1"/>
  <c r="K3561" i="27"/>
  <c r="U1689" i="32"/>
  <c r="G1685" i="32"/>
  <c r="A1689" i="32"/>
  <c r="K3563" i="27" l="1"/>
  <c r="K3564" i="27"/>
  <c r="U1691" i="32"/>
  <c r="G1687" i="32"/>
  <c r="A1691" i="32"/>
  <c r="K3565" i="27" l="1"/>
  <c r="K3566" i="27"/>
  <c r="U1693" i="32"/>
  <c r="G1689" i="32"/>
  <c r="A1693" i="32"/>
  <c r="K3567" i="27" l="1"/>
  <c r="K3568" i="27"/>
  <c r="U1695" i="32"/>
  <c r="G1691" i="32"/>
  <c r="A1695" i="32"/>
  <c r="K3569" i="27" l="1"/>
  <c r="K3570" i="27"/>
  <c r="U1697" i="32"/>
  <c r="G1693" i="32"/>
  <c r="A1697" i="32"/>
  <c r="K3572" i="27" l="1"/>
  <c r="K3571" i="27"/>
  <c r="U1699" i="32"/>
  <c r="G1695" i="32"/>
  <c r="A1699" i="32"/>
  <c r="K3573" i="27" l="1"/>
  <c r="K3574" i="27"/>
  <c r="U1701" i="32"/>
  <c r="A1701" i="32"/>
  <c r="G1697" i="32"/>
  <c r="K3576" i="27" l="1"/>
  <c r="K3575" i="27"/>
  <c r="U1703" i="32"/>
  <c r="A1703" i="32"/>
  <c r="G1699" i="32"/>
  <c r="K3577" i="27" l="1"/>
  <c r="K3578" i="27"/>
  <c r="U1705" i="32"/>
  <c r="A1705" i="32"/>
  <c r="G1701" i="32"/>
  <c r="K3580" i="27" l="1"/>
  <c r="K3579" i="27"/>
  <c r="U1707" i="32"/>
  <c r="G1703" i="32"/>
  <c r="A1707" i="32"/>
  <c r="K3581" i="27" l="1"/>
  <c r="K3582" i="27"/>
  <c r="U1709" i="32"/>
  <c r="A1709" i="32"/>
  <c r="G1705" i="32"/>
  <c r="K3584" i="27" l="1"/>
  <c r="K3583" i="27"/>
  <c r="U1711" i="32"/>
  <c r="G1707" i="32"/>
  <c r="A1711" i="32"/>
  <c r="K3585" i="27" l="1"/>
  <c r="K3586" i="27"/>
  <c r="U1713" i="32"/>
  <c r="G1709" i="32"/>
  <c r="A1713" i="32"/>
  <c r="K3588" i="27" l="1"/>
  <c r="K3587" i="27"/>
  <c r="U1715" i="32"/>
  <c r="G1711" i="32"/>
  <c r="A1715" i="32"/>
  <c r="K3589" i="27" l="1"/>
  <c r="K3590" i="27"/>
  <c r="U1717" i="32"/>
  <c r="G1713" i="32"/>
  <c r="A1717" i="32"/>
  <c r="K3591" i="27" l="1"/>
  <c r="K3592" i="27"/>
  <c r="U1719" i="32"/>
  <c r="G1715" i="32"/>
  <c r="A1719" i="32"/>
  <c r="K3593" i="27" l="1"/>
  <c r="K3594" i="27"/>
  <c r="U1721" i="32"/>
  <c r="A1721" i="32"/>
  <c r="G1717" i="32"/>
  <c r="K3596" i="27" l="1"/>
  <c r="K3595" i="27"/>
  <c r="U1723" i="32"/>
  <c r="A1723" i="32"/>
  <c r="G1719" i="32"/>
  <c r="K3597" i="27" l="1"/>
  <c r="K3598" i="27"/>
  <c r="U1725" i="32"/>
  <c r="G1721" i="32"/>
  <c r="A1725" i="32"/>
  <c r="K3599" i="27" l="1"/>
  <c r="K3600" i="27"/>
  <c r="U1727" i="32"/>
  <c r="G1723" i="32"/>
  <c r="A1727" i="32"/>
  <c r="K3602" i="27" l="1"/>
  <c r="K3601" i="27"/>
  <c r="U1729" i="32"/>
  <c r="G1725" i="32"/>
  <c r="A1729" i="32"/>
  <c r="K3604" i="27" l="1"/>
  <c r="K3603" i="27"/>
  <c r="U1731" i="32"/>
  <c r="G1727" i="32"/>
  <c r="A1731" i="32"/>
  <c r="K3606" i="27" l="1"/>
  <c r="K3605" i="27"/>
  <c r="U1733" i="32"/>
  <c r="A1733" i="32"/>
  <c r="G1729" i="32"/>
  <c r="K3608" i="27" l="1"/>
  <c r="K3607" i="27"/>
  <c r="U1735" i="32"/>
  <c r="G1731" i="32"/>
  <c r="A1735" i="32"/>
  <c r="K3609" i="27" l="1"/>
  <c r="K3610" i="27"/>
  <c r="U1737" i="32"/>
  <c r="G1733" i="32"/>
  <c r="A1737" i="32"/>
  <c r="K3612" i="27" l="1"/>
  <c r="K3611" i="27"/>
  <c r="U1739" i="32"/>
  <c r="G1735" i="32"/>
  <c r="K3613" i="27" l="1"/>
  <c r="K3614" i="27"/>
  <c r="U1741" i="32"/>
  <c r="A1739" i="32"/>
  <c r="A1741" i="32"/>
  <c r="G1737" i="32"/>
  <c r="K3616" i="27" l="1"/>
  <c r="K3615" i="27"/>
  <c r="U1743" i="32"/>
  <c r="A1743" i="32"/>
  <c r="G1739" i="32"/>
  <c r="K3618" i="27" l="1"/>
  <c r="K3617" i="27"/>
  <c r="U1745" i="32"/>
  <c r="A1745" i="32"/>
  <c r="G1741" i="32"/>
  <c r="K3619" i="27" l="1"/>
  <c r="K3620" i="27"/>
  <c r="U1747" i="32"/>
  <c r="G1743" i="32"/>
  <c r="A1747" i="32"/>
  <c r="K3622" i="27" l="1"/>
  <c r="K3621" i="27"/>
  <c r="U1749" i="32"/>
  <c r="A1749" i="32"/>
  <c r="G1745" i="32"/>
  <c r="K3624" i="27" l="1"/>
  <c r="K3623" i="27"/>
  <c r="U1751" i="32"/>
  <c r="A1751" i="32"/>
  <c r="G1747" i="32"/>
  <c r="K3626" i="27" l="1"/>
  <c r="K3625" i="27"/>
  <c r="U1753" i="32"/>
  <c r="A1753" i="32"/>
  <c r="G1749" i="32"/>
  <c r="K3628" i="27" l="1"/>
  <c r="K3627" i="27"/>
  <c r="U1755" i="32"/>
  <c r="G1751" i="32"/>
  <c r="A1755" i="32"/>
  <c r="K3629" i="27" l="1"/>
  <c r="K3630" i="27"/>
  <c r="U1757" i="32"/>
  <c r="G1753" i="32"/>
  <c r="A1757" i="32"/>
  <c r="K3631" i="27" l="1"/>
  <c r="K3632" i="27"/>
  <c r="U1759" i="32"/>
  <c r="G1755" i="32"/>
  <c r="A1759" i="32"/>
  <c r="K3634" i="27" l="1"/>
  <c r="K3633" i="27"/>
  <c r="U1761" i="32"/>
  <c r="A1761" i="32"/>
  <c r="G1757" i="32"/>
  <c r="K3636" i="27" l="1"/>
  <c r="K3635" i="27"/>
  <c r="U1763" i="32"/>
  <c r="G1759" i="32"/>
  <c r="A1763" i="32"/>
  <c r="K3637" i="27" l="1"/>
  <c r="K3638" i="27"/>
  <c r="U1765" i="32"/>
  <c r="G1761" i="32"/>
  <c r="A1765" i="32"/>
  <c r="K3639" i="27" l="1"/>
  <c r="K3640" i="27"/>
  <c r="U1767" i="32"/>
  <c r="A1767" i="32"/>
  <c r="G1763" i="32"/>
  <c r="K3642" i="27" l="1"/>
  <c r="K3641" i="27"/>
  <c r="U1769" i="32"/>
  <c r="A1769" i="32"/>
  <c r="G1765" i="32"/>
  <c r="K3643" i="27" l="1"/>
  <c r="K3644" i="27"/>
  <c r="U1771" i="32"/>
  <c r="G1767" i="32"/>
  <c r="A1771" i="32"/>
  <c r="K3645" i="27" l="1"/>
  <c r="K3646" i="27"/>
  <c r="U1773" i="32"/>
  <c r="G1769" i="32"/>
  <c r="A1773" i="32"/>
  <c r="K3647" i="27" l="1"/>
  <c r="K3648" i="27"/>
  <c r="U1775" i="32"/>
  <c r="A1775" i="32"/>
  <c r="G1771" i="32"/>
  <c r="K3649" i="27" l="1"/>
  <c r="K3650" i="27"/>
  <c r="U1777" i="32"/>
  <c r="G1773" i="32"/>
  <c r="A1777" i="32"/>
  <c r="K3651" i="27" l="1"/>
  <c r="K3652" i="27"/>
  <c r="U1779" i="32"/>
  <c r="G1775" i="32"/>
  <c r="A1779" i="32"/>
  <c r="K3654" i="27" l="1"/>
  <c r="K3653" i="27"/>
  <c r="U1781" i="32"/>
  <c r="A1781" i="32"/>
  <c r="G1777" i="32"/>
  <c r="K3656" i="27" l="1"/>
  <c r="K3655" i="27"/>
  <c r="U1783" i="32"/>
  <c r="A1783" i="32"/>
  <c r="G1779" i="32"/>
  <c r="K3657" i="27" l="1"/>
  <c r="K3658" i="27"/>
  <c r="U1785" i="32"/>
  <c r="G1781" i="32"/>
  <c r="A1785" i="32"/>
  <c r="K3659" i="27" l="1"/>
  <c r="K3660" i="27"/>
  <c r="U1787" i="32"/>
  <c r="G1783" i="32"/>
  <c r="A1787" i="32"/>
  <c r="K3662" i="27" l="1"/>
  <c r="K3661" i="27"/>
  <c r="U1789" i="32"/>
  <c r="G1785" i="32"/>
  <c r="A1789" i="32"/>
  <c r="K3663" i="27" l="1"/>
  <c r="K3664" i="27"/>
  <c r="U1791" i="32"/>
  <c r="A1791" i="32"/>
  <c r="G1787" i="32"/>
  <c r="K3665" i="27" l="1"/>
  <c r="K3666" i="27"/>
  <c r="U1793" i="32"/>
  <c r="G1789" i="32"/>
  <c r="A1793" i="32"/>
  <c r="K3667" i="27" l="1"/>
  <c r="K3668" i="27"/>
  <c r="U1795" i="32"/>
  <c r="G1791" i="32"/>
  <c r="A1795" i="32"/>
  <c r="K3670" i="27" l="1"/>
  <c r="K3669" i="27"/>
  <c r="U1797" i="32"/>
  <c r="G1793" i="32"/>
  <c r="A1797" i="32"/>
  <c r="K3671" i="27" l="1"/>
  <c r="K3672" i="27"/>
  <c r="U1799" i="32"/>
  <c r="G1795" i="32"/>
  <c r="A1799" i="32"/>
  <c r="K3673" i="27" l="1"/>
  <c r="K3674" i="27"/>
  <c r="U1801" i="32"/>
  <c r="G1797" i="32"/>
  <c r="A1801" i="32"/>
  <c r="K3675" i="27" l="1"/>
  <c r="K3676" i="27"/>
  <c r="U1803" i="32"/>
  <c r="G1799" i="32"/>
  <c r="A1803" i="32"/>
  <c r="K3677" i="27" l="1"/>
  <c r="K3678" i="27"/>
  <c r="U1805" i="32"/>
  <c r="A1805" i="32"/>
  <c r="G1801" i="32"/>
  <c r="K3680" i="27" l="1"/>
  <c r="K3679" i="27"/>
  <c r="U1807" i="32"/>
  <c r="G1803" i="32"/>
  <c r="A1807" i="32"/>
  <c r="K3682" i="27" l="1"/>
  <c r="K3681" i="27"/>
  <c r="U1809" i="32"/>
  <c r="A1809" i="32"/>
  <c r="G1805" i="32"/>
  <c r="K3684" i="27" l="1"/>
  <c r="K3683" i="27"/>
  <c r="U1811" i="32"/>
  <c r="G1807" i="32"/>
  <c r="A1811" i="32"/>
  <c r="K3685" i="27" l="1"/>
  <c r="K3686" i="27"/>
  <c r="U1813" i="32"/>
  <c r="A1813" i="32"/>
  <c r="G1809" i="32"/>
  <c r="K3687" i="27" l="1"/>
  <c r="K3688" i="27"/>
  <c r="U1815" i="32"/>
  <c r="G1811" i="32"/>
  <c r="K3689" i="27" l="1"/>
  <c r="K3690" i="27"/>
  <c r="U1817" i="32"/>
  <c r="A1817" i="32"/>
  <c r="A1815" i="32"/>
  <c r="G1813" i="32"/>
  <c r="K3691" i="27" l="1"/>
  <c r="K3692" i="27"/>
  <c r="U1819" i="32"/>
  <c r="X2" i="27"/>
  <c r="AZ10" i="34" s="1"/>
  <c r="A1819" i="32"/>
  <c r="G1815" i="32"/>
  <c r="J5281" i="27"/>
  <c r="H4058" i="27" l="1"/>
  <c r="H4006" i="27"/>
  <c r="H3972" i="27"/>
  <c r="H3919" i="27"/>
  <c r="H3996" i="27"/>
  <c r="H3946" i="27"/>
  <c r="H4016" i="27"/>
  <c r="H4051" i="27"/>
  <c r="H3931" i="27"/>
  <c r="H4050" i="27"/>
  <c r="H3903" i="27"/>
  <c r="H3948" i="27"/>
  <c r="H3934" i="27"/>
  <c r="H4010" i="27"/>
  <c r="H3922" i="27"/>
  <c r="H4048" i="27"/>
  <c r="H4047" i="27"/>
  <c r="H4026" i="27"/>
  <c r="H4038" i="27"/>
  <c r="H4028" i="27"/>
  <c r="H3994" i="27"/>
  <c r="H3908" i="27"/>
  <c r="H4057" i="27"/>
  <c r="H4031" i="27"/>
  <c r="H3956" i="27"/>
  <c r="H4009" i="27"/>
  <c r="H4018" i="27"/>
  <c r="H3900" i="27"/>
  <c r="H4000" i="27"/>
  <c r="H3923" i="27"/>
  <c r="H4014" i="27"/>
  <c r="H3981" i="27"/>
  <c r="H4045" i="27"/>
  <c r="H4005" i="27"/>
  <c r="H3907" i="27"/>
  <c r="H3979" i="27"/>
  <c r="H4011" i="27"/>
  <c r="H4002" i="27"/>
  <c r="H3952" i="27"/>
  <c r="H3980" i="27"/>
  <c r="H3960" i="27"/>
  <c r="H3995" i="27"/>
  <c r="H4025" i="27"/>
  <c r="H3917" i="27"/>
  <c r="H3924" i="27"/>
  <c r="H3967" i="27"/>
  <c r="H3906" i="27"/>
  <c r="H3983" i="27"/>
  <c r="H3969" i="27"/>
  <c r="H4043" i="27"/>
  <c r="H3915" i="27"/>
  <c r="H4030" i="27"/>
  <c r="H4008" i="27"/>
  <c r="H3954" i="27"/>
  <c r="H3955" i="27"/>
  <c r="H3933" i="27"/>
  <c r="H4012" i="27"/>
  <c r="H3997" i="27"/>
  <c r="H4053" i="27"/>
  <c r="H3951" i="27"/>
  <c r="H3929" i="27"/>
  <c r="H3976" i="27"/>
  <c r="H3925" i="27"/>
  <c r="H3937" i="27"/>
  <c r="H3935" i="27"/>
  <c r="H3986" i="27"/>
  <c r="H3938" i="27"/>
  <c r="H4004" i="27"/>
  <c r="H4040" i="27"/>
  <c r="H4017" i="27"/>
  <c r="H4049" i="27"/>
  <c r="H3987" i="27"/>
  <c r="H4013" i="27"/>
  <c r="H3974" i="27"/>
  <c r="H3911" i="27"/>
  <c r="H3959" i="27"/>
  <c r="H3998" i="27"/>
  <c r="H3966" i="27"/>
  <c r="H3964" i="27"/>
  <c r="H4024" i="27"/>
  <c r="H3926" i="27"/>
  <c r="H4021" i="27"/>
  <c r="H4001" i="27"/>
  <c r="H3963" i="27"/>
  <c r="H4019" i="27"/>
  <c r="H3921" i="27"/>
  <c r="H3944" i="27"/>
  <c r="H4059" i="27"/>
  <c r="H3947" i="27"/>
  <c r="H3913" i="27"/>
  <c r="H3932" i="27"/>
  <c r="H3949" i="27"/>
  <c r="H3968" i="27"/>
  <c r="H3912" i="27"/>
  <c r="H3990" i="27"/>
  <c r="H3943" i="27"/>
  <c r="H3999" i="27"/>
  <c r="H3936" i="27"/>
  <c r="H3957" i="27"/>
  <c r="H3971" i="27"/>
  <c r="H4015" i="27"/>
  <c r="H4042" i="27"/>
  <c r="H3918" i="27"/>
  <c r="H3978" i="27"/>
  <c r="H3950" i="27"/>
  <c r="H3958" i="27"/>
  <c r="H4035" i="27"/>
  <c r="H3910" i="27"/>
  <c r="H3920" i="27"/>
  <c r="H3941" i="27"/>
  <c r="H4044" i="27"/>
  <c r="H3928" i="27"/>
  <c r="H3899" i="27"/>
  <c r="H3993" i="27"/>
  <c r="H3962" i="27"/>
  <c r="H4041" i="27"/>
  <c r="H3930" i="27"/>
  <c r="H3905" i="27"/>
  <c r="H3945" i="27"/>
  <c r="H3991" i="27"/>
  <c r="H3988" i="27"/>
  <c r="H4046" i="27"/>
  <c r="H4022" i="27"/>
  <c r="H4034" i="27"/>
  <c r="H4033" i="27"/>
  <c r="H3973" i="27"/>
  <c r="H4029" i="27"/>
  <c r="H4037" i="27"/>
  <c r="H4007" i="27"/>
  <c r="H3942" i="27"/>
  <c r="H4055" i="27"/>
  <c r="H3982" i="27"/>
  <c r="H4036" i="27"/>
  <c r="H3985" i="27"/>
  <c r="H3961" i="27"/>
  <c r="H3953" i="27"/>
  <c r="H3992" i="27"/>
  <c r="H3939" i="27"/>
  <c r="H4027" i="27"/>
  <c r="H4003" i="27"/>
  <c r="H4039" i="27"/>
  <c r="H4054" i="27"/>
  <c r="H3975" i="27"/>
  <c r="H3989" i="27"/>
  <c r="H3914" i="27"/>
  <c r="H3901" i="27"/>
  <c r="H3909" i="27"/>
  <c r="H4032" i="27"/>
  <c r="H3970" i="27"/>
  <c r="H4020" i="27"/>
  <c r="H3965" i="27"/>
  <c r="H3927" i="27"/>
  <c r="H4052" i="27"/>
  <c r="H3977" i="27"/>
  <c r="H4023" i="27"/>
  <c r="H3916" i="27"/>
  <c r="H3984" i="27"/>
  <c r="H3904" i="27"/>
  <c r="H3902" i="27"/>
  <c r="H3940" i="27"/>
  <c r="H4056" i="27"/>
  <c r="K3693" i="27"/>
  <c r="K3694" i="27"/>
  <c r="H2499" i="27"/>
  <c r="AZ11" i="34"/>
  <c r="I5280" i="27"/>
  <c r="K5277" i="27"/>
  <c r="J5282" i="27"/>
  <c r="J5285" i="27"/>
  <c r="H5280" i="27"/>
  <c r="G1817" i="32"/>
  <c r="J5277" i="27"/>
  <c r="H5282" i="27"/>
  <c r="I5282" i="27"/>
  <c r="K5281" i="27"/>
  <c r="I5278" i="27"/>
  <c r="J5280" i="27"/>
  <c r="I5281" i="27"/>
  <c r="K5278" i="27"/>
  <c r="K5284" i="27"/>
  <c r="K5280" i="27"/>
  <c r="H5277" i="27"/>
  <c r="I5279" i="27"/>
  <c r="J5278" i="27"/>
  <c r="K5279" i="27"/>
  <c r="J5279" i="27"/>
  <c r="H5281" i="27"/>
  <c r="K5282" i="27"/>
  <c r="H5278" i="27"/>
  <c r="H5279" i="27"/>
  <c r="I5277" i="27"/>
  <c r="A5282" i="27" l="1"/>
  <c r="A5279" i="27"/>
  <c r="A5280" i="27"/>
  <c r="A5277" i="27"/>
  <c r="A5281" i="27"/>
  <c r="A5278" i="27"/>
  <c r="E3956" i="27"/>
  <c r="G3966" i="27"/>
  <c r="G4030" i="27"/>
  <c r="E3932" i="27"/>
  <c r="E4012" i="27"/>
  <c r="I4057" i="27"/>
  <c r="G3947" i="27"/>
  <c r="E3996" i="27"/>
  <c r="G3924" i="27"/>
  <c r="G3988" i="27"/>
  <c r="E3940" i="27"/>
  <c r="E4020" i="27"/>
  <c r="E3948" i="27"/>
  <c r="E4004" i="27"/>
  <c r="E4059" i="27"/>
  <c r="O4023" i="27"/>
  <c r="K3978" i="27"/>
  <c r="O4054" i="27"/>
  <c r="M3987" i="27"/>
  <c r="A3987" i="27" s="1"/>
  <c r="I3903" i="27"/>
  <c r="K4006" i="27"/>
  <c r="F4058" i="27"/>
  <c r="K3976" i="27"/>
  <c r="J3929" i="27"/>
  <c r="M3902" i="27"/>
  <c r="A3902" i="27" s="1"/>
  <c r="O4055" i="27"/>
  <c r="N3969" i="27"/>
  <c r="E3925" i="27"/>
  <c r="M3975" i="27"/>
  <c r="A3975" i="27" s="1"/>
  <c r="O3998" i="27"/>
  <c r="J3915" i="27"/>
  <c r="P3937" i="27"/>
  <c r="I3995" i="27"/>
  <c r="M3966" i="27"/>
  <c r="A3966" i="27" s="1"/>
  <c r="N4044" i="27"/>
  <c r="E3968" i="27"/>
  <c r="G3954" i="27"/>
  <c r="I3957" i="27"/>
  <c r="F4005" i="27"/>
  <c r="K3912" i="27"/>
  <c r="K4025" i="27"/>
  <c r="E3902" i="27"/>
  <c r="I3932" i="27"/>
  <c r="O3917" i="27"/>
  <c r="I3917" i="27"/>
  <c r="J4048" i="27"/>
  <c r="M3958" i="27"/>
  <c r="A3958" i="27" s="1"/>
  <c r="E3909" i="27"/>
  <c r="J4035" i="27"/>
  <c r="F3957" i="27"/>
  <c r="M3947" i="27"/>
  <c r="A3947" i="27" s="1"/>
  <c r="K3921" i="27"/>
  <c r="J3962" i="27"/>
  <c r="M3903" i="27"/>
  <c r="A3903" i="27" s="1"/>
  <c r="N4034" i="27"/>
  <c r="J3913" i="27"/>
  <c r="G3997" i="27"/>
  <c r="O3996" i="27"/>
  <c r="J3904" i="27"/>
  <c r="N3937" i="27"/>
  <c r="P3901" i="27"/>
  <c r="M3986" i="27"/>
  <c r="A3986" i="27" s="1"/>
  <c r="K3935" i="27"/>
  <c r="M4034" i="27"/>
  <c r="A4034" i="27" s="1"/>
  <c r="K3934" i="27"/>
  <c r="G4036" i="27"/>
  <c r="F3971" i="27"/>
  <c r="F3981" i="27"/>
  <c r="J3964" i="27"/>
  <c r="J3973" i="27"/>
  <c r="J4037" i="27"/>
  <c r="F4041" i="27"/>
  <c r="F3958" i="27"/>
  <c r="G3955" i="27"/>
  <c r="K3988" i="27"/>
  <c r="F4000" i="27"/>
  <c r="F3967" i="27"/>
  <c r="M4044" i="27"/>
  <c r="A4044" i="27" s="1"/>
  <c r="G3968" i="27"/>
  <c r="F4028" i="27"/>
  <c r="M4047" i="27"/>
  <c r="A4047" i="27" s="1"/>
  <c r="O4056" i="27"/>
  <c r="I4016" i="27"/>
  <c r="P3955" i="27"/>
  <c r="I4010" i="27"/>
  <c r="F4033" i="27"/>
  <c r="O3907" i="27"/>
  <c r="K3917" i="27"/>
  <c r="P3904" i="27"/>
  <c r="E3905" i="27"/>
  <c r="K4052" i="27"/>
  <c r="F3935" i="27"/>
  <c r="I3908" i="27"/>
  <c r="M3920" i="27"/>
  <c r="A3920" i="27" s="1"/>
  <c r="E4055" i="27"/>
  <c r="N3939" i="27"/>
  <c r="P3940" i="27"/>
  <c r="M3919" i="27"/>
  <c r="A3919" i="27" s="1"/>
  <c r="P3970" i="27"/>
  <c r="K3955" i="27"/>
  <c r="P3913" i="27"/>
  <c r="N3990" i="27"/>
  <c r="I3900" i="27"/>
  <c r="J4049" i="27"/>
  <c r="M3996" i="27"/>
  <c r="A3996" i="27" s="1"/>
  <c r="G4050" i="27"/>
  <c r="N4010" i="27"/>
  <c r="K3924" i="27"/>
  <c r="I4003" i="27"/>
  <c r="K4028" i="27"/>
  <c r="G3951" i="27"/>
  <c r="J3898" i="27"/>
  <c r="F3979" i="27"/>
  <c r="O4032" i="27"/>
  <c r="J3985" i="27"/>
  <c r="F4016" i="27"/>
  <c r="I4005" i="27"/>
  <c r="I4043" i="27"/>
  <c r="K3991" i="27"/>
  <c r="I3992" i="27"/>
  <c r="O3950" i="27"/>
  <c r="P4053" i="27"/>
  <c r="F3960" i="27"/>
  <c r="I3898" i="27"/>
  <c r="K3964" i="27"/>
  <c r="K3954" i="27"/>
  <c r="I3916" i="27"/>
  <c r="P4024" i="27"/>
  <c r="E3939" i="27"/>
  <c r="F4056" i="27"/>
  <c r="F4001" i="27"/>
  <c r="E3949" i="27"/>
  <c r="P3957" i="27"/>
  <c r="I4032" i="27"/>
  <c r="O3999" i="27"/>
  <c r="O3948" i="27"/>
  <c r="N3923" i="27"/>
  <c r="N4017" i="27"/>
  <c r="M3959" i="27"/>
  <c r="A3959" i="27" s="1"/>
  <c r="P3982" i="27"/>
  <c r="J4038" i="27"/>
  <c r="M3999" i="27"/>
  <c r="A3999" i="27" s="1"/>
  <c r="G3996" i="27"/>
  <c r="K3906" i="27"/>
  <c r="E3945" i="27"/>
  <c r="J3900" i="27"/>
  <c r="N4037" i="27"/>
  <c r="O3921" i="27"/>
  <c r="G3913" i="27"/>
  <c r="G4053" i="27"/>
  <c r="M3943" i="27"/>
  <c r="A3943" i="27" s="1"/>
  <c r="N4038" i="27"/>
  <c r="E4038" i="27"/>
  <c r="E4049" i="27"/>
  <c r="K3952" i="27"/>
  <c r="K3998" i="27"/>
  <c r="I3974" i="27"/>
  <c r="J3971" i="27"/>
  <c r="O3920" i="27"/>
  <c r="M4018" i="27"/>
  <c r="A4018" i="27" s="1"/>
  <c r="N4049" i="27"/>
  <c r="I3993" i="27"/>
  <c r="G3962" i="27"/>
  <c r="P4009" i="27"/>
  <c r="I4018" i="27"/>
  <c r="N3934" i="27"/>
  <c r="M3911" i="27"/>
  <c r="A3911" i="27" s="1"/>
  <c r="J3969" i="27"/>
  <c r="J4044" i="27"/>
  <c r="K4045" i="27"/>
  <c r="F3937" i="27"/>
  <c r="G4042" i="27"/>
  <c r="P3995" i="27"/>
  <c r="G3983" i="27"/>
  <c r="M3926" i="27"/>
  <c r="A3926" i="27" s="1"/>
  <c r="I3915" i="27"/>
  <c r="P3898" i="27"/>
  <c r="I4059" i="27"/>
  <c r="K3907" i="27"/>
  <c r="N3960" i="27"/>
  <c r="K3937" i="27"/>
  <c r="I3918" i="27"/>
  <c r="N3968" i="27"/>
  <c r="J4032" i="27"/>
  <c r="P4026" i="27"/>
  <c r="E4058" i="27"/>
  <c r="I4022" i="27"/>
  <c r="O3914" i="27"/>
  <c r="J3963" i="27"/>
  <c r="O3978" i="27"/>
  <c r="N3917" i="27"/>
  <c r="P3906" i="27"/>
  <c r="F3923" i="27"/>
  <c r="I4026" i="27"/>
  <c r="N3936" i="27"/>
  <c r="O4040" i="27"/>
  <c r="K4027" i="27"/>
  <c r="P3978" i="27"/>
  <c r="G4017" i="27"/>
  <c r="M3970" i="27"/>
  <c r="A3970" i="27" s="1"/>
  <c r="J3983" i="27"/>
  <c r="K4032" i="27"/>
  <c r="O4028" i="27"/>
  <c r="K3941" i="27"/>
  <c r="G3960" i="27"/>
  <c r="M3980" i="27"/>
  <c r="A3980" i="27" s="1"/>
  <c r="O3949" i="27"/>
  <c r="O3992" i="27"/>
  <c r="J3935" i="27"/>
  <c r="K3940" i="27"/>
  <c r="M4019" i="27"/>
  <c r="A4019" i="27" s="1"/>
  <c r="I3940" i="27"/>
  <c r="K3933" i="27"/>
  <c r="O4025" i="27"/>
  <c r="O3924" i="27"/>
  <c r="P3950" i="27"/>
  <c r="N4046" i="27"/>
  <c r="J3941" i="27"/>
  <c r="G3991" i="27"/>
  <c r="E4023" i="27"/>
  <c r="M4051" i="27"/>
  <c r="A4051" i="27" s="1"/>
  <c r="M4014" i="27"/>
  <c r="A4014" i="27" s="1"/>
  <c r="N4043" i="27"/>
  <c r="N3986" i="27"/>
  <c r="I4040" i="27"/>
  <c r="K3993" i="27"/>
  <c r="K3920" i="27"/>
  <c r="I3942" i="27"/>
  <c r="O3982" i="27"/>
  <c r="E3941" i="27"/>
  <c r="J3952" i="27"/>
  <c r="J3946" i="27"/>
  <c r="K3974" i="27"/>
  <c r="K3913" i="27"/>
  <c r="K3943" i="27"/>
  <c r="E3978" i="27"/>
  <c r="I3997" i="27"/>
  <c r="O3926" i="27"/>
  <c r="F4049" i="27"/>
  <c r="P4046" i="27"/>
  <c r="G3936" i="27"/>
  <c r="P3919" i="27"/>
  <c r="P4054" i="27"/>
  <c r="M4001" i="27"/>
  <c r="A4001" i="27" s="1"/>
  <c r="J4025" i="27"/>
  <c r="E4031" i="27"/>
  <c r="E4057" i="27"/>
  <c r="G3980" i="27"/>
  <c r="I3980" i="27"/>
  <c r="M4013" i="27"/>
  <c r="A4013" i="27" s="1"/>
  <c r="P4008" i="27"/>
  <c r="E3967" i="27"/>
  <c r="K4021" i="27"/>
  <c r="F3998" i="27"/>
  <c r="G3953" i="27"/>
  <c r="F3921" i="27"/>
  <c r="N4051" i="27"/>
  <c r="N4003" i="27"/>
  <c r="E3921" i="27"/>
  <c r="E3964" i="27"/>
  <c r="O3983" i="27"/>
  <c r="P4038" i="27"/>
  <c r="J3966" i="27"/>
  <c r="F4017" i="27"/>
  <c r="K4023" i="27"/>
  <c r="M4050" i="27"/>
  <c r="A4050" i="27" s="1"/>
  <c r="N3940" i="27"/>
  <c r="G3935" i="27"/>
  <c r="E4033" i="27"/>
  <c r="P3932" i="27"/>
  <c r="O4059" i="27"/>
  <c r="O4010" i="27"/>
  <c r="F4047" i="27"/>
  <c r="J4031" i="27"/>
  <c r="J3958" i="27"/>
  <c r="K3901" i="27"/>
  <c r="O3977" i="27"/>
  <c r="M3936" i="27"/>
  <c r="A3936" i="27" s="1"/>
  <c r="O3906" i="27"/>
  <c r="O4050" i="27"/>
  <c r="F3912" i="27"/>
  <c r="G4000" i="27"/>
  <c r="N3898" i="27"/>
  <c r="G3977" i="27"/>
  <c r="J3944" i="27"/>
  <c r="F4039" i="27"/>
  <c r="P3938" i="27"/>
  <c r="E3914" i="27"/>
  <c r="P3998" i="27"/>
  <c r="G3941" i="27"/>
  <c r="G3931" i="27"/>
  <c r="E3952" i="27"/>
  <c r="P3973" i="27"/>
  <c r="O3981" i="27"/>
  <c r="I3962" i="27"/>
  <c r="E4027" i="27"/>
  <c r="N3941" i="27"/>
  <c r="M3965" i="27"/>
  <c r="A3965" i="27" s="1"/>
  <c r="O3943" i="27"/>
  <c r="J3995" i="27"/>
  <c r="P3930" i="27"/>
  <c r="M3921" i="27"/>
  <c r="A3921" i="27" s="1"/>
  <c r="I4050" i="27"/>
  <c r="J3989" i="27"/>
  <c r="M3971" i="27"/>
  <c r="A3971" i="27" s="1"/>
  <c r="J3907" i="27"/>
  <c r="O3913" i="27"/>
  <c r="P4044" i="27"/>
  <c r="N3976" i="27"/>
  <c r="O3972" i="27"/>
  <c r="N3944" i="27"/>
  <c r="N4041" i="27"/>
  <c r="F3943" i="27"/>
  <c r="G4046" i="27"/>
  <c r="F3946" i="27"/>
  <c r="E3975" i="27"/>
  <c r="K3909" i="27"/>
  <c r="J3923" i="27"/>
  <c r="P3933" i="27"/>
  <c r="N4050" i="27"/>
  <c r="K3944" i="27"/>
  <c r="N4047" i="27"/>
  <c r="O4039" i="27"/>
  <c r="O3997" i="27"/>
  <c r="F3961" i="27"/>
  <c r="O4017" i="27"/>
  <c r="P3947" i="27"/>
  <c r="F4042" i="27"/>
  <c r="P4023" i="27"/>
  <c r="P4041" i="27"/>
  <c r="J4005" i="27"/>
  <c r="F3952" i="27"/>
  <c r="N4042" i="27"/>
  <c r="M4037" i="27"/>
  <c r="A4037" i="27" s="1"/>
  <c r="K3984" i="27"/>
  <c r="O4019" i="27"/>
  <c r="G4035" i="27"/>
  <c r="G3927" i="27"/>
  <c r="O3990" i="27"/>
  <c r="O3963" i="27"/>
  <c r="O4024" i="27"/>
  <c r="J4000" i="27"/>
  <c r="M4010" i="27"/>
  <c r="A4010" i="27" s="1"/>
  <c r="M4025" i="27"/>
  <c r="A4025" i="27" s="1"/>
  <c r="I4007" i="27"/>
  <c r="N4004" i="27"/>
  <c r="I4053" i="27"/>
  <c r="K3975" i="27"/>
  <c r="J3939" i="27"/>
  <c r="N3998" i="27"/>
  <c r="G3974" i="27"/>
  <c r="K4053" i="27"/>
  <c r="P3924" i="27"/>
  <c r="E4028" i="27"/>
  <c r="J4022" i="27"/>
  <c r="F3929" i="27"/>
  <c r="F4008" i="27"/>
  <c r="E3927" i="27"/>
  <c r="F3996" i="27"/>
  <c r="F4018" i="27"/>
  <c r="M4058" i="27"/>
  <c r="A4058" i="27" s="1"/>
  <c r="F3992" i="27"/>
  <c r="N3922" i="27"/>
  <c r="E3930" i="27"/>
  <c r="K3972" i="27"/>
  <c r="G4007" i="27"/>
  <c r="E3953" i="27"/>
  <c r="I3901" i="27"/>
  <c r="G3919" i="27"/>
  <c r="G3915" i="27"/>
  <c r="E3982" i="27"/>
  <c r="F4054" i="27"/>
  <c r="O3960" i="27"/>
  <c r="P3994" i="27"/>
  <c r="K3900" i="27"/>
  <c r="E3970" i="27"/>
  <c r="F3899" i="27"/>
  <c r="I3999" i="27"/>
  <c r="K4033" i="27"/>
  <c r="G3932" i="27"/>
  <c r="I4038" i="27"/>
  <c r="N3994" i="27"/>
  <c r="O3974" i="27"/>
  <c r="O3964" i="27"/>
  <c r="K3962" i="27"/>
  <c r="G3908" i="27"/>
  <c r="E4001" i="27"/>
  <c r="N4029" i="27"/>
  <c r="P3974" i="27"/>
  <c r="G3964" i="27"/>
  <c r="J3988" i="27"/>
  <c r="M3924" i="27"/>
  <c r="A3924" i="27" s="1"/>
  <c r="G4029" i="27"/>
  <c r="M3931" i="27"/>
  <c r="A3931" i="27" s="1"/>
  <c r="F3955" i="27"/>
  <c r="K3951" i="27"/>
  <c r="G3898" i="27"/>
  <c r="E4029" i="27"/>
  <c r="N4001" i="27"/>
  <c r="J4019" i="27"/>
  <c r="N3942" i="27"/>
  <c r="G3982" i="27"/>
  <c r="P3959" i="27"/>
  <c r="M3982" i="27"/>
  <c r="A3982" i="27" s="1"/>
  <c r="E3991" i="27"/>
  <c r="M4017" i="27"/>
  <c r="A4017" i="27" s="1"/>
  <c r="E4056" i="27"/>
  <c r="F4015" i="27"/>
  <c r="F3947" i="27"/>
  <c r="J4013" i="27"/>
  <c r="I3976" i="27"/>
  <c r="G3995" i="27"/>
  <c r="K3946" i="27"/>
  <c r="P3905" i="27"/>
  <c r="N4014" i="27"/>
  <c r="N4035" i="27"/>
  <c r="O4048" i="27"/>
  <c r="F3972" i="27"/>
  <c r="J4012" i="27"/>
  <c r="N3972" i="27"/>
  <c r="N3959" i="27"/>
  <c r="K3925" i="27"/>
  <c r="G3901" i="27"/>
  <c r="N3991" i="27"/>
  <c r="O4018" i="27"/>
  <c r="P3997" i="27"/>
  <c r="K3971" i="27"/>
  <c r="P3914" i="27"/>
  <c r="I3979" i="27"/>
  <c r="K4024" i="27"/>
  <c r="P3944" i="27"/>
  <c r="J4004" i="27"/>
  <c r="O3966" i="27"/>
  <c r="M4055" i="27"/>
  <c r="A4055" i="27" s="1"/>
  <c r="K3949" i="27"/>
  <c r="I3926" i="27"/>
  <c r="N4053" i="27"/>
  <c r="N3925" i="27"/>
  <c r="K3936" i="27"/>
  <c r="E4008" i="27"/>
  <c r="I3985" i="27"/>
  <c r="P4040" i="27"/>
  <c r="O4027" i="27"/>
  <c r="E3984" i="27"/>
  <c r="K3967" i="27"/>
  <c r="F3964" i="27"/>
  <c r="O3980" i="27"/>
  <c r="P3945" i="27"/>
  <c r="N4011" i="27"/>
  <c r="E4053" i="27"/>
  <c r="P4051" i="27"/>
  <c r="F4011" i="27"/>
  <c r="M3922" i="27"/>
  <c r="A3922" i="27" s="1"/>
  <c r="P4002" i="27"/>
  <c r="G4038" i="27"/>
  <c r="K3992" i="27"/>
  <c r="J4040" i="27"/>
  <c r="I3983" i="27"/>
  <c r="M3933" i="27"/>
  <c r="A3933" i="27" s="1"/>
  <c r="M3927" i="27"/>
  <c r="A3927" i="27" s="1"/>
  <c r="P4007" i="27"/>
  <c r="I3924" i="27"/>
  <c r="K4057" i="27"/>
  <c r="I3987" i="27"/>
  <c r="O4053" i="27"/>
  <c r="M3923" i="27"/>
  <c r="A3923" i="27" s="1"/>
  <c r="I3972" i="27"/>
  <c r="G3952" i="27"/>
  <c r="P4004" i="27"/>
  <c r="K3968" i="27"/>
  <c r="N3965" i="27"/>
  <c r="F3910" i="27"/>
  <c r="P4020" i="27"/>
  <c r="F4031" i="27"/>
  <c r="O3908" i="27"/>
  <c r="F3942" i="27"/>
  <c r="G3905" i="27"/>
  <c r="F3965" i="27"/>
  <c r="I3913" i="27"/>
  <c r="N4013" i="27"/>
  <c r="F3975" i="27"/>
  <c r="I3975" i="27"/>
  <c r="J3926" i="27"/>
  <c r="I4002" i="27"/>
  <c r="P3929" i="27"/>
  <c r="O3995" i="27"/>
  <c r="M3949" i="27"/>
  <c r="A3949" i="27" s="1"/>
  <c r="F3986" i="27"/>
  <c r="F4040" i="27"/>
  <c r="G4034" i="27"/>
  <c r="N3982" i="27"/>
  <c r="P4043" i="27"/>
  <c r="P3936" i="27"/>
  <c r="N3901" i="27"/>
  <c r="I4037" i="27"/>
  <c r="M4022" i="27"/>
  <c r="A4022" i="27" s="1"/>
  <c r="N3985" i="27"/>
  <c r="G3938" i="27"/>
  <c r="G4059" i="27"/>
  <c r="J3936" i="27"/>
  <c r="P3946" i="27"/>
  <c r="M4004" i="27"/>
  <c r="A4004" i="27" s="1"/>
  <c r="I3927" i="27"/>
  <c r="F3900" i="27"/>
  <c r="G3998" i="27"/>
  <c r="E4034" i="27"/>
  <c r="G3920" i="27"/>
  <c r="P4027" i="27"/>
  <c r="N3931" i="27"/>
  <c r="O3952" i="27"/>
  <c r="F3993" i="27"/>
  <c r="J3980" i="27"/>
  <c r="F3985" i="27"/>
  <c r="I3955" i="27"/>
  <c r="P3948" i="27"/>
  <c r="K4007" i="27"/>
  <c r="E4052" i="27"/>
  <c r="K3915" i="27"/>
  <c r="I3921" i="27"/>
  <c r="K4011" i="27"/>
  <c r="N3956" i="27"/>
  <c r="M3988" i="27"/>
  <c r="A3988" i="27" s="1"/>
  <c r="I3911" i="27"/>
  <c r="I3947" i="27"/>
  <c r="F4020" i="27"/>
  <c r="F3991" i="27"/>
  <c r="I4020" i="27"/>
  <c r="K3904" i="27"/>
  <c r="O4007" i="27"/>
  <c r="F3902" i="27"/>
  <c r="E3963" i="27"/>
  <c r="G3917" i="27"/>
  <c r="M4000" i="27"/>
  <c r="A4000" i="27" s="1"/>
  <c r="I3964" i="27"/>
  <c r="N4025" i="27"/>
  <c r="J4001" i="27"/>
  <c r="I3904" i="27"/>
  <c r="F4032" i="27"/>
  <c r="G3971" i="27"/>
  <c r="K3990" i="27"/>
  <c r="P3927" i="27"/>
  <c r="N4056" i="27"/>
  <c r="J3953" i="27"/>
  <c r="E4013" i="27"/>
  <c r="N3953" i="27"/>
  <c r="E3985" i="27"/>
  <c r="M3909" i="27"/>
  <c r="A3909" i="27" s="1"/>
  <c r="M3929" i="27"/>
  <c r="A3929" i="27" s="1"/>
  <c r="M3960" i="27"/>
  <c r="A3960" i="27" s="1"/>
  <c r="E4046" i="27"/>
  <c r="K4047" i="27"/>
  <c r="K3899" i="27"/>
  <c r="F3908" i="27"/>
  <c r="E4047" i="27"/>
  <c r="N4006" i="27"/>
  <c r="K3995" i="27"/>
  <c r="I3928" i="27"/>
  <c r="K3930" i="27"/>
  <c r="G3957" i="27"/>
  <c r="M3914" i="27"/>
  <c r="A3914" i="27" s="1"/>
  <c r="K3996" i="27"/>
  <c r="N4058" i="27"/>
  <c r="P3934" i="27"/>
  <c r="G3937" i="27"/>
  <c r="I3948" i="27"/>
  <c r="M3951" i="27"/>
  <c r="A3951" i="27" s="1"/>
  <c r="J3914" i="27"/>
  <c r="O3928" i="27"/>
  <c r="F4023" i="27"/>
  <c r="I3967" i="27"/>
  <c r="M4057" i="27"/>
  <c r="A4057" i="27" s="1"/>
  <c r="O3916" i="27"/>
  <c r="O3979" i="27"/>
  <c r="G3900" i="27"/>
  <c r="G3912" i="27"/>
  <c r="J3919" i="27"/>
  <c r="F3922" i="27"/>
  <c r="E3907" i="27"/>
  <c r="G3907" i="27"/>
  <c r="O4013" i="27"/>
  <c r="K4019" i="27"/>
  <c r="H3898" i="27"/>
  <c r="O3930" i="27"/>
  <c r="O4029" i="27"/>
  <c r="P3961" i="27"/>
  <c r="P3907" i="27"/>
  <c r="G4018" i="27"/>
  <c r="F4013" i="27"/>
  <c r="G3918" i="27"/>
  <c r="N4002" i="27"/>
  <c r="E3965" i="27"/>
  <c r="K3985" i="27"/>
  <c r="O3898" i="27"/>
  <c r="K4016" i="27"/>
  <c r="F3941" i="27"/>
  <c r="F3950" i="27"/>
  <c r="E3950" i="27"/>
  <c r="P4034" i="27"/>
  <c r="M3979" i="27"/>
  <c r="A3979" i="27" s="1"/>
  <c r="N4055" i="27"/>
  <c r="N3933" i="27"/>
  <c r="F3977" i="27"/>
  <c r="P3902" i="27"/>
  <c r="N4019" i="27"/>
  <c r="E3934" i="27"/>
  <c r="G3899" i="27"/>
  <c r="I4006" i="27"/>
  <c r="I3941" i="27"/>
  <c r="I4047" i="27"/>
  <c r="P3966" i="27"/>
  <c r="M4046" i="27"/>
  <c r="A4046" i="27" s="1"/>
  <c r="P3952" i="27"/>
  <c r="O3946" i="27"/>
  <c r="E3913" i="27"/>
  <c r="P4011" i="27"/>
  <c r="K3982" i="27"/>
  <c r="P4045" i="27"/>
  <c r="O4058" i="27"/>
  <c r="J3927" i="27"/>
  <c r="K4048" i="27"/>
  <c r="N3927" i="27"/>
  <c r="O3934" i="27"/>
  <c r="F3945" i="27"/>
  <c r="M3991" i="27"/>
  <c r="A3991" i="27" s="1"/>
  <c r="F3994" i="27"/>
  <c r="K4040" i="27"/>
  <c r="E4032" i="27"/>
  <c r="E4054" i="27"/>
  <c r="P4005" i="27"/>
  <c r="E3977" i="27"/>
  <c r="K4012" i="27"/>
  <c r="F4044" i="27"/>
  <c r="O3937" i="27"/>
  <c r="K4058" i="27"/>
  <c r="F3949" i="27"/>
  <c r="J3975" i="27"/>
  <c r="P4028" i="27"/>
  <c r="N3963" i="27"/>
  <c r="N4024" i="27"/>
  <c r="E4018" i="27"/>
  <c r="G4045" i="27"/>
  <c r="J3947" i="27"/>
  <c r="I4027" i="27"/>
  <c r="O3971" i="27"/>
  <c r="F3999" i="27"/>
  <c r="E4009" i="27"/>
  <c r="I3899" i="27"/>
  <c r="I4041" i="27"/>
  <c r="K4015" i="27"/>
  <c r="N3954" i="27"/>
  <c r="N3909" i="27"/>
  <c r="G4001" i="27"/>
  <c r="O3940" i="27"/>
  <c r="I3965" i="27"/>
  <c r="M3963" i="27"/>
  <c r="A3963" i="27" s="1"/>
  <c r="G4005" i="27"/>
  <c r="G3909" i="27"/>
  <c r="K4003" i="27"/>
  <c r="J4006" i="27"/>
  <c r="F3956" i="27"/>
  <c r="E3908" i="27"/>
  <c r="I3922" i="27"/>
  <c r="O3927" i="27"/>
  <c r="O3904" i="27"/>
  <c r="O4000" i="27"/>
  <c r="K3905" i="27"/>
  <c r="G3949" i="27"/>
  <c r="J3903" i="27"/>
  <c r="I3953" i="27"/>
  <c r="P3928" i="27"/>
  <c r="G3973" i="27"/>
  <c r="K3939" i="27"/>
  <c r="M3928" i="27"/>
  <c r="A3928" i="27" s="1"/>
  <c r="G3933" i="27"/>
  <c r="F3924" i="27"/>
  <c r="J3960" i="27"/>
  <c r="J3990" i="27"/>
  <c r="O3918" i="27"/>
  <c r="M3906" i="27"/>
  <c r="A3906" i="27" s="1"/>
  <c r="F4010" i="27"/>
  <c r="G3975" i="27"/>
  <c r="P4039" i="27"/>
  <c r="K3959" i="27"/>
  <c r="P4022" i="27"/>
  <c r="N3910" i="27"/>
  <c r="P3935" i="27"/>
  <c r="P3917" i="27"/>
  <c r="J3911" i="27"/>
  <c r="P4013" i="27"/>
  <c r="O4045" i="27"/>
  <c r="K4051" i="27"/>
  <c r="J3991" i="27"/>
  <c r="F3931" i="27"/>
  <c r="N3921" i="27"/>
  <c r="N3943" i="27"/>
  <c r="G4002" i="27"/>
  <c r="E3976" i="27"/>
  <c r="G3999" i="27"/>
  <c r="I3920" i="27"/>
  <c r="N3932" i="27"/>
  <c r="K4044" i="27"/>
  <c r="J3987" i="27"/>
  <c r="N3948" i="27"/>
  <c r="E4021" i="27"/>
  <c r="E3929" i="27"/>
  <c r="E3911" i="27"/>
  <c r="E3990" i="27"/>
  <c r="M3962" i="27"/>
  <c r="A3962" i="27" s="1"/>
  <c r="F3927" i="27"/>
  <c r="J4014" i="27"/>
  <c r="P3899" i="27"/>
  <c r="G3946" i="27"/>
  <c r="P4017" i="27"/>
  <c r="J4016" i="27"/>
  <c r="J4026" i="27"/>
  <c r="P3979" i="27"/>
  <c r="M3912" i="27"/>
  <c r="A3912" i="27" s="1"/>
  <c r="O3967" i="27"/>
  <c r="I4056" i="27"/>
  <c r="K3938" i="27"/>
  <c r="K4017" i="27"/>
  <c r="M3973" i="27"/>
  <c r="A3973" i="27" s="1"/>
  <c r="E3966" i="27"/>
  <c r="J4003" i="27"/>
  <c r="J3918" i="27"/>
  <c r="N4033" i="27"/>
  <c r="O4052" i="27"/>
  <c r="M4035" i="27"/>
  <c r="A4035" i="27" s="1"/>
  <c r="E3983" i="27"/>
  <c r="I3963" i="27"/>
  <c r="P3988" i="27"/>
  <c r="I4004" i="27"/>
  <c r="N3938" i="27"/>
  <c r="N3981" i="27"/>
  <c r="I3938" i="27"/>
  <c r="J4007" i="27"/>
  <c r="E3898" i="27"/>
  <c r="N3899" i="27"/>
  <c r="G3921" i="27"/>
  <c r="I3971" i="27"/>
  <c r="M3989" i="27"/>
  <c r="A3989" i="27" s="1"/>
  <c r="G3939" i="27"/>
  <c r="G3929" i="27"/>
  <c r="G4027" i="27"/>
  <c r="M4053" i="27"/>
  <c r="A4053" i="27" s="1"/>
  <c r="G3985" i="27"/>
  <c r="J3986" i="27"/>
  <c r="I3949" i="27"/>
  <c r="M3993" i="27"/>
  <c r="A3993" i="27" s="1"/>
  <c r="P3984" i="27"/>
  <c r="K4005" i="27"/>
  <c r="M4030" i="27"/>
  <c r="A4030" i="27" s="1"/>
  <c r="G4021" i="27"/>
  <c r="N3918" i="27"/>
  <c r="K3956" i="27"/>
  <c r="I3937" i="27"/>
  <c r="O3991" i="27"/>
  <c r="J3917" i="27"/>
  <c r="P4032" i="27"/>
  <c r="O4021" i="27"/>
  <c r="E3935" i="27"/>
  <c r="F4038" i="27"/>
  <c r="K3914" i="27"/>
  <c r="N3957" i="27"/>
  <c r="E3944" i="27"/>
  <c r="M3932" i="27"/>
  <c r="A3932" i="27" s="1"/>
  <c r="J3996" i="27"/>
  <c r="I4031" i="27"/>
  <c r="G4012" i="27"/>
  <c r="I3907" i="27"/>
  <c r="K3928" i="27"/>
  <c r="M3937" i="27"/>
  <c r="A3937" i="27" s="1"/>
  <c r="K3908" i="27"/>
  <c r="N3992" i="27"/>
  <c r="G3940" i="27"/>
  <c r="G4052" i="27"/>
  <c r="E4010" i="27"/>
  <c r="P3931" i="27"/>
  <c r="I3934" i="27"/>
  <c r="P3969" i="27"/>
  <c r="J3940" i="27"/>
  <c r="F3905" i="27"/>
  <c r="O4012" i="27"/>
  <c r="N3907" i="27"/>
  <c r="K3910" i="27"/>
  <c r="J4011" i="27"/>
  <c r="E3995" i="27"/>
  <c r="F3901" i="27"/>
  <c r="E4051" i="27"/>
  <c r="E4050" i="27"/>
  <c r="I3990" i="27"/>
  <c r="P4035" i="27"/>
  <c r="J3910" i="27"/>
  <c r="F3919" i="27"/>
  <c r="K3980" i="27"/>
  <c r="O3955" i="27"/>
  <c r="M3904" i="27"/>
  <c r="A3904" i="27" s="1"/>
  <c r="E3954" i="27"/>
  <c r="E3901" i="27"/>
  <c r="O4009" i="27"/>
  <c r="J4051" i="27"/>
  <c r="N3958" i="27"/>
  <c r="E3943" i="27"/>
  <c r="K3918" i="27"/>
  <c r="E3980" i="27"/>
  <c r="E3920" i="27"/>
  <c r="I3906" i="27"/>
  <c r="N3913" i="27"/>
  <c r="N3915" i="27"/>
  <c r="I3988" i="27"/>
  <c r="K4010" i="27"/>
  <c r="G4025" i="27"/>
  <c r="M4059" i="27"/>
  <c r="A4059" i="27" s="1"/>
  <c r="F3926" i="27"/>
  <c r="E3994" i="27"/>
  <c r="E3936" i="27"/>
  <c r="J4054" i="27"/>
  <c r="E3997" i="27"/>
  <c r="G3911" i="27"/>
  <c r="K4004" i="27"/>
  <c r="K3948" i="27"/>
  <c r="G4051" i="27"/>
  <c r="I4035" i="27"/>
  <c r="N3919" i="27"/>
  <c r="F4043" i="27"/>
  <c r="N3988" i="27"/>
  <c r="N3935" i="27"/>
  <c r="N4009" i="27"/>
  <c r="G4003" i="27"/>
  <c r="F3989" i="27"/>
  <c r="G4013" i="27"/>
  <c r="I4021" i="27"/>
  <c r="M4049" i="27"/>
  <c r="A4049" i="27" s="1"/>
  <c r="J3970" i="27"/>
  <c r="N3970" i="27"/>
  <c r="K3957" i="27"/>
  <c r="M4040" i="27"/>
  <c r="A4040" i="27" s="1"/>
  <c r="I3970" i="27"/>
  <c r="K3932" i="27"/>
  <c r="J4041" i="27"/>
  <c r="N4018" i="27"/>
  <c r="K3983" i="27"/>
  <c r="P4018" i="27"/>
  <c r="O3939" i="27"/>
  <c r="O3909" i="27"/>
  <c r="O3929" i="27"/>
  <c r="G4044" i="27"/>
  <c r="E4015" i="27"/>
  <c r="F4014" i="27"/>
  <c r="F3936" i="27"/>
  <c r="E4006" i="27"/>
  <c r="M4039" i="27"/>
  <c r="A4039" i="27" s="1"/>
  <c r="G3950" i="27"/>
  <c r="J3961" i="27"/>
  <c r="N3903" i="27"/>
  <c r="I4042" i="27"/>
  <c r="I3973" i="27"/>
  <c r="I4001" i="27"/>
  <c r="N4023" i="27"/>
  <c r="J4046" i="27"/>
  <c r="M3954" i="27"/>
  <c r="A3954" i="27" s="1"/>
  <c r="M4024" i="27"/>
  <c r="A4024" i="27" s="1"/>
  <c r="F4009" i="27"/>
  <c r="K4009" i="27"/>
  <c r="F3911" i="27"/>
  <c r="M3992" i="27"/>
  <c r="A3992" i="27" s="1"/>
  <c r="N4030" i="27"/>
  <c r="O4006" i="27"/>
  <c r="P3975" i="27"/>
  <c r="M3917" i="27"/>
  <c r="A3917" i="27" s="1"/>
  <c r="E3960" i="27"/>
  <c r="F3954" i="27"/>
  <c r="M3948" i="27"/>
  <c r="A3948" i="27" s="1"/>
  <c r="G4058" i="27"/>
  <c r="I4023" i="27"/>
  <c r="K4059" i="27"/>
  <c r="O3970" i="27"/>
  <c r="G3903" i="27"/>
  <c r="K3947" i="27"/>
  <c r="F3995" i="27"/>
  <c r="E4016" i="27"/>
  <c r="I4044" i="27"/>
  <c r="G3987" i="27"/>
  <c r="I3951" i="27"/>
  <c r="N3983" i="27"/>
  <c r="O3923" i="27"/>
  <c r="G3967" i="27"/>
  <c r="F4003" i="27"/>
  <c r="M3995" i="27"/>
  <c r="A3995" i="27" s="1"/>
  <c r="F3915" i="27"/>
  <c r="K4041" i="27"/>
  <c r="I4030" i="27"/>
  <c r="K4029" i="27"/>
  <c r="P4029" i="27"/>
  <c r="E3951" i="27"/>
  <c r="P4019" i="27"/>
  <c r="F3984" i="27"/>
  <c r="I3969" i="27"/>
  <c r="I3986" i="27"/>
  <c r="J3905" i="27"/>
  <c r="J4028" i="27"/>
  <c r="M3994" i="27"/>
  <c r="A3994" i="27" s="1"/>
  <c r="N3906" i="27"/>
  <c r="J4020" i="27"/>
  <c r="J3920" i="27"/>
  <c r="G3910" i="27"/>
  <c r="F4045" i="27"/>
  <c r="G4020" i="27"/>
  <c r="J3908" i="27"/>
  <c r="M4056" i="27"/>
  <c r="A4056" i="27" s="1"/>
  <c r="K3960" i="27"/>
  <c r="G4040" i="27"/>
  <c r="K3961" i="27"/>
  <c r="F4057" i="27"/>
  <c r="G4022" i="27"/>
  <c r="J4052" i="27"/>
  <c r="O3951" i="27"/>
  <c r="E4014" i="27"/>
  <c r="J3916" i="27"/>
  <c r="O3942" i="27"/>
  <c r="I4054" i="27"/>
  <c r="O4014" i="27"/>
  <c r="J3992" i="27"/>
  <c r="G4057" i="27"/>
  <c r="O4049" i="27"/>
  <c r="N4036" i="27"/>
  <c r="F4036" i="27"/>
  <c r="E3926" i="27"/>
  <c r="J3901" i="27"/>
  <c r="E3999" i="27"/>
  <c r="O3936" i="27"/>
  <c r="O3919" i="27"/>
  <c r="O4035" i="27"/>
  <c r="I3994" i="27"/>
  <c r="J3993" i="27"/>
  <c r="F3930" i="27"/>
  <c r="K4031" i="27"/>
  <c r="M4006" i="27"/>
  <c r="A4006" i="27" s="1"/>
  <c r="P3960" i="27"/>
  <c r="F3969" i="27"/>
  <c r="M4027" i="27"/>
  <c r="A4027" i="27" s="1"/>
  <c r="J3982" i="27"/>
  <c r="E4048" i="27"/>
  <c r="E3958" i="27"/>
  <c r="I4012" i="27"/>
  <c r="M3977" i="27"/>
  <c r="A3977" i="27" s="1"/>
  <c r="O3902" i="27"/>
  <c r="N4031" i="27"/>
  <c r="N4057" i="27"/>
  <c r="O3968" i="27"/>
  <c r="N4048" i="27"/>
  <c r="P3921" i="27"/>
  <c r="J4055" i="27"/>
  <c r="E3912" i="27"/>
  <c r="J3965" i="27"/>
  <c r="M3957" i="27"/>
  <c r="A3957" i="27" s="1"/>
  <c r="P3956" i="27"/>
  <c r="J4033" i="27"/>
  <c r="I3959" i="27"/>
  <c r="G4009" i="27"/>
  <c r="O4057" i="27"/>
  <c r="I3991" i="27"/>
  <c r="O4047" i="27"/>
  <c r="P4003" i="27"/>
  <c r="M4041" i="27"/>
  <c r="A4041" i="27" s="1"/>
  <c r="F3917" i="27"/>
  <c r="F3997" i="27"/>
  <c r="O3961" i="27"/>
  <c r="M3908" i="27"/>
  <c r="A3908" i="27" s="1"/>
  <c r="N3902" i="27"/>
  <c r="G3930" i="27"/>
  <c r="E4043" i="27"/>
  <c r="J4018" i="27"/>
  <c r="M3983" i="27"/>
  <c r="A3983" i="27" s="1"/>
  <c r="N3920" i="27"/>
  <c r="I4028" i="27"/>
  <c r="F4034" i="27"/>
  <c r="G3945" i="27"/>
  <c r="E3993" i="27"/>
  <c r="G3922" i="27"/>
  <c r="J4021" i="27"/>
  <c r="O3953" i="27"/>
  <c r="G3969" i="27"/>
  <c r="E3917" i="27"/>
  <c r="E3992" i="27"/>
  <c r="F4052" i="27"/>
  <c r="P4030" i="27"/>
  <c r="E4017" i="27"/>
  <c r="P4001" i="27"/>
  <c r="O4051" i="27"/>
  <c r="M3907" i="27"/>
  <c r="A3907" i="27" s="1"/>
  <c r="P4042" i="27"/>
  <c r="F3966" i="27"/>
  <c r="N3949" i="27"/>
  <c r="E3919" i="27"/>
  <c r="F3973" i="27"/>
  <c r="N4020" i="27"/>
  <c r="F3983" i="27"/>
  <c r="N4045" i="27"/>
  <c r="J4047" i="27"/>
  <c r="O4026" i="27"/>
  <c r="F3944" i="27"/>
  <c r="N3904" i="27"/>
  <c r="E4003" i="27"/>
  <c r="M3952" i="27"/>
  <c r="A3952" i="27" s="1"/>
  <c r="P4016" i="27"/>
  <c r="O4037" i="27"/>
  <c r="P3942" i="27"/>
  <c r="P3954" i="27"/>
  <c r="O3933" i="27"/>
  <c r="E3903" i="27"/>
  <c r="N3930" i="27"/>
  <c r="P3991" i="27"/>
  <c r="O4002" i="27"/>
  <c r="I3960" i="27"/>
  <c r="P4014" i="27"/>
  <c r="F3934" i="27"/>
  <c r="M3990" i="27"/>
  <c r="A3990" i="27" s="1"/>
  <c r="I4008" i="27"/>
  <c r="G3956" i="27"/>
  <c r="M4038" i="27"/>
  <c r="A4038" i="27" s="1"/>
  <c r="F4059" i="27"/>
  <c r="G3993" i="27"/>
  <c r="M3900" i="27"/>
  <c r="A3900" i="27" s="1"/>
  <c r="E3947" i="27"/>
  <c r="G4023" i="27"/>
  <c r="F4026" i="27"/>
  <c r="E3961" i="27"/>
  <c r="O3959" i="27"/>
  <c r="E4044" i="27"/>
  <c r="P3999" i="27"/>
  <c r="O4016" i="27"/>
  <c r="E3973" i="27"/>
  <c r="O3900" i="27"/>
  <c r="F3903" i="27"/>
  <c r="E3942" i="27"/>
  <c r="K4014" i="27"/>
  <c r="E4030" i="27"/>
  <c r="J3984" i="27"/>
  <c r="K3922" i="27"/>
  <c r="J3925" i="27"/>
  <c r="O4046" i="27"/>
  <c r="P4000" i="27"/>
  <c r="P3916" i="27"/>
  <c r="I3933" i="27"/>
  <c r="G4033" i="27"/>
  <c r="M4003" i="27"/>
  <c r="A4003" i="27" s="1"/>
  <c r="G3981" i="27"/>
  <c r="J4045" i="27"/>
  <c r="I3989" i="27"/>
  <c r="F3987" i="27"/>
  <c r="P3918" i="27"/>
  <c r="I3998" i="27"/>
  <c r="G3961" i="27"/>
  <c r="K4018" i="27"/>
  <c r="N3993" i="27"/>
  <c r="M4021" i="27"/>
  <c r="A4021" i="27" s="1"/>
  <c r="P3965" i="27"/>
  <c r="N4015" i="27"/>
  <c r="G3923" i="27"/>
  <c r="N3978" i="27"/>
  <c r="O4003" i="27"/>
  <c r="K4054" i="27"/>
  <c r="J4002" i="27"/>
  <c r="N3977" i="27"/>
  <c r="N3996" i="27"/>
  <c r="I3919" i="27"/>
  <c r="F4024" i="27"/>
  <c r="M4054" i="27"/>
  <c r="A4054" i="27" s="1"/>
  <c r="P4056" i="27"/>
  <c r="O4031" i="27"/>
  <c r="J3977" i="27"/>
  <c r="P3926" i="27"/>
  <c r="J4053" i="27"/>
  <c r="I3902" i="27"/>
  <c r="K4020" i="27"/>
  <c r="P3996" i="27"/>
  <c r="G4011" i="27"/>
  <c r="P3939" i="27"/>
  <c r="F4019" i="27"/>
  <c r="G3978" i="27"/>
  <c r="P3962" i="27"/>
  <c r="I3936" i="27"/>
  <c r="M3945" i="27"/>
  <c r="A3945" i="27" s="1"/>
  <c r="K3986" i="27"/>
  <c r="G3989" i="27"/>
  <c r="I4039" i="27"/>
  <c r="I3978" i="27"/>
  <c r="M3935" i="27"/>
  <c r="A3935" i="27" s="1"/>
  <c r="M3968" i="27"/>
  <c r="A3968" i="27" s="1"/>
  <c r="P3958" i="27"/>
  <c r="I4052" i="27"/>
  <c r="I3905" i="27"/>
  <c r="K3970" i="27"/>
  <c r="P3925" i="27"/>
  <c r="O3976" i="27"/>
  <c r="M3942" i="27"/>
  <c r="A3942" i="27" s="1"/>
  <c r="N4021" i="27"/>
  <c r="J3909" i="27"/>
  <c r="F4004" i="27"/>
  <c r="I3944" i="27"/>
  <c r="F3928" i="27"/>
  <c r="K3929" i="27"/>
  <c r="I3910" i="27"/>
  <c r="G4048" i="27"/>
  <c r="F4035" i="27"/>
  <c r="J4029" i="27"/>
  <c r="O4020" i="27"/>
  <c r="F3913" i="27"/>
  <c r="O3912" i="27"/>
  <c r="J4043" i="27"/>
  <c r="I3931" i="27"/>
  <c r="J4023" i="27"/>
  <c r="J3902" i="27"/>
  <c r="F4007" i="27"/>
  <c r="J4042" i="27"/>
  <c r="J3959" i="27"/>
  <c r="K3965" i="27"/>
  <c r="J4034" i="27"/>
  <c r="F3940" i="27"/>
  <c r="J3997" i="27"/>
  <c r="F3904" i="27"/>
  <c r="E3979" i="27"/>
  <c r="P3908" i="27"/>
  <c r="M3905" i="27"/>
  <c r="A3905" i="27" s="1"/>
  <c r="J3967" i="27"/>
  <c r="K3902" i="27"/>
  <c r="P4015" i="27"/>
  <c r="P4006" i="27"/>
  <c r="P3941" i="27"/>
  <c r="M3930" i="27"/>
  <c r="A3930" i="27" s="1"/>
  <c r="J3999" i="27"/>
  <c r="P3980" i="27"/>
  <c r="E3938" i="27"/>
  <c r="O3932" i="27"/>
  <c r="G3979" i="27"/>
  <c r="M3899" i="27"/>
  <c r="A3899" i="27" s="1"/>
  <c r="G4015" i="27"/>
  <c r="I4033" i="27"/>
  <c r="O3965" i="27"/>
  <c r="I3966" i="27"/>
  <c r="N4032" i="27"/>
  <c r="P3987" i="27"/>
  <c r="G3984" i="27"/>
  <c r="F3980" i="27"/>
  <c r="N3984" i="27"/>
  <c r="G4054" i="27"/>
  <c r="M3964" i="27"/>
  <c r="A3964" i="27" s="1"/>
  <c r="I3912" i="27"/>
  <c r="P3971" i="27"/>
  <c r="F4022" i="27"/>
  <c r="K4038" i="27"/>
  <c r="K3911" i="27"/>
  <c r="O4030" i="27"/>
  <c r="E4037" i="27"/>
  <c r="F3953" i="27"/>
  <c r="N4052" i="27"/>
  <c r="I4045" i="27"/>
  <c r="P3985" i="27"/>
  <c r="F3932" i="27"/>
  <c r="P3977" i="27"/>
  <c r="N4039" i="27"/>
  <c r="P3920" i="27"/>
  <c r="I4000" i="27"/>
  <c r="K3987" i="27"/>
  <c r="N3916" i="27"/>
  <c r="I3930" i="27"/>
  <c r="M4045" i="27"/>
  <c r="A4045" i="27" s="1"/>
  <c r="O3945" i="27"/>
  <c r="N3905" i="27"/>
  <c r="N3914" i="27"/>
  <c r="O4015" i="27"/>
  <c r="E3989" i="27"/>
  <c r="O3987" i="27"/>
  <c r="F4050" i="27"/>
  <c r="E3946" i="27"/>
  <c r="K4022" i="27"/>
  <c r="F3909" i="27"/>
  <c r="J3906" i="27"/>
  <c r="J3972" i="27"/>
  <c r="O4001" i="27"/>
  <c r="G4049" i="27"/>
  <c r="F3974" i="27"/>
  <c r="J3943" i="27"/>
  <c r="G4016" i="27"/>
  <c r="K3927" i="27"/>
  <c r="K4046" i="27"/>
  <c r="J3932" i="27"/>
  <c r="E3987" i="27"/>
  <c r="O3956" i="27"/>
  <c r="F3916" i="27"/>
  <c r="J3979" i="27"/>
  <c r="N3952" i="27"/>
  <c r="K4036" i="27"/>
  <c r="M3953" i="27"/>
  <c r="A3953" i="27" s="1"/>
  <c r="O3954" i="27"/>
  <c r="J3994" i="27"/>
  <c r="I3925" i="27"/>
  <c r="M4005" i="27"/>
  <c r="A4005" i="27" s="1"/>
  <c r="M3940" i="27"/>
  <c r="A3940" i="27" s="1"/>
  <c r="N4026" i="27"/>
  <c r="I3929" i="27"/>
  <c r="G3976" i="27"/>
  <c r="G3992" i="27"/>
  <c r="G3963" i="27"/>
  <c r="O3975" i="27"/>
  <c r="E3900" i="27"/>
  <c r="G4008" i="27"/>
  <c r="O3969" i="27"/>
  <c r="M3934" i="27"/>
  <c r="A3934" i="27" s="1"/>
  <c r="N3997" i="27"/>
  <c r="I4058" i="27"/>
  <c r="P4055" i="27"/>
  <c r="I4049" i="27"/>
  <c r="N3912" i="27"/>
  <c r="O4004" i="27"/>
  <c r="I4025" i="27"/>
  <c r="M3981" i="27"/>
  <c r="A3981" i="27" s="1"/>
  <c r="O4038" i="27"/>
  <c r="J3931" i="27"/>
  <c r="P4036" i="27"/>
  <c r="N3995" i="27"/>
  <c r="P3951" i="27"/>
  <c r="E4026" i="27"/>
  <c r="E3972" i="27"/>
  <c r="N3946" i="27"/>
  <c r="G3904" i="27"/>
  <c r="J4024" i="27"/>
  <c r="M3941" i="27"/>
  <c r="A3941" i="27" s="1"/>
  <c r="P4057" i="27"/>
  <c r="F4037" i="27"/>
  <c r="G3925" i="27"/>
  <c r="M4011" i="27"/>
  <c r="A4011" i="27" s="1"/>
  <c r="O3957" i="27"/>
  <c r="K4013" i="27"/>
  <c r="N3928" i="27"/>
  <c r="F3988" i="27"/>
  <c r="N4059" i="27"/>
  <c r="M4012" i="27"/>
  <c r="A4012" i="27" s="1"/>
  <c r="P3967" i="27"/>
  <c r="P4049" i="27"/>
  <c r="P3993" i="27"/>
  <c r="M4015" i="27"/>
  <c r="A4015" i="27" s="1"/>
  <c r="M4031" i="27"/>
  <c r="A4031" i="27" s="1"/>
  <c r="M4043" i="27"/>
  <c r="A4043" i="27" s="1"/>
  <c r="K3945" i="27"/>
  <c r="M4048" i="27"/>
  <c r="A4048" i="27" s="1"/>
  <c r="O3905" i="27"/>
  <c r="E3922" i="27"/>
  <c r="E3923" i="27"/>
  <c r="P3912" i="27"/>
  <c r="M3978" i="27"/>
  <c r="A3978" i="27" s="1"/>
  <c r="P3900" i="27"/>
  <c r="M4016" i="27"/>
  <c r="A4016" i="27" s="1"/>
  <c r="J3956" i="27"/>
  <c r="O3958" i="27"/>
  <c r="N4040" i="27"/>
  <c r="M3961" i="27"/>
  <c r="A3961" i="27" s="1"/>
  <c r="O3901" i="27"/>
  <c r="O4005" i="27"/>
  <c r="P4010" i="27"/>
  <c r="E4019" i="27"/>
  <c r="E3998" i="27"/>
  <c r="K3977" i="27"/>
  <c r="O3910" i="27"/>
  <c r="K3919" i="27"/>
  <c r="M4008" i="27"/>
  <c r="A4008" i="27" s="1"/>
  <c r="J4009" i="27"/>
  <c r="E3974" i="27"/>
  <c r="J4036" i="27"/>
  <c r="J4039" i="27"/>
  <c r="O4042" i="27"/>
  <c r="M4023" i="27"/>
  <c r="A4023" i="27" s="1"/>
  <c r="P4047" i="27"/>
  <c r="I3982" i="27"/>
  <c r="N3989" i="27"/>
  <c r="P3911" i="27"/>
  <c r="K3926" i="27"/>
  <c r="K3999" i="27"/>
  <c r="O4033" i="27"/>
  <c r="P3909" i="27"/>
  <c r="J3955" i="27"/>
  <c r="P3986" i="27"/>
  <c r="I3956" i="27"/>
  <c r="M3938" i="27"/>
  <c r="A3938" i="27" s="1"/>
  <c r="O3984" i="27"/>
  <c r="J3899" i="27"/>
  <c r="P3910" i="27"/>
  <c r="P3963" i="27"/>
  <c r="E4035" i="27"/>
  <c r="F3933" i="27"/>
  <c r="K3931" i="27"/>
  <c r="G4014" i="27"/>
  <c r="J4015" i="27"/>
  <c r="I3909" i="27"/>
  <c r="K4055" i="27"/>
  <c r="P3903" i="27"/>
  <c r="N3975" i="27"/>
  <c r="M4009" i="27"/>
  <c r="A4009" i="27" s="1"/>
  <c r="G3916" i="27"/>
  <c r="E3928" i="27"/>
  <c r="N3987" i="27"/>
  <c r="K3973" i="27"/>
  <c r="I4051" i="27"/>
  <c r="P3953" i="27"/>
  <c r="F3939" i="27"/>
  <c r="J3937" i="27"/>
  <c r="K3969" i="27"/>
  <c r="M4032" i="27"/>
  <c r="A4032" i="27" s="1"/>
  <c r="I4036" i="27"/>
  <c r="K4056" i="27"/>
  <c r="J3976" i="27"/>
  <c r="K4043" i="27"/>
  <c r="F3938" i="27"/>
  <c r="J3978" i="27"/>
  <c r="P3943" i="27"/>
  <c r="F4012" i="27"/>
  <c r="O3935" i="27"/>
  <c r="P4048" i="27"/>
  <c r="J4017" i="27"/>
  <c r="F3925" i="27"/>
  <c r="K4026" i="27"/>
  <c r="J3921" i="27"/>
  <c r="G3926" i="27"/>
  <c r="K4008" i="27"/>
  <c r="M3967" i="27"/>
  <c r="A3967" i="27" s="1"/>
  <c r="G3934" i="27"/>
  <c r="O3931" i="27"/>
  <c r="J4056" i="27"/>
  <c r="K3958" i="27"/>
  <c r="G3928" i="27"/>
  <c r="E3916" i="27"/>
  <c r="I3923" i="27"/>
  <c r="G4026" i="27"/>
  <c r="I4011" i="27"/>
  <c r="N3967" i="27"/>
  <c r="O3989" i="27"/>
  <c r="O3985" i="27"/>
  <c r="F3978" i="27"/>
  <c r="I4055" i="27"/>
  <c r="N4008" i="27"/>
  <c r="E3906" i="27"/>
  <c r="M4033" i="27"/>
  <c r="A4033" i="27" s="1"/>
  <c r="M4042" i="27"/>
  <c r="A4042" i="27" s="1"/>
  <c r="G3959" i="27"/>
  <c r="E3931" i="27"/>
  <c r="G4031" i="27"/>
  <c r="O4008" i="27"/>
  <c r="J3938" i="27"/>
  <c r="O3973" i="27"/>
  <c r="P3983" i="27"/>
  <c r="F4046" i="27"/>
  <c r="I3952" i="27"/>
  <c r="I4013" i="27"/>
  <c r="G4006" i="27"/>
  <c r="N3999" i="27"/>
  <c r="F4048" i="27"/>
  <c r="E3986" i="27"/>
  <c r="I3914" i="27"/>
  <c r="K4034" i="27"/>
  <c r="K4042" i="27"/>
  <c r="O3988" i="27"/>
  <c r="N3974" i="27"/>
  <c r="G4032" i="27"/>
  <c r="K3981" i="27"/>
  <c r="N3964" i="27"/>
  <c r="N3966" i="27"/>
  <c r="P3981" i="27"/>
  <c r="O3911" i="27"/>
  <c r="F4029" i="27"/>
  <c r="G4055" i="27"/>
  <c r="G4028" i="27"/>
  <c r="P4033" i="27"/>
  <c r="F4027" i="27"/>
  <c r="K3950" i="27"/>
  <c r="I4048" i="27"/>
  <c r="J3954" i="27"/>
  <c r="F3976" i="27"/>
  <c r="O3899" i="27"/>
  <c r="F3962" i="27"/>
  <c r="O3938" i="27"/>
  <c r="N3971" i="27"/>
  <c r="K4039" i="27"/>
  <c r="K4001" i="27"/>
  <c r="K3989" i="27"/>
  <c r="M4026" i="27"/>
  <c r="A4026" i="27" s="1"/>
  <c r="K4000" i="27"/>
  <c r="N4005" i="27"/>
  <c r="P4052" i="27"/>
  <c r="I3968" i="27"/>
  <c r="P3922" i="27"/>
  <c r="J3912" i="27"/>
  <c r="E4041" i="27"/>
  <c r="J3930" i="27"/>
  <c r="G3906" i="27"/>
  <c r="G4056" i="27"/>
  <c r="G3943" i="27"/>
  <c r="G3944" i="27"/>
  <c r="M3916" i="27"/>
  <c r="A3916" i="27" s="1"/>
  <c r="N3980" i="27"/>
  <c r="E3937" i="27"/>
  <c r="E4007" i="27"/>
  <c r="J4058" i="27"/>
  <c r="I3935" i="27"/>
  <c r="I4009" i="27"/>
  <c r="I3996" i="27"/>
  <c r="O3962" i="27"/>
  <c r="I4034" i="27"/>
  <c r="F4051" i="27"/>
  <c r="F4002" i="27"/>
  <c r="N3961" i="27"/>
  <c r="M3969" i="27"/>
  <c r="A3969" i="27" s="1"/>
  <c r="G3986" i="27"/>
  <c r="N3929" i="27"/>
  <c r="F4030" i="27"/>
  <c r="N4054" i="27"/>
  <c r="F3951" i="27"/>
  <c r="M4002" i="27"/>
  <c r="A4002" i="27" s="1"/>
  <c r="F3948" i="27"/>
  <c r="G3972" i="27"/>
  <c r="F3990" i="27"/>
  <c r="K4050" i="27"/>
  <c r="K4035" i="27"/>
  <c r="E3918" i="27"/>
  <c r="G4019" i="27"/>
  <c r="P4037" i="27"/>
  <c r="J3998" i="27"/>
  <c r="K3994" i="27"/>
  <c r="O3993" i="27"/>
  <c r="M4036" i="27"/>
  <c r="A4036" i="27" s="1"/>
  <c r="I4017" i="27"/>
  <c r="E3957" i="27"/>
  <c r="K3979" i="27"/>
  <c r="M4028" i="27"/>
  <c r="A4028" i="27" s="1"/>
  <c r="G3914" i="27"/>
  <c r="G3994" i="27"/>
  <c r="G4004" i="27"/>
  <c r="P4059" i="27"/>
  <c r="P4012" i="27"/>
  <c r="I4015" i="27"/>
  <c r="I4029" i="27"/>
  <c r="N4028" i="27"/>
  <c r="K4002" i="27"/>
  <c r="P3915" i="27"/>
  <c r="E4022" i="27"/>
  <c r="J4059" i="27"/>
  <c r="M4020" i="27"/>
  <c r="A4020" i="27" s="1"/>
  <c r="O4034" i="27"/>
  <c r="K3942" i="27"/>
  <c r="I3961" i="27"/>
  <c r="F3968" i="27"/>
  <c r="E4036" i="27"/>
  <c r="G3965" i="27"/>
  <c r="P4058" i="27"/>
  <c r="G4037" i="27"/>
  <c r="N4016" i="27"/>
  <c r="F3907" i="27"/>
  <c r="I4014" i="27"/>
  <c r="G3958" i="27"/>
  <c r="E3962" i="27"/>
  <c r="E3955" i="27"/>
  <c r="N4007" i="27"/>
  <c r="N3926" i="27"/>
  <c r="O4041" i="27"/>
  <c r="I4046" i="27"/>
  <c r="E4040" i="27"/>
  <c r="N3950" i="27"/>
  <c r="J3924" i="27"/>
  <c r="E3915" i="27"/>
  <c r="O4011" i="27"/>
  <c r="F3963" i="27"/>
  <c r="K3903" i="27"/>
  <c r="M3925" i="27"/>
  <c r="A3925" i="27" s="1"/>
  <c r="G3948" i="27"/>
  <c r="E4000" i="27"/>
  <c r="I3946" i="27"/>
  <c r="N3973" i="27"/>
  <c r="M3950" i="27"/>
  <c r="A3950" i="27" s="1"/>
  <c r="E4002" i="27"/>
  <c r="J3950" i="27"/>
  <c r="O4022" i="27"/>
  <c r="G4039" i="27"/>
  <c r="J3949" i="27"/>
  <c r="K3953" i="27"/>
  <c r="G3942" i="27"/>
  <c r="P3989" i="27"/>
  <c r="M3997" i="27"/>
  <c r="A3997" i="27" s="1"/>
  <c r="P3972" i="27"/>
  <c r="I3954" i="27"/>
  <c r="G4041" i="27"/>
  <c r="J4030" i="27"/>
  <c r="J3951" i="27"/>
  <c r="N3962" i="27"/>
  <c r="E4039" i="27"/>
  <c r="F4025" i="27"/>
  <c r="P4031" i="27"/>
  <c r="M3918" i="27"/>
  <c r="A3918" i="27" s="1"/>
  <c r="E4025" i="27"/>
  <c r="K3966" i="27"/>
  <c r="I3950" i="27"/>
  <c r="I3958" i="27"/>
  <c r="E3904" i="27"/>
  <c r="N4022" i="27"/>
  <c r="O3944" i="27"/>
  <c r="N4000" i="27"/>
  <c r="J3933" i="27"/>
  <c r="E3981" i="27"/>
  <c r="M3972" i="27"/>
  <c r="A3972" i="27" s="1"/>
  <c r="E3971" i="27"/>
  <c r="M3946" i="27"/>
  <c r="A3946" i="27" s="1"/>
  <c r="F3918" i="27"/>
  <c r="I3939" i="27"/>
  <c r="N3908" i="27"/>
  <c r="M3915" i="27"/>
  <c r="A3915" i="27" s="1"/>
  <c r="P4025" i="27"/>
  <c r="I3945" i="27"/>
  <c r="J3948" i="27"/>
  <c r="I3943" i="27"/>
  <c r="K4037" i="27"/>
  <c r="F4021" i="27"/>
  <c r="G4010" i="27"/>
  <c r="M3974" i="27"/>
  <c r="A3974" i="27" s="1"/>
  <c r="O4036" i="27"/>
  <c r="J3934" i="27"/>
  <c r="M4052" i="27"/>
  <c r="A4052" i="27" s="1"/>
  <c r="O4043" i="27"/>
  <c r="G4024" i="27"/>
  <c r="I3984" i="27"/>
  <c r="N3900" i="27"/>
  <c r="J4010" i="27"/>
  <c r="E4045" i="27"/>
  <c r="P4050" i="27"/>
  <c r="E4042" i="27"/>
  <c r="O3903" i="27"/>
  <c r="M4007" i="27"/>
  <c r="A4007" i="27" s="1"/>
  <c r="K4049" i="27"/>
  <c r="P3992" i="27"/>
  <c r="F3959" i="27"/>
  <c r="E3910" i="27"/>
  <c r="J4008" i="27"/>
  <c r="P3976" i="27"/>
  <c r="M3944" i="27"/>
  <c r="A3944" i="27" s="1"/>
  <c r="G3990" i="27"/>
  <c r="O3986" i="27"/>
  <c r="K3916" i="27"/>
  <c r="N3951" i="27"/>
  <c r="J3945" i="27"/>
  <c r="M4029" i="27"/>
  <c r="A4029" i="27" s="1"/>
  <c r="P3990" i="27"/>
  <c r="M3985" i="27"/>
  <c r="A3985" i="27" s="1"/>
  <c r="M3998" i="27"/>
  <c r="A3998" i="27" s="1"/>
  <c r="G4043" i="27"/>
  <c r="G4047" i="27"/>
  <c r="N3911" i="27"/>
  <c r="K4030" i="27"/>
  <c r="I3977" i="27"/>
  <c r="F4053" i="27"/>
  <c r="P3923" i="27"/>
  <c r="N3947" i="27"/>
  <c r="N3924" i="27"/>
  <c r="P3964" i="27"/>
  <c r="K3997" i="27"/>
  <c r="J4057" i="27"/>
  <c r="P3968" i="27"/>
  <c r="K3923" i="27"/>
  <c r="O3941" i="27"/>
  <c r="E3969" i="27"/>
  <c r="M3976" i="27"/>
  <c r="A3976" i="27" s="1"/>
  <c r="E3959" i="27"/>
  <c r="N4027" i="27"/>
  <c r="J4050" i="27"/>
  <c r="O3915" i="27"/>
  <c r="N3979" i="27"/>
  <c r="N3945" i="27"/>
  <c r="K3963" i="27"/>
  <c r="J4027" i="27"/>
  <c r="J3968" i="27"/>
  <c r="E4005" i="27"/>
  <c r="I3981" i="27"/>
  <c r="J3974" i="27"/>
  <c r="O4044" i="27"/>
  <c r="O3947" i="27"/>
  <c r="N3955" i="27"/>
  <c r="M3939" i="27"/>
  <c r="A3939" i="27" s="1"/>
  <c r="P4021" i="27"/>
  <c r="F3920" i="27"/>
  <c r="J3957" i="27"/>
  <c r="E3933" i="27"/>
  <c r="J3928" i="27"/>
  <c r="G3970" i="27"/>
  <c r="E3899" i="27"/>
  <c r="F3906" i="27"/>
  <c r="N4012" i="27"/>
  <c r="M3984" i="27"/>
  <c r="A3984" i="27" s="1"/>
  <c r="J3981" i="27"/>
  <c r="E4024" i="27"/>
  <c r="I4024" i="27"/>
  <c r="O3922" i="27"/>
  <c r="F3982" i="27"/>
  <c r="M3913" i="27"/>
  <c r="A3913" i="27" s="1"/>
  <c r="E4011" i="27"/>
  <c r="I4019" i="27"/>
  <c r="F3970" i="27"/>
  <c r="F4006" i="27"/>
  <c r="M3910" i="27"/>
  <c r="A3910" i="27" s="1"/>
  <c r="J3942" i="27"/>
  <c r="F3914" i="27"/>
  <c r="J3922" i="27"/>
  <c r="M3956" i="27"/>
  <c r="A3956" i="27" s="1"/>
  <c r="O3925" i="27"/>
  <c r="M3901" i="27"/>
  <c r="A3901" i="27" s="1"/>
  <c r="M3955" i="27"/>
  <c r="A3955" i="27" s="1"/>
  <c r="O3994" i="27"/>
  <c r="P3949" i="27"/>
  <c r="E3988" i="27"/>
  <c r="G3902" i="27"/>
  <c r="E3924" i="27"/>
  <c r="F4055" i="27"/>
  <c r="K3695" i="27"/>
  <c r="K3699" i="27"/>
  <c r="K3696" i="27"/>
  <c r="K3697" i="27"/>
  <c r="K3698" i="27"/>
  <c r="J2499" i="27"/>
  <c r="N231" i="24"/>
  <c r="N235" i="24"/>
  <c r="I232" i="24"/>
  <c r="I229" i="24"/>
  <c r="I233" i="24"/>
  <c r="I234" i="24"/>
  <c r="I235" i="24"/>
  <c r="I230" i="24"/>
  <c r="N234" i="24"/>
  <c r="N233" i="24"/>
  <c r="N230" i="24"/>
  <c r="I231" i="24"/>
  <c r="N229" i="24"/>
  <c r="N232" i="24"/>
  <c r="AZ12" i="34"/>
  <c r="I5287" i="27"/>
  <c r="J5288" i="27"/>
  <c r="I5293" i="27"/>
  <c r="K5283" i="27"/>
  <c r="G1819" i="32"/>
  <c r="I5286" i="27"/>
  <c r="J5284" i="27"/>
  <c r="J5283" i="27"/>
  <c r="K5287" i="27"/>
  <c r="I5284" i="27"/>
  <c r="H5288" i="27"/>
  <c r="K5288" i="27"/>
  <c r="H5283" i="27"/>
  <c r="H5285" i="27"/>
  <c r="I5283" i="27"/>
  <c r="H5284" i="27"/>
  <c r="J5287" i="27"/>
  <c r="J5286" i="27"/>
  <c r="H5286" i="27"/>
  <c r="K5286" i="27"/>
  <c r="I5285" i="27"/>
  <c r="K5285" i="27"/>
  <c r="H5287" i="27"/>
  <c r="I5288" i="27"/>
  <c r="A5283" i="27" l="1"/>
  <c r="A5287" i="27"/>
  <c r="A5284" i="27"/>
  <c r="A5286" i="27"/>
  <c r="A5288" i="27"/>
  <c r="A5285" i="27"/>
  <c r="N243" i="24"/>
  <c r="I241" i="24"/>
  <c r="I237" i="24"/>
  <c r="I238" i="24"/>
  <c r="N239" i="24"/>
  <c r="I242" i="24"/>
  <c r="I240" i="24"/>
  <c r="I239" i="24"/>
  <c r="N242" i="24"/>
  <c r="I243" i="24"/>
  <c r="N240" i="24"/>
  <c r="N237" i="24"/>
  <c r="N241" i="24"/>
  <c r="N238" i="24"/>
  <c r="I249" i="24"/>
  <c r="AZ13" i="34"/>
  <c r="I5292" i="27"/>
  <c r="K5290" i="27"/>
  <c r="K5293" i="27"/>
  <c r="H5292" i="27"/>
  <c r="J5293" i="27"/>
  <c r="K5294" i="27"/>
  <c r="J5294" i="27"/>
  <c r="K5289" i="27"/>
  <c r="K5291" i="27"/>
  <c r="H5291" i="27"/>
  <c r="J5292" i="27"/>
  <c r="I5289" i="27"/>
  <c r="H5293" i="27"/>
  <c r="H5294" i="27"/>
  <c r="H5289" i="27"/>
  <c r="J5290" i="27"/>
  <c r="I5291" i="27"/>
  <c r="K5292" i="27"/>
  <c r="J5289" i="27"/>
  <c r="J5291" i="27"/>
  <c r="I5290" i="27"/>
  <c r="H5290" i="27"/>
  <c r="I5294" i="27"/>
  <c r="K5300" i="27"/>
  <c r="A5290" i="27" l="1"/>
  <c r="A5291" i="27"/>
  <c r="A5292" i="27"/>
  <c r="A5293" i="27"/>
  <c r="A5289" i="27"/>
  <c r="A5294" i="27"/>
  <c r="I251" i="24"/>
  <c r="I250" i="24"/>
  <c r="N249" i="24"/>
  <c r="N245" i="24"/>
  <c r="I245" i="24"/>
  <c r="I246" i="24"/>
  <c r="I247" i="24"/>
  <c r="N248" i="24"/>
  <c r="N251" i="24"/>
  <c r="N246" i="24"/>
  <c r="I248" i="24"/>
  <c r="N247" i="24"/>
  <c r="N250" i="24"/>
  <c r="AZ14" i="34"/>
  <c r="H5295" i="27"/>
  <c r="K5295" i="27"/>
  <c r="H5297" i="27"/>
  <c r="H5299" i="27"/>
  <c r="K5298" i="27"/>
  <c r="I5300" i="27"/>
  <c r="K5296" i="27"/>
  <c r="I5297" i="27"/>
  <c r="I5296" i="27"/>
  <c r="I5295" i="27"/>
  <c r="J5296" i="27"/>
  <c r="J5299" i="27"/>
  <c r="J5295" i="27"/>
  <c r="I5298" i="27"/>
  <c r="J5300" i="27"/>
  <c r="H5300" i="27"/>
  <c r="K5299" i="27"/>
  <c r="H5296" i="27"/>
  <c r="K5297" i="27"/>
  <c r="I5299" i="27"/>
  <c r="J5298" i="27"/>
  <c r="H5298" i="27"/>
  <c r="J5297" i="27"/>
  <c r="A5296" i="27" l="1"/>
  <c r="A5297" i="27"/>
  <c r="A5298" i="27"/>
  <c r="A5300" i="27"/>
  <c r="A5295" i="27"/>
  <c r="A5299" i="27"/>
  <c r="N257" i="24"/>
  <c r="N256" i="24"/>
  <c r="N258" i="24"/>
  <c r="I255" i="24"/>
  <c r="I257" i="24"/>
  <c r="N255" i="24"/>
  <c r="I254" i="24"/>
  <c r="I258" i="24"/>
  <c r="N254" i="24"/>
  <c r="N259" i="24"/>
  <c r="I253" i="24"/>
  <c r="N253" i="24"/>
  <c r="I256" i="24"/>
  <c r="I259" i="24"/>
  <c r="AZ15" i="34"/>
  <c r="J5303" i="27"/>
  <c r="I5303" i="27"/>
  <c r="K5305" i="27"/>
  <c r="I5306" i="27"/>
  <c r="H5301" i="27"/>
  <c r="H5302" i="27"/>
  <c r="K5302" i="27"/>
  <c r="J5302" i="27"/>
  <c r="I5305" i="27"/>
  <c r="I5302" i="27"/>
  <c r="J5301" i="27"/>
  <c r="H5303" i="27"/>
  <c r="J5306" i="27"/>
  <c r="K5301" i="27"/>
  <c r="J5305" i="27"/>
  <c r="K5303" i="27"/>
  <c r="H5304" i="27"/>
  <c r="H5305" i="27"/>
  <c r="J5304" i="27"/>
  <c r="K5306" i="27"/>
  <c r="H5310" i="27"/>
  <c r="I5301" i="27"/>
  <c r="K5304" i="27"/>
  <c r="I5304" i="27"/>
  <c r="H5306" i="27"/>
  <c r="A5305" i="27" l="1"/>
  <c r="A5303" i="27"/>
  <c r="A5304" i="27"/>
  <c r="A5301" i="27"/>
  <c r="A5306" i="27"/>
  <c r="A5302" i="27"/>
  <c r="N267" i="24"/>
  <c r="N266" i="24"/>
  <c r="N263" i="24"/>
  <c r="I266" i="24"/>
  <c r="I267" i="24"/>
  <c r="N262" i="24"/>
  <c r="I265" i="24"/>
  <c r="I261" i="24"/>
  <c r="I262" i="24"/>
  <c r="N265" i="24"/>
  <c r="N261" i="24"/>
  <c r="I264" i="24"/>
  <c r="N264" i="24"/>
  <c r="I263" i="24"/>
  <c r="N272" i="24"/>
  <c r="AZ16" i="34"/>
  <c r="K5310" i="27"/>
  <c r="K5307" i="27"/>
  <c r="J5309" i="27"/>
  <c r="H5311" i="27"/>
  <c r="K5308" i="27"/>
  <c r="I5312" i="27"/>
  <c r="H5309" i="27"/>
  <c r="H5308" i="27"/>
  <c r="K5309" i="27"/>
  <c r="J5307" i="27"/>
  <c r="K5312" i="27"/>
  <c r="J5310" i="27"/>
  <c r="H5316" i="27"/>
  <c r="I5309" i="27"/>
  <c r="H5312" i="27"/>
  <c r="I5311" i="27"/>
  <c r="I5308" i="27"/>
  <c r="I5307" i="27"/>
  <c r="J5311" i="27"/>
  <c r="I5310" i="27"/>
  <c r="J5308" i="27"/>
  <c r="H5307" i="27"/>
  <c r="K5311" i="27"/>
  <c r="J5312" i="27"/>
  <c r="A5310" i="27" l="1"/>
  <c r="A5312" i="27"/>
  <c r="A5308" i="27"/>
  <c r="A5311" i="27"/>
  <c r="A5307" i="27"/>
  <c r="A5309" i="27"/>
  <c r="N273" i="24"/>
  <c r="N274" i="24"/>
  <c r="N275" i="24"/>
  <c r="I270" i="24"/>
  <c r="I273" i="24"/>
  <c r="I274" i="24"/>
  <c r="I275" i="24"/>
  <c r="N269" i="24"/>
  <c r="I269" i="24"/>
  <c r="N271" i="24"/>
  <c r="I272" i="24"/>
  <c r="I271" i="24"/>
  <c r="N270" i="24"/>
  <c r="N280" i="24"/>
  <c r="AZ17" i="34"/>
  <c r="K5316" i="27"/>
  <c r="K5315" i="27"/>
  <c r="K5318" i="27"/>
  <c r="H5313" i="27"/>
  <c r="J5318" i="27"/>
  <c r="J5316" i="27"/>
  <c r="J5317" i="27"/>
  <c r="K5317" i="27"/>
  <c r="H5315" i="27"/>
  <c r="I5314" i="27"/>
  <c r="I5315" i="27"/>
  <c r="H5317" i="27"/>
  <c r="K5314" i="27"/>
  <c r="I5318" i="27"/>
  <c r="I5313" i="27"/>
  <c r="J5315" i="27"/>
  <c r="J5313" i="27"/>
  <c r="J5314" i="27"/>
  <c r="K5313" i="27"/>
  <c r="H5314" i="27"/>
  <c r="I5316" i="27"/>
  <c r="I5317" i="27"/>
  <c r="H5318" i="27"/>
  <c r="K5323" i="27"/>
  <c r="A5313" i="27" l="1"/>
  <c r="A5315" i="27"/>
  <c r="A5317" i="27"/>
  <c r="A5316" i="27"/>
  <c r="A5318" i="27"/>
  <c r="A5314" i="27"/>
  <c r="N279" i="24"/>
  <c r="N283" i="24"/>
  <c r="N282" i="24"/>
  <c r="I278" i="24"/>
  <c r="I277" i="24"/>
  <c r="I281" i="24"/>
  <c r="N278" i="24"/>
  <c r="N277" i="24"/>
  <c r="I282" i="24"/>
  <c r="I279" i="24"/>
  <c r="N281" i="24"/>
  <c r="I280" i="24"/>
  <c r="I283" i="24"/>
  <c r="AZ18" i="34"/>
  <c r="K5322" i="27"/>
  <c r="I5324" i="27"/>
  <c r="J5323" i="27"/>
  <c r="K5324" i="27"/>
  <c r="H5324" i="27"/>
  <c r="K5325" i="27"/>
  <c r="H5319" i="27"/>
  <c r="I5321" i="27"/>
  <c r="I5322" i="27"/>
  <c r="J5322" i="27"/>
  <c r="J5320" i="27"/>
  <c r="H5322" i="27"/>
  <c r="H5323" i="27"/>
  <c r="I5319" i="27"/>
  <c r="K5321" i="27"/>
  <c r="I5323" i="27"/>
  <c r="J5319" i="27"/>
  <c r="H5321" i="27"/>
  <c r="J5324" i="27"/>
  <c r="J5321" i="27"/>
  <c r="H5320" i="27"/>
  <c r="I5320" i="27"/>
  <c r="K5320" i="27"/>
  <c r="K5319" i="27"/>
  <c r="A5322" i="27" l="1"/>
  <c r="A5323" i="27"/>
  <c r="A5324" i="27"/>
  <c r="A5319" i="27"/>
  <c r="A5321" i="27"/>
  <c r="A5320" i="27"/>
  <c r="I288" i="24"/>
  <c r="I290" i="24"/>
  <c r="I291" i="24"/>
  <c r="I286" i="24"/>
  <c r="N287" i="24"/>
  <c r="I287" i="24"/>
  <c r="N286" i="24"/>
  <c r="N291" i="24"/>
  <c r="N285" i="24"/>
  <c r="N290" i="24"/>
  <c r="N289" i="24"/>
  <c r="I289" i="24"/>
  <c r="I285" i="24"/>
  <c r="N288" i="24"/>
  <c r="AZ19" i="34"/>
  <c r="K5326" i="27"/>
  <c r="I5330" i="27"/>
  <c r="K5329" i="27"/>
  <c r="I5325" i="27"/>
  <c r="I5329" i="27"/>
  <c r="H5327" i="27"/>
  <c r="H5325" i="27"/>
  <c r="J5328" i="27"/>
  <c r="K5328" i="27"/>
  <c r="J5326" i="27"/>
  <c r="K5327" i="27"/>
  <c r="I5328" i="27"/>
  <c r="I5326" i="27"/>
  <c r="J5327" i="27"/>
  <c r="K5330" i="27"/>
  <c r="H5329" i="27"/>
  <c r="H5326" i="27"/>
  <c r="J5329" i="27"/>
  <c r="I5327" i="27"/>
  <c r="H5330" i="27"/>
  <c r="H5328" i="27"/>
  <c r="I5333" i="27"/>
  <c r="J5330" i="27"/>
  <c r="J5325" i="27"/>
  <c r="A5327" i="27" l="1"/>
  <c r="A5329" i="27"/>
  <c r="A5326" i="27"/>
  <c r="A5325" i="27"/>
  <c r="A5330" i="27"/>
  <c r="A5328" i="27"/>
  <c r="N294" i="24"/>
  <c r="N297" i="24"/>
  <c r="I295" i="24"/>
  <c r="N296" i="24"/>
  <c r="I298" i="24"/>
  <c r="N295" i="24"/>
  <c r="N298" i="24"/>
  <c r="I296" i="24"/>
  <c r="N293" i="24"/>
  <c r="I297" i="24"/>
  <c r="N299" i="24"/>
  <c r="I299" i="24"/>
  <c r="I294" i="24"/>
  <c r="I293" i="24"/>
  <c r="AZ20" i="34"/>
  <c r="H5332" i="27"/>
  <c r="K5335" i="27"/>
  <c r="J5331" i="27"/>
  <c r="I5335" i="27"/>
  <c r="J5334" i="27"/>
  <c r="K5332" i="27"/>
  <c r="H5333" i="27"/>
  <c r="K5334" i="27"/>
  <c r="I5331" i="27"/>
  <c r="H5335" i="27"/>
  <c r="H5331" i="27"/>
  <c r="K5336" i="27"/>
  <c r="I5334" i="27"/>
  <c r="I5332" i="27"/>
  <c r="J5336" i="27"/>
  <c r="H5334" i="27"/>
  <c r="I5336" i="27"/>
  <c r="H5336" i="27"/>
  <c r="K5331" i="27"/>
  <c r="J5333" i="27"/>
  <c r="J5335" i="27"/>
  <c r="K5333" i="27"/>
  <c r="J5332" i="27"/>
  <c r="A5336" i="27" l="1"/>
  <c r="A5335" i="27"/>
  <c r="A5334" i="27"/>
  <c r="A5333" i="27"/>
  <c r="A5332" i="27"/>
  <c r="A5331" i="27"/>
  <c r="AZ21" i="34"/>
  <c r="I5340" i="27"/>
  <c r="J5342" i="27"/>
  <c r="I5342" i="27"/>
  <c r="J5340" i="27"/>
  <c r="K5337" i="27"/>
  <c r="H5338" i="27"/>
  <c r="J5341" i="27"/>
  <c r="K5338" i="27"/>
  <c r="K5341" i="27"/>
  <c r="H5341" i="27"/>
  <c r="K5340" i="27"/>
  <c r="J5338" i="27"/>
  <c r="K5339" i="27"/>
  <c r="I5338" i="27"/>
  <c r="I5337" i="27"/>
  <c r="H5337" i="27"/>
  <c r="I5339" i="27"/>
  <c r="I5348" i="27"/>
  <c r="H5340" i="27"/>
  <c r="H5342" i="27"/>
  <c r="H5339" i="27"/>
  <c r="J5337" i="27"/>
  <c r="J5339" i="27"/>
  <c r="K5342" i="27"/>
  <c r="I5341" i="27"/>
  <c r="A5338" i="27" l="1"/>
  <c r="A5339" i="27"/>
  <c r="A5337" i="27"/>
  <c r="A5341" i="27"/>
  <c r="A5340" i="27"/>
  <c r="A5342" i="27"/>
  <c r="AZ22" i="34"/>
  <c r="H5348" i="27"/>
  <c r="I5344" i="27"/>
  <c r="I5347" i="27"/>
  <c r="K5343" i="27"/>
  <c r="K5348" i="27"/>
  <c r="J5344" i="27"/>
  <c r="H5345" i="27"/>
  <c r="K5344" i="27"/>
  <c r="J5347" i="27"/>
  <c r="J5346" i="27"/>
  <c r="J5348" i="27"/>
  <c r="K5346" i="27"/>
  <c r="I5345" i="27"/>
  <c r="I5353" i="27"/>
  <c r="J5345" i="27"/>
  <c r="I5346" i="27"/>
  <c r="H5346" i="27"/>
  <c r="J5343" i="27"/>
  <c r="K5345" i="27"/>
  <c r="I5343" i="27"/>
  <c r="K5347" i="27"/>
  <c r="H5343" i="27"/>
  <c r="H5344" i="27"/>
  <c r="H5347" i="27"/>
  <c r="A5347" i="27" l="1"/>
  <c r="A5345" i="27"/>
  <c r="A5346" i="27"/>
  <c r="A5343" i="27"/>
  <c r="A5344" i="27"/>
  <c r="A5348" i="27"/>
  <c r="AZ23" i="34"/>
  <c r="H5352" i="27"/>
  <c r="H5353" i="27"/>
  <c r="J5353" i="27"/>
  <c r="J5349" i="27"/>
  <c r="I5350" i="27"/>
  <c r="H5350" i="27"/>
  <c r="K5350" i="27"/>
  <c r="I5359" i="27"/>
  <c r="J5352" i="27"/>
  <c r="K5353" i="27"/>
  <c r="K5352" i="27"/>
  <c r="I5349" i="27"/>
  <c r="I5352" i="27"/>
  <c r="J5351" i="27"/>
  <c r="I5354" i="27"/>
  <c r="K5349" i="27"/>
  <c r="H5351" i="27"/>
  <c r="J5354" i="27"/>
  <c r="J5350" i="27"/>
  <c r="K5354" i="27"/>
  <c r="H5349" i="27"/>
  <c r="H5354" i="27"/>
  <c r="K5351" i="27"/>
  <c r="I5351" i="27"/>
  <c r="A5351" i="27" l="1"/>
  <c r="A5350" i="27"/>
  <c r="A5354" i="27"/>
  <c r="A5353" i="27"/>
  <c r="A5352" i="27"/>
  <c r="A5349" i="27"/>
  <c r="AZ24" i="34"/>
  <c r="I5355" i="27"/>
  <c r="I5358" i="27"/>
  <c r="H5360" i="27"/>
  <c r="K5360" i="27"/>
  <c r="J5356" i="27"/>
  <c r="K5357" i="27"/>
  <c r="J5358" i="27"/>
  <c r="H5356" i="27"/>
  <c r="K5355" i="27"/>
  <c r="I5357" i="27"/>
  <c r="J5360" i="27"/>
  <c r="H5357" i="27"/>
  <c r="K5356" i="27"/>
  <c r="H5358" i="27"/>
  <c r="I5360" i="27"/>
  <c r="I5356" i="27"/>
  <c r="H5359" i="27"/>
  <c r="K5358" i="27"/>
  <c r="K5359" i="27"/>
  <c r="H5355" i="27"/>
  <c r="J5357" i="27"/>
  <c r="J5355" i="27"/>
  <c r="J5359" i="27"/>
  <c r="A5356" i="27" l="1"/>
  <c r="A5355" i="27"/>
  <c r="A5360" i="27"/>
  <c r="A5359" i="27"/>
  <c r="A5357" i="27"/>
  <c r="A5358" i="27"/>
  <c r="AZ25" i="34"/>
  <c r="H5362" i="27"/>
  <c r="K5372" i="27"/>
  <c r="J5363" i="27"/>
  <c r="I5365" i="27"/>
  <c r="H5365" i="27"/>
  <c r="J5364" i="27"/>
  <c r="J5362" i="27"/>
  <c r="J5365" i="27"/>
  <c r="H5363" i="27"/>
  <c r="I5363" i="27"/>
  <c r="H5366" i="27"/>
  <c r="K5365" i="27"/>
  <c r="H5368" i="27"/>
  <c r="I5364" i="27"/>
  <c r="K5361" i="27"/>
  <c r="K5363" i="27"/>
  <c r="J5366" i="27"/>
  <c r="I5366" i="27"/>
  <c r="J5361" i="27"/>
  <c r="K5366" i="27"/>
  <c r="K5362" i="27"/>
  <c r="H5361" i="27"/>
  <c r="I5361" i="27"/>
  <c r="I5362" i="27"/>
  <c r="H5364" i="27"/>
  <c r="K5364" i="27"/>
  <c r="A5366" i="27" l="1"/>
  <c r="A5364" i="27"/>
  <c r="A5361" i="27"/>
  <c r="A5363" i="27"/>
  <c r="A5362" i="27"/>
  <c r="A5365" i="27"/>
  <c r="AZ26" i="34"/>
  <c r="J5367" i="27"/>
  <c r="J5369" i="27"/>
  <c r="J5368" i="27"/>
  <c r="K5368" i="27"/>
  <c r="I5367" i="27"/>
  <c r="H5367" i="27"/>
  <c r="I5369" i="27"/>
  <c r="I5371" i="27"/>
  <c r="I5372" i="27"/>
  <c r="H5372" i="27"/>
  <c r="I5370" i="27"/>
  <c r="K5367" i="27"/>
  <c r="H5371" i="27"/>
  <c r="J5372" i="27"/>
  <c r="H5370" i="27"/>
  <c r="J5371" i="27"/>
  <c r="K5370" i="27"/>
  <c r="K5371" i="27"/>
  <c r="H5369" i="27"/>
  <c r="K5369" i="27"/>
  <c r="I5368" i="27"/>
  <c r="J5370" i="27"/>
  <c r="A5369" i="27" l="1"/>
  <c r="A5370" i="27"/>
  <c r="A5371" i="27"/>
  <c r="A5367" i="27"/>
  <c r="A5372" i="27"/>
  <c r="A5368" i="27"/>
  <c r="AZ27" i="34"/>
  <c r="J5376" i="27"/>
  <c r="H5373" i="27"/>
  <c r="H5374" i="27"/>
  <c r="I5375" i="27"/>
  <c r="I5373" i="27"/>
  <c r="J5375" i="27"/>
  <c r="K5375" i="27"/>
  <c r="K5374" i="27"/>
  <c r="I5377" i="27"/>
  <c r="I5376" i="27"/>
  <c r="I5374" i="27"/>
  <c r="K5373" i="27"/>
  <c r="J5377" i="27"/>
  <c r="H5376" i="27"/>
  <c r="I5381" i="27"/>
  <c r="K5377" i="27"/>
  <c r="K5376" i="27"/>
  <c r="K5378" i="27"/>
  <c r="H5377" i="27"/>
  <c r="J5373" i="27"/>
  <c r="H5375" i="27"/>
  <c r="H5378" i="27"/>
  <c r="J5374" i="27"/>
  <c r="I5378" i="27"/>
  <c r="J5378" i="27"/>
  <c r="A5373" i="27" l="1"/>
  <c r="A5376" i="27"/>
  <c r="A5374" i="27"/>
  <c r="A5375" i="27"/>
  <c r="A5378" i="27"/>
  <c r="A5377" i="27"/>
  <c r="AZ28" i="34"/>
  <c r="H5380" i="27"/>
  <c r="K5382" i="27"/>
  <c r="H5382" i="27"/>
  <c r="K5383" i="27"/>
  <c r="H5383" i="27"/>
  <c r="I5379" i="27"/>
  <c r="J5384" i="27"/>
  <c r="J5379" i="27"/>
  <c r="J5380" i="27"/>
  <c r="H5381" i="27"/>
  <c r="J5382" i="27"/>
  <c r="I5383" i="27"/>
  <c r="K5379" i="27"/>
  <c r="I5382" i="27"/>
  <c r="K5385" i="27"/>
  <c r="I5384" i="27"/>
  <c r="H5379" i="27"/>
  <c r="K5381" i="27"/>
  <c r="J5383" i="27"/>
  <c r="K5384" i="27"/>
  <c r="H5384" i="27"/>
  <c r="I5380" i="27"/>
  <c r="K5380" i="27"/>
  <c r="J5381" i="27"/>
  <c r="A5384" i="27" l="1"/>
  <c r="A5379" i="27"/>
  <c r="A5380" i="27"/>
  <c r="A5382" i="27"/>
  <c r="A5383" i="27"/>
  <c r="A5381" i="27"/>
  <c r="AZ29" i="34"/>
  <c r="K5388" i="27"/>
  <c r="J5385" i="27"/>
  <c r="H5391" i="27"/>
  <c r="H5385" i="27"/>
  <c r="H5390" i="27"/>
  <c r="K5395" i="27"/>
  <c r="I5388" i="27"/>
  <c r="I5391" i="27"/>
  <c r="K5389" i="27"/>
  <c r="I5387" i="27"/>
  <c r="K5394" i="27"/>
  <c r="K5386" i="27"/>
  <c r="J5390" i="27"/>
  <c r="H5387" i="27"/>
  <c r="I5385" i="27"/>
  <c r="J5388" i="27"/>
  <c r="H5389" i="27"/>
  <c r="K5393" i="27"/>
  <c r="J5387" i="27"/>
  <c r="H5395" i="27"/>
  <c r="I5390" i="27"/>
  <c r="H5396" i="27"/>
  <c r="I5396" i="27"/>
  <c r="K5387" i="27"/>
  <c r="J5386" i="27"/>
  <c r="I5386" i="27"/>
  <c r="H5388" i="27"/>
  <c r="K5390" i="27"/>
  <c r="J5392" i="27"/>
  <c r="J5389" i="27"/>
  <c r="J5394" i="27"/>
  <c r="J5391" i="27"/>
  <c r="I5389" i="27"/>
  <c r="H5386" i="27"/>
  <c r="A5388" i="27" l="1"/>
  <c r="A5389" i="27"/>
  <c r="A5394" i="27"/>
  <c r="A5390" i="27"/>
  <c r="A5385" i="27"/>
  <c r="A5387" i="27"/>
  <c r="A5386" i="27"/>
  <c r="AZ30" i="34"/>
  <c r="H5392" i="27"/>
  <c r="J5393" i="27"/>
  <c r="I5394" i="27"/>
  <c r="I5395" i="27"/>
  <c r="K5396" i="27"/>
  <c r="H5394" i="27"/>
  <c r="I5393" i="27"/>
  <c r="J5395" i="27"/>
  <c r="K5391" i="27"/>
  <c r="J5398" i="27"/>
  <c r="I5392" i="27"/>
  <c r="H5393" i="27"/>
  <c r="J5396" i="27"/>
  <c r="K5392" i="27"/>
  <c r="A5396" i="27" l="1"/>
  <c r="A5395" i="27"/>
  <c r="A5393" i="27"/>
  <c r="A5391" i="27"/>
  <c r="A5392" i="27"/>
  <c r="AZ31" i="34"/>
  <c r="K5398" i="27"/>
  <c r="K5399" i="27"/>
  <c r="I5401" i="27"/>
  <c r="H5402" i="27"/>
  <c r="J5402" i="27"/>
  <c r="I5397" i="27"/>
  <c r="I5398" i="27"/>
  <c r="J5407" i="27"/>
  <c r="I5400" i="27"/>
  <c r="H5403" i="27"/>
  <c r="J5397" i="27"/>
  <c r="K5397" i="27"/>
  <c r="H5397" i="27"/>
  <c r="K5400" i="27"/>
  <c r="J5399" i="27"/>
  <c r="J5400" i="27"/>
  <c r="K5402" i="27"/>
  <c r="I5399" i="27"/>
  <c r="H5401" i="27"/>
  <c r="H5398" i="27"/>
  <c r="K5401" i="27"/>
  <c r="I5402" i="27"/>
  <c r="J5401" i="27"/>
  <c r="H5400" i="27"/>
  <c r="H5399" i="27"/>
  <c r="A5401" i="27" l="1"/>
  <c r="A5398" i="27"/>
  <c r="A5402" i="27"/>
  <c r="A5400" i="27"/>
  <c r="A5397" i="27"/>
  <c r="A5399" i="27"/>
  <c r="AZ32" i="34"/>
  <c r="H5406" i="27"/>
  <c r="J5405" i="27"/>
  <c r="J5406" i="27"/>
  <c r="J5404" i="27"/>
  <c r="I5403" i="27"/>
  <c r="H5404" i="27"/>
  <c r="I5408" i="27"/>
  <c r="I5405" i="27"/>
  <c r="K5403" i="27"/>
  <c r="I5407" i="27"/>
  <c r="K5407" i="27"/>
  <c r="H5410" i="27"/>
  <c r="H5408" i="27"/>
  <c r="J5403" i="27"/>
  <c r="K5408" i="27"/>
  <c r="H5407" i="27"/>
  <c r="K5404" i="27"/>
  <c r="K5405" i="27"/>
  <c r="J5408" i="27"/>
  <c r="K5406" i="27"/>
  <c r="H5405" i="27"/>
  <c r="I5404" i="27"/>
  <c r="I5406" i="27"/>
  <c r="A5408" i="27" l="1"/>
  <c r="A5405" i="27"/>
  <c r="A5406" i="27"/>
  <c r="A5407" i="27"/>
  <c r="A5404" i="27"/>
  <c r="A5403" i="27"/>
  <c r="AZ33" i="34"/>
  <c r="K5409" i="27"/>
  <c r="I5412" i="27"/>
  <c r="K5410" i="27"/>
  <c r="K5413" i="27"/>
  <c r="J5409" i="27"/>
  <c r="K5411" i="27"/>
  <c r="H5409" i="27"/>
  <c r="H5412" i="27"/>
  <c r="H5414" i="27"/>
  <c r="I5409" i="27"/>
  <c r="I5411" i="27"/>
  <c r="J5410" i="27"/>
  <c r="J5413" i="27"/>
  <c r="I5410" i="27"/>
  <c r="J5414" i="27"/>
  <c r="I5413" i="27"/>
  <c r="H5411" i="27"/>
  <c r="I5414" i="27"/>
  <c r="K5414" i="27"/>
  <c r="H5413" i="27"/>
  <c r="J5412" i="27"/>
  <c r="J5411" i="27"/>
  <c r="K5412" i="27"/>
  <c r="H5419" i="27"/>
  <c r="A5413" i="27" l="1"/>
  <c r="A5411" i="27"/>
  <c r="A5412" i="27"/>
  <c r="A5409" i="27"/>
  <c r="A5414" i="27"/>
  <c r="A5410" i="27"/>
  <c r="AZ34" i="34"/>
  <c r="H5420" i="27"/>
  <c r="H5416" i="27"/>
  <c r="J5416" i="27"/>
  <c r="K5418" i="27"/>
  <c r="I5418" i="27"/>
  <c r="K5415" i="27"/>
  <c r="J5419" i="27"/>
  <c r="I5419" i="27"/>
  <c r="K5419" i="27"/>
  <c r="K5416" i="27"/>
  <c r="I5425" i="27"/>
  <c r="H5418" i="27"/>
  <c r="J5417" i="27"/>
  <c r="I5420" i="27"/>
  <c r="H5417" i="27"/>
  <c r="J5415" i="27"/>
  <c r="I5415" i="27"/>
  <c r="I5416" i="27"/>
  <c r="H5415" i="27"/>
  <c r="I5417" i="27"/>
  <c r="K5420" i="27"/>
  <c r="J5420" i="27"/>
  <c r="J5418" i="27"/>
  <c r="K5417" i="27"/>
  <c r="A5419" i="27" l="1"/>
  <c r="A5418" i="27"/>
  <c r="A5415" i="27"/>
  <c r="A5420" i="27"/>
  <c r="A5417" i="27"/>
  <c r="A5416" i="27"/>
  <c r="AZ35" i="34"/>
  <c r="I5426" i="27"/>
  <c r="H5421" i="27"/>
  <c r="I5422" i="27"/>
  <c r="K5424" i="27"/>
  <c r="K5421" i="27"/>
  <c r="K5422" i="27"/>
  <c r="I5432" i="27"/>
  <c r="J5426" i="27"/>
  <c r="H5426" i="27"/>
  <c r="H5425" i="27"/>
  <c r="I5421" i="27"/>
  <c r="I5423" i="27"/>
  <c r="I5424" i="27"/>
  <c r="K5425" i="27"/>
  <c r="J5423" i="27"/>
  <c r="J5422" i="27"/>
  <c r="H5423" i="27"/>
  <c r="J5424" i="27"/>
  <c r="K5426" i="27"/>
  <c r="H5422" i="27"/>
  <c r="J5421" i="27"/>
  <c r="H5424" i="27"/>
  <c r="K5423" i="27"/>
  <c r="J5425" i="27"/>
  <c r="A5423" i="27" l="1"/>
  <c r="A5426" i="27"/>
  <c r="A5422" i="27"/>
  <c r="A5424" i="27"/>
  <c r="A5425" i="27"/>
  <c r="A5421" i="27"/>
  <c r="AZ36" i="34"/>
  <c r="K5432" i="27"/>
  <c r="K5428" i="27"/>
  <c r="I5435" i="27"/>
  <c r="H5432" i="27"/>
  <c r="H5427" i="27"/>
  <c r="H5429" i="27"/>
  <c r="I5430" i="27"/>
  <c r="H5437" i="27"/>
  <c r="J5429" i="27"/>
  <c r="I5436" i="27"/>
  <c r="J5434" i="27"/>
  <c r="K5427" i="27"/>
  <c r="I5428" i="27"/>
  <c r="K5431" i="27"/>
  <c r="I5438" i="27"/>
  <c r="I5427" i="27"/>
  <c r="H5430" i="27"/>
  <c r="J5428" i="27"/>
  <c r="K5436" i="27"/>
  <c r="K5430" i="27"/>
  <c r="I5429" i="27"/>
  <c r="H5431" i="27"/>
  <c r="J5431" i="27"/>
  <c r="I5431" i="27"/>
  <c r="J5436" i="27"/>
  <c r="J5438" i="27"/>
  <c r="J5432" i="27"/>
  <c r="H5428" i="27"/>
  <c r="K5429" i="27"/>
  <c r="J5430" i="27"/>
  <c r="J5427" i="27"/>
  <c r="A5432" i="27" l="1"/>
  <c r="A5427" i="27"/>
  <c r="A5428" i="27"/>
  <c r="A5429" i="27"/>
  <c r="A5431" i="27"/>
  <c r="A5430" i="27"/>
  <c r="A5436" i="27"/>
  <c r="AZ37" i="34"/>
  <c r="H5438" i="27"/>
  <c r="K5434" i="27"/>
  <c r="K5433" i="27"/>
  <c r="H5433" i="27"/>
  <c r="K5437" i="27"/>
  <c r="H5436" i="27"/>
  <c r="J5433" i="27"/>
  <c r="H5434" i="27"/>
  <c r="K5438" i="27"/>
  <c r="I5437" i="27"/>
  <c r="I5434" i="27"/>
  <c r="H5435" i="27"/>
  <c r="K5435" i="27"/>
  <c r="J5437" i="27"/>
  <c r="I5433" i="27"/>
  <c r="J5435" i="27"/>
  <c r="K5444" i="27"/>
  <c r="A5433" i="27" l="1"/>
  <c r="A5435" i="27"/>
  <c r="A5438" i="27"/>
  <c r="A5434" i="27"/>
  <c r="A5437" i="27"/>
  <c r="AZ38" i="34"/>
  <c r="I5443" i="27"/>
  <c r="H5440" i="27"/>
  <c r="K5443" i="27"/>
  <c r="K5442" i="27"/>
  <c r="H5444" i="27"/>
  <c r="H5441" i="27"/>
  <c r="I5441" i="27"/>
  <c r="J5443" i="27"/>
  <c r="H5442" i="27"/>
  <c r="I5447" i="27"/>
  <c r="J5446" i="27"/>
  <c r="H5443" i="27"/>
  <c r="H5447" i="27"/>
  <c r="H5439" i="27"/>
  <c r="J5440" i="27"/>
  <c r="I5440" i="27"/>
  <c r="I5444" i="27"/>
  <c r="J5439" i="27"/>
  <c r="K5450" i="27"/>
  <c r="J5441" i="27"/>
  <c r="I5442" i="27"/>
  <c r="K5441" i="27"/>
  <c r="K5439" i="27"/>
  <c r="J5444" i="27"/>
  <c r="K5440" i="27"/>
  <c r="I5439" i="27"/>
  <c r="J5442" i="27"/>
  <c r="A5442" i="27" l="1"/>
  <c r="A5443" i="27"/>
  <c r="A5444" i="27"/>
  <c r="A5441" i="27"/>
  <c r="A5440" i="27"/>
  <c r="A5439" i="27"/>
  <c r="AZ39" i="34"/>
  <c r="J5450" i="27"/>
  <c r="I5454" i="27"/>
  <c r="J5451" i="27"/>
  <c r="I5448" i="27"/>
  <c r="K5449" i="27"/>
  <c r="K5445" i="27"/>
  <c r="H5455" i="27"/>
  <c r="K5454" i="27"/>
  <c r="K5456" i="27"/>
  <c r="I5449" i="27"/>
  <c r="J5448" i="27"/>
  <c r="K5455" i="27"/>
  <c r="H5450" i="27"/>
  <c r="K5453" i="27"/>
  <c r="K5452" i="27"/>
  <c r="H5452" i="27"/>
  <c r="I5446" i="27"/>
  <c r="J5445" i="27"/>
  <c r="I5445" i="27"/>
  <c r="J5447" i="27"/>
  <c r="I5452" i="27"/>
  <c r="K5446" i="27"/>
  <c r="I5450" i="27"/>
  <c r="J5455" i="27"/>
  <c r="J5449" i="27"/>
  <c r="H5446" i="27"/>
  <c r="H5449" i="27"/>
  <c r="K5448" i="27"/>
  <c r="J5454" i="27"/>
  <c r="H5448" i="27"/>
  <c r="K5447" i="27"/>
  <c r="H5445" i="27"/>
  <c r="H5456" i="27"/>
  <c r="A5454" i="27" l="1"/>
  <c r="A5455" i="27"/>
  <c r="A5449" i="27"/>
  <c r="A5448" i="27"/>
  <c r="A5450" i="27"/>
  <c r="A5445" i="27"/>
  <c r="A5446" i="27"/>
  <c r="A5447" i="27"/>
  <c r="AZ40" i="34"/>
  <c r="H5451" i="27"/>
  <c r="I5455" i="27"/>
  <c r="I5456" i="27"/>
  <c r="J5456" i="27"/>
  <c r="I5453" i="27"/>
  <c r="J5453" i="27"/>
  <c r="H5454" i="27"/>
  <c r="I5451" i="27"/>
  <c r="K5451" i="27"/>
  <c r="H5453" i="27"/>
  <c r="J5452" i="27"/>
  <c r="A5451" i="27" l="1"/>
  <c r="A5453" i="27"/>
  <c r="A5456" i="27"/>
  <c r="A5452" i="27"/>
  <c r="AZ41" i="34"/>
  <c r="J5462" i="27"/>
  <c r="J5458" i="27"/>
  <c r="I5461" i="27"/>
  <c r="I5462" i="27"/>
  <c r="H5458" i="27"/>
  <c r="H5460" i="27"/>
  <c r="J5460" i="27"/>
  <c r="K5457" i="27"/>
  <c r="K5460" i="27"/>
  <c r="I5459" i="27"/>
  <c r="I5457" i="27"/>
  <c r="H5457" i="27"/>
  <c r="K5462" i="27"/>
  <c r="H5461" i="27"/>
  <c r="I5458" i="27"/>
  <c r="I5460" i="27"/>
  <c r="J5461" i="27"/>
  <c r="K5459" i="27"/>
  <c r="K5461" i="27"/>
  <c r="K5458" i="27"/>
  <c r="J5457" i="27"/>
  <c r="H5462" i="27"/>
  <c r="J5459" i="27"/>
  <c r="H5459" i="27"/>
  <c r="A5462" i="27" l="1"/>
  <c r="A5461" i="27"/>
  <c r="A5459" i="27"/>
  <c r="A5460" i="27"/>
  <c r="A5457" i="27"/>
  <c r="A5458" i="27"/>
  <c r="AZ42" i="34"/>
  <c r="H5468" i="27"/>
  <c r="K5466" i="27"/>
  <c r="K5468" i="27"/>
  <c r="I5474" i="27"/>
  <c r="K5465" i="27"/>
  <c r="H5463" i="27"/>
  <c r="J5473" i="27"/>
  <c r="H5465" i="27"/>
  <c r="H5464" i="27"/>
  <c r="I5470" i="27"/>
  <c r="I5466" i="27"/>
  <c r="I5463" i="27"/>
  <c r="I5465" i="27"/>
  <c r="I5464" i="27"/>
  <c r="J5470" i="27"/>
  <c r="K5464" i="27"/>
  <c r="H5466" i="27"/>
  <c r="I5467" i="27"/>
  <c r="J5464" i="27"/>
  <c r="I5469" i="27"/>
  <c r="K5463" i="27"/>
  <c r="J5463" i="27"/>
  <c r="J5468" i="27"/>
  <c r="I5468" i="27"/>
  <c r="I5472" i="27"/>
  <c r="J5467" i="27"/>
  <c r="H5473" i="27"/>
  <c r="J5465" i="27"/>
  <c r="J5466" i="27"/>
  <c r="K5474" i="27"/>
  <c r="K5467" i="27"/>
  <c r="H5474" i="27"/>
  <c r="H5467" i="27"/>
  <c r="J5469" i="27"/>
  <c r="A5465" i="27" l="1"/>
  <c r="A5468" i="27"/>
  <c r="A5464" i="27"/>
  <c r="A5463" i="27"/>
  <c r="A5466" i="27"/>
  <c r="A5467" i="27"/>
  <c r="AZ43" i="34"/>
  <c r="K5470" i="27"/>
  <c r="J5471" i="27"/>
  <c r="H5470" i="27"/>
  <c r="H5472" i="27"/>
  <c r="K5469" i="27"/>
  <c r="J5474" i="27"/>
  <c r="J5472" i="27"/>
  <c r="K5477" i="27"/>
  <c r="K5472" i="27"/>
  <c r="I5473" i="27"/>
  <c r="H5469" i="27"/>
  <c r="I5471" i="27"/>
  <c r="K5471" i="27"/>
  <c r="K5473" i="27"/>
  <c r="H5471" i="27"/>
  <c r="A5470" i="27" l="1"/>
  <c r="A5474" i="27"/>
  <c r="A5472" i="27"/>
  <c r="A5471" i="27"/>
  <c r="A5469" i="27"/>
  <c r="A5473" i="27"/>
  <c r="AZ44" i="34"/>
  <c r="K5479" i="27"/>
  <c r="I5478" i="27"/>
  <c r="J5478" i="27"/>
  <c r="I5479" i="27"/>
  <c r="H5477" i="27"/>
  <c r="H5475" i="27"/>
  <c r="I5477" i="27"/>
  <c r="K5478" i="27"/>
  <c r="I5476" i="27"/>
  <c r="H5478" i="27"/>
  <c r="K5480" i="27"/>
  <c r="J5476" i="27"/>
  <c r="K5485" i="27"/>
  <c r="H5476" i="27"/>
  <c r="J5480" i="27"/>
  <c r="J5477" i="27"/>
  <c r="K5476" i="27"/>
  <c r="K5475" i="27"/>
  <c r="H5479" i="27"/>
  <c r="I5475" i="27"/>
  <c r="H5480" i="27"/>
  <c r="I5480" i="27"/>
  <c r="J5479" i="27"/>
  <c r="J5475" i="27"/>
  <c r="A5480" i="27" l="1"/>
  <c r="A5477" i="27"/>
  <c r="A5476" i="27"/>
  <c r="A5478" i="27"/>
  <c r="A5475" i="27"/>
  <c r="A5479" i="27"/>
  <c r="AZ45" i="34"/>
  <c r="K5486" i="27"/>
  <c r="I5485" i="27"/>
  <c r="I5483" i="27"/>
  <c r="I5481" i="27"/>
  <c r="H5483" i="27"/>
  <c r="J5482" i="27"/>
  <c r="K5483" i="27"/>
  <c r="K5481" i="27"/>
  <c r="H5486" i="27"/>
  <c r="H5481" i="27"/>
  <c r="H5484" i="27"/>
  <c r="K5482" i="27"/>
  <c r="J5485" i="27"/>
  <c r="J5481" i="27"/>
  <c r="H5482" i="27"/>
  <c r="I5482" i="27"/>
  <c r="J5486" i="27"/>
  <c r="I5484" i="27"/>
  <c r="I5486" i="27"/>
  <c r="J5484" i="27"/>
  <c r="J5483" i="27"/>
  <c r="H5485" i="27"/>
  <c r="K5484" i="27"/>
  <c r="A5481" i="27" l="1"/>
  <c r="A5485" i="27"/>
  <c r="A5483" i="27"/>
  <c r="A5482" i="27"/>
  <c r="A5486" i="27"/>
  <c r="A5484" i="27"/>
  <c r="AZ46" i="34"/>
  <c r="H5487" i="27"/>
  <c r="K5491" i="27"/>
  <c r="H5488" i="27"/>
  <c r="K5487" i="27"/>
  <c r="J5487" i="27"/>
  <c r="I5487" i="27"/>
  <c r="J5489" i="27"/>
  <c r="K5489" i="27"/>
  <c r="I5491" i="27"/>
  <c r="H5491" i="27"/>
  <c r="I5488" i="27"/>
  <c r="I5490" i="27"/>
  <c r="I5492" i="27"/>
  <c r="J5490" i="27"/>
  <c r="K5488" i="27"/>
  <c r="H5492" i="27"/>
  <c r="H5490" i="27"/>
  <c r="K5492" i="27"/>
  <c r="J5488" i="27"/>
  <c r="I5489" i="27"/>
  <c r="H5489" i="27"/>
  <c r="J5492" i="27"/>
  <c r="K5490" i="27"/>
  <c r="J5491" i="27"/>
  <c r="A5489" i="27" l="1"/>
  <c r="A5487" i="27"/>
  <c r="A5491" i="27"/>
  <c r="A5488" i="27"/>
  <c r="A5492" i="27"/>
  <c r="A5490" i="27"/>
  <c r="AZ47" i="34"/>
  <c r="I5498" i="27"/>
  <c r="H5495" i="27"/>
  <c r="I5495" i="27"/>
  <c r="J5493" i="27"/>
  <c r="H5497" i="27"/>
  <c r="J5498" i="27"/>
  <c r="K5498" i="27"/>
  <c r="K5493" i="27"/>
  <c r="H5496" i="27"/>
  <c r="I5497" i="27"/>
  <c r="K5497" i="27"/>
  <c r="I5496" i="27"/>
  <c r="J5497" i="27"/>
  <c r="I5504" i="27"/>
  <c r="H5494" i="27"/>
  <c r="J5495" i="27"/>
  <c r="I5493" i="27"/>
  <c r="K5494" i="27"/>
  <c r="K5495" i="27"/>
  <c r="J5494" i="27"/>
  <c r="J5496" i="27"/>
  <c r="K5496" i="27"/>
  <c r="I5494" i="27"/>
  <c r="H5493" i="27"/>
  <c r="H5498" i="27"/>
  <c r="A5495" i="27" l="1"/>
  <c r="A5497" i="27"/>
  <c r="A5494" i="27"/>
  <c r="A5493" i="27"/>
  <c r="A5496" i="27"/>
  <c r="A5498" i="27"/>
  <c r="AZ48" i="34"/>
  <c r="H5499" i="27"/>
  <c r="J5504" i="27"/>
  <c r="I5499" i="27"/>
  <c r="J5503" i="27"/>
  <c r="J5502" i="27"/>
  <c r="K5499" i="27"/>
  <c r="I5503" i="27"/>
  <c r="J5501" i="27"/>
  <c r="I5500" i="27"/>
  <c r="H5501" i="27"/>
  <c r="K5503" i="27"/>
  <c r="K5504" i="27"/>
  <c r="K5502" i="27"/>
  <c r="H5500" i="27"/>
  <c r="J5499" i="27"/>
  <c r="J5500" i="27"/>
  <c r="K5501" i="27"/>
  <c r="H5503" i="27"/>
  <c r="H5504" i="27"/>
  <c r="K5500" i="27"/>
  <c r="I5502" i="27"/>
  <c r="H5502" i="27"/>
  <c r="I5501" i="27"/>
  <c r="A5500" i="27" l="1"/>
  <c r="A5499" i="27"/>
  <c r="A5501" i="27"/>
  <c r="A5504" i="27"/>
  <c r="A5502" i="27"/>
  <c r="A5503" i="27"/>
  <c r="AZ49" i="34"/>
  <c r="K5505" i="27"/>
  <c r="K5510" i="27"/>
  <c r="I5508" i="27"/>
  <c r="I5507" i="27"/>
  <c r="I5505" i="27"/>
  <c r="K5509" i="27"/>
  <c r="I5509" i="27"/>
  <c r="I5506" i="27"/>
  <c r="I5510" i="27"/>
  <c r="K5506" i="27"/>
  <c r="J5509" i="27"/>
  <c r="J5507" i="27"/>
  <c r="J5510" i="27"/>
  <c r="H5505" i="27"/>
  <c r="J5505" i="27"/>
  <c r="K5508" i="27"/>
  <c r="J5508" i="27"/>
  <c r="J5506" i="27"/>
  <c r="H5508" i="27"/>
  <c r="H5509" i="27"/>
  <c r="H5510" i="27"/>
  <c r="H5506" i="27"/>
  <c r="K5507" i="27"/>
  <c r="H5507" i="27"/>
  <c r="A5506" i="27" l="1"/>
  <c r="A5505" i="27"/>
  <c r="A5508" i="27"/>
  <c r="A5509" i="27"/>
  <c r="A5507" i="27"/>
  <c r="A5510" i="27"/>
  <c r="AZ50" i="34"/>
  <c r="I5514" i="27"/>
  <c r="K5515" i="27"/>
  <c r="K5514" i="27"/>
  <c r="K5516" i="27"/>
  <c r="H5512" i="27"/>
  <c r="H5514" i="27"/>
  <c r="K5521" i="27"/>
  <c r="K5512" i="27"/>
  <c r="K5513" i="27"/>
  <c r="J5514" i="27"/>
  <c r="H5513" i="27"/>
  <c r="I5513" i="27"/>
  <c r="J5512" i="27"/>
  <c r="H5511" i="27"/>
  <c r="I5516" i="27"/>
  <c r="I5511" i="27"/>
  <c r="K5511" i="27"/>
  <c r="H5516" i="27"/>
  <c r="J5515" i="27"/>
  <c r="J5513" i="27"/>
  <c r="H5515" i="27"/>
  <c r="I5512" i="27"/>
  <c r="J5511" i="27"/>
  <c r="I5515" i="27"/>
  <c r="J5516" i="27"/>
  <c r="A5514" i="27" l="1"/>
  <c r="A5512" i="27"/>
  <c r="A5513" i="27"/>
  <c r="A5516" i="27"/>
  <c r="A5515" i="27"/>
  <c r="A5511" i="27"/>
  <c r="AZ51" i="34"/>
  <c r="J5522" i="27"/>
  <c r="H5520" i="27"/>
  <c r="K5517" i="27"/>
  <c r="J5521" i="27"/>
  <c r="J5520" i="27"/>
  <c r="J5524" i="27"/>
  <c r="H5522" i="27"/>
  <c r="I5520" i="27"/>
  <c r="H5521" i="27"/>
  <c r="I5521" i="27"/>
  <c r="J5518" i="27"/>
  <c r="K5518" i="27"/>
  <c r="H5519" i="27"/>
  <c r="I5518" i="27"/>
  <c r="K5520" i="27"/>
  <c r="J5519" i="27"/>
  <c r="I5517" i="27"/>
  <c r="K5522" i="27"/>
  <c r="H5518" i="27"/>
  <c r="J5517" i="27"/>
  <c r="K5519" i="27"/>
  <c r="I5519" i="27"/>
  <c r="H5517" i="27"/>
  <c r="I5522" i="27"/>
  <c r="A5518" i="27" l="1"/>
  <c r="A5517" i="27"/>
  <c r="A5522" i="27"/>
  <c r="A5519" i="27"/>
  <c r="A5521" i="27"/>
  <c r="A5520" i="27"/>
  <c r="AZ52" i="34"/>
  <c r="J5528" i="27"/>
  <c r="H5526" i="27"/>
  <c r="K5528" i="27"/>
  <c r="J5525" i="27"/>
  <c r="H5528" i="27"/>
  <c r="I5524" i="27"/>
  <c r="K5527" i="27"/>
  <c r="H5527" i="27"/>
  <c r="I5528" i="27"/>
  <c r="I5527" i="27"/>
  <c r="J5527" i="27"/>
  <c r="I5523" i="27"/>
  <c r="K5524" i="27"/>
  <c r="I5525" i="27"/>
  <c r="H5524" i="27"/>
  <c r="I5526" i="27"/>
  <c r="K5523" i="27"/>
  <c r="H5523" i="27"/>
  <c r="H5525" i="27"/>
  <c r="K5525" i="27"/>
  <c r="J5526" i="27"/>
  <c r="J5523" i="27"/>
  <c r="K5526" i="27"/>
  <c r="A5524" i="27" l="1"/>
  <c r="A5525" i="27"/>
  <c r="A5528" i="27"/>
  <c r="A5526" i="27"/>
  <c r="A5527" i="27"/>
  <c r="A5523" i="27"/>
  <c r="AZ53" i="34"/>
  <c r="H5531" i="27"/>
  <c r="I5532" i="27"/>
  <c r="K5529" i="27"/>
  <c r="J5530" i="27"/>
  <c r="H5536" i="27"/>
  <c r="H5532" i="27"/>
  <c r="J5534" i="27"/>
  <c r="H5533" i="27"/>
  <c r="K5531" i="27"/>
  <c r="K5530" i="27"/>
  <c r="J5529" i="27"/>
  <c r="K5534" i="27"/>
  <c r="H5529" i="27"/>
  <c r="I5530" i="27"/>
  <c r="H5530" i="27"/>
  <c r="K5532" i="27"/>
  <c r="J5531" i="27"/>
  <c r="I5531" i="27"/>
  <c r="I5534" i="27"/>
  <c r="K5533" i="27"/>
  <c r="H5534" i="27"/>
  <c r="J5532" i="27"/>
  <c r="J5533" i="27"/>
  <c r="I5529" i="27"/>
  <c r="I5533" i="27"/>
  <c r="A5532" i="27" l="1"/>
  <c r="A5529" i="27"/>
  <c r="A5534" i="27"/>
  <c r="A5530" i="27"/>
  <c r="A5531" i="27"/>
  <c r="A5533" i="27"/>
  <c r="AZ54" i="34"/>
  <c r="J5538" i="27"/>
  <c r="I5535" i="27"/>
  <c r="K5535" i="27"/>
  <c r="J5540" i="27"/>
  <c r="H5539" i="27"/>
  <c r="J5537" i="27"/>
  <c r="I5539" i="27"/>
  <c r="H5535" i="27"/>
  <c r="J5536" i="27"/>
  <c r="I5537" i="27"/>
  <c r="I5536" i="27"/>
  <c r="K5538" i="27"/>
  <c r="J5539" i="27"/>
  <c r="I5538" i="27"/>
  <c r="H5538" i="27"/>
  <c r="J5535" i="27"/>
  <c r="H5537" i="27"/>
  <c r="K5539" i="27"/>
  <c r="K5536" i="27"/>
  <c r="H5540" i="27"/>
  <c r="J5544" i="27"/>
  <c r="K5537" i="27"/>
  <c r="K5540" i="27"/>
  <c r="I5540" i="27"/>
  <c r="A5536" i="27" l="1"/>
  <c r="A5540" i="27"/>
  <c r="A5537" i="27"/>
  <c r="A5539" i="27"/>
  <c r="A5538" i="27"/>
  <c r="A5535" i="27"/>
  <c r="AZ55" i="34"/>
  <c r="K5541" i="27"/>
  <c r="J5545" i="27"/>
  <c r="H5543" i="27"/>
  <c r="J5542" i="27"/>
  <c r="K5543" i="27"/>
  <c r="H5544" i="27"/>
  <c r="K5546" i="27"/>
  <c r="K5545" i="27"/>
  <c r="H5541" i="27"/>
  <c r="K5542" i="27"/>
  <c r="H5546" i="27"/>
  <c r="J5546" i="27"/>
  <c r="I5547" i="27"/>
  <c r="J5541" i="27"/>
  <c r="I5541" i="27"/>
  <c r="I5545" i="27"/>
  <c r="I5546" i="27"/>
  <c r="I5542" i="27"/>
  <c r="I5543" i="27"/>
  <c r="H5545" i="27"/>
  <c r="K5548" i="27"/>
  <c r="J5543" i="27"/>
  <c r="H5542" i="27"/>
  <c r="K5544" i="27"/>
  <c r="I5544" i="27"/>
  <c r="A5543" i="27" l="1"/>
  <c r="A5544" i="27"/>
  <c r="A5541" i="27"/>
  <c r="A5546" i="27"/>
  <c r="A5542" i="27"/>
  <c r="A5545" i="27"/>
  <c r="AZ56" i="34"/>
  <c r="K5549" i="27"/>
  <c r="H5551" i="27"/>
  <c r="J5547" i="27"/>
  <c r="H5547" i="27"/>
  <c r="H5552" i="27"/>
  <c r="J5549" i="27"/>
  <c r="H5549" i="27"/>
  <c r="I5548" i="27"/>
  <c r="J5548" i="27"/>
  <c r="K5552" i="27"/>
  <c r="K5550" i="27"/>
  <c r="I5549" i="27"/>
  <c r="I5552" i="27"/>
  <c r="K5547" i="27"/>
  <c r="J5551" i="27"/>
  <c r="H5548" i="27"/>
  <c r="H5550" i="27"/>
  <c r="I5550" i="27"/>
  <c r="K5554" i="27"/>
  <c r="J5552" i="27"/>
  <c r="J5550" i="27"/>
  <c r="I5551" i="27"/>
  <c r="K5551" i="27"/>
  <c r="A5547" i="27" l="1"/>
  <c r="A5548" i="27"/>
  <c r="A5550" i="27"/>
  <c r="A5552" i="27"/>
  <c r="A5549" i="27"/>
  <c r="A5551" i="27"/>
  <c r="AZ57" i="34"/>
  <c r="I5558" i="27"/>
  <c r="H5559" i="27"/>
  <c r="I5557" i="27"/>
  <c r="H5554" i="27"/>
  <c r="H5558" i="27"/>
  <c r="K5556" i="27"/>
  <c r="I5554" i="27"/>
  <c r="J5559" i="27"/>
  <c r="H5564" i="27"/>
  <c r="K5555" i="27"/>
  <c r="I5553" i="27"/>
  <c r="K5558" i="27"/>
  <c r="K5553" i="27"/>
  <c r="J5554" i="27"/>
  <c r="J5557" i="27"/>
  <c r="I5562" i="27"/>
  <c r="J5556" i="27"/>
  <c r="H5556" i="27"/>
  <c r="K5557" i="27"/>
  <c r="J5555" i="27"/>
  <c r="I5556" i="27"/>
  <c r="J5558" i="27"/>
  <c r="I5555" i="27"/>
  <c r="J5553" i="27"/>
  <c r="J5562" i="27"/>
  <c r="H5555" i="27"/>
  <c r="H5553" i="27"/>
  <c r="J5561" i="27"/>
  <c r="H5557" i="27"/>
  <c r="A5554" i="27" l="1"/>
  <c r="A5556" i="27"/>
  <c r="A5557" i="27"/>
  <c r="A5553" i="27"/>
  <c r="A5555" i="27"/>
  <c r="A5558" i="27"/>
  <c r="AZ58" i="34"/>
  <c r="H5562" i="27"/>
  <c r="J5560" i="27"/>
  <c r="I5561" i="27"/>
  <c r="I5559" i="27"/>
  <c r="I5564" i="27"/>
  <c r="K5559" i="27"/>
  <c r="I5563" i="27"/>
  <c r="K5560" i="27"/>
  <c r="H5563" i="27"/>
  <c r="K5561" i="27"/>
  <c r="J5564" i="27"/>
  <c r="I5560" i="27"/>
  <c r="K5563" i="27"/>
  <c r="H5561" i="27"/>
  <c r="K5562" i="27"/>
  <c r="J5563" i="27"/>
  <c r="K5564" i="27"/>
  <c r="H5560" i="27"/>
  <c r="A5560" i="27" l="1"/>
  <c r="A5564" i="27"/>
  <c r="A5562" i="27"/>
  <c r="A5561" i="27"/>
  <c r="A5563" i="27"/>
  <c r="A5559" i="27"/>
  <c r="AZ59" i="34"/>
  <c r="H5574" i="27"/>
  <c r="J5568" i="27"/>
  <c r="K5568" i="27"/>
  <c r="K5569" i="27"/>
  <c r="H5567" i="27"/>
  <c r="J5566" i="27"/>
  <c r="I5567" i="27"/>
  <c r="I5566" i="27"/>
  <c r="H5570" i="27"/>
  <c r="H5569" i="27"/>
  <c r="J5570" i="27"/>
  <c r="K5570" i="27"/>
  <c r="I5570" i="27"/>
  <c r="H5568" i="27"/>
  <c r="H5566" i="27"/>
  <c r="I5568" i="27"/>
  <c r="K5566" i="27"/>
  <c r="I5565" i="27"/>
  <c r="J5565" i="27"/>
  <c r="J5569" i="27"/>
  <c r="K5565" i="27"/>
  <c r="J5567" i="27"/>
  <c r="I5569" i="27"/>
  <c r="H5565" i="27"/>
  <c r="K5567" i="27"/>
  <c r="A5568" i="27" l="1"/>
  <c r="A5569" i="27"/>
  <c r="A5565" i="27"/>
  <c r="A5566" i="27"/>
  <c r="A5567" i="27"/>
  <c r="A5570" i="27"/>
  <c r="AZ60" i="34"/>
  <c r="I5571" i="27"/>
  <c r="K5574" i="27"/>
  <c r="J5572" i="27"/>
  <c r="J5575" i="27"/>
  <c r="I5573" i="27"/>
  <c r="K5573" i="27"/>
  <c r="J5576" i="27"/>
  <c r="I5576" i="27"/>
  <c r="K5571" i="27"/>
  <c r="J5574" i="27"/>
  <c r="H5576" i="27"/>
  <c r="H5575" i="27"/>
  <c r="K5575" i="27"/>
  <c r="J5571" i="27"/>
  <c r="I5572" i="27"/>
  <c r="I5574" i="27"/>
  <c r="H5572" i="27"/>
  <c r="H5571" i="27"/>
  <c r="K5572" i="27"/>
  <c r="J5581" i="27"/>
  <c r="K5576" i="27"/>
  <c r="H5573" i="27"/>
  <c r="J5573" i="27"/>
  <c r="I5575" i="27"/>
  <c r="A5575" i="27" l="1"/>
  <c r="A5571" i="27"/>
  <c r="A5572" i="27"/>
  <c r="A5573" i="27"/>
  <c r="A5576" i="27"/>
  <c r="A5574" i="27"/>
  <c r="AZ61" i="34"/>
  <c r="H5577" i="27"/>
  <c r="J5580" i="27"/>
  <c r="I5578" i="27"/>
  <c r="K5582" i="27"/>
  <c r="I5582" i="27"/>
  <c r="H5580" i="27"/>
  <c r="I5577" i="27"/>
  <c r="I5585" i="27"/>
  <c r="I5580" i="27"/>
  <c r="K5585" i="27"/>
  <c r="H5582" i="27"/>
  <c r="I5588" i="27"/>
  <c r="J5582" i="27"/>
  <c r="H5578" i="27"/>
  <c r="K5579" i="27"/>
  <c r="K5578" i="27"/>
  <c r="H5581" i="27"/>
  <c r="K5580" i="27"/>
  <c r="J5577" i="27"/>
  <c r="I5581" i="27"/>
  <c r="J5579" i="27"/>
  <c r="K5577" i="27"/>
  <c r="H5579" i="27"/>
  <c r="I5579" i="27"/>
  <c r="K5581" i="27"/>
  <c r="J5578" i="27"/>
  <c r="A5581" i="27" l="1"/>
  <c r="A5580" i="27"/>
  <c r="A5582" i="27"/>
  <c r="A5577" i="27"/>
  <c r="A5579" i="27"/>
  <c r="A5578" i="27"/>
  <c r="AZ62" i="34"/>
  <c r="I5584" i="27"/>
  <c r="J5588" i="27"/>
  <c r="J5594" i="27"/>
  <c r="K5586" i="27"/>
  <c r="I5583" i="27"/>
  <c r="I5591" i="27"/>
  <c r="K5587" i="27"/>
  <c r="K5583" i="27"/>
  <c r="H5583" i="27"/>
  <c r="I5586" i="27"/>
  <c r="H5588" i="27"/>
  <c r="J5586" i="27"/>
  <c r="H5586" i="27"/>
  <c r="H5585" i="27"/>
  <c r="J5587" i="27"/>
  <c r="J5583" i="27"/>
  <c r="I5587" i="27"/>
  <c r="H5584" i="27"/>
  <c r="J5584" i="27"/>
  <c r="K5588" i="27"/>
  <c r="J5585" i="27"/>
  <c r="H5587" i="27"/>
  <c r="K5584" i="27"/>
  <c r="A5587" i="27" l="1"/>
  <c r="A5586" i="27"/>
  <c r="A5583" i="27"/>
  <c r="A5585" i="27"/>
  <c r="A5588" i="27"/>
  <c r="A5584" i="27"/>
  <c r="AZ63" i="34"/>
  <c r="H5594" i="27"/>
  <c r="J5593" i="27"/>
  <c r="J5591" i="27"/>
  <c r="K5592" i="27"/>
  <c r="K5593" i="27"/>
  <c r="H5590" i="27"/>
  <c r="I5590" i="27"/>
  <c r="I5593" i="27"/>
  <c r="H5592" i="27"/>
  <c r="H5591" i="27"/>
  <c r="K5590" i="27"/>
  <c r="K5594" i="27"/>
  <c r="J5592" i="27"/>
  <c r="H5593" i="27"/>
  <c r="J5590" i="27"/>
  <c r="I5594" i="27"/>
  <c r="K5591" i="27"/>
  <c r="I5589" i="27"/>
  <c r="J5589" i="27"/>
  <c r="K5589" i="27"/>
  <c r="I5599" i="27"/>
  <c r="H5589" i="27"/>
  <c r="I5592" i="27"/>
  <c r="A5590" i="27" l="1"/>
  <c r="A5589" i="27"/>
  <c r="A5592" i="27"/>
  <c r="A5593" i="27"/>
  <c r="A5591" i="27"/>
  <c r="A5594" i="27"/>
  <c r="AZ64" i="34"/>
  <c r="H5600" i="27"/>
  <c r="H5596" i="27"/>
  <c r="K5600" i="27"/>
  <c r="J5600" i="27"/>
  <c r="H5598" i="27"/>
  <c r="I5597" i="27"/>
  <c r="K5596" i="27"/>
  <c r="I5600" i="27"/>
  <c r="H5599" i="27"/>
  <c r="J5596" i="27"/>
  <c r="J5595" i="27"/>
  <c r="H5595" i="27"/>
  <c r="J5598" i="27"/>
  <c r="I5603" i="27"/>
  <c r="J5597" i="27"/>
  <c r="K5598" i="27"/>
  <c r="I5596" i="27"/>
  <c r="K5597" i="27"/>
  <c r="K5595" i="27"/>
  <c r="H5597" i="27"/>
  <c r="I5595" i="27"/>
  <c r="I5598" i="27"/>
  <c r="J5599" i="27"/>
  <c r="K5599" i="27"/>
  <c r="K5603" i="27"/>
  <c r="A5600" i="27" l="1"/>
  <c r="A5596" i="27"/>
  <c r="A5599" i="27"/>
  <c r="A5598" i="27"/>
  <c r="A5595" i="27"/>
  <c r="A5597" i="27"/>
  <c r="AZ65" i="34"/>
  <c r="H5602" i="27"/>
  <c r="H5604" i="27"/>
  <c r="K5604" i="27"/>
  <c r="I5606" i="27"/>
  <c r="J5605" i="27"/>
  <c r="J5603" i="27"/>
  <c r="J5606" i="27"/>
  <c r="H5605" i="27"/>
  <c r="K5605" i="27"/>
  <c r="K5606" i="27"/>
  <c r="J5604" i="27"/>
  <c r="J5601" i="27"/>
  <c r="I5605" i="27"/>
  <c r="I5601" i="27"/>
  <c r="I5604" i="27"/>
  <c r="I5602" i="27"/>
  <c r="H5601" i="27"/>
  <c r="K5601" i="27"/>
  <c r="H5603" i="27"/>
  <c r="J5602" i="27"/>
  <c r="H5606" i="27"/>
  <c r="K5602" i="27"/>
  <c r="A5601" i="27" l="1"/>
  <c r="A5604" i="27"/>
  <c r="A5603" i="27"/>
  <c r="A5606" i="27"/>
  <c r="A5602" i="27"/>
  <c r="A5605" i="27"/>
  <c r="AZ66" i="34"/>
  <c r="I5609" i="27"/>
  <c r="K5612" i="27"/>
  <c r="J5618" i="27"/>
  <c r="H5612" i="27"/>
  <c r="I5610" i="27"/>
  <c r="I5614" i="27"/>
  <c r="K5618" i="27"/>
  <c r="J5612" i="27"/>
  <c r="J5610" i="27"/>
  <c r="J5614" i="27"/>
  <c r="H5610" i="27"/>
  <c r="I5608" i="27"/>
  <c r="K5610" i="27"/>
  <c r="J5611" i="27"/>
  <c r="H5618" i="27"/>
  <c r="H5616" i="27"/>
  <c r="I5618" i="27"/>
  <c r="I5615" i="27"/>
  <c r="H5609" i="27"/>
  <c r="H5611" i="27"/>
  <c r="I5616" i="27"/>
  <c r="I5607" i="27"/>
  <c r="K5611" i="27"/>
  <c r="I5611" i="27"/>
  <c r="K5607" i="27"/>
  <c r="K5608" i="27"/>
  <c r="K5609" i="27"/>
  <c r="J5613" i="27"/>
  <c r="J5608" i="27"/>
  <c r="J5609" i="27"/>
  <c r="I5612" i="27"/>
  <c r="H5608" i="27"/>
  <c r="H5607" i="27"/>
  <c r="H5615" i="27"/>
  <c r="J5607" i="27"/>
  <c r="I5613" i="27"/>
  <c r="A5608" i="27" l="1"/>
  <c r="A5611" i="27"/>
  <c r="A5618" i="27"/>
  <c r="A5612" i="27"/>
  <c r="A5610" i="27"/>
  <c r="A5607" i="27"/>
  <c r="A5609" i="27"/>
  <c r="AZ67" i="34"/>
  <c r="J5623" i="27"/>
  <c r="H5613" i="27"/>
  <c r="K5615" i="27"/>
  <c r="J5616" i="27"/>
  <c r="H5614" i="27"/>
  <c r="J5615" i="27"/>
  <c r="J5617" i="27"/>
  <c r="K5614" i="27"/>
  <c r="I5617" i="27"/>
  <c r="K5617" i="27"/>
  <c r="K5613" i="27"/>
  <c r="K5616" i="27"/>
  <c r="H5617" i="27"/>
  <c r="A5613" i="27" l="1"/>
  <c r="A5615" i="27"/>
  <c r="A5616" i="27"/>
  <c r="A5614" i="27"/>
  <c r="A5617" i="27"/>
  <c r="AZ68" i="34"/>
  <c r="I5619" i="27"/>
  <c r="J5622" i="27"/>
  <c r="K5622" i="27"/>
  <c r="H5622" i="27"/>
  <c r="H5621" i="27"/>
  <c r="J5620" i="27"/>
  <c r="H5620" i="27"/>
  <c r="K5623" i="27"/>
  <c r="I5624" i="27"/>
  <c r="K5619" i="27"/>
  <c r="H5629" i="27"/>
  <c r="I5623" i="27"/>
  <c r="K5630" i="27"/>
  <c r="J5624" i="27"/>
  <c r="I5622" i="27"/>
  <c r="J5628" i="27"/>
  <c r="H5624" i="27"/>
  <c r="I5620" i="27"/>
  <c r="H5623" i="27"/>
  <c r="K5621" i="27"/>
  <c r="K5629" i="27"/>
  <c r="K5620" i="27"/>
  <c r="I5621" i="27"/>
  <c r="J5619" i="27"/>
  <c r="J5621" i="27"/>
  <c r="K5624" i="27"/>
  <c r="H5619" i="27"/>
  <c r="A5619" i="27" l="1"/>
  <c r="A5622" i="27"/>
  <c r="A5623" i="27"/>
  <c r="A5624" i="27"/>
  <c r="A5620" i="27"/>
  <c r="A5621" i="27"/>
  <c r="AZ69" i="34"/>
  <c r="H5630" i="27"/>
  <c r="J5629" i="27"/>
  <c r="J5627" i="27"/>
  <c r="I5625" i="27"/>
  <c r="I5628" i="27"/>
  <c r="K5628" i="27"/>
  <c r="J5631" i="27"/>
  <c r="J5626" i="27"/>
  <c r="J5630" i="27"/>
  <c r="I5630" i="27"/>
  <c r="H5625" i="27"/>
  <c r="H5626" i="27"/>
  <c r="H5628" i="27"/>
  <c r="K5627" i="27"/>
  <c r="I5626" i="27"/>
  <c r="I5627" i="27"/>
  <c r="I5629" i="27"/>
  <c r="K5625" i="27"/>
  <c r="K5626" i="27"/>
  <c r="J5625" i="27"/>
  <c r="H5627" i="27"/>
  <c r="A5626" i="27" l="1"/>
  <c r="A5628" i="27"/>
  <c r="A5629" i="27"/>
  <c r="A5627" i="27"/>
  <c r="A5625" i="27"/>
  <c r="A5630" i="27"/>
  <c r="AZ70" i="34"/>
  <c r="H5633" i="27"/>
  <c r="K5636" i="27"/>
  <c r="J5634" i="27"/>
  <c r="H5634" i="27"/>
  <c r="H5635" i="27"/>
  <c r="K5632" i="27"/>
  <c r="H5636" i="27"/>
  <c r="I5632" i="27"/>
  <c r="I5634" i="27"/>
  <c r="K5633" i="27"/>
  <c r="J5632" i="27"/>
  <c r="J5633" i="27"/>
  <c r="H5632" i="27"/>
  <c r="I5635" i="27"/>
  <c r="H5631" i="27"/>
  <c r="I5631" i="27"/>
  <c r="K5635" i="27"/>
  <c r="I5633" i="27"/>
  <c r="K5634" i="27"/>
  <c r="K5631" i="27"/>
  <c r="J5635" i="27"/>
  <c r="J5636" i="27"/>
  <c r="I5636" i="27"/>
  <c r="A5631" i="27" l="1"/>
  <c r="A5634" i="27"/>
  <c r="A5636" i="27"/>
  <c r="A5633" i="27"/>
  <c r="A5635" i="27"/>
  <c r="A5632" i="27"/>
  <c r="AZ71" i="34"/>
  <c r="J5642" i="27"/>
  <c r="I5639" i="27"/>
  <c r="K5639" i="27"/>
  <c r="I5640" i="27"/>
  <c r="H5645" i="27"/>
  <c r="H5640" i="27"/>
  <c r="H5637" i="27"/>
  <c r="K5641" i="27"/>
  <c r="K5638" i="27"/>
  <c r="J5641" i="27"/>
  <c r="J5639" i="27"/>
  <c r="I5638" i="27"/>
  <c r="J5640" i="27"/>
  <c r="H5639" i="27"/>
  <c r="H5638" i="27"/>
  <c r="K5642" i="27"/>
  <c r="I5637" i="27"/>
  <c r="I5642" i="27"/>
  <c r="H5642" i="27"/>
  <c r="K5640" i="27"/>
  <c r="J5637" i="27"/>
  <c r="K5637" i="27"/>
  <c r="H5641" i="27"/>
  <c r="J5638" i="27"/>
  <c r="I5641" i="27"/>
  <c r="A5641" i="27" l="1"/>
  <c r="A5640" i="27"/>
  <c r="A5638" i="27"/>
  <c r="A5642" i="27"/>
  <c r="A5639" i="27"/>
  <c r="A5637" i="27"/>
  <c r="AZ72" i="34"/>
  <c r="H5646" i="27"/>
  <c r="K5646" i="27"/>
  <c r="H5649" i="27"/>
  <c r="J5645" i="27"/>
  <c r="K5644" i="27"/>
  <c r="K5649" i="27"/>
  <c r="J5654" i="27"/>
  <c r="I5649" i="27"/>
  <c r="K5654" i="27"/>
  <c r="J5643" i="27"/>
  <c r="J5646" i="27"/>
  <c r="J5648" i="27"/>
  <c r="J5647" i="27"/>
  <c r="J5652" i="27"/>
  <c r="K5645" i="27"/>
  <c r="I5648" i="27"/>
  <c r="H5643" i="27"/>
  <c r="H5648" i="27"/>
  <c r="I5647" i="27"/>
  <c r="J5651" i="27"/>
  <c r="H5644" i="27"/>
  <c r="I5651" i="27"/>
  <c r="I5645" i="27"/>
  <c r="I5646" i="27"/>
  <c r="H5650" i="27"/>
  <c r="K5643" i="27"/>
  <c r="J5644" i="27"/>
  <c r="K5648" i="27"/>
  <c r="I5643" i="27"/>
  <c r="I5644" i="27"/>
  <c r="K5652" i="27"/>
  <c r="K5647" i="27"/>
  <c r="H5647" i="27"/>
  <c r="J5649" i="27"/>
  <c r="A5643" i="27" l="1"/>
  <c r="A5646" i="27"/>
  <c r="A5652" i="27"/>
  <c r="A5649" i="27"/>
  <c r="A5644" i="27"/>
  <c r="A5645" i="27"/>
  <c r="A5648" i="27"/>
  <c r="A5647" i="27"/>
  <c r="A5654" i="27"/>
  <c r="AZ73" i="34"/>
  <c r="J5653" i="27"/>
  <c r="H5651" i="27"/>
  <c r="I5650" i="27"/>
  <c r="H5654" i="27"/>
  <c r="I5654" i="27"/>
  <c r="I5652" i="27"/>
  <c r="K5650" i="27"/>
  <c r="H5653" i="27"/>
  <c r="K5653" i="27"/>
  <c r="I5653" i="27"/>
  <c r="H5652" i="27"/>
  <c r="K5651" i="27"/>
  <c r="J5650" i="27"/>
  <c r="A5651" i="27" l="1"/>
  <c r="A5653" i="27"/>
  <c r="A5650" i="27"/>
  <c r="AZ74" i="34"/>
  <c r="H5658" i="27"/>
  <c r="H5660" i="27"/>
  <c r="J5656" i="27"/>
  <c r="I5659" i="27"/>
  <c r="J5661" i="27"/>
  <c r="H5663" i="27"/>
  <c r="I5658" i="27"/>
  <c r="I5655" i="27"/>
  <c r="K5663" i="27"/>
  <c r="I5660" i="27"/>
  <c r="K5659" i="27"/>
  <c r="K5664" i="27"/>
  <c r="K5658" i="27"/>
  <c r="K5660" i="27"/>
  <c r="J5657" i="27"/>
  <c r="I5666" i="27"/>
  <c r="J5664" i="27"/>
  <c r="H5656" i="27"/>
  <c r="J5658" i="27"/>
  <c r="J5659" i="27"/>
  <c r="I5657" i="27"/>
  <c r="H5659" i="27"/>
  <c r="J5655" i="27"/>
  <c r="H5655" i="27"/>
  <c r="J5660" i="27"/>
  <c r="H5657" i="27"/>
  <c r="I5656" i="27"/>
  <c r="J5663" i="27"/>
  <c r="K5655" i="27"/>
  <c r="K5656" i="27"/>
  <c r="K5657" i="27"/>
  <c r="A5663" i="27" l="1"/>
  <c r="A5658" i="27"/>
  <c r="A5664" i="27"/>
  <c r="A5656" i="27"/>
  <c r="A5660" i="27"/>
  <c r="A5655" i="27"/>
  <c r="A5657" i="27"/>
  <c r="A5659" i="27"/>
  <c r="AZ75" i="34"/>
  <c r="H5665" i="27"/>
  <c r="H5662" i="27"/>
  <c r="I5665" i="27"/>
  <c r="K5661" i="27"/>
  <c r="K5665" i="27"/>
  <c r="H5661" i="27"/>
  <c r="J5662" i="27"/>
  <c r="J5665" i="27"/>
  <c r="J5672" i="27"/>
  <c r="I5661" i="27"/>
  <c r="H5664" i="27"/>
  <c r="H5666" i="27"/>
  <c r="K5666" i="27"/>
  <c r="I5664" i="27"/>
  <c r="I5662" i="27"/>
  <c r="I5663" i="27"/>
  <c r="J5666" i="27"/>
  <c r="K5662" i="27"/>
  <c r="A5662" i="27" l="1"/>
  <c r="A5666" i="27"/>
  <c r="A5661" i="27"/>
  <c r="A5665" i="27"/>
  <c r="AZ76" i="34"/>
  <c r="K5668" i="27"/>
  <c r="K5670" i="27"/>
  <c r="I5671" i="27"/>
  <c r="K5667" i="27"/>
  <c r="I5668" i="27"/>
  <c r="J5667" i="27"/>
  <c r="J5671" i="27"/>
  <c r="K5669" i="27"/>
  <c r="H5670" i="27"/>
  <c r="K5671" i="27"/>
  <c r="J5668" i="27"/>
  <c r="I5669" i="27"/>
  <c r="H5668" i="27"/>
  <c r="H5672" i="27"/>
  <c r="H5677" i="27"/>
  <c r="J5670" i="27"/>
  <c r="I5672" i="27"/>
  <c r="H5667" i="27"/>
  <c r="H5669" i="27"/>
  <c r="I5670" i="27"/>
  <c r="I5667" i="27"/>
  <c r="H5671" i="27"/>
  <c r="K5672" i="27"/>
  <c r="J5669" i="27"/>
  <c r="A5671" i="27" l="1"/>
  <c r="A5672" i="27"/>
  <c r="A5668" i="27"/>
  <c r="A5669" i="27"/>
  <c r="A5670" i="27"/>
  <c r="A5667" i="27"/>
  <c r="AZ77" i="34"/>
  <c r="K5678" i="27"/>
  <c r="I5673" i="27"/>
  <c r="I5675" i="27"/>
  <c r="I5683" i="27"/>
  <c r="K5675" i="27"/>
  <c r="K5676" i="27"/>
  <c r="J5673" i="27"/>
  <c r="K5674" i="27"/>
  <c r="I5679" i="27"/>
  <c r="H5676" i="27"/>
  <c r="J5678" i="27"/>
  <c r="J5675" i="27"/>
  <c r="J5676" i="27"/>
  <c r="K5679" i="27"/>
  <c r="K5684" i="27"/>
  <c r="H5675" i="27"/>
  <c r="K5673" i="27"/>
  <c r="H5673" i="27"/>
  <c r="J5680" i="27"/>
  <c r="H5678" i="27"/>
  <c r="I5681" i="27"/>
  <c r="I5678" i="27"/>
  <c r="I5677" i="27"/>
  <c r="K5677" i="27"/>
  <c r="I5676" i="27"/>
  <c r="H5674" i="27"/>
  <c r="J5677" i="27"/>
  <c r="K5680" i="27"/>
  <c r="I5674" i="27"/>
  <c r="J5674" i="27"/>
  <c r="A5674" i="27" l="1"/>
  <c r="A5675" i="27"/>
  <c r="A5678" i="27"/>
  <c r="A5676" i="27"/>
  <c r="A5680" i="27"/>
  <c r="A5673" i="27"/>
  <c r="A5677" i="27"/>
  <c r="AZ78" i="34"/>
  <c r="I5684" i="27"/>
  <c r="H5683" i="27"/>
  <c r="H5684" i="27"/>
  <c r="H5680" i="27"/>
  <c r="I5680" i="27"/>
  <c r="J5683" i="27"/>
  <c r="J5684" i="27"/>
  <c r="K5682" i="27"/>
  <c r="J5679" i="27"/>
  <c r="J5681" i="27"/>
  <c r="H5687" i="27"/>
  <c r="K5681" i="27"/>
  <c r="I5682" i="27"/>
  <c r="H5681" i="27"/>
  <c r="J5682" i="27"/>
  <c r="H5679" i="27"/>
  <c r="K5683" i="27"/>
  <c r="H5682" i="27"/>
  <c r="A5682" i="27" l="1"/>
  <c r="A5681" i="27"/>
  <c r="A5683" i="27"/>
  <c r="A5679" i="27"/>
  <c r="A5684" i="27"/>
  <c r="AZ79" i="34"/>
  <c r="H5692" i="27"/>
  <c r="K5687" i="27"/>
  <c r="I5694" i="27"/>
  <c r="I5686" i="27"/>
  <c r="H5686" i="27"/>
  <c r="K5689" i="27"/>
  <c r="J5696" i="27"/>
  <c r="I5690" i="27"/>
  <c r="K5690" i="27"/>
  <c r="I5691" i="27"/>
  <c r="J5689" i="27"/>
  <c r="K5688" i="27"/>
  <c r="J5687" i="27"/>
  <c r="J5686" i="27"/>
  <c r="K5695" i="27"/>
  <c r="K5691" i="27"/>
  <c r="J5685" i="27"/>
  <c r="I5687" i="27"/>
  <c r="K5693" i="27"/>
  <c r="H5691" i="27"/>
  <c r="H5690" i="27"/>
  <c r="K5692" i="27"/>
  <c r="H5688" i="27"/>
  <c r="H5695" i="27"/>
  <c r="I5692" i="27"/>
  <c r="I5688" i="27"/>
  <c r="H5689" i="27"/>
  <c r="H5685" i="27"/>
  <c r="J5690" i="27"/>
  <c r="K5685" i="27"/>
  <c r="J5688" i="27"/>
  <c r="K5686" i="27"/>
  <c r="I5689" i="27"/>
  <c r="I5685" i="27"/>
  <c r="A5689" i="27" l="1"/>
  <c r="A5688" i="27"/>
  <c r="A5686" i="27"/>
  <c r="A5687" i="27"/>
  <c r="A5690" i="27"/>
  <c r="A5685" i="27"/>
  <c r="AZ80" i="34"/>
  <c r="I5699" i="27"/>
  <c r="H5699" i="27"/>
  <c r="K5697" i="27"/>
  <c r="H5694" i="27"/>
  <c r="J5692" i="27"/>
  <c r="K5694" i="27"/>
  <c r="J5695" i="27"/>
  <c r="K5701" i="27"/>
  <c r="J5697" i="27"/>
  <c r="J5693" i="27"/>
  <c r="H5696" i="27"/>
  <c r="I5696" i="27"/>
  <c r="I5693" i="27"/>
  <c r="H5693" i="27"/>
  <c r="H5698" i="27"/>
  <c r="J5702" i="27"/>
  <c r="K5696" i="27"/>
  <c r="I5695" i="27"/>
  <c r="J5691" i="27"/>
  <c r="H5697" i="27"/>
  <c r="J5694" i="27"/>
  <c r="A5691" i="27" l="1"/>
  <c r="A5692" i="27"/>
  <c r="A5696" i="27"/>
  <c r="A5695" i="27"/>
  <c r="A5693" i="27"/>
  <c r="A5694" i="27"/>
  <c r="A5697" i="27"/>
  <c r="AZ81" i="34"/>
  <c r="H5702" i="27"/>
  <c r="K5707" i="27"/>
  <c r="K5698" i="27"/>
  <c r="I5697" i="27"/>
  <c r="J5701" i="27"/>
  <c r="I5702" i="27"/>
  <c r="H5701" i="27"/>
  <c r="J5698" i="27"/>
  <c r="K5700" i="27"/>
  <c r="K5699" i="27"/>
  <c r="H5703" i="27"/>
  <c r="I5698" i="27"/>
  <c r="I5701" i="27"/>
  <c r="J5700" i="27"/>
  <c r="I5700" i="27"/>
  <c r="J5699" i="27"/>
  <c r="K5702" i="27"/>
  <c r="H5700" i="27"/>
  <c r="A5699" i="27" l="1"/>
  <c r="A5702" i="27"/>
  <c r="A5700" i="27"/>
  <c r="A5698" i="27"/>
  <c r="A5701" i="27"/>
  <c r="AZ82" i="34"/>
  <c r="I5708" i="27"/>
  <c r="I5704" i="27"/>
  <c r="H5705" i="27"/>
  <c r="H5706" i="27"/>
  <c r="J5708" i="27"/>
  <c r="H5707" i="27"/>
  <c r="J5703" i="27"/>
  <c r="J5704" i="27"/>
  <c r="I5703" i="27"/>
  <c r="K5708" i="27"/>
  <c r="H5708" i="27"/>
  <c r="H5704" i="27"/>
  <c r="I5705" i="27"/>
  <c r="K5705" i="27"/>
  <c r="J5706" i="27"/>
  <c r="K5706" i="27"/>
  <c r="I5707" i="27"/>
  <c r="I5706" i="27"/>
  <c r="K5704" i="27"/>
  <c r="K5703" i="27"/>
  <c r="J5705" i="27"/>
  <c r="J5707" i="27"/>
  <c r="A5705" i="27" l="1"/>
  <c r="A5707" i="27"/>
  <c r="A5706" i="27"/>
  <c r="A5708" i="27"/>
  <c r="A5703" i="27"/>
  <c r="A5704" i="27"/>
  <c r="AZ83" i="34"/>
  <c r="J5709" i="27"/>
  <c r="H5713" i="27"/>
  <c r="H5712" i="27"/>
  <c r="I5710" i="27"/>
  <c r="H5711" i="27"/>
  <c r="K5714" i="27"/>
  <c r="H5709" i="27"/>
  <c r="I5714" i="27"/>
  <c r="J5714" i="27"/>
  <c r="K5711" i="27"/>
  <c r="I5711" i="27"/>
  <c r="I5709" i="27"/>
  <c r="I5720" i="27"/>
  <c r="K5712" i="27"/>
  <c r="J5712" i="27"/>
  <c r="H5710" i="27"/>
  <c r="K5710" i="27"/>
  <c r="K5713" i="27"/>
  <c r="H5714" i="27"/>
  <c r="K5709" i="27"/>
  <c r="J5717" i="27"/>
  <c r="J5710" i="27"/>
  <c r="I5713" i="27"/>
  <c r="J5711" i="27"/>
  <c r="J5713" i="27"/>
  <c r="I5712" i="27"/>
  <c r="A5711" i="27" l="1"/>
  <c r="A5709" i="27"/>
  <c r="A5714" i="27"/>
  <c r="A5710" i="27"/>
  <c r="A5713" i="27"/>
  <c r="A5712" i="27"/>
  <c r="AZ84" i="34"/>
  <c r="I5715" i="27"/>
  <c r="I5718" i="27"/>
  <c r="I5717" i="27"/>
  <c r="K5719" i="27"/>
  <c r="H5718" i="27"/>
  <c r="K5720" i="27"/>
  <c r="K5715" i="27"/>
  <c r="I5719" i="27"/>
  <c r="I5716" i="27"/>
  <c r="K5723" i="27"/>
  <c r="H5715" i="27"/>
  <c r="K5718" i="27"/>
  <c r="J5719" i="27"/>
  <c r="J5716" i="27"/>
  <c r="J5715" i="27"/>
  <c r="H5717" i="27"/>
  <c r="J5718" i="27"/>
  <c r="J5725" i="27"/>
  <c r="H5716" i="27"/>
  <c r="J5720" i="27"/>
  <c r="H5719" i="27"/>
  <c r="K5717" i="27"/>
  <c r="K5716" i="27"/>
  <c r="H5720" i="27"/>
  <c r="A5717" i="27" l="1"/>
  <c r="A5720" i="27"/>
  <c r="A5718" i="27"/>
  <c r="A5716" i="27"/>
  <c r="A5715" i="27"/>
  <c r="A5719" i="27"/>
  <c r="AZ85" i="34"/>
  <c r="J5723" i="27"/>
  <c r="I5726" i="27"/>
  <c r="J5732" i="27"/>
  <c r="H5721" i="27"/>
  <c r="H5723" i="27"/>
  <c r="J5722" i="27"/>
  <c r="H5724" i="27"/>
  <c r="J5721" i="27"/>
  <c r="H5725" i="27"/>
  <c r="H5726" i="27"/>
  <c r="H5728" i="27"/>
  <c r="I5722" i="27"/>
  <c r="I5732" i="27"/>
  <c r="H5729" i="27"/>
  <c r="J5726" i="27"/>
  <c r="H5722" i="27"/>
  <c r="K5725" i="27"/>
  <c r="K5731" i="27"/>
  <c r="I5721" i="27"/>
  <c r="I5730" i="27"/>
  <c r="I5729" i="27"/>
  <c r="J5724" i="27"/>
  <c r="I5724" i="27"/>
  <c r="K5724" i="27"/>
  <c r="K5722" i="27"/>
  <c r="I5723" i="27"/>
  <c r="I5725" i="27"/>
  <c r="K5726" i="27"/>
  <c r="K5721" i="27"/>
  <c r="A5722" i="27" l="1"/>
  <c r="A5721" i="27"/>
  <c r="A5725" i="27"/>
  <c r="A5726" i="27"/>
  <c r="A5723" i="27"/>
  <c r="A5724" i="27"/>
  <c r="AZ86" i="34"/>
  <c r="H5730" i="27"/>
  <c r="H5731" i="27"/>
  <c r="H5732" i="27"/>
  <c r="K5727" i="27"/>
  <c r="K5732" i="27"/>
  <c r="K5728" i="27"/>
  <c r="J5728" i="27"/>
  <c r="I5731" i="27"/>
  <c r="K5730" i="27"/>
  <c r="I5728" i="27"/>
  <c r="K5729" i="27"/>
  <c r="H5727" i="27"/>
  <c r="J5729" i="27"/>
  <c r="I5727" i="27"/>
  <c r="J5731" i="27"/>
  <c r="J5727" i="27"/>
  <c r="J5730" i="27"/>
  <c r="A5731" i="27" l="1"/>
  <c r="A5729" i="27"/>
  <c r="A5728" i="27"/>
  <c r="A5732" i="27"/>
  <c r="A5730" i="27"/>
  <c r="A5727" i="27"/>
  <c r="AZ87" i="34"/>
  <c r="K5744" i="27"/>
  <c r="H5734" i="27"/>
  <c r="K5738" i="27"/>
  <c r="H5736" i="27"/>
  <c r="K5737" i="27"/>
  <c r="J5734" i="27"/>
  <c r="H5737" i="27"/>
  <c r="J5736" i="27"/>
  <c r="I5738" i="27"/>
  <c r="H5738" i="27"/>
  <c r="H5735" i="27"/>
  <c r="I5741" i="27"/>
  <c r="J5733" i="27"/>
  <c r="I5733" i="27"/>
  <c r="H5742" i="27"/>
  <c r="I5737" i="27"/>
  <c r="I5739" i="27"/>
  <c r="J5735" i="27"/>
  <c r="H5741" i="27"/>
  <c r="H5733" i="27"/>
  <c r="K5743" i="27"/>
  <c r="K5734" i="27"/>
  <c r="K5736" i="27"/>
  <c r="J5737" i="27"/>
  <c r="I5736" i="27"/>
  <c r="K5733" i="27"/>
  <c r="I5735" i="27"/>
  <c r="I5734" i="27"/>
  <c r="K5735" i="27"/>
  <c r="J5738" i="27"/>
  <c r="A5734" i="27" l="1"/>
  <c r="A5733" i="27"/>
  <c r="A5737" i="27"/>
  <c r="A5738" i="27"/>
  <c r="A5735" i="27"/>
  <c r="A5736" i="27"/>
  <c r="AZ88" i="34"/>
  <c r="H5739" i="27"/>
  <c r="J5744" i="27"/>
  <c r="J5743" i="27"/>
  <c r="K5747" i="27"/>
  <c r="I5750" i="27"/>
  <c r="K5741" i="27"/>
  <c r="I5747" i="27"/>
  <c r="K5749" i="27"/>
  <c r="J5750" i="27"/>
  <c r="I5743" i="27"/>
  <c r="I5745" i="27"/>
  <c r="J5739" i="27"/>
  <c r="I5749" i="27"/>
  <c r="I5742" i="27"/>
  <c r="H5748" i="27"/>
  <c r="K5750" i="27"/>
  <c r="H5743" i="27"/>
  <c r="K5740" i="27"/>
  <c r="J5746" i="27"/>
  <c r="I5744" i="27"/>
  <c r="H5747" i="27"/>
  <c r="I5746" i="27"/>
  <c r="H5749" i="27"/>
  <c r="J5745" i="27"/>
  <c r="K5746" i="27"/>
  <c r="H5745" i="27"/>
  <c r="J5740" i="27"/>
  <c r="I5748" i="27"/>
  <c r="K5739" i="27"/>
  <c r="H5740" i="27"/>
  <c r="K5745" i="27"/>
  <c r="J5747" i="27"/>
  <c r="J5741" i="27"/>
  <c r="J5748" i="27"/>
  <c r="H5750" i="27"/>
  <c r="K5742" i="27"/>
  <c r="I5740" i="27"/>
  <c r="J5749" i="27"/>
  <c r="H5746" i="27"/>
  <c r="H5744" i="27"/>
  <c r="J5742" i="27"/>
  <c r="K5748" i="27"/>
  <c r="A5742" i="27" l="1"/>
  <c r="A5745" i="27"/>
  <c r="A5746" i="27"/>
  <c r="A5744" i="27"/>
  <c r="A5741" i="27"/>
  <c r="A5747" i="27"/>
  <c r="A5743" i="27"/>
  <c r="A5750" i="27"/>
  <c r="A5739" i="27"/>
  <c r="A5749" i="27"/>
  <c r="A5740" i="27"/>
  <c r="A5748" i="27"/>
</calcChain>
</file>

<file path=xl/sharedStrings.xml><?xml version="1.0" encoding="utf-8"?>
<sst xmlns="http://schemas.openxmlformats.org/spreadsheetml/2006/main" count="27150" uniqueCount="11265">
  <si>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</si>
  <si>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</si>
  <si>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</si>
  <si>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</si>
  <si>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</si>
  <si>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</si>
  <si>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</si>
  <si>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</si>
  <si>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</si>
  <si>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</si>
  <si>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</si>
  <si>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</si>
  <si>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</si>
  <si>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</si>
  <si>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</si>
  <si>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</si>
  <si>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</si>
  <si>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</si>
  <si>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</si>
  <si>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</si>
  <si>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Impact Indicator Number</t>
  </si>
  <si>
    <t>Outcome Indicators</t>
  </si>
  <si>
    <t>Outcome Indicator Number</t>
  </si>
  <si>
    <t>Coverage Indicators</t>
  </si>
  <si>
    <t>Intervention Number</t>
  </si>
  <si>
    <t>Coverage Indicator Number</t>
  </si>
  <si>
    <t>Report Due Date</t>
  </si>
  <si>
    <t>Disaggregation</t>
  </si>
  <si>
    <t>Baseline Value</t>
  </si>
  <si>
    <t>Baseline Year</t>
  </si>
  <si>
    <t>Coverage</t>
  </si>
  <si>
    <t>Page Navigation</t>
  </si>
  <si>
    <t>Interventions</t>
  </si>
  <si>
    <t>Only required if you have Work plan Tracking Measures</t>
  </si>
  <si>
    <t>Category</t>
  </si>
  <si>
    <t>Performance Framework  - Overview - Section A</t>
  </si>
  <si>
    <t>Performance Framework - Impact Indicators - Section B</t>
  </si>
  <si>
    <t xml:space="preserve"> </t>
  </si>
  <si>
    <t>[Reporting Period End Date]</t>
  </si>
  <si>
    <t>Country (Name)</t>
  </si>
  <si>
    <t>[Baseline Value]</t>
  </si>
  <si>
    <t>[Baseline Year]</t>
  </si>
  <si>
    <t>[Baseline Source]</t>
  </si>
  <si>
    <t>Name</t>
  </si>
  <si>
    <t>[Disaggregation Categories]</t>
  </si>
  <si>
    <t>Disaggregation Categories</t>
  </si>
  <si>
    <t>Allow creation from PF</t>
  </si>
  <si>
    <t>[Record ID]</t>
  </si>
  <si>
    <t>Record ID</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</si>
  <si>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</si>
  <si>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</si>
  <si>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</si>
  <si>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</si>
  <si>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</si>
  <si>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</si>
  <si>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</si>
  <si>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</si>
  <si>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</si>
  <si>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</si>
  <si>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</si>
  <si>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</si>
  <si>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</si>
  <si>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</si>
  <si>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</si>
  <si>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</si>
  <si>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</si>
  <si>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[Name]</t>
  </si>
  <si>
    <t>Intervention</t>
  </si>
  <si>
    <t>Key Activity</t>
  </si>
  <si>
    <t>[Comments]</t>
  </si>
  <si>
    <t>Module ID</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</si>
  <si>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</si>
  <si>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</si>
  <si>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</si>
  <si>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</si>
  <si>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</si>
  <si>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</si>
  <si>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</si>
  <si>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</si>
  <si>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</si>
  <si>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</si>
  <si>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</si>
  <si>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</si>
  <si>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</si>
  <si>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Outcome Data - Indicator-Disaggregation Reference</t>
  </si>
  <si>
    <t>Coverage Data - Indicator-Disaggregation Reference</t>
  </si>
  <si>
    <t>[Coverage Indicator  Reference (Name)]</t>
  </si>
  <si>
    <t>Coverage Indicator  Reference (Name)</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</si>
  <si>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</si>
  <si>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</si>
  <si>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</si>
  <si>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</si>
  <si>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</si>
  <si>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</si>
  <si>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</si>
  <si>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</si>
  <si>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</si>
  <si>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</si>
  <si>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</si>
  <si>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</si>
  <si>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Criterion for Completion</t>
  </si>
  <si>
    <t>Module Data - Component - Indicator Reference</t>
  </si>
  <si>
    <t>[Module (Name)]</t>
  </si>
  <si>
    <t>Column1</t>
  </si>
  <si>
    <t>Column2</t>
  </si>
  <si>
    <t>Column3</t>
  </si>
  <si>
    <t>Column4</t>
  </si>
  <si>
    <t>Name ID</t>
  </si>
  <si>
    <t>Milestone / Target Description</t>
  </si>
  <si>
    <t>Mark if target is TBD?</t>
  </si>
  <si>
    <t>Concatenation of Names</t>
  </si>
  <si>
    <t>Record ID2</t>
  </si>
  <si>
    <t>Reference Record Id</t>
  </si>
  <si>
    <t>Column5</t>
  </si>
  <si>
    <t>Column6</t>
  </si>
  <si>
    <t>Column7</t>
  </si>
  <si>
    <t>Objective Description</t>
  </si>
  <si>
    <t>Querying Account Role for Group of countries</t>
  </si>
  <si>
    <t>Quering Account Role for Single Country</t>
  </si>
  <si>
    <t>[Account (Name)]</t>
  </si>
  <si>
    <t>[Component Name]</t>
  </si>
  <si>
    <t>Component Name</t>
  </si>
  <si>
    <t>Programmatic Report Period Frequency</t>
  </si>
  <si>
    <t>Cumulation type</t>
  </si>
  <si>
    <t>Coverage Data - Module-Coverage-Intervention Reference</t>
  </si>
  <si>
    <t>Column8</t>
  </si>
  <si>
    <t>Column12</t>
  </si>
  <si>
    <t>Column13</t>
  </si>
  <si>
    <t>Performance Framework - Coverage Indicators - Section D</t>
  </si>
  <si>
    <t>Performance Framework - Disaggregation - Section E</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</si>
  <si>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</si>
  <si>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</si>
  <si>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</si>
  <si>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</si>
  <si>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</si>
  <si>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</si>
  <si>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</si>
  <si>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</si>
  <si>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</si>
  <si>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</si>
  <si>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</si>
  <si>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</si>
  <si>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</si>
  <si>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[Country (Name)]</t>
  </si>
  <si>
    <t>Custom Impact Indicator</t>
  </si>
  <si>
    <t>Outcome Reference (Name)</t>
  </si>
  <si>
    <t>Year</t>
  </si>
  <si>
    <t>Coverage Indicator Reference ID (Name)</t>
  </si>
  <si>
    <t>Intervention ID (Name)</t>
  </si>
  <si>
    <t>Year of Target</t>
  </si>
  <si>
    <t>[Impact Disaggregation ID]</t>
  </si>
  <si>
    <t>Impact Disaggregation ID</t>
  </si>
  <si>
    <t>[Impact Indicator ID (Name)]</t>
  </si>
  <si>
    <t>Impact Indicator ID (Name)</t>
  </si>
  <si>
    <t>[Impact Indicator Name]</t>
  </si>
  <si>
    <t>Concatenation</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</si>
  <si>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</si>
  <si>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</si>
  <si>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</si>
  <si>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</si>
  <si>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</si>
  <si>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</si>
  <si>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</si>
  <si>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</si>
  <si>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</si>
  <si>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</si>
  <si>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</si>
  <si>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</si>
  <si>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</si>
  <si>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[IP (Name)]</t>
  </si>
  <si>
    <t>IP (Name)</t>
  </si>
  <si>
    <t>[Coverage Indicator Name]</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</si>
  <si>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</si>
  <si>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</si>
  <si>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</si>
  <si>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</si>
  <si>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</si>
  <si>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</si>
  <si>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</si>
  <si>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</si>
  <si>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</si>
  <si>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</si>
  <si>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</si>
  <si>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</si>
  <si>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</si>
  <si>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</si>
  <si>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</si>
  <si>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</si>
  <si>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</si>
  <si>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</si>
  <si>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</si>
  <si>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</si>
  <si>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</si>
  <si>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</si>
  <si>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</si>
  <si>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</si>
  <si>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</si>
  <si>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</si>
  <si>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</si>
  <si>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</si>
  <si>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</si>
  <si>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</si>
  <si>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</si>
  <si>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</si>
  <si>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</si>
  <si>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</si>
  <si>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</si>
  <si>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</si>
  <si>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</si>
  <si>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</si>
  <si>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</si>
  <si>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</si>
  <si>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</si>
  <si>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</si>
  <si>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</si>
  <si>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</si>
  <si>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</si>
  <si>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</si>
  <si>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</si>
  <si>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</si>
  <si>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</si>
  <si>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</si>
  <si>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</si>
  <si>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</si>
  <si>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</si>
  <si>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</si>
  <si>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</si>
  <si>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</si>
  <si>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</si>
  <si>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</si>
  <si>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</si>
  <si>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</si>
  <si>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</si>
  <si>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</si>
  <si>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</si>
  <si>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</si>
  <si>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</si>
  <si>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</si>
  <si>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</si>
  <si>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</si>
  <si>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</si>
  <si>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</si>
  <si>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</si>
  <si>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</si>
  <si>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</si>
  <si>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</si>
  <si>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Baseline #N
Baseline #D</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</si>
  <si>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</si>
  <si>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</si>
  <si>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</si>
  <si>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</si>
  <si>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</si>
  <si>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</si>
  <si>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</si>
  <si>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</si>
  <si>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</si>
  <si>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</si>
  <si>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</si>
  <si>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</si>
  <si>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</si>
  <si>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</si>
  <si>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AIM_Module_Coverage_Interventio_Comp_Ref__c.Coverage.AIM_Data_Type__c</t>
  </si>
  <si>
    <t>AIM_Module_Coverage_Interventio_Comp_Ref__c.Coverage_by_Population.AIM_Data_Type__c</t>
  </si>
  <si>
    <t>AIM_Module_Coverage_Interventio_Comp_Ref__c.Intervention.AIM_Data_Type__c</t>
  </si>
  <si>
    <t>AIM_Module_Coverage_Interventio_Comp_Ref__c.Intervention_By_Population.AIM_Data_Type__c</t>
  </si>
  <si>
    <t>PickListValue</t>
  </si>
  <si>
    <t>PickListKey</t>
  </si>
  <si>
    <t>Impact</t>
  </si>
  <si>
    <t>Outcome</t>
  </si>
  <si>
    <t>Master</t>
  </si>
  <si>
    <t>Coverage by Population</t>
  </si>
  <si>
    <t>Coverage_by_Population</t>
  </si>
  <si>
    <t>Intervention By Population</t>
  </si>
  <si>
    <t>Intervention_By_Population</t>
  </si>
  <si>
    <t>RSSH</t>
  </si>
  <si>
    <t>impIndRowNo</t>
  </si>
  <si>
    <t>Impact Indicator Disaggregation</t>
  </si>
  <si>
    <t>Outcome Indicator Disaggregation</t>
  </si>
  <si>
    <t>Coverage Indicator Disaggregation</t>
  </si>
  <si>
    <t>Population</t>
  </si>
  <si>
    <t>Performance Framework - WPTM - Section F</t>
  </si>
  <si>
    <t>No</t>
  </si>
  <si>
    <t>[Allocation Cycle]</t>
  </si>
  <si>
    <t>Allocation Cycle</t>
  </si>
  <si>
    <t>[Allocation Cycle (Name)]</t>
  </si>
  <si>
    <t>Allocation Cycle (Name)</t>
  </si>
  <si>
    <t>Row Count</t>
  </si>
  <si>
    <t>Section B</t>
  </si>
  <si>
    <t>Section C</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</si>
  <si>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</si>
  <si>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</si>
  <si>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</si>
  <si>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</si>
  <si>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</si>
  <si>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</si>
  <si>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</si>
  <si>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</si>
  <si>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</si>
  <si>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</si>
  <si>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</si>
  <si>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</si>
  <si>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</si>
  <si>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English</t>
  </si>
  <si>
    <t>Language</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</si>
  <si>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</si>
  <si>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</si>
  <si>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</si>
  <si>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</si>
  <si>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</si>
  <si>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</si>
  <si>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</si>
  <si>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</si>
  <si>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</si>
  <si>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</si>
  <si>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</si>
  <si>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</si>
  <si>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</si>
  <si>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</si>
  <si>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</si>
  <si>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</si>
  <si>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</si>
  <si>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</si>
  <si>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</si>
  <si>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</si>
  <si>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</si>
  <si>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</si>
  <si>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</si>
  <si>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</si>
  <si>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</si>
  <si>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</si>
  <si>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</si>
  <si>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</si>
  <si>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</si>
  <si>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</si>
  <si>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date format</t>
  </si>
  <si>
    <t>impact reference</t>
  </si>
  <si>
    <t>Custom Outcome Indicator</t>
  </si>
  <si>
    <t>Outcome indicators Targets (section C)</t>
  </si>
  <si>
    <t>Impact Indicator (Name)</t>
  </si>
  <si>
    <t>countif</t>
  </si>
  <si>
    <t>Outcome Indicator Baseline ID (Name)</t>
  </si>
  <si>
    <t>record_id</t>
  </si>
  <si>
    <t xml:space="preserve"> Disaggregation - Section E </t>
  </si>
  <si>
    <t>Module ID (Name)</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</si>
  <si>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</si>
  <si>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</si>
  <si>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</si>
  <si>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</si>
  <si>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</si>
  <si>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</si>
  <si>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</si>
  <si>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</si>
  <si>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</si>
  <si>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</si>
  <si>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</si>
  <si>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</si>
  <si>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</si>
  <si>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</si>
  <si>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</si>
  <si>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</si>
  <si>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</si>
  <si>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</si>
  <si>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</si>
  <si>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WPTM  - Section F</t>
  </si>
  <si>
    <t>Indicator-Disaggregation Reference (Name)</t>
  </si>
  <si>
    <t>[Disaggregation Reference ID]</t>
  </si>
  <si>
    <t>Disaggregation Reference ID</t>
  </si>
  <si>
    <t>Not applicable</t>
  </si>
  <si>
    <t>multicountry</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</si>
  <si>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</si>
  <si>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</si>
  <si>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</si>
  <si>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</si>
  <si>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</si>
  <si>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</si>
  <si>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</si>
  <si>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</si>
  <si>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</si>
  <si>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</si>
  <si>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</si>
  <si>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</si>
  <si>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</si>
  <si>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</si>
  <si>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</si>
  <si>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</si>
  <si>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</si>
  <si>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</si>
  <si>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</si>
  <si>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Pays / Candidat</t>
  </si>
  <si>
    <t>País / Solicitante:</t>
  </si>
  <si>
    <t>Date de début du programme</t>
  </si>
  <si>
    <t>Date de fin du programme</t>
  </si>
  <si>
    <t>Fecha de inicio del programa</t>
  </si>
  <si>
    <t>Fecha final del programa</t>
  </si>
  <si>
    <t>Componente</t>
  </si>
  <si>
    <t>Receptores principales</t>
  </si>
  <si>
    <t>Intervention standard</t>
  </si>
  <si>
    <t xml:space="preserve">Intervención estándar </t>
  </si>
  <si>
    <t>Référence %</t>
  </si>
  <si>
    <t>Línea de base %</t>
  </si>
  <si>
    <t>Key Activity-Milestone ID (Name)</t>
  </si>
  <si>
    <t>[Module ID]</t>
  </si>
  <si>
    <t>module name repeated</t>
  </si>
  <si>
    <t>Indicador personalizado</t>
  </si>
  <si>
    <t>País</t>
  </si>
  <si>
    <t>Pays</t>
  </si>
  <si>
    <t>Commentaires</t>
  </si>
  <si>
    <t>Comentarios</t>
  </si>
  <si>
    <t>Principal Recipients</t>
  </si>
  <si>
    <t>Intervención</t>
  </si>
  <si>
    <t>Reporting Periods</t>
  </si>
  <si>
    <t>New Principal Recipient Name (use if the entity has never been a Global Fund PR or does not appear in dropdown list in previous column)</t>
  </si>
  <si>
    <t>Target #N</t>
  </si>
  <si>
    <t>Cible N#</t>
  </si>
  <si>
    <t>Meta N#</t>
  </si>
  <si>
    <t>Target #D</t>
  </si>
  <si>
    <t>Cible D#</t>
  </si>
  <si>
    <t>Meta D#</t>
  </si>
  <si>
    <t>Date de remise du rapport</t>
  </si>
  <si>
    <t>Indicator</t>
  </si>
  <si>
    <t>Cible %</t>
  </si>
  <si>
    <t>Meta %</t>
  </si>
  <si>
    <t>Catégorie</t>
  </si>
  <si>
    <t>Categoría</t>
  </si>
  <si>
    <t xml:space="preserve">Resultados </t>
  </si>
  <si>
    <t>Critère de réalisation</t>
  </si>
  <si>
    <t>Cadre de résultats</t>
  </si>
  <si>
    <t>Marco de desempeño</t>
  </si>
  <si>
    <t>Buts</t>
  </si>
  <si>
    <t xml:space="preserve">Metas </t>
  </si>
  <si>
    <t>Descripción de meta</t>
  </si>
  <si>
    <t>Objectifs</t>
  </si>
  <si>
    <t>Objetivos</t>
  </si>
  <si>
    <t>Módulos</t>
  </si>
  <si>
    <t xml:space="preserve">Indicador de impacto número </t>
  </si>
  <si>
    <t>Référence Année</t>
  </si>
  <si>
    <t>Línea de base año</t>
  </si>
  <si>
    <t>Référence Source</t>
  </si>
  <si>
    <t>Línea de base año fuente</t>
  </si>
  <si>
    <t>Yes</t>
  </si>
  <si>
    <t>Oui</t>
  </si>
  <si>
    <t>Sí</t>
  </si>
  <si>
    <t>Non</t>
  </si>
  <si>
    <t>[Name - ES]</t>
  </si>
  <si>
    <t>Name - ES</t>
  </si>
  <si>
    <t>[Name - FR]</t>
  </si>
  <si>
    <t>Name - FR</t>
  </si>
  <si>
    <t>translated intervetnion name</t>
  </si>
  <si>
    <t>translated name</t>
  </si>
  <si>
    <t>Translated name</t>
  </si>
  <si>
    <t>translated disaggregation category</t>
  </si>
  <si>
    <t>[Disaggregation Categories FR]</t>
  </si>
  <si>
    <t>Disaggregation Categories FR</t>
  </si>
  <si>
    <t>[Disaggregation Categories ES]</t>
  </si>
  <si>
    <t>Disaggregation Categories ES</t>
  </si>
  <si>
    <t>transalted coverage categories name</t>
  </si>
  <si>
    <t>[Category - FR]</t>
  </si>
  <si>
    <t>Category - FR</t>
  </si>
  <si>
    <t>[Category - ES]</t>
  </si>
  <si>
    <t>Category - ES</t>
  </si>
  <si>
    <t>[Disaggregation - FR]</t>
  </si>
  <si>
    <t>Disaggregation - FR</t>
  </si>
  <si>
    <t>[Disaggregation - ES]</t>
  </si>
  <si>
    <t>Disaggregation - ES</t>
  </si>
  <si>
    <t>translated category</t>
  </si>
  <si>
    <t>translated disaggregation</t>
  </si>
  <si>
    <t>translated disagregattion</t>
  </si>
  <si>
    <t>Custom Impact Indicator Local</t>
  </si>
  <si>
    <t>Baseline Source - Local</t>
  </si>
  <si>
    <t>Comment - Local</t>
  </si>
  <si>
    <t>Custom Outcome Indicator Local</t>
  </si>
  <si>
    <t>Custom Coverage Indicator Name - Local</t>
  </si>
  <si>
    <t>Baseline Source Local</t>
  </si>
  <si>
    <t>Comments Local</t>
  </si>
  <si>
    <t>Key Activity Local</t>
  </si>
  <si>
    <t>Milestone / Target Description Local</t>
  </si>
  <si>
    <t>Criterion for Completion Local</t>
  </si>
  <si>
    <t>Helper1 module + int + pop</t>
  </si>
  <si>
    <t>helper 2</t>
  </si>
  <si>
    <t>rank</t>
  </si>
  <si>
    <t>sorted</t>
  </si>
  <si>
    <t>module</t>
  </si>
  <si>
    <t>pop</t>
  </si>
  <si>
    <t>module+pop</t>
  </si>
  <si>
    <t>Marquer si la cible est à déterminer “TBD”</t>
  </si>
  <si>
    <t>Type de cumulation</t>
  </si>
  <si>
    <t>Pays/ Portée des cibles</t>
  </si>
  <si>
    <t xml:space="preserve">Inclure dans les résultats du Fonds mondial </t>
  </si>
  <si>
    <t>Navigation de page</t>
  </si>
  <si>
    <t>Date de Remise du Rapport</t>
  </si>
  <si>
    <t>Date de début de la période</t>
  </si>
  <si>
    <t>Périodes de rapportage</t>
  </si>
  <si>
    <t>Date de fin de la période d'utilisation des allocations</t>
  </si>
  <si>
    <t>Date de début de la période d'utilisation des allocations</t>
  </si>
  <si>
    <t>Nom de la subvention / Nom de la demande de financement</t>
  </si>
  <si>
    <t xml:space="preserve">Indicador estándar </t>
  </si>
  <si>
    <t>Couverture</t>
  </si>
  <si>
    <t>Indicateurs d’impact</t>
  </si>
  <si>
    <t>Non applicable</t>
  </si>
  <si>
    <r>
      <t xml:space="preserve">Cadre de performance  - </t>
    </r>
    <r>
      <rPr>
        <sz val="11"/>
        <color rgb="FFFF0000"/>
        <rFont val="Calibri"/>
        <family val="2"/>
        <scheme val="minor"/>
      </rPr>
      <t xml:space="preserve">Orientation générale </t>
    </r>
    <r>
      <rPr>
        <sz val="11"/>
        <color theme="1"/>
        <rFont val="Calibri"/>
        <family val="2"/>
        <charset val="238"/>
        <scheme val="minor"/>
      </rPr>
      <t xml:space="preserve"> - Section A</t>
    </r>
  </si>
  <si>
    <t>Marco de desempeño  - Descripción General - Sección A</t>
  </si>
  <si>
    <t>Nombre de la Subvención/Nombre de la solicitud de financiamiento</t>
  </si>
  <si>
    <t>Fréquence du rapportage programmatique</t>
  </si>
  <si>
    <t>Frecuencia del período de reporte programático</t>
  </si>
  <si>
    <t>Fecha de inicio del período de uso de la asignación</t>
  </si>
  <si>
    <t xml:space="preserve">Fecha de término del período de uso de la asignación </t>
  </si>
  <si>
    <t>Navegación de la página</t>
  </si>
  <si>
    <t>Composante</t>
  </si>
  <si>
    <t>Numéro du Récipiendaire Principal</t>
  </si>
  <si>
    <t xml:space="preserve">Número del Receptor Principal </t>
  </si>
  <si>
    <r>
      <t>Récipiendair</t>
    </r>
    <r>
      <rPr>
        <sz val="11"/>
        <color rgb="FFFF0000"/>
        <rFont val="Calibri"/>
        <family val="2"/>
        <scheme val="minor"/>
      </rPr>
      <t xml:space="preserve">e </t>
    </r>
    <r>
      <rPr>
        <sz val="11"/>
        <color theme="1"/>
        <rFont val="Calibri"/>
        <family val="2"/>
        <charset val="238"/>
        <scheme val="minor"/>
      </rPr>
      <t>Principal</t>
    </r>
  </si>
  <si>
    <t>Nombre del Receptor Principal</t>
  </si>
  <si>
    <r>
      <rPr>
        <b/>
        <sz val="12"/>
        <color theme="1"/>
        <rFont val="Calibri"/>
        <family val="2"/>
        <charset val="238"/>
        <scheme val="minor"/>
      </rPr>
      <t>Principal Recipient Name</t>
    </r>
    <r>
      <rPr>
        <sz val="11"/>
        <color theme="1"/>
        <rFont val="Calibri"/>
        <family val="2"/>
        <charset val="238"/>
        <scheme val="minor"/>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</si>
  <si>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</si>
  <si>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</si>
  <si>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Período de reporte</t>
  </si>
  <si>
    <t>Fecha de inicio del período</t>
  </si>
  <si>
    <t xml:space="preserve">Date de fin de la période </t>
  </si>
  <si>
    <t>Fecha de término del período</t>
  </si>
  <si>
    <t xml:space="preserve">Date d'échéance du PUDR </t>
  </si>
  <si>
    <t>Fecha de envío del PUDR</t>
  </si>
  <si>
    <t>Fecha de envío</t>
  </si>
  <si>
    <t>Numéro du but</t>
  </si>
  <si>
    <t>Número de meta</t>
  </si>
  <si>
    <t>Description du but</t>
  </si>
  <si>
    <t xml:space="preserve">Numéro de l'objectif </t>
  </si>
  <si>
    <t>Número de objetivo</t>
  </si>
  <si>
    <t>Description de l'objectif</t>
  </si>
  <si>
    <t>Descripción de objetivos</t>
  </si>
  <si>
    <t>Numéro du module</t>
  </si>
  <si>
    <t>Número de módulo</t>
  </si>
  <si>
    <t>Nom du module</t>
  </si>
  <si>
    <t>Nombre del módulo</t>
  </si>
  <si>
    <t>Requis uniquement si vous avez des mesures de suivi du plan de travail</t>
  </si>
  <si>
    <t>Solo se requiere si tiene Medidas de Seguimiento al Plan de Trabajo</t>
  </si>
  <si>
    <t>Numéro de l'intervention</t>
  </si>
  <si>
    <t>Número de intervención</t>
  </si>
  <si>
    <t>Intervention personnalisée (uniquement si "Autre" intervention est choisie)</t>
  </si>
  <si>
    <t>Intervención personalizada (solo si selecciona "otras" intervenciones)</t>
  </si>
  <si>
    <t>Población</t>
  </si>
  <si>
    <r>
      <t xml:space="preserve">Cadre de performance - </t>
    </r>
    <r>
      <rPr>
        <sz val="11"/>
        <color rgb="FFFF0000"/>
        <rFont val="Calibri"/>
        <family val="2"/>
        <scheme val="minor"/>
      </rPr>
      <t>Indicateurs d'impact</t>
    </r>
    <r>
      <rPr>
        <sz val="11"/>
        <color theme="1"/>
        <rFont val="Calibri"/>
        <family val="2"/>
        <charset val="238"/>
        <scheme val="minor"/>
      </rPr>
      <t xml:space="preserve"> - Section B</t>
    </r>
  </si>
  <si>
    <t>Marco de desempeño - Indicadores de Impacto- Sección B</t>
  </si>
  <si>
    <t xml:space="preserve">Numéro de l'indicateurs d’impact </t>
  </si>
  <si>
    <r>
      <t>Indicateu</t>
    </r>
    <r>
      <rPr>
        <sz val="11"/>
        <color rgb="FFFF0000"/>
        <rFont val="Calibri"/>
        <family val="2"/>
        <scheme val="minor"/>
      </rPr>
      <t>r</t>
    </r>
    <r>
      <rPr>
        <sz val="11"/>
        <color theme="1"/>
        <rFont val="Calibri"/>
        <family val="2"/>
        <charset val="238"/>
        <scheme val="minor"/>
      </rPr>
      <t xml:space="preserve"> standard</t>
    </r>
  </si>
  <si>
    <r>
      <t>Indicateu</t>
    </r>
    <r>
      <rPr>
        <sz val="11"/>
        <color rgb="FFFF0000"/>
        <rFont val="Calibri"/>
        <family val="2"/>
        <scheme val="minor"/>
      </rPr>
      <t xml:space="preserve">r </t>
    </r>
    <r>
      <rPr>
        <sz val="11"/>
        <color theme="1"/>
        <rFont val="Calibri"/>
        <family val="2"/>
        <charset val="238"/>
        <scheme val="minor"/>
      </rPr>
      <t>personnalisé</t>
    </r>
  </si>
  <si>
    <t>Référence #N
Référence #D</t>
  </si>
  <si>
    <t>Línea de base #N
Línea de base #D</t>
  </si>
  <si>
    <t xml:space="preserve">Récipiendaires principaux </t>
  </si>
  <si>
    <t>Instrucciones</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</si>
  <si>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</si>
  <si>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</si>
  <si>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Désaggrégation obligatoire</t>
  </si>
  <si>
    <t>Desagregación requerida</t>
  </si>
  <si>
    <t xml:space="preserve">Récipiendaire principal responsable </t>
  </si>
  <si>
    <t>Receptor principal responsible</t>
  </si>
  <si>
    <t>Fecha de envío del reporte</t>
  </si>
  <si>
    <t>Marque si la meta es "TBD"</t>
  </si>
  <si>
    <t>Cadre de performance - Indicateurs de résultats - Section C</t>
  </si>
  <si>
    <t>Marco de desempeño - Indicadores de Resultado - Sección C</t>
  </si>
  <si>
    <t xml:space="preserve">Résultats </t>
  </si>
  <si>
    <t>Resultado</t>
  </si>
  <si>
    <t xml:space="preserve">Indicateur </t>
  </si>
  <si>
    <t>Indicador</t>
  </si>
  <si>
    <t>Numéro</t>
  </si>
  <si>
    <t>Número</t>
  </si>
  <si>
    <t>Cadre de performance -Indicateurs de couverture - Section D</t>
  </si>
  <si>
    <t>Marco de desempeño - Indicadores de cobertura - Sección D</t>
  </si>
  <si>
    <t xml:space="preserve">Numéro de l'indicateur de couverture </t>
  </si>
  <si>
    <t xml:space="preserve">Número del Indicador de cobertura </t>
  </si>
  <si>
    <t>Incluir en resultados del FM</t>
  </si>
  <si>
    <t>País / Alcance de las metas</t>
  </si>
  <si>
    <t>Tipo de acumulación</t>
  </si>
  <si>
    <t>Cadre de performance - Désagrégation - Section E</t>
  </si>
  <si>
    <t>Marco de desempeño - Desagregación - Sección E</t>
  </si>
  <si>
    <t>Impacto</t>
  </si>
  <si>
    <t>Cobertura</t>
  </si>
  <si>
    <t xml:space="preserve">Désagrégation de l'indicateur d'impact </t>
  </si>
  <si>
    <t>Desagregación del Indicador de impacto</t>
  </si>
  <si>
    <t xml:space="preserve">Nom de l'indicateur d’impact </t>
  </si>
  <si>
    <t>Nombre del indicador de impacto</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</si>
  <si>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</si>
  <si>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</si>
  <si>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</si>
  <si>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</si>
  <si>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</si>
  <si>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</si>
  <si>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Nom de l'indicateur de résultats </t>
  </si>
  <si>
    <t>Nombre del indicador de resultado</t>
  </si>
  <si>
    <t xml:space="preserve">Désagrégation de l'indicateur de couverture </t>
  </si>
  <si>
    <t>Desagregación del indicador de cobertura</t>
  </si>
  <si>
    <r>
      <rPr>
        <sz val="11"/>
        <color rgb="FFFF0000"/>
        <rFont val="Calibri"/>
        <family val="2"/>
        <scheme val="minor"/>
      </rPr>
      <t>Numéro de l'i</t>
    </r>
    <r>
      <rPr>
        <sz val="11"/>
        <color theme="1"/>
        <rFont val="Calibri"/>
        <family val="2"/>
        <charset val="238"/>
        <scheme val="minor"/>
      </rPr>
      <t xml:space="preserve">ndicateur de couverture </t>
    </r>
  </si>
  <si>
    <t>Número del indicador de cobertura</t>
  </si>
  <si>
    <r>
      <rPr>
        <sz val="11"/>
        <color rgb="FFFF0000"/>
        <rFont val="Calibri"/>
        <family val="2"/>
        <scheme val="minor"/>
      </rPr>
      <t>Nom de l'in</t>
    </r>
    <r>
      <rPr>
        <sz val="11"/>
        <color theme="1"/>
        <rFont val="Calibri"/>
        <family val="2"/>
        <charset val="238"/>
        <scheme val="minor"/>
      </rPr>
      <t>dicateur de couverture</t>
    </r>
  </si>
  <si>
    <t>Nombre del indicador de cobertura</t>
  </si>
  <si>
    <r>
      <t xml:space="preserve">Cadre de performance - </t>
    </r>
    <r>
      <rPr>
        <sz val="11"/>
        <color rgb="FFFF0000"/>
        <rFont val="Calibri"/>
        <family val="2"/>
        <scheme val="minor"/>
      </rPr>
      <t>MSPT</t>
    </r>
    <r>
      <rPr>
        <sz val="11"/>
        <color theme="1"/>
        <rFont val="Calibri"/>
        <family val="2"/>
        <charset val="238"/>
        <scheme val="minor"/>
      </rPr>
      <t xml:space="preserve"> - Section E</t>
    </r>
  </si>
  <si>
    <t>Marco de desempeño - MSPT - Sección E</t>
  </si>
  <si>
    <t xml:space="preserve">Número </t>
  </si>
  <si>
    <t>Activité principale</t>
  </si>
  <si>
    <t>Actividad clave</t>
  </si>
  <si>
    <t xml:space="preserve">Repères/ Description de la cible </t>
  </si>
  <si>
    <t>Hitos/ Descripción de la meta</t>
  </si>
  <si>
    <t>Criterios para la finalización</t>
  </si>
  <si>
    <t>Fréquence de la période de rapportage programmatique</t>
  </si>
  <si>
    <t>Indicadores de impacto</t>
  </si>
  <si>
    <r>
      <t>Indicateu</t>
    </r>
    <r>
      <rPr>
        <sz val="11"/>
        <color rgb="FFFF0000"/>
        <rFont val="Calibri"/>
        <family val="2"/>
        <scheme val="minor"/>
      </rPr>
      <t>r</t>
    </r>
    <r>
      <rPr>
        <sz val="11"/>
        <color theme="1"/>
        <rFont val="Calibri"/>
        <family val="2"/>
        <charset val="238"/>
        <scheme val="minor"/>
      </rPr>
      <t xml:space="preserve"> d’impact personnalisé</t>
    </r>
  </si>
  <si>
    <t>Indicador de impacto personalizado</t>
  </si>
  <si>
    <t>Valeur de référence</t>
  </si>
  <si>
    <t>Valor de línea de base</t>
  </si>
  <si>
    <t>Année de la référence &amp; Source</t>
  </si>
  <si>
    <t>Año y fuente de la línea de base</t>
  </si>
  <si>
    <t>Valeur de la cible</t>
  </si>
  <si>
    <t>Valor de la meta</t>
  </si>
  <si>
    <r>
      <t xml:space="preserve">Indicateurs de </t>
    </r>
    <r>
      <rPr>
        <sz val="11"/>
        <color rgb="FFFF0000"/>
        <rFont val="Calibri"/>
        <family val="2"/>
        <scheme val="minor"/>
      </rPr>
      <t>résultats</t>
    </r>
  </si>
  <si>
    <t xml:space="preserve">Indicadores de resultados </t>
  </si>
  <si>
    <t>Indicateurs de couverture</t>
  </si>
  <si>
    <t>Indicadores de cobertura</t>
  </si>
  <si>
    <t xml:space="preserve">Mesures de Suivi du Plan de Travail </t>
  </si>
  <si>
    <t>Medidas de seguimiento al plan de trabajo</t>
  </si>
  <si>
    <t>Repères</t>
  </si>
  <si>
    <t>Hitos</t>
  </si>
  <si>
    <t>Fechas</t>
  </si>
  <si>
    <t>Non cumulative</t>
  </si>
  <si>
    <t>Non cumulative – other</t>
  </si>
  <si>
    <t>Non cumulative - special</t>
  </si>
  <si>
    <t>Cadre de performance  - Orientation générale - Section A</t>
  </si>
  <si>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</si>
  <si>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</si>
  <si>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</si>
  <si>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t>2.</t>
    </r>
    <r>
      <rPr>
        <sz val="11"/>
        <color rgb="FF212121"/>
        <rFont val="Calibri"/>
        <family val="2"/>
        <scheme val="minor"/>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</si>
  <si>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theme="4" tint="-0.249977111117893"/>
        <rFont val="Calibri"/>
        <family val="2"/>
        <scheme val="minor"/>
      </rPr>
      <t>Manual del Marco Modular-Octubre 2019</t>
    </r>
    <r>
      <rPr>
        <sz val="11"/>
        <rFont val="Calibri"/>
        <family val="2"/>
        <scheme val="minor"/>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</si>
  <si>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</si>
  <si>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</si>
  <si>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rgb="FF000000"/>
        <rFont val="Calibri"/>
        <family val="2"/>
        <scheme val="minor"/>
      </rPr>
      <t>será rechazado</t>
    </r>
    <r>
      <rPr>
        <sz val="11"/>
        <color rgb="FF000000"/>
        <rFont val="Calibri"/>
        <family val="2"/>
        <scheme val="minor"/>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</si>
  <si>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</si>
  <si>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</si>
  <si>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t>8.      </t>
    </r>
    <r>
      <rPr>
        <b/>
        <sz val="11"/>
        <rFont val="Calibri"/>
        <family val="2"/>
        <scheme val="minor"/>
      </rPr>
      <t>En la etapa de solicitud de financiamiento</t>
    </r>
    <r>
      <rPr>
        <sz val="11"/>
        <rFont val="Calibri"/>
        <family val="2"/>
        <scheme val="minor"/>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theme="4" tint="-0.249977111117893"/>
        <rFont val="Calibri"/>
        <family val="2"/>
        <scheme val="minor"/>
      </rPr>
      <t>Instrucciones de solicitud de financiación</t>
    </r>
    <r>
      <rPr>
        <sz val="11"/>
        <rFont val="Calibri"/>
        <family val="2"/>
        <scheme val="minor"/>
      </rPr>
      <t>. Los Equipos de País del Fondo Mundial generarán y compartirán una plantilla de MD, específica para cada solicitante. Los solicitantes utilizarán una plantilla de MD para la solicitud de financiación para todos los Receptores Principales nominados.</t>
    </r>
  </si>
  <si>
    <r>
      <t>9.      </t>
    </r>
    <r>
      <rPr>
        <b/>
        <sz val="11"/>
        <color rgb="FF000000"/>
        <rFont val="Calibri"/>
        <family val="2"/>
        <scheme val="minor"/>
      </rPr>
      <t>En la etapa de preparación de la subvención</t>
    </r>
    <r>
      <rPr>
        <sz val="11"/>
        <color rgb="FF000000"/>
        <rFont val="Calibri"/>
        <family val="2"/>
        <scheme val="minor"/>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</si>
  <si>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t>10.</t>
    </r>
    <r>
      <rPr>
        <sz val="7"/>
        <color rgb="FF000000"/>
        <rFont val="Times New Roman"/>
        <family val="1"/>
      </rPr>
      <t xml:space="preserve">       </t>
    </r>
    <r>
      <rPr>
        <sz val="11"/>
        <color rgb="FF000000"/>
        <rFont val="Calibri"/>
        <family val="2"/>
        <scheme val="minor"/>
      </rPr>
      <t>Las instrucciones siguen la estructura de la plantilla de MD y se dividen en consecuencia en las siguientes secciones:</t>
    </r>
  </si>
  <si>
    <r>
      <t xml:space="preserve">o </t>
    </r>
    <r>
      <rPr>
        <b/>
        <sz val="11"/>
        <color rgb="FF000000"/>
        <rFont val="Calibri"/>
        <family val="2"/>
        <scheme val="minor"/>
      </rPr>
      <t xml:space="preserve">Sección A: </t>
    </r>
    <r>
      <rPr>
        <sz val="11"/>
        <color rgb="FF000000"/>
        <rFont val="Calibri"/>
        <family val="2"/>
        <scheme val="minor"/>
      </rPr>
      <t>Descripción general</t>
    </r>
  </si>
  <si>
    <r>
      <t xml:space="preserve">o </t>
    </r>
    <r>
      <rPr>
        <b/>
        <sz val="11"/>
        <color rgb="FF000000"/>
        <rFont val="Calibri"/>
        <family val="2"/>
        <scheme val="minor"/>
      </rPr>
      <t xml:space="preserve">Sección B: </t>
    </r>
    <r>
      <rPr>
        <sz val="11"/>
        <color rgb="FF000000"/>
        <rFont val="Calibri"/>
        <family val="2"/>
        <scheme val="minor"/>
      </rPr>
      <t>Indicadores de impacto</t>
    </r>
  </si>
  <si>
    <r>
      <t xml:space="preserve">o </t>
    </r>
    <r>
      <rPr>
        <b/>
        <sz val="11"/>
        <color rgb="FF000000"/>
        <rFont val="Calibri"/>
        <family val="2"/>
        <scheme val="minor"/>
      </rPr>
      <t>Sección C:</t>
    </r>
    <r>
      <rPr>
        <sz val="11"/>
        <color rgb="FF000000"/>
        <rFont val="Calibri"/>
        <family val="2"/>
        <scheme val="minor"/>
      </rPr>
      <t xml:space="preserve"> Indicadores de resultado</t>
    </r>
  </si>
  <si>
    <r>
      <t xml:space="preserve">o </t>
    </r>
    <r>
      <rPr>
        <b/>
        <sz val="11"/>
        <color rgb="FF000000"/>
        <rFont val="Calibri"/>
        <family val="2"/>
        <scheme val="minor"/>
      </rPr>
      <t>Sección D:</t>
    </r>
    <r>
      <rPr>
        <sz val="11"/>
        <color rgb="FF000000"/>
        <rFont val="Calibri"/>
        <family val="2"/>
        <scheme val="minor"/>
      </rPr>
      <t xml:space="preserve"> Indicadores de cobertura</t>
    </r>
  </si>
  <si>
    <r>
      <t xml:space="preserve">o </t>
    </r>
    <r>
      <rPr>
        <b/>
        <sz val="11"/>
        <color rgb="FF000000"/>
        <rFont val="Calibri"/>
        <family val="2"/>
        <scheme val="minor"/>
      </rPr>
      <t xml:space="preserve">Sección E: </t>
    </r>
    <r>
      <rPr>
        <sz val="11"/>
        <color rgb="FF000000"/>
        <rFont val="Calibri"/>
        <family val="2"/>
        <scheme val="minor"/>
      </rPr>
      <t>Desagregación (indicadores de impacto, resultado y cobertura)</t>
    </r>
  </si>
  <si>
    <r>
      <t xml:space="preserve">o </t>
    </r>
    <r>
      <rPr>
        <b/>
        <sz val="11"/>
        <color rgb="FF000000"/>
        <rFont val="Calibri"/>
        <family val="2"/>
        <scheme val="minor"/>
      </rPr>
      <t>Sección F:</t>
    </r>
    <r>
      <rPr>
        <sz val="11"/>
        <color rgb="FF000000"/>
        <rFont val="Calibri"/>
        <family val="2"/>
        <scheme val="minor"/>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</si>
  <si>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</si>
  <si>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</si>
  <si>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</si>
  <si>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</si>
  <si>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</si>
  <si>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</si>
  <si>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t>·</t>
    </r>
    <r>
      <rPr>
        <sz val="7"/>
        <color rgb="FF000000"/>
        <rFont val="Times New Roman"/>
        <family val="1"/>
      </rPr>
      <t xml:space="preserve">     </t>
    </r>
    <r>
      <rPr>
        <sz val="11"/>
        <color rgb="FF000000"/>
        <rFont val="Calibri"/>
        <family val="2"/>
      </rPr>
      <t>Este campo será rellenado previamente por el Fondo Mundial y enviado a cada país / solicitante.</t>
    </r>
  </si>
  <si>
    <t>Nombre de la subvención / Nombre de la solicitud de financiación</t>
  </si>
  <si>
    <r>
      <t>·</t>
    </r>
    <r>
      <rPr>
        <sz val="7"/>
        <color rgb="FF000000"/>
        <rFont val="Times New Roman"/>
        <family val="1"/>
      </rPr>
      <t xml:space="preserve">     </t>
    </r>
    <r>
      <rPr>
        <sz val="11"/>
        <color rgb="FF000000"/>
        <rFont val="Calibri"/>
        <family val="2"/>
      </rPr>
      <t>Este campo estará rellenado previamente por el Fondo Mundial</t>
    </r>
  </si>
  <si>
    <t>En la etapa de solicitud de financiación</t>
  </si>
  <si>
    <r>
      <t>·</t>
    </r>
    <r>
      <rPr>
        <sz val="7"/>
        <color rgb="FF000000"/>
        <rFont val="Times New Roman"/>
        <family val="1"/>
      </rPr>
      <t xml:space="preserve">     </t>
    </r>
    <r>
      <rPr>
        <sz val="11"/>
        <color rgb="FF000000"/>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</si>
  <si>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</si>
  <si>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</si>
  <si>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</si>
  <si>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</si>
  <si>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</si>
  <si>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</si>
  <si>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t>·</t>
    </r>
    <r>
      <rPr>
        <sz val="7"/>
        <color rgb="FF000000"/>
        <rFont val="Times New Roman"/>
        <family val="1"/>
      </rPr>
      <t xml:space="preserve">     </t>
    </r>
    <r>
      <rPr>
        <sz val="11"/>
        <color rgb="FF000000"/>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</si>
  <si>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</si>
  <si>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t>·</t>
    </r>
    <r>
      <rPr>
        <sz val="7"/>
        <color rgb="FF000000"/>
        <rFont val="Times New Roman"/>
        <family val="1"/>
      </rPr>
      <t xml:space="preserve">     </t>
    </r>
    <r>
      <rPr>
        <sz val="11"/>
        <color rgb="FF000000"/>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</si>
  <si>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</si>
  <si>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t>·</t>
    </r>
    <r>
      <rPr>
        <sz val="7"/>
        <color rgb="FF000000"/>
        <rFont val="Times New Roman"/>
        <family val="1"/>
      </rPr>
      <t xml:space="preserve">     </t>
    </r>
    <r>
      <rPr>
        <sz val="11"/>
        <color rgb="FF000000"/>
        <rFont val="Calibri"/>
        <family val="2"/>
        <scheme val="minor"/>
      </rPr>
      <t>La fecha estará rellenada previamente en la plantilla de MD. En caso de que sea necesario cambiar la fecha, los solicitantes / Receptores principales pueden hacer esto directamente en la plantilla.</t>
    </r>
  </si>
  <si>
    <r>
      <t>·</t>
    </r>
    <r>
      <rPr>
        <sz val="7"/>
        <color rgb="FF000000"/>
        <rFont val="Times New Roman"/>
        <family val="1"/>
      </rPr>
      <t xml:space="preserve">     </t>
    </r>
    <r>
      <rPr>
        <sz val="11"/>
        <color rgb="FF000000"/>
        <rFont val="Calibri"/>
        <family val="2"/>
      </rPr>
      <t>El final del Período de implementación siempre debe ser el último día del mes.</t>
    </r>
  </si>
  <si>
    <r>
      <t>·</t>
    </r>
    <r>
      <rPr>
        <sz val="7"/>
        <color rgb="FF000000"/>
        <rFont val="Times New Roman"/>
        <family val="1"/>
      </rPr>
      <t xml:space="preserve">     </t>
    </r>
    <r>
      <rPr>
        <sz val="11"/>
        <color rgb="FF000000"/>
        <rFont val="Calibri"/>
        <family val="2"/>
      </rPr>
      <t>Esta fecha debe ser coherente en todos los documentos requeridos en las etapas de Solicitud de financiación y Preparación de subvenciones (por ejemplo, presupuesto y lista de productos de salud).</t>
    </r>
  </si>
  <si>
    <t>Frecuencia de reporte</t>
  </si>
  <si>
    <r>
      <t>·</t>
    </r>
    <r>
      <rPr>
        <sz val="7"/>
        <color rgb="FF000000"/>
        <rFont val="Times New Roman"/>
        <family val="1"/>
      </rPr>
      <t xml:space="preserve">     </t>
    </r>
    <r>
      <rPr>
        <sz val="11"/>
        <color rgb="FF000000"/>
        <rFont val="Calibri"/>
        <family val="2"/>
        <scheme val="minor"/>
      </rPr>
      <t>Este campo se refiere a la frecuencia con la que los resultados se reportarán al Fondo Mundial durante la implementación de la subvención. En consecuencia, en el MD se define si las metas serán semestrales o anuales.</t>
    </r>
  </si>
  <si>
    <r>
      <t>·</t>
    </r>
    <r>
      <rPr>
        <sz val="7"/>
        <color rgb="FF000000"/>
        <rFont val="Times New Roman"/>
        <family val="1"/>
      </rPr>
      <t xml:space="preserve">     </t>
    </r>
    <r>
      <rPr>
        <sz val="11"/>
        <color rgb="FF000000"/>
        <rFont val="Calibri"/>
        <family val="2"/>
        <scheme val="minor"/>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</si>
  <si>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</si>
  <si>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</si>
  <si>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</si>
  <si>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</si>
  <si>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</si>
  <si>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</si>
  <si>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</si>
  <si>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</si>
  <si>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t>·</t>
    </r>
    <r>
      <rPr>
        <sz val="7"/>
        <color rgb="FF000000"/>
        <rFont val="Times New Roman"/>
        <family val="1"/>
      </rPr>
      <t xml:space="preserve">     </t>
    </r>
    <r>
      <rPr>
        <sz val="11"/>
        <color rgb="FF000000"/>
        <rFont val="Calibri"/>
        <family val="2"/>
      </rPr>
      <t>Proporciona enlaces para facilitar la navegación dentro de cada página y a la página de instrucciones</t>
    </r>
  </si>
  <si>
    <t>Nombre del componente</t>
  </si>
  <si>
    <r>
      <t>·</t>
    </r>
    <r>
      <rPr>
        <sz val="7"/>
        <color rgb="FF000000"/>
        <rFont val="Times New Roman"/>
        <family val="1"/>
      </rPr>
      <t xml:space="preserve">     </t>
    </r>
    <r>
      <rPr>
        <sz val="11"/>
        <color rgb="FF000000"/>
        <rFont val="Calibri"/>
        <family val="2"/>
      </rPr>
      <t>El nombre del componente se rellenará previamente para el solicitante / Receptor principal cuando el Equipo de país del Fondo Mundial comparta la plantilla del MD, según lo solicite el solicitante.</t>
    </r>
  </si>
  <si>
    <r>
      <t>·</t>
    </r>
    <r>
      <rPr>
        <sz val="7"/>
        <color rgb="FF000000"/>
        <rFont val="Times New Roman"/>
        <family val="1"/>
      </rPr>
      <t xml:space="preserve">     </t>
    </r>
    <r>
      <rPr>
        <sz val="11"/>
        <color rgb="FF000000"/>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</si>
  <si>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</si>
  <si>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t>·</t>
    </r>
    <r>
      <rPr>
        <sz val="7"/>
        <color rgb="FF000000"/>
        <rFont val="Times New Roman"/>
        <family val="1"/>
      </rPr>
      <t xml:space="preserve">     </t>
    </r>
    <r>
      <rPr>
        <sz val="11"/>
        <color rgb="FF000000"/>
        <rFont val="Calibri"/>
        <family val="2"/>
      </rPr>
      <t xml:space="preserve">En la columna </t>
    </r>
    <r>
      <rPr>
        <b/>
        <sz val="11"/>
        <color rgb="FF000000"/>
        <rFont val="Calibri"/>
        <family val="2"/>
      </rPr>
      <t>Nombre del</t>
    </r>
    <r>
      <rPr>
        <sz val="11"/>
        <color rgb="FF000000"/>
        <rFont val="Calibri"/>
        <family val="2"/>
      </rPr>
      <t xml:space="preserve"> </t>
    </r>
    <r>
      <rPr>
        <b/>
        <sz val="11"/>
        <color rgb="FF000000"/>
        <rFont val="Calibri"/>
        <family val="2"/>
      </rPr>
      <t>Receptor Principal</t>
    </r>
    <r>
      <rPr>
        <sz val="11"/>
        <color rgb="FF000000"/>
        <rFont val="Calibri"/>
        <family val="2"/>
      </rPr>
      <t>, el solicitante incluirá el nombre de los implementadores.</t>
    </r>
  </si>
  <si>
    <r>
      <t>·</t>
    </r>
    <r>
      <rPr>
        <sz val="7"/>
        <color rgb="FF000000"/>
        <rFont val="Times New Roman"/>
        <family val="1"/>
      </rPr>
      <t xml:space="preserve">     </t>
    </r>
    <r>
      <rPr>
        <sz val="11"/>
        <color rgb="FF000000"/>
        <rFont val="Calibri"/>
        <family val="2"/>
      </rPr>
      <t>Esto se puede hacer mediante el uso de un menú desplegable que contiene la lista de todos los implementadores que administraron previamente una subvención del Fondo Mundial.</t>
    </r>
  </si>
  <si>
    <r>
      <t>·</t>
    </r>
    <r>
      <rPr>
        <sz val="7"/>
        <color rgb="FF000000"/>
        <rFont val="Times New Roman"/>
        <family val="1"/>
      </rPr>
      <t xml:space="preserve">     </t>
    </r>
    <r>
      <rPr>
        <sz val="11"/>
        <color rgb="FF000000"/>
        <rFont val="Calibri"/>
        <family val="2"/>
      </rPr>
      <t>Si el implementador seleccionado es nuevo y no ha administrado previamente subvenciones del Fondo Mundial, el usuario puede escribir manualmente su nombre, en una nueva fila, en la columna</t>
    </r>
    <r>
      <rPr>
        <b/>
        <sz val="11"/>
        <color rgb="FF000000"/>
        <rFont val="Calibri"/>
        <family val="2"/>
      </rPr>
      <t xml:space="preserve"> Nuevo nombre del Receptor principal.</t>
    </r>
  </si>
  <si>
    <t>Períodos de reporte</t>
  </si>
  <si>
    <r>
      <t>·</t>
    </r>
    <r>
      <rPr>
        <sz val="7"/>
        <color rgb="FF000000"/>
        <rFont val="Times New Roman"/>
        <family val="1"/>
      </rPr>
      <t xml:space="preserve">     </t>
    </r>
    <r>
      <rPr>
        <sz val="11"/>
        <color rgb="FF000000"/>
        <rFont val="Calibri"/>
        <family val="2"/>
      </rPr>
      <t>Los períodos de reporte se rellenarán de forma predeterminada, en función de las fechas de inicio y finalización del Período de implementación anual y la frecuencia de reportes seleccionada.</t>
    </r>
  </si>
  <si>
    <r>
      <t>·</t>
    </r>
    <r>
      <rPr>
        <sz val="7"/>
        <color rgb="FF000000"/>
        <rFont val="Times New Roman"/>
        <family val="1"/>
      </rPr>
      <t xml:space="preserve">     </t>
    </r>
    <r>
      <rPr>
        <sz val="11"/>
        <color rgb="FF000000"/>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</si>
  <si>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t>·</t>
    </r>
    <r>
      <rPr>
        <sz val="7"/>
        <color rgb="FF000000"/>
        <rFont val="Times New Roman"/>
        <family val="1"/>
      </rPr>
      <t xml:space="preserve">     </t>
    </r>
    <r>
      <rPr>
        <sz val="11"/>
        <color rgb="FF000000"/>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</si>
  <si>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t>·</t>
    </r>
    <r>
      <rPr>
        <sz val="7"/>
        <color rgb="FF000000"/>
        <rFont val="Times New Roman"/>
        <family val="1"/>
      </rPr>
      <t xml:space="preserve">     </t>
    </r>
    <r>
      <rPr>
        <sz val="11"/>
        <color rgb="FF000000"/>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</si>
  <si>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</si>
  <si>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</si>
  <si>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</si>
  <si>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</si>
  <si>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</si>
  <si>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</si>
  <si>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</si>
  <si>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</si>
  <si>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</si>
  <si>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</si>
  <si>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</si>
  <si>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</si>
  <si>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</si>
  <si>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</si>
  <si>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</si>
  <si>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</si>
  <si>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</si>
  <si>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</si>
  <si>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</si>
  <si>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</si>
  <si>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t xml:space="preserve">    •   La inclusión de intervenciones personalizadas que </t>
    </r>
    <r>
      <rPr>
        <u/>
        <sz val="11"/>
        <color rgb="FF000000"/>
        <rFont val="Calibri"/>
        <family val="2"/>
      </rPr>
      <t>no están en la lista desplegable no está permitida para VIH, TB y RSSH</t>
    </r>
    <r>
      <rPr>
        <sz val="11"/>
        <color rgb="FF000000"/>
        <rFont val="Calibri"/>
        <family val="2"/>
      </rPr>
      <t>. En casos excepcionales, estos pueden incluirse para la malaria.</t>
    </r>
  </si>
  <si>
    <r>
      <t xml:space="preserve">    •   Para la malaria, </t>
    </r>
    <r>
      <rPr>
        <u/>
        <sz val="11"/>
        <color rgb="FF000000"/>
        <rFont val="Calibri"/>
        <family val="2"/>
      </rPr>
      <t>se puede hacer primero seleccionando "Otras intervenciones</t>
    </r>
    <r>
      <rPr>
        <sz val="11"/>
        <color rgb="FF000000"/>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</si>
  <si>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</si>
  <si>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</si>
  <si>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</si>
  <si>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</si>
  <si>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</si>
  <si>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</si>
  <si>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</si>
  <si>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</si>
  <si>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</si>
  <si>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</si>
  <si>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</si>
  <si>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</si>
  <si>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</si>
  <si>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</si>
  <si>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</si>
  <si>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</si>
  <si>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</si>
  <si>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</si>
  <si>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</si>
  <si>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</si>
  <si>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</si>
  <si>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</si>
  <si>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</si>
  <si>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</si>
  <si>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</si>
  <si>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</si>
  <si>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</si>
  <si>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</si>
  <si>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</si>
  <si>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</si>
  <si>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</si>
  <si>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</si>
  <si>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</si>
  <si>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</si>
  <si>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</si>
  <si>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</si>
  <si>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</si>
  <si>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</si>
  <si>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</si>
  <si>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</si>
  <si>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t>·</t>
    </r>
    <r>
      <rPr>
        <sz val="7"/>
        <color rgb="FF000000"/>
        <rFont val="Times New Roman"/>
        <family val="1"/>
      </rPr>
      <t xml:space="preserve">    </t>
    </r>
    <r>
      <rPr>
        <sz val="11"/>
        <color rgb="FF000000"/>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</si>
  <si>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</si>
  <si>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</si>
  <si>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</si>
  <si>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</si>
  <si>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</si>
  <si>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</si>
  <si>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</si>
  <si>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</si>
  <si>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</si>
  <si>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</si>
  <si>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</si>
  <si>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</si>
  <si>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</si>
  <si>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</si>
  <si>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</si>
  <si>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</si>
  <si>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</si>
  <si>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</si>
  <si>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</si>
  <si>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</si>
  <si>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</si>
  <si>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</si>
  <si>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</si>
  <si>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</si>
  <si>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</si>
  <si>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</si>
  <si>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</si>
  <si>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</si>
  <si>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</si>
  <si>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</si>
  <si>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</si>
  <si>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</si>
  <si>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</si>
  <si>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</si>
  <si>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</si>
  <si>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</si>
  <si>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</si>
  <si>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</si>
  <si>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</si>
  <si>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</si>
  <si>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</si>
  <si>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</si>
  <si>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</si>
  <si>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</si>
  <si>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</si>
  <si>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</si>
  <si>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</si>
  <si>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</si>
  <si>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</si>
  <si>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</si>
  <si>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</si>
  <si>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</si>
  <si>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</si>
  <si>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</si>
  <si>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</si>
  <si>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</si>
  <si>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</si>
  <si>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</si>
  <si>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</si>
  <si>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</si>
  <si>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</si>
  <si>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</si>
  <si>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t>·</t>
    </r>
    <r>
      <rPr>
        <sz val="7"/>
        <color rgb="FF000000"/>
        <rFont val="Times New Roman"/>
        <family val="1"/>
      </rPr>
      <t xml:space="preserve">    </t>
    </r>
    <r>
      <rPr>
        <sz val="11"/>
        <color rgb="FF000000"/>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</si>
  <si>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</si>
  <si>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</si>
  <si>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</si>
  <si>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</si>
  <si>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</si>
  <si>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</si>
  <si>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</si>
  <si>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</si>
  <si>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</si>
  <si>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</si>
  <si>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</si>
  <si>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</si>
  <si>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</si>
  <si>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</si>
  <si>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</si>
  <si>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</si>
  <si>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</si>
  <si>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</si>
  <si>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</si>
  <si>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</si>
  <si>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</si>
  <si>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</si>
  <si>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</si>
  <si>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</si>
  <si>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</si>
  <si>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</si>
  <si>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</si>
  <si>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</si>
  <si>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</si>
  <si>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</si>
  <si>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</si>
  <si>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t xml:space="preserve">• </t>
    </r>
    <r>
      <rPr>
        <b/>
        <sz val="11"/>
        <color rgb="FF000000"/>
        <rFont val="Calibri"/>
        <family val="2"/>
      </rPr>
      <t>El especialista del Equipo de País / PHME del Fondo Mundial debe llenar</t>
    </r>
    <r>
      <rPr>
        <sz val="11"/>
        <color rgb="FF000000"/>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</si>
  <si>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</si>
  <si>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</si>
  <si>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</si>
  <si>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</si>
  <si>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</si>
  <si>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</si>
  <si>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</si>
  <si>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t>·</t>
    </r>
    <r>
      <rPr>
        <sz val="7"/>
        <color rgb="FF000000"/>
        <rFont val="Times New Roman"/>
        <family val="1"/>
      </rPr>
      <t xml:space="preserve">    </t>
    </r>
    <r>
      <rPr>
        <sz val="11"/>
        <color rgb="FF000000"/>
        <rFont val="Calibri"/>
        <family val="2"/>
      </rPr>
      <t>Para solicitudes / subvenciones de un solo país, incluya el nombre del país.</t>
    </r>
  </si>
  <si>
    <r>
      <t>·</t>
    </r>
    <r>
      <rPr>
        <sz val="7"/>
        <color rgb="FF000000"/>
        <rFont val="Times New Roman"/>
        <family val="1"/>
      </rPr>
      <t xml:space="preserve">    </t>
    </r>
    <r>
      <rPr>
        <sz val="11"/>
        <color rgb="FF000000"/>
        <rFont val="Calibri"/>
        <family val="2"/>
      </rPr>
      <t>Para solicitudes / subvenciones regionales o de varios países, el solicitante / Receptor principal debe seleccionar el nombre del país correspondiente a cada indicador seleccionado.</t>
    </r>
  </si>
  <si>
    <r>
      <t>·</t>
    </r>
    <r>
      <rPr>
        <sz val="7"/>
        <rFont val="Times New Roman"/>
        <family val="1"/>
      </rPr>
      <t xml:space="preserve">    </t>
    </r>
    <r>
      <rPr>
        <sz val="11"/>
        <color rgb="FF000000"/>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</si>
  <si>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t>·</t>
    </r>
    <r>
      <rPr>
        <sz val="7"/>
        <color rgb="FF000000"/>
        <rFont val="Times New Roman"/>
        <family val="1"/>
      </rPr>
      <t xml:space="preserve">    </t>
    </r>
    <r>
      <rPr>
        <sz val="11"/>
        <color rgb="FF000000"/>
        <rFont val="Calibri"/>
        <family val="2"/>
      </rPr>
      <t>En el segundo campo debajo del nombre del país, especifique el alcance de los objetivos para cada indicador utilizando el menú desplegable. Las opciones proporcionadas ayudan a distinguir si los objetivos son de alcance:</t>
    </r>
  </si>
  <si>
    <r>
      <t>−</t>
    </r>
    <r>
      <rPr>
        <sz val="7"/>
        <color rgb="FF000000"/>
        <rFont val="Times New Roman"/>
        <family val="1"/>
      </rPr>
      <t xml:space="preserve">   </t>
    </r>
    <r>
      <rPr>
        <sz val="11"/>
        <color rgb="FF000000"/>
        <rFont val="Calibri"/>
        <family val="2"/>
      </rPr>
      <t>Geográfico nacional, i.e. se refiere a todo el país y representan el 100% de las metas del programa nacional;</t>
    </r>
  </si>
  <si>
    <r>
      <t>−</t>
    </r>
    <r>
      <rPr>
        <sz val="7"/>
        <color rgb="FF000000"/>
        <rFont val="Times New Roman"/>
        <family val="1"/>
      </rPr>
      <t xml:space="preserve">   </t>
    </r>
    <r>
      <rPr>
        <sz val="11"/>
        <color rgb="FF000000"/>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</si>
  <si>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</si>
  <si>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</si>
  <si>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</si>
  <si>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t xml:space="preserve"> o </t>
    </r>
    <r>
      <rPr>
        <b/>
        <sz val="11"/>
        <color rgb="FF000000"/>
        <rFont val="Calibri"/>
        <family val="2"/>
      </rPr>
      <t>No acumulativo:</t>
    </r>
    <r>
      <rPr>
        <sz val="11"/>
        <color rgb="FF000000"/>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</si>
  <si>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t xml:space="preserve"> o </t>
    </r>
    <r>
      <rPr>
        <b/>
        <sz val="11"/>
        <color rgb="FF000000"/>
        <rFont val="Calibri"/>
        <family val="2"/>
      </rPr>
      <t xml:space="preserve">No acumulativo - Especial: </t>
    </r>
    <r>
      <rPr>
        <sz val="11"/>
        <color rgb="FF000000"/>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</si>
  <si>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t xml:space="preserve"> o </t>
    </r>
    <r>
      <rPr>
        <b/>
        <sz val="11"/>
        <color rgb="FF000000"/>
        <rFont val="Calibri"/>
        <family val="2"/>
      </rPr>
      <t xml:space="preserve">No acumulativo - Otro: </t>
    </r>
    <r>
      <rPr>
        <sz val="11"/>
        <color rgb="FF000000"/>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</si>
  <si>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</si>
  <si>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</si>
  <si>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t>·</t>
    </r>
    <r>
      <rPr>
        <sz val="7"/>
        <color rgb="FF000000"/>
        <rFont val="Times New Roman"/>
        <family val="1"/>
      </rPr>
      <t xml:space="preserve">    </t>
    </r>
    <r>
      <rPr>
        <sz val="11"/>
        <color rgb="FF000000"/>
        <rFont val="Calibri"/>
        <family val="2"/>
      </rPr>
      <t>Las metas deben ser consistentes con el plan estratégico nacional o cualquier otra meta de país actualizada y acordada, y deben basarse en el análisis de brecha programática en la solicitud de financiamiento.</t>
    </r>
  </si>
  <si>
    <r>
      <t>·</t>
    </r>
    <r>
      <rPr>
        <sz val="7"/>
        <color rgb="FF000000"/>
        <rFont val="Times New Roman"/>
        <family val="1"/>
      </rPr>
      <t xml:space="preserve">    </t>
    </r>
    <r>
      <rPr>
        <sz val="11"/>
        <color rgb="FF000000"/>
        <rFont val="Calibri"/>
        <family val="2"/>
      </rPr>
      <t>Incluir metas en los períodos en que se recopilarán los datos.</t>
    </r>
  </si>
  <si>
    <r>
      <t>·</t>
    </r>
    <r>
      <rPr>
        <sz val="7"/>
        <color rgb="FF000000"/>
        <rFont val="Times New Roman"/>
        <family val="1"/>
      </rPr>
      <t xml:space="preserve">    </t>
    </r>
    <r>
      <rPr>
        <sz val="11"/>
        <color rgb="FF000000"/>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</si>
  <si>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</si>
  <si>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t>·</t>
    </r>
    <r>
      <rPr>
        <sz val="7"/>
        <color rgb="FF000000"/>
        <rFont val="Times New Roman"/>
        <family val="1"/>
      </rPr>
      <t xml:space="preserve">    </t>
    </r>
    <r>
      <rPr>
        <sz val="11"/>
        <color rgb="FF000000"/>
        <rFont val="Calibri"/>
        <family val="2"/>
      </rPr>
      <t>Este campo se calculará automáticamente en los casos en que se ingresen valores de numerador y denominador para las metas del indicador.</t>
    </r>
  </si>
  <si>
    <r>
      <t>·</t>
    </r>
    <r>
      <rPr>
        <sz val="7"/>
        <color rgb="FF000000"/>
        <rFont val="Times New Roman"/>
        <family val="1"/>
      </rPr>
      <t xml:space="preserve">    </t>
    </r>
    <r>
      <rPr>
        <sz val="11"/>
        <color rgb="FF000000"/>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</si>
  <si>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</si>
  <si>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</si>
  <si>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</si>
  <si>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</si>
  <si>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</si>
  <si>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</si>
  <si>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</si>
  <si>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</si>
  <si>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</si>
  <si>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</si>
  <si>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</si>
  <si>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</si>
  <si>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</si>
  <si>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</si>
  <si>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</si>
  <si>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</si>
  <si>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</si>
  <si>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</si>
  <si>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</si>
  <si>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</si>
  <si>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</si>
  <si>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</si>
  <si>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</si>
  <si>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</si>
  <si>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</si>
  <si>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</si>
  <si>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</si>
  <si>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</si>
  <si>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</si>
  <si>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</si>
  <si>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</si>
  <si>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</si>
  <si>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</si>
  <si>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</si>
  <si>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</si>
  <si>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</si>
  <si>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</si>
  <si>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</si>
  <si>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</si>
  <si>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</si>
  <si>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</si>
  <si>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</si>
  <si>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</si>
  <si>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</si>
  <si>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</si>
  <si>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</si>
  <si>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</si>
  <si>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</si>
  <si>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</si>
  <si>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</si>
  <si>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</si>
  <si>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</si>
  <si>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</si>
  <si>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t xml:space="preserve">o </t>
    </r>
    <r>
      <rPr>
        <b/>
        <sz val="11"/>
        <color rgb="FF000000"/>
        <rFont val="Calibri"/>
        <family val="2"/>
      </rPr>
      <t xml:space="preserve">NO INICIADA: </t>
    </r>
    <r>
      <rPr>
        <sz val="11"/>
        <color rgb="FF000000"/>
        <rFont val="Calibri"/>
        <family val="2"/>
      </rPr>
      <t>Actividad no iniciada</t>
    </r>
  </si>
  <si>
    <r>
      <t xml:space="preserve">o </t>
    </r>
    <r>
      <rPr>
        <b/>
        <sz val="11"/>
        <color rgb="FF000000"/>
        <rFont val="Calibri"/>
        <family val="2"/>
      </rPr>
      <t>INICIADA</t>
    </r>
    <r>
      <rPr>
        <sz val="11"/>
        <color rgb="FF000000"/>
        <rFont val="Calibri"/>
        <family val="2"/>
      </rPr>
      <t>: Protocolo desarrollado</t>
    </r>
  </si>
  <si>
    <r>
      <t xml:space="preserve">o </t>
    </r>
    <r>
      <rPr>
        <b/>
        <sz val="11"/>
        <color rgb="FF000000"/>
        <rFont val="Calibri"/>
        <family val="2"/>
      </rPr>
      <t>AVANZADA</t>
    </r>
    <r>
      <rPr>
        <sz val="11"/>
        <color rgb="FF000000"/>
        <rFont val="Calibri"/>
        <family val="2"/>
      </rPr>
      <t>: trabajo de campo completado</t>
    </r>
  </si>
  <si>
    <r>
      <t xml:space="preserve">o </t>
    </r>
    <r>
      <rPr>
        <b/>
        <sz val="11"/>
        <color rgb="FF000000"/>
        <rFont val="Calibri"/>
        <family val="2"/>
      </rPr>
      <t xml:space="preserve">COMPLETADA: </t>
    </r>
    <r>
      <rPr>
        <sz val="11"/>
        <color rgb="FF000000"/>
        <rFont val="Calibri"/>
        <family val="2"/>
      </rPr>
      <t>El informe de la evaluación de necesidades está avalado por las autoridades pertinentes, ha sido publicado y difundido en el sitio web.</t>
    </r>
  </si>
  <si>
    <t>• Proporcionar cualquier información relevante relacionada con la actividad y/o la MSPT.</t>
  </si>
  <si>
    <t>impact targets dispalmap ron no</t>
  </si>
  <si>
    <t>impact dispalmap ron no</t>
  </si>
  <si>
    <t>impact indicator no row for impact</t>
  </si>
  <si>
    <t>outcome indicator no row for outcome</t>
  </si>
  <si>
    <t>disaggregation no row for disaggregation</t>
  </si>
  <si>
    <t>wptm results no row for wptm</t>
  </si>
  <si>
    <t>coverage displayMap row no.</t>
  </si>
  <si>
    <t>coverage target  dispalymap Row NO</t>
  </si>
  <si>
    <t>WPTM row no display map</t>
  </si>
  <si>
    <t>wptm resutls row no display map</t>
  </si>
  <si>
    <t>[Impact Indicator Name FR]</t>
  </si>
  <si>
    <t>Impact Indicator Name FR</t>
  </si>
  <si>
    <t>[Impact Indicator Name ES]</t>
  </si>
  <si>
    <t>Impact Indicator Name ES</t>
  </si>
  <si>
    <t>[Outcome Indicator Name FR]</t>
  </si>
  <si>
    <t>Outcome Indicator Name FR</t>
  </si>
  <si>
    <t>[Outcome Indicator Name ES]</t>
  </si>
  <si>
    <t>Outcome Indicator Name ES</t>
  </si>
  <si>
    <t>[Coverage Indicator Name  - FR]</t>
  </si>
  <si>
    <t>Coverage Indicator Name  - FR</t>
  </si>
  <si>
    <t>[Coverage Indicator Name - ES]</t>
  </si>
  <si>
    <t>Coverage Indicator Name - ES</t>
  </si>
  <si>
    <t>[Grant (Name)]</t>
  </si>
  <si>
    <t>Grant (Name)</t>
  </si>
  <si>
    <t>[Intervention]</t>
  </si>
  <si>
    <t>original population</t>
  </si>
  <si>
    <t>pr list merged with blank</t>
  </si>
  <si>
    <t>pr distinct without duplicate</t>
  </si>
  <si>
    <t>number calculated row</t>
  </si>
  <si>
    <t>[Module Name FR]</t>
  </si>
  <si>
    <t>Module Name FR</t>
  </si>
  <si>
    <t>[Module Name ES]</t>
  </si>
  <si>
    <t>Module Name ES</t>
  </si>
  <si>
    <t>outcome targets</t>
  </si>
  <si>
    <t>[Module]</t>
  </si>
  <si>
    <t>[Key Activity Milestone Number]</t>
  </si>
  <si>
    <t xml:space="preserve">coverage disaggregation </t>
  </si>
  <si>
    <t>truncated translated name name</t>
  </si>
  <si>
    <t>english interventions</t>
  </si>
  <si>
    <t>population english</t>
  </si>
  <si>
    <t>[Intervention ES]</t>
  </si>
  <si>
    <t>Intervention ES</t>
  </si>
  <si>
    <t>[Intervention FR]</t>
  </si>
  <si>
    <t>Intervention FR</t>
  </si>
  <si>
    <t>No aplicable</t>
  </si>
  <si>
    <t>[Coverage Indicator Number]</t>
  </si>
  <si>
    <t>[Module Name]</t>
  </si>
  <si>
    <t>coverage indic. Targets</t>
  </si>
  <si>
    <t>[Allow Field Update]</t>
  </si>
  <si>
    <t>coverage indicator targets no rows</t>
  </si>
  <si>
    <t>coverage indicator no rows</t>
  </si>
  <si>
    <t>2.0.3 (This is to align with the English PF version, and we do not have the 2.0.2 version for Spanish)</t>
  </si>
  <si>
    <t>27/05/2020</t>
  </si>
  <si>
    <t>Shalini Mitra</t>
  </si>
  <si>
    <t>Irina Kirkman</t>
  </si>
  <si>
    <t>80177b87-31c5-4238-b3ab-8ab6cefb91c6</t>
  </si>
  <si>
    <t xml:space="preserve">
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</si>
  <si>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Coverage Indicator</t>
  </si>
  <si>
    <t>Indicador de cobertura</t>
  </si>
  <si>
    <t>Indicateur de couverture</t>
  </si>
  <si>
    <t>2.0.3</t>
  </si>
  <si>
    <t>Vasu Deva Dattatreya</t>
  </si>
  <si>
    <t>Added Enable and Disable calculations macro to each AddRow operation in the ActionFlow to increase the performance.</t>
  </si>
  <si>
    <t>Swamikan Nadar</t>
  </si>
  <si>
    <t>Version  2.0.4</t>
  </si>
  <si>
    <t>2.0.4</t>
  </si>
  <si>
    <t>Shalini Mitra &amp; Uma Maheswari</t>
  </si>
  <si>
    <t>Dalvinder Chandok</t>
  </si>
  <si>
    <t>1.Fixed Target  Result Issue in Impact/outcome Indicator Sections.
2.Fixed the indicator Name issue which exceeds 255 character Limit in Coverage Indicator Section.
3.Fixed Impact disaggreagation comments(exceeds 255 character Limit) issue in disaggregation Section.
4. Fixed the Macro for Coverage Indicator Section</t>
  </si>
  <si>
    <t>AIM_Reporting_Period__c.AIM_Report_Period_Category__c</t>
  </si>
  <si>
    <t>Implementation</t>
  </si>
  <si>
    <t>AIM_Coverage_Indicator__c.AIM_Geographic_Coverage__c</t>
  </si>
  <si>
    <t>National</t>
  </si>
  <si>
    <t>Subnational</t>
  </si>
  <si>
    <t>AIM_Coverage_Indicator__c.AIM_Rating_Cumulation_Type__c</t>
  </si>
  <si>
    <t>N-Non-cumulative</t>
  </si>
  <si>
    <t>N-Non -cumulative (other)</t>
  </si>
  <si>
    <t>N-Non -cumulative (special)</t>
  </si>
  <si>
    <t>Non Cumulative - Other</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</si>
  <si>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</si>
  <si>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</si>
  <si>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</si>
  <si>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</si>
  <si>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</si>
  <si>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</si>
  <si>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</si>
  <si>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</si>
  <si>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</si>
  <si>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</si>
  <si>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</si>
  <si>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</si>
  <si>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</si>
  <si>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</si>
  <si>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</si>
  <si>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</si>
  <si>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</si>
  <si>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</si>
  <si>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</si>
  <si>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</si>
  <si>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</si>
  <si>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</si>
  <si>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</si>
  <si>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</si>
  <si>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</si>
  <si>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</si>
  <si>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</si>
  <si>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</si>
  <si>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</si>
  <si>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</si>
  <si>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</si>
  <si>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</si>
  <si>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</si>
  <si>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</si>
  <si>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</si>
  <si>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</si>
  <si>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</si>
  <si>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</si>
  <si>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</si>
  <si>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</si>
  <si>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</si>
  <si>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</si>
  <si>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</si>
  <si>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</si>
  <si>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</si>
  <si>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</si>
  <si>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</si>
  <si>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</si>
  <si>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</si>
  <si>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</si>
  <si>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</si>
  <si>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</si>
  <si>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Y- Cumulative annually</t>
  </si>
  <si>
    <t>Grant Making</t>
  </si>
  <si>
    <t>a1K3p000006YShWEAW</t>
  </si>
  <si>
    <t>FR979-SLV-H</t>
  </si>
  <si>
    <t>El Salvador</t>
  </si>
  <si>
    <t>a1A360000013M3WEAU</t>
  </si>
  <si>
    <t>SLV-C-MOH</t>
  </si>
  <si>
    <t>Ministry of Health of the Republic of El Salvador</t>
  </si>
  <si>
    <t>a123p000007FHAgAAO</t>
  </si>
  <si>
    <t>AR-09389</t>
  </si>
  <si>
    <t>El país espera fortalecer su respuesta nacional al VIH a través de la incorporación de nuevos abordajes que permitan mejorar el diagnóstico, mediante nuevas modalidades de acceso a la prueba de VIH, la vinculación, adherencia al tratamiento y la prevención de la transmisión especialmente en las poblaciones clave y las mujeres embarazadas./ The country expects to strengthen its national response to HIV through the incorporation of new approaches to improve diagnosis, through new modalities of access to HIV testing, linkage, adherence to treatment, and prevention of transmission, especially in populations key and pregnant women.</t>
  </si>
  <si>
    <t>a1C3p00000Y3ccREAR</t>
  </si>
  <si>
    <t>Fortalecer la prevención y atención integral de nuevos casos de tuberculosis, centrada en las personas afectadas por la enfermedad y sus familias; reducción de la mortalidad por tuberculosis; con un abordaje estratégico en poblaciones priorizadas y familias con gastos catastróficos por la enfermedad; en armonía con la Estrategia Mundial Fin de la TB./Strengthen the prevention and comprehensive care of new cases of tuberculosis, focused on people affected by the disease and their families; reduction of mortality from tuberculosis; with a strategic approach in prioritized populations and families with catastrophic expenditure due to the disease; in harmony with the Global End TB Strategy.</t>
  </si>
  <si>
    <t>a1C3p00000Y3ccdEAB</t>
  </si>
  <si>
    <t>a1C3p00000Y3ccSEAR</t>
  </si>
  <si>
    <t>a1C3p00000Y3cceEAB</t>
  </si>
  <si>
    <t>a1C3p00000Y3ccTEAR</t>
  </si>
  <si>
    <t>a1C3p00000Y3ccfEAB</t>
  </si>
  <si>
    <t>a1C3p00000Y3ccUEAR</t>
  </si>
  <si>
    <t>a1C3p00000Y3ccgEAB</t>
  </si>
  <si>
    <t>a1C3p00000Y3ccVEAR</t>
  </si>
  <si>
    <t>a1C3p00000Y3cchEAB</t>
  </si>
  <si>
    <t>a1C3p00000Y3ccWEAR</t>
  </si>
  <si>
    <t>a1C3p00000Y3cciEAB</t>
  </si>
  <si>
    <t>a1C3p00000Y3ccXEAR</t>
  </si>
  <si>
    <t>a1C3p00000Y3ccjEAB</t>
  </si>
  <si>
    <t>a1C3p00000Y3ccYEAR</t>
  </si>
  <si>
    <t>a1C3p00000Y3cckEAB</t>
  </si>
  <si>
    <t>a1C3p00000Y3ccZEAR</t>
  </si>
  <si>
    <t>a1C3p00000Y3cclEAB</t>
  </si>
  <si>
    <t>a1C3p00000Y3ccaEAB</t>
  </si>
  <si>
    <t>a1C3p00000Y3ccmEAB</t>
  </si>
  <si>
    <t>a1C3p00000Y3ccbEAB</t>
  </si>
  <si>
    <t>a1C3p00000Y3ccnEAB</t>
  </si>
  <si>
    <t>a1C3p00000Y3cccEAB</t>
  </si>
  <si>
    <t>a1C3p00000Y3ccoEAB</t>
  </si>
  <si>
    <t>Diagnosticar al 95% de las personas viviendo con VIH para el año 2030 / Diagnose 95% of people living with HIV by 2030</t>
  </si>
  <si>
    <t>a1R3p000006KSgPEAW</t>
  </si>
  <si>
    <t>Cobertura de tratamiento de la TB arriba del 90%/TB treatment coverage above 90%</t>
  </si>
  <si>
    <t>a1R3p000006KSgbEAG</t>
  </si>
  <si>
    <t>Alcanzar un 95% de personas viviendo con VIH que cuenten con CV indetectable / Diagnose 95% of people living with HIV by 2030</t>
  </si>
  <si>
    <t>a1R3p000006KSgQEAW</t>
  </si>
  <si>
    <t>Porcentaje de Éxito del tratamiento para TB de todas las formas del 92 %/ Success rate of treatment for TB in all forms of 92%</t>
  </si>
  <si>
    <t>a1R3p000006KSgcEAG</t>
  </si>
  <si>
    <t>Eliminación de la Transmisión Materno Infantil del VIH y sífilis congénita / Elimination of Mother-to-Child Transmission of HIV and congenital syphilis</t>
  </si>
  <si>
    <t>a1R3p000006KSgREAW</t>
  </si>
  <si>
    <t>0 % de pacientes con TB cuyos hogares sufren gastos catastróficos debido a la TB /0% of TB patients whose households suffer catastrophic expenditures due to TB</t>
  </si>
  <si>
    <t>a1R3p000006KSgdEAG</t>
  </si>
  <si>
    <t>a1R3p000006KSgSEAW</t>
  </si>
  <si>
    <t>Porcentaje (82%) de pacientes con TB que fueron diagnosticados a través de pruebas rápidas/ Percentage (82%) of TB patients who were diagnosed through rapid tests</t>
  </si>
  <si>
    <t>a1R3p000006KSgeEAG</t>
  </si>
  <si>
    <t>a1R3p000006KSgTEAW</t>
  </si>
  <si>
    <t>Cobertura del 90 % de tratamiento para Infección Latente por TB /90% treatment coverage for Latent TB Infection</t>
  </si>
  <si>
    <t>a1R3p000006KSgfEAG</t>
  </si>
  <si>
    <t>a1R3p000006KSgUEAW</t>
  </si>
  <si>
    <t>Cobertura arriba del 90% en investigación de contactos/Coverage above 90% in contact investigation</t>
  </si>
  <si>
    <t>a1R3p000006KSggEAG</t>
  </si>
  <si>
    <t>a1R3p000006KSgVEAW</t>
  </si>
  <si>
    <t>Cobertura (100%) de pacientes de TB con resultados de pruebas de sensibilidad a medicamentos de segunda línea/Coverage (100%) of TB patients with results of sensitivity tests to second-line drugs</t>
  </si>
  <si>
    <t>a1R3p000006KSghEAG</t>
  </si>
  <si>
    <t>a1R3p000006KSgWEAW</t>
  </si>
  <si>
    <t>Cobertura del 90%  de tratamiento con nuevos medicamentos orales para drogorresistencia/90% coverage of treatment with new oral drugs for drug resistance</t>
  </si>
  <si>
    <t>a1R3p000006KSgiEAG</t>
  </si>
  <si>
    <t>a1R3p000006KSgXEAW</t>
  </si>
  <si>
    <t>Porcentaje arriba del 90% de pacientes de TB con estado de VIH conocido/Percentage above 90% of TB patients with known HIV status</t>
  </si>
  <si>
    <t>a1R3p000006KSgjEAG</t>
  </si>
  <si>
    <t>a1R3p000006KSgYEAW</t>
  </si>
  <si>
    <t>Tasa de letalidad por TB menor de 5/TB case fatality rate less than 5</t>
  </si>
  <si>
    <t>a1R3p000006KSgkEAG</t>
  </si>
  <si>
    <t>a1R3p000006KSgZEAW</t>
  </si>
  <si>
    <t>a1R3p000006KSglEAG</t>
  </si>
  <si>
    <t>a1R3p000006KSgaEAG</t>
  </si>
  <si>
    <t>a1R3p000006KSgmEAG</t>
  </si>
  <si>
    <t>M-54180</t>
  </si>
  <si>
    <t>MCI-00650</t>
  </si>
  <si>
    <t>a1P3p000007oOIFEA2</t>
  </si>
  <si>
    <t>a1O1R000006c5MbUAI</t>
  </si>
  <si>
    <t>M-54195</t>
  </si>
  <si>
    <t>MCI-00669</t>
  </si>
  <si>
    <t>a1P3p000007oOIUEA2</t>
  </si>
  <si>
    <t>a1O1R000006c5MuUAI</t>
  </si>
  <si>
    <t>M-54181</t>
  </si>
  <si>
    <t>MCI-00649</t>
  </si>
  <si>
    <t>a1P3p000007oOIGEA2</t>
  </si>
  <si>
    <t>a1O1R000006c5MaUAI</t>
  </si>
  <si>
    <t>M-54196</t>
  </si>
  <si>
    <t>MCI-00653</t>
  </si>
  <si>
    <t>a1P3p000007oOIVEA2</t>
  </si>
  <si>
    <t>a1O1R000006c5MeUAI</t>
  </si>
  <si>
    <t>M-54182</t>
  </si>
  <si>
    <t>MCI-00648</t>
  </si>
  <si>
    <t>a1P3p000007oOIHEA2</t>
  </si>
  <si>
    <t>a1O1R000006c5MZUAY</t>
  </si>
  <si>
    <t>M-54197</t>
  </si>
  <si>
    <t>MCI-00654</t>
  </si>
  <si>
    <t>a1P3p000007oOIWEA2</t>
  </si>
  <si>
    <t>a1O1R000006c5MfUAI</t>
  </si>
  <si>
    <t>M-54183</t>
  </si>
  <si>
    <t>MCI-00651</t>
  </si>
  <si>
    <t>a1P3p000007oOIIEA2</t>
  </si>
  <si>
    <t>a1O1R000006c5McUAI</t>
  </si>
  <si>
    <t>M-54198</t>
  </si>
  <si>
    <t>a1P3p000007oOIXEA2</t>
  </si>
  <si>
    <t>M-54184</t>
  </si>
  <si>
    <t>a1P3p000007oOIJEA2</t>
  </si>
  <si>
    <t>M-54199</t>
  </si>
  <si>
    <t>a1P3p000007oOIYEA2</t>
  </si>
  <si>
    <t>M-54185</t>
  </si>
  <si>
    <t>a1P3p000007oOIKEA2</t>
  </si>
  <si>
    <t>M-54200</t>
  </si>
  <si>
    <t>a1P3p000007oOIZEA2</t>
  </si>
  <si>
    <t>M-54186</t>
  </si>
  <si>
    <t>a1P3p000007oOILEA2</t>
  </si>
  <si>
    <t>M-54201</t>
  </si>
  <si>
    <t>a1P3p000007oOIaEAM</t>
  </si>
  <si>
    <t>M-54187</t>
  </si>
  <si>
    <t>a1P3p000007oOIMEA2</t>
  </si>
  <si>
    <t>M-54202</t>
  </si>
  <si>
    <t>a1P3p000007oOIbEAM</t>
  </si>
  <si>
    <t>M-54188</t>
  </si>
  <si>
    <t>a1P3p000007oOINEA2</t>
  </si>
  <si>
    <t>M-54203</t>
  </si>
  <si>
    <t>a1P3p000007oOIcEAM</t>
  </si>
  <si>
    <t>M-54189</t>
  </si>
  <si>
    <t>a1P3p000007oOIOEA2</t>
  </si>
  <si>
    <t>M-54204</t>
  </si>
  <si>
    <t>a1P3p000007oOIdEAM</t>
  </si>
  <si>
    <t>M-54190</t>
  </si>
  <si>
    <t>a1P3p000007oOIPEA2</t>
  </si>
  <si>
    <t>M-54205</t>
  </si>
  <si>
    <t>a1P3p000007oOIeEAM</t>
  </si>
  <si>
    <t>M-54191</t>
  </si>
  <si>
    <t>a1P3p000007oOIQEA2</t>
  </si>
  <si>
    <t>M-54206</t>
  </si>
  <si>
    <t>a1P3p000007oOIfEAM</t>
  </si>
  <si>
    <t>M-54192</t>
  </si>
  <si>
    <t>a1P3p000007oOIREA2</t>
  </si>
  <si>
    <t>M-54207</t>
  </si>
  <si>
    <t>a1P3p000007oOIgEAM</t>
  </si>
  <si>
    <t>M-54193</t>
  </si>
  <si>
    <t>a1P3p000007oOISEA2</t>
  </si>
  <si>
    <t>M-54208</t>
  </si>
  <si>
    <t>a1P3p000007oOIhEAM</t>
  </si>
  <si>
    <t>M-54194</t>
  </si>
  <si>
    <t>a1P3p000007oOITEA2</t>
  </si>
  <si>
    <t>M-54209</t>
  </si>
  <si>
    <t>a1P3p000007oOIiEAM</t>
  </si>
  <si>
    <t>a1M3p00000ErtGzEAJ</t>
  </si>
  <si>
    <t>INT-211653</t>
  </si>
  <si>
    <t>a1M3p00000ErtHnEAJ</t>
  </si>
  <si>
    <t>INT-211703</t>
  </si>
  <si>
    <t>a1M3p00000ErtH0EAJ</t>
  </si>
  <si>
    <t>INT-211654</t>
  </si>
  <si>
    <t>a1M3p00000ErtHoEAJ</t>
  </si>
  <si>
    <t>INT-211704</t>
  </si>
  <si>
    <t>a1M3p00000ErtH1EAJ</t>
  </si>
  <si>
    <t>INT-211655</t>
  </si>
  <si>
    <t>a1M3p00000ErtHpEAJ</t>
  </si>
  <si>
    <t>INT-211705</t>
  </si>
  <si>
    <t>a1M3p00000ErtH2EAJ</t>
  </si>
  <si>
    <t>INT-211656</t>
  </si>
  <si>
    <t>a1M3p00000ErtHqEAJ</t>
  </si>
  <si>
    <t>INT-211706</t>
  </si>
  <si>
    <t>a1M3p00000ErtH3EAJ</t>
  </si>
  <si>
    <t>INT-211657</t>
  </si>
  <si>
    <t>a1M3p00000ErtHrEAJ</t>
  </si>
  <si>
    <t>INT-211707</t>
  </si>
  <si>
    <t>a1M3p00000ErtH4EAJ</t>
  </si>
  <si>
    <t>INT-211658</t>
  </si>
  <si>
    <t>a1M3p00000ErtHsEAJ</t>
  </si>
  <si>
    <t>INT-211708</t>
  </si>
  <si>
    <t>a1M3p00000ErtH5EAJ</t>
  </si>
  <si>
    <t>INT-211659</t>
  </si>
  <si>
    <t>a1M3p00000ErtHtEAJ</t>
  </si>
  <si>
    <t>INT-211709</t>
  </si>
  <si>
    <t>a1M3p00000ErtH6EAJ</t>
  </si>
  <si>
    <t>INT-211660</t>
  </si>
  <si>
    <t>a1M3p00000ErtHuEAJ</t>
  </si>
  <si>
    <t>INT-211710</t>
  </si>
  <si>
    <t>a1M3p00000ErtH7EAJ</t>
  </si>
  <si>
    <t>INT-211661</t>
  </si>
  <si>
    <t>a1M3p00000ErtHvEAJ</t>
  </si>
  <si>
    <t>INT-211711</t>
  </si>
  <si>
    <t>a1M3p00000ErtH8EAJ</t>
  </si>
  <si>
    <t>INT-211662</t>
  </si>
  <si>
    <t>a1M3p00000ErtHwEAJ</t>
  </si>
  <si>
    <t>INT-211712</t>
  </si>
  <si>
    <t>a1M3p00000ErtH9EAJ</t>
  </si>
  <si>
    <t>INT-211663</t>
  </si>
  <si>
    <t>a1M3p00000ErtHxEAJ</t>
  </si>
  <si>
    <t>INT-211713</t>
  </si>
  <si>
    <t>a1M3p00000ErtHAEAZ</t>
  </si>
  <si>
    <t>INT-211664</t>
  </si>
  <si>
    <t>a1M3p00000ErtHyEAJ</t>
  </si>
  <si>
    <t>INT-211714</t>
  </si>
  <si>
    <t>a1M3p00000ErtHBEAZ</t>
  </si>
  <si>
    <t>INT-211665</t>
  </si>
  <si>
    <t>a1M3p00000ErtHzEAJ</t>
  </si>
  <si>
    <t>INT-211715</t>
  </si>
  <si>
    <t>a1M3p00000ErtHCEAZ</t>
  </si>
  <si>
    <t>INT-211666</t>
  </si>
  <si>
    <t>a1M3p00000ErtI0EAJ</t>
  </si>
  <si>
    <t>INT-211716</t>
  </si>
  <si>
    <t>a1M3p00000ErtHDEAZ</t>
  </si>
  <si>
    <t>INT-211667</t>
  </si>
  <si>
    <t>a1M3p00000ErtI1EAJ</t>
  </si>
  <si>
    <t>INT-211717</t>
  </si>
  <si>
    <t>a1M3p00000ErtHEEAZ</t>
  </si>
  <si>
    <t>INT-211668</t>
  </si>
  <si>
    <t>a1M3p00000ErtI2EAJ</t>
  </si>
  <si>
    <t>INT-211718</t>
  </si>
  <si>
    <t>a1M3p00000ErtHFEAZ</t>
  </si>
  <si>
    <t>INT-211669</t>
  </si>
  <si>
    <t>a1M3p00000ErtI3EAJ</t>
  </si>
  <si>
    <t>INT-211719</t>
  </si>
  <si>
    <t>a1M3p00000ErtHGEAZ</t>
  </si>
  <si>
    <t>INT-211670</t>
  </si>
  <si>
    <t>a1M3p00000ErtI4EAJ</t>
  </si>
  <si>
    <t>INT-211720</t>
  </si>
  <si>
    <t>a1M3p00000ErtHHEAZ</t>
  </si>
  <si>
    <t>INT-211671</t>
  </si>
  <si>
    <t>a1M3p00000ErtI5EAJ</t>
  </si>
  <si>
    <t>INT-211721</t>
  </si>
  <si>
    <t>a1M3p00000ErtHIEAZ</t>
  </si>
  <si>
    <t>INT-211672</t>
  </si>
  <si>
    <t>a1M3p00000ErtI7EAJ</t>
  </si>
  <si>
    <t>INT-211723</t>
  </si>
  <si>
    <t>a1M3p00000ErtHJEAZ</t>
  </si>
  <si>
    <t>INT-211673</t>
  </si>
  <si>
    <t>a1M3p00000ErtI8EAJ</t>
  </si>
  <si>
    <t>INT-211724</t>
  </si>
  <si>
    <t>a1M3p00000ErtHKEAZ</t>
  </si>
  <si>
    <t>INT-211674</t>
  </si>
  <si>
    <t>a1M3p00000ErtI9EAJ</t>
  </si>
  <si>
    <t>INT-211725</t>
  </si>
  <si>
    <t>a1M3p00000ErtHLEAZ</t>
  </si>
  <si>
    <t>INT-211675</t>
  </si>
  <si>
    <t>a1M3p00000ErtI6EAJ</t>
  </si>
  <si>
    <t>INT-211722</t>
  </si>
  <si>
    <t>a1M3p00000ErtHMEAZ</t>
  </si>
  <si>
    <t>INT-211676</t>
  </si>
  <si>
    <t>a1M3p00000ErtIAEAZ</t>
  </si>
  <si>
    <t>INT-211726</t>
  </si>
  <si>
    <t>a1M3p00000ErtHNEAZ</t>
  </si>
  <si>
    <t>INT-211677</t>
  </si>
  <si>
    <t>a1M3p00000ErtIBEAZ</t>
  </si>
  <si>
    <t>INT-211727</t>
  </si>
  <si>
    <t>a1M3p00000ErtHOEAZ</t>
  </si>
  <si>
    <t>INT-211678</t>
  </si>
  <si>
    <t>a1M3p00000ErtIDEAZ</t>
  </si>
  <si>
    <t>INT-211729</t>
  </si>
  <si>
    <t>a1M3p00000ErtHPEAZ</t>
  </si>
  <si>
    <t>INT-211679</t>
  </si>
  <si>
    <t>a1M3p00000ErtIEEAZ</t>
  </si>
  <si>
    <t>INT-211730</t>
  </si>
  <si>
    <t>a1M3p00000ErtHQEAZ</t>
  </si>
  <si>
    <t>INT-211680</t>
  </si>
  <si>
    <t>a1M3p00000ErtIFEAZ</t>
  </si>
  <si>
    <t>INT-211731</t>
  </si>
  <si>
    <t>a1M3p00000ErtHREAZ</t>
  </si>
  <si>
    <t>INT-211681</t>
  </si>
  <si>
    <t>a1M3p00000ErtICEAZ</t>
  </si>
  <si>
    <t>INT-211728</t>
  </si>
  <si>
    <t>a1M3p00000ErtHSEAZ</t>
  </si>
  <si>
    <t>INT-211682</t>
  </si>
  <si>
    <t>a1M3p00000ErtIGEAZ</t>
  </si>
  <si>
    <t>INT-211732</t>
  </si>
  <si>
    <t>a1M3p00000ErtHTEAZ</t>
  </si>
  <si>
    <t>INT-211683</t>
  </si>
  <si>
    <t>a1M3p00000ErtIHEAZ</t>
  </si>
  <si>
    <t>INT-211733</t>
  </si>
  <si>
    <t>a1M3p00000ErtHUEAZ</t>
  </si>
  <si>
    <t>INT-211684</t>
  </si>
  <si>
    <t>a1M3p00000ErtIIEAZ</t>
  </si>
  <si>
    <t>INT-211734</t>
  </si>
  <si>
    <t>a1M3p00000ErtHVEAZ</t>
  </si>
  <si>
    <t>INT-211685</t>
  </si>
  <si>
    <t>a1M3p00000ErtIKEAZ</t>
  </si>
  <si>
    <t>INT-211736</t>
  </si>
  <si>
    <t>a1M3p00000ErtHWEAZ</t>
  </si>
  <si>
    <t>INT-211686</t>
  </si>
  <si>
    <t>a1M3p00000ErtILEAZ</t>
  </si>
  <si>
    <t>INT-211737</t>
  </si>
  <si>
    <t>a1M3p00000ErtHXEAZ</t>
  </si>
  <si>
    <t>INT-211687</t>
  </si>
  <si>
    <t>a1M3p00000ErtIMEAZ</t>
  </si>
  <si>
    <t>INT-211738</t>
  </si>
  <si>
    <t>a1M3p00000ErtHYEAZ</t>
  </si>
  <si>
    <t>INT-211688</t>
  </si>
  <si>
    <t>a1M3p00000ErtIJEAZ</t>
  </si>
  <si>
    <t>INT-211735</t>
  </si>
  <si>
    <t>a1M3p00000ErtHZEAZ</t>
  </si>
  <si>
    <t>INT-211689</t>
  </si>
  <si>
    <t>a1M3p00000ErtINEAZ</t>
  </si>
  <si>
    <t>INT-211739</t>
  </si>
  <si>
    <t>a1M3p00000ErtHaEAJ</t>
  </si>
  <si>
    <t>INT-211690</t>
  </si>
  <si>
    <t>a1M3p00000ErtIOEAZ</t>
  </si>
  <si>
    <t>INT-211740</t>
  </si>
  <si>
    <t>a1M3p00000ErtHbEAJ</t>
  </si>
  <si>
    <t>INT-211691</t>
  </si>
  <si>
    <t>a1M3p00000ErtIPEAZ</t>
  </si>
  <si>
    <t>INT-211741</t>
  </si>
  <si>
    <t>a1M3p00000ErtHcEAJ</t>
  </si>
  <si>
    <t>INT-211692</t>
  </si>
  <si>
    <t>a1M3p00000ErtIQEAZ</t>
  </si>
  <si>
    <t>INT-211742</t>
  </si>
  <si>
    <t>a1M3p00000ErtHdEAJ</t>
  </si>
  <si>
    <t>INT-211693</t>
  </si>
  <si>
    <t>a1M3p00000ErtIREAZ</t>
  </si>
  <si>
    <t>INT-211743</t>
  </si>
  <si>
    <t>a1M3p00000ErtHeEAJ</t>
  </si>
  <si>
    <t>INT-211694</t>
  </si>
  <si>
    <t>a1M3p00000ErtISEAZ</t>
  </si>
  <si>
    <t>INT-211744</t>
  </si>
  <si>
    <t>a1M3p00000ErtHfEAJ</t>
  </si>
  <si>
    <t>INT-211695</t>
  </si>
  <si>
    <t>a1M3p00000ErtIUEAZ</t>
  </si>
  <si>
    <t>INT-211746</t>
  </si>
  <si>
    <t>a1M3p00000ErtHgEAJ</t>
  </si>
  <si>
    <t>INT-211696</t>
  </si>
  <si>
    <t>a1M3p00000ErtIVEAZ</t>
  </si>
  <si>
    <t>INT-211747</t>
  </si>
  <si>
    <t>a1M3p00000ErtHhEAJ</t>
  </si>
  <si>
    <t>INT-211697</t>
  </si>
  <si>
    <t>a1M3p00000ErtIWEAZ</t>
  </si>
  <si>
    <t>INT-211748</t>
  </si>
  <si>
    <t>a1M3p00000ErtHiEAJ</t>
  </si>
  <si>
    <t>INT-211698</t>
  </si>
  <si>
    <t>a1M3p00000ErtITEAZ</t>
  </si>
  <si>
    <t>INT-211745</t>
  </si>
  <si>
    <t>a1M3p00000ErtHjEAJ</t>
  </si>
  <si>
    <t>INT-211699</t>
  </si>
  <si>
    <t>a1M3p00000ErtIXEAZ</t>
  </si>
  <si>
    <t>INT-211749</t>
  </si>
  <si>
    <t>a1M3p00000ErtHkEAJ</t>
  </si>
  <si>
    <t>INT-211700</t>
  </si>
  <si>
    <t>a1M3p00000ErtIYEAZ</t>
  </si>
  <si>
    <t>INT-211750</t>
  </si>
  <si>
    <t>a1M3p00000ErtHlEAJ</t>
  </si>
  <si>
    <t>INT-211701</t>
  </si>
  <si>
    <t>a1M3p00000ErtIZEAZ</t>
  </si>
  <si>
    <t>INT-211751</t>
  </si>
  <si>
    <t>a1M3p00000ErtHmEAJ</t>
  </si>
  <si>
    <t>INT-211702</t>
  </si>
  <si>
    <t>a1M3p00000ErtIaEAJ</t>
  </si>
  <si>
    <t>INT-211752</t>
  </si>
  <si>
    <t>HIV/AIDS</t>
  </si>
  <si>
    <t>Tuberculosis</t>
  </si>
  <si>
    <t>a1Y3p000005HrSoEAK</t>
  </si>
  <si>
    <t>a1Y3p000005HrSpEAK</t>
  </si>
  <si>
    <t>a1Y3p000005HrSqEAK</t>
  </si>
  <si>
    <t>a1Y3p000005HrSrEAK</t>
  </si>
  <si>
    <t>a1Y3p000005HrSsEAK</t>
  </si>
  <si>
    <t>a1Y3p000005HrStEAK</t>
  </si>
  <si>
    <t>IOR-00079</t>
  </si>
  <si>
    <t>a1L1R00000J6DNdUAN</t>
  </si>
  <si>
    <t>IDR-00875</t>
  </si>
  <si>
    <t>Gender | Age</t>
  </si>
  <si>
    <t>Sexe | Age</t>
  </si>
  <si>
    <t>Género | Edad</t>
  </si>
  <si>
    <t>Female 20-24</t>
  </si>
  <si>
    <t>Femme 20-24</t>
  </si>
  <si>
    <t>Mujeres 20-24</t>
  </si>
  <si>
    <t>HIV I-13 Percentage of people living with HIV</t>
  </si>
  <si>
    <t>HIV I-13 Pourcentage de personnes vivant avec le VIH</t>
  </si>
  <si>
    <t>HIV I-13 Porcentaje de personas que viven con el VIH</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</si>
  <si>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</si>
  <si>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</si>
  <si>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</si>
  <si>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</si>
  <si>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</si>
  <si>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</si>
  <si>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</si>
  <si>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</si>
  <si>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</si>
  <si>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</si>
  <si>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</si>
  <si>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</si>
  <si>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</si>
  <si>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</si>
  <si>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</si>
  <si>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</si>
  <si>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</si>
  <si>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Gender</t>
  </si>
  <si>
    <t>Sexe</t>
  </si>
  <si>
    <t>Género</t>
  </si>
  <si>
    <t>Female</t>
  </si>
  <si>
    <t>Femme</t>
  </si>
  <si>
    <t>Mujeres</t>
  </si>
  <si>
    <t>a1L1R00000J6DLuUAN</t>
  </si>
  <si>
    <t>IDR-00768</t>
  </si>
  <si>
    <t>Male</t>
  </si>
  <si>
    <t>Homme</t>
  </si>
  <si>
    <t>Hombres</t>
  </si>
  <si>
    <t>a1L1R00000J6DK0UAN</t>
  </si>
  <si>
    <t>IDR-00650</t>
  </si>
  <si>
    <t>Age</t>
  </si>
  <si>
    <t>Edad</t>
  </si>
  <si>
    <t>15+</t>
  </si>
  <si>
    <t>a1L1R00000J6DJzUAN</t>
  </si>
  <si>
    <t>IDR-00649</t>
  </si>
  <si>
    <t>&lt;15</t>
  </si>
  <si>
    <t>IOR-00080</t>
  </si>
  <si>
    <t>a1L1R00000J6DNhUAN</t>
  </si>
  <si>
    <t>IDR-00879</t>
  </si>
  <si>
    <t>HIV I-14 Number of new HIV infections per 1000 uninfected population</t>
  </si>
  <si>
    <t>HIV I-14 Nombre de nouvelles infections par le VIH pour 1000 habitants non infectés</t>
  </si>
  <si>
    <t>HIV I-14 Número de infecciones nuevas de VIH por 1.000 habitantes no infectados</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</si>
  <si>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</si>
  <si>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</si>
  <si>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</si>
  <si>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</si>
  <si>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</si>
  <si>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</si>
  <si>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</si>
  <si>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</si>
  <si>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</si>
  <si>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</si>
  <si>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</si>
  <si>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</si>
  <si>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</si>
  <si>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</si>
  <si>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IOR-00081</t>
  </si>
  <si>
    <t>a1L1R00000J6DNlUAN</t>
  </si>
  <si>
    <t>IDR-00883</t>
  </si>
  <si>
    <t>HIV I-4 Number of AIDS-related deaths per 100,000 population</t>
  </si>
  <si>
    <t>HIV I-4 Nombre de décès liés au sida pour 100,000 habitants</t>
  </si>
  <si>
    <t>HIV I-4 Número de muertes relacionadas con el sida por cada 100.000 habitantes</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</si>
  <si>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</si>
  <si>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</si>
  <si>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</si>
  <si>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</si>
  <si>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</si>
  <si>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</si>
  <si>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</si>
  <si>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</si>
  <si>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</si>
  <si>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</si>
  <si>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</si>
  <si>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</si>
  <si>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</si>
  <si>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</si>
  <si>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</si>
  <si>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</si>
  <si>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</si>
  <si>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</si>
  <si>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IOR-00083</t>
  </si>
  <si>
    <t>a1L1R00000J6DK7UAN</t>
  </si>
  <si>
    <t>IDR-00657</t>
  </si>
  <si>
    <t>25+</t>
  </si>
  <si>
    <t>HIV I-9a⁽ᴹ⁾ Percentage of men who have sex with men who are living with HIV</t>
  </si>
  <si>
    <t>HIV I-9a⁽ᴹ⁾ Pourcentage d’hommes ayant des rapports sexuels avec des hommes vivant avec le VIH</t>
  </si>
  <si>
    <t>HIV I-9a⁽ᴹ⁾ Porcentaje de HSH y viven con el VIH</t>
  </si>
  <si>
    <t>a1L1R00000J6DK6UAN</t>
  </si>
  <si>
    <t>IDR-00656</t>
  </si>
  <si>
    <t>&lt;25</t>
  </si>
  <si>
    <t>IOR-00084</t>
  </si>
  <si>
    <t>a1L1R00000J6DK9UAN</t>
  </si>
  <si>
    <t>IDR-00659</t>
  </si>
  <si>
    <t>HIV I-9b⁽ᴹ⁾ Percentage of transgender people who are living with HIV</t>
  </si>
  <si>
    <t>HIV I-9b⁽ᴹ⁾ Pourcentage de personnes transgenres vivant avec le VIH</t>
  </si>
  <si>
    <t>HIV I-9b⁽ᴹ⁾ Porcentaje de personas transgénero que viven con el VIH</t>
  </si>
  <si>
    <t>a1L1R00000J6DK8UAN</t>
  </si>
  <si>
    <t>IDR-00658</t>
  </si>
  <si>
    <t>IOR-00085</t>
  </si>
  <si>
    <t>a1L1R00000J6DM2UAN</t>
  </si>
  <si>
    <t>IDR-00776</t>
  </si>
  <si>
    <t>Transgender</t>
  </si>
  <si>
    <t>Transgenre</t>
  </si>
  <si>
    <t>Transgénero</t>
  </si>
  <si>
    <t>HIV I-10⁽ᴹ⁾ Percentage of sex workers who are living with HIV</t>
  </si>
  <si>
    <t>HIV I-10⁽ᴹ⁾ Pourcentage de professionnels du sexe vivant avec le VIH</t>
  </si>
  <si>
    <t>HIV I-10⁽ᴹ⁾ Porcentaje de trabajadores sexuales que viven con el VIH</t>
  </si>
  <si>
    <t>a1L1R00000J6DM1UAN</t>
  </si>
  <si>
    <t>IDR-00775</t>
  </si>
  <si>
    <t>a1L1R00000J6DM0UAN</t>
  </si>
  <si>
    <t>IDR-00774</t>
  </si>
  <si>
    <t>a1L1R00000J6DKBUA3</t>
  </si>
  <si>
    <t>IDR-00661</t>
  </si>
  <si>
    <t>a1L1R00000J6DKAUA3</t>
  </si>
  <si>
    <t>IDR-00660</t>
  </si>
  <si>
    <t>IOR-00086</t>
  </si>
  <si>
    <t>a1L1R00000J6DM5UAN</t>
  </si>
  <si>
    <t>IDR-00779</t>
  </si>
  <si>
    <t>HIV I-11⁽ᴹ⁾ Percentage of people who inject drugs who are living with HIV</t>
  </si>
  <si>
    <t>HIV I-11⁽ᴹ⁾ Pourcentage de personnes qui s’injectent des drogues vivant avec le VIH</t>
  </si>
  <si>
    <t>HIV I-11⁽ᴹ⁾ Porcentaje de personas que consumen drogas inyectables y que viven con el VIH</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</si>
  <si>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</si>
  <si>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</si>
  <si>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</si>
  <si>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</si>
  <si>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</si>
  <si>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</si>
  <si>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</si>
  <si>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</si>
  <si>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</si>
  <si>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</si>
  <si>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</si>
  <si>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</si>
  <si>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</si>
  <si>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</si>
  <si>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</si>
  <si>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</si>
  <si>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</si>
  <si>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</si>
  <si>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</si>
  <si>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</si>
  <si>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</si>
  <si>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</si>
  <si>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</si>
  <si>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</si>
  <si>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</si>
  <si>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</si>
  <si>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</si>
  <si>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</si>
  <si>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</si>
  <si>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</si>
  <si>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</si>
  <si>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</si>
  <si>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</si>
  <si>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</si>
  <si>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</si>
  <si>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</si>
  <si>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</si>
  <si>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</si>
  <si>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</si>
  <si>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</si>
  <si>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</si>
  <si>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</si>
  <si>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</si>
  <si>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</si>
  <si>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</si>
  <si>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</si>
  <si>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</si>
  <si>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</si>
  <si>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</si>
  <si>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</si>
  <si>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</si>
  <si>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</si>
  <si>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</si>
  <si>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</si>
  <si>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</si>
  <si>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</si>
  <si>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</si>
  <si>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</si>
  <si>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</si>
  <si>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</si>
  <si>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</si>
  <si>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</si>
  <si>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</si>
  <si>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</si>
  <si>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</si>
  <si>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</si>
  <si>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</si>
  <si>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</si>
  <si>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</si>
  <si>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</si>
  <si>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</si>
  <si>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</si>
  <si>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</si>
  <si>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</si>
  <si>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</si>
  <si>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</si>
  <si>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</si>
  <si>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</si>
  <si>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</si>
  <si>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</si>
  <si>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</si>
  <si>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</si>
  <si>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</si>
  <si>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</si>
  <si>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</si>
  <si>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</si>
  <si>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</si>
  <si>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</si>
  <si>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</si>
  <si>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</si>
  <si>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</si>
  <si>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</si>
  <si>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</si>
  <si>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</si>
  <si>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</si>
  <si>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</si>
  <si>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</si>
  <si>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</si>
  <si>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</si>
  <si>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</si>
  <si>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</si>
  <si>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</si>
  <si>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</si>
  <si>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</si>
  <si>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</si>
  <si>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</si>
  <si>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</si>
  <si>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</si>
  <si>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</si>
  <si>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</si>
  <si>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</si>
  <si>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</si>
  <si>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</si>
  <si>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</si>
  <si>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</si>
  <si>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</si>
  <si>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</si>
  <si>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</si>
  <si>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</si>
  <si>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</si>
  <si>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</si>
  <si>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</si>
  <si>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</si>
  <si>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</si>
  <si>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</si>
  <si>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</si>
  <si>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</si>
  <si>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</si>
  <si>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</si>
  <si>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</si>
  <si>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</si>
  <si>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IOR-00100</t>
  </si>
  <si>
    <t>a1L1R00000J6DMKUA3</t>
  </si>
  <si>
    <t>IDR-00794</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</si>
  <si>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</si>
  <si>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</si>
  <si>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</si>
  <si>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a1L1R00000J6DMJUA3</t>
  </si>
  <si>
    <t>IDR-00793</t>
  </si>
  <si>
    <t>a1L1R00000J6DKWUA3</t>
  </si>
  <si>
    <t>IDR-00682</t>
  </si>
  <si>
    <t>a1L1R00000J6DKVUA3</t>
  </si>
  <si>
    <t>IDR-00681</t>
  </si>
  <si>
    <t>20-24</t>
  </si>
  <si>
    <t>a1L1R00000J6DKUUA3</t>
  </si>
  <si>
    <t>IDR-00680</t>
  </si>
  <si>
    <t>15-19</t>
  </si>
  <si>
    <t>IOR-00101</t>
  </si>
  <si>
    <t>a1L1R00000J6DKLUA3</t>
  </si>
  <si>
    <t>IDR-00671</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</si>
  <si>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</si>
  <si>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</si>
  <si>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</si>
  <si>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a1L1R00000J6DKKUA3</t>
  </si>
  <si>
    <t>IDR-00670</t>
  </si>
  <si>
    <t>IOR-00102</t>
  </si>
  <si>
    <t>a1L1R00000J6DKNUA3</t>
  </si>
  <si>
    <t>IDR-00673</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</si>
  <si>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</si>
  <si>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</si>
  <si>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</si>
  <si>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a1L1R00000J6DKMUA3</t>
  </si>
  <si>
    <t>IDR-00672</t>
  </si>
  <si>
    <t>IOR-00103</t>
  </si>
  <si>
    <t>a1L1R00000J6DMCUA3</t>
  </si>
  <si>
    <t>IDR-00786</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</si>
  <si>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</si>
  <si>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</si>
  <si>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</si>
  <si>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a1L1R00000J6DMBUA3</t>
  </si>
  <si>
    <t>IDR-00785</t>
  </si>
  <si>
    <t>a1L1R00000J6DMAUA3</t>
  </si>
  <si>
    <t>IDR-00784</t>
  </si>
  <si>
    <t>a1L1R00000J6DKPUA3</t>
  </si>
  <si>
    <t>IDR-00675</t>
  </si>
  <si>
    <t>a1L1R00000J6DKOUA3</t>
  </si>
  <si>
    <t>IDR-00674</t>
  </si>
  <si>
    <t>IOR-00104</t>
  </si>
  <si>
    <t>a1L1R00000J6DMFUA3</t>
  </si>
  <si>
    <t>IDR-00789</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</si>
  <si>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</si>
  <si>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</si>
  <si>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</si>
  <si>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a1L1R00000J6DMEUA3</t>
  </si>
  <si>
    <t>IDR-00788</t>
  </si>
  <si>
    <t>a1L1R00000J6DMDUA3</t>
  </si>
  <si>
    <t>IDR-00787</t>
  </si>
  <si>
    <t>a1L1R00000J6DKRUA3</t>
  </si>
  <si>
    <t>IDR-00677</t>
  </si>
  <si>
    <t>a1L1R00000J6DKQUA3</t>
  </si>
  <si>
    <t>IDR-00676</t>
  </si>
  <si>
    <t>IOR-00105</t>
  </si>
  <si>
    <t>a1L1R00000J6DMIUA3</t>
  </si>
  <si>
    <t>IDR-00792</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</si>
  <si>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</si>
  <si>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</si>
  <si>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</si>
  <si>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a1L1R00000J6DMHUA3</t>
  </si>
  <si>
    <t>IDR-00791</t>
  </si>
  <si>
    <t>a1L1R00000J6DMGUA3</t>
  </si>
  <si>
    <t>IDR-00790</t>
  </si>
  <si>
    <t>a1L1R00000J6DKTUA3</t>
  </si>
  <si>
    <t>IDR-00679</t>
  </si>
  <si>
    <t>a1L1R00000J6DKSUA3</t>
  </si>
  <si>
    <t>IDR-00678</t>
  </si>
  <si>
    <t>IOR-00107</t>
  </si>
  <si>
    <t>a1L1R00000J6DMPUA3</t>
  </si>
  <si>
    <t>IDR-00799</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</si>
  <si>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</si>
  <si>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</si>
  <si>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</si>
  <si>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a1L1R00000J6DMOUA3</t>
  </si>
  <si>
    <t>IDR-00798</t>
  </si>
  <si>
    <t>a1L1R00000J6DMLUA3</t>
  </si>
  <si>
    <t>IDR-00795</t>
  </si>
  <si>
    <t>IOR-00108</t>
  </si>
  <si>
    <t>a1L1R00000J6DMQUA3</t>
  </si>
  <si>
    <t>IDR-00800</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</si>
  <si>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</si>
  <si>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</si>
  <si>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</si>
  <si>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a1L1R00000J6DMNUA3</t>
  </si>
  <si>
    <t>IDR-00797</t>
  </si>
  <si>
    <t>a1L1R00000J6DMMUA3</t>
  </si>
  <si>
    <t>IDR-00796</t>
  </si>
  <si>
    <t>IOR-00109</t>
  </si>
  <si>
    <t>a1L1R00000J6DKYUA3</t>
  </si>
  <si>
    <t>IDR-00684</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</si>
  <si>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</si>
  <si>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</si>
  <si>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</si>
  <si>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a1L1R00000J6DKXUA3</t>
  </si>
  <si>
    <t>IDR-00683</t>
  </si>
  <si>
    <t>IOR-00112</t>
  </si>
  <si>
    <t>a1L1R00000J6DKaUAN</t>
  </si>
  <si>
    <t>IDR-00686</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</si>
  <si>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</si>
  <si>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</si>
  <si>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</si>
  <si>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a1L1R00000J6DKZUA3</t>
  </si>
  <si>
    <t>IDR-00685</t>
  </si>
  <si>
    <t>IOR-00113</t>
  </si>
  <si>
    <t>a1L1R00000J6DKcUAN</t>
  </si>
  <si>
    <t>IDR-00688</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</si>
  <si>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</si>
  <si>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</si>
  <si>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</si>
  <si>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a1L1R00000J6DKbUAN</t>
  </si>
  <si>
    <t>IDR-00687</t>
  </si>
  <si>
    <t>IOR-00114</t>
  </si>
  <si>
    <t>a1L1R00000J6DMTUA3</t>
  </si>
  <si>
    <t>IDR-00803</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</si>
  <si>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</si>
  <si>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</si>
  <si>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</si>
  <si>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a1L1R00000J6DMSUA3</t>
  </si>
  <si>
    <t>IDR-00802</t>
  </si>
  <si>
    <t>a1L1R00000J6DMRUA3</t>
  </si>
  <si>
    <t>IDR-00801</t>
  </si>
  <si>
    <t>a1L1R00000J6DKeUAN</t>
  </si>
  <si>
    <t>IDR-00690</t>
  </si>
  <si>
    <t>a1L1R00000J6DKdUAN</t>
  </si>
  <si>
    <t>IDR-00689</t>
  </si>
  <si>
    <t>IOR-00115</t>
  </si>
  <si>
    <t>a1L1R00000J6DMWUA3</t>
  </si>
  <si>
    <t>IDR-00806</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</si>
  <si>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</si>
  <si>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</si>
  <si>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</si>
  <si>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a1L1R00000J6DMVUA3</t>
  </si>
  <si>
    <t>IDR-00805</t>
  </si>
  <si>
    <t>a1L1R00000J6DMUUA3</t>
  </si>
  <si>
    <t>IDR-00804</t>
  </si>
  <si>
    <t>a1L1R00000J6DKgUAN</t>
  </si>
  <si>
    <t>IDR-00692</t>
  </si>
  <si>
    <t>a1L1R00000J6DKfUAN</t>
  </si>
  <si>
    <t>IDR-00691</t>
  </si>
  <si>
    <t>IOR-00116</t>
  </si>
  <si>
    <t>a1L1R00000J6DPCUA3</t>
  </si>
  <si>
    <t>IDR-00972</t>
  </si>
  <si>
    <t>Target / Risk population group</t>
  </si>
  <si>
    <t>Groupe à risque cible</t>
  </si>
  <si>
    <t>Grupo de riesgo objetivo</t>
  </si>
  <si>
    <t>Prisoners</t>
  </si>
  <si>
    <t>Prisonniers</t>
  </si>
  <si>
    <t>Reclusos</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</si>
  <si>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</si>
  <si>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</si>
  <si>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</si>
  <si>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</si>
  <si>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</si>
  <si>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</si>
  <si>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</si>
  <si>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</si>
  <si>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</si>
  <si>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</si>
  <si>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</si>
  <si>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</si>
  <si>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</si>
  <si>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</si>
  <si>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</si>
  <si>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</si>
  <si>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HSH</t>
  </si>
  <si>
    <t>a1L1R00000J6DMZUA3</t>
  </si>
  <si>
    <t>IDR-00809</t>
  </si>
  <si>
    <t>a1L1R00000J6DMYUA3</t>
  </si>
  <si>
    <t>IDR-00808</t>
  </si>
  <si>
    <t>a1L1R00000J6DMXUA3</t>
  </si>
  <si>
    <t>IDR-00807</t>
  </si>
  <si>
    <t>a1L1R00000J6DKiUAN</t>
  </si>
  <si>
    <t>IDR-00694</t>
  </si>
  <si>
    <t>a1L1R00000J6DKhUAN</t>
  </si>
  <si>
    <t>IDR-00693</t>
  </si>
  <si>
    <t>IOR-00120</t>
  </si>
  <si>
    <t>a1L1R00000J6DPjUAN</t>
  </si>
  <si>
    <t>IDR-01005</t>
  </si>
  <si>
    <t>Treatment outcome</t>
  </si>
  <si>
    <t>Résultat du traitement</t>
  </si>
  <si>
    <t>Resultados de tratamiento</t>
  </si>
  <si>
    <t>Lost to follow up</t>
  </si>
  <si>
    <t>Perdus de vue</t>
  </si>
  <si>
    <t>Perdidos en seguimiento</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</si>
  <si>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</si>
  <si>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</si>
  <si>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</si>
  <si>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</si>
  <si>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</si>
  <si>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</si>
  <si>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</si>
  <si>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</si>
  <si>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</si>
  <si>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</si>
  <si>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</si>
  <si>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</si>
  <si>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</si>
  <si>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</si>
  <si>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</si>
  <si>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</si>
  <si>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</si>
  <si>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</si>
  <si>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</si>
  <si>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</si>
  <si>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</si>
  <si>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</si>
  <si>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</si>
  <si>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IOR-00126</t>
  </si>
  <si>
    <t>a1L1R00000J6DMeUAN</t>
  </si>
  <si>
    <t>IDR-00814</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</si>
  <si>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</si>
  <si>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</si>
  <si>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</si>
  <si>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a1L1R00000J6DMdUAN</t>
  </si>
  <si>
    <t>IDR-00813</t>
  </si>
  <si>
    <t>IOR-00127</t>
  </si>
  <si>
    <t>a1L1R00000J6DMgUAN</t>
  </si>
  <si>
    <t>IDR-00816</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</si>
  <si>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</si>
  <si>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</si>
  <si>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</si>
  <si>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a1L1R00000J6DMfUAN</t>
  </si>
  <si>
    <t>IDR-00815</t>
  </si>
  <si>
    <t>IOR-00128</t>
  </si>
  <si>
    <t>a1L1R00000J6DMiUAN</t>
  </si>
  <si>
    <t>IDR-00818</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</si>
  <si>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</si>
  <si>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</si>
  <si>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</si>
  <si>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</si>
  <si>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</si>
  <si>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</si>
  <si>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</si>
  <si>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</si>
  <si>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</si>
  <si>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</si>
  <si>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</si>
  <si>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</si>
  <si>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</si>
  <si>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</si>
  <si>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</si>
  <si>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</si>
  <si>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</si>
  <si>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</si>
  <si>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</si>
  <si>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</si>
  <si>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</si>
  <si>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</si>
  <si>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</si>
  <si>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</si>
  <si>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</si>
  <si>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</si>
  <si>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</si>
  <si>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</si>
  <si>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</si>
  <si>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</si>
  <si>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</si>
  <si>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</si>
  <si>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</si>
  <si>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</si>
  <si>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</si>
  <si>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</si>
  <si>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IOR-00140</t>
  </si>
  <si>
    <t>a1L1R00000J6DOpUAN</t>
  </si>
  <si>
    <t>IDR-00949</t>
  </si>
  <si>
    <t>Occupation group</t>
  </si>
  <si>
    <t>Groupe d'occupation</t>
  </si>
  <si>
    <t>Grupo de ocupación</t>
  </si>
  <si>
    <t>Community health workers</t>
  </si>
  <si>
    <t>Agents de santé communautaires</t>
  </si>
  <si>
    <t>Trabajadores de la salud comunitarios</t>
  </si>
  <si>
    <t>HSS O-8 Active health workers per 10,000 population</t>
  </si>
  <si>
    <t>HSS O-8 Agents de santé actifs pour 10,000 habitants</t>
  </si>
  <si>
    <t>HSS O-8 Trabajadores de  salud activos por cada 10.000 habitantes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</si>
  <si>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</si>
  <si>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</si>
  <si>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</si>
  <si>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</si>
  <si>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</si>
  <si>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</si>
  <si>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</si>
  <si>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</si>
  <si>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</si>
  <si>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</si>
  <si>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</si>
  <si>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</si>
  <si>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</si>
  <si>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</si>
  <si>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</si>
  <si>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</si>
  <si>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</si>
  <si>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</si>
  <si>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</si>
  <si>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</si>
  <si>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IOR-00141</t>
  </si>
  <si>
    <t>a1L1R00000J6DKmUAN</t>
  </si>
  <si>
    <t>IDR-00698</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</si>
  <si>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</si>
  <si>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</si>
  <si>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</si>
  <si>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a1L1R00000J6DKlUAN</t>
  </si>
  <si>
    <t>IDR-00697</t>
  </si>
  <si>
    <t>10-14</t>
  </si>
  <si>
    <t>MCI-01045</t>
  </si>
  <si>
    <t>a1L1R00000J6DKoUAN</t>
  </si>
  <si>
    <t>IDR-00700</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</si>
  <si>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</si>
  <si>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</si>
  <si>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</si>
  <si>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a1L1R00000J6DKnUAN</t>
  </si>
  <si>
    <t>IDR-00699</t>
  </si>
  <si>
    <t>MCI-01046</t>
  </si>
  <si>
    <t>a1L1R00000J6DKqUAN</t>
  </si>
  <si>
    <t>IDR-00702</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</si>
  <si>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</si>
  <si>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</si>
  <si>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</si>
  <si>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a1L1R00000J6DKpUAN</t>
  </si>
  <si>
    <t>IDR-00701</t>
  </si>
  <si>
    <t>MCI-01047</t>
  </si>
  <si>
    <t>a1L1R00000J6DMpUAN</t>
  </si>
  <si>
    <t>IDR-00825</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</si>
  <si>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</si>
  <si>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</si>
  <si>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</si>
  <si>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a1L1R00000J6DMoUAN</t>
  </si>
  <si>
    <t>IDR-00824</t>
  </si>
  <si>
    <t>a1L1R00000J6DMnUAN</t>
  </si>
  <si>
    <t>IDR-00823</t>
  </si>
  <si>
    <t>a1L1R00000J6DKsUAN</t>
  </si>
  <si>
    <t>IDR-00704</t>
  </si>
  <si>
    <t>a1L1R00000J6DKrUAN</t>
  </si>
  <si>
    <t>IDR-00703</t>
  </si>
  <si>
    <t>MCI-01048</t>
  </si>
  <si>
    <t>a1L1R00000J6DMsUAN</t>
  </si>
  <si>
    <t>IDR-00828</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</si>
  <si>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</si>
  <si>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</si>
  <si>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</si>
  <si>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a1L1R00000J6DMrUAN</t>
  </si>
  <si>
    <t>IDR-00827</t>
  </si>
  <si>
    <t>a1L1R00000J6DMqUAN</t>
  </si>
  <si>
    <t>IDR-00826</t>
  </si>
  <si>
    <t>a1L1R00000J6DKuUAN</t>
  </si>
  <si>
    <t>IDR-00706</t>
  </si>
  <si>
    <t>a1L1R00000J6DKtUAN</t>
  </si>
  <si>
    <t>IDR-00705</t>
  </si>
  <si>
    <t>MCI-01056</t>
  </si>
  <si>
    <t>a1L1R00000J6DMuUAN</t>
  </si>
  <si>
    <t>IDR-00830</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</si>
  <si>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</si>
  <si>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</si>
  <si>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</si>
  <si>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a1L1R00000J6DMtUAN</t>
  </si>
  <si>
    <t>IDR-00829</t>
  </si>
  <si>
    <t>MCI-01057</t>
  </si>
  <si>
    <t>a1L1R00000J6DMwUAN</t>
  </si>
  <si>
    <t>IDR-00832</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</si>
  <si>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</si>
  <si>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</si>
  <si>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</si>
  <si>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a1L1R00000J6DMvUAN</t>
  </si>
  <si>
    <t>IDR-00831</t>
  </si>
  <si>
    <t>MCI-01058</t>
  </si>
  <si>
    <t>a1L1R00000J6DKxUAN</t>
  </si>
  <si>
    <t>IDR-00709</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</si>
  <si>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</si>
  <si>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</si>
  <si>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</si>
  <si>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a1L1R00000J6DKwUAN</t>
  </si>
  <si>
    <t>IDR-00708</t>
  </si>
  <si>
    <t>a1L1R00000J6DKvUAN</t>
  </si>
  <si>
    <t>IDR-00707</t>
  </si>
  <si>
    <t>MCI-01060</t>
  </si>
  <si>
    <t>a1L1R00000J6DOFUA3</t>
  </si>
  <si>
    <t>IDR-00913</t>
  </si>
  <si>
    <t>HIV test status</t>
  </si>
  <si>
    <t>Résultat du test VIH</t>
  </si>
  <si>
    <t>Resultado de prueba del VIH</t>
  </si>
  <si>
    <t>Negative</t>
  </si>
  <si>
    <t>Négatif</t>
  </si>
  <si>
    <t>Negativo</t>
  </si>
  <si>
    <t>PMTCT-1 Percentage of pregnant women who know their HIV status</t>
  </si>
  <si>
    <t>PMTCT-1 Pourcentage de femmes enceintes qui connaissent leur statut sérologique pour le VIH</t>
  </si>
  <si>
    <t>PMTCT-1 Porcentaje de mujeres embarazadas que conocen su Estatus de VIH</t>
  </si>
  <si>
    <t>a1L1R00000J6DOEUA3</t>
  </si>
  <si>
    <t>IDR-00912</t>
  </si>
  <si>
    <t>Positive</t>
  </si>
  <si>
    <t>Positif</t>
  </si>
  <si>
    <t>Positivo</t>
  </si>
  <si>
    <t>MCI-01062</t>
  </si>
  <si>
    <t>a1L1R00000J6DOIUA3</t>
  </si>
  <si>
    <t>IDR-00916</t>
  </si>
  <si>
    <t>Indeterminate</t>
  </si>
  <si>
    <t>Indéterminé</t>
  </si>
  <si>
    <t>Indeterminado</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</si>
  <si>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</si>
  <si>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</si>
  <si>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</si>
  <si>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a1L1R00000J6DOHUA3</t>
  </si>
  <si>
    <t>IDR-00915</t>
  </si>
  <si>
    <t>a1L1R00000J6DOGUA3</t>
  </si>
  <si>
    <t>IDR-00914</t>
  </si>
  <si>
    <t>MCI-01064</t>
  </si>
  <si>
    <t>a1L1R00000J6DOKUA3</t>
  </si>
  <si>
    <t>IDR-00918</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</si>
  <si>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</si>
  <si>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</si>
  <si>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</si>
  <si>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a1L1R00000J6DOJUA3</t>
  </si>
  <si>
    <t>IDR-00917</t>
  </si>
  <si>
    <t>a1L1R00000J6DL0UAN</t>
  </si>
  <si>
    <t>IDR-00712</t>
  </si>
  <si>
    <t>15-24</t>
  </si>
  <si>
    <t>a1L1R00000J6DKzUAN</t>
  </si>
  <si>
    <t>IDR-00711</t>
  </si>
  <si>
    <t>a1L1R00000J6DKyUAN</t>
  </si>
  <si>
    <t>IDR-00710</t>
  </si>
  <si>
    <t>MCI-01065</t>
  </si>
  <si>
    <t>a1L1R00000J6DOMUA3</t>
  </si>
  <si>
    <t>IDR-00920</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</si>
  <si>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</si>
  <si>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</si>
  <si>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</si>
  <si>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a1L1R00000J6DOLUA3</t>
  </si>
  <si>
    <t>IDR-00919</t>
  </si>
  <si>
    <t>a1L1R00000J6DL2UAN</t>
  </si>
  <si>
    <t>IDR-00714</t>
  </si>
  <si>
    <t>a1L1R00000J6DL1UAN</t>
  </si>
  <si>
    <t>IDR-00713</t>
  </si>
  <si>
    <t>MCI-01066</t>
  </si>
  <si>
    <t>a1L1R00000J6DOOUA3</t>
  </si>
  <si>
    <t>IDR-00922</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</si>
  <si>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</si>
  <si>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</si>
  <si>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</si>
  <si>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a1L1R00000J6DONUA3</t>
  </si>
  <si>
    <t>IDR-00921</t>
  </si>
  <si>
    <t>a1L1R00000J6DL4UAN</t>
  </si>
  <si>
    <t>IDR-00716</t>
  </si>
  <si>
    <t>a1L1R00000J6DL3UAN</t>
  </si>
  <si>
    <t>IDR-00715</t>
  </si>
  <si>
    <t>MCI-01067</t>
  </si>
  <si>
    <t>a1L1R00000J6DOQUA3</t>
  </si>
  <si>
    <t>IDR-00924</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</si>
  <si>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</si>
  <si>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</si>
  <si>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</si>
  <si>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a1L1R00000J6DOPUA3</t>
  </si>
  <si>
    <t>IDR-00923</t>
  </si>
  <si>
    <t>a1L1R00000J6DMzUAN</t>
  </si>
  <si>
    <t>IDR-00835</t>
  </si>
  <si>
    <t>a1L1R00000J6DMyUAN</t>
  </si>
  <si>
    <t>IDR-00834</t>
  </si>
  <si>
    <t>a1L1R00000J6DMxUAN</t>
  </si>
  <si>
    <t>IDR-00833</t>
  </si>
  <si>
    <t>a1L1R00000J6DL6UAN</t>
  </si>
  <si>
    <t>IDR-00718</t>
  </si>
  <si>
    <t>a1L1R00000J6DL5UAN</t>
  </si>
  <si>
    <t>IDR-00717</t>
  </si>
  <si>
    <t>MCI-01068</t>
  </si>
  <si>
    <t>a1L1R00000J6DOSUA3</t>
  </si>
  <si>
    <t>IDR-00926</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</si>
  <si>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</si>
  <si>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</si>
  <si>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</si>
  <si>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a1L1R00000J6DORUA3</t>
  </si>
  <si>
    <t>IDR-00925</t>
  </si>
  <si>
    <t>a1L1R00000J6DN2UAN</t>
  </si>
  <si>
    <t>IDR-00838</t>
  </si>
  <si>
    <t>a1L1R00000J6DN1UAN</t>
  </si>
  <si>
    <t>IDR-00837</t>
  </si>
  <si>
    <t>a1L1R00000J6DN0UAN</t>
  </si>
  <si>
    <t>IDR-00836</t>
  </si>
  <si>
    <t>a1L1R00000J6DL8UAN</t>
  </si>
  <si>
    <t>IDR-00720</t>
  </si>
  <si>
    <t>a1L1R00000J6DL7UAN</t>
  </si>
  <si>
    <t>IDR-00719</t>
  </si>
  <si>
    <t>MCI-01069</t>
  </si>
  <si>
    <t>a1L1R00000J6DOUUA3</t>
  </si>
  <si>
    <t>IDR-00928</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</si>
  <si>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</si>
  <si>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</si>
  <si>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</si>
  <si>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a1L1R00000J6DOTUA3</t>
  </si>
  <si>
    <t>IDR-00927</t>
  </si>
  <si>
    <t>MCI-01070</t>
  </si>
  <si>
    <t>a1L1R00000J6DOWUA3</t>
  </si>
  <si>
    <t>IDR-00930</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</si>
  <si>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</si>
  <si>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</si>
  <si>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</si>
  <si>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a1L1R00000J6DOVUA3</t>
  </si>
  <si>
    <t>IDR-00929</t>
  </si>
  <si>
    <t>MCI-01071</t>
  </si>
  <si>
    <t>a1L1R00000J6DODUA3</t>
  </si>
  <si>
    <t>IDR-00911</t>
  </si>
  <si>
    <t>Facility testing</t>
  </si>
  <si>
    <t>Tests fait dans un centre de santé</t>
  </si>
  <si>
    <t>Diagnóstico en establecimientos de salud</t>
  </si>
  <si>
    <t>Other</t>
  </si>
  <si>
    <t>Autre</t>
  </si>
  <si>
    <t>Otros</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</si>
  <si>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</si>
  <si>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</si>
  <si>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</si>
  <si>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a1L1R00000J6DOCUA3</t>
  </si>
  <si>
    <t>IDR-00910</t>
  </si>
  <si>
    <t>VCT centers</t>
  </si>
  <si>
    <t>Centres de de dépistage volontaire</t>
  </si>
  <si>
    <t>Centros de consejería y pruebas</t>
  </si>
  <si>
    <t>a1L1R00000J6DOBUA3</t>
  </si>
  <si>
    <t>IDR-00909</t>
  </si>
  <si>
    <t>TB clinics</t>
  </si>
  <si>
    <t>Centres de traitement de la tuberculose</t>
  </si>
  <si>
    <t>Servicios de TB</t>
  </si>
  <si>
    <t>a1L1R00000J6DOAUA3</t>
  </si>
  <si>
    <t>IDR-00908</t>
  </si>
  <si>
    <t>Family Planning clinics</t>
  </si>
  <si>
    <t>Centres de planification familiale</t>
  </si>
  <si>
    <t>Planificación familiar</t>
  </si>
  <si>
    <t>a1L1R00000J6DO9UAN</t>
  </si>
  <si>
    <t>IDR-00907</t>
  </si>
  <si>
    <t>ANC clinics</t>
  </si>
  <si>
    <t>Centres de soins prénatals</t>
  </si>
  <si>
    <t>Clínicas de atención prenatal</t>
  </si>
  <si>
    <t>a1L1R00000J6DO5UAN</t>
  </si>
  <si>
    <t>IDR-00903</t>
  </si>
  <si>
    <t>Community testing</t>
  </si>
  <si>
    <t>Tests fait dans la communauté</t>
  </si>
  <si>
    <t>Diagnóstico en la comunidad</t>
  </si>
  <si>
    <t>Community VCT</t>
  </si>
  <si>
    <t>Centres communautaires de dépistage volontaire</t>
  </si>
  <si>
    <t>Consejería y prueba en la comunidad</t>
  </si>
  <si>
    <t>a1L1R00000J6DO4UAN</t>
  </si>
  <si>
    <t>IDR-00902</t>
  </si>
  <si>
    <t>Mobile testing</t>
  </si>
  <si>
    <t>Tests via clinics mobiles</t>
  </si>
  <si>
    <t>Pruebas en unidades móviles</t>
  </si>
  <si>
    <t>a1L1R00000J6DN4UAN</t>
  </si>
  <si>
    <t>IDR-00840</t>
  </si>
  <si>
    <t>a1L1R00000J6DN3UAN</t>
  </si>
  <si>
    <t>IDR-00839</t>
  </si>
  <si>
    <t>a1L1R00000J6DLAUA3</t>
  </si>
  <si>
    <t>IDR-00722</t>
  </si>
  <si>
    <t>a1L1R00000J6DL9UAN</t>
  </si>
  <si>
    <t>IDR-00721</t>
  </si>
  <si>
    <t>MCI-01072</t>
  </si>
  <si>
    <t>a1L1R00000J6DPGUA3</t>
  </si>
  <si>
    <t>IDR-00976</t>
  </si>
  <si>
    <t>HTS-5 Percentage of people newly diagnosed with HIV initiated on ART</t>
  </si>
  <si>
    <t>HTS-5 Pourcentage de personnes récemment diagnostiquées séropositives pour le VIH et qui ont commencé le TARV</t>
  </si>
  <si>
    <t>HTS-5 Porcentaje de personas con diagnóstico nuevo de VIH que han iniciado terapia antirretroviral</t>
  </si>
  <si>
    <t>a1L1R00000J6DPFUA3</t>
  </si>
  <si>
    <t>IDR-00975</t>
  </si>
  <si>
    <t>a1L1R00000J6DPEUA3</t>
  </si>
  <si>
    <t>IDR-00974</t>
  </si>
  <si>
    <t>a1L1R00000J6DPDUA3</t>
  </si>
  <si>
    <t>IDR-00973</t>
  </si>
  <si>
    <t>a1L1R00000J6DN7UAN</t>
  </si>
  <si>
    <t>IDR-00843</t>
  </si>
  <si>
    <t>a1L1R00000J6DN6UAN</t>
  </si>
  <si>
    <t>IDR-00842</t>
  </si>
  <si>
    <t>a1L1R00000J6DN5UAN</t>
  </si>
  <si>
    <t>IDR-00841</t>
  </si>
  <si>
    <t>MCI-01073</t>
  </si>
  <si>
    <t>a1L1R00000J6DPKUA3</t>
  </si>
  <si>
    <t>IDR-00980</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</si>
  <si>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</si>
  <si>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</si>
  <si>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</si>
  <si>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a1L1R00000J6DPJUA3</t>
  </si>
  <si>
    <t>IDR-00979</t>
  </si>
  <si>
    <t>a1L1R00000J6DPIUA3</t>
  </si>
  <si>
    <t>IDR-00978</t>
  </si>
  <si>
    <t>a1L1R00000J6DPHUA3</t>
  </si>
  <si>
    <t>IDR-00977</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</si>
  <si>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</si>
  <si>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</si>
  <si>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</si>
  <si>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</si>
  <si>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</si>
  <si>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</si>
  <si>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</si>
  <si>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</si>
  <si>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a1L1R00000J6DNtUAN</t>
  </si>
  <si>
    <t>IDR-00891</t>
  </si>
  <si>
    <t>Female 15-24</t>
  </si>
  <si>
    <t>Femme 15-24</t>
  </si>
  <si>
    <t>Mujeres 15-24</t>
  </si>
  <si>
    <t>a1L1R00000J6DNsUAN</t>
  </si>
  <si>
    <t>IDR-00890</t>
  </si>
  <si>
    <t>Male 15-24</t>
  </si>
  <si>
    <t>Homme 15-24</t>
  </si>
  <si>
    <t>Hombres 15-24</t>
  </si>
  <si>
    <t>a1L1R00000J6DNrUAN</t>
  </si>
  <si>
    <t>IDR-00889</t>
  </si>
  <si>
    <t>a1L1R00000J6DNqUAN</t>
  </si>
  <si>
    <t>IDR-00888</t>
  </si>
  <si>
    <t>a1L1R00000J6DNpUAN</t>
  </si>
  <si>
    <t>IDR-00887</t>
  </si>
  <si>
    <t>a1L1R00000J6DNoUAN</t>
  </si>
  <si>
    <t>IDR-00886</t>
  </si>
  <si>
    <t>a1L1R00000J6DNnUAN</t>
  </si>
  <si>
    <t>IDR-00885</t>
  </si>
  <si>
    <t>Female 15+</t>
  </si>
  <si>
    <t>Femme 15+</t>
  </si>
  <si>
    <t>Mujeres 15+</t>
  </si>
  <si>
    <t>a1L1R00000J6DNmUAN</t>
  </si>
  <si>
    <t>IDR-00884</t>
  </si>
  <si>
    <t>Male 15+</t>
  </si>
  <si>
    <t>Homme 15+</t>
  </si>
  <si>
    <t>Hombres 15+</t>
  </si>
  <si>
    <t>a1L1R00000J6DNAUA3</t>
  </si>
  <si>
    <t>IDR-00846</t>
  </si>
  <si>
    <t>a1L1R00000J6DN9UAN</t>
  </si>
  <si>
    <t>IDR-00845</t>
  </si>
  <si>
    <t>a1L1R00000J6DN8UAN</t>
  </si>
  <si>
    <t>IDR-00844</t>
  </si>
  <si>
    <t>a1L1R00000J6DLCUA3</t>
  </si>
  <si>
    <t>IDR-00724</t>
  </si>
  <si>
    <t>a1L1R00000J6DLBUA3</t>
  </si>
  <si>
    <t>IDR-00723</t>
  </si>
  <si>
    <t>MCI-01074</t>
  </si>
  <si>
    <t>a1L1R00000J6DPOUA3</t>
  </si>
  <si>
    <t>IDR-00984</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</si>
  <si>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</si>
  <si>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</si>
  <si>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</si>
  <si>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a1L1R00000J6DPNUA3</t>
  </si>
  <si>
    <t>IDR-00983</t>
  </si>
  <si>
    <t>a1L1R00000J6DPMUA3</t>
  </si>
  <si>
    <t>IDR-00982</t>
  </si>
  <si>
    <t>a1L1R00000J6DPLUA3</t>
  </si>
  <si>
    <t>IDR-00981</t>
  </si>
  <si>
    <t>a1L1R00000J6DO7UAN</t>
  </si>
  <si>
    <t>IDR-00905</t>
  </si>
  <si>
    <t>a1L1R00000J6DO1UAN</t>
  </si>
  <si>
    <t>IDR-00899</t>
  </si>
  <si>
    <t>a1L1R00000J6DO0UAN</t>
  </si>
  <si>
    <t>IDR-00898</t>
  </si>
  <si>
    <t>a1L1R00000J6DNzUAN</t>
  </si>
  <si>
    <t>IDR-00897</t>
  </si>
  <si>
    <t>a1L1R00000J6DNyUAN</t>
  </si>
  <si>
    <t>IDR-00896</t>
  </si>
  <si>
    <t>a1L1R00000J6DNxUAN</t>
  </si>
  <si>
    <t>IDR-00895</t>
  </si>
  <si>
    <t>a1L1R00000J6DNwUAN</t>
  </si>
  <si>
    <t>IDR-00894</t>
  </si>
  <si>
    <t>a1L1R00000J6DNvUAN</t>
  </si>
  <si>
    <t>IDR-00893</t>
  </si>
  <si>
    <t>a1L1R00000J6DNuUAN</t>
  </si>
  <si>
    <t>IDR-00892</t>
  </si>
  <si>
    <t>a1L1R00000J6DNDUA3</t>
  </si>
  <si>
    <t>IDR-00849</t>
  </si>
  <si>
    <t>a1L1R00000J6DNCUA3</t>
  </si>
  <si>
    <t>IDR-00848</t>
  </si>
  <si>
    <t>a1L1R00000J6DNBUA3</t>
  </si>
  <si>
    <t>IDR-00847</t>
  </si>
  <si>
    <t>MCI-01075</t>
  </si>
  <si>
    <t>a1L1R00000J6DO8UAN</t>
  </si>
  <si>
    <t>IDR-00906</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</si>
  <si>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</si>
  <si>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</si>
  <si>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</si>
  <si>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a1L1R00000J6DNFUA3</t>
  </si>
  <si>
    <t>IDR-00851</t>
  </si>
  <si>
    <t>a1L1R00000J6DNEUA3</t>
  </si>
  <si>
    <t>IDR-00850</t>
  </si>
  <si>
    <t>MCI-01076</t>
  </si>
  <si>
    <t>a1L1R00000J6DPYUA3</t>
  </si>
  <si>
    <t>IDR-00994</t>
  </si>
  <si>
    <t>TB case definition</t>
  </si>
  <si>
    <t>Bacteriologically confirmed</t>
  </si>
  <si>
    <t>Bactériologiquement confirmé</t>
  </si>
  <si>
    <t>Confirmado bacteriológicamente</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</si>
  <si>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</si>
  <si>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</si>
  <si>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</si>
  <si>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a1L1R00000J6DOZUA3</t>
  </si>
  <si>
    <t>IDR-00933</t>
  </si>
  <si>
    <t>Not documented</t>
  </si>
  <si>
    <t>non communiqué</t>
  </si>
  <si>
    <t>No documentado</t>
  </si>
  <si>
    <t>a1L1R00000J6DOYUA3</t>
  </si>
  <si>
    <t>IDR-00932</t>
  </si>
  <si>
    <t>a1L1R00000J6DOXUA3</t>
  </si>
  <si>
    <t>IDR-00931</t>
  </si>
  <si>
    <t>a1L1R00000J6DNHUA3</t>
  </si>
  <si>
    <t>IDR-00853</t>
  </si>
  <si>
    <t>a1L1R00000J6DNGUA3</t>
  </si>
  <si>
    <t>IDR-00852</t>
  </si>
  <si>
    <t>a1L1R00000J6DLEUA3</t>
  </si>
  <si>
    <t>IDR-00726</t>
  </si>
  <si>
    <t>a1L1R00000J6DLDUA3</t>
  </si>
  <si>
    <t>IDR-00725</t>
  </si>
  <si>
    <t>MCI-01077</t>
  </si>
  <si>
    <t>a1L1R00000J6DOcUAN</t>
  </si>
  <si>
    <t>IDR-00936</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</si>
  <si>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</si>
  <si>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</si>
  <si>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</si>
  <si>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a1L1R00000J6DObUAN</t>
  </si>
  <si>
    <t>IDR-00935</t>
  </si>
  <si>
    <t>a1L1R00000J6DOaUAN</t>
  </si>
  <si>
    <t>IDR-00934</t>
  </si>
  <si>
    <t>a1L1R00000J6DNJUA3</t>
  </si>
  <si>
    <t>IDR-00855</t>
  </si>
  <si>
    <t>a1L1R00000J6DNIUA3</t>
  </si>
  <si>
    <t>IDR-00854</t>
  </si>
  <si>
    <t>a1L1R00000J6DLGUA3</t>
  </si>
  <si>
    <t>IDR-00728</t>
  </si>
  <si>
    <t>a1L1R00000J6DLFUA3</t>
  </si>
  <si>
    <t>IDR-00727</t>
  </si>
  <si>
    <t>MCI-01079</t>
  </si>
  <si>
    <t>a1L1R00000J6DLJUA3</t>
  </si>
  <si>
    <t>IDR-00731</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</si>
  <si>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</si>
  <si>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</si>
  <si>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</si>
  <si>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a1L1R00000J6DLIUA3</t>
  </si>
  <si>
    <t>IDR-00730</t>
  </si>
  <si>
    <t>a1L1R00000J6DLHUA3</t>
  </si>
  <si>
    <t>IDR-00729</t>
  </si>
  <si>
    <t>MCI-01081</t>
  </si>
  <si>
    <t>a1L1R00000J6DPQUA3</t>
  </si>
  <si>
    <t>IDR-00986</t>
  </si>
  <si>
    <t>Other population group</t>
  </si>
  <si>
    <t>Autre groupe à risque cible - à préciser</t>
  </si>
  <si>
    <t>Otro grupo de riesgo objetivo [especificar]</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</si>
  <si>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</si>
  <si>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</si>
  <si>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</si>
  <si>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a1L1R00000J6DPPUA3</t>
  </si>
  <si>
    <t>IDR-00985</t>
  </si>
  <si>
    <t>Migrants/ refugees/ IDPs</t>
  </si>
  <si>
    <t>Migrants / réfugiés / personnes déplacées</t>
  </si>
  <si>
    <t>Migrantes/refugiados/personas internamente desplazadas</t>
  </si>
  <si>
    <t>MCI-01086</t>
  </si>
  <si>
    <t>a1L1R00000J6DNTUA3</t>
  </si>
  <si>
    <t>IDR-00865</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</si>
  <si>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</si>
  <si>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</si>
  <si>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</si>
  <si>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a1L1R00000J6DNSUA3</t>
  </si>
  <si>
    <t>IDR-00864</t>
  </si>
  <si>
    <t>a1L1R00000J6DLXUA3</t>
  </si>
  <si>
    <t>IDR-00745</t>
  </si>
  <si>
    <t>a1L1R00000J6DLWUA3</t>
  </si>
  <si>
    <t>IDR-00744</t>
  </si>
  <si>
    <t>MCI-01087</t>
  </si>
  <si>
    <t>a1L1R00000J6DPbUAN</t>
  </si>
  <si>
    <t>IDR-00997</t>
  </si>
  <si>
    <t>TB regimen</t>
  </si>
  <si>
    <t>Schéma thérapeutique</t>
  </si>
  <si>
    <t>Tipo de tratamiento</t>
  </si>
  <si>
    <t>Short regimens</t>
  </si>
  <si>
    <t>Régime court</t>
  </si>
  <si>
    <t>Regimenes acortados</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</si>
  <si>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</si>
  <si>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</si>
  <si>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</si>
  <si>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a1L1R00000J6DPaUAN</t>
  </si>
  <si>
    <t>IDR-00996</t>
  </si>
  <si>
    <t>New TB drugs</t>
  </si>
  <si>
    <t>Nouveau traitement TB</t>
  </si>
  <si>
    <t>Nuevas drogas anti tuberculosis</t>
  </si>
  <si>
    <t>a1L1R00000J6DNVUA3</t>
  </si>
  <si>
    <t>IDR-00867</t>
  </si>
  <si>
    <t>a1L1R00000J6DNUUA3</t>
  </si>
  <si>
    <t>IDR-00866</t>
  </si>
  <si>
    <t>a1L1R00000J6DLZUA3</t>
  </si>
  <si>
    <t>IDR-00747</t>
  </si>
  <si>
    <t>a1L1R00000J6DLYUA3</t>
  </si>
  <si>
    <t>IDR-00746</t>
  </si>
  <si>
    <t>MCI-01093</t>
  </si>
  <si>
    <t>a1L1R00000J6DPZUA3</t>
  </si>
  <si>
    <t>IDR-00995</t>
  </si>
  <si>
    <t>XDR TB</t>
  </si>
  <si>
    <t>TB-XDR</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</si>
  <si>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</si>
  <si>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</si>
  <si>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</si>
  <si>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a1L1R00000J6DOeUAN</t>
  </si>
  <si>
    <t>IDR-00938</t>
  </si>
  <si>
    <t>a1L1R00000J6DNXUA3</t>
  </si>
  <si>
    <t>IDR-00869</t>
  </si>
  <si>
    <t>a1L1R00000J6DNWUA3</t>
  </si>
  <si>
    <t>IDR-00868</t>
  </si>
  <si>
    <t>a1L1R00000J6DLbUAN</t>
  </si>
  <si>
    <t>IDR-00749</t>
  </si>
  <si>
    <t>a1L1R00000J6DLaUAN</t>
  </si>
  <si>
    <t>IDR-00748</t>
  </si>
  <si>
    <t>MCI-01094</t>
  </si>
  <si>
    <t>a1L1R00000J6DOdUAN</t>
  </si>
  <si>
    <t>IDR-00937</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</si>
  <si>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</si>
  <si>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</si>
  <si>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</si>
  <si>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a1L1R00000J6DNNUA3</t>
  </si>
  <si>
    <t>IDR-00859</t>
  </si>
  <si>
    <t>a1L1R00000J6DNMUA3</t>
  </si>
  <si>
    <t>IDR-00858</t>
  </si>
  <si>
    <t>a1L1R00000J6DLPUA3</t>
  </si>
  <si>
    <t>IDR-00737</t>
  </si>
  <si>
    <t>a1L1R00000J6DLOUA3</t>
  </si>
  <si>
    <t>IDR-00736</t>
  </si>
  <si>
    <t>a1L1R00000J6DLNUA3</t>
  </si>
  <si>
    <t>IDR-00735</t>
  </si>
  <si>
    <t>MCI-01095</t>
  </si>
  <si>
    <t>a1L1R00000J6DNPUA3</t>
  </si>
  <si>
    <t>IDR-00861</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</si>
  <si>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</si>
  <si>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</si>
  <si>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</si>
  <si>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a1L1R00000J6DNOUA3</t>
  </si>
  <si>
    <t>IDR-00860</t>
  </si>
  <si>
    <t>a1L1R00000J6DLSUA3</t>
  </si>
  <si>
    <t>IDR-00740</t>
  </si>
  <si>
    <t>a1L1R00000J6DLRUA3</t>
  </si>
  <si>
    <t>IDR-00739</t>
  </si>
  <si>
    <t>a1L1R00000J6DLQUA3</t>
  </si>
  <si>
    <t>IDR-00738</t>
  </si>
  <si>
    <t>MCI-01097</t>
  </si>
  <si>
    <t>a1L1R00000J6DPgUAN</t>
  </si>
  <si>
    <t>IDR-01002</t>
  </si>
  <si>
    <t>TPT regimen</t>
  </si>
  <si>
    <t>Régime TPT</t>
  </si>
  <si>
    <t>Régimen de TPT</t>
  </si>
  <si>
    <t>INH</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</si>
  <si>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</si>
  <si>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</si>
  <si>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</si>
  <si>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a1L1R00000J6DPfUAN</t>
  </si>
  <si>
    <t>IDR-01001</t>
  </si>
  <si>
    <t>3RH</t>
  </si>
  <si>
    <t>a1L1R00000J6DPeUAN</t>
  </si>
  <si>
    <t>IDR-01000</t>
  </si>
  <si>
    <t>RIF</t>
  </si>
  <si>
    <t>a1L1R00000J6DPdUAN</t>
  </si>
  <si>
    <t>IDR-00999</t>
  </si>
  <si>
    <t>1HP</t>
  </si>
  <si>
    <t>a1L1R00000J6DPcUAN</t>
  </si>
  <si>
    <t>IDR-00998</t>
  </si>
  <si>
    <t>3HP</t>
  </si>
  <si>
    <t>a1L1R00000J6DNRUA3</t>
  </si>
  <si>
    <t>IDR-00863</t>
  </si>
  <si>
    <t>a1L1R00000J6DNQUA3</t>
  </si>
  <si>
    <t>IDR-00862</t>
  </si>
  <si>
    <t>a1L1R00000J6DLVUA3</t>
  </si>
  <si>
    <t>IDR-00743</t>
  </si>
  <si>
    <t>a1L1R00000J6DLUUA3</t>
  </si>
  <si>
    <t>IDR-00742</t>
  </si>
  <si>
    <t>a1L1R00000J6DLTUA3</t>
  </si>
  <si>
    <t>IDR-00741</t>
  </si>
  <si>
    <t>MCI-01098</t>
  </si>
  <si>
    <t>a1L1R00000J6DPTUA3</t>
  </si>
  <si>
    <t>IDR-00989</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</si>
  <si>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</si>
  <si>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</si>
  <si>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</si>
  <si>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</si>
  <si>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</si>
  <si>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a1L1R00000J6DPRUA3</t>
  </si>
  <si>
    <t>IDR-00987</t>
  </si>
  <si>
    <t>MCI-01099</t>
  </si>
  <si>
    <t>a1L1R00000J6DPXUA3</t>
  </si>
  <si>
    <t>IDR-00993</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</si>
  <si>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</si>
  <si>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</si>
  <si>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</si>
  <si>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a1L1R00000J6DPWUA3</t>
  </si>
  <si>
    <t>IDR-00992</t>
  </si>
  <si>
    <t>School children</t>
  </si>
  <si>
    <t>Enfants scolarisés</t>
  </si>
  <si>
    <t>Niños escolar</t>
  </si>
  <si>
    <t>a1L1R00000J6DPVUA3</t>
  </si>
  <si>
    <t>IDR-00991</t>
  </si>
  <si>
    <t>Children 0-5</t>
  </si>
  <si>
    <t>Enfants &lt;5 ans</t>
  </si>
  <si>
    <t>Niños menores de 5 años</t>
  </si>
  <si>
    <t>a1L1R00000J6DPUUA3</t>
  </si>
  <si>
    <t>IDR-00990</t>
  </si>
  <si>
    <t>Pregnant women</t>
  </si>
  <si>
    <t>Femmes enceintes</t>
  </si>
  <si>
    <t>Mujeres embarazadas</t>
  </si>
  <si>
    <t>MCI-01102</t>
  </si>
  <si>
    <t>a1L1R00000J6DPvUAN</t>
  </si>
  <si>
    <t>IDR-01017</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</si>
  <si>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</si>
  <si>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</si>
  <si>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</si>
  <si>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a1L1R00000J6DPuUAN</t>
  </si>
  <si>
    <t>IDR-01016</t>
  </si>
  <si>
    <t>a1L1R00000J6DLdUAN</t>
  </si>
  <si>
    <t>IDR-00751</t>
  </si>
  <si>
    <t>a1L1R00000J6DLcUAN</t>
  </si>
  <si>
    <t>IDR-00750</t>
  </si>
  <si>
    <t>MCI-01103</t>
  </si>
  <si>
    <t>a1L1R00000J6DPxUAN</t>
  </si>
  <si>
    <t>IDR-01019</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</si>
  <si>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</si>
  <si>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</si>
  <si>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</si>
  <si>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a1L1R00000J6DPwUAN</t>
  </si>
  <si>
    <t>IDR-01018</t>
  </si>
  <si>
    <t>a1L1R00000J6DLfUAN</t>
  </si>
  <si>
    <t>IDR-00753</t>
  </si>
  <si>
    <t>a1L1R00000J6DLeUAN</t>
  </si>
  <si>
    <t>IDR-00752</t>
  </si>
  <si>
    <t>MCI-01104</t>
  </si>
  <si>
    <t>a1L1R00000J6DPzUAN</t>
  </si>
  <si>
    <t>IDR-01021</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</si>
  <si>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</si>
  <si>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</si>
  <si>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</si>
  <si>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a1L1R00000J6DPyUAN</t>
  </si>
  <si>
    <t>IDR-01020</t>
  </si>
  <si>
    <t>a1L1R00000J6DLhUAN</t>
  </si>
  <si>
    <t>IDR-00755</t>
  </si>
  <si>
    <t>a1L1R00000J6DLgUAN</t>
  </si>
  <si>
    <t>IDR-00754</t>
  </si>
  <si>
    <t>MCI-01105</t>
  </si>
  <si>
    <t>a1L1R00000J6DLjUAN</t>
  </si>
  <si>
    <t>IDR-00757</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</si>
  <si>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</si>
  <si>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</si>
  <si>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</si>
  <si>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a1L1R00000J6DLiUAN</t>
  </si>
  <si>
    <t>IDR-00756</t>
  </si>
  <si>
    <t>MCI-01106</t>
  </si>
  <si>
    <t>a1L1R00000J6DLlUAN</t>
  </si>
  <si>
    <t>IDR-00759</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</si>
  <si>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</si>
  <si>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</si>
  <si>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</si>
  <si>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a1L1R00000J6DLkUAN</t>
  </si>
  <si>
    <t>IDR-00758</t>
  </si>
  <si>
    <t>MCI-01107</t>
  </si>
  <si>
    <t>a1L1R00000J6DLnUAN</t>
  </si>
  <si>
    <t>IDR-00761</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</si>
  <si>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</si>
  <si>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</si>
  <si>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</si>
  <si>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a1L1R00000J6DLmUAN</t>
  </si>
  <si>
    <t>IDR-00760</t>
  </si>
  <si>
    <t>MCI-01108</t>
  </si>
  <si>
    <t>a1L1R00000J6DLpUAN</t>
  </si>
  <si>
    <t>IDR-00763</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</si>
  <si>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</si>
  <si>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</si>
  <si>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</si>
  <si>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a1L1R00000J6DLoUAN</t>
  </si>
  <si>
    <t>IDR-00762</t>
  </si>
  <si>
    <t>MCI-01109</t>
  </si>
  <si>
    <t>a1L1R00000J6DLrUAN</t>
  </si>
  <si>
    <t>IDR-00765</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</si>
  <si>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</si>
  <si>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</si>
  <si>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</si>
  <si>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a1L1R00000J6DLqUAN</t>
  </si>
  <si>
    <t>IDR-00764</t>
  </si>
  <si>
    <t>MCI-01110</t>
  </si>
  <si>
    <t>a1L1R00000J6DLtUAN</t>
  </si>
  <si>
    <t>IDR-00767</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</si>
  <si>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</si>
  <si>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</si>
  <si>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</si>
  <si>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a1L1R00000J6DLsUAN</t>
  </si>
  <si>
    <t>IDR-00766</t>
  </si>
  <si>
    <t>MCI-01114</t>
  </si>
  <si>
    <t>a1L1R00000J6DNZUA3</t>
  </si>
  <si>
    <t>IDR-00871</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</si>
  <si>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</si>
  <si>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</si>
  <si>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</si>
  <si>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a1L1R00000J6DNYUA3</t>
  </si>
  <si>
    <t>IDR-00870</t>
  </si>
  <si>
    <t>MCI-01120</t>
  </si>
  <si>
    <t>a1L1R00000J6DPnUAN</t>
  </si>
  <si>
    <t>IDR-01009</t>
  </si>
  <si>
    <t>Type of report</t>
  </si>
  <si>
    <t>Type de rapport</t>
  </si>
  <si>
    <t>Tipo de informe</t>
  </si>
  <si>
    <t>Integrated reports</t>
  </si>
  <si>
    <t>Rapports intégrés</t>
  </si>
  <si>
    <t>Informes integrados</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</si>
  <si>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</si>
  <si>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</si>
  <si>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</si>
  <si>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a1L1R00000J6DPmUAN</t>
  </si>
  <si>
    <t>IDR-01008</t>
  </si>
  <si>
    <t>Malaria reports</t>
  </si>
  <si>
    <t>Rapports sur le paludisme</t>
  </si>
  <si>
    <t>Informes de malaria</t>
  </si>
  <si>
    <t>a1L1R00000J6DPlUAN</t>
  </si>
  <si>
    <t>IDR-01007</t>
  </si>
  <si>
    <t>TB reports</t>
  </si>
  <si>
    <t>Rapports sur la tuberculose</t>
  </si>
  <si>
    <t>Informes de tuberculosis</t>
  </si>
  <si>
    <t>a1L1R00000J6DPkUAN</t>
  </si>
  <si>
    <t>IDR-01006</t>
  </si>
  <si>
    <t>HIV reports</t>
  </si>
  <si>
    <t>Rapports sur le VIH</t>
  </si>
  <si>
    <t>Informes de VIH</t>
  </si>
  <si>
    <t>MCI-01121</t>
  </si>
  <si>
    <t>a1L1R00000J6DPrUAN</t>
  </si>
  <si>
    <t>IDR-01013</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</si>
  <si>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</si>
  <si>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</si>
  <si>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</si>
  <si>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a1L1R00000J6DPqUAN</t>
  </si>
  <si>
    <t>IDR-01012</t>
  </si>
  <si>
    <t>a1L1R00000J6DPpUAN</t>
  </si>
  <si>
    <t>IDR-01011</t>
  </si>
  <si>
    <t>a1L1R00000J6DPoUAN</t>
  </si>
  <si>
    <t>IDR-01010</t>
  </si>
  <si>
    <t>MCI-01125</t>
  </si>
  <si>
    <t>a1L1R00000J6DOuUAN</t>
  </si>
  <si>
    <t>IDR-00954</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</si>
  <si>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</si>
  <si>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</si>
  <si>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</si>
  <si>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a1L1R00000J6DOtUAN</t>
  </si>
  <si>
    <t>IDR-00953</t>
  </si>
  <si>
    <t>a1L1R00000J6DOsUAN</t>
  </si>
  <si>
    <t>IDR-00952</t>
  </si>
  <si>
    <t>a1L1R00000J6DOrUAN</t>
  </si>
  <si>
    <t>IDR-00951</t>
  </si>
  <si>
    <t>a1L1R00000J6DOqUAN</t>
  </si>
  <si>
    <t>IDR-00950</t>
  </si>
  <si>
    <t>MCI-01126</t>
  </si>
  <si>
    <t>a1L1R00000J6DOzUAN</t>
  </si>
  <si>
    <t>IDR-00959</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</si>
  <si>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</si>
  <si>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</si>
  <si>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</si>
  <si>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a1L1R00000J6DOyUAN</t>
  </si>
  <si>
    <t>IDR-00958</t>
  </si>
  <si>
    <t>a1L1R00000J6DOxUAN</t>
  </si>
  <si>
    <t>IDR-00957</t>
  </si>
  <si>
    <t>a1L1R00000J6DOwUAN</t>
  </si>
  <si>
    <t>IDR-00956</t>
  </si>
  <si>
    <t>a1L1R00000J6DOvUAN</t>
  </si>
  <si>
    <t>IDR-00955</t>
  </si>
  <si>
    <t>MCI-01131</t>
  </si>
  <si>
    <t>a1L1R00000J6DOiUAN</t>
  </si>
  <si>
    <t>IDR-00942</t>
  </si>
  <si>
    <t>iCCM condition</t>
  </si>
  <si>
    <t>Condition PEC-C</t>
  </si>
  <si>
    <t>Condición GICC</t>
  </si>
  <si>
    <t>Malnutrition</t>
  </si>
  <si>
    <t>Malnutrición</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</si>
  <si>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</si>
  <si>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</si>
  <si>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</si>
  <si>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a1L1R00000J6DOhUAN</t>
  </si>
  <si>
    <t>IDR-00941</t>
  </si>
  <si>
    <t>Diarrhoea</t>
  </si>
  <si>
    <t>Diarrhée</t>
  </si>
  <si>
    <t>Diarrea</t>
  </si>
  <si>
    <t>a1L1R00000J6DOgUAN</t>
  </si>
  <si>
    <t>IDR-00940</t>
  </si>
  <si>
    <t>Pneumonia</t>
  </si>
  <si>
    <t>Pneumonie</t>
  </si>
  <si>
    <t>Neumonía</t>
  </si>
  <si>
    <t>a1L1R00000J6DOfUAN</t>
  </si>
  <si>
    <t>IDR-00939</t>
  </si>
  <si>
    <t>Malaria</t>
  </si>
  <si>
    <t>Paludisme</t>
  </si>
  <si>
    <t>MCI-01230</t>
  </si>
  <si>
    <t>a1L1R00000J6DNLUA3</t>
  </si>
  <si>
    <t>IDR-00857</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</si>
  <si>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</si>
  <si>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</si>
  <si>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</si>
  <si>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a1L1R00000J6DNKUA3</t>
  </si>
  <si>
    <t>IDR-00856</t>
  </si>
  <si>
    <t>a1L1R00000J6DLMUA3</t>
  </si>
  <si>
    <t>IDR-00734</t>
  </si>
  <si>
    <t>a1L1R00000J6DLLUA3</t>
  </si>
  <si>
    <t>IDR-00733</t>
  </si>
  <si>
    <t>a1L1R00000J6DLKUA3</t>
  </si>
  <si>
    <t>IDR-00732</t>
  </si>
  <si>
    <t>a1J1R000008lToKUAU</t>
  </si>
  <si>
    <t>a3z1R0000007SGD</t>
  </si>
  <si>
    <t>2020-2022</t>
  </si>
  <si>
    <t>Gender | Age,Gender,Age</t>
  </si>
  <si>
    <t>Sexe,Age</t>
  </si>
  <si>
    <t>Género,Edad</t>
  </si>
  <si>
    <t>a1J1R000008lToLUAU</t>
  </si>
  <si>
    <t>a3z1R0000007SGE</t>
  </si>
  <si>
    <t>a1J1R000008lToMUAU</t>
  </si>
  <si>
    <t>a3z1R0000007SGF</t>
  </si>
  <si>
    <t>Age,Gender,Gender | Age</t>
  </si>
  <si>
    <t>Age,Sexe</t>
  </si>
  <si>
    <t>Edad,Género</t>
  </si>
  <si>
    <t>IOR-00082</t>
  </si>
  <si>
    <t>a1J1R000008lToNUAU</t>
  </si>
  <si>
    <t>a3z1R0000007SGG</t>
  </si>
  <si>
    <t>HIV I-6 Estimated percentage of children newly infected with HIV from mother-to-child transmission among women living with HIV delivering in the past 12 months</t>
  </si>
  <si>
    <t>HIV I-6 Pourcentage estimé d’enfants ayant été nouvellement infectés par le VIH dans le cadre de la transmission de la mère à l’enfant chez les femmes séropositives ayant accouché au cours des 12 derniers mois</t>
  </si>
  <si>
    <t>HIV I-6 Porcentaje estimado de niños que contraen el VIH mediante transmisión maternoinfantil entre el número de mujeres que viven con el VIH que han dado a luz en los 12 meses anteriores</t>
  </si>
  <si>
    <t>a1J1R000008lToOUAU</t>
  </si>
  <si>
    <t>a3z1R0000007SGH</t>
  </si>
  <si>
    <t>a1J1R000008lToPUAU</t>
  </si>
  <si>
    <t>a3z1R0000007SGI</t>
  </si>
  <si>
    <t>a1J1R000008lToQUAU</t>
  </si>
  <si>
    <t>a3z1R0000007SGJ</t>
  </si>
  <si>
    <t>Gender,Age</t>
  </si>
  <si>
    <t>a1J1R000008lToRUAU</t>
  </si>
  <si>
    <t>a3z1R0000007SGK</t>
  </si>
  <si>
    <t>IOR-00087</t>
  </si>
  <si>
    <t>a1J1R000008lToSUAU</t>
  </si>
  <si>
    <t>a3z1R0000007SGL</t>
  </si>
  <si>
    <t>HIV I-12 Percentage of other vulnerable populations (specify) who are living with HIV</t>
  </si>
  <si>
    <t>HIV I-12 Pourcentage de personnes appartenant à d'autres populations vulnérables (à préciser) vivant avec le VIH</t>
  </si>
  <si>
    <t>HIV I-12 Porcentaje de otras poblaciones vulnerables (especifíquense) que viven con el VIH</t>
  </si>
  <si>
    <t>IOR-00088</t>
  </si>
  <si>
    <t>a1J1R000008lToTUAU</t>
  </si>
  <si>
    <t>a3z1R0000007SGM</t>
  </si>
  <si>
    <t>TB I-2 TB incidence rate per 100,000 population</t>
  </si>
  <si>
    <t>TB I-2 Taux d'incidence de la tuberculose pour 100,000 habitants</t>
  </si>
  <si>
    <t>TB I-2 Tasa de incidencia de la tuberculosis por 100.000 habitantes.</t>
  </si>
  <si>
    <t>IOR-00089</t>
  </si>
  <si>
    <t>a1J1R000008lToUUAU</t>
  </si>
  <si>
    <t>a3z1R0000007SGN</t>
  </si>
  <si>
    <t>TB I-3⁽ᴹ⁾ TB mortality rate per 100,000 population</t>
  </si>
  <si>
    <t>TB I-3⁽ᴹ⁾ Taux de mortalité par tuberculose pour 100,000 habitants</t>
  </si>
  <si>
    <t>TB I-3⁽ᴹ⁾ Tasa de mortalidad de la tuberculosis por 100.000 habitantes</t>
  </si>
  <si>
    <t>IOR-00090</t>
  </si>
  <si>
    <t>a1J1R000008lToVUAU</t>
  </si>
  <si>
    <t>a3z1R0000007SGO</t>
  </si>
  <si>
    <t>TB I-4⁽ᴹ⁾ RR-TB and/or MDR-TB prevalence among new TB patients: Proportion of new TB cases with RR-TB and/or MDR-TB</t>
  </si>
  <si>
    <t>TB I-4⁽ᴹ⁾ Prévalence de la tuberculose résistante à la rifampicine et/ou de la tuberculose multirésistante chez les nouveaux patients atteints de tuberculose : proportion de nouveaux cas de tuberculose avec TB-RR et/ou TB-MR</t>
  </si>
  <si>
    <t>TB I-4⁽ᴹ⁾ Prevalencia de la tuberculosis resistente a la rifampicina y/o la tuberculosis multirresistente en pacientes nuevos de la enfermedad: Proporción de nuevos casos de tuberculosis resistente a la rifampicina y/o tuberculosis multirresistente.</t>
  </si>
  <si>
    <t>IOR-00091</t>
  </si>
  <si>
    <t>a1J1R000008lToWUAU</t>
  </si>
  <si>
    <t>a3z1R0000007SGP</t>
  </si>
  <si>
    <t>TB/HIV I-1 TB/HIV mortality rate per 100,000 population</t>
  </si>
  <si>
    <t>TB/HIV I-1 Taux de mortalité par tuberculose/VIH (pour 100 000 habitants)</t>
  </si>
  <si>
    <t>TB/HIV I-1 Tasa de mortalidad de la TB y el VIH por 100.000 habitantes</t>
  </si>
  <si>
    <t>a3z1R0000007SGQ</t>
  </si>
  <si>
    <t>a1J1R000008lTofUAE</t>
  </si>
  <si>
    <t>a3z1R0000007SGZ</t>
  </si>
  <si>
    <t>a1J1R000008lTogUAE</t>
  </si>
  <si>
    <t>a3z1R0000007SGa</t>
  </si>
  <si>
    <t>a1J1R000008lTohUAE</t>
  </si>
  <si>
    <t>a3z1R0000007SGb</t>
  </si>
  <si>
    <t>a1J1R000008lToiUAE</t>
  </si>
  <si>
    <t>a3z1R0000007SGc</t>
  </si>
  <si>
    <t>a1J1R000008lTojUAE</t>
  </si>
  <si>
    <t>a3z1R0000007SGd</t>
  </si>
  <si>
    <t>a1J1R000008lTokUAE</t>
  </si>
  <si>
    <t>a3z1R0000007SGe</t>
  </si>
  <si>
    <t>IOR-00106</t>
  </si>
  <si>
    <t>a1J1R000008lTolUAE</t>
  </si>
  <si>
    <t>a3z1R0000007SGf</t>
  </si>
  <si>
    <t>HIV O-7 Percentage of other vulnerable populations who report the use of a condom at last sexual intercourse</t>
  </si>
  <si>
    <t>HIV O-7 Pourcentage de personnes appartenant à d'autres populations vulnérables qui indiquent avoir utilisé un préservatif lors de leur dernier rapport sexuel</t>
  </si>
  <si>
    <t>HIV O-7 Porcentaje de otras poblaciones vulnerables que afirman haber utilizado preservativo en su última relación sexual</t>
  </si>
  <si>
    <t>a1J1R000008lTomUAE</t>
  </si>
  <si>
    <t>a3z1R0000007SGg</t>
  </si>
  <si>
    <t>a1J1R000008lTonUAE</t>
  </si>
  <si>
    <t>a3z1R0000007SGh</t>
  </si>
  <si>
    <t>a1J1R000008lTooUAE</t>
  </si>
  <si>
    <t>a3z1R0000007SGi</t>
  </si>
  <si>
    <t>IOR-00110</t>
  </si>
  <si>
    <t>a1J1R000008lTopUAE</t>
  </si>
  <si>
    <t>a3z1R0000007SGj</t>
  </si>
  <si>
    <t>HIV O-14 Percentage of women and men aged 15–49 who report discriminatory attitudes towards people living with HIV</t>
  </si>
  <si>
    <t>HIV O-14 Pourcentage de femmes et d’hommes de 15 à 49 ans qui font état d’attitudes discriminatoires à l’encontre des personnes vivant avec le VIH</t>
  </si>
  <si>
    <t>HIV O-14 Porcentaje de mujeres y hombres de 15 a 49 años que informan de actitudes discriminatorias hacia las personas que viven con el VIH</t>
  </si>
  <si>
    <t>IOR-00111</t>
  </si>
  <si>
    <t>a1J1R000008lToqUAE</t>
  </si>
  <si>
    <t>a3z1R0000007SGk</t>
  </si>
  <si>
    <t>HIV O-15 Percentage of people living with HIV who report experiences of HIV-related discrimination in health-care settings</t>
  </si>
  <si>
    <t>HIV O-15 Pourcentage de personnes vivant avec le VIH déclarant avoir été victimes de discrimination liée au VIH dans les services de soins de santé</t>
  </si>
  <si>
    <t>HIV O-15 Porcentaje de personas que viven con el VIH que afirman haber experimentado discriminación relacionada con el VIH en el ámbito de servicios de salud</t>
  </si>
  <si>
    <t>a1J1R000008lTorUAE</t>
  </si>
  <si>
    <t>a3z1R0000007SGl</t>
  </si>
  <si>
    <t>a1J1R000008lTosUAE</t>
  </si>
  <si>
    <t>a3z1R0000007SGm</t>
  </si>
  <si>
    <t>a1J1R000008lTotUAE</t>
  </si>
  <si>
    <t>a3z1R0000007SGn</t>
  </si>
  <si>
    <t>a1J1R000008lTouUAE</t>
  </si>
  <si>
    <t>a3z1R0000007SGo</t>
  </si>
  <si>
    <t>a1J1R000008lTovUAE</t>
  </si>
  <si>
    <t>a3z1R0000007SGp</t>
  </si>
  <si>
    <t>Target / Risk population group,Gender,Age</t>
  </si>
  <si>
    <t>Groupe à risque cible,Sexe,Age</t>
  </si>
  <si>
    <t>Grupo de riesgo objetivo,Género,Edad</t>
  </si>
  <si>
    <t>IOR-00117</t>
  </si>
  <si>
    <t>a1J1R000008lTowUAE</t>
  </si>
  <si>
    <t>a3z1R0000007SGq</t>
  </si>
  <si>
    <t>HIV O-18 Percentage of women aged 15-24 who had 2+ partners in the past 12 months</t>
  </si>
  <si>
    <t>HIV O-18 Pourcentage de femmes entre 15 et 24 ans qui ont eu plus de 2 partenaires au cours des 12 derniers mois</t>
  </si>
  <si>
    <t>HIV O-18 Porcentajes de mujeres de 15 a 24 años de edad que han tenido dos o más parejas en los últimos 12 meses</t>
  </si>
  <si>
    <t>IOR-00118</t>
  </si>
  <si>
    <t>a1J1R000008lToxUAE</t>
  </si>
  <si>
    <t>a3z1R0000007SGr</t>
  </si>
  <si>
    <t>HIV O-19 Percentage of women aged 15-19 who have had a live birth or are currently pregnant</t>
  </si>
  <si>
    <t>HIV O-19 Pourcentage de femmes entre 15 et 19 ans enceintes ou ayant donné naissance à un enfant vivant</t>
  </si>
  <si>
    <t>HIV O-19 Porcentaje de mujeres de 15 a 19 años de edad que han tenido un niño nacido vivo o que están embarazadas actualmente</t>
  </si>
  <si>
    <t>IOR-00119</t>
  </si>
  <si>
    <t>a1J1R000008lToyUAE</t>
  </si>
  <si>
    <t>a3z1R0000007SGs</t>
  </si>
  <si>
    <t>HIV O-20 Percentage of females aged 15-24 who dropped out of school in the last year</t>
  </si>
  <si>
    <t>HIV O-20 Pourcentage de femmes entre 15 et 24 ans ayant abandonné l’école durant la dernière année</t>
  </si>
  <si>
    <t>HIV O-20 Porcentaje de mujeres de 15 a 24 años de edad que abandonaron los estudios en el último año</t>
  </si>
  <si>
    <t>a1J1R000008lTozUAE</t>
  </si>
  <si>
    <t>a3z1R0000007SGt</t>
  </si>
  <si>
    <t>Age,Treatment outcome,Gender</t>
  </si>
  <si>
    <t>Age,Résultat du traitement,Sexe</t>
  </si>
  <si>
    <t>Edad,Resultados de tratamiento,Género</t>
  </si>
  <si>
    <t>IOR-00121</t>
  </si>
  <si>
    <t>a1J1R000008lTp0UAE</t>
  </si>
  <si>
    <t>a3z1R0000007SGu</t>
  </si>
  <si>
    <t>TB O-1a Case notification rate of all forms of TB per 100,000 population - bacteriologically confirmed plus clinically diagnosed, new and relapse cases</t>
  </si>
  <si>
    <t>TB O-1a Taux de déclaration des cas de tuberculose (toutes formes confondues) pour 100 000 habitants – bactériologiquement confirmés et cliniquement diagnostiqués, nouveaux cas et récidives</t>
  </si>
  <si>
    <t>TB O-1a Tasa de notificación de casos de todas las  forma de tuberculosis por cada 100.000 habitantes, confirmados bacteriológicamente y con diagnóstico clínico, casos nuevos y recaídas.</t>
  </si>
  <si>
    <t>IOR-00122</t>
  </si>
  <si>
    <t>a1J1R000008lTp1UAE</t>
  </si>
  <si>
    <t>a3z1R0000007SGv</t>
  </si>
  <si>
    <t>TB O-2a Treatment success rate of all forms of TB - bacteriologically confirmed plus clinically diagnosed, new and relapse cases</t>
  </si>
  <si>
    <t>TB O-2a Taux de succès thérapeutique, toutes formes de tuberculose confondues - bactériologiquement confirmés et cliniquement diagnostiqués, nouveaux cas et récidives</t>
  </si>
  <si>
    <t>TB O-2a Tasa de éxito del tratamiento en todas las formas de tuberculosis, confirmada bacteriológicamente y con diagnóstico clínico, casos nuevos y recaídas.</t>
  </si>
  <si>
    <t>IOR-00123</t>
  </si>
  <si>
    <t>a1J1R000008lTp2UAE</t>
  </si>
  <si>
    <t>a3z1R0000007SGy</t>
  </si>
  <si>
    <t>TB O-6 Notification of RR-TB and/or MDR-TB cases – Percentage of notified cases of bacteriologically confirmed, drug resistant RR-TB and/or MDR-TB as a proportion of all estimated RR-TB and/or MDR-TB cases</t>
  </si>
  <si>
    <t>TB O-6 Déclaration des cas TB-RR et/ou TB-MR – Pourcentage de cas notifiés bactériologiquement confirmés, résistants aux médicaments TB-RR et/ou TB-MR en tant que proportion de tous les cas estimés TB-RR et/ou TB-MR</t>
  </si>
  <si>
    <t>TB O-6 Notificación de casos de tuberculosis resistente a la rifampicina (TB-RR) y/o tuberculosis multirresistente (TB-MR): porcentaje de casos notificados de TB-RR y/o TB-MR confirmados bacteriológicamente como proporción de todos los casos estimados de TB-RR y/o TB-MR.</t>
  </si>
  <si>
    <t>IOR-00124</t>
  </si>
  <si>
    <t>a1J1R000008lTp3UAE</t>
  </si>
  <si>
    <t>a3z1R0000007SGw</t>
  </si>
  <si>
    <t>TB O-4⁽ᴹ⁾ Treatment success rate of RR TB and/or MDR-TB: Percentage of cases with RR and/or MDR-TB successfully treated</t>
  </si>
  <si>
    <t>TB O-4⁽ᴹ⁾ Taux de succès therapeutique de TB-RR et/ou TB-MR : pourcentage de cas de tuberculose résistante à la rifampicine et/ou tuberculose multirésistante traités avec succès</t>
  </si>
  <si>
    <t>TB O-4⁽ᴹ⁾ Tasa de éxito del tratamiento de los casos de tuberculosis resistente a la rifampicina y/o tuberculosis multirresistente: Porcentaje de casos de tuberculosis resistente a la rifampicina y/o tuberculosis multirresistente tratados con éxito.</t>
  </si>
  <si>
    <t>IOR-00125</t>
  </si>
  <si>
    <t>a1J1R000008lTp4UAE</t>
  </si>
  <si>
    <t>a3z1R0000007SGx</t>
  </si>
  <si>
    <t>TB O-5⁽ᴹ⁾ TB treatment coverage: Percentage of new and relapse cases that were notified and treated among the estimated number of incident TB cases in the same year (all form of TB - bacteriologically confirmed plus clinically diagnosed)</t>
  </si>
  <si>
    <t>TB O-5⁽ᴹ⁾ Couverture des traitements antituberculeux : pourcentage de nouveaux cas et de récidives déclarés et traités dans le nombre de cas incidents estimé la même année (toutes formes de la maladie confondues – cas confirmés bactériologiquement plus cas diagnostiqués cliniquement)</t>
  </si>
  <si>
    <t>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t>
  </si>
  <si>
    <t>a1J1R000008lTp5UAE</t>
  </si>
  <si>
    <t>a3z1R0000007SGz</t>
  </si>
  <si>
    <t>a1J1R000008lTp6UAE</t>
  </si>
  <si>
    <t>a3z1R0000007SH0</t>
  </si>
  <si>
    <t>a1J1R000008lTp7UAE</t>
  </si>
  <si>
    <t>a3z1R0000007SH1</t>
  </si>
  <si>
    <t>IOR-00137</t>
  </si>
  <si>
    <t>a1J1R000008lTpGUAU</t>
  </si>
  <si>
    <t>a3z1R0000007SHA</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</si>
  <si>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</si>
  <si>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</si>
  <si>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</si>
  <si>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a3z1R0000007SHM</t>
  </si>
  <si>
    <t>a3z1R0000007SHS</t>
  </si>
  <si>
    <t>IOR-00138</t>
  </si>
  <si>
    <t>a1J1R000008lTpHUAU</t>
  </si>
  <si>
    <t>a3z1R0000007SHB</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</si>
  <si>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</si>
  <si>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</si>
  <si>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</si>
  <si>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a3z1R0000007SHN</t>
  </si>
  <si>
    <t>a3z1R0000007SHT</t>
  </si>
  <si>
    <t>IOR-00139</t>
  </si>
  <si>
    <t>a1J1R000008lTpIUAU</t>
  </si>
  <si>
    <t>a3z1R0000007SHC</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</si>
  <si>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</si>
  <si>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</si>
  <si>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</si>
  <si>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a3z1R0000007SHO</t>
  </si>
  <si>
    <t>a3z1R0000007SHU</t>
  </si>
  <si>
    <t>a1J1R000008lTpJUAU</t>
  </si>
  <si>
    <t>a3z1R0000007SHD</t>
  </si>
  <si>
    <t>a3z1R0000007SHP</t>
  </si>
  <si>
    <t>a3z1R0000007SHV</t>
  </si>
  <si>
    <t>a1J1R000008lTpKUAU</t>
  </si>
  <si>
    <t>a3z1R0000007SHE</t>
  </si>
  <si>
    <t>a3z1R0000007SHQ</t>
  </si>
  <si>
    <t>a3z1R0000007SHW</t>
  </si>
  <si>
    <t>IOR-00142</t>
  </si>
  <si>
    <t>a1J1R000008lTpLUAU</t>
  </si>
  <si>
    <t>a3z1R0000007SHF</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</si>
  <si>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</si>
  <si>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</si>
  <si>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</si>
  <si>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a3z1R0000007SHR</t>
  </si>
  <si>
    <t>a3z1R0000007SHX</t>
  </si>
  <si>
    <t>COVID-19</t>
  </si>
  <si>
    <t>MCI-01236</t>
  </si>
  <si>
    <t>a3z3p000002zSUkAAM</t>
  </si>
  <si>
    <t>a1O3p000003OASdEAO</t>
  </si>
  <si>
    <t>a3z3p000002zSUk</t>
  </si>
  <si>
    <t>a3z3p000002zSUfAAM</t>
  </si>
  <si>
    <t>a3z3p000002zSUf</t>
  </si>
  <si>
    <t>a3z3p000002zSUVAA2</t>
  </si>
  <si>
    <t>a3z3p000002zSUV</t>
  </si>
  <si>
    <t>Differentiated HIV Testing Services</t>
  </si>
  <si>
    <t>a3z1R0000007SFOQA2</t>
  </si>
  <si>
    <t>a3z1R0000007SFO</t>
  </si>
  <si>
    <t>Services de dépistage différencié du VIH</t>
  </si>
  <si>
    <t>Servicios diferenciados de diagnóstico del VIH</t>
  </si>
  <si>
    <t>MDR-TB</t>
  </si>
  <si>
    <t>a3z1R0000007SFSQA2</t>
  </si>
  <si>
    <t>a3z1R0000007SFS</t>
  </si>
  <si>
    <t>Tuberculose multirésistante</t>
  </si>
  <si>
    <t>Tuberculosis multirresistente</t>
  </si>
  <si>
    <t>Payment for results</t>
  </si>
  <si>
    <t>a3z1R0000007SFiQAM</t>
  </si>
  <si>
    <t>a3z1R0000007SFi</t>
  </si>
  <si>
    <t>Financement basé sur les résultats</t>
  </si>
  <si>
    <t>Financiación basada en los resultados</t>
  </si>
  <si>
    <t>a3z1R0000007SG2QAM</t>
  </si>
  <si>
    <t>a3z1R0000007SG2</t>
  </si>
  <si>
    <t>a3z1R0000007SGCQA2</t>
  </si>
  <si>
    <t>a3z1R0000007SGC</t>
  </si>
  <si>
    <t>PMTCT</t>
  </si>
  <si>
    <t>a3z1R0000007SFNQA2</t>
  </si>
  <si>
    <t>a3z1R0000007SFN</t>
  </si>
  <si>
    <t>PTME</t>
  </si>
  <si>
    <t>PTMI</t>
  </si>
  <si>
    <t>Prevention</t>
  </si>
  <si>
    <t>a3z1R0000007SFMQA2</t>
  </si>
  <si>
    <t>a3z1R0000007SFM</t>
  </si>
  <si>
    <t>Prévention</t>
  </si>
  <si>
    <t>Prevención</t>
  </si>
  <si>
    <t>Program management</t>
  </si>
  <si>
    <t>MCI-00660</t>
  </si>
  <si>
    <t>a3z1R0000007SFZQA2</t>
  </si>
  <si>
    <t>a1O1R000006c5MlUAI</t>
  </si>
  <si>
    <t>a3z1R0000007SFZ</t>
  </si>
  <si>
    <t>Gestion de programme</t>
  </si>
  <si>
    <t>Gestión de programas</t>
  </si>
  <si>
    <t>a3z1R0000007SFtQAM</t>
  </si>
  <si>
    <t>a3z1R0000007SFt</t>
  </si>
  <si>
    <t>a3z1R0000007SG3QAM</t>
  </si>
  <si>
    <t>a3z1R0000007SG3</t>
  </si>
  <si>
    <t>Reducing human rights-related barriers to HIV/TB services</t>
  </si>
  <si>
    <t>MCI-00652</t>
  </si>
  <si>
    <t>a3z1R0000007SFQQA2</t>
  </si>
  <si>
    <t>a1O1R000006c5MdUAI</t>
  </si>
  <si>
    <t>a3z1R0000007SFQ</t>
  </si>
  <si>
    <t>Réduction des obstacles liés aux droits humains qui entravent l’accès aux services de lutte contre le VIH/la tuberculose</t>
  </si>
  <si>
    <t>Reducción de las barreras relacionadas con los derechos humanos para acceder a los servicios del VIH y la tuberculosis</t>
  </si>
  <si>
    <t>Removing human rights and gender related barriers to TB services</t>
  </si>
  <si>
    <t>MCI-00655</t>
  </si>
  <si>
    <t>a3z1R0000007SFTQA2</t>
  </si>
  <si>
    <t>a1O1R000006c5MgUAI</t>
  </si>
  <si>
    <t>a3z1R0000007SFT</t>
  </si>
  <si>
    <t>Élimination des obstacles liés aux droits humains et au genre qui entravent l’accès aux services antituberculeux</t>
  </si>
  <si>
    <t>Eliminar las barreras relacionadas con los derechos humanos y el género que dificultan el acceso a los servicios de tuberculosis</t>
  </si>
  <si>
    <t>RSSH: Community systems strengthening</t>
  </si>
  <si>
    <t>MCI-00667</t>
  </si>
  <si>
    <t>a3z1R0000007SFgQAM</t>
  </si>
  <si>
    <t>a1O1R000006c5MsUAI</t>
  </si>
  <si>
    <t>a3z1R0000007SFg</t>
  </si>
  <si>
    <t>SRPS : Renforcement des systèmes communautaires</t>
  </si>
  <si>
    <t>SSRS: fortalecimiento de los sistemas comunitarios</t>
  </si>
  <si>
    <t>a3z1R0000007SG0QAM</t>
  </si>
  <si>
    <t>a3z1R0000007SG0</t>
  </si>
  <si>
    <t>a3z1R0000007SGAQA2</t>
  </si>
  <si>
    <t>a3z1R0000007SGA</t>
  </si>
  <si>
    <t>RSSH: Financial management systems</t>
  </si>
  <si>
    <t>MCI-00665</t>
  </si>
  <si>
    <t>a3z1R0000007SFeQAM</t>
  </si>
  <si>
    <t>a1O1R000006c5MqUAI</t>
  </si>
  <si>
    <t>a3z1R0000007SFe</t>
  </si>
  <si>
    <t>SRPS : Systèmes de gestion financière</t>
  </si>
  <si>
    <t>SSRS: Sistemas de gestión financiera</t>
  </si>
  <si>
    <t>a3z1R0000007SFyQAM</t>
  </si>
  <si>
    <t>a3z1R0000007SFy</t>
  </si>
  <si>
    <t>a3z1R0000007SG8QAM</t>
  </si>
  <si>
    <t>a3z1R0000007SG8</t>
  </si>
  <si>
    <t>RSSH: Health management information systems and M&amp;E</t>
  </si>
  <si>
    <t>MCI-00662</t>
  </si>
  <si>
    <t>a3z1R0000007SFbQAM</t>
  </si>
  <si>
    <t>a1O1R000006c5MnUAI</t>
  </si>
  <si>
    <t>a3z1R0000007SFb</t>
  </si>
  <si>
    <t>SRPS : Système de gestion de l’information sanitaire et suivi et évaluation</t>
  </si>
  <si>
    <t>SSRS: Sistemas de información de gestión de salud y M&amp;E (Monitoria y Evaluación)</t>
  </si>
  <si>
    <t>a3z1R0000007SFvQAM</t>
  </si>
  <si>
    <t>a3z1R0000007SFv</t>
  </si>
  <si>
    <t>a3z1R0000007SG5QAM</t>
  </si>
  <si>
    <t>a3z1R0000007SG5</t>
  </si>
  <si>
    <t>RSSH: Health products management systems</t>
  </si>
  <si>
    <t>MCI-00661</t>
  </si>
  <si>
    <t>a3z1R0000007SFaQAM</t>
  </si>
  <si>
    <t>a1O1R000006c5MmUAI</t>
  </si>
  <si>
    <t>a3z1R0000007SFa</t>
  </si>
  <si>
    <t>SRPS: Systèmes de gestion des produits de santé</t>
  </si>
  <si>
    <t>SSRS: sistemas de gestión de productos para la salud</t>
  </si>
  <si>
    <t>a3z1R0000007SFuQAM</t>
  </si>
  <si>
    <t>a3z1R0000007SFu</t>
  </si>
  <si>
    <t>a3z1R0000007SG4QAM</t>
  </si>
  <si>
    <t>a3z1R0000007SG4</t>
  </si>
  <si>
    <t>RSSH: Health sector governance and planning</t>
  </si>
  <si>
    <t>MCI-00666</t>
  </si>
  <si>
    <t>a3z1R0000007SFfQAM</t>
  </si>
  <si>
    <t>a1O1R000006c5MrUAI</t>
  </si>
  <si>
    <t>a3z1R0000007SFf</t>
  </si>
  <si>
    <t>SRPS : Gouvernance et planification du secteur de la santé</t>
  </si>
  <si>
    <t>SSRS: gobernanza y planificación del sector de la salud</t>
  </si>
  <si>
    <t>a3z1R0000007SFzQAM</t>
  </si>
  <si>
    <t>a3z1R0000007SFz</t>
  </si>
  <si>
    <t>a3z1R0000007SG9QAM</t>
  </si>
  <si>
    <t>a3z1R0000007SG9</t>
  </si>
  <si>
    <t>RSSH: Human resources for health, including community health workers</t>
  </si>
  <si>
    <t>MCI-00663</t>
  </si>
  <si>
    <t>a3z1R0000007SFcQAM</t>
  </si>
  <si>
    <t>a1O1R000006c5MoUAI</t>
  </si>
  <si>
    <t>a3z1R0000007SFc</t>
  </si>
  <si>
    <t>SRPS : Ressources humaines pour la santé, y compris agents de santé communautaires</t>
  </si>
  <si>
    <t>SSRS: recursos humanos para la salud  incluidos los trabajadores de la salud comunitarios</t>
  </si>
  <si>
    <t>a3z1R0000007SFwQAM</t>
  </si>
  <si>
    <t>a3z1R0000007SFw</t>
  </si>
  <si>
    <t>a3z1R0000007SG6QAM</t>
  </si>
  <si>
    <t>a3z1R0000007SG6</t>
  </si>
  <si>
    <t>RSSH: Integrated service delivery and quality improvement</t>
  </si>
  <si>
    <t>MCI-00664</t>
  </si>
  <si>
    <t>a3z1R0000007SFdQAM</t>
  </si>
  <si>
    <t>a1O1R000006c5MpUAI</t>
  </si>
  <si>
    <t>a3z1R0000007SFd</t>
  </si>
  <si>
    <t>SRPS : Fourniture de service intégré et amélioration de la qualité</t>
  </si>
  <si>
    <t>SSRS: mejora de la calidad y la prestación de servicios integrados</t>
  </si>
  <si>
    <t>a3z1R0000007SFxQAM</t>
  </si>
  <si>
    <t>a3z1R0000007SFx</t>
  </si>
  <si>
    <t>a3z1R0000007SG7QAM</t>
  </si>
  <si>
    <t>a3z1R0000007SG7</t>
  </si>
  <si>
    <t>RSSH: Laboratory systems</t>
  </si>
  <si>
    <t>MCI-00668</t>
  </si>
  <si>
    <t>a3z1R0000007SFhQAM</t>
  </si>
  <si>
    <t>a1O1R000006c5MtUAI</t>
  </si>
  <si>
    <t>a3z1R0000007SFh</t>
  </si>
  <si>
    <t>SRPS : Systèmes de laboratoire</t>
  </si>
  <si>
    <t>SSRS: sistemas de laboratorio</t>
  </si>
  <si>
    <t>a3z1R0000007SG1QAM</t>
  </si>
  <si>
    <t>a3z1R0000007SG1</t>
  </si>
  <si>
    <t>a3z1R0000007SGBQA2</t>
  </si>
  <si>
    <t>a3z1R0000007SGB</t>
  </si>
  <si>
    <t>TB care and prevention</t>
  </si>
  <si>
    <t>a3z1R0000007SFRQA2</t>
  </si>
  <si>
    <t>a3z1R0000007SFR</t>
  </si>
  <si>
    <t>Prise en charge et prévention de la tuberculose</t>
  </si>
  <si>
    <t>Atención y prevención de la tuberculosis</t>
  </si>
  <si>
    <t>TB/HIV</t>
  </si>
  <si>
    <t>MCI-00656</t>
  </si>
  <si>
    <t>a3z1R0000007SFUQA2</t>
  </si>
  <si>
    <t>a1O1R000006c5MhUAI</t>
  </si>
  <si>
    <t>a3z1R0000007SFU</t>
  </si>
  <si>
    <t>Tuberculose/VIH</t>
  </si>
  <si>
    <t>TB/VIH</t>
  </si>
  <si>
    <t>a3z1R0000007SFVQA2</t>
  </si>
  <si>
    <t>a3z1R0000007SFV</t>
  </si>
  <si>
    <t>Treatment, care and support</t>
  </si>
  <si>
    <t>a3z1R0000007SFPQA2</t>
  </si>
  <si>
    <t>a3z1R0000007SFP</t>
  </si>
  <si>
    <t>Traitement, prise en charge et soutien</t>
  </si>
  <si>
    <t>Tratamiento, atención y apoyo</t>
  </si>
  <si>
    <t>a1O1R000006c5nXUAQ</t>
  </si>
  <si>
    <t>true</t>
  </si>
  <si>
    <t>Non cumulative;Non cumulative – other;Non cumulative - special</t>
  </si>
  <si>
    <t>a1O1R000006c5nYUAQ</t>
  </si>
  <si>
    <t>a1O1R000006c5nZUAQ</t>
  </si>
  <si>
    <t>a1O1R000006c5naUAA</t>
  </si>
  <si>
    <t>Age,Gender</t>
  </si>
  <si>
    <t>MCI-01049</t>
  </si>
  <si>
    <t>a1O1R000006c5nbUAA</t>
  </si>
  <si>
    <t>KP-1e Percentage of other vulnerable populations reached with HIV prevention programs - defined package of services</t>
  </si>
  <si>
    <t>KP-1e Pourcentage de personnes ayant bénéficié de programmes préventifs de lutte contre le VIH parmi les autres populations vulnérables (paquet de services définis)</t>
  </si>
  <si>
    <t>KP-1e Porcentaje de otras poblaciones vulnerables alcanzados por programas de prevención del VIH - paquete definido de servicios</t>
  </si>
  <si>
    <t>MCI-01050</t>
  </si>
  <si>
    <t>a1O1R000006c5ncUAA</t>
  </si>
  <si>
    <t>KP-1f⁽ᴹ⁾ Number of people in prisons and other closed settings reached with HIV prevention programs - defined package of services</t>
  </si>
  <si>
    <t>KP-1f⁽ᴹ⁾ Pourcentage de personnes en détention ou se trouvant dans d’autres lieux fermés ayant bénéficié de programmes préventifs de lutte contre le VIH (paquet de services définis)</t>
  </si>
  <si>
    <t>KP-1f⁽ᴹ⁾ Número de personas privadas de libertad en centros penitenciarios y otros lugares de reclusión alcanzados por programas de prevención del VIH - paquete definido de servicios</t>
  </si>
  <si>
    <t>MCI-01051</t>
  </si>
  <si>
    <t>a1O1R000006c5ndUAA</t>
  </si>
  <si>
    <t>KP-4 Number of needles and syringes distributed per person who injects drugs per year by needle and syringe programs</t>
  </si>
  <si>
    <t>KP-4 Nombre d’aiguilles et de seringues distribuées par les personnes qui s'injectent des drogues, par an et lors de programmes d’échange d’aiguilles et de seringues</t>
  </si>
  <si>
    <t>KP-4 Número de agujas y jeringuillas distribuidas al año por persona que consume drogas inyectables a través de programas de agujas y jeringuillas</t>
  </si>
  <si>
    <t>MCI-01052</t>
  </si>
  <si>
    <t>a1O1R000006c5neUAA</t>
  </si>
  <si>
    <t>KP-5 Percentage of individuals receiving Opioid Substitution Therapy who received treatment for at least 6 months</t>
  </si>
  <si>
    <t>KP-5 Pourcentage d’individus recevant un traitement de substitution aux opioïdes depuis au moins 6 mois</t>
  </si>
  <si>
    <t>KP-5 Porcentaje de personas en terapia de sustitución de opiáceos que recibieron tratamiento durante al menos 6 meses</t>
  </si>
  <si>
    <t>MCI-01053</t>
  </si>
  <si>
    <t>a1O1R000006c5nfUAA</t>
  </si>
  <si>
    <t>KP-6a Percentage of eligible men who have sex with men who initiated oral antiretroviral PrEP during the reporting period</t>
  </si>
  <si>
    <t>KP-6a Pourcentage d’hommes éligibles ayant des rapports sexuels avec des hommes ayant commencé un traitement antirétroviral oral par PrEP durant la période de rapportage</t>
  </si>
  <si>
    <t>KP-6a Porcentaje de HSH elegibles que iniciaron PrEP durante el período de reporte</t>
  </si>
  <si>
    <t>MCI-01054</t>
  </si>
  <si>
    <t>a1O1R000006c5ngUAA</t>
  </si>
  <si>
    <t>KP-6b Percentage of eligible transgender people who initiated oral antiretroviral PrEP during the reporting period</t>
  </si>
  <si>
    <t>KP-6b Pourcentage de personnes transgenres éligibles ayant commencé un traitement antirétroviral oral par PrEP durant la période de rapportage</t>
  </si>
  <si>
    <t>KP-6b Porcentaje de personas transgénero elegibles que iniciaron PrEP durante el período de reporte</t>
  </si>
  <si>
    <t>MCI-01055</t>
  </si>
  <si>
    <t>a1O1R000006c5nhUAA</t>
  </si>
  <si>
    <t>KP-6c Percentage of eligible sex workers who initiated oral antiretroviral PrEP during the reporting period</t>
  </si>
  <si>
    <t>KP-6c Pourcentage de professionnels du sexe éligibles ayant commencé un traitement antirétroviral oral par PrEP durant la période de rapportage</t>
  </si>
  <si>
    <t>KP-6c Porcentaje de trabajadores sexuales elegibles que iniciaron PrEP durante el período de reporte</t>
  </si>
  <si>
    <t>MCI-01044</t>
  </si>
  <si>
    <t>a1O1R000006c5nWUAQ</t>
  </si>
  <si>
    <t>MEN-1 Number of medical male circumcisions performed according to national standards</t>
  </si>
  <si>
    <t>MEN-1 Nombre de circoncisions masculines médicales pratiquées selon les normes nationales</t>
  </si>
  <si>
    <t>MEN-1 Número de circuncisiones masculinas médicas realizadas de conformidad con las normas nacionales</t>
  </si>
  <si>
    <t>a1O1R000006c5niUAA</t>
  </si>
  <si>
    <t>a1O1R000006c5njUAA</t>
  </si>
  <si>
    <t>a1O1R000006c5nkUAA</t>
  </si>
  <si>
    <t>MCI-01059</t>
  </si>
  <si>
    <t>a1O1R000006c5nlUAA</t>
  </si>
  <si>
    <t>YP-4 Percentage of eligible adolescent girls and young women who initiated oral antiretroviral PrEP during the reporting period</t>
  </si>
  <si>
    <t>YP-4 Pourcentage d’adolescentes et de jeunes femmes éligibles ayant commencé un traitement antirétroviral oral par PrEP durant la période de rapportage</t>
  </si>
  <si>
    <t>YP-4 Porcentaje de niñas adolescentes y mujeres jóvenes elegibles que iniciaron PrEP durante el período de reporte</t>
  </si>
  <si>
    <t>a1O1R000006c5nmUAA</t>
  </si>
  <si>
    <t>MCI-01061</t>
  </si>
  <si>
    <t>a1O1R000006c5nnUAA</t>
  </si>
  <si>
    <t>PMTCT-2.1 Percentage of HIV-positive women who received ART during pregnancy and/or labour and delivery</t>
  </si>
  <si>
    <t>PMTCT-2.1 Pourcentage de femmes enceintes séropositives pour le VIH ayant reçu une TARV durant leur grossesse et/ou le travail et l'accouchement</t>
  </si>
  <si>
    <t>PMTCT-2.1 Porcentaje de mujeres seropositivas que recibieron TARV durante el embarazo y/o trabajo de parto y parto</t>
  </si>
  <si>
    <t>NA</t>
  </si>
  <si>
    <t>a1O1R000006c5noUAA</t>
  </si>
  <si>
    <t>MCI-01063</t>
  </si>
  <si>
    <t>a1O1R000006c5npUAA</t>
  </si>
  <si>
    <t>PMTCT-4 Percentage of antenatal care attendees tested for syphilis</t>
  </si>
  <si>
    <t>PMTCT-4 Pourcentage de femmes recevant des soins prénatals ayant bénéficié d’un dépistage de la syphilis</t>
  </si>
  <si>
    <t>PMTCT-4 Porcentaje de pacientes de atención prenatal que se sometieron a la prueba de la sífilis</t>
  </si>
  <si>
    <t>a1O1R000006c5nqUAA</t>
  </si>
  <si>
    <t>Age,HIV test status</t>
  </si>
  <si>
    <t>Age,Résultat du test VIH</t>
  </si>
  <si>
    <t>Edad,Resultado de prueba del VIH</t>
  </si>
  <si>
    <t>a1O1R000006c5nrUAA</t>
  </si>
  <si>
    <t>a1O1R000006c5nsUAA</t>
  </si>
  <si>
    <t>a1O1R000006c5ntUAA</t>
  </si>
  <si>
    <t>Age,Gender,HIV test status</t>
  </si>
  <si>
    <t>Age,Sexe,Résultat du test VIH</t>
  </si>
  <si>
    <t>Edad,Género,Resultado de prueba del VIH</t>
  </si>
  <si>
    <t>a1O1R000006c5nuUAA</t>
  </si>
  <si>
    <t>a1O1R000006c5nvUAA</t>
  </si>
  <si>
    <t>a1O1R000006c5nwUAA</t>
  </si>
  <si>
    <t>a1O1R000006c5nxUAA</t>
  </si>
  <si>
    <t>Age,Gender,Community testing,Facility testing</t>
  </si>
  <si>
    <t>Age,Sexe,Tests fait dans la communauté,Tests fait dans un centre de santé</t>
  </si>
  <si>
    <t>Edad,Género,Diagnóstico en la comunidad,Diagnóstico en establecimientos de salud</t>
  </si>
  <si>
    <t>a1O1R000006c5nyUAA</t>
  </si>
  <si>
    <t>Gender,Target / Risk population group</t>
  </si>
  <si>
    <t>Sexe,Groupe à risque cible</t>
  </si>
  <si>
    <t>Género,Grupo de riesgo objetivo</t>
  </si>
  <si>
    <t>a1O1R000006c5nzUAA</t>
  </si>
  <si>
    <t>Age,Gender,Gender | Age,Duration of treatment,Target / Risk population group</t>
  </si>
  <si>
    <t>Age,Sexe,Durée du traitement,Groupe à risque cible</t>
  </si>
  <si>
    <t>Edad,Género,Duración del tratamiento,Grupo de riesgo objetivo</t>
  </si>
  <si>
    <t>a1O1R000006c5o0UAA</t>
  </si>
  <si>
    <t>Gender,Gender | Age,Duration of treatment,Target / Risk population group</t>
  </si>
  <si>
    <t>Sexe,Durée du traitement,Groupe à risque cible</t>
  </si>
  <si>
    <t>Género,Duración del tratamiento,Grupo de riesgo objetivo</t>
  </si>
  <si>
    <t>a1O1R000006c5o1UAA</t>
  </si>
  <si>
    <t>Gender,Duration of treatment</t>
  </si>
  <si>
    <t>Sexe,Durée du traitement</t>
  </si>
  <si>
    <t>Género,Duración del tratamiento</t>
  </si>
  <si>
    <t>a1O1R000006c5o2UAA</t>
  </si>
  <si>
    <t>Age,Gender,HIV test status,TB case definition</t>
  </si>
  <si>
    <t>Age,Sexe,Résultat du test VIH,Définition des cas</t>
  </si>
  <si>
    <t>Edad,Género,Resultado de prueba del VIH,Definición de caso</t>
  </si>
  <si>
    <t>a1O1R000006c5o3UAA</t>
  </si>
  <si>
    <t>MCI-01078</t>
  </si>
  <si>
    <t>a1O1R000006c5o4UAA</t>
  </si>
  <si>
    <t>Non cumulative – other;Non cumulative - special</t>
  </si>
  <si>
    <t>TCP-3 Percentage of laboratories showing adequate performance in external quality assurance for smear microscopy among the total number of laboratories that undertake smear microscopy during the reporting period</t>
  </si>
  <si>
    <t>TCP-3 Pourcentage de laboratoires présentant des performances satisfaisantes d’assurance qualité externe pour la microscopie de frottis parmi le nombre total de laboratoires effectuant des analyses par microscopie de frottis pendant la période couverte par le rapport</t>
  </si>
  <si>
    <t>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t>
  </si>
  <si>
    <t>a1O1R000006c5o5UAA</t>
  </si>
  <si>
    <t>MCI-01080</t>
  </si>
  <si>
    <t>a1O1R000006c5o6UAA</t>
  </si>
  <si>
    <t>TCP-6a Number of TB cases (all forms) notified among prisoners</t>
  </si>
  <si>
    <t>TCP-6a Nombre de cas de tuberculose (toutes formes confondues) déclarés dans la population carcérale</t>
  </si>
  <si>
    <t>TCP-6a Número de casos de tuberculosis (en todas sus formas) notificados entre reclusos.</t>
  </si>
  <si>
    <t>a1O1R000006c5o7UAA</t>
  </si>
  <si>
    <t>MCI-01082</t>
  </si>
  <si>
    <t>a1O1R000006c5o8UAA</t>
  </si>
  <si>
    <t>TCP-7a Number of notified TB cases (all forms) contributed by non-national TB program providers – private/non-governmental facilities</t>
  </si>
  <si>
    <t>TCP-7a Nombre de cas de tuberculose (toutes formes confondues) déclarés par des prestataires de soins hors programme national de lutte contre la maladie – structures privées/non gouvernementales</t>
  </si>
  <si>
    <t>TCP-7a Número de casos de tuberculosis notificados (en todas sus formas) aportados por proveedores que no pertenecen al programa nacional para el control de la tuberculosis: centros privados o no gubernamentales.</t>
  </si>
  <si>
    <t>MCI-01083</t>
  </si>
  <si>
    <t>a1O1R000006c5o9UAA</t>
  </si>
  <si>
    <t>TCP-7b Number of notified TB cases (all forms) contributed by non-national TB program providers – public sector</t>
  </si>
  <si>
    <t>TCP-7b Nombre de cas de tuberculose (toutes formes confondues) déclarés par des prestataires de soins hors programme national de lutte contre la maladie – secteur public</t>
  </si>
  <si>
    <t>TCP-7b Número de casos de tuberculosis notificados (en todas sus formas) aportados por proveedores que no pertenecen al programa nacional para el control de la tuberculosis: sector público.</t>
  </si>
  <si>
    <t>MCI-01084</t>
  </si>
  <si>
    <t>a1O1R000006c5oAUAQ</t>
  </si>
  <si>
    <t>TCP-7c Number of notified TB cases (all forms) contributed by non-national TB program providers – community referrals</t>
  </si>
  <si>
    <t>TCP-7c Nombre de cas de tuberculose (toutes formes confondues) déclarés par des prestataires de soins hors programme national de lutte contre la maladie – référés par la communauté</t>
  </si>
  <si>
    <t>TCP-7c Número de casos de tuberculosis notificados (en todas sus formas) aportados por proveedores que no pertenecen al programa nacional para el control de la tuberculosis: derivados desde las comunidades.</t>
  </si>
  <si>
    <t>MCI-01085</t>
  </si>
  <si>
    <t>a1O1R000006c5oBUAQ</t>
  </si>
  <si>
    <t>TCP-8 Percentage of new and relapse TB patients tested using WHO recommended rapid tests at the time of diagnosis</t>
  </si>
  <si>
    <t>TCP-8 Pourcentage de patients atteints de tuberculose (nouveaux cas et récidives) testés au moyen des tests rapides recommandés par l’OMS lors du diagnostic</t>
  </si>
  <si>
    <t>TCP-8 Porcentaje de pacientes de tuberculosis notificados como casos nuevos y recaídas analizados con las pruebas rápidas recomendadas por la OMS en el momento del diagnóstico.</t>
  </si>
  <si>
    <t>a1O1R000006c5oCUAQ</t>
  </si>
  <si>
    <t>a1O1R000006c5oDUAQ</t>
  </si>
  <si>
    <t>Age,Gender,TB regimen</t>
  </si>
  <si>
    <t>Age,Sexe,Schéma thérapeutique</t>
  </si>
  <si>
    <t>Edad,Género,Tipo de tratamiento</t>
  </si>
  <si>
    <t>MCI-01088</t>
  </si>
  <si>
    <t>a1O1R000006c5oEUAQ</t>
  </si>
  <si>
    <t>MDR TB-4 Percentage of cases with RR-TB and/or MDR-TB started on treatment for MDR-TB who were lost to follow up during the first six months of treatment</t>
  </si>
  <si>
    <t>MDR TB-4 Pourcentage de cas de tuberculose résistante à la rifampicine et/ou de tuberculose multirésistante qui, ayant commencé un traitement contre la TB-MR, ont été perdus de vue pendant les six premiers mois du traitement</t>
  </si>
  <si>
    <t>MDR TB-4 Porcentaje de casos de tuberculosis resistente a la rifampicina y/o multirresistente que comenzaron a recibir tratamiento para la tuberculosis multirresistente y cuyo seguimiento se interrumpió a los seis meses.</t>
  </si>
  <si>
    <t>MCI-01089</t>
  </si>
  <si>
    <t>a1O1R000006c5oFUAQ</t>
  </si>
  <si>
    <t>MDR TB-5 Percentage of DST laboratories showing adequate performance on External Quality Assurance</t>
  </si>
  <si>
    <t>MDR TB-5 Pourcentage de laboratoires présentant des performances satisfaisantes d’assurance qualité externe</t>
  </si>
  <si>
    <t>MDR TB-5 Porcentaje de laboratorios de pruebas de sensibilidad a los medicamentos que muestran un desempeño adecuado en lo que se refiere al aseguramiento externo de la calidad.</t>
  </si>
  <si>
    <t>MCI-01090</t>
  </si>
  <si>
    <t>a1O1R000006c5oGUAQ</t>
  </si>
  <si>
    <t>MDR TB-6 Percentage of TB patients with DST result for at least Rifampicin among the total number of notified (new and retreatment) cases in the same year</t>
  </si>
  <si>
    <t>MDR TB-6 Pourcentage de patients tuberculeux ayant un résultat d’un test de sensibilité aux médicaments (au moins à la rifampicine) parmi le total des cas déclarés (nouveaux cas et retraitements) pour la même année</t>
  </si>
  <si>
    <t>MDR TB-6 Porcentaje de pacientes con tuberculosis y resultados de sensibilidad a los fármacos al menos con respecto a la rifampicina entre el número total de casos notificados (nuevos y vueltos a tratar) en el mismo año.</t>
  </si>
  <si>
    <t>MCI-01091</t>
  </si>
  <si>
    <t>a1O1R000006c5oHUAQ</t>
  </si>
  <si>
    <t>MDR TB-7.1 Percentage of confirmed RR/MDR-TB cases tested for resistance to second-line drugs</t>
  </si>
  <si>
    <t>MDR TB-7.1 Pourcentage de cas confirmés de tuberculose résistante à la rifampicine/multirésistante ayant reçu un test de résistance aux médicaments de deuxième intention</t>
  </si>
  <si>
    <t>MDR TB-7.1 Porcentaje de casos confirmados de tuberculosis resistente a la rifampicina y/o multirresistente que se han sometido a pruebas para detectar la resistencia a medicamentos de segunda línea.</t>
  </si>
  <si>
    <t>MCI-01092</t>
  </si>
  <si>
    <t>a1O1R000006c5oIUAQ</t>
  </si>
  <si>
    <t>MDR TB-8 Number of cases of XDR TB enrolled on treatment</t>
  </si>
  <si>
    <t>MDR TB-8 Nombre de cas de tuberculose ultrarésistante mis sous traitement</t>
  </si>
  <si>
    <t>MDR TB-8 Número de casos de tuberculosis ultrarresistente (TB-XR) que reciben tratamiento.</t>
  </si>
  <si>
    <t>a1O1R000006c5oJUAQ</t>
  </si>
  <si>
    <t>a1O1R000006c8GzUAI</t>
  </si>
  <si>
    <t>a1O1R000006c5oKUAQ</t>
  </si>
  <si>
    <t>a1O1R000006c5oLUAQ</t>
  </si>
  <si>
    <t>a1O1R000006c5oNUAQ</t>
  </si>
  <si>
    <t>Age,Gender,TPT regimen</t>
  </si>
  <si>
    <t>Age,Sexe,Régime TPT</t>
  </si>
  <si>
    <t>Edad,Género,Régimen de TPT</t>
  </si>
  <si>
    <t>MCI-01115</t>
  </si>
  <si>
    <t>a1O1R000006c5ofUAA</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</si>
  <si>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</si>
  <si>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</si>
  <si>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</si>
  <si>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</si>
  <si>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</si>
  <si>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</si>
  <si>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</si>
  <si>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</si>
  <si>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</si>
  <si>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</si>
  <si>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</si>
  <si>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</si>
  <si>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</si>
  <si>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</si>
  <si>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</si>
  <si>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</si>
  <si>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</si>
  <si>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</si>
  <si>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</si>
  <si>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</si>
  <si>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</si>
  <si>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</si>
  <si>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</si>
  <si>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a1O1R000006c5okUAA</t>
  </si>
  <si>
    <t>a1O1R000006c5olUAA</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</si>
  <si>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</si>
  <si>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</si>
  <si>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</si>
  <si>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</si>
  <si>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</si>
  <si>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</si>
  <si>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</si>
  <si>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</si>
  <si>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</si>
  <si>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</si>
  <si>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</si>
  <si>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</si>
  <si>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</si>
  <si>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</si>
  <si>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</si>
  <si>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a1O1R000006c5opUAA</t>
  </si>
  <si>
    <t>a1O1R000006c5oqUAA</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</si>
  <si>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</si>
  <si>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</si>
  <si>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</si>
  <si>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</si>
  <si>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</si>
  <si>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</si>
  <si>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</si>
  <si>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</si>
  <si>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</si>
  <si>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</si>
  <si>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</si>
  <si>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</si>
  <si>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</si>
  <si>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</si>
  <si>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</si>
  <si>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</si>
  <si>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</si>
  <si>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</si>
  <si>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</si>
  <si>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</si>
  <si>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a1O1R000006c5ovUAA</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</si>
  <si>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</si>
  <si>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</si>
  <si>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</si>
  <si>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</si>
  <si>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</si>
  <si>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</si>
  <si>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</si>
  <si>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</si>
  <si>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</si>
  <si>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</si>
  <si>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</si>
  <si>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</si>
  <si>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</si>
  <si>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</si>
  <si>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</si>
  <si>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</si>
  <si>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</si>
  <si>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</si>
  <si>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</si>
  <si>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</si>
  <si>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</si>
  <si>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</si>
  <si>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</si>
  <si>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</si>
  <si>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</si>
  <si>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MCI-00676</t>
  </si>
  <si>
    <t>a1O1R000006c5haUAA</t>
  </si>
  <si>
    <t>Addressing stigma, discrimination and violence</t>
  </si>
  <si>
    <t>Lutte contre la stigmatisation, la discrimination et la violence</t>
  </si>
  <si>
    <t>Abordaje del estigma, la discriminación y la violencia</t>
  </si>
  <si>
    <t>MCI-00672</t>
  </si>
  <si>
    <t>a1O1R000006c5hWUAQ</t>
  </si>
  <si>
    <t>Behavior change interventions</t>
  </si>
  <si>
    <t>Interventions pour le changement de comportement</t>
  </si>
  <si>
    <t>Intervenciones para cambio de comportamiento</t>
  </si>
  <si>
    <t>MCI-00673</t>
  </si>
  <si>
    <t>a1O1R000006c5hXUAQ</t>
  </si>
  <si>
    <t>Community empowerment</t>
  </si>
  <si>
    <t>Autonomisation des communautés</t>
  </si>
  <si>
    <t>Empoderamiento comunitario</t>
  </si>
  <si>
    <t>MCI-00682</t>
  </si>
  <si>
    <t>a1O1R000006c5hgUAA</t>
  </si>
  <si>
    <t>Comprehensive sexuality education</t>
  </si>
  <si>
    <t>Éducation complète  à la sexualité</t>
  </si>
  <si>
    <t>Educación sexual integral</t>
  </si>
  <si>
    <t>MCI-00670</t>
  </si>
  <si>
    <t>a1O1R000006c5hUUAQ</t>
  </si>
  <si>
    <t>Condom and lubricant programing</t>
  </si>
  <si>
    <t>Programmation relative aux préservatifs et aux lubrifiants</t>
  </si>
  <si>
    <t>Programas de preservativos y lubricantes</t>
  </si>
  <si>
    <t>MCI-00683</t>
  </si>
  <si>
    <t>a1O1R000006c5hhUAA</t>
  </si>
  <si>
    <t>Gender-based violence prevention and post violence care</t>
  </si>
  <si>
    <t>Prévention de la violence fondée sur le genre et soins apportés aux rescapées des violences</t>
  </si>
  <si>
    <t>Prevención de la violencia de género y atención posterior a un episodio de violencia</t>
  </si>
  <si>
    <t>MCI-00675</t>
  </si>
  <si>
    <t>a1O1R000006c5hZUAQ</t>
  </si>
  <si>
    <t>Harm reduction interventions for drug use</t>
  </si>
  <si>
    <t>Interventions de réduction des risques liées à la consommation de drogues</t>
  </si>
  <si>
    <t>Intervenciones de reducción de daño por consumo de drogas</t>
  </si>
  <si>
    <t>MCI-00685</t>
  </si>
  <si>
    <t>a1O1R000006c5hjUAA</t>
  </si>
  <si>
    <t>Integration into national multi-sectoral responses of AGYW programs</t>
  </si>
  <si>
    <t>Intégration des programmes à destination des adolescentes et des jeunes femmes dans les interventions multisectorielles nationales</t>
  </si>
  <si>
    <t>Integración de los programas para niñas adolescentes y mujeres jóvenes en las respuestas nacionales multisectoriales</t>
  </si>
  <si>
    <t>MCI-00677</t>
  </si>
  <si>
    <t>a1O1R000006c5hbUAA</t>
  </si>
  <si>
    <t>Interventions for young key populations</t>
  </si>
  <si>
    <t>Interventions en faveur des jeunes populations clés</t>
  </si>
  <si>
    <t>Intervenciones para poblaciones jóvenes clave</t>
  </si>
  <si>
    <t>MCI-00688</t>
  </si>
  <si>
    <t>a1O1R000006c5hmUAA</t>
  </si>
  <si>
    <t>Linkages between HIV programs and RMNCAH</t>
  </si>
  <si>
    <t>Liens entre les programmes de lutte contre le VIH, et la santé reproductive maternelle, du nouveau-né, de l'enfant et de l'adolescent</t>
  </si>
  <si>
    <t>Integración de los programas de VIH y la salud reproductiva, materna, adolescente, infantil y neonatal</t>
  </si>
  <si>
    <t>MCI-00687</t>
  </si>
  <si>
    <t>a1O1R000006c5hlUAA</t>
  </si>
  <si>
    <t>National condom program management and stewardship</t>
  </si>
  <si>
    <t>Programmation et gestion du préservatif au niveau national</t>
  </si>
  <si>
    <t>Gestión de programas nacionales para preservativos</t>
  </si>
  <si>
    <t>MCI-00679</t>
  </si>
  <si>
    <t>a1O1R000006c5hdUAA</t>
  </si>
  <si>
    <t>Needle and syringe programs</t>
  </si>
  <si>
    <t>Programmes d’échange d’aiguilles et de seringues</t>
  </si>
  <si>
    <t>Programas de agujas y jeringuillas</t>
  </si>
  <si>
    <t>MCI-00680</t>
  </si>
  <si>
    <t>a1O1R000006c5heUAA</t>
  </si>
  <si>
    <t>Opioid substitution therapy and other medically assisted drug dependence treatment</t>
  </si>
  <si>
    <t>Traitement de substitution aux opiacés et autres traitements médicalement assistés contre la toxicomanie</t>
  </si>
  <si>
    <t>Tratamiento de sustitución de opiáceos y otros tratamientos de la drogodependencia que requieren atención médica</t>
  </si>
  <si>
    <t>MCI-00681</t>
  </si>
  <si>
    <t>a1O1R000006c5hfUAA</t>
  </si>
  <si>
    <t>Overdose prevention and management</t>
  </si>
  <si>
    <t>Prévention et prise en charge des overdoses</t>
  </si>
  <si>
    <t>Prevención y tratamiento de la sobredosis</t>
  </si>
  <si>
    <t>MCI-00671</t>
  </si>
  <si>
    <t>a1O1R000006c5hVUAQ</t>
  </si>
  <si>
    <t>Pre-exposure prophylaxis</t>
  </si>
  <si>
    <t>Prophylaxie préexposition</t>
  </si>
  <si>
    <t>PrEP</t>
  </si>
  <si>
    <t>MCI-00678</t>
  </si>
  <si>
    <t>a1O1R000006c5hcUAA</t>
  </si>
  <si>
    <t>Prevention and management of co-infections and co-morbidities (Prevention)</t>
  </si>
  <si>
    <t>Prévention et prise en charge des co-infections et des co-morbidités (Prévention)</t>
  </si>
  <si>
    <t>Prevención y manejo de coinfecciones y comorbilidades (Prevención)</t>
  </si>
  <si>
    <t>MCI-00674</t>
  </si>
  <si>
    <t>a1O1R000006c5hYUAQ</t>
  </si>
  <si>
    <t>Sexual and reproductive health services, including STIs</t>
  </si>
  <si>
    <t>Services de santé sexuelle et reproductive, y compris les IST</t>
  </si>
  <si>
    <t>Servicios de salud sexual y reproductiva, incluyendo las ITS</t>
  </si>
  <si>
    <t>MCI-00684</t>
  </si>
  <si>
    <t>a1O1R000006c5hiUAA</t>
  </si>
  <si>
    <t>Social protection interventions</t>
  </si>
  <si>
    <t>Mesures de protection sociale</t>
  </si>
  <si>
    <t>Intervenciones de protección social</t>
  </si>
  <si>
    <t>MCI-00686</t>
  </si>
  <si>
    <t>a1O1R000006c5hkUAA</t>
  </si>
  <si>
    <t>Voluntary Medical Male Circumcision</t>
  </si>
  <si>
    <t>Circoncision masculine médicale volontaire</t>
  </si>
  <si>
    <t>Circuncisión médica masculina voluntaria</t>
  </si>
  <si>
    <t>MCI-00689</t>
  </si>
  <si>
    <t>a1O1R000006c5hnUAA</t>
  </si>
  <si>
    <t>Prong 1: Primary prevention of HIV infection among women of childbearing age</t>
  </si>
  <si>
    <t>Volet 1 : Prévention primaire de l’infection au VIH chez les femmes en âge de procréer</t>
  </si>
  <si>
    <t>Vertiente 1: Prevención primaria de la infección por el VIH en mujeres en edad fecunda</t>
  </si>
  <si>
    <t>MCI-00690</t>
  </si>
  <si>
    <t>a1O1R000006c5hoUAA</t>
  </si>
  <si>
    <t>Prong 2: Preventing unintended pregnancies among women living with HIV</t>
  </si>
  <si>
    <t>Volet 2 : Prévention des grossesses non désirées chez les femmes vivant avec le VIH</t>
  </si>
  <si>
    <t>Vertiente 2: Prevención de embarazos no deseados en mujeres que viven con el VIH</t>
  </si>
  <si>
    <t>MCI-00691</t>
  </si>
  <si>
    <t>a1O1R000006c5hpUAA</t>
  </si>
  <si>
    <t>Prong 3: Preventing vertical HIV transmission</t>
  </si>
  <si>
    <t>Volet 3 : Prévention de la transmission verticale du VIH</t>
  </si>
  <si>
    <t>Vertiente 3: Prevención de la transmisión vertical del VIH</t>
  </si>
  <si>
    <t>MCI-00692</t>
  </si>
  <si>
    <t>a1O1R000006c5hqUAA</t>
  </si>
  <si>
    <t>Prong 4: Treatment, care and support to mothers living with HIV, their children and families</t>
  </si>
  <si>
    <t>Volet 4 : Traitement, prise en charge et soutien des mères vivant avec le VIH, de leurs enfants et de leur famille</t>
  </si>
  <si>
    <t>Vertiente 4: Tratamiento, atención y apoyo para madres que viven con el VIH, así como para sus hijos y familias</t>
  </si>
  <si>
    <t>MCI-00694</t>
  </si>
  <si>
    <t>a1O1R000006c5hsUAA</t>
  </si>
  <si>
    <t>Community-based testing</t>
  </si>
  <si>
    <t>Dépistage communautaire</t>
  </si>
  <si>
    <t>Pruebas a nivel comunitario</t>
  </si>
  <si>
    <t>MCI-00693</t>
  </si>
  <si>
    <t>a1O1R000006c5hrUAA</t>
  </si>
  <si>
    <t>Facility-based testing</t>
  </si>
  <si>
    <t>Dépistage en centre de santé</t>
  </si>
  <si>
    <t>Pruebas a nivel de establecimientos de salud</t>
  </si>
  <si>
    <t>MCI-00695</t>
  </si>
  <si>
    <t>a1O1R000006c5htUAA</t>
  </si>
  <si>
    <t>Self-testing</t>
  </si>
  <si>
    <t>Autodépistage</t>
  </si>
  <si>
    <t>Autoprueba (self testing)</t>
  </si>
  <si>
    <t>MCI-00701</t>
  </si>
  <si>
    <t>a1O1R000006c5hzUAA</t>
  </si>
  <si>
    <t>Counseling and psycho-social support</t>
  </si>
  <si>
    <t>Conseil et soutien psychosocial</t>
  </si>
  <si>
    <t>Consejería y apoyo psicosocial</t>
  </si>
  <si>
    <t>MCI-00696</t>
  </si>
  <si>
    <t>a1O1R000006c5huUAA</t>
  </si>
  <si>
    <t>Differentiated ART service delivery and HIV care</t>
  </si>
  <si>
    <t>Services différenciés de traitements antirétroviraux et prise en charge du VIH</t>
  </si>
  <si>
    <t>Prestación de servicios diferenciados de tratamiento antirretroviral y atención para el VIH</t>
  </si>
  <si>
    <t>MCI-00702</t>
  </si>
  <si>
    <t>a1O1R000006c5i0UAA</t>
  </si>
  <si>
    <t>Orphan and vulnerable children package</t>
  </si>
  <si>
    <t>Paquet de services à destination des orphelins et des enfants vulnérables</t>
  </si>
  <si>
    <t>Paquete para huérfanos y niños vulnerables</t>
  </si>
  <si>
    <t>MCI-00700</t>
  </si>
  <si>
    <t>a1O1R000006c5hyUAA</t>
  </si>
  <si>
    <t>Prevention and management of co-infections and co-morbidities (Treatment, care and support)</t>
  </si>
  <si>
    <t>Prévention et prise en charge des co-infections et des co-morbidités (Traitement, prise en charge et soutien)</t>
  </si>
  <si>
    <t>Prevención y manejo de coinfecciones y comorbilidades (Tratamiento, atención y apoyo)</t>
  </si>
  <si>
    <t>MCI-00698</t>
  </si>
  <si>
    <t>a1O1R000006c5hwUAA</t>
  </si>
  <si>
    <t>Treatment monitoring - ARV toxicity</t>
  </si>
  <si>
    <t>Suivi du traitement – Toxicité des antirétroviraux</t>
  </si>
  <si>
    <t>Seguimiento del tratamiento: toxicidad de la terapia antirretroviral</t>
  </si>
  <si>
    <t>MCI-00697</t>
  </si>
  <si>
    <t>a1O1R000006c5hvUAA</t>
  </si>
  <si>
    <t>Treatment monitoring - Drug resistance</t>
  </si>
  <si>
    <t>Suivi du traitement – Pharmacorésistance</t>
  </si>
  <si>
    <t>Seguimiento del tratamiento: farmacorresistencia</t>
  </si>
  <si>
    <t>MCI-00699</t>
  </si>
  <si>
    <t>a1O1R000006c5hxUAA</t>
  </si>
  <si>
    <t>Treatment monitoring - Viral load</t>
  </si>
  <si>
    <t>Suivi du traitement – Charge virale</t>
  </si>
  <si>
    <t>Seguimiento del tratamiento: carga viral</t>
  </si>
  <si>
    <t>MCI-00710</t>
  </si>
  <si>
    <t>a1O1R000006c5i8UAA</t>
  </si>
  <si>
    <t>Community mobilization and advocacy (HIV/TB)</t>
  </si>
  <si>
    <t>Mobilisation et sensibilisation des communautés (VIH/Tuberculose)</t>
  </si>
  <si>
    <t>Movilización y promoción comunitarias (VIH/TB)</t>
  </si>
  <si>
    <t>MCI-00706</t>
  </si>
  <si>
    <t>a1O1R000006c5i4UAA</t>
  </si>
  <si>
    <t>HIV and HIV/TB-related legal services</t>
  </si>
  <si>
    <t>Services juridiques liés au VIH et à la co-infection VIH/tuberculose</t>
  </si>
  <si>
    <t>Servicios jurídicos relacionados con el VIH y la TB/VIH</t>
  </si>
  <si>
    <t>MCI-00705</t>
  </si>
  <si>
    <t>a1O1R000006c5i3UAA</t>
  </si>
  <si>
    <t>Human rights and medical ethics related to HIV and HIV/TB for health care providers</t>
  </si>
  <si>
    <t>Droits humains et éthique médicale liée au VIH et à la co-infection VIH/tuberculose pour les prestataires de soins de santé</t>
  </si>
  <si>
    <t>Derechos humanos y ética médica en relación con el VIH y la tuberculosis y el VIH para personal sanitario</t>
  </si>
  <si>
    <t>MCI-00708</t>
  </si>
  <si>
    <t>a1O1R000006c5i6UAA</t>
  </si>
  <si>
    <t>Improving laws, regulations and polices relating to HIV and HIV/TB</t>
  </si>
  <si>
    <t>Amélioration des lois, des règlements et des politiques liés au VIH et à la co-infection VIH/tuberculose</t>
  </si>
  <si>
    <t>Mejora de leyes, reglamentos y políticas relacionadas con el VIH y la TB/VIH</t>
  </si>
  <si>
    <t>MCI-00704</t>
  </si>
  <si>
    <t>a1O1R000006c5i2UAA</t>
  </si>
  <si>
    <t>Legal Literacy (“Know Your Rights")</t>
  </si>
  <si>
    <t>Éducation juridique (« Connaissez vos droits »)</t>
  </si>
  <si>
    <t>Conocimientos jurídicos («Conoce tus derechos»)</t>
  </si>
  <si>
    <t>MCI-00709</t>
  </si>
  <si>
    <t>a1O1R000006c5i7UAA</t>
  </si>
  <si>
    <t>Reducing HIV-related gender discrimination, harmful gender norms and violence against women and girls in all their diversity</t>
  </si>
  <si>
    <t>Réduction de la discrimination fondée sur le genre, des normes de genre nocives et de la violence contre les femmes et les filles dans toute leur diversité, en lien avec le VIH</t>
  </si>
  <si>
    <t>Reducción de la discriminación de género relacionada con el VIH, las normas de género perjudiciales y la violencia contra las mujeres y las niñas en toda su diversidad</t>
  </si>
  <si>
    <t>MCI-00707</t>
  </si>
  <si>
    <t>a1O1R000006c5i5UAA</t>
  </si>
  <si>
    <t>Sensitization of law-makers and law-enforcement agents</t>
  </si>
  <si>
    <t>Sensibilisation des législateurs et des agents des forces de l’ordre</t>
  </si>
  <si>
    <t>Sensibilización de los cuerpos de seguridad y cuerpos de seguridad</t>
  </si>
  <si>
    <t>MCI-00703</t>
  </si>
  <si>
    <t>a1O1R000006c5i1UAA</t>
  </si>
  <si>
    <t>Stigma and discrimination reduction (HIV/TB)</t>
  </si>
  <si>
    <t>Réduction du rejet social et de la discrimination (VIH/Tuberculose)</t>
  </si>
  <si>
    <t>Reducción del estigma y la discriminación (VIH/TB)</t>
  </si>
  <si>
    <t>MCI-00711</t>
  </si>
  <si>
    <t>a1O1R000006c5i9UAA</t>
  </si>
  <si>
    <t>Case detection and diagnosis (TB care and prevention)</t>
  </si>
  <si>
    <t>Détection des cas et diagnostic (Prise en charge et prévention de la tuberculose)</t>
  </si>
  <si>
    <t>Detección y diagnóstico de casos (Atención y prevención de la tuberculosis)</t>
  </si>
  <si>
    <t>MCI-00721</t>
  </si>
  <si>
    <t>a1O1R000006c5iJUAQ</t>
  </si>
  <si>
    <t>Collaborative activities with other programs and sectors (TB care and prevention)</t>
  </si>
  <si>
    <t>Activités conjointes avec d’autres programmes et secteurs (Prise en charge et prévention de la tuberculose)</t>
  </si>
  <si>
    <t>Actividades de colaboración con otros programas y sectores (Atención y prevención de la tuberculosis)</t>
  </si>
  <si>
    <t>MCI-00715</t>
  </si>
  <si>
    <t>a1O1R000006c5iDUAQ</t>
  </si>
  <si>
    <t>Community TB care delivery</t>
  </si>
  <si>
    <t>Prise en charge communautaire de la tuberculose</t>
  </si>
  <si>
    <t>Prestación de servicios de atención de la tuberculosis en la comunidad</t>
  </si>
  <si>
    <t>MCI-00714</t>
  </si>
  <si>
    <t>a1O1R000006c5iCUAQ</t>
  </si>
  <si>
    <t>Engaging all care providers (TB care and prevention)</t>
  </si>
  <si>
    <t>Implication de tous les prestataires de soins (Prise en charge et prévention de la tuberculose)</t>
  </si>
  <si>
    <t>Implicar a todos los proveedores de atención (Atención y prevención de la tuberculosis)</t>
  </si>
  <si>
    <t>MCI-00716</t>
  </si>
  <si>
    <t>a1O1R000006c5iEUAQ</t>
  </si>
  <si>
    <t>Key Populations (TB care and prevention) - Children</t>
  </si>
  <si>
    <t>Populations clés (Prise en charge et prévention de la tuberculose) - Enfants</t>
  </si>
  <si>
    <t>Poblaciones clave (Atención y prevención de la tuberculosis): niños</t>
  </si>
  <si>
    <t>MCI-00719</t>
  </si>
  <si>
    <t>a1O1R000006c5iHUAQ</t>
  </si>
  <si>
    <t>Key populations (TB care and prevention) - Miners and mining communities</t>
  </si>
  <si>
    <t>Populations clés (Prise en charge et prévention de la tuberculose) - Mineurs et communautés minières</t>
  </si>
  <si>
    <t>Poblaciones clave (Atención y prevención de la tuberculosis): mineros y comunidades mineras</t>
  </si>
  <si>
    <t>MCI-00718</t>
  </si>
  <si>
    <t>a1O1R000006c5iGUAQ</t>
  </si>
  <si>
    <t>Key populations (TB care and prevention) - Mobile populations: refugees, migrants and internally displaced people</t>
  </si>
  <si>
    <t>Populations clés (Prise en charge et prévention de la tuberculose) - Populations mobiles : réfugiés, migrants et personnes déplacées à l’intérieur de leur pays</t>
  </si>
  <si>
    <t>Poblaciones clave (Atención y prevención de la tuberculosis): poblaciones móviles (refugiados, migrantes y personas desplazadas internamente)</t>
  </si>
  <si>
    <t>MCI-00720</t>
  </si>
  <si>
    <t>a1O1R000006c5iIUAQ</t>
  </si>
  <si>
    <t>Key populations (TB care and prevention) - Others</t>
  </si>
  <si>
    <t>Populations clés (Prise en charge et prévention de la tuberculose) - Autres</t>
  </si>
  <si>
    <t>Poblaciones clave (Atención y prevención de la tuberculosis): otros</t>
  </si>
  <si>
    <t>MCI-00717</t>
  </si>
  <si>
    <t>a1O1R000006c5iFUAQ</t>
  </si>
  <si>
    <t>Key populations (TB care and prevention) - Prisoners</t>
  </si>
  <si>
    <t>Populations clés (Prise en charge et prévention de la tuberculose) - Détenus</t>
  </si>
  <si>
    <t>Poblaciones clave (Atención y prevención de la tuberculosis): reclusos</t>
  </si>
  <si>
    <t>MCI-00713</t>
  </si>
  <si>
    <t>a1O1R000006c5iBUAQ</t>
  </si>
  <si>
    <t>Prevention (TB care and prevention)</t>
  </si>
  <si>
    <t>Prévention (Prise en charge et prévention de la tuberculose)</t>
  </si>
  <si>
    <t>Prevención (Atención y prevención de la tuberculosis)</t>
  </si>
  <si>
    <t>MCI-00712</t>
  </si>
  <si>
    <t>a1O1R000006c5iAUAQ</t>
  </si>
  <si>
    <t>Treatment (TB care and prevention)</t>
  </si>
  <si>
    <t>Traitement (Prise en charge et prévention de la tuberculose)</t>
  </si>
  <si>
    <t>Tratamiento (Atención y prevención de la tuberculosis)</t>
  </si>
  <si>
    <t>MCI-00722</t>
  </si>
  <si>
    <t>a1O1R000006c5iKUAQ</t>
  </si>
  <si>
    <t>Case detection and diagnosis (MDR-TB)</t>
  </si>
  <si>
    <t>Détection des cas et diagnostic (Tuberculose multirésistante)</t>
  </si>
  <si>
    <t>Detección y diagnóstico de casos (Tuberculosis multirresistente)</t>
  </si>
  <si>
    <t>MCI-00732</t>
  </si>
  <si>
    <t>a1O1R000006c5iUUAQ</t>
  </si>
  <si>
    <t>Collaborative activities with other programs and sectors (MDR-TB)</t>
  </si>
  <si>
    <t>Activités conjointes avec d’autres programmes et secteurs (Tuberculose multirésistante)</t>
  </si>
  <si>
    <t>Actividades de colaboración con otros programas y sectores (Tuberculosis multirresistente)</t>
  </si>
  <si>
    <t>MCI-00726</t>
  </si>
  <si>
    <t>a1O1R000006c5iOUAQ</t>
  </si>
  <si>
    <t>Community MDR-TB care delivery</t>
  </si>
  <si>
    <t>Prise en charge communautaire de la tuberculose multirésistante</t>
  </si>
  <si>
    <t>Prestación de servicios de atención de la tuberculosis multirresistente en la comunidad</t>
  </si>
  <si>
    <t>MCI-00725</t>
  </si>
  <si>
    <t>a1O1R000006c5iNUAQ</t>
  </si>
  <si>
    <t>Engaging all care providers (MDR-TB)</t>
  </si>
  <si>
    <t>Implication de tous les prestataires de soins (Tuberculose multirésistante)</t>
  </si>
  <si>
    <t>Implicar a todos los proveedores de atención (Tuberculosis multirresistente)</t>
  </si>
  <si>
    <t>MCI-00727</t>
  </si>
  <si>
    <t>a1O1R000006c5iPUAQ</t>
  </si>
  <si>
    <t>Key Populations (MDR-TB) - Children</t>
  </si>
  <si>
    <t>Populations clés (Tuberculose multirésistante) - Enfants</t>
  </si>
  <si>
    <t>Poblaciones clave (Tuberculosis multirresistente): niños</t>
  </si>
  <si>
    <t>MCI-00730</t>
  </si>
  <si>
    <t>a1O1R000006c5iSUAQ</t>
  </si>
  <si>
    <t>Key populations (MDR-TB) - Miners and mining communities</t>
  </si>
  <si>
    <t>Populations clés (Tuberculose multirésistante) - Mineurs et communautés minières</t>
  </si>
  <si>
    <t>Poblaciones clave (Tuberculosis multirresistente): mineros y comunidades mineras</t>
  </si>
  <si>
    <t>MCI-00729</t>
  </si>
  <si>
    <t>a1O1R000006c5iRUAQ</t>
  </si>
  <si>
    <t>Key populations (MDR-TB) - Mobile populations: refugees, migrants and internally displaced people</t>
  </si>
  <si>
    <t>Populations clés (Tuberculose multirésistante) - Populations mobiles : réfugiés, migrants et personnes déplacées à l’intérieur de leur pays</t>
  </si>
  <si>
    <t>Poblaciones clave (Tuberculosis multirresistente): poblaciones móviles (refugiados, migrantes y personas desplazadas internamente)</t>
  </si>
  <si>
    <t>MCI-00731</t>
  </si>
  <si>
    <t>a1O1R000006c5iTUAQ</t>
  </si>
  <si>
    <t>Key populations (MDR-TB) - Others</t>
  </si>
  <si>
    <t>Populations clés (Tuberculose multirésistante) - Autres</t>
  </si>
  <si>
    <t>Poblaciones clave (Tuberculosis multirresistente): otros</t>
  </si>
  <si>
    <t>MCI-00728</t>
  </si>
  <si>
    <t>a1O1R000006c5iQUAQ</t>
  </si>
  <si>
    <t>Key populations (MDR-TB) - Prisoners</t>
  </si>
  <si>
    <t>Populations clés (Tuberculose multirésistante) - Détenus</t>
  </si>
  <si>
    <t>Poblaciones clave (Tuberculosis multirresistente): reclusos</t>
  </si>
  <si>
    <t>MCI-00724</t>
  </si>
  <si>
    <t>a1O1R000006c5iMUAQ</t>
  </si>
  <si>
    <t>Prevention (MDR-TB)</t>
  </si>
  <si>
    <t>Prévention (Tuberculose multirésistante)</t>
  </si>
  <si>
    <t>Prevención (Tuberculosis multirresistente)</t>
  </si>
  <si>
    <t>MCI-00723</t>
  </si>
  <si>
    <t>a1O1R000006c5iLUAQ</t>
  </si>
  <si>
    <t>Treatment (MDR-TB)</t>
  </si>
  <si>
    <t>Traitement (Tuberculose multirésistante)</t>
  </si>
  <si>
    <t>Tratamiento (Tuberculosis multirresistente)</t>
  </si>
  <si>
    <t>MCI-00737</t>
  </si>
  <si>
    <t>a1O1R000006c5iZUAQ</t>
  </si>
  <si>
    <t>Community mobilization and advocacy (TB)</t>
  </si>
  <si>
    <t>Mobilisation et sensibilisation des communautés (Tuberculose)</t>
  </si>
  <si>
    <t>Movilización y promoción comunitarias (TB)</t>
  </si>
  <si>
    <t>MCI-00734</t>
  </si>
  <si>
    <t>a1O1R000006c5iWUAQ</t>
  </si>
  <si>
    <t>Human rights, medical ethics and legal literacy</t>
  </si>
  <si>
    <t>Éducation aux droits légaux et humains et formation à l’éthique médicale</t>
  </si>
  <si>
    <t>Derechos humanos, ética médica y educación sobre cuestiones jurídicas</t>
  </si>
  <si>
    <t>MCI-00735</t>
  </si>
  <si>
    <t>a1O1R000006c5iXUAQ</t>
  </si>
  <si>
    <t>Legal aid and services</t>
  </si>
  <si>
    <t>Aide et services juridiques</t>
  </si>
  <si>
    <t>Asistencia y servicios jurídicos</t>
  </si>
  <si>
    <t>MCI-00736</t>
  </si>
  <si>
    <t>a1O1R000006c5iYUAQ</t>
  </si>
  <si>
    <t>Reform of laws and policies</t>
  </si>
  <si>
    <t>Réforme des lois et politiques</t>
  </si>
  <si>
    <t>Reforma de leyes y políticas</t>
  </si>
  <si>
    <t>MCI-00733</t>
  </si>
  <si>
    <t>a1O1R000006c5iVUAQ</t>
  </si>
  <si>
    <t>Stigma and discrimination reduction (TB)</t>
  </si>
  <si>
    <t>Réduction du rejet social et de la discrimination (Tuberculose)</t>
  </si>
  <si>
    <t>Reducción del estigma y la discriminación (TB)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</si>
  <si>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</si>
  <si>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</si>
  <si>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</si>
  <si>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</si>
  <si>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</si>
  <si>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</si>
  <si>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</si>
  <si>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</si>
  <si>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</si>
  <si>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</si>
  <si>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</si>
  <si>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</si>
  <si>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</si>
  <si>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</si>
  <si>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</si>
  <si>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</si>
  <si>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</si>
  <si>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</si>
  <si>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</si>
  <si>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</si>
  <si>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</si>
  <si>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</si>
  <si>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</si>
  <si>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</si>
  <si>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</si>
  <si>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</si>
  <si>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</si>
  <si>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</si>
  <si>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</si>
  <si>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</si>
  <si>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</si>
  <si>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</si>
  <si>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</si>
  <si>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</si>
  <si>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</si>
  <si>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</si>
  <si>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</si>
  <si>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</si>
  <si>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</si>
  <si>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</si>
  <si>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</si>
  <si>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</si>
  <si>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</si>
  <si>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</si>
  <si>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</si>
  <si>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</si>
  <si>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</si>
  <si>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</si>
  <si>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</si>
  <si>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</si>
  <si>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</si>
  <si>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</si>
  <si>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</si>
  <si>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</si>
  <si>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</si>
  <si>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</si>
  <si>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</si>
  <si>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</si>
  <si>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</si>
  <si>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</si>
  <si>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</si>
  <si>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</si>
  <si>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</si>
  <si>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</si>
  <si>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</si>
  <si>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</si>
  <si>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</si>
  <si>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</si>
  <si>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</si>
  <si>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</si>
  <si>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</si>
  <si>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</si>
  <si>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</si>
  <si>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</si>
  <si>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</si>
  <si>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</si>
  <si>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</si>
  <si>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</si>
  <si>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</si>
  <si>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</si>
  <si>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</si>
  <si>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</si>
  <si>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</si>
  <si>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</si>
  <si>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</si>
  <si>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</si>
  <si>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</si>
  <si>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</si>
  <si>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</si>
  <si>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</si>
  <si>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</si>
  <si>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</si>
  <si>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</si>
  <si>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</si>
  <si>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</si>
  <si>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</si>
  <si>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</si>
  <si>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</si>
  <si>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</si>
  <si>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</si>
  <si>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</si>
  <si>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</si>
  <si>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</si>
  <si>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</si>
  <si>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</si>
  <si>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</si>
  <si>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</si>
  <si>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</si>
  <si>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</si>
  <si>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</si>
  <si>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</si>
  <si>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</si>
  <si>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</si>
  <si>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</si>
  <si>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</si>
  <si>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</si>
  <si>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</si>
  <si>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</si>
  <si>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</si>
  <si>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</si>
  <si>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</si>
  <si>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</si>
  <si>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</si>
  <si>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</si>
  <si>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</si>
  <si>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</si>
  <si>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</si>
  <si>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</si>
  <si>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</si>
  <si>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</si>
  <si>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</si>
  <si>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</si>
  <si>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</si>
  <si>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</si>
  <si>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</si>
  <si>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</si>
  <si>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</si>
  <si>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</si>
  <si>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</si>
  <si>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</si>
  <si>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</si>
  <si>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</si>
  <si>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</si>
  <si>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</si>
  <si>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</si>
  <si>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</si>
  <si>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</si>
  <si>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</si>
  <si>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</si>
  <si>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</si>
  <si>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</si>
  <si>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</si>
  <si>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</si>
  <si>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</si>
  <si>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</si>
  <si>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</si>
  <si>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</si>
  <si>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</si>
  <si>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</si>
  <si>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</si>
  <si>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</si>
  <si>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</si>
  <si>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</si>
  <si>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</si>
  <si>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</si>
  <si>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</si>
  <si>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</si>
  <si>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</si>
  <si>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</si>
  <si>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</si>
  <si>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</si>
  <si>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</si>
  <si>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</si>
  <si>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</si>
  <si>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</si>
  <si>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</si>
  <si>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</si>
  <si>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</si>
  <si>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</si>
  <si>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</si>
  <si>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</si>
  <si>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</si>
  <si>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</si>
  <si>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</si>
  <si>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</si>
  <si>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</si>
  <si>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</si>
  <si>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</si>
  <si>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</si>
  <si>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</si>
  <si>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</si>
  <si>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</si>
  <si>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</si>
  <si>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</si>
  <si>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</si>
  <si>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</si>
  <si>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</si>
  <si>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</si>
  <si>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</si>
  <si>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</si>
  <si>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</si>
  <si>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</si>
  <si>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</si>
  <si>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</si>
  <si>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</si>
  <si>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</si>
  <si>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</si>
  <si>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</si>
  <si>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</si>
  <si>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</si>
  <si>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</si>
  <si>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</si>
  <si>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</si>
  <si>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</si>
  <si>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</si>
  <si>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</si>
  <si>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</si>
  <si>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</si>
  <si>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</si>
  <si>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</si>
  <si>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</si>
  <si>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</si>
  <si>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</si>
  <si>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</si>
  <si>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</si>
  <si>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</si>
  <si>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</si>
  <si>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</si>
  <si>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</si>
  <si>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</si>
  <si>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</si>
  <si>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</si>
  <si>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</si>
  <si>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</si>
  <si>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</si>
  <si>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</si>
  <si>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</si>
  <si>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</si>
  <si>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</si>
  <si>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</si>
  <si>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</si>
  <si>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</si>
  <si>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MCI-01237</t>
  </si>
  <si>
    <t>a1O3p000003OASiEAO</t>
  </si>
  <si>
    <t>COVID-19 control and containment including health systems strengthening</t>
  </si>
  <si>
    <t>Contrôle et confinement relatif au COVID-19, y compris le renforcement des systèmes de santé</t>
  </si>
  <si>
    <t>Control y contención relacionada a COVID-19, incluyendo el fortalecimiento de los sistemas de salud</t>
  </si>
  <si>
    <t>MCI-01238</t>
  </si>
  <si>
    <t>a1O3p000003OASnEAO</t>
  </si>
  <si>
    <t>Risk mitigation for disease programs</t>
  </si>
  <si>
    <t>Atténuation des risques pour les programmes de lutte contre les maladies</t>
  </si>
  <si>
    <t>Mitigación de riesgos para los programas de las enfermedades</t>
  </si>
  <si>
    <t>AR-01594</t>
  </si>
  <si>
    <t>0013600000xoEFgAAM</t>
  </si>
  <si>
    <t>a1236000007WBlZAAW</t>
  </si>
  <si>
    <t>AR-01592</t>
  </si>
  <si>
    <t>a1236000007WBlXAAW</t>
  </si>
  <si>
    <t>AR-01593</t>
  </si>
  <si>
    <t>a1236000007WBlYAAW</t>
  </si>
  <si>
    <t>AR-01126</t>
  </si>
  <si>
    <t>Plan International, Inc.</t>
  </si>
  <si>
    <t>0013600000xoEHAAA2</t>
  </si>
  <si>
    <t>a1236000007WBe1AAG</t>
  </si>
  <si>
    <t>AR-02636</t>
  </si>
  <si>
    <t>a1236000007WC2NAAW</t>
  </si>
  <si>
    <t>AR-04178</t>
  </si>
  <si>
    <t>a1236000009dRoyAAE</t>
  </si>
  <si>
    <t>AR-04187</t>
  </si>
  <si>
    <t>a1236000009dRrlAAE</t>
  </si>
  <si>
    <t>AR-08723</t>
  </si>
  <si>
    <t>a123p000005ZRAlAAO</t>
  </si>
  <si>
    <t>AR-08724</t>
  </si>
  <si>
    <t>a123p000005ZRAmAAO</t>
  </si>
  <si>
    <t>AR-08751</t>
  </si>
  <si>
    <t>a123p000005ZTBHAA4</t>
  </si>
  <si>
    <t>ID-400206</t>
  </si>
  <si>
    <t>II-43124</t>
  </si>
  <si>
    <t>Being a focused country, no disaggregation is required</t>
  </si>
  <si>
    <t>a1G3p000005ncDHEAY</t>
  </si>
  <si>
    <t>ID-400207</t>
  </si>
  <si>
    <t>a1G3p000005ncDIEAY</t>
  </si>
  <si>
    <t>ID-400208</t>
  </si>
  <si>
    <t>a1G3p000005ncDJEAY</t>
  </si>
  <si>
    <t>ID-400209</t>
  </si>
  <si>
    <t>a1G3p000005ncDKEAY</t>
  </si>
  <si>
    <t>ID-400210</t>
  </si>
  <si>
    <t>a1G3p000005ncDLEAY</t>
  </si>
  <si>
    <t>ID-400211</t>
  </si>
  <si>
    <t>a1G3p000005ncDMEAY</t>
  </si>
  <si>
    <t>ID-400212</t>
  </si>
  <si>
    <t>a1G3p000005ncDNEAY</t>
  </si>
  <si>
    <t>ID-400213</t>
  </si>
  <si>
    <t>a1G3p000005ncDOEAY</t>
  </si>
  <si>
    <t>ID-400214</t>
  </si>
  <si>
    <t>a1G3p000005ncDPEAY</t>
  </si>
  <si>
    <t>ID-400215</t>
  </si>
  <si>
    <t>a1G3p000005ncDQEAY</t>
  </si>
  <si>
    <t>ID-400216</t>
  </si>
  <si>
    <t>II-43125</t>
  </si>
  <si>
    <t>Being a focused country, no disaggretation is required</t>
  </si>
  <si>
    <t>a1G3p000005ncDREAY</t>
  </si>
  <si>
    <t>ID-400217</t>
  </si>
  <si>
    <t>a1G3p000005ncDSEAY</t>
  </si>
  <si>
    <t>ID-400218</t>
  </si>
  <si>
    <t>a1G3p000005ncDTEAY</t>
  </si>
  <si>
    <t>ID-400219</t>
  </si>
  <si>
    <t>a1G3p000005ncDUEAY</t>
  </si>
  <si>
    <t>ID-400220</t>
  </si>
  <si>
    <t>a1G3p000005ncDVEAY</t>
  </si>
  <si>
    <t>ID-400221</t>
  </si>
  <si>
    <t>a1G3p000005ncDWEAY</t>
  </si>
  <si>
    <t>ID-400222</t>
  </si>
  <si>
    <t>a1G3p000005ncDXEAY</t>
  </si>
  <si>
    <t>ID-400223</t>
  </si>
  <si>
    <t>a1G3p000005ncDYEAY</t>
  </si>
  <si>
    <t>ID-400224</t>
  </si>
  <si>
    <t>a1G3p000005ncDZEAY</t>
  </si>
  <si>
    <t>ID-400225</t>
  </si>
  <si>
    <t>a1G3p000005ncDaEAI</t>
  </si>
  <si>
    <t>ID-400226</t>
  </si>
  <si>
    <t>II-43126</t>
  </si>
  <si>
    <t>a1G3p000005ncDbEAI</t>
  </si>
  <si>
    <t>ID-400227</t>
  </si>
  <si>
    <t>a1G3p000005ncDcEAI</t>
  </si>
  <si>
    <t>ID-400228</t>
  </si>
  <si>
    <t>a1G3p000005ncDdEAI</t>
  </si>
  <si>
    <t>ID-400229</t>
  </si>
  <si>
    <t>a1G3p000005ncDeEAI</t>
  </si>
  <si>
    <t>ID-400230</t>
  </si>
  <si>
    <t>a1G3p000005ncDfEAI</t>
  </si>
  <si>
    <t>ID-400231</t>
  </si>
  <si>
    <t>a1G3p000005ncDgEAI</t>
  </si>
  <si>
    <t>ID-400232</t>
  </si>
  <si>
    <t>a1G3p000005ncDhEAI</t>
  </si>
  <si>
    <t>ID-400233</t>
  </si>
  <si>
    <t>a1G3p000005ncDiEAI</t>
  </si>
  <si>
    <t>ID-400234</t>
  </si>
  <si>
    <t>a1G3p000005ncDjEAI</t>
  </si>
  <si>
    <t>ID-400235</t>
  </si>
  <si>
    <t>a1G3p000005ncDkEAI</t>
  </si>
  <si>
    <t>ID-400236</t>
  </si>
  <si>
    <t>II-43127</t>
  </si>
  <si>
    <t>a1G3p000005ncDlEAI</t>
  </si>
  <si>
    <t>ID-400237</t>
  </si>
  <si>
    <t>a1G3p000005ncDmEAI</t>
  </si>
  <si>
    <t>ID-400238</t>
  </si>
  <si>
    <t>a1G3p000005ncDnEAI</t>
  </si>
  <si>
    <t>ID-400239</t>
  </si>
  <si>
    <t>a1G3p000005ncDoEAI</t>
  </si>
  <si>
    <t>ID-400240</t>
  </si>
  <si>
    <t>a1G3p000005ncDpEAI</t>
  </si>
  <si>
    <t>ID-400241</t>
  </si>
  <si>
    <t>a1G3p000005ncDqEAI</t>
  </si>
  <si>
    <t>ID-400242</t>
  </si>
  <si>
    <t>a1G3p000005ncDrEAI</t>
  </si>
  <si>
    <t>ID-400243</t>
  </si>
  <si>
    <t>a1G3p000005ncDsEAI</t>
  </si>
  <si>
    <t>ID-400244</t>
  </si>
  <si>
    <t>a1G3p000005ncDtEAI</t>
  </si>
  <si>
    <t>ID-400245</t>
  </si>
  <si>
    <t>a1G3p000005ncDuEAI</t>
  </si>
  <si>
    <t>ID-400246</t>
  </si>
  <si>
    <t>II-43128</t>
  </si>
  <si>
    <t>a1G3p000005ncDvEAI</t>
  </si>
  <si>
    <t>ID-400247</t>
  </si>
  <si>
    <t>a1G3p000005ncDwEAI</t>
  </si>
  <si>
    <t>ID-400248</t>
  </si>
  <si>
    <t>a1G3p000005ncDxEAI</t>
  </si>
  <si>
    <t>ID-400249</t>
  </si>
  <si>
    <t>a1G3p000005ncDyEAI</t>
  </si>
  <si>
    <t>ID-400250</t>
  </si>
  <si>
    <t>a1G3p000005ncDzEAI</t>
  </si>
  <si>
    <t>ID-400251</t>
  </si>
  <si>
    <t>a1G3p000005ncE0EAI</t>
  </si>
  <si>
    <t>ID-400252</t>
  </si>
  <si>
    <t>a1G3p000005ncE1EAI</t>
  </si>
  <si>
    <t>ID-400253</t>
  </si>
  <si>
    <t>a1G3p000005ncE2EAI</t>
  </si>
  <si>
    <t>ID-400254</t>
  </si>
  <si>
    <t>a1G3p000005ncE3EAI</t>
  </si>
  <si>
    <t>ID-400255</t>
  </si>
  <si>
    <t>a1G3p000005ncE4EAI</t>
  </si>
  <si>
    <t>ID-400256</t>
  </si>
  <si>
    <t>II-43129</t>
  </si>
  <si>
    <t>a1G3p000005ncE5EAI</t>
  </si>
  <si>
    <t>ID-400257</t>
  </si>
  <si>
    <t>a1G3p000005ncE6EAI</t>
  </si>
  <si>
    <t>ID-400258</t>
  </si>
  <si>
    <t>a1G3p000005ncE7EAI</t>
  </si>
  <si>
    <t>ID-400259</t>
  </si>
  <si>
    <t>a1G3p000005ncE8EAI</t>
  </si>
  <si>
    <t>ID-400260</t>
  </si>
  <si>
    <t>a1G3p000005ncE9EAI</t>
  </si>
  <si>
    <t>ID-400261</t>
  </si>
  <si>
    <t>a1G3p000005ncEAEAY</t>
  </si>
  <si>
    <t>ID-400262</t>
  </si>
  <si>
    <t>a1G3p000005ncEBEAY</t>
  </si>
  <si>
    <t>ID-400263</t>
  </si>
  <si>
    <t>a1G3p000005ncECEAY</t>
  </si>
  <si>
    <t>ID-400264</t>
  </si>
  <si>
    <t>a1G3p000005ncEDEAY</t>
  </si>
  <si>
    <t>ID-400265</t>
  </si>
  <si>
    <t>a1G3p000005ncEEEAY</t>
  </si>
  <si>
    <t>ID-400266</t>
  </si>
  <si>
    <t>II-43130</t>
  </si>
  <si>
    <t>a1G3p000005ncEFEAY</t>
  </si>
  <si>
    <t>ID-400267</t>
  </si>
  <si>
    <t>a1G3p000005ncEGEAY</t>
  </si>
  <si>
    <t>ID-400268</t>
  </si>
  <si>
    <t>a1G3p000005ncEHEAY</t>
  </si>
  <si>
    <t>ID-400269</t>
  </si>
  <si>
    <t>a1G3p000005ncEIEAY</t>
  </si>
  <si>
    <t>ID-400270</t>
  </si>
  <si>
    <t>a1G3p000005ncEJEAY</t>
  </si>
  <si>
    <t>ID-400271</t>
  </si>
  <si>
    <t>a1G3p000005ncEKEAY</t>
  </si>
  <si>
    <t>ID-400272</t>
  </si>
  <si>
    <t>a1G3p000005ncELEAY</t>
  </si>
  <si>
    <t>ID-400273</t>
  </si>
  <si>
    <t>a1G3p000005ncEMEAY</t>
  </si>
  <si>
    <t>ID-400274</t>
  </si>
  <si>
    <t>a1G3p000005ncENEAY</t>
  </si>
  <si>
    <t>ID-400275</t>
  </si>
  <si>
    <t>a1G3p000005ncEOEAY</t>
  </si>
  <si>
    <t>ID-400276</t>
  </si>
  <si>
    <t>II-43131</t>
  </si>
  <si>
    <t>a1G3p000005ncEPEAY</t>
  </si>
  <si>
    <t>ID-400277</t>
  </si>
  <si>
    <t>a1G3p000005ncEQEAY</t>
  </si>
  <si>
    <t>ID-400278</t>
  </si>
  <si>
    <t>a1G3p000005ncEREAY</t>
  </si>
  <si>
    <t>ID-400279</t>
  </si>
  <si>
    <t>a1G3p000005ncESEAY</t>
  </si>
  <si>
    <t>ID-400280</t>
  </si>
  <si>
    <t>a1G3p000005ncETEAY</t>
  </si>
  <si>
    <t>ID-400281</t>
  </si>
  <si>
    <t>a1G3p000005ncEUEAY</t>
  </si>
  <si>
    <t>ID-400282</t>
  </si>
  <si>
    <t>a1G3p000005ncEVEAY</t>
  </si>
  <si>
    <t>ID-400283</t>
  </si>
  <si>
    <t>a1G3p000005ncEWEAY</t>
  </si>
  <si>
    <t>ID-400284</t>
  </si>
  <si>
    <t>a1G3p000005ncEXEAY</t>
  </si>
  <si>
    <t>ID-400285</t>
  </si>
  <si>
    <t>a1G3p000005ncEYEAY</t>
  </si>
  <si>
    <t>ID-400286</t>
  </si>
  <si>
    <t>II-43132</t>
  </si>
  <si>
    <t>a1G3p000005ncEZEAY</t>
  </si>
  <si>
    <t>ID-400287</t>
  </si>
  <si>
    <t>a1G3p000005ncEaEAI</t>
  </si>
  <si>
    <t>ID-400288</t>
  </si>
  <si>
    <t>a1G3p000005ncEbEAI</t>
  </si>
  <si>
    <t>ID-400289</t>
  </si>
  <si>
    <t>a1G3p000005ncEcEAI</t>
  </si>
  <si>
    <t>ID-400290</t>
  </si>
  <si>
    <t>a1G3p000005ncEdEAI</t>
  </si>
  <si>
    <t>ID-400291</t>
  </si>
  <si>
    <t>a1G3p000005ncEeEAI</t>
  </si>
  <si>
    <t>ID-400292</t>
  </si>
  <si>
    <t>a1G3p000005ncEfEAI</t>
  </si>
  <si>
    <t>ID-400293</t>
  </si>
  <si>
    <t>a1G3p000005ncEgEAI</t>
  </si>
  <si>
    <t>ID-400294</t>
  </si>
  <si>
    <t>a1G3p000005ncEhEAI</t>
  </si>
  <si>
    <t>ID-400295</t>
  </si>
  <si>
    <t>a1G3p000005ncEiEAI</t>
  </si>
  <si>
    <t>ID-400296</t>
  </si>
  <si>
    <t>II-43133</t>
  </si>
  <si>
    <t>a1G3p000005ncEjEAI</t>
  </si>
  <si>
    <t>ID-400297</t>
  </si>
  <si>
    <t>a1G3p000005ncEkEAI</t>
  </si>
  <si>
    <t>ID-400298</t>
  </si>
  <si>
    <t>a1G3p000005ncElEAI</t>
  </si>
  <si>
    <t>ID-400299</t>
  </si>
  <si>
    <t>a1G3p000005ncEmEAI</t>
  </si>
  <si>
    <t>ID-400300</t>
  </si>
  <si>
    <t>a1G3p000005ncEnEAI</t>
  </si>
  <si>
    <t>ID-400301</t>
  </si>
  <si>
    <t>a1G3p000005ncEoEAI</t>
  </si>
  <si>
    <t>ID-400302</t>
  </si>
  <si>
    <t>a1G3p000005ncEpEAI</t>
  </si>
  <si>
    <t>ID-400303</t>
  </si>
  <si>
    <t>a1G3p000005ncEqEAI</t>
  </si>
  <si>
    <t>ID-400304</t>
  </si>
  <si>
    <t>a1G3p000005ncErEAI</t>
  </si>
  <si>
    <t>ID-400305</t>
  </si>
  <si>
    <t>a1G3p000005ncEsEAI</t>
  </si>
  <si>
    <t>ID-400306</t>
  </si>
  <si>
    <t>II-43134</t>
  </si>
  <si>
    <t>a1G3p000005ncEtEAI</t>
  </si>
  <si>
    <t>ID-400307</t>
  </si>
  <si>
    <t>a1G3p000005ncEuEAI</t>
  </si>
  <si>
    <t>ID-400308</t>
  </si>
  <si>
    <t>a1G3p000005ncEvEAI</t>
  </si>
  <si>
    <t>ID-400309</t>
  </si>
  <si>
    <t>a1G3p000005ncEwEAI</t>
  </si>
  <si>
    <t>ID-400310</t>
  </si>
  <si>
    <t>a1G3p000005ncExEAI</t>
  </si>
  <si>
    <t>ID-400311</t>
  </si>
  <si>
    <t>a1G3p000005ncEyEAI</t>
  </si>
  <si>
    <t>ID-400312</t>
  </si>
  <si>
    <t>a1G3p000005ncEzEAI</t>
  </si>
  <si>
    <t>ID-400313</t>
  </si>
  <si>
    <t>a1G3p000005ncF0EAI</t>
  </si>
  <si>
    <t>ID-400314</t>
  </si>
  <si>
    <t>a1G3p000005ncF1EAI</t>
  </si>
  <si>
    <t>ID-400315</t>
  </si>
  <si>
    <t>a1G3p000005ncF2EAI</t>
  </si>
  <si>
    <t>ID-400316</t>
  </si>
  <si>
    <t>II-43135</t>
  </si>
  <si>
    <t>a1G3p000005ncF3EAI</t>
  </si>
  <si>
    <t>ID-400317</t>
  </si>
  <si>
    <t>a1G3p000005ncF4EAI</t>
  </si>
  <si>
    <t>ID-400318</t>
  </si>
  <si>
    <t>a1G3p000005ncF5EAI</t>
  </si>
  <si>
    <t>ID-400319</t>
  </si>
  <si>
    <t>a1G3p000005ncF6EAI</t>
  </si>
  <si>
    <t>ID-400320</t>
  </si>
  <si>
    <t>a1G3p000005ncF7EAI</t>
  </si>
  <si>
    <t>ID-400321</t>
  </si>
  <si>
    <t>a1G3p000005ncF8EAI</t>
  </si>
  <si>
    <t>ID-400322</t>
  </si>
  <si>
    <t>a1G3p000005ncF9EAI</t>
  </si>
  <si>
    <t>ID-400323</t>
  </si>
  <si>
    <t>a1G3p000005ncFAEAY</t>
  </si>
  <si>
    <t>ID-400324</t>
  </si>
  <si>
    <t>a1G3p000005ncFBEAY</t>
  </si>
  <si>
    <t>ID-400325</t>
  </si>
  <si>
    <t>a1G3p000005ncFCEAY</t>
  </si>
  <si>
    <t>ID-400326</t>
  </si>
  <si>
    <t>II-43136</t>
  </si>
  <si>
    <t>a1G3p000005ncFDEAY</t>
  </si>
  <si>
    <t>ID-400327</t>
  </si>
  <si>
    <t>a1G3p000005ncFEEAY</t>
  </si>
  <si>
    <t>ID-400328</t>
  </si>
  <si>
    <t>a1G3p000005ncFFEAY</t>
  </si>
  <si>
    <t>ID-400329</t>
  </si>
  <si>
    <t>a1G3p000005ncFGEAY</t>
  </si>
  <si>
    <t>ID-400330</t>
  </si>
  <si>
    <t>a1G3p000005ncFHEAY</t>
  </si>
  <si>
    <t>ID-400331</t>
  </si>
  <si>
    <t>a1G3p000005ncFIEAY</t>
  </si>
  <si>
    <t>ID-400332</t>
  </si>
  <si>
    <t>a1G3p000005ncFJEAY</t>
  </si>
  <si>
    <t>ID-400333</t>
  </si>
  <si>
    <t>a1G3p000005ncFKEAY</t>
  </si>
  <si>
    <t>ID-400334</t>
  </si>
  <si>
    <t>a1G3p000005ncFLEAY</t>
  </si>
  <si>
    <t>ID-400335</t>
  </si>
  <si>
    <t>a1G3p000005ncFMEAY</t>
  </si>
  <si>
    <t>ID-400336</t>
  </si>
  <si>
    <t>II-43137</t>
  </si>
  <si>
    <t>a1G3p000005ncFNEAY</t>
  </si>
  <si>
    <t>ID-400337</t>
  </si>
  <si>
    <t>a1G3p000005ncFOEAY</t>
  </si>
  <si>
    <t>ID-400338</t>
  </si>
  <si>
    <t>a1G3p000005ncFPEAY</t>
  </si>
  <si>
    <t>ID-400339</t>
  </si>
  <si>
    <t>a1G3p000005ncFQEAY</t>
  </si>
  <si>
    <t>ID-400340</t>
  </si>
  <si>
    <t>a1G3p000005ncFREAY</t>
  </si>
  <si>
    <t>ID-400341</t>
  </si>
  <si>
    <t>a1G3p000005ncFSEAY</t>
  </si>
  <si>
    <t>ID-400342</t>
  </si>
  <si>
    <t>a1G3p000005ncFTEAY</t>
  </si>
  <si>
    <t>ID-400343</t>
  </si>
  <si>
    <t>a1G3p000005ncFUEAY</t>
  </si>
  <si>
    <t>ID-400344</t>
  </si>
  <si>
    <t>a1G3p000005ncFVEAY</t>
  </si>
  <si>
    <t>ID-400345</t>
  </si>
  <si>
    <t>a1G3p000005ncFWEAY</t>
  </si>
  <si>
    <t>ID-400346</t>
  </si>
  <si>
    <t>II-43138</t>
  </si>
  <si>
    <t>a1G3p000005ncFXEAY</t>
  </si>
  <si>
    <t>ID-400347</t>
  </si>
  <si>
    <t>a1G3p000005ncFYEAY</t>
  </si>
  <si>
    <t>ID-400348</t>
  </si>
  <si>
    <t>a1G3p000005ncFZEAY</t>
  </si>
  <si>
    <t>ID-400349</t>
  </si>
  <si>
    <t>a1G3p000005ncFaEAI</t>
  </si>
  <si>
    <t>ID-400350</t>
  </si>
  <si>
    <t>a1G3p000005ncFbEAI</t>
  </si>
  <si>
    <t>ID-400351</t>
  </si>
  <si>
    <t>a1G3p000005ncFcEAI</t>
  </si>
  <si>
    <t>ID-400352</t>
  </si>
  <si>
    <t>a1G3p000005ncFdEAI</t>
  </si>
  <si>
    <t>ID-400353</t>
  </si>
  <si>
    <t>a1G3p000005ncFeEAI</t>
  </si>
  <si>
    <t>ID-400354</t>
  </si>
  <si>
    <t>a1G3p000005ncFfEAI</t>
  </si>
  <si>
    <t>ID-400355</t>
  </si>
  <si>
    <t>a1G3p000005ncFgEAI</t>
  </si>
  <si>
    <t>ID-400356</t>
  </si>
  <si>
    <t>II-43139</t>
  </si>
  <si>
    <t>a1G3p000005ncFhEAI</t>
  </si>
  <si>
    <t>ID-400357</t>
  </si>
  <si>
    <t>a1G3p000005ncFiEAI</t>
  </si>
  <si>
    <t>ID-400358</t>
  </si>
  <si>
    <t>a1G3p000005ncFjEAI</t>
  </si>
  <si>
    <t>ID-400359</t>
  </si>
  <si>
    <t>a1G3p000005ncFkEAI</t>
  </si>
  <si>
    <t>ID-400360</t>
  </si>
  <si>
    <t>a1G3p000005ncFlEAI</t>
  </si>
  <si>
    <t>ID-400361</t>
  </si>
  <si>
    <t>a1G3p000005ncFmEAI</t>
  </si>
  <si>
    <t>ID-400362</t>
  </si>
  <si>
    <t>a1G3p000005ncFnEAI</t>
  </si>
  <si>
    <t>ID-400363</t>
  </si>
  <si>
    <t>a1G3p000005ncFoEAI</t>
  </si>
  <si>
    <t>ID-400364</t>
  </si>
  <si>
    <t>a1G3p000005ncFpEAI</t>
  </si>
  <si>
    <t>ID-400365</t>
  </si>
  <si>
    <t>a1G3p000005ncFqEAI</t>
  </si>
  <si>
    <t>ID-400366</t>
  </si>
  <si>
    <t>II-43140</t>
  </si>
  <si>
    <t>a1G3p000005ncFrEAI</t>
  </si>
  <si>
    <t>ID-400367</t>
  </si>
  <si>
    <t>a1G3p000005ncFsEAI</t>
  </si>
  <si>
    <t>ID-400368</t>
  </si>
  <si>
    <t>a1G3p000005ncFtEAI</t>
  </si>
  <si>
    <t>ID-400369</t>
  </si>
  <si>
    <t>a1G3p000005ncFuEAI</t>
  </si>
  <si>
    <t>ID-400370</t>
  </si>
  <si>
    <t>a1G3p000005ncFvEAI</t>
  </si>
  <si>
    <t>ID-400371</t>
  </si>
  <si>
    <t>a1G3p000005ncFwEAI</t>
  </si>
  <si>
    <t>ID-400372</t>
  </si>
  <si>
    <t>a1G3p000005ncFxEAI</t>
  </si>
  <si>
    <t>ID-400373</t>
  </si>
  <si>
    <t>a1G3p000005ncFyEAI</t>
  </si>
  <si>
    <t>ID-400374</t>
  </si>
  <si>
    <t>a1G3p000005ncFzEAI</t>
  </si>
  <si>
    <t>ID-400375</t>
  </si>
  <si>
    <t>a1G3p000005ncG0EAI</t>
  </si>
  <si>
    <t>ID-400376</t>
  </si>
  <si>
    <t>II-43141</t>
  </si>
  <si>
    <t>a1G3p000005ncG1EAI</t>
  </si>
  <si>
    <t>ID-400377</t>
  </si>
  <si>
    <t>a1G3p000005ncG2EAI</t>
  </si>
  <si>
    <t>ID-400378</t>
  </si>
  <si>
    <t>a1G3p000005ncG3EAI</t>
  </si>
  <si>
    <t>ID-400379</t>
  </si>
  <si>
    <t>a1G3p000005ncG4EAI</t>
  </si>
  <si>
    <t>ID-400380</t>
  </si>
  <si>
    <t>a1G3p000005ncG5EAI</t>
  </si>
  <si>
    <t>ID-400381</t>
  </si>
  <si>
    <t>a1G3p000005ncG6EAI</t>
  </si>
  <si>
    <t>ID-400382</t>
  </si>
  <si>
    <t>a1G3p000005ncG7EAI</t>
  </si>
  <si>
    <t>ID-400383</t>
  </si>
  <si>
    <t>a1G3p000005ncG8EAI</t>
  </si>
  <si>
    <t>ID-400384</t>
  </si>
  <si>
    <t>a1G3p000005ncG9EAI</t>
  </si>
  <si>
    <t>ID-400385</t>
  </si>
  <si>
    <t>a1G3p000005ncGAEAY</t>
  </si>
  <si>
    <t>ID-400386</t>
  </si>
  <si>
    <t>II-43142</t>
  </si>
  <si>
    <t>a1G3p000005ncGBEAY</t>
  </si>
  <si>
    <t>ID-400387</t>
  </si>
  <si>
    <t>a1G3p000005ncGCEAY</t>
  </si>
  <si>
    <t>ID-400388</t>
  </si>
  <si>
    <t>a1G3p000005ncGDEAY</t>
  </si>
  <si>
    <t>ID-400389</t>
  </si>
  <si>
    <t>a1G3p000005ncGEEAY</t>
  </si>
  <si>
    <t>ID-400390</t>
  </si>
  <si>
    <t>a1G3p000005ncGFEAY</t>
  </si>
  <si>
    <t>ID-400391</t>
  </si>
  <si>
    <t>a1G3p000005ncGGEAY</t>
  </si>
  <si>
    <t>ID-400392</t>
  </si>
  <si>
    <t>a1G3p000005ncGHEAY</t>
  </si>
  <si>
    <t>ID-400393</t>
  </si>
  <si>
    <t>a1G3p000005ncGIEAY</t>
  </si>
  <si>
    <t>ID-400394</t>
  </si>
  <si>
    <t>a1G3p000005ncGJEAY</t>
  </si>
  <si>
    <t>ID-400395</t>
  </si>
  <si>
    <t>a1G3p000005ncGKEAY</t>
  </si>
  <si>
    <t>ID-400396</t>
  </si>
  <si>
    <t>II-43143</t>
  </si>
  <si>
    <t>a1G3p000005ncGLEAY</t>
  </si>
  <si>
    <t>ID-400397</t>
  </si>
  <si>
    <t>a1G3p000005ncGMEAY</t>
  </si>
  <si>
    <t>ID-400398</t>
  </si>
  <si>
    <t>a1G3p000005ncGNEAY</t>
  </si>
  <si>
    <t>ID-400399</t>
  </si>
  <si>
    <t>a1G3p000005ncGOEAY</t>
  </si>
  <si>
    <t>ID-400400</t>
  </si>
  <si>
    <t>a1G3p000005ncGPEAY</t>
  </si>
  <si>
    <t>ID-400401</t>
  </si>
  <si>
    <t>a1G3p000005ncGQEAY</t>
  </si>
  <si>
    <t>ID-400402</t>
  </si>
  <si>
    <t>a1G3p000005ncGREAY</t>
  </si>
  <si>
    <t>ID-400403</t>
  </si>
  <si>
    <t>a1G3p000005ncGSEAY</t>
  </si>
  <si>
    <t>ID-400404</t>
  </si>
  <si>
    <t>a1G3p000005ncGTEAY</t>
  </si>
  <si>
    <t>ID-400405</t>
  </si>
  <si>
    <t>a1G3p000005ncGUEAY</t>
  </si>
  <si>
    <t>ID-400436</t>
  </si>
  <si>
    <t>II-43144</t>
  </si>
  <si>
    <t>a1G3p000005ncGzEAI</t>
  </si>
  <si>
    <t>ID-400437</t>
  </si>
  <si>
    <t>a1G3p000005ncH0EAI</t>
  </si>
  <si>
    <t>ID-400438</t>
  </si>
  <si>
    <t>a1G3p000005ncH1EAI</t>
  </si>
  <si>
    <t>ID-400439</t>
  </si>
  <si>
    <t>a1G3p000005ncH2EAI</t>
  </si>
  <si>
    <t>ID-400440</t>
  </si>
  <si>
    <t>a1G3p000005ncH3EAI</t>
  </si>
  <si>
    <t>ID-400441</t>
  </si>
  <si>
    <t>a1G3p000005ncH4EAI</t>
  </si>
  <si>
    <t>ID-400442</t>
  </si>
  <si>
    <t>a1G3p000005ncH5EAI</t>
  </si>
  <si>
    <t>ID-400443</t>
  </si>
  <si>
    <t>a1G3p000005ncH6EAI</t>
  </si>
  <si>
    <t>ID-400444</t>
  </si>
  <si>
    <t>a1G3p000005ncH7EAI</t>
  </si>
  <si>
    <t>ID-400445</t>
  </si>
  <si>
    <t>a1G3p000005ncH8EAI</t>
  </si>
  <si>
    <t>ID-400406</t>
  </si>
  <si>
    <t>II-43145</t>
  </si>
  <si>
    <t>a1G3p000005ncGVEAY</t>
  </si>
  <si>
    <t>ID-400407</t>
  </si>
  <si>
    <t>a1G3p000005ncGWEAY</t>
  </si>
  <si>
    <t>ID-400408</t>
  </si>
  <si>
    <t>a1G3p000005ncGXEAY</t>
  </si>
  <si>
    <t>ID-400409</t>
  </si>
  <si>
    <t>a1G3p000005ncGYEAY</t>
  </si>
  <si>
    <t>ID-400410</t>
  </si>
  <si>
    <t>a1G3p000005ncGZEAY</t>
  </si>
  <si>
    <t>ID-400411</t>
  </si>
  <si>
    <t>a1G3p000005ncGaEAI</t>
  </si>
  <si>
    <t>ID-400412</t>
  </si>
  <si>
    <t>a1G3p000005ncGbEAI</t>
  </si>
  <si>
    <t>ID-400414</t>
  </si>
  <si>
    <t>a1G3p000005ncGdEAI</t>
  </si>
  <si>
    <t>ID-400415</t>
  </si>
  <si>
    <t>a1G3p000005ncGeEAI</t>
  </si>
  <si>
    <t>ID-400416</t>
  </si>
  <si>
    <t>a1G3p000005ncGfEAI</t>
  </si>
  <si>
    <t>ID-400413</t>
  </si>
  <si>
    <t>II-43146</t>
  </si>
  <si>
    <t>a1G3p000005ncGcEAI</t>
  </si>
  <si>
    <t>ID-400417</t>
  </si>
  <si>
    <t>a1G3p000005ncGgEAI</t>
  </si>
  <si>
    <t>ID-400418</t>
  </si>
  <si>
    <t>a1G3p000005ncGhEAI</t>
  </si>
  <si>
    <t>ID-400419</t>
  </si>
  <si>
    <t>a1G3p000005ncGiEAI</t>
  </si>
  <si>
    <t>ID-400420</t>
  </si>
  <si>
    <t>a1G3p000005ncGjEAI</t>
  </si>
  <si>
    <t>ID-400421</t>
  </si>
  <si>
    <t>a1G3p000005ncGkEAI</t>
  </si>
  <si>
    <t>ID-400422</t>
  </si>
  <si>
    <t>a1G3p000005ncGlEAI</t>
  </si>
  <si>
    <t>ID-400423</t>
  </si>
  <si>
    <t>a1G3p000005ncGmEAI</t>
  </si>
  <si>
    <t>ID-400424</t>
  </si>
  <si>
    <t>a1G3p000005ncGnEAI</t>
  </si>
  <si>
    <t>ID-400425</t>
  </si>
  <si>
    <t>a1G3p000005ncGoEAI</t>
  </si>
  <si>
    <t>ID-400426</t>
  </si>
  <si>
    <t>II-43147</t>
  </si>
  <si>
    <t>a1G3p000005ncGpEAI</t>
  </si>
  <si>
    <t>ID-400427</t>
  </si>
  <si>
    <t>a1G3p000005ncGqEAI</t>
  </si>
  <si>
    <t>ID-400428</t>
  </si>
  <si>
    <t>a1G3p000005ncGrEAI</t>
  </si>
  <si>
    <t>ID-400429</t>
  </si>
  <si>
    <t>a1G3p000005ncGsEAI</t>
  </si>
  <si>
    <t>ID-400430</t>
  </si>
  <si>
    <t>a1G3p000005ncGtEAI</t>
  </si>
  <si>
    <t>ID-400431</t>
  </si>
  <si>
    <t>a1G3p000005ncGuEAI</t>
  </si>
  <si>
    <t>ID-400432</t>
  </si>
  <si>
    <t>a1G3p000005ncGvEAI</t>
  </si>
  <si>
    <t>ID-400433</t>
  </si>
  <si>
    <t>a1G3p000005ncGwEAI</t>
  </si>
  <si>
    <t>ID-400434</t>
  </si>
  <si>
    <t>a1G3p000005ncGxEAI</t>
  </si>
  <si>
    <t>ID-400435</t>
  </si>
  <si>
    <t>a1G3p000005ncGyEAI</t>
  </si>
  <si>
    <t>ID-400446</t>
  </si>
  <si>
    <t>II-43148</t>
  </si>
  <si>
    <t>a1G3p000005ncH9EAI</t>
  </si>
  <si>
    <t>ID-400447</t>
  </si>
  <si>
    <t>a1G3p000005ncHAEAY</t>
  </si>
  <si>
    <t>ID-400448</t>
  </si>
  <si>
    <t>a1G3p000005ncHBEAY</t>
  </si>
  <si>
    <t>ID-400449</t>
  </si>
  <si>
    <t>a1G3p000005ncHCEAY</t>
  </si>
  <si>
    <t>ID-400450</t>
  </si>
  <si>
    <t>a1G3p000005ncHDEAY</t>
  </si>
  <si>
    <t>ID-400451</t>
  </si>
  <si>
    <t>a1G3p000005ncHEEAY</t>
  </si>
  <si>
    <t>ID-400452</t>
  </si>
  <si>
    <t>a1G3p000005ncHFEAY</t>
  </si>
  <si>
    <t>ID-400453</t>
  </si>
  <si>
    <t>a1G3p000005ncHGEAY</t>
  </si>
  <si>
    <t>ID-400454</t>
  </si>
  <si>
    <t>a1G3p000005ncHHEAY</t>
  </si>
  <si>
    <t>ID-400455</t>
  </si>
  <si>
    <t>a1G3p000005ncHIEAY</t>
  </si>
  <si>
    <t>ID-400456</t>
  </si>
  <si>
    <t>II-43149</t>
  </si>
  <si>
    <t>a1G3p000005ncHJEAY</t>
  </si>
  <si>
    <t>ID-400457</t>
  </si>
  <si>
    <t>a1G3p000005ncHKEAY</t>
  </si>
  <si>
    <t>ID-400458</t>
  </si>
  <si>
    <t>a1G3p000005ncHLEAY</t>
  </si>
  <si>
    <t>ID-400459</t>
  </si>
  <si>
    <t>a1G3p000005ncHMEAY</t>
  </si>
  <si>
    <t>ID-400460</t>
  </si>
  <si>
    <t>a1G3p000005ncHNEAY</t>
  </si>
  <si>
    <t>ID-400461</t>
  </si>
  <si>
    <t>a1G3p000005ncHOEAY</t>
  </si>
  <si>
    <t>ID-400462</t>
  </si>
  <si>
    <t>a1G3p000005ncHPEAY</t>
  </si>
  <si>
    <t>ID-400463</t>
  </si>
  <si>
    <t>a1G3p000005ncHQEAY</t>
  </si>
  <si>
    <t>ID-400464</t>
  </si>
  <si>
    <t>a1G3p000005ncHREAY</t>
  </si>
  <si>
    <t>ID-400465</t>
  </si>
  <si>
    <t>a1G3p000005ncHSEAY</t>
  </si>
  <si>
    <t>ID-400466</t>
  </si>
  <si>
    <t>II-43150</t>
  </si>
  <si>
    <t>a1G3p000005ncHTEAY</t>
  </si>
  <si>
    <t>ID-400467</t>
  </si>
  <si>
    <t>a1G3p000005ncHUEAY</t>
  </si>
  <si>
    <t>ID-400468</t>
  </si>
  <si>
    <t>a1G3p000005ncHVEAY</t>
  </si>
  <si>
    <t>ID-400469</t>
  </si>
  <si>
    <t>a1G3p000005ncHWEAY</t>
  </si>
  <si>
    <t>ID-400470</t>
  </si>
  <si>
    <t>a1G3p000005ncHXEAY</t>
  </si>
  <si>
    <t>ID-400471</t>
  </si>
  <si>
    <t>a1G3p000005ncHYEAY</t>
  </si>
  <si>
    <t>ID-400472</t>
  </si>
  <si>
    <t>a1G3p000005ncHZEAY</t>
  </si>
  <si>
    <t>ID-400473</t>
  </si>
  <si>
    <t>a1G3p000005ncHaEAI</t>
  </si>
  <si>
    <t>ID-400474</t>
  </si>
  <si>
    <t>a1G3p000005ncHbEAI</t>
  </si>
  <si>
    <t>ID-400475</t>
  </si>
  <si>
    <t>a1G3p000005ncHcEAI</t>
  </si>
  <si>
    <t>ID-400496</t>
  </si>
  <si>
    <t>II-43151</t>
  </si>
  <si>
    <t>a1G3p000005ncHxEAI</t>
  </si>
  <si>
    <t>ID-400497</t>
  </si>
  <si>
    <t>a1G3p000005ncHyEAI</t>
  </si>
  <si>
    <t>ID-400498</t>
  </si>
  <si>
    <t>a1G3p000005ncHzEAI</t>
  </si>
  <si>
    <t>ID-400499</t>
  </si>
  <si>
    <t>a1G3p000005ncI0EAI</t>
  </si>
  <si>
    <t>ID-400500</t>
  </si>
  <si>
    <t>a1G3p000005ncI1EAI</t>
  </si>
  <si>
    <t>ID-400501</t>
  </si>
  <si>
    <t>a1G3p000005ncI2EAI</t>
  </si>
  <si>
    <t>ID-400502</t>
  </si>
  <si>
    <t>a1G3p000005ncI3EAI</t>
  </si>
  <si>
    <t>ID-400503</t>
  </si>
  <si>
    <t>a1G3p000005ncI4EAI</t>
  </si>
  <si>
    <t>ID-400504</t>
  </si>
  <si>
    <t>a1G3p000005ncI5EAI</t>
  </si>
  <si>
    <t>ID-400505</t>
  </si>
  <si>
    <t>a1G3p000005ncI6EAI</t>
  </si>
  <si>
    <t>ID-400476</t>
  </si>
  <si>
    <t>II-43152</t>
  </si>
  <si>
    <t>a1G3p000005ncHdEAI</t>
  </si>
  <si>
    <t>ID-400477</t>
  </si>
  <si>
    <t>a1G3p000005ncHeEAI</t>
  </si>
  <si>
    <t>ID-400478</t>
  </si>
  <si>
    <t>a1G3p000005ncHfEAI</t>
  </si>
  <si>
    <t>ID-400479</t>
  </si>
  <si>
    <t>a1G3p000005ncHgEAI</t>
  </si>
  <si>
    <t>ID-400480</t>
  </si>
  <si>
    <t>a1G3p000005ncHhEAI</t>
  </si>
  <si>
    <t>ID-400481</t>
  </si>
  <si>
    <t>a1G3p000005ncHiEAI</t>
  </si>
  <si>
    <t>ID-400482</t>
  </si>
  <si>
    <t>a1G3p000005ncHjEAI</t>
  </si>
  <si>
    <t>ID-400483</t>
  </si>
  <si>
    <t>a1G3p000005ncHkEAI</t>
  </si>
  <si>
    <t>ID-400484</t>
  </si>
  <si>
    <t>a1G3p000005ncHlEAI</t>
  </si>
  <si>
    <t>ID-400485</t>
  </si>
  <si>
    <t>a1G3p000005ncHmEAI</t>
  </si>
  <si>
    <t>ID-400486</t>
  </si>
  <si>
    <t>II-43153</t>
  </si>
  <si>
    <t>a1G3p000005ncHnEAI</t>
  </si>
  <si>
    <t>ID-400487</t>
  </si>
  <si>
    <t>a1G3p000005ncHoEAI</t>
  </si>
  <si>
    <t>ID-400488</t>
  </si>
  <si>
    <t>a1G3p000005ncHpEAI</t>
  </si>
  <si>
    <t>ID-400489</t>
  </si>
  <si>
    <t>a1G3p000005ncHqEAI</t>
  </si>
  <si>
    <t>ID-400490</t>
  </si>
  <si>
    <t>a1G3p000005ncHrEAI</t>
  </si>
  <si>
    <t>ID-400491</t>
  </si>
  <si>
    <t>a1G3p000005ncHsEAI</t>
  </si>
  <si>
    <t>ID-400492</t>
  </si>
  <si>
    <t>a1G3p000005ncHtEAI</t>
  </si>
  <si>
    <t>ID-400493</t>
  </si>
  <si>
    <t>a1G3p000005ncHuEAI</t>
  </si>
  <si>
    <t>ID-400494</t>
  </si>
  <si>
    <t>a1G3p000005ncHvEAI</t>
  </si>
  <si>
    <t>ID-400495</t>
  </si>
  <si>
    <t>a1G3p000005ncHwEAI</t>
  </si>
  <si>
    <t>ODN-394774</t>
  </si>
  <si>
    <t>OI-42434</t>
  </si>
  <si>
    <t>Being a focused country, no disaggregation is requiered</t>
  </si>
  <si>
    <t>a1V3p000006jw8SEAQ</t>
  </si>
  <si>
    <t>ODN-394775</t>
  </si>
  <si>
    <t>a1V3p000006jw8TEAQ</t>
  </si>
  <si>
    <t>ODN-394776</t>
  </si>
  <si>
    <t>a1V3p000006jw8UEAQ</t>
  </si>
  <si>
    <t>ODN-394777</t>
  </si>
  <si>
    <t>a1V3p000006jw8VEAQ</t>
  </si>
  <si>
    <t>ODN-394778</t>
  </si>
  <si>
    <t>a1V3p000006jw8WEAQ</t>
  </si>
  <si>
    <t>ODN-394779</t>
  </si>
  <si>
    <t>a1V3p000006jw8XEAQ</t>
  </si>
  <si>
    <t>ODN-394780</t>
  </si>
  <si>
    <t>a1V3p000006jw8YEAQ</t>
  </si>
  <si>
    <t>ODN-394781</t>
  </si>
  <si>
    <t>a1V3p000006jw8ZEAQ</t>
  </si>
  <si>
    <t>ODN-394782</t>
  </si>
  <si>
    <t>a1V3p000006jw8aEAA</t>
  </si>
  <si>
    <t>ODN-394783</t>
  </si>
  <si>
    <t>a1V3p000006jw8bEAA</t>
  </si>
  <si>
    <t>ODN-394784</t>
  </si>
  <si>
    <t>OI-42435</t>
  </si>
  <si>
    <t>a1V3p000006jw8cEAA</t>
  </si>
  <si>
    <t>ODN-394785</t>
  </si>
  <si>
    <t>a1V3p000006jw8dEAA</t>
  </si>
  <si>
    <t>ODN-394786</t>
  </si>
  <si>
    <t>a1V3p000006jw8eEAA</t>
  </si>
  <si>
    <t>ODN-394787</t>
  </si>
  <si>
    <t>a1V3p000006jw8fEAA</t>
  </si>
  <si>
    <t>ODN-394788</t>
  </si>
  <si>
    <t>a1V3p000006jw8gEAA</t>
  </si>
  <si>
    <t>ODN-394789</t>
  </si>
  <si>
    <t>a1V3p000006jw8hEAA</t>
  </si>
  <si>
    <t>ODN-394790</t>
  </si>
  <si>
    <t>a1V3p000006jw8iEAA</t>
  </si>
  <si>
    <t>ODN-394791</t>
  </si>
  <si>
    <t>a1V3p000006jw8jEAA</t>
  </si>
  <si>
    <t>ODN-394792</t>
  </si>
  <si>
    <t>a1V3p000006jw8kEAA</t>
  </si>
  <si>
    <t>ODN-394793</t>
  </si>
  <si>
    <t>a1V3p000006jw8lEAA</t>
  </si>
  <si>
    <t>ODN-394794</t>
  </si>
  <si>
    <t>OI-42436</t>
  </si>
  <si>
    <t>a1V3p000006jw8mEAA</t>
  </si>
  <si>
    <t>ODN-394795</t>
  </si>
  <si>
    <t>a1V3p000006jw8nEAA</t>
  </si>
  <si>
    <t>ODN-394796</t>
  </si>
  <si>
    <t>a1V3p000006jw8oEAA</t>
  </si>
  <si>
    <t>ODN-394797</t>
  </si>
  <si>
    <t>a1V3p000006jw8pEAA</t>
  </si>
  <si>
    <t>ODN-394798</t>
  </si>
  <si>
    <t>a1V3p000006jw8qEAA</t>
  </si>
  <si>
    <t>ODN-394799</t>
  </si>
  <si>
    <t>a1V3p000006jw8rEAA</t>
  </si>
  <si>
    <t>ODN-394800</t>
  </si>
  <si>
    <t>a1V3p000006jw8sEAA</t>
  </si>
  <si>
    <t>ODN-394801</t>
  </si>
  <si>
    <t>a1V3p000006jw8tEAA</t>
  </si>
  <si>
    <t>ODN-394802</t>
  </si>
  <si>
    <t>a1V3p000006jw8uEAA</t>
  </si>
  <si>
    <t>ODN-394803</t>
  </si>
  <si>
    <t>a1V3p000006jw8vEAA</t>
  </si>
  <si>
    <t>ODN-394804</t>
  </si>
  <si>
    <t>OI-42437</t>
  </si>
  <si>
    <t>a1V3p000006jw8wEAA</t>
  </si>
  <si>
    <t>ODN-394805</t>
  </si>
  <si>
    <t>a1V3p000006jw8xEAA</t>
  </si>
  <si>
    <t>ODN-394806</t>
  </si>
  <si>
    <t>a1V3p000006jw8yEAA</t>
  </si>
  <si>
    <t>ODN-394807</t>
  </si>
  <si>
    <t>a1V3p000006jw8zEAA</t>
  </si>
  <si>
    <t>ODN-394808</t>
  </si>
  <si>
    <t>a1V3p000006jw90EAA</t>
  </si>
  <si>
    <t>ODN-394809</t>
  </si>
  <si>
    <t>a1V3p000006jw91EAA</t>
  </si>
  <si>
    <t>ODN-394810</t>
  </si>
  <si>
    <t>a1V3p000006jw92EAA</t>
  </si>
  <si>
    <t>ODN-394811</t>
  </si>
  <si>
    <t>a1V3p000006jw93EAA</t>
  </si>
  <si>
    <t>ODN-394812</t>
  </si>
  <si>
    <t>a1V3p000006jw94EAA</t>
  </si>
  <si>
    <t>ODN-394813</t>
  </si>
  <si>
    <t>a1V3p000006jw95EAA</t>
  </si>
  <si>
    <t>ODN-394814</t>
  </si>
  <si>
    <t>OI-42438</t>
  </si>
  <si>
    <t>a1V3p000006jw96EAA</t>
  </si>
  <si>
    <t>ODN-394815</t>
  </si>
  <si>
    <t>a1V3p000006jw97EAA</t>
  </si>
  <si>
    <t>ODN-394816</t>
  </si>
  <si>
    <t>a1V3p000006jw98EAA</t>
  </si>
  <si>
    <t>ODN-394817</t>
  </si>
  <si>
    <t>a1V3p000006jw99EAA</t>
  </si>
  <si>
    <t>ODN-394818</t>
  </si>
  <si>
    <t>a1V3p000006jw9AEAQ</t>
  </si>
  <si>
    <t>ODN-394819</t>
  </si>
  <si>
    <t>a1V3p000006jw9BEAQ</t>
  </si>
  <si>
    <t>ODN-394820</t>
  </si>
  <si>
    <t>a1V3p000006jw9CEAQ</t>
  </si>
  <si>
    <t>ODN-394821</t>
  </si>
  <si>
    <t>a1V3p000006jw9DEAQ</t>
  </si>
  <si>
    <t>ODN-394822</t>
  </si>
  <si>
    <t>a1V3p000006jw9EEAQ</t>
  </si>
  <si>
    <t>ODN-394823</t>
  </si>
  <si>
    <t>a1V3p000006jw9FEAQ</t>
  </si>
  <si>
    <t>ODN-394824</t>
  </si>
  <si>
    <t>OI-42439</t>
  </si>
  <si>
    <t>a1V3p000006jw9GEAQ</t>
  </si>
  <si>
    <t>ODN-394825</t>
  </si>
  <si>
    <t>a1V3p000006jw9HEAQ</t>
  </si>
  <si>
    <t>ODN-394826</t>
  </si>
  <si>
    <t>a1V3p000006jw9IEAQ</t>
  </si>
  <si>
    <t>ODN-394827</t>
  </si>
  <si>
    <t>a1V3p000006jw9JEAQ</t>
  </si>
  <si>
    <t>ODN-394828</t>
  </si>
  <si>
    <t>a1V3p000006jw9KEAQ</t>
  </si>
  <si>
    <t>ODN-394829</t>
  </si>
  <si>
    <t>a1V3p000006jw9LEAQ</t>
  </si>
  <si>
    <t>ODN-394830</t>
  </si>
  <si>
    <t>a1V3p000006jw9MEAQ</t>
  </si>
  <si>
    <t>ODN-394831</t>
  </si>
  <si>
    <t>a1V3p000006jw9NEAQ</t>
  </si>
  <si>
    <t>ODN-394832</t>
  </si>
  <si>
    <t>a1V3p000006jw9OEAQ</t>
  </si>
  <si>
    <t>ODN-394833</t>
  </si>
  <si>
    <t>a1V3p000006jw9PEAQ</t>
  </si>
  <si>
    <t>ODN-394834</t>
  </si>
  <si>
    <t>OI-42440</t>
  </si>
  <si>
    <t>a1V3p000006jw9QEAQ</t>
  </si>
  <si>
    <t>ODN-394835</t>
  </si>
  <si>
    <t>a1V3p000006jw9REAQ</t>
  </si>
  <si>
    <t>ODN-394836</t>
  </si>
  <si>
    <t>a1V3p000006jw9SEAQ</t>
  </si>
  <si>
    <t>ODN-394837</t>
  </si>
  <si>
    <t>a1V3p000006jw9TEAQ</t>
  </si>
  <si>
    <t>ODN-394838</t>
  </si>
  <si>
    <t>a1V3p000006jw9UEAQ</t>
  </si>
  <si>
    <t>ODN-394839</t>
  </si>
  <si>
    <t>a1V3p000006jw9VEAQ</t>
  </si>
  <si>
    <t>ODN-394840</t>
  </si>
  <si>
    <t>a1V3p000006jw9WEAQ</t>
  </si>
  <si>
    <t>ODN-394841</t>
  </si>
  <si>
    <t>a1V3p000006jw9XEAQ</t>
  </si>
  <si>
    <t>ODN-394842</t>
  </si>
  <si>
    <t>a1V3p000006jw9YEAQ</t>
  </si>
  <si>
    <t>ODN-394843</t>
  </si>
  <si>
    <t>a1V3p000006jw9ZEAQ</t>
  </si>
  <si>
    <t>ODN-394844</t>
  </si>
  <si>
    <t>OI-42441</t>
  </si>
  <si>
    <t>a1V3p000006jw9aEAA</t>
  </si>
  <si>
    <t>ODN-394845</t>
  </si>
  <si>
    <t>a1V3p000006jw9bEAA</t>
  </si>
  <si>
    <t>ODN-394846</t>
  </si>
  <si>
    <t>a1V3p000006jw9cEAA</t>
  </si>
  <si>
    <t>ODN-394847</t>
  </si>
  <si>
    <t>a1V3p000006jw9dEAA</t>
  </si>
  <si>
    <t>ODN-394848</t>
  </si>
  <si>
    <t>a1V3p000006jw9eEAA</t>
  </si>
  <si>
    <t>ODN-394849</t>
  </si>
  <si>
    <t>a1V3p000006jw9fEAA</t>
  </si>
  <si>
    <t>ODN-394850</t>
  </si>
  <si>
    <t>a1V3p000006jw9gEAA</t>
  </si>
  <si>
    <t>ODN-394851</t>
  </si>
  <si>
    <t>a1V3p000006jw9hEAA</t>
  </si>
  <si>
    <t>ODN-394852</t>
  </si>
  <si>
    <t>a1V3p000006jw9iEAA</t>
  </si>
  <si>
    <t>ODN-394853</t>
  </si>
  <si>
    <t>a1V3p000006jw9jEAA</t>
  </si>
  <si>
    <t>ODN-394854</t>
  </si>
  <si>
    <t>OI-42442</t>
  </si>
  <si>
    <t>a1V3p000006jw9kEAA</t>
  </si>
  <si>
    <t>ODN-394855</t>
  </si>
  <si>
    <t>a1V3p000006jw9lEAA</t>
  </si>
  <si>
    <t>ODN-394856</t>
  </si>
  <si>
    <t>a1V3p000006jw9mEAA</t>
  </si>
  <si>
    <t>ODN-394857</t>
  </si>
  <si>
    <t>a1V3p000006jw9nEAA</t>
  </si>
  <si>
    <t>ODN-394858</t>
  </si>
  <si>
    <t>a1V3p000006jw9oEAA</t>
  </si>
  <si>
    <t>ODN-394859</t>
  </si>
  <si>
    <t>a1V3p000006jw9pEAA</t>
  </si>
  <si>
    <t>ODN-394860</t>
  </si>
  <si>
    <t>a1V3p000006jw9qEAA</t>
  </si>
  <si>
    <t>ODN-394861</t>
  </si>
  <si>
    <t>a1V3p000006jw9rEAA</t>
  </si>
  <si>
    <t>ODN-394862</t>
  </si>
  <si>
    <t>a1V3p000006jw9sEAA</t>
  </si>
  <si>
    <t>ODN-394863</t>
  </si>
  <si>
    <t>a1V3p000006jw9tEAA</t>
  </si>
  <si>
    <t>ODN-394864</t>
  </si>
  <si>
    <t>OI-42443</t>
  </si>
  <si>
    <t>a1V3p000006jw9uEAA</t>
  </si>
  <si>
    <t>ODN-394865</t>
  </si>
  <si>
    <t>a1V3p000006jw9vEAA</t>
  </si>
  <si>
    <t>ODN-394866</t>
  </si>
  <si>
    <t>a1V3p000006jw9wEAA</t>
  </si>
  <si>
    <t>ODN-394867</t>
  </si>
  <si>
    <t>a1V3p000006jw9xEAA</t>
  </si>
  <si>
    <t>ODN-394868</t>
  </si>
  <si>
    <t>a1V3p000006jw9yEAA</t>
  </si>
  <si>
    <t>ODN-394869</t>
  </si>
  <si>
    <t>a1V3p000006jw9zEAA</t>
  </si>
  <si>
    <t>ODN-394870</t>
  </si>
  <si>
    <t>a1V3p000006jwA0EAI</t>
  </si>
  <si>
    <t>ODN-394871</t>
  </si>
  <si>
    <t>a1V3p000006jwA1EAI</t>
  </si>
  <si>
    <t>ODN-394872</t>
  </si>
  <si>
    <t>a1V3p000006jwA2EAI</t>
  </si>
  <si>
    <t>ODN-394873</t>
  </si>
  <si>
    <t>a1V3p000006jwA3EAI</t>
  </si>
  <si>
    <t>ODN-394874</t>
  </si>
  <si>
    <t>OI-42444</t>
  </si>
  <si>
    <t>a1V3p000006jwA4EAI</t>
  </si>
  <si>
    <t>ODN-394875</t>
  </si>
  <si>
    <t>a1V3p000006jwA5EAI</t>
  </si>
  <si>
    <t>ODN-394876</t>
  </si>
  <si>
    <t>a1V3p000006jwA6EAI</t>
  </si>
  <si>
    <t>ODN-394877</t>
  </si>
  <si>
    <t>a1V3p000006jwA7EAI</t>
  </si>
  <si>
    <t>ODN-394878</t>
  </si>
  <si>
    <t>a1V3p000006jwA8EAI</t>
  </si>
  <si>
    <t>ODN-394879</t>
  </si>
  <si>
    <t>a1V3p000006jwA9EAI</t>
  </si>
  <si>
    <t>ODN-394880</t>
  </si>
  <si>
    <t>a1V3p000006jwAAEAY</t>
  </si>
  <si>
    <t>ODN-394881</t>
  </si>
  <si>
    <t>a1V3p000006jwABEAY</t>
  </si>
  <si>
    <t>ODN-394882</t>
  </si>
  <si>
    <t>a1V3p000006jwACEAY</t>
  </si>
  <si>
    <t>ODN-394883</t>
  </si>
  <si>
    <t>a1V3p000006jwADEAY</t>
  </si>
  <si>
    <t>ODN-394884</t>
  </si>
  <si>
    <t>OI-42445</t>
  </si>
  <si>
    <t>a1V3p000006jwAEEAY</t>
  </si>
  <si>
    <t>ODN-394885</t>
  </si>
  <si>
    <t>a1V3p000006jwAFEAY</t>
  </si>
  <si>
    <t>ODN-394886</t>
  </si>
  <si>
    <t>a1V3p000006jwAGEAY</t>
  </si>
  <si>
    <t>ODN-394887</t>
  </si>
  <si>
    <t>a1V3p000006jwAHEAY</t>
  </si>
  <si>
    <t>ODN-394888</t>
  </si>
  <si>
    <t>a1V3p000006jwAIEAY</t>
  </si>
  <si>
    <t>ODN-394889</t>
  </si>
  <si>
    <t>a1V3p000006jwAJEAY</t>
  </si>
  <si>
    <t>ODN-394890</t>
  </si>
  <si>
    <t>a1V3p000006jwAKEAY</t>
  </si>
  <si>
    <t>ODN-394891</t>
  </si>
  <si>
    <t>a1V3p000006jwALEAY</t>
  </si>
  <si>
    <t>ODN-394892</t>
  </si>
  <si>
    <t>a1V3p000006jwAMEAY</t>
  </si>
  <si>
    <t>ODN-394893</t>
  </si>
  <si>
    <t>a1V3p000006jwANEAY</t>
  </si>
  <si>
    <t>ODN-394894</t>
  </si>
  <si>
    <t>OI-42446</t>
  </si>
  <si>
    <t>a1V3p000006jwAOEAY</t>
  </si>
  <si>
    <t>ODN-394895</t>
  </si>
  <si>
    <t>a1V3p000006jwAPEAY</t>
  </si>
  <si>
    <t>ODN-394896</t>
  </si>
  <si>
    <t>a1V3p000006jwAQEAY</t>
  </si>
  <si>
    <t>ODN-394897</t>
  </si>
  <si>
    <t>a1V3p000006jwAREAY</t>
  </si>
  <si>
    <t>ODN-394898</t>
  </si>
  <si>
    <t>a1V3p000006jwASEAY</t>
  </si>
  <si>
    <t>ODN-394899</t>
  </si>
  <si>
    <t>a1V3p000006jwATEAY</t>
  </si>
  <si>
    <t>ODN-394900</t>
  </si>
  <si>
    <t>a1V3p000006jwAUEAY</t>
  </si>
  <si>
    <t>ODN-394901</t>
  </si>
  <si>
    <t>a1V3p000006jwAVEAY</t>
  </si>
  <si>
    <t>ODN-394902</t>
  </si>
  <si>
    <t>a1V3p000006jwAWEAY</t>
  </si>
  <si>
    <t>ODN-394903</t>
  </si>
  <si>
    <t>a1V3p000006jwAXEAY</t>
  </si>
  <si>
    <t>ODN-394904</t>
  </si>
  <si>
    <t>OI-42447</t>
  </si>
  <si>
    <t>a1V3p000006jwAYEAY</t>
  </si>
  <si>
    <t>ODN-394905</t>
  </si>
  <si>
    <t>a1V3p000006jwAZEAY</t>
  </si>
  <si>
    <t>ODN-394906</t>
  </si>
  <si>
    <t>a1V3p000006jwAaEAI</t>
  </si>
  <si>
    <t>ODN-394907</t>
  </si>
  <si>
    <t>a1V3p000006jwAbEAI</t>
  </si>
  <si>
    <t>ODN-394908</t>
  </si>
  <si>
    <t>a1V3p000006jwAcEAI</t>
  </si>
  <si>
    <t>ODN-394909</t>
  </si>
  <si>
    <t>a1V3p000006jwAdEAI</t>
  </si>
  <si>
    <t>ODN-394910</t>
  </si>
  <si>
    <t>a1V3p000006jwAeEAI</t>
  </si>
  <si>
    <t>ODN-394911</t>
  </si>
  <si>
    <t>a1V3p000006jwAfEAI</t>
  </si>
  <si>
    <t>ODN-394912</t>
  </si>
  <si>
    <t>a1V3p000006jwAgEAI</t>
  </si>
  <si>
    <t>ODN-394913</t>
  </si>
  <si>
    <t>a1V3p000006jwAhEAI</t>
  </si>
  <si>
    <t>ODN-394914</t>
  </si>
  <si>
    <t>OI-42448</t>
  </si>
  <si>
    <t>a1V3p000006jwAiEAI</t>
  </si>
  <si>
    <t>ODN-394915</t>
  </si>
  <si>
    <t>a1V3p000006jwAjEAI</t>
  </si>
  <si>
    <t>ODN-394916</t>
  </si>
  <si>
    <t>a1V3p000006jwAkEAI</t>
  </si>
  <si>
    <t>ODN-394917</t>
  </si>
  <si>
    <t>a1V3p000006jwAlEAI</t>
  </si>
  <si>
    <t>ODN-394918</t>
  </si>
  <si>
    <t>a1V3p000006jwAmEAI</t>
  </si>
  <si>
    <t>ODN-394919</t>
  </si>
  <si>
    <t>a1V3p000006jwAnEAI</t>
  </si>
  <si>
    <t>ODN-394920</t>
  </si>
  <si>
    <t>a1V3p000006jwAoEAI</t>
  </si>
  <si>
    <t>ODN-394921</t>
  </si>
  <si>
    <t>a1V3p000006jwApEAI</t>
  </si>
  <si>
    <t>ODN-394922</t>
  </si>
  <si>
    <t>a1V3p000006jwAqEAI</t>
  </si>
  <si>
    <t>ODN-394923</t>
  </si>
  <si>
    <t>a1V3p000006jwArEAI</t>
  </si>
  <si>
    <t>ODN-394924</t>
  </si>
  <si>
    <t>OI-42449</t>
  </si>
  <si>
    <t>a1V3p000006jwAsEAI</t>
  </si>
  <si>
    <t>ODN-394925</t>
  </si>
  <si>
    <t>a1V3p000006jwAtEAI</t>
  </si>
  <si>
    <t>ODN-394926</t>
  </si>
  <si>
    <t>a1V3p000006jwAuEAI</t>
  </si>
  <si>
    <t>ODN-394927</t>
  </si>
  <si>
    <t>a1V3p000006jwAvEAI</t>
  </si>
  <si>
    <t>ODN-394928</t>
  </si>
  <si>
    <t>a1V3p000006jwAwEAI</t>
  </si>
  <si>
    <t>ODN-394929</t>
  </si>
  <si>
    <t>a1V3p000006jwAxEAI</t>
  </si>
  <si>
    <t>ODN-394930</t>
  </si>
  <si>
    <t>a1V3p000006jwAyEAI</t>
  </si>
  <si>
    <t>ODN-394931</t>
  </si>
  <si>
    <t>a1V3p000006jwAzEAI</t>
  </si>
  <si>
    <t>ODN-394932</t>
  </si>
  <si>
    <t>a1V3p000006jwB0EAI</t>
  </si>
  <si>
    <t>ODN-394933</t>
  </si>
  <si>
    <t>a1V3p000006jwB1EAI</t>
  </si>
  <si>
    <t>ODN-394934</t>
  </si>
  <si>
    <t>OI-42450</t>
  </si>
  <si>
    <t>a1V3p000006jwB2EAI</t>
  </si>
  <si>
    <t>ODN-394935</t>
  </si>
  <si>
    <t>a1V3p000006jwB3EAI</t>
  </si>
  <si>
    <t>ODN-394936</t>
  </si>
  <si>
    <t>a1V3p000006jwB4EAI</t>
  </si>
  <si>
    <t>ODN-394937</t>
  </si>
  <si>
    <t>a1V3p000006jwB5EAI</t>
  </si>
  <si>
    <t>ODN-394938</t>
  </si>
  <si>
    <t>a1V3p000006jwB6EAI</t>
  </si>
  <si>
    <t>ODN-394939</t>
  </si>
  <si>
    <t>a1V3p000006jwB7EAI</t>
  </si>
  <si>
    <t>ODN-394940</t>
  </si>
  <si>
    <t>a1V3p000006jwB8EAI</t>
  </si>
  <si>
    <t>ODN-394941</t>
  </si>
  <si>
    <t>a1V3p000006jwB9EAI</t>
  </si>
  <si>
    <t>ODN-394942</t>
  </si>
  <si>
    <t>a1V3p000006jwBAEAY</t>
  </si>
  <si>
    <t>ODN-394943</t>
  </si>
  <si>
    <t>a1V3p000006jwBBEAY</t>
  </si>
  <si>
    <t>ODN-394944</t>
  </si>
  <si>
    <t>OI-42451</t>
  </si>
  <si>
    <t>a1V3p000006jwBCEAY</t>
  </si>
  <si>
    <t>ODN-394945</t>
  </si>
  <si>
    <t>a1V3p000006jwBDEAY</t>
  </si>
  <si>
    <t>ODN-394946</t>
  </si>
  <si>
    <t>a1V3p000006jwBEEAY</t>
  </si>
  <si>
    <t>ODN-394947</t>
  </si>
  <si>
    <t>a1V3p000006jwBFEAY</t>
  </si>
  <si>
    <t>ODN-394948</t>
  </si>
  <si>
    <t>a1V3p000006jwBGEAY</t>
  </si>
  <si>
    <t>ODN-394949</t>
  </si>
  <si>
    <t>a1V3p000006jwBHEAY</t>
  </si>
  <si>
    <t>ODN-394950</t>
  </si>
  <si>
    <t>a1V3p000006jwBIEAY</t>
  </si>
  <si>
    <t>ODN-394951</t>
  </si>
  <si>
    <t>a1V3p000006jwBJEAY</t>
  </si>
  <si>
    <t>ODN-394952</t>
  </si>
  <si>
    <t>a1V3p000006jwBKEAY</t>
  </si>
  <si>
    <t>ODN-394953</t>
  </si>
  <si>
    <t>a1V3p000006jwBLEAY</t>
  </si>
  <si>
    <t>ODN-394954</t>
  </si>
  <si>
    <t>OI-42452</t>
  </si>
  <si>
    <t>a1V3p000006jwBMEAY</t>
  </si>
  <si>
    <t>ODN-394955</t>
  </si>
  <si>
    <t>a1V3p000006jwBNEAY</t>
  </si>
  <si>
    <t>ODN-394956</t>
  </si>
  <si>
    <t>a1V3p000006jwBOEAY</t>
  </si>
  <si>
    <t>ODN-394957</t>
  </si>
  <si>
    <t>a1V3p000006jwBPEAY</t>
  </si>
  <si>
    <t>ODN-394958</t>
  </si>
  <si>
    <t>a1V3p000006jwBQEAY</t>
  </si>
  <si>
    <t>ODN-394959</t>
  </si>
  <si>
    <t>a1V3p000006jwBREAY</t>
  </si>
  <si>
    <t>ODN-394960</t>
  </si>
  <si>
    <t>a1V3p000006jwBSEAY</t>
  </si>
  <si>
    <t>ODN-394961</t>
  </si>
  <si>
    <t>a1V3p000006jwBTEAY</t>
  </si>
  <si>
    <t>ODN-394962</t>
  </si>
  <si>
    <t>a1V3p000006jwBUEAY</t>
  </si>
  <si>
    <t>ODN-394963</t>
  </si>
  <si>
    <t>a1V3p000006jwBVEAY</t>
  </si>
  <si>
    <t>ODN-394964</t>
  </si>
  <si>
    <t>OI-42453</t>
  </si>
  <si>
    <t>a1V3p000006jwBWEAY</t>
  </si>
  <si>
    <t>ODN-394965</t>
  </si>
  <si>
    <t>a1V3p000006jwBXEAY</t>
  </si>
  <si>
    <t>ODN-394966</t>
  </si>
  <si>
    <t>a1V3p000006jwBYEAY</t>
  </si>
  <si>
    <t>ODN-394967</t>
  </si>
  <si>
    <t>a1V3p000006jwBZEAY</t>
  </si>
  <si>
    <t>ODN-394968</t>
  </si>
  <si>
    <t>a1V3p000006jwBaEAI</t>
  </si>
  <si>
    <t>ODN-394969</t>
  </si>
  <si>
    <t>a1V3p000006jwBbEAI</t>
  </si>
  <si>
    <t>ODN-394970</t>
  </si>
  <si>
    <t>a1V3p000006jwBcEAI</t>
  </si>
  <si>
    <t>ODN-394971</t>
  </si>
  <si>
    <t>a1V3p000006jwBdEAI</t>
  </si>
  <si>
    <t>ODN-394972</t>
  </si>
  <si>
    <t>a1V3p000006jwBeEAI</t>
  </si>
  <si>
    <t>ODN-394973</t>
  </si>
  <si>
    <t>a1V3p000006jwBfEAI</t>
  </si>
  <si>
    <t>ODN-394974</t>
  </si>
  <si>
    <t>OI-42454</t>
  </si>
  <si>
    <t>a1V3p000006jwBgEAI</t>
  </si>
  <si>
    <t>ODN-394975</t>
  </si>
  <si>
    <t>a1V3p000006jwBhEAI</t>
  </si>
  <si>
    <t>ODN-394976</t>
  </si>
  <si>
    <t>a1V3p000006jwBiEAI</t>
  </si>
  <si>
    <t>ODN-394977</t>
  </si>
  <si>
    <t>a1V3p000006jwBjEAI</t>
  </si>
  <si>
    <t>ODN-394978</t>
  </si>
  <si>
    <t>a1V3p000006jwBkEAI</t>
  </si>
  <si>
    <t>ODN-394979</t>
  </si>
  <si>
    <t>a1V3p000006jwBlEAI</t>
  </si>
  <si>
    <t>ODN-394980</t>
  </si>
  <si>
    <t>a1V3p000006jwBmEAI</t>
  </si>
  <si>
    <t>ODN-394981</t>
  </si>
  <si>
    <t>a1V3p000006jwBnEAI</t>
  </si>
  <si>
    <t>ODN-394982</t>
  </si>
  <si>
    <t>a1V3p000006jwBoEAI</t>
  </si>
  <si>
    <t>ODN-394983</t>
  </si>
  <si>
    <t>a1V3p000006jwBpEAI</t>
  </si>
  <si>
    <t>ODN-394984</t>
  </si>
  <si>
    <t>OI-42455</t>
  </si>
  <si>
    <t>a1V3p000006jwBqEAI</t>
  </si>
  <si>
    <t>ODN-394985</t>
  </si>
  <si>
    <t>a1V3p000006jwBrEAI</t>
  </si>
  <si>
    <t>ODN-394986</t>
  </si>
  <si>
    <t>a1V3p000006jwBsEAI</t>
  </si>
  <si>
    <t>ODN-394987</t>
  </si>
  <si>
    <t>a1V3p000006jwBtEAI</t>
  </si>
  <si>
    <t>ODN-394988</t>
  </si>
  <si>
    <t>a1V3p000006jwBuEAI</t>
  </si>
  <si>
    <t>ODN-394989</t>
  </si>
  <si>
    <t>a1V3p000006jwBvEAI</t>
  </si>
  <si>
    <t>ODN-394990</t>
  </si>
  <si>
    <t>a1V3p000006jwBwEAI</t>
  </si>
  <si>
    <t>ODN-394991</t>
  </si>
  <si>
    <t>a1V3p000006jwBxEAI</t>
  </si>
  <si>
    <t>ODN-394992</t>
  </si>
  <si>
    <t>a1V3p000006jwByEAI</t>
  </si>
  <si>
    <t>ODN-394993</t>
  </si>
  <si>
    <t>a1V3p000006jwBzEAI</t>
  </si>
  <si>
    <t>ODN-394994</t>
  </si>
  <si>
    <t>OI-42456</t>
  </si>
  <si>
    <t>a1V3p000006jwC0EAI</t>
  </si>
  <si>
    <t>ODN-394995</t>
  </si>
  <si>
    <t>a1V3p000006jwC1EAI</t>
  </si>
  <si>
    <t>ODN-394996</t>
  </si>
  <si>
    <t>a1V3p000006jwC2EAI</t>
  </si>
  <si>
    <t>ODN-394997</t>
  </si>
  <si>
    <t>a1V3p000006jwC3EAI</t>
  </si>
  <si>
    <t>ODN-394998</t>
  </si>
  <si>
    <t>a1V3p000006jwC4EAI</t>
  </si>
  <si>
    <t>ODN-394999</t>
  </si>
  <si>
    <t>a1V3p000006jwC5EAI</t>
  </si>
  <si>
    <t>ODN-395000</t>
  </si>
  <si>
    <t>a1V3p000006jwC6EAI</t>
  </si>
  <si>
    <t>ODN-395001</t>
  </si>
  <si>
    <t>a1V3p000006jwC7EAI</t>
  </si>
  <si>
    <t>ODN-395002</t>
  </si>
  <si>
    <t>a1V3p000006jwC8EAI</t>
  </si>
  <si>
    <t>ODN-395003</t>
  </si>
  <si>
    <t>a1V3p000006jwC9EAI</t>
  </si>
  <si>
    <t>ODN-395004</t>
  </si>
  <si>
    <t>OI-42457</t>
  </si>
  <si>
    <t>a1V3p000006jwCAEAY</t>
  </si>
  <si>
    <t>ODN-395005</t>
  </si>
  <si>
    <t>a1V3p000006jwCBEAY</t>
  </si>
  <si>
    <t>ODN-395006</t>
  </si>
  <si>
    <t>a1V3p000006jwCCEAY</t>
  </si>
  <si>
    <t>ODN-395007</t>
  </si>
  <si>
    <t>a1V3p000006jwCDEAY</t>
  </si>
  <si>
    <t>ODN-395008</t>
  </si>
  <si>
    <t>a1V3p000006jwCEEAY</t>
  </si>
  <si>
    <t>ODN-395009</t>
  </si>
  <si>
    <t>a1V3p000006jwCFEAY</t>
  </si>
  <si>
    <t>ODN-395010</t>
  </si>
  <si>
    <t>a1V3p000006jwCGEAY</t>
  </si>
  <si>
    <t>ODN-395011</t>
  </si>
  <si>
    <t>a1V3p000006jwCHEAY</t>
  </si>
  <si>
    <t>ODN-395012</t>
  </si>
  <si>
    <t>a1V3p000006jwCIEAY</t>
  </si>
  <si>
    <t>ODN-395013</t>
  </si>
  <si>
    <t>a1V3p000006jwCJEAY</t>
  </si>
  <si>
    <t>ODN-395014</t>
  </si>
  <si>
    <t>OI-42458</t>
  </si>
  <si>
    <t>a1V3p000006jwCKEAY</t>
  </si>
  <si>
    <t>ODN-395015</t>
  </si>
  <si>
    <t>a1V3p000006jwCLEAY</t>
  </si>
  <si>
    <t>ODN-395016</t>
  </si>
  <si>
    <t>a1V3p000006jwCMEAY</t>
  </si>
  <si>
    <t>ODN-395017</t>
  </si>
  <si>
    <t>a1V3p000006jwCNEAY</t>
  </si>
  <si>
    <t>ODN-395018</t>
  </si>
  <si>
    <t>a1V3p000006jwCOEAY</t>
  </si>
  <si>
    <t>ODN-395019</t>
  </si>
  <si>
    <t>a1V3p000006jwCPEAY</t>
  </si>
  <si>
    <t>ODN-395020</t>
  </si>
  <si>
    <t>a1V3p000006jwCQEAY</t>
  </si>
  <si>
    <t>ODN-395021</t>
  </si>
  <si>
    <t>a1V3p000006jwCREAY</t>
  </si>
  <si>
    <t>ODN-395022</t>
  </si>
  <si>
    <t>a1V3p000006jwCSEAY</t>
  </si>
  <si>
    <t>ODN-395023</t>
  </si>
  <si>
    <t>a1V3p000006jwCTEAY</t>
  </si>
  <si>
    <t>ODN-395024</t>
  </si>
  <si>
    <t>OI-42459</t>
  </si>
  <si>
    <t>a1V3p000006jwCUEAY</t>
  </si>
  <si>
    <t>ODN-395025</t>
  </si>
  <si>
    <t>a1V3p000006jwCVEAY</t>
  </si>
  <si>
    <t>ODN-395026</t>
  </si>
  <si>
    <t>a1V3p000006jwCWEAY</t>
  </si>
  <si>
    <t>ODN-395027</t>
  </si>
  <si>
    <t>a1V3p000006jwCXEAY</t>
  </si>
  <si>
    <t>ODN-395028</t>
  </si>
  <si>
    <t>a1V3p000006jwCYEAY</t>
  </si>
  <si>
    <t>ODN-395029</t>
  </si>
  <si>
    <t>a1V3p000006jwCZEAY</t>
  </si>
  <si>
    <t>ODN-395030</t>
  </si>
  <si>
    <t>a1V3p000006jwCaEAI</t>
  </si>
  <si>
    <t>ODN-395031</t>
  </si>
  <si>
    <t>a1V3p000006jwCbEAI</t>
  </si>
  <si>
    <t>ODN-395032</t>
  </si>
  <si>
    <t>a1V3p000006jwCcEAI</t>
  </si>
  <si>
    <t>ODN-395033</t>
  </si>
  <si>
    <t>a1V3p000006jwCdEAI</t>
  </si>
  <si>
    <t>ODN-395034</t>
  </si>
  <si>
    <t>OI-42460</t>
  </si>
  <si>
    <t>a1V3p000006jwCeEAI</t>
  </si>
  <si>
    <t>ODN-395035</t>
  </si>
  <si>
    <t>a1V3p000006jwCfEAI</t>
  </si>
  <si>
    <t>ODN-395036</t>
  </si>
  <si>
    <t>a1V3p000006jwCgEAI</t>
  </si>
  <si>
    <t>ODN-395037</t>
  </si>
  <si>
    <t>a1V3p000006jwChEAI</t>
  </si>
  <si>
    <t>ODN-395038</t>
  </si>
  <si>
    <t>a1V3p000006jwCiEAI</t>
  </si>
  <si>
    <t>ODN-395039</t>
  </si>
  <si>
    <t>a1V3p000006jwCjEAI</t>
  </si>
  <si>
    <t>ODN-395040</t>
  </si>
  <si>
    <t>a1V3p000006jwCkEAI</t>
  </si>
  <si>
    <t>ODN-395041</t>
  </si>
  <si>
    <t>a1V3p000006jwClEAI</t>
  </si>
  <si>
    <t>ODN-395042</t>
  </si>
  <si>
    <t>a1V3p000006jwCmEAI</t>
  </si>
  <si>
    <t>ODN-395043</t>
  </si>
  <si>
    <t>a1V3p000006jwCnEAI</t>
  </si>
  <si>
    <t>ODN-395044</t>
  </si>
  <si>
    <t>OI-42461</t>
  </si>
  <si>
    <t>a1V3p000006jwCoEAI</t>
  </si>
  <si>
    <t>ODN-395045</t>
  </si>
  <si>
    <t>a1V3p000006jwCpEAI</t>
  </si>
  <si>
    <t>ODN-395046</t>
  </si>
  <si>
    <t>a1V3p000006jwCqEAI</t>
  </si>
  <si>
    <t>ODN-395047</t>
  </si>
  <si>
    <t>a1V3p000006jwCrEAI</t>
  </si>
  <si>
    <t>ODN-395048</t>
  </si>
  <si>
    <t>a1V3p000006jwCsEAI</t>
  </si>
  <si>
    <t>ODN-395049</t>
  </si>
  <si>
    <t>a1V3p000006jwCtEAI</t>
  </si>
  <si>
    <t>ODN-395050</t>
  </si>
  <si>
    <t>a1V3p000006jwCuEAI</t>
  </si>
  <si>
    <t>ODN-395051</t>
  </si>
  <si>
    <t>a1V3p000006jwCvEAI</t>
  </si>
  <si>
    <t>ODN-395052</t>
  </si>
  <si>
    <t>a1V3p000006jwCwEAI</t>
  </si>
  <si>
    <t>ODN-395053</t>
  </si>
  <si>
    <t>a1V3p000006jwCxEAI</t>
  </si>
  <si>
    <t>ODN-395054</t>
  </si>
  <si>
    <t>OI-42462</t>
  </si>
  <si>
    <t>a1V3p000006jwCyEAI</t>
  </si>
  <si>
    <t>ODN-395055</t>
  </si>
  <si>
    <t>a1V3p000006jwCzEAI</t>
  </si>
  <si>
    <t>ODN-395056</t>
  </si>
  <si>
    <t>a1V3p000006jwD0EAI</t>
  </si>
  <si>
    <t>ODN-395057</t>
  </si>
  <si>
    <t>a1V3p000006jwD1EAI</t>
  </si>
  <si>
    <t>ODN-395058</t>
  </si>
  <si>
    <t>a1V3p000006jwD2EAI</t>
  </si>
  <si>
    <t>ODN-395059</t>
  </si>
  <si>
    <t>a1V3p000006jwD3EAI</t>
  </si>
  <si>
    <t>ODN-395060</t>
  </si>
  <si>
    <t>a1V3p000006jwD4EAI</t>
  </si>
  <si>
    <t>ODN-395061</t>
  </si>
  <si>
    <t>a1V3p000006jwD5EAI</t>
  </si>
  <si>
    <t>ODN-395062</t>
  </si>
  <si>
    <t>a1V3p000006jwD6EAI</t>
  </si>
  <si>
    <t>ODN-395063</t>
  </si>
  <si>
    <t>a1V3p000006jwD7EAI</t>
  </si>
  <si>
    <t>ODN-395064</t>
  </si>
  <si>
    <t>OI-42463</t>
  </si>
  <si>
    <t>a1V3p000006jwD8EAI</t>
  </si>
  <si>
    <t>ODN-395065</t>
  </si>
  <si>
    <t>a1V3p000006jwD9EAI</t>
  </si>
  <si>
    <t>ODN-395066</t>
  </si>
  <si>
    <t>a1V3p000006jwDAEAY</t>
  </si>
  <si>
    <t>ODN-395067</t>
  </si>
  <si>
    <t>a1V3p000006jwDBEAY</t>
  </si>
  <si>
    <t>ODN-395068</t>
  </si>
  <si>
    <t>a1V3p000006jwDCEAY</t>
  </si>
  <si>
    <t>ODN-395069</t>
  </si>
  <si>
    <t>a1V3p000006jwDDEAY</t>
  </si>
  <si>
    <t>ODN-395070</t>
  </si>
  <si>
    <t>a1V3p000006jwDEEAY</t>
  </si>
  <si>
    <t>ODN-395071</t>
  </si>
  <si>
    <t>a1V3p000006jwDFEAY</t>
  </si>
  <si>
    <t>ODN-395072</t>
  </si>
  <si>
    <t>a1V3p000006jwDGEAY</t>
  </si>
  <si>
    <t>ODN-395073</t>
  </si>
  <si>
    <t>a1V3p000006jwDHEAY</t>
  </si>
  <si>
    <t>CD-1069110</t>
  </si>
  <si>
    <t>CI-87177</t>
  </si>
  <si>
    <t>a163p000004NtLaAAK</t>
  </si>
  <si>
    <t>CD-1069111</t>
  </si>
  <si>
    <t>a163p000004NtLbAAK</t>
  </si>
  <si>
    <t>CD-1069112</t>
  </si>
  <si>
    <t>a163p000004NtLcAAK</t>
  </si>
  <si>
    <t>CD-1069113</t>
  </si>
  <si>
    <t>a163p000004NtLdAAK</t>
  </si>
  <si>
    <t>CD-1069114</t>
  </si>
  <si>
    <t>a163p000004NtLeAAK</t>
  </si>
  <si>
    <t>CD-1069115</t>
  </si>
  <si>
    <t>a163p000004NtLfAAK</t>
  </si>
  <si>
    <t>CD-1069116</t>
  </si>
  <si>
    <t>a163p000004NtLgAAK</t>
  </si>
  <si>
    <t>CD-1069117</t>
  </si>
  <si>
    <t>a163p000004NtLhAAK</t>
  </si>
  <si>
    <t>CD-1069118</t>
  </si>
  <si>
    <t>a163p000004NtLiAAK</t>
  </si>
  <si>
    <t>CD-1069119</t>
  </si>
  <si>
    <t>a163p000004NtLjAAK</t>
  </si>
  <si>
    <t>CD-1069120</t>
  </si>
  <si>
    <t>a163p000004NtLkAAK</t>
  </si>
  <si>
    <t>CD-1069121</t>
  </si>
  <si>
    <t>a163p000004NtLlAAK</t>
  </si>
  <si>
    <t>CD-1069122</t>
  </si>
  <si>
    <t>a163p000004NtLmAAK</t>
  </si>
  <si>
    <t>CD-1069123</t>
  </si>
  <si>
    <t>a163p000004NtLnAAK</t>
  </si>
  <si>
    <t>CD-1069124</t>
  </si>
  <si>
    <t>a163p000004NtLoAAK</t>
  </si>
  <si>
    <t>CD-1069125</t>
  </si>
  <si>
    <t>a163p000004NtLpAAK</t>
  </si>
  <si>
    <t>CD-1069126</t>
  </si>
  <si>
    <t>a163p000004NtLqAAK</t>
  </si>
  <si>
    <t>CD-1069127</t>
  </si>
  <si>
    <t>a163p000004NtLrAAK</t>
  </si>
  <si>
    <t>CD-1069128</t>
  </si>
  <si>
    <t>a163p000004NtLsAAK</t>
  </si>
  <si>
    <t>CD-1069129</t>
  </si>
  <si>
    <t>a163p000004NtLtAAK</t>
  </si>
  <si>
    <t>CD-1069130</t>
  </si>
  <si>
    <t>CI-87178</t>
  </si>
  <si>
    <t>a163p000004NtLuAAK</t>
  </si>
  <si>
    <t>CD-1069131</t>
  </si>
  <si>
    <t>a163p000004NtLvAAK</t>
  </si>
  <si>
    <t>CD-1069132</t>
  </si>
  <si>
    <t>a163p000004NtLwAAK</t>
  </si>
  <si>
    <t>CD-1069133</t>
  </si>
  <si>
    <t>a163p000004NtLxAAK</t>
  </si>
  <si>
    <t>CD-1069134</t>
  </si>
  <si>
    <t>a163p000004NtLyAAK</t>
  </si>
  <si>
    <t>CD-1069135</t>
  </si>
  <si>
    <t>a163p000004NtLzAAK</t>
  </si>
  <si>
    <t>CD-1069136</t>
  </si>
  <si>
    <t>a163p000004NtM0AAK</t>
  </si>
  <si>
    <t>CD-1069137</t>
  </si>
  <si>
    <t>a163p000004NtM1AAK</t>
  </si>
  <si>
    <t>CD-1069138</t>
  </si>
  <si>
    <t>a163p000004NtM2AAK</t>
  </si>
  <si>
    <t>CD-1069139</t>
  </si>
  <si>
    <t>a163p000004NtM3AAK</t>
  </si>
  <si>
    <t>CD-1069140</t>
  </si>
  <si>
    <t>a163p000004NtM4AAK</t>
  </si>
  <si>
    <t>CD-1069141</t>
  </si>
  <si>
    <t>a163p000004NtM5AAK</t>
  </si>
  <si>
    <t>CD-1069142</t>
  </si>
  <si>
    <t>a163p000004NtM6AAK</t>
  </si>
  <si>
    <t>CD-1069143</t>
  </si>
  <si>
    <t>a163p000004NtM7AAK</t>
  </si>
  <si>
    <t>CD-1069144</t>
  </si>
  <si>
    <t>a163p000004NtM8AAK</t>
  </si>
  <si>
    <t>CD-1069145</t>
  </si>
  <si>
    <t>a163p000004NtM9AAK</t>
  </si>
  <si>
    <t>CD-1069146</t>
  </si>
  <si>
    <t>a163p000004NtMAAA0</t>
  </si>
  <si>
    <t>CD-1069147</t>
  </si>
  <si>
    <t>a163p000004NtMBAA0</t>
  </si>
  <si>
    <t>CD-1069148</t>
  </si>
  <si>
    <t>a163p000004NtMCAA0</t>
  </si>
  <si>
    <t>CD-1069149</t>
  </si>
  <si>
    <t>a163p000004NtMDAA0</t>
  </si>
  <si>
    <t>CD-1069150</t>
  </si>
  <si>
    <t>CI-87179</t>
  </si>
  <si>
    <t>a163p000004NtMEAA0</t>
  </si>
  <si>
    <t>CD-1069151</t>
  </si>
  <si>
    <t>a163p000004NtMFAA0</t>
  </si>
  <si>
    <t>CD-1069152</t>
  </si>
  <si>
    <t>a163p000004NtMGAA0</t>
  </si>
  <si>
    <t>CD-1069153</t>
  </si>
  <si>
    <t>a163p000004NtMHAA0</t>
  </si>
  <si>
    <t>CD-1069154</t>
  </si>
  <si>
    <t>a163p000004NtMIAA0</t>
  </si>
  <si>
    <t>CD-1069155</t>
  </si>
  <si>
    <t>a163p000004NtMJAA0</t>
  </si>
  <si>
    <t>CD-1069156</t>
  </si>
  <si>
    <t>a163p000004NtMKAA0</t>
  </si>
  <si>
    <t>CD-1069157</t>
  </si>
  <si>
    <t>a163p000004NtMLAA0</t>
  </si>
  <si>
    <t>CD-1069158</t>
  </si>
  <si>
    <t>a163p000004NtMMAA0</t>
  </si>
  <si>
    <t>CD-1069159</t>
  </si>
  <si>
    <t>a163p000004NtMNAA0</t>
  </si>
  <si>
    <t>CD-1069160</t>
  </si>
  <si>
    <t>a163p000004NtMOAA0</t>
  </si>
  <si>
    <t>CD-1069161</t>
  </si>
  <si>
    <t>a163p000004NtMPAA0</t>
  </si>
  <si>
    <t>CD-1069162</t>
  </si>
  <si>
    <t>a163p000004NtMQAA0</t>
  </si>
  <si>
    <t>CD-1069163</t>
  </si>
  <si>
    <t>a163p000004NtMRAA0</t>
  </si>
  <si>
    <t>CD-1069164</t>
  </si>
  <si>
    <t>a163p000004NtMSAA0</t>
  </si>
  <si>
    <t>CD-1069165</t>
  </si>
  <si>
    <t>a163p000004NtMTAA0</t>
  </si>
  <si>
    <t>CD-1069166</t>
  </si>
  <si>
    <t>a163p000004NtMUAA0</t>
  </si>
  <si>
    <t>CD-1069167</t>
  </si>
  <si>
    <t>a163p000004NtMVAA0</t>
  </si>
  <si>
    <t>CD-1069168</t>
  </si>
  <si>
    <t>a163p000004NtMWAA0</t>
  </si>
  <si>
    <t>CD-1069169</t>
  </si>
  <si>
    <t>a163p000004NtMXAA0</t>
  </si>
  <si>
    <t>CD-1069170</t>
  </si>
  <si>
    <t>CI-87180</t>
  </si>
  <si>
    <t>a163p000004NtMYAA0</t>
  </si>
  <si>
    <t>CD-1069171</t>
  </si>
  <si>
    <t>a163p000004NtMZAA0</t>
  </si>
  <si>
    <t>CD-1069172</t>
  </si>
  <si>
    <t>a163p000004NtMaAAK</t>
  </si>
  <si>
    <t>CD-1069173</t>
  </si>
  <si>
    <t>a163p000004NtMbAAK</t>
  </si>
  <si>
    <t>CD-1069174</t>
  </si>
  <si>
    <t>a163p000004NtMcAAK</t>
  </si>
  <si>
    <t>CD-1069175</t>
  </si>
  <si>
    <t>a163p000004NtMdAAK</t>
  </si>
  <si>
    <t>CD-1069176</t>
  </si>
  <si>
    <t>a163p000004NtMeAAK</t>
  </si>
  <si>
    <t>CD-1069177</t>
  </si>
  <si>
    <t>a163p000004NtMfAAK</t>
  </si>
  <si>
    <t>CD-1069178</t>
  </si>
  <si>
    <t>a163p000004NtMgAAK</t>
  </si>
  <si>
    <t>CD-1069179</t>
  </si>
  <si>
    <t>a163p000004NtMhAAK</t>
  </si>
  <si>
    <t>CD-1069180</t>
  </si>
  <si>
    <t>a163p000004NtMiAAK</t>
  </si>
  <si>
    <t>CD-1069181</t>
  </si>
  <si>
    <t>a163p000004NtMjAAK</t>
  </si>
  <si>
    <t>CD-1069182</t>
  </si>
  <si>
    <t>a163p000004NtMkAAK</t>
  </si>
  <si>
    <t>CD-1069183</t>
  </si>
  <si>
    <t>a163p000004NtMlAAK</t>
  </si>
  <si>
    <t>CD-1069184</t>
  </si>
  <si>
    <t>a163p000004NtMmAAK</t>
  </si>
  <si>
    <t>CD-1069185</t>
  </si>
  <si>
    <t>a163p000004NtMnAAK</t>
  </si>
  <si>
    <t>CD-1069186</t>
  </si>
  <si>
    <t>a163p000004NtMoAAK</t>
  </si>
  <si>
    <t>CD-1069187</t>
  </si>
  <si>
    <t>a163p000004NtMpAAK</t>
  </si>
  <si>
    <t>CD-1069188</t>
  </si>
  <si>
    <t>a163p000004NtMqAAK</t>
  </si>
  <si>
    <t>CD-1069189</t>
  </si>
  <si>
    <t>a163p000004NtMrAAK</t>
  </si>
  <si>
    <t>CD-1069190</t>
  </si>
  <si>
    <t>CI-87181</t>
  </si>
  <si>
    <t>a163p000004NtMsAAK</t>
  </si>
  <si>
    <t>CD-1069191</t>
  </si>
  <si>
    <t>a163p000004NtMtAAK</t>
  </si>
  <si>
    <t>CD-1069192</t>
  </si>
  <si>
    <t>a163p000004NtMuAAK</t>
  </si>
  <si>
    <t>CD-1069193</t>
  </si>
  <si>
    <t>a163p000004NtMvAAK</t>
  </si>
  <si>
    <t>CD-1069194</t>
  </si>
  <si>
    <t>a163p000004NtMwAAK</t>
  </si>
  <si>
    <t>CD-1069195</t>
  </si>
  <si>
    <t>a163p000004NtMxAAK</t>
  </si>
  <si>
    <t>CD-1069196</t>
  </si>
  <si>
    <t>a163p000004NtMyAAK</t>
  </si>
  <si>
    <t>CD-1069197</t>
  </si>
  <si>
    <t>a163p000004NtMzAAK</t>
  </si>
  <si>
    <t>CD-1069198</t>
  </si>
  <si>
    <t>a163p000004NtN0AAK</t>
  </si>
  <si>
    <t>CD-1069199</t>
  </si>
  <si>
    <t>a163p000004NtN1AAK</t>
  </si>
  <si>
    <t>CD-1069200</t>
  </si>
  <si>
    <t>a163p000004NtN2AAK</t>
  </si>
  <si>
    <t>CD-1069201</t>
  </si>
  <si>
    <t>a163p000004NtN3AAK</t>
  </si>
  <si>
    <t>CD-1069202</t>
  </si>
  <si>
    <t>a163p000004NtN4AAK</t>
  </si>
  <si>
    <t>CD-1069203</t>
  </si>
  <si>
    <t>a163p000004NtN5AAK</t>
  </si>
  <si>
    <t>CD-1069204</t>
  </si>
  <si>
    <t>a163p000004NtN6AAK</t>
  </si>
  <si>
    <t>CD-1069205</t>
  </si>
  <si>
    <t>a163p000004NtN7AAK</t>
  </si>
  <si>
    <t>CD-1069206</t>
  </si>
  <si>
    <t>a163p000004NtN8AAK</t>
  </si>
  <si>
    <t>CD-1069207</t>
  </si>
  <si>
    <t>a163p000004NtN9AAK</t>
  </si>
  <si>
    <t>CD-1069208</t>
  </si>
  <si>
    <t>a163p000004NtNAAA0</t>
  </si>
  <si>
    <t>CD-1069209</t>
  </si>
  <si>
    <t>a163p000004NtNBAA0</t>
  </si>
  <si>
    <t>CD-1069210</t>
  </si>
  <si>
    <t>CI-87182</t>
  </si>
  <si>
    <t>a163p000004NtNCAA0</t>
  </si>
  <si>
    <t>CD-1069211</t>
  </si>
  <si>
    <t>a163p000004NtNDAA0</t>
  </si>
  <si>
    <t>CD-1069212</t>
  </si>
  <si>
    <t>a163p000004NtNEAA0</t>
  </si>
  <si>
    <t>CD-1069213</t>
  </si>
  <si>
    <t>a163p000004NtNFAA0</t>
  </si>
  <si>
    <t>CD-1069214</t>
  </si>
  <si>
    <t>a163p000004NtNGAA0</t>
  </si>
  <si>
    <t>CD-1069215</t>
  </si>
  <si>
    <t>a163p000004NtNHAA0</t>
  </si>
  <si>
    <t>CD-1069216</t>
  </si>
  <si>
    <t>a163p000004NtNIAA0</t>
  </si>
  <si>
    <t>CD-1069217</t>
  </si>
  <si>
    <t>a163p000004NtNJAA0</t>
  </si>
  <si>
    <t>CD-1069218</t>
  </si>
  <si>
    <t>a163p000004NtNKAA0</t>
  </si>
  <si>
    <t>CD-1069219</t>
  </si>
  <si>
    <t>a163p000004NtNLAA0</t>
  </si>
  <si>
    <t>CD-1069220</t>
  </si>
  <si>
    <t>a163p000004NtNMAA0</t>
  </si>
  <si>
    <t>CD-1069221</t>
  </si>
  <si>
    <t>a163p000004NtNNAA0</t>
  </si>
  <si>
    <t>CD-1069222</t>
  </si>
  <si>
    <t>a163p000004NtNOAA0</t>
  </si>
  <si>
    <t>CD-1069223</t>
  </si>
  <si>
    <t>a163p000004NtNPAA0</t>
  </si>
  <si>
    <t>CD-1069224</t>
  </si>
  <si>
    <t>a163p000004NtNQAA0</t>
  </si>
  <si>
    <t>CD-1069225</t>
  </si>
  <si>
    <t>a163p000004NtNRAA0</t>
  </si>
  <si>
    <t>CD-1069226</t>
  </si>
  <si>
    <t>a163p000004NtNSAA0</t>
  </si>
  <si>
    <t>CD-1069227</t>
  </si>
  <si>
    <t>a163p000004NtNTAA0</t>
  </si>
  <si>
    <t>CD-1069228</t>
  </si>
  <si>
    <t>a163p000004NtNUAA0</t>
  </si>
  <si>
    <t>CD-1069229</t>
  </si>
  <si>
    <t>a163p000004NtNVAA0</t>
  </si>
  <si>
    <t>CD-1069250</t>
  </si>
  <si>
    <t>CI-87183</t>
  </si>
  <si>
    <t>a163p000004NtNqAAK</t>
  </si>
  <si>
    <t>CD-1069251</t>
  </si>
  <si>
    <t>a163p000004NtNrAAK</t>
  </si>
  <si>
    <t>CD-1069252</t>
  </si>
  <si>
    <t>a163p000004NtNsAAK</t>
  </si>
  <si>
    <t>CD-1069253</t>
  </si>
  <si>
    <t>a163p000004NtNtAAK</t>
  </si>
  <si>
    <t>CD-1069254</t>
  </si>
  <si>
    <t>a163p000004NtNuAAK</t>
  </si>
  <si>
    <t>CD-1069255</t>
  </si>
  <si>
    <t>a163p000004NtNvAAK</t>
  </si>
  <si>
    <t>CD-1069256</t>
  </si>
  <si>
    <t>a163p000004NtNwAAK</t>
  </si>
  <si>
    <t>CD-1069257</t>
  </si>
  <si>
    <t>a163p000004NtNxAAK</t>
  </si>
  <si>
    <t>CD-1069258</t>
  </si>
  <si>
    <t>a163p000004NtNyAAK</t>
  </si>
  <si>
    <t>CD-1069259</t>
  </si>
  <si>
    <t>a163p000004NtNzAAK</t>
  </si>
  <si>
    <t>CD-1069260</t>
  </si>
  <si>
    <t>a163p000004NtO0AAK</t>
  </si>
  <si>
    <t>CD-1069261</t>
  </si>
  <si>
    <t>a163p000004NtO1AAK</t>
  </si>
  <si>
    <t>CD-1069262</t>
  </si>
  <si>
    <t>a163p000004NtO2AAK</t>
  </si>
  <si>
    <t>CD-1069263</t>
  </si>
  <si>
    <t>a163p000004NtO3AAK</t>
  </si>
  <si>
    <t>CD-1069264</t>
  </si>
  <si>
    <t>a163p000004NtO4AAK</t>
  </si>
  <si>
    <t>CD-1069265</t>
  </si>
  <si>
    <t>a163p000004NtO5AAK</t>
  </si>
  <si>
    <t>CD-1069266</t>
  </si>
  <si>
    <t>a163p000004NtO6AAK</t>
  </si>
  <si>
    <t>CD-1069267</t>
  </si>
  <si>
    <t>a163p000004NtO7AAK</t>
  </si>
  <si>
    <t>CD-1069268</t>
  </si>
  <si>
    <t>a163p000004NtO8AAK</t>
  </si>
  <si>
    <t>CD-1069269</t>
  </si>
  <si>
    <t>a163p000004NtO9AAK</t>
  </si>
  <si>
    <t>CD-1069270</t>
  </si>
  <si>
    <t>CI-87184</t>
  </si>
  <si>
    <t>a163p000004NtOAAA0</t>
  </si>
  <si>
    <t>CD-1069271</t>
  </si>
  <si>
    <t>a163p000004NtOBAA0</t>
  </si>
  <si>
    <t>CD-1069272</t>
  </si>
  <si>
    <t>a163p000004NtOCAA0</t>
  </si>
  <si>
    <t>CD-1069273</t>
  </si>
  <si>
    <t>a163p000004NtODAA0</t>
  </si>
  <si>
    <t>CD-1069274</t>
  </si>
  <si>
    <t>a163p000004NtOEAA0</t>
  </si>
  <si>
    <t>CD-1069275</t>
  </si>
  <si>
    <t>a163p000004NtOFAA0</t>
  </si>
  <si>
    <t>CD-1069276</t>
  </si>
  <si>
    <t>a163p000004NtOGAA0</t>
  </si>
  <si>
    <t>CD-1069277</t>
  </si>
  <si>
    <t>a163p000004NtOHAA0</t>
  </si>
  <si>
    <t>CD-1069278</t>
  </si>
  <si>
    <t>a163p000004NtOIAA0</t>
  </si>
  <si>
    <t>CD-1069279</t>
  </si>
  <si>
    <t>a163p000004NtOJAA0</t>
  </si>
  <si>
    <t>CD-1069280</t>
  </si>
  <si>
    <t>a163p000004NtOKAA0</t>
  </si>
  <si>
    <t>CD-1069281</t>
  </si>
  <si>
    <t>a163p000004NtOLAA0</t>
  </si>
  <si>
    <t>CD-1069282</t>
  </si>
  <si>
    <t>a163p000004NtOMAA0</t>
  </si>
  <si>
    <t>CD-1069283</t>
  </si>
  <si>
    <t>a163p000004NtONAA0</t>
  </si>
  <si>
    <t>CD-1069284</t>
  </si>
  <si>
    <t>a163p000004NtOOAA0</t>
  </si>
  <si>
    <t>CD-1069285</t>
  </si>
  <si>
    <t>a163p000004NtOPAA0</t>
  </si>
  <si>
    <t>CD-1069286</t>
  </si>
  <si>
    <t>a163p000004NtOQAA0</t>
  </si>
  <si>
    <t>CD-1069287</t>
  </si>
  <si>
    <t>a163p000004NtORAA0</t>
  </si>
  <si>
    <t>CD-1069288</t>
  </si>
  <si>
    <t>a163p000004NtOSAA0</t>
  </si>
  <si>
    <t>CD-1069289</t>
  </si>
  <si>
    <t>a163p000004NtOTAA0</t>
  </si>
  <si>
    <t>CD-1069230</t>
  </si>
  <si>
    <t>CI-87185</t>
  </si>
  <si>
    <t>a163p000004NtNWAA0</t>
  </si>
  <si>
    <t>CD-1069231</t>
  </si>
  <si>
    <t>a163p000004NtNXAA0</t>
  </si>
  <si>
    <t>CD-1069232</t>
  </si>
  <si>
    <t>a163p000004NtNYAA0</t>
  </si>
  <si>
    <t>CD-1069233</t>
  </si>
  <si>
    <t>a163p000004NtNZAA0</t>
  </si>
  <si>
    <t>CD-1069234</t>
  </si>
  <si>
    <t>a163p000004NtNaAAK</t>
  </si>
  <si>
    <t>CD-1069235</t>
  </si>
  <si>
    <t>a163p000004NtNbAAK</t>
  </si>
  <si>
    <t>CD-1069236</t>
  </si>
  <si>
    <t>a163p000004NtNcAAK</t>
  </si>
  <si>
    <t>CD-1069237</t>
  </si>
  <si>
    <t>a163p000004NtNdAAK</t>
  </si>
  <si>
    <t>CD-1069238</t>
  </si>
  <si>
    <t>a163p000004NtNeAAK</t>
  </si>
  <si>
    <t>CD-1069239</t>
  </si>
  <si>
    <t>a163p000004NtNfAAK</t>
  </si>
  <si>
    <t>CD-1069240</t>
  </si>
  <si>
    <t>a163p000004NtNgAAK</t>
  </si>
  <si>
    <t>CD-1069241</t>
  </si>
  <si>
    <t>a163p000004NtNhAAK</t>
  </si>
  <si>
    <t>CD-1069242</t>
  </si>
  <si>
    <t>a163p000004NtNiAAK</t>
  </si>
  <si>
    <t>CD-1069243</t>
  </si>
  <si>
    <t>a163p000004NtNjAAK</t>
  </si>
  <si>
    <t>CD-1069244</t>
  </si>
  <si>
    <t>a163p000004NtNkAAK</t>
  </si>
  <si>
    <t>CD-1069245</t>
  </si>
  <si>
    <t>a163p000004NtNlAAK</t>
  </si>
  <si>
    <t>CD-1069246</t>
  </si>
  <si>
    <t>a163p000004NtNmAAK</t>
  </si>
  <si>
    <t>CD-1069247</t>
  </si>
  <si>
    <t>a163p000004NtNnAAK</t>
  </si>
  <si>
    <t>CD-1069248</t>
  </si>
  <si>
    <t>a163p000004NtNoAAK</t>
  </si>
  <si>
    <t>CD-1069249</t>
  </si>
  <si>
    <t>a163p000004NtNpAAK</t>
  </si>
  <si>
    <t>CD-1069290</t>
  </si>
  <si>
    <t>CI-87186</t>
  </si>
  <si>
    <t>a163p000004NtOUAA0</t>
  </si>
  <si>
    <t>CD-1069291</t>
  </si>
  <si>
    <t>a163p000004NtOVAA0</t>
  </si>
  <si>
    <t>CD-1069292</t>
  </si>
  <si>
    <t>a163p000004NtOWAA0</t>
  </si>
  <si>
    <t>CD-1069293</t>
  </si>
  <si>
    <t>a163p000004NtOXAA0</t>
  </si>
  <si>
    <t>CD-1069294</t>
  </si>
  <si>
    <t>a163p000004NtOYAA0</t>
  </si>
  <si>
    <t>CD-1069295</t>
  </si>
  <si>
    <t>a163p000004NtOZAA0</t>
  </si>
  <si>
    <t>CD-1069296</t>
  </si>
  <si>
    <t>a163p000004NtOaAAK</t>
  </si>
  <si>
    <t>CD-1069297</t>
  </si>
  <si>
    <t>a163p000004NtObAAK</t>
  </si>
  <si>
    <t>CD-1069298</t>
  </si>
  <si>
    <t>a163p000004NtOcAAK</t>
  </si>
  <si>
    <t>CD-1069299</t>
  </si>
  <si>
    <t>a163p000004NtOdAAK</t>
  </si>
  <si>
    <t>CD-1069300</t>
  </si>
  <si>
    <t>a163p000004NtOeAAK</t>
  </si>
  <si>
    <t>CD-1069301</t>
  </si>
  <si>
    <t>a163p000004NtOfAAK</t>
  </si>
  <si>
    <t>CD-1069302</t>
  </si>
  <si>
    <t>a163p000004NtOgAAK</t>
  </si>
  <si>
    <t>CD-1069303</t>
  </si>
  <si>
    <t>a163p000004NtOhAAK</t>
  </si>
  <si>
    <t>CD-1069304</t>
  </si>
  <si>
    <t>a163p000004NtOiAAK</t>
  </si>
  <si>
    <t>CD-1069305</t>
  </si>
  <si>
    <t>a163p000004NtOjAAK</t>
  </si>
  <si>
    <t>CD-1069306</t>
  </si>
  <si>
    <t>a163p000004NtOkAAK</t>
  </si>
  <si>
    <t>CD-1069307</t>
  </si>
  <si>
    <t>a163p000004NtOlAAK</t>
  </si>
  <si>
    <t>CD-1069308</t>
  </si>
  <si>
    <t>a163p000004NtOmAAK</t>
  </si>
  <si>
    <t>CD-1069309</t>
  </si>
  <si>
    <t>a163p000004NtOnAAK</t>
  </si>
  <si>
    <t>CD-1069310</t>
  </si>
  <si>
    <t>CI-87187</t>
  </si>
  <si>
    <t>a163p000004NtOoAAK</t>
  </si>
  <si>
    <t>CD-1069311</t>
  </si>
  <si>
    <t>a163p000004NtOpAAK</t>
  </si>
  <si>
    <t>CD-1069312</t>
  </si>
  <si>
    <t>a163p000004NtOqAAK</t>
  </si>
  <si>
    <t>CD-1069313</t>
  </si>
  <si>
    <t>a163p000004NtOrAAK</t>
  </si>
  <si>
    <t>CD-1069314</t>
  </si>
  <si>
    <t>a163p000004NtOsAAK</t>
  </si>
  <si>
    <t>CD-1069315</t>
  </si>
  <si>
    <t>a163p000004NtOtAAK</t>
  </si>
  <si>
    <t>CD-1069316</t>
  </si>
  <si>
    <t>a163p000004NtOuAAK</t>
  </si>
  <si>
    <t>CD-1069317</t>
  </si>
  <si>
    <t>a163p000004NtOvAAK</t>
  </si>
  <si>
    <t>CD-1069318</t>
  </si>
  <si>
    <t>a163p000004NtOwAAK</t>
  </si>
  <si>
    <t>CD-1069319</t>
  </si>
  <si>
    <t>a163p000004NtOxAAK</t>
  </si>
  <si>
    <t>CD-1069320</t>
  </si>
  <si>
    <t>a163p000004NtOyAAK</t>
  </si>
  <si>
    <t>CD-1069321</t>
  </si>
  <si>
    <t>a163p000004NtOzAAK</t>
  </si>
  <si>
    <t>CD-1069322</t>
  </si>
  <si>
    <t>a163p000004NtP0AAK</t>
  </si>
  <si>
    <t>CD-1069323</t>
  </si>
  <si>
    <t>a163p000004NtP1AAK</t>
  </si>
  <si>
    <t>CD-1069324</t>
  </si>
  <si>
    <t>a163p000004NtP2AAK</t>
  </si>
  <si>
    <t>CD-1069325</t>
  </si>
  <si>
    <t>a163p000004NtP3AAK</t>
  </si>
  <si>
    <t>CD-1069326</t>
  </si>
  <si>
    <t>a163p000004NtP4AAK</t>
  </si>
  <si>
    <t>CD-1069327</t>
  </si>
  <si>
    <t>a163p000004NtP5AAK</t>
  </si>
  <si>
    <t>CD-1069328</t>
  </si>
  <si>
    <t>a163p000004NtP6AAK</t>
  </si>
  <si>
    <t>CD-1069329</t>
  </si>
  <si>
    <t>a163p000004NtP7AAK</t>
  </si>
  <si>
    <t>CD-1069330</t>
  </si>
  <si>
    <t>CI-87188</t>
  </si>
  <si>
    <t>a163p000004NtP8AAK</t>
  </si>
  <si>
    <t>CD-1069331</t>
  </si>
  <si>
    <t>a163p000004NtP9AAK</t>
  </si>
  <si>
    <t>CD-1069332</t>
  </si>
  <si>
    <t>a163p000004NtPAAA0</t>
  </si>
  <si>
    <t>CD-1069333</t>
  </si>
  <si>
    <t>a163p000004NtPBAA0</t>
  </si>
  <si>
    <t>CD-1069334</t>
  </si>
  <si>
    <t>a163p000004NtPCAA0</t>
  </si>
  <si>
    <t>CD-1069335</t>
  </si>
  <si>
    <t>a163p000004NtPDAA0</t>
  </si>
  <si>
    <t>CD-1069336</t>
  </si>
  <si>
    <t>a163p000004NtPEAA0</t>
  </si>
  <si>
    <t>CD-1069337</t>
  </si>
  <si>
    <t>a163p000004NtPFAA0</t>
  </si>
  <si>
    <t>CD-1069338</t>
  </si>
  <si>
    <t>a163p000004NtPGAA0</t>
  </si>
  <si>
    <t>CD-1069339</t>
  </si>
  <si>
    <t>a163p000004NtPHAA0</t>
  </si>
  <si>
    <t>CD-1069340</t>
  </si>
  <si>
    <t>a163p000004NtPIAA0</t>
  </si>
  <si>
    <t>CD-1069341</t>
  </si>
  <si>
    <t>a163p000004NtPJAA0</t>
  </si>
  <si>
    <t>CD-1069342</t>
  </si>
  <si>
    <t>a163p000004NtPKAA0</t>
  </si>
  <si>
    <t>CD-1069343</t>
  </si>
  <si>
    <t>a163p000004NtPLAA0</t>
  </si>
  <si>
    <t>CD-1069344</t>
  </si>
  <si>
    <t>a163p000004NtPMAA0</t>
  </si>
  <si>
    <t>CD-1069345</t>
  </si>
  <si>
    <t>a163p000004NtPNAA0</t>
  </si>
  <si>
    <t>CD-1069346</t>
  </si>
  <si>
    <t>a163p000004NtPOAA0</t>
  </si>
  <si>
    <t>CD-1069347</t>
  </si>
  <si>
    <t>a163p000004NtPPAA0</t>
  </si>
  <si>
    <t>CD-1069348</t>
  </si>
  <si>
    <t>a163p000004NtPQAA0</t>
  </si>
  <si>
    <t>CD-1069349</t>
  </si>
  <si>
    <t>a163p000004NtPRAA0</t>
  </si>
  <si>
    <t>CD-1069350</t>
  </si>
  <si>
    <t>CI-87189</t>
  </si>
  <si>
    <t>a163p000004NtPSAA0</t>
  </si>
  <si>
    <t>CD-1069351</t>
  </si>
  <si>
    <t>a163p000004NtPTAA0</t>
  </si>
  <si>
    <t>CD-1069352</t>
  </si>
  <si>
    <t>a163p000004NtPUAA0</t>
  </si>
  <si>
    <t>CD-1069353</t>
  </si>
  <si>
    <t>a163p000004NtPVAA0</t>
  </si>
  <si>
    <t>CD-1069354</t>
  </si>
  <si>
    <t>a163p000004NtPWAA0</t>
  </si>
  <si>
    <t>CD-1069355</t>
  </si>
  <si>
    <t>a163p000004NtPXAA0</t>
  </si>
  <si>
    <t>CD-1069356</t>
  </si>
  <si>
    <t>a163p000004NtPYAA0</t>
  </si>
  <si>
    <t>CD-1069357</t>
  </si>
  <si>
    <t>a163p000004NtPZAA0</t>
  </si>
  <si>
    <t>CD-1069358</t>
  </si>
  <si>
    <t>a163p000004NtPaAAK</t>
  </si>
  <si>
    <t>CD-1069359</t>
  </si>
  <si>
    <t>a163p000004NtPbAAK</t>
  </si>
  <si>
    <t>CD-1069360</t>
  </si>
  <si>
    <t>a163p000004NtPcAAK</t>
  </si>
  <si>
    <t>CD-1069361</t>
  </si>
  <si>
    <t>a163p000004NtPdAAK</t>
  </si>
  <si>
    <t>CD-1069362</t>
  </si>
  <si>
    <t>a163p000004NtPeAAK</t>
  </si>
  <si>
    <t>CD-1069363</t>
  </si>
  <si>
    <t>a163p000004NtPfAAK</t>
  </si>
  <si>
    <t>CD-1069364</t>
  </si>
  <si>
    <t>a163p000004NtPgAAK</t>
  </si>
  <si>
    <t>CD-1069365</t>
  </si>
  <si>
    <t>a163p000004NtPhAAK</t>
  </si>
  <si>
    <t>CD-1069366</t>
  </si>
  <si>
    <t>a163p000004NtPiAAK</t>
  </si>
  <si>
    <t>CD-1069367</t>
  </si>
  <si>
    <t>a163p000004NtPjAAK</t>
  </si>
  <si>
    <t>CD-1069368</t>
  </si>
  <si>
    <t>a163p000004NtPkAAK</t>
  </si>
  <si>
    <t>CD-1069369</t>
  </si>
  <si>
    <t>a163p000004NtPlAAK</t>
  </si>
  <si>
    <t>CD-1069370</t>
  </si>
  <si>
    <t>CI-87190</t>
  </si>
  <si>
    <t>a163p000004NtPmAAK</t>
  </si>
  <si>
    <t>CD-1069371</t>
  </si>
  <si>
    <t>a163p000004NtPnAAK</t>
  </si>
  <si>
    <t>CD-1069372</t>
  </si>
  <si>
    <t>a163p000004NtPoAAK</t>
  </si>
  <si>
    <t>CD-1069373</t>
  </si>
  <si>
    <t>a163p000004NtPpAAK</t>
  </si>
  <si>
    <t>CD-1069374</t>
  </si>
  <si>
    <t>a163p000004NtPqAAK</t>
  </si>
  <si>
    <t>CD-1069375</t>
  </si>
  <si>
    <t>a163p000004NtPrAAK</t>
  </si>
  <si>
    <t>CD-1069376</t>
  </si>
  <si>
    <t>a163p000004NtPsAAK</t>
  </si>
  <si>
    <t>CD-1069377</t>
  </si>
  <si>
    <t>a163p000004NtPtAAK</t>
  </si>
  <si>
    <t>CD-1069378</t>
  </si>
  <si>
    <t>a163p000004NtPuAAK</t>
  </si>
  <si>
    <t>CD-1069379</t>
  </si>
  <si>
    <t>a163p000004NtPvAAK</t>
  </si>
  <si>
    <t>CD-1069380</t>
  </si>
  <si>
    <t>a163p000004NtPwAAK</t>
  </si>
  <si>
    <t>CD-1069381</t>
  </si>
  <si>
    <t>a163p000004NtPxAAK</t>
  </si>
  <si>
    <t>CD-1069382</t>
  </si>
  <si>
    <t>a163p000004NtPyAAK</t>
  </si>
  <si>
    <t>CD-1069383</t>
  </si>
  <si>
    <t>a163p000004NtPzAAK</t>
  </si>
  <si>
    <t>CD-1069384</t>
  </si>
  <si>
    <t>a163p000004NtQ0AAK</t>
  </si>
  <si>
    <t>CD-1069385</t>
  </si>
  <si>
    <t>a163p000004NtQ1AAK</t>
  </si>
  <si>
    <t>CD-1069386</t>
  </si>
  <si>
    <t>a163p000004NtQ2AAK</t>
  </si>
  <si>
    <t>CD-1069387</t>
  </si>
  <si>
    <t>a163p000004NtQ3AAK</t>
  </si>
  <si>
    <t>CD-1069388</t>
  </si>
  <si>
    <t>a163p000004NtQ4AAK</t>
  </si>
  <si>
    <t>CD-1069389</t>
  </si>
  <si>
    <t>a163p000004NtQ5AAK</t>
  </si>
  <si>
    <t>CD-1069390</t>
  </si>
  <si>
    <t>CI-87191</t>
  </si>
  <si>
    <t>a163p000004NtQ6AAK</t>
  </si>
  <si>
    <t>CD-1069391</t>
  </si>
  <si>
    <t>a163p000004NtQ7AAK</t>
  </si>
  <si>
    <t>CD-1069392</t>
  </si>
  <si>
    <t>a163p000004NtQ8AAK</t>
  </si>
  <si>
    <t>CD-1069393</t>
  </si>
  <si>
    <t>a163p000004NtQ9AAK</t>
  </si>
  <si>
    <t>CD-1069394</t>
  </si>
  <si>
    <t>a163p000004NtQAAA0</t>
  </si>
  <si>
    <t>CD-1069395</t>
  </si>
  <si>
    <t>a163p000004NtQBAA0</t>
  </si>
  <si>
    <t>CD-1069396</t>
  </si>
  <si>
    <t>a163p000004NtQCAA0</t>
  </si>
  <si>
    <t>CD-1069397</t>
  </si>
  <si>
    <t>a163p000004NtQDAA0</t>
  </si>
  <si>
    <t>CD-1069398</t>
  </si>
  <si>
    <t>a163p000004NtQEAA0</t>
  </si>
  <si>
    <t>CD-1069399</t>
  </si>
  <si>
    <t>a163p000004NtQFAA0</t>
  </si>
  <si>
    <t>CD-1069400</t>
  </si>
  <si>
    <t>a163p000004NtQGAA0</t>
  </si>
  <si>
    <t>CD-1069401</t>
  </si>
  <si>
    <t>a163p000004NtQHAA0</t>
  </si>
  <si>
    <t>CD-1069402</t>
  </si>
  <si>
    <t>a163p000004NtQIAA0</t>
  </si>
  <si>
    <t>CD-1069403</t>
  </si>
  <si>
    <t>a163p000004NtQJAA0</t>
  </si>
  <si>
    <t>CD-1069404</t>
  </si>
  <si>
    <t>a163p000004NtQKAA0</t>
  </si>
  <si>
    <t>CD-1069405</t>
  </si>
  <si>
    <t>a163p000004NtQLAA0</t>
  </si>
  <si>
    <t>CD-1069406</t>
  </si>
  <si>
    <t>a163p000004NtQMAA0</t>
  </si>
  <si>
    <t>CD-1069407</t>
  </si>
  <si>
    <t>a163p000004NtQNAA0</t>
  </si>
  <si>
    <t>CD-1069408</t>
  </si>
  <si>
    <t>a163p000004NtQOAA0</t>
  </si>
  <si>
    <t>CD-1069409</t>
  </si>
  <si>
    <t>a163p000004NtQPAA0</t>
  </si>
  <si>
    <t>CD-1069410</t>
  </si>
  <si>
    <t>CI-87192</t>
  </si>
  <si>
    <t>a163p000004NtQQAA0</t>
  </si>
  <si>
    <t>CD-1069411</t>
  </si>
  <si>
    <t>a163p000004NtQRAA0</t>
  </si>
  <si>
    <t>CD-1069412</t>
  </si>
  <si>
    <t>a163p000004NtQSAA0</t>
  </si>
  <si>
    <t>CD-1069413</t>
  </si>
  <si>
    <t>a163p000004NtQTAA0</t>
  </si>
  <si>
    <t>CD-1069414</t>
  </si>
  <si>
    <t>a163p000004NtQUAA0</t>
  </si>
  <si>
    <t>CD-1069415</t>
  </si>
  <si>
    <t>a163p000004NtQVAA0</t>
  </si>
  <si>
    <t>CD-1069416</t>
  </si>
  <si>
    <t>a163p000004NtQWAA0</t>
  </si>
  <si>
    <t>CD-1069417</t>
  </si>
  <si>
    <t>a163p000004NtQXAA0</t>
  </si>
  <si>
    <t>CD-1069418</t>
  </si>
  <si>
    <t>a163p000004NtQYAA0</t>
  </si>
  <si>
    <t>CD-1069419</t>
  </si>
  <si>
    <t>a163p000004NtQZAA0</t>
  </si>
  <si>
    <t>CD-1069420</t>
  </si>
  <si>
    <t>a163p000004NtQaAAK</t>
  </si>
  <si>
    <t>CD-1069421</t>
  </si>
  <si>
    <t>a163p000004NtQbAAK</t>
  </si>
  <si>
    <t>CD-1069422</t>
  </si>
  <si>
    <t>a163p000004NtQcAAK</t>
  </si>
  <si>
    <t>CD-1069423</t>
  </si>
  <si>
    <t>a163p000004NtQdAAK</t>
  </si>
  <si>
    <t>CD-1069424</t>
  </si>
  <si>
    <t>a163p000004NtQeAAK</t>
  </si>
  <si>
    <t>CD-1069425</t>
  </si>
  <si>
    <t>a163p000004NtQfAAK</t>
  </si>
  <si>
    <t>CD-1069426</t>
  </si>
  <si>
    <t>a163p000004NtQgAAK</t>
  </si>
  <si>
    <t>CD-1069427</t>
  </si>
  <si>
    <t>a163p000004NtQhAAK</t>
  </si>
  <si>
    <t>CD-1069428</t>
  </si>
  <si>
    <t>a163p000004NtQiAAK</t>
  </si>
  <si>
    <t>CD-1069429</t>
  </si>
  <si>
    <t>a163p000004NtQjAAK</t>
  </si>
  <si>
    <t>CD-1069430</t>
  </si>
  <si>
    <t>CI-87193</t>
  </si>
  <si>
    <t>a163p000004NtQkAAK</t>
  </si>
  <si>
    <t>CD-1069431</t>
  </si>
  <si>
    <t>a163p000004NtQlAAK</t>
  </si>
  <si>
    <t>CD-1069432</t>
  </si>
  <si>
    <t>a163p000004NtQmAAK</t>
  </si>
  <si>
    <t>CD-1069433</t>
  </si>
  <si>
    <t>a163p000004NtQnAAK</t>
  </si>
  <si>
    <t>CD-1069434</t>
  </si>
  <si>
    <t>a163p000004NtQoAAK</t>
  </si>
  <si>
    <t>CD-1069435</t>
  </si>
  <si>
    <t>a163p000004NtQpAAK</t>
  </si>
  <si>
    <t>CD-1069436</t>
  </si>
  <si>
    <t>a163p000004NtQqAAK</t>
  </si>
  <si>
    <t>CD-1069437</t>
  </si>
  <si>
    <t>a163p000004NtQrAAK</t>
  </si>
  <si>
    <t>CD-1069438</t>
  </si>
  <si>
    <t>a163p000004NtQsAAK</t>
  </si>
  <si>
    <t>CD-1069439</t>
  </si>
  <si>
    <t>a163p000004NtQtAAK</t>
  </si>
  <si>
    <t>CD-1069440</t>
  </si>
  <si>
    <t>a163p000004NtQuAAK</t>
  </si>
  <si>
    <t>CD-1069441</t>
  </si>
  <si>
    <t>a163p000004NtQvAAK</t>
  </si>
  <si>
    <t>CD-1069442</t>
  </si>
  <si>
    <t>a163p000004NtQwAAK</t>
  </si>
  <si>
    <t>CD-1069443</t>
  </si>
  <si>
    <t>a163p000004NtQxAAK</t>
  </si>
  <si>
    <t>CD-1069444</t>
  </si>
  <si>
    <t>a163p000004NtQyAAK</t>
  </si>
  <si>
    <t>CD-1069445</t>
  </si>
  <si>
    <t>a163p000004NtQzAAK</t>
  </si>
  <si>
    <t>CD-1069446</t>
  </si>
  <si>
    <t>a163p000004NtR0AAK</t>
  </si>
  <si>
    <t>CD-1069447</t>
  </si>
  <si>
    <t>a163p000004NtR1AAK</t>
  </si>
  <si>
    <t>CD-1069448</t>
  </si>
  <si>
    <t>a163p000004NtR2AAK</t>
  </si>
  <si>
    <t>CD-1069449</t>
  </si>
  <si>
    <t>a163p000004NtR3AAK</t>
  </si>
  <si>
    <t>CD-1069450</t>
  </si>
  <si>
    <t>CI-87194</t>
  </si>
  <si>
    <t>a163p000004NtR4AAK</t>
  </si>
  <si>
    <t>CD-1069451</t>
  </si>
  <si>
    <t>a163p000004NtR5AAK</t>
  </si>
  <si>
    <t>CD-1069452</t>
  </si>
  <si>
    <t>a163p000004NtR6AAK</t>
  </si>
  <si>
    <t>CD-1069453</t>
  </si>
  <si>
    <t>a163p000004NtR7AAK</t>
  </si>
  <si>
    <t>CD-1069454</t>
  </si>
  <si>
    <t>a163p000004NtR8AAK</t>
  </si>
  <si>
    <t>CD-1069455</t>
  </si>
  <si>
    <t>a163p000004NtR9AAK</t>
  </si>
  <si>
    <t>CD-1069456</t>
  </si>
  <si>
    <t>a163p000004NtRAAA0</t>
  </si>
  <si>
    <t>CD-1069457</t>
  </si>
  <si>
    <t>a163p000004NtRBAA0</t>
  </si>
  <si>
    <t>CD-1069458</t>
  </si>
  <si>
    <t>a163p000004NtRCAA0</t>
  </si>
  <si>
    <t>CD-1069459</t>
  </si>
  <si>
    <t>a163p000004NtRDAA0</t>
  </si>
  <si>
    <t>CD-1069460</t>
  </si>
  <si>
    <t>a163p000004NtREAA0</t>
  </si>
  <si>
    <t>CD-1069461</t>
  </si>
  <si>
    <t>a163p000004NtRFAA0</t>
  </si>
  <si>
    <t>CD-1069462</t>
  </si>
  <si>
    <t>a163p000004NtRGAA0</t>
  </si>
  <si>
    <t>CD-1069463</t>
  </si>
  <si>
    <t>a163p000004NtRHAA0</t>
  </si>
  <si>
    <t>CD-1069464</t>
  </si>
  <si>
    <t>a163p000004NtRIAA0</t>
  </si>
  <si>
    <t>CD-1069465</t>
  </si>
  <si>
    <t>a163p000004NtRJAA0</t>
  </si>
  <si>
    <t>CD-1069466</t>
  </si>
  <si>
    <t>a163p000004NtRKAA0</t>
  </si>
  <si>
    <t>CD-1069467</t>
  </si>
  <si>
    <t>a163p000004NtRLAA0</t>
  </si>
  <si>
    <t>CD-1069468</t>
  </si>
  <si>
    <t>a163p000004NtRMAA0</t>
  </si>
  <si>
    <t>CD-1069469</t>
  </si>
  <si>
    <t>a163p000004NtRNAA0</t>
  </si>
  <si>
    <t>CD-1069470</t>
  </si>
  <si>
    <t>CI-87195</t>
  </si>
  <si>
    <t>a163p000004NtROAA0</t>
  </si>
  <si>
    <t>CD-1069471</t>
  </si>
  <si>
    <t>a163p000004NtRPAA0</t>
  </si>
  <si>
    <t>CD-1069472</t>
  </si>
  <si>
    <t>a163p000004NtRQAA0</t>
  </si>
  <si>
    <t>CD-1069473</t>
  </si>
  <si>
    <t>a163p000004NtRRAA0</t>
  </si>
  <si>
    <t>CD-1069474</t>
  </si>
  <si>
    <t>a163p000004NtRSAA0</t>
  </si>
  <si>
    <t>CD-1069475</t>
  </si>
  <si>
    <t>a163p000004NtRTAA0</t>
  </si>
  <si>
    <t>CD-1069476</t>
  </si>
  <si>
    <t>a163p000004NtRUAA0</t>
  </si>
  <si>
    <t>CD-1069477</t>
  </si>
  <si>
    <t>a163p000004NtRVAA0</t>
  </si>
  <si>
    <t>CD-1069478</t>
  </si>
  <si>
    <t>a163p000004NtRWAA0</t>
  </si>
  <si>
    <t>CD-1069479</t>
  </si>
  <si>
    <t>a163p000004NtRXAA0</t>
  </si>
  <si>
    <t>CD-1069480</t>
  </si>
  <si>
    <t>a163p000004NtRYAA0</t>
  </si>
  <si>
    <t>CD-1069481</t>
  </si>
  <si>
    <t>a163p000004NtRZAA0</t>
  </si>
  <si>
    <t>CD-1069482</t>
  </si>
  <si>
    <t>a163p000004NtRaAAK</t>
  </si>
  <si>
    <t>CD-1069483</t>
  </si>
  <si>
    <t>a163p000004NtRbAAK</t>
  </si>
  <si>
    <t>CD-1069484</t>
  </si>
  <si>
    <t>a163p000004NtRcAAK</t>
  </si>
  <si>
    <t>CD-1069485</t>
  </si>
  <si>
    <t>a163p000004NtRdAAK</t>
  </si>
  <si>
    <t>CD-1069486</t>
  </si>
  <si>
    <t>a163p000004NtReAAK</t>
  </si>
  <si>
    <t>CD-1069487</t>
  </si>
  <si>
    <t>a163p000004NtRfAAK</t>
  </si>
  <si>
    <t>CD-1069488</t>
  </si>
  <si>
    <t>a163p000004NtRgAAK</t>
  </si>
  <si>
    <t>CD-1069489</t>
  </si>
  <si>
    <t>a163p000004NtRhAAK</t>
  </si>
  <si>
    <t>CD-1069490</t>
  </si>
  <si>
    <t>CI-87196</t>
  </si>
  <si>
    <t>a163p000004NtRiAAK</t>
  </si>
  <si>
    <t>CD-1069491</t>
  </si>
  <si>
    <t>a163p000004NtRjAAK</t>
  </si>
  <si>
    <t>CD-1069492</t>
  </si>
  <si>
    <t>a163p000004NtRkAAK</t>
  </si>
  <si>
    <t>CD-1069493</t>
  </si>
  <si>
    <t>a163p000004NtRlAAK</t>
  </si>
  <si>
    <t>CD-1069494</t>
  </si>
  <si>
    <t>a163p000004NtRmAAK</t>
  </si>
  <si>
    <t>CD-1069495</t>
  </si>
  <si>
    <t>a163p000004NtRnAAK</t>
  </si>
  <si>
    <t>CD-1069496</t>
  </si>
  <si>
    <t>a163p000004NtRoAAK</t>
  </si>
  <si>
    <t>CD-1069497</t>
  </si>
  <si>
    <t>a163p000004NtRpAAK</t>
  </si>
  <si>
    <t>CD-1069498</t>
  </si>
  <si>
    <t>a163p000004NtRqAAK</t>
  </si>
  <si>
    <t>CD-1069499</t>
  </si>
  <si>
    <t>a163p000004NtRrAAK</t>
  </si>
  <si>
    <t>CD-1069500</t>
  </si>
  <si>
    <t>a163p000004NtRsAAK</t>
  </si>
  <si>
    <t>CD-1069501</t>
  </si>
  <si>
    <t>a163p000004NtRtAAK</t>
  </si>
  <si>
    <t>CD-1069502</t>
  </si>
  <si>
    <t>a163p000004NtRuAAK</t>
  </si>
  <si>
    <t>CD-1069503</t>
  </si>
  <si>
    <t>a163p000004NtRvAAK</t>
  </si>
  <si>
    <t>CD-1069504</t>
  </si>
  <si>
    <t>a163p000004NtRwAAK</t>
  </si>
  <si>
    <t>CD-1069505</t>
  </si>
  <si>
    <t>a163p000004NtRxAAK</t>
  </si>
  <si>
    <t>CD-1069506</t>
  </si>
  <si>
    <t>a163p000004NtRyAAK</t>
  </si>
  <si>
    <t>CD-1069507</t>
  </si>
  <si>
    <t>a163p000004NtRzAAK</t>
  </si>
  <si>
    <t>CD-1069508</t>
  </si>
  <si>
    <t>a163p000004NtS0AAK</t>
  </si>
  <si>
    <t>CD-1069509</t>
  </si>
  <si>
    <t>a163p000004NtS1AAK</t>
  </si>
  <si>
    <t>CD-1069510</t>
  </si>
  <si>
    <t>CI-87197</t>
  </si>
  <si>
    <t>a163p000004NtS2AAK</t>
  </si>
  <si>
    <t>CD-1069511</t>
  </si>
  <si>
    <t>a163p000004NtS3AAK</t>
  </si>
  <si>
    <t>CD-1069512</t>
  </si>
  <si>
    <t>a163p000004NtS4AAK</t>
  </si>
  <si>
    <t>CD-1069513</t>
  </si>
  <si>
    <t>a163p000004NtS5AAK</t>
  </si>
  <si>
    <t>CD-1069514</t>
  </si>
  <si>
    <t>a163p000004NtS6AAK</t>
  </si>
  <si>
    <t>CD-1069515</t>
  </si>
  <si>
    <t>a163p000004NtS7AAK</t>
  </si>
  <si>
    <t>CD-1069516</t>
  </si>
  <si>
    <t>a163p000004NtS8AAK</t>
  </si>
  <si>
    <t>CD-1069517</t>
  </si>
  <si>
    <t>a163p000004NtS9AAK</t>
  </si>
  <si>
    <t>CD-1069518</t>
  </si>
  <si>
    <t>a163p000004NtSAAA0</t>
  </si>
  <si>
    <t>CD-1069519</t>
  </si>
  <si>
    <t>a163p000004NtSBAA0</t>
  </si>
  <si>
    <t>CD-1069520</t>
  </si>
  <si>
    <t>a163p000004NtSCAA0</t>
  </si>
  <si>
    <t>CD-1069521</t>
  </si>
  <si>
    <t>a163p000004NtSDAA0</t>
  </si>
  <si>
    <t>CD-1069522</t>
  </si>
  <si>
    <t>a163p000004NtSEAA0</t>
  </si>
  <si>
    <t>CD-1069523</t>
  </si>
  <si>
    <t>a163p000004NtSFAA0</t>
  </si>
  <si>
    <t>CD-1069524</t>
  </si>
  <si>
    <t>a163p000004NtSGAA0</t>
  </si>
  <si>
    <t>CD-1069525</t>
  </si>
  <si>
    <t>a163p000004NtSHAA0</t>
  </si>
  <si>
    <t>CD-1069526</t>
  </si>
  <si>
    <t>a163p000004NtSIAA0</t>
  </si>
  <si>
    <t>CD-1069527</t>
  </si>
  <si>
    <t>a163p000004NtSJAA0</t>
  </si>
  <si>
    <t>CD-1069528</t>
  </si>
  <si>
    <t>a163p000004NtSKAA0</t>
  </si>
  <si>
    <t>CD-1069529</t>
  </si>
  <si>
    <t>a163p000004NtSLAA0</t>
  </si>
  <si>
    <t>CD-1069530</t>
  </si>
  <si>
    <t>CI-87198</t>
  </si>
  <si>
    <t>a163p000004NtSMAA0</t>
  </si>
  <si>
    <t>CD-1069531</t>
  </si>
  <si>
    <t>a163p000004NtSNAA0</t>
  </si>
  <si>
    <t>CD-1069532</t>
  </si>
  <si>
    <t>a163p000004NtSOAA0</t>
  </si>
  <si>
    <t>CD-1069533</t>
  </si>
  <si>
    <t>a163p000004NtSPAA0</t>
  </si>
  <si>
    <t>CD-1069534</t>
  </si>
  <si>
    <t>a163p000004NtSQAA0</t>
  </si>
  <si>
    <t>CD-1069535</t>
  </si>
  <si>
    <t>a163p000004NtSRAA0</t>
  </si>
  <si>
    <t>CD-1069536</t>
  </si>
  <si>
    <t>a163p000004NtSSAA0</t>
  </si>
  <si>
    <t>CD-1069537</t>
  </si>
  <si>
    <t>a163p000004NtSTAA0</t>
  </si>
  <si>
    <t>CD-1069538</t>
  </si>
  <si>
    <t>a163p000004NtSUAA0</t>
  </si>
  <si>
    <t>CD-1069539</t>
  </si>
  <si>
    <t>a163p000004NtSVAA0</t>
  </si>
  <si>
    <t>CD-1069540</t>
  </si>
  <si>
    <t>a163p000004NtSWAA0</t>
  </si>
  <si>
    <t>CD-1069541</t>
  </si>
  <si>
    <t>a163p000004NtSXAA0</t>
  </si>
  <si>
    <t>CD-1069542</t>
  </si>
  <si>
    <t>a163p000004NtSYAA0</t>
  </si>
  <si>
    <t>CD-1069543</t>
  </si>
  <si>
    <t>a163p000004NtSZAA0</t>
  </si>
  <si>
    <t>CD-1069544</t>
  </si>
  <si>
    <t>a163p000004NtSaAAK</t>
  </si>
  <si>
    <t>CD-1069545</t>
  </si>
  <si>
    <t>a163p000004NtSbAAK</t>
  </si>
  <si>
    <t>CD-1069546</t>
  </si>
  <si>
    <t>a163p000004NtScAAK</t>
  </si>
  <si>
    <t>CD-1069547</t>
  </si>
  <si>
    <t>a163p000004NtSdAAK</t>
  </si>
  <si>
    <t>CD-1069548</t>
  </si>
  <si>
    <t>a163p000004NtSeAAK</t>
  </si>
  <si>
    <t>CD-1069549</t>
  </si>
  <si>
    <t>a163p000004NtSfAAK</t>
  </si>
  <si>
    <t>CD-1069550</t>
  </si>
  <si>
    <t>CI-87199</t>
  </si>
  <si>
    <t>a163p000004NtSgAAK</t>
  </si>
  <si>
    <t>CD-1069551</t>
  </si>
  <si>
    <t>a163p000004NtShAAK</t>
  </si>
  <si>
    <t>CD-1069552</t>
  </si>
  <si>
    <t>a163p000004NtSiAAK</t>
  </si>
  <si>
    <t>CD-1069553</t>
  </si>
  <si>
    <t>a163p000004NtSjAAK</t>
  </si>
  <si>
    <t>CD-1069554</t>
  </si>
  <si>
    <t>a163p000004NtSkAAK</t>
  </si>
  <si>
    <t>CD-1069555</t>
  </si>
  <si>
    <t>a163p000004NtSlAAK</t>
  </si>
  <si>
    <t>CD-1069556</t>
  </si>
  <si>
    <t>a163p000004NtSmAAK</t>
  </si>
  <si>
    <t>CD-1069557</t>
  </si>
  <si>
    <t>a163p000004NtSnAAK</t>
  </si>
  <si>
    <t>CD-1069558</t>
  </si>
  <si>
    <t>a163p000004NtSoAAK</t>
  </si>
  <si>
    <t>CD-1069559</t>
  </si>
  <si>
    <t>a163p000004NtSpAAK</t>
  </si>
  <si>
    <t>CD-1069560</t>
  </si>
  <si>
    <t>a163p000004NtSqAAK</t>
  </si>
  <si>
    <t>CD-1069561</t>
  </si>
  <si>
    <t>a163p000004NtSrAAK</t>
  </si>
  <si>
    <t>CD-1069562</t>
  </si>
  <si>
    <t>a163p000004NtSsAAK</t>
  </si>
  <si>
    <t>CD-1069563</t>
  </si>
  <si>
    <t>a163p000004NtStAAK</t>
  </si>
  <si>
    <t>CD-1069564</t>
  </si>
  <si>
    <t>a163p000004NtSuAAK</t>
  </si>
  <si>
    <t>CD-1069565</t>
  </si>
  <si>
    <t>a163p000004NtSvAAK</t>
  </si>
  <si>
    <t>CD-1069566</t>
  </si>
  <si>
    <t>a163p000004NtSwAAK</t>
  </si>
  <si>
    <t>CD-1069567</t>
  </si>
  <si>
    <t>a163p000004NtSxAAK</t>
  </si>
  <si>
    <t>CD-1069568</t>
  </si>
  <si>
    <t>a163p000004NtSyAAK</t>
  </si>
  <si>
    <t>CD-1069569</t>
  </si>
  <si>
    <t>a163p000004NtSzAAK</t>
  </si>
  <si>
    <t>CD-1069570</t>
  </si>
  <si>
    <t>CI-87200</t>
  </si>
  <si>
    <t>a163p000004NtT0AAK</t>
  </si>
  <si>
    <t>CD-1069571</t>
  </si>
  <si>
    <t>a163p000004NtT1AAK</t>
  </si>
  <si>
    <t>CD-1069572</t>
  </si>
  <si>
    <t>a163p000004NtT2AAK</t>
  </si>
  <si>
    <t>CD-1069573</t>
  </si>
  <si>
    <t>a163p000004NtT3AAK</t>
  </si>
  <si>
    <t>CD-1069574</t>
  </si>
  <si>
    <t>a163p000004NtT4AAK</t>
  </si>
  <si>
    <t>CD-1069575</t>
  </si>
  <si>
    <t>a163p000004NtT5AAK</t>
  </si>
  <si>
    <t>CD-1069576</t>
  </si>
  <si>
    <t>a163p000004NtT6AAK</t>
  </si>
  <si>
    <t>CD-1069577</t>
  </si>
  <si>
    <t>a163p000004NtT7AAK</t>
  </si>
  <si>
    <t>CD-1069578</t>
  </si>
  <si>
    <t>a163p000004NtT8AAK</t>
  </si>
  <si>
    <t>CD-1069579</t>
  </si>
  <si>
    <t>a163p000004NtT9AAK</t>
  </si>
  <si>
    <t>CD-1069580</t>
  </si>
  <si>
    <t>a163p000004NtTAAA0</t>
  </si>
  <si>
    <t>CD-1069581</t>
  </si>
  <si>
    <t>a163p000004NtTBAA0</t>
  </si>
  <si>
    <t>CD-1069582</t>
  </si>
  <si>
    <t>a163p000004NtTCAA0</t>
  </si>
  <si>
    <t>CD-1069583</t>
  </si>
  <si>
    <t>a163p000004NtTDAA0</t>
  </si>
  <si>
    <t>CD-1069584</t>
  </si>
  <si>
    <t>a163p000004NtTEAA0</t>
  </si>
  <si>
    <t>CD-1069585</t>
  </si>
  <si>
    <t>a163p000004NtTFAA0</t>
  </si>
  <si>
    <t>CD-1069586</t>
  </si>
  <si>
    <t>a163p000004NtTGAA0</t>
  </si>
  <si>
    <t>CD-1069587</t>
  </si>
  <si>
    <t>a163p000004NtTHAA0</t>
  </si>
  <si>
    <t>CD-1069588</t>
  </si>
  <si>
    <t>a163p000004NtTIAA0</t>
  </si>
  <si>
    <t>CD-1069589</t>
  </si>
  <si>
    <t>a163p000004NtTJAA0</t>
  </si>
  <si>
    <t>CD-1069590</t>
  </si>
  <si>
    <t>CI-87201</t>
  </si>
  <si>
    <t>a163p000004NtTKAA0</t>
  </si>
  <si>
    <t>CD-1069591</t>
  </si>
  <si>
    <t>a163p000004NtTLAA0</t>
  </si>
  <si>
    <t>CD-1069592</t>
  </si>
  <si>
    <t>a163p000004NtTMAA0</t>
  </si>
  <si>
    <t>CD-1069593</t>
  </si>
  <si>
    <t>a163p000004NtTNAA0</t>
  </si>
  <si>
    <t>CD-1069594</t>
  </si>
  <si>
    <t>a163p000004NtTOAA0</t>
  </si>
  <si>
    <t>CD-1069595</t>
  </si>
  <si>
    <t>a163p000004NtTPAA0</t>
  </si>
  <si>
    <t>CD-1069596</t>
  </si>
  <si>
    <t>a163p000004NtTQAA0</t>
  </si>
  <si>
    <t>CD-1069597</t>
  </si>
  <si>
    <t>a163p000004NtTRAA0</t>
  </si>
  <si>
    <t>CD-1069598</t>
  </si>
  <si>
    <t>a163p000004NtTSAA0</t>
  </si>
  <si>
    <t>CD-1069599</t>
  </si>
  <si>
    <t>a163p000004NtTTAA0</t>
  </si>
  <si>
    <t>CD-1069600</t>
  </si>
  <si>
    <t>a163p000004NtTUAA0</t>
  </si>
  <si>
    <t>CD-1069601</t>
  </si>
  <si>
    <t>a163p000004NtTVAA0</t>
  </si>
  <si>
    <t>CD-1069602</t>
  </si>
  <si>
    <t>a163p000004NtTWAA0</t>
  </si>
  <si>
    <t>CD-1069603</t>
  </si>
  <si>
    <t>a163p000004NtTXAA0</t>
  </si>
  <si>
    <t>CD-1069604</t>
  </si>
  <si>
    <t>a163p000004NtTYAA0</t>
  </si>
  <si>
    <t>CD-1069605</t>
  </si>
  <si>
    <t>a163p000004NtTZAA0</t>
  </si>
  <si>
    <t>CD-1069606</t>
  </si>
  <si>
    <t>a163p000004NtTaAAK</t>
  </si>
  <si>
    <t>CD-1069607</t>
  </si>
  <si>
    <t>a163p000004NtTbAAK</t>
  </si>
  <si>
    <t>CD-1069608</t>
  </si>
  <si>
    <t>a163p000004NtTcAAK</t>
  </si>
  <si>
    <t>CD-1069609</t>
  </si>
  <si>
    <t>a163p000004NtTdAAK</t>
  </si>
  <si>
    <t>CD-1069610</t>
  </si>
  <si>
    <t>CI-87202</t>
  </si>
  <si>
    <t>a163p000004NtTeAAK</t>
  </si>
  <si>
    <t>CD-1069611</t>
  </si>
  <si>
    <t>a163p000004NtTfAAK</t>
  </si>
  <si>
    <t>CD-1069612</t>
  </si>
  <si>
    <t>a163p000004NtTgAAK</t>
  </si>
  <si>
    <t>CD-1069613</t>
  </si>
  <si>
    <t>a163p000004NtThAAK</t>
  </si>
  <si>
    <t>CD-1069614</t>
  </si>
  <si>
    <t>a163p000004NtTiAAK</t>
  </si>
  <si>
    <t>CD-1069615</t>
  </si>
  <si>
    <t>a163p000004NtTjAAK</t>
  </si>
  <si>
    <t>CD-1069616</t>
  </si>
  <si>
    <t>a163p000004NtTkAAK</t>
  </si>
  <si>
    <t>CD-1069617</t>
  </si>
  <si>
    <t>a163p000004NtTlAAK</t>
  </si>
  <si>
    <t>CD-1069618</t>
  </si>
  <si>
    <t>a163p000004NtTmAAK</t>
  </si>
  <si>
    <t>CD-1069619</t>
  </si>
  <si>
    <t>a163p000004NtTnAAK</t>
  </si>
  <si>
    <t>CD-1069620</t>
  </si>
  <si>
    <t>a163p000004NtToAAK</t>
  </si>
  <si>
    <t>CD-1069621</t>
  </si>
  <si>
    <t>a163p000004NtTpAAK</t>
  </si>
  <si>
    <t>CD-1069622</t>
  </si>
  <si>
    <t>a163p000004NtTqAAK</t>
  </si>
  <si>
    <t>CD-1069623</t>
  </si>
  <si>
    <t>a163p000004NtTrAAK</t>
  </si>
  <si>
    <t>CD-1069624</t>
  </si>
  <si>
    <t>a163p000004NtTsAAK</t>
  </si>
  <si>
    <t>CD-1069625</t>
  </si>
  <si>
    <t>a163p000004NtTtAAK</t>
  </si>
  <si>
    <t>CD-1069626</t>
  </si>
  <si>
    <t>a163p000004NtTuAAK</t>
  </si>
  <si>
    <t>CD-1069627</t>
  </si>
  <si>
    <t>a163p000004NtTvAAK</t>
  </si>
  <si>
    <t>CD-1069628</t>
  </si>
  <si>
    <t>a163p000004NtTwAAK</t>
  </si>
  <si>
    <t>CD-1069629</t>
  </si>
  <si>
    <t>a163p000004NtTxAAK</t>
  </si>
  <si>
    <t>CD-1069630</t>
  </si>
  <si>
    <t>CI-87203</t>
  </si>
  <si>
    <t>a163p000004NtTyAAK</t>
  </si>
  <si>
    <t>CD-1069631</t>
  </si>
  <si>
    <t>a163p000004NtTzAAK</t>
  </si>
  <si>
    <t>CD-1069632</t>
  </si>
  <si>
    <t>a163p000004NtU0AAK</t>
  </si>
  <si>
    <t>CD-1069633</t>
  </si>
  <si>
    <t>a163p000004NtU1AAK</t>
  </si>
  <si>
    <t>CD-1069634</t>
  </si>
  <si>
    <t>a163p000004NtU2AAK</t>
  </si>
  <si>
    <t>CD-1069635</t>
  </si>
  <si>
    <t>a163p000004NtU3AAK</t>
  </si>
  <si>
    <t>CD-1069636</t>
  </si>
  <si>
    <t>a163p000004NtU4AAK</t>
  </si>
  <si>
    <t>CD-1069637</t>
  </si>
  <si>
    <t>a163p000004NtU5AAK</t>
  </si>
  <si>
    <t>CD-1069638</t>
  </si>
  <si>
    <t>a163p000004NtU6AAK</t>
  </si>
  <si>
    <t>CD-1069639</t>
  </si>
  <si>
    <t>a163p000004NtU7AAK</t>
  </si>
  <si>
    <t>CD-1069640</t>
  </si>
  <si>
    <t>a163p000004NtU8AAK</t>
  </si>
  <si>
    <t>CD-1069641</t>
  </si>
  <si>
    <t>a163p000004NtU9AAK</t>
  </si>
  <si>
    <t>CD-1069642</t>
  </si>
  <si>
    <t>a163p000004NtUAAA0</t>
  </si>
  <si>
    <t>CD-1069643</t>
  </si>
  <si>
    <t>a163p000004NtUBAA0</t>
  </si>
  <si>
    <t>CD-1069644</t>
  </si>
  <si>
    <t>a163p000004NtUCAA0</t>
  </si>
  <si>
    <t>CD-1069645</t>
  </si>
  <si>
    <t>a163p000004NtUDAA0</t>
  </si>
  <si>
    <t>CD-1069646</t>
  </si>
  <si>
    <t>a163p000004NtUEAA0</t>
  </si>
  <si>
    <t>CD-1069647</t>
  </si>
  <si>
    <t>a163p000004NtUFAA0</t>
  </si>
  <si>
    <t>CD-1069648</t>
  </si>
  <si>
    <t>a163p000004NtUGAA0</t>
  </si>
  <si>
    <t>CD-1069649</t>
  </si>
  <si>
    <t>a163p000004NtUHAA0</t>
  </si>
  <si>
    <t>CD-1069650</t>
  </si>
  <si>
    <t>CI-87204</t>
  </si>
  <si>
    <t>a163p000004NtUIAA0</t>
  </si>
  <si>
    <t>CD-1069651</t>
  </si>
  <si>
    <t>a163p000004NtUJAA0</t>
  </si>
  <si>
    <t>CD-1069652</t>
  </si>
  <si>
    <t>a163p000004NtUKAA0</t>
  </si>
  <si>
    <t>CD-1069653</t>
  </si>
  <si>
    <t>a163p000004NtULAA0</t>
  </si>
  <si>
    <t>CD-1069654</t>
  </si>
  <si>
    <t>a163p000004NtUMAA0</t>
  </si>
  <si>
    <t>CD-1069655</t>
  </si>
  <si>
    <t>a163p000004NtUNAA0</t>
  </si>
  <si>
    <t>CD-1069656</t>
  </si>
  <si>
    <t>a163p000004NtUOAA0</t>
  </si>
  <si>
    <t>CD-1069657</t>
  </si>
  <si>
    <t>a163p000004NtUPAA0</t>
  </si>
  <si>
    <t>CD-1069658</t>
  </si>
  <si>
    <t>a163p000004NtUQAA0</t>
  </si>
  <si>
    <t>CD-1069659</t>
  </si>
  <si>
    <t>a163p000004NtURAA0</t>
  </si>
  <si>
    <t>CD-1069660</t>
  </si>
  <si>
    <t>a163p000004NtUSAA0</t>
  </si>
  <si>
    <t>CD-1069661</t>
  </si>
  <si>
    <t>a163p000004NtUTAA0</t>
  </si>
  <si>
    <t>CD-1069662</t>
  </si>
  <si>
    <t>a163p000004NtUUAA0</t>
  </si>
  <si>
    <t>CD-1069663</t>
  </si>
  <si>
    <t>a163p000004NtUVAA0</t>
  </si>
  <si>
    <t>CD-1069664</t>
  </si>
  <si>
    <t>a163p000004NtUWAA0</t>
  </si>
  <si>
    <t>CD-1069665</t>
  </si>
  <si>
    <t>a163p000004NtUXAA0</t>
  </si>
  <si>
    <t>CD-1069666</t>
  </si>
  <si>
    <t>a163p000004NtUYAA0</t>
  </si>
  <si>
    <t>CD-1069667</t>
  </si>
  <si>
    <t>a163p000004NtUZAA0</t>
  </si>
  <si>
    <t>CD-1069668</t>
  </si>
  <si>
    <t>a163p000004NtUaAAK</t>
  </si>
  <si>
    <t>CD-1069669</t>
  </si>
  <si>
    <t>a163p000004NtUbAAK</t>
  </si>
  <si>
    <t>CD-1069670</t>
  </si>
  <si>
    <t>CI-87205</t>
  </si>
  <si>
    <t>a163p000004NtUcAAK</t>
  </si>
  <si>
    <t>CD-1069671</t>
  </si>
  <si>
    <t>a163p000004NtUdAAK</t>
  </si>
  <si>
    <t>CD-1069672</t>
  </si>
  <si>
    <t>a163p000004NtUeAAK</t>
  </si>
  <si>
    <t>CD-1069673</t>
  </si>
  <si>
    <t>a163p000004NtUfAAK</t>
  </si>
  <si>
    <t>CD-1069674</t>
  </si>
  <si>
    <t>a163p000004NtUgAAK</t>
  </si>
  <si>
    <t>CD-1069675</t>
  </si>
  <si>
    <t>a163p000004NtUhAAK</t>
  </si>
  <si>
    <t>CD-1069676</t>
  </si>
  <si>
    <t>a163p000004NtUiAAK</t>
  </si>
  <si>
    <t>CD-1069677</t>
  </si>
  <si>
    <t>a163p000004NtUjAAK</t>
  </si>
  <si>
    <t>CD-1069678</t>
  </si>
  <si>
    <t>a163p000004NtUkAAK</t>
  </si>
  <si>
    <t>CD-1069679</t>
  </si>
  <si>
    <t>a163p000004NtUlAAK</t>
  </si>
  <si>
    <t>CD-1069680</t>
  </si>
  <si>
    <t>a163p000004NtUmAAK</t>
  </si>
  <si>
    <t>CD-1069681</t>
  </si>
  <si>
    <t>a163p000004NtUnAAK</t>
  </si>
  <si>
    <t>CD-1069682</t>
  </si>
  <si>
    <t>a163p000004NtUoAAK</t>
  </si>
  <si>
    <t>CD-1069683</t>
  </si>
  <si>
    <t>a163p000004NtUpAAK</t>
  </si>
  <si>
    <t>CD-1069684</t>
  </si>
  <si>
    <t>a163p000004NtUqAAK</t>
  </si>
  <si>
    <t>CD-1069685</t>
  </si>
  <si>
    <t>a163p000004NtUrAAK</t>
  </si>
  <si>
    <t>CD-1069686</t>
  </si>
  <si>
    <t>a163p000004NtUsAAK</t>
  </si>
  <si>
    <t>CD-1069687</t>
  </si>
  <si>
    <t>a163p000004NtUtAAK</t>
  </si>
  <si>
    <t>CD-1069688</t>
  </si>
  <si>
    <t>a163p000004NtUuAAK</t>
  </si>
  <si>
    <t>CD-1069689</t>
  </si>
  <si>
    <t>a163p000004NtUvAAK</t>
  </si>
  <si>
    <t>CD-1069690</t>
  </si>
  <si>
    <t>CI-87206</t>
  </si>
  <si>
    <t>a163p000004NtUwAAK</t>
  </si>
  <si>
    <t>CD-1069691</t>
  </si>
  <si>
    <t>a163p000004NtUxAAK</t>
  </si>
  <si>
    <t>CD-1069692</t>
  </si>
  <si>
    <t>a163p000004NtUyAAK</t>
  </si>
  <si>
    <t>CD-1069693</t>
  </si>
  <si>
    <t>a163p000004NtUzAAK</t>
  </si>
  <si>
    <t>CD-1069694</t>
  </si>
  <si>
    <t>a163p000004NtV0AAK</t>
  </si>
  <si>
    <t>CD-1069695</t>
  </si>
  <si>
    <t>a163p000004NtV1AAK</t>
  </si>
  <si>
    <t>CD-1069696</t>
  </si>
  <si>
    <t>a163p000004NtV2AAK</t>
  </si>
  <si>
    <t>CD-1069697</t>
  </si>
  <si>
    <t>a163p000004NtV3AAK</t>
  </si>
  <si>
    <t>CD-1069698</t>
  </si>
  <si>
    <t>a163p000004NtV4AAK</t>
  </si>
  <si>
    <t>CD-1069699</t>
  </si>
  <si>
    <t>a163p000004NtV5AAK</t>
  </si>
  <si>
    <t>CD-1069700</t>
  </si>
  <si>
    <t>a163p000004NtV6AAK</t>
  </si>
  <si>
    <t>CD-1069701</t>
  </si>
  <si>
    <t>a163p000004NtV7AAK</t>
  </si>
  <si>
    <t>CD-1069702</t>
  </si>
  <si>
    <t>a163p000004NtV8AAK</t>
  </si>
  <si>
    <t>CD-1069703</t>
  </si>
  <si>
    <t>a163p000004NtV9AAK</t>
  </si>
  <si>
    <t>CD-1069704</t>
  </si>
  <si>
    <t>a163p000004NtVAAA0</t>
  </si>
  <si>
    <t>CD-1069705</t>
  </si>
  <si>
    <t>a163p000004NtVBAA0</t>
  </si>
  <si>
    <t>CD-1069706</t>
  </si>
  <si>
    <t>a163p000004NtVCAA0</t>
  </si>
  <si>
    <t>CD-1069707</t>
  </si>
  <si>
    <t>a163p000004NtVDAA0</t>
  </si>
  <si>
    <t>CD-1069708</t>
  </si>
  <si>
    <t>a163p000004NtVEAA0</t>
  </si>
  <si>
    <t>CD-1069709</t>
  </si>
  <si>
    <t>a163p000004NtVFAA0</t>
  </si>
  <si>
    <t>CD-1069750</t>
  </si>
  <si>
    <t>CI-87207</t>
  </si>
  <si>
    <t>a163p000004NtVuAAK</t>
  </si>
  <si>
    <t>CD-1069751</t>
  </si>
  <si>
    <t>a163p000004NtVvAAK</t>
  </si>
  <si>
    <t>CD-1069752</t>
  </si>
  <si>
    <t>a163p000004NtVwAAK</t>
  </si>
  <si>
    <t>CD-1069753</t>
  </si>
  <si>
    <t>a163p000004NtVxAAK</t>
  </si>
  <si>
    <t>CD-1069754</t>
  </si>
  <si>
    <t>a163p000004NtVyAAK</t>
  </si>
  <si>
    <t>CD-1069755</t>
  </si>
  <si>
    <t>a163p000004NtVzAAK</t>
  </si>
  <si>
    <t>CD-1069756</t>
  </si>
  <si>
    <t>a163p000004NtW0AAK</t>
  </si>
  <si>
    <t>CD-1069757</t>
  </si>
  <si>
    <t>a163p000004NtW1AAK</t>
  </si>
  <si>
    <t>CD-1069758</t>
  </si>
  <si>
    <t>a163p000004NtW2AAK</t>
  </si>
  <si>
    <t>CD-1069759</t>
  </si>
  <si>
    <t>a163p000004NtW3AAK</t>
  </si>
  <si>
    <t>CD-1069760</t>
  </si>
  <si>
    <t>a163p000004NtW4AAK</t>
  </si>
  <si>
    <t>CD-1069761</t>
  </si>
  <si>
    <t>a163p000004NtW5AAK</t>
  </si>
  <si>
    <t>CD-1069762</t>
  </si>
  <si>
    <t>a163p000004NtW6AAK</t>
  </si>
  <si>
    <t>CD-1069763</t>
  </si>
  <si>
    <t>a163p000004NtW7AAK</t>
  </si>
  <si>
    <t>CD-1069764</t>
  </si>
  <si>
    <t>a163p000004NtW8AAK</t>
  </si>
  <si>
    <t>CD-1069765</t>
  </si>
  <si>
    <t>a163p000004NtW9AAK</t>
  </si>
  <si>
    <t>CD-1069766</t>
  </si>
  <si>
    <t>a163p000004NtWAAA0</t>
  </si>
  <si>
    <t>CD-1069767</t>
  </si>
  <si>
    <t>a163p000004NtWBAA0</t>
  </si>
  <si>
    <t>CD-1069768</t>
  </si>
  <si>
    <t>a163p000004NtWCAA0</t>
  </si>
  <si>
    <t>CD-1069769</t>
  </si>
  <si>
    <t>a163p000004NtWDAA0</t>
  </si>
  <si>
    <t>CD-1069770</t>
  </si>
  <si>
    <t>CI-87208</t>
  </si>
  <si>
    <t>a163p000004NtWEAA0</t>
  </si>
  <si>
    <t>CD-1069771</t>
  </si>
  <si>
    <t>a163p000004NtWFAA0</t>
  </si>
  <si>
    <t>CD-1069772</t>
  </si>
  <si>
    <t>a163p000004NtWGAA0</t>
  </si>
  <si>
    <t>CD-1069773</t>
  </si>
  <si>
    <t>a163p000004NtWHAA0</t>
  </si>
  <si>
    <t>CD-1069774</t>
  </si>
  <si>
    <t>a163p000004NtWIAA0</t>
  </si>
  <si>
    <t>CD-1069775</t>
  </si>
  <si>
    <t>a163p000004NtWJAA0</t>
  </si>
  <si>
    <t>CD-1069776</t>
  </si>
  <si>
    <t>a163p000004NtWKAA0</t>
  </si>
  <si>
    <t>CD-1069777</t>
  </si>
  <si>
    <t>a163p000004NtWLAA0</t>
  </si>
  <si>
    <t>CD-1069778</t>
  </si>
  <si>
    <t>a163p000004NtWMAA0</t>
  </si>
  <si>
    <t>CD-1069779</t>
  </si>
  <si>
    <t>a163p000004NtWNAA0</t>
  </si>
  <si>
    <t>CD-1069780</t>
  </si>
  <si>
    <t>a163p000004NtWOAA0</t>
  </si>
  <si>
    <t>CD-1069781</t>
  </si>
  <si>
    <t>a163p000004NtWPAA0</t>
  </si>
  <si>
    <t>CD-1069782</t>
  </si>
  <si>
    <t>a163p000004NtWQAA0</t>
  </si>
  <si>
    <t>CD-1069783</t>
  </si>
  <si>
    <t>a163p000004NtWRAA0</t>
  </si>
  <si>
    <t>CD-1069784</t>
  </si>
  <si>
    <t>a163p000004NtWSAA0</t>
  </si>
  <si>
    <t>CD-1069785</t>
  </si>
  <si>
    <t>a163p000004NtWTAA0</t>
  </si>
  <si>
    <t>CD-1069786</t>
  </si>
  <si>
    <t>a163p000004NtWUAA0</t>
  </si>
  <si>
    <t>CD-1069787</t>
  </si>
  <si>
    <t>a163p000004NtWVAA0</t>
  </si>
  <si>
    <t>CD-1069788</t>
  </si>
  <si>
    <t>a163p000004NtWWAA0</t>
  </si>
  <si>
    <t>CD-1069789</t>
  </si>
  <si>
    <t>a163p000004NtWXAA0</t>
  </si>
  <si>
    <t>CD-1069790</t>
  </si>
  <si>
    <t>CI-87209</t>
  </si>
  <si>
    <t>As it is a focused country, no disaggregation is requested for the indicators.</t>
  </si>
  <si>
    <t>a163p000004NtWYAA0</t>
  </si>
  <si>
    <t>CD-1069791</t>
  </si>
  <si>
    <t>a163p000004NtWZAA0</t>
  </si>
  <si>
    <t>CD-1069792</t>
  </si>
  <si>
    <t>a163p000004NtWaAAK</t>
  </si>
  <si>
    <t>CD-1069793</t>
  </si>
  <si>
    <t>a163p000004NtWbAAK</t>
  </si>
  <si>
    <t>CD-1069794</t>
  </si>
  <si>
    <t>a163p000004NtWcAAK</t>
  </si>
  <si>
    <t>CD-1069795</t>
  </si>
  <si>
    <t>a163p000004NtWdAAK</t>
  </si>
  <si>
    <t>CD-1069796</t>
  </si>
  <si>
    <t>a163p000004NtWeAAK</t>
  </si>
  <si>
    <t>CD-1069797</t>
  </si>
  <si>
    <t>a163p000004NtWfAAK</t>
  </si>
  <si>
    <t>CD-1069798</t>
  </si>
  <si>
    <t>a163p000004NtWgAAK</t>
  </si>
  <si>
    <t>CD-1069799</t>
  </si>
  <si>
    <t>a163p000004NtWhAAK</t>
  </si>
  <si>
    <t>CD-1069800</t>
  </si>
  <si>
    <t>a163p000004NtWiAAK</t>
  </si>
  <si>
    <t>CD-1069801</t>
  </si>
  <si>
    <t>a163p000004NtWjAAK</t>
  </si>
  <si>
    <t>CD-1069802</t>
  </si>
  <si>
    <t>a163p000004NtWkAAK</t>
  </si>
  <si>
    <t>CD-1069803</t>
  </si>
  <si>
    <t>a163p000004NtWlAAK</t>
  </si>
  <si>
    <t>CD-1069804</t>
  </si>
  <si>
    <t>a163p000004NtWmAAK</t>
  </si>
  <si>
    <t>CD-1069805</t>
  </si>
  <si>
    <t>a163p000004NtWnAAK</t>
  </si>
  <si>
    <t>CD-1069806</t>
  </si>
  <si>
    <t>a163p000004NtWoAAK</t>
  </si>
  <si>
    <t>CD-1069807</t>
  </si>
  <si>
    <t>a163p000004NtWpAAK</t>
  </si>
  <si>
    <t>CD-1069808</t>
  </si>
  <si>
    <t>a163p000004NtWqAAK</t>
  </si>
  <si>
    <t>CD-1069809</t>
  </si>
  <si>
    <t>a163p000004NtWrAAK</t>
  </si>
  <si>
    <t>CD-1069710</t>
  </si>
  <si>
    <t>CI-87210</t>
  </si>
  <si>
    <t>a163p000004NtVGAA0</t>
  </si>
  <si>
    <t>CD-1069711</t>
  </si>
  <si>
    <t>a163p000004NtVHAA0</t>
  </si>
  <si>
    <t>CD-1069712</t>
  </si>
  <si>
    <t>a163p000004NtVIAA0</t>
  </si>
  <si>
    <t>CD-1069713</t>
  </si>
  <si>
    <t>a163p000004NtVJAA0</t>
  </si>
  <si>
    <t>CD-1069714</t>
  </si>
  <si>
    <t>a163p000004NtVKAA0</t>
  </si>
  <si>
    <t>CD-1069715</t>
  </si>
  <si>
    <t>a163p000004NtVLAA0</t>
  </si>
  <si>
    <t>CD-1069716</t>
  </si>
  <si>
    <t>a163p000004NtVMAA0</t>
  </si>
  <si>
    <t>CD-1069717</t>
  </si>
  <si>
    <t>a163p000004NtVNAA0</t>
  </si>
  <si>
    <t>CD-1069718</t>
  </si>
  <si>
    <t>a163p000004NtVOAA0</t>
  </si>
  <si>
    <t>CD-1069719</t>
  </si>
  <si>
    <t>a163p000004NtVPAA0</t>
  </si>
  <si>
    <t>CD-1069720</t>
  </si>
  <si>
    <t>a163p000004NtVQAA0</t>
  </si>
  <si>
    <t>CD-1069721</t>
  </si>
  <si>
    <t>a163p000004NtVRAA0</t>
  </si>
  <si>
    <t>CD-1069722</t>
  </si>
  <si>
    <t>a163p000004NtVSAA0</t>
  </si>
  <si>
    <t>CD-1069723</t>
  </si>
  <si>
    <t>a163p000004NtVTAA0</t>
  </si>
  <si>
    <t>CD-1069724</t>
  </si>
  <si>
    <t>a163p000004NtVUAA0</t>
  </si>
  <si>
    <t>CD-1069725</t>
  </si>
  <si>
    <t>a163p000004NtVVAA0</t>
  </si>
  <si>
    <t>CD-1069726</t>
  </si>
  <si>
    <t>a163p000004NtVWAA0</t>
  </si>
  <si>
    <t>CD-1069727</t>
  </si>
  <si>
    <t>a163p000004NtVXAA0</t>
  </si>
  <si>
    <t>CD-1069728</t>
  </si>
  <si>
    <t>a163p000004NtVYAA0</t>
  </si>
  <si>
    <t>CD-1069729</t>
  </si>
  <si>
    <t>a163p000004NtVZAA0</t>
  </si>
  <si>
    <t>CD-1069730</t>
  </si>
  <si>
    <t>CI-87211</t>
  </si>
  <si>
    <t>a163p000004NtVaAAK</t>
  </si>
  <si>
    <t>CD-1069731</t>
  </si>
  <si>
    <t>a163p000004NtVbAAK</t>
  </si>
  <si>
    <t>CD-1069732</t>
  </si>
  <si>
    <t>a163p000004NtVcAAK</t>
  </si>
  <si>
    <t>CD-1069733</t>
  </si>
  <si>
    <t>a163p000004NtVdAAK</t>
  </si>
  <si>
    <t>CD-1069734</t>
  </si>
  <si>
    <t>a163p000004NtVeAAK</t>
  </si>
  <si>
    <t>CD-1069735</t>
  </si>
  <si>
    <t>a163p000004NtVfAAK</t>
  </si>
  <si>
    <t>CD-1069736</t>
  </si>
  <si>
    <t>a163p000004NtVgAAK</t>
  </si>
  <si>
    <t>CD-1069737</t>
  </si>
  <si>
    <t>a163p000004NtVhAAK</t>
  </si>
  <si>
    <t>CD-1069738</t>
  </si>
  <si>
    <t>a163p000004NtViAAK</t>
  </si>
  <si>
    <t>CD-1069739</t>
  </si>
  <si>
    <t>a163p000004NtVjAAK</t>
  </si>
  <si>
    <t>CD-1069740</t>
  </si>
  <si>
    <t>a163p000004NtVkAAK</t>
  </si>
  <si>
    <t>CD-1069741</t>
  </si>
  <si>
    <t>a163p000004NtVlAAK</t>
  </si>
  <si>
    <t>CD-1069742</t>
  </si>
  <si>
    <t>a163p000004NtVmAAK</t>
  </si>
  <si>
    <t>CD-1069743</t>
  </si>
  <si>
    <t>a163p000004NtVnAAK</t>
  </si>
  <si>
    <t>CD-1069744</t>
  </si>
  <si>
    <t>a163p000004NtVoAAK</t>
  </si>
  <si>
    <t>CD-1069745</t>
  </si>
  <si>
    <t>a163p000004NtVpAAK</t>
  </si>
  <si>
    <t>CD-1069746</t>
  </si>
  <si>
    <t>a163p000004NtVqAAK</t>
  </si>
  <si>
    <t>CD-1069747</t>
  </si>
  <si>
    <t>a163p000004NtVrAAK</t>
  </si>
  <si>
    <t>CD-1069748</t>
  </si>
  <si>
    <t>a163p000004NtVsAAK</t>
  </si>
  <si>
    <t>CD-1069749</t>
  </si>
  <si>
    <t>a163p000004NtVtAAK</t>
  </si>
  <si>
    <t>CD-1069810</t>
  </si>
  <si>
    <t>CI-87212</t>
  </si>
  <si>
    <t>a163p000004NtWsAAK</t>
  </si>
  <si>
    <t>CD-1069811</t>
  </si>
  <si>
    <t>a163p000004NtWtAAK</t>
  </si>
  <si>
    <t>CD-1069812</t>
  </si>
  <si>
    <t>a163p000004NtWuAAK</t>
  </si>
  <si>
    <t>CD-1069813</t>
  </si>
  <si>
    <t>a163p000004NtWvAAK</t>
  </si>
  <si>
    <t>CD-1069814</t>
  </si>
  <si>
    <t>a163p000004NtWwAAK</t>
  </si>
  <si>
    <t>CD-1069815</t>
  </si>
  <si>
    <t>a163p000004NtWxAAK</t>
  </si>
  <si>
    <t>CD-1069816</t>
  </si>
  <si>
    <t>a163p000004NtWyAAK</t>
  </si>
  <si>
    <t>CD-1069817</t>
  </si>
  <si>
    <t>a163p000004NtWzAAK</t>
  </si>
  <si>
    <t>CD-1069818</t>
  </si>
  <si>
    <t>a163p000004NtX0AAK</t>
  </si>
  <si>
    <t>CD-1069819</t>
  </si>
  <si>
    <t>a163p000004NtX1AAK</t>
  </si>
  <si>
    <t>CD-1069820</t>
  </si>
  <si>
    <t>a163p000004NtX2AAK</t>
  </si>
  <si>
    <t>CD-1069821</t>
  </si>
  <si>
    <t>a163p000004NtX3AAK</t>
  </si>
  <si>
    <t>CD-1069822</t>
  </si>
  <si>
    <t>a163p000004NtX4AAK</t>
  </si>
  <si>
    <t>CD-1069823</t>
  </si>
  <si>
    <t>a163p000004NtX5AAK</t>
  </si>
  <si>
    <t>CD-1069824</t>
  </si>
  <si>
    <t>a163p000004NtX6AAK</t>
  </si>
  <si>
    <t>CD-1069825</t>
  </si>
  <si>
    <t>a163p000004NtX7AAK</t>
  </si>
  <si>
    <t>CD-1069826</t>
  </si>
  <si>
    <t>a163p000004NtX8AAK</t>
  </si>
  <si>
    <t>CD-1069827</t>
  </si>
  <si>
    <t>a163p000004NtX9AAK</t>
  </si>
  <si>
    <t>CD-1069828</t>
  </si>
  <si>
    <t>a163p000004NtXAAA0</t>
  </si>
  <si>
    <t>CD-1069829</t>
  </si>
  <si>
    <t>a163p000004NtXBAA0</t>
  </si>
  <si>
    <t>CD-1069830</t>
  </si>
  <si>
    <t>CI-87213</t>
  </si>
  <si>
    <t>a163p000004NtXCAA0</t>
  </si>
  <si>
    <t>CD-1069831</t>
  </si>
  <si>
    <t>a163p000004NtXDAA0</t>
  </si>
  <si>
    <t>CD-1069832</t>
  </si>
  <si>
    <t>a163p000004NtXEAA0</t>
  </si>
  <si>
    <t>CD-1069833</t>
  </si>
  <si>
    <t>a163p000004NtXFAA0</t>
  </si>
  <si>
    <t>CD-1069834</t>
  </si>
  <si>
    <t>a163p000004NtXGAA0</t>
  </si>
  <si>
    <t>CD-1069835</t>
  </si>
  <si>
    <t>a163p000004NtXHAA0</t>
  </si>
  <si>
    <t>CD-1069836</t>
  </si>
  <si>
    <t>a163p000004NtXIAA0</t>
  </si>
  <si>
    <t>CD-1069837</t>
  </si>
  <si>
    <t>a163p000004NtXJAA0</t>
  </si>
  <si>
    <t>CD-1069838</t>
  </si>
  <si>
    <t>a163p000004NtXKAA0</t>
  </si>
  <si>
    <t>CD-1069839</t>
  </si>
  <si>
    <t>a163p000004NtXLAA0</t>
  </si>
  <si>
    <t>CD-1069840</t>
  </si>
  <si>
    <t>a163p000004NtXMAA0</t>
  </si>
  <si>
    <t>CD-1069841</t>
  </si>
  <si>
    <t>a163p000004NtXNAA0</t>
  </si>
  <si>
    <t>CD-1069842</t>
  </si>
  <si>
    <t>a163p000004NtXOAA0</t>
  </si>
  <si>
    <t>CD-1069843</t>
  </si>
  <si>
    <t>a163p000004NtXPAA0</t>
  </si>
  <si>
    <t>CD-1069844</t>
  </si>
  <si>
    <t>a163p000004NtXQAA0</t>
  </si>
  <si>
    <t>CD-1069845</t>
  </si>
  <si>
    <t>a163p000004NtXRAA0</t>
  </si>
  <si>
    <t>CD-1069846</t>
  </si>
  <si>
    <t>a163p000004NtXSAA0</t>
  </si>
  <si>
    <t>CD-1069847</t>
  </si>
  <si>
    <t>a163p000004NtXTAA0</t>
  </si>
  <si>
    <t>CD-1069848</t>
  </si>
  <si>
    <t>a163p000004NtXUAA0</t>
  </si>
  <si>
    <t>CD-1069849</t>
  </si>
  <si>
    <t>a163p000004NtXVAA0</t>
  </si>
  <si>
    <t>CD-1069850</t>
  </si>
  <si>
    <t>CI-87214</t>
  </si>
  <si>
    <t>a163p000004NtXWAA0</t>
  </si>
  <si>
    <t>CD-1069851</t>
  </si>
  <si>
    <t>a163p000004NtXXAA0</t>
  </si>
  <si>
    <t>CD-1069852</t>
  </si>
  <si>
    <t>a163p000004NtXYAA0</t>
  </si>
  <si>
    <t>CD-1069853</t>
  </si>
  <si>
    <t>a163p000004NtXZAA0</t>
  </si>
  <si>
    <t>CD-1069854</t>
  </si>
  <si>
    <t>a163p000004NtXaAAK</t>
  </si>
  <si>
    <t>CD-1069855</t>
  </si>
  <si>
    <t>a163p000004NtXbAAK</t>
  </si>
  <si>
    <t>CD-1069856</t>
  </si>
  <si>
    <t>a163p000004NtXcAAK</t>
  </si>
  <si>
    <t>CD-1069857</t>
  </si>
  <si>
    <t>a163p000004NtXdAAK</t>
  </si>
  <si>
    <t>CD-1069858</t>
  </si>
  <si>
    <t>a163p000004NtXeAAK</t>
  </si>
  <si>
    <t>CD-1069859</t>
  </si>
  <si>
    <t>a163p000004NtXfAAK</t>
  </si>
  <si>
    <t>CD-1069860</t>
  </si>
  <si>
    <t>a163p000004NtXgAAK</t>
  </si>
  <si>
    <t>CD-1069861</t>
  </si>
  <si>
    <t>a163p000004NtXhAAK</t>
  </si>
  <si>
    <t>CD-1069862</t>
  </si>
  <si>
    <t>a163p000004NtXiAAK</t>
  </si>
  <si>
    <t>CD-1069863</t>
  </si>
  <si>
    <t>a163p000004NtXjAAK</t>
  </si>
  <si>
    <t>CD-1069864</t>
  </si>
  <si>
    <t>a163p000004NtXkAAK</t>
  </si>
  <si>
    <t>CD-1069865</t>
  </si>
  <si>
    <t>a163p000004NtXlAAK</t>
  </si>
  <si>
    <t>CD-1069866</t>
  </si>
  <si>
    <t>a163p000004NtXmAAK</t>
  </si>
  <si>
    <t>CD-1069867</t>
  </si>
  <si>
    <t>a163p000004NtXnAAK</t>
  </si>
  <si>
    <t>CD-1069868</t>
  </si>
  <si>
    <t>a163p000004NtXoAAK</t>
  </si>
  <si>
    <t>CD-1069869</t>
  </si>
  <si>
    <t>a163p000004NtXpAAK</t>
  </si>
  <si>
    <t>CD-1069870</t>
  </si>
  <si>
    <t>CI-87215</t>
  </si>
  <si>
    <t>a163p000004NtXqAAK</t>
  </si>
  <si>
    <t>CD-1069871</t>
  </si>
  <si>
    <t>a163p000004NtXrAAK</t>
  </si>
  <si>
    <t>CD-1069872</t>
  </si>
  <si>
    <t>a163p000004NtXsAAK</t>
  </si>
  <si>
    <t>CD-1069873</t>
  </si>
  <si>
    <t>a163p000004NtXtAAK</t>
  </si>
  <si>
    <t>CD-1069874</t>
  </si>
  <si>
    <t>a163p000004NtXuAAK</t>
  </si>
  <si>
    <t>CD-1069875</t>
  </si>
  <si>
    <t>a163p000004NtXvAAK</t>
  </si>
  <si>
    <t>CD-1069876</t>
  </si>
  <si>
    <t>a163p000004NtXwAAK</t>
  </si>
  <si>
    <t>CD-1069877</t>
  </si>
  <si>
    <t>a163p000004NtXxAAK</t>
  </si>
  <si>
    <t>CD-1069878</t>
  </si>
  <si>
    <t>a163p000004NtXyAAK</t>
  </si>
  <si>
    <t>CD-1069879</t>
  </si>
  <si>
    <t>a163p000004NtXzAAK</t>
  </si>
  <si>
    <t>CD-1069880</t>
  </si>
  <si>
    <t>a163p000004NtY0AAK</t>
  </si>
  <si>
    <t>CD-1069881</t>
  </si>
  <si>
    <t>a163p000004NtY1AAK</t>
  </si>
  <si>
    <t>CD-1069882</t>
  </si>
  <si>
    <t>a163p000004NtY2AAK</t>
  </si>
  <si>
    <t>CD-1069883</t>
  </si>
  <si>
    <t>a163p000004NtY3AAK</t>
  </si>
  <si>
    <t>CD-1069884</t>
  </si>
  <si>
    <t>a163p000004NtY4AAK</t>
  </si>
  <si>
    <t>CD-1069885</t>
  </si>
  <si>
    <t>a163p000004NtY5AAK</t>
  </si>
  <si>
    <t>CD-1069886</t>
  </si>
  <si>
    <t>a163p000004NtY6AAK</t>
  </si>
  <si>
    <t>CD-1069887</t>
  </si>
  <si>
    <t>a163p000004NtY7AAK</t>
  </si>
  <si>
    <t>CD-1069888</t>
  </si>
  <si>
    <t>a163p000004NtY8AAK</t>
  </si>
  <si>
    <t>CD-1069889</t>
  </si>
  <si>
    <t>a163p000004NtY9AAK</t>
  </si>
  <si>
    <t>CD-1069890</t>
  </si>
  <si>
    <t>CI-87216</t>
  </si>
  <si>
    <t>a163p000004NtYAAA0</t>
  </si>
  <si>
    <t>CD-1069891</t>
  </si>
  <si>
    <t>a163p000004NtYBAA0</t>
  </si>
  <si>
    <t>CD-1069892</t>
  </si>
  <si>
    <t>a163p000004NtYCAA0</t>
  </si>
  <si>
    <t>CD-1069893</t>
  </si>
  <si>
    <t>a163p000004NtYDAA0</t>
  </si>
  <si>
    <t>CD-1069894</t>
  </si>
  <si>
    <t>a163p000004NtYEAA0</t>
  </si>
  <si>
    <t>CD-1069895</t>
  </si>
  <si>
    <t>a163p000004NtYFAA0</t>
  </si>
  <si>
    <t>CD-1069896</t>
  </si>
  <si>
    <t>a163p000004NtYGAA0</t>
  </si>
  <si>
    <t>CD-1069897</t>
  </si>
  <si>
    <t>a163p000004NtYHAA0</t>
  </si>
  <si>
    <t>CD-1069898</t>
  </si>
  <si>
    <t>a163p000004NtYIAA0</t>
  </si>
  <si>
    <t>CD-1069899</t>
  </si>
  <si>
    <t>a163p000004NtYJAA0</t>
  </si>
  <si>
    <t>CD-1069900</t>
  </si>
  <si>
    <t>a163p000004NtYKAA0</t>
  </si>
  <si>
    <t>CD-1069901</t>
  </si>
  <si>
    <t>a163p000004NtYLAA0</t>
  </si>
  <si>
    <t>CD-1069902</t>
  </si>
  <si>
    <t>a163p000004NtYMAA0</t>
  </si>
  <si>
    <t>CD-1069903</t>
  </si>
  <si>
    <t>a163p000004NtYNAA0</t>
  </si>
  <si>
    <t>CD-1069904</t>
  </si>
  <si>
    <t>a163p000004NtYOAA0</t>
  </si>
  <si>
    <t>CD-1069905</t>
  </si>
  <si>
    <t>a163p000004NtYPAA0</t>
  </si>
  <si>
    <t>CD-1069906</t>
  </si>
  <si>
    <t>a163p000004NtYQAA0</t>
  </si>
  <si>
    <t>CD-1069907</t>
  </si>
  <si>
    <t>a163p000004NtYRAA0</t>
  </si>
  <si>
    <t>CD-1069908</t>
  </si>
  <si>
    <t>a163p000004NtYSAA0</t>
  </si>
  <si>
    <t>CD-1069909</t>
  </si>
  <si>
    <t>a163p000004NtYTAA0</t>
  </si>
  <si>
    <t>CD-1069910</t>
  </si>
  <si>
    <t>CI-87217</t>
  </si>
  <si>
    <t>a163p000004NtYUAA0</t>
  </si>
  <si>
    <t>CD-1069911</t>
  </si>
  <si>
    <t>a163p000004NtYVAA0</t>
  </si>
  <si>
    <t>CD-1069912</t>
  </si>
  <si>
    <t>a163p000004NtYWAA0</t>
  </si>
  <si>
    <t>CD-1069913</t>
  </si>
  <si>
    <t>a163p000004NtYXAA0</t>
  </si>
  <si>
    <t>CD-1069914</t>
  </si>
  <si>
    <t>a163p000004NtYYAA0</t>
  </si>
  <si>
    <t>CD-1069915</t>
  </si>
  <si>
    <t>a163p000004NtYZAA0</t>
  </si>
  <si>
    <t>CD-1069916</t>
  </si>
  <si>
    <t>a163p000004NtYaAAK</t>
  </si>
  <si>
    <t>CD-1069917</t>
  </si>
  <si>
    <t>a163p000004NtYbAAK</t>
  </si>
  <si>
    <t>CD-1069918</t>
  </si>
  <si>
    <t>a163p000004NtYcAAK</t>
  </si>
  <si>
    <t>CD-1069919</t>
  </si>
  <si>
    <t>a163p000004NtYdAAK</t>
  </si>
  <si>
    <t>CD-1069920</t>
  </si>
  <si>
    <t>a163p000004NtYeAAK</t>
  </si>
  <si>
    <t>CD-1069921</t>
  </si>
  <si>
    <t>a163p000004NtYfAAK</t>
  </si>
  <si>
    <t>CD-1069922</t>
  </si>
  <si>
    <t>a163p000004NtYgAAK</t>
  </si>
  <si>
    <t>CD-1069923</t>
  </si>
  <si>
    <t>a163p000004NtYhAAK</t>
  </si>
  <si>
    <t>CD-1069924</t>
  </si>
  <si>
    <t>a163p000004NtYiAAK</t>
  </si>
  <si>
    <t>CD-1069925</t>
  </si>
  <si>
    <t>a163p000004NtYjAAK</t>
  </si>
  <si>
    <t>CD-1069926</t>
  </si>
  <si>
    <t>a163p000004NtYkAAK</t>
  </si>
  <si>
    <t>CD-1069927</t>
  </si>
  <si>
    <t>a163p000004NtYlAAK</t>
  </si>
  <si>
    <t>CD-1069928</t>
  </si>
  <si>
    <t>a163p000004NtYmAAK</t>
  </si>
  <si>
    <t>CD-1069929</t>
  </si>
  <si>
    <t>a163p000004NtYnAAK</t>
  </si>
  <si>
    <t>CD-1069930</t>
  </si>
  <si>
    <t>CI-87218</t>
  </si>
  <si>
    <t>a163p000004NtYoAAK</t>
  </si>
  <si>
    <t>CD-1069931</t>
  </si>
  <si>
    <t>a163p000004NtYpAAK</t>
  </si>
  <si>
    <t>CD-1069932</t>
  </si>
  <si>
    <t>a163p000004NtYqAAK</t>
  </si>
  <si>
    <t>CD-1069933</t>
  </si>
  <si>
    <t>a163p000004NtYrAAK</t>
  </si>
  <si>
    <t>CD-1069934</t>
  </si>
  <si>
    <t>a163p000004NtYsAAK</t>
  </si>
  <si>
    <t>CD-1069935</t>
  </si>
  <si>
    <t>a163p000004NtYtAAK</t>
  </si>
  <si>
    <t>CD-1069936</t>
  </si>
  <si>
    <t>a163p000004NtYuAAK</t>
  </si>
  <si>
    <t>CD-1069937</t>
  </si>
  <si>
    <t>a163p000004NtYvAAK</t>
  </si>
  <si>
    <t>CD-1069938</t>
  </si>
  <si>
    <t>a163p000004NtYwAAK</t>
  </si>
  <si>
    <t>CD-1069939</t>
  </si>
  <si>
    <t>a163p000004NtYxAAK</t>
  </si>
  <si>
    <t>CD-1069940</t>
  </si>
  <si>
    <t>a163p000004NtYyAAK</t>
  </si>
  <si>
    <t>CD-1069941</t>
  </si>
  <si>
    <t>a163p000004NtYzAAK</t>
  </si>
  <si>
    <t>CD-1069942</t>
  </si>
  <si>
    <t>a163p000004NtZ0AAK</t>
  </si>
  <si>
    <t>CD-1069943</t>
  </si>
  <si>
    <t>a163p000004NtZ1AAK</t>
  </si>
  <si>
    <t>CD-1069944</t>
  </si>
  <si>
    <t>a163p000004NtZ2AAK</t>
  </si>
  <si>
    <t>CD-1069945</t>
  </si>
  <si>
    <t>a163p000004NtZ3AAK</t>
  </si>
  <si>
    <t>CD-1069946</t>
  </si>
  <si>
    <t>a163p000004NtZ4AAK</t>
  </si>
  <si>
    <t>CD-1069947</t>
  </si>
  <si>
    <t>a163p000004NtZ5AAK</t>
  </si>
  <si>
    <t>CD-1069948</t>
  </si>
  <si>
    <t>a163p000004NtZ6AAK</t>
  </si>
  <si>
    <t>CD-1069949</t>
  </si>
  <si>
    <t>a163p000004NtZ7AAK</t>
  </si>
  <si>
    <t>CD-1069950</t>
  </si>
  <si>
    <t>CI-87219</t>
  </si>
  <si>
    <t>a163p000004NtZ8AAK</t>
  </si>
  <si>
    <t>CD-1069951</t>
  </si>
  <si>
    <t>a163p000004NtZ9AAK</t>
  </si>
  <si>
    <t>CD-1069952</t>
  </si>
  <si>
    <t>a163p000004NtZAAA0</t>
  </si>
  <si>
    <t>CD-1069953</t>
  </si>
  <si>
    <t>a163p000004NtZBAA0</t>
  </si>
  <si>
    <t>CD-1069954</t>
  </si>
  <si>
    <t>a163p000004NtZCAA0</t>
  </si>
  <si>
    <t>CD-1069955</t>
  </si>
  <si>
    <t>a163p000004NtZDAA0</t>
  </si>
  <si>
    <t>CD-1069956</t>
  </si>
  <si>
    <t>a163p000004NtZEAA0</t>
  </si>
  <si>
    <t>CD-1069957</t>
  </si>
  <si>
    <t>a163p000004NtZFAA0</t>
  </si>
  <si>
    <t>CD-1069958</t>
  </si>
  <si>
    <t>a163p000004NtZGAA0</t>
  </si>
  <si>
    <t>CD-1069959</t>
  </si>
  <si>
    <t>a163p000004NtZHAA0</t>
  </si>
  <si>
    <t>CD-1069960</t>
  </si>
  <si>
    <t>a163p000004NtZIAA0</t>
  </si>
  <si>
    <t>CD-1069961</t>
  </si>
  <si>
    <t>a163p000004NtZJAA0</t>
  </si>
  <si>
    <t>CD-1069962</t>
  </si>
  <si>
    <t>a163p000004NtZKAA0</t>
  </si>
  <si>
    <t>CD-1069963</t>
  </si>
  <si>
    <t>a163p000004NtZLAA0</t>
  </si>
  <si>
    <t>CD-1069964</t>
  </si>
  <si>
    <t>a163p000004NtZMAA0</t>
  </si>
  <si>
    <t>CD-1069965</t>
  </si>
  <si>
    <t>a163p000004NtZNAA0</t>
  </si>
  <si>
    <t>CD-1069966</t>
  </si>
  <si>
    <t>a163p000004NtZOAA0</t>
  </si>
  <si>
    <t>CD-1069967</t>
  </si>
  <si>
    <t>a163p000004NtZPAA0</t>
  </si>
  <si>
    <t>CD-1069968</t>
  </si>
  <si>
    <t>a163p000004NtZQAA0</t>
  </si>
  <si>
    <t>CD-1069969</t>
  </si>
  <si>
    <t>a163p000004NtZRAA0</t>
  </si>
  <si>
    <t>CD-1069970</t>
  </si>
  <si>
    <t>CI-87220</t>
  </si>
  <si>
    <t>a163p000004NtZSAA0</t>
  </si>
  <si>
    <t>CD-1069971</t>
  </si>
  <si>
    <t>a163p000004NtZTAA0</t>
  </si>
  <si>
    <t>CD-1069972</t>
  </si>
  <si>
    <t>a163p000004NtZUAA0</t>
  </si>
  <si>
    <t>CD-1069973</t>
  </si>
  <si>
    <t>a163p000004NtZVAA0</t>
  </si>
  <si>
    <t>CD-1069974</t>
  </si>
  <si>
    <t>a163p000004NtZWAA0</t>
  </si>
  <si>
    <t>CD-1069975</t>
  </si>
  <si>
    <t>a163p000004NtZXAA0</t>
  </si>
  <si>
    <t>CD-1069976</t>
  </si>
  <si>
    <t>a163p000004NtZYAA0</t>
  </si>
  <si>
    <t>CD-1069977</t>
  </si>
  <si>
    <t>a163p000004NtZZAA0</t>
  </si>
  <si>
    <t>CD-1069978</t>
  </si>
  <si>
    <t>a163p000004NtZaAAK</t>
  </si>
  <si>
    <t>CD-1069979</t>
  </si>
  <si>
    <t>a163p000004NtZbAAK</t>
  </si>
  <si>
    <t>CD-1069980</t>
  </si>
  <si>
    <t>a163p000004NtZcAAK</t>
  </si>
  <si>
    <t>CD-1069981</t>
  </si>
  <si>
    <t>a163p000004NtZdAAK</t>
  </si>
  <si>
    <t>CD-1069982</t>
  </si>
  <si>
    <t>a163p000004NtZeAAK</t>
  </si>
  <si>
    <t>CD-1069983</t>
  </si>
  <si>
    <t>a163p000004NtZfAAK</t>
  </si>
  <si>
    <t>CD-1069984</t>
  </si>
  <si>
    <t>a163p000004NtZgAAK</t>
  </si>
  <si>
    <t>CD-1069985</t>
  </si>
  <si>
    <t>a163p000004NtZhAAK</t>
  </si>
  <si>
    <t>CD-1069986</t>
  </si>
  <si>
    <t>a163p000004NtZiAAK</t>
  </si>
  <si>
    <t>CD-1069987</t>
  </si>
  <si>
    <t>a163p000004NtZjAAK</t>
  </si>
  <si>
    <t>CD-1069988</t>
  </si>
  <si>
    <t>a163p000004NtZkAAK</t>
  </si>
  <si>
    <t>CD-1069989</t>
  </si>
  <si>
    <t>a163p000004NtZlAAK</t>
  </si>
  <si>
    <t>CD-1069990</t>
  </si>
  <si>
    <t>CI-87221</t>
  </si>
  <si>
    <t>a163p000004NtZmAAK</t>
  </si>
  <si>
    <t>CD-1069991</t>
  </si>
  <si>
    <t>a163p000004NtZnAAK</t>
  </si>
  <si>
    <t>CD-1069992</t>
  </si>
  <si>
    <t>a163p000004NtZoAAK</t>
  </si>
  <si>
    <t>CD-1069993</t>
  </si>
  <si>
    <t>a163p000004NtZpAAK</t>
  </si>
  <si>
    <t>CD-1069994</t>
  </si>
  <si>
    <t>a163p000004NtZqAAK</t>
  </si>
  <si>
    <t>CD-1069995</t>
  </si>
  <si>
    <t>a163p000004NtZrAAK</t>
  </si>
  <si>
    <t>CD-1069996</t>
  </si>
  <si>
    <t>a163p000004NtZsAAK</t>
  </si>
  <si>
    <t>CD-1069997</t>
  </si>
  <si>
    <t>a163p000004NtZtAAK</t>
  </si>
  <si>
    <t>CD-1069998</t>
  </si>
  <si>
    <t>a163p000004NtZuAAK</t>
  </si>
  <si>
    <t>CD-1069999</t>
  </si>
  <si>
    <t>a163p000004NtZvAAK</t>
  </si>
  <si>
    <t>CD-1070000</t>
  </si>
  <si>
    <t>a163p000004NtZwAAK</t>
  </si>
  <si>
    <t>CD-1070001</t>
  </si>
  <si>
    <t>a163p000004NtZxAAK</t>
  </si>
  <si>
    <t>CD-1070002</t>
  </si>
  <si>
    <t>a163p000004NtZyAAK</t>
  </si>
  <si>
    <t>CD-1070003</t>
  </si>
  <si>
    <t>a163p000004NtZzAAK</t>
  </si>
  <si>
    <t>CD-1070004</t>
  </si>
  <si>
    <t>a163p000004Nta0AAC</t>
  </si>
  <si>
    <t>CD-1070005</t>
  </si>
  <si>
    <t>a163p000004Nta1AAC</t>
  </si>
  <si>
    <t>CD-1070006</t>
  </si>
  <si>
    <t>a163p000004Nta2AAC</t>
  </si>
  <si>
    <t>CD-1070007</t>
  </si>
  <si>
    <t>a163p000004Nta3AAC</t>
  </si>
  <si>
    <t>CD-1070008</t>
  </si>
  <si>
    <t>a163p000004Nta4AAC</t>
  </si>
  <si>
    <t>CD-1070009</t>
  </si>
  <si>
    <t>a163p000004Nta5AAC</t>
  </si>
  <si>
    <t>CD-1070010</t>
  </si>
  <si>
    <t>CI-87222</t>
  </si>
  <si>
    <t>a163p000004Nta6AAC</t>
  </si>
  <si>
    <t>CD-1070011</t>
  </si>
  <si>
    <t>a163p000004Nta7AAC</t>
  </si>
  <si>
    <t>CD-1070012</t>
  </si>
  <si>
    <t>a163p000004Nta8AAC</t>
  </si>
  <si>
    <t>CD-1070013</t>
  </si>
  <si>
    <t>a163p000004Nta9AAC</t>
  </si>
  <si>
    <t>CD-1070014</t>
  </si>
  <si>
    <t>a163p000004NtaAAAS</t>
  </si>
  <si>
    <t>CD-1070015</t>
  </si>
  <si>
    <t>a163p000004NtaBAAS</t>
  </si>
  <si>
    <t>CD-1070016</t>
  </si>
  <si>
    <t>a163p000004NtaCAAS</t>
  </si>
  <si>
    <t>CD-1070017</t>
  </si>
  <si>
    <t>a163p000004NtaDAAS</t>
  </si>
  <si>
    <t>CD-1070018</t>
  </si>
  <si>
    <t>a163p000004NtaEAAS</t>
  </si>
  <si>
    <t>CD-1070019</t>
  </si>
  <si>
    <t>a163p000004NtaFAAS</t>
  </si>
  <si>
    <t>CD-1070020</t>
  </si>
  <si>
    <t>a163p000004NtaGAAS</t>
  </si>
  <si>
    <t>CD-1070021</t>
  </si>
  <si>
    <t>a163p000004NtaHAAS</t>
  </si>
  <si>
    <t>CD-1070022</t>
  </si>
  <si>
    <t>a163p000004NtaIAAS</t>
  </si>
  <si>
    <t>CD-1070023</t>
  </si>
  <si>
    <t>a163p000004NtaJAAS</t>
  </si>
  <si>
    <t>CD-1070024</t>
  </si>
  <si>
    <t>a163p000004NtaKAAS</t>
  </si>
  <si>
    <t>CD-1070025</t>
  </si>
  <si>
    <t>a163p000004NtaLAAS</t>
  </si>
  <si>
    <t>CD-1070026</t>
  </si>
  <si>
    <t>a163p000004NtaMAAS</t>
  </si>
  <si>
    <t>CD-1070027</t>
  </si>
  <si>
    <t>a163p000004NtaNAAS</t>
  </si>
  <si>
    <t>CD-1070028</t>
  </si>
  <si>
    <t>a163p000004NtaOAAS</t>
  </si>
  <si>
    <t>CD-1070029</t>
  </si>
  <si>
    <t>a163p000004NtaPAAS</t>
  </si>
  <si>
    <t>CD-1070030</t>
  </si>
  <si>
    <t>CI-87223</t>
  </si>
  <si>
    <t>a163p000004NtaQAAS</t>
  </si>
  <si>
    <t>CD-1070031</t>
  </si>
  <si>
    <t>a163p000004NtaRAAS</t>
  </si>
  <si>
    <t>CD-1070032</t>
  </si>
  <si>
    <t>a163p000004NtaSAAS</t>
  </si>
  <si>
    <t>CD-1070033</t>
  </si>
  <si>
    <t>a163p000004NtaTAAS</t>
  </si>
  <si>
    <t>CD-1070034</t>
  </si>
  <si>
    <t>a163p000004NtaUAAS</t>
  </si>
  <si>
    <t>CD-1070035</t>
  </si>
  <si>
    <t>a163p000004NtaVAAS</t>
  </si>
  <si>
    <t>CD-1070036</t>
  </si>
  <si>
    <t>a163p000004NtaWAAS</t>
  </si>
  <si>
    <t>CD-1070037</t>
  </si>
  <si>
    <t>a163p000004NtaXAAS</t>
  </si>
  <si>
    <t>CD-1070038</t>
  </si>
  <si>
    <t>a163p000004NtaYAAS</t>
  </si>
  <si>
    <t>CD-1070039</t>
  </si>
  <si>
    <t>a163p000004NtaZAAS</t>
  </si>
  <si>
    <t>CD-1070040</t>
  </si>
  <si>
    <t>a163p000004NtaaAAC</t>
  </si>
  <si>
    <t>CD-1070041</t>
  </si>
  <si>
    <t>a163p000004NtabAAC</t>
  </si>
  <si>
    <t>CD-1070042</t>
  </si>
  <si>
    <t>a163p000004NtacAAC</t>
  </si>
  <si>
    <t>CD-1070043</t>
  </si>
  <si>
    <t>a163p000004NtadAAC</t>
  </si>
  <si>
    <t>CD-1070044</t>
  </si>
  <si>
    <t>a163p000004NtaeAAC</t>
  </si>
  <si>
    <t>CD-1070045</t>
  </si>
  <si>
    <t>a163p000004NtafAAC</t>
  </si>
  <si>
    <t>CD-1070046</t>
  </si>
  <si>
    <t>a163p000004NtagAAC</t>
  </si>
  <si>
    <t>CD-1070047</t>
  </si>
  <si>
    <t>a163p000004NtahAAC</t>
  </si>
  <si>
    <t>CD-1070048</t>
  </si>
  <si>
    <t>a163p000004NtaiAAC</t>
  </si>
  <si>
    <t>CD-1070049</t>
  </si>
  <si>
    <t>a163p000004NtajAAC</t>
  </si>
  <si>
    <t>CD-1070050</t>
  </si>
  <si>
    <t>CI-87224</t>
  </si>
  <si>
    <t>a163p000004NtakAAC</t>
  </si>
  <si>
    <t>CD-1070051</t>
  </si>
  <si>
    <t>a163p000004NtalAAC</t>
  </si>
  <si>
    <t>CD-1070052</t>
  </si>
  <si>
    <t>a163p000004NtamAAC</t>
  </si>
  <si>
    <t>CD-1070053</t>
  </si>
  <si>
    <t>a163p000004NtanAAC</t>
  </si>
  <si>
    <t>CD-1070054</t>
  </si>
  <si>
    <t>a163p000004NtaoAAC</t>
  </si>
  <si>
    <t>CD-1070055</t>
  </si>
  <si>
    <t>a163p000004NtapAAC</t>
  </si>
  <si>
    <t>CD-1070056</t>
  </si>
  <si>
    <t>a163p000004NtaqAAC</t>
  </si>
  <si>
    <t>CD-1070057</t>
  </si>
  <si>
    <t>a163p000004NtarAAC</t>
  </si>
  <si>
    <t>CD-1070058</t>
  </si>
  <si>
    <t>a163p000004NtasAAC</t>
  </si>
  <si>
    <t>CD-1070059</t>
  </si>
  <si>
    <t>a163p000004NtatAAC</t>
  </si>
  <si>
    <t>CD-1070060</t>
  </si>
  <si>
    <t>a163p000004NtauAAC</t>
  </si>
  <si>
    <t>CD-1070061</t>
  </si>
  <si>
    <t>a163p000004NtavAAC</t>
  </si>
  <si>
    <t>CD-1070062</t>
  </si>
  <si>
    <t>a163p000004NtawAAC</t>
  </si>
  <si>
    <t>CD-1070063</t>
  </si>
  <si>
    <t>a163p000004NtaxAAC</t>
  </si>
  <si>
    <t>CD-1070064</t>
  </si>
  <si>
    <t>a163p000004NtayAAC</t>
  </si>
  <si>
    <t>CD-1070065</t>
  </si>
  <si>
    <t>a163p000004NtazAAC</t>
  </si>
  <si>
    <t>CD-1070066</t>
  </si>
  <si>
    <t>a163p000004Ntb0AAC</t>
  </si>
  <si>
    <t>CD-1070067</t>
  </si>
  <si>
    <t>a163p000004Ntb1AAC</t>
  </si>
  <si>
    <t>CD-1070068</t>
  </si>
  <si>
    <t>a163p000004Ntb2AAC</t>
  </si>
  <si>
    <t>CD-1070069</t>
  </si>
  <si>
    <t>a163p000004Ntb3AAC</t>
  </si>
  <si>
    <t>CD-1070070</t>
  </si>
  <si>
    <t>CI-87225</t>
  </si>
  <si>
    <t>a163p000004Ntb4AAC</t>
  </si>
  <si>
    <t>CD-1070071</t>
  </si>
  <si>
    <t>a163p000004Ntb5AAC</t>
  </si>
  <si>
    <t>CD-1070072</t>
  </si>
  <si>
    <t>a163p000004Ntb6AAC</t>
  </si>
  <si>
    <t>CD-1070073</t>
  </si>
  <si>
    <t>a163p000004Ntb7AAC</t>
  </si>
  <si>
    <t>CD-1070074</t>
  </si>
  <si>
    <t>a163p000004Ntb8AAC</t>
  </si>
  <si>
    <t>CD-1070075</t>
  </si>
  <si>
    <t>a163p000004Ntb9AAC</t>
  </si>
  <si>
    <t>CD-1070076</t>
  </si>
  <si>
    <t>a163p000004NtbAAAS</t>
  </si>
  <si>
    <t>CD-1070077</t>
  </si>
  <si>
    <t>a163p000004NtbBAAS</t>
  </si>
  <si>
    <t>CD-1070078</t>
  </si>
  <si>
    <t>a163p000004NtbCAAS</t>
  </si>
  <si>
    <t>CD-1070079</t>
  </si>
  <si>
    <t>a163p000004NtbDAAS</t>
  </si>
  <si>
    <t>CD-1070080</t>
  </si>
  <si>
    <t>a163p000004NtbEAAS</t>
  </si>
  <si>
    <t>CD-1070081</t>
  </si>
  <si>
    <t>a163p000004NtbFAAS</t>
  </si>
  <si>
    <t>CD-1070082</t>
  </si>
  <si>
    <t>a163p000004NtbGAAS</t>
  </si>
  <si>
    <t>CD-1070083</t>
  </si>
  <si>
    <t>a163p000004NtbHAAS</t>
  </si>
  <si>
    <t>CD-1070084</t>
  </si>
  <si>
    <t>a163p000004NtbIAAS</t>
  </si>
  <si>
    <t>CD-1070085</t>
  </si>
  <si>
    <t>a163p000004NtbJAAS</t>
  </si>
  <si>
    <t>CD-1070086</t>
  </si>
  <si>
    <t>a163p000004NtbKAAS</t>
  </si>
  <si>
    <t>CD-1070087</t>
  </si>
  <si>
    <t>a163p000004NtbLAAS</t>
  </si>
  <si>
    <t>CD-1070088</t>
  </si>
  <si>
    <t>a163p000004NtbMAAS</t>
  </si>
  <si>
    <t>CD-1070089</t>
  </si>
  <si>
    <t>a163p000004NtbNAAS</t>
  </si>
  <si>
    <t>CD-1070090</t>
  </si>
  <si>
    <t>CI-87226</t>
  </si>
  <si>
    <t>a163p000004NtbOAAS</t>
  </si>
  <si>
    <t>CD-1070091</t>
  </si>
  <si>
    <t>a163p000004NtbPAAS</t>
  </si>
  <si>
    <t>CD-1070092</t>
  </si>
  <si>
    <t>a163p000004NtbQAAS</t>
  </si>
  <si>
    <t>CD-1070093</t>
  </si>
  <si>
    <t>a163p000004NtbRAAS</t>
  </si>
  <si>
    <t>CD-1070094</t>
  </si>
  <si>
    <t>a163p000004NtbSAAS</t>
  </si>
  <si>
    <t>CD-1070095</t>
  </si>
  <si>
    <t>a163p000004NtbTAAS</t>
  </si>
  <si>
    <t>CD-1070096</t>
  </si>
  <si>
    <t>a163p000004NtbUAAS</t>
  </si>
  <si>
    <t>CD-1070097</t>
  </si>
  <si>
    <t>a163p000004NtbVAAS</t>
  </si>
  <si>
    <t>CD-1070098</t>
  </si>
  <si>
    <t>a163p000004NtbWAAS</t>
  </si>
  <si>
    <t>CD-1070099</t>
  </si>
  <si>
    <t>a163p000004NtbXAAS</t>
  </si>
  <si>
    <t>CD-1070100</t>
  </si>
  <si>
    <t>a163p000004NtbYAAS</t>
  </si>
  <si>
    <t>CD-1070101</t>
  </si>
  <si>
    <t>a163p000004NtbZAAS</t>
  </si>
  <si>
    <t>CD-1070102</t>
  </si>
  <si>
    <t>a163p000004NtbaAAC</t>
  </si>
  <si>
    <t>CD-1070103</t>
  </si>
  <si>
    <t>a163p000004NtbbAAC</t>
  </si>
  <si>
    <t>CD-1070104</t>
  </si>
  <si>
    <t>a163p000004NtbcAAC</t>
  </si>
  <si>
    <t>CD-1070105</t>
  </si>
  <si>
    <t>a163p000004NtbdAAC</t>
  </si>
  <si>
    <t>CD-1070106</t>
  </si>
  <si>
    <t>a163p000004NtbeAAC</t>
  </si>
  <si>
    <t>CD-1070107</t>
  </si>
  <si>
    <t>a163p000004NtbfAAC</t>
  </si>
  <si>
    <t>CD-1070108</t>
  </si>
  <si>
    <t>a163p000004NtbgAAC</t>
  </si>
  <si>
    <t>CD-1070109</t>
  </si>
  <si>
    <t>a163p000004NtbhAAC</t>
  </si>
  <si>
    <t>CD-1070170</t>
  </si>
  <si>
    <t>CI-87227</t>
  </si>
  <si>
    <t>a163p000004NtcgAAC</t>
  </si>
  <si>
    <t>CD-1070171</t>
  </si>
  <si>
    <t>a163p000004NtchAAC</t>
  </si>
  <si>
    <t>CD-1070172</t>
  </si>
  <si>
    <t>a163p000004NtciAAC</t>
  </si>
  <si>
    <t>CD-1070173</t>
  </si>
  <si>
    <t>a163p000004NtcjAAC</t>
  </si>
  <si>
    <t>CD-1070174</t>
  </si>
  <si>
    <t>a163p000004NtckAAC</t>
  </si>
  <si>
    <t>CD-1070175</t>
  </si>
  <si>
    <t>a163p000004NtclAAC</t>
  </si>
  <si>
    <t>CD-1070176</t>
  </si>
  <si>
    <t>a163p000004NtcmAAC</t>
  </si>
  <si>
    <t>CD-1070177</t>
  </si>
  <si>
    <t>a163p000004NtcnAAC</t>
  </si>
  <si>
    <t>CD-1070178</t>
  </si>
  <si>
    <t>a163p000004NtcoAAC</t>
  </si>
  <si>
    <t>CD-1070179</t>
  </si>
  <si>
    <t>a163p000004NtcpAAC</t>
  </si>
  <si>
    <t>CD-1070180</t>
  </si>
  <si>
    <t>a163p000004NtcqAAC</t>
  </si>
  <si>
    <t>CD-1070181</t>
  </si>
  <si>
    <t>a163p000004NtcrAAC</t>
  </si>
  <si>
    <t>CD-1070182</t>
  </si>
  <si>
    <t>a163p000004NtcsAAC</t>
  </si>
  <si>
    <t>CD-1070183</t>
  </si>
  <si>
    <t>a163p000004NtctAAC</t>
  </si>
  <si>
    <t>CD-1070184</t>
  </si>
  <si>
    <t>a163p000004NtcuAAC</t>
  </si>
  <si>
    <t>CD-1070185</t>
  </si>
  <si>
    <t>a163p000004NtcvAAC</t>
  </si>
  <si>
    <t>CD-1070186</t>
  </si>
  <si>
    <t>a163p000004NtcwAAC</t>
  </si>
  <si>
    <t>CD-1070187</t>
  </si>
  <si>
    <t>a163p000004NtcxAAC</t>
  </si>
  <si>
    <t>CD-1070188</t>
  </si>
  <si>
    <t>a163p000004NtcyAAC</t>
  </si>
  <si>
    <t>CD-1070189</t>
  </si>
  <si>
    <t>a163p000004NtczAAC</t>
  </si>
  <si>
    <t>CD-1070110</t>
  </si>
  <si>
    <t>CI-87228</t>
  </si>
  <si>
    <t>a163p000004NtbiAAC</t>
  </si>
  <si>
    <t>CD-1070111</t>
  </si>
  <si>
    <t>a163p000004NtbjAAC</t>
  </si>
  <si>
    <t>CD-1070112</t>
  </si>
  <si>
    <t>a163p000004NtbkAAC</t>
  </si>
  <si>
    <t>CD-1070113</t>
  </si>
  <si>
    <t>a163p000004NtblAAC</t>
  </si>
  <si>
    <t>CD-1070114</t>
  </si>
  <si>
    <t>a163p000004NtbmAAC</t>
  </si>
  <si>
    <t>CD-1070115</t>
  </si>
  <si>
    <t>a163p000004NtbnAAC</t>
  </si>
  <si>
    <t>CD-1070116</t>
  </si>
  <si>
    <t>a163p000004NtboAAC</t>
  </si>
  <si>
    <t>CD-1070117</t>
  </si>
  <si>
    <t>a163p000004NtbpAAC</t>
  </si>
  <si>
    <t>CD-1070118</t>
  </si>
  <si>
    <t>a163p000004NtbqAAC</t>
  </si>
  <si>
    <t>CD-1070119</t>
  </si>
  <si>
    <t>a163p000004NtbrAAC</t>
  </si>
  <si>
    <t>CD-1070120</t>
  </si>
  <si>
    <t>a163p000004NtbsAAC</t>
  </si>
  <si>
    <t>CD-1070121</t>
  </si>
  <si>
    <t>a163p000004NtbtAAC</t>
  </si>
  <si>
    <t>CD-1070122</t>
  </si>
  <si>
    <t>a163p000004NtbuAAC</t>
  </si>
  <si>
    <t>CD-1070123</t>
  </si>
  <si>
    <t>a163p000004NtbvAAC</t>
  </si>
  <si>
    <t>CD-1070124</t>
  </si>
  <si>
    <t>a163p000004NtbwAAC</t>
  </si>
  <si>
    <t>CD-1070125</t>
  </si>
  <si>
    <t>a163p000004NtbxAAC</t>
  </si>
  <si>
    <t>CD-1070126</t>
  </si>
  <si>
    <t>a163p000004NtbyAAC</t>
  </si>
  <si>
    <t>CD-1070127</t>
  </si>
  <si>
    <t>a163p000004NtbzAAC</t>
  </si>
  <si>
    <t>CD-1070128</t>
  </si>
  <si>
    <t>a163p000004Ntc0AAC</t>
  </si>
  <si>
    <t>CD-1070129</t>
  </si>
  <si>
    <t>a163p000004Ntc1AAC</t>
  </si>
  <si>
    <t>CD-1070130</t>
  </si>
  <si>
    <t>CI-87229</t>
  </si>
  <si>
    <t>a163p000004Ntc2AAC</t>
  </si>
  <si>
    <t>CD-1070131</t>
  </si>
  <si>
    <t>a163p000004Ntc3AAC</t>
  </si>
  <si>
    <t>CD-1070132</t>
  </si>
  <si>
    <t>a163p000004Ntc4AAC</t>
  </si>
  <si>
    <t>CD-1070133</t>
  </si>
  <si>
    <t>a163p000004Ntc5AAC</t>
  </si>
  <si>
    <t>CD-1070134</t>
  </si>
  <si>
    <t>a163p000004Ntc6AAC</t>
  </si>
  <si>
    <t>CD-1070135</t>
  </si>
  <si>
    <t>a163p000004Ntc7AAC</t>
  </si>
  <si>
    <t>CD-1070136</t>
  </si>
  <si>
    <t>a163p000004Ntc8AAC</t>
  </si>
  <si>
    <t>CD-1070137</t>
  </si>
  <si>
    <t>a163p000004Ntc9AAC</t>
  </si>
  <si>
    <t>CD-1070138</t>
  </si>
  <si>
    <t>a163p000004NtcAAAS</t>
  </si>
  <si>
    <t>CD-1070139</t>
  </si>
  <si>
    <t>a163p000004NtcBAAS</t>
  </si>
  <si>
    <t>CD-1070140</t>
  </si>
  <si>
    <t>a163p000004NtcCAAS</t>
  </si>
  <si>
    <t>CD-1070141</t>
  </si>
  <si>
    <t>a163p000004NtcDAAS</t>
  </si>
  <si>
    <t>CD-1070142</t>
  </si>
  <si>
    <t>a163p000004NtcEAAS</t>
  </si>
  <si>
    <t>CD-1070143</t>
  </si>
  <si>
    <t>a163p000004NtcFAAS</t>
  </si>
  <si>
    <t>CD-1070144</t>
  </si>
  <si>
    <t>a163p000004NtcGAAS</t>
  </si>
  <si>
    <t>CD-1070145</t>
  </si>
  <si>
    <t>a163p000004NtcHAAS</t>
  </si>
  <si>
    <t>CD-1070146</t>
  </si>
  <si>
    <t>a163p000004NtcIAAS</t>
  </si>
  <si>
    <t>CD-1070147</t>
  </si>
  <si>
    <t>a163p000004NtcJAAS</t>
  </si>
  <si>
    <t>CD-1070148</t>
  </si>
  <si>
    <t>a163p000004NtcKAAS</t>
  </si>
  <si>
    <t>CD-1070149</t>
  </si>
  <si>
    <t>a163p000004NtcLAAS</t>
  </si>
  <si>
    <t>CD-1070150</t>
  </si>
  <si>
    <t>CI-87230</t>
  </si>
  <si>
    <t>a163p000004NtcMAAS</t>
  </si>
  <si>
    <t>CD-1070151</t>
  </si>
  <si>
    <t>a163p000004NtcNAAS</t>
  </si>
  <si>
    <t>CD-1070152</t>
  </si>
  <si>
    <t>a163p000004NtcOAAS</t>
  </si>
  <si>
    <t>CD-1070153</t>
  </si>
  <si>
    <t>a163p000004NtcPAAS</t>
  </si>
  <si>
    <t>CD-1070154</t>
  </si>
  <si>
    <t>a163p000004NtcQAAS</t>
  </si>
  <si>
    <t>CD-1070155</t>
  </si>
  <si>
    <t>a163p000004NtcRAAS</t>
  </si>
  <si>
    <t>CD-1070156</t>
  </si>
  <si>
    <t>a163p000004NtcSAAS</t>
  </si>
  <si>
    <t>CD-1070157</t>
  </si>
  <si>
    <t>a163p000004NtcTAAS</t>
  </si>
  <si>
    <t>CD-1070158</t>
  </si>
  <si>
    <t>a163p000004NtcUAAS</t>
  </si>
  <si>
    <t>CD-1070159</t>
  </si>
  <si>
    <t>a163p000004NtcVAAS</t>
  </si>
  <si>
    <t>CD-1070160</t>
  </si>
  <si>
    <t>a163p000004NtcWAAS</t>
  </si>
  <si>
    <t>CD-1070161</t>
  </si>
  <si>
    <t>a163p000004NtcXAAS</t>
  </si>
  <si>
    <t>CD-1070162</t>
  </si>
  <si>
    <t>a163p000004NtcYAAS</t>
  </si>
  <si>
    <t>CD-1070163</t>
  </si>
  <si>
    <t>a163p000004NtcZAAS</t>
  </si>
  <si>
    <t>CD-1070164</t>
  </si>
  <si>
    <t>a163p000004NtcaAAC</t>
  </si>
  <si>
    <t>CD-1070165</t>
  </si>
  <si>
    <t>a163p000004NtcbAAC</t>
  </si>
  <si>
    <t>CD-1070166</t>
  </si>
  <si>
    <t>a163p000004NtccAAC</t>
  </si>
  <si>
    <t>CD-1070167</t>
  </si>
  <si>
    <t>a163p000004NtcdAAC</t>
  </si>
  <si>
    <t>CD-1070168</t>
  </si>
  <si>
    <t>a163p000004NtceAAC</t>
  </si>
  <si>
    <t>CD-1070169</t>
  </si>
  <si>
    <t>a163p000004NtcfAAC</t>
  </si>
  <si>
    <t>CD-1070190</t>
  </si>
  <si>
    <t>CI-87231</t>
  </si>
  <si>
    <t>a163p000004Ntd0AAC</t>
  </si>
  <si>
    <t>CD-1070191</t>
  </si>
  <si>
    <t>a163p000004Ntd1AAC</t>
  </si>
  <si>
    <t>CD-1070192</t>
  </si>
  <si>
    <t>a163p000004Ntd2AAC</t>
  </si>
  <si>
    <t>CD-1070193</t>
  </si>
  <si>
    <t>a163p000004Ntd3AAC</t>
  </si>
  <si>
    <t>CD-1070194</t>
  </si>
  <si>
    <t>a163p000004Ntd4AAC</t>
  </si>
  <si>
    <t>CD-1070195</t>
  </si>
  <si>
    <t>a163p000004Ntd5AAC</t>
  </si>
  <si>
    <t>CD-1070196</t>
  </si>
  <si>
    <t>a163p000004Ntd6AAC</t>
  </si>
  <si>
    <t>CD-1070197</t>
  </si>
  <si>
    <t>a163p000004Ntd7AAC</t>
  </si>
  <si>
    <t>CD-1070198</t>
  </si>
  <si>
    <t>a163p000004Ntd8AAC</t>
  </si>
  <si>
    <t>CD-1070199</t>
  </si>
  <si>
    <t>a163p000004Ntd9AAC</t>
  </si>
  <si>
    <t>CD-1070200</t>
  </si>
  <si>
    <t>a163p000004NtdAAAS</t>
  </si>
  <si>
    <t>CD-1070201</t>
  </si>
  <si>
    <t>a163p000004NtdBAAS</t>
  </si>
  <si>
    <t>CD-1070202</t>
  </si>
  <si>
    <t>a163p000004NtdCAAS</t>
  </si>
  <si>
    <t>CD-1070203</t>
  </si>
  <si>
    <t>a163p000004NtdDAAS</t>
  </si>
  <si>
    <t>CD-1070204</t>
  </si>
  <si>
    <t>a163p000004NtdEAAS</t>
  </si>
  <si>
    <t>CD-1070205</t>
  </si>
  <si>
    <t>a163p000004NtdFAAS</t>
  </si>
  <si>
    <t>CD-1070206</t>
  </si>
  <si>
    <t>a163p000004NtdGAAS</t>
  </si>
  <si>
    <t>CD-1070207</t>
  </si>
  <si>
    <t>a163p000004NtdHAAS</t>
  </si>
  <si>
    <t>CD-1070208</t>
  </si>
  <si>
    <t>a163p000004NtdIAAS</t>
  </si>
  <si>
    <t>CD-1070209</t>
  </si>
  <si>
    <t>a163p000004NtdJAAS</t>
  </si>
  <si>
    <t>CD-1070210</t>
  </si>
  <si>
    <t>CI-87232</t>
  </si>
  <si>
    <t>a163p000004NtdKAAS</t>
  </si>
  <si>
    <t>CD-1070211</t>
  </si>
  <si>
    <t>a163p000004NtdLAAS</t>
  </si>
  <si>
    <t>CD-1070212</t>
  </si>
  <si>
    <t>a163p000004NtdMAAS</t>
  </si>
  <si>
    <t>CD-1070213</t>
  </si>
  <si>
    <t>a163p000004NtdNAAS</t>
  </si>
  <si>
    <t>CD-1070214</t>
  </si>
  <si>
    <t>a163p000004NtdOAAS</t>
  </si>
  <si>
    <t>CD-1070215</t>
  </si>
  <si>
    <t>a163p000004NtdPAAS</t>
  </si>
  <si>
    <t>CD-1070216</t>
  </si>
  <si>
    <t>a163p000004NtdQAAS</t>
  </si>
  <si>
    <t>CD-1070217</t>
  </si>
  <si>
    <t>a163p000004NtdRAAS</t>
  </si>
  <si>
    <t>CD-1070218</t>
  </si>
  <si>
    <t>a163p000004NtdSAAS</t>
  </si>
  <si>
    <t>CD-1070219</t>
  </si>
  <si>
    <t>a163p000004NtdTAAS</t>
  </si>
  <si>
    <t>CD-1070220</t>
  </si>
  <si>
    <t>a163p000004NtdUAAS</t>
  </si>
  <si>
    <t>CD-1070221</t>
  </si>
  <si>
    <t>a163p000004NtdVAAS</t>
  </si>
  <si>
    <t>CD-1070222</t>
  </si>
  <si>
    <t>a163p000004NtdWAAS</t>
  </si>
  <si>
    <t>CD-1070223</t>
  </si>
  <si>
    <t>a163p000004NtdXAAS</t>
  </si>
  <si>
    <t>CD-1070224</t>
  </si>
  <si>
    <t>a163p000004NtdYAAS</t>
  </si>
  <si>
    <t>CD-1070225</t>
  </si>
  <si>
    <t>a163p000004NtdZAAS</t>
  </si>
  <si>
    <t>CD-1070226</t>
  </si>
  <si>
    <t>a163p000004NtdaAAC</t>
  </si>
  <si>
    <t>CD-1070227</t>
  </si>
  <si>
    <t>a163p000004NtdbAAC</t>
  </si>
  <si>
    <t>CD-1070228</t>
  </si>
  <si>
    <t>a163p000004NtdcAAC</t>
  </si>
  <si>
    <t>CD-1070229</t>
  </si>
  <si>
    <t>a163p000004NtddAAC</t>
  </si>
  <si>
    <t>CD-1070230</t>
  </si>
  <si>
    <t>CI-87233</t>
  </si>
  <si>
    <t>a163p000004NtdeAAC</t>
  </si>
  <si>
    <t>CD-1070231</t>
  </si>
  <si>
    <t>a163p000004NtdfAAC</t>
  </si>
  <si>
    <t>CD-1070232</t>
  </si>
  <si>
    <t>a163p000004NtdgAAC</t>
  </si>
  <si>
    <t>CD-1070233</t>
  </si>
  <si>
    <t>a163p000004NtdhAAC</t>
  </si>
  <si>
    <t>CD-1070234</t>
  </si>
  <si>
    <t>a163p000004NtdiAAC</t>
  </si>
  <si>
    <t>CD-1070235</t>
  </si>
  <si>
    <t>a163p000004NtdjAAC</t>
  </si>
  <si>
    <t>CD-1070236</t>
  </si>
  <si>
    <t>a163p000004NtdkAAC</t>
  </si>
  <si>
    <t>CD-1070237</t>
  </si>
  <si>
    <t>a163p000004NtdlAAC</t>
  </si>
  <si>
    <t>CD-1070238</t>
  </si>
  <si>
    <t>a163p000004NtdmAAC</t>
  </si>
  <si>
    <t>CD-1070239</t>
  </si>
  <si>
    <t>a163p000004NtdnAAC</t>
  </si>
  <si>
    <t>CD-1070240</t>
  </si>
  <si>
    <t>a163p000004NtdoAAC</t>
  </si>
  <si>
    <t>CD-1070241</t>
  </si>
  <si>
    <t>a163p000004NtdpAAC</t>
  </si>
  <si>
    <t>CD-1070242</t>
  </si>
  <si>
    <t>a163p000004NtdqAAC</t>
  </si>
  <si>
    <t>CD-1070243</t>
  </si>
  <si>
    <t>a163p000004NtdrAAC</t>
  </si>
  <si>
    <t>CD-1070244</t>
  </si>
  <si>
    <t>a163p000004NtdsAAC</t>
  </si>
  <si>
    <t>CD-1070245</t>
  </si>
  <si>
    <t>a163p000004NtdtAAC</t>
  </si>
  <si>
    <t>CD-1070246</t>
  </si>
  <si>
    <t>a163p000004NtduAAC</t>
  </si>
  <si>
    <t>CD-1070247</t>
  </si>
  <si>
    <t>a163p000004NtdvAAC</t>
  </si>
  <si>
    <t>CD-1070248</t>
  </si>
  <si>
    <t>a163p000004NtdwAAC</t>
  </si>
  <si>
    <t>CD-1070249</t>
  </si>
  <si>
    <t>a163p000004NtdxAAC</t>
  </si>
  <si>
    <t>CD-1070290</t>
  </si>
  <si>
    <t>CI-87234</t>
  </si>
  <si>
    <t>a163p000004NtecAAC</t>
  </si>
  <si>
    <t>CD-1070291</t>
  </si>
  <si>
    <t>a163p000004NtedAAC</t>
  </si>
  <si>
    <t>CD-1070292</t>
  </si>
  <si>
    <t>a163p000004NteeAAC</t>
  </si>
  <si>
    <t>CD-1070293</t>
  </si>
  <si>
    <t>a163p000004NtefAAC</t>
  </si>
  <si>
    <t>CD-1070294</t>
  </si>
  <si>
    <t>a163p000004NtegAAC</t>
  </si>
  <si>
    <t>CD-1070295</t>
  </si>
  <si>
    <t>a163p000004NtehAAC</t>
  </si>
  <si>
    <t>CD-1070296</t>
  </si>
  <si>
    <t>a163p000004NteiAAC</t>
  </si>
  <si>
    <t>CD-1070297</t>
  </si>
  <si>
    <t>a163p000004NtejAAC</t>
  </si>
  <si>
    <t>CD-1070298</t>
  </si>
  <si>
    <t>a163p000004NtekAAC</t>
  </si>
  <si>
    <t>CD-1070299</t>
  </si>
  <si>
    <t>a163p000004NtelAAC</t>
  </si>
  <si>
    <t>CD-1070300</t>
  </si>
  <si>
    <t>a163p000004NtemAAC</t>
  </si>
  <si>
    <t>CD-1070301</t>
  </si>
  <si>
    <t>a163p000004NtenAAC</t>
  </si>
  <si>
    <t>CD-1070302</t>
  </si>
  <si>
    <t>a163p000004NteoAAC</t>
  </si>
  <si>
    <t>CD-1070303</t>
  </si>
  <si>
    <t>a163p000004NtepAAC</t>
  </si>
  <si>
    <t>CD-1070304</t>
  </si>
  <si>
    <t>a163p000004NteqAAC</t>
  </si>
  <si>
    <t>CD-1070305</t>
  </si>
  <si>
    <t>a163p000004NterAAC</t>
  </si>
  <si>
    <t>CD-1070306</t>
  </si>
  <si>
    <t>a163p000004NtesAAC</t>
  </si>
  <si>
    <t>CD-1070307</t>
  </si>
  <si>
    <t>a163p000004NtetAAC</t>
  </si>
  <si>
    <t>CD-1070308</t>
  </si>
  <si>
    <t>a163p000004NteuAAC</t>
  </si>
  <si>
    <t>CD-1070309</t>
  </si>
  <si>
    <t>a163p000004NtevAAC</t>
  </si>
  <si>
    <t>CD-1070250</t>
  </si>
  <si>
    <t>CI-87235</t>
  </si>
  <si>
    <t>a163p000004NtdyAAC</t>
  </si>
  <si>
    <t>CD-1070251</t>
  </si>
  <si>
    <t>a163p000004NtdzAAC</t>
  </si>
  <si>
    <t>CD-1070252</t>
  </si>
  <si>
    <t>a163p000004Nte0AAC</t>
  </si>
  <si>
    <t>CD-1070253</t>
  </si>
  <si>
    <t>a163p000004Nte1AAC</t>
  </si>
  <si>
    <t>CD-1070254</t>
  </si>
  <si>
    <t>a163p000004Nte2AAC</t>
  </si>
  <si>
    <t>CD-1070255</t>
  </si>
  <si>
    <t>a163p000004Nte3AAC</t>
  </si>
  <si>
    <t>CD-1070256</t>
  </si>
  <si>
    <t>a163p000004Nte4AAC</t>
  </si>
  <si>
    <t>CD-1070257</t>
  </si>
  <si>
    <t>a163p000004Nte5AAC</t>
  </si>
  <si>
    <t>CD-1070258</t>
  </si>
  <si>
    <t>a163p000004Nte6AAC</t>
  </si>
  <si>
    <t>CD-1070259</t>
  </si>
  <si>
    <t>a163p000004Nte7AAC</t>
  </si>
  <si>
    <t>CD-1070260</t>
  </si>
  <si>
    <t>a163p000004Nte8AAC</t>
  </si>
  <si>
    <t>CD-1070261</t>
  </si>
  <si>
    <t>a163p000004Nte9AAC</t>
  </si>
  <si>
    <t>CD-1070262</t>
  </si>
  <si>
    <t>a163p000004NteAAAS</t>
  </si>
  <si>
    <t>CD-1070263</t>
  </si>
  <si>
    <t>a163p000004NteBAAS</t>
  </si>
  <si>
    <t>CD-1070264</t>
  </si>
  <si>
    <t>a163p000004NteCAAS</t>
  </si>
  <si>
    <t>CD-1070265</t>
  </si>
  <si>
    <t>a163p000004NteDAAS</t>
  </si>
  <si>
    <t>CD-1070266</t>
  </si>
  <si>
    <t>a163p000004NteEAAS</t>
  </si>
  <si>
    <t>CD-1070267</t>
  </si>
  <si>
    <t>a163p000004NteFAAS</t>
  </si>
  <si>
    <t>CD-1070268</t>
  </si>
  <si>
    <t>a163p000004NteGAAS</t>
  </si>
  <si>
    <t>CD-1070269</t>
  </si>
  <si>
    <t>a163p000004NteHAAS</t>
  </si>
  <si>
    <t>CD-1070270</t>
  </si>
  <si>
    <t>CI-87236</t>
  </si>
  <si>
    <t>a163p000004NteIAAS</t>
  </si>
  <si>
    <t>CD-1070271</t>
  </si>
  <si>
    <t>a163p000004NteJAAS</t>
  </si>
  <si>
    <t>CD-1070272</t>
  </si>
  <si>
    <t>a163p000004NteKAAS</t>
  </si>
  <si>
    <t>CD-1070273</t>
  </si>
  <si>
    <t>a163p000004NteLAAS</t>
  </si>
  <si>
    <t>CD-1070274</t>
  </si>
  <si>
    <t>a163p000004NteMAAS</t>
  </si>
  <si>
    <t>CD-1070275</t>
  </si>
  <si>
    <t>a163p000004NteNAAS</t>
  </si>
  <si>
    <t>CD-1070276</t>
  </si>
  <si>
    <t>a163p000004NteOAAS</t>
  </si>
  <si>
    <t>CD-1070277</t>
  </si>
  <si>
    <t>a163p000004NtePAAS</t>
  </si>
  <si>
    <t>CD-1070278</t>
  </si>
  <si>
    <t>a163p000004NteQAAS</t>
  </si>
  <si>
    <t>CD-1070279</t>
  </si>
  <si>
    <t>a163p000004NteRAAS</t>
  </si>
  <si>
    <t>CD-1070280</t>
  </si>
  <si>
    <t>a163p000004NteSAAS</t>
  </si>
  <si>
    <t>CD-1070281</t>
  </si>
  <si>
    <t>a163p000004NteTAAS</t>
  </si>
  <si>
    <t>CD-1070282</t>
  </si>
  <si>
    <t>a163p000004NteUAAS</t>
  </si>
  <si>
    <t>CD-1070283</t>
  </si>
  <si>
    <t>a163p000004NteVAAS</t>
  </si>
  <si>
    <t>CD-1070284</t>
  </si>
  <si>
    <t>a163p000004NteWAAS</t>
  </si>
  <si>
    <t>CD-1070285</t>
  </si>
  <si>
    <t>a163p000004NteXAAS</t>
  </si>
  <si>
    <t>CD-1070286</t>
  </si>
  <si>
    <t>a163p000004NteYAAS</t>
  </si>
  <si>
    <t>CD-1070287</t>
  </si>
  <si>
    <t>a163p000004NteZAAS</t>
  </si>
  <si>
    <t>CD-1070288</t>
  </si>
  <si>
    <t>a163p000004NteaAAC</t>
  </si>
  <si>
    <t>CD-1070289</t>
  </si>
  <si>
    <t>a163p000004NtebAAC</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</si>
  <si>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</si>
  <si>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</si>
  <si>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</si>
  <si>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</si>
  <si>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</si>
  <si>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</si>
  <si>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</si>
  <si>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</si>
  <si>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</si>
  <si>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</si>
  <si>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</si>
  <si>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</si>
  <si>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</si>
  <si>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</si>
  <si>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</si>
  <si>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</si>
  <si>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</si>
  <si>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</si>
  <si>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</si>
  <si>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</si>
  <si>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</si>
  <si>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</si>
  <si>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</si>
  <si>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</si>
  <si>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</si>
  <si>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</si>
  <si>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</si>
  <si>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</si>
  <si>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</si>
  <si>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</si>
  <si>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</si>
  <si>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</si>
  <si>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</si>
  <si>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</si>
  <si>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</si>
  <si>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</si>
  <si>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</si>
  <si>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</si>
  <si>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</si>
  <si>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</si>
  <si>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</si>
  <si>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</si>
  <si>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</si>
  <si>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</si>
  <si>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</si>
  <si>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</si>
  <si>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</si>
  <si>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</si>
  <si>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</si>
  <si>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</si>
  <si>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IP-7934</t>
  </si>
  <si>
    <t>AR-07339</t>
  </si>
  <si>
    <t>Kazakh scientific center of dermatology and infectious diseases of the Ministry of Health of the Republic of Kazakhstan</t>
  </si>
  <si>
    <t>0013600000xoEIZAA2</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</si>
  <si>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</si>
  <si>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</si>
  <si>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</si>
  <si>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</si>
  <si>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</si>
  <si>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</si>
  <si>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</si>
  <si>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AR-02572</t>
  </si>
  <si>
    <t>AR-03357</t>
  </si>
  <si>
    <t>AR-06232</t>
  </si>
  <si>
    <t>AR-07593</t>
  </si>
  <si>
    <t>United Nations Development Programme</t>
  </si>
  <si>
    <t>0013600000xoEIwAAM</t>
  </si>
  <si>
    <t>AR-01028</t>
  </si>
  <si>
    <t>AR-01029</t>
  </si>
  <si>
    <t>AR-01030</t>
  </si>
  <si>
    <t>AR-01618</t>
  </si>
  <si>
    <t>0013600000xoEGGAA2</t>
  </si>
  <si>
    <t>AR-01027</t>
  </si>
  <si>
    <t>AR-04177</t>
  </si>
  <si>
    <t>AR-08389</t>
  </si>
  <si>
    <t>AR-01617</t>
  </si>
  <si>
    <t>AR-01620</t>
  </si>
  <si>
    <t>Republican Center of Tuberculosis Control - Tajikistan</t>
  </si>
  <si>
    <t>0013600000xoEKeAAM</t>
  </si>
  <si>
    <t>AR-01164</t>
  </si>
  <si>
    <t>0013600000xoEJ2AAM</t>
  </si>
  <si>
    <t>AR-01212</t>
  </si>
  <si>
    <t>AR-01619</t>
  </si>
  <si>
    <t>AR-02643</t>
  </si>
  <si>
    <t>AR-02645</t>
  </si>
  <si>
    <t>AR-03114</t>
  </si>
  <si>
    <t>AR-03420</t>
  </si>
  <si>
    <t>AR-03421</t>
  </si>
  <si>
    <t>AR-08713</t>
  </si>
  <si>
    <t>AR-01213</t>
  </si>
  <si>
    <t>0013600000xoEIxAAM</t>
  </si>
  <si>
    <t>AR-01166</t>
  </si>
  <si>
    <t>AR-03510</t>
  </si>
  <si>
    <t>AR-06750</t>
  </si>
  <si>
    <t>Republican Specialized Scientific-Practical Medical Center of Phthisiology and Pulmonology</t>
  </si>
  <si>
    <t>0011R00002AIPnkQAH</t>
  </si>
  <si>
    <t>AR-07859</t>
  </si>
  <si>
    <t>Republican Center to Fight AIDS</t>
  </si>
  <si>
    <t>0013600000xoEKzAAM</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</si>
  <si>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</si>
  <si>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</si>
  <si>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</si>
  <si>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</si>
  <si>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</si>
  <si>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</si>
  <si>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</si>
  <si>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</si>
  <si>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</si>
  <si>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</si>
  <si>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AR-01639</t>
  </si>
  <si>
    <t>AR-09048</t>
  </si>
  <si>
    <t>AR-09305</t>
  </si>
  <si>
    <t>AR-07674</t>
  </si>
  <si>
    <t>Ministry of Health of Mongolia</t>
  </si>
  <si>
    <t>0013600000xoEIFAA2</t>
  </si>
  <si>
    <t>AR-07675</t>
  </si>
  <si>
    <t>AR-01493</t>
  </si>
  <si>
    <t>AR-01494</t>
  </si>
  <si>
    <t>AR-03429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</si>
  <si>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</si>
  <si>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</si>
  <si>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</si>
  <si>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</si>
  <si>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</si>
  <si>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</si>
  <si>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</si>
  <si>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</si>
  <si>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</si>
  <si>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</si>
  <si>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</si>
  <si>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</si>
  <si>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</si>
  <si>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</si>
  <si>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</si>
  <si>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</si>
  <si>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</si>
  <si>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AR-07764</t>
  </si>
  <si>
    <t>Ministry of Health of the Democratic Republic of Timor-Leste</t>
  </si>
  <si>
    <t>0013600000xoEIeAAM</t>
  </si>
  <si>
    <t>AR-07773</t>
  </si>
  <si>
    <t>AR-07782</t>
  </si>
  <si>
    <t>AR-01621</t>
  </si>
  <si>
    <t>AR-01623</t>
  </si>
  <si>
    <t>AR-01622</t>
  </si>
  <si>
    <t>AR-03033</t>
  </si>
  <si>
    <t>AR-03078</t>
  </si>
  <si>
    <t>AR-08148</t>
  </si>
  <si>
    <t>AR-08084</t>
  </si>
  <si>
    <t>AR-04028</t>
  </si>
  <si>
    <t>AR-04033</t>
  </si>
  <si>
    <t>AR-06749</t>
  </si>
  <si>
    <t>AR-04031</t>
  </si>
  <si>
    <t>AR-04069</t>
  </si>
  <si>
    <t>AR-07922</t>
  </si>
  <si>
    <t>Ministry of Health of the Royal Government of Bhutan</t>
  </si>
  <si>
    <t>0013600000xoEHnAAM</t>
  </si>
  <si>
    <t>AR-08304</t>
  </si>
  <si>
    <t>AR-01315</t>
  </si>
  <si>
    <t>AR-01316</t>
  </si>
  <si>
    <t>AR-01317</t>
  </si>
  <si>
    <t>AR-04421</t>
  </si>
  <si>
    <t>AR-04430</t>
  </si>
  <si>
    <t>AR-04439</t>
  </si>
  <si>
    <t>AR-09071</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</si>
  <si>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</si>
  <si>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</si>
  <si>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</si>
  <si>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</si>
  <si>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</si>
  <si>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</si>
  <si>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</si>
  <si>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</si>
  <si>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</si>
  <si>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</si>
  <si>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</si>
  <si>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</si>
  <si>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</si>
  <si>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</si>
  <si>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</si>
  <si>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</si>
  <si>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</si>
  <si>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</si>
  <si>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</si>
  <si>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</si>
  <si>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</si>
  <si>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</si>
  <si>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</si>
  <si>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</si>
  <si>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</si>
  <si>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</si>
  <si>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</si>
  <si>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</si>
  <si>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</si>
  <si>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</si>
  <si>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</si>
  <si>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</si>
  <si>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</si>
  <si>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</si>
  <si>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</si>
  <si>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</si>
  <si>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</si>
  <si>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</si>
  <si>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</si>
  <si>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</si>
  <si>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</si>
  <si>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</si>
  <si>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AR-07620</t>
  </si>
  <si>
    <t>Public Institution - Coordination, Implementation and Monitoring Unit of the Health  System Projects</t>
  </si>
  <si>
    <t>0013600000xoEHCAA2</t>
  </si>
  <si>
    <t>AR-01478</t>
  </si>
  <si>
    <t>AR-01477</t>
  </si>
  <si>
    <t>AR-01497</t>
  </si>
  <si>
    <t>Center for Health Policies and Studies</t>
  </si>
  <si>
    <t>0013600000xoEGDAA2</t>
  </si>
  <si>
    <t>AR-01496</t>
  </si>
  <si>
    <t>AR-01495</t>
  </si>
  <si>
    <t>AR-03990</t>
  </si>
  <si>
    <t>AR-03991</t>
  </si>
  <si>
    <t>AR-04018</t>
  </si>
  <si>
    <t>AR-04019</t>
  </si>
  <si>
    <t>AR-04474</t>
  </si>
  <si>
    <t>AR-07746</t>
  </si>
  <si>
    <t>State Institution "Public Health Center of the Ministry of Health of Ukraine"</t>
  </si>
  <si>
    <t>0013600000xoEHhAAM</t>
  </si>
  <si>
    <t>AR-07747</t>
  </si>
  <si>
    <t>Charitable Organization "All-Ukrainian Network of People Living with HIV/AIDS"</t>
  </si>
  <si>
    <t>0013600000xoEFOAA2</t>
  </si>
  <si>
    <t>AR-07748</t>
  </si>
  <si>
    <t>International Charitable Foundation “Alliance for Public Health”</t>
  </si>
  <si>
    <t>0013600000xoEHGAA2</t>
  </si>
  <si>
    <t>AR-01216</t>
  </si>
  <si>
    <t>United Nations Children's Fund</t>
  </si>
  <si>
    <t>0013600000xoEHWAA2</t>
  </si>
  <si>
    <t>AR-01636</t>
  </si>
  <si>
    <t>AR-01637</t>
  </si>
  <si>
    <t>AR-01634</t>
  </si>
  <si>
    <t>AR-01633</t>
  </si>
  <si>
    <t>AR-01635</t>
  </si>
  <si>
    <t>AR-01631</t>
  </si>
  <si>
    <t>AR-01632</t>
  </si>
  <si>
    <t>AR-03177</t>
  </si>
  <si>
    <t>AR-03178</t>
  </si>
  <si>
    <t>AR-03179</t>
  </si>
  <si>
    <t>AR-07728</t>
  </si>
  <si>
    <t>World Vision (PNG) Trust</t>
  </si>
  <si>
    <t>0013600000xoEKJAA2</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</si>
  <si>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</si>
  <si>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</si>
  <si>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</si>
  <si>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</si>
  <si>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</si>
  <si>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</si>
  <si>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</si>
  <si>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</si>
  <si>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</si>
  <si>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</si>
  <si>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</si>
  <si>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AR-06746</t>
  </si>
  <si>
    <t>AR-03105</t>
  </si>
  <si>
    <t>AR-03106</t>
  </si>
  <si>
    <t>AR-04097</t>
  </si>
  <si>
    <t>AR-04469</t>
  </si>
  <si>
    <t>AR-07475</t>
  </si>
  <si>
    <t>0013600000xoEIuAAM</t>
  </si>
  <si>
    <t>AR-09355</t>
  </si>
  <si>
    <t>AR-09356</t>
  </si>
  <si>
    <t>UNICEF South Sudan</t>
  </si>
  <si>
    <t>0013p000026yQ7oAAE</t>
  </si>
  <si>
    <t>AR-01141</t>
  </si>
  <si>
    <t>AR-01144</t>
  </si>
  <si>
    <t>AR-00981</t>
  </si>
  <si>
    <t>AR-01140</t>
  </si>
  <si>
    <t>AR-01145</t>
  </si>
  <si>
    <t>AR-01142</t>
  </si>
  <si>
    <t>AR-01143</t>
  </si>
  <si>
    <t>AR-04376</t>
  </si>
  <si>
    <t>AR-04401</t>
  </si>
  <si>
    <t>AR-04402</t>
  </si>
  <si>
    <t>AR-04410</t>
  </si>
  <si>
    <t>AR-08529</t>
  </si>
  <si>
    <t>AR-08775</t>
  </si>
  <si>
    <t>AR-09387</t>
  </si>
  <si>
    <t>AR-08030</t>
  </si>
  <si>
    <t>0013600000xoEJAAA2</t>
  </si>
  <si>
    <t>AR-00999</t>
  </si>
  <si>
    <t>AR-00998</t>
  </si>
  <si>
    <t>AR-01001</t>
  </si>
  <si>
    <t>AR-01000</t>
  </si>
  <si>
    <t>AR-03918</t>
  </si>
  <si>
    <t>AR-03919</t>
  </si>
  <si>
    <t>AR-03927</t>
  </si>
  <si>
    <t>AR-03928</t>
  </si>
  <si>
    <t>AR-08883</t>
  </si>
  <si>
    <t>AR-06767</t>
  </si>
  <si>
    <t>UNICEF Ethiopia</t>
  </si>
  <si>
    <t>0011R00002FW6goQAD</t>
  </si>
  <si>
    <t>AR-06768</t>
  </si>
  <si>
    <t>AR-08194</t>
  </si>
  <si>
    <t>Federal Ministry of Health of the Federal Democratic Republic of Ethiopia</t>
  </si>
  <si>
    <t>0013600000xoEHiAAM</t>
  </si>
  <si>
    <t>AR-08195</t>
  </si>
  <si>
    <t>HIV/AIDS Prevention and Control Office</t>
  </si>
  <si>
    <t>0013600000xoEHsAAM</t>
  </si>
  <si>
    <t>AR-01385</t>
  </si>
  <si>
    <t>AR-01383</t>
  </si>
  <si>
    <t>AR-01386</t>
  </si>
  <si>
    <t>AR-01382</t>
  </si>
  <si>
    <t>AR-01381</t>
  </si>
  <si>
    <t>AR-01384</t>
  </si>
  <si>
    <t>AR-01387</t>
  </si>
  <si>
    <t>AR-03168</t>
  </si>
  <si>
    <t>AR-03972</t>
  </si>
  <si>
    <t>AR-04119</t>
  </si>
  <si>
    <t>AR-04120</t>
  </si>
  <si>
    <t>AR-08490</t>
  </si>
  <si>
    <t>AR-08617</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</si>
  <si>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</si>
  <si>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</si>
  <si>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</si>
  <si>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</si>
  <si>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</si>
  <si>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</si>
  <si>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</si>
  <si>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</si>
  <si>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</si>
  <si>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</si>
  <si>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</si>
  <si>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</si>
  <si>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</si>
  <si>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</si>
  <si>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</si>
  <si>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</si>
  <si>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</si>
  <si>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AR-08454</t>
  </si>
  <si>
    <t>AR-08455</t>
  </si>
  <si>
    <t>AR-08456</t>
  </si>
  <si>
    <t>AR-08463</t>
  </si>
  <si>
    <t>AR-08464</t>
  </si>
  <si>
    <t>AR-07166</t>
  </si>
  <si>
    <t>World Vision International</t>
  </si>
  <si>
    <t>0013600000xoEIgAAM</t>
  </si>
  <si>
    <t>AR-07611</t>
  </si>
  <si>
    <t>AR-07701</t>
  </si>
  <si>
    <t>AR-01133</t>
  </si>
  <si>
    <t>AR-01135</t>
  </si>
  <si>
    <t>AR-01136</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</si>
  <si>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</si>
  <si>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</si>
  <si>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</si>
  <si>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</si>
  <si>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</si>
  <si>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</si>
  <si>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</si>
  <si>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</si>
  <si>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</si>
  <si>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</si>
  <si>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</si>
  <si>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</si>
  <si>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</si>
  <si>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</si>
  <si>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</si>
  <si>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</si>
  <si>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</si>
  <si>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</si>
  <si>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</si>
  <si>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</si>
  <si>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</si>
  <si>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</si>
  <si>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</si>
  <si>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</si>
  <si>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</si>
  <si>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</si>
  <si>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</si>
  <si>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</si>
  <si>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</si>
  <si>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</si>
  <si>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</si>
  <si>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</si>
  <si>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</si>
  <si>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</si>
  <si>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</si>
  <si>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</si>
  <si>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</si>
  <si>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</si>
  <si>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</si>
  <si>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</si>
  <si>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</si>
  <si>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</si>
  <si>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</si>
  <si>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AR-08369</t>
  </si>
  <si>
    <t>AR-08370</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</si>
  <si>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</si>
  <si>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</si>
  <si>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</si>
  <si>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</si>
  <si>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</si>
  <si>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</si>
  <si>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</si>
  <si>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AR-08003</t>
  </si>
  <si>
    <t>Programme National de Lutte contre le Paludisme de la République du Bénin</t>
  </si>
  <si>
    <t>0013600000xoEKkAAM</t>
  </si>
  <si>
    <t>AR-08012</t>
  </si>
  <si>
    <t>Programme National contre la Tuberculose de la République du Bénin</t>
  </si>
  <si>
    <t>0013600000xoEF9AAM</t>
  </si>
  <si>
    <t>AR-08204</t>
  </si>
  <si>
    <t>AR-01295</t>
  </si>
  <si>
    <t>AR-01294</t>
  </si>
  <si>
    <t>Africare</t>
  </si>
  <si>
    <t>0013600000xoEFKAA2</t>
  </si>
  <si>
    <t>AR-00952</t>
  </si>
  <si>
    <t>Catholic Relief Services - United States Conference of Catholic Bishops</t>
  </si>
  <si>
    <t>0013600000xoEG6AAM</t>
  </si>
  <si>
    <t>AR-01298</t>
  </si>
  <si>
    <t>AR-00953</t>
  </si>
  <si>
    <t>AR-01297</t>
  </si>
  <si>
    <t>Health System Performance Program</t>
  </si>
  <si>
    <t>0013600000xoEJNAA2</t>
  </si>
  <si>
    <t>AR-01296</t>
  </si>
  <si>
    <t>AR-04030</t>
  </si>
  <si>
    <t>AR-04244</t>
  </si>
  <si>
    <t>AR-04050</t>
  </si>
  <si>
    <t>AR-04243</t>
  </si>
  <si>
    <t>AR-06638</t>
  </si>
  <si>
    <t>AR-06639</t>
  </si>
  <si>
    <t>a3z1R0000007SGDQA2</t>
  </si>
  <si>
    <t>a3z1R0000007SGEQA2</t>
  </si>
  <si>
    <t>a3z1R0000007SGFQA2</t>
  </si>
  <si>
    <t>a3z1R0000007SGGQA2</t>
  </si>
  <si>
    <t>a3z1R0000007SGHQA2</t>
  </si>
  <si>
    <t>a3z1R0000007SGIQA2</t>
  </si>
  <si>
    <t>a3z1R0000007SGJQA2</t>
  </si>
  <si>
    <t>a3z1R0000007SGKQA2</t>
  </si>
  <si>
    <t>a3z1R0000007SGLQA2</t>
  </si>
  <si>
    <t>a3z1R0000007SGMQA2</t>
  </si>
  <si>
    <t>a3z1R0000007SGNQA2</t>
  </si>
  <si>
    <t>a3z1R0000007SGOQA2</t>
  </si>
  <si>
    <t>a3z1R0000007SGPQA2</t>
  </si>
  <si>
    <t>a3z1R0000007SGQQA2</t>
  </si>
  <si>
    <t>a3z1R0000007SGZQA2</t>
  </si>
  <si>
    <t>a3z1R0000007SGaQAM</t>
  </si>
  <si>
    <t>a3z1R0000007SGbQAM</t>
  </si>
  <si>
    <t>a3z1R0000007SGcQAM</t>
  </si>
  <si>
    <t>a3z1R0000007SGdQAM</t>
  </si>
  <si>
    <t>a3z1R0000007SGeQAM</t>
  </si>
  <si>
    <t>a3z1R0000007SGfQAM</t>
  </si>
  <si>
    <t>a3z1R0000007SGgQAM</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</si>
  <si>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</si>
  <si>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</si>
  <si>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</si>
  <si>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</si>
  <si>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</si>
  <si>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</si>
  <si>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</si>
  <si>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</si>
  <si>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</si>
  <si>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</si>
  <si>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</si>
  <si>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</si>
  <si>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</si>
  <si>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a3z1R0000007SGuQAM</t>
  </si>
  <si>
    <t>a3z1R0000007SGvQAM</t>
  </si>
  <si>
    <t>a3z1R0000007SGwQAM</t>
  </si>
  <si>
    <t>a3z1R0000007SGxQAM</t>
  </si>
  <si>
    <t>a3z1R0000007SGyQAM</t>
  </si>
  <si>
    <t>a3z1R0000007SGzQAM</t>
  </si>
  <si>
    <t>a3z1R0000007SH0QAM</t>
  </si>
  <si>
    <t>a3z1R0000007SH1QAM</t>
  </si>
  <si>
    <t>a3z1R0000007SHAQA2</t>
  </si>
  <si>
    <t>a3z1R0000007SHBQA2</t>
  </si>
  <si>
    <t>a3z1R0000007SHCQA2</t>
  </si>
  <si>
    <t>a3z1R0000007SHDQA2</t>
  </si>
  <si>
    <t>a3z1R0000007SHEQA2</t>
  </si>
  <si>
    <t>a3z1R0000007SHFQA2</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</si>
  <si>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</si>
  <si>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</si>
  <si>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</si>
  <si>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</si>
  <si>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</si>
  <si>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</si>
  <si>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</si>
  <si>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</si>
  <si>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</si>
  <si>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</si>
  <si>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</si>
  <si>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</si>
  <si>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IOR-00002</t>
  </si>
  <si>
    <t>a3z360000009C3FAAU</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</si>
  <si>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</si>
  <si>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</si>
  <si>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</si>
  <si>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IOR-00003</t>
  </si>
  <si>
    <t>a3z360000009C3GAAU</t>
  </si>
  <si>
    <t>HIV O-2: Percentage of women and men aged 15-49 who have had sexual intercourse with more than one partner in the past 12 months</t>
  </si>
  <si>
    <t>HIV O-2: Pourcentage de femmes et d'hommes âgés de 15 à 49 ans ayant eu plus d'un partenaire sexuel au cours des 12 derniers mois</t>
  </si>
  <si>
    <t>HIV O-2: Porcentaje de mujeres y hombres de entre 15 y 49 años que han tenido más de una pareja sexual en los últimos 12 meses</t>
  </si>
  <si>
    <t>IOR-00004</t>
  </si>
  <si>
    <t>a3z360000009C3HAAU</t>
  </si>
  <si>
    <t>HIV O-3: Percentage of women and men aged 15-49 who had more than one partner in the past 12 months who used a condom during their last sexual intercourse</t>
  </si>
  <si>
    <t>HIV O-3: Pourcentage de femmes et d'hommes âgés de 15 à 49 ans ayant eu plus d'un partenaire sexuel au cours des 12 derniers mois et ayant déclaré avoir utilisé un préservatif lors de leur dernier rapport sexuel</t>
  </si>
  <si>
    <t>HIV O-3: Porcentaje de mujeres y hombres de entre 15 y 49 años que han tenido más de una pareja sexual en los últimos 12 meses y dicen haber utilizado preservativo en su última relación sexual</t>
  </si>
  <si>
    <t>IOR-00005</t>
  </si>
  <si>
    <t>a3z360000009C3IAAU</t>
  </si>
  <si>
    <t>HIV O-4a(M): Percentage of men reporting the use of a condom the last time they had anal sex with a male partner</t>
  </si>
  <si>
    <t>HIV O-4a(M): Pourcentage d'hommes ayant déclaré avoir utilisé un préservatif lors de leur dernier rapport anal avec un partenaire de sexe masculin</t>
  </si>
  <si>
    <t>HIV O-4a(M): Porcentaje de hombres que afirman haber utilizado preservativo en su última relación de sexo anal con otro hombre</t>
  </si>
  <si>
    <t>IOR-00006</t>
  </si>
  <si>
    <t>a3z360000009C3JAAU</t>
  </si>
  <si>
    <t>HIV O-4b: Percentage of transgender people who sell sex reporting the use of a condom with their most recent client</t>
  </si>
  <si>
    <t>HIV O-4b: Pourcentage de transgenres qui pratiquent des rapports sexuels rémunérés ayant déclaré avoir utilisé un préservatif avec leur dernier client</t>
  </si>
  <si>
    <t>HIV O-4b: porcentaje de personas transgénero que comercian con sexo que dicen haber utilizado preservativo con su último cliente</t>
  </si>
  <si>
    <t>IOR-00007</t>
  </si>
  <si>
    <t>a3z360000009C3KAAU</t>
  </si>
  <si>
    <t>HIV O-5(M): Percentage of sex workers reporting the use of a condom with their most recent client</t>
  </si>
  <si>
    <t>HIV O-5(M): Pourcentage de professionnels du sexe ayant déclaré avoir utilisé un préservatif avec leur dernier client</t>
  </si>
  <si>
    <t>HIV O-5(M): Porcentaje de trabajadores del sexo que reportan haber utilizado preservativo con su último cliente</t>
  </si>
  <si>
    <t>IOR-00008</t>
  </si>
  <si>
    <t>a3z360000009C3LAAU</t>
  </si>
  <si>
    <t>HIV O-6(M): Percentage of people who inject drugs reporting the use of sterile injecting equipment the last time they injected</t>
  </si>
  <si>
    <t>HIV O-6(M): Pourcentage de consommateurs de drogues injectables ayant déclaré avoir utilisé du matériel d'injection stérile lors de leur dernière prise de drogue</t>
  </si>
  <si>
    <t>HIV O-6(M): Porcentaje de personas que consumen drogas inyectables que reportan haber utilizado materiales de inyección estériles la última vez que se inyectaron</t>
  </si>
  <si>
    <t>IOR-00009</t>
  </si>
  <si>
    <t>a3z360000009C3MAAU</t>
  </si>
  <si>
    <t>HIV O-7: Percentage of other vulnerable populations who report the use of a condom at last sexual intercourse</t>
  </si>
  <si>
    <t>HIV O-7: Pourcentage d'autres populations vulnérables ayant déclaré avoir utilisé un préservatif lors du dernier rapport sexuel</t>
  </si>
  <si>
    <t>HIV O-7: Porcentaje de otras poblaciones vulnerables que dicen haber utilizado preservativo en su última relación sexual</t>
  </si>
  <si>
    <t>IOR-00000</t>
  </si>
  <si>
    <t>a3z360000009C3NAAU</t>
  </si>
  <si>
    <t>HIV O-8: Current school attendance rate among orphans compared to non-orphans</t>
  </si>
  <si>
    <t>HIV O-8: Taux actuel de fréquentation scolaire chez les enfants orphelins et non orphelins</t>
  </si>
  <si>
    <t>HIV O-8: Tasa de asistencia escolar actual entre huérfanos y no huérfanos</t>
  </si>
  <si>
    <t>IOR-00022</t>
  </si>
  <si>
    <t>a3z360000009C3OAAU</t>
  </si>
  <si>
    <t>HSS O-1: Percentage of women attending antenatal care</t>
  </si>
  <si>
    <t>HSS O-1: Pourcentage de femmes bénéficiant de soins prénatals</t>
  </si>
  <si>
    <t>HSS O-1: Porcentaje de mujeres que asisten a los servicios de atención prenatal</t>
  </si>
  <si>
    <t>IOR-00023</t>
  </si>
  <si>
    <t>a3z360000009C3PAAU</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</si>
  <si>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</si>
  <si>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</si>
  <si>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</si>
  <si>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</si>
  <si>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a3z360000009C3QAAU</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</si>
  <si>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</si>
  <si>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</si>
  <si>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</si>
  <si>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</si>
  <si>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a3z360000009C3RAAU</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</si>
  <si>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</si>
  <si>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</si>
  <si>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</si>
  <si>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</si>
  <si>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a3z360000009C3SAAU</t>
  </si>
  <si>
    <t>HSS O-4: General service readiness score for health facilities</t>
  </si>
  <si>
    <t>HSS O-4: Note de préparation du service général pour les établissements de santé</t>
  </si>
  <si>
    <t>HSS O-4: Puntuación de la prontitud de servicios generales en los centros de salud</t>
  </si>
  <si>
    <t>IOR-00065</t>
  </si>
  <si>
    <t>a3z360000009C3TAAU</t>
  </si>
  <si>
    <t>HIV O-10: Percentage of women and men with non-regular partner in the past 12 months who report the use of a condom during their last intercourse</t>
  </si>
  <si>
    <t>HIV O-10: Pourcentage de femmes et d'hommes ayant eu un partenaire non-régulier au cours des 12 derniers mois  qui rapportent l'usage d'un préservatif durant leur dernier rapport sexuel</t>
  </si>
  <si>
    <t>HIV O-10: Porcentaje de mujeres y hombres con parejas casuales en los últimos 12 meses, que reportan el uso de preservativo durante su última relación sexual</t>
  </si>
  <si>
    <t>IOR-00066</t>
  </si>
  <si>
    <t>a3z360000009C3UAAU</t>
  </si>
  <si>
    <t>HIV O-4.1b(M): Percentage of transgender people reporting the use of a condom the last time they had sex with a partner</t>
  </si>
  <si>
    <t>HIV O-4.1b(M): Pourcentage de personnes transgenres qui rapportent l'utilisation de préservatif  lors de leur dernier rapport sexuel</t>
  </si>
  <si>
    <t>HIV O-4.1b(M): Porcentaje de personas transgénero que reportan uso de condón la última vez que sostuvieron relaciones sexuales con una pareja</t>
  </si>
  <si>
    <t>IOR-00067</t>
  </si>
  <si>
    <t>a3z360000009C3VAAU</t>
  </si>
  <si>
    <t>HIV O-9: Percentage of people who inject drugs reporting condom use at the last sexual intercourse</t>
  </si>
  <si>
    <t>HIV O-9: Pourcentage de consommateurs de drogues injectables qui rapportent l'utilisation de préservatif lors de leur dernier rapport sexuel</t>
  </si>
  <si>
    <t>HIV O-9: Porcentaje de personas que consumen drogas inyectables que reportan uso del preservativo en su ultima relación sexual</t>
  </si>
  <si>
    <t>IOR-00068</t>
  </si>
  <si>
    <t>a3z360000009C3WAAU</t>
  </si>
  <si>
    <t>HIV O-11: Percentage of (estimated) people living with HIV who have been tested HIV-positive</t>
  </si>
  <si>
    <t>HIV O-11: Pourcentage de personnes (estimées)  vivant avec le VIH  qui ont été dépistées positives au VIH</t>
  </si>
  <si>
    <t>HIV O-11: Porcentaje de personas que viven con el VIH (estimadas) con prueba de VIH positiva</t>
  </si>
  <si>
    <t>IOR-00069</t>
  </si>
  <si>
    <t>a3z360000009C3XAAU</t>
  </si>
  <si>
    <t>HIV O-12: Percentage of people living with HIV and on ART who are virologically suppressed (among all those currently on treatment who received a VL measurement regardless of when they started ART)</t>
  </si>
  <si>
    <t>HIV O-12: Pourcentage de personnes vivant avec le VIH sous ARV qui ont une charge virale indétectable (parmi tous ceux actuellement sous traitement qui font l'objet de mesure de la charge virale independamment de quand ils ont commencé le traitement ARV)</t>
  </si>
  <si>
    <t>HIV O-12: Porcentaje de personas que viven con VIH que están en TARV y tienen carga viral suprimida (entre todas las PVVIH en TARV que tienen una medición de carga viral independientemente de cuándo iniciaron TARV)</t>
  </si>
  <si>
    <t>IOR-00070</t>
  </si>
  <si>
    <t>a3z360000009C3YAAU</t>
  </si>
  <si>
    <t>HIV O-13: Proportion of ever-married or partnered women aged 15-49 who experienced physical or sexual violence from a male intimate partner in the past 12 months</t>
  </si>
  <si>
    <t>HIV O-13: Proportion de femmes qui  ont été/sont mariées ou en concubinage agées de 15-49 ans ayant subit des violences physiques ou sexuelles de la part d'un partenaire masculin intime lors des 12 derniers mois</t>
  </si>
  <si>
    <t>HIV O-13: Porcentaje de mujeres de 15-49 años, casadas o que viven en pareja, que han sufrido violencia física o sexual por una pareja masculina en los últimos 12 meses</t>
  </si>
  <si>
    <t>IOR-00071</t>
  </si>
  <si>
    <t>a3z360000009C3ZAAU</t>
  </si>
  <si>
    <t>HIV O-14: Percentage of women and men aged 15–49 who report discriminatory attitudes towards people living with HIV</t>
  </si>
  <si>
    <t>HIV O-14: Pourcentage de femmes et d'hommes agés de 15-49 ans rapportant des attitudes discriminatoires envers les personnes vivant avec le VIH</t>
  </si>
  <si>
    <t>HIV O-14: Porcentaje de mujeres y hombres de 15-49 años que reportan actitudes discriminatorias hacia las personas que viven con el VIH</t>
  </si>
  <si>
    <t>IOR-00072</t>
  </si>
  <si>
    <t>a3z360000009C3aAAE</t>
  </si>
  <si>
    <t>HIV O-15: Percent of people living with HIV who experienced recent discrimination at health care facilities</t>
  </si>
  <si>
    <t>HIV O-15: Pourcentage de personnes vivant avec le VIH rapportant avoir récemment subi une discrimination dans les services de santé</t>
  </si>
  <si>
    <t>HIV O-15: Porcentaje de personas que viven con el VIH que reportan haber experimentado discriminación en los servicios de salud</t>
  </si>
  <si>
    <t>IOR-00024</t>
  </si>
  <si>
    <t>a3z360000009C3bAAE</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</si>
  <si>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</si>
  <si>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</si>
  <si>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</si>
  <si>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IOR-00025</t>
  </si>
  <si>
    <t>a3z360000009C3cAAE</t>
  </si>
  <si>
    <t>TB O-1b: Case notification rate per 100,000 population- bacteriologically-confirmed TB, new and relapse</t>
  </si>
  <si>
    <t>TB O-1b: Taux de déclaration des cas bactériologiquement de Tuberculose confirmés pour 100 000 habitants, cas nouveaux et récidives</t>
  </si>
  <si>
    <t>TB O-1b: Tasa de notificación de casos de tuberculosis por cada 100.000 habitantes, confirmados bacteriológicamente, (casos nuevos y recaídas)</t>
  </si>
  <si>
    <t>IOR-00010</t>
  </si>
  <si>
    <t>a3z360000009C3dAAE</t>
  </si>
  <si>
    <t>TB O-2a: Treatment success rate of all forms of TB- bacteriologically confirmed plus clinically diagnosed, new and relapse cases</t>
  </si>
  <si>
    <t>TB O-2a: Taux de succès thérapeutique, toutes formes confondues- bactériologiquement confirmés et cliniquement diagnostiqués, nouveaux cas et récidives</t>
  </si>
  <si>
    <t>TB O-2a: Tasa de éxito del tratamiento de casos de TB todas las formas - confirmados bacteriológicamente y con diagnóstico clínico, casos nuevos y recaídas</t>
  </si>
  <si>
    <t>IOR-00011</t>
  </si>
  <si>
    <t>a3z360000009C3eAAE</t>
  </si>
  <si>
    <t>TB O-2b: Treatment success rate - bacteriologically confirmed TB cases</t>
  </si>
  <si>
    <t>TB O-2b: Taux de guérison, cas de tuberculose bactériologiquement confirmés</t>
  </si>
  <si>
    <t>TB O-2b: Tasa de éxito del tratamiento en los casos de tuberculosis confirmados bacteriológicamente</t>
  </si>
  <si>
    <t>IOR-00012</t>
  </si>
  <si>
    <t>a3z360000009C3fAAE</t>
  </si>
  <si>
    <t>TB O-3: Notification of RR-TB and/or MDR-TB cases - Percentage of notified cases of bacteriologically confirmed, drug resistant RR-TB and/or MDR-TB⃰ as a proportion of the estimated number of RR-TB and/or MDR-TB cases among notified TB cases</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</si>
  <si>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</si>
  <si>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</si>
  <si>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IOR-00013</t>
  </si>
  <si>
    <t>a3z360000009C3gAAE</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</si>
  <si>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</si>
  <si>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</si>
  <si>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</si>
  <si>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a3z360000009C3hAAE</t>
  </si>
  <si>
    <t>a3z360000009C3iAAE</t>
  </si>
  <si>
    <t>a3z360000009C3jAAE</t>
  </si>
  <si>
    <t>a3z360000009C3kAAE</t>
  </si>
  <si>
    <t>a3z360000009C3lAAE</t>
  </si>
  <si>
    <t>IOR-00077</t>
  </si>
  <si>
    <t>a3z360000009C3mAAE</t>
  </si>
  <si>
    <t>TB O-6: Notification of RR-TB and/or MDR-TB cases – Percentage of notified cases of bacteriologically confirmed, drug resistant RR-TB and/or MDR-TB as a proportion of all estimated RR-TB and/or MDR-TB cases</t>
  </si>
  <si>
    <t>TB O-6: Notification des cas de TB-RR et/ou TB-MR  - Pourcentage de cas notifiés bactériologiquement confirmés, résistants aux médicaments TB-RR et/ou TB-MR** en tant que proportion de tous les cas estimés TB-RR et/ou TB-MR</t>
  </si>
  <si>
    <t>TB O-6: Notificación de casos TB-RR y/o TB-MDR - Porcentaje de casos notificados de RR-TB y/o MDR-TB bacteriologicamente confirmados, como una proporción de todos los casos estimados de TB-RR y/o TB-MDR</t>
  </si>
  <si>
    <t>IOR-00078</t>
  </si>
  <si>
    <t>a3z360000009C3nAAE</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</si>
  <si>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</si>
  <si>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</si>
  <si>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</si>
  <si>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a3z360000009C44AAE</t>
  </si>
  <si>
    <t>a3z360000009C45AAE</t>
  </si>
  <si>
    <t>a3z360000009C46AAE</t>
  </si>
  <si>
    <t>a3z360000009C47AAE</t>
  </si>
  <si>
    <t>a3z360000009C48AAE</t>
  </si>
  <si>
    <t>a3p1R0000018qtDQAQ</t>
  </si>
  <si>
    <t>a1O1R000006c5kmUAA</t>
  </si>
  <si>
    <t>MCI-00874</t>
  </si>
  <si>
    <t>Men in high prevalence settings</t>
  </si>
  <si>
    <t>Hommes dans des contextes à forte prévalence</t>
  </si>
  <si>
    <t>Hombres en entornos de alta prevalencia</t>
  </si>
  <si>
    <t>a1O1R000006c5jpUAA</t>
  </si>
  <si>
    <t>MCI-00815</t>
  </si>
  <si>
    <t>Men who have sex with men</t>
  </si>
  <si>
    <t>Hommes ayant des rapports sexuels avec des hommes</t>
  </si>
  <si>
    <t>a1O1R000006c5jyUAA</t>
  </si>
  <si>
    <t>MCI-00824</t>
  </si>
  <si>
    <t>Sex workers and their clients</t>
  </si>
  <si>
    <t>Professionnels du sexe et leurs clients</t>
  </si>
  <si>
    <t>Trabajadores sexuales y sus clientes</t>
  </si>
  <si>
    <t>a1O1R000006c5k7UAA</t>
  </si>
  <si>
    <t>MCI-00833</t>
  </si>
  <si>
    <t>Transgender people</t>
  </si>
  <si>
    <t>Personnes transgenres</t>
  </si>
  <si>
    <t>Personas transgénero</t>
  </si>
  <si>
    <t>a1O1R000006c5kJUAQ</t>
  </si>
  <si>
    <t>MCI-00845</t>
  </si>
  <si>
    <t>People who inject drugs and their partners</t>
  </si>
  <si>
    <t>Personnes qui s’injectent des drogues et leurs partenaires</t>
  </si>
  <si>
    <t>Consumidores de drogas inyectables y sus parejas</t>
  </si>
  <si>
    <t>a1O1R000006c5kRUAQ</t>
  </si>
  <si>
    <t>MCI-00853</t>
  </si>
  <si>
    <t>People in prisons and other closed settings</t>
  </si>
  <si>
    <t>Personnes en détention ou se trouvant dans d’autres lieux fermés</t>
  </si>
  <si>
    <t>Personas privadas de libertad en centros penitenciarios y otros lugares de reclusión</t>
  </si>
  <si>
    <t>a1O1R000006c5kZUAQ</t>
  </si>
  <si>
    <t>MCI-00861</t>
  </si>
  <si>
    <t>Other vulnerable populations</t>
  </si>
  <si>
    <t>Autres populations vulnérables</t>
  </si>
  <si>
    <t>Otras poblaciones vulnerables</t>
  </si>
  <si>
    <t>a1O1R000006c5kcUAA</t>
  </si>
  <si>
    <t>MCI-00864</t>
  </si>
  <si>
    <t>Adolescent girls and young women in high prevalence settings</t>
  </si>
  <si>
    <t>Adolescentes et jeunes femmes dans des contextes à forte prévalence</t>
  </si>
  <si>
    <t>Niñas adolescentes y mujeres jóvenes en entornos de alta prevalencia</t>
  </si>
  <si>
    <t>a1O1R000006c5knUAA</t>
  </si>
  <si>
    <t>MCI-00875</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</si>
  <si>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</si>
  <si>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</si>
  <si>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</si>
  <si>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</si>
  <si>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</si>
  <si>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</si>
  <si>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</si>
  <si>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</si>
  <si>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</si>
  <si>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</si>
  <si>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</si>
  <si>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</si>
  <si>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a1O1R000006c5koUAA</t>
  </si>
  <si>
    <t>MCI-00876</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</si>
  <si>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</si>
  <si>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</si>
  <si>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</si>
  <si>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</si>
  <si>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</si>
  <si>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</si>
  <si>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</si>
  <si>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</si>
  <si>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</si>
  <si>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</si>
  <si>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</si>
  <si>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</si>
  <si>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</si>
  <si>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</si>
  <si>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a1O1R000006c5jsUAA</t>
  </si>
  <si>
    <t>MCI-00818</t>
  </si>
  <si>
    <t>a1O1R000006c5k1UAA</t>
  </si>
  <si>
    <t>MCI-00827</t>
  </si>
  <si>
    <t>a1O1R000006c5kAUAQ</t>
  </si>
  <si>
    <t>MCI-00836</t>
  </si>
  <si>
    <t>a1O1R000006c5kMUAQ</t>
  </si>
  <si>
    <t>MCI-00848</t>
  </si>
  <si>
    <t>a1O1R000006c5kUUAQ</t>
  </si>
  <si>
    <t>MCI-00856</t>
  </si>
  <si>
    <t>a1O1R000006c5kpUAA</t>
  </si>
  <si>
    <t>MCI-00877</t>
  </si>
  <si>
    <t>a1O1R000006c5jtUAA</t>
  </si>
  <si>
    <t>MCI-00819</t>
  </si>
  <si>
    <t>a1O1R000006c5k2UAA</t>
  </si>
  <si>
    <t>MCI-00828</t>
  </si>
  <si>
    <t>a1O1R000006c5kBUAQ</t>
  </si>
  <si>
    <t>MCI-00837</t>
  </si>
  <si>
    <t>a1O1R000006c5kNUAQ</t>
  </si>
  <si>
    <t>MCI-00849</t>
  </si>
  <si>
    <t>a1O1R000006c5kbUAA</t>
  </si>
  <si>
    <t>MCI-00863</t>
  </si>
  <si>
    <t>a1O1R000006c5kgUAA</t>
  </si>
  <si>
    <t>MCI-00868</t>
  </si>
  <si>
    <t>a1O1R000006c5kVUAQ</t>
  </si>
  <si>
    <t>MCI-00857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</si>
  <si>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</si>
  <si>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</si>
  <si>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</si>
  <si>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</si>
  <si>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</si>
  <si>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</si>
  <si>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</si>
  <si>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</si>
  <si>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</si>
  <si>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</si>
  <si>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</si>
  <si>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</si>
  <si>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</si>
  <si>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</si>
  <si>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</si>
  <si>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</si>
  <si>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</si>
  <si>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</si>
  <si>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</si>
  <si>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</si>
  <si>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</si>
  <si>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</si>
  <si>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</si>
  <si>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</si>
  <si>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</si>
  <si>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</si>
  <si>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</si>
  <si>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</si>
  <si>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</si>
  <si>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</si>
  <si>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</si>
  <si>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</si>
  <si>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</si>
  <si>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</si>
  <si>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</si>
  <si>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</si>
  <si>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</si>
  <si>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</si>
  <si>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</si>
  <si>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</si>
  <si>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</si>
  <si>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</si>
  <si>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</si>
  <si>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</si>
  <si>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</si>
  <si>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</si>
  <si>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</si>
  <si>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</si>
  <si>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</si>
  <si>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</si>
  <si>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</si>
  <si>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</si>
  <si>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</si>
  <si>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</si>
  <si>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</si>
  <si>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MCI-00878</t>
  </si>
  <si>
    <t>Non-specified population groups</t>
  </si>
  <si>
    <t>Groupes de population non spécifiés</t>
  </si>
  <si>
    <t>Grupos de población no específicos</t>
  </si>
  <si>
    <t>a1O1R000006c5krUAA</t>
  </si>
  <si>
    <t>MCI-00879</t>
  </si>
  <si>
    <t>a1O1R000006c5ksUAA</t>
  </si>
  <si>
    <t>MCI-00880</t>
  </si>
  <si>
    <t>a1O1R000006c5ktUAA</t>
  </si>
  <si>
    <t>MCI-00881</t>
  </si>
  <si>
    <t>a1O1R000006c5kuUAA</t>
  </si>
  <si>
    <t>MCI-00882</t>
  </si>
  <si>
    <t>a1O1R000006c5kvUAA</t>
  </si>
  <si>
    <t>MCI-00883</t>
  </si>
  <si>
    <t>a1O1R000006c5kzUAA</t>
  </si>
  <si>
    <t>MCI-00887</t>
  </si>
  <si>
    <t>a1O1R000006c5kwUAA</t>
  </si>
  <si>
    <t>MCI-00884</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</si>
  <si>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</si>
  <si>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</si>
  <si>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</si>
  <si>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</si>
  <si>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</si>
  <si>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</si>
  <si>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</si>
  <si>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</si>
  <si>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</si>
  <si>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</si>
  <si>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</si>
  <si>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</si>
  <si>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</si>
  <si>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MCI-00910</t>
  </si>
  <si>
    <t>Partners of people living with HIV</t>
  </si>
  <si>
    <t>Partenaires de personnes vivant avec le VIH</t>
  </si>
  <si>
    <t>Parejas de personas que viven con el VIH</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</si>
  <si>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</si>
  <si>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</si>
  <si>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</si>
  <si>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</si>
  <si>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</si>
  <si>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</si>
  <si>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</si>
  <si>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</si>
  <si>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</si>
  <si>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</si>
  <si>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</si>
  <si>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</si>
  <si>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</si>
  <si>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</si>
  <si>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</si>
  <si>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</si>
  <si>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</si>
  <si>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</si>
  <si>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</si>
  <si>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</si>
  <si>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</si>
  <si>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</si>
  <si>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</si>
  <si>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</si>
  <si>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</si>
  <si>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</si>
  <si>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</si>
  <si>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</si>
  <si>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</si>
  <si>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</si>
  <si>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</si>
  <si>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</si>
  <si>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</si>
  <si>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</si>
  <si>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</si>
  <si>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</si>
  <si>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</si>
  <si>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</si>
  <si>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</si>
  <si>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</si>
  <si>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a1O1R000006c5lPUAQ</t>
  </si>
  <si>
    <t>MCI-00913</t>
  </si>
  <si>
    <t>All people living with HIV</t>
  </si>
  <si>
    <t>Toutes les personnes vivant avec le VIH</t>
  </si>
  <si>
    <t>Todas las personas que viven con el VIH</t>
  </si>
  <si>
    <t>a1O1R000006c5lWUAQ</t>
  </si>
  <si>
    <t>MCI-00920</t>
  </si>
  <si>
    <t>Adults living with HIV (15 and above)</t>
  </si>
  <si>
    <t>Adultes vivant avec le VIH (15 ans et plus)</t>
  </si>
  <si>
    <t>Personas adultas que viven con el VIH (15 años o más)</t>
  </si>
  <si>
    <t>a1O1R000006c5lcUAA</t>
  </si>
  <si>
    <t>MCI-00926</t>
  </si>
  <si>
    <t>Children living with HIV (under 15)</t>
  </si>
  <si>
    <t>Enfants vivant avec le VIH (moins de 15 ans)</t>
  </si>
  <si>
    <t>Niños y niñas que viven con el VIH (menores de 15 años)</t>
  </si>
  <si>
    <t>a1O1R000006c5lQUAQ</t>
  </si>
  <si>
    <t>MCI-00914</t>
  </si>
  <si>
    <t>a1O1R000006c5lXUAQ</t>
  </si>
  <si>
    <t>MCI-00921</t>
  </si>
  <si>
    <t>a1O1R000006c5ldUAA</t>
  </si>
  <si>
    <t>MCI-00927</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</si>
  <si>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</si>
  <si>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</si>
  <si>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</si>
  <si>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</si>
  <si>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</si>
  <si>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</si>
  <si>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</si>
  <si>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</si>
  <si>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</si>
  <si>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</si>
  <si>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</si>
  <si>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</si>
  <si>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</si>
  <si>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</si>
  <si>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</si>
  <si>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</si>
  <si>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</si>
  <si>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</si>
  <si>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a1O1R000006c5lbUAA</t>
  </si>
  <si>
    <t>MCI-00925</t>
  </si>
  <si>
    <t>a1O1R000006c5lUUAQ</t>
  </si>
  <si>
    <t>MCI-00918</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</si>
  <si>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</si>
  <si>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</si>
  <si>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</si>
  <si>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</si>
  <si>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</si>
  <si>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</si>
  <si>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</si>
  <si>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</si>
  <si>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</si>
  <si>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</si>
  <si>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</si>
  <si>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</si>
  <si>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</si>
  <si>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</si>
  <si>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</si>
  <si>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</si>
  <si>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</si>
  <si>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</si>
  <si>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</si>
  <si>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</si>
  <si>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</si>
  <si>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</si>
  <si>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</si>
  <si>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</si>
  <si>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</si>
  <si>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</si>
  <si>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</si>
  <si>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</si>
  <si>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</si>
  <si>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</si>
  <si>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</si>
  <si>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</si>
  <si>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</si>
  <si>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</si>
  <si>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</si>
  <si>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</si>
  <si>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</si>
  <si>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</si>
  <si>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</si>
  <si>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</si>
  <si>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</si>
  <si>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</si>
  <si>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</si>
  <si>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</si>
  <si>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</si>
  <si>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</si>
  <si>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</si>
  <si>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</si>
  <si>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</si>
  <si>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</si>
  <si>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</si>
  <si>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</si>
  <si>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</si>
  <si>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</si>
  <si>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</si>
  <si>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</si>
  <si>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</si>
  <si>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</si>
  <si>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</si>
  <si>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</si>
  <si>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</si>
  <si>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</si>
  <si>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</si>
  <si>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</si>
  <si>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</si>
  <si>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</si>
  <si>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</si>
  <si>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</si>
  <si>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</si>
  <si>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</si>
  <si>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</si>
  <si>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</si>
  <si>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</si>
  <si>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</si>
  <si>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</si>
  <si>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</si>
  <si>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</si>
  <si>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</si>
  <si>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</si>
  <si>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</si>
  <si>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</si>
  <si>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</si>
  <si>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</si>
  <si>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</si>
  <si>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</si>
  <si>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</si>
  <si>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</si>
  <si>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</si>
  <si>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</si>
  <si>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</si>
  <si>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</si>
  <si>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</si>
  <si>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</si>
  <si>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</si>
  <si>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</si>
  <si>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</si>
  <si>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</si>
  <si>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</si>
  <si>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</si>
  <si>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</si>
  <si>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</si>
  <si>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</si>
  <si>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</si>
  <si>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</si>
  <si>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</si>
  <si>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</si>
  <si>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</si>
  <si>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</si>
  <si>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</si>
  <si>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</si>
  <si>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</si>
  <si>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</si>
  <si>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</si>
  <si>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</si>
  <si>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</si>
  <si>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</si>
  <si>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</si>
  <si>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</si>
  <si>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</si>
  <si>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</si>
  <si>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</si>
  <si>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</si>
  <si>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</si>
  <si>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</si>
  <si>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</si>
  <si>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</si>
  <si>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</si>
  <si>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</si>
  <si>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</si>
  <si>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</si>
  <si>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</si>
  <si>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</si>
  <si>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</si>
  <si>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</si>
  <si>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</si>
  <si>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</si>
  <si>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</si>
  <si>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</si>
  <si>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</si>
  <si>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</si>
  <si>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</si>
  <si>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</si>
  <si>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</si>
  <si>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</si>
  <si>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</si>
  <si>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</si>
  <si>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</si>
  <si>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</si>
  <si>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</si>
  <si>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</si>
  <si>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</si>
  <si>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</si>
  <si>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</si>
  <si>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</si>
  <si>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</si>
  <si>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</si>
  <si>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</si>
  <si>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</si>
  <si>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</si>
  <si>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</si>
  <si>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</si>
  <si>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</si>
  <si>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</si>
  <si>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</si>
  <si>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</si>
  <si>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</si>
  <si>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</si>
  <si>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</si>
  <si>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</si>
  <si>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</si>
  <si>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</si>
  <si>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</si>
  <si>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a1O3p000003OASxEAO</t>
  </si>
  <si>
    <t>MCI-01240</t>
  </si>
  <si>
    <t>a1O3p000003OASsEAO</t>
  </si>
  <si>
    <t>MCI-01239</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</si>
  <si>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</si>
  <si>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</si>
  <si>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</si>
  <si>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</si>
  <si>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</si>
  <si>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</si>
  <si>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</si>
  <si>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</si>
  <si>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</si>
  <si>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</si>
  <si>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</si>
  <si>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</si>
  <si>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</si>
  <si>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</si>
  <si>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</si>
  <si>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</si>
  <si>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</si>
  <si>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</si>
  <si>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</si>
  <si>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</si>
  <si>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</si>
  <si>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</si>
  <si>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</si>
  <si>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</si>
  <si>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</si>
  <si>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</si>
  <si>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</si>
  <si>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</si>
  <si>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</si>
  <si>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</si>
  <si>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</si>
  <si>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</si>
  <si>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</si>
  <si>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</si>
  <si>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</si>
  <si>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</si>
  <si>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</si>
  <si>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</si>
  <si>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</si>
  <si>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</si>
  <si>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</si>
  <si>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</si>
  <si>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</si>
  <si>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</si>
  <si>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</si>
  <si>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</si>
  <si>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</si>
  <si>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</si>
  <si>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</si>
  <si>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</si>
  <si>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</si>
  <si>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</si>
  <si>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</si>
  <si>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</si>
  <si>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</si>
  <si>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</si>
  <si>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</si>
  <si>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</si>
  <si>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</si>
  <si>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</si>
  <si>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</si>
  <si>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</si>
  <si>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</si>
  <si>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</si>
  <si>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</si>
  <si>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</si>
  <si>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</si>
  <si>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</si>
  <si>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</si>
  <si>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</si>
  <si>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</si>
  <si>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</si>
  <si>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</si>
  <si>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</si>
  <si>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</si>
  <si>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</si>
  <si>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</si>
  <si>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</si>
  <si>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</si>
  <si>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</si>
  <si>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</si>
  <si>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</si>
  <si>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</si>
  <si>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</si>
  <si>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</si>
  <si>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</si>
  <si>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</si>
  <si>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</si>
  <si>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</si>
  <si>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</si>
  <si>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</si>
  <si>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</si>
  <si>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</si>
  <si>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</si>
  <si>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</si>
  <si>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</si>
  <si>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</si>
  <si>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</si>
  <si>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</si>
  <si>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</si>
  <si>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</si>
  <si>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</si>
  <si>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</si>
  <si>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</si>
  <si>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</si>
  <si>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</si>
  <si>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</si>
  <si>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</si>
  <si>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</si>
  <si>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</si>
  <si>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</si>
  <si>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</si>
  <si>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</si>
  <si>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</si>
  <si>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</si>
  <si>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</si>
  <si>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</si>
  <si>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</si>
  <si>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</si>
  <si>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</si>
  <si>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</si>
  <si>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</si>
  <si>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</si>
  <si>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</si>
  <si>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</si>
  <si>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</si>
  <si>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</si>
  <si>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</si>
  <si>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</si>
  <si>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</si>
  <si>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</si>
  <si>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</si>
  <si>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</si>
  <si>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</si>
  <si>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</si>
  <si>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</si>
  <si>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</si>
  <si>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</si>
  <si>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</si>
  <si>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</si>
  <si>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</si>
  <si>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</si>
  <si>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</si>
  <si>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</si>
  <si>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</si>
  <si>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</si>
  <si>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</si>
  <si>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</si>
  <si>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</si>
  <si>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</si>
  <si>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</si>
  <si>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</si>
  <si>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a1I3p00000KRIPvEAP</t>
  </si>
  <si>
    <t>SIAP/VICITS</t>
  </si>
  <si>
    <t>Baseline: 20.54%. This baseline corresponds to positive MSM, who are cared for at VICITS clinics and is the result reported in the 2019 report.
Baseline source: Care provided at VICITS clinics during 2019.
Numerator: Number of new and known cases of HIV in the MSM population that visit VICITS clinics during the reporting period
Denominator: Total number of MSM who were seen at VICITS during the reporting period.
The numerator and denominator of this indicator will be reported from the care provided to this population in the VICITS clinics.
Data source: SIAP / VICITS (Comprehensive Patient Care System), this system has been planned to collect information from all services nationwide, but currently its implementation has not been completed, it consists of several modules, one of The modules correspond to the attention of the VICITS and friendly clinics, in which the system has already been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The country has routinely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Assumptions: On this occasion, it is being proposed that by strengthening the approaches to promote the HIV test, the diagnostic capacity will be improved, hoping to increase the percentage of the first pillar of the cascade of the continuum of care, so the goals will increase. An annual increase of 1% is planned.
For the fulfillment of this indicator, the data will be reported from the care provided in the VICITS clinics and friendly clinics
Measurement methods: Through 18 VICITS in El Salvador, distributed nationwide and the 12 friendly clinics
Because it is a targeted country, no disaggregation is required.</t>
  </si>
  <si>
    <t>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t>
  </si>
  <si>
    <t>a1I3p00000KRIPwEAP</t>
  </si>
  <si>
    <t>Baseline: 27.19%. This baseline corresponds to the population of positive trans women, who are cared for at VICITS clinics and is the result reported in the 2019 report.
Baseline source: Care provided at VICITS clinics during 2019.
Numerator: Number of new and known cases of HIV in the population of trans women who visit VICITS clinics during the reporting period
Denominator: Total number of Trans people who were treated at VICITS during the reporting period.
The numerator and denominator of this indicator will be reported from the care provided to this population in the VICITS clinics.
Data source: SIAP / VICITS (Comprehensive Patient Care System), this system has been planned to collect information on all care at the national level, but currently it has not been possible to complete its implementation, it consists of several modules, being one of these the attention of VICITS and friendly clinics, in which it is already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on a routine basis, the country has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Assumptions: On this occasion, it is being proposed that by strengthening the approaches to promote the HIV test, the diagnostic capacity will be improved, hoping to increase the percentage of the first pillar of the cascade of the care continuum, so the goals will go into increase. An annual increase of 1% is planned.
For the fulfillment of this indicator, the data will be reported from the care provided in the VICITS clinics and friendly clinics
Measurement methods: Through 18 VICITS in El Salvador, distributed nationwide and the 12 friendly clinics.
Because it is a targeted country, no disaggregation is required.</t>
  </si>
  <si>
    <t>Línea de base: 27.19% . Esta línea de base corresponde a la población de mujeres trans positivas, que son atendidas en las clínicas VICITS  y es el resultado reportado en el informe del año 2019. 
Fuente de la línea de base: Atenciones brindadas en las clínicas  VICITS durante el año 2019.
Numerador: Número de casos nuevos y conocidos de VIH en la población de mujeres trans que consulten en las clínicas VICITS durante el período a reportar
Denominador: Número Total de mujeres trans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se encuentra implementado y permite registrar dichas atenciones.
El RP brindará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t>
  </si>
  <si>
    <t>a1I3p00000KRIPxEAP</t>
  </si>
  <si>
    <t>a1I3p00000KRIPyEAP</t>
  </si>
  <si>
    <t>a1I3p00000KRIPzEAP</t>
  </si>
  <si>
    <t>a1I3p00000KRIQ0EAP</t>
  </si>
  <si>
    <t>a1I3p00000KRIQ1EAP</t>
  </si>
  <si>
    <t>a1I3p00000KRIQ2EAP</t>
  </si>
  <si>
    <t>a1I3p00000KRIQ3EAP</t>
  </si>
  <si>
    <t>a1I3p00000KRIQ4EAP</t>
  </si>
  <si>
    <t>a1I3p00000KRIQ5EAP</t>
  </si>
  <si>
    <t>a1I3p00000KRIQ6EAP</t>
  </si>
  <si>
    <t>a1I3p00000KRIQ7EAP</t>
  </si>
  <si>
    <t>a1I3p00000KRIQ8EAP</t>
  </si>
  <si>
    <t>a1I3p00000KRIQ9EAP</t>
  </si>
  <si>
    <t>a1I3p00000KRIQAEA5</t>
  </si>
  <si>
    <t>Global Report TB 2020</t>
  </si>
  <si>
    <t>Assumptions for the targets: The country intends to reduce mortality by 2025 using the End TB strategy as a parameter; For this reason, El Salvador intends to sustain at least a mortality rate of less than one (&lt;1) during the next years of the subsidy. And achieve a rate of 0.85 for the last year of the grant
The global TB reports published annually by the World Health Organization (WHO) document the progress made through the widespread application of global TB strategies and the achievement of targets related to the Sustainable Development Goals (SDGs). Taken together, the efficacy of TB diagnosis and treatment is estimated to have saved lives. The association of TB with HIV is the leading cause of death among infectious diseases. There are still a number of challenges to face to end the epidemic of this disease.
In the assumption of the gradual reduction of mortality, it is proposed to conclude the subsidy with a rate lower than 1 per 100,000 inhabitants, which is in accordance with the End TB strategy.
Numerator: number of deaths from tuberculosis all registered, certified and reported forms at the national level of the previous year at all levels.
Denominator: Total population (DIGESTYC) per 100,000 inhabitants of the year to be evaluated. The indicator is from the ANNUAL NON-CUMULATIVE report.
Information Source: The official data published and validated by the WHO in the TB report will be considered as valid.</t>
  </si>
  <si>
    <t>Supuesto estimación de metas: El país se propone reducir la mortalidad al año 2025 tomando como parámetro  la estrategia Fin a la TB como meta; por tal razón El Salvador pretende sostener al menos una tasa de mortalidad menor de uno (&lt;1) durante los proximos años de la subvencion. Y alcanzar una tasa de 0.85 para el último año de la subvención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Numerador:  número de muertes por tuberculosis todas las formas registradas, certificadas y reportadas a nivel nacional del año anterior en todos los niveles. 
Denominador:  Total de la población (DIGESTYC) por 100,000 habitantes del año a evaluar.El indicador es de reporte ANUAL NO ACUMULATIVO.
Fuente de Información: Se consideraran los datos oficiales publicados  y validados por la OMS en el TB report como los válidos.</t>
  </si>
  <si>
    <t>a1I3p00000KRIQBEA5</t>
  </si>
  <si>
    <t>a1I3p00000KRIQCEA5</t>
  </si>
  <si>
    <t>a1I3p00000KRIQDEA5</t>
  </si>
  <si>
    <t>a1I3p00000KRIQEEA5</t>
  </si>
  <si>
    <t>a1I3p00000KRIQFEA5</t>
  </si>
  <si>
    <t>a1I3p00000KRIQGEA5</t>
  </si>
  <si>
    <t>a1I3p00000KRIQHEA5</t>
  </si>
  <si>
    <t>a1I3p00000KRIQIEA5</t>
  </si>
  <si>
    <t>a1I3p00000KRIQJEA5</t>
  </si>
  <si>
    <t>a1I3p00000KRIQKEA5</t>
  </si>
  <si>
    <t>a1I3p00000KRIQLEA5</t>
  </si>
  <si>
    <t>a1I3p00000KRIQMEA5</t>
  </si>
  <si>
    <t>a1I3p00000KRIQNEA5</t>
  </si>
  <si>
    <t>a1I3p00000KRIQOEA5</t>
  </si>
  <si>
    <t>a1H3p000009F889EAC</t>
  </si>
  <si>
    <t>a1H3p000009F88dEAC</t>
  </si>
  <si>
    <t>a1H3p000009F897EAC</t>
  </si>
  <si>
    <t>a1H3p000009F89bEAC</t>
  </si>
  <si>
    <t>a1H3p000009F8A5EAK</t>
  </si>
  <si>
    <t>a1H3p000009F8AZEA0</t>
  </si>
  <si>
    <t>a1H3p000009F88AEAS</t>
  </si>
  <si>
    <t>a1H3p000009F88eEAC</t>
  </si>
  <si>
    <t>a1H3p000009F898EAC</t>
  </si>
  <si>
    <t>a1H3p000009F89cEAC</t>
  </si>
  <si>
    <t>a1H3p000009F8A6EAK</t>
  </si>
  <si>
    <t>a1H3p000009F8AaEAK</t>
  </si>
  <si>
    <t>a1H3p000009F88BEAS</t>
  </si>
  <si>
    <t>a1H3p000009F88fEAC</t>
  </si>
  <si>
    <t>a1H3p000009F899EAC</t>
  </si>
  <si>
    <t>a1H3p000009F89dEAC</t>
  </si>
  <si>
    <t>a1H3p000009F8A7EAK</t>
  </si>
  <si>
    <t>a1H3p000009F8AbEAK</t>
  </si>
  <si>
    <t>a1H3p000009F88CEAS</t>
  </si>
  <si>
    <t>a1H3p000009F88gEAC</t>
  </si>
  <si>
    <t>a1H3p000009F89AEAS</t>
  </si>
  <si>
    <t>a1H3p000009F89eEAC</t>
  </si>
  <si>
    <t>a1H3p000009F8A8EAK</t>
  </si>
  <si>
    <t>a1H3p000009F8AcEAK</t>
  </si>
  <si>
    <t>a1H3p000009F88DEAS</t>
  </si>
  <si>
    <t>a1H3p000009F88hEAC</t>
  </si>
  <si>
    <t>a1H3p000009F89BEAS</t>
  </si>
  <si>
    <t>a1H3p000009F89fEAC</t>
  </si>
  <si>
    <t>a1H3p000009F8A9EAK</t>
  </si>
  <si>
    <t>a1H3p000009F8AdEAK</t>
  </si>
  <si>
    <t>a1H3p000009F88EEAS</t>
  </si>
  <si>
    <t>a1H3p000009F88iEAC</t>
  </si>
  <si>
    <t>a1H3p000009F89CEAS</t>
  </si>
  <si>
    <t>a1H3p000009F89gEAC</t>
  </si>
  <si>
    <t>a1H3p000009F8AAEA0</t>
  </si>
  <si>
    <t>a1H3p000009F8AeEAK</t>
  </si>
  <si>
    <t>a1H3p000009F88FEAS</t>
  </si>
  <si>
    <t>a1H3p000009F88jEAC</t>
  </si>
  <si>
    <t>a1H3p000009F89DEAS</t>
  </si>
  <si>
    <t>a1H3p000009F89hEAC</t>
  </si>
  <si>
    <t>a1H3p000009F8ABEA0</t>
  </si>
  <si>
    <t>a1H3p000009F8AfEAK</t>
  </si>
  <si>
    <t>a1H3p000009F88GEAS</t>
  </si>
  <si>
    <t>a1H3p000009F88kEAC</t>
  </si>
  <si>
    <t>a1H3p000009F89EEAS</t>
  </si>
  <si>
    <t>a1H3p000009F89iEAC</t>
  </si>
  <si>
    <t>a1H3p000009F8ACEA0</t>
  </si>
  <si>
    <t>a1H3p000009F8AgEAK</t>
  </si>
  <si>
    <t>a1H3p000009F88HEAS</t>
  </si>
  <si>
    <t>a1H3p000009F88lEAC</t>
  </si>
  <si>
    <t>a1H3p000009F89FEAS</t>
  </si>
  <si>
    <t>a1H3p000009F89jEAC</t>
  </si>
  <si>
    <t>a1H3p000009F8ADEA0</t>
  </si>
  <si>
    <t>a1H3p000009F8AhEAK</t>
  </si>
  <si>
    <t>a1H3p000009F88IEAS</t>
  </si>
  <si>
    <t>a1H3p000009F88mEAC</t>
  </si>
  <si>
    <t>a1H3p000009F89GEAS</t>
  </si>
  <si>
    <t>a1H3p000009F89kEAC</t>
  </si>
  <si>
    <t>a1H3p000009F8AEEA0</t>
  </si>
  <si>
    <t>a1H3p000009F8AiEAK</t>
  </si>
  <si>
    <t>a1H3p000009F88JEAS</t>
  </si>
  <si>
    <t>a1H3p000009F88nEAC</t>
  </si>
  <si>
    <t>a1H3p000009F89HEAS</t>
  </si>
  <si>
    <t>a1H3p000009F89lEAC</t>
  </si>
  <si>
    <t>a1H3p000009F8AFEA0</t>
  </si>
  <si>
    <t>a1H3p000009F8AjEAK</t>
  </si>
  <si>
    <t>a1H3p000009F88KEAS</t>
  </si>
  <si>
    <t>a1H3p000009F88oEAC</t>
  </si>
  <si>
    <t>a1H3p000009F89IEAS</t>
  </si>
  <si>
    <t>a1H3p000009F89mEAC</t>
  </si>
  <si>
    <t>a1H3p000009F8AGEA0</t>
  </si>
  <si>
    <t>a1H3p000009F8AkEAK</t>
  </si>
  <si>
    <t>a1H3p000009F88LEAS</t>
  </si>
  <si>
    <t>a1H3p000009F88pEAC</t>
  </si>
  <si>
    <t>a1H3p000009F89JEAS</t>
  </si>
  <si>
    <t>a1H3p000009F89nEAC</t>
  </si>
  <si>
    <t>a1H3p000009F8AHEA0</t>
  </si>
  <si>
    <t>a1H3p000009F8AlEAK</t>
  </si>
  <si>
    <t>a1H3p000009F88MEAS</t>
  </si>
  <si>
    <t>a1H3p000009F88qEAC</t>
  </si>
  <si>
    <t>a1H3p000009F89KEAS</t>
  </si>
  <si>
    <t>a1H3p000009F89oEAC</t>
  </si>
  <si>
    <t>a1H3p000009F8AIEA0</t>
  </si>
  <si>
    <t>a1H3p000009F8AmEAK</t>
  </si>
  <si>
    <t>a1H3p000009F88NEAS</t>
  </si>
  <si>
    <t>a1H3p000009F88rEAC</t>
  </si>
  <si>
    <t>a1H3p000009F89LEAS</t>
  </si>
  <si>
    <t>a1H3p000009F89pEAC</t>
  </si>
  <si>
    <t>a1H3p000009F8AJEA0</t>
  </si>
  <si>
    <t>a1H3p000009F8AnEAK</t>
  </si>
  <si>
    <t>a1H3p000009F88OEAS</t>
  </si>
  <si>
    <t>a1H3p000009F88sEAC</t>
  </si>
  <si>
    <t>a1H3p000009F89MEAS</t>
  </si>
  <si>
    <t>a1H3p000009F89qEAC</t>
  </si>
  <si>
    <t>a1H3p000009F8AKEA0</t>
  </si>
  <si>
    <t>a1H3p000009F8AoEAK</t>
  </si>
  <si>
    <t>a1H3p000009F88PEAS</t>
  </si>
  <si>
    <t>a1H3p000009F88tEAC</t>
  </si>
  <si>
    <t>a1H3p000009F89NEAS</t>
  </si>
  <si>
    <t>a1H3p000009F89rEAC</t>
  </si>
  <si>
    <t>a1H3p000009F8ALEA0</t>
  </si>
  <si>
    <t>a1H3p000009F8ApEAK</t>
  </si>
  <si>
    <t>a1H3p000009F88QEAS</t>
  </si>
  <si>
    <t>a1H3p000009F88uEAC</t>
  </si>
  <si>
    <t>a1H3p000009F89OEAS</t>
  </si>
  <si>
    <t>a1H3p000009F89sEAC</t>
  </si>
  <si>
    <t>a1H3p000009F8AMEA0</t>
  </si>
  <si>
    <t>a1H3p000009F8AqEAK</t>
  </si>
  <si>
    <t>a1H3p000009F88REAS</t>
  </si>
  <si>
    <t>a1H3p000009F88vEAC</t>
  </si>
  <si>
    <t>a1H3p000009F89PEAS</t>
  </si>
  <si>
    <t>a1H3p000009F89tEAC</t>
  </si>
  <si>
    <t>a1H3p000009F8ANEA0</t>
  </si>
  <si>
    <t>a1H3p000009F8ArEAK</t>
  </si>
  <si>
    <t>a1H3p000009F88SEAS</t>
  </si>
  <si>
    <t>a1H3p000009F88wEAC</t>
  </si>
  <si>
    <t>a1H3p000009F89QEAS</t>
  </si>
  <si>
    <t>a1H3p000009F89uEAC</t>
  </si>
  <si>
    <t>a1H3p000009F8AOEA0</t>
  </si>
  <si>
    <t>a1H3p000009F8AsEAK</t>
  </si>
  <si>
    <t>a1H3p000009F88TEAS</t>
  </si>
  <si>
    <t>a1H3p000009F88xEAC</t>
  </si>
  <si>
    <t>a1H3p000009F89REAS</t>
  </si>
  <si>
    <t>a1H3p000009F89vEAC</t>
  </si>
  <si>
    <t>a1H3p000009F8APEA0</t>
  </si>
  <si>
    <t>a1H3p000009F8AtEAK</t>
  </si>
  <si>
    <t>a1H3p000009F88UEAS</t>
  </si>
  <si>
    <t>a1H3p000009F88yEAC</t>
  </si>
  <si>
    <t>a1H3p000009F89SEAS</t>
  </si>
  <si>
    <t>a1H3p000009F89wEAC</t>
  </si>
  <si>
    <t>a1H3p000009F8AQEA0</t>
  </si>
  <si>
    <t>a1H3p000009F8AuEAK</t>
  </si>
  <si>
    <t>a1H3p000009F88VEAS</t>
  </si>
  <si>
    <t>a1H3p000009F88zEAC</t>
  </si>
  <si>
    <t>a1H3p000009F89TEAS</t>
  </si>
  <si>
    <t>a1H3p000009F89xEAC</t>
  </si>
  <si>
    <t>a1H3p000009F8AREA0</t>
  </si>
  <si>
    <t>a1H3p000009F8AvEAK</t>
  </si>
  <si>
    <t>a1H3p000009F88WEAS</t>
  </si>
  <si>
    <t>a1H3p000009F890EAC</t>
  </si>
  <si>
    <t>a1H3p000009F89UEAS</t>
  </si>
  <si>
    <t>a1H3p000009F89yEAC</t>
  </si>
  <si>
    <t>a1H3p000009F8ASEA0</t>
  </si>
  <si>
    <t>a1H3p000009F8AwEAK</t>
  </si>
  <si>
    <t>a1H3p000009F88XEAS</t>
  </si>
  <si>
    <t>a1H3p000009F891EAC</t>
  </si>
  <si>
    <t>a1H3p000009F89VEAS</t>
  </si>
  <si>
    <t>a1H3p000009F89zEAC</t>
  </si>
  <si>
    <t>a1H3p000009F8ATEA0</t>
  </si>
  <si>
    <t>a1H3p000009F8AxEAK</t>
  </si>
  <si>
    <t>a1H3p000009F88YEAS</t>
  </si>
  <si>
    <t>a1H3p000009F892EAC</t>
  </si>
  <si>
    <t>a1H3p000009F89WEAS</t>
  </si>
  <si>
    <t>a1H3p000009F8A0EAK</t>
  </si>
  <si>
    <t>a1H3p000009F8AUEA0</t>
  </si>
  <si>
    <t>a1H3p000009F8AyEAK</t>
  </si>
  <si>
    <t>a1H3p000009F88ZEAS</t>
  </si>
  <si>
    <t>a1H3p000009F893EAC</t>
  </si>
  <si>
    <t>a1H3p000009F89XEAS</t>
  </si>
  <si>
    <t>a1H3p000009F8A1EAK</t>
  </si>
  <si>
    <t>a1H3p000009F8AVEA0</t>
  </si>
  <si>
    <t>a1H3p000009F8AzEAK</t>
  </si>
  <si>
    <t>a1H3p000009F88aEAC</t>
  </si>
  <si>
    <t>a1H3p000009F894EAC</t>
  </si>
  <si>
    <t>a1H3p000009F89YEAS</t>
  </si>
  <si>
    <t>a1H3p000009F8A2EAK</t>
  </si>
  <si>
    <t>a1H3p000009F8AWEA0</t>
  </si>
  <si>
    <t>a1H3p000009F8B0EAK</t>
  </si>
  <si>
    <t>a1H3p000009F88bEAC</t>
  </si>
  <si>
    <t>a1H3p000009F895EAC</t>
  </si>
  <si>
    <t>a1H3p000009F89ZEAS</t>
  </si>
  <si>
    <t>a1H3p000009F8A3EAK</t>
  </si>
  <si>
    <t>a1H3p000009F8AXEA0</t>
  </si>
  <si>
    <t>a1H3p000009F8B1EAK</t>
  </si>
  <si>
    <t>a1H3p000009F88cEAC</t>
  </si>
  <si>
    <t>a1H3p000009F896EAC</t>
  </si>
  <si>
    <t>a1H3p000009F89aEAC</t>
  </si>
  <si>
    <t>a1H3p000009F8A4EAK</t>
  </si>
  <si>
    <t>a1H3p000009F8AYEA0</t>
  </si>
  <si>
    <t>a1H3p000009F8B2EAK</t>
  </si>
  <si>
    <t>a1X3p000008Bew6EAC</t>
  </si>
  <si>
    <t>Baseline: 48.93%
Generated by the Sentinel Surveillance Information System SIAP-VICITS (Comprehensive Patient Care System), this system has been planned to collect information on all care at the national level, but currently its implementation has not been completed. The system consists of several modules, one of which is the attention of VICITS and friendly clinics, in which it is already implemented and allows the services provided to be registered
Numerator: Number of MSM who reported the use of a condom the last time they had anal sex with a non-regular partner in the last 6 months attended at VICITS and / or friendly clinics
Denominator: Total number of MSM enrolled in VICITS and / or friendly clinics during the reporting period
Source: For both the numerator and the denominator, real data from SIAP / VICITS will be reported.
Assumption: This indicator has not reached the targes set for previous years, for this reason it has been adjusted with a bet on a progressive increase of 2% per year, based on the combined prevention strategy that will be resumed, due to its success in the past, in which emphasis will be placed on behavior change and constant and correct condom use.
It is planned to carry out a study to estimate the population size in key populations, as well as a study to analyze the behavior of this population, in which it is expected to obtain more precise data at the national level that will allow us to make a comparison with the population. information generated from VICITS and friendly clinics.
The indicator reflects expected results at the national level and is limited to the population that has access to VICITS and friendly clinics.
Because it is a targeted country, no disaggregation is required.</t>
  </si>
  <si>
    <t>Línea de base: 48.93%
Generada por el Sistema de información de vigilancia centinela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se encuentra implementado y permite registrar dichas atenciones.
Numerador: Número de HSH que reporto el uso de un condón la última vez que tuvo sexo anal con una pareja no regular en los últimos 6 meses atendido en las clínicas VICITS y/o amigable
Denominador: Número total de HSH inscritos en las clínicas VICITS y/o amigables durante el período del reporte
Fuente: Tanto para el numerador como para el denominador se reportarán datos reales provenientes del SIAP/VICITS.
Supuesto: Este indicador no ha alcanzado las metas previstas para años anteriores, por tal razón se ha ajustado con una apuesta a un aumento progresivo del 2% anual, basándose en la estrategia de prevención combinada que será retomada, por su exito en el pasado, en la cual se hará enfasis en cambio de comportamiento y uso constante y correcto del condón.
Se tiene planificado realizar un estudio para la estiamación del tamaño poblacional, así cómo, un estudio para el análisis de comportamiento de esta población, en el cual se espera obtener un dato más preciso a nivel nacional que nos podrá permitir hacer una comparación con la información generada de las clínicas VICITS y amigables. 
El indicador refleja resultados esperados a nivel nacional y se limita a la población que tiene acceso a las clínicas VICITS y amigables.
Por ser país focalizado no se requiere desagregación.</t>
  </si>
  <si>
    <t>a1X3p000008Bew7EAC</t>
  </si>
  <si>
    <t>SUMEVE</t>
  </si>
  <si>
    <t>Baseline:
Generated by the Unique System for Monitoring, Evaluation and Epidemiological Surveillance of HIV-AIDS (SUMEVE), based on data from 2020.
Numerator: Number of people living with HIV on ART for at least 6 months and with at least one routine CV result that has viral suppression (&lt;1000 copies / ml) during the reporting period.
Denominator: Number of people living with HIV on ART for at least 6 months with at least one routine CV result in a medical or laboratory record during the reporting period.
Source: The PR will report the numerator and denominator according to real data recorded in SUMEVE
Assumptions: Considering that 2020 was an atypical year, in which the result of this indicator was affected by the pandemic, resulting lower than for the previous two years, the average of the results of CV suppressed of the last 3 years is used as the basis for projecting targets for the next grant.
CV results in the last 3 years
2018: 81.4%
2019: 87.5%
2020: 73%.
The targets reflect a gradual increase per year from the baseline, consistent with the country's expectations to advance toward the 95-95-95 goals.
Interventions: acquisition of CD4, viral load and ARVs; Actions to improve the quality of care at the CAI level, such as direct supervision, support for the transport network of samples and analysis of the quality of data and home delivery of medicines.
Measurement methods: the primary source corresponds to the patient records of the Comprehensive Care Centers, to be registered in the SUMEVE (Unique System for Monitoring, Evaluation and Surveillance of HIV), which is the national system where all the corresponding information is recorded to the actions carried out from the diagnosis to the monitoring of the user, including their CV results.
Because it is a targeted country, no disaggregation is required.</t>
  </si>
  <si>
    <t>Línea de base: 
Generada por el Sistema único de monitoreo, evaluación y vigilancia epidemiológica del VIH-Sida (SUMEVE), basada en los datos del año  2020.  
Numerador: Número de personas viviendo con VIH en TAR por al menos 6 meses y con al menos un resultado de CV de rutina que tenga supresión viral (&lt;1000 copias/ml) durante el período de reporte.
Denominador: Número de personas viviendo con VIH en TAR por al menos 6 meses con al menos un resultado de CV de rutina en un registro médico o de laboratorio durante el período de reporte.
Fuente: El RP reportará el numerador y el denominador según datos reales registrados en el SUMEVE
Supuestos: Considerando que el año 2020 fué un año atípico, en el que el resultado de este indicador fué afectado por la pandemia, resultando más bajo que para los dos años previos, se tomo como base para proyectar las metas para la próxima subvención el promedio de los resultados de CV suprimida de los ultimos 3 años.
Resultados de CV en los últimos 3 años
2018: 81.4%
2019: 87.5%
2020: 73%.
Las metas reflejan un incremento gradual por año a partir de la línea de base, en coherencia con las expectativas del país de avanzar hacia las metas 95-95-95. 
Intervenciones: adquisición de CD4, carga viral y ARVs; acciones para la mejora de la calidad de la atención a nivel de los CAI como la supervisión directa, apoyo para la red de transporte de muestras y análisis de la calidad de los datos y de entrega domiciliar de medicamentos.
Métodos de medición: la fuente primaria corresponde a los registros de pacientes de los Centros de Atención Integral, a ser registrados en el SUMEVE (Sistema Unico de Monitoreo evaluación y vigilancia del VIH)  que es el sistema nacional en donde se registra toda la información correspondiente a las acciones realizadas desde el diagnóstico hasta seguimiento del usuario, incluyendo sus resultados de CV. 
Por ser país focalizado no se requiere desagregación.</t>
  </si>
  <si>
    <t>a1X3p000008Bew8EAC</t>
  </si>
  <si>
    <t>a1X3p000008Bew9EAC</t>
  </si>
  <si>
    <t>a1X3p000008BewAEAS</t>
  </si>
  <si>
    <t>a1X3p000008BewBEAS</t>
  </si>
  <si>
    <t>a1X3p000008BewCEAS</t>
  </si>
  <si>
    <t>a1X3p000008BewDEAS</t>
  </si>
  <si>
    <t>a1X3p000008BewEEAS</t>
  </si>
  <si>
    <t>a1X3p000008BewFEAS</t>
  </si>
  <si>
    <t>a1X3p000008BewGEAS</t>
  </si>
  <si>
    <t>a1X3p000008BewHEAS</t>
  </si>
  <si>
    <t>a1X3p000008BewIEAS</t>
  </si>
  <si>
    <t>a1X3p000008BewJEAS</t>
  </si>
  <si>
    <t>a1X3p000008BewKEAS</t>
  </si>
  <si>
    <t>a1X3p000008BewLEAS</t>
  </si>
  <si>
    <t>General record book of TB cases (PCT - 5) and Treatment result report (PCT -10)</t>
  </si>
  <si>
    <t>Assumptions for the targets: The number of cases reported as treatment success is all cases of tuberculosis, all bacteriologically confirmed and clinically diagnosed, new and relapsing forms that left the treatment cohort as cured and with complete treatment in the period to evaluate. The cohort available to report on treatment results is not that of the previous year, but of two previous years, since those who entered from January to December 2020 finished their treatments until September 2021, therefore, they will be reported in March 2022 and so on.
The 2020 baseline and the 2022-2026 projections are based on the WHO estimate according to WHO report_2020.
Numerator: it is the total number of tuberculosis cases, all bacteriologically confirmed forms and with clinical diagnosis, new and relapses that left the treatment cohort as cured plus full treatment in the period to be evaluated.
Denominator: Total reported cases of tuberculosis, all bacteriologically confirmed and clinically diagnosed forms, new cases and relapses that entered the treatment cohort in the period to be evaluated; expressed as a percentage.
Primary source: General TB Case Registry Book (PCT - 5). The PR will report numerator and denominator.</t>
  </si>
  <si>
    <t>Libro de registro general de casos con TB (PCT - 5) e Informe de resultado de tratamiento (PCT -10)</t>
  </si>
  <si>
    <t>Supuestos para la meta: El número de casos notificados como éxito de tratamiento son todos los casos de tuberculosis todas las formas confirmados bacteriológicamente y con diagnóstico clínico, nuevos y recaídas que egresaron de la cohorte de tratamiento como curados y con tratamiento completo en el período a evaluar. La cohorte disponible a reportar en resultados de tratamiento no es la del año anterior, sino de dos años previos, ya que los que ingresaron de enero a diciembre 2020 terminaron sus tratamientos hasta en septiembre 2021, por lo tanto, se reportaran en marzo 2022 y así sucesivamente.
La línea basal 2020 y las proyecciones 2022 – 2026 están basadas en la estimación de la OMS según WHO report_2020. 
Numerador: es el total de casos de tuberculosis todas las formas confirmados bacteriológicamente y con diagnostico clinico, nuevos y recaidas que egresaron de la cohorte de tratamiento como curados más tratamiento completo en el periodo a evaluar.
Denominador: Total de casos notificados de tuberculosis todas las formas confirmados bacteriológicamente y con diagnóstico clínico, casos nuevos y recaídas que ingresaron a la cohorte de tratamiento en el periodo a evaluar; expresado en porcentaje.
Fuente primaria: Libro de registro general de casos con TB (PCT - 5). El RP reportará numerador y denominador.</t>
  </si>
  <si>
    <t>a1X3p000008BewMEAS</t>
  </si>
  <si>
    <t>Assumptions for the targets: High coverage of appropriate treatment is a fundamental requirement to achieve the milestones and goals of the End TB Strategy. If coverage and treatment success are used together, these two indicators serve to track progress towards universal health coverage under the SDGs.
Tuberculosis treatment coverage refers to the percentage of new and relapsed cases reported and treated; between the estimated number of new TB cases in the same period to be evaluated.
For this indicator, goals have been established in the PENMTB (2,080 for the year 2022; 1,940 for the year 2023; 1,785 for the year 2024 - (Table 8 _ "Complementary indicators" of the PENMTB 2022-2026). This indicator and goals will be reviewed, in if necessary, they could be adjusted after the first report of this grant.
Numerator: total number of cases of tuberculosis (all forms) confirmed bacteriologically and with clinical diagnosis, new cases and relapses reported and treated in the period to be evaluated.
Denominator: total number of cases estimated by the WHO of tuberculosis all forms, bacteriologically confirmed and with clinical diagnosis, new cases and relapses in the period to be evaluated. expressed as a percentage
The primary source: The General TB Case Registry (PCT-5) and Global Report TB / WHO.</t>
  </si>
  <si>
    <t>Supuestos para la meta: Una alta cobertura de un tratamiento apropiado es un requisito fundamental para lograr los hitos y las metas de la Estrategia Fin de la TB. Si se usan juntos la cobertura y el éxito del tratamiento, estos dos indicadores sirven para dar seguimiento al progreso hacia la cobertura sanitaria universal en el marco de los ODS.
La cobertura del tratamiento de la tuberculosis se refiere al porcentaje de los casos nuevos y recaídas notificados y tratados; entre el número estimado de casos nuevos de TB en el mismo período a evaluar.
Para este indicador, se han establecido metas en el PENMTB (2,080 para año 2022; 1,940 para año 2023; 1,785 para año 2024 -(Tabla 8 _"Indicadores complementarios" del PENMTB 2022-2026) . Este indicador y metas serán revisadas, en caso de ser necesario podría ser ajustadas, después del primer informe de esta subvención. 
Numerador: total de casos de tuberculosis (todas formas) confirmados bacteriológicamente y con diagnóstico clínico, casos nuevos y recaídas notificados y tratados en el período a evaluar.
Denominador: total de casos estimados por la OMS de tuberculosis todas las formas, confirmados bacteriológicamente y con diagnóstico clínico, casos nuevos y recaídas en el período a evaluar. expresado en porcentaje
La fuente primaria: El registro general de casos con TB (PCT-5) y Global Report TB/OMS.</t>
  </si>
  <si>
    <t>a1X3p000008BewNEAS</t>
  </si>
  <si>
    <t>Assumptions for the targets: it has been estimated that one percent of all TB cases in all forms for each year may present some pattern of multidrug resistance. For example: for the year 2022, it is estimated that 2,080 TB cases will be reported in all forms, 2.0% of the total gives us an estimated 42 RR TB and / or MDR TB cases. For the year 2023 it is estimated to report 1,785 and following the previous exercise will give us an estimate of 39 RR TB / MDR TB cases and so on with the other years.
Numerator: total of cases reported as bacteriologically confirmed RR-TB and MDR-TB (diagnosed by molecular tests: Gene Xpert, BAAR cultures and sensitivity test by proportional methods) in the period to be evaluated.
Denominator: total estimated RR-TB and / or MDR-TB cases in the period to be evaluated.
Expressed as a percentage.
Information Source: Global TB Report</t>
  </si>
  <si>
    <t>Supuestos para la meta: se ha estimado que el uno por ciento del total de los casos de TB todas las formas por cada año podrán presentar algún patrón de multidrogoresistencia. Por ejemplo: para el año 2022 se estiman reportar 2,080 casos de TB de todas las formas, el 2.0 %  del total nos da un estimado de 42 casos TB RR y/o TB MDR. para el año 2023 se estima reportar 1,785 y  siguiendo el ejercicio anterior nos dará un estimado de 39 casos TB RR/ TB MDR y así sucesivamente con los demás años.
Numerador: total de casos notificados como TB-RR y TB-MDR confirmados bacteriológicamente (diagnosticados por pruebas moleculares: Gene Xpert, cultivos BAAR y prueba de sensibilidad por métodos de proporciones) en el período a evaluar.
Denominador: total de casos estimados de TB-RR y/o TB-MDR en el período a evaluar. 
Expresado en porcentaje.
Fuente de Información: Reporte Global TB</t>
  </si>
  <si>
    <t>a1X3p000008BewOEAS</t>
  </si>
  <si>
    <t>Registry book of cases with drug resistant TB - National TB Program</t>
  </si>
  <si>
    <t>Assumptions for the target: the success rate of treatment of cases of rifampicin-resistant tuberculosis and / or multidrug-resistant tuberculosis expressed as a percentage treated successfully; It is the number of cases notified, treated and that were cured plus complete treatments, diagnosed in the previous three years, according to the regulated second-line treatment schemes, which last between 18 and 24 months.
Numerator: total bacteriologically confirmed RR-TB and / or MDR-TB cases that left the cohort as cured and complete treatment completed at the end of treatment in the period to be evaluated.
Denominator: total bacteriologically confirmed RR-TB and / or MDR-TB cases that entered the treatment cohort in the period to be evaluated.
Information Source: Registry book of cases with drug resistant TB. The PR will report numerator and denominator.</t>
  </si>
  <si>
    <t>Libro de registro de casos con TB fármacorresistente - Programa Nacional de TB</t>
  </si>
  <si>
    <t>Supuestos para la meta: la tasa de éxito del tratamiento de los casos de tuberculosis resistente a la rifampicina y/o tuberculosis multirresistente expresado en porcentaje tratados con éxito; es el número de casos notificados, tratados y que egresaron curados más tratamientos completos, diagnosticados en los tres años anteriores, según los esquemas de tratamiento de segunda línea normados, los cuales tienen una duración de entre 18 a 24 meses.
Numerador: total de casos TB-RR y/o TB-MDR confirmados bacteriológicamente que egresaron de la cohorte como  curados y tratamiento terminado completo al final del tratamiento en el  periodo a evaluar. 
Denominador: total de casos TB-RR y/o TB-MDR confirmados bacteriológicamente que ingresaron a la cohorte de tratamiento en el  periodo a evaluar. 
Fuente de Información:  Libro de registro de casos con TB fármacorresistente. El RP reportará numerador y denominador.</t>
  </si>
  <si>
    <t>a1X3p000008BewPEAS</t>
  </si>
  <si>
    <t>a1X3p000008BewQEAS</t>
  </si>
  <si>
    <t>a1X3p000008BewREAS</t>
  </si>
  <si>
    <t>a1X3p000008BewSEAS</t>
  </si>
  <si>
    <t>a1X3p000008BewTEAS</t>
  </si>
  <si>
    <t>a1X3p000008BewUEAS</t>
  </si>
  <si>
    <t>a1X3p000008BewVEAS</t>
  </si>
  <si>
    <t>a1X3p000008BewWEAS</t>
  </si>
  <si>
    <t>a1X3p000008BewXEAS</t>
  </si>
  <si>
    <t>a1X3p000008BewYEAS</t>
  </si>
  <si>
    <t>a1X3p000008BewZEAS</t>
  </si>
  <si>
    <t>a1W3p000005vRgxEAE</t>
  </si>
  <si>
    <t>a1W3p000005vRhREAU</t>
  </si>
  <si>
    <t>a1W3p000005vRhvEAE</t>
  </si>
  <si>
    <t>a1W3p000005vRiPEAU</t>
  </si>
  <si>
    <t>a1W3p000005vRitEAE</t>
  </si>
  <si>
    <t>a1W3p000005vRjNEAU</t>
  </si>
  <si>
    <t>a1W3p000005vRgyEAE</t>
  </si>
  <si>
    <t>a1W3p000005vRhSEAU</t>
  </si>
  <si>
    <t>a1W3p000005vRhwEAE</t>
  </si>
  <si>
    <t>a1W3p000005vRiQEAU</t>
  </si>
  <si>
    <t>a1W3p000005vRiuEAE</t>
  </si>
  <si>
    <t>a1W3p000005vRjOEAU</t>
  </si>
  <si>
    <t>a1W3p000005vRgzEAE</t>
  </si>
  <si>
    <t>a1W3p000005vRhTEAU</t>
  </si>
  <si>
    <t>a1W3p000005vRhxEAE</t>
  </si>
  <si>
    <t>a1W3p000005vRiREAU</t>
  </si>
  <si>
    <t>a1W3p000005vRivEAE</t>
  </si>
  <si>
    <t>a1W3p000005vRjPEAU</t>
  </si>
  <si>
    <t>a1W3p000005vRh0EAE</t>
  </si>
  <si>
    <t>a1W3p000005vRhUEAU</t>
  </si>
  <si>
    <t>a1W3p000005vRhyEAE</t>
  </si>
  <si>
    <t>a1W3p000005vRiSEAU</t>
  </si>
  <si>
    <t>a1W3p000005vRiwEAE</t>
  </si>
  <si>
    <t>a1W3p000005vRjQEAU</t>
  </si>
  <si>
    <t>a1W3p000005vRh1EAE</t>
  </si>
  <si>
    <t>a1W3p000005vRhVEAU</t>
  </si>
  <si>
    <t>a1W3p000005vRhzEAE</t>
  </si>
  <si>
    <t>a1W3p000005vRiTEAU</t>
  </si>
  <si>
    <t>a1W3p000005vRixEAE</t>
  </si>
  <si>
    <t>a1W3p000005vRjREAU</t>
  </si>
  <si>
    <t>a1W3p000005vRh2EAE</t>
  </si>
  <si>
    <t>a1W3p000005vRhWEAU</t>
  </si>
  <si>
    <t>a1W3p000005vRi0EAE</t>
  </si>
  <si>
    <t>a1W3p000005vRiUEAU</t>
  </si>
  <si>
    <t>a1W3p000005vRiyEAE</t>
  </si>
  <si>
    <t>a1W3p000005vRjSEAU</t>
  </si>
  <si>
    <t>a1W3p000005vRh3EAE</t>
  </si>
  <si>
    <t>a1W3p000005vRhXEAU</t>
  </si>
  <si>
    <t>a1W3p000005vRi1EAE</t>
  </si>
  <si>
    <t>a1W3p000005vRiVEAU</t>
  </si>
  <si>
    <t>a1W3p000005vRizEAE</t>
  </si>
  <si>
    <t>a1W3p000005vRjTEAU</t>
  </si>
  <si>
    <t>a1W3p000005vRh4EAE</t>
  </si>
  <si>
    <t>a1W3p000005vRhYEAU</t>
  </si>
  <si>
    <t>a1W3p000005vRi2EAE</t>
  </si>
  <si>
    <t>a1W3p000005vRiWEAU</t>
  </si>
  <si>
    <t>a1W3p000005vRj0EAE</t>
  </si>
  <si>
    <t>a1W3p000005vRjUEAU</t>
  </si>
  <si>
    <t>a1W3p000005vRh5EAE</t>
  </si>
  <si>
    <t>a1W3p000005vRhZEAU</t>
  </si>
  <si>
    <t>a1W3p000005vRi3EAE</t>
  </si>
  <si>
    <t>a1W3p000005vRiXEAU</t>
  </si>
  <si>
    <t>a1W3p000005vRj1EAE</t>
  </si>
  <si>
    <t>a1W3p000005vRjVEAU</t>
  </si>
  <si>
    <t>a1W3p000005vRh6EAE</t>
  </si>
  <si>
    <t>a1W3p000005vRhaEAE</t>
  </si>
  <si>
    <t>a1W3p000005vRi4EAE</t>
  </si>
  <si>
    <t>a1W3p000005vRiYEAU</t>
  </si>
  <si>
    <t>a1W3p000005vRj2EAE</t>
  </si>
  <si>
    <t>a1W3p000005vRjWEAU</t>
  </si>
  <si>
    <t>a1W3p000005vRh7EAE</t>
  </si>
  <si>
    <t>a1W3p000005vRhbEAE</t>
  </si>
  <si>
    <t>a1W3p000005vRi5EAE</t>
  </si>
  <si>
    <t>a1W3p000005vRiZEAU</t>
  </si>
  <si>
    <t>a1W3p000005vRj3EAE</t>
  </si>
  <si>
    <t>a1W3p000005vRjXEAU</t>
  </si>
  <si>
    <t>a1W3p000005vRh8EAE</t>
  </si>
  <si>
    <t>a1W3p000005vRhcEAE</t>
  </si>
  <si>
    <t>a1W3p000005vRi6EAE</t>
  </si>
  <si>
    <t>a1W3p000005vRiaEAE</t>
  </si>
  <si>
    <t>a1W3p000005vRj4EAE</t>
  </si>
  <si>
    <t>a1W3p000005vRjYEAU</t>
  </si>
  <si>
    <t>a1W3p000005vRh9EAE</t>
  </si>
  <si>
    <t>a1W3p000005vRhdEAE</t>
  </si>
  <si>
    <t>a1W3p000005vRi7EAE</t>
  </si>
  <si>
    <t>a1W3p000005vRibEAE</t>
  </si>
  <si>
    <t>a1W3p000005vRj5EAE</t>
  </si>
  <si>
    <t>a1W3p000005vRjZEAU</t>
  </si>
  <si>
    <t>a1W3p000005vRhAEAU</t>
  </si>
  <si>
    <t>a1W3p000005vRheEAE</t>
  </si>
  <si>
    <t>a1W3p000005vRi8EAE</t>
  </si>
  <si>
    <t>a1W3p000005vRicEAE</t>
  </si>
  <si>
    <t>a1W3p000005vRj6EAE</t>
  </si>
  <si>
    <t>a1W3p000005vRjaEAE</t>
  </si>
  <si>
    <t>a1W3p000005vRhBEAU</t>
  </si>
  <si>
    <t>a1W3p000005vRhfEAE</t>
  </si>
  <si>
    <t>a1W3p000005vRi9EAE</t>
  </si>
  <si>
    <t>a1W3p000005vRidEAE</t>
  </si>
  <si>
    <t>a1W3p000005vRj7EAE</t>
  </si>
  <si>
    <t>a1W3p000005vRjbEAE</t>
  </si>
  <si>
    <t>a1W3p000005vRhCEAU</t>
  </si>
  <si>
    <t>a1W3p000005vRhgEAE</t>
  </si>
  <si>
    <t>a1W3p000005vRiAEAU</t>
  </si>
  <si>
    <t>a1W3p000005vRieEAE</t>
  </si>
  <si>
    <t>a1W3p000005vRj8EAE</t>
  </si>
  <si>
    <t>a1W3p000005vRjcEAE</t>
  </si>
  <si>
    <t>a1W3p000005vRhDEAU</t>
  </si>
  <si>
    <t>a1W3p000005vRhhEAE</t>
  </si>
  <si>
    <t>a1W3p000005vRiBEAU</t>
  </si>
  <si>
    <t>a1W3p000005vRifEAE</t>
  </si>
  <si>
    <t>a1W3p000005vRj9EAE</t>
  </si>
  <si>
    <t>a1W3p000005vRjdEAE</t>
  </si>
  <si>
    <t>a1W3p000005vRhEEAU</t>
  </si>
  <si>
    <t>a1W3p000005vRhiEAE</t>
  </si>
  <si>
    <t>a1W3p000005vRiCEAU</t>
  </si>
  <si>
    <t>a1W3p000005vRigEAE</t>
  </si>
  <si>
    <t>a1W3p000005vRjAEAU</t>
  </si>
  <si>
    <t>a1W3p000005vRjeEAE</t>
  </si>
  <si>
    <t>a1W3p000005vRhFEAU</t>
  </si>
  <si>
    <t>a1W3p000005vRhjEAE</t>
  </si>
  <si>
    <t>a1W3p000005vRiDEAU</t>
  </si>
  <si>
    <t>a1W3p000005vRihEAE</t>
  </si>
  <si>
    <t>a1W3p000005vRjBEAU</t>
  </si>
  <si>
    <t>a1W3p000005vRjfEAE</t>
  </si>
  <si>
    <t>a1W3p000005vRhGEAU</t>
  </si>
  <si>
    <t>a1W3p000005vRhkEAE</t>
  </si>
  <si>
    <t>a1W3p000005vRiEEAU</t>
  </si>
  <si>
    <t>a1W3p000005vRiiEAE</t>
  </si>
  <si>
    <t>a1W3p000005vRjCEAU</t>
  </si>
  <si>
    <t>a1W3p000005vRjgEAE</t>
  </si>
  <si>
    <t>a1W3p000005vRhHEAU</t>
  </si>
  <si>
    <t>a1W3p000005vRhlEAE</t>
  </si>
  <si>
    <t>a1W3p000005vRiFEAU</t>
  </si>
  <si>
    <t>a1W3p000005vRijEAE</t>
  </si>
  <si>
    <t>a1W3p000005vRjDEAU</t>
  </si>
  <si>
    <t>a1W3p000005vRjhEAE</t>
  </si>
  <si>
    <t>a1W3p000005vRhIEAU</t>
  </si>
  <si>
    <t>a1W3p000005vRhmEAE</t>
  </si>
  <si>
    <t>a1W3p000005vRiGEAU</t>
  </si>
  <si>
    <t>a1W3p000005vRikEAE</t>
  </si>
  <si>
    <t>a1W3p000005vRjEEAU</t>
  </si>
  <si>
    <t>a1W3p000005vRjiEAE</t>
  </si>
  <si>
    <t>a1W3p000005vRhJEAU</t>
  </si>
  <si>
    <t>a1W3p000005vRhnEAE</t>
  </si>
  <si>
    <t>a1W3p000005vRiHEAU</t>
  </si>
  <si>
    <t>a1W3p000005vRilEAE</t>
  </si>
  <si>
    <t>a1W3p000005vRjFEAU</t>
  </si>
  <si>
    <t>a1W3p000005vRjjEAE</t>
  </si>
  <si>
    <t>a1W3p000005vRhKEAU</t>
  </si>
  <si>
    <t>a1W3p000005vRhoEAE</t>
  </si>
  <si>
    <t>a1W3p000005vRiIEAU</t>
  </si>
  <si>
    <t>a1W3p000005vRimEAE</t>
  </si>
  <si>
    <t>a1W3p000005vRjGEAU</t>
  </si>
  <si>
    <t>a1W3p000005vRjkEAE</t>
  </si>
  <si>
    <t>a1W3p000005vRhLEAU</t>
  </si>
  <si>
    <t>a1W3p000005vRhpEAE</t>
  </si>
  <si>
    <t>a1W3p000005vRiJEAU</t>
  </si>
  <si>
    <t>a1W3p000005vRinEAE</t>
  </si>
  <si>
    <t>a1W3p000005vRjHEAU</t>
  </si>
  <si>
    <t>a1W3p000005vRjlEAE</t>
  </si>
  <si>
    <t>a1W3p000005vRhMEAU</t>
  </si>
  <si>
    <t>a1W3p000005vRhqEAE</t>
  </si>
  <si>
    <t>a1W3p000005vRiKEAU</t>
  </si>
  <si>
    <t>a1W3p000005vRioEAE</t>
  </si>
  <si>
    <t>a1W3p000005vRjIEAU</t>
  </si>
  <si>
    <t>a1W3p000005vRjmEAE</t>
  </si>
  <si>
    <t>a1W3p000005vRhNEAU</t>
  </si>
  <si>
    <t>a1W3p000005vRhrEAE</t>
  </si>
  <si>
    <t>a1W3p000005vRiLEAU</t>
  </si>
  <si>
    <t>a1W3p000005vRipEAE</t>
  </si>
  <si>
    <t>a1W3p000005vRjJEAU</t>
  </si>
  <si>
    <t>a1W3p000005vRjnEAE</t>
  </si>
  <si>
    <t>a1W3p000005vRhOEAU</t>
  </si>
  <si>
    <t>a1W3p000005vRhsEAE</t>
  </si>
  <si>
    <t>a1W3p000005vRiMEAU</t>
  </si>
  <si>
    <t>a1W3p000005vRiqEAE</t>
  </si>
  <si>
    <t>a1W3p000005vRjKEAU</t>
  </si>
  <si>
    <t>a1W3p000005vRjoEAE</t>
  </si>
  <si>
    <t>a1W3p000005vRhPEAU</t>
  </si>
  <si>
    <t>a1W3p000005vRhtEAE</t>
  </si>
  <si>
    <t>a1W3p000005vRiNEAU</t>
  </si>
  <si>
    <t>a1W3p000005vRirEAE</t>
  </si>
  <si>
    <t>a1W3p000005vRjLEAU</t>
  </si>
  <si>
    <t>a1W3p000005vRjpEAE</t>
  </si>
  <si>
    <t>a1W3p000005vRhQEAU</t>
  </si>
  <si>
    <t>a1W3p000005vRhuEAE</t>
  </si>
  <si>
    <t>a1W3p000005vRiOEAU</t>
  </si>
  <si>
    <t>a1W3p000005vRisEAE</t>
  </si>
  <si>
    <t>a1W3p000005vRjMEAU</t>
  </si>
  <si>
    <t>a1W3p000005vRjqEAE</t>
  </si>
  <si>
    <t>a183p000006ZUeWAAW</t>
  </si>
  <si>
    <t>Baseline:  1.70% corresponds to MSM diagnosed in VICITS clinics and PLAN's mobile units during 2019. The report of this indicator will be shared between both PRs jointly during the period to be evaluated. For the scope of this indicator, several methodologies for the offer of the test will be carried out, including: VICTS clinics, friendly clinics and mobile units, in addition to the strategy of assisted notification of couples and search for contacts.
Numerator: Total number of MSM who tested positive for HIV in the national health system during the period to be evaluated
Denominator: Total MSM who were tested for HIV in the national system in the period to be evaluated.
Both the numerator and the denominator will be reported according to real data recorded in SUMEVE corresponding to the reporting period.
The country will report the number of tests carried out on this population with the report of this indicator in each annual report (PUDR).
Source: SUMEVE
Assumptions: Based on the prevention strategies that the country intends to initiate, assisted notification of couples, contact search, self-test (to be defined, depending on the results of the pilot plan) and the update of the diagnostic algorithm that will allow us to confirm and give the results the user in a shorter time, it is expected to find a greater number of positive cases in said population.
The PR PLAN will report the positivity of this population reached through its mobile units and that of the partners, which allow an approach to key populations, the MINSAL will report those reached through its health facilities.
For the targets, an increase of 2% has been considered for each year.</t>
  </si>
  <si>
    <t>HTS-Other 1 Percentage of HIV positive results among the total of HIV tests performed on HSH during the reporting period.</t>
  </si>
  <si>
    <t>HTS-Other 1 Porcentaje de resultados de VIH positivos entre el total de pruebas de VIH realizadas en HSH</t>
  </si>
  <si>
    <t>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Numerador: Número total de HSH que resultaron positivos a realizarse  la prueba de VIH en el sistema nacional de salud durante el período a evaluar 
Denominador: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Fuente:  SUMEVE 
Supuestos: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El RP PLAN reportará la positividad de esta población alcanzada a través de sus unidades móviles y la de los socios, que permiten un acercamiento a las poblaciones claves, el MINSAL reportará las alcanzada a través de sus establecimientos de salud.
Para las meta se ha considerado un incremento de 2% para cada año.</t>
  </si>
  <si>
    <t>a183p000006ZUf3AAG</t>
  </si>
  <si>
    <t>GeneXpert database and sensitivity database.</t>
  </si>
  <si>
    <t>Target Estimate Assumption: A good accurate diagnosis is a critical component of TB care. Rapid molecular diagnostic tests help ensure early detection and prompt treatment of TB. The country intends to carry out rapid sensitivity tests at least to Rifampicin and expand this capacity, so it is proposed to reach 82, 83 and 85% for the three years of the grant, this capacity cannot be expanded beyond the proposed goals due to the fact that there is a percentage of between 10 to 15% of cases attributable to the pediatric population. Similarly, there are extrapulmonary cases in which this type of test cannot be performed.
Considering that the End of TB strategy establishes the need to perform rapid drug sensitivity tests (PSD) at least for Rifampicin, for the early detection of drug resistance, both in new and previously treated cases. The proposal to achieve the goals by 2025 according to the End of TB strategy is to progressively increase the screening of all patients who are suspected of drug resistance, including PPL, HIV, childhood TB, MDR - TB contacts, among others.
Numerator: Number of notified cases that underwent sensitivity testing by molecular tests or by the method of proportions, in the period to be evaluated
Denominator: Number of cases reported all forms in the period to be evaluated. Expressed as a percentage
Information Source: GeneXpert database and sensitivity database.</t>
  </si>
  <si>
    <t>Base de datos de GeneXpert y base de datos de sensibilidad.</t>
  </si>
  <si>
    <t>Supuesto de estimación de meta: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y ampliar esta capacidad por lo que se propone alcanzar 82, 83 y 85% para los tres años de la subvención, no se puede ampliar esta capacidad más allá de las metas propuestas debidas a que existe un porcentaje de entre 10 a 15% de casos atribuibles a la población pediátrica. Del mismo modo existen casos extrapulmonares en los que no se pueden realizar este tipo de pruebas.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Numerador: Número de casos notificados a los que se les hizo prueba de sensibilidad por pruebas moleculares o  por método de las proporciones, en el periodo a evaluar
Denominador: Número de casos notificados todas las forma en el periodo a evaluar. Expresado en porcentaje 
Fuente de Información: Base de datos de GeneXpert y base de datos de sensibilidad.</t>
  </si>
  <si>
    <t>a183p000006ZUeXAAW</t>
  </si>
  <si>
    <t>Baseline of this indicator 2.08% corresponds to trans women diagnosed in VICITS clinics during 2019. The report of this indicator will be shared between both PRs jointly during the period to be evaluated. For the scope of this indicator, several methodologies for offering the test will be carried out, among them: VICTS clinics, friendly clinics and mobile units.
Numerator: Total number of trans women who tested positive for HIV in the national health system during the period to be evaluated
Denominator: Total number of trans women who were tested for HIV in the national system in the period to be evaluated.
The country will report the number of tests carried out on this population with the report of this indicator in each annual report (PUDR).
Both the numerator and the denominator will be reported according to real data registered in SUMEVE corresponding to the reporting period.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t>
  </si>
  <si>
    <t>HTS-Other 2 Percentage of HIV positive results among the total of HIV tests performed in Trans people during the reporting period.</t>
  </si>
  <si>
    <t>HTS-Other 2 Porcentaje de resultados de VIH positivos entre el total de pruebas de VIH realizadas en personas Trans</t>
  </si>
  <si>
    <t>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El RP PLAN reportará la positividad de esta población alcanzada a través de sus unidades móviles y la de los socios, que permiten un acercamiento a las poblaciones claves, el MINSAL reportará las alcanzadas a través de sus establecimientos de salud.</t>
  </si>
  <si>
    <t>a183p000006ZUf4AAG</t>
  </si>
  <si>
    <t>Libro de registro de casos con TB fármacorresistente y tarjeta de tratamiento farmacorresistente.</t>
  </si>
  <si>
    <t>Target estimate Assumption: the data reported for 2019 corresponds to 21 cases of RR-TB / MDR-TB that started second-line treatment. For the projected targets, it has been estimated that 2% of all TB cases of all forms for each year may present some pattern of multidrug resistance
The targets reflect the number of cases (absolute number) to be detected, since the goal is to treat 100% of those diagnosed with drug resistance with the second line. It is expected that 100% of diagnosed cases will be admitted and treated, except those that due to violence, vulnerability, risk or death of these before the start of treatment or who could not attend the clinic (for example: TB - MDR in PPL, both within the penitentiary and those who regain their freedom, migrants) for whom the health system (nurse or community health personnel) will carry out and document home visits in order to prevent as far as possible that these cases do not loose their treatment.
These targets may be adjusted, revised after the first year of execution, according to WHO / PAHO adjustments.
Numerator: Total number of cases of rifampicin-resistant tuberculosis and / or multidrug-resistant tuberculosis that have started a second-line treatment in the period to be evaluated. it is reported in absolute number.
Information Source: Record book of cases with drug-resistant TB and drug-resistant treatment card.</t>
  </si>
  <si>
    <t>Supuesto de estimación de metas: el dato reportado para el año 2019 corresponde a 21 casos de TB-RR/TB-MDR que iniciaron tratamiento de segunda linea. Para las metas proyectadas, se ha estimado que el 2 %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Numerador:  Total de casos de tuberculosis resistente a la rifampicina y/o tuberculosis multirresistente que han comenzado un tratamiento de segunda línea en el periodo a evaluar. se reporta en numero absoluto.
Fuente de Información: Libro de registro de casos con TB fármacorresistente y tarjeta de tratamiento farmacorresistente.</t>
  </si>
  <si>
    <t>a183p000006ZUeYAAW</t>
  </si>
  <si>
    <t>Baseline of this indicator 0.24% corresponds to the TS diagnosed in VICITS clinics during 2019. The report of this indicator will be shared between both PRs jointly during the period to be evaluated. For the scope of this indicator, several methodologies will be carried out to offer the test, among them: VICTS clinics, friendly clinics and mobile units.
Numerator: Total number of Sex Workers who were positive when taking the HIV test in the national health system during the period to be evaluated
Denominator: Total number of Sex Workers who were tested for HIV in the national system in the period to be evaluated.
The country will report the number of tests carried out in this population with the report of this indicator in each annual report (PUDR).
Both the numerator and the denominator will be reported according to real data registered in SUMEVE corresponding to the period to be reported.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t>
  </si>
  <si>
    <t>HTS- Other 3 Percentage of HIV positive results among the total of HIV tests performed in FSW during the reporting period</t>
  </si>
  <si>
    <t>HTS-Other 3 Porcentaje de resultados de VIH positivos entre el total de pruebas de VIH realizadas en trabajadoras sexuales</t>
  </si>
  <si>
    <t>Línea de base de este indicador  0.24%  coorresponde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El RP PLAN reportará la positividad de esta población alcanzada a través de sus unidades móviles y la de los socios, que permiten un acercamiento a las poblaciones claves, el MINSAL reportará las alcanzadas a través de sus establecimientos de salud.</t>
  </si>
  <si>
    <t>a183p000006ZUf0AAG</t>
  </si>
  <si>
    <t>Case Record Book (PCT-5)</t>
  </si>
  <si>
    <t>Baseline: corresponds to the total number of TB cases in all forms in the PPLs for the period from January to December 2019. (1,328) source of information Case Record Book (PCT-5).
Target Estimate Assumption : The targets are established considering the contribution of TB cases in all forms in PPL estimated to be notified (728, 582 and 446) for the years 2022, 2023 and 2024 respectively. The burden of TB in the prison system has been calculated based on the total incidence of the country according to the parameters of the End TB strategy, the percentage burden of TB in the PPL in recent years and considering the impact of the pandemic by Covid - 19; however, detection actions have continued with greater effort and seeking to resolve the limitations. The notification data will be reviewed annually, since it is expected that the interventions of the detection and success of the sustained treatment in PPL will impact by cutting the chain of transmission in these detention centers, so the targets could require some adjustment.
Numerator: total TB cases of all forms (new and relapses) reported in the population deprived of liberty in the period to be evaluated. It is expressed as a whole number
Information Source: Case Registry Book (PCT-5).</t>
  </si>
  <si>
    <t>Libro de Registro de Casos (PCT-5)</t>
  </si>
  <si>
    <t>Línea de base: corresponde al número total de casos de TB todas las formas en los PPL para el periodo de Enero a Diciembre 2019. (1,328)  fuente de información libro de registro de casos (PCT-5). 
Supuesto de estimación de metas: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Numerador: total de casos de TB todas las formas (nuevos y recaídas) notificados en la población privada de libertad en el periodo a evaluar. se expresa en numero entero
Fuente de Información: Libro de Registro de Casos (PCT-5).
Periodicidad anual NO ACUMULATIVO (número absoluto), todo el país, todo el sistema penitenciario.</t>
  </si>
  <si>
    <t>a183p000006ZUeZAAW</t>
  </si>
  <si>
    <t>SIGPRO</t>
  </si>
  <si>
    <t>Baseline: 45.45% this includes the efforts of FM and PEPFAR
Generated from the Project Management Information System (SIGPRO) computer system used by the PR PLAN to record and manage data in an integral way of all the components of the grant (financial, programmatic and administrative).
Numerator: Number of MSM covered by HIV prevention programs; defined package of services.
Denominator: corresponds to the estimate of the population size of MSM, with a national extrapolation, within the framework of the ECVC carried out in 2016. The denominator is considered stable because there are no measurements to know if it has increased or decreased, it is expected to have new data in 2023 with the study that is planned to be carried out during the year 2022.
Source: for the numerator it will be the Project Management Information System (SIGPRO) under the coordination of the PR Plan and SIAP / VICITS, for the denominator size estimation of MSM according to ECVC 2016. It is proposed that the updating of the data be considered for the denominator once the data from the population size study in 2023 are available.
Assumptions:
The targets reflect the national coverage to be achieved with prevention packages for MSM remaining for the 3 years as follows:
Year 1: Global Fund (68%) and with an estimated 32% for PEPFAR based on the last goal of the current fiscal period, 8,885 prevention packages; the following years will depend on the approval of each budget in the following years of PEPFAR, but a similar figure would be expected.
This intervention will be coordinated through prevention teams made up of peer educators, agents of change. For this proposal, it is expected to reach the MSM population through joint work between the 2 PRs and the SRs through two intervention strategies, one with a face-to-face approach and through a virtual / online strategy, being then the distribution for the three years: 18,726 for year 1, 21,433 for year 2 and 24,140 for year 3. Regarding the contribution of the indicator by PEPFAR, the PR Plan team would be coordinating with PEPFAR periodically to make the crossing of the Plan database with that of PEPFAR and thus verify and refine the UCIs lists, and complement the data for the final national report.
Key interventions:
A person reached is considered when a prevention package has been delivered that includes the delivery to one or more contacts of: 1 CCC intervention of combined prevention carried out in person or virtually online, plus the delivery of 48 condoms + 3 lubricants in tube + 20 lubricants in sachets in one year.
The primary source is the F1 form (CCC interventions and supplies) with a unique identification code (CUI) for each person who receives one or more services from the package. Form F2 and F4 (control of delivery of inputs to educators) will be used as a source of cross control.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t>
  </si>
  <si>
    <t>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bajo la coordinación del RP Plan y SIAP/VICITS,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48 condones + 3 lubricantes en tubo + 20 lubricantes en sobres en un año.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</si>
  <si>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a183p000006ZUf1AAG</t>
  </si>
  <si>
    <t>Target Estimate Assumption: Having had a positive impact through the educational program within the prison system through actors and sectors (peers, volunteers, churches, MINED, among others) in order to improve the effectiveness of the treatment and thus impact on the decrease in drug resistance and mortality and increased treatment success; For this reason, not only search, treatment and education activities will be carried out; but at the highest political level to continue with the interventions, cut the chain of transmission and begin to reduce the incidence in the population deprived of liberty.
For the report of this indicator, the cohort available to report will be taken, which is that of the previous year, since those who entered from January to December 2020 will end their treatment in September 2021, therefore this cohort will be reported in March 2022 and so on.
The targets established for the PPL are different from those of the general population, due to being a population of high vulnerability and risk (violence, overcrowding, malnutrition, associated comorbidity). Therefore, in the treatment success cohorts, direct causes of death will be excluded, such as: violent death or whose direct basic cause of death is another pathology not associated with TB.
For this reason, the country undertakes to achieve  95% coverage as target for the three years of the grant.
The Global Fund's contribution to national targets corresponds to the following:
2022: 49.4%
2023: 49.5%
2024: 49.5%
Numerator: total of TB cases of all forms successfully treated (cured plus full treatment) in the population deprived of liberty in the period to be evaluated.
Denominator: total tuberculosis cases of all forms diagnosed in PPL and admitted to the treatment cohort in the period to be evaluated, expressed as a percentage.
Information Source: PCT-5 Case Registry Book.
Non-cumulative annual periodicity, the entire country, the entire prison system</t>
  </si>
  <si>
    <t>TCP - other -1: Percentage of all TB cases among PPL successfully treated among the total of all reported TB cases</t>
  </si>
  <si>
    <t>TCP - other -1: Porcentaje de casos todas las formas de TB entre PPL tratados exitosamente entre el total de casos todas las formas notificados</t>
  </si>
  <si>
    <t>Supuesto estimación de metas: El haber impactado positivamente a través del programa educativo al interior del sistema penitenciario por medio de actores y sectores (pares, voluntarios, iglesias, MINED, entre otros) a fin de que se mejore la eficacia del tratamiento y con ello impactar en la disminución de la farmacorresitencia y mortalidad y aumento de la curación; por este motivo se ejecutarán actividades no solo de búsqueda, tratamiento y educación; sino al más alto nivel político para continuar con las intervenciones, cortar la cadena de transmisión e iniciar la disminución de la incidencia en la población privada de libertad.
Para el reporte de este indicador, se tomará la cohorte disponible a reportar, la cual es la del año anterior, ya que, los que ingresaron de Enero a Diciembre 2020 finalizaran su tratamiento en Septiembre del año 2021, por lo tanto está cohorte será reportada en Marzo 2022 y así sucesivamente. 
Las metas establecidas para la PPL son diferentes a la de la población general, debido a ser una población de alta vulnerabilidad y riesgo (violencia, hacinamiento, desnutrición, comorbilidad asociada). Por lo que en las cohortes de éxito de tratamiento se excluirán las causas directas de muerte como: muerte violenta o cuya causa básica directa de muerte es otra patología no asociada a TB.
Por tal razón, el país se compromete a alcanzar una cobertura del  95% para los tres años de la subvención.
La contribución del Fondo Mundial a las metas nacionales corresponde a la siguiente:
2022: 49.4%
2023:49.5%
2024:49.5%
Numerador: total de casos de TB todas las formas tratados exitosamente (curados más tratamiento completo) en la población privada de libertad en el periodo a evaluar.
Denominador: total de casos de tuberculosis todas las formas diagnosticados en PPL  e ingresados a la cohorte de tratamiento en el periodo a evaluar expresado en porcentaje.
Fuente de Información: Libro de Registro de Casos PCT-5.
Periodicidad anual no acumulativo, todo el país, todo el sistema penitenciario</t>
  </si>
  <si>
    <t>a183p000006ZUeaAAG</t>
  </si>
  <si>
    <t>Baseline: 72.4%
Generated from the Project Management Information System (SIGPRO) computer system used by the RP PLAN for the registration and management of data in an integral way of all the components of the grant (financial, programmatic and administrative).
Numerator: Number of transgender women covered by HIV prevention programs; defined package of services.
Denominator: corresponds to the estimate of the population size of transgender women, with a national extrapolation, within the framework of the ECVC carried out in 2014. The denominator is considered stable because there are no measurements to know if it has increased or decreased, it is expected to have new data in 2023 with the study that is planned to be carried out in 2022.
Source: for the numerator it will be the Project Management Information System (SIGPRO) under the coordination of the RP Plan and the denominator will be an estimate of the size of transgender women. It is proposed that the updating of the data for the denominator be considered once the data obtained from the population size study in 2023 is available.
Assumptions:
The targets reflect the national coverage to be achieved with prevention packages for trans women with resources from the Global Fund through prevention teams made up of peer educators. For this proposal, it is expected to reach the population of trans women through joint work between the 2 PRs and the SRs through two intervention strategies, one with face-to-face approaches and through a virtual / online strategy, being then the distribution for the three years: 1,709 for year 1, 1,729 for year 2 and 1,749 for year 3.
Key interventions:
A person reached is considered when a prevention package has been delivered that includes the delivery to one or more contacts of: 1 CCC intervention of combined prevention carried out in person or virtually online plus the delivery of 144 condoms + 6 lubricants in tube .
Measurement methods:
The primary source is form F1 (CCC interventions and supplies) with a unique identification code (UCI) for each person who receives one or more services from the package. Forms F2 and F4 (input delivery controls to educators) will be used as a source of cross-checking.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t>
  </si>
  <si>
    <t>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144 condones + 6 lubricantes en tubo.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</si>
  <si>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a183p000006ZUf2AAG</t>
  </si>
  <si>
    <t>Baseline: corresponds to the total number of TB cases in all forms notified by the country for the period from January to December 2019. (3,009) source of information PCT - 5: case registry book.
Target estimate assumption: The estimated number of TB cases has been calculated based on the incidence for the years 2022 to 2026, taking as reference table 2.1 of the document: "Implementation of the End of TB strategy: Essential Aspects "from WHO and the estimated projection from the essential country data table. In which the year 2015 is taken as the reference year (2,452 cases and a rate of 39 per 100,000 inhabitants); and that in 2020 the reduction in the incidence rate is 5% less than in 2015; obtaining a rate of 34 per 100,000 inhabitants, which corresponds to 2,300 cases.
In this sense, the populations estimated by DIGESTYC for the years of the subsidy are: for the year 2022 a total population of 6,884,888 is estimated with an estimated rate of 30.2, giving us an estimated total incidence of TB cases of all forms of 2,080; For the year 2023 the projected population is 6,942,799 with an estimated rate of 27.9 gives us an estimated incidence of 1,940 cases of TB all forms and for the year 2024 with an estimated rate of 25.5 gives us an estimated incidence of TB cases all the forms of 1,785. It is worth mentioning that the targetss could require some adjustment to the report of the first year of execution of the grant.
Numerator: total TB cases of all forms (new and relapses) reported in the period to be evaluated. It is expressed as a whole number
Information Source: Case Registry Book (PCT-5).
NON-CUMULATIVE annual frequency (absolute number).</t>
  </si>
  <si>
    <t>Línea de base: corresponde al número total de casos de TB todas las formas notificados por el país para el periodo de Enero a Diciembre 2019. (3,009)  fuente de información PCT - 5: libro de registro de casos . 
Supuesto de estimación de metas: El número de casos de TB estimados, ha sido calculado con base a la incidencia para los años 2022 al 2026, tomando como  referencia el cuadro 2.1 del documento: "implementación de la estrategia Fin de la TB: Aspectos Esenciales" de la OMS y la proyeccion estimada de la tabla de datos esenciales de país. En el cual se toma como año de referencia el año 2015 (2,452 casos y una tasa de 39 por 100,000 hab ); y que en el año 2020 la reducción de la tasa de incidencia es del 5% menos en relación al año 2015; obteniendo una tasa de 34 por 100,000 hab, que corresponde a 2,300 casos.
En tal sentido las poblaciones estimadas por la DIGESTYC para los años de la subvencion son: para el año 2022 se estima una poblacion total de 6,884,888 con una tasa estimada de 30.2 dandonos una incidencia estimada total de casos de TB todas las formas de 2,080; para el año 2023 la poblacion proyectada es de 6,942,799 con una tasa estimada de 27.9 nos brinda una incidencia estimada de 1,940 casos de TB todas las formas y para el año 2024 con una tasa estimada de 25.5 nos da una incidencia estimada de casos de TB todas las formas de 1,785. Es de mencionar que las metas podrían requerir de algún ajuste al reporte del primer año de ejecucion de la subvencion.
Numerador: total de casos de TB todas las formas (nuevos y recaídas) notificados en el periodo a evaluar. se expresa en numero entero
Fuente de Información: Libro de Registro de Casos (PCT-5).
Periodicidad anual NO ACUMULATIVO (número absoluto).</t>
  </si>
  <si>
    <t>a183p000006ZUebAAG</t>
  </si>
  <si>
    <t>Baseline: 17.27% this includes the efforts of FM and PEPFAR
Generated from the Project Management Information System (SIGPRO) computer system used by the PR PLAN for the registration and management of data in an integral way of all the components of the grant (financial, programmatic and administrative).
Numerator: Number of sex workers covered by HIV prevention programs (defined package of services)
Denominator: corresponds to the estimate of the population size of female sex workers, with a national extrapolation, within the framework of the ECVC carried out in 2016. The denominator is considered stable because there are no measurements to know if it has increased or decreased, it is expected have new data in 2023 with the study that is planned to be carried out in 2022.
Source: For the numerator it will be the Project Management Information System (SIGPRO) under the coordination of the RP Plan, for the denominator estimate of the population size of female sex workers according to ECVC 2016. It is proposed that the updating of the data be considered for the denominator once the data from the population size study in 2023 are available.
Assumptions:
The targets reflect the national coverage to be achieved with prevention packages for FSW with resources from the Global Fund through prevention teams made up of peer educators. For this proposal, it is expected to reach a larger population of HT because the target for this population turned out to be relatively low considering the demand of the population and the previous association between the prevention package with the HIV test, this is expected to be achieved through the joint work between the 2 PRs and the SRs through two intervention strategies, one with a face-to-face approach and the other through a virtual / online strategy, being then the distribution for the three years: 15,400 for year 1 , 17,500 for year 2 and 19,500 for year 3.
Key interventions:
A person reached is considered when a prevention package has been delivered that includes the delivery to one or more contacts of: 1 CCC intervention of combined prevention carried out in person or online virtually and the delivery of 144 condoms + 4 lubricants in tube + 26 lubricants in envelope.
Measurement methods:
The primary source is form F1 (CCC interventions and supplies) with a unique identification code (UCI) for each person who receives one or more services from the package. Form F2 and F4 (input delivery controls to educators) will be used as a source of cross control. The forms are digitized in SIGPRO to generate a database with the services provided by UCI, for deduplication and counting of people with complete packages electronically. For reporting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t>
  </si>
  <si>
    <t>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</si>
  <si>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a183p000006ZUf5AAG</t>
  </si>
  <si>
    <t>a183p000006ZUeeAAG</t>
  </si>
  <si>
    <t>Baseline: 55.12%
Generated by the unique system of monitoring, evaluation and epidemiological surveillance of HIV-AIDS (SUMEVE), this baseline includes the patients in ART of the Ministry of Health registered in SUMEVE which are reflected in the cascade of care, plus those of the ISSS that are not yet registered in SUMEVE are only registered under the information system of that institution.
Numerator: Number of people living with HIV receiving antiretroviral treatment at the time of the report.
Denominator: Estimated total number of people living with HIV based on Spectrum 2019 estimates and projections
The 2019 spectrum projections have been used for the denominators of the 3 years.
Source: SUMEVE for the numerator, the denominator will be reported as indicated in this performance framework.
Assumptions:
With the strategies proposed at the national level to find more HIV positive cases, it is estimated that each year approximately 1,400 new cases are diagnosed, to which ART will be initiated. Efforts are being made so that the Salvadoran Social Security Institute finishes incorporating its information into SUMEVE, since at the moment only the positives are diagnosed for it, the purification and crossing of information of the users that are currently being They are in ART in this institution, which will allow us to report a national data and with quality control of this indicator.
Because it is a focused country, no disaggregation is required.</t>
  </si>
  <si>
    <t>Línea de base: 55.12%
Generada por el Sistema único de monitoreo, evaluación y vigilancia epidemiológica del VIH-Sida (SUMEVE) , esta línea de base incluye los pacientes en TAR del Ministerio de Salud registrados en el SUMEVE los cuales se reflejan en la cascada de atención, más los del ISSS que aún no estan registrados en el SUMEVE solamente se encuentran registrados bajo el sistema de información de dicha institución.
Numerador: Número de personas que viven con el VIH que reciben tratamiento antirretroviral al momento del reporte.
Denominador: Número total de personas estimadas que viven con VIH según las estimaciones y proyecciones Spectrum 2019
Las proyecciones de spectrum 2019, se han utilizado para los denominadores de los 3 años.
Fuente: SUMEVE para el numerador,  el denominador será reportado como se indica en este marco de desempeño.
Supuestos:
Con las estrategias propuestas a nivel nacional para encontrar más casos VIH positivos, se estima que cada año se diagnostique un aproximado de 1400 nuevos casos, a  los cuales se les iniciará TAR. Se esta realizando esfuerzos para que el Instituto Salvadoreño del Seguro Social, termine de incorporar su información en el SUMEVE, ya que al momento solo se tiene los positivos diagnosticados por ello, se ha iniciado la depuración y cruce de información de los usuarios que actualmente se encuentran en TAR en dicha institución, lo que nos permitirá reportar un dato nacional y con control de calidad de este indicador.
Por ser país focalizado no se requiere desagregación.</t>
  </si>
  <si>
    <t>a183p000006ZUf6AAG</t>
  </si>
  <si>
    <t>a183p000006ZUecAAG</t>
  </si>
  <si>
    <t>Baseline: The PrEP implementation process will begin in 2022, so the country does not currently have a baseline.
Numerator: Number of eligible men who have sex with men who started oral PrEP during the reporting period
Denominator: Number of eligible men who have sex with men who were recently offered PrEP during the reporting period
Source: The inclusion in the SUMEVE will be managed for its report,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MSM population which, together with the proposed goal, has been calculated with the help of the PAHO tool and the history of the care provided in the VICITS clinics. This intervention is new so it is proposed to start in a conservative way of 70% with an annual increase of 5% to finish during the third year with 80%, not with 100% considering that this is a new intervention and that the Demand and acceptance of the alternative will not be complete from the start.
To start the implementation of this intervention, we will work with the offer of PrEP in the following VICTS, which are distributed in a geographical area with greater demand and greater HIV prevalence, these being the following: San Miguelito, Concepción, San Jacinto, Barrios, Carlos Diaz del Pinal, Sonzacate, Tomás Pineda, Casa del Niño and San Miguel
• Behavior change and adherence will be monitored, as well as regular (3 months) HIV testing and STI screening to be performed every 6 months.
-These targets could be revised once the inputs of the study of implementation of PrEP in PC that will be carried out by UNAIDS and according to the results of the first year are available, since it is a new intervention that will adopt the country, it will be possible to have a clearer picture to continue.</t>
  </si>
  <si>
    <t>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t>
  </si>
  <si>
    <t>a183p000006ZUf7AAG</t>
  </si>
  <si>
    <t>a183p000006ZUedAAG</t>
  </si>
  <si>
    <t>Baseline: The PrEP implementation process will begin in 2022, so the country does not currently have a baseline.
Numerator: Number of eligible transgender people who started oral PrEP during the reporting period
Denominator: Number of eligible transgender people recently offered PrEP during the reporting period
Source: The inclusion in SUMEVE will be managed for its report, the modifications will be carried out in time to allow the reporting of the indicator from the first year of the grant.
Assumptions: For the implementation of PrEP, the knowledge, capacities and commitment of providers and potential users of PrEP will be strengthened.
In this intervention, PrEP will be offered to an estimate of the Trans population which, together with the proposed target, has been calculated with the help of the PAHO tool and the history of the care provided in the VICITS clinics. This intervention is new so it is proposed to start in a conservative way of 70% with an annual increase of 5% to finish during the third year with 80%, and not with 100%, considering that this is a new intervention and that the demand and acceptance of the alternative will not be complete from the start.
To start the implementation of this intervention, we will work with the offer of PrEP in the following VICTS which are distributed in a geographical area with greater demand and greater HIV prevalence, these being the following: San Miguelito, Concepción, San Jacinto, Barrios, Carlos Diaz del Pinal, Sonzacate, Tomás Pineda, Casa del Niño and San Miguel
• Behavior change and adherence will be monitored, as well as regular (3 months) HIV test and STI screening to be performed every 6 months.
- These targets could be revised once the inputs of the study of implementation of PrEP in PC to be carried out by UNAIDS and according to the results of the first year are available, given that it is a new intervention that the country adopts, it will be possible to have a clearer picture to continue.</t>
  </si>
  <si>
    <t>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t>
  </si>
  <si>
    <t>a183p000006ZUf8AAG</t>
  </si>
  <si>
    <t>a183p000006ZUefAAG</t>
  </si>
  <si>
    <t>a183p000006ZUf9AAG</t>
  </si>
  <si>
    <t>a183p000006ZUegAAG</t>
  </si>
  <si>
    <t>a183p000006ZUfAAAW</t>
  </si>
  <si>
    <t>a183p000006ZUehAAG</t>
  </si>
  <si>
    <t>a183p000006ZUfBAAW</t>
  </si>
  <si>
    <t>a183p000006ZUeiAAG</t>
  </si>
  <si>
    <t>a183p000006ZUfCAAW</t>
  </si>
  <si>
    <t>a183p000006ZUejAAG</t>
  </si>
  <si>
    <t>a183p000006ZUfDAAW</t>
  </si>
  <si>
    <t>a183p000006ZUekAAG</t>
  </si>
  <si>
    <t>a183p000006ZUfEAAW</t>
  </si>
  <si>
    <t>a183p000006ZUelAAG</t>
  </si>
  <si>
    <t>a183p000006ZUfFAAW</t>
  </si>
  <si>
    <t>a183p000006ZUemAAG</t>
  </si>
  <si>
    <t>a183p000006ZUfGAAW</t>
  </si>
  <si>
    <t>a183p000006ZUenAAG</t>
  </si>
  <si>
    <t>a183p000006ZUfHAAW</t>
  </si>
  <si>
    <t>a183p000006ZUeoAAG</t>
  </si>
  <si>
    <t>a183p000006ZUfIAAW</t>
  </si>
  <si>
    <t>a183p000006ZUepAAG</t>
  </si>
  <si>
    <t>a183p000006ZUfJAAW</t>
  </si>
  <si>
    <t>a183p000006ZUeqAAG</t>
  </si>
  <si>
    <t>a183p000006ZUfLAAW</t>
  </si>
  <si>
    <t>a183p000006ZUerAAG</t>
  </si>
  <si>
    <t>a183p000006ZUfMAAW</t>
  </si>
  <si>
    <t>a183p000006ZUesAAG</t>
  </si>
  <si>
    <t>a183p000006ZUfNAAW</t>
  </si>
  <si>
    <t>a183p000006ZUetAAG</t>
  </si>
  <si>
    <t>a183p000006ZUfKAAW</t>
  </si>
  <si>
    <t>a183p000006ZUeuAAG</t>
  </si>
  <si>
    <t>a183p000006ZUfOAAW</t>
  </si>
  <si>
    <t>a183p000006ZUevAAG</t>
  </si>
  <si>
    <t>a183p000006ZUfPAAW</t>
  </si>
  <si>
    <t>a183p000006ZUewAAG</t>
  </si>
  <si>
    <t>a183p000006ZUfQAAW</t>
  </si>
  <si>
    <t>a183p000006ZUexAAG</t>
  </si>
  <si>
    <t>a183p000006ZUfSAAW</t>
  </si>
  <si>
    <t>a183p000006ZUeyAAG</t>
  </si>
  <si>
    <t>a183p000006ZUfTAAW</t>
  </si>
  <si>
    <t>a183p000006ZUezAAG</t>
  </si>
  <si>
    <t>a123p000005ZRAnAAO</t>
  </si>
  <si>
    <t>AR-08725</t>
  </si>
  <si>
    <t>a183p000006ZUfRAAW</t>
  </si>
  <si>
    <t>a123p000005ZTBIAA4</t>
  </si>
  <si>
    <t>AR-08752</t>
  </si>
  <si>
    <t>a173p00000CH4EXAA1</t>
  </si>
  <si>
    <t>a173p00000CH4FVAA1</t>
  </si>
  <si>
    <t>a173p00000CH4GTAA1</t>
  </si>
  <si>
    <t>a173p00000CH4HRAA1</t>
  </si>
  <si>
    <t>a173p00000CH4IPAA1</t>
  </si>
  <si>
    <t>a173p00000CH4JNAA1</t>
  </si>
  <si>
    <t>a173p00000CH4EYAA1</t>
  </si>
  <si>
    <t>a173p00000CH4FWAA1</t>
  </si>
  <si>
    <t>a173p00000CH4GUAA1</t>
  </si>
  <si>
    <t>a173p00000CH4HSAA1</t>
  </si>
  <si>
    <t>a173p00000CH4IQAA1</t>
  </si>
  <si>
    <t>a173p00000CH4JOAA1</t>
  </si>
  <si>
    <t>a173p00000CH4EZAA1</t>
  </si>
  <si>
    <t>a173p00000CH4FXAA1</t>
  </si>
  <si>
    <t>a173p00000CH4GVAA1</t>
  </si>
  <si>
    <t>a173p00000CH4HTAA1</t>
  </si>
  <si>
    <t>a173p00000CH4IRAA1</t>
  </si>
  <si>
    <t>a173p00000CH4JPAA1</t>
  </si>
  <si>
    <t>a173p00000CH4EaAAL</t>
  </si>
  <si>
    <t>a173p00000CH4FYAA1</t>
  </si>
  <si>
    <t>a173p00000CH4GWAA1</t>
  </si>
  <si>
    <t>a173p00000CH4HUAA1</t>
  </si>
  <si>
    <t>a173p00000CH4ISAA1</t>
  </si>
  <si>
    <t>a173p00000CH4JQAA1</t>
  </si>
  <si>
    <t>a173p00000CH4EbAAL</t>
  </si>
  <si>
    <t>a173p00000CH4FZAA1</t>
  </si>
  <si>
    <t>a173p00000CH4GXAA1</t>
  </si>
  <si>
    <t>a173p00000CH4HVAA1</t>
  </si>
  <si>
    <t>a173p00000CH4ITAA1</t>
  </si>
  <si>
    <t>a173p00000CH4JRAA1</t>
  </si>
  <si>
    <t>a173p00000CH4EcAAL</t>
  </si>
  <si>
    <t>a173p00000CH4FaAAL</t>
  </si>
  <si>
    <t>a173p00000CH4GYAA1</t>
  </si>
  <si>
    <t>a173p00000CH4HWAA1</t>
  </si>
  <si>
    <t>a173p00000CH4IUAA1</t>
  </si>
  <si>
    <t>a173p00000CH4JSAA1</t>
  </si>
  <si>
    <t>a173p00000CH4EdAAL</t>
  </si>
  <si>
    <t>a173p00000CH4FbAAL</t>
  </si>
  <si>
    <t>a173p00000CH4GZAA1</t>
  </si>
  <si>
    <t>a173p00000CH4HXAA1</t>
  </si>
  <si>
    <t>a173p00000CH4IVAA1</t>
  </si>
  <si>
    <t>a173p00000CH4JTAA1</t>
  </si>
  <si>
    <t>a173p00000CH4EeAAL</t>
  </si>
  <si>
    <t>a173p00000CH4FcAAL</t>
  </si>
  <si>
    <t>a173p00000CH4GaAAL</t>
  </si>
  <si>
    <t>a173p00000CH4HYAA1</t>
  </si>
  <si>
    <t>a173p00000CH4IWAA1</t>
  </si>
  <si>
    <t>a173p00000CH4JUAA1</t>
  </si>
  <si>
    <t>a173p00000CH4EfAAL</t>
  </si>
  <si>
    <t>a173p00000CH4FdAAL</t>
  </si>
  <si>
    <t>a173p00000CH4GbAAL</t>
  </si>
  <si>
    <t>a173p00000CH4HZAA1</t>
  </si>
  <si>
    <t>a173p00000CH4IXAA1</t>
  </si>
  <si>
    <t>a173p00000CH4JVAA1</t>
  </si>
  <si>
    <t>a173p00000CH4EgAAL</t>
  </si>
  <si>
    <t>a173p00000CH4FeAAL</t>
  </si>
  <si>
    <t>a173p00000CH4GcAAL</t>
  </si>
  <si>
    <t>a173p00000CH4HaAAL</t>
  </si>
  <si>
    <t>a173p00000CH4IYAA1</t>
  </si>
  <si>
    <t>a173p00000CH4JWAA1</t>
  </si>
  <si>
    <t>a173p00000CH4EhAAL</t>
  </si>
  <si>
    <t>a173p00000CH4FfAAL</t>
  </si>
  <si>
    <t>a173p00000CH4GdAAL</t>
  </si>
  <si>
    <t>a173p00000CH4HbAAL</t>
  </si>
  <si>
    <t>a173p00000CH4IZAA1</t>
  </si>
  <si>
    <t>a173p00000CH4JXAA1</t>
  </si>
  <si>
    <t>a173p00000CH4EiAAL</t>
  </si>
  <si>
    <t>a173p00000CH4FgAAL</t>
  </si>
  <si>
    <t>a173p00000CH4GeAAL</t>
  </si>
  <si>
    <t>a173p00000CH4HcAAL</t>
  </si>
  <si>
    <t>a173p00000CH4IaAAL</t>
  </si>
  <si>
    <t>a173p00000CH4JYAA1</t>
  </si>
  <si>
    <t>a173p00000CH4EjAAL</t>
  </si>
  <si>
    <t>a173p00000CH4FhAAL</t>
  </si>
  <si>
    <t>a173p00000CH4GfAAL</t>
  </si>
  <si>
    <t>a173p00000CH4HdAAL</t>
  </si>
  <si>
    <t>a173p00000CH4IbAAL</t>
  </si>
  <si>
    <t>a173p00000CH4JZAA1</t>
  </si>
  <si>
    <t>a173p00000CH4EkAAL</t>
  </si>
  <si>
    <t>a173p00000CH4FiAAL</t>
  </si>
  <si>
    <t>a173p00000CH4GgAAL</t>
  </si>
  <si>
    <t>a173p00000CH4HeAAL</t>
  </si>
  <si>
    <t>a173p00000CH4IcAAL</t>
  </si>
  <si>
    <t>a173p00000CH4JaAAL</t>
  </si>
  <si>
    <t>a173p00000CH4ElAAL</t>
  </si>
  <si>
    <t>a173p00000CH4FjAAL</t>
  </si>
  <si>
    <t>a173p00000CH4GhAAL</t>
  </si>
  <si>
    <t>a173p00000CH4HfAAL</t>
  </si>
  <si>
    <t>a173p00000CH4IdAAL</t>
  </si>
  <si>
    <t>a173p00000CH4JbAAL</t>
  </si>
  <si>
    <t>a173p00000CH4EmAAL</t>
  </si>
  <si>
    <t>a173p00000CH4FkAAL</t>
  </si>
  <si>
    <t>a173p00000CH4GiAAL</t>
  </si>
  <si>
    <t>a173p00000CH4HgAAL</t>
  </si>
  <si>
    <t>a173p00000CH4IeAAL</t>
  </si>
  <si>
    <t>a173p00000CH4JcAAL</t>
  </si>
  <si>
    <t>a173p00000CH4EnAAL</t>
  </si>
  <si>
    <t>a173p00000CH4FlAAL</t>
  </si>
  <si>
    <t>a173p00000CH4GjAAL</t>
  </si>
  <si>
    <t>a173p00000CH4HhAAL</t>
  </si>
  <si>
    <t>a173p00000CH4IfAAL</t>
  </si>
  <si>
    <t>a173p00000CH4JdAAL</t>
  </si>
  <si>
    <t>a173p00000CH4EoAAL</t>
  </si>
  <si>
    <t>a173p00000CH4FmAAL</t>
  </si>
  <si>
    <t>a173p00000CH4GkAAL</t>
  </si>
  <si>
    <t>a173p00000CH4HiAAL</t>
  </si>
  <si>
    <t>a173p00000CH4IgAAL</t>
  </si>
  <si>
    <t>a173p00000CH4JeAAL</t>
  </si>
  <si>
    <t>a173p00000CH4EpAAL</t>
  </si>
  <si>
    <t>a173p00000CH4FnAAL</t>
  </si>
  <si>
    <t>a173p00000CH4GlAAL</t>
  </si>
  <si>
    <t>a173p00000CH4HjAAL</t>
  </si>
  <si>
    <t>a173p00000CH4IhAAL</t>
  </si>
  <si>
    <t>a173p00000CH4JfAAL</t>
  </si>
  <si>
    <t>a173p00000CH4EqAAL</t>
  </si>
  <si>
    <t>a173p00000CH4FoAAL</t>
  </si>
  <si>
    <t>a173p00000CH4GmAAL</t>
  </si>
  <si>
    <t>a173p00000CH4HkAAL</t>
  </si>
  <si>
    <t>a173p00000CH4IiAAL</t>
  </si>
  <si>
    <t>a173p00000CH4JgAAL</t>
  </si>
  <si>
    <t>a173p00000CH4ErAAL</t>
  </si>
  <si>
    <t>a173p00000CH4FpAAL</t>
  </si>
  <si>
    <t>a173p00000CH4GnAAL</t>
  </si>
  <si>
    <t>a173p00000CH4HlAAL</t>
  </si>
  <si>
    <t>a173p00000CH4IjAAL</t>
  </si>
  <si>
    <t>a173p00000CH4JhAAL</t>
  </si>
  <si>
    <t>a173p00000CH4EsAAL</t>
  </si>
  <si>
    <t>a173p00000CH4FqAAL</t>
  </si>
  <si>
    <t>a173p00000CH4GoAAL</t>
  </si>
  <si>
    <t>a173p00000CH4HmAAL</t>
  </si>
  <si>
    <t>a173p00000CH4IkAAL</t>
  </si>
  <si>
    <t>a173p00000CH4JiAAL</t>
  </si>
  <si>
    <t>a173p00000CH4EtAAL</t>
  </si>
  <si>
    <t>a173p00000CH4FrAAL</t>
  </si>
  <si>
    <t>a173p00000CH4GpAAL</t>
  </si>
  <si>
    <t>a173p00000CH4HnAAL</t>
  </si>
  <si>
    <t>a173p00000CH4IlAAL</t>
  </si>
  <si>
    <t>a173p00000CH4JjAAL</t>
  </si>
  <si>
    <t>a173p00000CH4EuAAL</t>
  </si>
  <si>
    <t>a173p00000CH4FsAAL</t>
  </si>
  <si>
    <t>a173p00000CH4GqAAL</t>
  </si>
  <si>
    <t>a173p00000CH4HoAAL</t>
  </si>
  <si>
    <t>a173p00000CH4ImAAL</t>
  </si>
  <si>
    <t>a173p00000CH4JkAAL</t>
  </si>
  <si>
    <t>a173p00000CH4EvAAL</t>
  </si>
  <si>
    <t>a173p00000CH4FtAAL</t>
  </si>
  <si>
    <t>a173p00000CH4GrAAL</t>
  </si>
  <si>
    <t>a173p00000CH4HpAAL</t>
  </si>
  <si>
    <t>a173p00000CH4InAAL</t>
  </si>
  <si>
    <t>a173p00000CH4JlAAL</t>
  </si>
  <si>
    <t>a173p00000CH4EwAAL</t>
  </si>
  <si>
    <t>a173p00000CH4FuAAL</t>
  </si>
  <si>
    <t>a173p00000CH4GsAAL</t>
  </si>
  <si>
    <t>a173p00000CH4HqAAL</t>
  </si>
  <si>
    <t>a173p00000CH4IoAAL</t>
  </si>
  <si>
    <t>a173p00000CH4JmAAL</t>
  </si>
  <si>
    <t>a173p00000CH4ExAAL</t>
  </si>
  <si>
    <t>a173p00000CH4FvAAL</t>
  </si>
  <si>
    <t>a173p00000CH4GtAAL</t>
  </si>
  <si>
    <t>a173p00000CH4HrAAL</t>
  </si>
  <si>
    <t>a173p00000CH4IpAAL</t>
  </si>
  <si>
    <t>a173p00000CH4JnAAL</t>
  </si>
  <si>
    <t>a173p00000CH4EyAAL</t>
  </si>
  <si>
    <t>a173p00000CH4FwAAL</t>
  </si>
  <si>
    <t>a173p00000CH4GuAAL</t>
  </si>
  <si>
    <t>a173p00000CH4HsAAL</t>
  </si>
  <si>
    <t>a173p00000CH4IqAAL</t>
  </si>
  <si>
    <t>a173p00000CH4JoAAL</t>
  </si>
  <si>
    <t>a173p00000CH4EzAAL</t>
  </si>
  <si>
    <t>a173p00000CH4FxAAL</t>
  </si>
  <si>
    <t>a173p00000CH4GvAAL</t>
  </si>
  <si>
    <t>a173p00000CH4HtAAL</t>
  </si>
  <si>
    <t>a173p00000CH4IrAAL</t>
  </si>
  <si>
    <t>a173p00000CH4JpAAL</t>
  </si>
  <si>
    <t>a173p00000CH4F0AAL</t>
  </si>
  <si>
    <t>a173p00000CH4FyAAL</t>
  </si>
  <si>
    <t>a173p00000CH4GwAAL</t>
  </si>
  <si>
    <t>a173p00000CH4HuAAL</t>
  </si>
  <si>
    <t>a173p00000CH4IsAAL</t>
  </si>
  <si>
    <t>a173p00000CH4JqAAL</t>
  </si>
  <si>
    <t>a173p00000CH4F1AAL</t>
  </si>
  <si>
    <t>a173p00000CH4FzAAL</t>
  </si>
  <si>
    <t>a173p00000CH4GxAAL</t>
  </si>
  <si>
    <t>a173p00000CH4HvAAL</t>
  </si>
  <si>
    <t>a173p00000CH4ItAAL</t>
  </si>
  <si>
    <t>a173p00000CH4JrAAL</t>
  </si>
  <si>
    <t>a173p00000CH4F2AAL</t>
  </si>
  <si>
    <t>a173p00000CH4G0AAL</t>
  </si>
  <si>
    <t>a173p00000CH4GyAAL</t>
  </si>
  <si>
    <t>a173p00000CH4HwAAL</t>
  </si>
  <si>
    <t>a173p00000CH4IuAAL</t>
  </si>
  <si>
    <t>a173p00000CH4JsAAL</t>
  </si>
  <si>
    <t>a173p00000CH4F3AAL</t>
  </si>
  <si>
    <t>a173p00000CH4G1AAL</t>
  </si>
  <si>
    <t>a173p00000CH4GzAAL</t>
  </si>
  <si>
    <t>a173p00000CH4HxAAL</t>
  </si>
  <si>
    <t>a173p00000CH4IvAAL</t>
  </si>
  <si>
    <t>a173p00000CH4JtAAL</t>
  </si>
  <si>
    <t>a173p00000CH4F4AAL</t>
  </si>
  <si>
    <t>a173p00000CH4G2AAL</t>
  </si>
  <si>
    <t>a173p00000CH4H0AAL</t>
  </si>
  <si>
    <t>a173p00000CH4HyAAL</t>
  </si>
  <si>
    <t>a173p00000CH4IwAAL</t>
  </si>
  <si>
    <t>a173p00000CH4JuAAL</t>
  </si>
  <si>
    <t>a173p00000CH4F5AAL</t>
  </si>
  <si>
    <t>a173p00000CH4G3AAL</t>
  </si>
  <si>
    <t>a173p00000CH4H1AAL</t>
  </si>
  <si>
    <t>a173p00000CH4HzAAL</t>
  </si>
  <si>
    <t>a173p00000CH4IxAAL</t>
  </si>
  <si>
    <t>a173p00000CH4JvAAL</t>
  </si>
  <si>
    <t>a173p00000CH4F6AAL</t>
  </si>
  <si>
    <t>a173p00000CH4G4AAL</t>
  </si>
  <si>
    <t>a173p00000CH4H2AAL</t>
  </si>
  <si>
    <t>a173p00000CH4I0AAL</t>
  </si>
  <si>
    <t>a173p00000CH4IyAAL</t>
  </si>
  <si>
    <t>a173p00000CH4JwAAL</t>
  </si>
  <si>
    <t>a173p00000CH4F7AAL</t>
  </si>
  <si>
    <t>a173p00000CH4G5AAL</t>
  </si>
  <si>
    <t>a173p00000CH4H3AAL</t>
  </si>
  <si>
    <t>a173p00000CH4I1AAL</t>
  </si>
  <si>
    <t>a173p00000CH4IzAAL</t>
  </si>
  <si>
    <t>a173p00000CH4JxAAL</t>
  </si>
  <si>
    <t>a173p00000CH4F8AAL</t>
  </si>
  <si>
    <t>a173p00000CH4G6AAL</t>
  </si>
  <si>
    <t>a173p00000CH4H4AAL</t>
  </si>
  <si>
    <t>a173p00000CH4I2AAL</t>
  </si>
  <si>
    <t>a173p00000CH4J0AAL</t>
  </si>
  <si>
    <t>a173p00000CH4JyAAL</t>
  </si>
  <si>
    <t>a173p00000CH4F9AAL</t>
  </si>
  <si>
    <t>a173p00000CH4G7AAL</t>
  </si>
  <si>
    <t>a173p00000CH4H5AAL</t>
  </si>
  <si>
    <t>a173p00000CH4I3AAL</t>
  </si>
  <si>
    <t>a173p00000CH4J1AAL</t>
  </si>
  <si>
    <t>a173p00000CH4JzAAL</t>
  </si>
  <si>
    <t>a173p00000CH4FAAA1</t>
  </si>
  <si>
    <t>a173p00000CH4G8AAL</t>
  </si>
  <si>
    <t>a173p00000CH4H6AAL</t>
  </si>
  <si>
    <t>a173p00000CH4I4AAL</t>
  </si>
  <si>
    <t>a173p00000CH4J2AAL</t>
  </si>
  <si>
    <t>a173p00000CH4K0AAL</t>
  </si>
  <si>
    <t>a173p00000CH4FBAA1</t>
  </si>
  <si>
    <t>a173p00000CH4G9AAL</t>
  </si>
  <si>
    <t>a173p00000CH4H7AAL</t>
  </si>
  <si>
    <t>a173p00000CH4I5AAL</t>
  </si>
  <si>
    <t>a173p00000CH4J3AAL</t>
  </si>
  <si>
    <t>a173p00000CH4K1AAL</t>
  </si>
  <si>
    <t>a173p00000CH4FCAA1</t>
  </si>
  <si>
    <t>a173p00000CH4GAAA1</t>
  </si>
  <si>
    <t>a173p00000CH4H8AAL</t>
  </si>
  <si>
    <t>a173p00000CH4I6AAL</t>
  </si>
  <si>
    <t>a173p00000CH4J4AAL</t>
  </si>
  <si>
    <t>a173p00000CH4K2AAL</t>
  </si>
  <si>
    <t>a173p00000CH4FDAA1</t>
  </si>
  <si>
    <t>a173p00000CH4GBAA1</t>
  </si>
  <si>
    <t>a173p00000CH4H9AAL</t>
  </si>
  <si>
    <t>a173p00000CH4I7AAL</t>
  </si>
  <si>
    <t>a173p00000CH4J5AAL</t>
  </si>
  <si>
    <t>a173p00000CH4K3AAL</t>
  </si>
  <si>
    <t>a173p00000CH4FEAA1</t>
  </si>
  <si>
    <t>a173p00000CH4GCAA1</t>
  </si>
  <si>
    <t>a173p00000CH4HAAA1</t>
  </si>
  <si>
    <t>a173p00000CH4I8AAL</t>
  </si>
  <si>
    <t>a173p00000CH4J6AAL</t>
  </si>
  <si>
    <t>a173p00000CH4K4AAL</t>
  </si>
  <si>
    <t>a173p00000CH4FFAA1</t>
  </si>
  <si>
    <t>a173p00000CH4GDAA1</t>
  </si>
  <si>
    <t>a173p00000CH4HBAA1</t>
  </si>
  <si>
    <t>a173p00000CH4I9AAL</t>
  </si>
  <si>
    <t>a173p00000CH4J7AAL</t>
  </si>
  <si>
    <t>a173p00000CH4K5AAL</t>
  </si>
  <si>
    <t>a173p00000CH4FGAA1</t>
  </si>
  <si>
    <t>a173p00000CH4GEAA1</t>
  </si>
  <si>
    <t>a173p00000CH4HCAA1</t>
  </si>
  <si>
    <t>a173p00000CH4IAAA1</t>
  </si>
  <si>
    <t>a173p00000CH4J8AAL</t>
  </si>
  <si>
    <t>a173p00000CH4K6AAL</t>
  </si>
  <si>
    <t>a173p00000CH4FHAA1</t>
  </si>
  <si>
    <t>a173p00000CH4GFAA1</t>
  </si>
  <si>
    <t>a173p00000CH4HDAA1</t>
  </si>
  <si>
    <t>a173p00000CH4IBAA1</t>
  </si>
  <si>
    <t>a173p00000CH4J9AAL</t>
  </si>
  <si>
    <t>a173p00000CH4K7AAL</t>
  </si>
  <si>
    <t>a173p00000CH4FIAA1</t>
  </si>
  <si>
    <t>a173p00000CH4GGAA1</t>
  </si>
  <si>
    <t>a173p00000CH4HEAA1</t>
  </si>
  <si>
    <t>a173p00000CH4ICAA1</t>
  </si>
  <si>
    <t>a173p00000CH4JAAA1</t>
  </si>
  <si>
    <t>a173p00000CH4K8AAL</t>
  </si>
  <si>
    <t>a173p00000CH4FJAA1</t>
  </si>
  <si>
    <t>a173p00000CH4GHAA1</t>
  </si>
  <si>
    <t>a173p00000CH4HFAA1</t>
  </si>
  <si>
    <t>a173p00000CH4IDAA1</t>
  </si>
  <si>
    <t>a173p00000CH4JBAA1</t>
  </si>
  <si>
    <t>a173p00000CH4K9AAL</t>
  </si>
  <si>
    <t>a173p00000CH4FKAA1</t>
  </si>
  <si>
    <t>a173p00000CH4GIAA1</t>
  </si>
  <si>
    <t>a173p00000CH4HGAA1</t>
  </si>
  <si>
    <t>a173p00000CH4IEAA1</t>
  </si>
  <si>
    <t>a173p00000CH4JCAA1</t>
  </si>
  <si>
    <t>a173p00000CH4KAAA1</t>
  </si>
  <si>
    <t>a173p00000CH4FLAA1</t>
  </si>
  <si>
    <t>a173p00000CH4GJAA1</t>
  </si>
  <si>
    <t>a173p00000CH4HHAA1</t>
  </si>
  <si>
    <t>a173p00000CH4IFAA1</t>
  </si>
  <si>
    <t>a173p00000CH4JDAA1</t>
  </si>
  <si>
    <t>a173p00000CH4KBAA1</t>
  </si>
  <si>
    <t>a173p00000CH4FMAA1</t>
  </si>
  <si>
    <t>a173p00000CH4GKAA1</t>
  </si>
  <si>
    <t>a173p00000CH4HIAA1</t>
  </si>
  <si>
    <t>a173p00000CH4IGAA1</t>
  </si>
  <si>
    <t>a173p00000CH4JEAA1</t>
  </si>
  <si>
    <t>a173p00000CH4KCAA1</t>
  </si>
  <si>
    <t>a173p00000CH4FNAA1</t>
  </si>
  <si>
    <t>a173p00000CH4GLAA1</t>
  </si>
  <si>
    <t>a173p00000CH4HJAA1</t>
  </si>
  <si>
    <t>a173p00000CH4IHAA1</t>
  </si>
  <si>
    <t>a173p00000CH4JFAA1</t>
  </si>
  <si>
    <t>a173p00000CH4KDAA1</t>
  </si>
  <si>
    <t>a173p00000CH4FOAA1</t>
  </si>
  <si>
    <t>a173p00000CH4GMAA1</t>
  </si>
  <si>
    <t>a173p00000CH4HKAA1</t>
  </si>
  <si>
    <t>a173p00000CH4IIAA1</t>
  </si>
  <si>
    <t>a173p00000CH4JGAA1</t>
  </si>
  <si>
    <t>a173p00000CH4KEAA1</t>
  </si>
  <si>
    <t>a173p00000CH4FPAA1</t>
  </si>
  <si>
    <t>a173p00000CH4GNAA1</t>
  </si>
  <si>
    <t>a173p00000CH4HLAA1</t>
  </si>
  <si>
    <t>a173p00000CH4IJAA1</t>
  </si>
  <si>
    <t>a173p00000CH4JHAA1</t>
  </si>
  <si>
    <t>a173p00000CH4KFAA1</t>
  </si>
  <si>
    <t>a173p00000CH4FQAA1</t>
  </si>
  <si>
    <t>a173p00000CH4GOAA1</t>
  </si>
  <si>
    <t>a173p00000CH4HMAA1</t>
  </si>
  <si>
    <t>a173p00000CH4IKAA1</t>
  </si>
  <si>
    <t>a173p00000CH4JIAA1</t>
  </si>
  <si>
    <t>a173p00000CH4KGAA1</t>
  </si>
  <si>
    <t>a173p00000CH4FRAA1</t>
  </si>
  <si>
    <t>a173p00000CH4GPAA1</t>
  </si>
  <si>
    <t>a173p00000CH4HNAA1</t>
  </si>
  <si>
    <t>a173p00000CH4ILAA1</t>
  </si>
  <si>
    <t>a173p00000CH4JJAA1</t>
  </si>
  <si>
    <t>a173p00000CH4KHAA1</t>
  </si>
  <si>
    <t>a173p00000CH4FSAA1</t>
  </si>
  <si>
    <t>a173p00000CH4GQAA1</t>
  </si>
  <si>
    <t>a173p00000CH4HOAA1</t>
  </si>
  <si>
    <t>a173p00000CH4IMAA1</t>
  </si>
  <si>
    <t>a173p00000CH4JKAA1</t>
  </si>
  <si>
    <t>a173p00000CH4KIAA1</t>
  </si>
  <si>
    <t>a173p00000CH4FTAA1</t>
  </si>
  <si>
    <t>a173p00000CH4GRAA1</t>
  </si>
  <si>
    <t>a173p00000CH4HPAA1</t>
  </si>
  <si>
    <t>a173p00000CH4INAA1</t>
  </si>
  <si>
    <t>a173p00000CH4JLAA1</t>
  </si>
  <si>
    <t>a173p00000CH4KJAA1</t>
  </si>
  <si>
    <t>a173p00000CH4FUAA1</t>
  </si>
  <si>
    <t>a173p00000CH4GSAA1</t>
  </si>
  <si>
    <t>a173p00000CH4HQAA1</t>
  </si>
  <si>
    <t>a173p00000CH4IOAA1</t>
  </si>
  <si>
    <t>a173p00000CH4JMAA1</t>
  </si>
  <si>
    <t>a173p00000CH4KKAA1</t>
  </si>
  <si>
    <t>Al ser un país focalizado no se requiere desagregación</t>
  </si>
  <si>
    <t>al ser un país focalizado no se solicita desagregacion para los indicadores</t>
  </si>
  <si>
    <t>a1N3p00000FRPNtEAP</t>
  </si>
  <si>
    <t>KAM-208830</t>
  </si>
  <si>
    <t>a1N3p00000FRPPBEA5</t>
  </si>
  <si>
    <t>KAM-208910</t>
  </si>
  <si>
    <t>a1N3p00000FRPNuEAP</t>
  </si>
  <si>
    <t>KAM-208831</t>
  </si>
  <si>
    <t>a1N3p00000FRPPCEA5</t>
  </si>
  <si>
    <t>KAM-208911</t>
  </si>
  <si>
    <t>a1N3p00000FRPNvEAP</t>
  </si>
  <si>
    <t>KAM-208832</t>
  </si>
  <si>
    <t>a1N3p00000FRPPDEA5</t>
  </si>
  <si>
    <t>KAM-208912</t>
  </si>
  <si>
    <t>a1N3p00000FRPNwEAP</t>
  </si>
  <si>
    <t>KAM-208833</t>
  </si>
  <si>
    <t>a1N3p00000FRPPEEA5</t>
  </si>
  <si>
    <t>KAM-208913</t>
  </si>
  <si>
    <t>a1N3p00000FRPNxEAP</t>
  </si>
  <si>
    <t>KAM-208834</t>
  </si>
  <si>
    <t>a1N3p00000FRPPFEA5</t>
  </si>
  <si>
    <t>KAM-208914</t>
  </si>
  <si>
    <t>a1N3p00000FRPNyEAP</t>
  </si>
  <si>
    <t>KAM-208835</t>
  </si>
  <si>
    <t>a1N3p00000FRPPGEA5</t>
  </si>
  <si>
    <t>KAM-208915</t>
  </si>
  <si>
    <t>a1N3p00000FRPNzEAP</t>
  </si>
  <si>
    <t>KAM-208836</t>
  </si>
  <si>
    <t>a1N3p00000FRPPHEA5</t>
  </si>
  <si>
    <t>KAM-208916</t>
  </si>
  <si>
    <t>a1N3p00000FRPO0EAP</t>
  </si>
  <si>
    <t>KAM-208837</t>
  </si>
  <si>
    <t>a1N3p00000FRPPIEA5</t>
  </si>
  <si>
    <t>KAM-208917</t>
  </si>
  <si>
    <t>a1N3p00000FRPO1EAP</t>
  </si>
  <si>
    <t>KAM-208838</t>
  </si>
  <si>
    <t>a1N3p00000FRPPJEA5</t>
  </si>
  <si>
    <t>KAM-208918</t>
  </si>
  <si>
    <t>a1N3p00000FRPO2EAP</t>
  </si>
  <si>
    <t>KAM-208839</t>
  </si>
  <si>
    <t>a1N3p00000FRPPKEA5</t>
  </si>
  <si>
    <t>KAM-208919</t>
  </si>
  <si>
    <t>a1N3p00000FRPO3EAP</t>
  </si>
  <si>
    <t>KAM-208840</t>
  </si>
  <si>
    <t>a1N3p00000FRPPLEA5</t>
  </si>
  <si>
    <t>KAM-208920</t>
  </si>
  <si>
    <t>a1N3p00000FRPO4EAP</t>
  </si>
  <si>
    <t>KAM-208841</t>
  </si>
  <si>
    <t>a1N3p00000FRPPMEA5</t>
  </si>
  <si>
    <t>KAM-208921</t>
  </si>
  <si>
    <t>a1N3p00000FRPO5EAP</t>
  </si>
  <si>
    <t>KAM-208842</t>
  </si>
  <si>
    <t>a1N3p00000FRPPNEA5</t>
  </si>
  <si>
    <t>KAM-208922</t>
  </si>
  <si>
    <t>a1N3p00000FRPO6EAP</t>
  </si>
  <si>
    <t>KAM-208843</t>
  </si>
  <si>
    <t>a1N3p00000FRPPOEA5</t>
  </si>
  <si>
    <t>KAM-208923</t>
  </si>
  <si>
    <t>a1N3p00000FRPO7EAP</t>
  </si>
  <si>
    <t>KAM-208844</t>
  </si>
  <si>
    <t>a1N3p00000FRPPPEA5</t>
  </si>
  <si>
    <t>KAM-208924</t>
  </si>
  <si>
    <t>a1N3p00000FRPO8EAP</t>
  </si>
  <si>
    <t>KAM-208845</t>
  </si>
  <si>
    <t>a1N3p00000FRPPQEA5</t>
  </si>
  <si>
    <t>KAM-208925</t>
  </si>
  <si>
    <t>a1N3p00000FRPO9EAP</t>
  </si>
  <si>
    <t>KAM-208846</t>
  </si>
  <si>
    <t>a1N3p00000FRPPREA5</t>
  </si>
  <si>
    <t>KAM-208926</t>
  </si>
  <si>
    <t>a1N3p00000FRPOAEA5</t>
  </si>
  <si>
    <t>KAM-208847</t>
  </si>
  <si>
    <t>a1N3p00000FRPPSEA5</t>
  </si>
  <si>
    <t>KAM-208927</t>
  </si>
  <si>
    <t>a1N3p00000FRPOBEA5</t>
  </si>
  <si>
    <t>KAM-208848</t>
  </si>
  <si>
    <t>a1N3p00000FRPPTEA5</t>
  </si>
  <si>
    <t>KAM-208928</t>
  </si>
  <si>
    <t>a1N3p00000FRPOCEA5</t>
  </si>
  <si>
    <t>KAM-208849</t>
  </si>
  <si>
    <t>a1N3p00000FRPPVEA5</t>
  </si>
  <si>
    <t>KAM-208930</t>
  </si>
  <si>
    <t>a1N3p00000FRPODEA5</t>
  </si>
  <si>
    <t>KAM-208850</t>
  </si>
  <si>
    <t>a1N3p00000FRPPWEA5</t>
  </si>
  <si>
    <t>KAM-208931</t>
  </si>
  <si>
    <t>a1N3p00000FRPOEEA5</t>
  </si>
  <si>
    <t>KAM-208851</t>
  </si>
  <si>
    <t>a1N3p00000FRPPXEA5</t>
  </si>
  <si>
    <t>KAM-208932</t>
  </si>
  <si>
    <t>a1N3p00000FRPOFEA5</t>
  </si>
  <si>
    <t>KAM-208852</t>
  </si>
  <si>
    <t>a1N3p00000FRPPUEA5</t>
  </si>
  <si>
    <t>KAM-208929</t>
  </si>
  <si>
    <t>a1N3p00000FRPOGEA5</t>
  </si>
  <si>
    <t>KAM-208853</t>
  </si>
  <si>
    <t>a1N3p00000FRPPYEA5</t>
  </si>
  <si>
    <t>KAM-208933</t>
  </si>
  <si>
    <t>a1N3p00000FRPOHEA5</t>
  </si>
  <si>
    <t>KAM-208854</t>
  </si>
  <si>
    <t>a1N3p00000FRPPZEA5</t>
  </si>
  <si>
    <t>KAM-208934</t>
  </si>
  <si>
    <t>a1N3p00000FRPOIEA5</t>
  </si>
  <si>
    <t>KAM-208855</t>
  </si>
  <si>
    <t>a1N3p00000FRPPaEAP</t>
  </si>
  <si>
    <t>KAM-208935</t>
  </si>
  <si>
    <t>a1N3p00000FRPOJEA5</t>
  </si>
  <si>
    <t>KAM-208856</t>
  </si>
  <si>
    <t>a1N3p00000FRPPbEAP</t>
  </si>
  <si>
    <t>KAM-208936</t>
  </si>
  <si>
    <t>a1N3p00000FRPOKEA5</t>
  </si>
  <si>
    <t>KAM-208857</t>
  </si>
  <si>
    <t>a1N3p00000FRPPcEAP</t>
  </si>
  <si>
    <t>KAM-208937</t>
  </si>
  <si>
    <t>a1N3p00000FRPOLEA5</t>
  </si>
  <si>
    <t>KAM-208858</t>
  </si>
  <si>
    <t>a1N3p00000FRPPdEAP</t>
  </si>
  <si>
    <t>KAM-208938</t>
  </si>
  <si>
    <t>a1N3p00000FRPOMEA5</t>
  </si>
  <si>
    <t>KAM-208859</t>
  </si>
  <si>
    <t>a1N3p00000FRPPeEAP</t>
  </si>
  <si>
    <t>KAM-208939</t>
  </si>
  <si>
    <t>a1N3p00000FRPONEA5</t>
  </si>
  <si>
    <t>KAM-208860</t>
  </si>
  <si>
    <t>a1N3p00000FRPPgEAP</t>
  </si>
  <si>
    <t>KAM-208941</t>
  </si>
  <si>
    <t>a1N3p00000FRPOOEA5</t>
  </si>
  <si>
    <t>KAM-208861</t>
  </si>
  <si>
    <t>a1N3p00000FRPPhEAP</t>
  </si>
  <si>
    <t>KAM-208942</t>
  </si>
  <si>
    <t>a1N3p00000FRPOPEA5</t>
  </si>
  <si>
    <t>KAM-208862</t>
  </si>
  <si>
    <t>a1N3p00000FRPPiEAP</t>
  </si>
  <si>
    <t>KAM-208943</t>
  </si>
  <si>
    <t>a1N3p00000FRPOQEA5</t>
  </si>
  <si>
    <t>KAM-208863</t>
  </si>
  <si>
    <t>a1N3p00000FRPPfEAP</t>
  </si>
  <si>
    <t>KAM-208940</t>
  </si>
  <si>
    <t>a1N3p00000FRPOREA5</t>
  </si>
  <si>
    <t>KAM-208864</t>
  </si>
  <si>
    <t>a1N3p00000FRPPjEAP</t>
  </si>
  <si>
    <t>KAM-208944</t>
  </si>
  <si>
    <t>a1N3p00000FRPOSEA5</t>
  </si>
  <si>
    <t>KAM-208865</t>
  </si>
  <si>
    <t>a1N3p00000FRPPkEAP</t>
  </si>
  <si>
    <t>KAM-208945</t>
  </si>
  <si>
    <t>a1N3p00000FRPOTEA5</t>
  </si>
  <si>
    <t>KAM-208866</t>
  </si>
  <si>
    <t>a1N3p00000FRPPlEAP</t>
  </si>
  <si>
    <t>KAM-208946</t>
  </si>
  <si>
    <t>a1N3p00000FRPOUEA5</t>
  </si>
  <si>
    <t>KAM-208867</t>
  </si>
  <si>
    <t>a1N3p00000FRPPnEAP</t>
  </si>
  <si>
    <t>KAM-208948</t>
  </si>
  <si>
    <t>a1N3p00000FRPOVEA5</t>
  </si>
  <si>
    <t>KAM-208868</t>
  </si>
  <si>
    <t>a1N3p00000FRPPoEAP</t>
  </si>
  <si>
    <t>KAM-208949</t>
  </si>
  <si>
    <t>a1N3p00000FRPOWEA5</t>
  </si>
  <si>
    <t>KAM-208869</t>
  </si>
  <si>
    <t>a1N3p00000FRPPpEAP</t>
  </si>
  <si>
    <t>KAM-208950</t>
  </si>
  <si>
    <t>a1N3p00000FRPOXEA5</t>
  </si>
  <si>
    <t>KAM-208870</t>
  </si>
  <si>
    <t>a1N3p00000FRPPmEAP</t>
  </si>
  <si>
    <t>KAM-208947</t>
  </si>
  <si>
    <t>a1N3p00000FRPOYEA5</t>
  </si>
  <si>
    <t>KAM-208871</t>
  </si>
  <si>
    <t>a1N3p00000FRPPqEAP</t>
  </si>
  <si>
    <t>KAM-208951</t>
  </si>
  <si>
    <t>a1N3p00000FRPOZEA5</t>
  </si>
  <si>
    <t>KAM-208872</t>
  </si>
  <si>
    <t>a1N3p00000FRPPrEAP</t>
  </si>
  <si>
    <t>KAM-208952</t>
  </si>
  <si>
    <t>a1N3p00000FRPOaEAP</t>
  </si>
  <si>
    <t>KAM-208873</t>
  </si>
  <si>
    <t>a1N3p00000FRPPsEAP</t>
  </si>
  <si>
    <t>KAM-208953</t>
  </si>
  <si>
    <t>a1N3p00000FRPObEAP</t>
  </si>
  <si>
    <t>KAM-208874</t>
  </si>
  <si>
    <t>a1N3p00000FRPPtEAP</t>
  </si>
  <si>
    <t>KAM-208954</t>
  </si>
  <si>
    <t>a1N3p00000FRPOcEAP</t>
  </si>
  <si>
    <t>KAM-208875</t>
  </si>
  <si>
    <t>a1N3p00000FRPPuEAP</t>
  </si>
  <si>
    <t>KAM-208955</t>
  </si>
  <si>
    <t>a1N3p00000FRPOdEAP</t>
  </si>
  <si>
    <t>KAM-208876</t>
  </si>
  <si>
    <t>a1N3p00000FRPPvEAP</t>
  </si>
  <si>
    <t>KAM-208956</t>
  </si>
  <si>
    <t>a1N3p00000FRPOeEAP</t>
  </si>
  <si>
    <t>KAM-208877</t>
  </si>
  <si>
    <t>a1N3p00000FRPPxEAP</t>
  </si>
  <si>
    <t>KAM-208958</t>
  </si>
  <si>
    <t>a1N3p00000FRPOfEAP</t>
  </si>
  <si>
    <t>KAM-208878</t>
  </si>
  <si>
    <t>a1N3p00000FRPPyEAP</t>
  </si>
  <si>
    <t>KAM-208959</t>
  </si>
  <si>
    <t>a1N3p00000FRPOgEAP</t>
  </si>
  <si>
    <t>KAM-208879</t>
  </si>
  <si>
    <t>a1N3p00000FRPPzEAP</t>
  </si>
  <si>
    <t>KAM-208960</t>
  </si>
  <si>
    <t>a1N3p00000FRPOhEAP</t>
  </si>
  <si>
    <t>KAM-208880</t>
  </si>
  <si>
    <t>a1N3p00000FRPPwEAP</t>
  </si>
  <si>
    <t>KAM-208957</t>
  </si>
  <si>
    <t>a1N3p00000FRPOiEAP</t>
  </si>
  <si>
    <t>KAM-208881</t>
  </si>
  <si>
    <t>a1N3p00000FRPQ0EAP</t>
  </si>
  <si>
    <t>KAM-208961</t>
  </si>
  <si>
    <t>a1N3p00000FRPOjEAP</t>
  </si>
  <si>
    <t>KAM-208882</t>
  </si>
  <si>
    <t>a1N3p00000FRPQ1EAP</t>
  </si>
  <si>
    <t>KAM-208962</t>
  </si>
  <si>
    <t>a1N3p00000FRPOkEAP</t>
  </si>
  <si>
    <t>KAM-208883</t>
  </si>
  <si>
    <t>a1N3p00000FRPQ2EAP</t>
  </si>
  <si>
    <t>KAM-208963</t>
  </si>
  <si>
    <t>a1N3p00000FRPOlEAP</t>
  </si>
  <si>
    <t>KAM-208884</t>
  </si>
  <si>
    <t>a1N3p00000FRPQ3EAP</t>
  </si>
  <si>
    <t>KAM-208964</t>
  </si>
  <si>
    <t>a1N3p00000FRPOmEAP</t>
  </si>
  <si>
    <t>KAM-208885</t>
  </si>
  <si>
    <t>a1N3p00000FRPQ4EAP</t>
  </si>
  <si>
    <t>KAM-208965</t>
  </si>
  <si>
    <t>a1N3p00000FRPOnEAP</t>
  </si>
  <si>
    <t>KAM-208886</t>
  </si>
  <si>
    <t>a1N3p00000FRPQ6EAP</t>
  </si>
  <si>
    <t>KAM-208967</t>
  </si>
  <si>
    <t>a1N3p00000FRPOoEAP</t>
  </si>
  <si>
    <t>KAM-208887</t>
  </si>
  <si>
    <t>a1N3p00000FRPQ7EAP</t>
  </si>
  <si>
    <t>KAM-208968</t>
  </si>
  <si>
    <t>a1N3p00000FRPOpEAP</t>
  </si>
  <si>
    <t>KAM-208888</t>
  </si>
  <si>
    <t>a1N3p00000FRPQ8EAP</t>
  </si>
  <si>
    <t>KAM-208969</t>
  </si>
  <si>
    <t>a1N3p00000FRPOqEAP</t>
  </si>
  <si>
    <t>KAM-208889</t>
  </si>
  <si>
    <t>a1N3p00000FRPQ5EAP</t>
  </si>
  <si>
    <t>KAM-208966</t>
  </si>
  <si>
    <t>a1N3p00000FRPOrEAP</t>
  </si>
  <si>
    <t>KAM-208890</t>
  </si>
  <si>
    <t>a1N3p00000FRPQ9EAP</t>
  </si>
  <si>
    <t>KAM-208970</t>
  </si>
  <si>
    <t>a1N3p00000FRPOsEAP</t>
  </si>
  <si>
    <t>KAM-208891</t>
  </si>
  <si>
    <t>a1N3p00000FRPQAEA5</t>
  </si>
  <si>
    <t>KAM-208971</t>
  </si>
  <si>
    <t>a1N3p00000FRPOtEAP</t>
  </si>
  <si>
    <t>KAM-208892</t>
  </si>
  <si>
    <t>a1N3p00000FRPQBEA5</t>
  </si>
  <si>
    <t>KAM-208972</t>
  </si>
  <si>
    <t>a1N3p00000FRPOuEAP</t>
  </si>
  <si>
    <t>KAM-208893</t>
  </si>
  <si>
    <t>a1N3p00000FRPQCEA5</t>
  </si>
  <si>
    <t>KAM-208973</t>
  </si>
  <si>
    <t>a1N3p00000FRPOvEAP</t>
  </si>
  <si>
    <t>KAM-208894</t>
  </si>
  <si>
    <t>a1N3p00000FRPQDEA5</t>
  </si>
  <si>
    <t>KAM-208974</t>
  </si>
  <si>
    <t>a1N3p00000FRPOwEAP</t>
  </si>
  <si>
    <t>KAM-208895</t>
  </si>
  <si>
    <t>a1N3p00000FRPQFEA5</t>
  </si>
  <si>
    <t>KAM-208976</t>
  </si>
  <si>
    <t>a1N3p00000FRPOxEAP</t>
  </si>
  <si>
    <t>KAM-208896</t>
  </si>
  <si>
    <t>a1N3p00000FRPQGEA5</t>
  </si>
  <si>
    <t>KAM-208977</t>
  </si>
  <si>
    <t>a1N3p00000FRPOyEAP</t>
  </si>
  <si>
    <t>KAM-208897</t>
  </si>
  <si>
    <t>a1N3p00000FRPQHEA5</t>
  </si>
  <si>
    <t>KAM-208978</t>
  </si>
  <si>
    <t>a1N3p00000FRPOzEAP</t>
  </si>
  <si>
    <t>KAM-208898</t>
  </si>
  <si>
    <t>a1N3p00000FRPQEEA5</t>
  </si>
  <si>
    <t>KAM-208975</t>
  </si>
  <si>
    <t>a1N3p00000FRPP0EAP</t>
  </si>
  <si>
    <t>KAM-208899</t>
  </si>
  <si>
    <t>a1N3p00000FRPQIEA5</t>
  </si>
  <si>
    <t>KAM-208979</t>
  </si>
  <si>
    <t>a1N3p00000FRPP1EAP</t>
  </si>
  <si>
    <t>KAM-208900</t>
  </si>
  <si>
    <t>a1N3p00000FRPQJEA5</t>
  </si>
  <si>
    <t>KAM-208980</t>
  </si>
  <si>
    <t>a1N3p00000FRPP2EAP</t>
  </si>
  <si>
    <t>KAM-208901</t>
  </si>
  <si>
    <t>a1N3p00000FRPQKEA5</t>
  </si>
  <si>
    <t>KAM-208981</t>
  </si>
  <si>
    <t>a1N3p00000FRPP3EAP</t>
  </si>
  <si>
    <t>KAM-208902</t>
  </si>
  <si>
    <t>a1N3p00000FRPQLEA5</t>
  </si>
  <si>
    <t>KAM-208982</t>
  </si>
  <si>
    <t>a1N3p00000FRPP4EAP</t>
  </si>
  <si>
    <t>KAM-208903</t>
  </si>
  <si>
    <t>a1N3p00000FRPQMEA5</t>
  </si>
  <si>
    <t>KAM-208983</t>
  </si>
  <si>
    <t>a1N3p00000FRPP5EAP</t>
  </si>
  <si>
    <t>KAM-208904</t>
  </si>
  <si>
    <t>a1N3p00000FRPQNEA5</t>
  </si>
  <si>
    <t>KAM-208984</t>
  </si>
  <si>
    <t>a1N3p00000FRPP6EAP</t>
  </si>
  <si>
    <t>KAM-208905</t>
  </si>
  <si>
    <t>a1N3p00000FRPQOEA5</t>
  </si>
  <si>
    <t>KAM-208985</t>
  </si>
  <si>
    <t>a1N3p00000FRPP7EAP</t>
  </si>
  <si>
    <t>KAM-208906</t>
  </si>
  <si>
    <t>a1N3p00000FRPQPEA5</t>
  </si>
  <si>
    <t>KAM-208986</t>
  </si>
  <si>
    <t>a1N3p00000FRPP8EAP</t>
  </si>
  <si>
    <t>KAM-208907</t>
  </si>
  <si>
    <t>a1N3p00000FRPQQEA5</t>
  </si>
  <si>
    <t>KAM-208987</t>
  </si>
  <si>
    <t>a1N3p00000FRPP9EAP</t>
  </si>
  <si>
    <t>KAM-208908</t>
  </si>
  <si>
    <t>a1N3p00000FRPQREA5</t>
  </si>
  <si>
    <t>KAM-208988</t>
  </si>
  <si>
    <t>a1N3p00000FRPPAEA5</t>
  </si>
  <si>
    <t>KAM-208909</t>
  </si>
  <si>
    <t>a1N3p00000FRPQSEA5</t>
  </si>
  <si>
    <t>KAM-208989</t>
  </si>
  <si>
    <t>Al ser un país focalizado no se solicita desagregación para los indicadores.</t>
  </si>
  <si>
    <t>a1b3p0000095S7SAAU</t>
  </si>
  <si>
    <t>a1b3p0000095SA2AAM</t>
  </si>
  <si>
    <t>a1b3p0000095SCcAAM</t>
  </si>
  <si>
    <t>a1b3p0000095SFCAA2</t>
  </si>
  <si>
    <t>a1b3p0000095SHmAAM</t>
  </si>
  <si>
    <t>a1b3p0000095SKMAA2</t>
  </si>
  <si>
    <t>a1b3p0000095S7TAAU</t>
  </si>
  <si>
    <t>a1b3p0000095SA3AAM</t>
  </si>
  <si>
    <t>a1b3p0000095SCdAAM</t>
  </si>
  <si>
    <t>a1b3p0000095SFDAA2</t>
  </si>
  <si>
    <t>a1b3p0000095SHnAAM</t>
  </si>
  <si>
    <t>a1b3p0000095SKNAA2</t>
  </si>
  <si>
    <t>a1b3p0000095S7UAAU</t>
  </si>
  <si>
    <t>a1b3p0000095SA4AAM</t>
  </si>
  <si>
    <t>a1b3p0000095SCeAAM</t>
  </si>
  <si>
    <t>a1b3p0000095SFEAA2</t>
  </si>
  <si>
    <t>a1b3p0000095SHoAAM</t>
  </si>
  <si>
    <t>a1b3p0000095SKOAA2</t>
  </si>
  <si>
    <t>a1b3p0000095S7VAAU</t>
  </si>
  <si>
    <t>a1b3p0000095SA5AAM</t>
  </si>
  <si>
    <t>a1b3p0000095SCfAAM</t>
  </si>
  <si>
    <t>a1b3p0000095SFFAA2</t>
  </si>
  <si>
    <t>a1b3p0000095SHpAAM</t>
  </si>
  <si>
    <t>a1b3p0000095SKPAA2</t>
  </si>
  <si>
    <t>a1b3p0000095S7WAAU</t>
  </si>
  <si>
    <t>a1b3p0000095SA6AAM</t>
  </si>
  <si>
    <t>a1b3p0000095SCgAAM</t>
  </si>
  <si>
    <t>a1b3p0000095SFGAA2</t>
  </si>
  <si>
    <t>a1b3p0000095SHqAAM</t>
  </si>
  <si>
    <t>a1b3p0000095SKQAA2</t>
  </si>
  <si>
    <t>a1b3p0000095S7XAAU</t>
  </si>
  <si>
    <t>a1b3p0000095SA7AAM</t>
  </si>
  <si>
    <t>a1b3p0000095SChAAM</t>
  </si>
  <si>
    <t>a1b3p0000095SFHAA2</t>
  </si>
  <si>
    <t>a1b3p0000095SHrAAM</t>
  </si>
  <si>
    <t>a1b3p0000095SKRAA2</t>
  </si>
  <si>
    <t>a1b3p0000095S7YAAU</t>
  </si>
  <si>
    <t>a1b3p0000095SA8AAM</t>
  </si>
  <si>
    <t>a1b3p0000095SCiAAM</t>
  </si>
  <si>
    <t>a1b3p0000095SFIAA2</t>
  </si>
  <si>
    <t>a1b3p0000095SHsAAM</t>
  </si>
  <si>
    <t>a1b3p0000095SKSAA2</t>
  </si>
  <si>
    <t>a1b3p0000095S7ZAAU</t>
  </si>
  <si>
    <t>a1b3p0000095SA9AAM</t>
  </si>
  <si>
    <t>a1b3p0000095SCjAAM</t>
  </si>
  <si>
    <t>a1b3p0000095SFJAA2</t>
  </si>
  <si>
    <t>a1b3p0000095SHtAAM</t>
  </si>
  <si>
    <t>a1b3p0000095SKTAA2</t>
  </si>
  <si>
    <t>a1b3p0000095S7aAAE</t>
  </si>
  <si>
    <t>a1b3p0000095SAAAA2</t>
  </si>
  <si>
    <t>a1b3p0000095SCkAAM</t>
  </si>
  <si>
    <t>a1b3p0000095SFKAA2</t>
  </si>
  <si>
    <t>a1b3p0000095SHuAAM</t>
  </si>
  <si>
    <t>a1b3p0000095SKUAA2</t>
  </si>
  <si>
    <t>a1b3p0000095S7bAAE</t>
  </si>
  <si>
    <t>a1b3p0000095SABAA2</t>
  </si>
  <si>
    <t>a1b3p0000095SClAAM</t>
  </si>
  <si>
    <t>a1b3p0000095SFLAA2</t>
  </si>
  <si>
    <t>a1b3p0000095SHvAAM</t>
  </si>
  <si>
    <t>a1b3p0000095SKVAA2</t>
  </si>
  <si>
    <t>a1b3p0000095S7cAAE</t>
  </si>
  <si>
    <t>a1b3p0000095SACAA2</t>
  </si>
  <si>
    <t>a1b3p0000095SCmAAM</t>
  </si>
  <si>
    <t>a1b3p0000095SFMAA2</t>
  </si>
  <si>
    <t>a1b3p0000095SHwAAM</t>
  </si>
  <si>
    <t>a1b3p0000095SKWAA2</t>
  </si>
  <si>
    <t>a1b3p0000095S7dAAE</t>
  </si>
  <si>
    <t>a1b3p0000095SADAA2</t>
  </si>
  <si>
    <t>a1b3p0000095SCnAAM</t>
  </si>
  <si>
    <t>a1b3p0000095SFNAA2</t>
  </si>
  <si>
    <t>a1b3p0000095SHxAAM</t>
  </si>
  <si>
    <t>a1b3p0000095SKXAA2</t>
  </si>
  <si>
    <t>a1b3p0000095S7eAAE</t>
  </si>
  <si>
    <t>a1b3p0000095SAEAA2</t>
  </si>
  <si>
    <t>a1b3p0000095SCoAAM</t>
  </si>
  <si>
    <t>a1b3p0000095SFOAA2</t>
  </si>
  <si>
    <t>a1b3p0000095SHyAAM</t>
  </si>
  <si>
    <t>a1b3p0000095SKYAA2</t>
  </si>
  <si>
    <t>a1b3p0000095S7fAAE</t>
  </si>
  <si>
    <t>a1b3p0000095SAFAA2</t>
  </si>
  <si>
    <t>a1b3p0000095SCpAAM</t>
  </si>
  <si>
    <t>a1b3p0000095SFPAA2</t>
  </si>
  <si>
    <t>a1b3p0000095SHzAAM</t>
  </si>
  <si>
    <t>a1b3p0000095SKZAA2</t>
  </si>
  <si>
    <t>a1b3p0000095S7gAAE</t>
  </si>
  <si>
    <t>a1b3p0000095SAGAA2</t>
  </si>
  <si>
    <t>a1b3p0000095SCqAAM</t>
  </si>
  <si>
    <t>a1b3p0000095SFQAA2</t>
  </si>
  <si>
    <t>a1b3p0000095SI0AAM</t>
  </si>
  <si>
    <t>a1b3p0000095SKaAAM</t>
  </si>
  <si>
    <t>a1b3p0000095S7hAAE</t>
  </si>
  <si>
    <t>a1b3p0000095SAHAA2</t>
  </si>
  <si>
    <t>a1b3p0000095SCrAAM</t>
  </si>
  <si>
    <t>a1b3p0000095SFRAA2</t>
  </si>
  <si>
    <t>a1b3p0000095SI1AAM</t>
  </si>
  <si>
    <t>a1b3p0000095SKbAAM</t>
  </si>
  <si>
    <t>a1b3p0000095S7iAAE</t>
  </si>
  <si>
    <t>a1b3p0000095SAIAA2</t>
  </si>
  <si>
    <t>a1b3p0000095SCsAAM</t>
  </si>
  <si>
    <t>a1b3p0000095SFSAA2</t>
  </si>
  <si>
    <t>a1b3p0000095SI2AAM</t>
  </si>
  <si>
    <t>a1b3p0000095SKcAAM</t>
  </si>
  <si>
    <t>a1b3p0000095S7jAAE</t>
  </si>
  <si>
    <t>a1b3p0000095SAJAA2</t>
  </si>
  <si>
    <t>a1b3p0000095SCtAAM</t>
  </si>
  <si>
    <t>a1b3p0000095SFTAA2</t>
  </si>
  <si>
    <t>a1b3p0000095SI3AAM</t>
  </si>
  <si>
    <t>a1b3p0000095SKdAAM</t>
  </si>
  <si>
    <t>a1b3p0000095S7kAAE</t>
  </si>
  <si>
    <t>a1b3p0000095SAKAA2</t>
  </si>
  <si>
    <t>a1b3p0000095SCuAAM</t>
  </si>
  <si>
    <t>a1b3p0000095SFUAA2</t>
  </si>
  <si>
    <t>a1b3p0000095SI4AAM</t>
  </si>
  <si>
    <t>a1b3p0000095SKeAAM</t>
  </si>
  <si>
    <t>a1b3p0000095S7lAAE</t>
  </si>
  <si>
    <t>a1b3p0000095SALAA2</t>
  </si>
  <si>
    <t>a1b3p0000095SCvAAM</t>
  </si>
  <si>
    <t>a1b3p0000095SFVAA2</t>
  </si>
  <si>
    <t>a1b3p0000095SI5AAM</t>
  </si>
  <si>
    <t>a1b3p0000095SKfAAM</t>
  </si>
  <si>
    <t>a1b3p0000095S7mAAE</t>
  </si>
  <si>
    <t>a1b3p0000095SAMAA2</t>
  </si>
  <si>
    <t>a1b3p0000095SCwAAM</t>
  </si>
  <si>
    <t>a1b3p0000095SFWAA2</t>
  </si>
  <si>
    <t>a1b3p0000095SI6AAM</t>
  </si>
  <si>
    <t>a1b3p0000095SKgAAM</t>
  </si>
  <si>
    <t>a1b3p0000095S7nAAE</t>
  </si>
  <si>
    <t>a1b3p0000095SANAA2</t>
  </si>
  <si>
    <t>a1b3p0000095SCxAAM</t>
  </si>
  <si>
    <t>a1b3p0000095SFXAA2</t>
  </si>
  <si>
    <t>a1b3p0000095SI7AAM</t>
  </si>
  <si>
    <t>a1b3p0000095SKhAAM</t>
  </si>
  <si>
    <t>a1b3p0000095S7oAAE</t>
  </si>
  <si>
    <t>a1b3p0000095SAOAA2</t>
  </si>
  <si>
    <t>a1b3p0000095SCyAAM</t>
  </si>
  <si>
    <t>a1b3p0000095SFYAA2</t>
  </si>
  <si>
    <t>a1b3p0000095SI8AAM</t>
  </si>
  <si>
    <t>a1b3p0000095SKiAAM</t>
  </si>
  <si>
    <t>a1b3p0000095S7pAAE</t>
  </si>
  <si>
    <t>a1b3p0000095SAPAA2</t>
  </si>
  <si>
    <t>a1b3p0000095SCzAAM</t>
  </si>
  <si>
    <t>a1b3p0000095SFZAA2</t>
  </si>
  <si>
    <t>a1b3p0000095SI9AAM</t>
  </si>
  <si>
    <t>a1b3p0000095SKjAAM</t>
  </si>
  <si>
    <t>a1b3p0000095S7qAAE</t>
  </si>
  <si>
    <t>a1b3p0000095SAQAA2</t>
  </si>
  <si>
    <t>a1b3p0000095SD0AAM</t>
  </si>
  <si>
    <t>a1b3p0000095SFaAAM</t>
  </si>
  <si>
    <t>a1b3p0000095SIAAA2</t>
  </si>
  <si>
    <t>a1b3p0000095SKkAAM</t>
  </si>
  <si>
    <t>a1b3p0000095S7rAAE</t>
  </si>
  <si>
    <t>a1b3p0000095SARAA2</t>
  </si>
  <si>
    <t>a1b3p0000095SD1AAM</t>
  </si>
  <si>
    <t>a1b3p0000095SFbAAM</t>
  </si>
  <si>
    <t>a1b3p0000095SIBAA2</t>
  </si>
  <si>
    <t>a1b3p0000095SKlAAM</t>
  </si>
  <si>
    <t>a1b3p0000095S7sAAE</t>
  </si>
  <si>
    <t>a1b3p0000095SASAA2</t>
  </si>
  <si>
    <t>a1b3p0000095SD2AAM</t>
  </si>
  <si>
    <t>a1b3p0000095SFcAAM</t>
  </si>
  <si>
    <t>a1b3p0000095SICAA2</t>
  </si>
  <si>
    <t>a1b3p0000095SKmAAM</t>
  </si>
  <si>
    <t>a1b3p0000095S7tAAE</t>
  </si>
  <si>
    <t>a1b3p0000095SATAA2</t>
  </si>
  <si>
    <t>a1b3p0000095SD3AAM</t>
  </si>
  <si>
    <t>a1b3p0000095SFdAAM</t>
  </si>
  <si>
    <t>a1b3p0000095SIDAA2</t>
  </si>
  <si>
    <t>a1b3p0000095SKnAAM</t>
  </si>
  <si>
    <t>a1b3p0000095S7uAAE</t>
  </si>
  <si>
    <t>a1b3p0000095SAUAA2</t>
  </si>
  <si>
    <t>a1b3p0000095SD4AAM</t>
  </si>
  <si>
    <t>a1b3p0000095SFeAAM</t>
  </si>
  <si>
    <t>a1b3p0000095SIEAA2</t>
  </si>
  <si>
    <t>a1b3p0000095SKoAAM</t>
  </si>
  <si>
    <t>a1b3p0000095S7vAAE</t>
  </si>
  <si>
    <t>a1b3p0000095SAVAA2</t>
  </si>
  <si>
    <t>a1b3p0000095SD5AAM</t>
  </si>
  <si>
    <t>a1b3p0000095SFfAAM</t>
  </si>
  <si>
    <t>a1b3p0000095SIFAA2</t>
  </si>
  <si>
    <t>a1b3p0000095SKpAAM</t>
  </si>
  <si>
    <t>a1b3p0000095S7wAAE</t>
  </si>
  <si>
    <t>a1b3p0000095SAWAA2</t>
  </si>
  <si>
    <t>a1b3p0000095SD6AAM</t>
  </si>
  <si>
    <t>a1b3p0000095SFgAAM</t>
  </si>
  <si>
    <t>a1b3p0000095SIGAA2</t>
  </si>
  <si>
    <t>a1b3p0000095SKqAAM</t>
  </si>
  <si>
    <t>a1b3p0000095S7xAAE</t>
  </si>
  <si>
    <t>a1b3p0000095SAXAA2</t>
  </si>
  <si>
    <t>a1b3p0000095SD7AAM</t>
  </si>
  <si>
    <t>a1b3p0000095SFhAAM</t>
  </si>
  <si>
    <t>a1b3p0000095SIHAA2</t>
  </si>
  <si>
    <t>a1b3p0000095SKrAAM</t>
  </si>
  <si>
    <t>a1b3p0000095S7yAAE</t>
  </si>
  <si>
    <t>a1b3p0000095SAYAA2</t>
  </si>
  <si>
    <t>a1b3p0000095SD8AAM</t>
  </si>
  <si>
    <t>a1b3p0000095SFiAAM</t>
  </si>
  <si>
    <t>a1b3p0000095SIIAA2</t>
  </si>
  <si>
    <t>a1b3p0000095SKsAAM</t>
  </si>
  <si>
    <t>a1b3p0000095S7zAAE</t>
  </si>
  <si>
    <t>a1b3p0000095SAZAA2</t>
  </si>
  <si>
    <t>a1b3p0000095SD9AAM</t>
  </si>
  <si>
    <t>a1b3p0000095SFjAAM</t>
  </si>
  <si>
    <t>a1b3p0000095SIJAA2</t>
  </si>
  <si>
    <t>a1b3p0000095SKtAAM</t>
  </si>
  <si>
    <t>a1b3p0000095S80AAE</t>
  </si>
  <si>
    <t>a1b3p0000095SAaAAM</t>
  </si>
  <si>
    <t>a1b3p0000095SDAAA2</t>
  </si>
  <si>
    <t>a1b3p0000095SFkAAM</t>
  </si>
  <si>
    <t>a1b3p0000095SIKAA2</t>
  </si>
  <si>
    <t>a1b3p0000095SKuAAM</t>
  </si>
  <si>
    <t>a1b3p0000095S81AAE</t>
  </si>
  <si>
    <t>a1b3p0000095SAbAAM</t>
  </si>
  <si>
    <t>a1b3p0000095SDBAA2</t>
  </si>
  <si>
    <t>a1b3p0000095SFlAAM</t>
  </si>
  <si>
    <t>a1b3p0000095SILAA2</t>
  </si>
  <si>
    <t>a1b3p0000095SKvAAM</t>
  </si>
  <si>
    <t>a1b3p0000095S82AAE</t>
  </si>
  <si>
    <t>a1b3p0000095SAcAAM</t>
  </si>
  <si>
    <t>a1b3p0000095SDCAA2</t>
  </si>
  <si>
    <t>a1b3p0000095SFmAAM</t>
  </si>
  <si>
    <t>a1b3p0000095SIMAA2</t>
  </si>
  <si>
    <t>a1b3p0000095SKwAAM</t>
  </si>
  <si>
    <t>a1b3p0000095S83AAE</t>
  </si>
  <si>
    <t>a1b3p0000095SAdAAM</t>
  </si>
  <si>
    <t>a1b3p0000095SDDAA2</t>
  </si>
  <si>
    <t>a1b3p0000095SFnAAM</t>
  </si>
  <si>
    <t>a1b3p0000095SINAA2</t>
  </si>
  <si>
    <t>a1b3p0000095SKxAAM</t>
  </si>
  <si>
    <t>a1b3p0000095S84AAE</t>
  </si>
  <si>
    <t>a1b3p0000095SAeAAM</t>
  </si>
  <si>
    <t>a1b3p0000095SDEAA2</t>
  </si>
  <si>
    <t>a1b3p0000095SFoAAM</t>
  </si>
  <si>
    <t>a1b3p0000095SIOAA2</t>
  </si>
  <si>
    <t>a1b3p0000095SKyAAM</t>
  </si>
  <si>
    <t>a1b3p0000095S85AAE</t>
  </si>
  <si>
    <t>a1b3p0000095SAfAAM</t>
  </si>
  <si>
    <t>a1b3p0000095SDFAA2</t>
  </si>
  <si>
    <t>a1b3p0000095SFpAAM</t>
  </si>
  <si>
    <t>a1b3p0000095SIPAA2</t>
  </si>
  <si>
    <t>a1b3p0000095SKzAAM</t>
  </si>
  <si>
    <t>a1b3p0000095S86AAE</t>
  </si>
  <si>
    <t>a1b3p0000095SAgAAM</t>
  </si>
  <si>
    <t>a1b3p0000095SDGAA2</t>
  </si>
  <si>
    <t>a1b3p0000095SFqAAM</t>
  </si>
  <si>
    <t>a1b3p0000095SIQAA2</t>
  </si>
  <si>
    <t>a1b3p0000095SL0AAM</t>
  </si>
  <si>
    <t>a1b3p0000095S87AAE</t>
  </si>
  <si>
    <t>a1b3p0000095SAhAAM</t>
  </si>
  <si>
    <t>a1b3p0000095SDHAA2</t>
  </si>
  <si>
    <t>a1b3p0000095SFrAAM</t>
  </si>
  <si>
    <t>a1b3p0000095SIRAA2</t>
  </si>
  <si>
    <t>a1b3p0000095SL1AAM</t>
  </si>
  <si>
    <t>a1b3p0000095S88AAE</t>
  </si>
  <si>
    <t>a1b3p0000095SAiAAM</t>
  </si>
  <si>
    <t>a1b3p0000095SDIAA2</t>
  </si>
  <si>
    <t>a1b3p0000095SFsAAM</t>
  </si>
  <si>
    <t>a1b3p0000095SISAA2</t>
  </si>
  <si>
    <t>a1b3p0000095SL2AAM</t>
  </si>
  <si>
    <t>a1b3p0000095S89AAE</t>
  </si>
  <si>
    <t>a1b3p0000095SAjAAM</t>
  </si>
  <si>
    <t>a1b3p0000095SDJAA2</t>
  </si>
  <si>
    <t>a1b3p0000095SFtAAM</t>
  </si>
  <si>
    <t>a1b3p0000095SITAA2</t>
  </si>
  <si>
    <t>a1b3p0000095SL3AAM</t>
  </si>
  <si>
    <t>a1b3p0000095S8AAAU</t>
  </si>
  <si>
    <t>a1b3p0000095SAkAAM</t>
  </si>
  <si>
    <t>a1b3p0000095SDKAA2</t>
  </si>
  <si>
    <t>a1b3p0000095SFuAAM</t>
  </si>
  <si>
    <t>a1b3p0000095SIUAA2</t>
  </si>
  <si>
    <t>a1b3p0000095SL4AAM</t>
  </si>
  <si>
    <t>a1b3p0000095S8BAAU</t>
  </si>
  <si>
    <t>a1b3p0000095SAlAAM</t>
  </si>
  <si>
    <t>a1b3p0000095SDLAA2</t>
  </si>
  <si>
    <t>a1b3p0000095SFvAAM</t>
  </si>
  <si>
    <t>a1b3p0000095SIVAA2</t>
  </si>
  <si>
    <t>a1b3p0000095SL5AAM</t>
  </si>
  <si>
    <t>a1b3p0000095S8CAAU</t>
  </si>
  <si>
    <t>a1b3p0000095SAmAAM</t>
  </si>
  <si>
    <t>a1b3p0000095SDMAA2</t>
  </si>
  <si>
    <t>a1b3p0000095SFwAAM</t>
  </si>
  <si>
    <t>a1b3p0000095SIWAA2</t>
  </si>
  <si>
    <t>a1b3p0000095SL6AAM</t>
  </si>
  <si>
    <t>a1b3p0000095S8DAAU</t>
  </si>
  <si>
    <t>a1b3p0000095SAnAAM</t>
  </si>
  <si>
    <t>a1b3p0000095SDNAA2</t>
  </si>
  <si>
    <t>a1b3p0000095SFxAAM</t>
  </si>
  <si>
    <t>a1b3p0000095SIXAA2</t>
  </si>
  <si>
    <t>a1b3p0000095SL7AAM</t>
  </si>
  <si>
    <t>a1b3p0000095S8EAAU</t>
  </si>
  <si>
    <t>a1b3p0000095SAoAAM</t>
  </si>
  <si>
    <t>a1b3p0000095SDOAA2</t>
  </si>
  <si>
    <t>a1b3p0000095SFyAAM</t>
  </si>
  <si>
    <t>a1b3p0000095SIYAA2</t>
  </si>
  <si>
    <t>a1b3p0000095SL8AAM</t>
  </si>
  <si>
    <t>a1b3p0000095S8FAAU</t>
  </si>
  <si>
    <t>a1b3p0000095SApAAM</t>
  </si>
  <si>
    <t>a1b3p0000095SDPAA2</t>
  </si>
  <si>
    <t>a1b3p0000095SFzAAM</t>
  </si>
  <si>
    <t>a1b3p0000095SIZAA2</t>
  </si>
  <si>
    <t>a1b3p0000095SL9AAM</t>
  </si>
  <si>
    <t>a1b3p0000095S8GAAU</t>
  </si>
  <si>
    <t>a1b3p0000095SAqAAM</t>
  </si>
  <si>
    <t>a1b3p0000095SDQAA2</t>
  </si>
  <si>
    <t>a1b3p0000095SG0AAM</t>
  </si>
  <si>
    <t>a1b3p0000095SIaAAM</t>
  </si>
  <si>
    <t>a1b3p0000095SLAAA2</t>
  </si>
  <si>
    <t>a1b3p0000095S8HAAU</t>
  </si>
  <si>
    <t>a1b3p0000095SArAAM</t>
  </si>
  <si>
    <t>a1b3p0000095SDRAA2</t>
  </si>
  <si>
    <t>a1b3p0000095SG1AAM</t>
  </si>
  <si>
    <t>a1b3p0000095SIbAAM</t>
  </si>
  <si>
    <t>a1b3p0000095SLBAA2</t>
  </si>
  <si>
    <t>a1b3p0000095S8IAAU</t>
  </si>
  <si>
    <t>a1b3p0000095SAsAAM</t>
  </si>
  <si>
    <t>a1b3p0000095SDSAA2</t>
  </si>
  <si>
    <t>a1b3p0000095SG2AAM</t>
  </si>
  <si>
    <t>a1b3p0000095SIcAAM</t>
  </si>
  <si>
    <t>a1b3p0000095SLCAA2</t>
  </si>
  <si>
    <t>a1b3p0000095S8JAAU</t>
  </si>
  <si>
    <t>a1b3p0000095SAtAAM</t>
  </si>
  <si>
    <t>a1b3p0000095SDTAA2</t>
  </si>
  <si>
    <t>a1b3p0000095SG3AAM</t>
  </si>
  <si>
    <t>a1b3p0000095SIdAAM</t>
  </si>
  <si>
    <t>a1b3p0000095SLDAA2</t>
  </si>
  <si>
    <t>a1b3p0000095S8KAAU</t>
  </si>
  <si>
    <t>a1b3p0000095SAuAAM</t>
  </si>
  <si>
    <t>a1b3p0000095SDUAA2</t>
  </si>
  <si>
    <t>a1b3p0000095SG4AAM</t>
  </si>
  <si>
    <t>a1b3p0000095SIeAAM</t>
  </si>
  <si>
    <t>a1b3p0000095SLEAA2</t>
  </si>
  <si>
    <t>a1b3p0000095S8LAAU</t>
  </si>
  <si>
    <t>a1b3p0000095SAvAAM</t>
  </si>
  <si>
    <t>a1b3p0000095SDVAA2</t>
  </si>
  <si>
    <t>a1b3p0000095SG5AAM</t>
  </si>
  <si>
    <t>a1b3p0000095SIfAAM</t>
  </si>
  <si>
    <t>a1b3p0000095SLFAA2</t>
  </si>
  <si>
    <t>a1b3p0000095S8MAAU</t>
  </si>
  <si>
    <t>a1b3p0000095SAwAAM</t>
  </si>
  <si>
    <t>a1b3p0000095SDWAA2</t>
  </si>
  <si>
    <t>a1b3p0000095SG6AAM</t>
  </si>
  <si>
    <t>a1b3p0000095SIgAAM</t>
  </si>
  <si>
    <t>a1b3p0000095SLGAA2</t>
  </si>
  <si>
    <t>a1b3p0000095S8NAAU</t>
  </si>
  <si>
    <t>a1b3p0000095SAxAAM</t>
  </si>
  <si>
    <t>a1b3p0000095SDXAA2</t>
  </si>
  <si>
    <t>a1b3p0000095SG7AAM</t>
  </si>
  <si>
    <t>a1b3p0000095SIhAAM</t>
  </si>
  <si>
    <t>a1b3p0000095SLHAA2</t>
  </si>
  <si>
    <t>a1b3p0000095S8OAAU</t>
  </si>
  <si>
    <t>a1b3p0000095SAyAAM</t>
  </si>
  <si>
    <t>a1b3p0000095SDYAA2</t>
  </si>
  <si>
    <t>a1b3p0000095SG8AAM</t>
  </si>
  <si>
    <t>a1b3p0000095SIiAAM</t>
  </si>
  <si>
    <t>a1b3p0000095SLIAA2</t>
  </si>
  <si>
    <t>a1b3p0000095S8PAAU</t>
  </si>
  <si>
    <t>a1b3p0000095SAzAAM</t>
  </si>
  <si>
    <t>a1b3p0000095SDZAA2</t>
  </si>
  <si>
    <t>a1b3p0000095SG9AAM</t>
  </si>
  <si>
    <t>a1b3p0000095SIjAAM</t>
  </si>
  <si>
    <t>a1b3p0000095SLJAA2</t>
  </si>
  <si>
    <t>a1b3p0000095S8QAAU</t>
  </si>
  <si>
    <t>a1b3p0000095SB0AAM</t>
  </si>
  <si>
    <t>a1b3p0000095SDaAAM</t>
  </si>
  <si>
    <t>a1b3p0000095SGAAA2</t>
  </si>
  <si>
    <t>a1b3p0000095SIkAAM</t>
  </si>
  <si>
    <t>a1b3p0000095SLKAA2</t>
  </si>
  <si>
    <t>a1b3p0000095S8RAAU</t>
  </si>
  <si>
    <t>a1b3p0000095SB1AAM</t>
  </si>
  <si>
    <t>a1b3p0000095SDbAAM</t>
  </si>
  <si>
    <t>a1b3p0000095SGBAA2</t>
  </si>
  <si>
    <t>a1b3p0000095SIlAAM</t>
  </si>
  <si>
    <t>a1b3p0000095SLLAA2</t>
  </si>
  <si>
    <t>a1b3p0000095S8SAAU</t>
  </si>
  <si>
    <t>a1b3p0000095SB2AAM</t>
  </si>
  <si>
    <t>a1b3p0000095SDcAAM</t>
  </si>
  <si>
    <t>a1b3p0000095SGCAA2</t>
  </si>
  <si>
    <t>a1b3p0000095SImAAM</t>
  </si>
  <si>
    <t>a1b3p0000095SLMAA2</t>
  </si>
  <si>
    <t>a1b3p0000095S8TAAU</t>
  </si>
  <si>
    <t>a1b3p0000095SB3AAM</t>
  </si>
  <si>
    <t>a1b3p0000095SDdAAM</t>
  </si>
  <si>
    <t>a1b3p0000095SGDAA2</t>
  </si>
  <si>
    <t>a1b3p0000095SInAAM</t>
  </si>
  <si>
    <t>a1b3p0000095SLNAA2</t>
  </si>
  <si>
    <t>a1b3p0000095S8UAAU</t>
  </si>
  <si>
    <t>a1b3p0000095SB4AAM</t>
  </si>
  <si>
    <t>a1b3p0000095SDeAAM</t>
  </si>
  <si>
    <t>a1b3p0000095SGEAA2</t>
  </si>
  <si>
    <t>a1b3p0000095SIoAAM</t>
  </si>
  <si>
    <t>a1b3p0000095SLOAA2</t>
  </si>
  <si>
    <t>a1b3p0000095S8VAAU</t>
  </si>
  <si>
    <t>a1b3p0000095SB5AAM</t>
  </si>
  <si>
    <t>a1b3p0000095SDfAAM</t>
  </si>
  <si>
    <t>a1b3p0000095SGFAA2</t>
  </si>
  <si>
    <t>a1b3p0000095SIpAAM</t>
  </si>
  <si>
    <t>a1b3p0000095SLPAA2</t>
  </si>
  <si>
    <t>a1b3p0000095S8WAAU</t>
  </si>
  <si>
    <t>a1b3p0000095SB6AAM</t>
  </si>
  <si>
    <t>a1b3p0000095SDgAAM</t>
  </si>
  <si>
    <t>a1b3p0000095SGGAA2</t>
  </si>
  <si>
    <t>a1b3p0000095SIqAAM</t>
  </si>
  <si>
    <t>a1b3p0000095SLQAA2</t>
  </si>
  <si>
    <t>a1b3p0000095S8XAAU</t>
  </si>
  <si>
    <t>a1b3p0000095SB7AAM</t>
  </si>
  <si>
    <t>a1b3p0000095SDhAAM</t>
  </si>
  <si>
    <t>a1b3p0000095SGHAA2</t>
  </si>
  <si>
    <t>a1b3p0000095SIrAAM</t>
  </si>
  <si>
    <t>a1b3p0000095SLRAA2</t>
  </si>
  <si>
    <t>a1b3p0000095S8YAAU</t>
  </si>
  <si>
    <t>a1b3p0000095SB8AAM</t>
  </si>
  <si>
    <t>a1b3p0000095SDiAAM</t>
  </si>
  <si>
    <t>a1b3p0000095SGIAA2</t>
  </si>
  <si>
    <t>a1b3p0000095SIsAAM</t>
  </si>
  <si>
    <t>a1b3p0000095SLSAA2</t>
  </si>
  <si>
    <t>a1b3p0000095S8ZAAU</t>
  </si>
  <si>
    <t>a1b3p0000095SB9AAM</t>
  </si>
  <si>
    <t>a1b3p0000095SDjAAM</t>
  </si>
  <si>
    <t>a1b3p0000095SGJAA2</t>
  </si>
  <si>
    <t>a1b3p0000095SItAAM</t>
  </si>
  <si>
    <t>a1b3p0000095SLTAA2</t>
  </si>
  <si>
    <t>a1b3p0000095S8aAAE</t>
  </si>
  <si>
    <t>a1b3p0000095SBAAA2</t>
  </si>
  <si>
    <t>a1b3p0000095SDkAAM</t>
  </si>
  <si>
    <t>a1b3p0000095SGKAA2</t>
  </si>
  <si>
    <t>a1b3p0000095SIuAAM</t>
  </si>
  <si>
    <t>a1b3p0000095SLUAA2</t>
  </si>
  <si>
    <t>a1b3p0000095S8bAAE</t>
  </si>
  <si>
    <t>a1b3p0000095SBBAA2</t>
  </si>
  <si>
    <t>a1b3p0000095SDlAAM</t>
  </si>
  <si>
    <t>a1b3p0000095SGLAA2</t>
  </si>
  <si>
    <t>a1b3p0000095SIvAAM</t>
  </si>
  <si>
    <t>a1b3p0000095SLVAA2</t>
  </si>
  <si>
    <t>a1b3p0000095S8cAAE</t>
  </si>
  <si>
    <t>a1b3p0000095SBCAA2</t>
  </si>
  <si>
    <t>a1b3p0000095SDmAAM</t>
  </si>
  <si>
    <t>a1b3p0000095SGMAA2</t>
  </si>
  <si>
    <t>a1b3p0000095SIwAAM</t>
  </si>
  <si>
    <t>a1b3p0000095SLWAA2</t>
  </si>
  <si>
    <t>a1b3p0000095S8dAAE</t>
  </si>
  <si>
    <t>a1b3p0000095SBDAA2</t>
  </si>
  <si>
    <t>a1b3p0000095SDnAAM</t>
  </si>
  <si>
    <t>a1b3p0000095SGNAA2</t>
  </si>
  <si>
    <t>a1b3p0000095SIxAAM</t>
  </si>
  <si>
    <t>a1b3p0000095SLXAA2</t>
  </si>
  <si>
    <t>a1b3p0000095S8eAAE</t>
  </si>
  <si>
    <t>a1b3p0000095SBEAA2</t>
  </si>
  <si>
    <t>a1b3p0000095SDoAAM</t>
  </si>
  <si>
    <t>a1b3p0000095SGOAA2</t>
  </si>
  <si>
    <t>a1b3p0000095SIyAAM</t>
  </si>
  <si>
    <t>a1b3p0000095SLYAA2</t>
  </si>
  <si>
    <t>a1b3p0000095S8fAAE</t>
  </si>
  <si>
    <t>a1b3p0000095SBFAA2</t>
  </si>
  <si>
    <t>a1b3p0000095SDpAAM</t>
  </si>
  <si>
    <t>a1b3p0000095SGPAA2</t>
  </si>
  <si>
    <t>a1b3p0000095SIzAAM</t>
  </si>
  <si>
    <t>a1b3p0000095SLZAA2</t>
  </si>
  <si>
    <t>a1b3p0000095S8gAAE</t>
  </si>
  <si>
    <t>a1b3p0000095SBGAA2</t>
  </si>
  <si>
    <t>a1b3p0000095SDqAAM</t>
  </si>
  <si>
    <t>a1b3p0000095SGQAA2</t>
  </si>
  <si>
    <t>a1b3p0000095SJ0AAM</t>
  </si>
  <si>
    <t>a1b3p0000095SLaAAM</t>
  </si>
  <si>
    <t>a1b3p0000095S8hAAE</t>
  </si>
  <si>
    <t>a1b3p0000095SBHAA2</t>
  </si>
  <si>
    <t>a1b3p0000095SDrAAM</t>
  </si>
  <si>
    <t>a1b3p0000095SGRAA2</t>
  </si>
  <si>
    <t>a1b3p0000095SJ1AAM</t>
  </si>
  <si>
    <t>a1b3p0000095SLbAAM</t>
  </si>
  <si>
    <t>a1b3p0000095S8iAAE</t>
  </si>
  <si>
    <t>a1b3p0000095SBIAA2</t>
  </si>
  <si>
    <t>a1b3p0000095SDsAAM</t>
  </si>
  <si>
    <t>a1b3p0000095SGSAA2</t>
  </si>
  <si>
    <t>a1b3p0000095SJ2AAM</t>
  </si>
  <si>
    <t>a1b3p0000095SLcAAM</t>
  </si>
  <si>
    <t>a1b3p0000095S8jAAE</t>
  </si>
  <si>
    <t>a1b3p0000095SBJAA2</t>
  </si>
  <si>
    <t>a1b3p0000095SDtAAM</t>
  </si>
  <si>
    <t>a1b3p0000095SGTAA2</t>
  </si>
  <si>
    <t>a1b3p0000095SJ3AAM</t>
  </si>
  <si>
    <t>a1b3p0000095SLdAAM</t>
  </si>
  <si>
    <t>a1b3p0000095S8kAAE</t>
  </si>
  <si>
    <t>a1b3p0000095SBKAA2</t>
  </si>
  <si>
    <t>a1b3p0000095SDuAAM</t>
  </si>
  <si>
    <t>a1b3p0000095SGUAA2</t>
  </si>
  <si>
    <t>a1b3p0000095SJ4AAM</t>
  </si>
  <si>
    <t>a1b3p0000095SLeAAM</t>
  </si>
  <si>
    <t>a1b3p0000095S8lAAE</t>
  </si>
  <si>
    <t>a1b3p0000095SBLAA2</t>
  </si>
  <si>
    <t>a1b3p0000095SDvAAM</t>
  </si>
  <si>
    <t>a1b3p0000095SGVAA2</t>
  </si>
  <si>
    <t>a1b3p0000095SJ5AAM</t>
  </si>
  <si>
    <t>a1b3p0000095SLfAAM</t>
  </si>
  <si>
    <t>a1b3p0000095S8mAAE</t>
  </si>
  <si>
    <t>a1b3p0000095SBMAA2</t>
  </si>
  <si>
    <t>a1b3p0000095SDwAAM</t>
  </si>
  <si>
    <t>a1b3p0000095SGWAA2</t>
  </si>
  <si>
    <t>a1b3p0000095SJ6AAM</t>
  </si>
  <si>
    <t>a1b3p0000095SLgAAM</t>
  </si>
  <si>
    <t>a1b3p0000095S8nAAE</t>
  </si>
  <si>
    <t>a1b3p0000095SBNAA2</t>
  </si>
  <si>
    <t>a1b3p0000095SDxAAM</t>
  </si>
  <si>
    <t>a1b3p0000095SGXAA2</t>
  </si>
  <si>
    <t>a1b3p0000095SJ7AAM</t>
  </si>
  <si>
    <t>a1b3p0000095SLhAAM</t>
  </si>
  <si>
    <t>a1b3p0000095S8oAAE</t>
  </si>
  <si>
    <t>a1b3p0000095SBOAA2</t>
  </si>
  <si>
    <t>a1b3p0000095SDyAAM</t>
  </si>
  <si>
    <t>a1b3p0000095SGYAA2</t>
  </si>
  <si>
    <t>a1b3p0000095SJ8AAM</t>
  </si>
  <si>
    <t>a1b3p0000095SLiAAM</t>
  </si>
  <si>
    <t>a1b3p0000095S8pAAE</t>
  </si>
  <si>
    <t>a1b3p0000095SBPAA2</t>
  </si>
  <si>
    <t>a1b3p0000095SDzAAM</t>
  </si>
  <si>
    <t>a1b3p0000095SGZAA2</t>
  </si>
  <si>
    <t>a1b3p0000095SJ9AAM</t>
  </si>
  <si>
    <t>a1b3p0000095SLjAAM</t>
  </si>
  <si>
    <t>a1b3p0000095S8qAAE</t>
  </si>
  <si>
    <t>a1b3p0000095SBQAA2</t>
  </si>
  <si>
    <t>a1b3p0000095SE0AAM</t>
  </si>
  <si>
    <t>a1b3p0000095SGaAAM</t>
  </si>
  <si>
    <t>a1b3p0000095SJAAA2</t>
  </si>
  <si>
    <t>a1b3p0000095SLkAAM</t>
  </si>
  <si>
    <t>a1b3p0000095S8rAAE</t>
  </si>
  <si>
    <t>a1b3p0000095SBRAA2</t>
  </si>
  <si>
    <t>a1b3p0000095SE1AAM</t>
  </si>
  <si>
    <t>a1b3p0000095SGbAAM</t>
  </si>
  <si>
    <t>a1b3p0000095SJBAA2</t>
  </si>
  <si>
    <t>a1b3p0000095SLlAAM</t>
  </si>
  <si>
    <t>a1b3p0000095S8sAAE</t>
  </si>
  <si>
    <t>a1b3p0000095SBSAA2</t>
  </si>
  <si>
    <t>a1b3p0000095SE2AAM</t>
  </si>
  <si>
    <t>a1b3p0000095SGcAAM</t>
  </si>
  <si>
    <t>a1b3p0000095SJCAA2</t>
  </si>
  <si>
    <t>a1b3p0000095SLmAAM</t>
  </si>
  <si>
    <t>a1b3p0000095S8tAAE</t>
  </si>
  <si>
    <t>a1b3p0000095SBTAA2</t>
  </si>
  <si>
    <t>a1b3p0000095SE3AAM</t>
  </si>
  <si>
    <t>a1b3p0000095SGdAAM</t>
  </si>
  <si>
    <t>a1b3p0000095SJDAA2</t>
  </si>
  <si>
    <t>a1b3p0000095SLnAAM</t>
  </si>
  <si>
    <t>a1b3p0000095S8uAAE</t>
  </si>
  <si>
    <t>a1b3p0000095SBUAA2</t>
  </si>
  <si>
    <t>a1b3p0000095SE4AAM</t>
  </si>
  <si>
    <t>a1b3p0000095SGeAAM</t>
  </si>
  <si>
    <t>a1b3p0000095SJEAA2</t>
  </si>
  <si>
    <t>a1b3p0000095SLoAAM</t>
  </si>
  <si>
    <t>a1b3p0000095S8vAAE</t>
  </si>
  <si>
    <t>a1b3p0000095SBVAA2</t>
  </si>
  <si>
    <t>a1b3p0000095SE5AAM</t>
  </si>
  <si>
    <t>a1b3p0000095SGfAAM</t>
  </si>
  <si>
    <t>a1b3p0000095SJFAA2</t>
  </si>
  <si>
    <t>a1b3p0000095SLpAAM</t>
  </si>
  <si>
    <t>a1b3p0000095S8wAAE</t>
  </si>
  <si>
    <t>a1b3p0000095SBWAA2</t>
  </si>
  <si>
    <t>a1b3p0000095SE6AAM</t>
  </si>
  <si>
    <t>a1b3p0000095SGgAAM</t>
  </si>
  <si>
    <t>a1b3p0000095SJGAA2</t>
  </si>
  <si>
    <t>a1b3p0000095SLqAAM</t>
  </si>
  <si>
    <t>a1b3p0000095S8xAAE</t>
  </si>
  <si>
    <t>a1b3p0000095SBXAA2</t>
  </si>
  <si>
    <t>a1b3p0000095SE7AAM</t>
  </si>
  <si>
    <t>a1b3p0000095SGhAAM</t>
  </si>
  <si>
    <t>a1b3p0000095SJHAA2</t>
  </si>
  <si>
    <t>a1b3p0000095SLrAAM</t>
  </si>
  <si>
    <t>a1b3p0000095S8yAAE</t>
  </si>
  <si>
    <t>a1b3p0000095SBYAA2</t>
  </si>
  <si>
    <t>a1b3p0000095SE8AAM</t>
  </si>
  <si>
    <t>a1b3p0000095SGiAAM</t>
  </si>
  <si>
    <t>a1b3p0000095SJIAA2</t>
  </si>
  <si>
    <t>a1b3p0000095SLsAAM</t>
  </si>
  <si>
    <t>a1b3p0000095S8zAAE</t>
  </si>
  <si>
    <t>a1b3p0000095SBZAA2</t>
  </si>
  <si>
    <t>a1b3p0000095SE9AAM</t>
  </si>
  <si>
    <t>a1b3p0000095SGjAAM</t>
  </si>
  <si>
    <t>a1b3p0000095SJJAA2</t>
  </si>
  <si>
    <t>a1b3p0000095SLtAAM</t>
  </si>
  <si>
    <t>a1b3p0000095S90AAE</t>
  </si>
  <si>
    <t>a1b3p0000095SBaAAM</t>
  </si>
  <si>
    <t>a1b3p0000095SEAAA2</t>
  </si>
  <si>
    <t>a1b3p0000095SGkAAM</t>
  </si>
  <si>
    <t>a1b3p0000095SJKAA2</t>
  </si>
  <si>
    <t>a1b3p0000095SLuAAM</t>
  </si>
  <si>
    <t>a1b3p0000095S91AAE</t>
  </si>
  <si>
    <t>a1b3p0000095SBbAAM</t>
  </si>
  <si>
    <t>a1b3p0000095SEBAA2</t>
  </si>
  <si>
    <t>a1b3p0000095SGlAAM</t>
  </si>
  <si>
    <t>a1b3p0000095SJLAA2</t>
  </si>
  <si>
    <t>a1b3p0000095SLvAAM</t>
  </si>
  <si>
    <t>a1b3p0000095S92AAE</t>
  </si>
  <si>
    <t>a1b3p0000095SBcAAM</t>
  </si>
  <si>
    <t>a1b3p0000095SECAA2</t>
  </si>
  <si>
    <t>a1b3p0000095SGmAAM</t>
  </si>
  <si>
    <t>a1b3p0000095SJMAA2</t>
  </si>
  <si>
    <t>a1b3p0000095SLwAAM</t>
  </si>
  <si>
    <t>a1b3p0000095S93AAE</t>
  </si>
  <si>
    <t>a1b3p0000095SBdAAM</t>
  </si>
  <si>
    <t>a1b3p0000095SEDAA2</t>
  </si>
  <si>
    <t>a1b3p0000095SGnAAM</t>
  </si>
  <si>
    <t>a1b3p0000095SJNAA2</t>
  </si>
  <si>
    <t>a1b3p0000095SLxAAM</t>
  </si>
  <si>
    <t>a1b3p0000095S94AAE</t>
  </si>
  <si>
    <t>a1b3p0000095SBeAAM</t>
  </si>
  <si>
    <t>a1b3p0000095SEEAA2</t>
  </si>
  <si>
    <t>a1b3p0000095SGoAAM</t>
  </si>
  <si>
    <t>a1b3p0000095SJOAA2</t>
  </si>
  <si>
    <t>a1b3p0000095SLyAAM</t>
  </si>
  <si>
    <t>a1b3p0000095S95AAE</t>
  </si>
  <si>
    <t>a1b3p0000095SBfAAM</t>
  </si>
  <si>
    <t>a1b3p0000095SEFAA2</t>
  </si>
  <si>
    <t>a1b3p0000095SGpAAM</t>
  </si>
  <si>
    <t>a1b3p0000095SJPAA2</t>
  </si>
  <si>
    <t>a1b3p0000095SLzAAM</t>
  </si>
  <si>
    <t>a1b3p0000095S96AAE</t>
  </si>
  <si>
    <t>a1b3p0000095SBgAAM</t>
  </si>
  <si>
    <t>a1b3p0000095SEGAA2</t>
  </si>
  <si>
    <t>a1b3p0000095SGqAAM</t>
  </si>
  <si>
    <t>a1b3p0000095SJQAA2</t>
  </si>
  <si>
    <t>a1b3p0000095SM0AAM</t>
  </si>
  <si>
    <t>a1b3p0000095S97AAE</t>
  </si>
  <si>
    <t>a1b3p0000095SBhAAM</t>
  </si>
  <si>
    <t>a1b3p0000095SEHAA2</t>
  </si>
  <si>
    <t>a1b3p0000095SGrAAM</t>
  </si>
  <si>
    <t>a1b3p0000095SJRAA2</t>
  </si>
  <si>
    <t>a1b3p0000095SM1AAM</t>
  </si>
  <si>
    <t>a1b3p0000095S98AAE</t>
  </si>
  <si>
    <t>a1b3p0000095SBiAAM</t>
  </si>
  <si>
    <t>a1b3p0000095SEIAA2</t>
  </si>
  <si>
    <t>a1b3p0000095SGsAAM</t>
  </si>
  <si>
    <t>a1b3p0000095SJSAA2</t>
  </si>
  <si>
    <t>a1b3p0000095SM2AAM</t>
  </si>
  <si>
    <t>a1b3p0000095S99AAE</t>
  </si>
  <si>
    <t>a1b3p0000095SBjAAM</t>
  </si>
  <si>
    <t>a1b3p0000095SEJAA2</t>
  </si>
  <si>
    <t>a1b3p0000095SGtAAM</t>
  </si>
  <si>
    <t>a1b3p0000095SJTAA2</t>
  </si>
  <si>
    <t>a1b3p0000095SM3AAM</t>
  </si>
  <si>
    <t>a1b3p0000095S9AAAU</t>
  </si>
  <si>
    <t>a1b3p0000095SBkAAM</t>
  </si>
  <si>
    <t>a1b3p0000095SEKAA2</t>
  </si>
  <si>
    <t>a1b3p0000095SGuAAM</t>
  </si>
  <si>
    <t>a1b3p0000095SJUAA2</t>
  </si>
  <si>
    <t>a1b3p0000095SM4AAM</t>
  </si>
  <si>
    <t>a1b3p0000095S9BAAU</t>
  </si>
  <si>
    <t>a1b3p0000095SBlAAM</t>
  </si>
  <si>
    <t>a1b3p0000095SELAA2</t>
  </si>
  <si>
    <t>a1b3p0000095SGvAAM</t>
  </si>
  <si>
    <t>a1b3p0000095SJVAA2</t>
  </si>
  <si>
    <t>a1b3p0000095SM5AAM</t>
  </si>
  <si>
    <t>a1b3p0000095S9CAAU</t>
  </si>
  <si>
    <t>a1b3p0000095SBmAAM</t>
  </si>
  <si>
    <t>a1b3p0000095SEMAA2</t>
  </si>
  <si>
    <t>a1b3p0000095SGwAAM</t>
  </si>
  <si>
    <t>a1b3p0000095SJWAA2</t>
  </si>
  <si>
    <t>a1b3p0000095SM6AAM</t>
  </si>
  <si>
    <t>a1b3p0000095S9DAAU</t>
  </si>
  <si>
    <t>a1b3p0000095SBnAAM</t>
  </si>
  <si>
    <t>a1b3p0000095SENAA2</t>
  </si>
  <si>
    <t>a1b3p0000095SGxAAM</t>
  </si>
  <si>
    <t>a1b3p0000095SJXAA2</t>
  </si>
  <si>
    <t>a1b3p0000095SM7AAM</t>
  </si>
  <si>
    <t>a1b3p0000095S9EAAU</t>
  </si>
  <si>
    <t>a1b3p0000095SBoAAM</t>
  </si>
  <si>
    <t>a1b3p0000095SEOAA2</t>
  </si>
  <si>
    <t>a1b3p0000095SGyAAM</t>
  </si>
  <si>
    <t>a1b3p0000095SJYAA2</t>
  </si>
  <si>
    <t>a1b3p0000095SM8AAM</t>
  </si>
  <si>
    <t>a1b3p0000095S9FAAU</t>
  </si>
  <si>
    <t>a1b3p0000095SBpAAM</t>
  </si>
  <si>
    <t>a1b3p0000095SEPAA2</t>
  </si>
  <si>
    <t>a1b3p0000095SGzAAM</t>
  </si>
  <si>
    <t>a1b3p0000095SJZAA2</t>
  </si>
  <si>
    <t>a1b3p0000095SM9AAM</t>
  </si>
  <si>
    <t>a1b3p0000095S9GAAU</t>
  </si>
  <si>
    <t>a1b3p0000095SBqAAM</t>
  </si>
  <si>
    <t>a1b3p0000095SEQAA2</t>
  </si>
  <si>
    <t>a1b3p0000095SH0AAM</t>
  </si>
  <si>
    <t>a1b3p0000095SJaAAM</t>
  </si>
  <si>
    <t>a1b3p0000095SMAAA2</t>
  </si>
  <si>
    <t>a1b3p0000095S9HAAU</t>
  </si>
  <si>
    <t>a1b3p0000095SBrAAM</t>
  </si>
  <si>
    <t>a1b3p0000095SERAA2</t>
  </si>
  <si>
    <t>a1b3p0000095SH1AAM</t>
  </si>
  <si>
    <t>a1b3p0000095SJbAAM</t>
  </si>
  <si>
    <t>a1b3p0000095SMBAA2</t>
  </si>
  <si>
    <t>a1b3p0000095S9IAAU</t>
  </si>
  <si>
    <t>a1b3p0000095SBsAAM</t>
  </si>
  <si>
    <t>a1b3p0000095SESAA2</t>
  </si>
  <si>
    <t>a1b3p0000095SH2AAM</t>
  </si>
  <si>
    <t>a1b3p0000095SJcAAM</t>
  </si>
  <si>
    <t>a1b3p0000095SMCAA2</t>
  </si>
  <si>
    <t>a1b3p0000095S9JAAU</t>
  </si>
  <si>
    <t>a1b3p0000095SBtAAM</t>
  </si>
  <si>
    <t>a1b3p0000095SETAA2</t>
  </si>
  <si>
    <t>a1b3p0000095SH3AAM</t>
  </si>
  <si>
    <t>a1b3p0000095SJdAAM</t>
  </si>
  <si>
    <t>a1b3p0000095SMDAA2</t>
  </si>
  <si>
    <t>a1b3p0000095S9KAAU</t>
  </si>
  <si>
    <t>a1b3p0000095SBuAAM</t>
  </si>
  <si>
    <t>a1b3p0000095SEUAA2</t>
  </si>
  <si>
    <t>a1b3p0000095SH4AAM</t>
  </si>
  <si>
    <t>a1b3p0000095SJeAAM</t>
  </si>
  <si>
    <t>a1b3p0000095SMEAA2</t>
  </si>
  <si>
    <t>a1b3p0000095S9LAAU</t>
  </si>
  <si>
    <t>a1b3p0000095SBvAAM</t>
  </si>
  <si>
    <t>a1b3p0000095SEVAA2</t>
  </si>
  <si>
    <t>a1b3p0000095SH5AAM</t>
  </si>
  <si>
    <t>a1b3p0000095SJfAAM</t>
  </si>
  <si>
    <t>a1b3p0000095SMFAA2</t>
  </si>
  <si>
    <t>a1b3p0000095S9MAAU</t>
  </si>
  <si>
    <t>a1b3p0000095SBwAAM</t>
  </si>
  <si>
    <t>a1b3p0000095SEWAA2</t>
  </si>
  <si>
    <t>a1b3p0000095SH6AAM</t>
  </si>
  <si>
    <t>a1b3p0000095SJgAAM</t>
  </si>
  <si>
    <t>a1b3p0000095SMGAA2</t>
  </si>
  <si>
    <t>a1b3p0000095S9NAAU</t>
  </si>
  <si>
    <t>a1b3p0000095SBxAAM</t>
  </si>
  <si>
    <t>a1b3p0000095SEXAA2</t>
  </si>
  <si>
    <t>a1b3p0000095SH7AAM</t>
  </si>
  <si>
    <t>a1b3p0000095SJhAAM</t>
  </si>
  <si>
    <t>a1b3p0000095SMHAA2</t>
  </si>
  <si>
    <t>a1b3p0000095S9OAAU</t>
  </si>
  <si>
    <t>a1b3p0000095SByAAM</t>
  </si>
  <si>
    <t>a1b3p0000095SEYAA2</t>
  </si>
  <si>
    <t>a1b3p0000095SH8AAM</t>
  </si>
  <si>
    <t>a1b3p0000095SJiAAM</t>
  </si>
  <si>
    <t>a1b3p0000095SMIAA2</t>
  </si>
  <si>
    <t>a1b3p0000095S9PAAU</t>
  </si>
  <si>
    <t>a1b3p0000095SBzAAM</t>
  </si>
  <si>
    <t>a1b3p0000095SEZAA2</t>
  </si>
  <si>
    <t>a1b3p0000095SH9AAM</t>
  </si>
  <si>
    <t>a1b3p0000095SJjAAM</t>
  </si>
  <si>
    <t>a1b3p0000095SMJAA2</t>
  </si>
  <si>
    <t>a1b3p0000095S9QAAU</t>
  </si>
  <si>
    <t>a1b3p0000095SC0AAM</t>
  </si>
  <si>
    <t>a1b3p0000095SEaAAM</t>
  </si>
  <si>
    <t>a1b3p0000095SHAAA2</t>
  </si>
  <si>
    <t>a1b3p0000095SJkAAM</t>
  </si>
  <si>
    <t>a1b3p0000095SMKAA2</t>
  </si>
  <si>
    <t>a1b3p0000095S9RAAU</t>
  </si>
  <si>
    <t>a1b3p0000095SC1AAM</t>
  </si>
  <si>
    <t>a1b3p0000095SEbAAM</t>
  </si>
  <si>
    <t>a1b3p0000095SHBAA2</t>
  </si>
  <si>
    <t>a1b3p0000095SJlAAM</t>
  </si>
  <si>
    <t>a1b3p0000095SMLAA2</t>
  </si>
  <si>
    <t>a1b3p0000095S9SAAU</t>
  </si>
  <si>
    <t>a1b3p0000095SC2AAM</t>
  </si>
  <si>
    <t>a1b3p0000095SEcAAM</t>
  </si>
  <si>
    <t>a1b3p0000095SHCAA2</t>
  </si>
  <si>
    <t>a1b3p0000095SJmAAM</t>
  </si>
  <si>
    <t>a1b3p0000095SMMAA2</t>
  </si>
  <si>
    <t>a1b3p0000095S9TAAU</t>
  </si>
  <si>
    <t>a1b3p0000095SC3AAM</t>
  </si>
  <si>
    <t>a1b3p0000095SEdAAM</t>
  </si>
  <si>
    <t>a1b3p0000095SHDAA2</t>
  </si>
  <si>
    <t>a1b3p0000095SJnAAM</t>
  </si>
  <si>
    <t>a1b3p0000095SMNAA2</t>
  </si>
  <si>
    <t>a1b3p0000095S9UAAU</t>
  </si>
  <si>
    <t>a1b3p0000095SC4AAM</t>
  </si>
  <si>
    <t>a1b3p0000095SEeAAM</t>
  </si>
  <si>
    <t>a1b3p0000095SHEAA2</t>
  </si>
  <si>
    <t>a1b3p0000095SJoAAM</t>
  </si>
  <si>
    <t>a1b3p0000095SMOAA2</t>
  </si>
  <si>
    <t>a1b3p0000095S9VAAU</t>
  </si>
  <si>
    <t>a1b3p0000095SC5AAM</t>
  </si>
  <si>
    <t>a1b3p0000095SEfAAM</t>
  </si>
  <si>
    <t>a1b3p0000095SHFAA2</t>
  </si>
  <si>
    <t>a1b3p0000095SJpAAM</t>
  </si>
  <si>
    <t>a1b3p0000095SMPAA2</t>
  </si>
  <si>
    <t>a1b3p0000095S9WAAU</t>
  </si>
  <si>
    <t>a1b3p0000095SC6AAM</t>
  </si>
  <si>
    <t>a1b3p0000095SEgAAM</t>
  </si>
  <si>
    <t>a1b3p0000095SHGAA2</t>
  </si>
  <si>
    <t>a1b3p0000095SJqAAM</t>
  </si>
  <si>
    <t>a1b3p0000095SMQAA2</t>
  </si>
  <si>
    <t>a1b3p0000095S9XAAU</t>
  </si>
  <si>
    <t>a1b3p0000095SC7AAM</t>
  </si>
  <si>
    <t>a1b3p0000095SEhAAM</t>
  </si>
  <si>
    <t>a1b3p0000095SHHAA2</t>
  </si>
  <si>
    <t>a1b3p0000095SJrAAM</t>
  </si>
  <si>
    <t>a1b3p0000095SMRAA2</t>
  </si>
  <si>
    <t>a1b3p0000095S9YAAU</t>
  </si>
  <si>
    <t>a1b3p0000095SC8AAM</t>
  </si>
  <si>
    <t>a1b3p0000095SEiAAM</t>
  </si>
  <si>
    <t>a1b3p0000095SHIAA2</t>
  </si>
  <si>
    <t>a1b3p0000095SJsAAM</t>
  </si>
  <si>
    <t>a1b3p0000095SMSAA2</t>
  </si>
  <si>
    <t>a1b3p0000095S9ZAAU</t>
  </si>
  <si>
    <t>a1b3p0000095SC9AAM</t>
  </si>
  <si>
    <t>a1b3p0000095SEjAAM</t>
  </si>
  <si>
    <t>a1b3p0000095SHJAA2</t>
  </si>
  <si>
    <t>a1b3p0000095SJtAAM</t>
  </si>
  <si>
    <t>a1b3p0000095SMTAA2</t>
  </si>
  <si>
    <t>a1b3p0000095S9aAAE</t>
  </si>
  <si>
    <t>a1b3p0000095SCAAA2</t>
  </si>
  <si>
    <t>a1b3p0000095SEkAAM</t>
  </si>
  <si>
    <t>a1b3p0000095SHKAA2</t>
  </si>
  <si>
    <t>a1b3p0000095SJuAAM</t>
  </si>
  <si>
    <t>a1b3p0000095SMUAA2</t>
  </si>
  <si>
    <t>a1b3p0000095S9bAAE</t>
  </si>
  <si>
    <t>a1b3p0000095SCBAA2</t>
  </si>
  <si>
    <t>a1b3p0000095SElAAM</t>
  </si>
  <si>
    <t>a1b3p0000095SHLAA2</t>
  </si>
  <si>
    <t>a1b3p0000095SJvAAM</t>
  </si>
  <si>
    <t>a1b3p0000095SMVAA2</t>
  </si>
  <si>
    <t>a1b3p0000095S9cAAE</t>
  </si>
  <si>
    <t>a1b3p0000095SCCAA2</t>
  </si>
  <si>
    <t>a1b3p0000095SEmAAM</t>
  </si>
  <si>
    <t>a1b3p0000095SHMAA2</t>
  </si>
  <si>
    <t>a1b3p0000095SJwAAM</t>
  </si>
  <si>
    <t>a1b3p0000095SMWAA2</t>
  </si>
  <si>
    <t>a1b3p0000095S9dAAE</t>
  </si>
  <si>
    <t>a1b3p0000095SCDAA2</t>
  </si>
  <si>
    <t>a1b3p0000095SEnAAM</t>
  </si>
  <si>
    <t>a1b3p0000095SHNAA2</t>
  </si>
  <si>
    <t>a1b3p0000095SJxAAM</t>
  </si>
  <si>
    <t>a1b3p0000095SMXAA2</t>
  </si>
  <si>
    <t>a1b3p0000095S9eAAE</t>
  </si>
  <si>
    <t>a1b3p0000095SCEAA2</t>
  </si>
  <si>
    <t>a1b3p0000095SEoAAM</t>
  </si>
  <si>
    <t>a1b3p0000095SHOAA2</t>
  </si>
  <si>
    <t>a1b3p0000095SJyAAM</t>
  </si>
  <si>
    <t>a1b3p0000095SMYAA2</t>
  </si>
  <si>
    <t>a1b3p0000095S9fAAE</t>
  </si>
  <si>
    <t>a1b3p0000095SCFAA2</t>
  </si>
  <si>
    <t>a1b3p0000095SEpAAM</t>
  </si>
  <si>
    <t>a1b3p0000095SHPAA2</t>
  </si>
  <si>
    <t>a1b3p0000095SJzAAM</t>
  </si>
  <si>
    <t>a1b3p0000095SMZAA2</t>
  </si>
  <si>
    <t>a1b3p0000095S9gAAE</t>
  </si>
  <si>
    <t>a1b3p0000095SCGAA2</t>
  </si>
  <si>
    <t>a1b3p0000095SEqAAM</t>
  </si>
  <si>
    <t>a1b3p0000095SHQAA2</t>
  </si>
  <si>
    <t>a1b3p0000095SK0AAM</t>
  </si>
  <si>
    <t>a1b3p0000095SMaAAM</t>
  </si>
  <si>
    <t>a1b3p0000095S9hAAE</t>
  </si>
  <si>
    <t>a1b3p0000095SCHAA2</t>
  </si>
  <si>
    <t>a1b3p0000095SErAAM</t>
  </si>
  <si>
    <t>a1b3p0000095SHRAA2</t>
  </si>
  <si>
    <t>a1b3p0000095SK1AAM</t>
  </si>
  <si>
    <t>a1b3p0000095SMbAAM</t>
  </si>
  <si>
    <t>a1b3p0000095S9iAAE</t>
  </si>
  <si>
    <t>a1b3p0000095SCIAA2</t>
  </si>
  <si>
    <t>a1b3p0000095SEsAAM</t>
  </si>
  <si>
    <t>a1b3p0000095SHSAA2</t>
  </si>
  <si>
    <t>a1b3p0000095SK2AAM</t>
  </si>
  <si>
    <t>a1b3p0000095SMcAAM</t>
  </si>
  <si>
    <t>a1b3p0000095S9jAAE</t>
  </si>
  <si>
    <t>a1b3p0000095SCJAA2</t>
  </si>
  <si>
    <t>a1b3p0000095SEtAAM</t>
  </si>
  <si>
    <t>a1b3p0000095SHTAA2</t>
  </si>
  <si>
    <t>a1b3p0000095SK3AAM</t>
  </si>
  <si>
    <t>a1b3p0000095SMdAAM</t>
  </si>
  <si>
    <t>a1b3p0000095S9kAAE</t>
  </si>
  <si>
    <t>a1b3p0000095SCKAA2</t>
  </si>
  <si>
    <t>a1b3p0000095SEuAAM</t>
  </si>
  <si>
    <t>a1b3p0000095SHUAA2</t>
  </si>
  <si>
    <t>a1b3p0000095SK4AAM</t>
  </si>
  <si>
    <t>a1b3p0000095SMeAAM</t>
  </si>
  <si>
    <t>a1b3p0000095S9lAAE</t>
  </si>
  <si>
    <t>a1b3p0000095SCLAA2</t>
  </si>
  <si>
    <t>a1b3p0000095SEvAAM</t>
  </si>
  <si>
    <t>a1b3p0000095SHVAA2</t>
  </si>
  <si>
    <t>a1b3p0000095SK5AAM</t>
  </si>
  <si>
    <t>a1b3p0000095SMfAAM</t>
  </si>
  <si>
    <t>a1b3p0000095S9mAAE</t>
  </si>
  <si>
    <t>a1b3p0000095SCMAA2</t>
  </si>
  <si>
    <t>a1b3p0000095SEwAAM</t>
  </si>
  <si>
    <t>a1b3p0000095SHWAA2</t>
  </si>
  <si>
    <t>a1b3p0000095SK6AAM</t>
  </si>
  <si>
    <t>a1b3p0000095SMgAAM</t>
  </si>
  <si>
    <t>a1b3p0000095S9nAAE</t>
  </si>
  <si>
    <t>a1b3p0000095SCNAA2</t>
  </si>
  <si>
    <t>a1b3p0000095SExAAM</t>
  </si>
  <si>
    <t>a1b3p0000095SHXAA2</t>
  </si>
  <si>
    <t>a1b3p0000095SK7AAM</t>
  </si>
  <si>
    <t>a1b3p0000095SMhAAM</t>
  </si>
  <si>
    <t>a1b3p0000095S9oAAE</t>
  </si>
  <si>
    <t>a1b3p0000095SCOAA2</t>
  </si>
  <si>
    <t>a1b3p0000095SEyAAM</t>
  </si>
  <si>
    <t>a1b3p0000095SHYAA2</t>
  </si>
  <si>
    <t>a1b3p0000095SK8AAM</t>
  </si>
  <si>
    <t>a1b3p0000095SMiAAM</t>
  </si>
  <si>
    <t>a1b3p0000095S9pAAE</t>
  </si>
  <si>
    <t>a1b3p0000095SCPAA2</t>
  </si>
  <si>
    <t>a1b3p0000095SEzAAM</t>
  </si>
  <si>
    <t>a1b3p0000095SHZAA2</t>
  </si>
  <si>
    <t>a1b3p0000095SK9AAM</t>
  </si>
  <si>
    <t>a1b3p0000095SMjAAM</t>
  </si>
  <si>
    <t>a1b3p0000095S9qAAE</t>
  </si>
  <si>
    <t>a1b3p0000095SCQAA2</t>
  </si>
  <si>
    <t>a1b3p0000095SF0AAM</t>
  </si>
  <si>
    <t>a1b3p0000095SHaAAM</t>
  </si>
  <si>
    <t>a1b3p0000095SKAAA2</t>
  </si>
  <si>
    <t>a1b3p0000095SMkAAM</t>
  </si>
  <si>
    <t>a1b3p0000095S9rAAE</t>
  </si>
  <si>
    <t>a1b3p0000095SCRAA2</t>
  </si>
  <si>
    <t>a1b3p0000095SF1AAM</t>
  </si>
  <si>
    <t>a1b3p0000095SHbAAM</t>
  </si>
  <si>
    <t>a1b3p0000095SKBAA2</t>
  </si>
  <si>
    <t>a1b3p0000095SMlAAM</t>
  </si>
  <si>
    <t>a1b3p0000095S9sAAE</t>
  </si>
  <si>
    <t>a1b3p0000095SCSAA2</t>
  </si>
  <si>
    <t>a1b3p0000095SF2AAM</t>
  </si>
  <si>
    <t>a1b3p0000095SHcAAM</t>
  </si>
  <si>
    <t>a1b3p0000095SKCAA2</t>
  </si>
  <si>
    <t>a1b3p0000095SMmAAM</t>
  </si>
  <si>
    <t>a1b3p0000095S9tAAE</t>
  </si>
  <si>
    <t>a1b3p0000095SCTAA2</t>
  </si>
  <si>
    <t>a1b3p0000095SF3AAM</t>
  </si>
  <si>
    <t>a1b3p0000095SHdAAM</t>
  </si>
  <si>
    <t>a1b3p0000095SKDAA2</t>
  </si>
  <si>
    <t>a1b3p0000095SMnAAM</t>
  </si>
  <si>
    <t>a1b3p0000095S9uAAE</t>
  </si>
  <si>
    <t>a1b3p0000095SCUAA2</t>
  </si>
  <si>
    <t>a1b3p0000095SF4AAM</t>
  </si>
  <si>
    <t>a1b3p0000095SHeAAM</t>
  </si>
  <si>
    <t>a1b3p0000095SKEAA2</t>
  </si>
  <si>
    <t>a1b3p0000095SMoAAM</t>
  </si>
  <si>
    <t>a1b3p0000095S9vAAE</t>
  </si>
  <si>
    <t>a1b3p0000095SCVAA2</t>
  </si>
  <si>
    <t>a1b3p0000095SF5AAM</t>
  </si>
  <si>
    <t>a1b3p0000095SHfAAM</t>
  </si>
  <si>
    <t>a1b3p0000095SKFAA2</t>
  </si>
  <si>
    <t>a1b3p0000095SMpAAM</t>
  </si>
  <si>
    <t>a1b3p0000095S9wAAE</t>
  </si>
  <si>
    <t>a1b3p0000095SCWAA2</t>
  </si>
  <si>
    <t>a1b3p0000095SF6AAM</t>
  </si>
  <si>
    <t>a1b3p0000095SHgAAM</t>
  </si>
  <si>
    <t>a1b3p0000095SKGAA2</t>
  </si>
  <si>
    <t>a1b3p0000095SMqAAM</t>
  </si>
  <si>
    <t>a1b3p0000095S9xAAE</t>
  </si>
  <si>
    <t>a1b3p0000095SCXAA2</t>
  </si>
  <si>
    <t>a1b3p0000095SF7AAM</t>
  </si>
  <si>
    <t>a1b3p0000095SHhAAM</t>
  </si>
  <si>
    <t>a1b3p0000095SKHAA2</t>
  </si>
  <si>
    <t>a1b3p0000095SMrAAM</t>
  </si>
  <si>
    <t>a1b3p0000095S9yAAE</t>
  </si>
  <si>
    <t>a1b3p0000095SCYAA2</t>
  </si>
  <si>
    <t>a1b3p0000095SF8AAM</t>
  </si>
  <si>
    <t>a1b3p0000095SHiAAM</t>
  </si>
  <si>
    <t>a1b3p0000095SKIAA2</t>
  </si>
  <si>
    <t>a1b3p0000095SMsAAM</t>
  </si>
  <si>
    <t>a1b3p0000095S9zAAE</t>
  </si>
  <si>
    <t>a1b3p0000095SCZAA2</t>
  </si>
  <si>
    <t>a1b3p0000095SF9AAM</t>
  </si>
  <si>
    <t>a1b3p0000095SHjAAM</t>
  </si>
  <si>
    <t>a1b3p0000095SKJAA2</t>
  </si>
  <si>
    <t>a1b3p0000095SMtAAM</t>
  </si>
  <si>
    <t>a1b3p0000095SA0AAM</t>
  </si>
  <si>
    <t>a1b3p0000095SCaAAM</t>
  </si>
  <si>
    <t>a1b3p0000095SFAAA2</t>
  </si>
  <si>
    <t>a1b3p0000095SHkAAM</t>
  </si>
  <si>
    <t>a1b3p0000095SKKAA2</t>
  </si>
  <si>
    <t>a1b3p0000095SMuAAM</t>
  </si>
  <si>
    <t>a1b3p0000095SA1AAM</t>
  </si>
  <si>
    <t>a1b3p0000095SCbAAM</t>
  </si>
  <si>
    <t>a1b3p0000095SFBAA2</t>
  </si>
  <si>
    <t>a1b3p0000095SHlAAM</t>
  </si>
  <si>
    <t>a1b3p0000095SKLAA2</t>
  </si>
  <si>
    <t>a1b3p0000095SMvAAM</t>
  </si>
  <si>
    <t>Meta N#
Meta D#</t>
  </si>
  <si>
    <t>Indicador personalizado (EN)</t>
  </si>
  <si>
    <t>Línea de base año fuente (EN)</t>
  </si>
  <si>
    <t>Comentarios (EN)</t>
  </si>
  <si>
    <t xml:space="preserve">  Libro de registro de casos con TB fármacorresistente - Programa Nacional de TB</t>
  </si>
  <si>
    <r>
      <rPr>
        <b/>
        <sz val="12"/>
        <color theme="1"/>
        <rFont val="Calibri"/>
        <family val="2"/>
        <scheme val="minor"/>
      </rPr>
      <t>Assumptions for the targets</t>
    </r>
    <r>
      <rPr>
        <sz val="12"/>
        <color theme="1"/>
        <rFont val="Calibri"/>
        <family val="2"/>
        <scheme val="minor"/>
      </rPr>
      <t>: The number of cases reported as treatment success is all cases of tuberculosis, all bacteriologically confirmed and clinically diagnosed, new and relapsing forms that left the treatment cohort as cured and with complete treatment in the period to evaluate.</t>
    </r>
    <r>
      <rPr>
        <sz val="12"/>
        <color rgb="FFFF0000"/>
        <rFont val="Calibri"/>
        <family val="2"/>
        <scheme val="minor"/>
      </rPr>
      <t xml:space="preserve"> The cohort for reporting in treatment results is not that of the previous year, but that corresponding to two years prior to that of the report year, for example, cases that entered from January to December 2020 will be reported in March 2022 and so on. The PUDR reports the most recent data that has not yet been published in the WHO Global TB report.</t>
    </r>
    <r>
      <rPr>
        <sz val="12"/>
        <color theme="1"/>
        <rFont val="Calibri"/>
        <family val="2"/>
        <scheme val="minor"/>
      </rPr>
      <t xml:space="preserve">
The 2020 baseline and the 2022-2026 projections are based on the WHO estimate according to WHO report_2020.
</t>
    </r>
    <r>
      <rPr>
        <b/>
        <sz val="12"/>
        <color theme="1"/>
        <rFont val="Calibri"/>
        <family val="2"/>
        <scheme val="minor"/>
      </rPr>
      <t>Numerator</t>
    </r>
    <r>
      <rPr>
        <sz val="12"/>
        <color theme="1"/>
        <rFont val="Calibri"/>
        <family val="2"/>
        <scheme val="minor"/>
      </rPr>
      <t xml:space="preserve">: it is the total number of tuberculosis cases, all bacteriologically confirmed forms and with clinical diagnosis, new and relapses that left the treatment cohort as cured plus full treatment in the period to be evaluated.
</t>
    </r>
    <r>
      <rPr>
        <b/>
        <sz val="12"/>
        <color theme="1"/>
        <rFont val="Calibri"/>
        <family val="2"/>
        <scheme val="minor"/>
      </rPr>
      <t xml:space="preserve">Denominator: </t>
    </r>
    <r>
      <rPr>
        <sz val="12"/>
        <color theme="1"/>
        <rFont val="Calibri"/>
        <family val="2"/>
        <scheme val="minor"/>
      </rPr>
      <t xml:space="preserve">Total reported cases of tuberculosis, all bacteriologically confirmed and clinically diagnosed forms, new cases and relapses that entered the treatment cohort in the period to be evaluated; expressed as a percentage.
</t>
    </r>
    <r>
      <rPr>
        <b/>
        <sz val="12"/>
        <color theme="1"/>
        <rFont val="Calibri"/>
        <family val="2"/>
        <scheme val="minor"/>
      </rPr>
      <t>Primary source:</t>
    </r>
    <r>
      <rPr>
        <sz val="12"/>
        <color theme="1"/>
        <rFont val="Calibri"/>
        <family val="2"/>
        <scheme val="minor"/>
      </rPr>
      <t xml:space="preserve"> General TB Case Registry Book (PCT - 5). The PR will report numerator and denominator.</t>
    </r>
  </si>
  <si>
    <t>TCS-Other1 Porcentaje de personas en TARV a quienes se les ha realizado una prueba de carga viral en los últimos 6 meses.</t>
  </si>
  <si>
    <t>Global TB Report  2020</t>
  </si>
  <si>
    <r>
      <t>Glob</t>
    </r>
    <r>
      <rPr>
        <sz val="12"/>
        <rFont val="Calibri"/>
        <family val="2"/>
        <scheme val="minor"/>
      </rPr>
      <t>al TB</t>
    </r>
    <r>
      <rPr>
        <sz val="12"/>
        <color rgb="FFFF0000"/>
        <rFont val="Calibri"/>
        <family val="2"/>
        <scheme val="minor"/>
      </rPr>
      <t xml:space="preserve"> </t>
    </r>
    <r>
      <rPr>
        <sz val="12"/>
        <color theme="1"/>
        <rFont val="Calibri"/>
        <family val="2"/>
        <scheme val="minor"/>
      </rPr>
      <t>Report  2020</t>
    </r>
  </si>
  <si>
    <r>
      <rPr>
        <b/>
        <sz val="12"/>
        <color theme="1"/>
        <rFont val="Calibri"/>
        <family val="2"/>
        <scheme val="minor"/>
      </rPr>
      <t xml:space="preserve">Línea de base: </t>
    </r>
    <r>
      <rPr>
        <sz val="12"/>
        <color theme="1"/>
        <rFont val="Calibri"/>
        <family val="2"/>
        <scheme val="minor"/>
      </rPr>
      <t xml:space="preserve">
Generada por el Sistema único de monitoreo, evaluación y vigilancia epidemiológica del VIH-Sida (SUMEVE), basada en los datos del año  2020.  
</t>
    </r>
    <r>
      <rPr>
        <b/>
        <sz val="12"/>
        <color theme="1"/>
        <rFont val="Calibri"/>
        <family val="2"/>
        <scheme val="minor"/>
      </rPr>
      <t xml:space="preserve">
Numerador:</t>
    </r>
    <r>
      <rPr>
        <sz val="12"/>
        <color theme="1"/>
        <rFont val="Calibri"/>
        <family val="2"/>
        <scheme val="minor"/>
      </rPr>
      <t xml:space="preserve"> Número de personas viviendo con VIH en TAR por al menos 6 meses y con al menos un resultado de CV de rutina que tenga supresión viral (&lt;1000 copias/ml) durante el período de reporte.
</t>
    </r>
    <r>
      <rPr>
        <b/>
        <sz val="12"/>
        <color theme="1"/>
        <rFont val="Calibri"/>
        <family val="2"/>
        <scheme val="minor"/>
      </rPr>
      <t>Denominador:</t>
    </r>
    <r>
      <rPr>
        <sz val="12"/>
        <color theme="1"/>
        <rFont val="Calibri"/>
        <family val="2"/>
        <scheme val="minor"/>
      </rPr>
      <t xml:space="preserve"> Número de personas viviendo con VIH en TAR por al menos 6 meses con al menos un resultado de CV de rutina en un registro médico o de laboratorio durante el período de reporte.
</t>
    </r>
    <r>
      <rPr>
        <b/>
        <sz val="12"/>
        <color theme="1"/>
        <rFont val="Calibri"/>
        <family val="2"/>
        <scheme val="minor"/>
      </rPr>
      <t xml:space="preserve">
Fuente: </t>
    </r>
    <r>
      <rPr>
        <sz val="12"/>
        <color theme="1"/>
        <rFont val="Calibri"/>
        <family val="2"/>
        <scheme val="minor"/>
      </rPr>
      <t xml:space="preserve">El RP reportará el numerador y el denominador según datos reales registrados en el SUMEVE
</t>
    </r>
    <r>
      <rPr>
        <b/>
        <sz val="12"/>
        <color theme="1"/>
        <rFont val="Calibri"/>
        <family val="2"/>
        <scheme val="minor"/>
      </rPr>
      <t>Supuestos:</t>
    </r>
    <r>
      <rPr>
        <sz val="12"/>
        <color theme="1"/>
        <rFont val="Calibri"/>
        <family val="2"/>
        <scheme val="minor"/>
      </rPr>
      <t xml:space="preserve"> Considerando que el año 2020 fué un año atípico, en el que el resultado de este indicador fué afectado por la pandemia, resultando más bajo que para los dos años previos, se tomo como base para proyectar las metas para la próxima subvención el promedio de los resultados de CV suprimida de los ultimos 3 años.
Resultados de CV en los últimos 3 años
2018: 81.4%
2019: 87.5%
2020: 73%.
Las metas reflejan un incremento gradual por año a partir de la línea de base, en coherencia con las expectativas del país de avanzar hacia las metas 95-95-95. 
</t>
    </r>
    <r>
      <rPr>
        <b/>
        <sz val="12"/>
        <color theme="1"/>
        <rFont val="Calibri"/>
        <family val="2"/>
        <scheme val="minor"/>
      </rPr>
      <t xml:space="preserve">
Intervenciones:</t>
    </r>
    <r>
      <rPr>
        <sz val="12"/>
        <color theme="1"/>
        <rFont val="Calibri"/>
        <family val="2"/>
        <scheme val="minor"/>
      </rPr>
      <t xml:space="preserve"> adquisición de CD4, carga viral y ARVs; acciones para la mejora de la calidad de la atención a nivel de los CAI como la supervisión directa, apoyo para la red de transporte de muestras y análisis de la calidad de los datos y de entrega domiciliar de medicamentos.
</t>
    </r>
    <r>
      <rPr>
        <b/>
        <sz val="12"/>
        <color theme="1"/>
        <rFont val="Calibri"/>
        <family val="2"/>
        <scheme val="minor"/>
      </rPr>
      <t xml:space="preserve">
Métodos de medición:</t>
    </r>
    <r>
      <rPr>
        <sz val="12"/>
        <color theme="1"/>
        <rFont val="Calibri"/>
        <family val="2"/>
        <scheme val="minor"/>
      </rPr>
      <t xml:space="preserve"> la fuente primaria corresponde a los registros de pacientes de los Centros de Atención Integral, a ser registrados en el SUMEVE (Sistema Unico de Monitoreo evaluación y vigilancia del VIH)  que es el sistema nacional en donde se registra toda la información correspondiente a las acciones realizadas desde el diagnóstico hasta seguimiento del usuario, incluyendo sus resultados de CV. 
Por ser país focalizado no se requiere desagregación.</t>
    </r>
  </si>
  <si>
    <r>
      <t xml:space="preserve">GeneXpert database and sensitivity database.
</t>
    </r>
    <r>
      <rPr>
        <sz val="12"/>
        <rFont val="Calibri"/>
        <family val="2"/>
        <scheme val="minor"/>
      </rPr>
      <t>PCT - 9 (Quarterly report on TB case detection).</t>
    </r>
  </si>
  <si>
    <t xml:space="preserve">Línea de base 64.3% correspondiente al año 2020, fuente SUMEVE.
Numerador: Número de personas en TARV a quienes se les ha realizado una prueba de carga viral en los últimos 6 meses durante el periodo del informe.
Denominador: Número total de personas que se encuentran en TAR durante el periodo del informe.
Supuestos: Este indicador reportara el numero de personas en TAR al cual se le ha logrado realizar una prueba de CV en los últimos 6 meses durante el periodo del informe que se encuentren registradas en el sistema de información e incluye los usuarios del ISSS.
Se ha considerado un incremento anual del 3% para cada año de la subvención, bajo el criterio que se incorporaran los datos del ISSS, se continuara con la descetralización de la toma y procesamiento de la CV y la incorporación del inicio rápido de tratamiento en las guías clinicas nacionales de atención al VIH.
Tanto el numerador como el denominador será reportado según datos reales registrados en el SUMEVE correspondientes al período a reportar
Fuente: SUMEVE.
</t>
  </si>
  <si>
    <r>
      <rPr>
        <b/>
        <sz val="12"/>
        <rFont val="Calibri"/>
        <family val="2"/>
        <scheme val="minor"/>
      </rPr>
      <t>Baseline:</t>
    </r>
    <r>
      <rPr>
        <sz val="12"/>
        <rFont val="Calibri"/>
        <family val="2"/>
        <scheme val="minor"/>
      </rPr>
      <t xml:space="preserve"> 20.54%. This baseline corresponds to positive MSM, who are cared for at VICITS clinics and is the result reported in the 2019 report.
Baseline source: Care provided at VICITS clinics during 2019.
</t>
    </r>
    <r>
      <rPr>
        <b/>
        <sz val="12"/>
        <rFont val="Calibri"/>
        <family val="2"/>
        <scheme val="minor"/>
      </rPr>
      <t xml:space="preserve">Numerator: </t>
    </r>
    <r>
      <rPr>
        <sz val="12"/>
        <rFont val="Calibri"/>
        <family val="2"/>
        <scheme val="minor"/>
      </rPr>
      <t xml:space="preserve">Number of new and known cases of HIV in the MSM population that visit VICITS clinics during the reporting period
</t>
    </r>
    <r>
      <rPr>
        <b/>
        <sz val="12"/>
        <rFont val="Calibri"/>
        <family val="2"/>
        <scheme val="minor"/>
      </rPr>
      <t>Denominator:</t>
    </r>
    <r>
      <rPr>
        <sz val="12"/>
        <rFont val="Calibri"/>
        <family val="2"/>
        <scheme val="minor"/>
      </rPr>
      <t xml:space="preserve"> Total number of MSM who were seen at VICITS during the reporting period.
The numerator and denominator of this indicator will be reported from the care provided to this population in the VICITS clinics.
</t>
    </r>
    <r>
      <rPr>
        <b/>
        <sz val="12"/>
        <rFont val="Calibri"/>
        <family val="2"/>
        <scheme val="minor"/>
      </rPr>
      <t>Data source</t>
    </r>
    <r>
      <rPr>
        <sz val="12"/>
        <rFont val="Calibri"/>
        <family val="2"/>
        <scheme val="minor"/>
      </rPr>
      <t xml:space="preserve">: SIAP / VICITS (Comprehensive Patient Care System), this system has been planned to collect information from all services nationwide, but currently its implementation has not been completed, it consists of several modules, one of The modules correspond to the attention of the VICITS and friendly clinics, in which the system has already been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The country has routinely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t>
    </r>
    <r>
      <rPr>
        <b/>
        <sz val="12"/>
        <rFont val="Calibri"/>
        <family val="2"/>
        <scheme val="minor"/>
      </rPr>
      <t xml:space="preserve">Assumptions: </t>
    </r>
    <r>
      <rPr>
        <sz val="12"/>
        <rFont val="Calibri"/>
        <family val="2"/>
        <scheme val="minor"/>
      </rPr>
      <t xml:space="preserve">On this occasion, it is being proposed that by strengthening the approaches to promote the HIV test, the diagnostic capacity will be improved, hoping to increase the percentage of the first pillar of the cascade of the continuum of care, so the goals will increase. An annual increase of 1% is planned.
For the fulfillment of this indicator, the data will be reported from the care provided in the VICITS clinics and friendly clinics
</t>
    </r>
    <r>
      <rPr>
        <b/>
        <sz val="12"/>
        <rFont val="Calibri"/>
        <family val="2"/>
        <scheme val="minor"/>
      </rPr>
      <t xml:space="preserve"> 
Measurement methods:</t>
    </r>
    <r>
      <rPr>
        <sz val="12"/>
        <rFont val="Calibri"/>
        <family val="2"/>
        <scheme val="minor"/>
      </rPr>
      <t xml:space="preserve"> Through 18 VICITS in El Salvador, distributed nationwide and the 12 friendly clinics
Because it is a targeted country, no disaggregation is required.</t>
    </r>
  </si>
  <si>
    <r>
      <rPr>
        <b/>
        <sz val="12"/>
        <rFont val="Calibri"/>
        <family val="2"/>
        <scheme val="minor"/>
      </rPr>
      <t>Baseline:</t>
    </r>
    <r>
      <rPr>
        <sz val="12"/>
        <rFont val="Calibri"/>
        <family val="2"/>
        <scheme val="minor"/>
      </rPr>
      <t xml:space="preserve"> 27.19%. This baseline corresponds to the population of positive trans women, who are cared for at VICITS clinics and is the result reported in the 2019 report.
</t>
    </r>
    <r>
      <rPr>
        <b/>
        <sz val="12"/>
        <rFont val="Calibri"/>
        <family val="2"/>
        <scheme val="minor"/>
      </rPr>
      <t xml:space="preserve">
Baseline source: </t>
    </r>
    <r>
      <rPr>
        <sz val="12"/>
        <rFont val="Calibri"/>
        <family val="2"/>
        <scheme val="minor"/>
      </rPr>
      <t xml:space="preserve">Care provided at VICITS clinics during 2019.
</t>
    </r>
    <r>
      <rPr>
        <b/>
        <sz val="12"/>
        <rFont val="Calibri"/>
        <family val="2"/>
        <scheme val="minor"/>
      </rPr>
      <t>Numerator:</t>
    </r>
    <r>
      <rPr>
        <sz val="12"/>
        <rFont val="Calibri"/>
        <family val="2"/>
        <scheme val="minor"/>
      </rPr>
      <t xml:space="preserve"> Number of new and known cases of HIV in the population of trans women who visit VICITS clinics during the reporting period
</t>
    </r>
    <r>
      <rPr>
        <b/>
        <sz val="12"/>
        <rFont val="Calibri"/>
        <family val="2"/>
        <scheme val="minor"/>
      </rPr>
      <t xml:space="preserve">
Denominator:</t>
    </r>
    <r>
      <rPr>
        <sz val="12"/>
        <rFont val="Calibri"/>
        <family val="2"/>
        <scheme val="minor"/>
      </rPr>
      <t xml:space="preserve"> Total number of Trans people who were treated at VICITS during the reporting period.
The numerator and denominator of this indicator will be reported from the care provided to this population in the VICITS clinics.
</t>
    </r>
    <r>
      <rPr>
        <b/>
        <sz val="12"/>
        <rFont val="Calibri"/>
        <family val="2"/>
        <scheme val="minor"/>
      </rPr>
      <t xml:space="preserve">Data source: </t>
    </r>
    <r>
      <rPr>
        <sz val="12"/>
        <rFont val="Calibri"/>
        <family val="2"/>
        <scheme val="minor"/>
      </rPr>
      <t xml:space="preserve">SIAP / VICITS (Comprehensive Patient Care System), this system has been planned to collect information on all care at the national level, but currently it has not been possible to complete its implementation, it consists of several modules, being one of these the attention of VICITS and friendly clinics, in which it is already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on a routine basis, the country has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t>
    </r>
    <r>
      <rPr>
        <b/>
        <sz val="12"/>
        <rFont val="Calibri"/>
        <family val="2"/>
        <scheme val="minor"/>
      </rPr>
      <t xml:space="preserve">
Assumptions</t>
    </r>
    <r>
      <rPr>
        <sz val="12"/>
        <rFont val="Calibri"/>
        <family val="2"/>
        <scheme val="minor"/>
      </rPr>
      <t xml:space="preserve">: On this occasion, it is being proposed that by strengthening the approaches to promote the HIV test, the diagnostic capacity will be improved, hoping to increase the percentage of the first pillar of the cascade of the care continuum, so the goals will go into increase. An annual increase of 1% is planned.
For the fulfillment of this indicator, the data will be reported from the care provided in the VICITS clinics and friendly clinics
 </t>
    </r>
    <r>
      <rPr>
        <b/>
        <sz val="12"/>
        <rFont val="Calibri"/>
        <family val="2"/>
        <scheme val="minor"/>
      </rPr>
      <t xml:space="preserve">
Measurement methods: </t>
    </r>
    <r>
      <rPr>
        <sz val="12"/>
        <rFont val="Calibri"/>
        <family val="2"/>
        <scheme val="minor"/>
      </rPr>
      <t>Through 18 VICITS in El Salvador, distributed nationwide and the 12 friendly clinics.
Because it is a targeted country, no disaggregation is required.</t>
    </r>
  </si>
  <si>
    <t>TCS-Other1 Percentage of people on ART who have had a viral load test in the last 6 months.</t>
  </si>
  <si>
    <t>Baseline 64.3% corresponding to the year 2020, source SUMEVE.
Numerator: Number of people on ART who have undergone a viral load test in the last 6 months during the reporting period.
Denominator: Total number of people on ART during the reporting period.
Assumptions: This indicator will report the number of people in ART who have been able to receive a VL test in the last 6 months during the reporting period that are registered in the information system and includes ISSS users.
An annual increase of 3% has been considered for each year of the grant, under the criteria that the ISSS data will be incorporated, the de-centralization of the sampling and processing of the VLT will continue and the incorporation of the test and treat approach in the national clinical guidelines for HIV care.
Both the numerator and the denominator will be reported according to real data registered in SUMEVE corresponding to the period to be reported.
Source: SUMEVE.</t>
  </si>
  <si>
    <r>
      <rPr>
        <b/>
        <sz val="12"/>
        <rFont val="Calibri"/>
        <family val="2"/>
        <scheme val="minor"/>
      </rPr>
      <t xml:space="preserve">Línea de base: </t>
    </r>
    <r>
      <rPr>
        <sz val="12"/>
        <rFont val="Calibri"/>
        <family val="2"/>
        <scheme val="minor"/>
      </rPr>
      <t xml:space="preserve">20.54% . Esta línea de base corresponde a las personas HSH positivas, que son atendidas en las clínicas VICITS  y es el resultado reportado en el informe del año 2019. 
Fuente de la línea de base: Atenciones brindadas en las clínicas  VICITS durante el año 2019.
</t>
    </r>
    <r>
      <rPr>
        <b/>
        <sz val="12"/>
        <rFont val="Calibri"/>
        <family val="2"/>
        <scheme val="minor"/>
      </rPr>
      <t>Numerador:</t>
    </r>
    <r>
      <rPr>
        <sz val="12"/>
        <rFont val="Calibri"/>
        <family val="2"/>
        <scheme val="minor"/>
      </rPr>
      <t xml:space="preserve"> Número de casos nuevos y conocidos de VIH en la población HSH que consultan en las clínicas VICITS durante el período a reportar
</t>
    </r>
    <r>
      <rPr>
        <b/>
        <sz val="12"/>
        <rFont val="Calibri"/>
        <family val="2"/>
        <scheme val="minor"/>
      </rPr>
      <t>Denominador:</t>
    </r>
    <r>
      <rPr>
        <sz val="12"/>
        <rFont val="Calibri"/>
        <family val="2"/>
        <scheme val="minor"/>
      </rPr>
      <t xml:space="preserve">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t>
    </r>
    <r>
      <rPr>
        <b/>
        <sz val="12"/>
        <rFont val="Calibri"/>
        <family val="2"/>
        <scheme val="minor"/>
      </rPr>
      <t>Supuestos</t>
    </r>
    <r>
      <rPr>
        <sz val="12"/>
        <rFont val="Calibri"/>
        <family val="2"/>
        <scheme val="minor"/>
      </rPr>
      <t xml:space="preserve">: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t>
    </r>
    <r>
      <rPr>
        <b/>
        <sz val="12"/>
        <rFont val="Calibri"/>
        <family val="2"/>
        <scheme val="minor"/>
      </rPr>
      <t>Métodos de medición:</t>
    </r>
    <r>
      <rPr>
        <sz val="12"/>
        <rFont val="Calibri"/>
        <family val="2"/>
        <scheme val="minor"/>
      </rPr>
      <t xml:space="preserve"> A través de 18 VICITS en El Salvador , distribuidas a nivel nacional y las 12 clínicas amigables
Por ser país focalizado no se requiere desagregación.</t>
    </r>
  </si>
  <si>
    <r>
      <rPr>
        <b/>
        <i/>
        <sz val="12"/>
        <rFont val="Calibri"/>
        <family val="2"/>
        <scheme val="minor"/>
      </rPr>
      <t>Supuesto estimación de metas:</t>
    </r>
    <r>
      <rPr>
        <sz val="12"/>
        <rFont val="Calibri"/>
        <family val="2"/>
        <scheme val="minor"/>
      </rPr>
      <t xml:space="preserve"> El país se propone reducir la mortalidad al año 2025 tomando como parámetro  la estrategia Fin a la TB como meta; por tal razón El Salvador pretende sostener al menos una tasa de mortalidad menor de uno (&lt;1) durante los proximos años de la subvencion. Y alcanzar una tasa de 0.85 para el último año de la subvención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t>
    </r>
    <r>
      <rPr>
        <b/>
        <i/>
        <sz val="12"/>
        <rFont val="Calibri"/>
        <family val="2"/>
        <scheme val="minor"/>
      </rPr>
      <t>Numerador:</t>
    </r>
    <r>
      <rPr>
        <sz val="12"/>
        <rFont val="Calibri"/>
        <family val="2"/>
        <scheme val="minor"/>
      </rPr>
      <t xml:space="preserve">  número de muertes por tuberculosis todas las formas registradas, certificadas y reportadas a nivel nacional del año anterior en todos los niveles. 
</t>
    </r>
    <r>
      <rPr>
        <b/>
        <i/>
        <sz val="12"/>
        <rFont val="Calibri"/>
        <family val="2"/>
        <scheme val="minor"/>
      </rPr>
      <t xml:space="preserve">Denominador: </t>
    </r>
    <r>
      <rPr>
        <sz val="12"/>
        <rFont val="Calibri"/>
        <family val="2"/>
        <scheme val="minor"/>
      </rPr>
      <t xml:space="preserve"> Total de la población (DIGESTYC) por 100,000 habitantes del año a evaluar.El indicador es de reporte ANUAL NO ACUMULATIVO.
</t>
    </r>
    <r>
      <rPr>
        <b/>
        <i/>
        <sz val="12"/>
        <rFont val="Calibri"/>
        <family val="2"/>
        <scheme val="minor"/>
      </rPr>
      <t>Fuente de Información:</t>
    </r>
    <r>
      <rPr>
        <sz val="12"/>
        <rFont val="Calibri"/>
        <family val="2"/>
        <scheme val="minor"/>
      </rPr>
      <t xml:space="preserve"> SIMMOW (Sistema de morbimortalidad de El Salvador) que son los mismos  datos oficiales  notificados por el país, publicados  y validados por la OMS en el Global TB report.</t>
    </r>
  </si>
  <si>
    <r>
      <rPr>
        <b/>
        <sz val="12"/>
        <rFont val="Calibri"/>
        <family val="2"/>
        <scheme val="minor"/>
      </rPr>
      <t>Assumptions for the targets</t>
    </r>
    <r>
      <rPr>
        <sz val="12"/>
        <rFont val="Calibri"/>
        <family val="2"/>
        <scheme val="minor"/>
      </rPr>
      <t xml:space="preserve">: The country intends to reduce mortality by 2025 using the End TB strategy as a parameter; For this reason, El Salvador intends to sustain at least a mortality rate of less than one (&lt;1) during the next years of the subsidy. And achieve a rate of 0.85 for the last year of the grant
The global TB reports published annually by the World Health Organization (WHO) document the progress made through the widespread application of global TB strategies and the achievement of targets related to the Sustainable Development Goals (SDGs). Taken together, the efficacy of TB diagnosis and treatment is estimated to have saved lives. The association of TB with HIV is the leading cause of death among infectious diseases. There are still a number of challenges to face to end the epidemic of this disease.
In the assumption of the gradual reduction of mortality, it is proposed to conclude the subsidy with a rate lower than 1 per 100,000 inhabitants, which is in accordance with the End TB strategy.
</t>
    </r>
    <r>
      <rPr>
        <b/>
        <sz val="12"/>
        <rFont val="Calibri"/>
        <family val="2"/>
        <scheme val="minor"/>
      </rPr>
      <t xml:space="preserve">Numerator: </t>
    </r>
    <r>
      <rPr>
        <sz val="12"/>
        <rFont val="Calibri"/>
        <family val="2"/>
        <scheme val="minor"/>
      </rPr>
      <t xml:space="preserve">number of deaths from tuberculosis all registered, certified and reported forms at the national level of the previous year at all levels.
</t>
    </r>
    <r>
      <rPr>
        <b/>
        <sz val="12"/>
        <rFont val="Calibri"/>
        <family val="2"/>
        <scheme val="minor"/>
      </rPr>
      <t xml:space="preserve">Denominator: </t>
    </r>
    <r>
      <rPr>
        <sz val="12"/>
        <rFont val="Calibri"/>
        <family val="2"/>
        <scheme val="minor"/>
      </rPr>
      <t xml:space="preserve">Total population (DIGESTYC) per 100,000 inhabitants of the year to be evaluated. The indicator is from the ANNUAL NON-CUMULATIVE report.
</t>
    </r>
    <r>
      <rPr>
        <b/>
        <sz val="12"/>
        <rFont val="Calibri"/>
        <family val="2"/>
        <scheme val="minor"/>
      </rPr>
      <t xml:space="preserve">Information Source: </t>
    </r>
    <r>
      <rPr>
        <sz val="12"/>
        <rFont val="Calibri"/>
        <family val="2"/>
        <scheme val="minor"/>
      </rPr>
      <t>SIMMOW (El Salvador Morbidity System) which is the same official data reported by the country, published and validated by WHO in the Global TB report.</t>
    </r>
  </si>
  <si>
    <r>
      <rPr>
        <b/>
        <i/>
        <sz val="12"/>
        <color theme="1"/>
        <rFont val="Calibri"/>
        <family val="2"/>
        <scheme val="minor"/>
      </rPr>
      <t>Supuestos para la meta:</t>
    </r>
    <r>
      <rPr>
        <sz val="12"/>
        <color theme="1"/>
        <rFont val="Calibri"/>
        <family val="2"/>
        <scheme val="minor"/>
      </rPr>
      <t xml:space="preserve"> la tasa de éxito del tratamiento de los casos de tuberculosis resistente a la rifampicina y/o tuberculosis multirresistente expresado en porcentaje tratados con éxito; es el número de casos notificados, tratados y que egresaron curados más tratamientos completos, diagnosticados en los tres años anteriores, según los esquemas de tratamiento de segunda línea normados, los cuales tienen una duración de entre 18 a 24 meses.
T</t>
    </r>
    <r>
      <rPr>
        <sz val="12"/>
        <rFont val="Calibri"/>
        <family val="2"/>
        <scheme val="minor"/>
      </rPr>
      <t xml:space="preserve">omamos como linea de base lo reportado en el ultimo PUDR en el cual se obtuvo una curacion del 100% (7/7) de la cohorte del año 2018 y que reporta su resultado de éxito de tratamiento en el año 2020 (tomar nota que el ingreso de los casos habiendo sido 2 años anteriores y su curación es los curados sobre los notificados en el mismo año 2018); así mismo hemos aumentado las metas para cada año en nueve puntos llegando a una meta del 90%; esta situacion es de mucha consideracion a raiz de la Pandemia Covid - 19 cuyas secuelas de patología respiratoria crónica aumentaran significativamente la mortalidad en este tipo de paciente de por si ya complicado. </t>
    </r>
    <r>
      <rPr>
        <b/>
        <sz val="12"/>
        <rFont val="Calibri"/>
        <family val="2"/>
        <scheme val="minor"/>
      </rPr>
      <t xml:space="preserve">
</t>
    </r>
    <r>
      <rPr>
        <sz val="12"/>
        <color theme="1"/>
        <rFont val="Calibri"/>
        <family val="2"/>
        <scheme val="minor"/>
      </rPr>
      <t xml:space="preserve">
</t>
    </r>
    <r>
      <rPr>
        <b/>
        <i/>
        <sz val="12"/>
        <color theme="1"/>
        <rFont val="Calibri"/>
        <family val="2"/>
        <scheme val="minor"/>
      </rPr>
      <t xml:space="preserve">Numerador: </t>
    </r>
    <r>
      <rPr>
        <sz val="12"/>
        <color theme="1"/>
        <rFont val="Calibri"/>
        <family val="2"/>
        <scheme val="minor"/>
      </rPr>
      <t xml:space="preserve">total de casos TB-RR y/o TB-MDR confirmados bacteriológicamente que egresaron de la cohorte como  curados y tratamiento terminado completo al final del tratamiento en el  periodo a evaluar. 
</t>
    </r>
    <r>
      <rPr>
        <b/>
        <i/>
        <sz val="12"/>
        <color theme="1"/>
        <rFont val="Calibri"/>
        <family val="2"/>
        <scheme val="minor"/>
      </rPr>
      <t>Denominador:</t>
    </r>
    <r>
      <rPr>
        <sz val="12"/>
        <color theme="1"/>
        <rFont val="Calibri"/>
        <family val="2"/>
        <scheme val="minor"/>
      </rPr>
      <t xml:space="preserve"> total de casos TB-RR y/o TB-MDR confirmados bacteriológicamente que ingresaron a la cohorte de tratamiento en el  periodo a evaluar. 
Tanto el numerador como el denominador en número absolutos corresponderán a los notificados 2 años anteriores, puesto que este indicador evalúa la curación de los casos MDR que han venido siendo tratado por 2 años.
</t>
    </r>
    <r>
      <rPr>
        <b/>
        <sz val="12"/>
        <color theme="1"/>
        <rFont val="Calibri"/>
        <family val="2"/>
        <scheme val="minor"/>
      </rPr>
      <t xml:space="preserve">
Fuente de Información:</t>
    </r>
    <r>
      <rPr>
        <sz val="12"/>
        <color theme="1"/>
        <rFont val="Calibri"/>
        <family val="2"/>
        <scheme val="minor"/>
      </rPr>
      <t xml:space="preserve">  Libro de registro de casos con TB fármacorresistente. El RP reportará numerador y denominador.</t>
    </r>
  </si>
  <si>
    <r>
      <rPr>
        <b/>
        <sz val="12"/>
        <color theme="1"/>
        <rFont val="Calibri"/>
        <family val="2"/>
        <scheme val="minor"/>
      </rPr>
      <t>Baseline:</t>
    </r>
    <r>
      <rPr>
        <sz val="12"/>
        <color theme="1"/>
        <rFont val="Calibri"/>
        <family val="2"/>
        <scheme val="minor"/>
      </rPr>
      <t xml:space="preserve">
Generated by the Unique System for Monitoring, Evaluation and Epidemiological Surveillance of HIV-AIDS (SUMEVE), based on data from 2020.
</t>
    </r>
    <r>
      <rPr>
        <b/>
        <sz val="12"/>
        <color theme="1"/>
        <rFont val="Calibri"/>
        <family val="2"/>
        <scheme val="minor"/>
      </rPr>
      <t>Numerator:</t>
    </r>
    <r>
      <rPr>
        <sz val="12"/>
        <color theme="1"/>
        <rFont val="Calibri"/>
        <family val="2"/>
        <scheme val="minor"/>
      </rPr>
      <t xml:space="preserve"> Number of people living with HIV on ART for at least 6 months and with at least one routine CV result that has viral suppression (&lt;1000 copies / ml) during the reporting period.
</t>
    </r>
    <r>
      <rPr>
        <b/>
        <sz val="12"/>
        <color theme="1"/>
        <rFont val="Calibri"/>
        <family val="2"/>
        <scheme val="minor"/>
      </rPr>
      <t>Denominator:</t>
    </r>
    <r>
      <rPr>
        <sz val="12"/>
        <color theme="1"/>
        <rFont val="Calibri"/>
        <family val="2"/>
        <scheme val="minor"/>
      </rPr>
      <t xml:space="preserve"> Number of people living with HIV on ART for at least 6 months with at least one routine CV result in a medical or laboratory record during the reporting period.
</t>
    </r>
    <r>
      <rPr>
        <b/>
        <sz val="12"/>
        <color theme="1"/>
        <rFont val="Calibri"/>
        <family val="2"/>
        <scheme val="minor"/>
      </rPr>
      <t>Source:</t>
    </r>
    <r>
      <rPr>
        <sz val="12"/>
        <color theme="1"/>
        <rFont val="Calibri"/>
        <family val="2"/>
        <scheme val="minor"/>
      </rPr>
      <t xml:space="preserve"> The PR will report the numerator and denominator according to real data recorded in SUMEVE
</t>
    </r>
    <r>
      <rPr>
        <b/>
        <sz val="12"/>
        <color theme="1"/>
        <rFont val="Calibri"/>
        <family val="2"/>
        <scheme val="minor"/>
      </rPr>
      <t>Assumptions</t>
    </r>
    <r>
      <rPr>
        <sz val="12"/>
        <color theme="1"/>
        <rFont val="Calibri"/>
        <family val="2"/>
        <scheme val="minor"/>
      </rPr>
      <t xml:space="preserve">: Considering that 2020 was an atypical year, in which the result of this indicator was affected by the pandemic, resulting lower than for the previous two years, the average of the results of CV suppressed of the last 3 years is used as the basis for projecting targets for the next grant.
CV results in the last 3 years
2018: 81.4%
2019: 87.5%
2020: 73%.
The targets reflect a gradual increase per year from the baseline, consistent with the country's expectations to advance toward the 95-95-95 goals.
</t>
    </r>
    <r>
      <rPr>
        <b/>
        <sz val="12"/>
        <color theme="1"/>
        <rFont val="Calibri"/>
        <family val="2"/>
        <scheme val="minor"/>
      </rPr>
      <t>Interventions:</t>
    </r>
    <r>
      <rPr>
        <sz val="12"/>
        <color theme="1"/>
        <rFont val="Calibri"/>
        <family val="2"/>
        <scheme val="minor"/>
      </rPr>
      <t xml:space="preserve"> acquisition of CD4, viral load and ARVs; Actions to improve the quality of care at the CAI level, such as direct supervision, support for the transport network of samples and analysis of the quality of data and home delivery of medicines.
</t>
    </r>
    <r>
      <rPr>
        <sz val="12"/>
        <rFont val="Calibri"/>
        <family val="2"/>
        <scheme val="minor"/>
      </rPr>
      <t>Measurement methods</t>
    </r>
    <r>
      <rPr>
        <sz val="12"/>
        <color theme="1"/>
        <rFont val="Calibri"/>
        <family val="2"/>
        <scheme val="minor"/>
      </rPr>
      <t>: the primary source corresponds to the patient records of the Comprehensive Care Centers, to be registered in the SUMEVE (Unique System for Monitoring, Evaluation and Surveillance of HIV), which is the national system where all the corresponding information is recorded to the actions carried out from the diagnosis to the monitoring of the user, including their CV results.
Since El Salvador is a targeted country, no disaggregation is required.</t>
    </r>
  </si>
  <si>
    <r>
      <rPr>
        <b/>
        <i/>
        <sz val="12"/>
        <color theme="1"/>
        <rFont val="Calibri"/>
        <family val="2"/>
        <scheme val="minor"/>
      </rPr>
      <t>Supuestos para la meta:</t>
    </r>
    <r>
      <rPr>
        <sz val="12"/>
        <rFont val="Calibri"/>
        <family val="2"/>
        <scheme val="minor"/>
      </rPr>
      <t xml:space="preserve"> La linea basal para esté indicador se ha calculado, tomando lo publicado en el Global TB Report OMS para el año 2019 y la proyección ha sido establecida con base a la estrategía Fin a la TB y Tabla de datos escenciales anexo 8.</t>
    </r>
    <r>
      <rPr>
        <sz val="12"/>
        <color rgb="FFFF0000"/>
        <rFont val="Calibri"/>
        <family val="2"/>
        <scheme val="minor"/>
      </rPr>
      <t xml:space="preserve"> </t>
    </r>
    <r>
      <rPr>
        <sz val="12"/>
        <color theme="1"/>
        <rFont val="Calibri"/>
        <family val="2"/>
        <scheme val="minor"/>
      </rPr>
      <t xml:space="preserve">Una alta cobertura de un tratamiento apropiado es un requisito fundamental para lograr los hitos y las metas de la Estrategia Fin de la TB. Si se usan juntos la cobertura y el éxito del tratamiento, estos dos indicadores sirven para dar seguimiento al progreso hacia la cobertura sanitaria universal en el marco de los ODS.
La cobertura del tratamiento de la tuberculosis se refiere al porcentaje de los casos nuevos y recaídas notificados y tratados; entre el número estimado de casos nuevos de TB en el mismo período a evaluar.
Para este indicador, se han establecido metas en el PENMTB (2,080 para año 2022; 1,940 para año 2023; 1,785 para año 2024 -(Tabla 8 _"Indicadores complementarios" del PENMTB 2022-2026) . Este indicador y metas serán revisadas, en caso de ser necesario podría ser ajustadas, después del primer informe de esta subvención. 
</t>
    </r>
    <r>
      <rPr>
        <b/>
        <i/>
        <sz val="12"/>
        <color theme="1"/>
        <rFont val="Calibri"/>
        <family val="2"/>
        <scheme val="minor"/>
      </rPr>
      <t xml:space="preserve">Numerador: </t>
    </r>
    <r>
      <rPr>
        <sz val="12"/>
        <color theme="1"/>
        <rFont val="Calibri"/>
        <family val="2"/>
        <scheme val="minor"/>
      </rPr>
      <t>total de casos de tuberculosis (todas formas) confirmados bacteriológicamente y con diagnóstico clínico, casos nuev</t>
    </r>
    <r>
      <rPr>
        <sz val="12"/>
        <rFont val="Calibri"/>
        <family val="2"/>
        <scheme val="minor"/>
      </rPr>
      <t>os y recaídas notificados y tratados en el período a evaluar por el país</t>
    </r>
    <r>
      <rPr>
        <sz val="12"/>
        <color theme="1"/>
        <rFont val="Calibri"/>
        <family val="2"/>
        <scheme val="minor"/>
      </rPr>
      <t xml:space="preserve">
</t>
    </r>
    <r>
      <rPr>
        <b/>
        <i/>
        <sz val="12"/>
        <color theme="1"/>
        <rFont val="Calibri"/>
        <family val="2"/>
        <scheme val="minor"/>
      </rPr>
      <t>Denominador:</t>
    </r>
    <r>
      <rPr>
        <sz val="12"/>
        <color theme="1"/>
        <rFont val="Calibri"/>
        <family val="2"/>
        <scheme val="minor"/>
      </rPr>
      <t xml:space="preserve"> total de casos estimados por la OMS de tuberculosis todas las formas, confirmados bacteriológicamente y con diagnóstico clínico, casos nuevos y recaídas en el período a evaluar, </t>
    </r>
    <r>
      <rPr>
        <sz val="12"/>
        <rFont val="Calibri"/>
        <family val="2"/>
        <scheme val="minor"/>
      </rPr>
      <t xml:space="preserve">cuya estimación,  va con un retraso de dos años al informe de notificación del PUDR y es extraído del WHO Global TB Report, expresado en porcentaje.
El reporte anual se reportara con numerador/denominador y porcentaje, en cada año de la subvencion de acuerdo a los datos reales del periodo a reportar; de forma preliminar se reportaría al mismo tiempo del PUDR el 30 de marzo de cada año de la subvención.
</t>
    </r>
    <r>
      <rPr>
        <b/>
        <i/>
        <sz val="12"/>
        <color theme="1"/>
        <rFont val="Calibri"/>
        <family val="2"/>
        <scheme val="minor"/>
      </rPr>
      <t xml:space="preserve">La fuente primaria: </t>
    </r>
    <r>
      <rPr>
        <sz val="12"/>
        <rFont val="Calibri"/>
        <family val="2"/>
        <scheme val="minor"/>
      </rPr>
      <t>El registro general de casos con TB (PCT-5) y Global Report TB/OMS, cuya estimación (dato del denominador) va con un retraso de dos años al informe de notificación.</t>
    </r>
  </si>
  <si>
    <r>
      <rPr>
        <b/>
        <sz val="12"/>
        <color theme="1"/>
        <rFont val="Calibri"/>
        <family val="2"/>
        <scheme val="minor"/>
      </rPr>
      <t>Assumptions for the targets</t>
    </r>
    <r>
      <rPr>
        <sz val="12"/>
        <color theme="1"/>
        <rFont val="Calibri"/>
        <family val="2"/>
        <scheme val="minor"/>
      </rPr>
      <t xml:space="preserve">: High coverage of appropriate treatment is a fundamental requirement to achieve the milestones and goals of the End TB Strategy. If coverage and treatment success are used together, these two indicators serve to track progress towards universal health coverage under the SDGs.
Tuberculosis treatment coverage refers to the percentage of new and relapsed cases reported and treated; between the estimated number of new TB cases in the same period to be evaluated.
For this indicator, targets have been established in the PENMTB (2,080 for the year 2022; 1,940 for the year 2023; 1,785 for the year 2024 - (Table 8 _ "Complementary indicators" of the PENMTB 2022-2026). This indicator and targets will be reviewed, in if necessary, they could be adjusted after the first report of this grant.
The annual report will be done with numerator / denominator and percentage, in each year of the grant according to the real data of the reporting period; It would be preliminarily reported at the same time as the PUDR on March 30 of each grant year.
</t>
    </r>
    <r>
      <rPr>
        <b/>
        <sz val="12"/>
        <color theme="1"/>
        <rFont val="Calibri"/>
        <family val="2"/>
        <scheme val="minor"/>
      </rPr>
      <t>Numerator:</t>
    </r>
    <r>
      <rPr>
        <sz val="12"/>
        <color theme="1"/>
        <rFont val="Calibri"/>
        <family val="2"/>
        <scheme val="minor"/>
      </rPr>
      <t xml:space="preserve"> total number of cases of tuberculosis (all forms) confirmed bacteriologically and with clinical diagnosis, new cases and relapses reported and treated in the period to be evaluated</t>
    </r>
    <r>
      <rPr>
        <sz val="12"/>
        <rFont val="Calibri"/>
        <family val="2"/>
        <scheme val="minor"/>
      </rPr>
      <t>,whose estimate is delayed by two years to the report and is drawn from the WHO Global TB Report, expressed in percentage.</t>
    </r>
    <r>
      <rPr>
        <sz val="12"/>
        <color theme="1"/>
        <rFont val="Calibri"/>
        <family val="2"/>
        <scheme val="minor"/>
      </rPr>
      <t xml:space="preserve">
</t>
    </r>
    <r>
      <rPr>
        <b/>
        <sz val="12"/>
        <color theme="1"/>
        <rFont val="Calibri"/>
        <family val="2"/>
        <scheme val="minor"/>
      </rPr>
      <t>Denominator</t>
    </r>
    <r>
      <rPr>
        <sz val="12"/>
        <color theme="1"/>
        <rFont val="Calibri"/>
        <family val="2"/>
        <scheme val="minor"/>
      </rPr>
      <t xml:space="preserve">: total number of cases estimated by the WHO of tuberculosis all forms, bacteriologically confirmed and with clinical diagnosis, new cases and relapses in the period to be evaluated. expressed as a percentage
</t>
    </r>
    <r>
      <rPr>
        <b/>
        <sz val="12"/>
        <color theme="1"/>
        <rFont val="Calibri"/>
        <family val="2"/>
        <scheme val="minor"/>
      </rPr>
      <t>The primary source:</t>
    </r>
    <r>
      <rPr>
        <sz val="12"/>
        <color theme="1"/>
        <rFont val="Calibri"/>
        <family val="2"/>
        <scheme val="minor"/>
      </rPr>
      <t xml:space="preserve"> The General TB Case Registry (PCT-5) and Global Report TB / WHO, </t>
    </r>
    <r>
      <rPr>
        <sz val="12"/>
        <rFont val="Calibri"/>
        <family val="2"/>
        <scheme val="minor"/>
      </rPr>
      <t>estimate (denominator data) is delayed by two years to the notification report.</t>
    </r>
  </si>
  <si>
    <r>
      <rPr>
        <b/>
        <i/>
        <sz val="12"/>
        <color theme="1"/>
        <rFont val="Calibri"/>
        <family val="2"/>
        <scheme val="minor"/>
      </rPr>
      <t xml:space="preserve">Supuestos para la meta: </t>
    </r>
    <r>
      <rPr>
        <sz val="12"/>
        <color theme="1"/>
        <rFont val="Calibri"/>
        <family val="2"/>
        <scheme val="minor"/>
      </rPr>
      <t>se ha estimado que e</t>
    </r>
    <r>
      <rPr>
        <sz val="12"/>
        <rFont val="Calibri"/>
        <family val="2"/>
        <scheme val="minor"/>
      </rPr>
      <t>l dos</t>
    </r>
    <r>
      <rPr>
        <sz val="12"/>
        <color theme="1"/>
        <rFont val="Calibri"/>
        <family val="2"/>
        <scheme val="minor"/>
      </rPr>
      <t xml:space="preserve"> por ciento del total de los casos de TB todas las formas por cada año podrán presentar algún patrón de multidrogoresistencia. Por </t>
    </r>
    <r>
      <rPr>
        <sz val="12"/>
        <rFont val="Calibri"/>
        <family val="2"/>
        <scheme val="minor"/>
      </rPr>
      <t>ejemplo: para el año 2022 se estiman reportar</t>
    </r>
    <r>
      <rPr>
        <b/>
        <sz val="12"/>
        <rFont val="Calibri"/>
        <family val="2"/>
        <scheme val="minor"/>
      </rPr>
      <t xml:space="preserve"> 2,080</t>
    </r>
    <r>
      <rPr>
        <sz val="12"/>
        <rFont val="Calibri"/>
        <family val="2"/>
        <scheme val="minor"/>
      </rPr>
      <t xml:space="preserve"> casos de TB de todas las formas, el </t>
    </r>
    <r>
      <rPr>
        <b/>
        <sz val="12"/>
        <rFont val="Calibri"/>
        <family val="2"/>
        <scheme val="minor"/>
      </rPr>
      <t xml:space="preserve">2.0 % </t>
    </r>
    <r>
      <rPr>
        <sz val="12"/>
        <rFont val="Calibri"/>
        <family val="2"/>
        <scheme val="minor"/>
      </rPr>
      <t xml:space="preserve"> del total nos da un estimado de </t>
    </r>
    <r>
      <rPr>
        <b/>
        <sz val="12"/>
        <rFont val="Calibri"/>
        <family val="2"/>
        <scheme val="minor"/>
      </rPr>
      <t>42</t>
    </r>
    <r>
      <rPr>
        <sz val="12"/>
        <rFont val="Calibri"/>
        <family val="2"/>
        <scheme val="minor"/>
      </rPr>
      <t xml:space="preserve"> casos TB RR y/o TB MDR. para el año 2023 se estima re</t>
    </r>
    <r>
      <rPr>
        <sz val="12"/>
        <color theme="1"/>
        <rFont val="Calibri"/>
        <family val="2"/>
        <scheme val="minor"/>
      </rPr>
      <t xml:space="preserve">portar 1,785 y  siguiendo el ejercicio anterior nos dará un estimado de 39 casos TB RR/ TB MDR y así sucesivamente con los demás años. </t>
    </r>
    <r>
      <rPr>
        <sz val="12"/>
        <rFont val="Calibri"/>
        <family val="2"/>
        <scheme val="minor"/>
      </rPr>
      <t xml:space="preserve">Es de hacer notar que la estimacion de la OMS a traves del Global Report es de 87 TB RR/MDR sin embargo el analisis local con apoyo de OPS/OMS y tomando en cuenta la tendencia de los ultimos cinco años los casos están alrededor de 35 - 42 tal como lo establece la tabla de datos esenciales
</t>
    </r>
    <r>
      <rPr>
        <sz val="12"/>
        <color theme="1"/>
        <rFont val="Calibri"/>
        <family val="2"/>
        <scheme val="minor"/>
      </rPr>
      <t xml:space="preserve">
</t>
    </r>
    <r>
      <rPr>
        <b/>
        <i/>
        <sz val="12"/>
        <color theme="1"/>
        <rFont val="Calibri"/>
        <family val="2"/>
        <scheme val="minor"/>
      </rPr>
      <t>Numerador:</t>
    </r>
    <r>
      <rPr>
        <sz val="12"/>
        <color theme="1"/>
        <rFont val="Calibri"/>
        <family val="2"/>
        <scheme val="minor"/>
      </rPr>
      <t xml:space="preserve"> total de casos notificados como TB-RR y TB-MDR confirmados bacteriológicamente (diagnosticados por pruebas moleculares: Gene Xpert, cultivos BAAR y prueba de sensibilidad por métodos de proporciones) en el período a evaluar.
</t>
    </r>
    <r>
      <rPr>
        <b/>
        <i/>
        <sz val="12"/>
        <color theme="1"/>
        <rFont val="Calibri"/>
        <family val="2"/>
        <scheme val="minor"/>
      </rPr>
      <t xml:space="preserve">Denominador: </t>
    </r>
    <r>
      <rPr>
        <sz val="12"/>
        <color theme="1"/>
        <rFont val="Calibri"/>
        <family val="2"/>
        <scheme val="minor"/>
      </rPr>
      <t xml:space="preserve">total de casos estimados de TB-RR y/o TB-MDR en el período a evaluar. 
Expresado en porcentaje.
</t>
    </r>
    <r>
      <rPr>
        <sz val="12"/>
        <rFont val="Calibri"/>
        <family val="2"/>
        <scheme val="minor"/>
      </rPr>
      <t xml:space="preserve">
El reporte anual se reportara con numerador/denominador y porcentaje, en cada año de la subvencion de acuerdo a los datos reales del periodo a reportar
</t>
    </r>
    <r>
      <rPr>
        <sz val="12"/>
        <color theme="1"/>
        <rFont val="Calibri"/>
        <family val="2"/>
        <scheme val="minor"/>
      </rPr>
      <t xml:space="preserve">
</t>
    </r>
    <r>
      <rPr>
        <b/>
        <i/>
        <sz val="12"/>
        <color theme="1"/>
        <rFont val="Calibri"/>
        <family val="2"/>
        <scheme val="minor"/>
      </rPr>
      <t>Fuente de Información:</t>
    </r>
    <r>
      <rPr>
        <sz val="12"/>
        <color theme="1"/>
        <rFont val="Calibri"/>
        <family val="2"/>
        <scheme val="minor"/>
      </rPr>
      <t xml:space="preserve"> Libro de registro de casos con TB fármacorresistente. El RP reportará numerador.
</t>
    </r>
  </si>
  <si>
    <r>
      <rPr>
        <b/>
        <sz val="12"/>
        <color theme="1"/>
        <rFont val="Calibri"/>
        <family val="2"/>
        <scheme val="minor"/>
      </rPr>
      <t>Assumptions for the targets</t>
    </r>
    <r>
      <rPr>
        <sz val="12"/>
        <color theme="1"/>
        <rFont val="Calibri"/>
        <family val="2"/>
        <scheme val="minor"/>
      </rPr>
      <t xml:space="preserve">: it has been estimated that two percent of all TB cases in all forms for each year may present some pattern of multidrug resistance. For example: for the year 2022, it is estimated that 2,080 TB cases will be reported in all forms, 2.0% of the total gives us an estimated 42 RR TB and / or MDR TB cases. For the year 2023 it is estimated to report 1,785 and following the previous exercise will give us an estimate of 39 RR TB / MDR TB cases and so on with the other years.
It should be noted that the WHO estimate through the Global Report is 87 TB RR / MDR, however the local analysis with the support of PAHO / WHO and taking into account the trend of the last five years the cases are around 35 - 42 as stated in the essential data table
</t>
    </r>
    <r>
      <rPr>
        <b/>
        <sz val="12"/>
        <color theme="1"/>
        <rFont val="Calibri"/>
        <family val="2"/>
        <scheme val="minor"/>
      </rPr>
      <t>Numerator</t>
    </r>
    <r>
      <rPr>
        <sz val="12"/>
        <color theme="1"/>
        <rFont val="Calibri"/>
        <family val="2"/>
        <scheme val="minor"/>
      </rPr>
      <t xml:space="preserve">: total of cases reported as bacteriologically confirmed RR-TB and MDR-TB (diagnosed by molecular tests: Gene Xpert, BAAR cultures and sensitivity test by proportional methods) in the period to be evaluated.
</t>
    </r>
    <r>
      <rPr>
        <b/>
        <sz val="12"/>
        <color theme="1"/>
        <rFont val="Calibri"/>
        <family val="2"/>
        <scheme val="minor"/>
      </rPr>
      <t xml:space="preserve">Denominator: </t>
    </r>
    <r>
      <rPr>
        <sz val="12"/>
        <color theme="1"/>
        <rFont val="Calibri"/>
        <family val="2"/>
        <scheme val="minor"/>
      </rPr>
      <t xml:space="preserve">total estimated RR-TB and / or MDR-TB cases in the period to be evaluated.
Expressed as a percentage.
The annual report will be reported with numerator / denominator and percentage, in each year of the grant according to the real data of the period to be reported.
</t>
    </r>
    <r>
      <rPr>
        <b/>
        <sz val="12"/>
        <color theme="1"/>
        <rFont val="Calibri"/>
        <family val="2"/>
        <scheme val="minor"/>
      </rPr>
      <t>Information Source:</t>
    </r>
    <r>
      <rPr>
        <sz val="12"/>
        <color theme="1"/>
        <rFont val="Calibri"/>
        <family val="2"/>
        <scheme val="minor"/>
      </rPr>
      <t xml:space="preserve"> Registry book of cases with drug resistant TB. The PR will report the numerator.</t>
    </r>
  </si>
  <si>
    <r>
      <t xml:space="preserve">Baseline: The PrEP implementation process will begin in 2022, so the country does not  have a baseline  available.
Numerator: Number of eligible men who have sex with men who started oral PrEP during the reporting period
Denominator: Number of eligible men who have sex with men who were recently offered PrEP during the reporting period
Source: </t>
    </r>
    <r>
      <rPr>
        <sz val="12"/>
        <color rgb="FFFF0000"/>
        <rFont val="Calibri"/>
        <family val="2"/>
        <scheme val="minor"/>
      </rPr>
      <t>The inclusion of PREP reporting variables in the SUMEVE will be managed for the report of this indicator, the modifications will be carried out in time to allow the report of the indicator from the first year of the grant.</t>
    </r>
    <r>
      <rPr>
        <sz val="12"/>
        <color theme="1"/>
        <rFont val="Calibri"/>
        <family val="2"/>
        <scheme val="minor"/>
      </rPr>
      <t xml:space="preserve">
Assumptions: For the implementation of PrEP, the knowledge, capacities and commitment of providers and potential users of PrEP will be strengthened.
In this intervention, PrEP will be offered to an estimate of the MSM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not with 100% considering that this is a new intervention and that the demand and acceptance of this service  will not be complete from the start.
To start the implementation of this intervention, we will work with the offer of PrEP in the following VICTS, which are distributed in the geographical area where the greater demand and greater HIV prevalence are, these includes the following: San Miguelito, Concepción, San Jacinto, Barrios, Carlos Diaz del Pinal, Sonzacate, Tomás Pineda, Casa del Niño and San Miguel
• Behavior change and adherence will be monitored, as well as regular (3 months) HIV testing and STI screening to be performed every 6 months.
</t>
    </r>
    <r>
      <rPr>
        <sz val="12"/>
        <color rgb="FFFF0000"/>
        <rFont val="Calibri"/>
        <family val="2"/>
        <scheme val="minor"/>
      </rPr>
      <t xml:space="preserve">-These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t>
    </r>
  </si>
  <si>
    <r>
      <t xml:space="preserve">Baseline: The PrEP implementation process will begin in 2022, so the country does not have a baseline available.
Numerator: Number of eligible transgender people who started oral PrEP during the reporting period
Denominator: Number of eligible transgender people recently offered PrEP during the reporting period
Source: </t>
    </r>
    <r>
      <rPr>
        <sz val="12"/>
        <color rgb="FFFF0000"/>
        <rFont val="Calibri"/>
        <family val="2"/>
        <scheme val="minor"/>
      </rPr>
      <t>The inclusion of PREP reporting variables in the SUMEVE will be managed for the report of this indicator, the modifications will be carried out in time to allow the report of the indicator from the first year of the grant.</t>
    </r>
    <r>
      <rPr>
        <sz val="12"/>
        <color theme="1"/>
        <rFont val="Calibri"/>
        <family val="2"/>
        <scheme val="minor"/>
      </rPr>
      <t xml:space="preserve">
Assumptions: For the implementation of PrEP, the knowledge, capacities and commitment of providers and potential users of PrEP will be strengthened.
In this intervention, PrEP will be offered to an estimate of the Trans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and not with 100%, considering that this is a new intervention and that the demand and acceptance of the </t>
    </r>
    <r>
      <rPr>
        <sz val="12"/>
        <color rgb="FFFF0000"/>
        <rFont val="Calibri"/>
        <family val="2"/>
        <scheme val="minor"/>
      </rPr>
      <t>service</t>
    </r>
    <r>
      <rPr>
        <sz val="12"/>
        <color theme="1"/>
        <rFont val="Calibri"/>
        <family val="2"/>
        <scheme val="minor"/>
      </rPr>
      <t xml:space="preserve"> will not be complete from the start.
To start the implementation of this intervention, we will work with </t>
    </r>
    <r>
      <rPr>
        <sz val="12"/>
        <color rgb="FFFF0000"/>
        <rFont val="Calibri"/>
        <family val="2"/>
        <scheme val="minor"/>
      </rPr>
      <t xml:space="preserve">the offer of PrEP in the following VICTS which are distributed in the geographical area where greater demand and greater HIV prevalence are, these include  the following: San Miguelito, </t>
    </r>
    <r>
      <rPr>
        <sz val="12"/>
        <color theme="1"/>
        <rFont val="Calibri"/>
        <family val="2"/>
        <scheme val="minor"/>
      </rPr>
      <t xml:space="preserve">Concepción, San Jacinto, Barrios, Carlos Diaz del Pinal, Sonzacate, Tomás Pineda, Casa del Niño and San Miguel
• Behavior change and adherence will be monitored, as well as regular (3 months) HIV test and STI screening to be performed every 6 months.
</t>
    </r>
    <r>
      <rPr>
        <sz val="12"/>
        <color rgb="FFFF0000"/>
        <rFont val="Calibri"/>
        <family val="2"/>
        <scheme val="minor"/>
      </rPr>
      <t>-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t>
    </r>
    <r>
      <rPr>
        <sz val="12"/>
        <color theme="1"/>
        <rFont val="Calibri"/>
        <family val="2"/>
        <scheme val="minor"/>
      </rPr>
      <t xml:space="preserve"> </t>
    </r>
  </si>
  <si>
    <r>
      <rPr>
        <b/>
        <i/>
        <sz val="12"/>
        <color theme="1"/>
        <rFont val="Calibri"/>
        <family val="2"/>
        <scheme val="minor"/>
      </rPr>
      <t>Supuestos para la meta:</t>
    </r>
    <r>
      <rPr>
        <sz val="12"/>
        <color theme="1"/>
        <rFont val="Calibri"/>
        <family val="2"/>
        <scheme val="minor"/>
      </rPr>
      <t xml:space="preserve"> El número de casos notificados como éxito de tratamiento son </t>
    </r>
    <r>
      <rPr>
        <sz val="12"/>
        <rFont val="Calibri"/>
        <family val="2"/>
        <scheme val="minor"/>
      </rPr>
      <t>todos los casos de tuberculosis todas las formas confirmados bacteriológicamente y con diagnóstico clínico, nuevos y recaídas que egresaron de la cohorte de tratamiento como curados y con tratamiento completo en el período a evaluar.</t>
    </r>
    <r>
      <rPr>
        <sz val="12"/>
        <color rgb="FFFF0000"/>
        <rFont val="Calibri"/>
        <family val="2"/>
        <scheme val="minor"/>
      </rPr>
      <t xml:space="preserve"> </t>
    </r>
    <r>
      <rPr>
        <sz val="12"/>
        <rFont val="Calibri"/>
        <family val="2"/>
        <scheme val="minor"/>
      </rPr>
      <t>La cohorte para reportar en resultados de tratamiento no es la del año anterior, sino la que corresponde a dos años previos al del año del reporte, para ejemplo, los casos que ingresaron de enero a diciembre 2020  se reportaran en marzo 2022 y así sucesivamente. En el PUDR se notifican los datos más recientes que aún no habrán sido publicados en el  WHO Global TB report.</t>
    </r>
    <r>
      <rPr>
        <sz val="12"/>
        <color theme="1"/>
        <rFont val="Calibri"/>
        <family val="2"/>
        <scheme val="minor"/>
      </rPr>
      <t xml:space="preserve">
La línea basal de la cohorte del año 2018 esta basada en el reporte de exito del tratamiento publicado por  la OMS según WHO report_2020. 
</t>
    </r>
    <r>
      <rPr>
        <b/>
        <i/>
        <sz val="12"/>
        <color theme="1"/>
        <rFont val="Calibri"/>
        <family val="2"/>
        <scheme val="minor"/>
      </rPr>
      <t>Numerador:</t>
    </r>
    <r>
      <rPr>
        <sz val="12"/>
        <color theme="1"/>
        <rFont val="Calibri"/>
        <family val="2"/>
        <scheme val="minor"/>
      </rPr>
      <t xml:space="preserve"> es el total de casos de tuberculosis todas las formas confirmados bacteriológicamente y con diagnostico clinico, nuevos y recaidas que egresaron de la cohorte de tratamiento como curados más tratamiento completo en el periodo a evaluar.
</t>
    </r>
    <r>
      <rPr>
        <b/>
        <i/>
        <sz val="12"/>
        <color theme="1"/>
        <rFont val="Calibri"/>
        <family val="2"/>
        <scheme val="minor"/>
      </rPr>
      <t xml:space="preserve">Denominador: </t>
    </r>
    <r>
      <rPr>
        <sz val="12"/>
        <color theme="1"/>
        <rFont val="Calibri"/>
        <family val="2"/>
        <scheme val="minor"/>
      </rPr>
      <t xml:space="preserve">Total de casos notificados de tuberculosis todas las formas confirmados bacteriológicamente y con diagnóstico clínico, casos nuevos y recaídas que ingresaron a la cohorte de tratamiento en el periodo a evaluar; expresado en porcentaje.
</t>
    </r>
    <r>
      <rPr>
        <sz val="12"/>
        <rFont val="Calibri"/>
        <family val="2"/>
        <scheme val="minor"/>
      </rPr>
      <t xml:space="preserve">
El reporte anual se reportara con numerador/denominador y porcentaje, en cada año de la subvencion de acuerdo a los datos reales del periodo a reportar
</t>
    </r>
    <r>
      <rPr>
        <sz val="12"/>
        <color theme="1"/>
        <rFont val="Calibri"/>
        <family val="2"/>
        <scheme val="minor"/>
      </rPr>
      <t xml:space="preserve">
</t>
    </r>
    <r>
      <rPr>
        <b/>
        <i/>
        <sz val="12"/>
        <color theme="1"/>
        <rFont val="Calibri"/>
        <family val="2"/>
        <scheme val="minor"/>
      </rPr>
      <t>Fuente primaria:</t>
    </r>
    <r>
      <rPr>
        <sz val="12"/>
        <color theme="1"/>
        <rFont val="Calibri"/>
        <family val="2"/>
        <scheme val="minor"/>
      </rPr>
      <t xml:space="preserve"> Libro de registro general de casos con TB (PCT - 5). El RP reportará numerador y denominador.</t>
    </r>
  </si>
  <si>
    <t>Línea de base: 27,19%. Esta línea de base corresponde a la población de mujeres trans positivas, que son atendidas en las clínicas VICITS y es el resultado reportado en el informe de 2019.
Fuente de referencia: Atención brindada en las clínicas VICITS durante 2019.
Numerador: Número de casos nuevos y conocidos de VIH en la población de mujeres trans que visitan las clínicas VICITS durante el período del informe.
Denominador: número total de personas trans que fueron tratadas en VICITS durante el período del informe.
El numerador y denominador de este indicador se reportará a partir de la atención brindada a esta población en las clínicas VICITS.
Fuente de datos: SIAP / VICITS (Sistema Integral de Atención al Paciente), este sistema ha sido planeado para recolectar información de toda la atención a nivel nacional, pero actualmente no ha sido posible completar su implementación, consta de varios módulos, siendo uno de los estas la atención de VICITS y clínicas amigas, en las cuales ya está implementado y permite registrar las visitas.
El RP proporcionará los resultados tanto del numerador como del denominador de las clínicas de vigilancia centinela, entendemos que el mejor dato para reportar prevalencia es el obtenido de estudios nacionales de prevalencia, sin embargo, dada la imposibilidad de realizar este tipo de estudios, en de forma rutinaria, el país ha decidido notificar datos de las clínicas de vigilancia centinela. Para esta beca está previsto realizar un estudio IBBS, que nos permitirá obtener un dato de prevalencia más exacto y así poder realizar una comparativa con los datos registrados con las clínicas de vigilancia centinela y el del estudio.
Se acordó que dentro del trabajo conjunto pendiente en el futuro en el área de Monitoreo y Evaluación se realizará una revisión detallada del sistema de monitoreo a través de sitios centinela con el apoyo de la OPS y posiblemente de los CDC para asegurar que se lleve a cabo. cumpliendo con todos los requisitos metodológicos.
Supuestos: En esta ocasión se propone que al fortalecer los enfoques para promover la prueba del VIH se mejorará la capacidad diagnóstica, esperando incrementar el porcentaje del primer pilar de la cascada del continuo de atención, por lo que las metas irán en aumento. Está previsto un aumento anual del 1%.
Para el cumplimiento de este indicador, se reportarán los datos de la atención brindada en las clínicas VICITS y clínicas amigas.
Métodos de medición: A través de 18 VICITS en El Salvador, distribuidos a nivel nacional y las 12 clínicas amigas.
Debido a que es un país focalizado, no se requiere desglose.</t>
  </si>
  <si>
    <r>
      <rPr>
        <b/>
        <sz val="12"/>
        <color theme="1"/>
        <rFont val="Calibri"/>
        <family val="2"/>
        <scheme val="minor"/>
      </rPr>
      <t>Assumptions for the target:</t>
    </r>
    <r>
      <rPr>
        <sz val="12"/>
        <color theme="1"/>
        <rFont val="Calibri"/>
        <family val="2"/>
        <scheme val="minor"/>
      </rPr>
      <t xml:space="preserve"> the success rate of treatment of cases of rifampicin-resistant tuberculosis and / or multidrug-resistant tuberculosis expressed as a percentage treated successfully; It is the number of cases notified, treated and that were cured plus complete treatments, diagnosed in the previous three years, according to the regulated second-line treatment schemes, which last between 18 and 24 months.
</t>
    </r>
    <r>
      <rPr>
        <b/>
        <sz val="12"/>
        <color theme="1"/>
        <rFont val="Calibri"/>
        <family val="2"/>
        <scheme val="minor"/>
      </rPr>
      <t>Numerator:</t>
    </r>
    <r>
      <rPr>
        <sz val="12"/>
        <color theme="1"/>
        <rFont val="Calibri"/>
        <family val="2"/>
        <scheme val="minor"/>
      </rPr>
      <t xml:space="preserve"> total bacteriologically confirmed RR-TB and / or MDR-TB cases that left the cohort as cured and complete treatment completed at the end of treatment in the period to be evaluated.
</t>
    </r>
    <r>
      <rPr>
        <b/>
        <sz val="12"/>
        <color theme="1"/>
        <rFont val="Calibri"/>
        <family val="2"/>
        <scheme val="minor"/>
      </rPr>
      <t>Denominator</t>
    </r>
    <r>
      <rPr>
        <sz val="12"/>
        <color theme="1"/>
        <rFont val="Calibri"/>
        <family val="2"/>
        <scheme val="minor"/>
      </rPr>
      <t xml:space="preserve">: total bacteriologically confirmed RR-TB and / or MDR-TB cases that entered the treatment cohort in the period to be evaluated.
</t>
    </r>
    <r>
      <rPr>
        <sz val="12"/>
        <color rgb="FFFF0000"/>
        <rFont val="Calibri"/>
        <family val="2"/>
        <scheme val="minor"/>
      </rPr>
      <t>Both the numerator and the denominator in absolute numbers will correspond to those notified 2 years earlier, since this indicator assesses the cure of MDR cases that have been treated for 2 years.</t>
    </r>
    <r>
      <rPr>
        <sz val="12"/>
        <color theme="1"/>
        <rFont val="Calibri"/>
        <family val="2"/>
        <scheme val="minor"/>
      </rPr>
      <t xml:space="preserve">
</t>
    </r>
    <r>
      <rPr>
        <b/>
        <sz val="12"/>
        <color theme="1"/>
        <rFont val="Calibri"/>
        <family val="2"/>
        <scheme val="minor"/>
      </rPr>
      <t>Information Source</t>
    </r>
    <r>
      <rPr>
        <sz val="12"/>
        <color theme="1"/>
        <rFont val="Calibri"/>
        <family val="2"/>
        <scheme val="minor"/>
      </rPr>
      <t>: Registry book of cases with drug resistant TB. The PR will report numerator and denominator.</t>
    </r>
  </si>
  <si>
    <r>
      <t xml:space="preserve">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t>
    </r>
    <r>
      <rPr>
        <sz val="12"/>
        <color rgb="FFFF0000"/>
        <rFont val="Calibri"/>
        <family val="2"/>
        <scheme val="minor"/>
      </rPr>
      <t xml:space="preserve">Fuente: para el numerador será el Sistema de Información de Gestión de Proyectos (SIGPRO); </t>
    </r>
    <r>
      <rPr>
        <b/>
        <sz val="12"/>
        <color rgb="FFFF0000"/>
        <rFont val="Calibri"/>
        <family val="2"/>
        <scheme val="minor"/>
      </rPr>
      <t>posteriormente cuando se haya concretado los ajustes del módulo de prevención del SUMEVE, está información será brindada de esté sistema bajo la coordinación del RP Plan</t>
    </r>
    <r>
      <rPr>
        <sz val="12"/>
        <color rgb="FFFF0000"/>
        <rFont val="Calibri"/>
        <family val="2"/>
        <scheme val="minor"/>
      </rPr>
      <t>, para el denominador estimación de tamaño de HSH según ECVC 2016. Se propone que se considere la actualización de los datos para el denominador una vez se cuente con los datos arrojados por el estudio de talla poblacional en 2023.</t>
    </r>
    <r>
      <rPr>
        <sz val="12"/>
        <color theme="1"/>
        <rFont val="Calibri"/>
        <family val="2"/>
        <scheme val="minor"/>
      </rPr>
      <t xml:space="preserve">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t>
    </r>
    <r>
      <rPr>
        <b/>
        <sz val="12"/>
        <color theme="1"/>
        <rFont val="Calibri"/>
        <family val="2"/>
        <scheme val="minor"/>
      </rPr>
      <t>e 24 condones + 1 lubricantes en tubo + 20 lubricantes en sobres en un año, estas cantidades se han cambiado, ya que durante los dialogos comunitarios que se realizaron con las poblaciones claves, los HSH sugirieron las cantidades anteriormente descritas.</t>
    </r>
    <r>
      <rPr>
        <sz val="12"/>
        <color theme="1"/>
        <rFont val="Calibri"/>
        <family val="2"/>
        <scheme val="minor"/>
      </rPr>
      <t xml:space="preserve"> 
</t>
    </r>
    <r>
      <rPr>
        <sz val="12"/>
        <color rgb="FFFF0000"/>
        <rFont val="Calibri"/>
        <family val="2"/>
        <scheme val="minor"/>
      </rPr>
      <t>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t>
    </r>
    <r>
      <rPr>
        <sz val="12"/>
        <color theme="1"/>
        <rFont val="Calibri"/>
        <family val="2"/>
        <scheme val="minor"/>
      </rPr>
      <t xml:space="preserve">
Se tiene previsto revisar las estimaciones de talla poblacional durante esta subvención, lo que podría ameritar revisar las metas cuando se tengan estas nuevas estimaciones.
Por ser país focalizado no se requiere desagregación.</t>
    </r>
  </si>
  <si>
    <r>
      <t xml:space="preserve">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t>
    </r>
    <r>
      <rPr>
        <sz val="12"/>
        <color rgb="FFFF0000"/>
        <rFont val="Calibri"/>
        <family val="2"/>
        <scheme val="minor"/>
      </rPr>
      <t xml:space="preserve">Fuente: </t>
    </r>
    <r>
      <rPr>
        <b/>
        <sz val="12"/>
        <color rgb="FFFF0000"/>
        <rFont val="Calibri"/>
        <family val="2"/>
        <scheme val="minor"/>
      </rPr>
      <t xml:space="preserve">para el numerador durante el primer año se reprotará los resultados registrados en el nuevo sistema de información  de Gestión de Proyectos (SIGPRO), posteriormente, cuando se haya concretado los ajustes del módulo de prevención del SUMEVE, está información será brindada de dicho sistema  bajo la coordinación del RP Plan </t>
    </r>
    <r>
      <rPr>
        <sz val="12"/>
        <color rgb="FFFF0000"/>
        <rFont val="Calibri"/>
        <family val="2"/>
        <scheme val="minor"/>
      </rPr>
      <t>y el denominador estimación de tamaño de mujeres transgénero. Se propone que se considere la actualización de los datos para el denominador una vez se cuente con los datos arrojados por el estudio de talla poblacional en 2023.</t>
    </r>
    <r>
      <rPr>
        <sz val="12"/>
        <color theme="1"/>
        <rFont val="Calibri"/>
        <family val="2"/>
        <scheme val="minor"/>
      </rPr>
      <t xml:space="preserve">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t>
    </r>
    <r>
      <rPr>
        <b/>
        <sz val="12"/>
        <color theme="1"/>
        <rFont val="Calibri"/>
        <family val="2"/>
        <scheme val="minor"/>
      </rPr>
      <t>288 condones + 15 lubricantes en tubo y además se les agregarán 20 sobres de lubricantes en sachet, estás cantidades, han sido sugeridas por las mujeres trans durante los dialogos comunitarios que se llevaron a cabo en la consultoría.</t>
    </r>
    <r>
      <rPr>
        <sz val="12"/>
        <color theme="1"/>
        <rFont val="Calibri"/>
        <family val="2"/>
        <scheme val="minor"/>
      </rPr>
      <t xml:space="preserve">
</t>
    </r>
    <r>
      <rPr>
        <sz val="12"/>
        <color rgb="FFFF0000"/>
        <rFont val="Calibri"/>
        <family val="2"/>
        <scheme val="minor"/>
      </rPr>
      <t>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t>
    </r>
    <r>
      <rPr>
        <sz val="12"/>
        <color theme="1"/>
        <rFont val="Calibri"/>
        <family val="2"/>
        <scheme val="minor"/>
      </rPr>
      <t>.
Se tiene previsto revisar las estimaciones de talla poblacional durante esta subvención, lo que podría ameritar revisar las metas cuando se tengan estas nuevas estimaciones.
Por ser país focalizado no se requiere desagregación.</t>
    </r>
  </si>
  <si>
    <r>
      <t xml:space="preserve">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t>
    </r>
    <r>
      <rPr>
        <sz val="12"/>
        <color rgb="FFFF0000"/>
        <rFont val="Calibri"/>
        <family val="2"/>
        <scheme val="minor"/>
      </rPr>
      <t>Fuente: P</t>
    </r>
    <r>
      <rPr>
        <b/>
        <sz val="12"/>
        <color rgb="FFFF0000"/>
        <rFont val="Calibri"/>
        <family val="2"/>
        <scheme val="minor"/>
      </rPr>
      <t>ara el numerador durante el primer año se reprotará los resultados registrados en el nuevo sistema de información  de Gestión de Proyectos (SIGPRO), posteriormente, cuando se haya concretado los ajustes del módulo de prevención del SUMEVE, está información será brindada de dicho sistema  bajo la coordinación del RP Plan;</t>
    </r>
    <r>
      <rPr>
        <sz val="12"/>
        <color rgb="FFFF0000"/>
        <rFont val="Calibri"/>
        <family val="2"/>
        <scheme val="minor"/>
      </rPr>
      <t xml:space="preserve"> Para el denominador estimación de tamaño de población de mujeres trabajadoras sexuales según ECVC 2016. Se propone que se considere la actualización de los datos para el denominador una vez se cuente con los datos arrojados por el estudio de talla poblacional en 2023</t>
    </r>
    <r>
      <rPr>
        <sz val="12"/>
        <color theme="1"/>
        <rFont val="Calibri"/>
        <family val="2"/>
        <scheme val="minor"/>
      </rPr>
      <t xml:space="preserve">.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t>
    </r>
    <r>
      <rPr>
        <b/>
        <sz val="12"/>
        <color theme="1"/>
        <rFont val="Calibri"/>
        <family val="2"/>
        <scheme val="minor"/>
      </rPr>
      <t>Para esta población, se mantiene las cantidades que se entregan actualmente, pues durante los dialogos comunitarios con las poblaciones claves, no se obtuvo comentarios que orientaran a realizar cambios de estos insumos.</t>
    </r>
    <r>
      <rPr>
        <sz val="12"/>
        <color theme="1"/>
        <rFont val="Calibri"/>
        <family val="2"/>
        <scheme val="minor"/>
      </rPr>
      <t xml:space="preserve">
</t>
    </r>
    <r>
      <rPr>
        <sz val="12"/>
        <color rgb="FFFF0000"/>
        <rFont val="Calibri"/>
        <family val="2"/>
        <scheme val="minor"/>
      </rPr>
      <t xml:space="preserve">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t>
    </r>
    <r>
      <rPr>
        <sz val="12"/>
        <color theme="1"/>
        <rFont val="Calibri"/>
        <family val="2"/>
        <scheme val="minor"/>
      </rPr>
      <t xml:space="preserve">
Se tiene previsto revisar las estimaciones de talla poblacional durante esta subvención, lo que podría ameritar revisar las metas cuando se tengan estas nuevas estimaciones.
Por ser país focalizado no se requiere desagregación.</t>
    </r>
  </si>
  <si>
    <t>Remodelación del edificio LNR</t>
  </si>
  <si>
    <t>Servicios y suministros para la gestión y respuesta del LNR</t>
  </si>
  <si>
    <r>
      <t xml:space="preserve">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t>
    </r>
    <r>
      <rPr>
        <b/>
        <sz val="12"/>
        <color theme="1"/>
        <rFont val="Calibri"/>
        <family val="2"/>
        <scheme val="minor"/>
      </rPr>
      <t>UCSF Unicentro Soyapango y San Miguel, apoyados con la referencia y promoción de la PrEP por las organizaciones de la sociedad civil y RP Plan.</t>
    </r>
    <r>
      <rPr>
        <sz val="12"/>
        <color theme="1"/>
        <rFont val="Calibri"/>
        <family val="2"/>
        <scheme val="minor"/>
      </rPr>
      <t xml:space="preserve">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t>
    </r>
  </si>
  <si>
    <r>
      <t xml:space="preserve">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t>
    </r>
    <r>
      <rPr>
        <b/>
        <sz val="12"/>
        <color theme="1"/>
        <rFont val="Calibri"/>
        <family val="2"/>
        <scheme val="minor"/>
      </rPr>
      <t>UCSF Unicentro Soyapango y San Miguel, apoyados con la referencia y promoción de la PrEP por las organizaciones de la sociedad civil y RP Plan</t>
    </r>
    <r>
      <rPr>
        <sz val="12"/>
        <color theme="1"/>
        <rFont val="Calibri"/>
        <family val="2"/>
        <scheme val="minor"/>
      </rPr>
      <t xml:space="preserve">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t>
    </r>
  </si>
  <si>
    <t>Línea de base: 9.23%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trabajadoras sexuales que se han sometido a pruebas de VIH durante el período de informe y conocen los resultados
Denominador: Corresponde a la estimación de tamaño de población de mujeres trabajadoras sexuales, como parte de la ECVC 2016.El denominador se considera estable porque no existe mediciones para conocer si ha aumentado o disminuido.
Fuente: Para el numerador el SUMEVE  y el denominador corresponde al tamaño de población de TS 2016.
Supuestos:
Las metas reflejan la cobertura nacional a alcanzar con prueba de VIH para MTS con recursos del Fondo Mundial y nacionales. Se espera alcanzar estas metas a través de las 6 unidades móviles y los 175 laboratorios distribuidos en la red de servicios de los municipios prioritarios, en 30 hospitales, 114 unidades comunitarias de salud familiar ,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21.92 % de la población de MTS a nivel nacional de acuerdo al estudio de tamaño de población en MTS 2016.
Las metas del 2 y 3 año, serán ajustadas posterior al estudio de tamaño poblacional que se realizará en el 2022.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t>
  </si>
  <si>
    <t>Línea de base: 20.56% esta incluye los esfuerzos de FM y PEPFAR
Bajo la coordinación del RP Plan para las unidades móviles y  el RP MINSAL ,  para los laboratorios de la red de servicios de salud y los laboratporios privados que trabajan con PASMO.
Dicha linea de base es generada del SUMEVE.
Numerador: Número de HSH que se han sometido a pruebas de VIH durante el período de informe y conocen los resultados
Denominador: Corresponde a la estimación de tamaño de población de HSH, como parte de la ECVC 2016.El denominador se considera estable porque no existe mediciones para conocer si ha aumentado o disminuido.
Fuente:  SUMEVE para el numerador y el denominador corresponde al tamaño de población de HSH 2016.
Supuestos:
Las metas reflejan la cobertura nacional a alcanzar con prueba de VIH para HSH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38.73 % de la población de HSH a nivel nacional de acuerdo al estudio de tamaño de población en MTS 2016.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
Las metas de este indicador se revisaran durante para los años 2 y 3, serán revisadas posterior a los resultados de los estudios de tamaño poblacional a realizarse durante el primer año.</t>
  </si>
  <si>
    <t>Línea de base: 28.69%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mujeres trans que se han sometido a pruebas de VIH durante el período de informe y conocen los resultados
Denominador: Corresponde a la estimación de tamaño de población de mujeres trans, como parte de la ECVC 2014. El denominador se considera estable porque no existe mediciones para conocer si ha aumentado o disminuido.
Fuente: Para el numerador el SUMEVE y el denominador corresponde al tamaño de población de mujeres trans 2014.
Supuestos:
Las metas reflejan la cobertura nacional a alcanzar con prueba de VIH para Trans con recursos del Fondo Mundial y nacionales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56.24% de la población de Trans a nivel nacional de acuerdo al estudio de tamaño de población en Trans 2014. Las metas para el año 2 y 3 serán revisados posterior al estudio de tamaño de población a realizarse durante el primer alo. Las metas para este indicador podrán ser ajustadas posterior a la evaluación de medio término del PENM.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t>
  </si>
  <si>
    <t>Baseline of this indicator 0.24% corresponds to the TS diagnosed in VICITS clinics during 2019. The report of this indicator will be shared between both PRs jointly during the period to be evaluated. For the scope of this indicator, several methodologies will be carried out to offer the test, among them: VICTS clinics, friendly clinics and mobile units.
Numerator: Total number of Sex Workers who were positive when taking the HIV test in the national health system during the period to be evaluated
Denominator: Total number of Sex Workers who were tested for HIV in the national system in the period to be evaluated.
The country will report the number of tests carried out in this population with the report of this indicator in each annual report (PUDR).
Both the numerator and the denominator will be reported according to real data registered in SUMEVE corresponding to the period to be reported.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
For the targets, an increase of 2% has been considered for each year; for years 2 and 3, these will be defined after the results of the population size studies and the analysis that will be carried out in conjunction with PAHO / WHO.</t>
  </si>
  <si>
    <t>Baseline: 20.56% this includes FM and PEPFAR efforts.
Under the coordination of the PR Plan for the mobile units and the PR MINSAL, for the laboratories of the health services network and the private laboratories that work with PASMO.
This baseline is generated from SUMEVE.
Numerator: Number of MSM who have been tested for HIV during the reporting period and know the results.
Denominator: Corresponds to the MSM population size estimate, as part of the 2016 ECVC.The denominator is considered stable because there are no measurements to know if it has increased or decreased.
Source:  SUMEVE for numerator and denominator corresponds to MSM population size 2016.
Assumptions:
The targets reflect the national coverage to be achieved with HIV testing for MSM through 6 mobile units and the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38.73 % of the MSM population at the national level according to the population size study in MTS 2016.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For the reporting of targets, the denominator specified in this performance framework will be used.
The targets for this indicator will be reviewed during years 2 and 3, and will be revised after the results of the population size studies to be conducted during the first year.</t>
  </si>
  <si>
    <t>Baseline: 28.69%.
This includes FM and PEPFAR efforts.
Under the coordination of the PR Plan for the mobile units and the PR MINSAL , for the laboratories of the health services network and private laboratories working with PASMO.
This baseline is generated from SUMEVE.
Numerator: Number of transgender women who have undergone HIV testing during the reporting period and know the results.
Denominator: Corresponds to the population size estimate of trans women, as part of the 2014 ECVC. The denominator is considered stable because there are no measurements to know whether it has increased or decreased.
Source: For the numerator the SUMEVE and the denominator corresponds to the population size of trans women 2014.
Assumptions:
The targets reflect the national coverage to be achieved with HIV testing for Trans with Global Fund and national resources through 6 mobile units and the 175 laboratories distributed in the service network of priority municipalities, in 30 hospitals, 114 community family health units, 18 VICITS clinics and 12 friendly. This indicator is expected to be achieved between the MINSAL PR and the Plan, the percentages will vary from year 1 to year 3, so that the MINSAL PR can gradually absorb a higher percentage of this indicator. It is expected to reach at the end of the grant a coverage of 56.24% of the Trans population nationwide according to the 2014 Trans population size study. The targets for year 2 and 3 will be revised following the population size study to be conducted during the first year. Targets for this indicator may be adjusted subsequent to the PENM mid-term evaluation.
Key interventions:
Presumptive and confirmatory testing will be performed as applicable, with pre- and post-counseling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The denominator specified in this performance framework will be used for reporting targets.</t>
  </si>
  <si>
    <t>Baseline: 9.23% This includes FM and PEPFAR efforts.
Under the coordination of the PR Plan for the mobile units and the PR MINSAL , for the laboratories of the health services network and private laboratories working with PASMO.
This baseline is generated from SUMEVE.
Numerator: Number of female sex workers who have been tested for HIV during the reporting period and know the results.
Denominator: Corresponds to the population size estimate of female sex workers, as part of the 2016 ECVC.The denominator is considered stable because there are no measurements to know if it has increased or decreased.
Source: For the numerator the SUMEVE and the denominator corresponds to the population size of TS 2016.
Assumptions:
The targets reflect the national coverage to be achieved with HIV testing for MTS with Global Fund and national resources. These targets are expected to be achieved through the 6 mobile units and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21.92 % of the MTS population at the national level according to the study of population size in MTS 2016.
Year 2 and 3 targets, will be adjusted subsequent to the population size study to be conducted in 2022.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SIGPRO or SUMEVE, which will generate a database by CUI, to be electronically deduplicated to account for the total achieved in the period. The denominator specified in this performance framework will be used for reporting targets.</t>
  </si>
  <si>
    <r>
      <t xml:space="preserve">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t>
    </r>
    <r>
      <rPr>
        <sz val="12"/>
        <color theme="4" tint="-0.249977111117893"/>
        <rFont val="Calibri"/>
        <family val="2"/>
        <scheme val="minor"/>
      </rPr>
      <t>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t>
    </r>
  </si>
  <si>
    <r>
      <t xml:space="preserve">Línea de base de este indicador  0.24%  coorresponde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t>
    </r>
    <r>
      <rPr>
        <sz val="12"/>
        <color theme="4" tint="-0.249977111117893"/>
        <rFont val="Calibri"/>
        <family val="2"/>
        <scheme val="minor"/>
      </rPr>
      <t xml:space="preserve">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casi 1 punto porcentual,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
</t>
    </r>
  </si>
  <si>
    <r>
      <t xml:space="preserve">Línea de base: corresponde al número total de casos de TB todas las formas notificados por el país para el periodo de Enero a Diciembre 2019. (3,009)  fuente de información PCT - 5: libro de registro de casos . 
Supuesto de estimación de metas: El número de casos de TB estimados, ha sido calculado con base a la incidencia para los años 2022 al 2026, tomando como  referencia el cuadro 2.1 del documento: "implementación de la estrategia Fin de la TB: Aspectos Esenciales" de la OMS y la proyeccion estimada de la tabla de datos esenciales de país. En el cual se toma como año de referencia el año 2015 (2,452 casos y una tasa de 39 por 100,000 hab ); y que en el año 2020 la reducción de la tasa de incidencia es del 5% menos en relación al año 2015; obteniendo una tasa de 34 por 100,000 hab, que corresponde a 2,300 casos.
En tal sentido las poblaciones estimadas por la DIGESTYC para los años de la subvencion son: para el año 2022 se estima una poblacion total de 6,884,888 con una tasa estimada de 30.2 dandonos una incidencia estimada total de casos de TB todas las formas de 2,080; para el año 2023 la poblacion proyectada es de 6,942,799 con una tasa estimada de 27.9 nos brinda una incidencia estimada de 1,940 casos de TB todas las formas y para el año 2024 con una tasa estimada de 25.5 nos da una incidencia estimada de casos de TB todas las formas de 1,785. Es de mencionar que las metas podrían requerir de algún ajuste al reporte del primer año de ejecucion de la subvencion.
Métodos de medición:
Numerador: total de casos de TB todas las formas (nuevos y recaídas) notificados en el periodo a evaluar. se expresa en numero entero
</t>
    </r>
    <r>
      <rPr>
        <sz val="12"/>
        <color rgb="FFFF0000"/>
        <rFont val="Calibri"/>
        <family val="2"/>
        <scheme val="minor"/>
      </rPr>
      <t>La verificación de este indicador estará sujeta al método de verificación establecido para la modalidad de financiamiento basado en resultados y establecido en el acuerdo de subvención.</t>
    </r>
    <r>
      <rPr>
        <sz val="12"/>
        <color theme="1"/>
        <rFont val="Calibri"/>
        <family val="2"/>
        <scheme val="minor"/>
      </rPr>
      <t xml:space="preserve">
Fuente de Información: Libro de Registro de Casos (PCT-5).
Periodicidad anual NO ACUMULATIVO (número absoluto).</t>
    </r>
  </si>
  <si>
    <r>
      <rPr>
        <b/>
        <u/>
        <sz val="12"/>
        <color theme="1"/>
        <rFont val="Calibri"/>
        <family val="2"/>
        <scheme val="minor"/>
      </rPr>
      <t>Línea de base:</t>
    </r>
    <r>
      <rPr>
        <sz val="12"/>
        <color theme="1"/>
        <rFont val="Calibri"/>
        <family val="2"/>
        <scheme val="minor"/>
      </rPr>
      <t xml:space="preserve"> corresponde al número total de casos de TB todas las formas en los PPL para el periodo de Enero a Diciembre 2019. (1,328)  fuente de información libro de registro de casos (PCT-5). 
</t>
    </r>
    <r>
      <rPr>
        <b/>
        <u/>
        <sz val="12"/>
        <color theme="1"/>
        <rFont val="Calibri"/>
        <family val="2"/>
        <scheme val="minor"/>
      </rPr>
      <t>Supuesto de estimación de metas</t>
    </r>
    <r>
      <rPr>
        <sz val="12"/>
        <color theme="1"/>
        <rFont val="Calibri"/>
        <family val="2"/>
        <scheme val="minor"/>
      </rPr>
      <t xml:space="preserve">: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t>
    </r>
    <r>
      <rPr>
        <b/>
        <sz val="12"/>
        <color theme="1"/>
        <rFont val="Calibri"/>
        <family val="2"/>
        <scheme val="minor"/>
      </rPr>
      <t>Metodos de medición:</t>
    </r>
    <r>
      <rPr>
        <sz val="12"/>
        <color theme="1"/>
        <rFont val="Calibri"/>
        <family val="2"/>
        <scheme val="minor"/>
      </rPr>
      <t xml:space="preserve">
</t>
    </r>
    <r>
      <rPr>
        <b/>
        <u/>
        <sz val="12"/>
        <color theme="1"/>
        <rFont val="Calibri"/>
        <family val="2"/>
        <scheme val="minor"/>
      </rPr>
      <t>Numerador:</t>
    </r>
    <r>
      <rPr>
        <sz val="12"/>
        <color theme="1"/>
        <rFont val="Calibri"/>
        <family val="2"/>
        <scheme val="minor"/>
      </rPr>
      <t xml:space="preserve"> total de casos de TB todas las formas (nuevos y recaídas) notificados en la población privada de libertad en el periodo a evaluar. se expresa en numero entero.
</t>
    </r>
    <r>
      <rPr>
        <sz val="12"/>
        <color rgb="FFFF0000"/>
        <rFont val="Calibri"/>
        <family val="2"/>
        <scheme val="minor"/>
      </rPr>
      <t xml:space="preserve">La verificación de este indicador estará sujeta al método de verificación establecido para la modalidad de financiamiento basado en resultados y establecido en el acuerdo de subvención.
</t>
    </r>
    <r>
      <rPr>
        <sz val="12"/>
        <color theme="1"/>
        <rFont val="Calibri"/>
        <family val="2"/>
        <scheme val="minor"/>
      </rPr>
      <t xml:space="preserve">
</t>
    </r>
    <r>
      <rPr>
        <b/>
        <u/>
        <sz val="12"/>
        <color theme="1"/>
        <rFont val="Calibri"/>
        <family val="2"/>
        <scheme val="minor"/>
      </rPr>
      <t>Fuente de Información:</t>
    </r>
    <r>
      <rPr>
        <sz val="12"/>
        <color theme="1"/>
        <rFont val="Calibri"/>
        <family val="2"/>
        <scheme val="minor"/>
      </rPr>
      <t xml:space="preserve"> Libro de Registro de Casos (PCT-5).
Periodicidad anual NO ACUMULATIVO (número absoluto), todo el país, todo el sistema penitenciario.</t>
    </r>
  </si>
  <si>
    <r>
      <rPr>
        <b/>
        <sz val="12"/>
        <color theme="1"/>
        <rFont val="Calibri"/>
        <family val="2"/>
        <scheme val="minor"/>
      </rPr>
      <t>Línea de base</t>
    </r>
    <r>
      <rPr>
        <sz val="12"/>
        <color theme="1"/>
        <rFont val="Calibri"/>
        <family val="2"/>
        <scheme val="minor"/>
      </rPr>
      <t xml:space="preserve"> 17.7% correspondiente al año 2020, fuente SUMEVE.
</t>
    </r>
    <r>
      <rPr>
        <b/>
        <sz val="12"/>
        <color theme="1"/>
        <rFont val="Calibri"/>
        <family val="2"/>
        <scheme val="minor"/>
      </rPr>
      <t>Numerador:</t>
    </r>
    <r>
      <rPr>
        <sz val="12"/>
        <color theme="1"/>
        <rFont val="Calibri"/>
        <family val="2"/>
        <scheme val="minor"/>
      </rPr>
      <t xml:space="preserve"> Número de personas recientemente diagnosticadas con el VIH y que comenzaron el TAR durante el período del informe
</t>
    </r>
    <r>
      <rPr>
        <b/>
        <sz val="12"/>
        <color theme="1"/>
        <rFont val="Calibri"/>
        <family val="2"/>
        <scheme val="minor"/>
      </rPr>
      <t>Denominador</t>
    </r>
    <r>
      <rPr>
        <sz val="12"/>
        <color theme="1"/>
        <rFont val="Calibri"/>
        <family val="2"/>
        <scheme val="minor"/>
      </rPr>
      <t xml:space="preserve">: Número de personas recién diagnosticadas con el VIH durante el período del informe.
</t>
    </r>
    <r>
      <rPr>
        <b/>
        <sz val="12"/>
        <color theme="1"/>
        <rFont val="Calibri"/>
        <family val="2"/>
        <scheme val="minor"/>
      </rPr>
      <t>Supuestos</t>
    </r>
    <r>
      <rPr>
        <sz val="12"/>
        <color theme="1"/>
        <rFont val="Calibri"/>
        <family val="2"/>
        <scheme val="minor"/>
      </rPr>
      <t xml:space="preserve">:  Las metas se han considerado con un incremento anual del 5%, 7% y 10%, respectivamente y se han establecidos bajo el criterio que a partir del año 2021 las guías clínicas de atención a pacientes con VIH contemplaran el inicio rápido de tratamiento con las recomendaciones de ONUSIDA. Para el primer año estamos siendo conservadores, debido a que se consideran aún los efectos de la pandemia de COVID-19 en las prestaciones de los servicios de salud.
</t>
    </r>
    <r>
      <rPr>
        <b/>
        <sz val="12"/>
        <color theme="1"/>
        <rFont val="Calibri"/>
        <family val="2"/>
        <scheme val="minor"/>
      </rPr>
      <t>Métodos de medición:</t>
    </r>
    <r>
      <rPr>
        <sz val="12"/>
        <color theme="1"/>
        <rFont val="Calibri"/>
        <family val="2"/>
        <scheme val="minor"/>
      </rPr>
      <t xml:space="preserve"> Para este indicador se reportará el número de personas recién diagnosticadas que se le ha logrado iniciar TAR a los 7 días después del diagnóstico, cuyo registro se encuentra en el sistema de información. Tanto el numerador como el denominador será reportado según datos reales registrados en el SUMEVE correspondientes al período a reportar.
</t>
    </r>
    <r>
      <rPr>
        <b/>
        <sz val="12"/>
        <color theme="1"/>
        <rFont val="Calibri"/>
        <family val="2"/>
        <scheme val="minor"/>
      </rPr>
      <t xml:space="preserve">Fuente: </t>
    </r>
    <r>
      <rPr>
        <sz val="12"/>
        <color theme="1"/>
        <rFont val="Calibri"/>
        <family val="2"/>
        <scheme val="minor"/>
      </rPr>
      <t xml:space="preserve">SUMEVE
</t>
    </r>
  </si>
  <si>
    <r>
      <t xml:space="preserve">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t>
    </r>
    <r>
      <rPr>
        <b/>
        <u/>
        <sz val="12"/>
        <rFont val="Calibri"/>
        <family val="2"/>
        <scheme val="minor"/>
      </rPr>
      <t xml:space="preserve">Numerador: </t>
    </r>
    <r>
      <rPr>
        <sz val="12"/>
        <rFont val="Calibri"/>
        <family val="2"/>
        <scheme val="minor"/>
      </rPr>
      <t xml:space="preserve">Número total de HSH que resultaron positivos a realizarse  la prueba de VIH en el sistema nacional de salud durante el período a evaluar 
</t>
    </r>
    <r>
      <rPr>
        <b/>
        <u/>
        <sz val="12"/>
        <rFont val="Calibri"/>
        <family val="2"/>
        <scheme val="minor"/>
      </rPr>
      <t>Denominador:</t>
    </r>
    <r>
      <rPr>
        <sz val="12"/>
        <rFont val="Calibri"/>
        <family val="2"/>
        <scheme val="minor"/>
      </rPr>
      <t xml:space="preserve">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t>
    </r>
    <r>
      <rPr>
        <b/>
        <u/>
        <sz val="12"/>
        <rFont val="Calibri"/>
        <family val="2"/>
        <scheme val="minor"/>
      </rPr>
      <t xml:space="preserve">Fuente:  </t>
    </r>
    <r>
      <rPr>
        <sz val="12"/>
        <rFont val="Calibri"/>
        <family val="2"/>
        <scheme val="minor"/>
      </rPr>
      <t xml:space="preserve">SUMEVE 
</t>
    </r>
    <r>
      <rPr>
        <b/>
        <u/>
        <sz val="12"/>
        <rFont val="Calibri"/>
        <family val="2"/>
        <scheme val="minor"/>
      </rPr>
      <t>Supuestos:</t>
    </r>
    <r>
      <rPr>
        <sz val="12"/>
        <rFont val="Calibri"/>
        <family val="2"/>
        <scheme val="minor"/>
      </rPr>
      <t xml:space="preserve">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t>
    </r>
    <r>
      <rPr>
        <b/>
        <sz val="12"/>
        <rFont val="Calibri"/>
        <family val="2"/>
        <scheme val="minor"/>
      </rPr>
      <t>Métodos de medición:</t>
    </r>
    <r>
      <rPr>
        <sz val="12"/>
        <rFont val="Calibri"/>
        <family val="2"/>
        <scheme val="minor"/>
      </rPr>
      <t xml:space="preserve">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t>
    </r>
    <r>
      <rPr>
        <b/>
        <sz val="12"/>
        <rFont val="Calibri"/>
        <family val="2"/>
        <scheme val="minor"/>
      </rPr>
      <t xml:space="preserve"> Durante el primer año, se realizará una revisión de los datos preliminares de positividad de año 1, tomando en cuenta los resultados de los estudios de tamaño poblacional y del análisis que se realizará en conjunto con OPS/OMS para establecer las metas de años 2 y 3,</t>
    </r>
  </si>
  <si>
    <t>Baseline for this indicator 1.70% coresponds to MSM diagnosed at VICITS clinics and PLAN mobile units during 2019. The reporting of this indicator will be shared between both PRs jointly during the period to be evaluated. For the scope of this indicator, several methodologies for offering the test will be carried out among them: the VICITS clinics, friendly clinics and mobile units, in addition to the strategy of assisted partner notification and contact tracing.
Numerator: Total number of MSM who tested positive for HIV in the national health system during the period to be evaluated. 
Denominator: Total number of MSM who tested positive for HIV in the national health system during the period to be evaluated.
Both numerator and denominator will be reported according to actual data registered in SUMEVE for the reporting period.
The country will report the number of tests performed in this population with the reporting of this indicator in each annual report (PUDR). 
Source:  SUMEVE 
Assumptions: Based on the prevention strategies that the country intends to initiate, assisted partner notification, contact tracing,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t>
  </si>
  <si>
    <t>Baseline for this indicator 2.08% corresponds to trans women diagnosed in VICITS clinics during 2019.  The reporting of this indicator will be shared between both PRs jointly during the period to be evaluated. For the scope of this indicator, several methodologies will be used to offer the test among them: VICITS clinics, friendly clinics and mobile units.
Numerator: Total number of transgender women who tested positive for HIV in the national health system during the period under evaluation. 
Denominator: Total number of transgender women who were tested for HIV in the national health system during the period under evaluation.
The country will report the number of tests performed in this population with the reporting of this indicator in each annual report (PUDR). 
Both the numerator and denominator will be reported according to actual data recorded in SUMEVE corresponding to the period to be reported 
Source:  SUMEVE 
Assumptions: Based on the prevention strategies that the country intends to initiate,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t>
  </si>
  <si>
    <r>
      <t xml:space="preserve">Supuesto de estimación de meta: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y ampliar esta capacidad por lo que se propone alcanzar 82, 83 y 85% para los tres años de la subvención, no se puede ampliar esta capacidad más allá de las metas propuestas debidas a que existe un porcentaje de entre 10 a 15% de casos atribuibles a la población pediátrica. Del mismo modo existen casos extrapulmonares en los que no se pueden realizar este tipo de pruebas.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t>
    </r>
    <r>
      <rPr>
        <b/>
        <sz val="12"/>
        <color theme="1"/>
        <rFont val="Calibri"/>
        <family val="2"/>
        <scheme val="minor"/>
      </rPr>
      <t xml:space="preserve">Métodos de medición: </t>
    </r>
    <r>
      <rPr>
        <sz val="12"/>
        <color theme="1"/>
        <rFont val="Calibri"/>
        <family val="2"/>
        <scheme val="minor"/>
      </rPr>
      <t xml:space="preserve">
Numerador: Número de casos </t>
    </r>
    <r>
      <rPr>
        <sz val="12"/>
        <rFont val="Calibri"/>
        <family val="2"/>
        <scheme val="minor"/>
      </rPr>
      <t>(personas) notificados a los que se les hizo prueba de sensibilidad por pruebas moleculares o  por método de las proporciones, en el periodo a evaluar
Denominador: Número de casos (personas) notif</t>
    </r>
    <r>
      <rPr>
        <sz val="12"/>
        <color theme="1"/>
        <rFont val="Calibri"/>
        <family val="2"/>
        <scheme val="minor"/>
      </rPr>
      <t xml:space="preserve">icados todas las forma en el periodo a evaluar. Expresado en porcentaje 
</t>
    </r>
    <r>
      <rPr>
        <b/>
        <sz val="12"/>
        <rFont val="Calibri"/>
        <family val="2"/>
        <scheme val="minor"/>
      </rPr>
      <t>El reporte anual se reportara con numerado/denominador y porcentaje, en cada año de la subvencion de acuerdo a los datos reales del periodo a reportar.
La verificación de este indicador estará sujeta al método de verificación establecido para la modalidad de financiamiento basado en resultados y establecido en el acuerdo de subvención.</t>
    </r>
    <r>
      <rPr>
        <sz val="12"/>
        <rFont val="Calibri"/>
        <family val="2"/>
        <scheme val="minor"/>
      </rPr>
      <t xml:space="preserve">
</t>
    </r>
    <r>
      <rPr>
        <sz val="12"/>
        <color theme="1"/>
        <rFont val="Calibri"/>
        <family val="2"/>
        <scheme val="minor"/>
      </rPr>
      <t xml:space="preserve">
Fuente de Información: Base de datos de GeneXpert; base de datos de sensibilid</t>
    </r>
    <r>
      <rPr>
        <sz val="12"/>
        <rFont val="Calibri"/>
        <family val="2"/>
        <scheme val="minor"/>
      </rPr>
      <t xml:space="preserve">ad y </t>
    </r>
    <r>
      <rPr>
        <b/>
        <sz val="12"/>
        <rFont val="Calibri"/>
        <family val="2"/>
        <scheme val="minor"/>
      </rPr>
      <t>PCT - 9 (informe trimestral sobre la detección de casos de TB).</t>
    </r>
  </si>
  <si>
    <t>Target Estimate Assumption: A good, accurate diagnosis is a critical component of TB care. Molecular rapid diagnostic tests help ensure early detection and timely treatment of TB. The country intends to perform rapid sensitivity tests for at least Rifampicin and to expand this capacity by 82, 83 and 85% for the three years of the grant; this capacity cannot be expanded beyond the proposed goals because there is a percentage of 10-15% of cases attributable to the pediatric population. Similarly, there are extrapulmonary cases in which this type of testing cannot be performed. 
Considering that the End TB strategy establishes the need to perform rapid drug susceptibility testing (DST) at least for Rifampicin, for the early detection of drug resistance, both in new and previously treated cases. The proposal to achieve the goals by 2025 according to the End TB strategy, is to progressively increase screening to all patients with suspected drug resistance including PPL, HIV, childhood TB, MDR - TB Contacts, among others. 
Measurement methods: 
Numerator: Number of reported cases (persons) who were tested for sensitivity by molecular testing or by the method of proportions, in the period to be evaluated.
Denominator: Number of cases (persons) notified all forms in the period to be evaluated. Expressed as a percentage 
The annual report will be reported with numbering/denominator and percentage, in each year of the subsidy according to the actual data of the reporting period.
Verification of this indicator will be subject to the verification method established for the results-based funding modality and set forth in the grant agreement.
Data source: GeneXpert database; sensitivity database and PCT - 9 (quarterly TB case detection report).</t>
  </si>
  <si>
    <t>Target estimation assumption: the data reported for 2019 corresponds to 21 RR-TB/MDR-TB cases that started second-line treatment. For the projected targets, it has been estimated that 2% of the total TB cases of all forms for each year may present some pattern of multidrug resistance.  
The targets reflect the number of cases (absolute number) to be detected, since the goal is to treat 100% of those diagnosed with drug resistance with second-line treatment. It is expected that 100% of the diagnosed cases will be admitted and treated, except for those that due to violence, vulnerability, risk or death of these cases before starting treatment or that could not attend the clinic (e.g. TB - MDR in PPL, both inside the prison and those who regain their freedom, migrants) for which the health system (nurse or community health personnel) will make and document home visits in order to prevent as far as possible that these cases lose their treatment.
These targets may be adjusted, revised after the first year of implementation, according to WHO/PAHO adjustments.
Methods of measurement: 
Numerator: total cases of rifampicin-resistant tuberculosis and/or multidrug-resistant tuberculosis that have started second-line treatment in the period to be evaluated. reported in absolute number.
Verification of this indicator will be subject to the verification method established for the results-based funding modality and set forth in the grant agreement.
Source of information: Drug-resistant TB case record book and drug-resistant treatment card.</t>
  </si>
  <si>
    <r>
      <t xml:space="preserve">Supuesto de estimación de metas: el dato reportado para el año 2019 corresponde a 21 casos de TB-RR/TB-MDR que iniciaron tratamiento de segunda linea. Para las metas proyectadas, se ha estimado que el 2 %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t>
    </r>
    <r>
      <rPr>
        <b/>
        <sz val="12"/>
        <rFont val="Calibri"/>
        <family val="2"/>
        <scheme val="minor"/>
      </rPr>
      <t xml:space="preserve">
Metodos de medicion: 
</t>
    </r>
    <r>
      <rPr>
        <sz val="12"/>
        <rFont val="Calibri"/>
        <family val="2"/>
        <scheme val="minor"/>
      </rPr>
      <t>Numerador:  Total de casos de tuberculosis resistente a la rifampicina y/o tuberculosis multirresistente que han comenzado un tratamiento de segunda línea en el periodo a evaluar. se reporta en numero absoluto.
La verificación de este indicador estará sujeta al método de verificación establecido para la modalidad de financiamiento basado en resultados y establecido en el acuerdo de subvención.
Fuente de Información: Libro de registro de casos con TB fármacorresistente y tarjeta de tratamiento farmacorresistente.</t>
    </r>
  </si>
  <si>
    <t>Target estimation assumption: The targets are established considering the contribution of TB cases of all forms in PPL estimated to be notified (728, 582 and 446) for the years 2022, 2023 and 2024, respectively. The TB burden in the prison system has been calculated based on the total incidence of the country according to the parameters of the End TB strategy, the percentage burden of TB in the PPL in recent years and considering the impact of the Covid - 19 pandemic; however, detection actions have continued with greater effort and seeking to resolve the limitations.  Notification data will be reviewed annually, since it is expected that the interventions of detection and success of sustained treatment in PPL impact cutting in the chain of transmission in these confinement centers, so the goals may require some adjustment.
Methods of measurement:
Numerator: total TB cases all forms (new and relapsed) reported in the population deprived of liberty in the period to be evaluated. expressed as a whole number.
Verification of this indicator will be subject to the verification method established for the results-based financing modality and set forth in the grant agreement.
Source of information: Case Log Book (PCT-5).
Periodicity annual NON-CUMULATIVE (absolute number), countrywide, entire prison system.</t>
  </si>
  <si>
    <t>Baseline 17.7% corresponding to 2020, source SUMEVE.
Numerator: Number of people newly diagnosed with HIV and who started ART during the reporting period.
Denominator: Number of persons newly diagnosed with HIV during the reporting period.
Assumptions:  The targets have been considered with an annual increase of 5%, 7% and 10%, respectively and have been established under the criterion that starting in 2021 the clinical guidelines for the care of HIV patients will contemplate rapid initiation of treatment with UNAIDS recommendations. For the first year we are being conservative, due to the fact that the effects of the COVID-19 pandemic on health services are still being considered.
Methods of Measurement: For this indicator we will report the number of newly diagnosed persons who have been successfully initiated on ART within 7 days of diagnosis, as recorded in the information system. Both numerator and denominator will be reported according to actual data recorded in SUMEVE corresponding to the reporting period.
Source: SUMEVE</t>
  </si>
  <si>
    <t xml:space="preserve"> Edificio LNR Remodelado</t>
  </si>
  <si>
    <t xml:space="preserve"> RNL building remodeled </t>
  </si>
  <si>
    <t xml:space="preserve">Procesos administrativos para el equipamiento del Laboratorio Nacional de Referencia (LNR) competos </t>
  </si>
  <si>
    <t>Administrative processes for the equipment of the National Reference Laboratory (NRL) completed</t>
  </si>
  <si>
    <t xml:space="preserve"> Equipos nuevos del Laboratorio Nacional de Referencia (LNR) instalados</t>
  </si>
  <si>
    <t xml:space="preserve"> new equipment at the National Reference Laboratory (NRL) Installed</t>
  </si>
  <si>
    <r>
      <rPr>
        <b/>
        <sz val="12"/>
        <color theme="1"/>
        <rFont val="Calibri"/>
        <family val="2"/>
        <scheme val="minor"/>
      </rPr>
      <t>MSPT rating:</t>
    </r>
    <r>
      <rPr>
        <sz val="12"/>
        <color theme="1"/>
        <rFont val="Calibri"/>
        <family val="2"/>
        <scheme val="minor"/>
      </rPr>
      <t xml:space="preserve">
(0) Not Started: No progress against the milestone is  reported by the PR
(1) Started: by 2022 the implementation of the NRL remodeling contract will be continued. The PR presents evidence of the progress of works with technical reports being documented, expecting to have a progress of the work according to pre-defined criteria in the contract.
(2) Advanced: The PR will present evidence of 50% progress of the LNR relocation and improvement work, according to pre-defined criteria and according to the quarterly report of the supervising company.
(3) Completed: The PR will present evidence of 100% progress of the remodeling work and equipment relocation with the reception of the work verifying that they have complied with all the requirements established in the contract and in the stipulated time. Note: The work will be considered completed upon delivery of a contract compliance document evidencing satisfactory receipt of the work and establishing the technical warranty period.</t>
    </r>
  </si>
  <si>
    <r>
      <rPr>
        <b/>
        <sz val="12"/>
        <color theme="1"/>
        <rFont val="Calibri"/>
        <family val="2"/>
        <scheme val="minor"/>
      </rPr>
      <t>Calificación de las MSPT:</t>
    </r>
    <r>
      <rPr>
        <sz val="12"/>
        <color theme="1"/>
        <rFont val="Calibri"/>
        <family val="2"/>
        <scheme val="minor"/>
      </rPr>
      <t xml:space="preserve">
(0) No Iniciado: EL RP no presenta ninguna evidencia de progreso del hito. 
(1)  Iniciado: para el año 2022 se dará continuidad a la implementación del contrato de remodelación del LNR. El PR presenta evidencia de los avances de obras con reportes técnicos documentándose, esperando tener un avance de la obra según criterios pre-definidos en el contrato.
(2) Avanzado: El PR presentará evidencia del avance de 50%  de la obra de reubicación y mejora del LNR, según criterios pre-definidos y de acuerdo al reporte trimestral de la empresa supervisora.
(3) Completado:  El PR presentará evidencia de 100% en el avance de la obra de  remodelación y del traslado de equipos con la recepción de la obra verificando que han cumplido con todos los requerimientos establecidos en el contrato y en el tiempo estipulado. Nota: La obra se dará por concluida mediante la entrega de un documento de cumplimiento del contrato donde se evidencie la recepción de la obra a satisfacción y se establezca el periodo de garantía técnica.</t>
    </r>
  </si>
  <si>
    <r>
      <rPr>
        <b/>
        <sz val="12"/>
        <color theme="1"/>
        <rFont val="Calibri"/>
        <family val="2"/>
        <scheme val="minor"/>
      </rPr>
      <t>Calificación de las MSPT:</t>
    </r>
    <r>
      <rPr>
        <sz val="12"/>
        <color theme="1"/>
        <rFont val="Calibri"/>
        <family val="2"/>
        <scheme val="minor"/>
      </rPr>
      <t xml:space="preserve">
(0)  No iniciado: El RP no presenta ninguna evidencia de progreso del hito
(1) Iniciado: EL RP presenta evidencias de que se ha completado la definición de especificaciones técnicas y bases de licitación de equipos complejos y menores.
(2)Avanzado: El RP presenta evidencia de que se ha realizado la solicitud de compra  de equipos complejos y menores elaborada y de que se encuentra aprobada, tambien presenta evidencia de que las convocatorias de licitaciones/adquisiciones de equipamiento  y evaluación de licitaciones/adquisiciones de equipo fueron realizadas
(3) Completado: El RP presenta evidencai de la adjudicación y firma de contratos de equipamiento </t>
    </r>
  </si>
  <si>
    <r>
      <rPr>
        <b/>
        <sz val="12"/>
        <color theme="1"/>
        <rFont val="Calibri"/>
        <family val="2"/>
        <scheme val="minor"/>
      </rPr>
      <t>MSPT Rating:</t>
    </r>
    <r>
      <rPr>
        <sz val="12"/>
        <color theme="1"/>
        <rFont val="Calibri"/>
        <family val="2"/>
        <scheme val="minor"/>
      </rPr>
      <t xml:space="preserve">
(0) Not initiated: PR presents no evidence of milestone progress.
(1) Initiated: The PR presents evidence that the definition of technical specifications and bidding bases for complex and minor equipment has been completed.
(2) Advanced: The PR presents evidence that the request for purchase of complex and minor equipment has been prepared and approved, also presents evidence that the calls for bids/procurement of equipment and evaluation of bids/procurement of equipment have been carried out.
(3) Completed: The PR submits evidence of award and signature of equipment contracts. </t>
    </r>
  </si>
  <si>
    <r>
      <rPr>
        <b/>
        <sz val="12"/>
        <color theme="1"/>
        <rFont val="Calibri"/>
        <family val="2"/>
        <scheme val="minor"/>
      </rPr>
      <t>Calificación de las MSPT:</t>
    </r>
    <r>
      <rPr>
        <sz val="12"/>
        <color theme="1"/>
        <rFont val="Calibri"/>
        <family val="2"/>
        <scheme val="minor"/>
      </rPr>
      <t xml:space="preserve">
(0) No inciado: El RP no presenta ninguna evidencia de progreso del hito
(1)  Iniciado: EL  RP presenta evidencia de la recepción de al menos una parte de  los equipos de laboratorios y su instalación en las áreas correspondientes iniciada y documentada.
(2) Avanzado: EL  RP presenta evidencia de la recepción de la totalidad pervista de  los equipos de laboratorios y su instalación en las áreas correspondientes iniciada y documentada.
(3)  Completado: El RP presenta evidencia de cumplimiento de contrato a satisfacción demostrando que estan instalados cada uno de los equipos en el nuevo edificio en las respectivas áreas de trabajo, y su funcionamiento está garantizado.</t>
    </r>
  </si>
  <si>
    <r>
      <rPr>
        <b/>
        <sz val="12"/>
        <color theme="1"/>
        <rFont val="Calibri"/>
        <family val="2"/>
        <scheme val="minor"/>
      </rPr>
      <t xml:space="preserve">MSPT Rating:
</t>
    </r>
    <r>
      <rPr>
        <sz val="12"/>
        <color theme="1"/>
        <rFont val="Calibri"/>
        <family val="2"/>
        <scheme val="minor"/>
      </rPr>
      <t>(0) Not initiated: PR presents no evidence of milestone progress.
(1) Initiated: The PR presents evidence of receipt of at least part of the laboratory equipment and its installation in the corresponding areas initiated and documented.
(2) Advanced: The PR presents evidence of receipt of all laboratory equipment and its installation in the corresponding areas initiated and documented.
(3) Completed: The PR presents evidence of satisfactory contract fulfillment demonstrating that each of the equipment is installed in the new building in the respective work areas, and its operation is guaranteed.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</si>
</sst>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_);_(* \(#,##0.0\);_(@_)"/>
    <numFmt numFmtId="165" formatCode="dd\.mm\.yyyy"/>
    <numFmt numFmtId="166" formatCode="_(* #,##0.00_);_(* \(#,##0.00\);_(@_)"/>
    <numFmt numFmtId="167" formatCode="_(* #,##0_);_(* \(#,##0\);_(@_)"/>
    <numFmt numFmtId="168" formatCode="#,##0.00%"/>
    <numFmt numFmtId="169" formatCode="#\'##0.00"/>
    <numFmt numFmtId="170" formatCode="[$-809]dd\ mmm\ yyyy;@"/>
    <numFmt numFmtId="171" formatCode="0.000000"/>
    <numFmt numFmtId="172" formatCode="#,##0.0000"/>
    <numFmt numFmtId="173" formatCode="0.0000"/>
    <numFmt numFmtId="174" formatCode="_(* #,##0.0000_);_(* \(#,##0.0000\);_(@_)"/>
    <numFmt numFmtId="175" formatCode="#,##0.0%"/>
    <numFmt numFmtId="176" formatCode="#,##0%"/>
  </numFmts>
  <fonts count="8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0"/>
      <name val="Arial"/>
      <family val="2"/>
      <charset val="238"/>
    </font>
    <font>
      <sz val="12"/>
      <color theme="1"/>
      <name val="Calibri"/>
      <family val="2"/>
      <charset val="238"/>
      <scheme val="minor"/>
    </font>
    <font>
      <sz val="11"/>
      <name val="Calibri"/>
      <family val="2"/>
    </font>
    <font>
      <b/>
      <sz val="11"/>
      <name val="Calibri"/>
      <family val="2"/>
    </font>
    <font>
      <sz val="11"/>
      <name val="Calibri"/>
      <family val="2"/>
      <scheme val="minor"/>
    </font>
    <font>
      <u/>
      <sz val="11"/>
      <color rgb="FF000000"/>
      <name val="Calibri"/>
      <family val="2"/>
    </font>
    <font>
      <u/>
      <sz val="11"/>
      <color theme="10"/>
      <name val="Calibri"/>
      <family val="2"/>
      <scheme val="minor"/>
    </font>
    <font>
      <b/>
      <sz val="11"/>
      <name val="Calibri"/>
      <family val="2"/>
      <scheme val="minor"/>
    </font>
    <font>
      <sz val="11"/>
      <color rgb="FFFF0000"/>
      <name val="Calibri"/>
      <family val="2"/>
      <charset val="238"/>
      <scheme val="minor"/>
    </font>
    <font>
      <sz val="11"/>
      <color rgb="FFFF0000"/>
      <name val="Calibri"/>
      <family val="2"/>
      <scheme val="minor"/>
    </font>
    <font>
      <u/>
      <sz val="11"/>
      <color theme="4" tint="-0.249977111117893"/>
      <name val="Calibri"/>
      <family val="2"/>
      <scheme val="minor"/>
    </font>
    <font>
      <sz val="11"/>
      <name val="Symbol"/>
      <family val="1"/>
      <charset val="2"/>
    </font>
    <font>
      <sz val="7"/>
      <name val="Times New Roman"/>
      <family val="1"/>
    </font>
    <font>
      <sz val="22"/>
      <color theme="1"/>
      <name val="Calibri"/>
      <family val="2"/>
      <scheme val="minor"/>
    </font>
    <font>
      <sz val="14"/>
      <color theme="0"/>
      <name val="Arial"/>
      <family val="2"/>
    </font>
    <font>
      <b/>
      <sz val="12"/>
      <color rgb="FFFF0000"/>
      <name val="Calibri"/>
      <family val="2"/>
      <scheme val="minor"/>
    </font>
    <font>
      <sz val="14"/>
      <color rgb="FF222222"/>
      <name val="Arial"/>
      <family val="2"/>
    </font>
    <font>
      <b/>
      <i/>
      <sz val="12"/>
      <name val="Calibri"/>
      <family val="2"/>
      <scheme val="minor"/>
    </font>
    <font>
      <sz val="12"/>
      <color rgb="FFC00000"/>
      <name val="Calibri"/>
      <family val="2"/>
      <scheme val="minor"/>
    </font>
    <font>
      <b/>
      <i/>
      <sz val="12"/>
      <color theme="1"/>
      <name val="Calibri"/>
      <family val="2"/>
      <scheme val="minor"/>
    </font>
    <font>
      <b/>
      <u/>
      <sz val="12"/>
      <color theme="1"/>
      <name val="Calibri"/>
      <family val="2"/>
      <scheme val="minor"/>
    </font>
    <font>
      <sz val="12"/>
      <color theme="4" tint="-0.249977111117893"/>
      <name val="Calibri"/>
      <family val="2"/>
      <scheme val="minor"/>
    </font>
    <font>
      <b/>
      <u/>
      <sz val="12"/>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rgb="FFD9E2F3"/>
        <bgColor indexed="64"/>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theme="0"/>
      </patternFill>
    </fill>
  </fills>
  <borders count="118">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right/>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thin">
        <color theme="4" tint="-0.24994659260841701"/>
      </left>
      <right/>
      <top style="thin">
        <color theme="4" tint="-0.24994659260841701"/>
      </top>
      <bottom/>
      <diagonal/>
    </border>
    <border>
      <left style="medium">
        <color theme="4" tint="-0.24994659260841701"/>
      </left>
      <right style="hair">
        <color rgb="FF00B0F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rgb="FFFFFFFF"/>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hair">
        <color rgb="FF00B0F0"/>
      </bottom>
      <diagonal/>
    </border>
    <border>
      <left style="hair">
        <color rgb="FF00B0F0"/>
      </left>
      <right/>
      <top style="medium">
        <color theme="4" tint="-0.24994659260841701"/>
      </top>
      <bottom style="thin">
        <color theme="4" tint="-0.24994659260841701"/>
      </bottom>
      <diagonal/>
    </border>
    <border>
      <left/>
      <right style="hair">
        <color rgb="FF00B0F0"/>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indexed="64"/>
      </right>
      <top/>
      <bottom/>
      <diagonal/>
    </border>
    <border>
      <left style="medium">
        <color auto="1"/>
      </left>
      <right/>
      <top/>
      <bottom style="medium">
        <color theme="4" tint="-0.24994659260841701"/>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medium">
        <color theme="4" tint="-0.24994659260841701"/>
      </left>
      <right/>
      <top/>
      <bottom style="thin">
        <color indexed="64"/>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indexed="64"/>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medium">
        <color auto="1"/>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right style="thin">
        <color theme="4" tint="-0.24994659260841701"/>
      </right>
      <top style="medium">
        <color theme="4" tint="-0.24994659260841701"/>
      </top>
      <bottom/>
      <diagonal/>
    </border>
    <border>
      <left/>
      <right style="hair">
        <color theme="8"/>
      </right>
      <top/>
      <bottom/>
      <diagonal/>
    </border>
    <border>
      <left style="hair">
        <color auto="1"/>
      </left>
      <right style="hair">
        <color indexed="64"/>
      </right>
      <top style="hair">
        <color auto="1"/>
      </top>
      <bottom style="hair">
        <color indexed="64"/>
      </bottom>
      <diagonal/>
    </border>
  </borders>
  <cellStyleXfs count="19">
    <xf numFmtId="0" fontId="0" fillId="0" borderId="0"/>
    <xf numFmtId="0" fontId="14" fillId="0" borderId="0" applyNumberFormat="0" applyFill="0" applyBorder="0" applyAlignment="0" applyProtection="0"/>
    <xf numFmtId="0" fontId="15" fillId="0" borderId="0"/>
    <xf numFmtId="0" fontId="13" fillId="0" borderId="0"/>
    <xf numFmtId="0" fontId="44" fillId="0" borderId="0"/>
    <xf numFmtId="0" fontId="14" fillId="0" borderId="0" applyNumberFormat="0" applyFill="0" applyBorder="0" applyAlignment="0" applyProtection="0"/>
    <xf numFmtId="0" fontId="12" fillId="0" borderId="0"/>
    <xf numFmtId="0" fontId="11" fillId="0" borderId="0"/>
    <xf numFmtId="0" fontId="11" fillId="0" borderId="0"/>
    <xf numFmtId="0" fontId="10" fillId="0" borderId="0"/>
    <xf numFmtId="0" fontId="7" fillId="0" borderId="0"/>
    <xf numFmtId="0" fontId="11" fillId="0" borderId="0"/>
    <xf numFmtId="0" fontId="2" fillId="0" borderId="0"/>
    <xf numFmtId="0" fontId="44" fillId="0" borderId="0"/>
    <xf numFmtId="0" fontId="14" fillId="0" borderId="0" applyNumberFormat="0" applyFill="0" applyBorder="0" applyAlignment="0" applyProtection="0"/>
    <xf numFmtId="0" fontId="2" fillId="0" borderId="0"/>
    <xf numFmtId="0" fontId="2" fillId="0" borderId="0"/>
    <xf numFmtId="0" fontId="2" fillId="0" borderId="0"/>
    <xf numFmtId="0" fontId="2" fillId="0" borderId="0"/>
  </cellStyleXfs>
  <cellXfs count="946">
    <xf numFmtId="0" fontId="0" fillId="0" borderId="0" xfId="0"/>
    <xf numFmtId="0" fontId="15" fillId="0" borderId="0" xfId="2"/>
    <xf numFmtId="0" fontId="16" fillId="0" borderId="0" xfId="2" applyFont="1"/>
    <xf numFmtId="0" fontId="17" fillId="2" borderId="0" xfId="0" applyFont="1" applyFill="1" applyProtection="1"/>
    <xf numFmtId="0" fontId="18" fillId="0" borderId="0" xfId="0" applyFont="1" applyProtection="1"/>
    <xf numFmtId="0" fontId="0" fillId="0" borderId="0" xfId="0" applyFont="1" applyProtection="1"/>
    <xf numFmtId="0" fontId="16" fillId="0" borderId="0" xfId="2" applyFont="1"/>
    <xf numFmtId="0" fontId="17" fillId="0" borderId="0" xfId="0" applyFont="1" applyProtection="1"/>
    <xf numFmtId="0" fontId="15" fillId="0" borderId="0" xfId="2" quotePrefix="1" applyAlignment="1">
      <alignment horizontal="left"/>
    </xf>
    <xf numFmtId="0" fontId="15" fillId="0" borderId="0" xfId="2"/>
    <xf numFmtId="0" fontId="0" fillId="0" borderId="0" xfId="0" applyFont="1" applyAlignment="1" applyProtection="1">
      <alignment vertical="center"/>
    </xf>
    <xf numFmtId="0" fontId="0" fillId="0" borderId="0" xfId="0" applyFont="1" applyFill="1" applyAlignment="1" applyProtection="1">
      <alignment vertical="center"/>
    </xf>
    <xf numFmtId="0" fontId="17" fillId="0" borderId="0" xfId="0" applyFont="1" applyAlignment="1" applyProtection="1">
      <alignment vertical="center"/>
    </xf>
    <xf numFmtId="0" fontId="14" fillId="6" borderId="3" xfId="1" applyFont="1" applyFill="1" applyBorder="1" applyAlignment="1" applyProtection="1">
      <alignment horizontal="center" vertical="center"/>
    </xf>
    <xf numFmtId="0" fontId="14" fillId="6" borderId="2" xfId="1" applyFont="1" applyFill="1" applyBorder="1" applyAlignment="1" applyProtection="1">
      <alignment horizontal="center" vertical="center"/>
    </xf>
    <xf numFmtId="0" fontId="14" fillId="6" borderId="4" xfId="1"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0" xfId="0" applyFont="1" applyFill="1" applyBorder="1" applyProtection="1"/>
    <xf numFmtId="0" fontId="0" fillId="2" borderId="0" xfId="0" applyFont="1" applyFill="1" applyProtection="1"/>
    <xf numFmtId="0" fontId="0" fillId="0" borderId="18" xfId="0" applyFont="1" applyBorder="1" applyProtection="1"/>
    <xf numFmtId="0" fontId="0" fillId="0" borderId="9" xfId="0" applyFont="1" applyBorder="1" applyProtection="1"/>
    <xf numFmtId="0" fontId="0" fillId="0" borderId="14" xfId="0" applyFont="1" applyBorder="1" applyProtection="1"/>
    <xf numFmtId="0" fontId="0" fillId="0" borderId="0" xfId="0" applyFont="1" applyBorder="1" applyProtection="1"/>
    <xf numFmtId="0" fontId="0" fillId="0" borderId="17" xfId="0" applyFont="1" applyBorder="1" applyProtection="1"/>
    <xf numFmtId="17" fontId="0" fillId="0" borderId="0" xfId="0" applyNumberFormat="1" applyFont="1" applyProtection="1"/>
    <xf numFmtId="0" fontId="0" fillId="0" borderId="15" xfId="0" applyFont="1" applyBorder="1" applyProtection="1"/>
    <xf numFmtId="0" fontId="0" fillId="0" borderId="16" xfId="0" applyFont="1" applyBorder="1" applyProtection="1"/>
    <xf numFmtId="0" fontId="14" fillId="0" borderId="0" xfId="1" quotePrefix="1" applyFont="1" applyProtection="1"/>
    <xf numFmtId="0" fontId="0" fillId="0" borderId="0" xfId="0" applyFont="1" applyFill="1" applyProtection="1"/>
    <xf numFmtId="17" fontId="14" fillId="0" borderId="0" xfId="1" quotePrefix="1" applyNumberFormat="1" applyFont="1" applyFill="1" applyBorder="1" applyAlignment="1" applyProtection="1">
      <alignment horizontal="center" vertical="center"/>
    </xf>
    <xf numFmtId="17" fontId="14" fillId="2" borderId="0" xfId="1" quotePrefix="1" applyNumberFormat="1"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2" borderId="0" xfId="0" applyNumberFormat="1"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15" xfId="0" applyFont="1" applyFill="1" applyBorder="1" applyAlignment="1" applyProtection="1">
      <alignment horizontal="center" vertical="center"/>
    </xf>
    <xf numFmtId="0" fontId="19" fillId="6" borderId="16" xfId="0" applyFont="1" applyFill="1" applyBorder="1" applyAlignment="1" applyProtection="1">
      <alignment horizontal="center" vertical="center"/>
    </xf>
    <xf numFmtId="17" fontId="14" fillId="2" borderId="8" xfId="1" quotePrefix="1" applyNumberFormat="1" applyFont="1" applyFill="1" applyBorder="1" applyAlignment="1" applyProtection="1">
      <alignment horizontal="center" vertical="center"/>
    </xf>
    <xf numFmtId="17" fontId="14" fillId="2" borderId="18" xfId="1" quotePrefix="1" applyNumberFormat="1" applyFont="1" applyFill="1" applyBorder="1" applyAlignment="1" applyProtection="1">
      <alignment horizontal="center" vertical="center"/>
    </xf>
    <xf numFmtId="17" fontId="14" fillId="2" borderId="9" xfId="1" quotePrefix="1" applyNumberFormat="1" applyFont="1" applyFill="1" applyBorder="1" applyAlignment="1" applyProtection="1">
      <alignment horizontal="center" vertical="center"/>
    </xf>
    <xf numFmtId="17" fontId="14" fillId="2" borderId="14" xfId="1" quotePrefix="1" applyNumberFormat="1" applyFont="1" applyFill="1" applyBorder="1" applyAlignment="1" applyProtection="1">
      <alignment horizontal="center" vertical="center"/>
    </xf>
    <xf numFmtId="0" fontId="19" fillId="2" borderId="0" xfId="0" applyFont="1" applyFill="1" applyBorder="1" applyAlignment="1" applyProtection="1">
      <alignment vertical="center"/>
    </xf>
    <xf numFmtId="17" fontId="20" fillId="2" borderId="0" xfId="0" applyNumberFormat="1" applyFont="1" applyFill="1" applyBorder="1" applyAlignment="1" applyProtection="1">
      <alignment vertical="center"/>
    </xf>
    <xf numFmtId="15" fontId="0" fillId="2" borderId="1" xfId="0" applyNumberFormat="1" applyFont="1" applyFill="1" applyBorder="1" applyAlignment="1" applyProtection="1">
      <alignment horizontal="center" vertical="center"/>
    </xf>
    <xf numFmtId="0" fontId="19" fillId="0" borderId="0" xfId="0" applyFont="1" applyFill="1" applyBorder="1" applyAlignment="1" applyProtection="1">
      <alignment vertical="center"/>
    </xf>
    <xf numFmtId="17" fontId="20" fillId="0" borderId="14" xfId="0" applyNumberFormat="1" applyFont="1" applyFill="1" applyBorder="1" applyAlignment="1" applyProtection="1">
      <alignment horizontal="center" vertical="center"/>
    </xf>
    <xf numFmtId="17" fontId="20" fillId="0" borderId="0" xfId="0" applyNumberFormat="1" applyFont="1" applyFill="1" applyBorder="1" applyAlignment="1" applyProtection="1">
      <alignment vertical="center"/>
    </xf>
    <xf numFmtId="0" fontId="0" fillId="2" borderId="15" xfId="0" applyFont="1" applyFill="1" applyBorder="1" applyAlignment="1" applyProtection="1"/>
    <xf numFmtId="0" fontId="0" fillId="2" borderId="16" xfId="0" applyFont="1" applyFill="1" applyBorder="1" applyAlignment="1" applyProtection="1"/>
    <xf numFmtId="0" fontId="0" fillId="2" borderId="17" xfId="0" applyFont="1" applyFill="1" applyBorder="1" applyAlignment="1" applyProtection="1"/>
    <xf numFmtId="0" fontId="0" fillId="0" borderId="0" xfId="0" applyFont="1" applyFill="1" applyAlignment="1" applyProtection="1">
      <alignment horizontal="center" vertical="center" wrapText="1"/>
    </xf>
    <xf numFmtId="0" fontId="0" fillId="2" borderId="0" xfId="0" applyFont="1" applyFill="1" applyBorder="1" applyAlignment="1" applyProtection="1"/>
    <xf numFmtId="0" fontId="19" fillId="2" borderId="0" xfId="0" applyFont="1" applyFill="1" applyAlignment="1" applyProtection="1"/>
    <xf numFmtId="0" fontId="0" fillId="0" borderId="0" xfId="0" applyFont="1" applyFill="1" applyBorder="1" applyProtection="1"/>
    <xf numFmtId="0" fontId="0" fillId="2"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9" fillId="2" borderId="18" xfId="0" applyFont="1" applyFill="1" applyBorder="1" applyAlignment="1" applyProtection="1">
      <alignment vertical="center"/>
    </xf>
    <xf numFmtId="0" fontId="0" fillId="0" borderId="20" xfId="0" applyFont="1" applyBorder="1" applyProtection="1"/>
    <xf numFmtId="0" fontId="0" fillId="0" borderId="21" xfId="0" applyFont="1" applyBorder="1" applyProtection="1"/>
    <xf numFmtId="0" fontId="0" fillId="0" borderId="16" xfId="0" applyFont="1" applyFill="1" applyBorder="1" applyProtection="1"/>
    <xf numFmtId="0" fontId="20" fillId="0" borderId="18" xfId="0"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0" fillId="0" borderId="0" xfId="0" applyFont="1" applyProtection="1">
      <protection locked="0"/>
    </xf>
    <xf numFmtId="15" fontId="18"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xf>
    <xf numFmtId="17" fontId="20"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left" wrapText="1"/>
    </xf>
    <xf numFmtId="0" fontId="17" fillId="0" borderId="14" xfId="0" applyFont="1" applyFill="1" applyBorder="1" applyAlignment="1" applyProtection="1">
      <alignment horizontal="left" wrapText="1"/>
    </xf>
    <xf numFmtId="17" fontId="19" fillId="4" borderId="24" xfId="0" applyNumberFormat="1" applyFont="1" applyFill="1" applyBorder="1" applyAlignment="1" applyProtection="1">
      <alignment horizontal="center" vertical="center" wrapText="1"/>
    </xf>
    <xf numFmtId="0" fontId="14" fillId="6" borderId="3" xfId="1" applyFill="1" applyBorder="1" applyAlignment="1" applyProtection="1">
      <alignment horizontal="center" vertical="center"/>
    </xf>
    <xf numFmtId="0" fontId="19" fillId="4" borderId="6" xfId="0" applyFont="1" applyFill="1" applyBorder="1" applyAlignment="1" applyProtection="1">
      <alignment horizontal="center" vertical="center" wrapText="1"/>
    </xf>
    <xf numFmtId="0" fontId="0" fillId="0" borderId="6" xfId="0" applyFont="1" applyBorder="1" applyProtection="1"/>
    <xf numFmtId="0" fontId="0" fillId="0" borderId="6" xfId="0" applyFont="1" applyBorder="1" applyAlignment="1" applyProtection="1">
      <alignment horizontal="center" vertical="center"/>
    </xf>
    <xf numFmtId="17" fontId="0" fillId="0" borderId="6" xfId="0" applyNumberFormat="1" applyFont="1" applyBorder="1" applyAlignment="1" applyProtection="1">
      <alignment horizontal="center" vertical="center"/>
    </xf>
    <xf numFmtId="0" fontId="19" fillId="4" borderId="24"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17"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4" xfId="0" applyNumberFormat="1" applyFont="1" applyBorder="1" applyProtection="1"/>
    <xf numFmtId="17" fontId="0" fillId="0" borderId="16" xfId="0" applyNumberFormat="1" applyFont="1" applyBorder="1" applyProtection="1"/>
    <xf numFmtId="0" fontId="0" fillId="0" borderId="17" xfId="0" applyFont="1" applyFill="1" applyBorder="1" applyProtection="1"/>
    <xf numFmtId="0" fontId="25" fillId="0" borderId="0" xfId="0" applyFont="1" applyProtection="1"/>
    <xf numFmtId="49" fontId="0" fillId="6" borderId="6" xfId="0" applyNumberFormat="1" applyFont="1" applyFill="1" applyBorder="1" applyAlignment="1" applyProtection="1">
      <alignment horizontal="center" vertical="center"/>
    </xf>
    <xf numFmtId="0" fontId="18" fillId="0" borderId="0" xfId="0" applyFont="1" applyBorder="1" applyProtection="1"/>
    <xf numFmtId="0" fontId="18" fillId="0" borderId="0" xfId="0" applyFont="1" applyBorder="1" applyAlignment="1" applyProtection="1">
      <alignment wrapText="1"/>
    </xf>
    <xf numFmtId="17" fontId="18" fillId="0" borderId="0" xfId="0" applyNumberFormat="1" applyFont="1" applyBorder="1" applyAlignment="1" applyProtection="1">
      <alignment vertical="center"/>
    </xf>
    <xf numFmtId="0" fontId="18" fillId="0" borderId="0" xfId="0" applyNumberFormat="1" applyFont="1" applyBorder="1" applyAlignment="1" applyProtection="1">
      <alignment vertical="center"/>
    </xf>
    <xf numFmtId="17" fontId="18" fillId="0" borderId="0" xfId="0" applyNumberFormat="1" applyFont="1" applyBorder="1" applyProtection="1"/>
    <xf numFmtId="0" fontId="21" fillId="0" borderId="0" xfId="0" applyFont="1" applyFill="1" applyBorder="1" applyAlignment="1" applyProtection="1">
      <alignment horizontal="center" vertical="center"/>
    </xf>
    <xf numFmtId="14" fontId="0" fillId="0" borderId="0" xfId="0" applyNumberFormat="1" applyFont="1" applyProtection="1"/>
    <xf numFmtId="15" fontId="18" fillId="2" borderId="0" xfId="0" applyNumberFormat="1" applyFont="1" applyFill="1" applyBorder="1" applyAlignment="1" applyProtection="1">
      <alignment horizontal="center" vertical="center" wrapText="1"/>
    </xf>
    <xf numFmtId="15" fontId="18" fillId="2" borderId="0" xfId="0" applyNumberFormat="1"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9" xfId="0" applyFont="1" applyFill="1" applyBorder="1" applyAlignment="1" applyProtection="1">
      <alignment horizontal="center" vertical="center"/>
    </xf>
    <xf numFmtId="49" fontId="0" fillId="0" borderId="6" xfId="0" applyNumberFormat="1" applyFont="1" applyBorder="1" applyAlignment="1" applyProtection="1">
      <alignment horizontal="left" vertical="center" wrapText="1"/>
      <protection locked="0"/>
    </xf>
    <xf numFmtId="0" fontId="23" fillId="0" borderId="0" xfId="0" applyFont="1"/>
    <xf numFmtId="0" fontId="23" fillId="2" borderId="0" xfId="0" applyFont="1" applyFill="1" applyProtection="1"/>
    <xf numFmtId="0" fontId="28" fillId="0" borderId="0" xfId="0" applyFont="1"/>
    <xf numFmtId="0" fontId="23" fillId="0" borderId="0" xfId="0" applyFont="1" applyAlignment="1">
      <alignment wrapText="1"/>
    </xf>
    <xf numFmtId="0" fontId="23" fillId="0" borderId="0" xfId="0" applyFont="1" applyProtection="1"/>
    <xf numFmtId="49" fontId="23" fillId="0" borderId="0" xfId="0" applyNumberFormat="1" applyFont="1" applyProtection="1"/>
    <xf numFmtId="15" fontId="27" fillId="2" borderId="0" xfId="0" applyNumberFormat="1" applyFont="1" applyFill="1" applyBorder="1" applyAlignment="1" applyProtection="1">
      <alignment horizontal="center" vertical="center" wrapText="1"/>
    </xf>
    <xf numFmtId="0" fontId="0" fillId="6" borderId="23" xfId="0" applyFont="1" applyFill="1" applyBorder="1" applyProtection="1"/>
    <xf numFmtId="0" fontId="0" fillId="0" borderId="23" xfId="0" applyFont="1" applyBorder="1" applyProtection="1"/>
    <xf numFmtId="0" fontId="0" fillId="6" borderId="11" xfId="0" quotePrefix="1" applyFont="1" applyFill="1" applyBorder="1" applyAlignment="1" applyProtection="1">
      <alignment horizontal="center" vertical="center" wrapText="1"/>
      <protection hidden="1"/>
    </xf>
    <xf numFmtId="0" fontId="0" fillId="6" borderId="10" xfId="0" applyFont="1" applyFill="1" applyBorder="1" applyAlignment="1" applyProtection="1">
      <alignment horizontal="center" vertical="center" wrapText="1"/>
      <protection hidden="1"/>
    </xf>
    <xf numFmtId="49" fontId="23" fillId="2" borderId="0" xfId="0" applyNumberFormat="1" applyFont="1" applyFill="1" applyAlignment="1" applyProtection="1">
      <alignment wrapText="1"/>
    </xf>
    <xf numFmtId="0" fontId="18" fillId="0" borderId="0" xfId="0" applyFont="1"/>
    <xf numFmtId="0" fontId="0" fillId="0" borderId="21" xfId="0" applyFont="1" applyBorder="1" applyProtection="1">
      <protection locked="0"/>
    </xf>
    <xf numFmtId="0" fontId="23" fillId="2" borderId="0" xfId="0" applyFont="1" applyFill="1"/>
    <xf numFmtId="0" fontId="18" fillId="2" borderId="0" xfId="0" applyFont="1" applyFill="1"/>
    <xf numFmtId="0" fontId="17" fillId="0" borderId="0" xfId="0" applyFont="1"/>
    <xf numFmtId="0" fontId="40" fillId="0" borderId="0" xfId="0" applyFont="1"/>
    <xf numFmtId="0" fontId="17" fillId="0" borderId="0" xfId="0" applyFont="1" applyAlignment="1">
      <alignment wrapText="1"/>
    </xf>
    <xf numFmtId="15" fontId="0" fillId="6" borderId="11" xfId="0" applyNumberFormat="1" applyFont="1" applyFill="1" applyBorder="1" applyAlignment="1" applyProtection="1">
      <alignment horizontal="center" vertical="center"/>
    </xf>
    <xf numFmtId="15" fontId="0" fillId="6" borderId="12" xfId="0" applyNumberFormat="1" applyFont="1" applyFill="1" applyBorder="1" applyAlignment="1" applyProtection="1">
      <alignment horizontal="center" vertical="center"/>
    </xf>
    <xf numFmtId="0" fontId="19" fillId="4" borderId="14" xfId="0" applyFont="1" applyFill="1" applyBorder="1" applyAlignment="1" applyProtection="1">
      <alignment horizontal="center" vertical="center" wrapText="1"/>
    </xf>
    <xf numFmtId="0" fontId="41" fillId="4" borderId="14" xfId="0" applyFont="1" applyFill="1" applyBorder="1" applyAlignment="1" applyProtection="1">
      <alignment horizontal="center" vertical="center" wrapText="1"/>
    </xf>
    <xf numFmtId="0" fontId="18" fillId="0" borderId="0" xfId="0" applyFont="1" applyAlignment="1" applyProtection="1">
      <alignment wrapText="1"/>
    </xf>
    <xf numFmtId="0" fontId="18" fillId="0" borderId="0" xfId="0" applyFont="1" applyFill="1" applyAlignment="1" applyProtection="1">
      <alignment wrapText="1"/>
    </xf>
    <xf numFmtId="11" fontId="0" fillId="0" borderId="0" xfId="0" applyNumberFormat="1"/>
    <xf numFmtId="0" fontId="23" fillId="0" borderId="18" xfId="0" applyFont="1" applyFill="1" applyBorder="1" applyProtection="1"/>
    <xf numFmtId="0" fontId="18" fillId="0" borderId="18" xfId="0" applyFont="1" applyFill="1" applyBorder="1" applyProtection="1"/>
    <xf numFmtId="0" fontId="18" fillId="0" borderId="18" xfId="0" applyFont="1" applyBorder="1" applyProtection="1"/>
    <xf numFmtId="0" fontId="18" fillId="0" borderId="9" xfId="0" applyFont="1" applyBorder="1" applyProtection="1"/>
    <xf numFmtId="0" fontId="13" fillId="0" borderId="22" xfId="3" applyBorder="1"/>
    <xf numFmtId="0" fontId="13" fillId="0" borderId="22" xfId="3" applyBorder="1" applyAlignment="1">
      <alignment wrapText="1"/>
    </xf>
    <xf numFmtId="0" fontId="13" fillId="0" borderId="22" xfId="3" applyBorder="1" applyAlignment="1">
      <alignment horizontal="center" vertical="center"/>
    </xf>
    <xf numFmtId="14" fontId="13" fillId="0" borderId="22" xfId="3" applyNumberFormat="1" applyBorder="1" applyAlignment="1">
      <alignment horizontal="center" vertical="center"/>
    </xf>
    <xf numFmtId="14" fontId="13" fillId="0" borderId="22" xfId="3" applyNumberFormat="1" applyBorder="1"/>
    <xf numFmtId="0" fontId="12" fillId="0" borderId="22" xfId="3" applyFont="1" applyBorder="1" applyAlignment="1">
      <alignment wrapText="1"/>
    </xf>
    <xf numFmtId="0" fontId="25" fillId="2" borderId="0" xfId="0" applyFont="1" applyFill="1" applyProtection="1"/>
    <xf numFmtId="17" fontId="43" fillId="0" borderId="22" xfId="0" applyNumberFormat="1" applyFont="1" applyFill="1" applyBorder="1" applyAlignment="1" applyProtection="1">
      <alignment horizontal="center" vertical="center" wrapText="1"/>
    </xf>
    <xf numFmtId="17" fontId="43" fillId="0" borderId="0" xfId="0" applyNumberFormat="1" applyFont="1" applyFill="1" applyBorder="1" applyAlignment="1" applyProtection="1">
      <alignment horizontal="center" vertical="center" wrapText="1"/>
    </xf>
    <xf numFmtId="14" fontId="0" fillId="0" borderId="0" xfId="0" applyNumberFormat="1"/>
    <xf numFmtId="49" fontId="0" fillId="0" borderId="0" xfId="0" applyNumberFormat="1"/>
    <xf numFmtId="0" fontId="0" fillId="0" borderId="0" xfId="0" applyFont="1" applyFill="1" applyAlignment="1" applyProtection="1">
      <alignment horizontal="center" wrapText="1"/>
    </xf>
    <xf numFmtId="0" fontId="19" fillId="4" borderId="24" xfId="0" applyFont="1" applyFill="1" applyBorder="1" applyAlignment="1" applyProtection="1">
      <alignment horizontal="center" vertical="center" wrapText="1"/>
    </xf>
    <xf numFmtId="49" fontId="0" fillId="6" borderId="24"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0" fillId="0" borderId="24" xfId="0" applyFont="1" applyBorder="1" applyProtection="1"/>
    <xf numFmtId="0" fontId="18" fillId="0" borderId="24" xfId="0" applyFont="1" applyBorder="1" applyProtection="1"/>
    <xf numFmtId="15" fontId="0" fillId="6" borderId="24" xfId="0" applyNumberFormat="1" applyFont="1" applyFill="1" applyBorder="1" applyAlignment="1" applyProtection="1">
      <alignment horizontal="center" vertical="center"/>
    </xf>
    <xf numFmtId="0" fontId="0" fillId="0" borderId="24" xfId="0" applyNumberFormat="1" applyFont="1" applyBorder="1" applyAlignment="1" applyProtection="1">
      <alignment horizontal="center" vertical="center"/>
    </xf>
    <xf numFmtId="15" fontId="0" fillId="0" borderId="24" xfId="0" applyNumberFormat="1" applyFont="1" applyFill="1" applyBorder="1" applyAlignment="1" applyProtection="1">
      <alignment horizontal="center" vertical="center"/>
      <protection locked="0"/>
    </xf>
    <xf numFmtId="0" fontId="0" fillId="0" borderId="24" xfId="0" applyNumberFormat="1" applyFont="1" applyFill="1" applyBorder="1" applyAlignment="1" applyProtection="1">
      <alignment horizontal="center" vertical="center"/>
      <protection locked="0"/>
    </xf>
    <xf numFmtId="165" fontId="18" fillId="0" borderId="24" xfId="0" applyNumberFormat="1" applyFont="1" applyBorder="1" applyProtection="1"/>
    <xf numFmtId="15" fontId="18" fillId="0" borderId="24" xfId="0" applyNumberFormat="1" applyFont="1" applyBorder="1" applyProtection="1"/>
    <xf numFmtId="0" fontId="15" fillId="0" borderId="24" xfId="2" applyFill="1" applyBorder="1"/>
    <xf numFmtId="49" fontId="15" fillId="0" borderId="24" xfId="2" applyNumberFormat="1" applyFill="1" applyBorder="1"/>
    <xf numFmtId="49" fontId="15" fillId="0" borderId="24" xfId="2" quotePrefix="1" applyNumberFormat="1" applyFill="1" applyBorder="1"/>
    <xf numFmtId="0" fontId="15" fillId="0" borderId="24" xfId="2" quotePrefix="1" applyFill="1" applyBorder="1" applyAlignment="1">
      <alignment horizontal="left"/>
    </xf>
    <xf numFmtId="0" fontId="15" fillId="0" borderId="24" xfId="2" applyNumberFormat="1" applyFont="1" applyBorder="1" applyAlignment="1"/>
    <xf numFmtId="0" fontId="15" fillId="0" borderId="24" xfId="2" quotePrefix="1" applyFill="1" applyBorder="1"/>
    <xf numFmtId="166" fontId="15" fillId="0" borderId="24" xfId="2" applyNumberFormat="1" applyFill="1" applyBorder="1"/>
    <xf numFmtId="167" fontId="15" fillId="0" borderId="24" xfId="2" applyNumberFormat="1" applyFill="1" applyBorder="1"/>
    <xf numFmtId="164" fontId="15" fillId="0" borderId="24" xfId="2" applyNumberFormat="1" applyFill="1" applyBorder="1"/>
    <xf numFmtId="0" fontId="0" fillId="6" borderId="62" xfId="0" applyNumberFormat="1" applyFont="1" applyFill="1" applyBorder="1" applyAlignment="1" applyProtection="1">
      <alignment vertical="center" wrapText="1"/>
    </xf>
    <xf numFmtId="0" fontId="0" fillId="0" borderId="63" xfId="0" applyBorder="1"/>
    <xf numFmtId="0" fontId="0" fillId="0" borderId="0" xfId="0" applyBorder="1"/>
    <xf numFmtId="0" fontId="0" fillId="0" borderId="64" xfId="0" applyBorder="1"/>
    <xf numFmtId="0" fontId="0" fillId="0" borderId="66" xfId="0" applyBorder="1"/>
    <xf numFmtId="0" fontId="0" fillId="0" borderId="67" xfId="0" applyBorder="1"/>
    <xf numFmtId="0" fontId="0" fillId="0" borderId="68" xfId="0" applyBorder="1"/>
    <xf numFmtId="0" fontId="0" fillId="0" borderId="65" xfId="0" applyBorder="1"/>
    <xf numFmtId="0" fontId="0" fillId="0" borderId="0" xfId="0" applyAlignment="1">
      <alignment wrapText="1"/>
    </xf>
    <xf numFmtId="2" fontId="0" fillId="0" borderId="0" xfId="0" applyNumberFormat="1"/>
    <xf numFmtId="0" fontId="0" fillId="0" borderId="0" xfId="0" applyNumberFormat="1"/>
    <xf numFmtId="49" fontId="25" fillId="0" borderId="0" xfId="0" applyNumberFormat="1" applyFont="1" applyProtection="1"/>
    <xf numFmtId="0" fontId="0" fillId="17" borderId="22" xfId="0" applyFill="1" applyBorder="1" applyAlignment="1"/>
    <xf numFmtId="0" fontId="0" fillId="17" borderId="22" xfId="0" applyFill="1" applyBorder="1"/>
    <xf numFmtId="0" fontId="0" fillId="17" borderId="22" xfId="0" applyFill="1" applyBorder="1" applyAlignment="1"/>
    <xf numFmtId="49" fontId="0" fillId="6" borderId="74" xfId="0" applyNumberFormat="1" applyFont="1" applyFill="1" applyBorder="1" applyAlignment="1" applyProtection="1">
      <alignment horizontal="center" vertical="center"/>
    </xf>
    <xf numFmtId="49" fontId="0" fillId="2" borderId="73" xfId="0" applyNumberFormat="1" applyFont="1" applyFill="1" applyBorder="1" applyAlignment="1" applyProtection="1">
      <alignment horizontal="center" vertical="center"/>
    </xf>
    <xf numFmtId="0" fontId="0" fillId="17" borderId="22" xfId="0" applyFill="1" applyBorder="1" applyAlignment="1"/>
    <xf numFmtId="0" fontId="0" fillId="2" borderId="0" xfId="0" applyFill="1" applyBorder="1" applyAlignment="1">
      <alignment horizontal="center"/>
    </xf>
    <xf numFmtId="0" fontId="14" fillId="6" borderId="7" xfId="1" applyFill="1" applyBorder="1" applyAlignment="1" applyProtection="1">
      <alignment horizontal="center" vertical="center"/>
    </xf>
    <xf numFmtId="0" fontId="0" fillId="0" borderId="0" xfId="0" applyAlignment="1"/>
    <xf numFmtId="0" fontId="19" fillId="6" borderId="7" xfId="0" applyFont="1" applyFill="1" applyBorder="1" applyAlignment="1" applyProtection="1">
      <alignment vertical="center"/>
    </xf>
    <xf numFmtId="0" fontId="0" fillId="0" borderId="0" xfId="0"/>
    <xf numFmtId="0" fontId="14" fillId="6" borderId="3" xfId="1" applyFill="1" applyBorder="1" applyAlignment="1" applyProtection="1">
      <alignment horizontal="center" vertical="center"/>
    </xf>
    <xf numFmtId="0" fontId="0" fillId="6" borderId="22" xfId="4" applyNumberFormat="1" applyFont="1" applyFill="1" applyBorder="1" applyAlignment="1" applyProtection="1">
      <alignment horizontal="center" vertical="center" wrapText="1"/>
      <protection locked="0" hidden="1"/>
    </xf>
    <xf numFmtId="0" fontId="57" fillId="0" borderId="0" xfId="2" applyFont="1"/>
    <xf numFmtId="0" fontId="0" fillId="0" borderId="78" xfId="0" applyFont="1" applyBorder="1" applyProtection="1"/>
    <xf numFmtId="49" fontId="15" fillId="0" borderId="0" xfId="2" applyNumberFormat="1"/>
    <xf numFmtId="0" fontId="0" fillId="17" borderId="22" xfId="0" applyFill="1" applyBorder="1" applyAlignment="1"/>
    <xf numFmtId="0" fontId="0" fillId="2" borderId="0" xfId="0" applyFill="1"/>
    <xf numFmtId="0" fontId="0" fillId="2" borderId="0" xfId="0" applyFill="1" applyAlignment="1">
      <alignment shrinkToFit="1"/>
    </xf>
    <xf numFmtId="0" fontId="0" fillId="0" borderId="0" xfId="0" applyProtection="1">
      <protection hidden="1"/>
    </xf>
    <xf numFmtId="0" fontId="0" fillId="0" borderId="0" xfId="0"/>
    <xf numFmtId="0" fontId="0" fillId="0" borderId="0" xfId="0" applyBorder="1"/>
    <xf numFmtId="4" fontId="17" fillId="0" borderId="22" xfId="0" applyNumberFormat="1" applyFont="1" applyFill="1" applyBorder="1" applyAlignment="1" applyProtection="1">
      <alignment horizontal="center" vertical="center" wrapText="1"/>
      <protection locked="0"/>
    </xf>
    <xf numFmtId="4" fontId="0" fillId="0" borderId="22" xfId="0" applyNumberFormat="1" applyFont="1" applyBorder="1" applyAlignment="1" applyProtection="1">
      <alignment horizontal="center" vertical="center"/>
      <protection locked="0"/>
    </xf>
    <xf numFmtId="0" fontId="58" fillId="0" borderId="0" xfId="0" applyFont="1"/>
    <xf numFmtId="3" fontId="0" fillId="0" borderId="22" xfId="0" applyNumberFormat="1" applyBorder="1" applyAlignment="1" applyProtection="1">
      <alignment horizontal="center" vertical="center"/>
      <protection locked="0"/>
    </xf>
    <xf numFmtId="0" fontId="30" fillId="20" borderId="0" xfId="0" applyFont="1" applyFill="1" applyBorder="1" applyAlignment="1">
      <alignment horizontal="center" vertical="center" wrapText="1"/>
    </xf>
    <xf numFmtId="0" fontId="17" fillId="2" borderId="0" xfId="0" applyFont="1" applyFill="1"/>
    <xf numFmtId="0" fontId="0" fillId="0" borderId="22" xfId="0" applyBorder="1" applyAlignment="1" applyProtection="1">
      <alignment horizontal="center" vertical="center" wrapText="1"/>
      <protection locked="0"/>
    </xf>
    <xf numFmtId="0" fontId="0" fillId="0" borderId="22" xfId="0" applyBorder="1" applyAlignment="1" applyProtection="1">
      <alignment horizontal="left" vertical="center" wrapText="1"/>
      <protection locked="0"/>
    </xf>
    <xf numFmtId="0" fontId="0" fillId="0" borderId="22" xfId="0" applyBorder="1" applyAlignment="1" applyProtection="1">
      <alignment horizontal="left" vertical="center"/>
      <protection locked="0"/>
    </xf>
    <xf numFmtId="4" fontId="0" fillId="2" borderId="22" xfId="0" applyNumberFormat="1" applyFill="1" applyBorder="1" applyAlignment="1" applyProtection="1">
      <alignment horizontal="center" vertical="center" shrinkToFit="1"/>
      <protection locked="0"/>
    </xf>
    <xf numFmtId="0" fontId="18" fillId="0" borderId="66" xfId="0" applyFont="1" applyBorder="1"/>
    <xf numFmtId="0" fontId="0" fillId="0" borderId="0" xfId="0"/>
    <xf numFmtId="0" fontId="18" fillId="0" borderId="0" xfId="0" applyFont="1"/>
    <xf numFmtId="0" fontId="0" fillId="0" borderId="0" xfId="0" applyAlignment="1"/>
    <xf numFmtId="0" fontId="58" fillId="0" borderId="0" xfId="0" applyFont="1"/>
    <xf numFmtId="1" fontId="0" fillId="0" borderId="0" xfId="0" applyNumberFormat="1"/>
    <xf numFmtId="0" fontId="0" fillId="0" borderId="0" xfId="0"/>
    <xf numFmtId="0" fontId="18" fillId="0" borderId="67" xfId="0" applyFont="1" applyBorder="1"/>
    <xf numFmtId="0" fontId="18" fillId="0" borderId="0" xfId="0" applyFont="1" applyProtection="1">
      <protection hidden="1"/>
    </xf>
    <xf numFmtId="15" fontId="0" fillId="2" borderId="11" xfId="0" applyNumberFormat="1" applyFont="1" applyFill="1" applyBorder="1" applyAlignment="1" applyProtection="1">
      <alignment horizontal="center" vertical="center"/>
      <protection locked="0"/>
    </xf>
    <xf numFmtId="0" fontId="0" fillId="0" borderId="0" xfId="0" applyAlignment="1">
      <alignment horizontal="center"/>
    </xf>
    <xf numFmtId="0" fontId="23" fillId="2" borderId="0" xfId="0" applyFont="1" applyFill="1"/>
    <xf numFmtId="0" fontId="30" fillId="20" borderId="0" xfId="0" applyFont="1" applyFill="1" applyBorder="1" applyAlignment="1">
      <alignment horizontal="center" vertical="center" wrapText="1"/>
    </xf>
    <xf numFmtId="0" fontId="18" fillId="2" borderId="0" xfId="0" applyFont="1" applyFill="1"/>
    <xf numFmtId="0" fontId="23" fillId="2" borderId="0" xfId="0" applyFont="1" applyFill="1" applyProtection="1"/>
    <xf numFmtId="0" fontId="18" fillId="2" borderId="0" xfId="0" applyFont="1" applyFill="1" applyProtection="1"/>
    <xf numFmtId="15" fontId="29" fillId="2" borderId="0" xfId="0" applyNumberFormat="1" applyFont="1" applyFill="1" applyBorder="1" applyAlignment="1" applyProtection="1">
      <alignment horizontal="center" vertical="center"/>
    </xf>
    <xf numFmtId="0" fontId="23" fillId="2" borderId="0" xfId="0" applyFont="1" applyFill="1" applyBorder="1" applyAlignment="1" applyProtection="1"/>
    <xf numFmtId="0" fontId="42" fillId="2" borderId="0" xfId="0" applyFont="1" applyFill="1" applyBorder="1" applyAlignment="1" applyProtection="1">
      <alignment horizontal="center" vertical="center"/>
    </xf>
    <xf numFmtId="0" fontId="17" fillId="2" borderId="0" xfId="0" applyFont="1" applyFill="1" applyAlignment="1">
      <alignment wrapText="1"/>
    </xf>
    <xf numFmtId="49" fontId="23" fillId="8" borderId="30" xfId="0" applyNumberFormat="1" applyFont="1" applyFill="1" applyBorder="1" applyProtection="1"/>
    <xf numFmtId="49" fontId="23" fillId="8" borderId="31" xfId="0" applyNumberFormat="1" applyFont="1" applyFill="1" applyBorder="1" applyProtection="1"/>
    <xf numFmtId="49" fontId="29" fillId="7" borderId="35" xfId="0" applyNumberFormat="1" applyFont="1" applyFill="1" applyBorder="1" applyAlignment="1" applyProtection="1">
      <alignment vertical="center" wrapText="1"/>
    </xf>
    <xf numFmtId="49" fontId="23" fillId="2" borderId="0" xfId="0" applyNumberFormat="1" applyFont="1" applyFill="1" applyProtection="1"/>
    <xf numFmtId="0" fontId="29" fillId="21" borderId="32" xfId="0" applyNumberFormat="1" applyFont="1" applyFill="1" applyBorder="1" applyAlignment="1" applyProtection="1">
      <alignment horizontal="center" vertical="center" wrapText="1"/>
    </xf>
    <xf numFmtId="0" fontId="23" fillId="2" borderId="0" xfId="0" applyFont="1" applyFill="1" applyProtection="1">
      <protection hidden="1"/>
    </xf>
    <xf numFmtId="15" fontId="35" fillId="6" borderId="22" xfId="0" applyNumberFormat="1" applyFont="1" applyFill="1" applyBorder="1" applyAlignment="1" applyProtection="1">
      <alignment horizontal="center" vertical="center" wrapText="1"/>
      <protection hidden="1"/>
    </xf>
    <xf numFmtId="0" fontId="18" fillId="2" borderId="0" xfId="0" applyFont="1" applyFill="1" applyProtection="1">
      <protection hidden="1"/>
    </xf>
    <xf numFmtId="15" fontId="27" fillId="2" borderId="0" xfId="0" applyNumberFormat="1" applyFont="1" applyFill="1" applyBorder="1" applyAlignment="1" applyProtection="1">
      <alignment horizontal="center" vertical="center" wrapText="1"/>
      <protection hidden="1"/>
    </xf>
    <xf numFmtId="0" fontId="0" fillId="17" borderId="22" xfId="0" applyFill="1" applyBorder="1" applyAlignment="1">
      <alignment horizontal="center"/>
    </xf>
    <xf numFmtId="0" fontId="0" fillId="0" borderId="0" xfId="0" applyFont="1" applyFill="1" applyAlignment="1" applyProtection="1">
      <alignment horizontal="center" wrapText="1"/>
    </xf>
    <xf numFmtId="0" fontId="60" fillId="22" borderId="22" xfId="0" applyFont="1" applyFill="1" applyBorder="1" applyAlignment="1" applyProtection="1">
      <alignment horizontal="left" vertical="top" wrapText="1"/>
    </xf>
    <xf numFmtId="0" fontId="60" fillId="0" borderId="0" xfId="0" applyFont="1"/>
    <xf numFmtId="0" fontId="60" fillId="0" borderId="0" xfId="0" applyNumberFormat="1" applyFont="1" applyProtection="1"/>
    <xf numFmtId="0" fontId="0" fillId="4" borderId="6" xfId="0" quotePrefix="1" applyFont="1" applyFill="1" applyBorder="1" applyAlignment="1" applyProtection="1">
      <alignment horizontal="center" vertical="center" wrapText="1"/>
    </xf>
    <xf numFmtId="0" fontId="19" fillId="6" borderId="7" xfId="0" applyFont="1" applyFill="1" applyBorder="1" applyAlignment="1" applyProtection="1">
      <alignment vertical="center"/>
      <protection hidden="1"/>
    </xf>
    <xf numFmtId="0" fontId="19" fillId="2" borderId="16" xfId="0" applyNumberFormat="1" applyFont="1" applyFill="1" applyBorder="1" applyAlignment="1" applyProtection="1">
      <alignment vertical="center"/>
    </xf>
    <xf numFmtId="17" fontId="0" fillId="4" borderId="6" xfId="0" applyNumberFormat="1" applyFont="1" applyFill="1" applyBorder="1" applyAlignment="1" applyProtection="1">
      <alignment horizontal="center" vertical="center" wrapText="1"/>
    </xf>
    <xf numFmtId="0" fontId="0" fillId="0" borderId="0" xfId="0"/>
    <xf numFmtId="0" fontId="0" fillId="0" borderId="0" xfId="0"/>
    <xf numFmtId="0" fontId="60" fillId="22" borderId="22" xfId="0" applyFont="1" applyFill="1" applyBorder="1" applyAlignment="1" applyProtection="1">
      <alignment horizontal="left" vertical="top" wrapText="1"/>
      <protection locked="0"/>
    </xf>
    <xf numFmtId="0" fontId="0" fillId="0" borderId="0" xfId="0"/>
    <xf numFmtId="0" fontId="19" fillId="4" borderId="4" xfId="0" applyFont="1" applyFill="1" applyBorder="1" applyAlignment="1" applyProtection="1">
      <alignment horizontal="center" vertical="center"/>
    </xf>
    <xf numFmtId="0" fontId="29" fillId="9" borderId="25" xfId="0" applyNumberFormat="1" applyFont="1" applyFill="1" applyBorder="1" applyAlignment="1">
      <alignment horizontal="center" vertical="center" wrapText="1"/>
    </xf>
    <xf numFmtId="0" fontId="0" fillId="0" borderId="0" xfId="0"/>
    <xf numFmtId="0" fontId="20" fillId="4" borderId="22" xfId="0" applyFont="1" applyFill="1" applyBorder="1" applyAlignment="1" applyProtection="1">
      <alignment horizontal="center" vertical="center" wrapText="1"/>
    </xf>
    <xf numFmtId="0" fontId="29" fillId="13" borderId="44" xfId="0" applyNumberFormat="1" applyFont="1" applyFill="1" applyBorder="1" applyAlignment="1">
      <alignment horizontal="center" vertical="center" wrapText="1"/>
    </xf>
    <xf numFmtId="0" fontId="29" fillId="9" borderId="44" xfId="0" applyNumberFormat="1" applyFont="1" applyFill="1" applyBorder="1" applyAlignment="1">
      <alignment horizontal="center" vertical="center" wrapText="1"/>
    </xf>
    <xf numFmtId="0" fontId="29" fillId="9" borderId="49" xfId="0" applyNumberFormat="1" applyFont="1" applyFill="1" applyBorder="1" applyAlignment="1">
      <alignment horizontal="center" vertical="center" wrapText="1"/>
    </xf>
    <xf numFmtId="0" fontId="29" fillId="9" borderId="45" xfId="0" applyNumberFormat="1" applyFont="1" applyFill="1" applyBorder="1" applyAlignment="1" applyProtection="1">
      <alignment horizontal="center" vertical="center" wrapText="1"/>
      <protection hidden="1"/>
    </xf>
    <xf numFmtId="0" fontId="30" fillId="9" borderId="44" xfId="0" applyNumberFormat="1" applyFont="1" applyFill="1" applyBorder="1" applyAlignment="1" applyProtection="1">
      <alignment horizontal="center" vertical="center" wrapText="1"/>
      <protection hidden="1"/>
    </xf>
    <xf numFmtId="0" fontId="29" fillId="9" borderId="44" xfId="0" applyNumberFormat="1" applyFont="1" applyFill="1" applyBorder="1" applyAlignment="1" applyProtection="1">
      <alignment horizontal="center" vertical="center" wrapText="1"/>
      <protection hidden="1"/>
    </xf>
    <xf numFmtId="0" fontId="29" fillId="13" borderId="44" xfId="0" applyNumberFormat="1" applyFont="1" applyFill="1" applyBorder="1" applyAlignment="1" applyProtection="1">
      <alignment horizontal="center" vertical="center" wrapText="1"/>
      <protection hidden="1"/>
    </xf>
    <xf numFmtId="0" fontId="29" fillId="9" borderId="107" xfId="0" applyNumberFormat="1" applyFont="1" applyFill="1" applyBorder="1" applyAlignment="1" applyProtection="1">
      <alignment horizontal="center" vertical="center" wrapText="1"/>
      <protection hidden="1"/>
    </xf>
    <xf numFmtId="0" fontId="29" fillId="9" borderId="108" xfId="0" applyNumberFormat="1" applyFont="1" applyFill="1" applyBorder="1" applyAlignment="1" applyProtection="1">
      <alignment horizontal="center" vertical="center" wrapText="1"/>
      <protection hidden="1"/>
    </xf>
    <xf numFmtId="0" fontId="29" fillId="14" borderId="50" xfId="0" applyNumberFormat="1" applyFont="1" applyFill="1" applyBorder="1" applyAlignment="1" applyProtection="1">
      <alignment horizontal="center" vertical="center" wrapText="1"/>
      <protection hidden="1"/>
    </xf>
    <xf numFmtId="0" fontId="29" fillId="14" borderId="13" xfId="0" applyNumberFormat="1" applyFont="1" applyFill="1" applyBorder="1" applyAlignment="1" applyProtection="1">
      <alignment horizontal="center" vertical="center" wrapText="1"/>
      <protection hidden="1"/>
    </xf>
    <xf numFmtId="0" fontId="29" fillId="14" borderId="13" xfId="0" quotePrefix="1" applyNumberFormat="1" applyFont="1" applyFill="1" applyBorder="1" applyAlignment="1" applyProtection="1">
      <alignment horizontal="center" vertical="center" wrapText="1"/>
      <protection hidden="1"/>
    </xf>
    <xf numFmtId="0" fontId="29" fillId="14" borderId="79" xfId="0" applyNumberFormat="1" applyFont="1" applyFill="1" applyBorder="1" applyAlignment="1" applyProtection="1">
      <alignment vertical="center" wrapText="1"/>
      <protection hidden="1"/>
    </xf>
    <xf numFmtId="171" fontId="61" fillId="2" borderId="0" xfId="0" applyNumberFormat="1" applyFont="1" applyFill="1" applyBorder="1" applyAlignment="1" applyProtection="1">
      <alignment horizontal="right" vertical="center"/>
    </xf>
    <xf numFmtId="0" fontId="20" fillId="4" borderId="22" xfId="0" applyNumberFormat="1" applyFont="1" applyFill="1" applyBorder="1" applyAlignment="1" applyProtection="1">
      <alignment horizontal="center" vertical="center" wrapText="1"/>
      <protection hidden="1"/>
    </xf>
    <xf numFmtId="0" fontId="20" fillId="4" borderId="56" xfId="0" applyNumberFormat="1"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0" fillId="17" borderId="51" xfId="0" applyFill="1" applyBorder="1"/>
    <xf numFmtId="0" fontId="0" fillId="0" borderId="0" xfId="0" applyBorder="1" applyAlignment="1">
      <alignment horizontal="center" vertical="center"/>
    </xf>
    <xf numFmtId="0" fontId="51" fillId="0" borderId="76" xfId="0" applyFont="1" applyBorder="1" applyAlignment="1">
      <alignment horizontal="left" vertical="center" indent="1"/>
    </xf>
    <xf numFmtId="0" fontId="11" fillId="0" borderId="75" xfId="0" applyFont="1" applyBorder="1"/>
    <xf numFmtId="0" fontId="11" fillId="0" borderId="75" xfId="0" applyFont="1" applyBorder="1" applyAlignment="1">
      <alignment wrapText="1"/>
    </xf>
    <xf numFmtId="0" fontId="51" fillId="0" borderId="76" xfId="0" applyFont="1" applyBorder="1" applyAlignment="1">
      <alignment horizontal="left" vertical="center" wrapText="1" indent="2"/>
    </xf>
    <xf numFmtId="0" fontId="48" fillId="0" borderId="76" xfId="0" applyFont="1" applyBorder="1" applyAlignment="1">
      <alignment horizontal="left" vertical="center" wrapText="1" indent="2"/>
    </xf>
    <xf numFmtId="0" fontId="11" fillId="0" borderId="0" xfId="0" applyFont="1"/>
    <xf numFmtId="0" fontId="51" fillId="0" borderId="76" xfId="0" applyFont="1" applyBorder="1" applyAlignment="1">
      <alignment horizontal="left" vertical="center" wrapText="1" indent="1"/>
    </xf>
    <xf numFmtId="0" fontId="51" fillId="0" borderId="75" xfId="0" applyFont="1" applyBorder="1" applyAlignment="1">
      <alignment horizontal="left" vertical="center" indent="1"/>
    </xf>
    <xf numFmtId="0" fontId="49" fillId="0" borderId="77" xfId="0" applyFont="1" applyBorder="1" applyAlignment="1">
      <alignment horizontal="left" vertical="center" indent="1"/>
    </xf>
    <xf numFmtId="0" fontId="10" fillId="0" borderId="0" xfId="9"/>
    <xf numFmtId="0" fontId="10" fillId="0" borderId="0" xfId="9" quotePrefix="1" applyAlignment="1">
      <alignment wrapText="1"/>
    </xf>
    <xf numFmtId="0" fontId="10" fillId="0" borderId="0" xfId="9" applyAlignment="1">
      <alignment wrapText="1"/>
    </xf>
    <xf numFmtId="0" fontId="10" fillId="0" borderId="0" xfId="9" quotePrefix="1"/>
    <xf numFmtId="0" fontId="10" fillId="25" borderId="0" xfId="9" applyFill="1"/>
    <xf numFmtId="0" fontId="62" fillId="0" borderId="0" xfId="9" applyFont="1"/>
    <xf numFmtId="0" fontId="69" fillId="0" borderId="0" xfId="9" applyFont="1"/>
    <xf numFmtId="0" fontId="10" fillId="0" borderId="0" xfId="9" applyFill="1"/>
    <xf numFmtId="0" fontId="69" fillId="0" borderId="0" xfId="9" applyFont="1" applyAlignment="1">
      <alignment wrapText="1"/>
    </xf>
    <xf numFmtId="0" fontId="69" fillId="0" borderId="0" xfId="9" quotePrefix="1" applyFont="1"/>
    <xf numFmtId="0" fontId="11" fillId="0" borderId="0" xfId="9" applyFont="1"/>
    <xf numFmtId="0" fontId="69" fillId="0" borderId="0" xfId="9" applyFont="1" applyAlignment="1"/>
    <xf numFmtId="0" fontId="69" fillId="25" borderId="0" xfId="9" applyFont="1" applyFill="1"/>
    <xf numFmtId="0" fontId="9" fillId="0" borderId="0" xfId="9" applyFont="1"/>
    <xf numFmtId="0" fontId="8" fillId="25" borderId="0" xfId="9" applyFont="1" applyFill="1"/>
    <xf numFmtId="0" fontId="31" fillId="14" borderId="0" xfId="0" applyFont="1" applyFill="1" applyBorder="1" applyAlignment="1" applyProtection="1">
      <alignment horizontal="center" vertical="center" wrapText="1"/>
    </xf>
    <xf numFmtId="0" fontId="30" fillId="9" borderId="0" xfId="0" applyFont="1" applyFill="1" applyBorder="1" applyAlignment="1">
      <alignment horizontal="center" vertical="center" wrapText="1"/>
    </xf>
    <xf numFmtId="0" fontId="31" fillId="14" borderId="0" xfId="0" applyNumberFormat="1" applyFont="1" applyFill="1" applyBorder="1" applyAlignment="1" applyProtection="1">
      <alignment horizontal="center" vertical="center" wrapText="1"/>
      <protection hidden="1"/>
    </xf>
    <xf numFmtId="0" fontId="38" fillId="3" borderId="0" xfId="0" applyFont="1" applyFill="1" applyBorder="1" applyAlignment="1" applyProtection="1">
      <alignment horizontal="center" vertical="center"/>
    </xf>
    <xf numFmtId="0" fontId="32" fillId="6" borderId="0" xfId="0" applyNumberFormat="1" applyFont="1" applyFill="1" applyBorder="1" applyAlignment="1" applyProtection="1">
      <alignment horizontal="left" vertical="center" wrapText="1"/>
    </xf>
    <xf numFmtId="0" fontId="29" fillId="21" borderId="0" xfId="0" applyNumberFormat="1" applyFont="1" applyFill="1" applyBorder="1" applyAlignment="1" applyProtection="1">
      <alignment horizontal="center" vertical="center" wrapText="1"/>
    </xf>
    <xf numFmtId="0" fontId="29" fillId="9" borderId="0" xfId="0" applyNumberFormat="1" applyFont="1" applyFill="1" applyBorder="1" applyAlignment="1">
      <alignment horizontal="center" vertical="center" wrapText="1"/>
    </xf>
    <xf numFmtId="0" fontId="36" fillId="11" borderId="0" xfId="0" applyNumberFormat="1" applyFont="1" applyFill="1" applyBorder="1" applyAlignment="1">
      <alignment horizontal="center" vertical="center" wrapText="1"/>
    </xf>
    <xf numFmtId="49" fontId="36" fillId="2" borderId="0" xfId="0" applyNumberFormat="1" applyFont="1" applyFill="1" applyBorder="1" applyAlignment="1">
      <alignment horizontal="center" vertical="center" wrapText="1"/>
    </xf>
    <xf numFmtId="0" fontId="30" fillId="9" borderId="0" xfId="0" applyNumberFormat="1" applyFont="1" applyFill="1" applyBorder="1" applyAlignment="1" applyProtection="1">
      <alignment horizontal="center" vertical="center" wrapText="1"/>
      <protection hidden="1"/>
    </xf>
    <xf numFmtId="0" fontId="32" fillId="6" borderId="0" xfId="0" applyNumberFormat="1" applyFont="1" applyFill="1" applyBorder="1" applyAlignment="1" applyProtection="1">
      <alignment vertical="center" wrapText="1"/>
    </xf>
    <xf numFmtId="0" fontId="36" fillId="10" borderId="0" xfId="0" applyNumberFormat="1" applyFont="1" applyFill="1" applyBorder="1" applyAlignment="1">
      <alignment horizontal="center" vertical="center" wrapText="1"/>
    </xf>
    <xf numFmtId="49" fontId="36" fillId="2" borderId="0" xfId="0" applyNumberFormat="1" applyFont="1" applyFill="1" applyBorder="1" applyAlignment="1" applyProtection="1">
      <alignment horizontal="center" vertical="center" wrapText="1"/>
    </xf>
    <xf numFmtId="0" fontId="29" fillId="21" borderId="0" xfId="0" applyNumberFormat="1" applyFont="1" applyFill="1" applyBorder="1" applyAlignment="1" applyProtection="1">
      <alignment vertical="center" wrapText="1"/>
    </xf>
    <xf numFmtId="0" fontId="36" fillId="2" borderId="0" xfId="0" applyNumberFormat="1" applyFont="1" applyFill="1" applyBorder="1" applyAlignment="1" applyProtection="1">
      <alignment horizontal="center" vertical="center" wrapText="1"/>
    </xf>
    <xf numFmtId="49" fontId="36" fillId="12" borderId="0" xfId="0" applyNumberFormat="1" applyFont="1" applyFill="1" applyBorder="1" applyAlignment="1" applyProtection="1">
      <alignment horizontal="center" vertical="center" wrapText="1"/>
    </xf>
    <xf numFmtId="49" fontId="0" fillId="16" borderId="0" xfId="0" applyNumberFormat="1" applyFill="1" applyBorder="1" applyAlignment="1">
      <alignment horizontal="center"/>
    </xf>
    <xf numFmtId="49" fontId="29" fillId="7" borderId="0" xfId="0" applyNumberFormat="1" applyFont="1" applyFill="1" applyBorder="1" applyAlignment="1" applyProtection="1">
      <alignment vertical="center"/>
    </xf>
    <xf numFmtId="0" fontId="29" fillId="14" borderId="0" xfId="0" applyNumberFormat="1" applyFont="1" applyFill="1" applyBorder="1" applyAlignment="1" applyProtection="1">
      <alignment horizontal="center" vertical="center" wrapText="1"/>
      <protection hidden="1"/>
    </xf>
    <xf numFmtId="0" fontId="0" fillId="0" borderId="0" xfId="0" applyNumberFormat="1" applyBorder="1" applyAlignment="1">
      <alignment horizontal="center"/>
    </xf>
    <xf numFmtId="49" fontId="0" fillId="0" borderId="0" xfId="0" applyNumberFormat="1" applyBorder="1" applyAlignment="1">
      <alignment horizontal="center"/>
    </xf>
    <xf numFmtId="49" fontId="36" fillId="2" borderId="0" xfId="0" applyNumberFormat="1" applyFont="1" applyFill="1" applyBorder="1" applyAlignment="1" applyProtection="1">
      <alignment horizontal="center" vertical="center"/>
    </xf>
    <xf numFmtId="0" fontId="11" fillId="0" borderId="0" xfId="11"/>
    <xf numFmtId="0" fontId="11" fillId="0" borderId="0" xfId="11" applyAlignment="1">
      <alignment vertical="top"/>
    </xf>
    <xf numFmtId="0" fontId="11" fillId="0" borderId="0" xfId="11" applyAlignment="1">
      <alignment wrapText="1"/>
    </xf>
    <xf numFmtId="0" fontId="49" fillId="0" borderId="17" xfId="11" applyFont="1" applyBorder="1" applyAlignment="1">
      <alignment horizontal="left" vertical="center" wrapText="1" indent="1"/>
    </xf>
    <xf numFmtId="0" fontId="49" fillId="0" borderId="14" xfId="11" applyFont="1" applyBorder="1" applyAlignment="1">
      <alignment horizontal="left" vertical="center" wrapText="1" indent="1"/>
    </xf>
    <xf numFmtId="0" fontId="52" fillId="0" borderId="14" xfId="11" applyFont="1" applyBorder="1" applyAlignment="1">
      <alignment vertical="center" wrapText="1"/>
    </xf>
    <xf numFmtId="0" fontId="48" fillId="0" borderId="17" xfId="11" applyFont="1" applyBorder="1" applyAlignment="1">
      <alignment horizontal="left" vertical="center" wrapText="1" indent="1"/>
    </xf>
    <xf numFmtId="0" fontId="48" fillId="0" borderId="14" xfId="11" applyFont="1" applyBorder="1" applyAlignment="1">
      <alignment horizontal="left" vertical="center" wrapText="1" indent="1"/>
    </xf>
    <xf numFmtId="0" fontId="48" fillId="0" borderId="77" xfId="11" applyFont="1" applyBorder="1" applyAlignment="1">
      <alignment horizontal="left" vertical="center" wrapText="1" indent="1"/>
    </xf>
    <xf numFmtId="0" fontId="52" fillId="0" borderId="14" xfId="11" applyFont="1" applyBorder="1" applyAlignment="1">
      <alignment horizontal="left" vertical="center" wrapText="1"/>
    </xf>
    <xf numFmtId="0" fontId="49" fillId="0" borderId="75" xfId="11" applyFont="1" applyBorder="1" applyAlignment="1">
      <alignment horizontal="left" vertical="center" wrapText="1" indent="1"/>
    </xf>
    <xf numFmtId="0" fontId="53" fillId="0" borderId="14" xfId="11" applyFont="1" applyBorder="1" applyAlignment="1">
      <alignment vertical="center" wrapText="1"/>
    </xf>
    <xf numFmtId="0" fontId="51" fillId="0" borderId="14" xfId="11" applyFont="1" applyBorder="1" applyAlignment="1">
      <alignment vertical="center" wrapText="1"/>
    </xf>
    <xf numFmtId="0" fontId="64" fillId="0" borderId="14" xfId="11" applyFont="1" applyBorder="1" applyAlignment="1">
      <alignment vertical="center" wrapText="1"/>
    </xf>
    <xf numFmtId="0" fontId="53" fillId="0" borderId="17" xfId="11" applyFont="1" applyBorder="1" applyAlignment="1">
      <alignment vertical="center" wrapText="1"/>
    </xf>
    <xf numFmtId="0" fontId="51" fillId="0" borderId="75" xfId="11" applyFont="1" applyBorder="1" applyAlignment="1">
      <alignment vertical="center" wrapText="1"/>
    </xf>
    <xf numFmtId="0" fontId="45" fillId="0" borderId="17" xfId="11" applyFont="1" applyBorder="1" applyAlignment="1">
      <alignment vertical="center" wrapText="1"/>
    </xf>
    <xf numFmtId="0" fontId="51" fillId="0" borderId="76" xfId="11" applyFont="1" applyBorder="1" applyAlignment="1">
      <alignment vertical="center" wrapText="1"/>
    </xf>
    <xf numFmtId="0" fontId="51" fillId="0" borderId="77" xfId="11" applyFont="1" applyBorder="1" applyAlignment="1">
      <alignment vertical="center" wrapText="1"/>
    </xf>
    <xf numFmtId="0" fontId="63" fillId="0" borderId="14" xfId="11" applyFont="1" applyBorder="1" applyAlignment="1">
      <alignment vertical="center" wrapText="1"/>
    </xf>
    <xf numFmtId="0" fontId="63" fillId="0" borderId="17" xfId="11" applyFont="1" applyBorder="1" applyAlignment="1">
      <alignment vertical="center" wrapText="1"/>
    </xf>
    <xf numFmtId="0" fontId="45" fillId="0" borderId="0" xfId="11" applyFont="1" applyAlignment="1">
      <alignment vertical="center"/>
    </xf>
    <xf numFmtId="0" fontId="51" fillId="0" borderId="14" xfId="11" applyFont="1" applyBorder="1" applyAlignment="1">
      <alignment horizontal="left" vertical="center" wrapText="1"/>
    </xf>
    <xf numFmtId="0" fontId="63" fillId="0" borderId="7" xfId="11" applyFont="1" applyBorder="1" applyAlignment="1">
      <alignment vertical="center" wrapText="1"/>
    </xf>
    <xf numFmtId="0" fontId="51" fillId="0" borderId="17" xfId="11" applyFont="1" applyBorder="1" applyAlignment="1">
      <alignment vertical="center" wrapText="1"/>
    </xf>
    <xf numFmtId="0" fontId="51" fillId="0" borderId="0" xfId="0" applyFont="1" applyAlignment="1">
      <alignment horizontal="left" vertical="center" indent="4"/>
    </xf>
    <xf numFmtId="0" fontId="63" fillId="0" borderId="75" xfId="11" applyFont="1" applyBorder="1" applyAlignment="1">
      <alignment vertical="center" wrapText="1"/>
    </xf>
    <xf numFmtId="0" fontId="49" fillId="0" borderId="76" xfId="0" applyFont="1" applyBorder="1" applyAlignment="1">
      <alignment horizontal="left" vertical="center" indent="1"/>
    </xf>
    <xf numFmtId="0" fontId="72" fillId="0" borderId="76" xfId="0" applyFont="1" applyBorder="1" applyAlignment="1">
      <alignment horizontal="left" vertical="center" wrapText="1" indent="1"/>
    </xf>
    <xf numFmtId="0" fontId="49" fillId="0" borderId="76" xfId="0" applyFont="1" applyBorder="1" applyAlignment="1">
      <alignment horizontal="left" vertical="center" wrapText="1" indent="1"/>
    </xf>
    <xf numFmtId="0" fontId="51" fillId="0" borderId="76" xfId="0" applyFont="1" applyBorder="1" applyAlignment="1">
      <alignment horizontal="left" vertical="center" indent="2"/>
    </xf>
    <xf numFmtId="0" fontId="51" fillId="0" borderId="0" xfId="0" applyFont="1" applyAlignment="1">
      <alignment horizontal="left" vertical="center" wrapText="1" indent="4"/>
    </xf>
    <xf numFmtId="0" fontId="19" fillId="4" borderId="4" xfId="0" applyFont="1" applyFill="1" applyBorder="1" applyAlignment="1" applyProtection="1">
      <alignment horizontal="center" vertical="center" wrapText="1"/>
    </xf>
    <xf numFmtId="0" fontId="0" fillId="0" borderId="0" xfId="0" applyAlignment="1">
      <alignment horizont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wrapText="1"/>
    </xf>
    <xf numFmtId="0" fontId="0" fillId="2" borderId="0" xfId="0" applyFill="1" applyBorder="1" applyAlignment="1" applyProtection="1">
      <alignment horizontal="center" vertical="center" wrapText="1"/>
    </xf>
    <xf numFmtId="4" fontId="0" fillId="2" borderId="0" xfId="0" applyNumberFormat="1" applyFill="1" applyBorder="1" applyAlignment="1" applyProtection="1">
      <alignment horizontal="center" vertical="center"/>
      <protection locked="0"/>
    </xf>
    <xf numFmtId="10" fontId="0" fillId="2" borderId="0" xfId="0" applyNumberForma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0" xfId="0" applyFill="1" applyBorder="1" applyAlignment="1" applyProtection="1">
      <alignment horizontal="center" vertical="center" wrapText="1"/>
      <protection locked="0"/>
    </xf>
    <xf numFmtId="0" fontId="0" fillId="2" borderId="0" xfId="0" applyFill="1" applyBorder="1" applyAlignment="1" applyProtection="1">
      <alignment horizontal="left" vertical="center" wrapText="1"/>
      <protection locked="0"/>
    </xf>
    <xf numFmtId="0" fontId="0" fillId="26" borderId="0" xfId="0" applyFill="1"/>
    <xf numFmtId="0" fontId="0" fillId="0" borderId="67" xfId="0" applyFill="1" applyBorder="1"/>
    <xf numFmtId="0" fontId="0" fillId="0" borderId="23" xfId="0" applyBorder="1" applyAlignment="1" applyProtection="1">
      <alignment vertical="center" wrapText="1"/>
      <protection locked="0"/>
    </xf>
    <xf numFmtId="0" fontId="0" fillId="0" borderId="0" xfId="0" applyAlignment="1">
      <alignment horizontal="center"/>
    </xf>
    <xf numFmtId="0" fontId="0" fillId="0" borderId="23" xfId="0" applyBorder="1" applyAlignment="1" applyProtection="1">
      <alignment vertical="center" wrapText="1"/>
      <protection locked="0"/>
    </xf>
    <xf numFmtId="0" fontId="75" fillId="2" borderId="0" xfId="0" applyFont="1" applyFill="1" applyBorder="1" applyAlignment="1" applyProtection="1">
      <alignment horizontal="center" vertical="center"/>
      <protection hidden="1"/>
    </xf>
    <xf numFmtId="0" fontId="11" fillId="0" borderId="14" xfId="11" applyBorder="1" applyAlignment="1">
      <alignment vertical="center" wrapText="1"/>
    </xf>
    <xf numFmtId="0" fontId="11" fillId="0" borderId="75" xfId="11" applyBorder="1" applyAlignment="1">
      <alignment vertical="center" wrapText="1"/>
    </xf>
    <xf numFmtId="0" fontId="11" fillId="0" borderId="77" xfId="11" applyBorder="1" applyAlignment="1">
      <alignment vertical="center" wrapText="1"/>
    </xf>
    <xf numFmtId="0" fontId="11" fillId="0" borderId="7" xfId="11" applyBorder="1" applyAlignment="1">
      <alignment vertical="center" wrapText="1"/>
    </xf>
    <xf numFmtId="0" fontId="11" fillId="0" borderId="76" xfId="11" applyBorder="1" applyAlignment="1">
      <alignment vertical="center" wrapText="1"/>
    </xf>
    <xf numFmtId="0" fontId="45" fillId="0" borderId="1" xfId="11" applyFont="1" applyBorder="1" applyAlignment="1">
      <alignment vertical="center" wrapText="1"/>
    </xf>
    <xf numFmtId="0" fontId="45" fillId="0" borderId="0" xfId="11" applyFont="1" applyAlignment="1">
      <alignment vertical="center" wrapText="1"/>
    </xf>
    <xf numFmtId="0" fontId="0" fillId="0" borderId="0" xfId="0" applyAlignment="1">
      <alignment horizontal="center"/>
    </xf>
    <xf numFmtId="0" fontId="0" fillId="0" borderId="23" xfId="0" applyBorder="1" applyAlignment="1" applyProtection="1">
      <alignment vertical="center" wrapText="1"/>
      <protection locked="0"/>
    </xf>
    <xf numFmtId="0" fontId="45" fillId="0" borderId="77" xfId="11" applyFont="1" applyBorder="1" applyAlignment="1">
      <alignment vertical="center" wrapText="1"/>
    </xf>
    <xf numFmtId="0" fontId="45" fillId="0" borderId="76" xfId="11" applyFont="1" applyBorder="1" applyAlignment="1">
      <alignment vertical="center" wrapText="1"/>
    </xf>
    <xf numFmtId="0" fontId="45" fillId="0" borderId="75" xfId="11" applyFont="1" applyBorder="1" applyAlignment="1">
      <alignment vertical="center" wrapText="1"/>
    </xf>
    <xf numFmtId="0" fontId="32" fillId="6" borderId="39" xfId="0" applyNumberFormat="1" applyFont="1" applyFill="1" applyBorder="1" applyAlignment="1" applyProtection="1">
      <alignment horizontal="left" vertical="center" wrapText="1"/>
      <protection hidden="1"/>
    </xf>
    <xf numFmtId="0" fontId="29" fillId="9" borderId="25" xfId="0" applyNumberFormat="1" applyFont="1" applyFill="1" applyBorder="1" applyAlignment="1" applyProtection="1">
      <alignment horizontal="center" vertical="center" wrapText="1"/>
      <protection hidden="1"/>
    </xf>
    <xf numFmtId="0" fontId="29" fillId="9" borderId="40" xfId="0" applyNumberFormat="1" applyFont="1" applyFill="1" applyBorder="1" applyAlignment="1" applyProtection="1">
      <alignment horizontal="center" vertical="center" wrapText="1"/>
      <protection hidden="1"/>
    </xf>
    <xf numFmtId="2" fontId="36" fillId="11" borderId="28" xfId="0" applyNumberFormat="1" applyFont="1" applyFill="1" applyBorder="1" applyAlignment="1" applyProtection="1">
      <alignment horizontal="center" vertical="center" wrapText="1"/>
      <protection hidden="1"/>
    </xf>
    <xf numFmtId="49" fontId="36" fillId="11" borderId="28" xfId="0" applyNumberFormat="1" applyFont="1" applyFill="1" applyBorder="1" applyAlignment="1" applyProtection="1">
      <alignment horizontal="center" vertical="center" wrapText="1"/>
      <protection hidden="1"/>
    </xf>
    <xf numFmtId="49" fontId="36" fillId="11" borderId="28" xfId="0" applyNumberFormat="1" applyFont="1" applyFill="1" applyBorder="1" applyAlignment="1" applyProtection="1">
      <alignment vertical="center" wrapText="1"/>
      <protection hidden="1"/>
    </xf>
    <xf numFmtId="0" fontId="36" fillId="11" borderId="28" xfId="0" applyNumberFormat="1" applyFont="1" applyFill="1" applyBorder="1" applyAlignment="1" applyProtection="1">
      <alignment horizontal="center" vertical="center" wrapText="1"/>
      <protection hidden="1"/>
    </xf>
    <xf numFmtId="49" fontId="32" fillId="6" borderId="39" xfId="0" applyNumberFormat="1" applyFont="1" applyFill="1" applyBorder="1" applyAlignment="1" applyProtection="1">
      <alignment horizontal="left" vertical="center" wrapText="1"/>
      <protection hidden="1"/>
    </xf>
    <xf numFmtId="0" fontId="36" fillId="10" borderId="26" xfId="0" applyNumberFormat="1" applyFont="1" applyFill="1" applyBorder="1" applyAlignment="1" applyProtection="1">
      <alignment horizontal="center" vertical="center" wrapText="1"/>
      <protection hidden="1"/>
    </xf>
    <xf numFmtId="0" fontId="36" fillId="10" borderId="26" xfId="0" applyNumberFormat="1" applyFont="1" applyFill="1" applyBorder="1" applyAlignment="1" applyProtection="1">
      <alignment vertical="center" wrapText="1"/>
      <protection hidden="1"/>
    </xf>
    <xf numFmtId="0" fontId="36" fillId="11" borderId="34" xfId="0" applyNumberFormat="1" applyFont="1" applyFill="1" applyBorder="1" applyAlignment="1" applyProtection="1">
      <alignment horizontal="center" vertical="center" wrapText="1"/>
      <protection hidden="1"/>
    </xf>
    <xf numFmtId="49" fontId="23" fillId="8" borderId="0" xfId="0" applyNumberFormat="1" applyFont="1" applyFill="1" applyBorder="1" applyAlignment="1" applyProtection="1">
      <protection hidden="1"/>
    </xf>
    <xf numFmtId="0" fontId="29" fillId="21" borderId="32" xfId="0" applyNumberFormat="1" applyFont="1" applyFill="1" applyBorder="1" applyAlignment="1" applyProtection="1">
      <alignment vertical="center" wrapText="1"/>
      <protection hidden="1"/>
    </xf>
    <xf numFmtId="49" fontId="23" fillId="8" borderId="48" xfId="0" applyNumberFormat="1" applyFont="1" applyFill="1" applyBorder="1" applyAlignment="1" applyProtection="1">
      <protection hidden="1"/>
    </xf>
    <xf numFmtId="49" fontId="23" fillId="8" borderId="47" xfId="0" applyNumberFormat="1" applyFont="1" applyFill="1" applyBorder="1" applyAlignment="1" applyProtection="1">
      <protection hidden="1"/>
    </xf>
    <xf numFmtId="0" fontId="36" fillId="2" borderId="33" xfId="0" applyNumberFormat="1" applyFont="1" applyFill="1" applyBorder="1" applyAlignment="1" applyProtection="1">
      <alignment vertical="center" wrapText="1"/>
      <protection hidden="1"/>
    </xf>
    <xf numFmtId="0" fontId="36" fillId="2" borderId="33" xfId="0" applyNumberFormat="1" applyFont="1" applyFill="1" applyBorder="1" applyAlignment="1" applyProtection="1">
      <alignment horizontal="center" vertical="center" wrapText="1"/>
      <protection hidden="1"/>
    </xf>
    <xf numFmtId="0" fontId="36" fillId="2" borderId="27" xfId="0" applyNumberFormat="1" applyFont="1" applyFill="1" applyBorder="1" applyAlignment="1" applyProtection="1">
      <alignment horizontal="center" vertical="center" wrapText="1"/>
      <protection hidden="1"/>
    </xf>
    <xf numFmtId="0" fontId="36" fillId="15" borderId="28" xfId="0" applyNumberFormat="1" applyFont="1" applyFill="1" applyBorder="1" applyAlignment="1" applyProtection="1">
      <alignment vertical="center" wrapText="1"/>
      <protection hidden="1"/>
    </xf>
    <xf numFmtId="0" fontId="36" fillId="15" borderId="28" xfId="0" applyNumberFormat="1" applyFont="1" applyFill="1" applyBorder="1" applyAlignment="1" applyProtection="1">
      <alignment horizontal="center" vertical="center" wrapText="1"/>
      <protection hidden="1"/>
    </xf>
    <xf numFmtId="49" fontId="36" fillId="12" borderId="33" xfId="0" applyNumberFormat="1" applyFont="1" applyFill="1" applyBorder="1" applyAlignment="1" applyProtection="1">
      <alignment horizontal="center" vertical="center" wrapText="1"/>
      <protection hidden="1"/>
    </xf>
    <xf numFmtId="0" fontId="36" fillId="12" borderId="33" xfId="0" applyNumberFormat="1" applyFont="1" applyFill="1" applyBorder="1" applyAlignment="1" applyProtection="1">
      <alignment vertical="center" wrapText="1"/>
      <protection hidden="1"/>
    </xf>
    <xf numFmtId="0" fontId="36" fillId="12" borderId="33" xfId="0" applyNumberFormat="1" applyFont="1" applyFill="1" applyBorder="1" applyAlignment="1" applyProtection="1">
      <alignment horizontal="center" vertical="center" wrapText="1"/>
      <protection hidden="1"/>
    </xf>
    <xf numFmtId="49" fontId="37" fillId="8" borderId="48" xfId="0" applyNumberFormat="1" applyFont="1" applyFill="1" applyBorder="1" applyAlignment="1" applyProtection="1">
      <protection hidden="1"/>
    </xf>
    <xf numFmtId="49" fontId="37" fillId="8" borderId="47" xfId="0" applyNumberFormat="1" applyFont="1" applyFill="1" applyBorder="1" applyAlignment="1" applyProtection="1">
      <protection hidden="1"/>
    </xf>
    <xf numFmtId="49" fontId="29" fillId="7" borderId="48" xfId="0" applyNumberFormat="1" applyFont="1" applyFill="1" applyBorder="1" applyAlignment="1" applyProtection="1">
      <alignment vertical="center"/>
      <protection hidden="1"/>
    </xf>
    <xf numFmtId="49" fontId="29" fillId="7" borderId="47" xfId="0" applyNumberFormat="1" applyFont="1" applyFill="1" applyBorder="1" applyAlignment="1" applyProtection="1">
      <alignment vertical="center"/>
      <protection hidden="1"/>
    </xf>
    <xf numFmtId="0" fontId="36" fillId="2" borderId="34" xfId="0" applyNumberFormat="1" applyFont="1" applyFill="1" applyBorder="1" applyAlignment="1" applyProtection="1">
      <alignment vertical="center" wrapText="1"/>
      <protection hidden="1"/>
    </xf>
    <xf numFmtId="0" fontId="5" fillId="0" borderId="22" xfId="3" applyFont="1" applyBorder="1"/>
    <xf numFmtId="0" fontId="5" fillId="0" borderId="22" xfId="3" applyFont="1" applyBorder="1" applyAlignment="1">
      <alignment wrapText="1"/>
    </xf>
    <xf numFmtId="172" fontId="17" fillId="0" borderId="22" xfId="0" applyNumberFormat="1" applyFont="1" applyFill="1" applyBorder="1" applyAlignment="1" applyProtection="1">
      <alignment horizontal="center" vertical="center" wrapText="1"/>
      <protection locked="0"/>
    </xf>
    <xf numFmtId="173" fontId="0" fillId="0" borderId="22" xfId="0" applyNumberFormat="1" applyFont="1" applyBorder="1" applyAlignment="1" applyProtection="1">
      <alignment horizontal="center" vertical="center"/>
      <protection locked="0"/>
    </xf>
    <xf numFmtId="172" fontId="0" fillId="0" borderId="22" xfId="0" applyNumberFormat="1" applyFont="1" applyBorder="1" applyAlignment="1" applyProtection="1">
      <alignment horizontal="center" vertical="center"/>
      <protection locked="0"/>
    </xf>
    <xf numFmtId="172" fontId="0" fillId="2" borderId="22" xfId="0" applyNumberFormat="1" applyFill="1" applyBorder="1" applyAlignment="1" applyProtection="1">
      <alignment horizontal="center" vertical="center"/>
      <protection locked="0"/>
    </xf>
    <xf numFmtId="0" fontId="36" fillId="11" borderId="28" xfId="0" applyNumberFormat="1" applyFont="1" applyFill="1" applyBorder="1" applyAlignment="1" applyProtection="1">
      <alignment vertical="center" wrapText="1"/>
      <protection hidden="1"/>
    </xf>
    <xf numFmtId="0" fontId="4" fillId="0" borderId="22" xfId="3" applyFont="1" applyBorder="1" applyAlignment="1">
      <alignment wrapText="1"/>
    </xf>
    <xf numFmtId="2" fontId="36" fillId="15" borderId="28" xfId="0" applyNumberFormat="1" applyFont="1" applyFill="1" applyBorder="1" applyAlignment="1" applyProtection="1">
      <alignment horizontal="center" vertical="center" wrapText="1"/>
      <protection hidden="1"/>
    </xf>
    <xf numFmtId="49" fontId="36" fillId="15" borderId="28" xfId="0" applyNumberFormat="1" applyFont="1" applyFill="1" applyBorder="1" applyAlignment="1" applyProtection="1">
      <alignment horizontal="center" vertical="center" wrapText="1"/>
      <protection hidden="1"/>
    </xf>
    <xf numFmtId="0" fontId="36" fillId="15" borderId="0" xfId="0" applyNumberFormat="1" applyFont="1" applyFill="1" applyBorder="1" applyAlignment="1">
      <alignment horizontal="center" vertical="center" wrapText="1"/>
    </xf>
    <xf numFmtId="0" fontId="40" fillId="2" borderId="0" xfId="0" applyFont="1" applyFill="1"/>
    <xf numFmtId="0" fontId="28" fillId="2" borderId="0" xfId="0" applyFont="1" applyFill="1"/>
    <xf numFmtId="0" fontId="36" fillId="15" borderId="26" xfId="0" applyNumberFormat="1" applyFont="1" applyFill="1" applyBorder="1" applyAlignment="1" applyProtection="1">
      <alignment horizontal="center" vertical="center" wrapText="1"/>
      <protection hidden="1"/>
    </xf>
    <xf numFmtId="0" fontId="36" fillId="15" borderId="26" xfId="0" applyNumberFormat="1" applyFont="1" applyFill="1" applyBorder="1" applyAlignment="1" applyProtection="1">
      <alignment vertical="center" wrapText="1"/>
      <protection hidden="1"/>
    </xf>
    <xf numFmtId="0" fontId="36" fillId="15" borderId="34" xfId="0" applyNumberFormat="1" applyFont="1" applyFill="1" applyBorder="1" applyAlignment="1" applyProtection="1">
      <alignment horizontal="center" vertical="center" wrapText="1"/>
      <protection hidden="1"/>
    </xf>
    <xf numFmtId="0" fontId="0" fillId="16" borderId="0" xfId="0" applyFill="1"/>
    <xf numFmtId="0" fontId="36" fillId="16" borderId="28" xfId="0" applyNumberFormat="1" applyFont="1" applyFill="1" applyBorder="1" applyAlignment="1" applyProtection="1">
      <alignment horizontal="left" vertical="center" wrapText="1"/>
      <protection hidden="1"/>
    </xf>
    <xf numFmtId="49" fontId="36" fillId="27" borderId="0" xfId="0" applyNumberFormat="1" applyFont="1" applyFill="1" applyBorder="1" applyAlignment="1" applyProtection="1">
      <alignment horizontal="center" vertical="center"/>
    </xf>
    <xf numFmtId="0" fontId="23" fillId="16" borderId="0" xfId="0" applyFont="1" applyFill="1" applyProtection="1"/>
    <xf numFmtId="0" fontId="0" fillId="0" borderId="0" xfId="0" applyNumberFormat="1" applyAlignment="1"/>
    <xf numFmtId="0" fontId="77" fillId="0" borderId="0" xfId="0" applyFont="1"/>
    <xf numFmtId="0" fontId="3" fillId="0" borderId="22" xfId="3" applyFont="1" applyBorder="1"/>
    <xf numFmtId="0" fontId="3" fillId="0" borderId="22" xfId="3" applyFont="1" applyBorder="1" applyAlignment="1">
      <alignment wrapText="1"/>
    </xf>
    <xf numFmtId="14" fontId="2" fillId="0" borderId="22" xfId="15" applyNumberFormat="1" applyBorder="1"/>
    <xf numFmtId="0" fontId="2" fillId="0" borderId="22" xfId="15" applyFont="1" applyBorder="1"/>
    <xf numFmtId="0" fontId="1" fillId="0" borderId="22" xfId="15" applyFont="1" applyBorder="1" applyAlignment="1">
      <alignment wrapText="1"/>
    </xf>
    <xf numFmtId="0" fontId="0" fillId="0" borderId="0" xfId="0" applyFont="1" applyFill="1" applyAlignment="1" applyProtection="1">
      <alignment horizontal="center" vertical="center" wrapText="1"/>
    </xf>
    <xf numFmtId="167" fontId="0" fillId="2" borderId="12" xfId="0" applyNumberFormat="1" applyFont="1" applyFill="1" applyBorder="1" applyAlignment="1" applyProtection="1">
      <alignment horizontal="center" vertical="center"/>
      <protection locked="0" hidden="1"/>
    </xf>
    <xf numFmtId="167" fontId="18" fillId="0" borderId="0" xfId="0" applyNumberFormat="1" applyFont="1" applyProtection="1"/>
    <xf numFmtId="0" fontId="19" fillId="4" borderId="24" xfId="0" quotePrefix="1"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21" fillId="0" borderId="24" xfId="0" applyFont="1" applyFill="1" applyBorder="1" applyAlignment="1" applyProtection="1">
      <alignment horizontal="center" vertical="center" wrapText="1"/>
    </xf>
    <xf numFmtId="17" fontId="20" fillId="2" borderId="24" xfId="0" applyNumberFormat="1" applyFont="1" applyFill="1" applyBorder="1" applyAlignment="1" applyProtection="1">
      <alignment horizontal="center" vertical="center" wrapText="1"/>
    </xf>
    <xf numFmtId="17" fontId="20" fillId="2" borderId="24" xfId="0" applyNumberFormat="1" applyFont="1" applyFill="1" applyBorder="1" applyAlignment="1" applyProtection="1">
      <alignment vertical="center" wrapText="1"/>
    </xf>
    <xf numFmtId="17" fontId="20" fillId="2" borderId="24" xfId="0" quotePrefix="1" applyNumberFormat="1" applyFont="1" applyFill="1" applyBorder="1" applyAlignment="1" applyProtection="1">
      <alignment vertical="center" wrapText="1"/>
    </xf>
    <xf numFmtId="17" fontId="19" fillId="0" borderId="24" xfId="0" applyNumberFormat="1" applyFont="1" applyFill="1" applyBorder="1" applyAlignment="1" applyProtection="1">
      <alignment horizontal="center" vertical="center" wrapText="1"/>
    </xf>
    <xf numFmtId="1" fontId="0" fillId="6" borderId="24" xfId="0" applyNumberFormat="1" applyFont="1" applyFill="1" applyBorder="1" applyAlignment="1" applyProtection="1">
      <alignment horizontal="center" vertical="center"/>
    </xf>
    <xf numFmtId="49" fontId="12" fillId="6" borderId="24" xfId="0" applyNumberFormat="1" applyFont="1" applyFill="1" applyBorder="1" applyAlignment="1" applyProtection="1">
      <alignment horizontal="left" vertical="center" wrapText="1"/>
    </xf>
    <xf numFmtId="0" fontId="0" fillId="0" borderId="24" xfId="0" quotePrefix="1" applyFont="1" applyFill="1" applyBorder="1" applyAlignment="1" applyProtection="1">
      <alignment horizontal="left" vertical="center" wrapText="1"/>
      <protection locked="0"/>
    </xf>
    <xf numFmtId="0" fontId="18" fillId="0" borderId="24" xfId="0" quotePrefix="1" applyFont="1" applyFill="1" applyBorder="1" applyAlignment="1" applyProtection="1">
      <alignment horizontal="left" vertical="center" wrapText="1"/>
    </xf>
    <xf numFmtId="49" fontId="0" fillId="0" borderId="24" xfId="0" quotePrefix="1" applyNumberFormat="1" applyFont="1" applyFill="1" applyBorder="1" applyAlignment="1" applyProtection="1">
      <alignment horizontal="left" vertical="center" wrapText="1"/>
      <protection locked="0"/>
    </xf>
    <xf numFmtId="49" fontId="18" fillId="0" borderId="24" xfId="0" quotePrefix="1" applyNumberFormat="1" applyFont="1" applyFill="1" applyBorder="1" applyAlignment="1" applyProtection="1">
      <alignment horizontal="left" vertical="center" wrapText="1"/>
      <protection locked="0"/>
    </xf>
    <xf numFmtId="49" fontId="17" fillId="2" borderId="24" xfId="0" applyNumberFormat="1" applyFont="1" applyFill="1" applyBorder="1" applyAlignment="1" applyProtection="1">
      <alignment horizontal="left" vertical="center" wrapText="1"/>
    </xf>
    <xf numFmtId="0" fontId="17" fillId="2" borderId="24" xfId="0" applyFont="1" applyFill="1" applyBorder="1" applyAlignment="1" applyProtection="1">
      <alignment horizontal="left" vertical="center" wrapText="1"/>
    </xf>
    <xf numFmtId="0" fontId="17" fillId="2" borderId="24" xfId="0" applyFont="1" applyFill="1" applyBorder="1" applyAlignment="1" applyProtection="1">
      <alignment wrapText="1"/>
    </xf>
    <xf numFmtId="0" fontId="0" fillId="2" borderId="24" xfId="0" applyFont="1" applyFill="1" applyBorder="1" applyAlignment="1" applyProtection="1">
      <alignment horizontal="left" vertical="center" wrapText="1"/>
    </xf>
    <xf numFmtId="0" fontId="20" fillId="4" borderId="24" xfId="0" applyFont="1" applyFill="1" applyBorder="1" applyAlignment="1" applyProtection="1">
      <alignment horizontal="center" vertical="center"/>
    </xf>
    <xf numFmtId="17" fontId="20" fillId="4" borderId="24" xfId="0" applyNumberFormat="1" applyFont="1" applyFill="1" applyBorder="1" applyAlignment="1" applyProtection="1">
      <alignment horizontal="center" vertical="center"/>
    </xf>
    <xf numFmtId="17" fontId="21" fillId="0" borderId="24" xfId="0" applyNumberFormat="1" applyFont="1" applyFill="1" applyBorder="1" applyAlignment="1" applyProtection="1">
      <alignment horizontal="center" vertical="center"/>
    </xf>
    <xf numFmtId="49" fontId="0" fillId="2" borderId="24" xfId="0" applyNumberFormat="1" applyFont="1" applyFill="1" applyBorder="1" applyAlignment="1" applyProtection="1">
      <alignment horizontal="left" vertical="center" wrapText="1"/>
      <protection locked="0"/>
    </xf>
    <xf numFmtId="0" fontId="18" fillId="0" borderId="24" xfId="0" applyFont="1" applyFill="1" applyBorder="1" applyAlignment="1" applyProtection="1">
      <alignment horizontal="left" wrapText="1"/>
    </xf>
    <xf numFmtId="0" fontId="25" fillId="24" borderId="24" xfId="0" applyFont="1" applyFill="1" applyBorder="1" applyProtection="1"/>
    <xf numFmtId="0" fontId="26" fillId="24" borderId="24"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49" fontId="25" fillId="24" borderId="24" xfId="0" quotePrefix="1" applyNumberFormat="1" applyFont="1" applyFill="1" applyBorder="1" applyAlignment="1" applyProtection="1">
      <alignment horizontal="left" wrapText="1"/>
    </xf>
    <xf numFmtId="0" fontId="0" fillId="2" borderId="24" xfId="0" quotePrefix="1" applyFont="1" applyFill="1" applyBorder="1" applyAlignment="1" applyProtection="1">
      <alignment horizontal="left" vertical="center" wrapText="1"/>
      <protection locked="0"/>
    </xf>
    <xf numFmtId="0" fontId="18" fillId="0" borderId="24" xfId="0" quotePrefix="1" applyFont="1" applyFill="1" applyBorder="1" applyAlignment="1" applyProtection="1">
      <alignment horizontal="left" wrapText="1"/>
    </xf>
    <xf numFmtId="0" fontId="18" fillId="0" borderId="24" xfId="0" quotePrefix="1" applyFont="1" applyFill="1" applyBorder="1" applyAlignment="1" applyProtection="1">
      <alignment horizontal="center" wrapText="1"/>
    </xf>
    <xf numFmtId="0" fontId="20" fillId="4" borderId="24" xfId="0" applyFont="1" applyFill="1" applyBorder="1" applyAlignment="1">
      <alignment horizontal="center" vertical="center"/>
    </xf>
    <xf numFmtId="0" fontId="24" fillId="4" borderId="24" xfId="0" applyFont="1" applyFill="1" applyBorder="1" applyAlignment="1">
      <alignment horizontal="center" vertical="center"/>
    </xf>
    <xf numFmtId="0" fontId="20" fillId="4" borderId="24" xfId="0" applyFont="1" applyFill="1" applyBorder="1" applyAlignment="1">
      <alignment horizontal="center" vertical="center" wrapText="1"/>
    </xf>
    <xf numFmtId="17" fontId="21" fillId="2" borderId="24" xfId="0" applyNumberFormat="1" applyFont="1" applyFill="1" applyBorder="1" applyAlignment="1">
      <alignment vertical="center"/>
    </xf>
    <xf numFmtId="17" fontId="76" fillId="2" borderId="24" xfId="0" applyNumberFormat="1" applyFont="1" applyFill="1" applyBorder="1" applyAlignment="1">
      <alignment horizontal="center" vertical="center" wrapText="1"/>
    </xf>
    <xf numFmtId="17" fontId="76" fillId="2" borderId="24" xfId="0" applyNumberFormat="1" applyFont="1" applyFill="1" applyBorder="1" applyAlignment="1" applyProtection="1">
      <alignment vertical="center"/>
    </xf>
    <xf numFmtId="0" fontId="23" fillId="0" borderId="24" xfId="0" applyFont="1" applyBorder="1" applyProtection="1"/>
    <xf numFmtId="0" fontId="23" fillId="23" borderId="24" xfId="0" applyFont="1" applyFill="1" applyBorder="1" applyProtection="1"/>
    <xf numFmtId="49" fontId="18" fillId="2" borderId="24" xfId="0" applyNumberFormat="1" applyFont="1" applyFill="1" applyBorder="1" applyAlignment="1" applyProtection="1">
      <alignment horizontal="center" vertical="center"/>
    </xf>
    <xf numFmtId="0" fontId="17" fillId="2" borderId="24" xfId="0" applyFont="1" applyFill="1" applyBorder="1" applyAlignment="1" applyProtection="1">
      <alignment horizontal="left" vertical="center" wrapText="1"/>
      <protection locked="0"/>
    </xf>
    <xf numFmtId="49" fontId="17" fillId="2" borderId="24" xfId="0" applyNumberFormat="1" applyFont="1" applyFill="1" applyBorder="1" applyAlignment="1">
      <alignment horizontal="left" vertical="center" wrapText="1"/>
    </xf>
    <xf numFmtId="0" fontId="17" fillId="2" borderId="24" xfId="0" applyFont="1" applyFill="1" applyBorder="1" applyAlignment="1">
      <alignment horizontal="left" vertical="center" wrapText="1"/>
    </xf>
    <xf numFmtId="49" fontId="17" fillId="2" borderId="24" xfId="0" applyNumberFormat="1" applyFont="1" applyFill="1" applyBorder="1" applyAlignment="1" applyProtection="1">
      <alignment horizontal="left" vertical="center" wrapText="1"/>
      <protection locked="0"/>
    </xf>
    <xf numFmtId="49" fontId="18" fillId="2" borderId="24" xfId="0" applyNumberFormat="1"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24" xfId="0" applyFont="1" applyFill="1" applyBorder="1"/>
    <xf numFmtId="0" fontId="23" fillId="2" borderId="24" xfId="0" applyFont="1" applyFill="1" applyBorder="1"/>
    <xf numFmtId="0" fontId="23" fillId="2" borderId="24" xfId="0" applyFont="1" applyFill="1" applyBorder="1" applyProtection="1"/>
    <xf numFmtId="49" fontId="23" fillId="0" borderId="24" xfId="0" applyNumberFormat="1" applyFont="1" applyBorder="1" applyProtection="1"/>
    <xf numFmtId="0" fontId="15" fillId="0" borderId="24" xfId="2" applyFont="1" applyFill="1" applyBorder="1"/>
    <xf numFmtId="0" fontId="15" fillId="0" borderId="24" xfId="2" applyNumberFormat="1" applyFill="1" applyBorder="1"/>
    <xf numFmtId="0" fontId="15" fillId="0" borderId="116" xfId="2" applyFill="1" applyBorder="1"/>
    <xf numFmtId="0" fontId="15" fillId="0" borderId="117" xfId="2" quotePrefix="1" applyFill="1" applyBorder="1" applyAlignment="1">
      <alignment horizontal="left"/>
    </xf>
    <xf numFmtId="0" fontId="15" fillId="0" borderId="117" xfId="2" applyFill="1" applyBorder="1"/>
    <xf numFmtId="49" fontId="15" fillId="0" borderId="117" xfId="2" applyNumberFormat="1" applyFill="1" applyBorder="1"/>
    <xf numFmtId="0" fontId="15" fillId="0" borderId="117" xfId="2" applyNumberFormat="1" applyFill="1" applyBorder="1"/>
    <xf numFmtId="49" fontId="15" fillId="0" borderId="117" xfId="2" quotePrefix="1" applyNumberFormat="1" applyFill="1" applyBorder="1"/>
    <xf numFmtId="174" fontId="15" fillId="0" borderId="24" xfId="2" applyNumberFormat="1" applyFill="1" applyBorder="1"/>
    <xf numFmtId="0" fontId="0" fillId="19" borderId="0" xfId="0" applyFill="1" applyAlignment="1" applyProtection="1">
      <protection locked="0"/>
    </xf>
    <xf numFmtId="0" fontId="0" fillId="0" borderId="0" xfId="0" applyProtection="1">
      <protection locked="0"/>
    </xf>
    <xf numFmtId="0" fontId="0" fillId="0" borderId="24" xfId="0" applyFill="1" applyBorder="1" applyProtection="1">
      <protection locked="0"/>
    </xf>
    <xf numFmtId="0" fontId="0" fillId="0" borderId="24" xfId="0" applyFill="1" applyBorder="1" applyAlignment="1" applyProtection="1">
      <alignment wrapText="1"/>
      <protection locked="0"/>
    </xf>
    <xf numFmtId="2" fontId="0" fillId="0" borderId="0" xfId="0" applyNumberFormat="1" applyProtection="1">
      <protection locked="0"/>
    </xf>
    <xf numFmtId="166" fontId="0" fillId="0" borderId="24" xfId="0" applyNumberFormat="1" applyFill="1" applyBorder="1" applyProtection="1">
      <protection locked="0"/>
    </xf>
    <xf numFmtId="2" fontId="0" fillId="0" borderId="24" xfId="0" applyNumberFormat="1" applyFill="1" applyBorder="1" applyProtection="1">
      <protection locked="0"/>
    </xf>
    <xf numFmtId="174" fontId="0" fillId="0" borderId="24" xfId="0" applyNumberFormat="1" applyFill="1" applyBorder="1" applyProtection="1">
      <protection locked="0"/>
    </xf>
    <xf numFmtId="49" fontId="0" fillId="0" borderId="24" xfId="0" applyNumberFormat="1" applyFill="1" applyBorder="1" applyProtection="1">
      <protection locked="0"/>
    </xf>
    <xf numFmtId="49" fontId="0" fillId="0" borderId="24" xfId="0" applyNumberFormat="1" applyFill="1" applyBorder="1" applyAlignment="1" applyProtection="1">
      <alignment wrapText="1"/>
      <protection locked="0"/>
    </xf>
    <xf numFmtId="0" fontId="0" fillId="0" borderId="0" xfId="0" applyNumberFormat="1" applyProtection="1">
      <protection locked="0"/>
    </xf>
    <xf numFmtId="0" fontId="0" fillId="0" borderId="0" xfId="0" applyAlignment="1" applyProtection="1">
      <alignment wrapText="1"/>
      <protection locked="0"/>
    </xf>
    <xf numFmtId="0" fontId="0" fillId="19" borderId="0" xfId="0" applyFill="1" applyProtection="1">
      <protection locked="0"/>
    </xf>
    <xf numFmtId="0" fontId="59" fillId="0" borderId="0" xfId="0" applyFont="1" applyProtection="1">
      <protection locked="0"/>
    </xf>
    <xf numFmtId="0" fontId="0" fillId="0" borderId="0" xfId="0" quotePrefix="1" applyProtection="1">
      <protection locked="0"/>
    </xf>
    <xf numFmtId="0" fontId="0" fillId="0" borderId="24" xfId="0" applyFill="1" applyBorder="1" applyProtection="1"/>
    <xf numFmtId="1" fontId="0" fillId="0" borderId="24" xfId="0" applyNumberFormat="1" applyFill="1" applyBorder="1" applyProtection="1">
      <protection locked="0"/>
    </xf>
    <xf numFmtId="167" fontId="0" fillId="0" borderId="24" xfId="0" applyNumberFormat="1" applyFill="1" applyBorder="1" applyProtection="1">
      <protection locked="0"/>
    </xf>
    <xf numFmtId="169" fontId="0" fillId="0" borderId="24" xfId="0" applyNumberFormat="1" applyFill="1" applyBorder="1" applyProtection="1">
      <protection locked="0"/>
    </xf>
    <xf numFmtId="14" fontId="0" fillId="0" borderId="24" xfId="0" applyNumberFormat="1" applyFill="1" applyBorder="1" applyProtection="1">
      <protection locked="0"/>
    </xf>
    <xf numFmtId="0" fontId="0" fillId="0" borderId="24" xfId="0" quotePrefix="1" applyFill="1" applyBorder="1" applyProtection="1">
      <protection locked="0"/>
    </xf>
    <xf numFmtId="167" fontId="0" fillId="0" borderId="24" xfId="0" quotePrefix="1" applyNumberFormat="1" applyFill="1" applyBorder="1" applyProtection="1">
      <protection locked="0"/>
    </xf>
    <xf numFmtId="0" fontId="0" fillId="0" borderId="24" xfId="0" quotePrefix="1" applyFill="1" applyBorder="1" applyProtection="1"/>
    <xf numFmtId="0" fontId="0" fillId="0" borderId="24" xfId="0" quotePrefix="1" applyNumberFormat="1" applyFill="1" applyBorder="1" applyProtection="1">
      <protection locked="0"/>
    </xf>
    <xf numFmtId="0" fontId="0" fillId="0" borderId="24" xfId="0" quotePrefix="1" applyNumberFormat="1" applyFill="1" applyBorder="1" applyProtection="1"/>
    <xf numFmtId="49" fontId="0" fillId="0" borderId="24" xfId="0" quotePrefix="1" applyNumberFormat="1" applyFill="1" applyBorder="1" applyProtection="1">
      <protection locked="0"/>
    </xf>
    <xf numFmtId="4" fontId="17" fillId="0" borderId="22" xfId="0" applyNumberFormat="1" applyFont="1" applyBorder="1" applyAlignment="1" applyProtection="1">
      <alignment horizontal="center" vertical="center" wrapText="1"/>
      <protection locked="0"/>
    </xf>
    <xf numFmtId="3" fontId="17" fillId="0" borderId="22" xfId="0" applyNumberFormat="1" applyFont="1" applyBorder="1" applyAlignment="1" applyProtection="1">
      <alignment horizontal="center" vertical="center"/>
      <protection locked="0"/>
    </xf>
    <xf numFmtId="3" fontId="79" fillId="0" borderId="22" xfId="0" applyNumberFormat="1" applyFont="1" applyBorder="1" applyAlignment="1" applyProtection="1">
      <alignment horizontal="center" vertical="center"/>
      <protection locked="0"/>
    </xf>
    <xf numFmtId="172" fontId="17" fillId="0" borderId="22" xfId="0" applyNumberFormat="1" applyFont="1" applyBorder="1" applyAlignment="1" applyProtection="1">
      <alignment horizontal="center" vertical="center" wrapText="1"/>
      <protection locked="0"/>
    </xf>
    <xf numFmtId="172" fontId="0" fillId="0" borderId="22" xfId="0" applyNumberFormat="1" applyBorder="1" applyAlignment="1" applyProtection="1">
      <alignment horizontal="center" vertical="center"/>
      <protection locked="0"/>
    </xf>
    <xf numFmtId="4" fontId="0" fillId="0" borderId="22" xfId="0" applyNumberFormat="1" applyBorder="1" applyAlignment="1" applyProtection="1">
      <alignment horizontal="center" vertical="center"/>
      <protection locked="0"/>
    </xf>
    <xf numFmtId="0" fontId="0" fillId="0" borderId="23" xfId="0" applyBorder="1" applyAlignment="1" applyProtection="1">
      <alignment vertical="center" wrapText="1"/>
      <protection locked="0"/>
    </xf>
    <xf numFmtId="3" fontId="17" fillId="0" borderId="22" xfId="0" applyNumberFormat="1" applyFont="1" applyFill="1" applyBorder="1" applyAlignment="1" applyProtection="1">
      <alignment horizontal="center" vertical="center" wrapText="1"/>
      <protection locked="0"/>
    </xf>
    <xf numFmtId="3" fontId="0" fillId="0" borderId="22" xfId="0" applyNumberFormat="1" applyFill="1" applyBorder="1" applyAlignment="1" applyProtection="1">
      <alignment horizontal="center" vertical="center"/>
      <protection locked="0"/>
    </xf>
    <xf numFmtId="1" fontId="76" fillId="0" borderId="22" xfId="0" applyNumberFormat="1" applyFont="1" applyBorder="1" applyAlignment="1" applyProtection="1">
      <alignment horizontal="center" vertical="center"/>
      <protection locked="0"/>
    </xf>
    <xf numFmtId="3" fontId="76" fillId="0" borderId="22" xfId="0" applyNumberFormat="1" applyFont="1" applyBorder="1" applyAlignment="1" applyProtection="1">
      <alignment horizontal="center" vertical="center"/>
      <protection locked="0"/>
    </xf>
    <xf numFmtId="1" fontId="17" fillId="0" borderId="22" xfId="0" applyNumberFormat="1" applyFont="1" applyBorder="1" applyAlignment="1" applyProtection="1">
      <alignment horizontal="center" vertical="center"/>
      <protection locked="0"/>
    </xf>
    <xf numFmtId="3" fontId="17" fillId="2" borderId="22" xfId="0" applyNumberFormat="1" applyFont="1" applyFill="1" applyBorder="1" applyAlignment="1" applyProtection="1">
      <alignment horizontal="center" vertical="center"/>
      <protection locked="0"/>
    </xf>
    <xf numFmtId="1" fontId="0" fillId="0" borderId="22" xfId="0" applyNumberFormat="1" applyFont="1" applyBorder="1" applyAlignment="1" applyProtection="1">
      <alignment horizontal="center" vertical="center"/>
      <protection locked="0"/>
    </xf>
    <xf numFmtId="3" fontId="0" fillId="0" borderId="22" xfId="0" applyNumberFormat="1" applyFont="1" applyBorder="1" applyAlignment="1" applyProtection="1">
      <alignment horizontal="center" vertical="center"/>
      <protection locked="0"/>
    </xf>
    <xf numFmtId="172" fontId="17" fillId="2" borderId="22" xfId="0" applyNumberFormat="1" applyFont="1" applyFill="1" applyBorder="1" applyAlignment="1" applyProtection="1">
      <alignment horizontal="center" vertical="center"/>
      <protection locked="0"/>
    </xf>
    <xf numFmtId="4" fontId="17" fillId="2" borderId="22" xfId="0" applyNumberFormat="1" applyFont="1" applyFill="1" applyBorder="1" applyAlignment="1" applyProtection="1">
      <alignment horizontal="center" vertical="center"/>
      <protection locked="0"/>
    </xf>
    <xf numFmtId="3" fontId="76" fillId="2" borderId="22" xfId="0" applyNumberFormat="1" applyFont="1" applyFill="1" applyBorder="1" applyAlignment="1" applyProtection="1">
      <alignment horizontal="center" vertical="center"/>
      <protection locked="0"/>
    </xf>
    <xf numFmtId="0" fontId="0" fillId="2" borderId="0" xfId="0" applyFill="1" applyProtection="1">
      <protection locked="0"/>
    </xf>
    <xf numFmtId="0" fontId="0" fillId="2" borderId="22" xfId="0" applyFill="1" applyBorder="1" applyAlignment="1" applyProtection="1">
      <alignment horizontal="center" vertical="center" wrapText="1"/>
      <protection locked="0"/>
    </xf>
    <xf numFmtId="0" fontId="0" fillId="2" borderId="23" xfId="0" applyFill="1" applyBorder="1" applyAlignment="1" applyProtection="1">
      <alignment vertical="center" wrapText="1"/>
      <protection locked="0"/>
    </xf>
    <xf numFmtId="3" fontId="0" fillId="2" borderId="22" xfId="0" applyNumberFormat="1" applyFill="1" applyBorder="1" applyAlignment="1" applyProtection="1">
      <alignment horizontal="center" vertical="center"/>
      <protection locked="0"/>
    </xf>
    <xf numFmtId="1" fontId="0" fillId="0" borderId="22" xfId="0" applyNumberFormat="1" applyFill="1" applyBorder="1" applyAlignment="1" applyProtection="1">
      <alignment horizontal="center" vertical="center"/>
      <protection locked="0"/>
    </xf>
    <xf numFmtId="0" fontId="0" fillId="0" borderId="0" xfId="0" applyFill="1" applyProtection="1">
      <protection locked="0"/>
    </xf>
    <xf numFmtId="0" fontId="0" fillId="0" borderId="22" xfId="0" applyFill="1" applyBorder="1" applyAlignment="1" applyProtection="1">
      <alignment horizontal="left" vertical="center" wrapText="1"/>
      <protection locked="0"/>
    </xf>
    <xf numFmtId="0" fontId="0" fillId="0" borderId="22" xfId="0" applyFill="1" applyBorder="1" applyAlignment="1" applyProtection="1">
      <alignment horizontal="left" vertical="center"/>
      <protection locked="0"/>
    </xf>
    <xf numFmtId="0" fontId="0" fillId="0" borderId="0" xfId="0" applyFill="1" applyBorder="1"/>
    <xf numFmtId="0" fontId="0" fillId="0" borderId="0" xfId="0" applyFill="1"/>
    <xf numFmtId="0" fontId="17" fillId="2" borderId="24" xfId="0" quotePrefix="1" applyFont="1" applyFill="1" applyBorder="1" applyAlignment="1" applyProtection="1">
      <alignment horizontal="left" vertical="center" wrapText="1"/>
      <protection locked="0"/>
    </xf>
    <xf numFmtId="0" fontId="17" fillId="0" borderId="24" xfId="0" applyFont="1" applyFill="1" applyBorder="1" applyAlignment="1" applyProtection="1">
      <alignment horizontal="left" vertical="center" wrapText="1"/>
      <protection locked="0"/>
    </xf>
    <xf numFmtId="49" fontId="17" fillId="0" borderId="24" xfId="0" applyNumberFormat="1" applyFont="1" applyFill="1" applyBorder="1" applyAlignment="1">
      <alignment horizontal="left" vertical="center" wrapText="1"/>
    </xf>
    <xf numFmtId="0" fontId="17" fillId="0" borderId="24" xfId="0" applyFont="1" applyFill="1" applyBorder="1" applyAlignment="1">
      <alignment horizontal="left" vertical="center" wrapText="1"/>
    </xf>
    <xf numFmtId="49" fontId="17" fillId="0" borderId="24" xfId="0" applyNumberFormat="1" applyFont="1" applyFill="1" applyBorder="1" applyAlignment="1" applyProtection="1">
      <alignment horizontal="left" vertical="center" wrapText="1"/>
      <protection locked="0"/>
    </xf>
    <xf numFmtId="49" fontId="18" fillId="0" borderId="24" xfId="0" applyNumberFormat="1" applyFont="1" applyFill="1" applyBorder="1" applyAlignment="1">
      <alignment horizontal="left" vertical="center" wrapText="1"/>
    </xf>
    <xf numFmtId="0" fontId="18" fillId="0" borderId="24" xfId="0" applyFont="1" applyFill="1" applyBorder="1" applyAlignment="1">
      <alignment horizontal="left" vertical="center" wrapText="1"/>
    </xf>
    <xf numFmtId="0" fontId="18" fillId="0" borderId="24" xfId="0" applyFont="1" applyFill="1" applyBorder="1"/>
    <xf numFmtId="0" fontId="0" fillId="0" borderId="22" xfId="0" applyBorder="1" applyProtection="1">
      <protection locked="0"/>
    </xf>
    <xf numFmtId="0" fontId="0" fillId="2" borderId="22" xfId="0" applyFill="1" applyBorder="1" applyAlignment="1" applyProtection="1">
      <alignment horizontal="left" vertical="center" wrapText="1"/>
      <protection locked="0"/>
    </xf>
    <xf numFmtId="0" fontId="45" fillId="0" borderId="0" xfId="11" applyFont="1" applyAlignment="1">
      <alignment horizontal="center" vertical="center"/>
    </xf>
    <xf numFmtId="0" fontId="45" fillId="16" borderId="4" xfId="11" applyFont="1" applyFill="1" applyBorder="1" applyAlignment="1">
      <alignment vertical="center" wrapText="1"/>
    </xf>
    <xf numFmtId="0" fontId="45" fillId="16" borderId="3" xfId="11" applyFont="1" applyFill="1" applyBorder="1" applyAlignment="1">
      <alignment vertical="center" wrapText="1"/>
    </xf>
    <xf numFmtId="0" fontId="48" fillId="0" borderId="4" xfId="11" applyFont="1" applyBorder="1" applyAlignment="1">
      <alignment horizontal="left" vertical="center" wrapText="1"/>
    </xf>
    <xf numFmtId="0" fontId="48" fillId="0" borderId="3" xfId="11" applyFont="1" applyBorder="1" applyAlignment="1">
      <alignment horizontal="left" vertical="center" wrapText="1"/>
    </xf>
    <xf numFmtId="0" fontId="65" fillId="0" borderId="4" xfId="1" applyFont="1" applyBorder="1" applyAlignment="1">
      <alignment horizontal="left" vertical="center" wrapText="1"/>
    </xf>
    <xf numFmtId="0" fontId="67" fillId="0" borderId="3" xfId="1" applyFont="1" applyBorder="1" applyAlignment="1">
      <alignment horizontal="left" vertical="center" wrapText="1"/>
    </xf>
    <xf numFmtId="0" fontId="48" fillId="0" borderId="8" xfId="11" applyFont="1" applyBorder="1" applyAlignment="1">
      <alignment horizontal="left" vertical="top" wrapText="1"/>
    </xf>
    <xf numFmtId="0" fontId="48" fillId="0" borderId="9" xfId="11" applyFont="1" applyBorder="1" applyAlignment="1">
      <alignment horizontal="left" vertical="top" wrapText="1"/>
    </xf>
    <xf numFmtId="0" fontId="48" fillId="0" borderId="1" xfId="11" applyFont="1" applyBorder="1" applyAlignment="1">
      <alignment horizontal="left" vertical="top" wrapText="1"/>
    </xf>
    <xf numFmtId="0" fontId="48" fillId="0" borderId="14" xfId="11" applyFont="1" applyBorder="1" applyAlignment="1">
      <alignment horizontal="left" vertical="top" wrapText="1"/>
    </xf>
    <xf numFmtId="0" fontId="48" fillId="0" borderId="2" xfId="11" applyFont="1" applyBorder="1" applyAlignment="1">
      <alignment horizontal="left" vertical="center" wrapText="1"/>
    </xf>
    <xf numFmtId="0" fontId="48" fillId="0" borderId="2" xfId="11" applyFont="1" applyBorder="1" applyAlignment="1">
      <alignment horizontal="left" vertical="top" wrapText="1"/>
    </xf>
    <xf numFmtId="0" fontId="48" fillId="0" borderId="3" xfId="11" applyFont="1" applyBorder="1" applyAlignment="1">
      <alignment horizontal="left" vertical="top" wrapText="1"/>
    </xf>
    <xf numFmtId="0" fontId="65" fillId="0" borderId="2" xfId="1" applyFont="1" applyBorder="1" applyAlignment="1">
      <alignment horizontal="left" vertical="center" wrapText="1"/>
    </xf>
    <xf numFmtId="0" fontId="45" fillId="0" borderId="77" xfId="11" applyFont="1" applyBorder="1" applyAlignment="1">
      <alignment vertical="center" wrapText="1"/>
    </xf>
    <xf numFmtId="0" fontId="45" fillId="0" borderId="76" xfId="11" applyFont="1" applyBorder="1" applyAlignment="1">
      <alignment vertical="center" wrapText="1"/>
    </xf>
    <xf numFmtId="0" fontId="45" fillId="0" borderId="75" xfId="11" applyFont="1" applyBorder="1" applyAlignment="1">
      <alignment vertical="center" wrapText="1"/>
    </xf>
    <xf numFmtId="0" fontId="45" fillId="0" borderId="77" xfId="11" applyFont="1" applyBorder="1" applyAlignment="1">
      <alignment horizontal="left" vertical="center" wrapText="1"/>
    </xf>
    <xf numFmtId="0" fontId="45" fillId="0" borderId="76" xfId="11" applyFont="1" applyBorder="1" applyAlignment="1">
      <alignment horizontal="left" vertical="center" wrapText="1"/>
    </xf>
    <xf numFmtId="0" fontId="45" fillId="0" borderId="75" xfId="11" applyFont="1" applyBorder="1" applyAlignment="1">
      <alignment horizontal="left" vertical="center" wrapText="1"/>
    </xf>
    <xf numFmtId="0" fontId="48" fillId="0" borderId="15" xfId="11" applyFont="1" applyBorder="1" applyAlignment="1">
      <alignment horizontal="left" vertical="top" wrapText="1"/>
    </xf>
    <xf numFmtId="0" fontId="48" fillId="0" borderId="17" xfId="11" applyFont="1" applyBorder="1" applyAlignment="1">
      <alignment horizontal="left" vertical="top" wrapText="1"/>
    </xf>
    <xf numFmtId="0" fontId="48" fillId="0" borderId="4" xfId="11" applyFont="1" applyBorder="1" applyAlignment="1">
      <alignment horizontal="left" vertical="top" wrapText="1"/>
    </xf>
    <xf numFmtId="0" fontId="14" fillId="3" borderId="4" xfId="1" applyFill="1" applyBorder="1" applyAlignment="1">
      <alignment vertical="center" wrapText="1"/>
    </xf>
    <xf numFmtId="0" fontId="14" fillId="3" borderId="3" xfId="1" applyFill="1" applyBorder="1" applyAlignment="1">
      <alignment vertical="center" wrapText="1"/>
    </xf>
    <xf numFmtId="0" fontId="51" fillId="18" borderId="4" xfId="11" applyFont="1" applyFill="1" applyBorder="1" applyAlignment="1">
      <alignment vertical="center" wrapText="1"/>
    </xf>
    <xf numFmtId="0" fontId="51" fillId="18" borderId="3" xfId="11" applyFont="1" applyFill="1" applyBorder="1" applyAlignment="1">
      <alignment vertical="center" wrapText="1"/>
    </xf>
    <xf numFmtId="0" fontId="45" fillId="0" borderId="77" xfId="11" applyFont="1" applyBorder="1" applyAlignment="1">
      <alignment horizontal="left" wrapText="1"/>
    </xf>
    <xf numFmtId="0" fontId="45" fillId="0" borderId="76" xfId="11" applyFont="1" applyBorder="1" applyAlignment="1">
      <alignment horizontal="left" wrapText="1"/>
    </xf>
    <xf numFmtId="0" fontId="45" fillId="0" borderId="75" xfId="11" applyFont="1" applyBorder="1" applyAlignment="1">
      <alignment horizontal="left" wrapText="1"/>
    </xf>
    <xf numFmtId="0" fontId="53" fillId="18" borderId="4" xfId="11" applyFont="1" applyFill="1" applyBorder="1" applyAlignment="1">
      <alignment vertical="center" wrapText="1"/>
    </xf>
    <xf numFmtId="0" fontId="53" fillId="18" borderId="3" xfId="11" applyFont="1" applyFill="1" applyBorder="1" applyAlignment="1">
      <alignment vertical="center" wrapText="1"/>
    </xf>
    <xf numFmtId="0" fontId="45" fillId="18" borderId="4" xfId="11" applyFont="1" applyFill="1" applyBorder="1" applyAlignment="1">
      <alignment vertical="center" wrapText="1"/>
    </xf>
    <xf numFmtId="0" fontId="45" fillId="18" borderId="3" xfId="11" applyFont="1" applyFill="1" applyBorder="1" applyAlignment="1">
      <alignment vertical="center" wrapText="1"/>
    </xf>
    <xf numFmtId="0" fontId="45" fillId="0" borderId="9" xfId="11" applyFont="1" applyBorder="1" applyAlignment="1">
      <alignment horizontal="left" vertical="center" wrapText="1"/>
    </xf>
    <xf numFmtId="0" fontId="45" fillId="0" borderId="14" xfId="11" applyFont="1" applyBorder="1" applyAlignment="1">
      <alignment horizontal="left" vertical="center" wrapText="1"/>
    </xf>
    <xf numFmtId="0" fontId="45" fillId="0" borderId="17" xfId="11" applyFont="1" applyBorder="1" applyAlignment="1">
      <alignment horizontal="left" vertical="center" wrapText="1"/>
    </xf>
    <xf numFmtId="0" fontId="54" fillId="0" borderId="77" xfId="11" applyFont="1" applyBorder="1" applyAlignment="1">
      <alignment vertical="center" wrapText="1"/>
    </xf>
    <xf numFmtId="0" fontId="54" fillId="0" borderId="76" xfId="11" applyFont="1" applyBorder="1" applyAlignment="1">
      <alignment vertical="center" wrapText="1"/>
    </xf>
    <xf numFmtId="0" fontId="54" fillId="0" borderId="75" xfId="11" applyFont="1" applyBorder="1" applyAlignment="1">
      <alignment vertical="center" wrapText="1"/>
    </xf>
    <xf numFmtId="0" fontId="56" fillId="18" borderId="15" xfId="11" applyFont="1" applyFill="1" applyBorder="1" applyAlignment="1">
      <alignment vertical="center" wrapText="1"/>
    </xf>
    <xf numFmtId="0" fontId="56" fillId="18" borderId="17" xfId="11" applyFont="1" applyFill="1" applyBorder="1" applyAlignment="1">
      <alignment vertical="center" wrapText="1"/>
    </xf>
    <xf numFmtId="0" fontId="0" fillId="0" borderId="0" xfId="0" applyFont="1" applyFill="1" applyAlignment="1" applyProtection="1">
      <alignment horizontal="center" vertical="center" wrapText="1"/>
    </xf>
    <xf numFmtId="0" fontId="19" fillId="4" borderId="4" xfId="0" applyFont="1" applyFill="1" applyBorder="1" applyAlignment="1" applyProtection="1">
      <alignment horizontal="center" vertical="center"/>
    </xf>
    <xf numFmtId="0" fontId="19" fillId="4" borderId="2" xfId="0"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19" xfId="0" applyFont="1" applyFill="1" applyBorder="1" applyAlignment="1" applyProtection="1">
      <alignment horizontal="center" vertical="center"/>
    </xf>
    <xf numFmtId="0" fontId="19" fillId="4" borderId="8"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4" borderId="15" xfId="0" applyFont="1" applyFill="1" applyBorder="1" applyAlignment="1" applyProtection="1">
      <alignment horizontal="center" vertical="center"/>
    </xf>
    <xf numFmtId="0" fontId="19" fillId="4" borderId="16" xfId="0" applyFont="1" applyFill="1" applyBorder="1" applyAlignment="1" applyProtection="1">
      <alignment horizontal="center" vertical="center"/>
    </xf>
    <xf numFmtId="0" fontId="19" fillId="4" borderId="17" xfId="0" applyFont="1" applyFill="1" applyBorder="1" applyAlignment="1" applyProtection="1">
      <alignment horizontal="center" vertical="center"/>
    </xf>
    <xf numFmtId="0" fontId="23" fillId="0" borderId="0"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xf>
    <xf numFmtId="0" fontId="19" fillId="3" borderId="2" xfId="0" applyFont="1" applyFill="1" applyBorder="1" applyAlignment="1" applyProtection="1">
      <alignment horizontal="center" vertical="center"/>
    </xf>
    <xf numFmtId="0" fontId="19" fillId="6" borderId="7"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0" fillId="0" borderId="0" xfId="0" applyAlignment="1">
      <alignment horizontal="center"/>
    </xf>
    <xf numFmtId="168" fontId="17" fillId="0" borderId="56" xfId="0" applyNumberFormat="1" applyFont="1" applyFill="1" applyBorder="1" applyAlignment="1" applyProtection="1">
      <alignment horizontal="center" vertical="center" wrapText="1"/>
      <protection locked="0"/>
    </xf>
    <xf numFmtId="168" fontId="17" fillId="0" borderId="23" xfId="0" applyNumberFormat="1" applyFont="1" applyFill="1" applyBorder="1" applyAlignment="1" applyProtection="1">
      <alignment horizontal="center" vertical="center" wrapText="1"/>
      <protection locked="0"/>
    </xf>
    <xf numFmtId="170" fontId="17" fillId="0" borderId="56" xfId="0" applyNumberFormat="1" applyFont="1" applyFill="1" applyBorder="1" applyAlignment="1" applyProtection="1">
      <alignment horizontal="center" vertical="center" wrapText="1"/>
      <protection locked="0"/>
    </xf>
    <xf numFmtId="170" fontId="17" fillId="0" borderId="23" xfId="0" applyNumberFormat="1" applyFont="1" applyFill="1" applyBorder="1" applyAlignment="1" applyProtection="1">
      <alignment horizontal="center" vertical="center" wrapText="1"/>
      <protection locked="0"/>
    </xf>
    <xf numFmtId="0" fontId="17" fillId="0" borderId="56" xfId="0" applyNumberFormat="1" applyFont="1" applyFill="1" applyBorder="1" applyAlignment="1" applyProtection="1">
      <alignment horizontal="left" vertical="center" wrapText="1"/>
      <protection locked="0"/>
    </xf>
    <xf numFmtId="0" fontId="17" fillId="0" borderId="23" xfId="0" applyNumberFormat="1" applyFont="1" applyFill="1" applyBorder="1" applyAlignment="1" applyProtection="1">
      <alignment horizontal="left" vertical="center" wrapText="1"/>
      <protection locked="0"/>
    </xf>
    <xf numFmtId="0" fontId="17" fillId="0" borderId="56"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0" fillId="6" borderId="56" xfId="0" applyNumberFormat="1" applyFont="1" applyFill="1" applyBorder="1" applyAlignment="1" applyProtection="1">
      <alignment horizontal="center" vertical="center" wrapText="1"/>
      <protection locked="0"/>
    </xf>
    <xf numFmtId="0" fontId="0" fillId="6" borderId="23" xfId="0" applyNumberFormat="1" applyFont="1" applyFill="1" applyBorder="1" applyAlignment="1" applyProtection="1">
      <alignment horizontal="center" vertical="center" wrapText="1"/>
      <protection locked="0"/>
    </xf>
    <xf numFmtId="168" fontId="17" fillId="0" borderId="60" xfId="0" applyNumberFormat="1" applyFont="1" applyFill="1" applyBorder="1" applyAlignment="1" applyProtection="1">
      <alignment horizontal="center" vertical="center" wrapText="1"/>
      <protection locked="0"/>
    </xf>
    <xf numFmtId="0" fontId="0" fillId="6" borderId="57" xfId="0" applyNumberFormat="1" applyFont="1" applyFill="1" applyBorder="1" applyAlignment="1" applyProtection="1">
      <alignment horizontal="center" vertical="center" wrapText="1"/>
      <protection hidden="1"/>
    </xf>
    <xf numFmtId="0" fontId="0" fillId="6" borderId="58" xfId="0" applyNumberFormat="1" applyFont="1" applyFill="1" applyBorder="1" applyAlignment="1" applyProtection="1">
      <alignment horizontal="center" vertical="center" wrapText="1"/>
      <protection hidden="1"/>
    </xf>
    <xf numFmtId="0" fontId="17" fillId="0" borderId="56"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56" xfId="0" applyFont="1" applyBorder="1" applyAlignment="1" applyProtection="1">
      <alignment horizontal="left" vertical="center" wrapText="1"/>
      <protection locked="0"/>
    </xf>
    <xf numFmtId="0" fontId="17" fillId="0" borderId="23" xfId="0" applyFont="1" applyBorder="1" applyAlignment="1" applyProtection="1">
      <alignment horizontal="left" vertical="center" wrapText="1"/>
      <protection locked="0"/>
    </xf>
    <xf numFmtId="0" fontId="17" fillId="0" borderId="56" xfId="0" quotePrefix="1" applyFont="1" applyBorder="1" applyAlignment="1" applyProtection="1">
      <alignment horizontal="left" vertical="center" wrapText="1"/>
      <protection locked="0"/>
    </xf>
    <xf numFmtId="170" fontId="17" fillId="2" borderId="56" xfId="0" applyNumberFormat="1" applyFont="1" applyFill="1" applyBorder="1" applyAlignment="1" applyProtection="1">
      <alignment horizontal="center" vertical="center" wrapText="1"/>
      <protection locked="0"/>
    </xf>
    <xf numFmtId="170" fontId="17" fillId="2" borderId="23" xfId="0" applyNumberFormat="1" applyFont="1" applyFill="1" applyBorder="1" applyAlignment="1" applyProtection="1">
      <alignment horizontal="center" vertical="center" wrapText="1"/>
      <protection locked="0"/>
    </xf>
    <xf numFmtId="170" fontId="17" fillId="0" borderId="56" xfId="0" applyNumberFormat="1" applyFont="1" applyBorder="1" applyAlignment="1" applyProtection="1">
      <alignment horizontal="center" vertical="center" wrapText="1"/>
      <protection locked="0"/>
    </xf>
    <xf numFmtId="170" fontId="17" fillId="0" borderId="23" xfId="0" applyNumberFormat="1" applyFont="1" applyBorder="1" applyAlignment="1" applyProtection="1">
      <alignment horizontal="center" vertical="center" wrapText="1"/>
      <protection locked="0"/>
    </xf>
    <xf numFmtId="168" fontId="17" fillId="0" borderId="56" xfId="0" applyNumberFormat="1" applyFont="1" applyBorder="1" applyAlignment="1" applyProtection="1">
      <alignment horizontal="center" vertical="center" wrapText="1"/>
      <protection locked="0"/>
    </xf>
    <xf numFmtId="168" fontId="17" fillId="0" borderId="23" xfId="0" applyNumberFormat="1" applyFont="1" applyBorder="1" applyAlignment="1" applyProtection="1">
      <alignment horizontal="center" vertical="center" wrapText="1"/>
      <protection locked="0"/>
    </xf>
    <xf numFmtId="0" fontId="22"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71" xfId="0" applyFont="1" applyFill="1" applyBorder="1" applyAlignment="1" applyProtection="1">
      <alignment horizontal="center" vertical="center"/>
      <protection hidden="1"/>
    </xf>
    <xf numFmtId="0" fontId="22" fillId="4" borderId="72" xfId="0" applyFont="1" applyFill="1" applyBorder="1" applyAlignment="1" applyProtection="1">
      <alignment horizontal="center" vertical="center"/>
      <protection hidden="1"/>
    </xf>
    <xf numFmtId="0" fontId="0" fillId="6" borderId="54" xfId="0" applyNumberFormat="1" applyFont="1" applyFill="1" applyBorder="1" applyAlignment="1" applyProtection="1">
      <alignment horizontal="center" vertical="center" wrapText="1"/>
    </xf>
    <xf numFmtId="0" fontId="0" fillId="6" borderId="55" xfId="0" applyNumberFormat="1" applyFont="1" applyFill="1" applyBorder="1" applyAlignment="1" applyProtection="1">
      <alignment horizontal="center" vertical="center" wrapText="1"/>
    </xf>
    <xf numFmtId="0" fontId="0" fillId="6" borderId="61" xfId="0" applyNumberFormat="1" applyFont="1" applyFill="1" applyBorder="1" applyAlignment="1" applyProtection="1">
      <alignment horizontal="center" vertical="center" wrapText="1"/>
    </xf>
    <xf numFmtId="0" fontId="0" fillId="6" borderId="112" xfId="0" applyNumberFormat="1" applyFont="1" applyFill="1" applyBorder="1" applyAlignment="1" applyProtection="1">
      <alignment horizontal="center" vertical="center" wrapText="1"/>
    </xf>
    <xf numFmtId="0" fontId="0" fillId="6" borderId="113" xfId="0" applyNumberFormat="1" applyFont="1" applyFill="1" applyBorder="1" applyAlignment="1" applyProtection="1">
      <alignment horizontal="center" vertical="center" wrapText="1"/>
    </xf>
    <xf numFmtId="0" fontId="0" fillId="6" borderId="114" xfId="0" applyNumberFormat="1" applyFont="1" applyFill="1" applyBorder="1" applyAlignment="1" applyProtection="1">
      <alignment horizontal="center" vertical="center" wrapText="1"/>
    </xf>
    <xf numFmtId="170" fontId="0" fillId="0" borderId="56" xfId="0" applyNumberFormat="1" applyFont="1" applyBorder="1" applyAlignment="1" applyProtection="1">
      <alignment horizontal="center" vertical="center"/>
      <protection locked="0"/>
    </xf>
    <xf numFmtId="170" fontId="0" fillId="0" borderId="23" xfId="0" applyNumberFormat="1" applyFont="1" applyBorder="1" applyAlignment="1" applyProtection="1">
      <alignment horizontal="center" vertical="center"/>
      <protection locked="0"/>
    </xf>
    <xf numFmtId="0" fontId="0" fillId="0" borderId="59" xfId="0"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0" fontId="0" fillId="0" borderId="56"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0" fillId="0" borderId="60" xfId="0" applyFont="1" applyBorder="1" applyAlignment="1" applyProtection="1">
      <alignment horizontal="left" vertical="center" wrapText="1"/>
      <protection locked="0"/>
    </xf>
    <xf numFmtId="0" fontId="0" fillId="6" borderId="57" xfId="0" applyNumberFormat="1" applyFont="1" applyFill="1" applyBorder="1" applyAlignment="1" applyProtection="1">
      <alignment horizontal="center" vertical="center" wrapText="1"/>
    </xf>
    <xf numFmtId="0" fontId="0" fillId="6" borderId="58" xfId="0" applyNumberFormat="1" applyFont="1" applyFill="1" applyBorder="1" applyAlignment="1" applyProtection="1">
      <alignment horizontal="center" vertical="center" wrapText="1"/>
    </xf>
    <xf numFmtId="0" fontId="0" fillId="0" borderId="60" xfId="0" applyFont="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5" borderId="56" xfId="4" applyFont="1" applyFill="1" applyBorder="1" applyAlignment="1" applyProtection="1">
      <alignment horizontal="center" vertical="center" wrapText="1"/>
      <protection hidden="1"/>
    </xf>
    <xf numFmtId="0" fontId="0" fillId="5" borderId="23" xfId="4" applyFont="1" applyFill="1" applyBorder="1" applyAlignment="1" applyProtection="1">
      <alignment horizontal="center" vertical="center" wrapText="1"/>
      <protection hidden="1"/>
    </xf>
    <xf numFmtId="0" fontId="0" fillId="0" borderId="56"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168" fontId="0" fillId="0" borderId="60" xfId="0" applyNumberFormat="1" applyFont="1" applyBorder="1" applyAlignment="1" applyProtection="1">
      <alignment horizontal="center" vertical="center"/>
      <protection locked="0"/>
    </xf>
    <xf numFmtId="168" fontId="0" fillId="0" borderId="61" xfId="0" applyNumberFormat="1" applyFont="1" applyBorder="1" applyAlignment="1" applyProtection="1">
      <alignment horizontal="center" vertical="center"/>
      <protection locked="0"/>
    </xf>
    <xf numFmtId="170" fontId="17" fillId="2" borderId="56" xfId="0" applyNumberFormat="1" applyFont="1" applyFill="1" applyBorder="1" applyAlignment="1" applyProtection="1">
      <alignment horizontal="center" vertical="center"/>
      <protection locked="0"/>
    </xf>
    <xf numFmtId="170" fontId="17" fillId="2" borderId="23" xfId="0" applyNumberFormat="1" applyFont="1" applyFill="1" applyBorder="1" applyAlignment="1" applyProtection="1">
      <alignment horizontal="center" vertical="center"/>
      <protection locked="0"/>
    </xf>
    <xf numFmtId="0" fontId="0" fillId="0" borderId="56" xfId="0" applyFill="1" applyBorder="1" applyAlignment="1" applyProtection="1">
      <alignment horizontal="left" vertical="center" wrapText="1"/>
      <protection locked="0"/>
    </xf>
    <xf numFmtId="0" fontId="0" fillId="0" borderId="23"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170" fontId="17" fillId="0" borderId="56" xfId="0" applyNumberFormat="1" applyFont="1" applyBorder="1" applyAlignment="1" applyProtection="1">
      <alignment horizontal="center" vertical="center"/>
      <protection locked="0"/>
    </xf>
    <xf numFmtId="170" fontId="17" fillId="0" borderId="23" xfId="0" applyNumberFormat="1" applyFont="1"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60" xfId="0" applyBorder="1" applyAlignment="1" applyProtection="1">
      <alignment horizontal="left" vertical="center" wrapText="1"/>
      <protection locked="0"/>
    </xf>
    <xf numFmtId="0" fontId="17" fillId="0" borderId="60" xfId="0" applyFont="1" applyBorder="1" applyAlignment="1" applyProtection="1">
      <alignment horizontal="left" vertical="center" wrapText="1"/>
      <protection locked="0"/>
    </xf>
    <xf numFmtId="168" fontId="76" fillId="0" borderId="56" xfId="0" applyNumberFormat="1" applyFont="1" applyBorder="1" applyAlignment="1" applyProtection="1">
      <alignment horizontal="center" vertical="center" wrapText="1"/>
      <protection locked="0"/>
    </xf>
    <xf numFmtId="168" fontId="76" fillId="0" borderId="23" xfId="0" applyNumberFormat="1" applyFont="1" applyBorder="1" applyAlignment="1" applyProtection="1">
      <alignment horizontal="center" vertical="center" wrapText="1"/>
      <protection locked="0"/>
    </xf>
    <xf numFmtId="0" fontId="0" fillId="0" borderId="60" xfId="0" applyBorder="1" applyAlignment="1" applyProtection="1">
      <alignment horizontal="left" vertical="center"/>
      <protection locked="0"/>
    </xf>
    <xf numFmtId="0" fontId="0" fillId="0" borderId="23" xfId="0" applyBorder="1" applyAlignment="1" applyProtection="1">
      <alignment horizontal="left" vertical="center"/>
      <protection locked="0"/>
    </xf>
    <xf numFmtId="176" fontId="17" fillId="2" borderId="60" xfId="0" applyNumberFormat="1" applyFont="1" applyFill="1" applyBorder="1" applyAlignment="1" applyProtection="1">
      <alignment horizontal="center" vertical="center"/>
      <protection locked="0"/>
    </xf>
    <xf numFmtId="176" fontId="17" fillId="2" borderId="61" xfId="0" applyNumberFormat="1" applyFont="1" applyFill="1" applyBorder="1" applyAlignment="1" applyProtection="1">
      <alignment horizontal="center" vertical="center"/>
      <protection locked="0"/>
    </xf>
    <xf numFmtId="170" fontId="76" fillId="0" borderId="56" xfId="0" applyNumberFormat="1" applyFont="1" applyBorder="1" applyAlignment="1" applyProtection="1">
      <alignment horizontal="center" vertical="center"/>
      <protection locked="0"/>
    </xf>
    <xf numFmtId="170" fontId="76" fillId="0" borderId="23" xfId="0" applyNumberFormat="1" applyFont="1" applyBorder="1" applyAlignment="1" applyProtection="1">
      <alignment horizontal="center" vertical="center"/>
      <protection locked="0"/>
    </xf>
    <xf numFmtId="0" fontId="0" fillId="0" borderId="56"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17" fillId="0" borderId="59" xfId="0" applyFont="1" applyBorder="1" applyAlignment="1" applyProtection="1">
      <alignment horizontal="center" vertical="center"/>
      <protection locked="0"/>
    </xf>
    <xf numFmtId="0" fontId="17" fillId="0" borderId="69" xfId="0" applyFont="1" applyBorder="1" applyAlignment="1" applyProtection="1">
      <alignment horizontal="center" vertical="center"/>
      <protection locked="0"/>
    </xf>
    <xf numFmtId="168" fontId="17" fillId="2" borderId="60" xfId="0" applyNumberFormat="1" applyFont="1" applyFill="1" applyBorder="1" applyAlignment="1" applyProtection="1">
      <alignment horizontal="center" vertical="center"/>
      <protection locked="0"/>
    </xf>
    <xf numFmtId="168" fontId="17" fillId="2" borderId="61" xfId="0" applyNumberFormat="1" applyFont="1" applyFill="1" applyBorder="1" applyAlignment="1" applyProtection="1">
      <alignment horizontal="center" vertical="center"/>
      <protection locked="0"/>
    </xf>
    <xf numFmtId="0" fontId="17" fillId="2" borderId="56" xfId="0" applyFont="1" applyFill="1" applyBorder="1" applyAlignment="1" applyProtection="1">
      <alignment horizontal="center" vertical="center"/>
      <protection locked="0"/>
    </xf>
    <xf numFmtId="0" fontId="17" fillId="2" borderId="23" xfId="0" applyFont="1" applyFill="1" applyBorder="1" applyAlignment="1" applyProtection="1">
      <alignment horizontal="center" vertical="center"/>
      <protection locked="0"/>
    </xf>
    <xf numFmtId="0" fontId="17" fillId="2" borderId="59" xfId="0" applyFont="1" applyFill="1" applyBorder="1" applyAlignment="1" applyProtection="1">
      <alignment horizontal="center" vertical="center"/>
      <protection locked="0"/>
    </xf>
    <xf numFmtId="0" fontId="17" fillId="2" borderId="69" xfId="0" applyFont="1" applyFill="1" applyBorder="1" applyAlignment="1" applyProtection="1">
      <alignment horizontal="center" vertical="center"/>
      <protection locked="0"/>
    </xf>
    <xf numFmtId="168" fontId="17" fillId="0" borderId="60" xfId="0" applyNumberFormat="1" applyFont="1" applyBorder="1" applyAlignment="1" applyProtection="1">
      <alignment horizontal="center" vertical="center"/>
      <protection locked="0"/>
    </xf>
    <xf numFmtId="168" fontId="17" fillId="0" borderId="61" xfId="0" applyNumberFormat="1" applyFont="1" applyBorder="1" applyAlignment="1" applyProtection="1">
      <alignment horizontal="center" vertical="center"/>
      <protection locked="0"/>
    </xf>
    <xf numFmtId="0" fontId="17" fillId="0" borderId="56"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175" fontId="17" fillId="0" borderId="60" xfId="0" applyNumberFormat="1" applyFont="1" applyBorder="1" applyAlignment="1" applyProtection="1">
      <alignment horizontal="center" vertical="center"/>
      <protection locked="0"/>
    </xf>
    <xf numFmtId="175" fontId="17" fillId="0" borderId="61" xfId="0" applyNumberFormat="1" applyFont="1" applyBorder="1" applyAlignment="1" applyProtection="1">
      <alignment horizontal="center" vertical="center"/>
      <protection locked="0"/>
    </xf>
    <xf numFmtId="0" fontId="17" fillId="0" borderId="60" xfId="0" applyFont="1" applyFill="1" applyBorder="1" applyAlignment="1" applyProtection="1">
      <alignment horizontal="left" vertical="center"/>
      <protection locked="0"/>
    </xf>
    <xf numFmtId="0" fontId="17" fillId="0" borderId="23" xfId="0" applyFont="1" applyFill="1" applyBorder="1" applyAlignment="1" applyProtection="1">
      <alignment horizontal="left" vertical="center"/>
      <protection locked="0"/>
    </xf>
    <xf numFmtId="168" fontId="0" fillId="0" borderId="60" xfId="0" applyNumberFormat="1" applyBorder="1" applyAlignment="1" applyProtection="1">
      <alignment horizontal="center" vertical="center"/>
      <protection locked="0"/>
    </xf>
    <xf numFmtId="168" fontId="0" fillId="0" borderId="61" xfId="0" applyNumberFormat="1" applyBorder="1" applyAlignment="1" applyProtection="1">
      <alignment horizontal="center" vertical="center"/>
      <protection locked="0"/>
    </xf>
    <xf numFmtId="170" fontId="0" fillId="0" borderId="56" xfId="0" applyNumberFormat="1" applyBorder="1" applyAlignment="1" applyProtection="1">
      <alignment horizontal="center" vertical="center"/>
      <protection locked="0"/>
    </xf>
    <xf numFmtId="170" fontId="0" fillId="0" borderId="23" xfId="0" applyNumberFormat="1" applyBorder="1" applyAlignment="1" applyProtection="1">
      <alignment horizontal="center" vertical="center"/>
      <protection locked="0"/>
    </xf>
    <xf numFmtId="0" fontId="22" fillId="4" borderId="8" xfId="0" applyFont="1" applyFill="1" applyBorder="1" applyAlignment="1" applyProtection="1">
      <alignment horizontal="center" vertical="center"/>
    </xf>
    <xf numFmtId="0" fontId="22" fillId="4" borderId="18" xfId="0" applyFont="1" applyFill="1" applyBorder="1" applyAlignment="1" applyProtection="1">
      <alignment horizontal="center" vertical="center"/>
    </xf>
    <xf numFmtId="0" fontId="22" fillId="4" borderId="9" xfId="0" applyFont="1" applyFill="1" applyBorder="1" applyAlignment="1" applyProtection="1">
      <alignment horizontal="center" vertical="center"/>
    </xf>
    <xf numFmtId="0" fontId="22" fillId="4" borderId="15" xfId="0" applyFont="1" applyFill="1" applyBorder="1" applyAlignment="1" applyProtection="1">
      <alignment horizontal="center" vertical="center"/>
    </xf>
    <xf numFmtId="0" fontId="22" fillId="4" borderId="16" xfId="0" applyFont="1" applyFill="1" applyBorder="1" applyAlignment="1" applyProtection="1">
      <alignment horizontal="center" vertical="center"/>
    </xf>
    <xf numFmtId="0" fontId="22" fillId="4" borderId="17" xfId="0" applyFont="1" applyFill="1" applyBorder="1" applyAlignment="1" applyProtection="1">
      <alignment horizontal="center" vertical="center"/>
    </xf>
    <xf numFmtId="0" fontId="0" fillId="17" borderId="22" xfId="0" applyFill="1" applyBorder="1" applyAlignment="1"/>
    <xf numFmtId="173" fontId="0" fillId="0" borderId="56" xfId="0" applyNumberFormat="1" applyFont="1" applyBorder="1" applyAlignment="1" applyProtection="1">
      <alignment horizontal="center" vertical="center"/>
      <protection locked="0"/>
    </xf>
    <xf numFmtId="173" fontId="0" fillId="0" borderId="23" xfId="0" applyNumberFormat="1" applyFont="1" applyBorder="1" applyAlignment="1" applyProtection="1">
      <alignment horizontal="center" vertical="center"/>
      <protection locked="0"/>
    </xf>
    <xf numFmtId="0" fontId="17" fillId="0" borderId="56" xfId="0" applyFont="1" applyFill="1" applyBorder="1" applyAlignment="1" applyProtection="1">
      <alignment horizontal="left" vertical="center" wrapText="1"/>
      <protection locked="0"/>
    </xf>
    <xf numFmtId="0" fontId="17" fillId="0" borderId="23" xfId="0" applyFont="1" applyFill="1" applyBorder="1" applyAlignment="1" applyProtection="1">
      <alignment horizontal="left" vertical="center" wrapText="1"/>
      <protection locked="0"/>
    </xf>
    <xf numFmtId="0" fontId="0" fillId="0" borderId="56"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168" fontId="0" fillId="0" borderId="56" xfId="0" applyNumberFormat="1" applyBorder="1" applyAlignment="1" applyProtection="1">
      <alignment horizontal="center" vertical="center"/>
      <protection locked="0"/>
    </xf>
    <xf numFmtId="168" fontId="0" fillId="0" borderId="23" xfId="0" applyNumberFormat="1" applyBorder="1" applyAlignment="1" applyProtection="1">
      <alignment horizontal="center" vertical="center"/>
      <protection locked="0"/>
    </xf>
    <xf numFmtId="0" fontId="0" fillId="6" borderId="57" xfId="0" applyNumberFormat="1" applyFont="1" applyFill="1" applyBorder="1" applyAlignment="1" applyProtection="1">
      <alignment horizontal="center" vertical="center" wrapText="1"/>
      <protection locked="0"/>
    </xf>
    <xf numFmtId="0" fontId="0" fillId="6" borderId="58" xfId="0" applyNumberFormat="1" applyFont="1" applyFill="1" applyBorder="1" applyAlignment="1" applyProtection="1">
      <alignment horizontal="center" vertical="center" wrapText="1"/>
      <protection locked="0"/>
    </xf>
    <xf numFmtId="0" fontId="0" fillId="2" borderId="56"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168" fontId="0" fillId="0" borderId="56" xfId="0" applyNumberFormat="1" applyFill="1" applyBorder="1" applyAlignment="1" applyProtection="1">
      <alignment horizontal="center" vertical="center"/>
      <protection locked="0"/>
    </xf>
    <xf numFmtId="168" fontId="0" fillId="0" borderId="23" xfId="0" applyNumberFormat="1" applyFill="1" applyBorder="1" applyAlignment="1" applyProtection="1">
      <alignment horizontal="center" vertical="center"/>
      <protection locked="0"/>
    </xf>
    <xf numFmtId="0" fontId="0" fillId="0" borderId="56" xfId="0" applyFill="1" applyBorder="1" applyAlignment="1" applyProtection="1">
      <alignment horizontal="center" vertical="center"/>
      <protection locked="0"/>
    </xf>
    <xf numFmtId="0" fontId="0" fillId="0" borderId="23" xfId="0" applyFill="1" applyBorder="1" applyAlignment="1" applyProtection="1">
      <alignment horizontal="center" vertical="center"/>
      <protection locked="0"/>
    </xf>
    <xf numFmtId="0" fontId="44" fillId="5" borderId="56" xfId="4" applyFont="1" applyFill="1" applyBorder="1" applyAlignment="1" applyProtection="1">
      <alignment horizontal="center" vertical="center" wrapText="1"/>
      <protection hidden="1"/>
    </xf>
    <xf numFmtId="0" fontId="44" fillId="5" borderId="23" xfId="4" applyFont="1" applyFill="1" applyBorder="1" applyAlignment="1" applyProtection="1">
      <alignment horizontal="center" vertical="center" wrapText="1"/>
      <protection hidden="1"/>
    </xf>
    <xf numFmtId="0" fontId="0" fillId="0" borderId="56" xfId="0" applyBorder="1" applyAlignment="1" applyProtection="1">
      <alignment vertical="center" wrapText="1"/>
      <protection locked="0"/>
    </xf>
    <xf numFmtId="0" fontId="0" fillId="0" borderId="23" xfId="0" applyBorder="1" applyAlignment="1" applyProtection="1">
      <alignment vertical="center" wrapText="1"/>
      <protection locked="0"/>
    </xf>
    <xf numFmtId="168" fontId="0" fillId="2" borderId="56" xfId="0" applyNumberFormat="1" applyFill="1" applyBorder="1" applyAlignment="1" applyProtection="1">
      <alignment horizontal="center" vertical="center"/>
      <protection locked="0"/>
    </xf>
    <xf numFmtId="168" fontId="0" fillId="2" borderId="23" xfId="0" applyNumberFormat="1" applyFill="1" applyBorder="1" applyAlignment="1" applyProtection="1">
      <alignment horizontal="center" vertical="center"/>
      <protection locked="0"/>
    </xf>
    <xf numFmtId="176" fontId="0" fillId="0" borderId="56" xfId="0" applyNumberFormat="1" applyBorder="1" applyAlignment="1" applyProtection="1">
      <alignment horizontal="center" vertical="center"/>
      <protection locked="0"/>
    </xf>
    <xf numFmtId="176" fontId="0" fillId="0" borderId="23" xfId="0" applyNumberFormat="1" applyBorder="1" applyAlignment="1" applyProtection="1">
      <alignment horizontal="center" vertical="center"/>
      <protection locked="0"/>
    </xf>
    <xf numFmtId="0" fontId="0" fillId="2" borderId="56" xfId="0" applyFill="1" applyBorder="1" applyAlignment="1" applyProtection="1">
      <alignment horizontal="center" vertical="center"/>
      <protection locked="0"/>
    </xf>
    <xf numFmtId="0" fontId="0" fillId="2" borderId="23" xfId="0" applyFill="1" applyBorder="1" applyAlignment="1" applyProtection="1">
      <alignment horizontal="center" vertical="center"/>
      <protection locked="0"/>
    </xf>
    <xf numFmtId="0" fontId="46" fillId="4" borderId="0" xfId="0" applyFont="1" applyFill="1" applyBorder="1" applyAlignment="1" applyProtection="1">
      <alignment horizontal="center" vertical="center" wrapText="1"/>
    </xf>
    <xf numFmtId="0" fontId="47" fillId="4" borderId="0" xfId="0" applyFont="1" applyFill="1" applyAlignment="1">
      <alignment horizontal="center" vertical="center"/>
    </xf>
    <xf numFmtId="0" fontId="0" fillId="0" borderId="0" xfId="0" applyBorder="1" applyAlignment="1">
      <alignment horizontal="center"/>
    </xf>
    <xf numFmtId="0" fontId="45" fillId="17" borderId="22" xfId="0" applyFont="1" applyFill="1" applyBorder="1" applyAlignment="1">
      <alignment horizontal="center" vertical="center"/>
    </xf>
    <xf numFmtId="176" fontId="17" fillId="0" borderId="56" xfId="0" applyNumberFormat="1" applyFont="1" applyBorder="1" applyAlignment="1" applyProtection="1">
      <alignment horizontal="center" vertical="center"/>
      <protection locked="0"/>
    </xf>
    <xf numFmtId="176" fontId="17" fillId="0" borderId="23" xfId="0" applyNumberFormat="1" applyFont="1" applyBorder="1" applyAlignment="1" applyProtection="1">
      <alignment horizontal="center" vertical="center"/>
      <protection locked="0"/>
    </xf>
    <xf numFmtId="0" fontId="45" fillId="17" borderId="51" xfId="0" applyFont="1" applyFill="1" applyBorder="1" applyAlignment="1">
      <alignment horizontal="center" vertical="center"/>
    </xf>
    <xf numFmtId="0" fontId="45" fillId="17" borderId="52" xfId="0" applyFont="1" applyFill="1" applyBorder="1" applyAlignment="1">
      <alignment horizontal="center" vertical="center"/>
    </xf>
    <xf numFmtId="0" fontId="45" fillId="17" borderId="70" xfId="0" applyFont="1" applyFill="1" applyBorder="1" applyAlignment="1">
      <alignment horizontal="center" vertical="center"/>
    </xf>
    <xf numFmtId="176" fontId="17" fillId="2" borderId="56" xfId="0" applyNumberFormat="1" applyFont="1" applyFill="1" applyBorder="1" applyAlignment="1" applyProtection="1">
      <alignment horizontal="center" vertical="center"/>
      <protection locked="0"/>
    </xf>
    <xf numFmtId="176" fontId="17" fillId="2" borderId="23" xfId="0" applyNumberFormat="1" applyFont="1" applyFill="1" applyBorder="1" applyAlignment="1" applyProtection="1">
      <alignment horizontal="center" vertical="center"/>
      <protection locked="0"/>
    </xf>
    <xf numFmtId="0" fontId="0" fillId="2" borderId="56" xfId="0" applyFill="1" applyBorder="1" applyAlignment="1" applyProtection="1">
      <alignment vertical="center" wrapText="1"/>
      <protection locked="0"/>
    </xf>
    <xf numFmtId="0" fontId="0" fillId="2" borderId="23" xfId="0" applyFill="1" applyBorder="1" applyAlignment="1" applyProtection="1">
      <alignment vertical="center" wrapText="1"/>
      <protection locked="0"/>
    </xf>
    <xf numFmtId="0" fontId="23" fillId="2" borderId="56" xfId="0" applyFont="1" applyFill="1" applyBorder="1" applyAlignment="1" applyProtection="1">
      <alignment horizontal="left" vertical="center" wrapText="1"/>
      <protection locked="0"/>
    </xf>
    <xf numFmtId="0" fontId="23" fillId="2" borderId="23" xfId="0" applyFont="1" applyFill="1" applyBorder="1" applyAlignment="1" applyProtection="1">
      <alignment horizontal="left" vertical="center" wrapText="1"/>
      <protection locked="0"/>
    </xf>
    <xf numFmtId="0" fontId="0" fillId="2" borderId="56" xfId="0" applyFill="1" applyBorder="1" applyAlignment="1" applyProtection="1">
      <alignment horizontal="left" vertical="center" wrapText="1"/>
    </xf>
    <xf numFmtId="0" fontId="0" fillId="2" borderId="23" xfId="0" applyFill="1" applyBorder="1" applyAlignment="1" applyProtection="1">
      <alignment horizontal="left" vertical="center" wrapText="1"/>
    </xf>
    <xf numFmtId="10" fontId="0" fillId="2" borderId="56" xfId="0" applyNumberFormat="1" applyFill="1" applyBorder="1" applyAlignment="1" applyProtection="1">
      <alignment horizontal="center" vertical="center"/>
      <protection locked="0"/>
    </xf>
    <xf numFmtId="10" fontId="0" fillId="2" borderId="23" xfId="0" applyNumberFormat="1" applyFill="1" applyBorder="1" applyAlignment="1" applyProtection="1">
      <alignment horizontal="center" vertical="center"/>
      <protection locked="0"/>
    </xf>
    <xf numFmtId="0" fontId="0" fillId="2" borderId="56" xfId="0" applyFill="1" applyBorder="1" applyAlignment="1" applyProtection="1">
      <alignment horizontal="center" vertical="center" wrapText="1"/>
      <protection locked="0"/>
    </xf>
    <xf numFmtId="0" fontId="0" fillId="2" borderId="23" xfId="0" applyFill="1" applyBorder="1" applyAlignment="1" applyProtection="1">
      <alignment horizontal="center" vertical="center" wrapText="1"/>
      <protection locked="0"/>
    </xf>
    <xf numFmtId="0" fontId="0" fillId="2" borderId="56" xfId="0" applyFill="1" applyBorder="1" applyAlignment="1" applyProtection="1">
      <alignment horizontal="center" vertical="center"/>
    </xf>
    <xf numFmtId="0" fontId="0" fillId="2" borderId="23" xfId="0" applyFill="1" applyBorder="1" applyAlignment="1" applyProtection="1">
      <alignment horizontal="center" vertical="center"/>
    </xf>
    <xf numFmtId="0" fontId="0" fillId="2" borderId="56" xfId="0" applyFill="1" applyBorder="1" applyAlignment="1" applyProtection="1">
      <alignment horizontal="center" vertical="center" wrapText="1"/>
    </xf>
    <xf numFmtId="0" fontId="0" fillId="2" borderId="23" xfId="0" applyFill="1" applyBorder="1" applyAlignment="1" applyProtection="1">
      <alignment horizontal="center" vertical="center" wrapText="1"/>
    </xf>
    <xf numFmtId="0" fontId="0" fillId="2" borderId="82" xfId="0" applyFill="1" applyBorder="1" applyAlignment="1">
      <alignment horizontal="center"/>
    </xf>
    <xf numFmtId="0" fontId="22" fillId="4" borderId="18" xfId="0" quotePrefix="1" applyFont="1" applyFill="1" applyBorder="1" applyAlignment="1" applyProtection="1">
      <alignment horizontal="center" vertical="center"/>
    </xf>
    <xf numFmtId="0" fontId="22" fillId="4" borderId="0" xfId="0" quotePrefix="1" applyFont="1" applyFill="1" applyBorder="1" applyAlignment="1" applyProtection="1">
      <alignment horizontal="center" vertical="center"/>
    </xf>
    <xf numFmtId="0" fontId="20" fillId="4" borderId="51" xfId="0" applyFont="1" applyFill="1" applyBorder="1" applyAlignment="1" applyProtection="1">
      <alignment horizontal="center" vertical="center"/>
    </xf>
    <xf numFmtId="0" fontId="20" fillId="4" borderId="52" xfId="0" applyFont="1" applyFill="1" applyBorder="1" applyAlignment="1" applyProtection="1">
      <alignment horizontal="center" vertical="center"/>
    </xf>
    <xf numFmtId="0" fontId="20" fillId="4" borderId="69" xfId="0" applyFont="1" applyFill="1" applyBorder="1" applyAlignment="1" applyProtection="1">
      <alignment horizontal="center" vertical="center"/>
      <protection hidden="1"/>
    </xf>
    <xf numFmtId="0" fontId="20" fillId="4" borderId="55" xfId="0" applyFont="1" applyFill="1" applyBorder="1" applyAlignment="1" applyProtection="1">
      <alignment horizontal="center" vertical="center"/>
      <protection hidden="1"/>
    </xf>
    <xf numFmtId="0" fontId="20" fillId="4" borderId="70" xfId="0" applyFont="1" applyFill="1" applyBorder="1" applyAlignment="1" applyProtection="1">
      <alignment horizontal="center" vertical="center"/>
    </xf>
    <xf numFmtId="0" fontId="22" fillId="4" borderId="22" xfId="0" applyFont="1" applyFill="1" applyBorder="1" applyAlignment="1" applyProtection="1">
      <alignment horizontal="center" vertical="center"/>
    </xf>
    <xf numFmtId="0" fontId="0" fillId="0" borderId="22" xfId="0" applyBorder="1" applyAlignment="1">
      <alignment horizontal="center" vertical="center"/>
    </xf>
    <xf numFmtId="16" fontId="45" fillId="17" borderId="51" xfId="0" applyNumberFormat="1" applyFont="1" applyFill="1" applyBorder="1" applyAlignment="1">
      <alignment horizontal="center" vertical="center"/>
    </xf>
    <xf numFmtId="16" fontId="45" fillId="17" borderId="52" xfId="0" applyNumberFormat="1" applyFont="1" applyFill="1" applyBorder="1" applyAlignment="1">
      <alignment horizontal="center" vertical="center"/>
    </xf>
    <xf numFmtId="16" fontId="45" fillId="17" borderId="70" xfId="0" applyNumberFormat="1" applyFont="1" applyFill="1" applyBorder="1" applyAlignment="1">
      <alignment horizontal="center" vertical="center"/>
    </xf>
    <xf numFmtId="15" fontId="35" fillId="16" borderId="84" xfId="0" applyNumberFormat="1" applyFont="1" applyFill="1" applyBorder="1" applyAlignment="1" applyProtection="1">
      <alignment horizontal="center" vertical="center" wrapText="1"/>
      <protection hidden="1"/>
    </xf>
    <xf numFmtId="15" fontId="35" fillId="16" borderId="70" xfId="0" applyNumberFormat="1" applyFont="1" applyFill="1" applyBorder="1" applyAlignment="1" applyProtection="1">
      <alignment horizontal="center" vertical="center" wrapText="1"/>
      <protection hidden="1"/>
    </xf>
    <xf numFmtId="0" fontId="34" fillId="9" borderId="38" xfId="0" applyFont="1" applyFill="1" applyBorder="1" applyAlignment="1" applyProtection="1">
      <alignment horizontal="center" vertical="center" wrapText="1"/>
      <protection hidden="1"/>
    </xf>
    <xf numFmtId="0" fontId="34" fillId="9" borderId="37" xfId="0" applyFont="1" applyFill="1" applyBorder="1" applyAlignment="1" applyProtection="1">
      <alignment horizontal="center" vertical="center" wrapText="1"/>
      <protection hidden="1"/>
    </xf>
    <xf numFmtId="0" fontId="34" fillId="9" borderId="85" xfId="0" applyFont="1" applyFill="1" applyBorder="1" applyAlignment="1" applyProtection="1">
      <alignment horizontal="center" vertical="center" wrapText="1"/>
      <protection hidden="1"/>
    </xf>
    <xf numFmtId="0" fontId="33" fillId="6" borderId="84" xfId="0" applyNumberFormat="1" applyFont="1" applyFill="1" applyBorder="1" applyAlignment="1" applyProtection="1">
      <alignment horizontal="center" vertical="center" wrapText="1"/>
      <protection hidden="1"/>
    </xf>
    <xf numFmtId="0" fontId="33" fillId="6" borderId="52" xfId="0" applyNumberFormat="1" applyFont="1" applyFill="1" applyBorder="1" applyAlignment="1" applyProtection="1">
      <alignment horizontal="center" vertical="center" wrapText="1"/>
      <protection hidden="1"/>
    </xf>
    <xf numFmtId="0" fontId="33" fillId="6" borderId="70" xfId="0" applyNumberFormat="1" applyFont="1" applyFill="1" applyBorder="1" applyAlignment="1" applyProtection="1">
      <alignment horizontal="center" vertical="center" wrapText="1"/>
      <protection hidden="1"/>
    </xf>
    <xf numFmtId="15" fontId="35" fillId="6" borderId="88" xfId="0" applyNumberFormat="1" applyFont="1" applyFill="1" applyBorder="1" applyAlignment="1" applyProtection="1">
      <alignment horizontal="center" vertical="center"/>
      <protection locked="0" hidden="1"/>
    </xf>
    <xf numFmtId="15" fontId="35" fillId="6" borderId="53" xfId="0" applyNumberFormat="1" applyFont="1" applyFill="1" applyBorder="1" applyAlignment="1" applyProtection="1">
      <alignment horizontal="center" vertical="center"/>
      <protection locked="0" hidden="1"/>
    </xf>
    <xf numFmtId="0" fontId="30" fillId="9" borderId="84" xfId="0" applyFont="1" applyFill="1" applyBorder="1" applyAlignment="1" applyProtection="1">
      <alignment horizontal="center" vertical="center" wrapText="1"/>
      <protection hidden="1"/>
    </xf>
    <xf numFmtId="0" fontId="30" fillId="9" borderId="52" xfId="0" applyFont="1" applyFill="1" applyBorder="1" applyAlignment="1" applyProtection="1">
      <alignment horizontal="center" vertical="center" wrapText="1"/>
      <protection hidden="1"/>
    </xf>
    <xf numFmtId="0" fontId="30" fillId="9" borderId="87" xfId="0" applyFont="1" applyFill="1" applyBorder="1" applyAlignment="1" applyProtection="1">
      <alignment horizontal="center" vertical="center" wrapText="1"/>
      <protection hidden="1"/>
    </xf>
    <xf numFmtId="0" fontId="35" fillId="6" borderId="88" xfId="0" applyNumberFormat="1" applyFont="1" applyFill="1" applyBorder="1" applyAlignment="1" applyProtection="1">
      <alignment horizontal="center" vertical="center"/>
      <protection locked="0" hidden="1"/>
    </xf>
    <xf numFmtId="0" fontId="35" fillId="6" borderId="53" xfId="0" applyNumberFormat="1" applyFont="1" applyFill="1" applyBorder="1" applyAlignment="1" applyProtection="1">
      <alignment horizontal="center" vertical="center"/>
      <protection locked="0" hidden="1"/>
    </xf>
    <xf numFmtId="0" fontId="30" fillId="9" borderId="89" xfId="0" applyFont="1" applyFill="1" applyBorder="1" applyAlignment="1" applyProtection="1">
      <alignment horizontal="center" vertical="center" wrapText="1"/>
      <protection hidden="1"/>
    </xf>
    <xf numFmtId="0" fontId="30" fillId="9" borderId="90" xfId="0" applyFont="1" applyFill="1" applyBorder="1" applyAlignment="1" applyProtection="1">
      <alignment horizontal="center" vertical="center" wrapText="1"/>
      <protection hidden="1"/>
    </xf>
    <xf numFmtId="0" fontId="30" fillId="9" borderId="91" xfId="0" applyFont="1" applyFill="1" applyBorder="1" applyAlignment="1" applyProtection="1">
      <alignment horizontal="center" vertical="center" wrapText="1"/>
      <protection hidden="1"/>
    </xf>
    <xf numFmtId="49" fontId="36" fillId="2" borderId="43" xfId="0" applyNumberFormat="1" applyFont="1" applyFill="1" applyBorder="1" applyAlignment="1" applyProtection="1">
      <alignment horizontal="center" vertical="center" wrapText="1"/>
      <protection hidden="1"/>
    </xf>
    <xf numFmtId="0" fontId="40" fillId="2" borderId="0" xfId="0" applyFont="1" applyFill="1" applyAlignment="1">
      <alignment horizontal="center"/>
    </xf>
    <xf numFmtId="0" fontId="39" fillId="2" borderId="0" xfId="0" applyFont="1" applyFill="1" applyAlignment="1">
      <alignment horizontal="center"/>
    </xf>
    <xf numFmtId="49" fontId="36" fillId="12" borderId="43" xfId="0" applyNumberFormat="1" applyFont="1" applyFill="1" applyBorder="1" applyAlignment="1" applyProtection="1">
      <alignment horizontal="center" vertical="center" wrapText="1"/>
      <protection hidden="1"/>
    </xf>
    <xf numFmtId="49" fontId="36" fillId="12" borderId="42" xfId="0" applyNumberFormat="1" applyFont="1" applyFill="1" applyBorder="1" applyAlignment="1" applyProtection="1">
      <alignment horizontal="center" vertical="center" wrapText="1"/>
      <protection hidden="1"/>
    </xf>
    <xf numFmtId="0" fontId="36" fillId="2" borderId="33" xfId="0" applyNumberFormat="1" applyFont="1" applyFill="1" applyBorder="1" applyAlignment="1" applyProtection="1">
      <alignment horizontal="left" vertical="center" wrapText="1"/>
      <protection hidden="1"/>
    </xf>
    <xf numFmtId="0" fontId="36" fillId="2" borderId="97" xfId="0" applyNumberFormat="1" applyFont="1" applyFill="1" applyBorder="1" applyAlignment="1" applyProtection="1">
      <alignment horizontal="left" vertical="center" wrapText="1"/>
      <protection hidden="1"/>
    </xf>
    <xf numFmtId="0" fontId="36" fillId="2" borderId="34" xfId="0" applyNumberFormat="1" applyFont="1" applyFill="1" applyBorder="1" applyAlignment="1" applyProtection="1">
      <alignment horizontal="left" vertical="center" wrapText="1"/>
      <protection hidden="1"/>
    </xf>
    <xf numFmtId="0" fontId="36" fillId="11" borderId="49" xfId="0" applyNumberFormat="1" applyFont="1" applyFill="1" applyBorder="1" applyAlignment="1" applyProtection="1">
      <alignment horizontal="left" vertical="center" wrapText="1"/>
      <protection hidden="1"/>
    </xf>
    <xf numFmtId="0" fontId="36" fillId="11" borderId="104" xfId="0" applyNumberFormat="1" applyFont="1" applyFill="1" applyBorder="1" applyAlignment="1" applyProtection="1">
      <alignment horizontal="left" vertical="center" wrapText="1"/>
      <protection hidden="1"/>
    </xf>
    <xf numFmtId="0" fontId="36" fillId="11" borderId="97" xfId="0" applyNumberFormat="1" applyFont="1" applyFill="1" applyBorder="1" applyAlignment="1" applyProtection="1">
      <alignment horizontal="left" vertical="center" wrapText="1"/>
      <protection hidden="1"/>
    </xf>
    <xf numFmtId="0" fontId="36" fillId="11" borderId="34" xfId="0" applyNumberFormat="1" applyFont="1" applyFill="1" applyBorder="1" applyAlignment="1" applyProtection="1">
      <alignment horizontal="left" vertical="center" wrapText="1"/>
      <protection hidden="1"/>
    </xf>
    <xf numFmtId="0" fontId="40" fillId="0" borderId="0" xfId="0" applyFont="1" applyAlignment="1">
      <alignment horizontal="center"/>
    </xf>
    <xf numFmtId="49" fontId="36" fillId="10" borderId="105" xfId="0" applyNumberFormat="1" applyFont="1" applyFill="1" applyBorder="1" applyAlignment="1" applyProtection="1">
      <alignment horizontal="center" vertical="center" wrapText="1"/>
      <protection hidden="1"/>
    </xf>
    <xf numFmtId="49" fontId="36" fillId="10" borderId="106" xfId="0" applyNumberFormat="1" applyFont="1" applyFill="1" applyBorder="1" applyAlignment="1" applyProtection="1">
      <alignment horizontal="center" vertical="center" wrapText="1"/>
      <protection hidden="1"/>
    </xf>
    <xf numFmtId="49" fontId="36" fillId="15" borderId="105" xfId="0" applyNumberFormat="1" applyFont="1" applyFill="1" applyBorder="1" applyAlignment="1" applyProtection="1">
      <alignment horizontal="center" vertical="center" wrapText="1"/>
      <protection hidden="1"/>
    </xf>
    <xf numFmtId="49" fontId="36" fillId="15" borderId="106" xfId="0" applyNumberFormat="1" applyFont="1" applyFill="1" applyBorder="1" applyAlignment="1" applyProtection="1">
      <alignment horizontal="center" vertical="center" wrapText="1"/>
      <protection hidden="1"/>
    </xf>
    <xf numFmtId="0" fontId="36" fillId="15" borderId="33" xfId="0" applyNumberFormat="1" applyFont="1" applyFill="1" applyBorder="1" applyAlignment="1" applyProtection="1">
      <alignment horizontal="center" vertical="center" wrapText="1"/>
      <protection hidden="1"/>
    </xf>
    <xf numFmtId="0" fontId="36" fillId="15" borderId="97" xfId="0" applyNumberFormat="1" applyFont="1" applyFill="1" applyBorder="1" applyAlignment="1" applyProtection="1">
      <alignment horizontal="center" vertical="center" wrapText="1"/>
      <protection hidden="1"/>
    </xf>
    <xf numFmtId="0" fontId="36" fillId="15" borderId="34" xfId="0" applyNumberFormat="1" applyFont="1" applyFill="1" applyBorder="1" applyAlignment="1" applyProtection="1">
      <alignment horizontal="center" vertical="center" wrapText="1"/>
      <protection hidden="1"/>
    </xf>
    <xf numFmtId="49" fontId="36" fillId="2" borderId="33" xfId="0" applyNumberFormat="1" applyFont="1" applyFill="1" applyBorder="1" applyAlignment="1" applyProtection="1">
      <alignment horizontal="left" vertical="center" wrapText="1"/>
      <protection hidden="1"/>
    </xf>
    <xf numFmtId="49" fontId="36" fillId="2" borderId="97" xfId="0" applyNumberFormat="1" applyFont="1" applyFill="1" applyBorder="1" applyAlignment="1" applyProtection="1">
      <alignment horizontal="left" vertical="center" wrapText="1"/>
      <protection hidden="1"/>
    </xf>
    <xf numFmtId="49" fontId="36" fillId="2" borderId="34" xfId="0" applyNumberFormat="1" applyFont="1" applyFill="1" applyBorder="1" applyAlignment="1" applyProtection="1">
      <alignment horizontal="left" vertical="center" wrapText="1"/>
      <protection hidden="1"/>
    </xf>
    <xf numFmtId="0" fontId="36" fillId="10" borderId="33" xfId="0" applyNumberFormat="1" applyFont="1" applyFill="1" applyBorder="1" applyAlignment="1" applyProtection="1">
      <alignment horizontal="center" vertical="center" wrapText="1"/>
      <protection hidden="1"/>
    </xf>
    <xf numFmtId="0" fontId="36" fillId="10" borderId="97" xfId="0" applyNumberFormat="1" applyFont="1" applyFill="1" applyBorder="1" applyAlignment="1" applyProtection="1">
      <alignment horizontal="center" vertical="center" wrapText="1"/>
      <protection hidden="1"/>
    </xf>
    <xf numFmtId="0" fontId="36" fillId="10" borderId="34" xfId="0" applyNumberFormat="1" applyFont="1" applyFill="1" applyBorder="1" applyAlignment="1" applyProtection="1">
      <alignment horizontal="center" vertical="center" wrapText="1"/>
      <protection hidden="1"/>
    </xf>
    <xf numFmtId="49" fontId="36" fillId="16" borderId="43" xfId="0" applyNumberFormat="1" applyFont="1" applyFill="1" applyBorder="1" applyAlignment="1" applyProtection="1">
      <alignment horizontal="center" vertical="center" wrapText="1"/>
      <protection hidden="1"/>
    </xf>
    <xf numFmtId="0" fontId="32" fillId="6" borderId="84" xfId="0" applyNumberFormat="1" applyFont="1" applyFill="1" applyBorder="1" applyAlignment="1" applyProtection="1">
      <alignment vertical="center" wrapText="1"/>
      <protection hidden="1"/>
    </xf>
    <xf numFmtId="0" fontId="32" fillId="6" borderId="52" xfId="0" applyNumberFormat="1" applyFont="1" applyFill="1" applyBorder="1" applyAlignment="1" applyProtection="1">
      <alignment vertical="center" wrapText="1"/>
      <protection hidden="1"/>
    </xf>
    <xf numFmtId="0" fontId="31" fillId="14" borderId="92" xfId="0" applyNumberFormat="1" applyFont="1" applyFill="1" applyBorder="1" applyAlignment="1" applyProtection="1">
      <alignment horizontal="center" vertical="center" wrapText="1"/>
      <protection hidden="1"/>
    </xf>
    <xf numFmtId="0" fontId="31" fillId="14" borderId="0" xfId="0" applyNumberFormat="1" applyFont="1" applyFill="1" applyBorder="1" applyAlignment="1" applyProtection="1">
      <alignment horizontal="center" vertical="center" wrapText="1"/>
      <protection hidden="1"/>
    </xf>
    <xf numFmtId="0" fontId="30" fillId="9" borderId="98" xfId="0" applyNumberFormat="1" applyFont="1" applyFill="1" applyBorder="1" applyAlignment="1">
      <alignment horizontal="center" vertical="center" wrapText="1"/>
    </xf>
    <xf numFmtId="0" fontId="30" fillId="9" borderId="0" xfId="0" applyNumberFormat="1" applyFont="1" applyFill="1" applyBorder="1" applyAlignment="1">
      <alignment horizontal="center" vertical="center" wrapText="1"/>
    </xf>
    <xf numFmtId="0" fontId="30" fillId="9" borderId="99" xfId="0" applyNumberFormat="1" applyFont="1" applyFill="1" applyBorder="1" applyAlignment="1">
      <alignment horizontal="center" vertical="center" wrapText="1"/>
    </xf>
    <xf numFmtId="0" fontId="29" fillId="9" borderId="100" xfId="0" applyNumberFormat="1" applyFont="1" applyFill="1" applyBorder="1" applyAlignment="1">
      <alignment horizontal="center" vertical="center" wrapText="1"/>
    </xf>
    <xf numFmtId="0" fontId="29" fillId="9" borderId="41" xfId="0" applyNumberFormat="1" applyFont="1" applyFill="1" applyBorder="1" applyAlignment="1">
      <alignment horizontal="center" vertical="center" wrapText="1"/>
    </xf>
    <xf numFmtId="0" fontId="29" fillId="9" borderId="101" xfId="0" applyNumberFormat="1" applyFont="1" applyFill="1" applyBorder="1" applyAlignment="1">
      <alignment horizontal="center" vertical="center" wrapText="1"/>
    </xf>
    <xf numFmtId="0" fontId="36" fillId="10" borderId="94" xfId="0" applyNumberFormat="1" applyFont="1" applyFill="1" applyBorder="1" applyAlignment="1" applyProtection="1">
      <alignment horizontal="center" vertical="center" wrapText="1"/>
      <protection hidden="1"/>
    </xf>
    <xf numFmtId="0" fontId="36" fillId="10" borderId="95" xfId="0" applyNumberFormat="1" applyFont="1" applyFill="1" applyBorder="1" applyAlignment="1" applyProtection="1">
      <alignment horizontal="center" vertical="center" wrapText="1"/>
      <protection hidden="1"/>
    </xf>
    <xf numFmtId="0" fontId="36" fillId="10" borderId="96" xfId="0" applyNumberFormat="1" applyFont="1" applyFill="1" applyBorder="1" applyAlignment="1" applyProtection="1">
      <alignment horizontal="center" vertical="center" wrapText="1"/>
      <protection hidden="1"/>
    </xf>
    <xf numFmtId="0" fontId="36" fillId="10" borderId="102" xfId="0" applyNumberFormat="1" applyFont="1" applyFill="1" applyBorder="1" applyAlignment="1" applyProtection="1">
      <alignment horizontal="center" vertical="center" wrapText="1"/>
      <protection hidden="1"/>
    </xf>
    <xf numFmtId="0" fontId="36" fillId="10" borderId="81" xfId="0" applyNumberFormat="1" applyFont="1" applyFill="1" applyBorder="1" applyAlignment="1" applyProtection="1">
      <alignment horizontal="center" vertical="center" wrapText="1"/>
      <protection hidden="1"/>
    </xf>
    <xf numFmtId="0" fontId="36" fillId="10" borderId="103" xfId="0" applyNumberFormat="1" applyFont="1" applyFill="1" applyBorder="1" applyAlignment="1" applyProtection="1">
      <alignment horizontal="center" vertical="center" wrapText="1"/>
      <protection hidden="1"/>
    </xf>
    <xf numFmtId="49" fontId="36" fillId="15" borderId="43" xfId="0" applyNumberFormat="1" applyFont="1" applyFill="1" applyBorder="1" applyAlignment="1" applyProtection="1">
      <alignment horizontal="center" vertical="center" wrapText="1"/>
      <protection hidden="1"/>
    </xf>
    <xf numFmtId="49" fontId="36" fillId="11" borderId="43" xfId="0" applyNumberFormat="1" applyFont="1" applyFill="1" applyBorder="1" applyAlignment="1" applyProtection="1">
      <alignment horizontal="center" vertical="center" wrapText="1"/>
      <protection hidden="1"/>
    </xf>
    <xf numFmtId="49" fontId="36" fillId="10" borderId="27" xfId="0" applyNumberFormat="1" applyFont="1" applyFill="1" applyBorder="1" applyAlignment="1" applyProtection="1">
      <alignment horizontal="center" vertical="center" wrapText="1"/>
      <protection hidden="1"/>
    </xf>
    <xf numFmtId="0" fontId="30" fillId="9" borderId="92" xfId="0" applyFont="1" applyFill="1" applyBorder="1" applyAlignment="1" applyProtection="1">
      <alignment horizontal="center" vertical="center" wrapText="1"/>
      <protection hidden="1"/>
    </xf>
    <xf numFmtId="0" fontId="30" fillId="9" borderId="0" xfId="0" applyFont="1" applyFill="1" applyBorder="1" applyAlignment="1" applyProtection="1">
      <alignment horizontal="center" vertical="center" wrapText="1"/>
      <protection hidden="1"/>
    </xf>
    <xf numFmtId="15" fontId="35" fillId="6" borderId="84" xfId="0" applyNumberFormat="1" applyFont="1" applyFill="1" applyBorder="1" applyAlignment="1" applyProtection="1">
      <alignment horizontal="center" vertical="center" wrapText="1"/>
      <protection hidden="1"/>
    </xf>
    <xf numFmtId="15" fontId="35" fillId="6" borderId="70" xfId="0" applyNumberFormat="1" applyFont="1" applyFill="1" applyBorder="1" applyAlignment="1" applyProtection="1">
      <alignment horizontal="center" vertical="center" wrapText="1"/>
      <protection hidden="1"/>
    </xf>
    <xf numFmtId="0" fontId="32" fillId="6" borderId="84" xfId="0" applyNumberFormat="1" applyFont="1" applyFill="1" applyBorder="1" applyAlignment="1" applyProtection="1">
      <alignment horizontal="left" vertical="center" wrapText="1"/>
      <protection hidden="1"/>
    </xf>
    <xf numFmtId="0" fontId="32" fillId="6" borderId="52" xfId="0" applyNumberFormat="1" applyFont="1" applyFill="1" applyBorder="1" applyAlignment="1" applyProtection="1">
      <alignment horizontal="left" vertical="center" wrapText="1"/>
      <protection hidden="1"/>
    </xf>
    <xf numFmtId="0" fontId="32" fillId="6" borderId="70" xfId="0" applyNumberFormat="1" applyFont="1" applyFill="1" applyBorder="1" applyAlignment="1" applyProtection="1">
      <alignment horizontal="left" vertical="center" wrapText="1"/>
      <protection hidden="1"/>
    </xf>
    <xf numFmtId="0" fontId="30" fillId="9" borderId="36" xfId="0" applyFont="1" applyFill="1" applyBorder="1" applyAlignment="1">
      <alignment horizontal="center" vertical="center" wrapText="1"/>
    </xf>
    <xf numFmtId="0" fontId="30" fillId="9" borderId="37" xfId="0" applyFont="1" applyFill="1" applyBorder="1" applyAlignment="1">
      <alignment horizontal="center" vertical="center" wrapText="1"/>
    </xf>
    <xf numFmtId="0" fontId="38" fillId="3" borderId="83"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0" fontId="30" fillId="9" borderId="38" xfId="0" applyFont="1" applyFill="1" applyBorder="1" applyAlignment="1" applyProtection="1">
      <alignment horizontal="center" vertical="center" wrapText="1"/>
      <protection hidden="1"/>
    </xf>
    <xf numFmtId="0" fontId="30" fillId="9" borderId="37" xfId="0" applyFont="1" applyFill="1" applyBorder="1" applyAlignment="1" applyProtection="1">
      <alignment horizontal="center" vertical="center" wrapText="1"/>
      <protection hidden="1"/>
    </xf>
    <xf numFmtId="0" fontId="30" fillId="9" borderId="86" xfId="0" applyFont="1" applyFill="1" applyBorder="1" applyAlignment="1" applyProtection="1">
      <alignment horizontal="center" vertical="center" wrapText="1"/>
      <protection hidden="1"/>
    </xf>
    <xf numFmtId="49" fontId="36" fillId="11" borderId="33" xfId="0" applyNumberFormat="1" applyFont="1" applyFill="1" applyBorder="1" applyAlignment="1" applyProtection="1">
      <alignment horizontal="center" vertical="center" wrapText="1"/>
      <protection hidden="1"/>
    </xf>
    <xf numFmtId="49" fontId="36" fillId="11" borderId="97" xfId="0" applyNumberFormat="1" applyFont="1" applyFill="1" applyBorder="1" applyAlignment="1" applyProtection="1">
      <alignment horizontal="center" vertical="center" wrapText="1"/>
      <protection hidden="1"/>
    </xf>
    <xf numFmtId="49" fontId="36" fillId="11" borderId="34" xfId="0" applyNumberFormat="1" applyFont="1" applyFill="1" applyBorder="1" applyAlignment="1" applyProtection="1">
      <alignment horizontal="center" vertical="center" wrapText="1"/>
      <protection hidden="1"/>
    </xf>
    <xf numFmtId="49" fontId="36" fillId="15" borderId="33" xfId="0" applyNumberFormat="1" applyFont="1" applyFill="1" applyBorder="1" applyAlignment="1" applyProtection="1">
      <alignment horizontal="center" vertical="center" wrapText="1"/>
      <protection hidden="1"/>
    </xf>
    <xf numFmtId="49" fontId="36" fillId="15" borderId="97" xfId="0" applyNumberFormat="1" applyFont="1" applyFill="1" applyBorder="1" applyAlignment="1" applyProtection="1">
      <alignment horizontal="center" vertical="center" wrapText="1"/>
      <protection hidden="1"/>
    </xf>
    <xf numFmtId="49" fontId="36" fillId="15" borderId="34" xfId="0" applyNumberFormat="1" applyFont="1" applyFill="1" applyBorder="1" applyAlignment="1" applyProtection="1">
      <alignment horizontal="center" vertical="center" wrapText="1"/>
      <protection hidden="1"/>
    </xf>
    <xf numFmtId="49" fontId="36" fillId="2" borderId="33" xfId="0" applyNumberFormat="1" applyFont="1" applyFill="1" applyBorder="1" applyAlignment="1" applyProtection="1">
      <alignment horizontal="center" vertical="center" wrapText="1"/>
      <protection hidden="1"/>
    </xf>
    <xf numFmtId="49" fontId="36" fillId="2" borderId="97" xfId="0" applyNumberFormat="1" applyFont="1" applyFill="1" applyBorder="1" applyAlignment="1" applyProtection="1">
      <alignment horizontal="center" vertical="center" wrapText="1"/>
      <protection hidden="1"/>
    </xf>
    <xf numFmtId="49" fontId="36" fillId="2" borderId="34" xfId="0" applyNumberFormat="1" applyFont="1" applyFill="1" applyBorder="1" applyAlignment="1" applyProtection="1">
      <alignment horizontal="center" vertical="center" wrapText="1"/>
      <protection hidden="1"/>
    </xf>
    <xf numFmtId="49" fontId="36" fillId="15" borderId="94" xfId="0" applyNumberFormat="1" applyFont="1" applyFill="1" applyBorder="1" applyAlignment="1" applyProtection="1">
      <alignment horizontal="center" vertical="center" wrapText="1"/>
      <protection hidden="1"/>
    </xf>
    <xf numFmtId="49" fontId="36" fillId="15" borderId="95" xfId="0" applyNumberFormat="1" applyFont="1" applyFill="1" applyBorder="1" applyAlignment="1" applyProtection="1">
      <alignment horizontal="center" vertical="center" wrapText="1"/>
      <protection hidden="1"/>
    </xf>
    <xf numFmtId="49" fontId="36" fillId="15" borderId="96" xfId="0" applyNumberFormat="1" applyFont="1" applyFill="1" applyBorder="1" applyAlignment="1" applyProtection="1">
      <alignment horizontal="center" vertical="center" wrapText="1"/>
      <protection hidden="1"/>
    </xf>
    <xf numFmtId="0" fontId="31" fillId="14" borderId="92" xfId="0" applyFont="1" applyFill="1" applyBorder="1" applyAlignment="1" applyProtection="1">
      <alignment horizontal="center" vertical="center" wrapText="1"/>
    </xf>
    <xf numFmtId="0" fontId="31" fillId="14" borderId="0" xfId="0" applyFont="1" applyFill="1" applyBorder="1" applyAlignment="1" applyProtection="1">
      <alignment horizontal="center" vertical="center" wrapText="1"/>
    </xf>
    <xf numFmtId="0" fontId="30" fillId="9" borderId="94" xfId="0" applyNumberFormat="1" applyFont="1" applyFill="1" applyBorder="1" applyAlignment="1" applyProtection="1">
      <alignment horizontal="center" vertical="center" wrapText="1"/>
      <protection hidden="1"/>
    </xf>
    <xf numFmtId="0" fontId="30" fillId="9" borderId="95" xfId="0" applyNumberFormat="1" applyFont="1" applyFill="1" applyBorder="1" applyAlignment="1" applyProtection="1">
      <alignment horizontal="center" vertical="center" wrapText="1"/>
      <protection hidden="1"/>
    </xf>
    <xf numFmtId="0" fontId="30" fillId="9" borderId="96" xfId="0" applyNumberFormat="1" applyFont="1" applyFill="1" applyBorder="1" applyAlignment="1" applyProtection="1">
      <alignment horizontal="center" vertical="center" wrapText="1"/>
      <protection hidden="1"/>
    </xf>
    <xf numFmtId="0" fontId="29" fillId="9" borderId="94" xfId="0" applyNumberFormat="1" applyFont="1" applyFill="1" applyBorder="1" applyAlignment="1" applyProtection="1">
      <alignment horizontal="center" vertical="center" wrapText="1"/>
      <protection hidden="1"/>
    </xf>
    <xf numFmtId="0" fontId="29" fillId="9" borderId="95" xfId="0" applyNumberFormat="1" applyFont="1" applyFill="1" applyBorder="1" applyAlignment="1" applyProtection="1">
      <alignment horizontal="center" vertical="center" wrapText="1"/>
      <protection hidden="1"/>
    </xf>
    <xf numFmtId="0" fontId="29" fillId="9" borderId="96" xfId="0" applyNumberFormat="1" applyFont="1" applyFill="1" applyBorder="1" applyAlignment="1" applyProtection="1">
      <alignment horizontal="center" vertical="center" wrapText="1"/>
      <protection hidden="1"/>
    </xf>
    <xf numFmtId="0" fontId="29" fillId="9" borderId="40" xfId="0" applyNumberFormat="1" applyFont="1" applyFill="1" applyBorder="1" applyAlignment="1" applyProtection="1">
      <alignment horizontal="center" vertical="center" wrapText="1"/>
      <protection hidden="1"/>
    </xf>
    <xf numFmtId="0" fontId="29" fillId="9" borderId="31" xfId="0" applyNumberFormat="1" applyFont="1" applyFill="1" applyBorder="1" applyAlignment="1" applyProtection="1">
      <alignment horizontal="center" vertical="center" wrapText="1"/>
      <protection hidden="1"/>
    </xf>
    <xf numFmtId="0" fontId="29" fillId="9" borderId="115" xfId="0" applyNumberFormat="1" applyFont="1" applyFill="1" applyBorder="1" applyAlignment="1" applyProtection="1">
      <alignment horizontal="center" vertical="center" wrapText="1"/>
      <protection hidden="1"/>
    </xf>
    <xf numFmtId="0" fontId="30" fillId="9" borderId="93" xfId="0" applyNumberFormat="1" applyFont="1" applyFill="1" applyBorder="1" applyAlignment="1" applyProtection="1">
      <alignment horizontal="center" vertical="center" wrapText="1"/>
      <protection hidden="1"/>
    </xf>
    <xf numFmtId="0" fontId="30" fillId="9" borderId="55" xfId="0" applyNumberFormat="1" applyFont="1" applyFill="1" applyBorder="1" applyAlignment="1" applyProtection="1">
      <alignment horizontal="center" vertical="center" wrapText="1"/>
      <protection hidden="1"/>
    </xf>
    <xf numFmtId="0" fontId="31" fillId="14" borderId="92" xfId="0" applyNumberFormat="1" applyFont="1" applyFill="1" applyBorder="1" applyAlignment="1" applyProtection="1">
      <alignment horizontal="center" vertical="center" wrapText="1"/>
    </xf>
    <xf numFmtId="0" fontId="31" fillId="14" borderId="0" xfId="0" applyNumberFormat="1" applyFont="1" applyFill="1" applyBorder="1" applyAlignment="1" applyProtection="1">
      <alignment horizontal="center" vertical="center" wrapText="1"/>
    </xf>
    <xf numFmtId="0" fontId="36" fillId="15" borderId="94" xfId="0" applyNumberFormat="1" applyFont="1" applyFill="1" applyBorder="1" applyAlignment="1" applyProtection="1">
      <alignment horizontal="center" vertical="center" wrapText="1"/>
      <protection hidden="1"/>
    </xf>
    <xf numFmtId="0" fontId="36" fillId="15" borderId="95" xfId="0" applyNumberFormat="1" applyFont="1" applyFill="1" applyBorder="1" applyAlignment="1" applyProtection="1">
      <alignment horizontal="center" vertical="center" wrapText="1"/>
      <protection hidden="1"/>
    </xf>
    <xf numFmtId="0" fontId="36" fillId="15" borderId="96" xfId="0" applyNumberFormat="1" applyFont="1" applyFill="1" applyBorder="1" applyAlignment="1" applyProtection="1">
      <alignment horizontal="center" vertical="center" wrapText="1"/>
      <protection hidden="1"/>
    </xf>
    <xf numFmtId="49" fontId="29" fillId="7" borderId="48" xfId="0" applyNumberFormat="1" applyFont="1" applyFill="1" applyBorder="1" applyAlignment="1" applyProtection="1">
      <alignment horizontal="center" vertical="center"/>
      <protection hidden="1"/>
    </xf>
    <xf numFmtId="49" fontId="29" fillId="7" borderId="47" xfId="0" applyNumberFormat="1" applyFont="1" applyFill="1" applyBorder="1" applyAlignment="1" applyProtection="1">
      <alignment horizontal="center" vertical="center"/>
      <protection hidden="1"/>
    </xf>
    <xf numFmtId="49" fontId="29" fillId="7" borderId="46" xfId="0" applyNumberFormat="1" applyFont="1" applyFill="1" applyBorder="1" applyAlignment="1" applyProtection="1">
      <alignment horizontal="center" vertical="center"/>
      <protection hidden="1"/>
    </xf>
    <xf numFmtId="0" fontId="29" fillId="14" borderId="81" xfId="0" applyNumberFormat="1" applyFont="1" applyFill="1" applyBorder="1" applyAlignment="1" applyProtection="1">
      <alignment horizontal="center" vertical="center" wrapText="1"/>
      <protection hidden="1"/>
    </xf>
    <xf numFmtId="0" fontId="29" fillId="14" borderId="80" xfId="0" applyNumberFormat="1" applyFont="1" applyFill="1" applyBorder="1" applyAlignment="1" applyProtection="1">
      <alignment horizontal="center" vertical="center" wrapText="1"/>
      <protection hidden="1"/>
    </xf>
    <xf numFmtId="0" fontId="74" fillId="0" borderId="33" xfId="0" applyNumberFormat="1" applyFont="1" applyBorder="1" applyAlignment="1" applyProtection="1">
      <alignment horizontal="left"/>
      <protection hidden="1"/>
    </xf>
    <xf numFmtId="0" fontId="74" fillId="0" borderId="97" xfId="0" applyNumberFormat="1" applyFont="1" applyBorder="1" applyAlignment="1" applyProtection="1">
      <alignment horizontal="left"/>
      <protection hidden="1"/>
    </xf>
    <xf numFmtId="0" fontId="74" fillId="0" borderId="34" xfId="0" applyNumberFormat="1" applyFont="1" applyBorder="1" applyAlignment="1" applyProtection="1">
      <alignment horizontal="left"/>
      <protection hidden="1"/>
    </xf>
    <xf numFmtId="0" fontId="29" fillId="14" borderId="79" xfId="0" applyNumberFormat="1" applyFont="1" applyFill="1" applyBorder="1" applyAlignment="1" applyProtection="1">
      <alignment horizontal="center" vertical="center" wrapText="1"/>
      <protection hidden="1"/>
    </xf>
    <xf numFmtId="0" fontId="74" fillId="0" borderId="33" xfId="0" applyNumberFormat="1" applyFont="1" applyBorder="1" applyAlignment="1" applyProtection="1">
      <alignment horizontal="center"/>
      <protection hidden="1"/>
    </xf>
    <xf numFmtId="0" fontId="74" fillId="0" borderId="97" xfId="0" applyNumberFormat="1" applyFont="1" applyBorder="1" applyAlignment="1" applyProtection="1">
      <alignment horizontal="center"/>
      <protection hidden="1"/>
    </xf>
    <xf numFmtId="0" fontId="74" fillId="0" borderId="34" xfId="0" applyNumberFormat="1" applyFont="1" applyBorder="1" applyAlignment="1" applyProtection="1">
      <alignment horizontal="center"/>
      <protection hidden="1"/>
    </xf>
    <xf numFmtId="0" fontId="36" fillId="27" borderId="33" xfId="0" applyNumberFormat="1" applyFont="1" applyFill="1" applyBorder="1" applyAlignment="1" applyProtection="1">
      <alignment horizontal="center" vertical="center"/>
      <protection hidden="1"/>
    </xf>
    <xf numFmtId="0" fontId="36" fillId="27" borderId="97" xfId="0" applyNumberFormat="1" applyFont="1" applyFill="1" applyBorder="1" applyAlignment="1" applyProtection="1">
      <alignment horizontal="center" vertical="center"/>
      <protection hidden="1"/>
    </xf>
    <xf numFmtId="0" fontId="36" fillId="27" borderId="34" xfId="0" applyNumberFormat="1" applyFont="1" applyFill="1" applyBorder="1" applyAlignment="1" applyProtection="1">
      <alignment horizontal="center" vertical="center"/>
      <protection hidden="1"/>
    </xf>
    <xf numFmtId="49" fontId="36" fillId="2" borderId="105" xfId="0" applyNumberFormat="1" applyFont="1" applyFill="1" applyBorder="1" applyAlignment="1" applyProtection="1">
      <alignment horizontal="center" vertical="center" wrapText="1"/>
      <protection hidden="1"/>
    </xf>
    <xf numFmtId="49" fontId="36" fillId="2" borderId="110" xfId="0" applyNumberFormat="1" applyFont="1" applyFill="1" applyBorder="1" applyAlignment="1" applyProtection="1">
      <alignment horizontal="center" vertical="center" wrapText="1"/>
      <protection hidden="1"/>
    </xf>
    <xf numFmtId="49" fontId="36" fillId="2" borderId="106" xfId="0" applyNumberFormat="1" applyFont="1" applyFill="1" applyBorder="1" applyAlignment="1" applyProtection="1">
      <alignment horizontal="center" vertical="center" wrapText="1"/>
      <protection hidden="1"/>
    </xf>
    <xf numFmtId="0" fontId="36" fillId="2" borderId="29" xfId="0" applyNumberFormat="1" applyFont="1" applyFill="1" applyBorder="1" applyAlignment="1" applyProtection="1">
      <alignment horizontal="center" vertical="center" wrapText="1"/>
      <protection hidden="1"/>
    </xf>
    <xf numFmtId="0" fontId="36" fillId="2" borderId="111" xfId="0" applyNumberFormat="1" applyFont="1" applyFill="1" applyBorder="1" applyAlignment="1" applyProtection="1">
      <alignment horizontal="center" vertical="center" wrapText="1"/>
      <protection hidden="1"/>
    </xf>
    <xf numFmtId="0" fontId="36" fillId="2" borderId="109" xfId="0" applyNumberFormat="1" applyFont="1" applyFill="1" applyBorder="1" applyAlignment="1" applyProtection="1">
      <alignment horizontal="center" vertical="center" wrapText="1"/>
      <protection hidden="1"/>
    </xf>
    <xf numFmtId="49" fontId="36" fillId="2" borderId="29" xfId="0" applyNumberFormat="1" applyFont="1" applyFill="1" applyBorder="1" applyAlignment="1" applyProtection="1">
      <alignment horizontal="center" vertical="center" wrapText="1"/>
      <protection hidden="1"/>
    </xf>
    <xf numFmtId="49" fontId="36" fillId="2" borderId="111" xfId="0" applyNumberFormat="1" applyFont="1" applyFill="1" applyBorder="1" applyAlignment="1" applyProtection="1">
      <alignment horizontal="center" vertical="center" wrapText="1"/>
      <protection hidden="1"/>
    </xf>
    <xf numFmtId="49" fontId="36" fillId="2" borderId="109" xfId="0" applyNumberFormat="1" applyFont="1" applyFill="1" applyBorder="1" applyAlignment="1" applyProtection="1">
      <alignment horizontal="center" vertical="center" wrapText="1"/>
      <protection hidden="1"/>
    </xf>
    <xf numFmtId="0" fontId="36" fillId="2" borderId="29" xfId="0" applyNumberFormat="1" applyFont="1" applyFill="1" applyBorder="1" applyAlignment="1" applyProtection="1">
      <alignment horizontal="center" vertical="center"/>
      <protection hidden="1"/>
    </xf>
    <xf numFmtId="0" fontId="36" fillId="2" borderId="111" xfId="0" applyNumberFormat="1" applyFont="1" applyFill="1" applyBorder="1" applyAlignment="1" applyProtection="1">
      <alignment horizontal="center" vertical="center"/>
      <protection hidden="1"/>
    </xf>
    <xf numFmtId="0" fontId="36" fillId="2" borderId="109" xfId="0" applyNumberFormat="1" applyFont="1" applyFill="1" applyBorder="1" applyAlignment="1" applyProtection="1">
      <alignment horizontal="center" vertical="center"/>
      <protection hidden="1"/>
    </xf>
    <xf numFmtId="0" fontId="74" fillId="16" borderId="33" xfId="0" applyNumberFormat="1" applyFont="1" applyFill="1" applyBorder="1" applyAlignment="1" applyProtection="1">
      <alignment horizontal="left"/>
      <protection hidden="1"/>
    </xf>
    <xf numFmtId="0" fontId="74" fillId="16" borderId="97" xfId="0" applyNumberFormat="1" applyFont="1" applyFill="1" applyBorder="1" applyAlignment="1" applyProtection="1">
      <alignment horizontal="left"/>
      <protection hidden="1"/>
    </xf>
    <xf numFmtId="0" fontId="74" fillId="16" borderId="34" xfId="0" applyNumberFormat="1" applyFont="1" applyFill="1" applyBorder="1" applyAlignment="1" applyProtection="1">
      <alignment horizontal="left"/>
      <protection hidden="1"/>
    </xf>
    <xf numFmtId="0" fontId="36" fillId="16" borderId="29" xfId="0" applyNumberFormat="1" applyFont="1" applyFill="1" applyBorder="1" applyAlignment="1" applyProtection="1">
      <alignment horizontal="center" vertical="center" wrapText="1"/>
      <protection hidden="1"/>
    </xf>
    <xf numFmtId="0" fontId="36" fillId="16" borderId="111" xfId="0" applyNumberFormat="1" applyFont="1" applyFill="1" applyBorder="1" applyAlignment="1" applyProtection="1">
      <alignment horizontal="center" vertical="center" wrapText="1"/>
      <protection hidden="1"/>
    </xf>
    <xf numFmtId="0" fontId="36" fillId="16" borderId="109" xfId="0" applyNumberFormat="1" applyFont="1" applyFill="1" applyBorder="1" applyAlignment="1" applyProtection="1">
      <alignment horizontal="center" vertical="center" wrapText="1"/>
      <protection hidden="1"/>
    </xf>
    <xf numFmtId="49" fontId="36" fillId="2" borderId="29" xfId="0" applyNumberFormat="1" applyFont="1" applyFill="1" applyBorder="1" applyAlignment="1" applyProtection="1">
      <alignment horizontal="center" vertical="center"/>
      <protection hidden="1"/>
    </xf>
    <xf numFmtId="49" fontId="36" fillId="2" borderId="111" xfId="0" applyNumberFormat="1" applyFont="1" applyFill="1" applyBorder="1" applyAlignment="1" applyProtection="1">
      <alignment horizontal="center" vertical="center"/>
      <protection hidden="1"/>
    </xf>
    <xf numFmtId="49" fontId="36" fillId="2" borderId="109" xfId="0" applyNumberFormat="1" applyFont="1" applyFill="1" applyBorder="1" applyAlignment="1" applyProtection="1">
      <alignment horizontal="center" vertical="center"/>
      <protection hidden="1"/>
    </xf>
    <xf numFmtId="49" fontId="36" fillId="16" borderId="105" xfId="0" applyNumberFormat="1" applyFont="1" applyFill="1" applyBorder="1" applyAlignment="1" applyProtection="1">
      <alignment horizontal="center" vertical="center" wrapText="1"/>
      <protection hidden="1"/>
    </xf>
    <xf numFmtId="49" fontId="36" fillId="16" borderId="110" xfId="0" applyNumberFormat="1" applyFont="1" applyFill="1" applyBorder="1" applyAlignment="1" applyProtection="1">
      <alignment horizontal="center" vertical="center" wrapText="1"/>
      <protection hidden="1"/>
    </xf>
    <xf numFmtId="49" fontId="36" fillId="16" borderId="106" xfId="0" applyNumberFormat="1" applyFont="1" applyFill="1" applyBorder="1" applyAlignment="1" applyProtection="1">
      <alignment horizontal="center" vertical="center" wrapText="1"/>
      <protection hidden="1"/>
    </xf>
    <xf numFmtId="49" fontId="36" fillId="16" borderId="29" xfId="0" applyNumberFormat="1" applyFont="1" applyFill="1" applyBorder="1" applyAlignment="1" applyProtection="1">
      <alignment horizontal="center" vertical="center" wrapText="1"/>
      <protection hidden="1"/>
    </xf>
    <xf numFmtId="49" fontId="36" fillId="16" borderId="111" xfId="0" applyNumberFormat="1" applyFont="1" applyFill="1" applyBorder="1" applyAlignment="1" applyProtection="1">
      <alignment horizontal="center" vertical="center" wrapText="1"/>
      <protection hidden="1"/>
    </xf>
    <xf numFmtId="49" fontId="36" fillId="16" borderId="109" xfId="0" applyNumberFormat="1" applyFont="1" applyFill="1" applyBorder="1" applyAlignment="1" applyProtection="1">
      <alignment horizontal="center" vertical="center" wrapText="1"/>
      <protection hidden="1"/>
    </xf>
    <xf numFmtId="0" fontId="36" fillId="16" borderId="105" xfId="0" applyNumberFormat="1" applyFont="1" applyFill="1" applyBorder="1" applyAlignment="1" applyProtection="1">
      <alignment horizontal="center" vertical="center" wrapText="1"/>
      <protection hidden="1"/>
    </xf>
    <xf numFmtId="0" fontId="36" fillId="16" borderId="110" xfId="0" applyNumberFormat="1" applyFont="1" applyFill="1" applyBorder="1" applyAlignment="1" applyProtection="1">
      <alignment horizontal="center" vertical="center" wrapText="1"/>
      <protection hidden="1"/>
    </xf>
    <xf numFmtId="0" fontId="36" fillId="16" borderId="106" xfId="0" applyNumberFormat="1" applyFont="1" applyFill="1" applyBorder="1" applyAlignment="1" applyProtection="1">
      <alignment horizontal="center" vertical="center" wrapText="1"/>
      <protection hidden="1"/>
    </xf>
    <xf numFmtId="49" fontId="36" fillId="16" borderId="29" xfId="0" applyNumberFormat="1" applyFont="1" applyFill="1" applyBorder="1" applyAlignment="1" applyProtection="1">
      <alignment horizontal="center" vertical="center"/>
      <protection hidden="1"/>
    </xf>
    <xf numFmtId="49" fontId="36" fillId="16" borderId="111" xfId="0" applyNumberFormat="1" applyFont="1" applyFill="1" applyBorder="1" applyAlignment="1" applyProtection="1">
      <alignment horizontal="center" vertical="center"/>
      <protection hidden="1"/>
    </xf>
    <xf numFmtId="49" fontId="36" fillId="16" borderId="109" xfId="0" applyNumberFormat="1" applyFont="1" applyFill="1" applyBorder="1" applyAlignment="1" applyProtection="1">
      <alignment horizontal="center" vertical="center"/>
      <protection hidden="1"/>
    </xf>
    <xf numFmtId="0" fontId="29" fillId="9" borderId="98" xfId="0" applyNumberFormat="1" applyFont="1" applyFill="1" applyBorder="1" applyAlignment="1">
      <alignment horizontal="center" vertical="center" wrapText="1"/>
    </xf>
    <xf numFmtId="0" fontId="29" fillId="9" borderId="0" xfId="0" applyNumberFormat="1" applyFont="1" applyFill="1" applyBorder="1" applyAlignment="1">
      <alignment horizontal="center" vertical="center" wrapText="1"/>
    </xf>
    <xf numFmtId="0" fontId="29" fillId="9" borderId="99" xfId="0" applyNumberFormat="1" applyFont="1" applyFill="1" applyBorder="1" applyAlignment="1">
      <alignment horizontal="center" vertical="center" wrapText="1"/>
    </xf>
    <xf numFmtId="0" fontId="16" fillId="0" borderId="0" xfId="2" applyFont="1" applyAlignment="1">
      <alignment horizontal="center"/>
    </xf>
    <xf numFmtId="0" fontId="17" fillId="2" borderId="56"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left" vertical="center" wrapText="1"/>
      <protection locked="0"/>
    </xf>
    <xf numFmtId="0" fontId="0" fillId="0" borderId="22" xfId="0" applyFont="1" applyFill="1" applyBorder="1" applyAlignment="1" applyProtection="1">
      <alignment horizontal="left" vertical="center" wrapText="1"/>
      <protection locked="0"/>
    </xf>
  </cellXfs>
  <cellStyles count="19">
    <cellStyle name="Hyperlink" xfId="1" builtinId="8"/>
    <cellStyle name="Hyperlink 2" xfId="5" xr:uid="{00000000-0005-0000-0000-000001000000}"/>
    <cellStyle name="Hyperlink 3" xfId="14" xr:uid="{00000000-0005-0000-0000-000002000000}"/>
    <cellStyle name="Normal" xfId="0" builtinId="0"/>
    <cellStyle name="Normal 2" xfId="2" xr:uid="{00000000-0005-0000-0000-000004000000}"/>
    <cellStyle name="Normal 3" xfId="3" xr:uid="{00000000-0005-0000-0000-000005000000}"/>
    <cellStyle name="Normal 3 2" xfId="6" xr:uid="{00000000-0005-0000-0000-000006000000}"/>
    <cellStyle name="Normal 3 2 2" xfId="8" xr:uid="{00000000-0005-0000-0000-000007000000}"/>
    <cellStyle name="Normal 3 2 2 2" xfId="18" xr:uid="{00000000-0005-0000-0000-000008000000}"/>
    <cellStyle name="Normal 3 2 3" xfId="11" xr:uid="{00000000-0005-0000-0000-000009000000}"/>
    <cellStyle name="Normal 3 2 4" xfId="16" xr:uid="{00000000-0005-0000-0000-00000A000000}"/>
    <cellStyle name="Normal 3 3" xfId="7" xr:uid="{00000000-0005-0000-0000-00000B000000}"/>
    <cellStyle name="Normal 3 3 2" xfId="17" xr:uid="{00000000-0005-0000-0000-00000C000000}"/>
    <cellStyle name="Normal 3 4" xfId="15" xr:uid="{00000000-0005-0000-0000-00000D000000}"/>
    <cellStyle name="Normal 4" xfId="4" xr:uid="{00000000-0005-0000-0000-00000E000000}"/>
    <cellStyle name="Normal 5" xfId="9" xr:uid="{00000000-0005-0000-0000-00000F000000}"/>
    <cellStyle name="Normal 5 2" xfId="10" xr:uid="{00000000-0005-0000-0000-000010000000}"/>
    <cellStyle name="Normal 5 3" xfId="13" xr:uid="{00000000-0005-0000-0000-000011000000}"/>
    <cellStyle name="Normal 6" xfId="12" xr:uid="{00000000-0005-0000-0000-000012000000}"/>
  </cellStyles>
  <dxfs count="677">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dxf>
    <dxf>
      <numFmt numFmtId="30" formatCode="@"/>
    </dxf>
    <dxf>
      <numFmt numFmtId="30" formatCode="@"/>
    </dxf>
    <dxf>
      <numFmt numFmtId="30" formatCode="@"/>
    </dxf>
    <dxf>
      <numFmt numFmtId="30" formatCode="@"/>
    </dxf>
    <dxf>
      <numFmt numFmtId="0" formatCode="General"/>
    </dxf>
    <dxf>
      <numFmt numFmtId="0" formatCode="Genera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numFmt numFmtId="30" formatCode="@"/>
      <fill>
        <patternFill patternType="none">
          <fgColor indexed="64"/>
          <bgColor indexed="65"/>
        </patternFill>
      </fill>
    </dxf>
    <dxf>
      <numFmt numFmtId="30" formatCode="@"/>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FFFFFF"/>
      <color rgb="FF8DB4E2"/>
      <color rgb="FF8EA9DB"/>
      <color rgb="FF9BC2E6"/>
      <color rgb="FFDAEEF3"/>
      <color rgb="FFDA17F3"/>
      <color rgb="FF5B9BD5"/>
      <color rgb="FFDDEBF7"/>
      <color rgb="FFDAEEF7"/>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161925</xdr:rowOff>
    </xdr:from>
    <xdr:ext cx="3834506" cy="65741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834506" cy="657411"/>
        </a:xfrm>
        <a:prstGeom prst="rect">
          <a:avLst/>
        </a:prstGeom>
      </xdr:spPr>
    </xdr:pic>
    <xdr:clientData/>
  </xdr:one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699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402665</xdr:colOff>
      <xdr:row>1</xdr:row>
      <xdr:rowOff>64808</xdr:rowOff>
    </xdr:from>
    <xdr:ext cx="3835926" cy="460617"/>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2665" y="262928"/>
          <a:ext cx="3835926" cy="4606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362974</xdr:colOff>
      <xdr:row>7</xdr:row>
      <xdr:rowOff>76200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200150"/>
          <a:ext cx="8212888"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469900</xdr:colOff>
          <xdr:row>2</xdr:row>
          <xdr:rowOff>120650</xdr:rowOff>
        </xdr:to>
        <xdr:sp macro="" textlink="">
          <xdr:nvSpPr>
            <xdr:cNvPr id="5121" name="Apttus_App" hidden="1">
              <a:extLst>
                <a:ext uri="{63B3BB69-23CF-44E3-9099-C40C66FF867C}">
                  <a14:compatExt spid="_x0000_s5121"/>
                </a:ext>
                <a:ext uri="{FF2B5EF4-FFF2-40B4-BE49-F238E27FC236}">
                  <a16:creationId xmlns:a16="http://schemas.microsoft.com/office/drawing/2014/main" id="{00000000-0008-0000-12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577850</xdr:colOff>
          <xdr:row>2</xdr:row>
          <xdr:rowOff>120650</xdr:rowOff>
        </xdr:to>
        <xdr:sp macro="" textlink="">
          <xdr:nvSpPr>
            <xdr:cNvPr id="5137" name="Apttus_AppData" hidden="1">
              <a:extLst>
                <a:ext uri="{63B3BB69-23CF-44E3-9099-C40C66FF867C}">
                  <a14:compatExt spid="_x0000_s5137"/>
                </a:ext>
                <a:ext uri="{FF2B5EF4-FFF2-40B4-BE49-F238E27FC236}">
                  <a16:creationId xmlns:a16="http://schemas.microsoft.com/office/drawing/2014/main" id="{00000000-0008-0000-1200-00001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342900</xdr:colOff>
          <xdr:row>2</xdr:row>
          <xdr:rowOff>120650</xdr:rowOff>
        </xdr:to>
        <xdr:sp macro="" textlink="">
          <xdr:nvSpPr>
            <xdr:cNvPr id="5138" name="Apttus_AppDataTracker" hidden="1">
              <a:extLst>
                <a:ext uri="{63B3BB69-23CF-44E3-9099-C40C66FF867C}">
                  <a14:compatExt spid="_x0000_s5138"/>
                </a:ext>
                <a:ext uri="{FF2B5EF4-FFF2-40B4-BE49-F238E27FC236}">
                  <a16:creationId xmlns:a16="http://schemas.microsoft.com/office/drawing/2014/main" id="{00000000-0008-0000-1200-00001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273050</xdr:colOff>
          <xdr:row>2</xdr:row>
          <xdr:rowOff>120650</xdr:rowOff>
        </xdr:to>
        <xdr:sp macro="" textlink="">
          <xdr:nvSpPr>
            <xdr:cNvPr id="5139" name="Apttus_DataProtection" hidden="1">
              <a:extLst>
                <a:ext uri="{63B3BB69-23CF-44E3-9099-C40C66FF867C}">
                  <a14:compatExt spid="_x0000_s5139"/>
                </a:ext>
                <a:ext uri="{FF2B5EF4-FFF2-40B4-BE49-F238E27FC236}">
                  <a16:creationId xmlns:a16="http://schemas.microsoft.com/office/drawing/2014/main" id="{00000000-0008-0000-1200-00001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gf.sharepoint.com/Users/WSaitta/OneDrive%20-%20The%20Global%20Fund/Desktop/PF_Francais_iAB_Spagnolo_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AB_Spagnolo_done"/>
    </sheetNames>
    <sheetDataSet>
      <sheetData sheetId="0"/>
      <sheetData sheetId="1"/>
      <sheetData sheetId="2">
        <row r="5">
          <cell r="AN5" t="str">
            <v>Funding Request</v>
          </cell>
        </row>
        <row r="26">
          <cell r="E26" t="str">
            <v>[Account (Name)]</v>
          </cell>
        </row>
        <row r="30">
          <cell r="M30" t="str">
            <v>[Account (Name)][Alternative Account]</v>
          </cell>
        </row>
        <row r="31">
          <cell r="M31" t="str">
            <v>United Nations Development Programme</v>
          </cell>
        </row>
        <row r="32">
          <cell r="M32" t="str">
            <v>New PR 1</v>
          </cell>
        </row>
        <row r="33">
          <cell r="M33"/>
        </row>
        <row r="34">
          <cell r="M34"/>
        </row>
        <row r="35">
          <cell r="M35"/>
        </row>
        <row r="36">
          <cell r="M36"/>
        </row>
        <row r="37">
          <cell r="M37"/>
        </row>
        <row r="38">
          <cell r="M38"/>
        </row>
        <row r="39">
          <cell r="M39"/>
        </row>
        <row r="101">
          <cell r="E101" t="str">
            <v>--Select--</v>
          </cell>
        </row>
        <row r="102">
          <cell r="E102" t="str">
            <v>Differentiated HIV Testing Services</v>
          </cell>
        </row>
        <row r="103">
          <cell r="E103" t="str">
            <v>PMTCT</v>
          </cell>
        </row>
        <row r="104">
          <cell r="E104" t="str">
            <v>Prevention</v>
          </cell>
        </row>
        <row r="105">
          <cell r="E105" t="str">
            <v>Program management</v>
          </cell>
        </row>
        <row r="106">
          <cell r="E106" t="str">
            <v>Payment for results</v>
          </cell>
        </row>
        <row r="107">
          <cell r="E107" t="str">
            <v>RSSH: Community systems strengthening</v>
          </cell>
        </row>
        <row r="108">
          <cell r="E108" t="str">
            <v>RSSH: Health management information systems and M&amp;E</v>
          </cell>
        </row>
        <row r="109">
          <cell r="E109" t="str">
            <v>Treatment, care and support</v>
          </cell>
        </row>
        <row r="110">
          <cell r="E110" t="str">
            <v>TB/HIV</v>
          </cell>
        </row>
        <row r="111">
          <cell r="E111" t="str">
            <v>RSSH: Human resources for health, including community health workers</v>
          </cell>
        </row>
        <row r="112">
          <cell r="E112"/>
        </row>
        <row r="113">
          <cell r="E113"/>
        </row>
        <row r="114">
          <cell r="E114"/>
        </row>
        <row r="115">
          <cell r="E115"/>
        </row>
        <row r="116">
          <cell r="E116"/>
        </row>
        <row r="123">
          <cell r="W123"/>
          <cell r="AD123"/>
        </row>
        <row r="124">
          <cell r="V124" t="str">
            <v>Men who have sex with men</v>
          </cell>
          <cell r="W124" t="str">
            <v>Community-based testing</v>
          </cell>
          <cell r="AD124" t="str">
            <v>Differentiated HIV Testing Services</v>
          </cell>
        </row>
        <row r="125">
          <cell r="V125" t="str">
            <v>Not applicable</v>
          </cell>
          <cell r="W125" t="str">
            <v>Prong 3: Preventing vertical HIV transmission</v>
          </cell>
          <cell r="AD125" t="str">
            <v>PMTCT</v>
          </cell>
        </row>
        <row r="126">
          <cell r="V126" t="str">
            <v>Adolescent girls and young women in high prevalence settings</v>
          </cell>
          <cell r="W126" t="str">
            <v>Comprehensive sexuality education</v>
          </cell>
          <cell r="AD126" t="str">
            <v>Prevention</v>
          </cell>
        </row>
        <row r="127">
          <cell r="V127" t="str">
            <v>Not applicable</v>
          </cell>
          <cell r="W127" t="str">
            <v>Coordination and management of national disease control programs</v>
          </cell>
          <cell r="AD127" t="str">
            <v>Program management</v>
          </cell>
        </row>
        <row r="128">
          <cell r="V128" t="str">
            <v>Not applicable</v>
          </cell>
          <cell r="W128" t="str">
            <v>Payment for results</v>
          </cell>
          <cell r="AD128" t="str">
            <v>Payment for results</v>
          </cell>
        </row>
        <row r="129">
          <cell r="V129" t="str">
            <v>Not applicable</v>
          </cell>
          <cell r="W129" t="str">
            <v>Community-led advocacy and research</v>
          </cell>
          <cell r="AD129" t="str">
            <v>RSSH: Community systems strengthening</v>
          </cell>
        </row>
        <row r="130">
          <cell r="V130" t="str">
            <v>Not applicable</v>
          </cell>
          <cell r="W130" t="str">
            <v>Surveys</v>
          </cell>
          <cell r="AD130" t="str">
            <v>RSSH: Health management information systems and M&amp;E</v>
          </cell>
        </row>
        <row r="131">
          <cell r="V131" t="str">
            <v>All people living with HIV</v>
          </cell>
          <cell r="W131" t="str">
            <v>Treatment monitoring - Viral load</v>
          </cell>
          <cell r="AD131" t="str">
            <v>Treatment, care and support</v>
          </cell>
        </row>
        <row r="132">
          <cell r="V132" t="str">
            <v>Not applicable</v>
          </cell>
          <cell r="W132" t="str">
            <v>Treatment (TB/HIV)</v>
          </cell>
          <cell r="AD132" t="str">
            <v>TB/HIV</v>
          </cell>
        </row>
        <row r="133">
          <cell r="V133" t="str">
            <v>Not applicable</v>
          </cell>
          <cell r="W133" t="str">
            <v>Community health workers: Remuneration and deployment</v>
          </cell>
          <cell r="AD133" t="str">
            <v>RSSH: Human resources for health, including community health workers</v>
          </cell>
        </row>
        <row r="134">
          <cell r="W134"/>
          <cell r="AD134"/>
        </row>
        <row r="135">
          <cell r="W135"/>
          <cell r="AD135"/>
        </row>
        <row r="136">
          <cell r="W136"/>
          <cell r="AD136"/>
        </row>
        <row r="137">
          <cell r="W137"/>
          <cell r="AD137"/>
        </row>
        <row r="138">
          <cell r="W138"/>
          <cell r="AD138"/>
        </row>
        <row r="139">
          <cell r="W139"/>
          <cell r="AD139"/>
        </row>
        <row r="140">
          <cell r="W140"/>
          <cell r="AD140"/>
        </row>
        <row r="141">
          <cell r="W141"/>
          <cell r="AD141"/>
        </row>
        <row r="142">
          <cell r="W142"/>
          <cell r="AD142"/>
        </row>
        <row r="143">
          <cell r="W143"/>
          <cell r="AD143"/>
        </row>
        <row r="144">
          <cell r="W144"/>
          <cell r="AD144"/>
        </row>
        <row r="145">
          <cell r="W145"/>
          <cell r="AD145"/>
        </row>
        <row r="146">
          <cell r="W146"/>
          <cell r="AD146"/>
        </row>
        <row r="147">
          <cell r="W147"/>
          <cell r="AD147"/>
        </row>
        <row r="148">
          <cell r="W148"/>
          <cell r="AD148"/>
        </row>
        <row r="149">
          <cell r="W149"/>
          <cell r="AD149"/>
        </row>
        <row r="150">
          <cell r="W150"/>
          <cell r="AD150"/>
        </row>
        <row r="151">
          <cell r="W151"/>
          <cell r="AD151"/>
        </row>
        <row r="152">
          <cell r="W152"/>
          <cell r="AD152"/>
        </row>
        <row r="153">
          <cell r="W153"/>
          <cell r="AD153"/>
        </row>
        <row r="154">
          <cell r="W154"/>
          <cell r="AD154"/>
        </row>
        <row r="155">
          <cell r="W155"/>
          <cell r="AD155"/>
        </row>
        <row r="156">
          <cell r="W156"/>
          <cell r="AD156"/>
        </row>
        <row r="157">
          <cell r="W157"/>
          <cell r="AD157"/>
        </row>
        <row r="158">
          <cell r="W158"/>
          <cell r="AD158"/>
        </row>
        <row r="159">
          <cell r="W159"/>
          <cell r="AD159"/>
        </row>
        <row r="160">
          <cell r="W160"/>
          <cell r="AD160"/>
        </row>
        <row r="161">
          <cell r="W161"/>
          <cell r="AD161"/>
        </row>
        <row r="162">
          <cell r="W162"/>
          <cell r="AD162"/>
        </row>
        <row r="163">
          <cell r="W163"/>
          <cell r="AD163"/>
        </row>
        <row r="164">
          <cell r="W164"/>
          <cell r="AD164"/>
        </row>
        <row r="165">
          <cell r="W165"/>
          <cell r="AD165"/>
        </row>
        <row r="166">
          <cell r="W166"/>
          <cell r="AD166"/>
        </row>
        <row r="167">
          <cell r="W167"/>
          <cell r="AD167"/>
        </row>
        <row r="168">
          <cell r="W168"/>
          <cell r="AD168"/>
        </row>
        <row r="169">
          <cell r="W169"/>
          <cell r="AD169"/>
        </row>
        <row r="170">
          <cell r="W170"/>
          <cell r="AD170"/>
        </row>
        <row r="171">
          <cell r="W171"/>
          <cell r="AD171"/>
        </row>
        <row r="172">
          <cell r="W172"/>
          <cell r="AD172"/>
        </row>
        <row r="173">
          <cell r="W173"/>
          <cell r="AD173"/>
        </row>
      </sheetData>
      <sheetData sheetId="3"/>
      <sheetData sheetId="4"/>
      <sheetData sheetId="5"/>
      <sheetData sheetId="6"/>
      <sheetData sheetId="7">
        <row r="31">
          <cell r="C31">
            <v>2002</v>
          </cell>
        </row>
        <row r="32">
          <cell r="C32">
            <v>2003</v>
          </cell>
        </row>
        <row r="33">
          <cell r="C33">
            <v>2004</v>
          </cell>
        </row>
        <row r="34">
          <cell r="C34">
            <v>2005</v>
          </cell>
        </row>
        <row r="35">
          <cell r="C35">
            <v>2006</v>
          </cell>
        </row>
        <row r="36">
          <cell r="C36">
            <v>2007</v>
          </cell>
        </row>
        <row r="37">
          <cell r="C37">
            <v>2008</v>
          </cell>
        </row>
        <row r="38">
          <cell r="C38">
            <v>2009</v>
          </cell>
        </row>
        <row r="39">
          <cell r="C39">
            <v>2010</v>
          </cell>
        </row>
        <row r="40">
          <cell r="C40">
            <v>2011</v>
          </cell>
        </row>
        <row r="41">
          <cell r="C41">
            <v>2012</v>
          </cell>
        </row>
        <row r="42">
          <cell r="C42">
            <v>2013</v>
          </cell>
        </row>
        <row r="43">
          <cell r="C43">
            <v>2014</v>
          </cell>
        </row>
        <row r="44">
          <cell r="C44">
            <v>2015</v>
          </cell>
        </row>
        <row r="45">
          <cell r="C45">
            <v>2016</v>
          </cell>
        </row>
        <row r="46">
          <cell r="C46">
            <v>2017</v>
          </cell>
        </row>
        <row r="47">
          <cell r="C47">
            <v>2018</v>
          </cell>
        </row>
        <row r="48">
          <cell r="C48">
            <v>2019</v>
          </cell>
        </row>
        <row r="49">
          <cell r="C49">
            <v>2020</v>
          </cell>
        </row>
        <row r="50">
          <cell r="C50">
            <v>2021</v>
          </cell>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sheetData>
      <sheetData sheetId="8"/>
      <sheetData sheetId="9"/>
      <sheetData sheetId="10"/>
      <sheetData sheetId="11">
        <row r="10">
          <cell r="AA10" t="str">
            <v>[Custom Coverage Indicator Name - EN]</v>
          </cell>
        </row>
        <row r="11">
          <cell r="AA11"/>
        </row>
        <row r="12">
          <cell r="AA12"/>
        </row>
        <row r="13">
          <cell r="AA13"/>
        </row>
        <row r="14">
          <cell r="AA14"/>
        </row>
        <row r="15">
          <cell r="AA15"/>
        </row>
        <row r="16">
          <cell r="AA16"/>
        </row>
        <row r="17">
          <cell r="AA17"/>
        </row>
        <row r="18">
          <cell r="AA18"/>
        </row>
        <row r="19">
          <cell r="AA19"/>
        </row>
        <row r="20">
          <cell r="AA20"/>
        </row>
        <row r="21">
          <cell r="AA21"/>
        </row>
        <row r="22">
          <cell r="AA22"/>
        </row>
        <row r="23">
          <cell r="AA23"/>
        </row>
        <row r="24">
          <cell r="AA24"/>
        </row>
        <row r="25">
          <cell r="AA25"/>
        </row>
        <row r="26">
          <cell r="AA26"/>
        </row>
        <row r="27">
          <cell r="AA27"/>
        </row>
        <row r="28">
          <cell r="AA28"/>
        </row>
        <row r="29">
          <cell r="AA29"/>
        </row>
        <row r="30">
          <cell r="AA30"/>
        </row>
        <row r="31">
          <cell r="AA31"/>
        </row>
        <row r="32">
          <cell r="AA32"/>
        </row>
        <row r="33">
          <cell r="AA33"/>
        </row>
        <row r="34">
          <cell r="AA34"/>
        </row>
        <row r="35">
          <cell r="AA35"/>
        </row>
        <row r="36">
          <cell r="AA36"/>
        </row>
        <row r="37">
          <cell r="AA37"/>
        </row>
        <row r="38">
          <cell r="AA38"/>
        </row>
        <row r="39">
          <cell r="AA39"/>
        </row>
        <row r="40">
          <cell r="AA40"/>
        </row>
      </sheetData>
      <sheetData sheetId="12"/>
      <sheetData sheetId="13"/>
      <sheetData sheetId="14"/>
      <sheetData sheetId="15"/>
      <sheetData sheetId="16"/>
      <sheetData sheetId="17"/>
      <sheetData sheetId="18"/>
      <sheetData sheetId="19">
        <row r="1">
          <cell r="A1" t="str">
            <v>Multicountry</v>
          </cell>
        </row>
        <row r="4">
          <cell r="I4" t="str">
            <v>--Select--</v>
          </cell>
        </row>
        <row r="5">
          <cell r="I5" t="str">
            <v>HIV I-4 Number of AIDS-related deaths per 100,000 population</v>
          </cell>
        </row>
        <row r="6">
          <cell r="I6" t="str">
            <v>HIV I-6 Estimated percentage of children newly infected with HIV from mother-to-child transmission among women living with HIV delivering in the past 12 months</v>
          </cell>
        </row>
        <row r="7">
          <cell r="I7" t="str">
            <v>HIV I-9a⁽ᴹ⁾ Percentage of men who have sex with men who are living with HIV</v>
          </cell>
        </row>
        <row r="8">
          <cell r="I8" t="str">
            <v>HIV I-9b⁽ᴹ⁾ Percentage of transgender people who are living with HIV</v>
          </cell>
        </row>
        <row r="9">
          <cell r="I9" t="str">
            <v>HIV I-10⁽ᴹ⁾ Percentage of sex workers who are living with HIV</v>
          </cell>
        </row>
        <row r="10">
          <cell r="I10" t="str">
            <v>HIV I-11⁽ᴹ⁾ Percentage of people who inject drugs who are living with HIV</v>
          </cell>
        </row>
        <row r="11">
          <cell r="I11" t="str">
            <v>HIV I-12 Percentage of other vulnerable populations (specify) who are living with HIV</v>
          </cell>
        </row>
        <row r="12">
          <cell r="I12" t="str">
            <v>TB/HIV I-1 TB/HIV mortality rate per 100,000 population</v>
          </cell>
        </row>
        <row r="13">
          <cell r="I13" t="str">
            <v>HIV I-13 Percentage of people living with HIV</v>
          </cell>
        </row>
        <row r="14">
          <cell r="I14" t="str">
            <v>HIV I-14 Number of new HIV infections per 1000 uninfected population</v>
          </cell>
        </row>
        <row r="21">
          <cell r="I21" t="str">
            <v>--Select--</v>
          </cell>
        </row>
        <row r="22">
          <cell r="I22" t="str">
            <v>HIV O-10 Percent of respondents who say they used a condom the last time they had sex with a non-marital, non-cohabiting partner, of those who have had sex with such a partner in the last 12 months</v>
          </cell>
        </row>
        <row r="23">
          <cell r="I23" t="str">
            <v>HIV O-9 Percentage of people who inject drugs reporting condom use at last sex</v>
          </cell>
        </row>
        <row r="24">
          <cell r="I24" t="str">
            <v>HIV O-12 Percentage of people living with HIV and on ART who are virologically suppressed</v>
          </cell>
        </row>
        <row r="25">
          <cell r="I25" t="str">
            <v>HIV O-13 Proportion of ever-married or partnered women aged 15-49 who experienced physical or sexual violence from a male intimate partner in the past 12 months</v>
          </cell>
        </row>
        <row r="26">
          <cell r="I26" t="str">
            <v>HIV O-14 Percentage of women and men aged 15–49 who report discriminatory attitudes towards people living with HIV</v>
          </cell>
        </row>
        <row r="27">
          <cell r="I27" t="str">
            <v>HIV O-15 Percentage of people living with HIV who report experiences of HIV-related discrimination in health-care settings</v>
          </cell>
        </row>
        <row r="28">
          <cell r="I28" t="str">
            <v>HIV O-5⁽ᴹ⁾ Percentage of sex workers reporting the use of a condom with their most recent client</v>
          </cell>
        </row>
        <row r="29">
          <cell r="I29" t="str">
            <v>HIV O-6⁽ᴹ⁾ Percentage of people who inject drugs reporting the use of sterile injecting equipment the last time they injected</v>
          </cell>
        </row>
        <row r="30">
          <cell r="I30" t="str">
            <v>HIV O-7 Percentage of other vulnerable populations who report the use of a condom at last sexual intercourse</v>
          </cell>
        </row>
        <row r="31">
          <cell r="I31" t="str">
            <v>HIV O-11⁽ᴹ⁾ Percentage of people living with HIV who know their HIV status at the end of the reporting period</v>
          </cell>
        </row>
        <row r="32">
          <cell r="I32" t="str">
            <v>HIV O-16a Percentage of men who have sex with men who avoid health care because of stigma and discrimination</v>
          </cell>
        </row>
        <row r="33">
          <cell r="I33" t="str">
            <v>HIV O-16b Percentage of transgender people who avoid health care because of stigma and discrimination</v>
          </cell>
        </row>
        <row r="34">
          <cell r="I34" t="str">
            <v>HIV O-16c Percentage of sex workers who avoid health care because of stigma and discrimination</v>
          </cell>
        </row>
        <row r="35">
          <cell r="I35" t="str">
            <v>HIV O-16d Percentage of people who inject drugs who avoid health care because of stigma and discrimination</v>
          </cell>
        </row>
        <row r="36">
          <cell r="I36" t="str">
            <v>HIV O-17 Percentage of people living with HIV reporting their rights were violated who sought legal redress</v>
          </cell>
        </row>
        <row r="37">
          <cell r="I37" t="str">
            <v>HIV O-18 Percentage of women aged 15-24 who had 2+ partners in the past 12 months</v>
          </cell>
        </row>
        <row r="38">
          <cell r="I38" t="str">
            <v>HIV O-19 Percentage of women aged 15-19 who have had a live birth or are currently pregnant</v>
          </cell>
        </row>
        <row r="39">
          <cell r="I39" t="str">
            <v>HIV O-20 Percentage of females aged 15-24 who dropped out of school in the last year</v>
          </cell>
        </row>
        <row r="40">
          <cell r="I40" t="str">
            <v>HSS O-5 Percentage of health facilities with tracer medicines for the three diseases available on the day of the visit or day of reporting</v>
          </cell>
        </row>
        <row r="41">
          <cell r="I41" t="str">
            <v>HSS O-6 Percentage of facilities providing diagnostic services on the day of the assessment</v>
          </cell>
        </row>
        <row r="42">
          <cell r="I42" t="str">
            <v>HSS O-7 National aggregate HMIS fully deployed and functional: Percentage of HMIS components in place (HIS deployment, completeness, timeliness, and integration of aggregate disease reporting for HIV, TB and malaria indicators)</v>
          </cell>
        </row>
        <row r="43">
          <cell r="I43" t="str">
            <v>HSS O-8 Active health workers per 10,000 population</v>
          </cell>
        </row>
        <row r="44">
          <cell r="I44" t="str">
            <v>HSS O-9 Percentage of antenatal clients with 1st visit before 12 weeks</v>
          </cell>
        </row>
        <row r="45">
          <cell r="I45" t="str">
            <v>HSS O-10 Proportion of population with large household expenditure on health as a share of total household expenditure or income (catastrophic spending on health)</v>
          </cell>
        </row>
        <row r="46">
          <cell r="I46" t="str">
            <v>HIV O-4a⁽ᴹ⁾ Percentage of men reporting the use of a condom the last time they had anal sex with a non regular partner</v>
          </cell>
        </row>
        <row r="47">
          <cell r="I47" t="str">
            <v>HIV O-4.1b⁽ᴹ⁾ Percentage of transgender people reporting using a condom in their last anal sex with a non-regular male partner</v>
          </cell>
        </row>
        <row r="48">
          <cell r="I48" t="str">
            <v>HIV O-21 Percentage of people living with HIV not on ART at the end of the reporting period among people living with HIV who were either on ART at the end of the last reporting period or newly initiated on ART during the reporting period</v>
          </cell>
        </row>
        <row r="49">
          <cell r="I49"/>
        </row>
        <row r="50">
          <cell r="I50"/>
        </row>
        <row r="51">
          <cell r="I51"/>
        </row>
        <row r="52">
          <cell r="I52"/>
        </row>
        <row r="53">
          <cell r="I53"/>
        </row>
        <row r="54">
          <cell r="I54"/>
        </row>
        <row r="61">
          <cell r="A61" t="str">
            <v>[Module (Name)]</v>
          </cell>
        </row>
        <row r="62">
          <cell r="A62" t="str">
            <v>MCI-01226</v>
          </cell>
        </row>
        <row r="63">
          <cell r="A63" t="str">
            <v>MCI-01226</v>
          </cell>
        </row>
        <row r="64">
          <cell r="A64" t="str">
            <v>MCI-01226</v>
          </cell>
        </row>
        <row r="65">
          <cell r="A65" t="str">
            <v>MCI-01226</v>
          </cell>
        </row>
        <row r="66">
          <cell r="A66" t="str">
            <v>MCI-01227</v>
          </cell>
        </row>
        <row r="67">
          <cell r="A67" t="str">
            <v>MCI-01227</v>
          </cell>
        </row>
        <row r="68">
          <cell r="A68" t="str">
            <v>MCI-01227</v>
          </cell>
        </row>
        <row r="69">
          <cell r="A69" t="str">
            <v>MCI-01229</v>
          </cell>
        </row>
        <row r="70">
          <cell r="A70" t="str">
            <v>MCI-01229</v>
          </cell>
        </row>
        <row r="71">
          <cell r="A71" t="str">
            <v>MCI-01229</v>
          </cell>
        </row>
        <row r="72">
          <cell r="A72" t="str">
            <v>MCI-01229</v>
          </cell>
        </row>
        <row r="73">
          <cell r="A73" t="str">
            <v>MCI-01231</v>
          </cell>
        </row>
        <row r="74">
          <cell r="A74" t="str">
            <v>MCI-01231</v>
          </cell>
        </row>
        <row r="75">
          <cell r="A75" t="str">
            <v>MCI-01231</v>
          </cell>
        </row>
        <row r="76">
          <cell r="A76" t="str">
            <v>MCI-01231</v>
          </cell>
        </row>
        <row r="77">
          <cell r="A77" t="str">
            <v>MCI-01231</v>
          </cell>
        </row>
        <row r="78">
          <cell r="A78" t="str">
            <v>MCI-01231</v>
          </cell>
        </row>
        <row r="79">
          <cell r="A79" t="str">
            <v>MCI-01231</v>
          </cell>
        </row>
        <row r="80">
          <cell r="A80" t="str">
            <v>MCI-01231</v>
          </cell>
        </row>
        <row r="81">
          <cell r="A81" t="str">
            <v>MCI-01231</v>
          </cell>
        </row>
        <row r="82">
          <cell r="A82" t="str">
            <v>MCI-01235</v>
          </cell>
        </row>
        <row r="83">
          <cell r="A83" t="str">
            <v>MCI-01235</v>
          </cell>
        </row>
        <row r="84">
          <cell r="A84" t="str">
            <v>MCI-01235</v>
          </cell>
        </row>
        <row r="85">
          <cell r="A85" t="str">
            <v>MCI-01235</v>
          </cell>
        </row>
        <row r="86">
          <cell r="A86" t="str">
            <v>MCI-01236</v>
          </cell>
        </row>
        <row r="87">
          <cell r="A87" t="str">
            <v>MCI-01236</v>
          </cell>
        </row>
        <row r="88">
          <cell r="A88" t="str">
            <v>MCI-01236</v>
          </cell>
        </row>
        <row r="89">
          <cell r="A89" t="str">
            <v>MCI-01237</v>
          </cell>
        </row>
        <row r="90">
          <cell r="A90" t="str">
            <v>MCI-01237</v>
          </cell>
        </row>
        <row r="91">
          <cell r="A91" t="str">
            <v>MCI-01237</v>
          </cell>
        </row>
        <row r="92">
          <cell r="A92" t="str">
            <v>MCI-01237</v>
          </cell>
        </row>
        <row r="93">
          <cell r="A93" t="str">
            <v>MCI-01237</v>
          </cell>
        </row>
        <row r="94">
          <cell r="A94" t="str">
            <v>MCI-01239</v>
          </cell>
        </row>
        <row r="95">
          <cell r="A95" t="str">
            <v>MCI-01240</v>
          </cell>
        </row>
        <row r="96">
          <cell r="A96" t="str">
            <v>MCI-01241</v>
          </cell>
        </row>
        <row r="97">
          <cell r="A97" t="str">
            <v>MCI-01241</v>
          </cell>
        </row>
        <row r="98">
          <cell r="A98" t="str">
            <v>MCI-01242</v>
          </cell>
        </row>
        <row r="99">
          <cell r="A99" t="str">
            <v>MCI-01242</v>
          </cell>
        </row>
        <row r="100">
          <cell r="A100" t="str">
            <v>MCI-01242</v>
          </cell>
        </row>
        <row r="101">
          <cell r="A101" t="str">
            <v>MCI-01242</v>
          </cell>
        </row>
        <row r="102">
          <cell r="A102" t="str">
            <v>MCI-01242</v>
          </cell>
        </row>
        <row r="103">
          <cell r="A103" t="str">
            <v>MCI-01243</v>
          </cell>
        </row>
        <row r="104">
          <cell r="A104" t="str">
            <v>MCI-01243</v>
          </cell>
        </row>
        <row r="105">
          <cell r="A105" t="str">
            <v>MCI-01246</v>
          </cell>
        </row>
        <row r="106">
          <cell r="A106" t="str">
            <v>MCI-01246</v>
          </cell>
        </row>
        <row r="107">
          <cell r="A107" t="str">
            <v>MCI-01246</v>
          </cell>
        </row>
        <row r="108">
          <cell r="A108" t="str">
            <v>MCI-01246</v>
          </cell>
        </row>
        <row r="109">
          <cell r="A109" t="str">
            <v>MCI-01246</v>
          </cell>
        </row>
        <row r="110">
          <cell r="A110" t="str">
            <v>MCI-01246</v>
          </cell>
        </row>
        <row r="111">
          <cell r="A111" t="str">
            <v>MCI-01246</v>
          </cell>
        </row>
        <row r="112">
          <cell r="A112" t="str">
            <v>MCI-01246</v>
          </cell>
        </row>
        <row r="113">
          <cell r="A113" t="str">
            <v>MCI-01246</v>
          </cell>
        </row>
        <row r="114">
          <cell r="A114" t="str">
            <v>MCI-01246</v>
          </cell>
        </row>
        <row r="115">
          <cell r="A115" t="str">
            <v>MCI-01246</v>
          </cell>
        </row>
        <row r="116">
          <cell r="A116" t="str">
            <v>MCI-01246</v>
          </cell>
        </row>
        <row r="117">
          <cell r="A117" t="str">
            <v>MCI-01246</v>
          </cell>
        </row>
        <row r="118">
          <cell r="A118" t="str">
            <v>MCI-01246</v>
          </cell>
        </row>
        <row r="119">
          <cell r="A119" t="str">
            <v>MCI-01246</v>
          </cell>
        </row>
        <row r="120">
          <cell r="A120" t="str">
            <v>MCI-01246</v>
          </cell>
        </row>
        <row r="121">
          <cell r="A121" t="str">
            <v>MCI-01247</v>
          </cell>
        </row>
        <row r="125">
          <cell r="J125" t="str">
            <v>--Select--</v>
          </cell>
        </row>
        <row r="126">
          <cell r="J126" t="str">
            <v>Differentiated HIV Testing Services</v>
          </cell>
        </row>
        <row r="127">
          <cell r="J127" t="str">
            <v>Payment for results</v>
          </cell>
        </row>
        <row r="128">
          <cell r="J128" t="str">
            <v>PMTCT</v>
          </cell>
        </row>
        <row r="129">
          <cell r="J129" t="str">
            <v>Prevention</v>
          </cell>
        </row>
        <row r="130">
          <cell r="J130" t="str">
            <v>Program management</v>
          </cell>
        </row>
        <row r="131">
          <cell r="J131" t="str">
            <v>Reducing human rights-related barriers to HIV/TB services</v>
          </cell>
        </row>
        <row r="132">
          <cell r="J132" t="str">
            <v>RSSH: Community systems strengthening</v>
          </cell>
        </row>
        <row r="133">
          <cell r="J133" t="str">
            <v>RSSH: Financial management systems</v>
          </cell>
        </row>
        <row r="134">
          <cell r="J134" t="str">
            <v>RSSH: Health management information systems and M&amp;E</v>
          </cell>
        </row>
        <row r="135">
          <cell r="J135" t="str">
            <v>RSSH: Health products management systems</v>
          </cell>
        </row>
        <row r="136">
          <cell r="J136" t="str">
            <v>RSSH: Health sector governance and planning</v>
          </cell>
        </row>
        <row r="137">
          <cell r="J137" t="str">
            <v>RSSH: Human resources for health, including community health workers</v>
          </cell>
        </row>
        <row r="138">
          <cell r="J138" t="str">
            <v>RSSH: Integrated service delivery and quality improvement</v>
          </cell>
        </row>
        <row r="139">
          <cell r="J139" t="str">
            <v>RSSH: Laboratory systems</v>
          </cell>
        </row>
        <row r="140">
          <cell r="J140" t="str">
            <v>TB/HIV</v>
          </cell>
        </row>
        <row r="141">
          <cell r="J141" t="str">
            <v>Treatment, care and support</v>
          </cell>
        </row>
        <row r="142">
          <cell r="J142"/>
        </row>
        <row r="143">
          <cell r="J143"/>
        </row>
        <row r="144">
          <cell r="J144"/>
        </row>
        <row r="145">
          <cell r="J145"/>
        </row>
        <row r="146">
          <cell r="J146"/>
        </row>
        <row r="147">
          <cell r="J147"/>
        </row>
        <row r="148">
          <cell r="J148"/>
        </row>
        <row r="149">
          <cell r="J149"/>
        </row>
        <row r="150">
          <cell r="J150"/>
        </row>
        <row r="151">
          <cell r="J151"/>
        </row>
        <row r="162">
          <cell r="A162" t="str">
            <v>[Module (Name)]</v>
          </cell>
        </row>
        <row r="261">
          <cell r="B261" t="str">
            <v>Cuba</v>
          </cell>
          <cell r="C261" t="str">
            <v>a1A360000013LzkEAE</v>
          </cell>
        </row>
        <row r="323">
          <cell r="A323" t="str">
            <v>[Country (Name)]</v>
          </cell>
        </row>
        <row r="332">
          <cell r="A332" t="str">
            <v>Allocation Cycle</v>
          </cell>
          <cell r="B332" t="str">
            <v>Record ID</v>
          </cell>
          <cell r="C332" t="str">
            <v>Name</v>
          </cell>
          <cell r="E332" t="str">
            <v>Module (Name)</v>
          </cell>
          <cell r="F332" t="str">
            <v>Allocation Cycle (Name)</v>
          </cell>
        </row>
        <row r="333">
          <cell r="A333" t="str">
            <v>[Allocation Cycle]</v>
          </cell>
          <cell r="B333" t="str">
            <v>[Record ID]</v>
          </cell>
          <cell r="C333" t="str">
            <v>No  Applicate</v>
          </cell>
          <cell r="D333" t="str">
            <v>MCI-01357</v>
          </cell>
          <cell r="E333" t="str">
            <v>[Module (Name)]</v>
          </cell>
          <cell r="F333" t="str">
            <v>[Allocation Cycle (Name)]</v>
          </cell>
        </row>
        <row r="511">
          <cell r="A511" t="str">
            <v>Allocation Cycle</v>
          </cell>
          <cell r="B511" t="str">
            <v>Record ID</v>
          </cell>
          <cell r="C511" t="str">
            <v>Name</v>
          </cell>
          <cell r="D511" t="str">
            <v>Allocation Cycle (Name)</v>
          </cell>
          <cell r="E511" t="str">
            <v>Name ID</v>
          </cell>
          <cell r="F511" t="str">
            <v>Module (Name)</v>
          </cell>
        </row>
        <row r="512">
          <cell r="A512" t="str">
            <v>[Allocation Cycle]</v>
          </cell>
          <cell r="B512" t="str">
            <v>[Record ID]</v>
          </cell>
          <cell r="C512" t="str">
            <v>[Name]</v>
          </cell>
          <cell r="D512" t="str">
            <v>[Allocation Cycle (Name)]</v>
          </cell>
          <cell r="E512" t="str">
            <v>[Name ID]</v>
          </cell>
          <cell r="F512" t="str">
            <v>[Module (Name)]</v>
          </cell>
        </row>
      </sheetData>
      <sheetData sheetId="20"/>
      <sheetData sheetId="21"/>
      <sheetData sheetId="22"/>
      <sheetData sheetId="23">
        <row r="2">
          <cell r="B2" t="str">
            <v>Account (Name)</v>
          </cell>
        </row>
        <row r="3">
          <cell r="B3" t="str">
            <v>[Account (Name)]</v>
          </cell>
          <cell r="C3" t="str">
            <v>[Account (Name)]</v>
          </cell>
        </row>
        <row r="4">
          <cell r="B4" t="str">
            <v>United Nations Development Programme</v>
          </cell>
          <cell r="C4" t="str">
            <v>United Nations Development Programme</v>
          </cell>
        </row>
        <row r="5">
          <cell r="B5" t="str">
            <v>United Nations Development Programme</v>
          </cell>
          <cell r="C5"/>
        </row>
        <row r="6">
          <cell r="B6" t="str">
            <v>United Nations Development Programme</v>
          </cell>
          <cell r="C6"/>
        </row>
        <row r="7">
          <cell r="B7" t="str">
            <v>United Nations Development Programme</v>
          </cell>
          <cell r="C7"/>
        </row>
        <row r="16">
          <cell r="C16" t="str">
            <v>[Account (Name)]</v>
          </cell>
        </row>
        <row r="17">
          <cell r="C17" t="str">
            <v>Project HOPE  - the People to People Health Foundation</v>
          </cell>
        </row>
        <row r="18">
          <cell r="C18" t="str">
            <v>RSE on REU “National Scientific Center of Phthisiopulmonology of the Republic of  Kazakhstan” of the Ministry of Health of the Republic of  Kazakhstan</v>
          </cell>
        </row>
        <row r="19">
          <cell r="C19" t="str">
            <v>Kazakh scientific center of dermatology and infectious diseases of the Ministry of Health of the Republic of Kazakhstan</v>
          </cell>
        </row>
        <row r="20">
          <cell r="C20" t="str">
            <v>United Nations Development Programme</v>
          </cell>
        </row>
        <row r="21">
          <cell r="C21" t="str">
            <v>Republican Center of Tuberculosis Control - Tajikistan</v>
          </cell>
        </row>
        <row r="22">
          <cell r="C22" t="str">
            <v>Republican Specialized Scientific-Practical Medical Center of Phthisiology and Pulmonology</v>
          </cell>
        </row>
        <row r="23">
          <cell r="C23" t="str">
            <v>Republican Center of State Sanitary-Epidemiological Surveillance of the Republic of Uzbekistan</v>
          </cell>
        </row>
        <row r="24">
          <cell r="C24" t="str">
            <v>Republican DOTS Centre  Ministry of Health of the Republic of Uzbekistan</v>
          </cell>
        </row>
        <row r="25">
          <cell r="C25" t="str">
            <v>Republican Center to Fight AIDS</v>
          </cell>
        </row>
        <row r="26">
          <cell r="C26" t="str">
            <v>Ministry of Health of Mongolia</v>
          </cell>
        </row>
        <row r="27">
          <cell r="C27" t="str">
            <v>Ministry of Health of the Lao People's Democratic Republic</v>
          </cell>
        </row>
        <row r="28">
          <cell r="C28" t="str">
            <v>Malaysian AIDS Council</v>
          </cell>
        </row>
        <row r="29">
          <cell r="C29" t="str">
            <v>Ministry of Health of the Democratic Republic of Timor-Leste</v>
          </cell>
        </row>
        <row r="30">
          <cell r="C30" t="str">
            <v>Ministry of Health of the Royal Government of Bhutan</v>
          </cell>
        </row>
        <row r="31">
          <cell r="C31" t="str">
            <v>Ministry of Health of the Republic of Armenia</v>
          </cell>
        </row>
        <row r="32">
          <cell r="C32" t="str">
            <v>Mission East</v>
          </cell>
        </row>
        <row r="33">
          <cell r="C33" t="str">
            <v>Ministry of Health of the Republic of Azerbaijan</v>
          </cell>
        </row>
        <row r="34">
          <cell r="C34" t="str">
            <v>Main Medical Department of the Ministry of Justice of the Republic of Azerbaijan</v>
          </cell>
        </row>
        <row r="35">
          <cell r="C35" t="str">
            <v>National Center For Disease Control and Public Health</v>
          </cell>
        </row>
        <row r="36">
          <cell r="C36" t="str">
            <v>Republican Scientific and Practical Center for Medical Technologies, Informatization, Administration and Management of Health</v>
          </cell>
        </row>
        <row r="37">
          <cell r="C37" t="str">
            <v>Public Institution - Coordination, Implementation and Monitoring Unit of the Health  System Projects</v>
          </cell>
        </row>
        <row r="38">
          <cell r="C38" t="str">
            <v>Center for Health Policies and Studies</v>
          </cell>
        </row>
        <row r="39">
          <cell r="C39" t="str">
            <v>United Nations Children's Fund</v>
          </cell>
        </row>
        <row r="40">
          <cell r="C40" t="str">
            <v>International Charitable Foundation “Alliance for Public Health”</v>
          </cell>
        </row>
        <row r="41">
          <cell r="C41" t="str">
            <v>Charitable Organization "All-Ukrainian Network of People Living with HIV/AIDS"</v>
          </cell>
        </row>
        <row r="42">
          <cell r="C42" t="str">
            <v>State Institution "Public Health Center of the Ministry of Health of Ukraine"</v>
          </cell>
        </row>
        <row r="43">
          <cell r="C43" t="str">
            <v>Oil Search Foundation</v>
          </cell>
        </row>
        <row r="44">
          <cell r="C44" t="str">
            <v>Population Services International</v>
          </cell>
        </row>
        <row r="45">
          <cell r="C45" t="str">
            <v>The Rotary Club of Port Moresby Inc.</v>
          </cell>
        </row>
        <row r="46">
          <cell r="C46" t="str">
            <v>World Vision (PNG) Trust</v>
          </cell>
        </row>
        <row r="47">
          <cell r="C47" t="str">
            <v>UNICEF Ethiopia</v>
          </cell>
        </row>
        <row r="48">
          <cell r="C48" t="str">
            <v>Federal Ministry of Health of the Federal Democratic Republic of Ethiopia</v>
          </cell>
        </row>
        <row r="49">
          <cell r="C49" t="str">
            <v>HIV/AIDS Prevention and Control Office</v>
          </cell>
        </row>
        <row r="50">
          <cell r="C50" t="str">
            <v>Amref Health Africa in Kenya</v>
          </cell>
        </row>
        <row r="51">
          <cell r="C51" t="str">
            <v>National Treasury of the Republic of Kenya</v>
          </cell>
        </row>
        <row r="52">
          <cell r="C52" t="str">
            <v>Kenya Red Cross Society</v>
          </cell>
        </row>
        <row r="53">
          <cell r="C53" t="str">
            <v>World Vision Somalia</v>
          </cell>
        </row>
        <row r="54">
          <cell r="C54" t="str">
            <v>Ministry of Finance, Planning and Economic Development of the Republic of Uganda</v>
          </cell>
        </row>
        <row r="55">
          <cell r="C55" t="str">
            <v>The AIDS Support Organisation (Uganda) Limited</v>
          </cell>
        </row>
        <row r="56">
          <cell r="C56" t="str">
            <v>Federal Ministry of Health of the Republic of Sudan</v>
          </cell>
        </row>
        <row r="57">
          <cell r="C57" t="str">
            <v>Conseil National de Lutte contre le VIH/SIDA, la Tuberculose, le Paludisme, les Hépatites, les Infections sexuellement transmissibles et les Epidémies</v>
          </cell>
        </row>
        <row r="58">
          <cell r="C58" t="str">
            <v>Programme santé de lutte contre le Sida</v>
          </cell>
        </row>
        <row r="59">
          <cell r="C59" t="str">
            <v>Africare</v>
          </cell>
        </row>
        <row r="60">
          <cell r="C60" t="str">
            <v>Catholic Relief Services - United States Conference of Catholic Bishops</v>
          </cell>
        </row>
        <row r="61">
          <cell r="C61" t="str">
            <v>Programme National contre la Tuberculose de la République du Bénin</v>
          </cell>
        </row>
        <row r="62">
          <cell r="C62" t="str">
            <v>Plan International, Inc.</v>
          </cell>
        </row>
        <row r="63">
          <cell r="C63" t="str">
            <v>Health System Performance Program</v>
          </cell>
        </row>
        <row r="64">
          <cell r="C64" t="str">
            <v>Programme National de Lutte contre le Paludisme de la République du Bénin</v>
          </cell>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row r="95">
          <cell r="C95"/>
        </row>
        <row r="96">
          <cell r="C96"/>
        </row>
        <row r="97">
          <cell r="C97"/>
        </row>
        <row r="98">
          <cell r="C98"/>
        </row>
        <row r="99">
          <cell r="C99"/>
        </row>
        <row r="100">
          <cell r="C100"/>
        </row>
        <row r="101">
          <cell r="C101"/>
        </row>
        <row r="102">
          <cell r="C102"/>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sheetData>
      <sheetData sheetId="24">
        <row r="1">
          <cell r="B1" t="str">
            <v xml:space="preserve">     </v>
          </cell>
        </row>
      </sheetData>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158:R202" totalsRowShown="0" headerRowCellStyle="Normal 2" dataCellStyle="Normal 2">
  <autoFilter ref="B158:R20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dataDxfId="648" dataCellStyle="Normal 2">
      <calculatedColumnFormula array="1">IFERROR(INDEX($C$159:$C$210, MATCH(0, COUNTIF($B$158:B158, $C$159:$C$210&amp;"") + IF($C$159:$C$210="",1,0), 0)), "")</calculatedColumnFormula>
    </tableColumn>
    <tableColumn id="2" xr3:uid="{00000000-0010-0000-0000-000002000000}" name="Module Name" dataDxfId="647"/>
    <tableColumn id="3" xr3:uid="{00000000-0010-0000-0000-000003000000}" name="Module-Coverage-Intervention Reference (Name)" dataDxfId="646" dataCellStyle="Normal 2"/>
    <tableColumn id="4" xr3:uid="{00000000-0010-0000-0000-000004000000}" name="Component (Name)" dataDxfId="645" dataCellStyle="Normal 2"/>
    <tableColumn id="5" xr3:uid="{00000000-0010-0000-0000-000005000000}" name="Name used on Overview Page for display" dataDxfId="644" dataCellStyle="Normal 2">
      <calculatedColumnFormula>CHOOSE(Translations!$C$1+1,'Reference Records'!C159,'Reference Records'!Q159,'Reference Records'!R159)</calculatedColumnFormula>
    </tableColumn>
    <tableColumn id="6" xr3:uid="{00000000-0010-0000-0000-000006000000}" name="Record ID" dataDxfId="643" dataCellStyle="Normal 2"/>
    <tableColumn id="7" xr3:uid="{00000000-0010-0000-0000-000007000000}" name="Reference Record Id" dataDxfId="642" dataCellStyle="Normal 2"/>
    <tableColumn id="8" xr3:uid="{00000000-0010-0000-0000-000008000000}" name="unique id" dataDxfId="641" dataCellStyle="Normal 2">
      <calculatedColumnFormula array="1">IFERROR(INDEX($D$159:$D$210, MATCH(0, COUNTIF($I$158:I158, $D$159:$D$210&amp;"") + IF($D$159:$D$210="",1,0), 0)), "")</calculatedColumnFormula>
    </tableColumn>
    <tableColumn id="9" xr3:uid="{00000000-0010-0000-0000-000009000000}" name="unique name list" dataDxfId="640" dataCellStyle="Normal 2">
      <calculatedColumnFormula array="1">IFERROR(IF(INDEX($F$159:$F$210,MATCH(LEFT(I159,255),LEFT($D$159:$D$210,255),0))=0,"",INDEX($F$159:$F$210,MATCH(LEFT(I159,255),LEFT($D$159:$D$210,255),0))),"")</calculatedColumnFormula>
    </tableColumn>
    <tableColumn id="10" xr3:uid="{00000000-0010-0000-0000-00000A000000}" name="Allocation Cycle (Name)" dataDxfId="639" dataCellStyle="Normal 2"/>
    <tableColumn id="11" xr3:uid="{00000000-0010-0000-0000-00000B000000}" name="Module (Name)" dataDxfId="638" dataCellStyle="Normal 2"/>
    <tableColumn id="12" xr3:uid="{00000000-0010-0000-0000-00000C000000}" name="Component Indicator Reference ID" dataDxfId="637" dataCellStyle="Normal 2"/>
    <tableColumn id="13" xr3:uid="{00000000-0010-0000-0000-00000D000000}" name="Column1" dataDxfId="636" dataCellStyle="Normal 2">
      <calculatedColumnFormula>D159</calculatedColumnFormula>
    </tableColumn>
    <tableColumn id="14" xr3:uid="{00000000-0010-0000-0000-00000E000000}" name="Column2" dataDxfId="635" dataCellStyle="Normal 2"/>
    <tableColumn id="15" xr3:uid="{00000000-0010-0000-0000-00000F000000}" name="Cumulation Type" dataDxfId="634" dataCellStyle="Normal 2"/>
    <tableColumn id="16" xr3:uid="{00000000-0010-0000-0000-000010000000}" name="Name - FR" dataDxfId="633" dataCellStyle="Normal 2"/>
    <tableColumn id="17" xr3:uid="{00000000-0010-0000-0000-000011000000}" name="Name - ES" dataDxfId="632" dataCellStyle="Normal 2"/>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212:N332" totalsRowShown="0" headerRowDxfId="631" tableBorderDxfId="630" headerRowCellStyle="Normal 2" dataCellStyle="Normal 2">
  <autoFilter ref="A212:N332"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dataCellStyle="Normal 2"/>
    <tableColumn id="2" xr3:uid="{00000000-0010-0000-0100-000002000000}" name="Name ID" dataCellStyle="Normal 2"/>
    <tableColumn id="3" xr3:uid="{00000000-0010-0000-0100-000003000000}" name="translated intervetnion name" dataCellStyle="Normal 2">
      <calculatedColumnFormula>CHOOSE(Translations!$C$1+1,K213,L213,M213)</calculatedColumnFormula>
    </tableColumn>
    <tableColumn id="4" xr3:uid="{00000000-0010-0000-0100-000004000000}" name="Disaggregation Categories" dataCellStyle="Normal 2"/>
    <tableColumn id="5" xr3:uid="{00000000-0010-0000-0100-000005000000}" name="Record ID" dataDxfId="629" dataCellStyle="Normal 2"/>
    <tableColumn id="6" xr3:uid="{00000000-0010-0000-0100-000006000000}" name="Column1" dataDxfId="628" dataCellStyle="Normal 2">
      <calculatedColumnFormula>B213</calculatedColumnFormula>
    </tableColumn>
    <tableColumn id="7" xr3:uid="{00000000-0010-0000-0100-000007000000}" name="Column2" dataCellStyle="Normal 2">
      <calculatedColumnFormula>A213&amp;C213</calculatedColumnFormula>
    </tableColumn>
    <tableColumn id="8" xr3:uid="{00000000-0010-0000-0100-000008000000}" name="Column5" dataCellStyle="Normal 2">
      <calculatedColumnFormula>A213&amp;C213</calculatedColumnFormula>
    </tableColumn>
    <tableColumn id="9" xr3:uid="{00000000-0010-0000-0100-000009000000}" name="Column4" dataCellStyle="Normal 2">
      <calculatedColumnFormula>F213</calculatedColumnFormula>
    </tableColumn>
    <tableColumn id="10" xr3:uid="{00000000-0010-0000-0100-00000A000000}" name="Column3" dataCellStyle="Normal 2"/>
    <tableColumn id="11" xr3:uid="{00000000-0010-0000-0100-00000B000000}" name="Intervention" dataDxfId="627" dataCellStyle="Normal 2"/>
    <tableColumn id="12" xr3:uid="{00000000-0010-0000-0100-00000C000000}" name="Name - FR" dataDxfId="626" dataCellStyle="Normal 2"/>
    <tableColumn id="13" xr3:uid="{00000000-0010-0000-0100-00000D000000}" name="Name - ES" dataDxfId="625" dataCellStyle="Normal 2"/>
    <tableColumn id="14" xr3:uid="{00000000-0010-0000-0100-00000E000000}" name="Allocation Cycle (Name)" dataCellStyle="Normal 2"/>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78:Q155" totalsRowShown="0" headerRowDxfId="624" tableBorderDxfId="623" headerRowCellStyle="Normal 2" dataCellStyle="Normal 2">
  <autoFilter ref="A78:Q155"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dataCellStyle="Normal 2"/>
    <tableColumn id="2" xr3:uid="{00000000-0010-0000-0200-000002000000}" name="Name ID" dataDxfId="622" dataCellStyle="Normal 2"/>
    <tableColumn id="3" xr3:uid="{00000000-0010-0000-0200-000003000000}" name="translated name" dataDxfId="621" dataCellStyle="Normal 2">
      <calculatedColumnFormula>CHOOSE(Translations!$C$1+1,L79,M79,N79)</calculatedColumnFormula>
    </tableColumn>
    <tableColumn id="4" xr3:uid="{00000000-0010-0000-0200-000004000000}" name="transalted coverage categories name" dataDxfId="620" dataCellStyle="Normal 2">
      <calculatedColumnFormula>CHOOSE(Translations!$C$1+1,O79,P79,Q79)</calculatedColumnFormula>
    </tableColumn>
    <tableColumn id="5" xr3:uid="{00000000-0010-0000-0200-000005000000}" name="Column1" dataCellStyle="Normal 2">
      <calculatedColumnFormula>LEFT(C79,255)</calculatedColumnFormula>
    </tableColumn>
    <tableColumn id="6" xr3:uid="{00000000-0010-0000-0200-000006000000}" name="Column2" dataDxfId="619" dataCellStyle="Normal 2">
      <calculatedColumnFormula>B79</calculatedColumnFormula>
    </tableColumn>
    <tableColumn id="7" xr3:uid="{00000000-0010-0000-0200-000007000000}" name="Record ID" dataCellStyle="Normal 2"/>
    <tableColumn id="8" xr3:uid="{00000000-0010-0000-0200-000008000000}" name="Column3" dataDxfId="618" dataCellStyle="Normal 2"/>
    <tableColumn id="9" xr3:uid="{00000000-0010-0000-0200-000009000000}" name="Allocation Cycle (Name)" dataDxfId="617" dataCellStyle="Normal 2"/>
    <tableColumn id="10" xr3:uid="{00000000-0010-0000-0200-00000A000000}" name="Soft Delete" dataDxfId="616" dataCellStyle="Normal 2"/>
    <tableColumn id="11" xr3:uid="{00000000-0010-0000-0200-00000B000000}" name="Cumulation Type" dataDxfId="615" dataCellStyle="Normal 2"/>
    <tableColumn id="12" xr3:uid="{00000000-0010-0000-0200-00000C000000}" name="Name" dataDxfId="614" dataCellStyle="Normal 2"/>
    <tableColumn id="13" xr3:uid="{00000000-0010-0000-0200-00000D000000}" name="Name - FR" dataDxfId="613" dataCellStyle="Normal 2"/>
    <tableColumn id="14" xr3:uid="{00000000-0010-0000-0200-00000E000000}" name="Name - ES" dataDxfId="612" dataCellStyle="Normal 2"/>
    <tableColumn id="15" xr3:uid="{00000000-0010-0000-0200-00000F000000}" name="Disaggregation Categories" dataDxfId="611" dataCellStyle="Normal 2"/>
    <tableColumn id="16" xr3:uid="{00000000-0010-0000-0200-000010000000}" name="Disaggregation Categories FR" dataDxfId="610" dataCellStyle="Normal 2"/>
    <tableColumn id="17" xr3:uid="{00000000-0010-0000-0200-000011000000}" name="Disaggregation Categories ES" dataDxfId="609" dataCellStyle="Normal 2"/>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FF"/>
    <pageSetUpPr fitToPage="1"/>
  </sheetPr>
  <dimension ref="A3:BC434"/>
  <sheetViews>
    <sheetView showGridLines="0" view="pageLayout" zoomScale="80" zoomScaleNormal="100" zoomScalePageLayoutView="80" workbookViewId="0">
      <selection activeCell="B2" sqref="B2"/>
    </sheetView>
  </sheetViews>
  <sheetFormatPr defaultColWidth="8.58203125" defaultRowHeight="15.5" x14ac:dyDescent="0.35"/>
  <cols>
    <col min="1" max="1" width="21.08203125" style="253" customWidth="1"/>
    <col min="2" max="2" width="146" style="253" customWidth="1"/>
    <col min="3" max="16384" width="8.58203125" style="253"/>
  </cols>
  <sheetData>
    <row r="3" spans="1:2" ht="35.75" customHeight="1" x14ac:dyDescent="0.35"/>
    <row r="6" spans="1:2" x14ac:dyDescent="0.35">
      <c r="A6" s="559" t="s">
        <v>625</v>
      </c>
      <c r="B6" s="559"/>
    </row>
    <row r="7" spans="1:2" ht="16" thickBot="1" x14ac:dyDescent="0.4">
      <c r="A7" s="320"/>
      <c r="B7" s="320"/>
    </row>
    <row r="8" spans="1:2" ht="16" thickBot="1" x14ac:dyDescent="0.4">
      <c r="A8" s="560" t="s">
        <v>626</v>
      </c>
      <c r="B8" s="561"/>
    </row>
    <row r="9" spans="1:2" ht="71.150000000000006" customHeight="1" thickBot="1" x14ac:dyDescent="0.4">
      <c r="A9" s="562" t="s">
        <v>627</v>
      </c>
      <c r="B9" s="563"/>
    </row>
    <row r="10" spans="1:2" ht="42.75" customHeight="1" thickBot="1" x14ac:dyDescent="0.4">
      <c r="A10" s="562" t="s">
        <v>628</v>
      </c>
      <c r="B10" s="563"/>
    </row>
    <row r="11" spans="1:2" ht="120" customHeight="1" thickBot="1" x14ac:dyDescent="0.4">
      <c r="A11" s="564" t="s">
        <v>629</v>
      </c>
      <c r="B11" s="565"/>
    </row>
    <row r="12" spans="1:2" ht="16" thickBot="1" x14ac:dyDescent="0.4">
      <c r="A12" s="320"/>
      <c r="B12" s="321"/>
    </row>
    <row r="13" spans="1:2" ht="16" thickBot="1" x14ac:dyDescent="0.4">
      <c r="A13" s="560" t="s">
        <v>630</v>
      </c>
      <c r="B13" s="561"/>
    </row>
    <row r="14" spans="1:2" ht="35.25" customHeight="1" thickBot="1" x14ac:dyDescent="0.4">
      <c r="A14" s="570" t="s">
        <v>631</v>
      </c>
      <c r="B14" s="563"/>
    </row>
    <row r="15" spans="1:2" ht="66.650000000000006" customHeight="1" thickBot="1" x14ac:dyDescent="0.4">
      <c r="A15" s="570" t="s">
        <v>632</v>
      </c>
      <c r="B15" s="563"/>
    </row>
    <row r="16" spans="1:2" ht="33" customHeight="1" thickBot="1" x14ac:dyDescent="0.4">
      <c r="A16" s="570" t="s">
        <v>633</v>
      </c>
      <c r="B16" s="563"/>
    </row>
    <row r="17" spans="1:2" ht="16" thickBot="1" x14ac:dyDescent="0.4">
      <c r="A17" s="571" t="s">
        <v>634</v>
      </c>
      <c r="B17" s="572"/>
    </row>
    <row r="18" spans="1:2" ht="68.150000000000006" customHeight="1" thickBot="1" x14ac:dyDescent="0.4">
      <c r="A18" s="573" t="s">
        <v>635</v>
      </c>
      <c r="B18" s="565"/>
    </row>
    <row r="19" spans="1:2" ht="73.25" customHeight="1" thickBot="1" x14ac:dyDescent="0.4">
      <c r="A19" s="570" t="s">
        <v>636</v>
      </c>
      <c r="B19" s="563"/>
    </row>
    <row r="20" spans="1:2" ht="15.65" customHeight="1" x14ac:dyDescent="0.35">
      <c r="A20" s="566" t="s">
        <v>637</v>
      </c>
      <c r="B20" s="567"/>
    </row>
    <row r="21" spans="1:2" x14ac:dyDescent="0.35">
      <c r="A21" s="568" t="s">
        <v>638</v>
      </c>
      <c r="B21" s="569"/>
    </row>
    <row r="22" spans="1:2" x14ac:dyDescent="0.35">
      <c r="A22" s="568" t="s">
        <v>639</v>
      </c>
      <c r="B22" s="569"/>
    </row>
    <row r="23" spans="1:2" x14ac:dyDescent="0.35">
      <c r="A23" s="568" t="s">
        <v>640</v>
      </c>
      <c r="B23" s="569"/>
    </row>
    <row r="24" spans="1:2" x14ac:dyDescent="0.35">
      <c r="A24" s="568" t="s">
        <v>641</v>
      </c>
      <c r="B24" s="569"/>
    </row>
    <row r="25" spans="1:2" ht="15.65" customHeight="1" x14ac:dyDescent="0.35">
      <c r="A25" s="568" t="s">
        <v>642</v>
      </c>
      <c r="B25" s="569"/>
    </row>
    <row r="26" spans="1:2" ht="16.399999999999999" customHeight="1" thickBot="1" x14ac:dyDescent="0.4">
      <c r="A26" s="580" t="s">
        <v>643</v>
      </c>
      <c r="B26" s="581"/>
    </row>
    <row r="27" spans="1:2" ht="48.65" customHeight="1" thickBot="1" x14ac:dyDescent="0.4">
      <c r="A27" s="582" t="s">
        <v>644</v>
      </c>
      <c r="B27" s="572"/>
    </row>
    <row r="28" spans="1:2" ht="16.399999999999999" customHeight="1" thickBot="1" x14ac:dyDescent="0.4">
      <c r="A28" s="582" t="s">
        <v>645</v>
      </c>
      <c r="B28" s="572"/>
    </row>
    <row r="29" spans="1:2" ht="16" thickBot="1" x14ac:dyDescent="0.4">
      <c r="A29" s="320"/>
      <c r="B29" s="321"/>
    </row>
    <row r="30" spans="1:2" ht="16" thickBot="1" x14ac:dyDescent="0.4">
      <c r="A30" s="560" t="s">
        <v>646</v>
      </c>
      <c r="B30" s="561"/>
    </row>
    <row r="31" spans="1:2" ht="16.399999999999999" customHeight="1" thickBot="1" x14ac:dyDescent="0.4">
      <c r="A31" s="582" t="s">
        <v>647</v>
      </c>
      <c r="B31" s="572"/>
    </row>
    <row r="32" spans="1:2" ht="16" thickBot="1" x14ac:dyDescent="0.4">
      <c r="A32" s="320"/>
      <c r="B32" s="322"/>
    </row>
    <row r="33" spans="1:2" ht="16" thickBot="1" x14ac:dyDescent="0.4">
      <c r="A33" s="583" t="s">
        <v>648</v>
      </c>
      <c r="B33" s="584"/>
    </row>
    <row r="34" spans="1:2" ht="16" thickBot="1" x14ac:dyDescent="0.4">
      <c r="A34" s="379" t="s">
        <v>649</v>
      </c>
      <c r="B34" s="323" t="s">
        <v>650</v>
      </c>
    </row>
    <row r="35" spans="1:2" x14ac:dyDescent="0.35">
      <c r="A35" s="574" t="s">
        <v>651</v>
      </c>
      <c r="B35" s="324" t="s">
        <v>652</v>
      </c>
    </row>
    <row r="36" spans="1:2" x14ac:dyDescent="0.35">
      <c r="A36" s="575"/>
      <c r="B36" s="325" t="s">
        <v>653</v>
      </c>
    </row>
    <row r="37" spans="1:2" x14ac:dyDescent="0.35">
      <c r="A37" s="575"/>
      <c r="B37" s="324" t="s">
        <v>654</v>
      </c>
    </row>
    <row r="38" spans="1:2" x14ac:dyDescent="0.35">
      <c r="A38" s="575"/>
      <c r="B38" s="325" t="s">
        <v>655</v>
      </c>
    </row>
    <row r="39" spans="1:2" ht="29.5" thickBot="1" x14ac:dyDescent="0.4">
      <c r="A39" s="576"/>
      <c r="B39" s="326" t="s">
        <v>656</v>
      </c>
    </row>
    <row r="40" spans="1:2" ht="43.5" x14ac:dyDescent="0.35">
      <c r="A40" s="574" t="s">
        <v>657</v>
      </c>
      <c r="B40" s="327" t="s">
        <v>658</v>
      </c>
    </row>
    <row r="41" spans="1:2" ht="29" x14ac:dyDescent="0.35">
      <c r="A41" s="575"/>
      <c r="B41" s="327" t="s">
        <v>659</v>
      </c>
    </row>
    <row r="42" spans="1:2" x14ac:dyDescent="0.35">
      <c r="A42" s="575"/>
      <c r="B42" s="327" t="s">
        <v>660</v>
      </c>
    </row>
    <row r="43" spans="1:2" ht="29.5" thickBot="1" x14ac:dyDescent="0.4">
      <c r="A43" s="576"/>
      <c r="B43" s="323" t="s">
        <v>661</v>
      </c>
    </row>
    <row r="44" spans="1:2" ht="15.65" customHeight="1" x14ac:dyDescent="0.35">
      <c r="A44" s="577" t="s">
        <v>662</v>
      </c>
      <c r="B44" s="324" t="s">
        <v>663</v>
      </c>
    </row>
    <row r="45" spans="1:2" ht="29" x14ac:dyDescent="0.35">
      <c r="A45" s="578"/>
      <c r="B45" s="327" t="s">
        <v>664</v>
      </c>
    </row>
    <row r="46" spans="1:2" ht="29" x14ac:dyDescent="0.35">
      <c r="A46" s="578"/>
      <c r="B46" s="324" t="s">
        <v>665</v>
      </c>
    </row>
    <row r="47" spans="1:2" x14ac:dyDescent="0.35">
      <c r="A47" s="578"/>
      <c r="B47" s="324" t="s">
        <v>666</v>
      </c>
    </row>
    <row r="48" spans="1:2" ht="29.5" thickBot="1" x14ac:dyDescent="0.4">
      <c r="A48" s="579"/>
      <c r="B48" s="323" t="s">
        <v>667</v>
      </c>
    </row>
    <row r="49" spans="1:2" ht="29" x14ac:dyDescent="0.35">
      <c r="A49" s="574" t="s">
        <v>668</v>
      </c>
      <c r="B49" s="324" t="s">
        <v>669</v>
      </c>
    </row>
    <row r="50" spans="1:2" x14ac:dyDescent="0.35">
      <c r="A50" s="575"/>
      <c r="B50" s="325" t="s">
        <v>653</v>
      </c>
    </row>
    <row r="51" spans="1:2" ht="29" x14ac:dyDescent="0.35">
      <c r="A51" s="575"/>
      <c r="B51" s="324" t="s">
        <v>670</v>
      </c>
    </row>
    <row r="52" spans="1:2" x14ac:dyDescent="0.35">
      <c r="A52" s="575"/>
      <c r="B52" s="325" t="s">
        <v>655</v>
      </c>
    </row>
    <row r="53" spans="1:2" ht="58.5" thickBot="1" x14ac:dyDescent="0.4">
      <c r="A53" s="576"/>
      <c r="B53" s="326" t="s">
        <v>671</v>
      </c>
    </row>
    <row r="54" spans="1:2" ht="32" customHeight="1" x14ac:dyDescent="0.35">
      <c r="A54" s="577" t="s">
        <v>672</v>
      </c>
      <c r="B54" s="328" t="s">
        <v>673</v>
      </c>
    </row>
    <row r="55" spans="1:2" ht="20" customHeight="1" thickBot="1" x14ac:dyDescent="0.4">
      <c r="A55" s="579"/>
      <c r="B55" s="326" t="s">
        <v>674</v>
      </c>
    </row>
    <row r="56" spans="1:2" ht="25.5" customHeight="1" x14ac:dyDescent="0.35">
      <c r="A56" s="577" t="s">
        <v>675</v>
      </c>
      <c r="B56" s="327" t="s">
        <v>676</v>
      </c>
    </row>
    <row r="57" spans="1:2" ht="27" customHeight="1" thickBot="1" x14ac:dyDescent="0.4">
      <c r="A57" s="579"/>
      <c r="B57" s="326" t="s">
        <v>677</v>
      </c>
    </row>
    <row r="58" spans="1:2" ht="16" thickBot="1" x14ac:dyDescent="0.4">
      <c r="A58" s="585"/>
      <c r="B58" s="586"/>
    </row>
    <row r="59" spans="1:2" ht="16" thickBot="1" x14ac:dyDescent="0.4">
      <c r="A59" s="379" t="s">
        <v>678</v>
      </c>
      <c r="B59" s="323" t="s">
        <v>679</v>
      </c>
    </row>
    <row r="60" spans="1:2" ht="16" thickBot="1" x14ac:dyDescent="0.4">
      <c r="A60" s="585"/>
      <c r="B60" s="586"/>
    </row>
    <row r="61" spans="1:2" ht="29" x14ac:dyDescent="0.35">
      <c r="A61" s="574" t="s">
        <v>680</v>
      </c>
      <c r="B61" s="324" t="s">
        <v>681</v>
      </c>
    </row>
    <row r="62" spans="1:2" ht="29.5" thickBot="1" x14ac:dyDescent="0.4">
      <c r="A62" s="576"/>
      <c r="B62" s="323" t="s">
        <v>682</v>
      </c>
    </row>
    <row r="63" spans="1:2" ht="16" thickBot="1" x14ac:dyDescent="0.4">
      <c r="A63" s="585"/>
      <c r="B63" s="586"/>
    </row>
    <row r="64" spans="1:2" x14ac:dyDescent="0.35">
      <c r="A64" s="574" t="s">
        <v>683</v>
      </c>
      <c r="B64" s="329" t="s">
        <v>653</v>
      </c>
    </row>
    <row r="65" spans="1:2" x14ac:dyDescent="0.35">
      <c r="A65" s="575"/>
      <c r="B65" s="324" t="s">
        <v>684</v>
      </c>
    </row>
    <row r="66" spans="1:2" ht="29" x14ac:dyDescent="0.35">
      <c r="A66" s="575"/>
      <c r="B66" s="324" t="s">
        <v>685</v>
      </c>
    </row>
    <row r="67" spans="1:2" ht="29.5" thickBot="1" x14ac:dyDescent="0.4">
      <c r="A67" s="576"/>
      <c r="B67" s="323" t="s">
        <v>686</v>
      </c>
    </row>
    <row r="68" spans="1:2" ht="16" thickBot="1" x14ac:dyDescent="0.4">
      <c r="A68" s="585"/>
      <c r="B68" s="586"/>
    </row>
    <row r="69" spans="1:2" ht="29" x14ac:dyDescent="0.35">
      <c r="A69" s="574" t="s">
        <v>687</v>
      </c>
      <c r="B69" s="324" t="s">
        <v>688</v>
      </c>
    </row>
    <row r="70" spans="1:2" ht="29" x14ac:dyDescent="0.35">
      <c r="A70" s="575"/>
      <c r="B70" s="324" t="s">
        <v>689</v>
      </c>
    </row>
    <row r="71" spans="1:2" ht="72.5" x14ac:dyDescent="0.35">
      <c r="A71" s="575"/>
      <c r="B71" s="324" t="s">
        <v>690</v>
      </c>
    </row>
    <row r="72" spans="1:2" ht="44" thickBot="1" x14ac:dyDescent="0.4">
      <c r="A72" s="575"/>
      <c r="B72" s="330" t="s">
        <v>691</v>
      </c>
    </row>
    <row r="73" spans="1:2" x14ac:dyDescent="0.35">
      <c r="A73" s="574" t="s">
        <v>516</v>
      </c>
      <c r="B73" s="331"/>
    </row>
    <row r="74" spans="1:2" ht="29" x14ac:dyDescent="0.35">
      <c r="A74" s="575"/>
      <c r="B74" s="332" t="s">
        <v>692</v>
      </c>
    </row>
    <row r="75" spans="1:2" ht="16" thickBot="1" x14ac:dyDescent="0.4">
      <c r="A75" s="576"/>
      <c r="B75" s="323"/>
    </row>
    <row r="76" spans="1:2" x14ac:dyDescent="0.35">
      <c r="A76" s="574" t="s">
        <v>693</v>
      </c>
      <c r="B76" s="331"/>
    </row>
    <row r="77" spans="1:2" ht="29" x14ac:dyDescent="0.35">
      <c r="A77" s="575"/>
      <c r="B77" s="332" t="s">
        <v>694</v>
      </c>
    </row>
    <row r="78" spans="1:2" ht="16" thickBot="1" x14ac:dyDescent="0.4">
      <c r="A78" s="576"/>
      <c r="B78" s="323"/>
    </row>
    <row r="79" spans="1:2" x14ac:dyDescent="0.35">
      <c r="A79" s="574" t="s">
        <v>695</v>
      </c>
      <c r="B79" s="333" t="s">
        <v>655</v>
      </c>
    </row>
    <row r="80" spans="1:2" ht="32.75" customHeight="1" x14ac:dyDescent="0.35">
      <c r="A80" s="575"/>
      <c r="B80" s="332" t="s">
        <v>696</v>
      </c>
    </row>
    <row r="81" spans="1:2" ht="16" thickBot="1" x14ac:dyDescent="0.4">
      <c r="A81" s="576"/>
      <c r="B81" s="323"/>
    </row>
    <row r="82" spans="1:2" x14ac:dyDescent="0.35">
      <c r="A82" s="574" t="s">
        <v>697</v>
      </c>
      <c r="B82" s="333" t="s">
        <v>655</v>
      </c>
    </row>
    <row r="83" spans="1:2" ht="29" x14ac:dyDescent="0.35">
      <c r="A83" s="575"/>
      <c r="B83" s="332" t="s">
        <v>698</v>
      </c>
    </row>
    <row r="84" spans="1:2" ht="16" thickBot="1" x14ac:dyDescent="0.4">
      <c r="A84" s="576"/>
      <c r="B84" s="332" t="s">
        <v>699</v>
      </c>
    </row>
    <row r="85" spans="1:2" ht="16" thickBot="1" x14ac:dyDescent="0.4">
      <c r="A85" s="585"/>
      <c r="B85" s="586"/>
    </row>
    <row r="86" spans="1:2" x14ac:dyDescent="0.35">
      <c r="A86" s="574" t="s">
        <v>700</v>
      </c>
      <c r="B86" s="331"/>
    </row>
    <row r="87" spans="1:2" ht="29" x14ac:dyDescent="0.35">
      <c r="A87" s="575"/>
      <c r="B87" s="332" t="s">
        <v>701</v>
      </c>
    </row>
    <row r="88" spans="1:2" ht="16" thickBot="1" x14ac:dyDescent="0.4">
      <c r="A88" s="576"/>
      <c r="B88" s="323"/>
    </row>
    <row r="89" spans="1:2" ht="16" thickBot="1" x14ac:dyDescent="0.4">
      <c r="A89" s="590"/>
      <c r="B89" s="591"/>
    </row>
    <row r="90" spans="1:2" x14ac:dyDescent="0.35">
      <c r="A90" s="574" t="s">
        <v>702</v>
      </c>
      <c r="B90" s="331"/>
    </row>
    <row r="91" spans="1:2" ht="29" x14ac:dyDescent="0.35">
      <c r="A91" s="575"/>
      <c r="B91" s="332" t="s">
        <v>703</v>
      </c>
    </row>
    <row r="92" spans="1:2" ht="16" thickBot="1" x14ac:dyDescent="0.4">
      <c r="A92" s="576"/>
      <c r="B92" s="334"/>
    </row>
    <row r="93" spans="1:2" ht="99" customHeight="1" x14ac:dyDescent="0.35">
      <c r="A93" s="574" t="s">
        <v>704</v>
      </c>
      <c r="B93" s="332" t="s">
        <v>705</v>
      </c>
    </row>
    <row r="94" spans="1:2" ht="43.5" customHeight="1" x14ac:dyDescent="0.35">
      <c r="A94" s="575"/>
      <c r="B94" s="332" t="s">
        <v>706</v>
      </c>
    </row>
    <row r="95" spans="1:2" ht="52.25" customHeight="1" x14ac:dyDescent="0.35">
      <c r="A95" s="575"/>
      <c r="B95" s="332" t="s">
        <v>707</v>
      </c>
    </row>
    <row r="96" spans="1:2" ht="16" thickBot="1" x14ac:dyDescent="0.4">
      <c r="A96" s="576"/>
      <c r="B96" s="332" t="s">
        <v>708</v>
      </c>
    </row>
    <row r="97" spans="1:2" ht="16" thickBot="1" x14ac:dyDescent="0.4">
      <c r="A97" s="590"/>
      <c r="B97" s="591"/>
    </row>
    <row r="98" spans="1:2" x14ac:dyDescent="0.35">
      <c r="A98" s="574" t="s">
        <v>709</v>
      </c>
      <c r="B98" s="331"/>
    </row>
    <row r="99" spans="1:2" ht="29" x14ac:dyDescent="0.35">
      <c r="A99" s="575"/>
      <c r="B99" s="332" t="s">
        <v>710</v>
      </c>
    </row>
    <row r="100" spans="1:2" ht="16" thickBot="1" x14ac:dyDescent="0.4">
      <c r="A100" s="576"/>
      <c r="B100" s="334"/>
    </row>
    <row r="101" spans="1:2" ht="29" x14ac:dyDescent="0.35">
      <c r="A101" s="587" t="s">
        <v>711</v>
      </c>
      <c r="B101" s="332" t="s">
        <v>712</v>
      </c>
    </row>
    <row r="102" spans="1:2" ht="43.5" x14ac:dyDescent="0.35">
      <c r="A102" s="588"/>
      <c r="B102" s="332" t="s">
        <v>713</v>
      </c>
    </row>
    <row r="103" spans="1:2" ht="16" thickBot="1" x14ac:dyDescent="0.4">
      <c r="A103" s="589"/>
      <c r="B103" s="335" t="s">
        <v>714</v>
      </c>
    </row>
    <row r="104" spans="1:2" ht="29" x14ac:dyDescent="0.35">
      <c r="A104" s="574" t="s">
        <v>539</v>
      </c>
      <c r="B104" s="332" t="s">
        <v>715</v>
      </c>
    </row>
    <row r="105" spans="1:2" ht="29" x14ac:dyDescent="0.35">
      <c r="A105" s="575"/>
      <c r="B105" s="332" t="s">
        <v>716</v>
      </c>
    </row>
    <row r="106" spans="1:2" ht="29.5" thickBot="1" x14ac:dyDescent="0.4">
      <c r="A106" s="576"/>
      <c r="B106" s="335" t="s">
        <v>717</v>
      </c>
    </row>
    <row r="107" spans="1:2" ht="16" thickBot="1" x14ac:dyDescent="0.4">
      <c r="A107" s="320"/>
      <c r="B107" s="320"/>
    </row>
    <row r="108" spans="1:2" ht="16" thickBot="1" x14ac:dyDescent="0.4">
      <c r="A108" s="583" t="s">
        <v>718</v>
      </c>
      <c r="B108" s="584"/>
    </row>
    <row r="109" spans="1:2" x14ac:dyDescent="0.35">
      <c r="A109" s="577" t="s">
        <v>506</v>
      </c>
      <c r="B109" s="332" t="s">
        <v>719</v>
      </c>
    </row>
    <row r="110" spans="1:2" ht="29.5" thickBot="1" x14ac:dyDescent="0.4">
      <c r="A110" s="579"/>
      <c r="B110" s="335" t="s">
        <v>720</v>
      </c>
    </row>
    <row r="111" spans="1:2" x14ac:dyDescent="0.35">
      <c r="A111" s="577" t="s">
        <v>495</v>
      </c>
      <c r="B111" s="332"/>
    </row>
    <row r="112" spans="1:2" x14ac:dyDescent="0.35">
      <c r="A112" s="578"/>
      <c r="B112" s="332" t="s">
        <v>721</v>
      </c>
    </row>
    <row r="113" spans="1:2" ht="29" x14ac:dyDescent="0.35">
      <c r="A113" s="578"/>
      <c r="B113" s="332" t="s">
        <v>722</v>
      </c>
    </row>
    <row r="114" spans="1:2" ht="43.5" x14ac:dyDescent="0.35">
      <c r="A114" s="578"/>
      <c r="B114" s="332" t="s">
        <v>723</v>
      </c>
    </row>
    <row r="115" spans="1:2" ht="29" x14ac:dyDescent="0.35">
      <c r="A115" s="578"/>
      <c r="B115" s="332" t="s">
        <v>724</v>
      </c>
    </row>
    <row r="116" spans="1:2" ht="16" thickBot="1" x14ac:dyDescent="0.4">
      <c r="A116" s="579"/>
      <c r="B116" s="336"/>
    </row>
    <row r="117" spans="1:2" x14ac:dyDescent="0.35">
      <c r="A117" s="574" t="s">
        <v>403</v>
      </c>
      <c r="B117" s="331"/>
    </row>
    <row r="118" spans="1:2" x14ac:dyDescent="0.35">
      <c r="A118" s="575"/>
      <c r="B118" s="332" t="s">
        <v>725</v>
      </c>
    </row>
    <row r="119" spans="1:2" ht="29" x14ac:dyDescent="0.35">
      <c r="A119" s="575"/>
      <c r="B119" s="332" t="s">
        <v>726</v>
      </c>
    </row>
    <row r="120" spans="1:2" x14ac:dyDescent="0.35">
      <c r="A120" s="575"/>
      <c r="B120" s="332"/>
    </row>
    <row r="121" spans="1:2" x14ac:dyDescent="0.35">
      <c r="A121" s="575"/>
      <c r="B121" s="325" t="s">
        <v>655</v>
      </c>
    </row>
    <row r="122" spans="1:2" x14ac:dyDescent="0.35">
      <c r="A122" s="575"/>
      <c r="B122" s="332" t="s">
        <v>727</v>
      </c>
    </row>
    <row r="123" spans="1:2" ht="16" thickBot="1" x14ac:dyDescent="0.4">
      <c r="A123" s="576"/>
      <c r="B123" s="336"/>
    </row>
    <row r="124" spans="1:2" x14ac:dyDescent="0.35">
      <c r="A124" s="574" t="s">
        <v>728</v>
      </c>
      <c r="B124" s="331"/>
    </row>
    <row r="125" spans="1:2" ht="29" x14ac:dyDescent="0.35">
      <c r="A125" s="575"/>
      <c r="B125" s="332" t="s">
        <v>729</v>
      </c>
    </row>
    <row r="126" spans="1:2" x14ac:dyDescent="0.35">
      <c r="A126" s="575"/>
      <c r="B126" s="332" t="s">
        <v>730</v>
      </c>
    </row>
    <row r="127" spans="1:2" ht="29" x14ac:dyDescent="0.35">
      <c r="A127" s="575"/>
      <c r="B127" s="332" t="s">
        <v>731</v>
      </c>
    </row>
    <row r="128" spans="1:2" ht="16" thickBot="1" x14ac:dyDescent="0.4">
      <c r="A128" s="576"/>
      <c r="B128" s="336"/>
    </row>
    <row r="129" spans="1:2" x14ac:dyDescent="0.35">
      <c r="A129" s="577" t="s">
        <v>399</v>
      </c>
      <c r="B129" s="332" t="s">
        <v>732</v>
      </c>
    </row>
    <row r="130" spans="1:2" ht="16" thickBot="1" x14ac:dyDescent="0.4">
      <c r="A130" s="578"/>
      <c r="B130" s="335" t="s">
        <v>733</v>
      </c>
    </row>
    <row r="131" spans="1:2" x14ac:dyDescent="0.35">
      <c r="A131" s="574" t="s">
        <v>734</v>
      </c>
      <c r="B131" s="331"/>
    </row>
    <row r="132" spans="1:2" x14ac:dyDescent="0.35">
      <c r="A132" s="575"/>
      <c r="B132" s="337" t="s">
        <v>735</v>
      </c>
    </row>
    <row r="133" spans="1:2" ht="16" thickBot="1" x14ac:dyDescent="0.4">
      <c r="A133" s="576"/>
      <c r="B133" s="336"/>
    </row>
    <row r="134" spans="1:2" x14ac:dyDescent="0.35">
      <c r="A134" s="574" t="s">
        <v>736</v>
      </c>
      <c r="B134" s="331"/>
    </row>
    <row r="135" spans="1:2" ht="36" customHeight="1" x14ac:dyDescent="0.35">
      <c r="A135" s="575"/>
      <c r="B135" s="337" t="s">
        <v>737</v>
      </c>
    </row>
    <row r="136" spans="1:2" ht="29" x14ac:dyDescent="0.35">
      <c r="A136" s="575"/>
      <c r="B136" s="337" t="s">
        <v>738</v>
      </c>
    </row>
    <row r="137" spans="1:2" ht="27.65" customHeight="1" x14ac:dyDescent="0.35">
      <c r="A137" s="575"/>
      <c r="B137" s="337" t="s">
        <v>739</v>
      </c>
    </row>
    <row r="138" spans="1:2" ht="16" thickBot="1" x14ac:dyDescent="0.4">
      <c r="A138" s="576"/>
      <c r="B138" s="336"/>
    </row>
    <row r="139" spans="1:2" x14ac:dyDescent="0.35">
      <c r="A139" s="574" t="s">
        <v>740</v>
      </c>
      <c r="B139" s="331"/>
    </row>
    <row r="140" spans="1:2" ht="29" x14ac:dyDescent="0.35">
      <c r="A140" s="575"/>
      <c r="B140" s="337" t="s">
        <v>741</v>
      </c>
    </row>
    <row r="141" spans="1:2" ht="29" x14ac:dyDescent="0.35">
      <c r="A141" s="575"/>
      <c r="B141" s="337" t="s">
        <v>742</v>
      </c>
    </row>
    <row r="142" spans="1:2" ht="34.25" customHeight="1" x14ac:dyDescent="0.35">
      <c r="A142" s="575"/>
      <c r="B142" s="337" t="s">
        <v>743</v>
      </c>
    </row>
    <row r="143" spans="1:2" x14ac:dyDescent="0.35">
      <c r="A143" s="575"/>
      <c r="B143" s="337" t="s">
        <v>744</v>
      </c>
    </row>
    <row r="144" spans="1:2" ht="29" x14ac:dyDescent="0.35">
      <c r="A144" s="575"/>
      <c r="B144" s="337" t="s">
        <v>745</v>
      </c>
    </row>
    <row r="145" spans="1:2" ht="16" thickBot="1" x14ac:dyDescent="0.4">
      <c r="A145" s="576"/>
      <c r="B145" s="336"/>
    </row>
    <row r="146" spans="1:2" ht="15.65" customHeight="1" x14ac:dyDescent="0.35">
      <c r="A146" s="574" t="s">
        <v>746</v>
      </c>
      <c r="B146" s="325" t="s">
        <v>653</v>
      </c>
    </row>
    <row r="147" spans="1:2" ht="43.5" x14ac:dyDescent="0.35">
      <c r="A147" s="575"/>
      <c r="B147" s="337" t="s">
        <v>747</v>
      </c>
    </row>
    <row r="148" spans="1:2" x14ac:dyDescent="0.35">
      <c r="A148" s="575"/>
      <c r="B148" s="325" t="s">
        <v>655</v>
      </c>
    </row>
    <row r="149" spans="1:2" ht="29" x14ac:dyDescent="0.35">
      <c r="A149" s="575"/>
      <c r="B149" s="337" t="s">
        <v>748</v>
      </c>
    </row>
    <row r="150" spans="1:2" ht="16" thickBot="1" x14ac:dyDescent="0.4">
      <c r="A150" s="576"/>
      <c r="B150" s="335" t="s">
        <v>749</v>
      </c>
    </row>
    <row r="151" spans="1:2" x14ac:dyDescent="0.35">
      <c r="A151" s="575" t="s">
        <v>404</v>
      </c>
      <c r="B151" s="338" t="s">
        <v>750</v>
      </c>
    </row>
    <row r="152" spans="1:2" x14ac:dyDescent="0.35">
      <c r="A152" s="575"/>
      <c r="B152" s="337" t="s">
        <v>751</v>
      </c>
    </row>
    <row r="153" spans="1:2" ht="29.5" thickBot="1" x14ac:dyDescent="0.4">
      <c r="A153" s="576"/>
      <c r="B153" s="335" t="s">
        <v>752</v>
      </c>
    </row>
    <row r="154" spans="1:2" ht="16" thickBot="1" x14ac:dyDescent="0.4">
      <c r="A154" s="592"/>
      <c r="B154" s="593"/>
    </row>
    <row r="155" spans="1:2" x14ac:dyDescent="0.35">
      <c r="A155" s="574" t="s">
        <v>753</v>
      </c>
      <c r="B155" s="282" t="s">
        <v>754</v>
      </c>
    </row>
    <row r="156" spans="1:2" ht="16" thickBot="1" x14ac:dyDescent="0.4">
      <c r="A156" s="575"/>
      <c r="B156" s="281" t="s">
        <v>755</v>
      </c>
    </row>
    <row r="157" spans="1:2" x14ac:dyDescent="0.35">
      <c r="A157" s="574" t="s">
        <v>756</v>
      </c>
      <c r="B157" s="331"/>
    </row>
    <row r="158" spans="1:2" x14ac:dyDescent="0.35">
      <c r="A158" s="575"/>
      <c r="B158" s="274" t="s">
        <v>757</v>
      </c>
    </row>
    <row r="159" spans="1:2" x14ac:dyDescent="0.35">
      <c r="A159" s="575"/>
      <c r="B159" s="332"/>
    </row>
    <row r="160" spans="1:2" ht="29" x14ac:dyDescent="0.35">
      <c r="A160" s="575"/>
      <c r="B160" s="280" t="s">
        <v>758</v>
      </c>
    </row>
    <row r="161" spans="1:2" ht="16" thickBot="1" x14ac:dyDescent="0.4">
      <c r="A161" s="576"/>
      <c r="B161" s="336"/>
    </row>
    <row r="162" spans="1:2" x14ac:dyDescent="0.35">
      <c r="A162" s="574" t="s">
        <v>759</v>
      </c>
      <c r="B162" s="339" t="s">
        <v>760</v>
      </c>
    </row>
    <row r="163" spans="1:2" ht="16" thickBot="1" x14ac:dyDescent="0.4">
      <c r="A163" s="575"/>
      <c r="B163" s="335" t="s">
        <v>761</v>
      </c>
    </row>
    <row r="164" spans="1:2" x14ac:dyDescent="0.35">
      <c r="A164" s="574" t="s">
        <v>762</v>
      </c>
      <c r="B164" s="331"/>
    </row>
    <row r="165" spans="1:2" ht="29" x14ac:dyDescent="0.35">
      <c r="A165" s="575"/>
      <c r="B165" s="337" t="s">
        <v>763</v>
      </c>
    </row>
    <row r="166" spans="1:2" ht="16" thickBot="1" x14ac:dyDescent="0.4">
      <c r="A166" s="576"/>
      <c r="B166" s="336"/>
    </row>
    <row r="167" spans="1:2" x14ac:dyDescent="0.35">
      <c r="A167" s="574" t="s">
        <v>764</v>
      </c>
      <c r="B167" s="331"/>
    </row>
    <row r="168" spans="1:2" ht="29" x14ac:dyDescent="0.35">
      <c r="A168" s="575"/>
      <c r="B168" s="332" t="s">
        <v>765</v>
      </c>
    </row>
    <row r="169" spans="1:2" ht="16" thickBot="1" x14ac:dyDescent="0.4">
      <c r="A169" s="576"/>
      <c r="B169" s="336"/>
    </row>
    <row r="170" spans="1:2" x14ac:dyDescent="0.35">
      <c r="A170" s="574" t="s">
        <v>407</v>
      </c>
      <c r="B170" s="331"/>
    </row>
    <row r="171" spans="1:2" x14ac:dyDescent="0.35">
      <c r="A171" s="575"/>
      <c r="B171" s="332" t="s">
        <v>766</v>
      </c>
    </row>
    <row r="172" spans="1:2" x14ac:dyDescent="0.35">
      <c r="A172" s="575"/>
      <c r="B172" s="332"/>
    </row>
    <row r="173" spans="1:2" x14ac:dyDescent="0.35">
      <c r="A173" s="575"/>
      <c r="B173" s="345" t="s">
        <v>767</v>
      </c>
    </row>
    <row r="174" spans="1:2" x14ac:dyDescent="0.35">
      <c r="A174" s="575"/>
      <c r="B174" s="345" t="s">
        <v>768</v>
      </c>
    </row>
    <row r="175" spans="1:2" x14ac:dyDescent="0.35">
      <c r="A175" s="575"/>
      <c r="B175" s="345" t="s">
        <v>769</v>
      </c>
    </row>
    <row r="176" spans="1:2" x14ac:dyDescent="0.35">
      <c r="A176" s="575"/>
      <c r="B176" s="345" t="s">
        <v>770</v>
      </c>
    </row>
    <row r="177" spans="1:2" x14ac:dyDescent="0.35">
      <c r="A177" s="575"/>
      <c r="B177" s="345" t="s">
        <v>771</v>
      </c>
    </row>
    <row r="178" spans="1:2" x14ac:dyDescent="0.35">
      <c r="A178" s="575"/>
      <c r="B178" s="345" t="s">
        <v>772</v>
      </c>
    </row>
    <row r="179" spans="1:2" x14ac:dyDescent="0.35">
      <c r="A179" s="575"/>
      <c r="B179" s="345" t="s">
        <v>773</v>
      </c>
    </row>
    <row r="180" spans="1:2" x14ac:dyDescent="0.35">
      <c r="A180" s="575"/>
      <c r="B180" s="345" t="s">
        <v>774</v>
      </c>
    </row>
    <row r="181" spans="1:2" ht="16" thickBot="1" x14ac:dyDescent="0.4">
      <c r="A181" s="576"/>
      <c r="B181" s="336"/>
    </row>
    <row r="182" spans="1:2" ht="16" thickBot="1" x14ac:dyDescent="0.4">
      <c r="A182" s="583" t="s">
        <v>775</v>
      </c>
      <c r="B182" s="584"/>
    </row>
    <row r="183" spans="1:2" x14ac:dyDescent="0.35">
      <c r="A183" s="574" t="s">
        <v>506</v>
      </c>
      <c r="B183" s="339" t="s">
        <v>776</v>
      </c>
    </row>
    <row r="184" spans="1:2" ht="29.5" thickBot="1" x14ac:dyDescent="0.4">
      <c r="A184" s="575"/>
      <c r="B184" s="346" t="s">
        <v>777</v>
      </c>
    </row>
    <row r="185" spans="1:2" x14ac:dyDescent="0.35">
      <c r="A185" s="574" t="s">
        <v>495</v>
      </c>
      <c r="B185" s="331"/>
    </row>
    <row r="186" spans="1:2" x14ac:dyDescent="0.35">
      <c r="A186" s="575"/>
      <c r="B186" s="332" t="s">
        <v>778</v>
      </c>
    </row>
    <row r="187" spans="1:2" ht="29" x14ac:dyDescent="0.35">
      <c r="A187" s="575"/>
      <c r="B187" s="332" t="s">
        <v>779</v>
      </c>
    </row>
    <row r="188" spans="1:2" ht="43.5" x14ac:dyDescent="0.35">
      <c r="A188" s="575"/>
      <c r="B188" s="332" t="s">
        <v>780</v>
      </c>
    </row>
    <row r="189" spans="1:2" ht="29" x14ac:dyDescent="0.35">
      <c r="A189" s="575"/>
      <c r="B189" s="332" t="s">
        <v>781</v>
      </c>
    </row>
    <row r="190" spans="1:2" ht="16" thickBot="1" x14ac:dyDescent="0.4">
      <c r="A190" s="576"/>
      <c r="B190" s="336"/>
    </row>
    <row r="191" spans="1:2" x14ac:dyDescent="0.35">
      <c r="A191" s="574" t="s">
        <v>782</v>
      </c>
      <c r="B191" s="331"/>
    </row>
    <row r="192" spans="1:2" x14ac:dyDescent="0.35">
      <c r="A192" s="575"/>
      <c r="B192" s="332" t="s">
        <v>783</v>
      </c>
    </row>
    <row r="193" spans="1:2" x14ac:dyDescent="0.35">
      <c r="A193" s="575"/>
      <c r="B193" s="332"/>
    </row>
    <row r="194" spans="1:2" ht="29" x14ac:dyDescent="0.35">
      <c r="A194" s="575"/>
      <c r="B194" s="332" t="s">
        <v>784</v>
      </c>
    </row>
    <row r="195" spans="1:2" x14ac:dyDescent="0.35">
      <c r="A195" s="575"/>
      <c r="B195" s="332"/>
    </row>
    <row r="196" spans="1:2" x14ac:dyDescent="0.35">
      <c r="A196" s="575"/>
      <c r="B196" s="325" t="s">
        <v>655</v>
      </c>
    </row>
    <row r="197" spans="1:2" x14ac:dyDescent="0.35">
      <c r="A197" s="575"/>
      <c r="B197" s="332" t="s">
        <v>785</v>
      </c>
    </row>
    <row r="198" spans="1:2" ht="16" thickBot="1" x14ac:dyDescent="0.4">
      <c r="A198" s="576"/>
      <c r="B198" s="336"/>
    </row>
    <row r="199" spans="1:2" x14ac:dyDescent="0.35">
      <c r="A199" s="574" t="s">
        <v>728</v>
      </c>
      <c r="B199" s="331"/>
    </row>
    <row r="200" spans="1:2" ht="43.5" x14ac:dyDescent="0.35">
      <c r="A200" s="575"/>
      <c r="B200" s="332" t="s">
        <v>786</v>
      </c>
    </row>
    <row r="201" spans="1:2" x14ac:dyDescent="0.35">
      <c r="A201" s="575"/>
      <c r="B201" s="332" t="s">
        <v>787</v>
      </c>
    </row>
    <row r="202" spans="1:2" ht="29" x14ac:dyDescent="0.35">
      <c r="A202" s="575"/>
      <c r="B202" s="332" t="s">
        <v>788</v>
      </c>
    </row>
    <row r="203" spans="1:2" ht="16" thickBot="1" x14ac:dyDescent="0.4">
      <c r="A203" s="576"/>
      <c r="B203" s="336"/>
    </row>
    <row r="204" spans="1:2" x14ac:dyDescent="0.35">
      <c r="A204" s="577" t="s">
        <v>399</v>
      </c>
      <c r="B204" s="368" t="s">
        <v>789</v>
      </c>
    </row>
    <row r="205" spans="1:2" ht="16" thickBot="1" x14ac:dyDescent="0.4">
      <c r="A205" s="579"/>
      <c r="B205" s="369" t="s">
        <v>790</v>
      </c>
    </row>
    <row r="206" spans="1:2" x14ac:dyDescent="0.35">
      <c r="A206" s="577" t="s">
        <v>734</v>
      </c>
      <c r="B206" s="331"/>
    </row>
    <row r="207" spans="1:2" x14ac:dyDescent="0.35">
      <c r="A207" s="578"/>
      <c r="B207" s="332" t="s">
        <v>791</v>
      </c>
    </row>
    <row r="208" spans="1:2" ht="16" thickBot="1" x14ac:dyDescent="0.4">
      <c r="A208" s="579"/>
      <c r="B208" s="336"/>
    </row>
    <row r="209" spans="1:2" x14ac:dyDescent="0.35">
      <c r="A209" s="574" t="s">
        <v>736</v>
      </c>
      <c r="B209" s="331"/>
    </row>
    <row r="210" spans="1:2" ht="31.25" customHeight="1" x14ac:dyDescent="0.35">
      <c r="A210" s="575"/>
      <c r="B210" s="332" t="s">
        <v>792</v>
      </c>
    </row>
    <row r="211" spans="1:2" ht="29" x14ac:dyDescent="0.35">
      <c r="A211" s="575"/>
      <c r="B211" s="332" t="s">
        <v>793</v>
      </c>
    </row>
    <row r="212" spans="1:2" ht="37.25" customHeight="1" x14ac:dyDescent="0.35">
      <c r="A212" s="575"/>
      <c r="B212" s="332" t="s">
        <v>794</v>
      </c>
    </row>
    <row r="213" spans="1:2" ht="16" thickBot="1" x14ac:dyDescent="0.4">
      <c r="A213" s="576"/>
      <c r="B213" s="334"/>
    </row>
    <row r="214" spans="1:2" x14ac:dyDescent="0.35">
      <c r="A214" s="574" t="s">
        <v>795</v>
      </c>
      <c r="B214" s="331"/>
    </row>
    <row r="215" spans="1:2" ht="29" x14ac:dyDescent="0.35">
      <c r="A215" s="575"/>
      <c r="B215" s="332" t="s">
        <v>796</v>
      </c>
    </row>
    <row r="216" spans="1:2" ht="29" x14ac:dyDescent="0.35">
      <c r="A216" s="575"/>
      <c r="B216" s="332" t="s">
        <v>797</v>
      </c>
    </row>
    <row r="217" spans="1:2" ht="25.5" customHeight="1" x14ac:dyDescent="0.35">
      <c r="A217" s="575"/>
      <c r="B217" s="332" t="s">
        <v>798</v>
      </c>
    </row>
    <row r="218" spans="1:2" x14ac:dyDescent="0.35">
      <c r="A218" s="575"/>
      <c r="B218" s="332" t="s">
        <v>799</v>
      </c>
    </row>
    <row r="219" spans="1:2" ht="29" x14ac:dyDescent="0.35">
      <c r="A219" s="575"/>
      <c r="B219" s="332" t="s">
        <v>800</v>
      </c>
    </row>
    <row r="220" spans="1:2" ht="16" thickBot="1" x14ac:dyDescent="0.4">
      <c r="A220" s="576"/>
      <c r="B220" s="334"/>
    </row>
    <row r="221" spans="1:2" ht="15.65" customHeight="1" x14ac:dyDescent="0.35">
      <c r="A221" s="574" t="s">
        <v>801</v>
      </c>
      <c r="B221" s="325" t="s">
        <v>653</v>
      </c>
    </row>
    <row r="222" spans="1:2" ht="43.5" x14ac:dyDescent="0.35">
      <c r="A222" s="575"/>
      <c r="B222" s="337" t="s">
        <v>802</v>
      </c>
    </row>
    <row r="223" spans="1:2" x14ac:dyDescent="0.35">
      <c r="A223" s="575"/>
      <c r="B223" s="325" t="s">
        <v>803</v>
      </c>
    </row>
    <row r="224" spans="1:2" ht="29" x14ac:dyDescent="0.35">
      <c r="A224" s="575"/>
      <c r="B224" s="337" t="s">
        <v>804</v>
      </c>
    </row>
    <row r="225" spans="1:2" ht="16" thickBot="1" x14ac:dyDescent="0.4">
      <c r="A225" s="576"/>
      <c r="B225" s="335" t="s">
        <v>805</v>
      </c>
    </row>
    <row r="226" spans="1:2" x14ac:dyDescent="0.35">
      <c r="A226" s="574" t="s">
        <v>404</v>
      </c>
      <c r="B226" s="331"/>
    </row>
    <row r="227" spans="1:2" x14ac:dyDescent="0.35">
      <c r="A227" s="575"/>
      <c r="B227" s="332" t="s">
        <v>806</v>
      </c>
    </row>
    <row r="228" spans="1:2" x14ac:dyDescent="0.35">
      <c r="A228" s="575"/>
      <c r="B228" s="332" t="s">
        <v>807</v>
      </c>
    </row>
    <row r="229" spans="1:2" ht="29" x14ac:dyDescent="0.35">
      <c r="A229" s="575"/>
      <c r="B229" s="332" t="s">
        <v>808</v>
      </c>
    </row>
    <row r="230" spans="1:2" ht="16" thickBot="1" x14ac:dyDescent="0.4">
      <c r="A230" s="576"/>
      <c r="B230" s="334"/>
    </row>
    <row r="231" spans="1:2" x14ac:dyDescent="0.35">
      <c r="A231" s="574" t="s">
        <v>753</v>
      </c>
      <c r="B231" s="339" t="s">
        <v>809</v>
      </c>
    </row>
    <row r="232" spans="1:2" ht="16" thickBot="1" x14ac:dyDescent="0.4">
      <c r="A232" s="575"/>
      <c r="B232" s="335" t="s">
        <v>810</v>
      </c>
    </row>
    <row r="233" spans="1:2" x14ac:dyDescent="0.35">
      <c r="A233" s="574" t="s">
        <v>756</v>
      </c>
      <c r="B233" s="331"/>
    </row>
    <row r="234" spans="1:2" x14ac:dyDescent="0.35">
      <c r="A234" s="575"/>
      <c r="B234" s="332" t="s">
        <v>811</v>
      </c>
    </row>
    <row r="235" spans="1:2" x14ac:dyDescent="0.35">
      <c r="A235" s="575"/>
      <c r="B235" s="332"/>
    </row>
    <row r="236" spans="1:2" ht="29" x14ac:dyDescent="0.35">
      <c r="A236" s="575"/>
      <c r="B236" s="332" t="s">
        <v>812</v>
      </c>
    </row>
    <row r="237" spans="1:2" ht="16" thickBot="1" x14ac:dyDescent="0.4">
      <c r="A237" s="576"/>
      <c r="B237" s="334"/>
    </row>
    <row r="238" spans="1:2" x14ac:dyDescent="0.35">
      <c r="A238" s="574" t="s">
        <v>759</v>
      </c>
      <c r="B238" s="339" t="s">
        <v>813</v>
      </c>
    </row>
    <row r="239" spans="1:2" ht="16" thickBot="1" x14ac:dyDescent="0.4">
      <c r="A239" s="576"/>
      <c r="B239" s="340" t="s">
        <v>814</v>
      </c>
    </row>
    <row r="240" spans="1:2" x14ac:dyDescent="0.35">
      <c r="A240" s="574" t="s">
        <v>762</v>
      </c>
      <c r="B240" s="331"/>
    </row>
    <row r="241" spans="1:2" ht="29" x14ac:dyDescent="0.35">
      <c r="A241" s="575"/>
      <c r="B241" s="332" t="s">
        <v>815</v>
      </c>
    </row>
    <row r="242" spans="1:2" ht="16" thickBot="1" x14ac:dyDescent="0.4">
      <c r="A242" s="576"/>
      <c r="B242" s="334"/>
    </row>
    <row r="243" spans="1:2" x14ac:dyDescent="0.35">
      <c r="A243" s="574" t="s">
        <v>764</v>
      </c>
      <c r="B243" s="331"/>
    </row>
    <row r="244" spans="1:2" ht="29" x14ac:dyDescent="0.35">
      <c r="A244" s="575"/>
      <c r="B244" s="332" t="s">
        <v>816</v>
      </c>
    </row>
    <row r="245" spans="1:2" ht="16" thickBot="1" x14ac:dyDescent="0.4">
      <c r="A245" s="576"/>
      <c r="B245" s="336"/>
    </row>
    <row r="246" spans="1:2" x14ac:dyDescent="0.35">
      <c r="A246" s="594" t="s">
        <v>407</v>
      </c>
      <c r="B246" s="282" t="s">
        <v>817</v>
      </c>
    </row>
    <row r="247" spans="1:2" x14ac:dyDescent="0.35">
      <c r="A247" s="595"/>
      <c r="B247" s="274"/>
    </row>
    <row r="248" spans="1:2" x14ac:dyDescent="0.35">
      <c r="A248" s="595"/>
      <c r="B248" s="345" t="s">
        <v>818</v>
      </c>
    </row>
    <row r="249" spans="1:2" x14ac:dyDescent="0.35">
      <c r="A249" s="595"/>
      <c r="B249" s="345" t="s">
        <v>768</v>
      </c>
    </row>
    <row r="250" spans="1:2" x14ac:dyDescent="0.35">
      <c r="A250" s="595"/>
      <c r="B250" s="345" t="s">
        <v>769</v>
      </c>
    </row>
    <row r="251" spans="1:2" x14ac:dyDescent="0.35">
      <c r="A251" s="595"/>
      <c r="B251" s="345" t="s">
        <v>770</v>
      </c>
    </row>
    <row r="252" spans="1:2" x14ac:dyDescent="0.35">
      <c r="A252" s="595"/>
      <c r="B252" s="345" t="s">
        <v>771</v>
      </c>
    </row>
    <row r="253" spans="1:2" x14ac:dyDescent="0.35">
      <c r="A253" s="595"/>
      <c r="B253" s="345" t="s">
        <v>772</v>
      </c>
    </row>
    <row r="254" spans="1:2" x14ac:dyDescent="0.35">
      <c r="A254" s="595"/>
      <c r="B254" s="345" t="s">
        <v>773</v>
      </c>
    </row>
    <row r="255" spans="1:2" x14ac:dyDescent="0.35">
      <c r="A255" s="595"/>
      <c r="B255" s="279" t="s">
        <v>819</v>
      </c>
    </row>
    <row r="256" spans="1:2" x14ac:dyDescent="0.35">
      <c r="A256" s="595"/>
      <c r="B256" s="378"/>
    </row>
    <row r="257" spans="1:2" ht="16" thickBot="1" x14ac:dyDescent="0.4">
      <c r="A257" s="596"/>
      <c r="B257" s="379"/>
    </row>
    <row r="258" spans="1:2" ht="16" thickBot="1" x14ac:dyDescent="0.4">
      <c r="A258" s="341"/>
      <c r="B258" s="320"/>
    </row>
    <row r="259" spans="1:2" ht="16" thickBot="1" x14ac:dyDescent="0.4">
      <c r="A259" s="583" t="s">
        <v>820</v>
      </c>
      <c r="B259" s="584"/>
    </row>
    <row r="260" spans="1:2" x14ac:dyDescent="0.35">
      <c r="A260" s="574" t="s">
        <v>821</v>
      </c>
      <c r="B260" s="331"/>
    </row>
    <row r="261" spans="1:2" x14ac:dyDescent="0.35">
      <c r="A261" s="575"/>
      <c r="B261" s="332" t="s">
        <v>822</v>
      </c>
    </row>
    <row r="262" spans="1:2" ht="16" thickBot="1" x14ac:dyDescent="0.4">
      <c r="A262" s="576"/>
      <c r="B262" s="336"/>
    </row>
    <row r="263" spans="1:2" x14ac:dyDescent="0.35">
      <c r="A263" s="574" t="s">
        <v>704</v>
      </c>
      <c r="B263" s="331"/>
    </row>
    <row r="264" spans="1:2" ht="29.75" customHeight="1" x14ac:dyDescent="0.35">
      <c r="A264" s="575"/>
      <c r="B264" s="332" t="s">
        <v>823</v>
      </c>
    </row>
    <row r="265" spans="1:2" ht="16" thickBot="1" x14ac:dyDescent="0.4">
      <c r="A265" s="576"/>
      <c r="B265" s="336"/>
    </row>
    <row r="266" spans="1:2" x14ac:dyDescent="0.35">
      <c r="A266" s="577" t="s">
        <v>539</v>
      </c>
      <c r="B266" s="368" t="s">
        <v>824</v>
      </c>
    </row>
    <row r="267" spans="1:2" ht="43.5" x14ac:dyDescent="0.35">
      <c r="A267" s="578"/>
      <c r="B267" s="368" t="s">
        <v>825</v>
      </c>
    </row>
    <row r="268" spans="1:2" ht="29" x14ac:dyDescent="0.35">
      <c r="A268" s="578"/>
      <c r="B268" s="368" t="s">
        <v>826</v>
      </c>
    </row>
    <row r="269" spans="1:2" ht="29.5" thickBot="1" x14ac:dyDescent="0.4">
      <c r="A269" s="579"/>
      <c r="B269" s="369" t="s">
        <v>827</v>
      </c>
    </row>
    <row r="270" spans="1:2" x14ac:dyDescent="0.35">
      <c r="A270" s="577" t="s">
        <v>495</v>
      </c>
      <c r="B270" s="331"/>
    </row>
    <row r="271" spans="1:2" ht="29" x14ac:dyDescent="0.35">
      <c r="A271" s="578"/>
      <c r="B271" s="332" t="s">
        <v>828</v>
      </c>
    </row>
    <row r="272" spans="1:2" x14ac:dyDescent="0.35">
      <c r="A272" s="578"/>
      <c r="B272" s="332"/>
    </row>
    <row r="273" spans="1:2" ht="43.5" x14ac:dyDescent="0.35">
      <c r="A273" s="578"/>
      <c r="B273" s="332" t="s">
        <v>829</v>
      </c>
    </row>
    <row r="274" spans="1:2" x14ac:dyDescent="0.35">
      <c r="A274" s="578"/>
      <c r="B274" s="332"/>
    </row>
    <row r="275" spans="1:2" ht="29" x14ac:dyDescent="0.35">
      <c r="A275" s="578"/>
      <c r="B275" s="332" t="s">
        <v>781</v>
      </c>
    </row>
    <row r="276" spans="1:2" ht="16" thickBot="1" x14ac:dyDescent="0.4">
      <c r="A276" s="579"/>
      <c r="B276" s="336"/>
    </row>
    <row r="277" spans="1:2" x14ac:dyDescent="0.35">
      <c r="A277" s="574" t="s">
        <v>782</v>
      </c>
      <c r="B277" s="332" t="s">
        <v>830</v>
      </c>
    </row>
    <row r="278" spans="1:2" x14ac:dyDescent="0.35">
      <c r="A278" s="575"/>
      <c r="B278" s="332" t="s">
        <v>831</v>
      </c>
    </row>
    <row r="279" spans="1:2" ht="42" customHeight="1" x14ac:dyDescent="0.35">
      <c r="A279" s="575"/>
      <c r="B279" s="342" t="s">
        <v>832</v>
      </c>
    </row>
    <row r="280" spans="1:2" ht="15.65" customHeight="1" x14ac:dyDescent="0.35">
      <c r="A280" s="575"/>
      <c r="B280" s="325" t="s">
        <v>803</v>
      </c>
    </row>
    <row r="281" spans="1:2" ht="34.5" customHeight="1" thickBot="1" x14ac:dyDescent="0.4">
      <c r="A281" s="575"/>
      <c r="B281" s="335" t="s">
        <v>833</v>
      </c>
    </row>
    <row r="282" spans="1:2" ht="29" x14ac:dyDescent="0.35">
      <c r="A282" s="574" t="s">
        <v>834</v>
      </c>
      <c r="B282" s="332" t="s">
        <v>835</v>
      </c>
    </row>
    <row r="283" spans="1:2" ht="29.5" thickBot="1" x14ac:dyDescent="0.4">
      <c r="A283" s="575"/>
      <c r="B283" s="335" t="s">
        <v>836</v>
      </c>
    </row>
    <row r="284" spans="1:2" x14ac:dyDescent="0.35">
      <c r="A284" s="574" t="s">
        <v>837</v>
      </c>
      <c r="B284" s="331"/>
    </row>
    <row r="285" spans="1:2" x14ac:dyDescent="0.35">
      <c r="A285" s="575"/>
      <c r="B285" s="332" t="s">
        <v>789</v>
      </c>
    </row>
    <row r="286" spans="1:2" ht="16" thickBot="1" x14ac:dyDescent="0.4">
      <c r="A286" s="576"/>
      <c r="B286" s="336"/>
    </row>
    <row r="287" spans="1:2" x14ac:dyDescent="0.35">
      <c r="A287" s="574" t="s">
        <v>734</v>
      </c>
      <c r="B287" s="331"/>
    </row>
    <row r="288" spans="1:2" x14ac:dyDescent="0.35">
      <c r="A288" s="575"/>
      <c r="B288" s="332" t="s">
        <v>838</v>
      </c>
    </row>
    <row r="289" spans="1:2" ht="16" thickBot="1" x14ac:dyDescent="0.4">
      <c r="A289" s="576"/>
      <c r="B289" s="336"/>
    </row>
    <row r="290" spans="1:2" x14ac:dyDescent="0.35">
      <c r="A290" s="574" t="s">
        <v>736</v>
      </c>
      <c r="B290" s="331"/>
    </row>
    <row r="291" spans="1:2" x14ac:dyDescent="0.35">
      <c r="A291" s="575"/>
      <c r="B291" s="332" t="s">
        <v>839</v>
      </c>
    </row>
    <row r="292" spans="1:2" ht="29" x14ac:dyDescent="0.35">
      <c r="A292" s="575"/>
      <c r="B292" s="332" t="s">
        <v>840</v>
      </c>
    </row>
    <row r="293" spans="1:2" ht="31.5" customHeight="1" x14ac:dyDescent="0.35">
      <c r="A293" s="575"/>
      <c r="B293" s="332" t="s">
        <v>841</v>
      </c>
    </row>
    <row r="294" spans="1:2" ht="16" thickBot="1" x14ac:dyDescent="0.4">
      <c r="A294" s="576"/>
      <c r="B294" s="336"/>
    </row>
    <row r="295" spans="1:2" x14ac:dyDescent="0.35">
      <c r="A295" s="574" t="s">
        <v>842</v>
      </c>
      <c r="B295" s="331"/>
    </row>
    <row r="296" spans="1:2" ht="29" x14ac:dyDescent="0.35">
      <c r="A296" s="575"/>
      <c r="B296" s="332" t="s">
        <v>843</v>
      </c>
    </row>
    <row r="297" spans="1:2" ht="29" x14ac:dyDescent="0.35">
      <c r="A297" s="575"/>
      <c r="B297" s="332" t="s">
        <v>844</v>
      </c>
    </row>
    <row r="298" spans="1:2" ht="28.5" customHeight="1" x14ac:dyDescent="0.35">
      <c r="A298" s="575"/>
      <c r="B298" s="332" t="s">
        <v>798</v>
      </c>
    </row>
    <row r="299" spans="1:2" ht="29" customHeight="1" x14ac:dyDescent="0.35">
      <c r="A299" s="575"/>
      <c r="B299" s="332" t="s">
        <v>845</v>
      </c>
    </row>
    <row r="300" spans="1:2" x14ac:dyDescent="0.35">
      <c r="A300" s="575"/>
      <c r="B300" s="332" t="s">
        <v>799</v>
      </c>
    </row>
    <row r="301" spans="1:2" ht="29" x14ac:dyDescent="0.35">
      <c r="A301" s="575"/>
      <c r="B301" s="332" t="s">
        <v>846</v>
      </c>
    </row>
    <row r="302" spans="1:2" x14ac:dyDescent="0.35">
      <c r="A302" s="575"/>
      <c r="B302" s="332"/>
    </row>
    <row r="303" spans="1:2" ht="16" thickBot="1" x14ac:dyDescent="0.4">
      <c r="A303" s="576"/>
      <c r="B303" s="336"/>
    </row>
    <row r="304" spans="1:2" ht="15.65" customHeight="1" x14ac:dyDescent="0.35">
      <c r="A304" s="597" t="s">
        <v>847</v>
      </c>
      <c r="B304" s="331"/>
    </row>
    <row r="305" spans="1:2" x14ac:dyDescent="0.35">
      <c r="A305" s="598"/>
      <c r="B305" s="325" t="s">
        <v>848</v>
      </c>
    </row>
    <row r="306" spans="1:2" x14ac:dyDescent="0.35">
      <c r="A306" s="598"/>
      <c r="B306" s="332" t="s">
        <v>849</v>
      </c>
    </row>
    <row r="307" spans="1:2" ht="29" x14ac:dyDescent="0.35">
      <c r="A307" s="598"/>
      <c r="B307" s="332" t="s">
        <v>850</v>
      </c>
    </row>
    <row r="308" spans="1:2" ht="16" thickBot="1" x14ac:dyDescent="0.4">
      <c r="A308" s="599"/>
      <c r="B308" s="336"/>
    </row>
    <row r="309" spans="1:2" x14ac:dyDescent="0.35">
      <c r="A309" s="574" t="s">
        <v>851</v>
      </c>
      <c r="B309" s="325" t="s">
        <v>852</v>
      </c>
    </row>
    <row r="310" spans="1:2" ht="43.5" x14ac:dyDescent="0.35">
      <c r="A310" s="575"/>
      <c r="B310" s="332" t="s">
        <v>853</v>
      </c>
    </row>
    <row r="311" spans="1:2" x14ac:dyDescent="0.35">
      <c r="A311" s="575"/>
      <c r="B311" s="332"/>
    </row>
    <row r="312" spans="1:2" x14ac:dyDescent="0.35">
      <c r="A312" s="575"/>
      <c r="B312" s="325" t="s">
        <v>848</v>
      </c>
    </row>
    <row r="313" spans="1:2" ht="29" x14ac:dyDescent="0.35">
      <c r="A313" s="575"/>
      <c r="B313" s="332" t="s">
        <v>854</v>
      </c>
    </row>
    <row r="314" spans="1:2" ht="16" thickBot="1" x14ac:dyDescent="0.4">
      <c r="A314" s="576"/>
      <c r="B314" s="340" t="s">
        <v>855</v>
      </c>
    </row>
    <row r="315" spans="1:2" ht="15.65" customHeight="1" x14ac:dyDescent="0.35">
      <c r="A315" s="577" t="s">
        <v>856</v>
      </c>
      <c r="B315" s="331"/>
    </row>
    <row r="316" spans="1:2" ht="15.65" customHeight="1" x14ac:dyDescent="0.35">
      <c r="A316" s="578"/>
      <c r="B316" s="347" t="s">
        <v>857</v>
      </c>
    </row>
    <row r="317" spans="1:2" ht="15.65" customHeight="1" x14ac:dyDescent="0.35">
      <c r="A317" s="578"/>
      <c r="B317" s="347" t="s">
        <v>858</v>
      </c>
    </row>
    <row r="318" spans="1:2" ht="29" x14ac:dyDescent="0.35">
      <c r="A318" s="578"/>
      <c r="B318" s="348" t="s">
        <v>859</v>
      </c>
    </row>
    <row r="319" spans="1:2" ht="31.25" customHeight="1" x14ac:dyDescent="0.35">
      <c r="A319" s="578"/>
      <c r="B319" s="349" t="s">
        <v>860</v>
      </c>
    </row>
    <row r="320" spans="1:2" ht="15.65" customHeight="1" x14ac:dyDescent="0.35">
      <c r="A320" s="578"/>
      <c r="B320" s="350" t="s">
        <v>861</v>
      </c>
    </row>
    <row r="321" spans="1:2" ht="29" x14ac:dyDescent="0.35">
      <c r="A321" s="578"/>
      <c r="B321" s="277" t="s">
        <v>862</v>
      </c>
    </row>
    <row r="322" spans="1:2" ht="29" x14ac:dyDescent="0.35">
      <c r="A322" s="578"/>
      <c r="B322" s="278" t="s">
        <v>863</v>
      </c>
    </row>
    <row r="323" spans="1:2" x14ac:dyDescent="0.35">
      <c r="A323" s="578"/>
      <c r="B323" s="332" t="s">
        <v>864</v>
      </c>
    </row>
    <row r="324" spans="1:2" ht="16" thickBot="1" x14ac:dyDescent="0.4">
      <c r="A324" s="579"/>
      <c r="B324" s="334"/>
    </row>
    <row r="325" spans="1:2" ht="52.4" customHeight="1" x14ac:dyDescent="0.35">
      <c r="A325" s="574" t="s">
        <v>571</v>
      </c>
      <c r="B325" s="339" t="s">
        <v>865</v>
      </c>
    </row>
    <row r="326" spans="1:2" ht="43.5" x14ac:dyDescent="0.35">
      <c r="A326" s="575"/>
      <c r="B326" s="332" t="s">
        <v>866</v>
      </c>
    </row>
    <row r="327" spans="1:2" ht="43.5" x14ac:dyDescent="0.35">
      <c r="A327" s="575"/>
      <c r="B327" s="332" t="s">
        <v>867</v>
      </c>
    </row>
    <row r="328" spans="1:2" ht="30" customHeight="1" x14ac:dyDescent="0.35">
      <c r="A328" s="575"/>
      <c r="B328" s="332" t="s">
        <v>868</v>
      </c>
    </row>
    <row r="329" spans="1:2" x14ac:dyDescent="0.35">
      <c r="A329" s="575"/>
      <c r="B329" s="339"/>
    </row>
    <row r="330" spans="1:2" ht="16" thickBot="1" x14ac:dyDescent="0.4">
      <c r="A330" s="576"/>
      <c r="B330" s="334"/>
    </row>
    <row r="331" spans="1:2" x14ac:dyDescent="0.35">
      <c r="A331" s="577" t="s">
        <v>869</v>
      </c>
      <c r="B331" s="339" t="s">
        <v>870</v>
      </c>
    </row>
    <row r="332" spans="1:2" ht="29" x14ac:dyDescent="0.35">
      <c r="A332" s="578"/>
      <c r="B332" s="349" t="s">
        <v>871</v>
      </c>
    </row>
    <row r="333" spans="1:2" x14ac:dyDescent="0.35">
      <c r="A333" s="578"/>
      <c r="B333" s="347" t="s">
        <v>872</v>
      </c>
    </row>
    <row r="334" spans="1:2" x14ac:dyDescent="0.35">
      <c r="A334" s="578"/>
      <c r="B334" s="347" t="s">
        <v>873</v>
      </c>
    </row>
    <row r="335" spans="1:2" ht="29.5" thickBot="1" x14ac:dyDescent="0.4">
      <c r="A335" s="579"/>
      <c r="B335" s="276" t="s">
        <v>874</v>
      </c>
    </row>
    <row r="336" spans="1:2" x14ac:dyDescent="0.35">
      <c r="A336" s="577" t="s">
        <v>759</v>
      </c>
      <c r="B336" s="282" t="s">
        <v>875</v>
      </c>
    </row>
    <row r="337" spans="1:2" x14ac:dyDescent="0.35">
      <c r="A337" s="578"/>
      <c r="B337" s="347" t="s">
        <v>876</v>
      </c>
    </row>
    <row r="338" spans="1:2" ht="16" thickBot="1" x14ac:dyDescent="0.4">
      <c r="A338" s="579"/>
      <c r="B338" s="275" t="s">
        <v>877</v>
      </c>
    </row>
    <row r="339" spans="1:2" ht="29.5" thickBot="1" x14ac:dyDescent="0.4">
      <c r="A339" s="378" t="s">
        <v>764</v>
      </c>
      <c r="B339" s="343" t="s">
        <v>878</v>
      </c>
    </row>
    <row r="340" spans="1:2" x14ac:dyDescent="0.35">
      <c r="A340" s="577" t="s">
        <v>407</v>
      </c>
      <c r="B340" s="331"/>
    </row>
    <row r="341" spans="1:2" x14ac:dyDescent="0.35">
      <c r="A341" s="578"/>
      <c r="B341" s="332" t="s">
        <v>879</v>
      </c>
    </row>
    <row r="342" spans="1:2" x14ac:dyDescent="0.35">
      <c r="A342" s="578"/>
      <c r="B342" s="345" t="s">
        <v>880</v>
      </c>
    </row>
    <row r="343" spans="1:2" x14ac:dyDescent="0.35">
      <c r="A343" s="578"/>
      <c r="B343" s="345" t="s">
        <v>768</v>
      </c>
    </row>
    <row r="344" spans="1:2" x14ac:dyDescent="0.35">
      <c r="A344" s="578"/>
      <c r="B344" s="345" t="s">
        <v>769</v>
      </c>
    </row>
    <row r="345" spans="1:2" ht="34.25" customHeight="1" x14ac:dyDescent="0.35">
      <c r="A345" s="578"/>
      <c r="B345" s="351" t="s">
        <v>881</v>
      </c>
    </row>
    <row r="346" spans="1:2" x14ac:dyDescent="0.35">
      <c r="A346" s="578"/>
      <c r="B346" s="345" t="s">
        <v>882</v>
      </c>
    </row>
    <row r="347" spans="1:2" ht="29" x14ac:dyDescent="0.35">
      <c r="A347" s="578"/>
      <c r="B347" s="351" t="s">
        <v>883</v>
      </c>
    </row>
    <row r="348" spans="1:2" ht="16" thickBot="1" x14ac:dyDescent="0.4">
      <c r="A348" s="579"/>
      <c r="B348" s="334"/>
    </row>
    <row r="349" spans="1:2" ht="16" thickBot="1" x14ac:dyDescent="0.4">
      <c r="A349" s="590"/>
      <c r="B349" s="591"/>
    </row>
    <row r="350" spans="1:2" ht="16" thickBot="1" x14ac:dyDescent="0.4">
      <c r="A350" s="320"/>
      <c r="B350" s="320"/>
    </row>
    <row r="351" spans="1:2" ht="16.399999999999999" customHeight="1" thickBot="1" x14ac:dyDescent="0.4">
      <c r="A351" s="583" t="s">
        <v>884</v>
      </c>
      <c r="B351" s="584"/>
    </row>
    <row r="352" spans="1:2" ht="16.399999999999999" customHeight="1" x14ac:dyDescent="0.35">
      <c r="A352" s="577" t="s">
        <v>821</v>
      </c>
      <c r="B352" s="370" t="s">
        <v>885</v>
      </c>
    </row>
    <row r="353" spans="1:55" ht="16.399999999999999" customHeight="1" thickBot="1" x14ac:dyDescent="0.4">
      <c r="A353" s="579"/>
      <c r="B353" s="369" t="s">
        <v>886</v>
      </c>
    </row>
    <row r="354" spans="1:55" s="377" customFormat="1" ht="15.65" customHeight="1" x14ac:dyDescent="0.35">
      <c r="A354" s="577" t="s">
        <v>887</v>
      </c>
      <c r="C354" s="373"/>
      <c r="D354" s="374"/>
      <c r="E354" s="374"/>
      <c r="F354" s="374"/>
      <c r="G354" s="374"/>
      <c r="H354" s="374"/>
      <c r="I354" s="374"/>
      <c r="J354" s="374"/>
      <c r="K354" s="374"/>
      <c r="L354" s="374"/>
      <c r="M354" s="374"/>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374"/>
      <c r="AX354" s="374"/>
      <c r="AY354" s="374"/>
      <c r="AZ354" s="374"/>
      <c r="BA354" s="374"/>
      <c r="BB354" s="374"/>
      <c r="BC354" s="374"/>
    </row>
    <row r="355" spans="1:55" ht="29" x14ac:dyDescent="0.35">
      <c r="A355" s="578"/>
      <c r="B355" s="332" t="s">
        <v>888</v>
      </c>
    </row>
    <row r="356" spans="1:55" ht="16" thickBot="1" x14ac:dyDescent="0.4">
      <c r="A356" s="579"/>
      <c r="B356" s="336"/>
    </row>
    <row r="357" spans="1:55" x14ac:dyDescent="0.35">
      <c r="A357" s="574" t="s">
        <v>889</v>
      </c>
      <c r="B357" s="331"/>
    </row>
    <row r="358" spans="1:55" x14ac:dyDescent="0.35">
      <c r="A358" s="575"/>
      <c r="B358" s="332" t="s">
        <v>890</v>
      </c>
    </row>
    <row r="359" spans="1:55" ht="29" x14ac:dyDescent="0.35">
      <c r="A359" s="575"/>
      <c r="B359" s="332" t="s">
        <v>891</v>
      </c>
    </row>
    <row r="360" spans="1:55" ht="16" thickBot="1" x14ac:dyDescent="0.4">
      <c r="A360" s="576"/>
      <c r="B360" s="336"/>
    </row>
    <row r="361" spans="1:55" ht="16" thickBot="1" x14ac:dyDescent="0.4">
      <c r="A361" s="378" t="s">
        <v>399</v>
      </c>
      <c r="B361" s="371" t="s">
        <v>892</v>
      </c>
    </row>
    <row r="362" spans="1:55" x14ac:dyDescent="0.35">
      <c r="A362" s="577" t="s">
        <v>734</v>
      </c>
      <c r="B362" s="331"/>
    </row>
    <row r="363" spans="1:55" x14ac:dyDescent="0.35">
      <c r="A363" s="578"/>
      <c r="B363" s="332" t="s">
        <v>893</v>
      </c>
    </row>
    <row r="364" spans="1:55" ht="16" thickBot="1" x14ac:dyDescent="0.4">
      <c r="A364" s="579"/>
      <c r="B364" s="336"/>
    </row>
    <row r="365" spans="1:55" x14ac:dyDescent="0.35">
      <c r="A365" s="574" t="s">
        <v>894</v>
      </c>
      <c r="B365" s="331"/>
    </row>
    <row r="366" spans="1:55" x14ac:dyDescent="0.35">
      <c r="A366" s="575"/>
      <c r="B366" s="332" t="s">
        <v>895</v>
      </c>
    </row>
    <row r="367" spans="1:55" ht="16" thickBot="1" x14ac:dyDescent="0.4">
      <c r="A367" s="576"/>
      <c r="B367" s="336"/>
    </row>
    <row r="368" spans="1:55" x14ac:dyDescent="0.35">
      <c r="A368" s="594" t="s">
        <v>407</v>
      </c>
      <c r="B368" s="331"/>
    </row>
    <row r="369" spans="1:2" x14ac:dyDescent="0.35">
      <c r="A369" s="595"/>
      <c r="B369" s="337" t="s">
        <v>896</v>
      </c>
    </row>
    <row r="370" spans="1:2" x14ac:dyDescent="0.35">
      <c r="A370" s="595"/>
      <c r="B370" s="372" t="s">
        <v>897</v>
      </c>
    </row>
    <row r="371" spans="1:2" x14ac:dyDescent="0.35">
      <c r="A371" s="595"/>
      <c r="B371" s="372" t="s">
        <v>898</v>
      </c>
    </row>
    <row r="372" spans="1:2" ht="29" x14ac:dyDescent="0.35">
      <c r="A372" s="595"/>
      <c r="B372" s="372" t="s">
        <v>899</v>
      </c>
    </row>
    <row r="373" spans="1:2" ht="16" thickBot="1" x14ac:dyDescent="0.4">
      <c r="A373" s="596"/>
      <c r="B373" s="379"/>
    </row>
    <row r="374" spans="1:2" ht="16" thickBot="1" x14ac:dyDescent="0.4">
      <c r="A374" s="320"/>
      <c r="B374" s="320"/>
    </row>
    <row r="375" spans="1:2" ht="15.65" customHeight="1" thickBot="1" x14ac:dyDescent="0.4">
      <c r="A375" s="583" t="s">
        <v>900</v>
      </c>
      <c r="B375" s="584"/>
    </row>
    <row r="376" spans="1:2" ht="16.399999999999999" customHeight="1" thickBot="1" x14ac:dyDescent="0.4">
      <c r="A376" s="600" t="s">
        <v>901</v>
      </c>
      <c r="B376" s="601"/>
    </row>
    <row r="377" spans="1:2" x14ac:dyDescent="0.35">
      <c r="A377" s="574" t="s">
        <v>617</v>
      </c>
      <c r="B377" s="331"/>
    </row>
    <row r="378" spans="1:2" ht="29" x14ac:dyDescent="0.35">
      <c r="A378" s="575"/>
      <c r="B378" s="339" t="s">
        <v>902</v>
      </c>
    </row>
    <row r="379" spans="1:2" ht="29" x14ac:dyDescent="0.35">
      <c r="A379" s="575"/>
      <c r="B379" s="332" t="s">
        <v>903</v>
      </c>
    </row>
    <row r="380" spans="1:2" ht="16" thickBot="1" x14ac:dyDescent="0.4">
      <c r="A380" s="576"/>
      <c r="B380" s="336"/>
    </row>
    <row r="381" spans="1:2" x14ac:dyDescent="0.35">
      <c r="A381" s="574" t="s">
        <v>904</v>
      </c>
      <c r="B381" s="331"/>
    </row>
    <row r="382" spans="1:2" x14ac:dyDescent="0.35">
      <c r="A382" s="575"/>
      <c r="B382" s="332" t="s">
        <v>905</v>
      </c>
    </row>
    <row r="383" spans="1:2" ht="16" thickBot="1" x14ac:dyDescent="0.4">
      <c r="A383" s="576"/>
      <c r="B383" s="336"/>
    </row>
    <row r="384" spans="1:2" ht="16" thickBot="1" x14ac:dyDescent="0.4">
      <c r="A384" s="600"/>
      <c r="B384" s="601"/>
    </row>
    <row r="385" spans="1:2" x14ac:dyDescent="0.35">
      <c r="A385" s="577" t="s">
        <v>704</v>
      </c>
      <c r="B385" s="331"/>
    </row>
    <row r="386" spans="1:2" ht="30.65" customHeight="1" x14ac:dyDescent="0.35">
      <c r="A386" s="578"/>
      <c r="B386" s="332" t="s">
        <v>906</v>
      </c>
    </row>
    <row r="387" spans="1:2" ht="16" thickBot="1" x14ac:dyDescent="0.4">
      <c r="A387" s="579"/>
      <c r="B387" s="332"/>
    </row>
    <row r="388" spans="1:2" x14ac:dyDescent="0.35">
      <c r="A388" s="577" t="s">
        <v>539</v>
      </c>
      <c r="B388" s="338" t="s">
        <v>907</v>
      </c>
    </row>
    <row r="389" spans="1:2" ht="43.5" x14ac:dyDescent="0.35">
      <c r="A389" s="578"/>
      <c r="B389" s="368" t="s">
        <v>908</v>
      </c>
    </row>
    <row r="390" spans="1:2" ht="29" x14ac:dyDescent="0.35">
      <c r="A390" s="578"/>
      <c r="B390" s="372" t="s">
        <v>909</v>
      </c>
    </row>
    <row r="391" spans="1:2" ht="50.15" customHeight="1" thickBot="1" x14ac:dyDescent="0.4">
      <c r="A391" s="579"/>
      <c r="B391" s="369" t="s">
        <v>910</v>
      </c>
    </row>
    <row r="392" spans="1:2" x14ac:dyDescent="0.35">
      <c r="A392" s="577" t="s">
        <v>409</v>
      </c>
      <c r="B392" s="368"/>
    </row>
    <row r="393" spans="1:2" ht="29" x14ac:dyDescent="0.35">
      <c r="A393" s="578"/>
      <c r="B393" s="368" t="s">
        <v>911</v>
      </c>
    </row>
    <row r="394" spans="1:2" ht="16" thickBot="1" x14ac:dyDescent="0.4">
      <c r="A394" s="579"/>
      <c r="B394" s="369"/>
    </row>
    <row r="395" spans="1:2" x14ac:dyDescent="0.35">
      <c r="A395" s="577" t="s">
        <v>912</v>
      </c>
      <c r="B395" s="331"/>
    </row>
    <row r="396" spans="1:2" x14ac:dyDescent="0.35">
      <c r="A396" s="578"/>
      <c r="B396" s="332" t="s">
        <v>913</v>
      </c>
    </row>
    <row r="397" spans="1:2" ht="16" thickBot="1" x14ac:dyDescent="0.4">
      <c r="A397" s="579"/>
      <c r="B397" s="336"/>
    </row>
    <row r="398" spans="1:2" x14ac:dyDescent="0.35">
      <c r="A398" s="577" t="s">
        <v>554</v>
      </c>
      <c r="B398" s="333"/>
    </row>
    <row r="399" spans="1:2" x14ac:dyDescent="0.35">
      <c r="A399" s="578"/>
      <c r="B399" s="333" t="s">
        <v>914</v>
      </c>
    </row>
    <row r="400" spans="1:2" ht="43.5" x14ac:dyDescent="0.35">
      <c r="A400" s="578"/>
      <c r="B400" s="339" t="s">
        <v>915</v>
      </c>
    </row>
    <row r="401" spans="1:2" x14ac:dyDescent="0.35">
      <c r="A401" s="578"/>
      <c r="B401" s="333"/>
    </row>
    <row r="402" spans="1:2" x14ac:dyDescent="0.35">
      <c r="A402" s="578"/>
      <c r="B402" s="333" t="s">
        <v>916</v>
      </c>
    </row>
    <row r="403" spans="1:2" ht="29" x14ac:dyDescent="0.35">
      <c r="A403" s="578"/>
      <c r="B403" s="339" t="s">
        <v>917</v>
      </c>
    </row>
    <row r="404" spans="1:2" ht="16" thickBot="1" x14ac:dyDescent="0.4">
      <c r="A404" s="579"/>
      <c r="B404" s="336"/>
    </row>
    <row r="405" spans="1:2" x14ac:dyDescent="0.35">
      <c r="A405" s="577" t="s">
        <v>404</v>
      </c>
      <c r="B405" s="331"/>
    </row>
    <row r="406" spans="1:2" x14ac:dyDescent="0.35">
      <c r="A406" s="578"/>
      <c r="B406" s="339" t="s">
        <v>918</v>
      </c>
    </row>
    <row r="407" spans="1:2" ht="28.5" customHeight="1" x14ac:dyDescent="0.35">
      <c r="A407" s="578"/>
      <c r="B407" s="339" t="s">
        <v>919</v>
      </c>
    </row>
    <row r="408" spans="1:2" ht="29" x14ac:dyDescent="0.35">
      <c r="A408" s="578"/>
      <c r="B408" s="332" t="s">
        <v>920</v>
      </c>
    </row>
    <row r="409" spans="1:2" ht="16" thickBot="1" x14ac:dyDescent="0.4">
      <c r="A409" s="579"/>
      <c r="B409" s="336"/>
    </row>
    <row r="410" spans="1:2" ht="16" thickBot="1" x14ac:dyDescent="0.4">
      <c r="A410" s="592"/>
      <c r="B410" s="593"/>
    </row>
    <row r="411" spans="1:2" x14ac:dyDescent="0.35">
      <c r="A411" s="574" t="s">
        <v>921</v>
      </c>
      <c r="B411" s="331"/>
    </row>
    <row r="412" spans="1:2" x14ac:dyDescent="0.35">
      <c r="A412" s="575"/>
      <c r="B412" s="332" t="s">
        <v>922</v>
      </c>
    </row>
    <row r="413" spans="1:2" x14ac:dyDescent="0.35">
      <c r="A413" s="575"/>
      <c r="B413" s="332"/>
    </row>
    <row r="414" spans="1:2" ht="29" x14ac:dyDescent="0.35">
      <c r="A414" s="575"/>
      <c r="B414" s="332" t="s">
        <v>923</v>
      </c>
    </row>
    <row r="415" spans="1:2" x14ac:dyDescent="0.35">
      <c r="A415" s="575"/>
      <c r="B415" s="332"/>
    </row>
    <row r="416" spans="1:2" ht="29" x14ac:dyDescent="0.35">
      <c r="A416" s="575"/>
      <c r="B416" s="332" t="s">
        <v>924</v>
      </c>
    </row>
    <row r="417" spans="1:2" x14ac:dyDescent="0.35">
      <c r="A417" s="575"/>
      <c r="B417" s="332"/>
    </row>
    <row r="418" spans="1:2" x14ac:dyDescent="0.35">
      <c r="A418" s="575"/>
      <c r="B418" s="332" t="s">
        <v>925</v>
      </c>
    </row>
    <row r="419" spans="1:2" x14ac:dyDescent="0.35">
      <c r="A419" s="575"/>
      <c r="B419" s="332"/>
    </row>
    <row r="420" spans="1:2" x14ac:dyDescent="0.35">
      <c r="A420" s="575"/>
      <c r="B420" s="332" t="s">
        <v>926</v>
      </c>
    </row>
    <row r="421" spans="1:2" ht="16" thickBot="1" x14ac:dyDescent="0.4">
      <c r="A421" s="576"/>
      <c r="B421" s="336"/>
    </row>
    <row r="422" spans="1:2" ht="15.65" customHeight="1" x14ac:dyDescent="0.35">
      <c r="A422" s="577" t="s">
        <v>927</v>
      </c>
      <c r="B422" s="331"/>
    </row>
    <row r="423" spans="1:2" x14ac:dyDescent="0.35">
      <c r="A423" s="578"/>
      <c r="B423" s="325" t="s">
        <v>803</v>
      </c>
    </row>
    <row r="424" spans="1:2" ht="29" x14ac:dyDescent="0.35">
      <c r="A424" s="578"/>
      <c r="B424" s="332" t="s">
        <v>928</v>
      </c>
    </row>
    <row r="425" spans="1:2" x14ac:dyDescent="0.35">
      <c r="A425" s="578"/>
      <c r="B425" s="332"/>
    </row>
    <row r="426" spans="1:2" ht="29" x14ac:dyDescent="0.35">
      <c r="A426" s="578"/>
      <c r="B426" s="332" t="s">
        <v>929</v>
      </c>
    </row>
    <row r="427" spans="1:2" x14ac:dyDescent="0.35">
      <c r="A427" s="578"/>
      <c r="B427" s="332" t="s">
        <v>930</v>
      </c>
    </row>
    <row r="428" spans="1:2" x14ac:dyDescent="0.35">
      <c r="A428" s="578"/>
      <c r="B428" s="332" t="s">
        <v>931</v>
      </c>
    </row>
    <row r="429" spans="1:2" x14ac:dyDescent="0.35">
      <c r="A429" s="578"/>
      <c r="B429" s="332" t="s">
        <v>932</v>
      </c>
    </row>
    <row r="430" spans="1:2" x14ac:dyDescent="0.35">
      <c r="A430" s="578"/>
      <c r="B430" s="337" t="s">
        <v>933</v>
      </c>
    </row>
    <row r="431" spans="1:2" ht="16" thickBot="1" x14ac:dyDescent="0.4">
      <c r="A431" s="579"/>
      <c r="B431" s="344"/>
    </row>
    <row r="432" spans="1:2" x14ac:dyDescent="0.35">
      <c r="A432" s="574" t="s">
        <v>407</v>
      </c>
      <c r="B432" s="331"/>
    </row>
    <row r="433" spans="1:2" x14ac:dyDescent="0.35">
      <c r="A433" s="575"/>
      <c r="B433" s="332" t="s">
        <v>934</v>
      </c>
    </row>
    <row r="434" spans="1:2" ht="16" thickBot="1" x14ac:dyDescent="0.4">
      <c r="A434" s="576"/>
      <c r="B434" s="334"/>
    </row>
  </sheetData>
  <sheetProtection password="FB8C" sheet="1" objects="1" scenarios="1"/>
  <mergeCells count="126">
    <mergeCell ref="A398:A404"/>
    <mergeCell ref="A405:A409"/>
    <mergeCell ref="A410:B410"/>
    <mergeCell ref="A411:A421"/>
    <mergeCell ref="A422:A431"/>
    <mergeCell ref="A432:A434"/>
    <mergeCell ref="A381:A383"/>
    <mergeCell ref="A384:B384"/>
    <mergeCell ref="A385:A387"/>
    <mergeCell ref="A388:A391"/>
    <mergeCell ref="A392:A394"/>
    <mergeCell ref="A395:A397"/>
    <mergeCell ref="A362:A364"/>
    <mergeCell ref="A365:A367"/>
    <mergeCell ref="A368:A373"/>
    <mergeCell ref="A375:B375"/>
    <mergeCell ref="A376:B376"/>
    <mergeCell ref="A377:A380"/>
    <mergeCell ref="A340:A348"/>
    <mergeCell ref="A349:B349"/>
    <mergeCell ref="A351:B351"/>
    <mergeCell ref="A352:A353"/>
    <mergeCell ref="A354:A356"/>
    <mergeCell ref="A357:A360"/>
    <mergeCell ref="A304:A308"/>
    <mergeCell ref="A309:A314"/>
    <mergeCell ref="A315:A324"/>
    <mergeCell ref="A325:A330"/>
    <mergeCell ref="A331:A335"/>
    <mergeCell ref="A336:A338"/>
    <mergeCell ref="A277:A281"/>
    <mergeCell ref="A282:A283"/>
    <mergeCell ref="A284:A286"/>
    <mergeCell ref="A287:A289"/>
    <mergeCell ref="A290:A294"/>
    <mergeCell ref="A295:A303"/>
    <mergeCell ref="A246:A257"/>
    <mergeCell ref="A259:B259"/>
    <mergeCell ref="A260:A262"/>
    <mergeCell ref="A263:A265"/>
    <mergeCell ref="A266:A269"/>
    <mergeCell ref="A270:A276"/>
    <mergeCell ref="A226:A230"/>
    <mergeCell ref="A231:A232"/>
    <mergeCell ref="A233:A237"/>
    <mergeCell ref="A238:A239"/>
    <mergeCell ref="A240:A242"/>
    <mergeCell ref="A243:A245"/>
    <mergeCell ref="A199:A203"/>
    <mergeCell ref="A204:A205"/>
    <mergeCell ref="A206:A208"/>
    <mergeCell ref="A209:A213"/>
    <mergeCell ref="A214:A220"/>
    <mergeCell ref="A221:A225"/>
    <mergeCell ref="A167:A169"/>
    <mergeCell ref="A170:A181"/>
    <mergeCell ref="A182:B182"/>
    <mergeCell ref="A183:A184"/>
    <mergeCell ref="A185:A190"/>
    <mergeCell ref="A191:A198"/>
    <mergeCell ref="A151:A153"/>
    <mergeCell ref="A154:B154"/>
    <mergeCell ref="A155:A156"/>
    <mergeCell ref="A157:A161"/>
    <mergeCell ref="A162:A163"/>
    <mergeCell ref="A164:A166"/>
    <mergeCell ref="A124:A128"/>
    <mergeCell ref="A129:A130"/>
    <mergeCell ref="A131:A133"/>
    <mergeCell ref="A134:A138"/>
    <mergeCell ref="A139:A145"/>
    <mergeCell ref="A146:A150"/>
    <mergeCell ref="A101:A103"/>
    <mergeCell ref="A104:A106"/>
    <mergeCell ref="A108:B108"/>
    <mergeCell ref="A109:A110"/>
    <mergeCell ref="A111:A116"/>
    <mergeCell ref="A117:A123"/>
    <mergeCell ref="A86:A88"/>
    <mergeCell ref="A89:B89"/>
    <mergeCell ref="A90:A92"/>
    <mergeCell ref="A93:A96"/>
    <mergeCell ref="A97:B97"/>
    <mergeCell ref="A98:A100"/>
    <mergeCell ref="A69:A72"/>
    <mergeCell ref="A73:A75"/>
    <mergeCell ref="A76:A78"/>
    <mergeCell ref="A79:A81"/>
    <mergeCell ref="A82:A84"/>
    <mergeCell ref="A85:B85"/>
    <mergeCell ref="A58:B58"/>
    <mergeCell ref="A60:B60"/>
    <mergeCell ref="A61:A62"/>
    <mergeCell ref="A63:B63"/>
    <mergeCell ref="A64:A67"/>
    <mergeCell ref="A68:B68"/>
    <mergeCell ref="A35:A39"/>
    <mergeCell ref="A40:A43"/>
    <mergeCell ref="A44:A48"/>
    <mergeCell ref="A49:A53"/>
    <mergeCell ref="A54:A55"/>
    <mergeCell ref="A56:A57"/>
    <mergeCell ref="A26:B26"/>
    <mergeCell ref="A27:B27"/>
    <mergeCell ref="A28:B28"/>
    <mergeCell ref="A30:B30"/>
    <mergeCell ref="A31:B31"/>
    <mergeCell ref="A33:B33"/>
    <mergeCell ref="A23:B23"/>
    <mergeCell ref="A24:B24"/>
    <mergeCell ref="A25:B25"/>
    <mergeCell ref="A14:B14"/>
    <mergeCell ref="A15:B15"/>
    <mergeCell ref="A16:B16"/>
    <mergeCell ref="A17:B17"/>
    <mergeCell ref="A18:B18"/>
    <mergeCell ref="A19:B19"/>
    <mergeCell ref="A6:B6"/>
    <mergeCell ref="A8:B8"/>
    <mergeCell ref="A9:B9"/>
    <mergeCell ref="A10:B10"/>
    <mergeCell ref="A11:B11"/>
    <mergeCell ref="A13:B13"/>
    <mergeCell ref="A20:B20"/>
    <mergeCell ref="A21:B21"/>
    <mergeCell ref="A22:B22"/>
  </mergeCells>
  <hyperlinks>
    <hyperlink ref="A33:B33" location="SectionATab" display="Overview- Section A " xr:uid="{00000000-0004-0000-0000-000000000000}"/>
    <hyperlink ref="A108:B108" location="SectionBTab" display="Impact Indicators – Section B" xr:uid="{00000000-0004-0000-0000-000001000000}"/>
    <hyperlink ref="A182:B182" location="SectionCTab" display="Outcome Indicators- Section C " xr:uid="{00000000-0004-0000-0000-000002000000}"/>
    <hyperlink ref="A259:B259" location="SectionDTab" display="Coverage Indicators - Section D " xr:uid="{00000000-0004-0000-0000-000003000000}"/>
    <hyperlink ref="A351:B351" location="SectionETab" display="Disaggregation (Impact, Outcome and Coverage indicators) - Section E " xr:uid="{00000000-0004-0000-0000-000004000000}"/>
    <hyperlink ref="A375:B375" location="SectionFTab" display="Work Plan Tracking Measures - Section F " xr:uid="{00000000-0004-0000-0000-000005000000}"/>
    <hyperlink ref="A11:B11" r:id="rId1" display="3._x0009_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 to select from. These are derived from technical partner guidance to ensure consistent and harmonized reporting. Refer to the Modular Framework Handbook-October 2019 for full list of indicators for reporting to the Global Fund." xr:uid="{00000000-0004-0000-0000-000006000000}"/>
    <hyperlink ref="A18:B18" r:id="rId2" display="8.      At the funding request stage: The applicants should request the Country Team for a Performance Framework template. In their request the applicants should specify the component(s) to be covered in their funding application(s). For details on the joint submissions please refer to the  Funding Request Instructions. The Global Fund Country Teams will generate and share a Performance Framework template, specific for each applicant. The applicants will use one Performance Framework template to cover the full funding request for all nominated Principal Recipients." xr:uid="{00000000-0004-0000-0000-000007000000}"/>
  </hyperlinks>
  <pageMargins left="0.27037878787878789" right="0.7" top="0.75" bottom="0.75" header="0.3" footer="0.3"/>
  <pageSetup paperSize="9" scale="48" fitToHeight="0" orientation="portrait" r:id="rId3"/>
  <headerFooter>
    <oddFoote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AI100"/>
  <sheetViews>
    <sheetView showGridLines="0" topLeftCell="A7" zoomScale="70" zoomScaleNormal="70" workbookViewId="0">
      <pane xSplit="2" ySplit="1" topLeftCell="C8" activePane="bottomRight" state="frozen"/>
      <selection activeCell="A7" sqref="A7"/>
      <selection pane="topRight" activeCell="C7" sqref="C7"/>
      <selection pane="bottomLeft" activeCell="A8" sqref="A8"/>
      <selection pane="bottomRight" activeCell="V19" sqref="V19:V20"/>
    </sheetView>
  </sheetViews>
  <sheetFormatPr defaultColWidth="9" defaultRowHeight="15.5" x14ac:dyDescent="0.35"/>
  <cols>
    <col min="1" max="1" width="23.1640625" customWidth="1"/>
    <col min="2" max="2" width="48.08203125" customWidth="1"/>
    <col min="3" max="3" width="30.58203125" customWidth="1"/>
    <col min="4" max="4" width="13.58203125" customWidth="1"/>
    <col min="5" max="5" width="11.08203125" customWidth="1"/>
    <col min="6" max="6" width="12.08203125" customWidth="1"/>
    <col min="7" max="7" width="15" customWidth="1"/>
    <col min="8" max="8" width="40.58203125" customWidth="1"/>
    <col min="9" max="9" width="30.58203125" hidden="1" customWidth="1"/>
    <col min="10" max="10" width="17.5" style="210" customWidth="1"/>
    <col min="11" max="11" width="13.5" customWidth="1"/>
    <col min="12" max="12" width="11.58203125" customWidth="1"/>
    <col min="13" max="13" width="13.08203125" customWidth="1"/>
    <col min="14" max="14" width="15.08203125" customWidth="1"/>
    <col min="15" max="15" width="13.5" customWidth="1"/>
    <col min="16" max="16" width="11.58203125" customWidth="1"/>
    <col min="17" max="17" width="12.08203125" customWidth="1"/>
    <col min="18" max="18" width="14.08203125" customWidth="1"/>
    <col min="19" max="19" width="13.5" customWidth="1"/>
    <col min="20" max="20" width="11.58203125" customWidth="1"/>
    <col min="21" max="21" width="16.6640625" customWidth="1"/>
    <col min="22" max="22" width="14.5" customWidth="1"/>
    <col min="23" max="23" width="13.5" customWidth="1"/>
    <col min="24" max="24" width="11.58203125" customWidth="1"/>
    <col min="25" max="25" width="11.08203125" customWidth="1"/>
    <col min="26" max="26" width="13.08203125" customWidth="1"/>
    <col min="27" max="27" width="50.58203125" customWidth="1"/>
    <col min="28" max="28" width="34.1640625" customWidth="1"/>
    <col min="29" max="29" width="30.58203125" customWidth="1"/>
    <col min="30" max="30" width="50.58203125" customWidth="1"/>
    <col min="31" max="31" width="16.08203125" hidden="1" customWidth="1"/>
    <col min="32" max="32" width="10.1640625" hidden="1" customWidth="1"/>
    <col min="33" max="33" width="16.58203125" hidden="1" customWidth="1"/>
    <col min="34" max="34" width="22.08203125" hidden="1" customWidth="1"/>
    <col min="35" max="35" width="11.1640625" hidden="1" customWidth="1"/>
    <col min="36" max="36" width="11.6640625" customWidth="1"/>
  </cols>
  <sheetData>
    <row r="1" spans="1:35" x14ac:dyDescent="0.35">
      <c r="A1" s="712" t="str">
        <f ca="1">Translations!A59</f>
        <v>Marco de desempeño - Indicadores de Resultado - Sección C</v>
      </c>
      <c r="B1" s="713"/>
      <c r="C1" s="713"/>
      <c r="D1" s="713"/>
      <c r="E1" s="713"/>
      <c r="F1" s="713"/>
      <c r="G1" s="713"/>
      <c r="H1" s="714"/>
    </row>
    <row r="2" spans="1:35" ht="16" thickBot="1" x14ac:dyDescent="0.4">
      <c r="A2" s="715"/>
      <c r="B2" s="716"/>
      <c r="C2" s="716"/>
      <c r="D2" s="716"/>
      <c r="E2" s="716"/>
      <c r="F2" s="716"/>
      <c r="G2" s="716"/>
      <c r="H2" s="717"/>
    </row>
    <row r="4" spans="1:35" ht="16" thickBot="1" x14ac:dyDescent="0.4">
      <c r="G4" s="211" t="s">
        <v>254</v>
      </c>
    </row>
    <row r="5" spans="1:35" ht="16" thickBot="1" x14ac:dyDescent="0.4">
      <c r="A5" s="186" t="str">
        <f ca="1">Translations!A12</f>
        <v>Navegación de la página</v>
      </c>
      <c r="B5" s="188" t="str">
        <f ca="1">Translations!A48</f>
        <v>Instrucciones</v>
      </c>
    </row>
    <row r="6" spans="1:35" x14ac:dyDescent="0.35">
      <c r="A6" s="176"/>
      <c r="B6" s="176"/>
      <c r="C6" s="176"/>
      <c r="K6" s="211">
        <v>2</v>
      </c>
      <c r="O6" s="211">
        <v>3</v>
      </c>
      <c r="S6" s="211">
        <v>4</v>
      </c>
      <c r="W6" s="211">
        <v>5</v>
      </c>
    </row>
    <row r="7" spans="1:35" x14ac:dyDescent="0.35">
      <c r="A7" s="718"/>
      <c r="B7" s="718"/>
      <c r="C7" s="718"/>
      <c r="D7" s="718"/>
      <c r="E7" s="718"/>
      <c r="F7" s="718"/>
      <c r="G7" s="718"/>
      <c r="H7" s="718"/>
      <c r="I7" s="718"/>
      <c r="J7" s="718"/>
      <c r="K7" s="647">
        <f ca="1">IFERROR(IF(YEAR(INDEX('Overview - Section A'!$A$39:$A$46,MATCH(K6,'Overview - Section A'!$B$39:$B$46,0)))&lt;=YEAR('Overview - Section A'!$E$11),YEAR(INDEX('Overview - Section A'!$A$39:$A$46,MATCH($K$6,'Overview - Section A'!$B$39:$B$46,0))),""),"")</f>
        <v>2022</v>
      </c>
      <c r="L7" s="648"/>
      <c r="M7" s="648"/>
      <c r="N7" s="649"/>
      <c r="O7" s="647">
        <f ca="1">IFERROR(IF(K7+1&lt;=YEAR('Overview - Section A'!$E$11),K7+1,""),"")</f>
        <v>2023</v>
      </c>
      <c r="P7" s="648"/>
      <c r="Q7" s="648"/>
      <c r="R7" s="649"/>
      <c r="S7" s="647">
        <f ca="1">IFERROR(IF(O7+1&lt;=YEAR('Overview - Section A'!$E$11),O7+1,""),"")</f>
        <v>2024</v>
      </c>
      <c r="T7" s="648"/>
      <c r="U7" s="648"/>
      <c r="V7" s="649"/>
      <c r="W7" s="647" t="str">
        <f ca="1">IFERROR(IF(S7+1&lt;=YEAR('Overview - Section A'!$E$11),S7+1,""),"")</f>
        <v/>
      </c>
      <c r="X7" s="648"/>
      <c r="Y7" s="648"/>
      <c r="Z7" s="649"/>
      <c r="AA7" s="178"/>
      <c r="AB7" s="178"/>
      <c r="AC7" s="178"/>
      <c r="AD7" s="178"/>
    </row>
    <row r="8" spans="1:35" ht="60" customHeight="1" x14ac:dyDescent="0.35">
      <c r="A8" s="269" t="str">
        <f ca="1">Translations!A77</f>
        <v>Número del indicador de resultado</v>
      </c>
      <c r="B8" s="269" t="str">
        <f ca="1">Translations!A38</f>
        <v xml:space="preserve">Indicador estándar </v>
      </c>
      <c r="C8" s="269" t="str">
        <f ca="1">Translations!A39</f>
        <v>Indicador personalizado</v>
      </c>
      <c r="D8" s="270" t="str">
        <f ca="1">Translations!A40</f>
        <v>Línea de base #N
Línea de base #D</v>
      </c>
      <c r="E8" s="269" t="str">
        <f ca="1">Translations!A41</f>
        <v>Línea de base %</v>
      </c>
      <c r="F8" s="269" t="str">
        <f ca="1">Translations!A42</f>
        <v>Línea de base año</v>
      </c>
      <c r="G8" s="269" t="str">
        <f ca="1">Translations!A43</f>
        <v>Línea de base año fuente</v>
      </c>
      <c r="H8" s="269" t="str">
        <f ca="1">Translations!A51</f>
        <v>Desagregación requerida</v>
      </c>
      <c r="I8" s="269" t="str">
        <f ca="1">Translations!A52</f>
        <v>Receptor principal responsible</v>
      </c>
      <c r="J8" s="269" t="str">
        <f ca="1">Translations!A53</f>
        <v>País</v>
      </c>
      <c r="K8" s="269" t="str">
        <f ca="1">Translations!$A$54&amp;CHAR(10)&amp;Translations!$A$55</f>
        <v>Meta N#
Meta D#</v>
      </c>
      <c r="L8" s="269" t="str">
        <f ca="1">Translations!$A$63</f>
        <v>Meta %</v>
      </c>
      <c r="M8" s="269" t="str">
        <f ca="1">Translations!$A$56</f>
        <v>Fecha de envío del reporte</v>
      </c>
      <c r="N8" s="269" t="str">
        <f ca="1">Translations!$A$57</f>
        <v>Marque si la meta es "TBD"</v>
      </c>
      <c r="O8" s="269" t="str">
        <f ca="1">Translations!$A$54&amp;CHAR(10)&amp;Translations!$A$55</f>
        <v>Meta N#
Meta D#</v>
      </c>
      <c r="P8" s="269" t="str">
        <f ca="1">Translations!$A$63</f>
        <v>Meta %</v>
      </c>
      <c r="Q8" s="269" t="str">
        <f ca="1">Translations!$A$56</f>
        <v>Fecha de envío del reporte</v>
      </c>
      <c r="R8" s="269" t="str">
        <f ca="1">Translations!$A$57</f>
        <v>Marque si la meta es "TBD"</v>
      </c>
      <c r="S8" s="269" t="str">
        <f ca="1">Translations!$A$54&amp;CHAR(10)&amp;Translations!$A$55</f>
        <v>Meta N#
Meta D#</v>
      </c>
      <c r="T8" s="269" t="str">
        <f ca="1">Translations!$A$63</f>
        <v>Meta %</v>
      </c>
      <c r="U8" s="269" t="str">
        <f ca="1">Translations!$A$56</f>
        <v>Fecha de envío del reporte</v>
      </c>
      <c r="V8" s="269" t="str">
        <f ca="1">Translations!$A$57</f>
        <v>Marque si la meta es "TBD"</v>
      </c>
      <c r="W8" s="269" t="str">
        <f ca="1">Translations!$A$54&amp;CHAR(10)&amp;Translations!$A$55</f>
        <v>Meta N#
Meta D#</v>
      </c>
      <c r="X8" s="269" t="str">
        <f ca="1">Translations!$A$63</f>
        <v>Meta %</v>
      </c>
      <c r="Y8" s="269" t="str">
        <f ca="1">Translations!$A$56</f>
        <v>Fecha de envío del reporte</v>
      </c>
      <c r="Z8" s="269" t="str">
        <f ca="1">Translations!$A$57</f>
        <v>Marque si la meta es "TBD"</v>
      </c>
      <c r="AA8" s="269" t="str">
        <f ca="1">Translations!$A$58</f>
        <v>Comentarios</v>
      </c>
      <c r="AB8" s="269" t="str">
        <f ca="1">Translations!A39 &amp; " (EN)"</f>
        <v>Indicador personalizado (EN)</v>
      </c>
      <c r="AC8" s="269" t="str">
        <f ca="1">Translations!A43 &amp; " (EN)"</f>
        <v>Línea de base año fuente (EN)</v>
      </c>
      <c r="AD8" s="269" t="str">
        <f ca="1">Translations!A58 &amp; " (EN)"</f>
        <v>Comentarios (EN)</v>
      </c>
      <c r="AG8" t="s">
        <v>935</v>
      </c>
      <c r="AH8" t="s">
        <v>936</v>
      </c>
    </row>
    <row r="9" spans="1:35" ht="74.400000000000006" customHeight="1" x14ac:dyDescent="0.35">
      <c r="A9" s="660">
        <v>1</v>
      </c>
      <c r="B9" s="657" t="s">
        <v>2930</v>
      </c>
      <c r="C9" s="657"/>
      <c r="D9" s="534">
        <v>7</v>
      </c>
      <c r="E9" s="619">
        <f ca="1">IF(OR(INDIRECT("'update Helper'!D"&amp;AH9)="",D9&lt;&gt;0,D10&lt;&gt;0),IF(IFERROR((D9/D10),"")="","",(D9/D10)),INDIRECT("'update Helper'!D"&amp;AH9)/100)</f>
        <v>1</v>
      </c>
      <c r="F9" s="706">
        <v>2018</v>
      </c>
      <c r="G9" s="680" t="s">
        <v>11199</v>
      </c>
      <c r="H9" s="664" t="str">
        <f>AE9</f>
        <v/>
      </c>
      <c r="I9" s="666"/>
      <c r="J9" s="666" t="s">
        <v>1070</v>
      </c>
      <c r="K9" s="525"/>
      <c r="L9" s="686">
        <v>0.9</v>
      </c>
      <c r="M9" s="670">
        <v>45015</v>
      </c>
      <c r="N9" s="698"/>
      <c r="O9" s="536"/>
      <c r="P9" s="686">
        <v>0.9</v>
      </c>
      <c r="Q9" s="670">
        <v>45381</v>
      </c>
      <c r="R9" s="698"/>
      <c r="S9" s="536"/>
      <c r="T9" s="686">
        <v>0.9</v>
      </c>
      <c r="U9" s="670">
        <v>45746</v>
      </c>
      <c r="V9" s="698"/>
      <c r="W9" s="412"/>
      <c r="X9" s="668" t="str">
        <f ca="1">IF(OR(INDIRECT("'update Helper'!K"&amp;AG9+3)="",W9&lt;&gt;0,W10&lt;&gt;0),IF(IFERROR((W9/W10),"")="","",(W9/W10)),INDIRECT("'update Helper'!K"&amp;AG9+3)/100)</f>
        <v/>
      </c>
      <c r="Y9" s="719"/>
      <c r="Z9" s="655"/>
      <c r="AA9" s="672" t="s">
        <v>11214</v>
      </c>
      <c r="AB9" s="657"/>
      <c r="AC9" s="680" t="s">
        <v>9251</v>
      </c>
      <c r="AD9" s="672" t="s">
        <v>11224</v>
      </c>
      <c r="AE9" t="str">
        <f t="array" ref="AE9">IFERROR(IF(INDEX('Reference Records'!$D$25:$D$76,MATCH(LEFT(B9,255),LEFT('Reference Records'!$C$25:$C$76,255),0))=0,"",INDEX('Reference Records'!$D$25:$D$76,MATCH(LEFT(B9,255),LEFT('Reference Records'!$C$25:$C$76,255),0))),"")</f>
        <v/>
      </c>
      <c r="AF9" t="str">
        <f>B9&amp;C9</f>
        <v>TB O-4⁽ᴹ⁾ Tasa de éxito del tratamiento de los casos de tuberculosis resistente a la rifampicina y/o tuberculosis multirresistente: Porcentaje de casos de tuberculosis resistente a la rifampicina y/o tuberculosis multirresistente tratados con éxito.</v>
      </c>
      <c r="AG9" s="214">
        <f>ROW(Outcome_indicators_Targets__section_C)+3</f>
        <v>478</v>
      </c>
      <c r="AH9">
        <f>ROW(Outcome_indicators__section_C)+3</f>
        <v>423</v>
      </c>
      <c r="AI9" t="str">
        <f ca="1">IF(INDIRECT("'update Helper'!U"&amp;AH9)=0,"",IFERROR(VLOOKUP(INDIRECT("'update Helper'!O"&amp;AH9),'Account Role'!A$1:B$15,2,0),IFERROR(VLOOKUP(INDIRECT("'update Helper'!U"&amp;AH9),'Overview - Section A'!J$26:P$107,7,0),"")))</f>
        <v/>
      </c>
    </row>
    <row r="10" spans="1:35" ht="94.25" customHeight="1" x14ac:dyDescent="0.35">
      <c r="A10" s="661"/>
      <c r="B10" s="658"/>
      <c r="C10" s="658"/>
      <c r="D10" s="535">
        <v>7</v>
      </c>
      <c r="E10" s="620"/>
      <c r="F10" s="707"/>
      <c r="G10" s="675"/>
      <c r="H10" s="665"/>
      <c r="I10" s="667"/>
      <c r="J10" s="667"/>
      <c r="K10" s="526"/>
      <c r="L10" s="687"/>
      <c r="M10" s="671"/>
      <c r="N10" s="699"/>
      <c r="O10" s="537"/>
      <c r="P10" s="687"/>
      <c r="Q10" s="671"/>
      <c r="R10" s="699"/>
      <c r="S10" s="537"/>
      <c r="T10" s="687"/>
      <c r="U10" s="671"/>
      <c r="V10" s="699"/>
      <c r="W10" s="200"/>
      <c r="X10" s="669"/>
      <c r="Y10" s="720"/>
      <c r="Z10" s="656"/>
      <c r="AA10" s="673"/>
      <c r="AB10" s="658"/>
      <c r="AC10" s="675"/>
      <c r="AD10" s="673"/>
      <c r="AG10" s="214"/>
    </row>
    <row r="11" spans="1:35" s="253" customFormat="1" ht="30" customHeight="1" x14ac:dyDescent="0.35">
      <c r="A11" s="660">
        <v>2</v>
      </c>
      <c r="B11" s="657" t="s">
        <v>1774</v>
      </c>
      <c r="C11" s="657"/>
      <c r="D11" s="411">
        <v>7173</v>
      </c>
      <c r="E11" s="619">
        <f ca="1">IF(OR(INDIRECT("'update Helper'!D"&amp;AH11)="",D11&lt;&gt;0,D12&lt;&gt;0),IF(IFERROR((D11/D12),"")="","",(D11/D12)),INDIRECT("'update Helper'!D"&amp;AH11)/100)</f>
        <v>0.73089464030976159</v>
      </c>
      <c r="F11" s="662">
        <v>2020</v>
      </c>
      <c r="G11" s="659" t="s">
        <v>9223</v>
      </c>
      <c r="H11" s="664" t="str">
        <f>AE11</f>
        <v>Género</v>
      </c>
      <c r="I11" s="666"/>
      <c r="J11" s="666" t="s">
        <v>1070</v>
      </c>
      <c r="K11" s="525"/>
      <c r="L11" s="708">
        <v>0.84</v>
      </c>
      <c r="M11" s="710">
        <v>44986</v>
      </c>
      <c r="N11" s="678"/>
      <c r="O11" s="525"/>
      <c r="P11" s="708">
        <v>0.87</v>
      </c>
      <c r="Q11" s="710">
        <v>45351</v>
      </c>
      <c r="R11" s="678"/>
      <c r="S11" s="525"/>
      <c r="T11" s="708">
        <v>0.9</v>
      </c>
      <c r="U11" s="670">
        <v>45716</v>
      </c>
      <c r="V11" s="678"/>
      <c r="W11" s="412"/>
      <c r="X11" s="668" t="str">
        <f ca="1">IF(OR(INDIRECT("'update Helper'!K"&amp;AG11+3)="",W11&lt;&gt;0,W12&lt;&gt;0),IF(IFERROR((W11/W12),"")="","",(W11/W12)),INDIRECT("'update Helper'!K"&amp;AG11+3)/100)</f>
        <v/>
      </c>
      <c r="Y11" s="653"/>
      <c r="Z11" s="655"/>
      <c r="AA11" s="674" t="s">
        <v>11204</v>
      </c>
      <c r="AB11" s="657"/>
      <c r="AC11" s="659" t="s">
        <v>9223</v>
      </c>
      <c r="AD11" s="672" t="s">
        <v>11215</v>
      </c>
      <c r="AE11" s="253" t="str">
        <f t="array" ref="AE11">IFERROR(IF(INDEX('Reference Records'!$D$25:$D$76,MATCH(LEFT(B11,255),LEFT('Reference Records'!$C$25:$C$76,255),0))=0,"",INDEX('Reference Records'!$D$25:$D$76,MATCH(LEFT(B11,255),LEFT('Reference Records'!$C$25:$C$76,255),0))),"")</f>
        <v>Género</v>
      </c>
      <c r="AF11" s="253" t="str">
        <f>B11&amp;C11</f>
        <v>HIV O-12 Porcentaje de personas que viven con VIH que reciben tratamiento antirretroviral y tienen carga viral suprimida</v>
      </c>
      <c r="AG11" s="214">
        <f>AG9+'update Helper'!$V$2</f>
        <v>484</v>
      </c>
      <c r="AH11" s="253">
        <f>AH9+1</f>
        <v>424</v>
      </c>
      <c r="AI11" s="253" t="str">
        <f ca="1">IF(INDIRECT("'update Helper'!U"&amp;AH11)=0,"",IFERROR(VLOOKUP(INDIRECT("'update Helper'!O"&amp;AH11),'Account Role'!A$1:B$15,2,0),IFERROR(VLOOKUP(INDIRECT("'update Helper'!U"&amp;AH11),'Overview - Section A'!J$26:P$107,7,0),"")))</f>
        <v/>
      </c>
    </row>
    <row r="12" spans="1:35" s="253" customFormat="1" ht="30" customHeight="1" x14ac:dyDescent="0.35">
      <c r="A12" s="661"/>
      <c r="B12" s="658"/>
      <c r="C12" s="658"/>
      <c r="D12" s="200">
        <v>9814</v>
      </c>
      <c r="E12" s="620"/>
      <c r="F12" s="663"/>
      <c r="G12" s="658"/>
      <c r="H12" s="665"/>
      <c r="I12" s="667"/>
      <c r="J12" s="667"/>
      <c r="K12" s="526"/>
      <c r="L12" s="709"/>
      <c r="M12" s="711"/>
      <c r="N12" s="679"/>
      <c r="O12" s="526"/>
      <c r="P12" s="709"/>
      <c r="Q12" s="711"/>
      <c r="R12" s="679"/>
      <c r="S12" s="526"/>
      <c r="T12" s="709"/>
      <c r="U12" s="671"/>
      <c r="V12" s="679"/>
      <c r="W12" s="200"/>
      <c r="X12" s="669"/>
      <c r="Y12" s="654"/>
      <c r="Z12" s="656"/>
      <c r="AA12" s="675"/>
      <c r="AB12" s="658"/>
      <c r="AC12" s="658"/>
      <c r="AD12" s="673"/>
      <c r="AG12" s="214"/>
    </row>
    <row r="13" spans="1:35" s="253" customFormat="1" ht="30" customHeight="1" x14ac:dyDescent="0.35">
      <c r="A13" s="660">
        <v>3</v>
      </c>
      <c r="B13" s="657" t="s">
        <v>2918</v>
      </c>
      <c r="C13" s="657"/>
      <c r="D13" s="543">
        <v>2312</v>
      </c>
      <c r="E13" s="619">
        <f ca="1">IF(OR(INDIRECT("'update Helper'!D"&amp;AH13)="",D13&lt;&gt;0,D14&lt;&gt;0),IF(IFERROR((D13/D14),"")="","",(D13/D14)),INDIRECT("'update Helper'!D"&amp;AH13)/100)</f>
        <v>0.91383399209486171</v>
      </c>
      <c r="F13" s="706">
        <v>2018</v>
      </c>
      <c r="G13" s="680" t="s">
        <v>9242</v>
      </c>
      <c r="H13" s="664" t="str">
        <f>AE13</f>
        <v/>
      </c>
      <c r="I13" s="666"/>
      <c r="J13" s="666" t="s">
        <v>1070</v>
      </c>
      <c r="K13" s="202"/>
      <c r="L13" s="704">
        <v>0.92</v>
      </c>
      <c r="M13" s="676">
        <v>45015</v>
      </c>
      <c r="N13" s="702"/>
      <c r="O13" s="522"/>
      <c r="P13" s="704">
        <v>0.92</v>
      </c>
      <c r="Q13" s="676">
        <v>45381</v>
      </c>
      <c r="R13" s="692"/>
      <c r="S13" s="522"/>
      <c r="T13" s="704">
        <v>0.92</v>
      </c>
      <c r="U13" s="676">
        <v>45746</v>
      </c>
      <c r="V13" s="655"/>
      <c r="W13" s="412"/>
      <c r="X13" s="668" t="str">
        <f ca="1">IF(OR(INDIRECT("'update Helper'!K"&amp;AG13+3)="",W13&lt;&gt;0,W14&lt;&gt;0),IF(IFERROR((W13/W14),"")="","",(W13/W14)),INDIRECT("'update Helper'!K"&amp;AG13+3)/100)</f>
        <v/>
      </c>
      <c r="Y13" s="653"/>
      <c r="Z13" s="655"/>
      <c r="AA13" s="672" t="s">
        <v>11222</v>
      </c>
      <c r="AB13" s="674"/>
      <c r="AC13" s="680" t="s">
        <v>9240</v>
      </c>
      <c r="AD13" s="672" t="s">
        <v>11200</v>
      </c>
      <c r="AE13" s="253" t="str">
        <f t="array" ref="AE13">IFERROR(IF(INDEX('Reference Records'!$D$25:$D$76,MATCH(LEFT(B13,255),LEFT('Reference Records'!$C$25:$C$76,255),0))=0,"",INDEX('Reference Records'!$D$25:$D$76,MATCH(LEFT(B13,255),LEFT('Reference Records'!$C$25:$C$76,255),0))),"")</f>
        <v/>
      </c>
      <c r="AF13" s="253" t="str">
        <f>B13&amp;C13</f>
        <v>TB O-2a Tasa de éxito del tratamiento en todas las formas de tuberculosis, confirmada bacteriológicamente y con diagnóstico clínico, casos nuevos y recaídas.</v>
      </c>
      <c r="AG13" s="214">
        <f>AG11+'update Helper'!$V$2</f>
        <v>490</v>
      </c>
      <c r="AH13" s="253">
        <f>AH11+1</f>
        <v>425</v>
      </c>
      <c r="AI13" s="253" t="str">
        <f ca="1">IF(INDIRECT("'update Helper'!U"&amp;AH13)=0,"",IFERROR(VLOOKUP(INDIRECT("'update Helper'!O"&amp;AH13),'Account Role'!A$1:B$15,2,0),IFERROR(VLOOKUP(INDIRECT("'update Helper'!U"&amp;AH13),'Overview - Section A'!J$26:P$107,7,0),"")))</f>
        <v/>
      </c>
    </row>
    <row r="14" spans="1:35" s="253" customFormat="1" ht="30" customHeight="1" x14ac:dyDescent="0.35">
      <c r="A14" s="661"/>
      <c r="B14" s="658"/>
      <c r="C14" s="658"/>
      <c r="D14" s="529">
        <v>2530</v>
      </c>
      <c r="E14" s="620"/>
      <c r="F14" s="707"/>
      <c r="G14" s="675"/>
      <c r="H14" s="665"/>
      <c r="I14" s="667"/>
      <c r="J14" s="667"/>
      <c r="K14" s="202"/>
      <c r="L14" s="705"/>
      <c r="M14" s="677"/>
      <c r="N14" s="703"/>
      <c r="O14" s="522"/>
      <c r="P14" s="705"/>
      <c r="Q14" s="677"/>
      <c r="R14" s="693"/>
      <c r="S14" s="522"/>
      <c r="T14" s="705"/>
      <c r="U14" s="677"/>
      <c r="V14" s="656"/>
      <c r="W14" s="200"/>
      <c r="X14" s="669"/>
      <c r="Y14" s="654"/>
      <c r="Z14" s="656"/>
      <c r="AA14" s="673"/>
      <c r="AB14" s="675"/>
      <c r="AC14" s="675"/>
      <c r="AD14" s="673"/>
      <c r="AG14" s="214"/>
    </row>
    <row r="15" spans="1:35" s="253" customFormat="1" ht="30" customHeight="1" x14ac:dyDescent="0.35">
      <c r="A15" s="660">
        <v>4</v>
      </c>
      <c r="B15" s="657" t="s">
        <v>2936</v>
      </c>
      <c r="C15" s="657"/>
      <c r="D15" s="532">
        <v>3025</v>
      </c>
      <c r="E15" s="619">
        <f ca="1">IF(OR(INDIRECT("'update Helper'!D"&amp;AH15)="",D15&lt;&gt;0,D16&lt;&gt;0),IF(IFERROR((D15/D16),"")="","",(D15/D16)),INDIRECT("'update Helper'!D"&amp;AH15)/100)</f>
        <v>0.79605263157894735</v>
      </c>
      <c r="F15" s="684">
        <v>2019</v>
      </c>
      <c r="G15" s="680" t="s">
        <v>9022</v>
      </c>
      <c r="H15" s="664" t="str">
        <f>AE15</f>
        <v/>
      </c>
      <c r="I15" s="666"/>
      <c r="J15" s="666" t="s">
        <v>1070</v>
      </c>
      <c r="K15" s="202"/>
      <c r="L15" s="700">
        <v>0.9</v>
      </c>
      <c r="M15" s="676">
        <v>45015</v>
      </c>
      <c r="N15" s="702"/>
      <c r="O15" s="522"/>
      <c r="P15" s="700">
        <v>0.9</v>
      </c>
      <c r="Q15" s="676">
        <v>45381</v>
      </c>
      <c r="R15" s="678"/>
      <c r="S15" s="531"/>
      <c r="T15" s="700">
        <v>0.9</v>
      </c>
      <c r="U15" s="676">
        <v>45746</v>
      </c>
      <c r="V15" s="655"/>
      <c r="W15" s="412"/>
      <c r="X15" s="668" t="str">
        <f ca="1">IF(OR(INDIRECT("'update Helper'!K"&amp;AG15+3)="",W15&lt;&gt;0,W16&lt;&gt;0),IF(IFERROR((W15/W16),"")="","",(W15/W16)),INDIRECT("'update Helper'!K"&amp;AG15+3)/100)</f>
        <v/>
      </c>
      <c r="Y15" s="653"/>
      <c r="Z15" s="655"/>
      <c r="AA15" s="674" t="s">
        <v>11216</v>
      </c>
      <c r="AB15" s="674"/>
      <c r="AC15" s="681" t="s">
        <v>11202</v>
      </c>
      <c r="AD15" s="674" t="s">
        <v>11217</v>
      </c>
      <c r="AE15" s="253" t="str">
        <f t="array" ref="AE15">IFERROR(IF(INDEX('Reference Records'!$D$25:$D$76,MATCH(LEFT(B15,255),LEFT('Reference Records'!$C$25:$C$76,255),0))=0,"",INDEX('Reference Records'!$D$25:$D$76,MATCH(LEFT(B15,255),LEFT('Reference Records'!$C$25:$C$76,255),0))),"")</f>
        <v/>
      </c>
      <c r="AF15" s="253" t="str">
        <f>B15&amp;C15</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AG15" s="214">
        <f>AG13+'update Helper'!$V$2</f>
        <v>496</v>
      </c>
      <c r="AH15" s="253">
        <f>AH13+1</f>
        <v>426</v>
      </c>
      <c r="AI15" s="253" t="str">
        <f ca="1">IF(INDIRECT("'update Helper'!U"&amp;AH15)=0,"",IFERROR(VLOOKUP(INDIRECT("'update Helper'!O"&amp;AH15),'Account Role'!A$1:B$15,2,0),IFERROR(VLOOKUP(INDIRECT("'update Helper'!U"&amp;AH15),'Overview - Section A'!J$26:P$107,7,0),"")))</f>
        <v/>
      </c>
    </row>
    <row r="16" spans="1:35" s="253" customFormat="1" ht="376" customHeight="1" x14ac:dyDescent="0.35">
      <c r="A16" s="661"/>
      <c r="B16" s="658"/>
      <c r="C16" s="658"/>
      <c r="D16" s="532">
        <v>3800</v>
      </c>
      <c r="E16" s="620"/>
      <c r="F16" s="685"/>
      <c r="G16" s="675"/>
      <c r="H16" s="665"/>
      <c r="I16" s="667"/>
      <c r="J16" s="667"/>
      <c r="K16" s="202"/>
      <c r="L16" s="701"/>
      <c r="M16" s="677"/>
      <c r="N16" s="703"/>
      <c r="O16" s="522"/>
      <c r="P16" s="701"/>
      <c r="Q16" s="677"/>
      <c r="R16" s="679"/>
      <c r="S16" s="531"/>
      <c r="T16" s="701"/>
      <c r="U16" s="677"/>
      <c r="V16" s="656"/>
      <c r="W16" s="200"/>
      <c r="X16" s="669"/>
      <c r="Y16" s="654"/>
      <c r="Z16" s="656"/>
      <c r="AA16" s="675"/>
      <c r="AB16" s="675"/>
      <c r="AC16" s="635"/>
      <c r="AD16" s="675"/>
      <c r="AG16" s="214"/>
    </row>
    <row r="17" spans="1:35" s="253" customFormat="1" ht="30" customHeight="1" x14ac:dyDescent="0.35">
      <c r="A17" s="660">
        <v>5</v>
      </c>
      <c r="B17" s="657" t="s">
        <v>2924</v>
      </c>
      <c r="C17" s="657"/>
      <c r="D17" s="532">
        <v>21</v>
      </c>
      <c r="E17" s="641">
        <f ca="1">IF(OR(INDIRECT("'update Helper'!D"&amp;AH17)="",D17&lt;&gt;0,D18&lt;&gt;0),IF(IFERROR((D17/D18),"")="","",(D17/D18)),INDIRECT("'update Helper'!D"&amp;AH17)/100)</f>
        <v>0.2413793103448276</v>
      </c>
      <c r="F17" s="684">
        <v>2019</v>
      </c>
      <c r="G17" s="680" t="s">
        <v>9022</v>
      </c>
      <c r="H17" s="664" t="str">
        <f>AE17</f>
        <v/>
      </c>
      <c r="I17" s="666"/>
      <c r="J17" s="666" t="s">
        <v>1070</v>
      </c>
      <c r="K17" s="522"/>
      <c r="L17" s="694">
        <v>0.47820000000000001</v>
      </c>
      <c r="M17" s="670">
        <v>45015</v>
      </c>
      <c r="N17" s="696"/>
      <c r="O17" s="533"/>
      <c r="P17" s="694">
        <v>0.5</v>
      </c>
      <c r="Q17" s="670">
        <v>45381</v>
      </c>
      <c r="R17" s="698"/>
      <c r="S17" s="533"/>
      <c r="T17" s="694">
        <v>0.55000000000000004</v>
      </c>
      <c r="U17" s="670">
        <v>45746</v>
      </c>
      <c r="V17" s="655"/>
      <c r="W17" s="412"/>
      <c r="X17" s="668" t="str">
        <f ca="1">IF(OR(INDIRECT("'update Helper'!K"&amp;AG17+3)="",W17&lt;&gt;0,W18&lt;&gt;0),IF(IFERROR((W17/W18),"")="","",(W17/W18)),INDIRECT("'update Helper'!K"&amp;AG17+3)/100)</f>
        <v/>
      </c>
      <c r="Y17" s="653"/>
      <c r="Z17" s="655"/>
      <c r="AA17" s="674" t="s">
        <v>11218</v>
      </c>
      <c r="AB17" s="674"/>
      <c r="AC17" s="680" t="s">
        <v>11203</v>
      </c>
      <c r="AD17" s="674" t="s">
        <v>11219</v>
      </c>
      <c r="AE17" s="253" t="str">
        <f t="array" ref="AE17">IFERROR(IF(INDEX('Reference Records'!$D$25:$D$76,MATCH(LEFT(B17,255),LEFT('Reference Records'!$C$25:$C$76,255),0))=0,"",INDEX('Reference Records'!$D$25:$D$76,MATCH(LEFT(B17,255),LEFT('Reference Records'!$C$25:$C$76,255),0))),"")</f>
        <v/>
      </c>
      <c r="AF17" s="253" t="str">
        <f>B17&amp;C17</f>
        <v>TB O-6 Notificación de casos de tuberculosis resistente a la rifampicina (TB-RR) y/o tuberculosis multirresistente (TB-MR): porcentaje de casos notificados de TB-RR y/o TB-MR confirmados bacteriológicamente como proporción de todos los casos estimados de TB-RR y/o TB-MR.</v>
      </c>
      <c r="AG17" s="214">
        <f>AG15+'update Helper'!$V$2</f>
        <v>502</v>
      </c>
      <c r="AH17" s="253">
        <f>AH15+1</f>
        <v>427</v>
      </c>
      <c r="AI17" s="253" t="str">
        <f ca="1">IF(INDIRECT("'update Helper'!U"&amp;AH17)=0,"",IFERROR(VLOOKUP(INDIRECT("'update Helper'!O"&amp;AH17),'Account Role'!A$1:B$15,2,0),IFERROR(VLOOKUP(INDIRECT("'update Helper'!U"&amp;AH17),'Overview - Section A'!J$26:P$107,7,0),"")))</f>
        <v/>
      </c>
    </row>
    <row r="18" spans="1:35" s="253" customFormat="1" ht="184" customHeight="1" x14ac:dyDescent="0.35">
      <c r="A18" s="661"/>
      <c r="B18" s="658"/>
      <c r="C18" s="658"/>
      <c r="D18" s="522">
        <v>87</v>
      </c>
      <c r="E18" s="642"/>
      <c r="F18" s="685"/>
      <c r="G18" s="675"/>
      <c r="H18" s="665"/>
      <c r="I18" s="667"/>
      <c r="J18" s="667"/>
      <c r="K18" s="522"/>
      <c r="L18" s="695"/>
      <c r="M18" s="671"/>
      <c r="N18" s="697"/>
      <c r="O18" s="533"/>
      <c r="P18" s="695"/>
      <c r="Q18" s="671"/>
      <c r="R18" s="699"/>
      <c r="S18" s="533"/>
      <c r="T18" s="695"/>
      <c r="U18" s="671"/>
      <c r="V18" s="656"/>
      <c r="W18" s="200"/>
      <c r="X18" s="669"/>
      <c r="Y18" s="654"/>
      <c r="Z18" s="656"/>
      <c r="AA18" s="675"/>
      <c r="AB18" s="675"/>
      <c r="AC18" s="675"/>
      <c r="AD18" s="675"/>
      <c r="AG18" s="214"/>
    </row>
    <row r="19" spans="1:35" s="253" customFormat="1" ht="30" customHeight="1" x14ac:dyDescent="0.35">
      <c r="A19" s="660">
        <v>6</v>
      </c>
      <c r="B19" s="657"/>
      <c r="C19" s="657"/>
      <c r="D19" s="530"/>
      <c r="E19" s="682"/>
      <c r="F19" s="684"/>
      <c r="G19" s="496"/>
      <c r="H19" s="664" t="str">
        <f>AE19</f>
        <v/>
      </c>
      <c r="I19" s="666"/>
      <c r="J19" s="666"/>
      <c r="K19" s="202"/>
      <c r="L19" s="496"/>
      <c r="M19" s="688"/>
      <c r="N19" s="690"/>
      <c r="O19" s="522"/>
      <c r="P19" s="668" t="str">
        <f ca="1">IF(OR(INDIRECT("'update Helper'!K"&amp;AG21+1)="",O21&lt;&gt;0,O22&lt;&gt;0),IF(IFERROR((O21/O22),"")="","",(O21/O22)),INDIRECT("'update Helper'!K"&amp;AG21+1)/100)</f>
        <v/>
      </c>
      <c r="Q19" s="496"/>
      <c r="R19" s="692"/>
      <c r="S19" s="522"/>
      <c r="T19" s="668" t="str">
        <f ca="1">IF(OR(INDIRECT("'update Helper'!K"&amp;AG19+2)="",S19&lt;&gt;0,S20&lt;&gt;0),IF(IFERROR((S19/S20),"")="","",(S19/S20)),INDIRECT("'update Helper'!K"&amp;AG19+2)/100)</f>
        <v/>
      </c>
      <c r="U19" s="653"/>
      <c r="V19" s="655"/>
      <c r="W19" s="412"/>
      <c r="X19" s="668" t="str">
        <f ca="1">IF(OR(INDIRECT("'update Helper'!K"&amp;AG19+3)="",W19&lt;&gt;0,W20&lt;&gt;0),IF(IFERROR((W19/W20),"")="","",(W19/W20)),INDIRECT("'update Helper'!K"&amp;AG19+3)/100)</f>
        <v/>
      </c>
      <c r="Y19" s="653"/>
      <c r="Z19" s="655"/>
      <c r="AA19" s="657"/>
      <c r="AB19" s="674"/>
      <c r="AC19" s="659"/>
      <c r="AD19" s="674"/>
      <c r="AE19" s="253" t="str">
        <f t="array" ref="AE19">IFERROR(IF(INDEX('Reference Records'!$D$25:$D$76,MATCH(LEFT(B19,255),LEFT('Reference Records'!$C$25:$C$76,255),0))=0,"",INDEX('Reference Records'!$D$25:$D$76,MATCH(LEFT(B19,255),LEFT('Reference Records'!$C$25:$C$76,255),0))),"")</f>
        <v/>
      </c>
      <c r="AF19" s="253" t="str">
        <f>B19&amp;C19</f>
        <v/>
      </c>
      <c r="AG19" s="214">
        <f>AG17+'update Helper'!$V$2</f>
        <v>508</v>
      </c>
      <c r="AH19" s="253">
        <f>AH17+1</f>
        <v>428</v>
      </c>
      <c r="AI19" s="253" t="str">
        <f ca="1">IF(INDIRECT("'update Helper'!U"&amp;AH19)=0,"",IFERROR(VLOOKUP(INDIRECT("'update Helper'!O"&amp;AH19),'Account Role'!A$1:B$15,2,0),IFERROR(VLOOKUP(INDIRECT("'update Helper'!U"&amp;AH19),'Overview - Section A'!J$26:P$107,7,0),"")))</f>
        <v/>
      </c>
    </row>
    <row r="20" spans="1:35" s="253" customFormat="1" ht="30" customHeight="1" x14ac:dyDescent="0.35">
      <c r="A20" s="661"/>
      <c r="B20" s="658"/>
      <c r="C20" s="658"/>
      <c r="D20" s="530"/>
      <c r="E20" s="683"/>
      <c r="F20" s="685"/>
      <c r="G20" s="496"/>
      <c r="H20" s="665"/>
      <c r="I20" s="667"/>
      <c r="J20" s="667"/>
      <c r="K20" s="523"/>
      <c r="L20" s="496"/>
      <c r="M20" s="689"/>
      <c r="N20" s="691"/>
      <c r="O20" s="522"/>
      <c r="P20" s="669"/>
      <c r="Q20" s="496"/>
      <c r="R20" s="693"/>
      <c r="S20" s="522"/>
      <c r="T20" s="669"/>
      <c r="U20" s="654"/>
      <c r="V20" s="656"/>
      <c r="W20" s="200"/>
      <c r="X20" s="669"/>
      <c r="Y20" s="654"/>
      <c r="Z20" s="656"/>
      <c r="AA20" s="658"/>
      <c r="AB20" s="675"/>
      <c r="AC20" s="658"/>
      <c r="AD20" s="675"/>
      <c r="AG20" s="214"/>
    </row>
    <row r="21" spans="1:35" s="253" customFormat="1" ht="30" customHeight="1" x14ac:dyDescent="0.35">
      <c r="A21" s="660">
        <v>7</v>
      </c>
      <c r="B21" s="657"/>
      <c r="C21" s="657"/>
      <c r="D21" s="411"/>
      <c r="E21" s="619" t="str">
        <f ca="1">IF(OR(INDIRECT("'update Helper'!D"&amp;AH21)="",D21&lt;&gt;0,D22&lt;&gt;0),IF(IFERROR((D21/D22),"")="","",(D21/D22)),INDIRECT("'update Helper'!D"&amp;AH21)/100)</f>
        <v/>
      </c>
      <c r="F21" s="662"/>
      <c r="G21" s="659"/>
      <c r="H21" s="664" t="str">
        <f>AE21</f>
        <v/>
      </c>
      <c r="I21" s="666"/>
      <c r="J21" s="666"/>
      <c r="K21" s="412"/>
      <c r="L21" s="668" t="str">
        <f ca="1">IF(OR(INDIRECT("'update Helper'!K"&amp;AG21)="",K21&lt;&gt;0,K22&lt;&gt;0),IF(IFERROR((K21/K22),"")="","",(K21/K22)),INDIRECT("'update Helper'!K"&amp;AG21)/100)</f>
        <v/>
      </c>
      <c r="M21" s="653"/>
      <c r="N21" s="655"/>
      <c r="O21" s="412"/>
      <c r="P21" s="496"/>
      <c r="Q21" s="653"/>
      <c r="R21" s="655"/>
      <c r="S21" s="412"/>
      <c r="T21" s="668" t="str">
        <f ca="1">IF(OR(INDIRECT("'update Helper'!K"&amp;AG21+2)="",S21&lt;&gt;0,S22&lt;&gt;0),IF(IFERROR((S21/S22),"")="","",(S21/S22)),INDIRECT("'update Helper'!K"&amp;AG21+2)/100)</f>
        <v/>
      </c>
      <c r="U21" s="653"/>
      <c r="V21" s="655"/>
      <c r="W21" s="412"/>
      <c r="X21" s="668" t="str">
        <f ca="1">IF(OR(INDIRECT("'update Helper'!K"&amp;AG21+3)="",W21&lt;&gt;0,W22&lt;&gt;0),IF(IFERROR((W21/W22),"")="","",(W21/W22)),INDIRECT("'update Helper'!K"&amp;AG21+3)/100)</f>
        <v/>
      </c>
      <c r="Y21" s="653"/>
      <c r="Z21" s="655"/>
      <c r="AA21" s="657"/>
      <c r="AB21" s="657"/>
      <c r="AC21" s="659"/>
      <c r="AD21" s="657"/>
      <c r="AE21" s="253" t="str">
        <f t="array" ref="AE21">IFERROR(IF(INDEX('Reference Records'!$D$25:$D$76,MATCH(LEFT(B21,255),LEFT('Reference Records'!$C$25:$C$76,255),0))=0,"",INDEX('Reference Records'!$D$25:$D$76,MATCH(LEFT(B21,255),LEFT('Reference Records'!$C$25:$C$76,255),0))),"")</f>
        <v/>
      </c>
      <c r="AF21" s="253" t="str">
        <f>B21&amp;C21</f>
        <v/>
      </c>
      <c r="AG21" s="214">
        <f>AG19+'update Helper'!$V$2</f>
        <v>514</v>
      </c>
      <c r="AH21" s="253">
        <f>AH19+1</f>
        <v>429</v>
      </c>
      <c r="AI21" s="253" t="str">
        <f ca="1">IF(INDIRECT("'update Helper'!U"&amp;AH21)=0,"",IFERROR(VLOOKUP(INDIRECT("'update Helper'!O"&amp;AH21),'Account Role'!A$1:B$15,2,0),IFERROR(VLOOKUP(INDIRECT("'update Helper'!U"&amp;AH21),'Overview - Section A'!J$26:P$107,7,0),"")))</f>
        <v/>
      </c>
    </row>
    <row r="22" spans="1:35" s="253" customFormat="1" ht="30" customHeight="1" x14ac:dyDescent="0.35">
      <c r="A22" s="661"/>
      <c r="B22" s="658"/>
      <c r="C22" s="658"/>
      <c r="D22" s="200"/>
      <c r="E22" s="620"/>
      <c r="F22" s="663"/>
      <c r="G22" s="658"/>
      <c r="H22" s="665"/>
      <c r="I22" s="667"/>
      <c r="J22" s="667"/>
      <c r="K22" s="200"/>
      <c r="L22" s="669"/>
      <c r="M22" s="654"/>
      <c r="N22" s="656"/>
      <c r="O22" s="200"/>
      <c r="P22" s="496"/>
      <c r="Q22" s="654"/>
      <c r="R22" s="656"/>
      <c r="S22" s="200"/>
      <c r="T22" s="669"/>
      <c r="U22" s="654"/>
      <c r="V22" s="656"/>
      <c r="W22" s="200"/>
      <c r="X22" s="669"/>
      <c r="Y22" s="654"/>
      <c r="Z22" s="656"/>
      <c r="AA22" s="658"/>
      <c r="AB22" s="658"/>
      <c r="AC22" s="658"/>
      <c r="AD22" s="658"/>
      <c r="AG22" s="214"/>
    </row>
    <row r="23" spans="1:35" s="253" customFormat="1" ht="30" customHeight="1" x14ac:dyDescent="0.35">
      <c r="A23" s="660">
        <v>8</v>
      </c>
      <c r="B23" s="657"/>
      <c r="C23" s="657"/>
      <c r="D23" s="411"/>
      <c r="E23" s="619" t="str">
        <f ca="1">IF(OR(INDIRECT("'update Helper'!D"&amp;AH23)="",D23&lt;&gt;0,D24&lt;&gt;0),IF(IFERROR((D23/D24),"")="","",(D23/D24)),INDIRECT("'update Helper'!D"&amp;AH23)/100)</f>
        <v/>
      </c>
      <c r="F23" s="662"/>
      <c r="G23" s="659"/>
      <c r="H23" s="664" t="str">
        <f>AE23</f>
        <v/>
      </c>
      <c r="I23" s="666"/>
      <c r="J23" s="666"/>
      <c r="K23" s="412"/>
      <c r="L23" s="668" t="str">
        <f ca="1">IF(OR(INDIRECT("'update Helper'!K"&amp;AG23)="",K23&lt;&gt;0,K24&lt;&gt;0),IF(IFERROR((K23/K24),"")="","",(K23/K24)),INDIRECT("'update Helper'!K"&amp;AG23)/100)</f>
        <v/>
      </c>
      <c r="M23" s="653"/>
      <c r="N23" s="655"/>
      <c r="O23" s="412"/>
      <c r="P23" s="668" t="str">
        <f ca="1">IF(OR(INDIRECT("'update Helper'!K"&amp;AG23+1)="",O23&lt;&gt;0,O24&lt;&gt;0),IF(IFERROR((O23/O24),"")="","",(O23/O24)),INDIRECT("'update Helper'!K"&amp;AG23+1)/100)</f>
        <v/>
      </c>
      <c r="Q23" s="653"/>
      <c r="R23" s="655"/>
      <c r="S23" s="412"/>
      <c r="T23" s="668" t="str">
        <f ca="1">IF(OR(INDIRECT("'update Helper'!K"&amp;AG23+2)="",S23&lt;&gt;0,S24&lt;&gt;0),IF(IFERROR((S23/S24),"")="","",(S23/S24)),INDIRECT("'update Helper'!K"&amp;AG23+2)/100)</f>
        <v/>
      </c>
      <c r="U23" s="653"/>
      <c r="V23" s="655"/>
      <c r="W23" s="412"/>
      <c r="X23" s="668" t="str">
        <f ca="1">IF(OR(INDIRECT("'update Helper'!K"&amp;AG23+3)="",W23&lt;&gt;0,W24&lt;&gt;0),IF(IFERROR((W23/W24),"")="","",(W23/W24)),INDIRECT("'update Helper'!K"&amp;AG23+3)/100)</f>
        <v/>
      </c>
      <c r="Y23" s="653"/>
      <c r="Z23" s="655"/>
      <c r="AA23" s="657"/>
      <c r="AB23" s="657"/>
      <c r="AC23" s="659"/>
      <c r="AD23" s="657"/>
      <c r="AE23" s="253" t="str">
        <f t="array" ref="AE23">IFERROR(IF(INDEX('Reference Records'!$D$25:$D$76,MATCH(LEFT(B23,255),LEFT('Reference Records'!$C$25:$C$76,255),0))=0,"",INDEX('Reference Records'!$D$25:$D$76,MATCH(LEFT(B23,255),LEFT('Reference Records'!$C$25:$C$76,255),0))),"")</f>
        <v/>
      </c>
      <c r="AF23" s="253" t="str">
        <f>B23&amp;C23</f>
        <v/>
      </c>
      <c r="AG23" s="214">
        <f>AG21+'update Helper'!$V$2</f>
        <v>520</v>
      </c>
      <c r="AH23" s="253">
        <f>AH21+1</f>
        <v>430</v>
      </c>
      <c r="AI23" s="253" t="str">
        <f ca="1">IF(INDIRECT("'update Helper'!U"&amp;AH23)=0,"",IFERROR(VLOOKUP(INDIRECT("'update Helper'!O"&amp;AH23),'Account Role'!A$1:B$15,2,0),IFERROR(VLOOKUP(INDIRECT("'update Helper'!U"&amp;AH23),'Overview - Section A'!J$26:P$107,7,0),"")))</f>
        <v/>
      </c>
    </row>
    <row r="24" spans="1:35" s="253" customFormat="1" ht="30" customHeight="1" x14ac:dyDescent="0.35">
      <c r="A24" s="661"/>
      <c r="B24" s="658"/>
      <c r="C24" s="658"/>
      <c r="D24" s="200"/>
      <c r="E24" s="620"/>
      <c r="F24" s="663"/>
      <c r="G24" s="658"/>
      <c r="H24" s="665"/>
      <c r="I24" s="667"/>
      <c r="J24" s="667"/>
      <c r="K24" s="200"/>
      <c r="L24" s="669"/>
      <c r="M24" s="654"/>
      <c r="N24" s="656"/>
      <c r="O24" s="200"/>
      <c r="P24" s="669"/>
      <c r="Q24" s="654"/>
      <c r="R24" s="656"/>
      <c r="S24" s="200"/>
      <c r="T24" s="669"/>
      <c r="U24" s="654"/>
      <c r="V24" s="656"/>
      <c r="W24" s="200"/>
      <c r="X24" s="669"/>
      <c r="Y24" s="654"/>
      <c r="Z24" s="656"/>
      <c r="AA24" s="658"/>
      <c r="AB24" s="658"/>
      <c r="AC24" s="658"/>
      <c r="AD24" s="658"/>
      <c r="AG24" s="214"/>
    </row>
    <row r="25" spans="1:35" s="253" customFormat="1" ht="30" customHeight="1" x14ac:dyDescent="0.35">
      <c r="A25" s="660">
        <v>9</v>
      </c>
      <c r="B25" s="657"/>
      <c r="C25" s="657"/>
      <c r="D25" s="411"/>
      <c r="E25" s="619" t="str">
        <f ca="1">IF(OR(INDIRECT("'update Helper'!D"&amp;AH25)="",D25&lt;&gt;0,D26&lt;&gt;0),IF(IFERROR((D25/D26),"")="","",(D25/D26)),INDIRECT("'update Helper'!D"&amp;AH25)/100)</f>
        <v/>
      </c>
      <c r="F25" s="662"/>
      <c r="G25" s="659"/>
      <c r="H25" s="664" t="str">
        <f>AE25</f>
        <v/>
      </c>
      <c r="I25" s="666"/>
      <c r="J25" s="666"/>
      <c r="K25" s="412"/>
      <c r="L25" s="668" t="str">
        <f ca="1">IF(OR(INDIRECT("'update Helper'!K"&amp;AG25)="",K25&lt;&gt;0,K26&lt;&gt;0),IF(IFERROR((K25/K26),"")="","",(K25/K26)),INDIRECT("'update Helper'!K"&amp;AG25)/100)</f>
        <v/>
      </c>
      <c r="M25" s="653"/>
      <c r="N25" s="655"/>
      <c r="O25" s="412"/>
      <c r="P25" s="668" t="str">
        <f ca="1">IF(OR(INDIRECT("'update Helper'!K"&amp;AG25+1)="",O25&lt;&gt;0,O26&lt;&gt;0),IF(IFERROR((O25/O26),"")="","",(O25/O26)),INDIRECT("'update Helper'!K"&amp;AG25+1)/100)</f>
        <v/>
      </c>
      <c r="Q25" s="653"/>
      <c r="R25" s="655"/>
      <c r="S25" s="412"/>
      <c r="T25" s="668" t="str">
        <f ca="1">IF(OR(INDIRECT("'update Helper'!K"&amp;AG25+2)="",S25&lt;&gt;0,S26&lt;&gt;0),IF(IFERROR((S25/S26),"")="","",(S25/S26)),INDIRECT("'update Helper'!K"&amp;AG25+2)/100)</f>
        <v/>
      </c>
      <c r="U25" s="653"/>
      <c r="V25" s="655"/>
      <c r="W25" s="412"/>
      <c r="X25" s="668" t="str">
        <f ca="1">IF(OR(INDIRECT("'update Helper'!K"&amp;AG25+3)="",W25&lt;&gt;0,W26&lt;&gt;0),IF(IFERROR((W25/W26),"")="","",(W25/W26)),INDIRECT("'update Helper'!K"&amp;AG25+3)/100)</f>
        <v/>
      </c>
      <c r="Y25" s="653"/>
      <c r="Z25" s="655"/>
      <c r="AA25" s="657"/>
      <c r="AB25" s="657"/>
      <c r="AC25" s="659"/>
      <c r="AD25" s="657"/>
      <c r="AE25" s="253" t="str">
        <f t="array" ref="AE25">IFERROR(IF(INDEX('Reference Records'!$D$25:$D$76,MATCH(LEFT(B25,255),LEFT('Reference Records'!$C$25:$C$76,255),0))=0,"",INDEX('Reference Records'!$D$25:$D$76,MATCH(LEFT(B25,255),LEFT('Reference Records'!$C$25:$C$76,255),0))),"")</f>
        <v/>
      </c>
      <c r="AF25" s="253" t="str">
        <f>B25&amp;C25</f>
        <v/>
      </c>
      <c r="AG25" s="214">
        <f>AG23+'update Helper'!$V$2</f>
        <v>526</v>
      </c>
      <c r="AH25" s="253">
        <f>AH23+1</f>
        <v>431</v>
      </c>
      <c r="AI25" s="253" t="str">
        <f ca="1">IF(INDIRECT("'update Helper'!U"&amp;AH25)=0,"",IFERROR(VLOOKUP(INDIRECT("'update Helper'!O"&amp;AH25),'Account Role'!A$1:B$15,2,0),IFERROR(VLOOKUP(INDIRECT("'update Helper'!U"&amp;AH25),'Overview - Section A'!J$26:P$107,7,0),"")))</f>
        <v/>
      </c>
    </row>
    <row r="26" spans="1:35" s="253" customFormat="1" ht="30" customHeight="1" x14ac:dyDescent="0.35">
      <c r="A26" s="661"/>
      <c r="B26" s="658"/>
      <c r="C26" s="658"/>
      <c r="D26" s="200"/>
      <c r="E26" s="620"/>
      <c r="F26" s="663"/>
      <c r="G26" s="658"/>
      <c r="H26" s="665"/>
      <c r="I26" s="667"/>
      <c r="J26" s="667"/>
      <c r="K26" s="200"/>
      <c r="L26" s="669"/>
      <c r="M26" s="654"/>
      <c r="N26" s="656"/>
      <c r="O26" s="200"/>
      <c r="P26" s="669"/>
      <c r="Q26" s="654"/>
      <c r="R26" s="656"/>
      <c r="S26" s="200"/>
      <c r="T26" s="669"/>
      <c r="U26" s="654"/>
      <c r="V26" s="656"/>
      <c r="W26" s="200"/>
      <c r="X26" s="669"/>
      <c r="Y26" s="654"/>
      <c r="Z26" s="656"/>
      <c r="AA26" s="658"/>
      <c r="AB26" s="658"/>
      <c r="AC26" s="658"/>
      <c r="AD26" s="658"/>
      <c r="AG26" s="214"/>
    </row>
    <row r="27" spans="1:35" s="253" customFormat="1" ht="30" customHeight="1" x14ac:dyDescent="0.35">
      <c r="A27" s="660">
        <v>10</v>
      </c>
      <c r="B27" s="657"/>
      <c r="C27" s="657"/>
      <c r="D27" s="411"/>
      <c r="E27" s="619" t="str">
        <f ca="1">IF(OR(INDIRECT("'update Helper'!D"&amp;AH27)="",D27&lt;&gt;0,D28&lt;&gt;0),IF(IFERROR((D27/D28),"")="","",(D27/D28)),INDIRECT("'update Helper'!D"&amp;AH27)/100)</f>
        <v/>
      </c>
      <c r="F27" s="662"/>
      <c r="G27" s="659"/>
      <c r="H27" s="664" t="str">
        <f>AE27</f>
        <v/>
      </c>
      <c r="I27" s="666"/>
      <c r="J27" s="666"/>
      <c r="K27" s="412"/>
      <c r="L27" s="668" t="str">
        <f ca="1">IF(OR(INDIRECT("'update Helper'!K"&amp;AG27)="",K27&lt;&gt;0,K28&lt;&gt;0),IF(IFERROR((K27/K28),"")="","",(K27/K28)),INDIRECT("'update Helper'!K"&amp;AG27)/100)</f>
        <v/>
      </c>
      <c r="M27" s="653"/>
      <c r="N27" s="655"/>
      <c r="O27" s="412"/>
      <c r="P27" s="668" t="str">
        <f ca="1">IF(OR(INDIRECT("'update Helper'!K"&amp;AG27+1)="",O27&lt;&gt;0,O28&lt;&gt;0),IF(IFERROR((O27/O28),"")="","",(O27/O28)),INDIRECT("'update Helper'!K"&amp;AG27+1)/100)</f>
        <v/>
      </c>
      <c r="Q27" s="653"/>
      <c r="R27" s="655"/>
      <c r="S27" s="412"/>
      <c r="T27" s="668" t="str">
        <f ca="1">IF(OR(INDIRECT("'update Helper'!K"&amp;AG27+2)="",S27&lt;&gt;0,S28&lt;&gt;0),IF(IFERROR((S27/S28),"")="","",(S27/S28)),INDIRECT("'update Helper'!K"&amp;AG27+2)/100)</f>
        <v/>
      </c>
      <c r="U27" s="653"/>
      <c r="V27" s="655"/>
      <c r="W27" s="412"/>
      <c r="X27" s="668" t="str">
        <f ca="1">IF(OR(INDIRECT("'update Helper'!K"&amp;AG27+3)="",W27&lt;&gt;0,W28&lt;&gt;0),IF(IFERROR((W27/W28),"")="","",(W27/W28)),INDIRECT("'update Helper'!K"&amp;AG27+3)/100)</f>
        <v/>
      </c>
      <c r="Y27" s="653"/>
      <c r="Z27" s="655"/>
      <c r="AA27" s="657"/>
      <c r="AB27" s="657"/>
      <c r="AC27" s="659"/>
      <c r="AD27" s="657"/>
      <c r="AE27" s="253" t="str">
        <f t="array" ref="AE27">IFERROR(IF(INDEX('Reference Records'!$D$25:$D$76,MATCH(LEFT(B27,255),LEFT('Reference Records'!$C$25:$C$76,255),0))=0,"",INDEX('Reference Records'!$D$25:$D$76,MATCH(LEFT(B27,255),LEFT('Reference Records'!$C$25:$C$76,255),0))),"")</f>
        <v/>
      </c>
      <c r="AF27" s="253" t="str">
        <f>B27&amp;C27</f>
        <v/>
      </c>
      <c r="AG27" s="214">
        <f>AG25+'update Helper'!$V$2</f>
        <v>532</v>
      </c>
      <c r="AH27" s="253">
        <f>AH25+1</f>
        <v>432</v>
      </c>
      <c r="AI27" s="253" t="str">
        <f ca="1">IF(INDIRECT("'update Helper'!U"&amp;AH27)=0,"",IFERROR(VLOOKUP(INDIRECT("'update Helper'!O"&amp;AH27),'Account Role'!A$1:B$15,2,0),IFERROR(VLOOKUP(INDIRECT("'update Helper'!U"&amp;AH27),'Overview - Section A'!J$26:P$107,7,0),"")))</f>
        <v/>
      </c>
    </row>
    <row r="28" spans="1:35" s="253" customFormat="1" ht="30" customHeight="1" x14ac:dyDescent="0.35">
      <c r="A28" s="661"/>
      <c r="B28" s="658"/>
      <c r="C28" s="658"/>
      <c r="D28" s="200"/>
      <c r="E28" s="620"/>
      <c r="F28" s="663"/>
      <c r="G28" s="658"/>
      <c r="H28" s="665"/>
      <c r="I28" s="667"/>
      <c r="J28" s="667"/>
      <c r="K28" s="200"/>
      <c r="L28" s="669"/>
      <c r="M28" s="654"/>
      <c r="N28" s="656"/>
      <c r="O28" s="200"/>
      <c r="P28" s="669"/>
      <c r="Q28" s="654"/>
      <c r="R28" s="656"/>
      <c r="S28" s="200"/>
      <c r="T28" s="669"/>
      <c r="U28" s="654"/>
      <c r="V28" s="656"/>
      <c r="W28" s="200"/>
      <c r="X28" s="669"/>
      <c r="Y28" s="654"/>
      <c r="Z28" s="656"/>
      <c r="AA28" s="658"/>
      <c r="AB28" s="658"/>
      <c r="AC28" s="658"/>
      <c r="AD28" s="658"/>
      <c r="AG28" s="214"/>
    </row>
    <row r="29" spans="1:35" s="253" customFormat="1" ht="30" customHeight="1" x14ac:dyDescent="0.35">
      <c r="A29" s="660">
        <v>11</v>
      </c>
      <c r="B29" s="657"/>
      <c r="C29" s="657"/>
      <c r="D29" s="411"/>
      <c r="E29" s="619" t="str">
        <f ca="1">IF(OR(INDIRECT("'update Helper'!D"&amp;AH29)="",D29&lt;&gt;0,D30&lt;&gt;0),IF(IFERROR((D29/D30),"")="","",(D29/D30)),INDIRECT("'update Helper'!D"&amp;AH29)/100)</f>
        <v/>
      </c>
      <c r="F29" s="662"/>
      <c r="G29" s="659"/>
      <c r="H29" s="664" t="str">
        <f>AE29</f>
        <v/>
      </c>
      <c r="I29" s="666"/>
      <c r="J29" s="666"/>
      <c r="K29" s="412"/>
      <c r="L29" s="668" t="str">
        <f ca="1">IF(OR(INDIRECT("'update Helper'!K"&amp;AG29)="",K29&lt;&gt;0,K30&lt;&gt;0),IF(IFERROR((K29/K30),"")="","",(K29/K30)),INDIRECT("'update Helper'!K"&amp;AG29)/100)</f>
        <v/>
      </c>
      <c r="M29" s="653"/>
      <c r="N29" s="655"/>
      <c r="O29" s="412"/>
      <c r="P29" s="668" t="str">
        <f ca="1">IF(OR(INDIRECT("'update Helper'!K"&amp;AG29+1)="",O29&lt;&gt;0,O30&lt;&gt;0),IF(IFERROR((O29/O30),"")="","",(O29/O30)),INDIRECT("'update Helper'!K"&amp;AG29+1)/100)</f>
        <v/>
      </c>
      <c r="Q29" s="653"/>
      <c r="R29" s="655"/>
      <c r="S29" s="412"/>
      <c r="T29" s="668" t="str">
        <f ca="1">IF(OR(INDIRECT("'update Helper'!K"&amp;AG29+2)="",S29&lt;&gt;0,S30&lt;&gt;0),IF(IFERROR((S29/S30),"")="","",(S29/S30)),INDIRECT("'update Helper'!K"&amp;AG29+2)/100)</f>
        <v/>
      </c>
      <c r="U29" s="653"/>
      <c r="V29" s="655"/>
      <c r="W29" s="412"/>
      <c r="X29" s="668" t="str">
        <f ca="1">IF(OR(INDIRECT("'update Helper'!K"&amp;AG29+3)="",W29&lt;&gt;0,W30&lt;&gt;0),IF(IFERROR((W29/W30),"")="","",(W29/W30)),INDIRECT("'update Helper'!K"&amp;AG29+3)/100)</f>
        <v/>
      </c>
      <c r="Y29" s="653"/>
      <c r="Z29" s="655"/>
      <c r="AA29" s="657"/>
      <c r="AB29" s="657"/>
      <c r="AC29" s="659"/>
      <c r="AD29" s="657"/>
      <c r="AE29" s="253" t="str">
        <f t="array" ref="AE29">IFERROR(IF(INDEX('Reference Records'!$D$25:$D$76,MATCH(LEFT(B29,255),LEFT('Reference Records'!$C$25:$C$76,255),0))=0,"",INDEX('Reference Records'!$D$25:$D$76,MATCH(LEFT(B29,255),LEFT('Reference Records'!$C$25:$C$76,255),0))),"")</f>
        <v/>
      </c>
      <c r="AF29" s="253" t="str">
        <f>B29&amp;C29</f>
        <v/>
      </c>
      <c r="AG29" s="214">
        <f>AG27+'update Helper'!$V$2</f>
        <v>538</v>
      </c>
      <c r="AH29" s="253">
        <f>AH27+1</f>
        <v>433</v>
      </c>
      <c r="AI29" s="253" t="str">
        <f ca="1">IF(INDIRECT("'update Helper'!U"&amp;AH29)=0,"",IFERROR(VLOOKUP(INDIRECT("'update Helper'!O"&amp;AH29),'Account Role'!A$1:B$15,2,0),IFERROR(VLOOKUP(INDIRECT("'update Helper'!U"&amp;AH29),'Overview - Section A'!J$26:P$107,7,0),"")))</f>
        <v/>
      </c>
    </row>
    <row r="30" spans="1:35" s="253" customFormat="1" ht="30" customHeight="1" x14ac:dyDescent="0.35">
      <c r="A30" s="661"/>
      <c r="B30" s="658"/>
      <c r="C30" s="658"/>
      <c r="D30" s="200"/>
      <c r="E30" s="620"/>
      <c r="F30" s="663"/>
      <c r="G30" s="658"/>
      <c r="H30" s="665"/>
      <c r="I30" s="667"/>
      <c r="J30" s="667"/>
      <c r="K30" s="200"/>
      <c r="L30" s="669"/>
      <c r="M30" s="654"/>
      <c r="N30" s="656"/>
      <c r="O30" s="200"/>
      <c r="P30" s="669"/>
      <c r="Q30" s="654"/>
      <c r="R30" s="656"/>
      <c r="S30" s="200"/>
      <c r="T30" s="669"/>
      <c r="U30" s="654"/>
      <c r="V30" s="656"/>
      <c r="W30" s="200"/>
      <c r="X30" s="669"/>
      <c r="Y30" s="654"/>
      <c r="Z30" s="656"/>
      <c r="AA30" s="658"/>
      <c r="AB30" s="658"/>
      <c r="AC30" s="658"/>
      <c r="AD30" s="658"/>
      <c r="AG30" s="214"/>
    </row>
    <row r="31" spans="1:35" s="253" customFormat="1" ht="30" customHeight="1" x14ac:dyDescent="0.35">
      <c r="A31" s="660">
        <v>12</v>
      </c>
      <c r="B31" s="657"/>
      <c r="C31" s="657"/>
      <c r="D31" s="411"/>
      <c r="E31" s="619" t="str">
        <f ca="1">IF(OR(INDIRECT("'update Helper'!D"&amp;AH31)="",D31&lt;&gt;0,D32&lt;&gt;0),IF(IFERROR((D31/D32),"")="","",(D31/D32)),INDIRECT("'update Helper'!D"&amp;AH31)/100)</f>
        <v/>
      </c>
      <c r="F31" s="662"/>
      <c r="G31" s="659"/>
      <c r="H31" s="664" t="str">
        <f>AE31</f>
        <v/>
      </c>
      <c r="I31" s="666"/>
      <c r="J31" s="666"/>
      <c r="K31" s="412"/>
      <c r="L31" s="668" t="str">
        <f ca="1">IF(OR(INDIRECT("'update Helper'!K"&amp;AG31)="",K31&lt;&gt;0,K32&lt;&gt;0),IF(IFERROR((K31/K32),"")="","",(K31/K32)),INDIRECT("'update Helper'!K"&amp;AG31)/100)</f>
        <v/>
      </c>
      <c r="M31" s="653"/>
      <c r="N31" s="655"/>
      <c r="O31" s="412"/>
      <c r="P31" s="668" t="str">
        <f ca="1">IF(OR(INDIRECT("'update Helper'!K"&amp;AG31+1)="",O31&lt;&gt;0,O32&lt;&gt;0),IF(IFERROR((O31/O32),"")="","",(O31/O32)),INDIRECT("'update Helper'!K"&amp;AG31+1)/100)</f>
        <v/>
      </c>
      <c r="Q31" s="653"/>
      <c r="R31" s="655"/>
      <c r="S31" s="412"/>
      <c r="T31" s="668" t="str">
        <f ca="1">IF(OR(INDIRECT("'update Helper'!K"&amp;AG31+2)="",S31&lt;&gt;0,S32&lt;&gt;0),IF(IFERROR((S31/S32),"")="","",(S31/S32)),INDIRECT("'update Helper'!K"&amp;AG31+2)/100)</f>
        <v/>
      </c>
      <c r="U31" s="653"/>
      <c r="V31" s="655"/>
      <c r="W31" s="412"/>
      <c r="X31" s="668" t="str">
        <f ca="1">IF(OR(INDIRECT("'update Helper'!K"&amp;AG31+3)="",W31&lt;&gt;0,W32&lt;&gt;0),IF(IFERROR((W31/W32),"")="","",(W31/W32)),INDIRECT("'update Helper'!K"&amp;AG31+3)/100)</f>
        <v/>
      </c>
      <c r="Y31" s="653"/>
      <c r="Z31" s="655"/>
      <c r="AA31" s="657"/>
      <c r="AB31" s="657"/>
      <c r="AC31" s="659"/>
      <c r="AD31" s="657"/>
      <c r="AE31" s="253" t="str">
        <f t="array" ref="AE31">IFERROR(IF(INDEX('Reference Records'!$D$25:$D$76,MATCH(LEFT(B31,255),LEFT('Reference Records'!$C$25:$C$76,255),0))=0,"",INDEX('Reference Records'!$D$25:$D$76,MATCH(LEFT(B31,255),LEFT('Reference Records'!$C$25:$C$76,255),0))),"")</f>
        <v/>
      </c>
      <c r="AF31" s="253" t="str">
        <f>B31&amp;C31</f>
        <v/>
      </c>
      <c r="AG31" s="214">
        <f>AG29+'update Helper'!$V$2</f>
        <v>544</v>
      </c>
      <c r="AH31" s="253">
        <f>AH29+1</f>
        <v>434</v>
      </c>
      <c r="AI31" s="253" t="str">
        <f ca="1">IF(INDIRECT("'update Helper'!U"&amp;AH31)=0,"",IFERROR(VLOOKUP(INDIRECT("'update Helper'!O"&amp;AH31),'Account Role'!A$1:B$15,2,0),IFERROR(VLOOKUP(INDIRECT("'update Helper'!U"&amp;AH31),'Overview - Section A'!J$26:P$107,7,0),"")))</f>
        <v/>
      </c>
    </row>
    <row r="32" spans="1:35" s="253" customFormat="1" ht="30" customHeight="1" x14ac:dyDescent="0.35">
      <c r="A32" s="661"/>
      <c r="B32" s="658"/>
      <c r="C32" s="658"/>
      <c r="D32" s="200"/>
      <c r="E32" s="620"/>
      <c r="F32" s="663"/>
      <c r="G32" s="658"/>
      <c r="H32" s="665"/>
      <c r="I32" s="667"/>
      <c r="J32" s="667"/>
      <c r="K32" s="200"/>
      <c r="L32" s="669"/>
      <c r="M32" s="654"/>
      <c r="N32" s="656"/>
      <c r="O32" s="200"/>
      <c r="P32" s="669"/>
      <c r="Q32" s="654"/>
      <c r="R32" s="656"/>
      <c r="S32" s="200"/>
      <c r="T32" s="669"/>
      <c r="U32" s="654"/>
      <c r="V32" s="656"/>
      <c r="W32" s="200"/>
      <c r="X32" s="669"/>
      <c r="Y32" s="654"/>
      <c r="Z32" s="656"/>
      <c r="AA32" s="658"/>
      <c r="AB32" s="658"/>
      <c r="AC32" s="658"/>
      <c r="AD32" s="658"/>
      <c r="AG32" s="214"/>
    </row>
    <row r="33" spans="1:35" s="253" customFormat="1" ht="30" customHeight="1" x14ac:dyDescent="0.35">
      <c r="A33" s="660">
        <v>13</v>
      </c>
      <c r="B33" s="657"/>
      <c r="C33" s="657"/>
      <c r="D33" s="411"/>
      <c r="E33" s="619" t="str">
        <f ca="1">IF(OR(INDIRECT("'update Helper'!D"&amp;AH33)="",D33&lt;&gt;0,D34&lt;&gt;0),IF(IFERROR((D33/D34),"")="","",(D33/D34)),INDIRECT("'update Helper'!D"&amp;AH33)/100)</f>
        <v/>
      </c>
      <c r="F33" s="662"/>
      <c r="G33" s="659"/>
      <c r="H33" s="664" t="str">
        <f>AE33</f>
        <v/>
      </c>
      <c r="I33" s="666"/>
      <c r="J33" s="666"/>
      <c r="K33" s="412"/>
      <c r="L33" s="668" t="str">
        <f ca="1">IF(OR(INDIRECT("'update Helper'!K"&amp;AG33)="",K33&lt;&gt;0,K34&lt;&gt;0),IF(IFERROR((K33/K34),"")="","",(K33/K34)),INDIRECT("'update Helper'!K"&amp;AG33)/100)</f>
        <v/>
      </c>
      <c r="M33" s="653"/>
      <c r="N33" s="655"/>
      <c r="O33" s="412"/>
      <c r="P33" s="668" t="str">
        <f ca="1">IF(OR(INDIRECT("'update Helper'!K"&amp;AG33+1)="",O33&lt;&gt;0,O34&lt;&gt;0),IF(IFERROR((O33/O34),"")="","",(O33/O34)),INDIRECT("'update Helper'!K"&amp;AG33+1)/100)</f>
        <v/>
      </c>
      <c r="Q33" s="653"/>
      <c r="R33" s="655"/>
      <c r="S33" s="412"/>
      <c r="T33" s="668" t="str">
        <f ca="1">IF(OR(INDIRECT("'update Helper'!K"&amp;AG33+2)="",S33&lt;&gt;0,S34&lt;&gt;0),IF(IFERROR((S33/S34),"")="","",(S33/S34)),INDIRECT("'update Helper'!K"&amp;AG33+2)/100)</f>
        <v/>
      </c>
      <c r="U33" s="653"/>
      <c r="V33" s="655"/>
      <c r="W33" s="412"/>
      <c r="X33" s="668" t="str">
        <f ca="1">IF(OR(INDIRECT("'update Helper'!K"&amp;AG33+3)="",W33&lt;&gt;0,W34&lt;&gt;0),IF(IFERROR((W33/W34),"")="","",(W33/W34)),INDIRECT("'update Helper'!K"&amp;AG33+3)/100)</f>
        <v/>
      </c>
      <c r="Y33" s="653"/>
      <c r="Z33" s="655"/>
      <c r="AA33" s="657"/>
      <c r="AB33" s="657"/>
      <c r="AC33" s="659"/>
      <c r="AD33" s="657"/>
      <c r="AE33" s="253" t="str">
        <f t="array" ref="AE33">IFERROR(IF(INDEX('Reference Records'!$D$25:$D$76,MATCH(LEFT(B33,255),LEFT('Reference Records'!$C$25:$C$76,255),0))=0,"",INDEX('Reference Records'!$D$25:$D$76,MATCH(LEFT(B33,255),LEFT('Reference Records'!$C$25:$C$76,255),0))),"")</f>
        <v/>
      </c>
      <c r="AF33" s="253" t="str">
        <f>B33&amp;C33</f>
        <v/>
      </c>
      <c r="AG33" s="214">
        <f>AG31+'update Helper'!$V$2</f>
        <v>550</v>
      </c>
      <c r="AH33" s="253">
        <f>AH31+1</f>
        <v>435</v>
      </c>
      <c r="AI33" s="253" t="str">
        <f ca="1">IF(INDIRECT("'update Helper'!U"&amp;AH33)=0,"",IFERROR(VLOOKUP(INDIRECT("'update Helper'!O"&amp;AH33),'Account Role'!A$1:B$15,2,0),IFERROR(VLOOKUP(INDIRECT("'update Helper'!U"&amp;AH33),'Overview - Section A'!J$26:P$107,7,0),"")))</f>
        <v/>
      </c>
    </row>
    <row r="34" spans="1:35" s="253" customFormat="1" ht="30" customHeight="1" x14ac:dyDescent="0.35">
      <c r="A34" s="661"/>
      <c r="B34" s="658"/>
      <c r="C34" s="658"/>
      <c r="D34" s="200"/>
      <c r="E34" s="620"/>
      <c r="F34" s="663"/>
      <c r="G34" s="658"/>
      <c r="H34" s="665"/>
      <c r="I34" s="667"/>
      <c r="J34" s="667"/>
      <c r="K34" s="200"/>
      <c r="L34" s="669"/>
      <c r="M34" s="654"/>
      <c r="N34" s="656"/>
      <c r="O34" s="200"/>
      <c r="P34" s="669"/>
      <c r="Q34" s="654"/>
      <c r="R34" s="656"/>
      <c r="S34" s="200"/>
      <c r="T34" s="669"/>
      <c r="U34" s="654"/>
      <c r="V34" s="656"/>
      <c r="W34" s="200"/>
      <c r="X34" s="669"/>
      <c r="Y34" s="654"/>
      <c r="Z34" s="656"/>
      <c r="AA34" s="658"/>
      <c r="AB34" s="658"/>
      <c r="AC34" s="658"/>
      <c r="AD34" s="658"/>
      <c r="AG34" s="214"/>
    </row>
    <row r="35" spans="1:35" s="253" customFormat="1" ht="30" customHeight="1" x14ac:dyDescent="0.35">
      <c r="A35" s="660">
        <v>14</v>
      </c>
      <c r="B35" s="657"/>
      <c r="C35" s="657"/>
      <c r="D35" s="411"/>
      <c r="E35" s="619" t="str">
        <f ca="1">IF(OR(INDIRECT("'update Helper'!D"&amp;AH35)="",D35&lt;&gt;0,D36&lt;&gt;0),IF(IFERROR((D35/D36),"")="","",(D35/D36)),INDIRECT("'update Helper'!D"&amp;AH35)/100)</f>
        <v/>
      </c>
      <c r="F35" s="662"/>
      <c r="G35" s="659"/>
      <c r="H35" s="664" t="str">
        <f>AE35</f>
        <v/>
      </c>
      <c r="I35" s="666"/>
      <c r="J35" s="666"/>
      <c r="K35" s="412"/>
      <c r="L35" s="668" t="str">
        <f ca="1">IF(OR(INDIRECT("'update Helper'!K"&amp;AG35)="",K35&lt;&gt;0,K36&lt;&gt;0),IF(IFERROR((K35/K36),"")="","",(K35/K36)),INDIRECT("'update Helper'!K"&amp;AG35)/100)</f>
        <v/>
      </c>
      <c r="M35" s="653"/>
      <c r="N35" s="655"/>
      <c r="O35" s="412"/>
      <c r="P35" s="668" t="str">
        <f ca="1">IF(OR(INDIRECT("'update Helper'!K"&amp;AG35+1)="",O35&lt;&gt;0,O36&lt;&gt;0),IF(IFERROR((O35/O36),"")="","",(O35/O36)),INDIRECT("'update Helper'!K"&amp;AG35+1)/100)</f>
        <v/>
      </c>
      <c r="Q35" s="653"/>
      <c r="R35" s="655"/>
      <c r="S35" s="412"/>
      <c r="T35" s="668" t="str">
        <f ca="1">IF(OR(INDIRECT("'update Helper'!K"&amp;AG35+2)="",S35&lt;&gt;0,S36&lt;&gt;0),IF(IFERROR((S35/S36),"")="","",(S35/S36)),INDIRECT("'update Helper'!K"&amp;AG35+2)/100)</f>
        <v/>
      </c>
      <c r="U35" s="653"/>
      <c r="V35" s="655"/>
      <c r="W35" s="412"/>
      <c r="X35" s="668" t="str">
        <f ca="1">IF(OR(INDIRECT("'update Helper'!K"&amp;AG35+3)="",W35&lt;&gt;0,W36&lt;&gt;0),IF(IFERROR((W35/W36),"")="","",(W35/W36)),INDIRECT("'update Helper'!K"&amp;AG35+3)/100)</f>
        <v/>
      </c>
      <c r="Y35" s="653"/>
      <c r="Z35" s="655"/>
      <c r="AA35" s="657"/>
      <c r="AB35" s="657"/>
      <c r="AC35" s="659"/>
      <c r="AD35" s="657"/>
      <c r="AE35" s="253" t="str">
        <f t="array" ref="AE35">IFERROR(IF(INDEX('Reference Records'!$D$25:$D$76,MATCH(LEFT(B35,255),LEFT('Reference Records'!$C$25:$C$76,255),0))=0,"",INDEX('Reference Records'!$D$25:$D$76,MATCH(LEFT(B35,255),LEFT('Reference Records'!$C$25:$C$76,255),0))),"")</f>
        <v/>
      </c>
      <c r="AF35" s="253" t="str">
        <f>B35&amp;C35</f>
        <v/>
      </c>
      <c r="AG35" s="214">
        <f>AG33+'update Helper'!$V$2</f>
        <v>556</v>
      </c>
      <c r="AH35" s="253">
        <f>AH33+1</f>
        <v>436</v>
      </c>
      <c r="AI35" s="253" t="str">
        <f ca="1">IF(INDIRECT("'update Helper'!U"&amp;AH35)=0,"",IFERROR(VLOOKUP(INDIRECT("'update Helper'!O"&amp;AH35),'Account Role'!A$1:B$15,2,0),IFERROR(VLOOKUP(INDIRECT("'update Helper'!U"&amp;AH35),'Overview - Section A'!J$26:P$107,7,0),"")))</f>
        <v/>
      </c>
    </row>
    <row r="36" spans="1:35" s="253" customFormat="1" ht="30" customHeight="1" x14ac:dyDescent="0.35">
      <c r="A36" s="661"/>
      <c r="B36" s="658"/>
      <c r="C36" s="658"/>
      <c r="D36" s="200"/>
      <c r="E36" s="620"/>
      <c r="F36" s="663"/>
      <c r="G36" s="658"/>
      <c r="H36" s="665"/>
      <c r="I36" s="667"/>
      <c r="J36" s="667"/>
      <c r="K36" s="200"/>
      <c r="L36" s="669"/>
      <c r="M36" s="654"/>
      <c r="N36" s="656"/>
      <c r="O36" s="200"/>
      <c r="P36" s="669"/>
      <c r="Q36" s="654"/>
      <c r="R36" s="656"/>
      <c r="S36" s="200"/>
      <c r="T36" s="669"/>
      <c r="U36" s="654"/>
      <c r="V36" s="656"/>
      <c r="W36" s="200"/>
      <c r="X36" s="669"/>
      <c r="Y36" s="654"/>
      <c r="Z36" s="656"/>
      <c r="AA36" s="658"/>
      <c r="AB36" s="658"/>
      <c r="AC36" s="658"/>
      <c r="AD36" s="658"/>
      <c r="AG36" s="214"/>
    </row>
    <row r="37" spans="1:35" s="253" customFormat="1" ht="30" customHeight="1" x14ac:dyDescent="0.35">
      <c r="A37" s="660">
        <v>15</v>
      </c>
      <c r="B37" s="657"/>
      <c r="C37" s="657"/>
      <c r="D37" s="411"/>
      <c r="E37" s="619" t="str">
        <f ca="1">IF(OR(INDIRECT("'update Helper'!D"&amp;AH37)="",D37&lt;&gt;0,D38&lt;&gt;0),IF(IFERROR((D37/D38),"")="","",(D37/D38)),INDIRECT("'update Helper'!D"&amp;AH37)/100)</f>
        <v/>
      </c>
      <c r="F37" s="662"/>
      <c r="G37" s="659"/>
      <c r="H37" s="664" t="str">
        <f>AE37</f>
        <v/>
      </c>
      <c r="I37" s="666"/>
      <c r="J37" s="666"/>
      <c r="K37" s="412"/>
      <c r="L37" s="668" t="str">
        <f ca="1">IF(OR(INDIRECT("'update Helper'!K"&amp;AG37)="",K37&lt;&gt;0,K38&lt;&gt;0),IF(IFERROR((K37/K38),"")="","",(K37/K38)),INDIRECT("'update Helper'!K"&amp;AG37)/100)</f>
        <v/>
      </c>
      <c r="M37" s="653"/>
      <c r="N37" s="655"/>
      <c r="O37" s="412"/>
      <c r="P37" s="668" t="str">
        <f ca="1">IF(OR(INDIRECT("'update Helper'!K"&amp;AG37+1)="",O37&lt;&gt;0,O38&lt;&gt;0),IF(IFERROR((O37/O38),"")="","",(O37/O38)),INDIRECT("'update Helper'!K"&amp;AG37+1)/100)</f>
        <v/>
      </c>
      <c r="Q37" s="653"/>
      <c r="R37" s="655"/>
      <c r="S37" s="412"/>
      <c r="T37" s="668" t="str">
        <f ca="1">IF(OR(INDIRECT("'update Helper'!K"&amp;AG37+2)="",S37&lt;&gt;0,S38&lt;&gt;0),IF(IFERROR((S37/S38),"")="","",(S37/S38)),INDIRECT("'update Helper'!K"&amp;AG37+2)/100)</f>
        <v/>
      </c>
      <c r="U37" s="653"/>
      <c r="V37" s="655"/>
      <c r="W37" s="412"/>
      <c r="X37" s="668" t="str">
        <f ca="1">IF(OR(INDIRECT("'update Helper'!K"&amp;AG37+3)="",W37&lt;&gt;0,W38&lt;&gt;0),IF(IFERROR((W37/W38),"")="","",(W37/W38)),INDIRECT("'update Helper'!K"&amp;AG37+3)/100)</f>
        <v/>
      </c>
      <c r="Y37" s="653"/>
      <c r="Z37" s="655"/>
      <c r="AA37" s="657"/>
      <c r="AB37" s="657"/>
      <c r="AC37" s="659"/>
      <c r="AD37" s="657"/>
      <c r="AE37" s="253" t="str">
        <f t="array" ref="AE37">IFERROR(IF(INDEX('Reference Records'!$D$25:$D$76,MATCH(LEFT(B37,255),LEFT('Reference Records'!$C$25:$C$76,255),0))=0,"",INDEX('Reference Records'!$D$25:$D$76,MATCH(LEFT(B37,255),LEFT('Reference Records'!$C$25:$C$76,255),0))),"")</f>
        <v/>
      </c>
      <c r="AF37" s="253" t="str">
        <f>B37&amp;C37</f>
        <v/>
      </c>
      <c r="AG37" s="214">
        <f>AG35+'update Helper'!$V$2</f>
        <v>562</v>
      </c>
      <c r="AH37" s="253">
        <f>AH35+1</f>
        <v>437</v>
      </c>
      <c r="AI37" s="253" t="str">
        <f ca="1">IF(INDIRECT("'update Helper'!U"&amp;AH37)=0,"",IFERROR(VLOOKUP(INDIRECT("'update Helper'!O"&amp;AH37),'Account Role'!A$1:B$15,2,0),IFERROR(VLOOKUP(INDIRECT("'update Helper'!U"&amp;AH37),'Overview - Section A'!J$26:P$107,7,0),"")))</f>
        <v/>
      </c>
    </row>
    <row r="38" spans="1:35" s="253" customFormat="1" ht="30" customHeight="1" x14ac:dyDescent="0.35">
      <c r="A38" s="661"/>
      <c r="B38" s="658"/>
      <c r="C38" s="658"/>
      <c r="D38" s="200"/>
      <c r="E38" s="620"/>
      <c r="F38" s="663"/>
      <c r="G38" s="658"/>
      <c r="H38" s="665"/>
      <c r="I38" s="667"/>
      <c r="J38" s="667"/>
      <c r="K38" s="200"/>
      <c r="L38" s="669"/>
      <c r="M38" s="654"/>
      <c r="N38" s="656"/>
      <c r="O38" s="200"/>
      <c r="P38" s="669"/>
      <c r="Q38" s="654"/>
      <c r="R38" s="656"/>
      <c r="S38" s="200"/>
      <c r="T38" s="669"/>
      <c r="U38" s="654"/>
      <c r="V38" s="656"/>
      <c r="W38" s="200"/>
      <c r="X38" s="669"/>
      <c r="Y38" s="654"/>
      <c r="Z38" s="656"/>
      <c r="AA38" s="658"/>
      <c r="AB38" s="658"/>
      <c r="AC38" s="658"/>
      <c r="AD38" s="658"/>
      <c r="AG38" s="214"/>
    </row>
    <row r="39" spans="1:35" ht="30" customHeight="1" x14ac:dyDescent="0.35"/>
    <row r="40" spans="1:35" ht="30" customHeight="1" x14ac:dyDescent="0.35"/>
    <row r="41" spans="1:35" ht="30" customHeight="1" x14ac:dyDescent="0.35"/>
    <row r="42" spans="1:35" ht="30" customHeight="1" x14ac:dyDescent="0.35"/>
    <row r="43" spans="1:35" ht="30" customHeight="1" x14ac:dyDescent="0.35"/>
    <row r="44" spans="1:35" ht="30" customHeight="1" x14ac:dyDescent="0.35"/>
    <row r="45" spans="1:35" ht="30" customHeight="1" x14ac:dyDescent="0.35"/>
    <row r="46" spans="1:35" ht="30" customHeight="1" x14ac:dyDescent="0.35"/>
    <row r="47" spans="1:35" ht="30" customHeight="1" x14ac:dyDescent="0.35"/>
    <row r="48" spans="1:35" ht="30" customHeight="1" x14ac:dyDescent="0.35"/>
    <row r="49" ht="30" customHeight="1" x14ac:dyDescent="0.35"/>
    <row r="50" ht="30" customHeight="1" x14ac:dyDescent="0.35"/>
    <row r="51" ht="30" customHeight="1" x14ac:dyDescent="0.35"/>
    <row r="52" ht="30" customHeight="1" x14ac:dyDescent="0.35"/>
    <row r="53" ht="30" customHeight="1" x14ac:dyDescent="0.35"/>
    <row r="54" ht="30" customHeight="1" x14ac:dyDescent="0.35"/>
    <row r="55" ht="30" customHeight="1" x14ac:dyDescent="0.35"/>
    <row r="56" ht="30" customHeight="1" x14ac:dyDescent="0.35"/>
    <row r="57" ht="30" customHeight="1" x14ac:dyDescent="0.35"/>
    <row r="58" ht="30" customHeight="1" x14ac:dyDescent="0.35"/>
    <row r="59" ht="30" customHeight="1" x14ac:dyDescent="0.35"/>
    <row r="60" ht="30" customHeight="1" x14ac:dyDescent="0.35"/>
    <row r="61" ht="30" customHeight="1" x14ac:dyDescent="0.35"/>
    <row r="62" ht="30" customHeight="1" x14ac:dyDescent="0.35"/>
    <row r="63" ht="30" customHeight="1" x14ac:dyDescent="0.35"/>
    <row r="64" ht="30" customHeight="1" x14ac:dyDescent="0.35"/>
    <row r="65" ht="30" customHeight="1" x14ac:dyDescent="0.35"/>
    <row r="66" ht="30" customHeight="1" x14ac:dyDescent="0.35"/>
    <row r="67" ht="30" customHeight="1" x14ac:dyDescent="0.35"/>
    <row r="68" ht="30" customHeight="1" x14ac:dyDescent="0.35"/>
    <row r="69" ht="30" customHeight="1" x14ac:dyDescent="0.35"/>
    <row r="70" ht="30" customHeight="1" x14ac:dyDescent="0.35"/>
    <row r="71" ht="30" customHeight="1" x14ac:dyDescent="0.35"/>
    <row r="72" ht="30" customHeight="1" x14ac:dyDescent="0.35"/>
    <row r="73" ht="30" customHeight="1" x14ac:dyDescent="0.35"/>
    <row r="74" ht="30" customHeight="1" x14ac:dyDescent="0.35"/>
    <row r="75" ht="30" customHeight="1" x14ac:dyDescent="0.35"/>
    <row r="76" ht="30" customHeight="1" x14ac:dyDescent="0.35"/>
    <row r="77" ht="30" customHeight="1" x14ac:dyDescent="0.35"/>
    <row r="78" ht="30" customHeight="1" x14ac:dyDescent="0.35"/>
    <row r="79" ht="30" customHeight="1" x14ac:dyDescent="0.35"/>
    <row r="80" ht="30" customHeight="1" x14ac:dyDescent="0.35"/>
    <row r="81" ht="30" customHeight="1" x14ac:dyDescent="0.35"/>
    <row r="82" ht="30" customHeight="1" x14ac:dyDescent="0.35"/>
    <row r="83" ht="30" customHeight="1" x14ac:dyDescent="0.35"/>
    <row r="84" ht="30" customHeight="1" x14ac:dyDescent="0.35"/>
    <row r="85" ht="30" customHeight="1" x14ac:dyDescent="0.35"/>
    <row r="86" ht="30" customHeight="1" x14ac:dyDescent="0.35"/>
    <row r="87" ht="30" customHeight="1" x14ac:dyDescent="0.35"/>
    <row r="88" ht="30" customHeight="1" x14ac:dyDescent="0.35"/>
    <row r="89" ht="30" customHeight="1" x14ac:dyDescent="0.35"/>
    <row r="90" ht="30" customHeight="1" x14ac:dyDescent="0.35"/>
    <row r="91" ht="30" customHeight="1" x14ac:dyDescent="0.35"/>
    <row r="92" ht="30" customHeight="1" x14ac:dyDescent="0.35"/>
    <row r="93" ht="30" customHeight="1" x14ac:dyDescent="0.35"/>
    <row r="94" ht="30" customHeight="1" x14ac:dyDescent="0.35"/>
    <row r="95" ht="30" customHeight="1" x14ac:dyDescent="0.35"/>
    <row r="96" ht="30" customHeight="1" x14ac:dyDescent="0.35"/>
    <row r="97" ht="30" customHeight="1" x14ac:dyDescent="0.35"/>
    <row r="98" ht="30" customHeight="1" x14ac:dyDescent="0.35"/>
    <row r="99" ht="30" customHeight="1" x14ac:dyDescent="0.35"/>
    <row r="100" ht="30" customHeight="1" x14ac:dyDescent="0.35"/>
  </sheetData>
  <sheetProtection password="FB8C" sheet="1" objects="1" scenarios="1" formatCells="0" formatColumns="0" formatRows="0"/>
  <mergeCells count="377">
    <mergeCell ref="AD19:AD20"/>
    <mergeCell ref="T19:T20"/>
    <mergeCell ref="U19:U20"/>
    <mergeCell ref="AA19:AA20"/>
    <mergeCell ref="AC19:AC20"/>
    <mergeCell ref="A1:H2"/>
    <mergeCell ref="A7:J7"/>
    <mergeCell ref="K7:N7"/>
    <mergeCell ref="O7:R7"/>
    <mergeCell ref="S7:V7"/>
    <mergeCell ref="E9:E10"/>
    <mergeCell ref="C9:C10"/>
    <mergeCell ref="H9:H10"/>
    <mergeCell ref="B9:B10"/>
    <mergeCell ref="R9:R10"/>
    <mergeCell ref="I9:I10"/>
    <mergeCell ref="F9:F10"/>
    <mergeCell ref="M9:M10"/>
    <mergeCell ref="X9:X10"/>
    <mergeCell ref="Y9:Y10"/>
    <mergeCell ref="Z9:Z10"/>
    <mergeCell ref="J9:J10"/>
    <mergeCell ref="AB9:AB10"/>
    <mergeCell ref="AA11:AA12"/>
    <mergeCell ref="N9:N10"/>
    <mergeCell ref="V9:V10"/>
    <mergeCell ref="AB11:AB12"/>
    <mergeCell ref="AC11:AC12"/>
    <mergeCell ref="AD11:AD12"/>
    <mergeCell ref="W7:Z7"/>
    <mergeCell ref="A9:A10"/>
    <mergeCell ref="A11:A12"/>
    <mergeCell ref="B11:B12"/>
    <mergeCell ref="C11:C12"/>
    <mergeCell ref="E11:E12"/>
    <mergeCell ref="F11:F12"/>
    <mergeCell ref="G11:G12"/>
    <mergeCell ref="H11:H12"/>
    <mergeCell ref="I11:I12"/>
    <mergeCell ref="J11:J12"/>
    <mergeCell ref="L11:L12"/>
    <mergeCell ref="M11:M12"/>
    <mergeCell ref="N11:N12"/>
    <mergeCell ref="P11:P12"/>
    <mergeCell ref="Q11:Q12"/>
    <mergeCell ref="R11:R12"/>
    <mergeCell ref="T11:T12"/>
    <mergeCell ref="U11:U12"/>
    <mergeCell ref="P13:P14"/>
    <mergeCell ref="Q13:Q14"/>
    <mergeCell ref="R13:R14"/>
    <mergeCell ref="T13:T14"/>
    <mergeCell ref="U13:U14"/>
    <mergeCell ref="A15:A16"/>
    <mergeCell ref="B15:B16"/>
    <mergeCell ref="C15:C16"/>
    <mergeCell ref="E15:E16"/>
    <mergeCell ref="F15:F16"/>
    <mergeCell ref="G15:G16"/>
    <mergeCell ref="H15:H16"/>
    <mergeCell ref="I15:I16"/>
    <mergeCell ref="J15:J16"/>
    <mergeCell ref="A13:A14"/>
    <mergeCell ref="B13:B14"/>
    <mergeCell ref="C13:C14"/>
    <mergeCell ref="E13:E14"/>
    <mergeCell ref="F13:F14"/>
    <mergeCell ref="G13:G14"/>
    <mergeCell ref="H13:H14"/>
    <mergeCell ref="I13:I14"/>
    <mergeCell ref="J13:J14"/>
    <mergeCell ref="L9:L10"/>
    <mergeCell ref="M19:M20"/>
    <mergeCell ref="N19:N20"/>
    <mergeCell ref="P9:P10"/>
    <mergeCell ref="Q9:Q10"/>
    <mergeCell ref="R19:R20"/>
    <mergeCell ref="T9:T10"/>
    <mergeCell ref="L17:L18"/>
    <mergeCell ref="M17:M18"/>
    <mergeCell ref="N17:N18"/>
    <mergeCell ref="P17:P18"/>
    <mergeCell ref="Q17:Q18"/>
    <mergeCell ref="R17:R18"/>
    <mergeCell ref="T17:T18"/>
    <mergeCell ref="L15:L16"/>
    <mergeCell ref="M15:M16"/>
    <mergeCell ref="N15:N16"/>
    <mergeCell ref="P15:P16"/>
    <mergeCell ref="Q15:Q16"/>
    <mergeCell ref="R15:R16"/>
    <mergeCell ref="T15:T16"/>
    <mergeCell ref="L13:L14"/>
    <mergeCell ref="M13:M14"/>
    <mergeCell ref="N13:N14"/>
    <mergeCell ref="A19:A20"/>
    <mergeCell ref="B19:B20"/>
    <mergeCell ref="C19:C20"/>
    <mergeCell ref="E19:E20"/>
    <mergeCell ref="F19:F20"/>
    <mergeCell ref="G9:G10"/>
    <mergeCell ref="H19:H20"/>
    <mergeCell ref="I19:I20"/>
    <mergeCell ref="J19:J20"/>
    <mergeCell ref="A17:A18"/>
    <mergeCell ref="B17:B18"/>
    <mergeCell ref="C17:C18"/>
    <mergeCell ref="E17:E18"/>
    <mergeCell ref="F17:F18"/>
    <mergeCell ref="G17:G18"/>
    <mergeCell ref="H17:H18"/>
    <mergeCell ref="I17:I18"/>
    <mergeCell ref="J17:J18"/>
    <mergeCell ref="AC9:AC10"/>
    <mergeCell ref="AD9:AD10"/>
    <mergeCell ref="X17:X18"/>
    <mergeCell ref="Y17:Y18"/>
    <mergeCell ref="Z17:Z18"/>
    <mergeCell ref="AA17:AA18"/>
    <mergeCell ref="AB17:AB18"/>
    <mergeCell ref="AC17:AC18"/>
    <mergeCell ref="AD17:AD18"/>
    <mergeCell ref="AB15:AB16"/>
    <mergeCell ref="AC15:AC16"/>
    <mergeCell ref="AD15:AD16"/>
    <mergeCell ref="Y13:Y14"/>
    <mergeCell ref="Z13:Z14"/>
    <mergeCell ref="AA13:AA14"/>
    <mergeCell ref="AB13:AB14"/>
    <mergeCell ref="AC13:AC14"/>
    <mergeCell ref="AD13:AD14"/>
    <mergeCell ref="X15:X16"/>
    <mergeCell ref="Y15:Y16"/>
    <mergeCell ref="Z15:Z16"/>
    <mergeCell ref="AA15:AA16"/>
    <mergeCell ref="X13:X14"/>
    <mergeCell ref="X11:X12"/>
    <mergeCell ref="Y21:Y22"/>
    <mergeCell ref="Z21:Z22"/>
    <mergeCell ref="AA21:AA22"/>
    <mergeCell ref="AB21:AB22"/>
    <mergeCell ref="U9:U10"/>
    <mergeCell ref="V19:V20"/>
    <mergeCell ref="X19:X20"/>
    <mergeCell ref="Y19:Y20"/>
    <mergeCell ref="Z19:Z20"/>
    <mergeCell ref="AA9:AA10"/>
    <mergeCell ref="AB19:AB20"/>
    <mergeCell ref="U17:U18"/>
    <mergeCell ref="V17:V18"/>
    <mergeCell ref="V15:V16"/>
    <mergeCell ref="V13:V14"/>
    <mergeCell ref="U15:U16"/>
    <mergeCell ref="V11:V12"/>
    <mergeCell ref="Y11:Y12"/>
    <mergeCell ref="Z11:Z12"/>
    <mergeCell ref="M21:M22"/>
    <mergeCell ref="N21:N22"/>
    <mergeCell ref="P19:P20"/>
    <mergeCell ref="Q21:Q22"/>
    <mergeCell ref="R21:R22"/>
    <mergeCell ref="T21:T22"/>
    <mergeCell ref="U21:U22"/>
    <mergeCell ref="V21:V22"/>
    <mergeCell ref="X21:X22"/>
    <mergeCell ref="B21:B22"/>
    <mergeCell ref="C21:C22"/>
    <mergeCell ref="E21:E22"/>
    <mergeCell ref="F21:F22"/>
    <mergeCell ref="G21:G22"/>
    <mergeCell ref="H21:H22"/>
    <mergeCell ref="I21:I22"/>
    <mergeCell ref="J21:J22"/>
    <mergeCell ref="L21:L22"/>
    <mergeCell ref="AC21:AC22"/>
    <mergeCell ref="AD21:AD22"/>
    <mergeCell ref="A23:A24"/>
    <mergeCell ref="B23:B24"/>
    <mergeCell ref="C23:C24"/>
    <mergeCell ref="E23:E24"/>
    <mergeCell ref="F23:F24"/>
    <mergeCell ref="G23:G24"/>
    <mergeCell ref="H23:H24"/>
    <mergeCell ref="I23:I24"/>
    <mergeCell ref="J23:J24"/>
    <mergeCell ref="L23:L24"/>
    <mergeCell ref="M23:M24"/>
    <mergeCell ref="N23:N24"/>
    <mergeCell ref="P23:P24"/>
    <mergeCell ref="Q23:Q24"/>
    <mergeCell ref="R23:R24"/>
    <mergeCell ref="T23:T24"/>
    <mergeCell ref="U23:U24"/>
    <mergeCell ref="V23:V24"/>
    <mergeCell ref="X23:X24"/>
    <mergeCell ref="Y23:Y24"/>
    <mergeCell ref="Z23:Z24"/>
    <mergeCell ref="A21:A22"/>
    <mergeCell ref="AB23:AB24"/>
    <mergeCell ref="AC23:AC24"/>
    <mergeCell ref="AD23:AD24"/>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5:T26"/>
    <mergeCell ref="U25:U26"/>
    <mergeCell ref="V25:V26"/>
    <mergeCell ref="X25:X26"/>
    <mergeCell ref="L27:L28"/>
    <mergeCell ref="M27:M28"/>
    <mergeCell ref="N27:N28"/>
    <mergeCell ref="P27:P28"/>
    <mergeCell ref="Q27:Q28"/>
    <mergeCell ref="R27:R28"/>
    <mergeCell ref="T27:T28"/>
    <mergeCell ref="U27:U28"/>
    <mergeCell ref="AA23:AA24"/>
    <mergeCell ref="V27:V28"/>
    <mergeCell ref="X27:X28"/>
    <mergeCell ref="Y27:Y28"/>
    <mergeCell ref="Z27:Z28"/>
    <mergeCell ref="AA27:AA28"/>
    <mergeCell ref="A27:A28"/>
    <mergeCell ref="B27:B28"/>
    <mergeCell ref="C27:C28"/>
    <mergeCell ref="E27:E28"/>
    <mergeCell ref="F27:F28"/>
    <mergeCell ref="G27:G28"/>
    <mergeCell ref="H27:H28"/>
    <mergeCell ref="I27:I28"/>
    <mergeCell ref="J27:J28"/>
    <mergeCell ref="AB27:AB28"/>
    <mergeCell ref="AC27:AC28"/>
    <mergeCell ref="AD27:AD28"/>
    <mergeCell ref="Y25:Y26"/>
    <mergeCell ref="Z25:Z26"/>
    <mergeCell ref="AA25:AA26"/>
    <mergeCell ref="AB25:AB26"/>
    <mergeCell ref="AC25:AC26"/>
    <mergeCell ref="AD25:AD26"/>
    <mergeCell ref="U29:U30"/>
    <mergeCell ref="V29:V30"/>
    <mergeCell ref="A29:A30"/>
    <mergeCell ref="B29:B30"/>
    <mergeCell ref="C29:C30"/>
    <mergeCell ref="E29:E30"/>
    <mergeCell ref="F29:F30"/>
    <mergeCell ref="G29:G30"/>
    <mergeCell ref="H29:H30"/>
    <mergeCell ref="I29:I30"/>
    <mergeCell ref="J29:J30"/>
    <mergeCell ref="L31:L32"/>
    <mergeCell ref="M31:M32"/>
    <mergeCell ref="N31:N32"/>
    <mergeCell ref="P31:P32"/>
    <mergeCell ref="Q31:Q32"/>
    <mergeCell ref="R31:R32"/>
    <mergeCell ref="T31:T32"/>
    <mergeCell ref="L29:L30"/>
    <mergeCell ref="M29:M30"/>
    <mergeCell ref="N29:N30"/>
    <mergeCell ref="P29:P30"/>
    <mergeCell ref="Q29:Q30"/>
    <mergeCell ref="R29:R30"/>
    <mergeCell ref="T29:T30"/>
    <mergeCell ref="A31:A32"/>
    <mergeCell ref="B31:B32"/>
    <mergeCell ref="C31:C32"/>
    <mergeCell ref="E31:E32"/>
    <mergeCell ref="F31:F32"/>
    <mergeCell ref="G31:G32"/>
    <mergeCell ref="H31:H32"/>
    <mergeCell ref="I31:I32"/>
    <mergeCell ref="J31:J32"/>
    <mergeCell ref="AC31:AC32"/>
    <mergeCell ref="AD31:AD32"/>
    <mergeCell ref="X29:X30"/>
    <mergeCell ref="Y29:Y30"/>
    <mergeCell ref="Z29:Z30"/>
    <mergeCell ref="AA29:AA30"/>
    <mergeCell ref="AB29:AB30"/>
    <mergeCell ref="AC29:AC30"/>
    <mergeCell ref="AD29:AD30"/>
    <mergeCell ref="Z33:Z34"/>
    <mergeCell ref="AA33:AA34"/>
    <mergeCell ref="AB33:AB34"/>
    <mergeCell ref="U31:U32"/>
    <mergeCell ref="V31:V32"/>
    <mergeCell ref="X31:X32"/>
    <mergeCell ref="Y31:Y32"/>
    <mergeCell ref="Z31:Z32"/>
    <mergeCell ref="AA31:AA32"/>
    <mergeCell ref="AB31:AB32"/>
    <mergeCell ref="V35:V36"/>
    <mergeCell ref="X35:X36"/>
    <mergeCell ref="Y35:Y36"/>
    <mergeCell ref="Z35:Z36"/>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R33:R34"/>
    <mergeCell ref="T33:T34"/>
    <mergeCell ref="U33:U34"/>
    <mergeCell ref="V33:V34"/>
    <mergeCell ref="X33:X34"/>
    <mergeCell ref="Y33:Y34"/>
    <mergeCell ref="AC37:AC38"/>
    <mergeCell ref="T37:T38"/>
    <mergeCell ref="U37:U38"/>
    <mergeCell ref="V37:V38"/>
    <mergeCell ref="X37:X38"/>
    <mergeCell ref="AC33:AC34"/>
    <mergeCell ref="AD33:AD34"/>
    <mergeCell ref="A35:A36"/>
    <mergeCell ref="B35:B36"/>
    <mergeCell ref="C35:C36"/>
    <mergeCell ref="E35:E36"/>
    <mergeCell ref="F35:F36"/>
    <mergeCell ref="G35:G36"/>
    <mergeCell ref="H35:H36"/>
    <mergeCell ref="I35:I36"/>
    <mergeCell ref="J35:J36"/>
    <mergeCell ref="L35:L36"/>
    <mergeCell ref="M35:M36"/>
    <mergeCell ref="N35:N36"/>
    <mergeCell ref="P35:P36"/>
    <mergeCell ref="Q35:Q36"/>
    <mergeCell ref="R35:R36"/>
    <mergeCell ref="T35:T36"/>
    <mergeCell ref="U35:U36"/>
    <mergeCell ref="Y37:Y38"/>
    <mergeCell ref="Z37:Z38"/>
    <mergeCell ref="AA35:AA36"/>
    <mergeCell ref="AB35:AB36"/>
    <mergeCell ref="AC35:AC36"/>
    <mergeCell ref="AD35:AD36"/>
    <mergeCell ref="AD37:AD38"/>
    <mergeCell ref="A37:A38"/>
    <mergeCell ref="B37:B38"/>
    <mergeCell ref="C37:C38"/>
    <mergeCell ref="E37:E38"/>
    <mergeCell ref="F37:F38"/>
    <mergeCell ref="G37:G38"/>
    <mergeCell ref="H37:H38"/>
    <mergeCell ref="I37:I38"/>
    <mergeCell ref="J37:J38"/>
    <mergeCell ref="L37:L38"/>
    <mergeCell ref="M37:M38"/>
    <mergeCell ref="N37:N38"/>
    <mergeCell ref="P37:P38"/>
    <mergeCell ref="Q37:Q38"/>
    <mergeCell ref="R37:R38"/>
    <mergeCell ref="AA37:AA38"/>
    <mergeCell ref="AB37:AB38"/>
  </mergeCells>
  <conditionalFormatting sqref="A9 A13 A17 A21 A25 A29 A33 A37">
    <cfRule type="expression" dxfId="543" priority="418">
      <formula>#REF!="Yes"</formula>
    </cfRule>
  </conditionalFormatting>
  <conditionalFormatting sqref="A9 A13 A17 A21 A25 A29 A33 A37 A15 A19 A23 A27 A31 A35">
    <cfRule type="expression" dxfId="542" priority="473">
      <formula>$AE9:$AE10="[Record ID]"</formula>
    </cfRule>
  </conditionalFormatting>
  <conditionalFormatting sqref="K7 O7 S7 W7">
    <cfRule type="expression" dxfId="541" priority="295">
      <formula>$AK7:$AK9="[Record ID]"</formula>
    </cfRule>
  </conditionalFormatting>
  <conditionalFormatting sqref="K7 O7 S7 W7">
    <cfRule type="expression" dxfId="540" priority="294">
      <formula>$L7="Yes"</formula>
    </cfRule>
  </conditionalFormatting>
  <conditionalFormatting sqref="K21:N38 N13:N18 K13:L18 K11:N12 N9:N10 M17:M18 Q17:Q18 U17:U18">
    <cfRule type="expression" dxfId="539" priority="279">
      <formula>AND(OR($K9&lt;&gt;"",$K10&lt;&gt;"",$L9&lt;&gt;""),$N9="TBD")</formula>
    </cfRule>
  </conditionalFormatting>
  <conditionalFormatting sqref="K22 K24 K26 K28 K30 K32 K34 K36 K38">
    <cfRule type="expression" dxfId="538" priority="280">
      <formula>AND(OR($K21&lt;&gt;"",$K22&lt;&gt;"",$L21&lt;&gt;""),$N21="TBD")</formula>
    </cfRule>
  </conditionalFormatting>
  <conditionalFormatting sqref="O11:R12 R9:R10 O23:R38 O17:P18 R13:R18">
    <cfRule type="expression" dxfId="537" priority="277">
      <formula>AND(OR($O9&lt;&gt;"",$O10&lt;&gt;"",$P9&lt;&gt;""),$R9="TBD")</formula>
    </cfRule>
  </conditionalFormatting>
  <conditionalFormatting sqref="O24 O26 O28 O30 O32 O34 O36 O38">
    <cfRule type="expression" dxfId="536" priority="278">
      <formula>AND(OR($O23&lt;&gt;"",$O24&lt;&gt;"",$P23&lt;&gt;""),$R23="TBD")</formula>
    </cfRule>
  </conditionalFormatting>
  <conditionalFormatting sqref="S21:V38 S11:V12 V13:V18 S17:T18 V9:V10">
    <cfRule type="expression" dxfId="535" priority="275">
      <formula>AND(OR($S9&lt;&gt;"",$S10&lt;&gt;"",$T9&lt;&gt;""),$V9="TBD")</formula>
    </cfRule>
  </conditionalFormatting>
  <conditionalFormatting sqref="S22 S24 S26 S28 S30 S32 S34 S36 S38">
    <cfRule type="expression" dxfId="534" priority="276">
      <formula>AND(OR($S21&lt;&gt;"",$S22&lt;&gt;"",$T21&lt;&gt;""),$V21="TBD")</formula>
    </cfRule>
  </conditionalFormatting>
  <conditionalFormatting sqref="W9:Z38">
    <cfRule type="expression" dxfId="533" priority="271">
      <formula>AND(OR($W9&lt;&gt;"",$W10&lt;&gt;"",$X9&lt;&gt;""),$Z9="TBD")</formula>
    </cfRule>
  </conditionalFormatting>
  <conditionalFormatting sqref="W10 W12 W14 W16 W18 W20 W22 W24 W26 W28 W30 W32 W34 W36 W38">
    <cfRule type="expression" dxfId="532" priority="272">
      <formula>AND(OR($W9&lt;&gt;"",$W10&lt;&gt;"",$X9&lt;&gt;""),$Z9="TBD")</formula>
    </cfRule>
  </conditionalFormatting>
  <conditionalFormatting sqref="B9:C38">
    <cfRule type="expression" dxfId="531" priority="270">
      <formula>AND($B9&lt;&gt;"",$C9&lt;&gt;"")</formula>
    </cfRule>
  </conditionalFormatting>
  <conditionalFormatting sqref="A11 A15 A19 A23 A27 A31 A35">
    <cfRule type="expression" dxfId="530" priority="265">
      <formula>#REF!="Yes"</formula>
    </cfRule>
  </conditionalFormatting>
  <conditionalFormatting sqref="A11">
    <cfRule type="expression" dxfId="529" priority="266">
      <formula>$AE11:$AE12="[Record ID]"</formula>
    </cfRule>
  </conditionalFormatting>
  <conditionalFormatting sqref="K14 K18 K16">
    <cfRule type="expression" dxfId="528" priority="42">
      <formula>AND(OR($K13&lt;&gt;"",$K14&lt;&gt;"",$L13&lt;&gt;""),$N13="TBD")</formula>
    </cfRule>
  </conditionalFormatting>
  <conditionalFormatting sqref="P13:P16">
    <cfRule type="expression" dxfId="527" priority="35">
      <formula>AND(OR($O13&lt;&gt;"",$O14&lt;&gt;"",$P13&lt;&gt;""),$R13="TBD")</formula>
    </cfRule>
  </conditionalFormatting>
  <conditionalFormatting sqref="O18">
    <cfRule type="expression" dxfId="526" priority="36">
      <formula>AND(OR($O17&lt;&gt;"",$O18&lt;&gt;"",$P17&lt;&gt;""),$R17="TBD")</formula>
    </cfRule>
  </conditionalFormatting>
  <conditionalFormatting sqref="T13:T16">
    <cfRule type="expression" dxfId="525" priority="33">
      <formula>AND(OR($S13&lt;&gt;"",$S14&lt;&gt;"",$T13&lt;&gt;""),$V13="TBD")</formula>
    </cfRule>
  </conditionalFormatting>
  <conditionalFormatting sqref="S18">
    <cfRule type="expression" dxfId="524" priority="34">
      <formula>AND(OR($S17&lt;&gt;"",$S18&lt;&gt;"",$T17&lt;&gt;""),$V17="TBD")</formula>
    </cfRule>
  </conditionalFormatting>
  <conditionalFormatting sqref="O13:O14">
    <cfRule type="expression" dxfId="523" priority="25">
      <formula>AND(OR($K13&lt;&gt;"",$K14&lt;&gt;"",$L13&lt;&gt;""),$N13="TBD")</formula>
    </cfRule>
  </conditionalFormatting>
  <conditionalFormatting sqref="O14">
    <cfRule type="expression" dxfId="522" priority="26">
      <formula>AND(OR($K13&lt;&gt;"",$K14&lt;&gt;"",$L13&lt;&gt;""),$N13="TBD")</formula>
    </cfRule>
  </conditionalFormatting>
  <conditionalFormatting sqref="S13:S14">
    <cfRule type="expression" dxfId="521" priority="23">
      <formula>AND(OR($K13&lt;&gt;"",$K14&lt;&gt;"",$L13&lt;&gt;""),$N13="TBD")</formula>
    </cfRule>
  </conditionalFormatting>
  <conditionalFormatting sqref="S14">
    <cfRule type="expression" dxfId="520" priority="24">
      <formula>AND(OR($K13&lt;&gt;"",$K14&lt;&gt;"",$L13&lt;&gt;""),$N13="TBD")</formula>
    </cfRule>
  </conditionalFormatting>
  <conditionalFormatting sqref="O15:O16">
    <cfRule type="expression" dxfId="519" priority="21">
      <formula>AND(OR($K15&lt;&gt;"",$K16&lt;&gt;"",$L15&lt;&gt;""),$N15="TBD")</formula>
    </cfRule>
  </conditionalFormatting>
  <conditionalFormatting sqref="O16">
    <cfRule type="expression" dxfId="518" priority="22">
      <formula>AND(OR($K15&lt;&gt;"",$K16&lt;&gt;"",$L15&lt;&gt;""),$N15="TBD")</formula>
    </cfRule>
  </conditionalFormatting>
  <conditionalFormatting sqref="S15:S16">
    <cfRule type="expression" dxfId="517" priority="19">
      <formula>AND(OR($K15&lt;&gt;"",$K16&lt;&gt;"",$L15&lt;&gt;""),$N15="TBD")</formula>
    </cfRule>
  </conditionalFormatting>
  <conditionalFormatting sqref="S16">
    <cfRule type="expression" dxfId="516" priority="20">
      <formula>AND(OR($K15&lt;&gt;"",$K16&lt;&gt;"",$L15&lt;&gt;""),$N15="TBD")</formula>
    </cfRule>
  </conditionalFormatting>
  <conditionalFormatting sqref="K12">
    <cfRule type="expression" dxfId="515" priority="18">
      <formula>AND(OR($K11&lt;&gt;"",$K12&lt;&gt;"",$L11&lt;&gt;""),$N11="TBD")</formula>
    </cfRule>
  </conditionalFormatting>
  <conditionalFormatting sqref="O12">
    <cfRule type="expression" dxfId="514" priority="16">
      <formula>AND(OR($O11&lt;&gt;"",$O12&lt;&gt;"",$P11&lt;&gt;""),$R11="TBD")</formula>
    </cfRule>
  </conditionalFormatting>
  <conditionalFormatting sqref="S12">
    <cfRule type="expression" dxfId="513" priority="14">
      <formula>AND(OR($S11&lt;&gt;"",$S12&lt;&gt;"",$T11&lt;&gt;""),$V11="TBD")</formula>
    </cfRule>
  </conditionalFormatting>
  <conditionalFormatting sqref="M13:M14">
    <cfRule type="expression" dxfId="512" priority="12">
      <formula>AND(OR($K13&lt;&gt;"",$K14&lt;&gt;"",$L13&lt;&gt;""),$N13="TBD")</formula>
    </cfRule>
  </conditionalFormatting>
  <conditionalFormatting sqref="M15:M16">
    <cfRule type="expression" dxfId="511" priority="11">
      <formula>AND(OR($K15&lt;&gt;"",$K16&lt;&gt;"",$L15&lt;&gt;""),$N15="TBD")</formula>
    </cfRule>
  </conditionalFormatting>
  <conditionalFormatting sqref="Q13:Q14">
    <cfRule type="expression" dxfId="510" priority="9">
      <formula>AND(OR($K13&lt;&gt;"",$K14&lt;&gt;"",$L13&lt;&gt;""),$N13="TBD")</formula>
    </cfRule>
  </conditionalFormatting>
  <conditionalFormatting sqref="Q15:Q16">
    <cfRule type="expression" dxfId="509" priority="8">
      <formula>AND(OR($K15&lt;&gt;"",$K16&lt;&gt;"",$L15&lt;&gt;""),$N15="TBD")</formula>
    </cfRule>
  </conditionalFormatting>
  <conditionalFormatting sqref="U13:U14">
    <cfRule type="expression" dxfId="508" priority="6">
      <formula>AND(OR($K13&lt;&gt;"",$K14&lt;&gt;"",$L13&lt;&gt;""),$N13="TBD")</formula>
    </cfRule>
  </conditionalFormatting>
  <conditionalFormatting sqref="U15:U16">
    <cfRule type="expression" dxfId="507" priority="5">
      <formula>AND(OR($K15&lt;&gt;"",$K16&lt;&gt;"",$L15&lt;&gt;""),$N15="TBD")</formula>
    </cfRule>
  </conditionalFormatting>
  <conditionalFormatting sqref="K19:K20 M19:N20 M9:M10">
    <cfRule type="expression" dxfId="506" priority="13606">
      <formula>AND(OR($K9&lt;&gt;"",$K10&lt;&gt;"",$L1048575&lt;&gt;""),$N9="TBD")</formula>
    </cfRule>
  </conditionalFormatting>
  <conditionalFormatting sqref="K20">
    <cfRule type="expression" dxfId="505" priority="13609">
      <formula>AND(OR($K19&lt;&gt;"",$K20&lt;&gt;"",$L9&lt;&gt;""),$N19="TBD")</formula>
    </cfRule>
  </conditionalFormatting>
  <conditionalFormatting sqref="K9:K10">
    <cfRule type="expression" dxfId="504" priority="13614">
      <formula>AND(OR($K9&lt;&gt;"",$K10&lt;&gt;"",#REF!&lt;&gt;""),$N9="TBD")</formula>
    </cfRule>
  </conditionalFormatting>
  <conditionalFormatting sqref="K10">
    <cfRule type="expression" dxfId="503" priority="13615">
      <formula>AND(OR($K9&lt;&gt;"",$K10&lt;&gt;"",#REF!&lt;&gt;""),$N9="TBD")</formula>
    </cfRule>
  </conditionalFormatting>
  <conditionalFormatting sqref="L9:L10 P9:P10">
    <cfRule type="expression" dxfId="502" priority="13616">
      <formula>AND(OR($O19&lt;&gt;"",$O20&lt;&gt;"",$P9&lt;&gt;""),$R19="TBD")</formula>
    </cfRule>
  </conditionalFormatting>
  <conditionalFormatting sqref="O19:O20 R19:R20">
    <cfRule type="expression" dxfId="501" priority="13619">
      <formula>AND(OR($O19&lt;&gt;"",$O20&lt;&gt;"",$P9&lt;&gt;""),$R19="TBD")</formula>
    </cfRule>
  </conditionalFormatting>
  <conditionalFormatting sqref="O20">
    <cfRule type="expression" dxfId="500" priority="13622">
      <formula>AND(OR($O19&lt;&gt;"",$O20&lt;&gt;"",$P9&lt;&gt;""),$R19="TBD")</formula>
    </cfRule>
  </conditionalFormatting>
  <conditionalFormatting sqref="O9:O10">
    <cfRule type="expression" dxfId="499" priority="13624">
      <formula>AND(OR($O9&lt;&gt;"",$O10&lt;&gt;"",#REF!&lt;&gt;""),$R9="TBD")</formula>
    </cfRule>
  </conditionalFormatting>
  <conditionalFormatting sqref="O10">
    <cfRule type="expression" dxfId="498" priority="13625">
      <formula>AND(OR($O9&lt;&gt;"",$O10&lt;&gt;"",#REF!&lt;&gt;""),$R9="TBD")</formula>
    </cfRule>
  </conditionalFormatting>
  <conditionalFormatting sqref="Q9:Q10 U9:U10">
    <cfRule type="expression" dxfId="497" priority="13630">
      <formula>AND(OR($K19&lt;&gt;"",$K20&lt;&gt;"",$L9&lt;&gt;""),$N19="TBD")</formula>
    </cfRule>
  </conditionalFormatting>
  <conditionalFormatting sqref="V19:V20 S19:S20">
    <cfRule type="expression" dxfId="496" priority="13632">
      <formula>AND(OR($S19&lt;&gt;"",$S20&lt;&gt;"",$T9&lt;&gt;""),$V19="TBD")</formula>
    </cfRule>
  </conditionalFormatting>
  <conditionalFormatting sqref="T9:T10">
    <cfRule type="expression" dxfId="495" priority="13634">
      <formula>AND(OR($S19&lt;&gt;"",$S20&lt;&gt;"",$T9&lt;&gt;""),$V19="TBD")</formula>
    </cfRule>
  </conditionalFormatting>
  <conditionalFormatting sqref="S20">
    <cfRule type="expression" dxfId="494" priority="13636">
      <formula>AND(OR($S19&lt;&gt;"",$S20&lt;&gt;"",$T9&lt;&gt;""),$V19="TBD")</formula>
    </cfRule>
  </conditionalFormatting>
  <conditionalFormatting sqref="S9:S10">
    <cfRule type="expression" dxfId="493" priority="13638">
      <formula>AND(OR($S9&lt;&gt;"",$S10&lt;&gt;"",#REF!&lt;&gt;""),$V9="TBD")</formula>
    </cfRule>
  </conditionalFormatting>
  <conditionalFormatting sqref="S10">
    <cfRule type="expression" dxfId="492" priority="13639">
      <formula>AND(OR($S9&lt;&gt;"",$S10&lt;&gt;"",#REF!&lt;&gt;""),$V9="TBD")</formula>
    </cfRule>
  </conditionalFormatting>
  <conditionalFormatting sqref="P19:P20">
    <cfRule type="expression" dxfId="491" priority="13641">
      <formula>AND(OR($O21&lt;&gt;"",$O22&lt;&gt;"",$P19&lt;&gt;""),$R21="TBD")</formula>
    </cfRule>
  </conditionalFormatting>
  <conditionalFormatting sqref="Q21:R22">
    <cfRule type="expression" dxfId="490" priority="13642">
      <formula>AND(OR($O21&lt;&gt;"",$O22&lt;&gt;"",$P19&lt;&gt;""),$R21="TBD")</formula>
    </cfRule>
  </conditionalFormatting>
  <conditionalFormatting sqref="O22">
    <cfRule type="expression" dxfId="489" priority="13645">
      <formula>AND(OR($O21&lt;&gt;"",$O22&lt;&gt;"",$P19&lt;&gt;""),$R21="TBD")</formula>
    </cfRule>
  </conditionalFormatting>
  <conditionalFormatting sqref="T19:T20">
    <cfRule type="expression" dxfId="488" priority="2">
      <formula>AND(OR($S19&lt;&gt;"",$S20&lt;&gt;"",$T19&lt;&gt;""),$V19="TBD")</formula>
    </cfRule>
  </conditionalFormatting>
  <conditionalFormatting sqref="U19:U20">
    <cfRule type="expression" dxfId="487" priority="1">
      <formula>AND(OR($S19&lt;&gt;"",$S20&lt;&gt;"",$T19&lt;&gt;""),$V19="TBD")</formula>
    </cfRule>
  </conditionalFormatting>
  <dataValidations count="6">
    <dataValidation type="list" allowBlank="1" showInputMessage="1" showErrorMessage="1" sqref="B9:B38" xr:uid="{28D9EBDB-FA52-4CD6-AD11-3D6C5067C99D}">
      <formula1>OutcomeIndicator</formula1>
    </dataValidation>
    <dataValidation type="list" allowBlank="1" showInputMessage="1" showErrorMessage="1" sqref="J9:J38" xr:uid="{DAC2C71A-BFC4-453F-BDBA-92C575D6269D}">
      <formula1>Country</formula1>
    </dataValidation>
    <dataValidation type="decimal" operator="greaterThanOrEqual" allowBlank="1" showInputMessage="1" showErrorMessage="1" sqref="D9:D38 S9:S38 W9:X38 K21:L38 K19:K20 K9:L18 O9:P18 P19:P20 O23:P38 O19:O22" xr:uid="{FCC37B98-C3CA-49AD-8D11-784A06C574BC}">
      <formula1>0</formula1>
    </dataValidation>
    <dataValidation type="list" allowBlank="1" showInputMessage="1" showErrorMessage="1" sqref="F9:F38" xr:uid="{100ABBBD-D2EB-4B2C-912A-3819D57E5F47}">
      <formula1>baseline_validation</formula1>
    </dataValidation>
    <dataValidation type="date" operator="greaterThan" allowBlank="1" showInputMessage="1" showErrorMessage="1" sqref="M9:M38 Y9:Y38 Q9:Q18 Q21:Q38 U9:U18 U21:U38" xr:uid="{38FD31F2-0865-43C1-9F50-46BBF2E5D7B3}">
      <formula1>36526</formula1>
    </dataValidation>
    <dataValidation type="list" allowBlank="1" showInputMessage="1" showErrorMessage="1" sqref="I9:I38" xr:uid="{210CE439-8943-48D9-9622-DA69BCB52B5D}">
      <formula1>MergedAndDistinctPR</formula1>
    </dataValidation>
  </dataValidations>
  <hyperlinks>
    <hyperlink ref="B5" location="'Instructions-FR'!InstructionC" display="'Instructions-FR'!InstructionC" xr:uid="{00000000-0004-0000-09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19DF3FFC-796C-4FC1-BFFF-1BF06BE7DD51}">
          <x14:formula1>
            <xm:f>IF(OR($K11&lt;&gt;"",$K12&lt;&gt;"",$L11&lt;&gt;""),INDIRECT("FakeRange"),Setup!A$29)</xm:f>
          </x14:formula1>
          <xm:sqref>N21:N38 N11:N18</xm:sqref>
        </x14:dataValidation>
        <x14:dataValidation type="list" allowBlank="1" showInputMessage="1" showErrorMessage="1" xr:uid="{97CF39D0-3FCF-4A6B-826C-ACE426E12A07}">
          <x14:formula1>
            <xm:f>IF(OR($K19&lt;&gt;"",$K20&lt;&gt;"",$L9&lt;&gt;""),INDIRECT("FakeRange"),Setup!A$29)</xm:f>
          </x14:formula1>
          <xm:sqref>N19:N20</xm:sqref>
        </x14:dataValidation>
        <x14:dataValidation type="list" allowBlank="1" showInputMessage="1" showErrorMessage="1" xr:uid="{B5D389EE-CE27-46CE-83E1-D72D22E820C5}">
          <x14:formula1>
            <xm:f>IF(OR($K9&lt;&gt;"",$K10&lt;&gt;"",#REF!&lt;&gt;""),INDIRECT("FakeRange"),Setup!A$29)</xm:f>
          </x14:formula1>
          <xm:sqref>N9:N10</xm:sqref>
        </x14:dataValidation>
        <x14:dataValidation type="list" allowBlank="1" showInputMessage="1" showErrorMessage="1" xr:uid="{F743988F-6F85-43DD-B944-C8E7875B9369}">
          <x14:formula1>
            <xm:f>IF(OR($O11&lt;&gt;"",$O12&lt;&gt;"",$P11&lt;&gt;""),INDIRECT("FakeRange"),Setup!A$29)</xm:f>
          </x14:formula1>
          <xm:sqref>R23:R38 R11:R18</xm:sqref>
        </x14:dataValidation>
        <x14:dataValidation type="list" allowBlank="1" showInputMessage="1" showErrorMessage="1" xr:uid="{8CFD94A5-F23C-48A2-9546-CB228C08E003}">
          <x14:formula1>
            <xm:f>IF(OR($O21&lt;&gt;"",$O22&lt;&gt;"",$P19&lt;&gt;""),INDIRECT("FakeRange"),Setup!A$29)</xm:f>
          </x14:formula1>
          <xm:sqref>R21:R22</xm:sqref>
        </x14:dataValidation>
        <x14:dataValidation type="list" allowBlank="1" showInputMessage="1" showErrorMessage="1" xr:uid="{55DD1B06-66CE-4DF3-990C-806718217CB6}">
          <x14:formula1>
            <xm:f>IF(OR($O19&lt;&gt;"",$O20&lt;&gt;"",$P9&lt;&gt;""),INDIRECT("FakeRange"),Setup!A$29)</xm:f>
          </x14:formula1>
          <xm:sqref>R19:R20</xm:sqref>
        </x14:dataValidation>
        <x14:dataValidation type="list" allowBlank="1" showInputMessage="1" showErrorMessage="1" xr:uid="{7ACA797C-3793-40A9-BF98-EC9E6517B61D}">
          <x14:formula1>
            <xm:f>IF(OR($O9&lt;&gt;"",$O10&lt;&gt;"",#REF!&lt;&gt;""),INDIRECT("FakeRange"),Setup!A$29)</xm:f>
          </x14:formula1>
          <xm:sqref>R9:R10</xm:sqref>
        </x14:dataValidation>
        <x14:dataValidation type="list" allowBlank="1" showInputMessage="1" showErrorMessage="1" xr:uid="{4E518CD2-6300-4E34-B897-1136789E0900}">
          <x14:formula1>
            <xm:f>IF(OR($S11&lt;&gt;"",$S12&lt;&gt;"",$T11&lt;&gt;""),INDIRECT("FakeRange"),Setup!A$29)</xm:f>
          </x14:formula1>
          <xm:sqref>V21:V38 V11:V18</xm:sqref>
        </x14:dataValidation>
        <x14:dataValidation type="list" allowBlank="1" showInputMessage="1" showErrorMessage="1" xr:uid="{2885B1E0-80F4-406D-8F29-E95F8CC75C9A}">
          <x14:formula1>
            <xm:f>IF(OR($S19&lt;&gt;"",$S20&lt;&gt;"",$T9&lt;&gt;""),INDIRECT("FakeRange"),Setup!A$29)</xm:f>
          </x14:formula1>
          <xm:sqref>V19:V20</xm:sqref>
        </x14:dataValidation>
        <x14:dataValidation type="list" allowBlank="1" showInputMessage="1" showErrorMessage="1" xr:uid="{F0EBF3FD-E4C5-4293-A92C-38F9072FD0E4}">
          <x14:formula1>
            <xm:f>IF(OR($S9&lt;&gt;"",$S10&lt;&gt;"",#REF!&lt;&gt;""),INDIRECT("FakeRange"),Setup!A$29)</xm:f>
          </x14:formula1>
          <xm:sqref>V9:V10</xm:sqref>
        </x14:dataValidation>
        <x14:dataValidation type="list" allowBlank="1" showInputMessage="1" showErrorMessage="1" xr:uid="{910B956B-F983-408A-BADF-234CC2E17802}">
          <x14:formula1>
            <xm:f>IF(OR($W9&lt;&gt;"",$W10&lt;&gt;"",$X9&lt;&gt;""),INDIRECT("FakeRange"),Setup!A$29)</xm:f>
          </x14:formula1>
          <xm:sqref>Z9:Z38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XEP102"/>
  <sheetViews>
    <sheetView showGridLines="0" zoomScale="60" zoomScaleNormal="60" workbookViewId="0">
      <pane xSplit="4" ySplit="2" topLeftCell="S27" activePane="bottomRight" state="frozen"/>
      <selection pane="topRight" activeCell="E1" sqref="E1"/>
      <selection pane="bottomLeft" activeCell="A3" sqref="A3"/>
      <selection pane="bottomRight" activeCell="AP57" sqref="AP57:AP58"/>
    </sheetView>
  </sheetViews>
  <sheetFormatPr defaultColWidth="9" defaultRowHeight="15.5" x14ac:dyDescent="0.35"/>
  <cols>
    <col min="1" max="1" width="22.58203125" customWidth="1"/>
    <col min="2" max="5" width="30.58203125" customWidth="1"/>
    <col min="6" max="6" width="14.6640625" customWidth="1"/>
    <col min="7" max="7" width="17.58203125" customWidth="1"/>
    <col min="8" max="8" width="18.5" customWidth="1"/>
    <col min="9" max="9" width="30.58203125" customWidth="1"/>
    <col min="10" max="10" width="40.58203125" customWidth="1"/>
    <col min="11" max="11" width="21" customWidth="1"/>
    <col min="12" max="12" width="15.08203125" style="187" customWidth="1"/>
    <col min="13" max="13" width="48.08203125" customWidth="1"/>
    <col min="14" max="14" width="34.6640625" customWidth="1"/>
    <col min="15" max="15" width="16.58203125" customWidth="1"/>
    <col min="16" max="16" width="15.1640625" customWidth="1"/>
    <col min="17" max="17" width="13.08203125" customWidth="1"/>
    <col min="18" max="18" width="11.58203125" customWidth="1"/>
    <col min="19" max="19" width="14.08203125" customWidth="1"/>
    <col min="20" max="20" width="15.58203125" customWidth="1"/>
    <col min="21" max="21" width="12.58203125" customWidth="1"/>
    <col min="22" max="22" width="10.58203125" customWidth="1"/>
    <col min="23" max="23" width="12.58203125" customWidth="1"/>
    <col min="24" max="26" width="12.58203125" style="210" hidden="1" customWidth="1"/>
    <col min="27" max="27" width="14.08203125" hidden="1" customWidth="1"/>
    <col min="28" max="28" width="11.08203125" hidden="1" customWidth="1"/>
    <col min="29" max="29" width="13.08203125" hidden="1" customWidth="1"/>
    <col min="30" max="30" width="14.08203125" hidden="1" customWidth="1"/>
    <col min="31" max="31" width="10.08203125" hidden="1" customWidth="1"/>
    <col min="32" max="32" width="16.58203125" hidden="1" customWidth="1"/>
    <col min="33" max="33" width="14.08203125" hidden="1" customWidth="1"/>
    <col min="34" max="34" width="13.58203125" hidden="1" customWidth="1"/>
    <col min="35" max="35" width="16.58203125" hidden="1" customWidth="1"/>
    <col min="36" max="36" width="14.08203125" hidden="1" customWidth="1"/>
    <col min="37" max="37" width="13.58203125" hidden="1" customWidth="1"/>
    <col min="38" max="38" width="16.58203125" hidden="1" customWidth="1"/>
    <col min="39" max="39" width="67.33203125" customWidth="1"/>
    <col min="40" max="40" width="34.5" customWidth="1"/>
    <col min="41" max="41" width="30.58203125" customWidth="1"/>
    <col min="42" max="42" width="59" customWidth="1"/>
    <col min="43" max="46" width="8.58203125" hidden="1" customWidth="1"/>
    <col min="47" max="47" width="8.203125E-2" customWidth="1"/>
    <col min="48" max="48" width="8.08203125" hidden="1" customWidth="1"/>
    <col min="49" max="49" width="11.08203125" hidden="1" customWidth="1"/>
    <col min="50" max="50" width="8" hidden="1" customWidth="1"/>
    <col min="51" max="51" width="11.08203125" hidden="1" customWidth="1"/>
    <col min="52" max="52" width="4.08203125" style="253" hidden="1" customWidth="1"/>
    <col min="53" max="53" width="16.08203125" hidden="1" customWidth="1"/>
    <col min="54" max="54" width="12.6640625" hidden="1" customWidth="1"/>
    <col min="55" max="55" width="16.58203125" hidden="1" customWidth="1"/>
    <col min="56" max="56" width="15.58203125" hidden="1" customWidth="1"/>
  </cols>
  <sheetData>
    <row r="1" spans="1:56 16369:16370" ht="15.65" customHeight="1" x14ac:dyDescent="0.35">
      <c r="A1" s="745" t="str">
        <f ca="1">Translations!A64</f>
        <v>Marco de desempeño - Indicadores de cobertura - Sección D</v>
      </c>
      <c r="B1" s="746"/>
      <c r="C1" s="746"/>
      <c r="D1" s="746"/>
      <c r="E1" s="746"/>
      <c r="F1" s="746"/>
      <c r="G1" s="746"/>
      <c r="XEO1" s="215" t="str">
        <f ca="1">Translations!$A$103</f>
        <v>No aplicable</v>
      </c>
      <c r="XEP1" s="253" t="str">
        <f ca="1">Translations!$A$103</f>
        <v>No aplicable</v>
      </c>
    </row>
    <row r="2" spans="1:56 16369:16370" ht="15.65" customHeight="1" x14ac:dyDescent="0.35">
      <c r="A2" s="746"/>
      <c r="B2" s="746"/>
      <c r="C2" s="746"/>
      <c r="D2" s="746"/>
      <c r="E2" s="746"/>
      <c r="F2" s="746"/>
      <c r="G2" s="746"/>
    </row>
    <row r="3" spans="1:56 16369:16370" ht="16" thickBot="1" x14ac:dyDescent="0.4"/>
    <row r="4" spans="1:56 16369:16370" ht="16" thickBot="1" x14ac:dyDescent="0.4">
      <c r="A4" s="186" t="str">
        <f ca="1">Translations!A12</f>
        <v>Navegación de la página</v>
      </c>
      <c r="B4" s="188" t="str">
        <f ca="1">Translations!A48</f>
        <v>Instrucciones</v>
      </c>
      <c r="G4" s="217" t="s">
        <v>254</v>
      </c>
      <c r="AL4" t="s">
        <v>37</v>
      </c>
    </row>
    <row r="5" spans="1:56 16369:16370" x14ac:dyDescent="0.35">
      <c r="A5" s="187"/>
      <c r="B5" s="187"/>
      <c r="AA5" s="253"/>
    </row>
    <row r="6" spans="1:56 16369:16370" x14ac:dyDescent="0.35">
      <c r="D6" s="253"/>
      <c r="E6" s="253"/>
      <c r="O6" s="115">
        <v>2</v>
      </c>
      <c r="P6" s="115"/>
      <c r="Q6" s="115"/>
      <c r="R6" s="115">
        <v>3</v>
      </c>
      <c r="S6" s="115"/>
      <c r="T6" s="115"/>
      <c r="U6" s="115">
        <v>4</v>
      </c>
      <c r="V6" s="115"/>
      <c r="W6" s="115"/>
      <c r="X6" s="211">
        <v>5</v>
      </c>
      <c r="Y6" s="211"/>
      <c r="Z6" s="211"/>
      <c r="AA6" s="115">
        <v>6</v>
      </c>
      <c r="AB6" s="115"/>
      <c r="AC6" s="115"/>
      <c r="AD6" s="211">
        <v>7</v>
      </c>
      <c r="AG6" s="222">
        <v>8</v>
      </c>
      <c r="AJ6" s="211">
        <v>9</v>
      </c>
    </row>
    <row r="7" spans="1:56 16369:16370" x14ac:dyDescent="0.35">
      <c r="A7" s="182"/>
      <c r="B7" s="182"/>
      <c r="C7" s="182"/>
      <c r="D7" s="182"/>
      <c r="E7" s="182"/>
      <c r="F7" s="182"/>
      <c r="G7" s="182"/>
      <c r="H7" s="182"/>
      <c r="I7" s="182"/>
      <c r="J7" s="182"/>
      <c r="K7" s="182"/>
      <c r="L7" s="193"/>
      <c r="M7" s="182"/>
      <c r="N7" s="177"/>
      <c r="O7" s="748" t="str">
        <f ca="1">IFERROR(IF(YEAR(INDEX('Overview - Section A'!$A$39:$A$46,MATCH(O6,'Overview - Section A'!$B$39:$B$46,0)))&lt;=YEAR('Overview - Section A'!$E$11),TEXT(IFERROR(INDEX('Overview - Section A'!$A$39:$A$46,MATCH(O6,'Overview - Section A'!$B$39:$B$46,0)),""),Setup!$A$33) &amp;" to " &amp; TEXT(IFERROR(INDEX('Overview - Section A'!$E$39:$E$46,MATCH(O6,'Overview - Section A'!$B$39:$B$46,0)),""),Setup!$A$33),""),"")</f>
        <v>1-Jan-22 to 31-Dec-22</v>
      </c>
      <c r="P7" s="748"/>
      <c r="Q7" s="748"/>
      <c r="R7" s="748" t="str">
        <f ca="1">IFERROR(IF(YEAR(INDEX('Overview - Section A'!$A$39:$A$46,MATCH(R6,'Overview - Section A'!$B$39:$B$46,0)))&lt;=YEAR('Overview - Section A'!$E$11),TEXT(IFERROR(INDEX('Overview - Section A'!$A$39:$A$46,MATCH(R6,'Overview - Section A'!$B$39:$B$46,0)),""),Setup!$A$33) &amp;" to " &amp; TEXT(IFERROR(INDEX('Overview - Section A'!$E$39:$E$46,MATCH(R6,'Overview - Section A'!$B$39:$B$46,0)),""),Setup!$A$33),""),"")</f>
        <v>1-Jan-23 to 31-Dec-23</v>
      </c>
      <c r="S7" s="748"/>
      <c r="T7" s="748"/>
      <c r="U7" s="748" t="str">
        <f ca="1">IFERROR(IF(YEAR(INDEX('Overview - Section A'!$A$39:$A$46,MATCH(U6,'Overview - Section A'!$B$39:$B$46,0)))&lt;=YEAR('Overview - Section A'!$E$11),TEXT(IFERROR(INDEX('Overview - Section A'!$A$39:$A$46,MATCH(U6,'Overview - Section A'!$B$39:$B$46,0)),""),Setup!$A$33) &amp;" to " &amp; TEXT(IFERROR(INDEX('Overview - Section A'!$E$39:$E$46,MATCH(U6,'Overview - Section A'!$B$39:$B$46,0)),""),Setup!$A$33),""),"")</f>
        <v>1-Jan-24 to 31-Dec-24</v>
      </c>
      <c r="V7" s="748"/>
      <c r="W7" s="748"/>
      <c r="X7" s="751" t="str">
        <f ca="1">IFERROR(IF(YEAR(INDEX('Overview - Section A'!$A$39:$A$46,MATCH(X6,'Overview - Section A'!$B$39:$B$46,0)))&lt;=YEAR('Overview - Section A'!$E$11),TEXT(IFERROR(INDEX('Overview - Section A'!$A$39:$A$46,MATCH(X6,'Overview - Section A'!$B$39:$B$46,0)),""),Setup!$A$33) &amp;" to " &amp; TEXT(IFERROR(INDEX('Overview - Section A'!$E$39:$E$46,MATCH(X6,'Overview - Section A'!$B$39:$B$46,0)),""),Setup!$A$33),""),"")</f>
        <v/>
      </c>
      <c r="Y7" s="752"/>
      <c r="Z7" s="753"/>
      <c r="AA7" s="748" t="str">
        <f ca="1">IFERROR(IF(YEAR(INDEX('Overview - Section A'!$A$39:$A$46,MATCH(AA6,'Overview - Section A'!$B$39:$B$46,0)))&lt;=YEAR('Overview - Section A'!$E$11),TEXT(IFERROR(INDEX('Overview - Section A'!$A$39:$A$46,MATCH(AA6,'Overview - Section A'!$B$39:$B$46,0)),""),Setup!$A$33) &amp;" to " &amp; TEXT(IFERROR(INDEX('Overview - Section A'!$E$39:$E$46,MATCH(AA6,'Overview - Section A'!$B$39:$B$46,0)),""),Setup!$A$33),""),"")</f>
        <v/>
      </c>
      <c r="AB7" s="748"/>
      <c r="AC7" s="748"/>
      <c r="AD7" s="748" t="str">
        <f ca="1">IFERROR(IF(YEAR(INDEX('Overview - Section A'!$A$39:$A$46,MATCH(AD6,'Overview - Section A'!$B$39:$B$46,0)))&lt;=YEAR('Overview - Section A'!$E$11),TEXT(IFERROR(INDEX('Overview - Section A'!$A$39:$A$46,MATCH(AD6,'Overview - Section A'!$B$39:$B$46,0)),""),Setup!$A$33) &amp;" to " &amp; TEXT(IFERROR(INDEX('Overview - Section A'!$E$39:$E$46,MATCH(AD6,'Overview - Section A'!$B$39:$B$46,0)),""),Setup!$A$33),""),"")</f>
        <v/>
      </c>
      <c r="AE7" s="748"/>
      <c r="AF7" s="748"/>
      <c r="AG7" s="748" t="str">
        <f>IFERROR(IF(YEAR(INDEX('Overview - Section A'!$A$39:$A$46,MATCH(AG6,'Overview - Section A'!$B$39:$B$46,0)))&lt;=YEAR('Overview - Section A'!$E$11),TEXT(IFERROR(INDEX('Overview - Section A'!$A$39:$A$46,MATCH(AG6,'Overview - Section A'!$B$39:$B$46,0)),""),Setup!$A$33) &amp;" to " &amp; TEXT(IFERROR(INDEX('Overview - Section A'!$E$39:$E$46,MATCH(AG6,'Overview - Section A'!$B$39:$B$46,0)),""),Setup!$A$33),""),"")</f>
        <v/>
      </c>
      <c r="AH7" s="748"/>
      <c r="AI7" s="748"/>
      <c r="AJ7" s="748" t="str">
        <f>IFERROR(IF(YEAR(INDEX('Overview - Section A'!$A$39:$A$46,MATCH(AJ6,'Overview - Section A'!$B$39:$B$46,0)))&lt;=YEAR('Overview - Section A'!$E$11),TEXT(IFERROR(INDEX('Overview - Section A'!$A$39:$A$46,MATCH(AJ6,'Overview - Section A'!$B$39:$B$46,0)),""),Setup!$A$33) &amp;" to " &amp; TEXT(IFERROR(INDEX('Overview - Section A'!$E$39:$E$46,MATCH(AJ6,'Overview - Section A'!$B$39:$B$46,0)),""),Setup!$A$33),""),"")</f>
        <v/>
      </c>
      <c r="AK7" s="748"/>
      <c r="AL7" s="748"/>
      <c r="AM7" s="178"/>
      <c r="AN7" s="272"/>
      <c r="AO7" s="272"/>
      <c r="AP7" s="272"/>
      <c r="AR7" s="215"/>
      <c r="AS7" s="215"/>
      <c r="AT7" s="215"/>
      <c r="AU7" s="215"/>
      <c r="AV7" s="215"/>
      <c r="AW7" s="215"/>
      <c r="AX7" s="215"/>
      <c r="AY7" s="215"/>
    </row>
    <row r="8" spans="1:56 16369:16370" ht="62" x14ac:dyDescent="0.35">
      <c r="A8" s="269" t="str">
        <f ca="1">Translations!A65</f>
        <v xml:space="preserve">Número del Indicador de cobertura </v>
      </c>
      <c r="B8" s="269" t="s">
        <v>532</v>
      </c>
      <c r="C8" s="269" t="s">
        <v>539</v>
      </c>
      <c r="D8" s="269" t="s">
        <v>495</v>
      </c>
      <c r="E8" s="269" t="s">
        <v>403</v>
      </c>
      <c r="F8" s="269" t="s">
        <v>546</v>
      </c>
      <c r="G8" s="269" t="str">
        <f ca="1">Translations!A41</f>
        <v>Línea de base %</v>
      </c>
      <c r="H8" s="269" t="s">
        <v>436</v>
      </c>
      <c r="I8" s="269" t="s">
        <v>438</v>
      </c>
      <c r="J8" s="269" t="str">
        <f ca="1">Translations!A51</f>
        <v>Desagregación requerida</v>
      </c>
      <c r="K8" s="269" t="s">
        <v>569</v>
      </c>
      <c r="L8" s="269" t="s">
        <v>554</v>
      </c>
      <c r="M8" s="269" t="s">
        <v>570</v>
      </c>
      <c r="N8" s="269" t="s">
        <v>571</v>
      </c>
      <c r="O8" s="269" t="str">
        <f ca="1">Translations!$A$54&amp;CHAR(10)&amp;Translations!$A$55</f>
        <v>Meta N#
Meta D#</v>
      </c>
      <c r="P8" s="269" t="str">
        <f ca="1">Translations!$A$63</f>
        <v>Meta %</v>
      </c>
      <c r="Q8" s="269" t="str">
        <f ca="1">Translations!$A$57</f>
        <v>Marque si la meta es "TBD"</v>
      </c>
      <c r="R8" s="269" t="str">
        <f ca="1">Translations!$A$54&amp;CHAR(10)&amp;Translations!$A$55</f>
        <v>Meta N#
Meta D#</v>
      </c>
      <c r="S8" s="269" t="str">
        <f ca="1">Translations!$A$63</f>
        <v>Meta %</v>
      </c>
      <c r="T8" s="269" t="str">
        <f ca="1">Translations!$A$57</f>
        <v>Marque si la meta es "TBD"</v>
      </c>
      <c r="U8" s="269" t="str">
        <f ca="1">Translations!$A$54&amp;CHAR(10)&amp;Translations!$A$55</f>
        <v>Meta N#
Meta D#</v>
      </c>
      <c r="V8" s="269" t="str">
        <f ca="1">Translations!$A$63</f>
        <v>Meta %</v>
      </c>
      <c r="W8" s="269" t="str">
        <f ca="1">Translations!$A$57</f>
        <v>Marque si la meta es "TBD"</v>
      </c>
      <c r="X8" s="269" t="str">
        <f ca="1">Translations!$A$54&amp;CHAR(10)&amp;Translations!$A$55</f>
        <v>Meta N#
Meta D#</v>
      </c>
      <c r="Y8" s="269" t="str">
        <f ca="1">Translations!$A$63</f>
        <v>Meta %</v>
      </c>
      <c r="Z8" s="269" t="s">
        <v>556</v>
      </c>
      <c r="AA8" s="269" t="s">
        <v>11195</v>
      </c>
      <c r="AB8" s="269" t="str">
        <f ca="1">Translations!$A$63</f>
        <v>Meta %</v>
      </c>
      <c r="AC8" s="269" t="s">
        <v>556</v>
      </c>
      <c r="AD8" s="269" t="s">
        <v>11195</v>
      </c>
      <c r="AE8" s="269" t="str">
        <f ca="1">Translations!$A$63</f>
        <v>Meta %</v>
      </c>
      <c r="AF8" s="269" t="s">
        <v>556</v>
      </c>
      <c r="AG8" s="269" t="s">
        <v>11195</v>
      </c>
      <c r="AH8" s="269" t="str">
        <f ca="1">Translations!$A$63</f>
        <v>Meta %</v>
      </c>
      <c r="AI8" s="269" t="s">
        <v>556</v>
      </c>
      <c r="AJ8" s="269" t="s">
        <v>11195</v>
      </c>
      <c r="AK8" s="269" t="str">
        <f ca="1">Translations!$A$63</f>
        <v>Meta %</v>
      </c>
      <c r="AL8" s="269" t="s">
        <v>556</v>
      </c>
      <c r="AM8" s="269" t="s">
        <v>407</v>
      </c>
      <c r="AN8" s="269" t="s">
        <v>11196</v>
      </c>
      <c r="AO8" s="269" t="s">
        <v>11197</v>
      </c>
      <c r="AP8" s="269" t="s">
        <v>11198</v>
      </c>
      <c r="AR8" s="215"/>
      <c r="AS8" s="215"/>
      <c r="AT8" s="215"/>
      <c r="AU8" s="215"/>
      <c r="AV8" s="215"/>
      <c r="AW8" s="215"/>
      <c r="AX8" s="215"/>
      <c r="AY8" s="215"/>
      <c r="BA8" s="253" t="s">
        <v>941</v>
      </c>
      <c r="BB8" s="253" t="s">
        <v>942</v>
      </c>
    </row>
    <row r="9" spans="1:56 16369:16370" ht="30" customHeight="1" x14ac:dyDescent="0.35">
      <c r="A9" s="727">
        <v>1</v>
      </c>
      <c r="B9" s="674" t="s">
        <v>2996</v>
      </c>
      <c r="C9" s="674" t="s">
        <v>979</v>
      </c>
      <c r="D9" s="674"/>
      <c r="E9" s="674" t="s">
        <v>9449</v>
      </c>
      <c r="F9" s="202">
        <v>321</v>
      </c>
      <c r="G9" s="725">
        <f ca="1">IF(OR(INDIRECT("'update Helper'!D"&amp;BA9)="",F9&lt;&gt;0,F10&lt;&gt;0),IF(IFERROR((F9/F10),"")="","",(F9/F10)),INDIRECT("'update Helper'!D"&amp;BA9)/100)</f>
        <v>1.7042739580568091E-2</v>
      </c>
      <c r="H9" s="723">
        <v>2019</v>
      </c>
      <c r="I9" s="674" t="s">
        <v>9223</v>
      </c>
      <c r="J9" s="735" t="str">
        <f>AQ9</f>
        <v/>
      </c>
      <c r="K9" s="733" t="s">
        <v>439</v>
      </c>
      <c r="L9" s="674" t="s">
        <v>1073</v>
      </c>
      <c r="M9" s="205" t="s">
        <v>1070</v>
      </c>
      <c r="N9" s="737"/>
      <c r="O9" s="202" t="str">
        <f ca="1">IF(A9=INDIRECT("'update Helper'!F"&amp;$BB9),IF(INDIRECT("'update Helper'!K"&amp;BB9)="","",INDIRECT("'update Helper'!K"&amp;BB9)),"")</f>
        <v/>
      </c>
      <c r="P9" s="725">
        <v>3.6999999999999998E-2</v>
      </c>
      <c r="Q9" s="723"/>
      <c r="R9" s="202"/>
      <c r="S9" s="739"/>
      <c r="T9" s="743" t="s">
        <v>254</v>
      </c>
      <c r="U9" s="542"/>
      <c r="V9" s="739"/>
      <c r="W9" s="743" t="s">
        <v>254</v>
      </c>
      <c r="X9" s="542"/>
      <c r="Y9" s="739" t="str">
        <f ca="1">IF(A9=INDIRECT("'update Helper'!F"&amp;$BB9+3),IF(OR(INDIRECT("'update Helper'!I"&amp;BB9+3)="",X9&lt;&gt;0,X10&lt;&gt;0),IF(IFERROR((X9/X10),"")="","",(X9/X10)),INDIRECT("'update Helper'!I"&amp;BB9+3)/100),"")</f>
        <v/>
      </c>
      <c r="Z9" s="723"/>
      <c r="AA9" s="202"/>
      <c r="AB9" s="725" t="str">
        <f ca="1">IF(A9=INDIRECT("'update Helper'!F"&amp;$BB9+4),IF(OR(INDIRECT("'update Helper'!I"&amp;BB9+4)="",AA9&lt;&gt;0,AA10&lt;&gt;0),IF(IFERROR((AA9/AA10),"")="","",(AA9/AA10)),INDIRECT("'update Helper'!I"&amp;BB9+4)/100),"")</f>
        <v/>
      </c>
      <c r="AC9" s="723"/>
      <c r="AD9" s="202"/>
      <c r="AE9" s="725" t="str">
        <f ca="1">IF(A9=INDIRECT("'update Helper'!F"&amp;$BB9+5),IF(A9=INDIRECT("'update Helper'!F"&amp;$BB9+5),IF(OR(INDIRECT("'update Helper'!I"&amp;BB9+5)="",AD9&lt;&gt;0,AD10&lt;&gt;0),IF(IFERROR((AD9/AD10),"")="","",(AD9/AD10)),INDIRECT("'update Helper'!I"&amp;BB9+5)/100),""),"")</f>
        <v/>
      </c>
      <c r="AF9" s="723"/>
      <c r="AG9" s="202"/>
      <c r="AH9" s="725" t="str">
        <f ca="1">IF(A9=INDIRECT("'update Helper'!F"&amp;$BB9+6),IF(OR(INDIRECT("'update Helper'!I"&amp;BB9+6)="",AG9&lt;&gt;0,AG10&lt;&gt;0),IF(IFERROR((AG9/AG10),"")="","",(AG9/AG10)),INDIRECT("'update Helper'!I"&amp;BB9+6)/100),"")</f>
        <v/>
      </c>
      <c r="AI9" s="723"/>
      <c r="AJ9" s="202"/>
      <c r="AK9" s="725" t="str">
        <f ca="1">IF(A9=INDIRECT("'update Helper'!F"&amp;$BB9+6),IF(OR(INDIRECT("'update Helper'!I"&amp;BB9+7)="",AJ9&lt;&gt;0,AJ10&lt;&gt;0),IF(IFERROR((AJ9/AJ10),"")="","",(AJ9/AJ10)),INDIRECT("'update Helper'!I"&amp;BB9+7)/100),"")</f>
        <v/>
      </c>
      <c r="AL9" s="723"/>
      <c r="AM9" s="943" t="s">
        <v>11244</v>
      </c>
      <c r="AN9" s="672" t="s">
        <v>9448</v>
      </c>
      <c r="AO9" s="672" t="s">
        <v>9223</v>
      </c>
      <c r="AP9" s="729" t="s">
        <v>11245</v>
      </c>
      <c r="AQ9" t="str">
        <f t="array" ref="AQ9">IFERROR(IF(INDEX('Reference Records'!$D$79:$D$156,MATCH(LEFT(D9,255),LEFT('Reference Records'!$C$79:$C$156,255),0))=0,"",INDEX('Reference Records'!$D$79:$D$156,MATCH(LEFT(D9,255),LEFT('Reference Records'!$C$79:$C$156,255),0))),"")</f>
        <v/>
      </c>
      <c r="AR9" s="196" t="e">
        <f t="array" ref="AR9">VLOOKUP(LEFT(D9,255),LEFT('Reference Records'!C$78:G155,255),4,0)</f>
        <v>#N/A</v>
      </c>
      <c r="AS9" s="196" t="e">
        <f>MATCH(AR9,'Reference Records'!$F$621:$F$699,0)+ROW(PopulationByCoverage)-1</f>
        <v>#N/A</v>
      </c>
      <c r="AT9" s="196" t="e">
        <f>MATCH(AR9,'Reference Records'!$F$621:$F$699,1)+ROW(PopulationByCoverage)-1</f>
        <v>#N/A</v>
      </c>
      <c r="AU9" s="215" t="str">
        <f>D9&amp;E9</f>
        <v>HTS-Other 1 Porcentaje de resultados de VIH positivos entre el total de pruebas de VIH realizadas en HSH</v>
      </c>
      <c r="AV9" s="212" t="str">
        <f t="array" ref="AV9">IFERROR(IF(VLOOKUP(LEFT(D9,255),LEFT('Reference Records'!$C$1:$K$724,255),9,0)=0,"",CONCATENATE(VLOOKUP(LEFT(D9,255),LEFT('Reference Records'!$C$1:$K$724,255),9,0),";")),"")</f>
        <v>;</v>
      </c>
      <c r="AW9" s="212" t="str">
        <f>CLEAN(IFERROR(LEFT(AV9, SEARCH(";",AV9,1)-1),""))</f>
        <v/>
      </c>
      <c r="AX9" s="212" t="str">
        <f>SUBSTITUTE(IFERROR(MID(AV9, SEARCH(";",AV9) + 1, SEARCH(";",AV9,SEARCH(";",AV9)+1) - SEARCH(";",AV9) - 1),""),CHAR(10),"")</f>
        <v/>
      </c>
      <c r="AY9" s="219" t="str">
        <f>CLEAN(IFERROR(SUBSTITUTE(RIGHT(AV9,LEN(AV9) - SEARCH(";", AV9, SEARCH(";",AV9) + 1)),";",""),""))</f>
        <v/>
      </c>
      <c r="AZ9" s="618" t="str">
        <f>IFERROR(IF(VLOOKUP(B9,'Reference Records'!$F$159:$N$210,9,FALSE)=0,"",VLOOKUP(B9,'Reference Records'!$F$159:$N$210,9,FALSE)),"")</f>
        <v>MCI-00650</v>
      </c>
      <c r="BA9" s="253">
        <f>ROW(Coverage_indicators__secton_D)+3</f>
        <v>844</v>
      </c>
      <c r="BB9" s="428">
        <f>ROW(Coverage_Indicator_Targets__section_D)+3</f>
        <v>940</v>
      </c>
      <c r="BC9">
        <f ca="1">IF(INDIRECT("'update Helper'!S"&amp;BA9)=0,"",IFERROR(VLOOKUP(INDIRECT("'update Helper'!S"&amp;BA9),'Account Role'!E$1:H$15,4,0),VLOOKUP(INDIRECT("'update Helper'!S"&amp;BA9),'Overview - Section A'!J$26:L$27,3,0)))</f>
        <v>0</v>
      </c>
      <c r="BD9" t="str">
        <f ca="1">IF(INDIRECT("'update Helper'!S"&amp;BA9)=0,"",IFERROR(VLOOKUP(INDIRECT("'update Helper'!U"&amp;BA9),'Account Role'!A$1:B$15,2,0), IFERROR(VLOOKUP(INDIRECT("'update Helper'!AD"&amp;BA9),'Overview - Section A'!J$26:P$107,7,0),"")))</f>
        <v/>
      </c>
    </row>
    <row r="10" spans="1:56 16369:16370" ht="30" customHeight="1" x14ac:dyDescent="0.35">
      <c r="A10" s="728"/>
      <c r="B10" s="675"/>
      <c r="C10" s="675"/>
      <c r="D10" s="675"/>
      <c r="E10" s="675"/>
      <c r="F10" s="202">
        <v>18835</v>
      </c>
      <c r="G10" s="726"/>
      <c r="H10" s="724"/>
      <c r="I10" s="675"/>
      <c r="J10" s="736"/>
      <c r="K10" s="734"/>
      <c r="L10" s="675"/>
      <c r="M10" s="364" t="s">
        <v>312</v>
      </c>
      <c r="N10" s="738"/>
      <c r="O10" s="202" t="str">
        <f ca="1">IF(A9=INDIRECT("'update Helper'!F"&amp;$BB9),IF(INDIRECT("'update Helper'!J"&amp;BB9)=0,"",INDIRECT("'update Helper'!J"&amp;BB9)),"")</f>
        <v/>
      </c>
      <c r="P10" s="726"/>
      <c r="Q10" s="724"/>
      <c r="R10" s="202"/>
      <c r="S10" s="740"/>
      <c r="T10" s="744"/>
      <c r="U10" s="542"/>
      <c r="V10" s="740"/>
      <c r="W10" s="744"/>
      <c r="X10" s="542"/>
      <c r="Y10" s="740"/>
      <c r="Z10" s="724"/>
      <c r="AA10" s="202"/>
      <c r="AB10" s="726"/>
      <c r="AC10" s="724"/>
      <c r="AD10" s="202"/>
      <c r="AE10" s="726"/>
      <c r="AF10" s="724"/>
      <c r="AG10" s="202"/>
      <c r="AH10" s="726"/>
      <c r="AI10" s="724"/>
      <c r="AJ10" s="202"/>
      <c r="AK10" s="726"/>
      <c r="AL10" s="724"/>
      <c r="AM10" s="944"/>
      <c r="AN10" s="673"/>
      <c r="AO10" s="673"/>
      <c r="AP10" s="730"/>
      <c r="AR10" s="215"/>
      <c r="AS10" s="215"/>
      <c r="AT10" s="215"/>
      <c r="AU10" s="215"/>
      <c r="AV10" s="212"/>
      <c r="AW10" s="212"/>
      <c r="AX10" s="212"/>
      <c r="AY10" s="219"/>
      <c r="AZ10" s="618"/>
      <c r="BA10" s="253"/>
      <c r="BB10" s="212"/>
    </row>
    <row r="11" spans="1:56 16369:16370" s="253" customFormat="1" ht="30" customHeight="1" x14ac:dyDescent="0.35">
      <c r="A11" s="727">
        <v>2</v>
      </c>
      <c r="B11" s="729" t="s">
        <v>3006</v>
      </c>
      <c r="C11" s="674" t="s">
        <v>979</v>
      </c>
      <c r="D11" s="674" t="s">
        <v>3311</v>
      </c>
      <c r="E11" s="674"/>
      <c r="F11" s="202">
        <v>2456</v>
      </c>
      <c r="G11" s="725">
        <f ca="1">IF(OR(INDIRECT("'update Helper'!D"&amp;BA11)="",F11&lt;&gt;0,F12&lt;&gt;0),IF(IFERROR((F11/F12),"")="","",(F11/F12)),INDIRECT("'update Helper'!D"&amp;BA11)/100)</f>
        <v>0.81190082644628103</v>
      </c>
      <c r="H11" s="723">
        <v>2019</v>
      </c>
      <c r="I11" s="674" t="s">
        <v>9454</v>
      </c>
      <c r="J11" s="735" t="str">
        <f>AQ11</f>
        <v/>
      </c>
      <c r="K11" s="733" t="s">
        <v>439</v>
      </c>
      <c r="L11" s="674" t="s">
        <v>1073</v>
      </c>
      <c r="M11" s="205" t="s">
        <v>1070</v>
      </c>
      <c r="N11" s="737"/>
      <c r="O11" s="538"/>
      <c r="P11" s="749">
        <v>0.82</v>
      </c>
      <c r="Q11" s="702"/>
      <c r="R11" s="533"/>
      <c r="S11" s="754">
        <v>0.83</v>
      </c>
      <c r="T11" s="696"/>
      <c r="U11" s="533"/>
      <c r="V11" s="749">
        <v>0.85</v>
      </c>
      <c r="W11" s="723"/>
      <c r="X11" s="202"/>
      <c r="Y11" s="725" t="str">
        <f ca="1">IF(A11=INDIRECT("'update Helper'!F"&amp;$BB11+3),IF(OR(INDIRECT("'update Helper'!I"&amp;BB11+3)="",X11&lt;&gt;0,X12&lt;&gt;0),IF(IFERROR((X11/X12),"")="","",(X11/X12)),INDIRECT("'update Helper'!I"&amp;BB11+3)/100),"")</f>
        <v/>
      </c>
      <c r="Z11" s="723"/>
      <c r="AA11" s="202"/>
      <c r="AB11" s="725" t="str">
        <f ca="1">IF(A11=INDIRECT("'update Helper'!F"&amp;$BB11+4),IF(OR(INDIRECT("'update Helper'!I"&amp;BB11+4)="",AA11&lt;&gt;0,AA12&lt;&gt;0),IF(IFERROR((AA11/AA12),"")="","",(AA11/AA12)),INDIRECT("'update Helper'!I"&amp;BB11+4)/100),"")</f>
        <v/>
      </c>
      <c r="AC11" s="723"/>
      <c r="AD11" s="202"/>
      <c r="AE11" s="725" t="str">
        <f ca="1">IF(A11=INDIRECT("'update Helper'!F"&amp;$BB11+5),IF(A11=INDIRECT("'update Helper'!F"&amp;$BB11+5),IF(OR(INDIRECT("'update Helper'!I"&amp;BB11+5)="",AD11&lt;&gt;0,AD12&lt;&gt;0),IF(IFERROR((AD11/AD12),"")="","",(AD11/AD12)),INDIRECT("'update Helper'!I"&amp;BB11+5)/100),""),"")</f>
        <v/>
      </c>
      <c r="AF11" s="723"/>
      <c r="AG11" s="202"/>
      <c r="AH11" s="725" t="str">
        <f ca="1">IF(A11=INDIRECT("'update Helper'!F"&amp;$BB11+6),IF(OR(INDIRECT("'update Helper'!I"&amp;BB11+6)="",AG11&lt;&gt;0,AG12&lt;&gt;0),IF(IFERROR((AG11/AG12),"")="","",(AG11/AG12)),INDIRECT("'update Helper'!I"&amp;BB11+6)/100),"")</f>
        <v/>
      </c>
      <c r="AI11" s="723"/>
      <c r="AJ11" s="202"/>
      <c r="AK11" s="725" t="str">
        <f ca="1">IF(A11=INDIRECT("'update Helper'!F"&amp;$BB11+6),IF(OR(INDIRECT("'update Helper'!I"&amp;BB11+7)="",AJ11&lt;&gt;0,AJ12&lt;&gt;0),IF(IFERROR((AJ11/AJ12),"")="","",(AJ11/AJ12)),INDIRECT("'update Helper'!I"&amp;BB11+7)/100),"")</f>
        <v/>
      </c>
      <c r="AL11" s="723"/>
      <c r="AM11" s="672" t="s">
        <v>11247</v>
      </c>
      <c r="AN11" s="672" t="s">
        <v>11205</v>
      </c>
      <c r="AO11" s="544"/>
      <c r="AP11" s="729" t="s">
        <v>11248</v>
      </c>
      <c r="AQ11" s="253" t="str">
        <f t="array" ref="AQ11">IFERROR(IF(INDEX('Reference Records'!$D$79:$D$156,MATCH(LEFT(D11,255),LEFT('Reference Records'!$C$79:$C$156,255),0))=0,"",INDEX('Reference Records'!$D$79:$D$156,MATCH(LEFT(D11,255),LEFT('Reference Records'!$C$79:$C$156,255),0))),"")</f>
        <v/>
      </c>
      <c r="AR11" s="196" t="str">
        <f t="array" ref="AR11">VLOOKUP(LEFT(D11,255),LEFT('Reference Records'!C$78:G157,255),4,0)</f>
        <v>MCI-01090</v>
      </c>
      <c r="AS11" s="196">
        <f>MATCH(AR11,'Reference Records'!$F$621:$F$699,0)+ROW(PopulationByCoverage)-1</f>
        <v>669</v>
      </c>
      <c r="AT11" s="196">
        <f>MATCH(AR11,'Reference Records'!$F$621:$F$699,1)+ROW(PopulationByCoverage)-1</f>
        <v>669</v>
      </c>
      <c r="AU11" s="253" t="str">
        <f>D11&amp;E11</f>
        <v>MDR TB-6 Porcentaje de pacientes con tuberculosis y resultados de sensibilidad a los fármacos al menos con respecto a la rifampicina entre el número total de casos notificados (nuevos y vueltos a tratar) en el mismo año.</v>
      </c>
      <c r="AV11" s="212" t="str">
        <f t="array" ref="AV11">IFERROR(IF(VLOOKUP(LEFT(D11,255),LEFT('Reference Records'!$C$1:$K$724,255),9,0)=0,"",CONCATENATE(VLOOKUP(LEFT(D11,255),LEFT('Reference Records'!$C$1:$K$724,255),9,0),";")),"")</f>
        <v>Non cumulative;</v>
      </c>
      <c r="AW11" s="212" t="str">
        <f>CLEAN(IFERROR(LEFT(AV11, SEARCH(";",AV11,1)-1),""))</f>
        <v>Non cumulative</v>
      </c>
      <c r="AX11" s="212" t="str">
        <f>SUBSTITUTE(IFERROR(MID(AV11, SEARCH(";",AV11) + 1, SEARCH(";",AV11,SEARCH(";",AV11)+1) - SEARCH(";",AV11) - 1),""),CHAR(10),"")</f>
        <v/>
      </c>
      <c r="AY11" s="353" t="str">
        <f>CLEAN(IFERROR(SUBSTITUTE(RIGHT(AV11,LEN(AV11) - SEARCH(";", AV11, SEARCH(";",AV11) + 1)),";",""),""))</f>
        <v/>
      </c>
      <c r="AZ11" s="618" t="str">
        <f>IFERROR(IF(VLOOKUP(B11,'Reference Records'!$F$159:$N$210,9,FALSE)=0,"",VLOOKUP(B11,'Reference Records'!$F$159:$N$210,9,FALSE)),"")</f>
        <v>MCI-00669</v>
      </c>
      <c r="BA11" s="253">
        <f>BA9+1</f>
        <v>845</v>
      </c>
      <c r="BB11" s="428">
        <f>BB9+'update Helper'!$AB$2</f>
        <v>948</v>
      </c>
      <c r="BD11" s="253" t="str">
        <f ca="1">IF(INDIRECT("'update Helper'!S"&amp;BA11)=0,"",IFERROR(VLOOKUP(INDIRECT("'update Helper'!U"&amp;BA11),'Account Role'!A$1:B$15,2,0), IFERROR(VLOOKUP(INDIRECT("'update Helper'!AD"&amp;BA11),'Overview - Section A'!J$26:P$107,7,0),"")))</f>
        <v/>
      </c>
    </row>
    <row r="12" spans="1:56 16369:16370" s="253" customFormat="1" ht="30" customHeight="1" x14ac:dyDescent="0.35">
      <c r="A12" s="728"/>
      <c r="B12" s="730"/>
      <c r="C12" s="675"/>
      <c r="D12" s="675"/>
      <c r="E12" s="675"/>
      <c r="F12" s="202">
        <v>3025</v>
      </c>
      <c r="G12" s="726"/>
      <c r="H12" s="724"/>
      <c r="I12" s="675"/>
      <c r="J12" s="736"/>
      <c r="K12" s="734"/>
      <c r="L12" s="675"/>
      <c r="M12" s="364" t="s">
        <v>312</v>
      </c>
      <c r="N12" s="738"/>
      <c r="O12" s="538"/>
      <c r="P12" s="750"/>
      <c r="Q12" s="703"/>
      <c r="R12" s="533"/>
      <c r="S12" s="755"/>
      <c r="T12" s="697"/>
      <c r="U12" s="533"/>
      <c r="V12" s="750"/>
      <c r="W12" s="724"/>
      <c r="X12" s="202"/>
      <c r="Y12" s="726"/>
      <c r="Z12" s="724"/>
      <c r="AA12" s="202"/>
      <c r="AB12" s="726"/>
      <c r="AC12" s="724"/>
      <c r="AD12" s="202"/>
      <c r="AE12" s="726"/>
      <c r="AF12" s="724"/>
      <c r="AG12" s="202"/>
      <c r="AH12" s="726"/>
      <c r="AI12" s="724"/>
      <c r="AJ12" s="202"/>
      <c r="AK12" s="726"/>
      <c r="AL12" s="724"/>
      <c r="AM12" s="673"/>
      <c r="AN12" s="673"/>
      <c r="AO12" s="544"/>
      <c r="AP12" s="730"/>
      <c r="AV12" s="212"/>
      <c r="AW12" s="212"/>
      <c r="AX12" s="212"/>
      <c r="AY12" s="353"/>
      <c r="AZ12" s="618"/>
      <c r="BB12" s="212"/>
    </row>
    <row r="13" spans="1:56 16369:16370" s="253" customFormat="1" ht="30" customHeight="1" x14ac:dyDescent="0.35">
      <c r="A13" s="727">
        <v>3</v>
      </c>
      <c r="B13" s="674" t="s">
        <v>2996</v>
      </c>
      <c r="C13" s="674" t="s">
        <v>979</v>
      </c>
      <c r="D13" s="674"/>
      <c r="E13" s="674" t="s">
        <v>9459</v>
      </c>
      <c r="F13" s="202">
        <v>19</v>
      </c>
      <c r="G13" s="725">
        <f ca="1">IF(OR(INDIRECT("'update Helper'!D"&amp;BA13)="",F13&lt;&gt;0,F14&lt;&gt;0),IF(IFERROR((F13/F14),"")="","",(F13/F14)),INDIRECT("'update Helper'!D"&amp;BA13)/100)</f>
        <v>2.0787746170678335E-2</v>
      </c>
      <c r="H13" s="723">
        <v>2019</v>
      </c>
      <c r="I13" s="674" t="s">
        <v>9223</v>
      </c>
      <c r="J13" s="735" t="str">
        <f>AQ13</f>
        <v/>
      </c>
      <c r="K13" s="733" t="s">
        <v>439</v>
      </c>
      <c r="L13" s="674" t="s">
        <v>1073</v>
      </c>
      <c r="M13" s="205" t="s">
        <v>1070</v>
      </c>
      <c r="N13" s="737"/>
      <c r="O13" s="202" t="str">
        <f ca="1">IF(A13=INDIRECT("'update Helper'!F"&amp;$BB13),IF(INDIRECT("'update Helper'!K"&amp;BB13)="","",INDIRECT("'update Helper'!K"&amp;BB13)),"")</f>
        <v/>
      </c>
      <c r="P13" s="725">
        <v>0.04</v>
      </c>
      <c r="Q13" s="723"/>
      <c r="R13" s="202"/>
      <c r="S13" s="739"/>
      <c r="T13" s="743" t="s">
        <v>254</v>
      </c>
      <c r="U13" s="542"/>
      <c r="V13" s="739"/>
      <c r="W13" s="743" t="s">
        <v>254</v>
      </c>
      <c r="X13" s="202"/>
      <c r="Y13" s="725" t="str">
        <f ca="1">IF(A13=INDIRECT("'update Helper'!F"&amp;$BB13+3),IF(OR(INDIRECT("'update Helper'!I"&amp;BB13+3)="",X13&lt;&gt;0,X14&lt;&gt;0),IF(IFERROR((X13/X14),"")="","",(X13/X14)),INDIRECT("'update Helper'!I"&amp;BB13+3)/100),"")</f>
        <v/>
      </c>
      <c r="Z13" s="723"/>
      <c r="AA13" s="202"/>
      <c r="AB13" s="725" t="str">
        <f ca="1">IF(A13=INDIRECT("'update Helper'!F"&amp;$BB13+4),IF(OR(INDIRECT("'update Helper'!I"&amp;BB13+4)="",AA13&lt;&gt;0,AA14&lt;&gt;0),IF(IFERROR((AA13/AA14),"")="","",(AA13/AA14)),INDIRECT("'update Helper'!I"&amp;BB13+4)/100),"")</f>
        <v/>
      </c>
      <c r="AC13" s="723"/>
      <c r="AD13" s="202"/>
      <c r="AE13" s="725" t="str">
        <f ca="1">IF(A13=INDIRECT("'update Helper'!F"&amp;$BB13+5),IF(A13=INDIRECT("'update Helper'!F"&amp;$BB13+5),IF(OR(INDIRECT("'update Helper'!I"&amp;BB13+5)="",AD13&lt;&gt;0,AD14&lt;&gt;0),IF(IFERROR((AD13/AD14),"")="","",(AD13/AD14)),INDIRECT("'update Helper'!I"&amp;BB13+5)/100),""),"")</f>
        <v/>
      </c>
      <c r="AF13" s="723"/>
      <c r="AG13" s="202"/>
      <c r="AH13" s="725" t="str">
        <f ca="1">IF(A13=INDIRECT("'update Helper'!F"&amp;$BB13+6),IF(OR(INDIRECT("'update Helper'!I"&amp;BB13+6)="",AG13&lt;&gt;0,AG14&lt;&gt;0),IF(IFERROR((AG13/AG14),"")="","",(AG13/AG14)),INDIRECT("'update Helper'!I"&amp;BB13+6)/100),"")</f>
        <v/>
      </c>
      <c r="AI13" s="723"/>
      <c r="AJ13" s="202"/>
      <c r="AK13" s="725" t="str">
        <f ca="1">IF(A13=INDIRECT("'update Helper'!F"&amp;$BB13+6),IF(OR(INDIRECT("'update Helper'!I"&amp;BB13+7)="",AJ13&lt;&gt;0,AJ14&lt;&gt;0),IF(IFERROR((AJ13/AJ14),"")="","",(AJ13/AJ14)),INDIRECT("'update Helper'!I"&amp;BB13+7)/100),"")</f>
        <v/>
      </c>
      <c r="AL13" s="723"/>
      <c r="AM13" s="729" t="s">
        <v>11239</v>
      </c>
      <c r="AN13" s="672" t="s">
        <v>9458</v>
      </c>
      <c r="AO13" s="672" t="s">
        <v>9223</v>
      </c>
      <c r="AP13" s="729" t="s">
        <v>11246</v>
      </c>
      <c r="AQ13" s="253" t="str">
        <f t="array" ref="AQ13">IFERROR(IF(INDEX('Reference Records'!$D$79:$D$156,MATCH(LEFT(D13,255),LEFT('Reference Records'!$C$79:$C$156,255),0))=0,"",INDEX('Reference Records'!$D$79:$D$156,MATCH(LEFT(D13,255),LEFT('Reference Records'!$C$79:$C$156,255),0))),"")</f>
        <v/>
      </c>
      <c r="AR13" s="196" t="str">
        <f t="array" ref="AR13">VLOOKUP(LEFT(D13,255),LEFT('Reference Records'!C$78:G159,255),4,0)</f>
        <v/>
      </c>
      <c r="AS13" s="196" t="e">
        <f>MATCH(AR13,'Reference Records'!$F$621:$F$699,0)+ROW(PopulationByCoverage)-1</f>
        <v>#N/A</v>
      </c>
      <c r="AT13" s="196" t="e">
        <f>MATCH(AR13,'Reference Records'!$F$621:$F$699,1)+ROW(PopulationByCoverage)-1</f>
        <v>#N/A</v>
      </c>
      <c r="AU13" s="253" t="str">
        <f>D13&amp;E13</f>
        <v>HTS-Other 2 Porcentaje de resultados de VIH positivos entre el total de pruebas de VIH realizadas en personas Trans</v>
      </c>
      <c r="AV13" s="212" t="str">
        <f t="array" ref="AV13">IFERROR(IF(VLOOKUP(LEFT(D13,255),LEFT('Reference Records'!$C$1:$K$724,255),9,0)=0,"",CONCATENATE(VLOOKUP(LEFT(D13,255),LEFT('Reference Records'!$C$1:$K$724,255),9,0),";")),"")</f>
        <v>;</v>
      </c>
      <c r="AW13" s="212" t="str">
        <f>CLEAN(IFERROR(LEFT(AV13, SEARCH(";",AV13,1)-1),""))</f>
        <v/>
      </c>
      <c r="AX13" s="212" t="str">
        <f>SUBSTITUTE(IFERROR(MID(AV13, SEARCH(";",AV13) + 1, SEARCH(";",AV13,SEARCH(";",AV13)+1) - SEARCH(";",AV13) - 1),""),CHAR(10),"")</f>
        <v/>
      </c>
      <c r="AY13" s="353" t="str">
        <f>CLEAN(IFERROR(SUBSTITUTE(RIGHT(AV13,LEN(AV13) - SEARCH(";", AV13, SEARCH(";",AV13) + 1)),";",""),""))</f>
        <v/>
      </c>
      <c r="AZ13" s="618" t="str">
        <f>IFERROR(IF(VLOOKUP(B13,'Reference Records'!$F$159:$N$210,9,FALSE)=0,"",VLOOKUP(B13,'Reference Records'!$F$159:$N$210,9,FALSE)),"")</f>
        <v>MCI-00650</v>
      </c>
      <c r="BA13" s="253">
        <f>BA11+1</f>
        <v>846</v>
      </c>
      <c r="BB13" s="428">
        <f>BB11+'update Helper'!$AB$2</f>
        <v>956</v>
      </c>
      <c r="BD13" s="253" t="str">
        <f ca="1">IF(INDIRECT("'update Helper'!S"&amp;BA13)=0,"",IFERROR(VLOOKUP(INDIRECT("'update Helper'!U"&amp;BA13),'Account Role'!A$1:B$15,2,0), IFERROR(VLOOKUP(INDIRECT("'update Helper'!AD"&amp;BA13),'Overview - Section A'!J$26:P$107,7,0),"")))</f>
        <v/>
      </c>
    </row>
    <row r="14" spans="1:56 16369:16370" s="253" customFormat="1" ht="30" customHeight="1" x14ac:dyDescent="0.35">
      <c r="A14" s="728"/>
      <c r="B14" s="675"/>
      <c r="C14" s="675"/>
      <c r="D14" s="675"/>
      <c r="E14" s="675"/>
      <c r="F14" s="202">
        <v>914</v>
      </c>
      <c r="G14" s="726"/>
      <c r="H14" s="724"/>
      <c r="I14" s="675"/>
      <c r="J14" s="736"/>
      <c r="K14" s="734"/>
      <c r="L14" s="675"/>
      <c r="M14" s="364" t="s">
        <v>312</v>
      </c>
      <c r="N14" s="738"/>
      <c r="O14" s="202" t="str">
        <f ca="1">IF(A13=INDIRECT("'update Helper'!F"&amp;$BB13),IF(INDIRECT("'update Helper'!J"&amp;BB13)=0,"",INDIRECT("'update Helper'!J"&amp;BB13)),"")</f>
        <v/>
      </c>
      <c r="P14" s="726"/>
      <c r="Q14" s="724"/>
      <c r="R14" s="202"/>
      <c r="S14" s="740"/>
      <c r="T14" s="744"/>
      <c r="U14" s="542"/>
      <c r="V14" s="740"/>
      <c r="W14" s="744"/>
      <c r="X14" s="202"/>
      <c r="Y14" s="726"/>
      <c r="Z14" s="724"/>
      <c r="AA14" s="202"/>
      <c r="AB14" s="726"/>
      <c r="AC14" s="724"/>
      <c r="AD14" s="202"/>
      <c r="AE14" s="726"/>
      <c r="AF14" s="724"/>
      <c r="AG14" s="202"/>
      <c r="AH14" s="726"/>
      <c r="AI14" s="724"/>
      <c r="AJ14" s="202"/>
      <c r="AK14" s="726"/>
      <c r="AL14" s="724"/>
      <c r="AM14" s="730"/>
      <c r="AN14" s="673"/>
      <c r="AO14" s="673"/>
      <c r="AP14" s="730"/>
      <c r="AV14" s="212"/>
      <c r="AW14" s="212"/>
      <c r="AX14" s="212"/>
      <c r="AY14" s="353"/>
      <c r="AZ14" s="618"/>
      <c r="BB14" s="212"/>
    </row>
    <row r="15" spans="1:56 16369:16370" s="253" customFormat="1" ht="30" customHeight="1" x14ac:dyDescent="0.35">
      <c r="A15" s="727">
        <v>4</v>
      </c>
      <c r="B15" s="729" t="s">
        <v>3006</v>
      </c>
      <c r="C15" s="674" t="s">
        <v>979</v>
      </c>
      <c r="D15" s="674" t="s">
        <v>2453</v>
      </c>
      <c r="E15" s="674"/>
      <c r="F15" s="202">
        <v>21</v>
      </c>
      <c r="G15" s="725" t="str">
        <f ca="1">IF(OR(INDIRECT("'update Helper'!D"&amp;BA15)="",F15&lt;&gt;0,F16&lt;&gt;0),IF(IFERROR((F15/F16),"")="","",(F15/F16)),INDIRECT("'update Helper'!D"&amp;BA15)/100)</f>
        <v/>
      </c>
      <c r="H15" s="723">
        <v>2019</v>
      </c>
      <c r="I15" s="674" t="s">
        <v>9462</v>
      </c>
      <c r="J15" s="735" t="str">
        <f>AQ15</f>
        <v>Edad,Género,Tipo de tratamiento</v>
      </c>
      <c r="K15" s="733" t="s">
        <v>439</v>
      </c>
      <c r="L15" s="674" t="s">
        <v>1073</v>
      </c>
      <c r="M15" s="205" t="s">
        <v>1070</v>
      </c>
      <c r="N15" s="737"/>
      <c r="O15" s="202">
        <f>2080*0.02</f>
        <v>41.6</v>
      </c>
      <c r="P15" s="725" t="str">
        <f ca="1">IF(OR(INDIRECT("'update Helper'!I"&amp;BB15)="",O15&lt;&gt;0,O16&lt;&gt;0),IF(IFERROR((O15/O16),"")="","",(O15/O16)),INDIRECT("'update Helper'!I"&amp;BB15)/100)</f>
        <v/>
      </c>
      <c r="Q15" s="723"/>
      <c r="R15" s="202">
        <f>1940*0.02</f>
        <v>38.800000000000004</v>
      </c>
      <c r="S15" s="725" t="str">
        <f ca="1">IF(OR(INDIRECT("'update Helper'!I"&amp;BB15+1)="",R15&lt;&gt;0,R16&lt;&gt;0),IF(IFERROR((R15/R16),"")="","",(R15/R16)),INDIRECT("'update Helper'!I"&amp;BB15+1)/100)</f>
        <v/>
      </c>
      <c r="T15" s="723"/>
      <c r="U15" s="202">
        <f>1785*0.02</f>
        <v>35.700000000000003</v>
      </c>
      <c r="V15" s="725" t="str">
        <f ca="1">IF(OR(INDIRECT("'update Helper'!I"&amp;BB15+2)="",U15&lt;&gt;0,U16&lt;&gt;0),IF(IFERROR((U15/U16),"")="","",(U15/U16)),INDIRECT("'update Helper'!I"&amp;BB15+2)/100)</f>
        <v/>
      </c>
      <c r="W15" s="723"/>
      <c r="X15" s="202"/>
      <c r="Y15" s="725" t="str">
        <f ca="1">IF(A15=INDIRECT("'update Helper'!F"&amp;$BB15+3),IF(OR(INDIRECT("'update Helper'!I"&amp;BB15+3)="",X15&lt;&gt;0,X16&lt;&gt;0),IF(IFERROR((X15/X16),"")="","",(X15/X16)),INDIRECT("'update Helper'!I"&amp;BB15+3)/100),"")</f>
        <v/>
      </c>
      <c r="Z15" s="723"/>
      <c r="AA15" s="202"/>
      <c r="AB15" s="725" t="str">
        <f ca="1">IF(A15=INDIRECT("'update Helper'!F"&amp;$BB15+4),IF(OR(INDIRECT("'update Helper'!I"&amp;BB15+4)="",AA15&lt;&gt;0,AA16&lt;&gt;0),IF(IFERROR((AA15/AA16),"")="","",(AA15/AA16)),INDIRECT("'update Helper'!I"&amp;BB15+4)/100),"")</f>
        <v/>
      </c>
      <c r="AC15" s="723"/>
      <c r="AD15" s="202"/>
      <c r="AE15" s="725" t="str">
        <f ca="1">IF(A15=INDIRECT("'update Helper'!F"&amp;$BB15+5),IF(A15=INDIRECT("'update Helper'!F"&amp;$BB15+5),IF(OR(INDIRECT("'update Helper'!I"&amp;BB15+5)="",AD15&lt;&gt;0,AD16&lt;&gt;0),IF(IFERROR((AD15/AD16),"")="","",(AD15/AD16)),INDIRECT("'update Helper'!I"&amp;BB15+5)/100),""),"")</f>
        <v/>
      </c>
      <c r="AF15" s="723"/>
      <c r="AG15" s="202"/>
      <c r="AH15" s="725" t="str">
        <f ca="1">IF(A15=INDIRECT("'update Helper'!F"&amp;$BB15+6),IF(OR(INDIRECT("'update Helper'!I"&amp;BB15+6)="",AG15&lt;&gt;0,AG16&lt;&gt;0),IF(IFERROR((AG15/AG16),"")="","",(AG15/AG16)),INDIRECT("'update Helper'!I"&amp;BB15+6)/100),"")</f>
        <v/>
      </c>
      <c r="AI15" s="723"/>
      <c r="AJ15" s="202"/>
      <c r="AK15" s="725" t="str">
        <f ca="1">IF(A15=INDIRECT("'update Helper'!F"&amp;$BB15+6),IF(OR(INDIRECT("'update Helper'!I"&amp;BB15+7)="",AJ15&lt;&gt;0,AJ16&lt;&gt;0),IF(IFERROR((AJ15/AJ16),"")="","",(AJ15/AJ16)),INDIRECT("'update Helper'!I"&amp;BB15+7)/100),"")</f>
        <v/>
      </c>
      <c r="AL15" s="723"/>
      <c r="AM15" s="721" t="s">
        <v>11250</v>
      </c>
      <c r="AN15" s="672"/>
      <c r="AO15" s="672" t="s">
        <v>9462</v>
      </c>
      <c r="AP15" s="729" t="s">
        <v>11249</v>
      </c>
      <c r="AQ15" s="253" t="str">
        <f t="array" ref="AQ15">IFERROR(IF(INDEX('Reference Records'!$D$79:$D$156,MATCH(LEFT(D15,255),LEFT('Reference Records'!$C$79:$C$156,255),0))=0,"",INDEX('Reference Records'!$D$79:$D$156,MATCH(LEFT(D15,255),LEFT('Reference Records'!$C$79:$C$156,255),0))),"")</f>
        <v>Edad,Género,Tipo de tratamiento</v>
      </c>
      <c r="AR15" s="196" t="str">
        <f t="array" ref="AR15">VLOOKUP(LEFT(D15,255),LEFT('Reference Records'!C$78:G204,255),4,0)</f>
        <v>MCI-01087</v>
      </c>
      <c r="AS15" s="196">
        <f>MATCH(AR15,'Reference Records'!$F$621:$F$699,0)+ROW(PopulationByCoverage)-1</f>
        <v>666</v>
      </c>
      <c r="AT15" s="196">
        <f>MATCH(AR15,'Reference Records'!$F$621:$F$699,1)+ROW(PopulationByCoverage)-1</f>
        <v>666</v>
      </c>
      <c r="AU15" s="253" t="str">
        <f>D15&amp;E15</f>
        <v>MDR TB-3⁽ᴹ⁾ Número de casos de tuberculosis resistente a la rifampicina y/o multirresistente que empezaron a recibir tratamiento de segunda línea.</v>
      </c>
      <c r="AV15" s="212" t="str">
        <f t="array" ref="AV15">IFERROR(IF(VLOOKUP(LEFT(D15,255),LEFT('Reference Records'!$C$1:$K$724,255),9,0)=0,"",CONCATENATE(VLOOKUP(LEFT(D15,255),LEFT('Reference Records'!$C$1:$K$724,255),9,0),";")),"")</f>
        <v>Non cumulative;</v>
      </c>
      <c r="AW15" s="212" t="str">
        <f>CLEAN(IFERROR(LEFT(AV15, SEARCH(";",AV15,1)-1),""))</f>
        <v>Non cumulative</v>
      </c>
      <c r="AX15" s="212" t="str">
        <f>SUBSTITUTE(IFERROR(MID(AV15, SEARCH(";",AV15) + 1, SEARCH(";",AV15,SEARCH(";",AV15)+1) - SEARCH(";",AV15) - 1),""),CHAR(10),"")</f>
        <v/>
      </c>
      <c r="AY15" s="353" t="str">
        <f>CLEAN(IFERROR(SUBSTITUTE(RIGHT(AV15,LEN(AV15) - SEARCH(";", AV15, SEARCH(";",AV15) + 1)),";",""),""))</f>
        <v/>
      </c>
      <c r="AZ15" s="618" t="str">
        <f>IFERROR(IF(VLOOKUP(B15,'Reference Records'!$F$159:$N$210,9,FALSE)=0,"",VLOOKUP(B15,'Reference Records'!$F$159:$N$210,9,FALSE)),"")</f>
        <v>MCI-00669</v>
      </c>
      <c r="BA15" s="253">
        <f>BA13+1</f>
        <v>847</v>
      </c>
      <c r="BB15" s="428">
        <f>BB13+'update Helper'!$AB$2</f>
        <v>964</v>
      </c>
      <c r="BD15" s="253" t="str">
        <f ca="1">IF(INDIRECT("'update Helper'!S"&amp;BA15)=0,"",IFERROR(VLOOKUP(INDIRECT("'update Helper'!U"&amp;BA15),'Account Role'!A$1:B$15,2,0), IFERROR(VLOOKUP(INDIRECT("'update Helper'!AD"&amp;BA15),'Overview - Section A'!J$26:P$107,7,0),"")))</f>
        <v/>
      </c>
    </row>
    <row r="16" spans="1:56 16369:16370" s="253" customFormat="1" ht="30" customHeight="1" x14ac:dyDescent="0.35">
      <c r="A16" s="728"/>
      <c r="B16" s="730"/>
      <c r="C16" s="675"/>
      <c r="D16" s="675"/>
      <c r="E16" s="675"/>
      <c r="F16" s="202"/>
      <c r="G16" s="726"/>
      <c r="H16" s="724"/>
      <c r="I16" s="675"/>
      <c r="J16" s="736"/>
      <c r="K16" s="734"/>
      <c r="L16" s="675"/>
      <c r="M16" s="364" t="s">
        <v>312</v>
      </c>
      <c r="N16" s="738"/>
      <c r="O16" s="202" t="str">
        <f ca="1">IF(A15=INDIRECT("'update Helper'!F"&amp;$BB15),IF(INDIRECT("'update Helper'!J"&amp;BB15)=0,"",INDIRECT("'update Helper'!J"&amp;BB15)),"")</f>
        <v/>
      </c>
      <c r="P16" s="726"/>
      <c r="Q16" s="724"/>
      <c r="R16" s="202"/>
      <c r="S16" s="726"/>
      <c r="T16" s="724"/>
      <c r="U16" s="202"/>
      <c r="V16" s="726"/>
      <c r="W16" s="724"/>
      <c r="X16" s="202"/>
      <c r="Y16" s="726"/>
      <c r="Z16" s="724"/>
      <c r="AA16" s="202"/>
      <c r="AB16" s="726"/>
      <c r="AC16" s="724"/>
      <c r="AD16" s="202"/>
      <c r="AE16" s="726"/>
      <c r="AF16" s="724"/>
      <c r="AG16" s="202"/>
      <c r="AH16" s="726"/>
      <c r="AI16" s="724"/>
      <c r="AJ16" s="202"/>
      <c r="AK16" s="726"/>
      <c r="AL16" s="724"/>
      <c r="AM16" s="673"/>
      <c r="AN16" s="673"/>
      <c r="AO16" s="673"/>
      <c r="AP16" s="730"/>
      <c r="AV16" s="212"/>
      <c r="AW16" s="212"/>
      <c r="AX16" s="212"/>
      <c r="AY16" s="353"/>
      <c r="AZ16" s="618"/>
      <c r="BB16" s="212"/>
    </row>
    <row r="17" spans="1:56" s="253" customFormat="1" ht="30" customHeight="1" x14ac:dyDescent="0.35">
      <c r="A17" s="727">
        <v>5</v>
      </c>
      <c r="B17" s="674" t="s">
        <v>2996</v>
      </c>
      <c r="C17" s="674" t="s">
        <v>979</v>
      </c>
      <c r="D17" s="674"/>
      <c r="E17" s="674" t="s">
        <v>9468</v>
      </c>
      <c r="F17" s="202">
        <v>17</v>
      </c>
      <c r="G17" s="725">
        <f ca="1">IF(OR(INDIRECT("'update Helper'!D"&amp;BA17)="",F17&lt;&gt;0,F18&lt;&gt;0),IF(IFERROR((F17/F18),"")="","",(F17/F18)),INDIRECT("'update Helper'!D"&amp;BA17)/100)</f>
        <v>2.388311323405451E-3</v>
      </c>
      <c r="H17" s="723">
        <v>2019</v>
      </c>
      <c r="I17" s="674" t="s">
        <v>9223</v>
      </c>
      <c r="J17" s="735" t="str">
        <f>AQ17</f>
        <v/>
      </c>
      <c r="K17" s="733" t="s">
        <v>439</v>
      </c>
      <c r="L17" s="674" t="s">
        <v>1073</v>
      </c>
      <c r="M17" s="205" t="s">
        <v>1070</v>
      </c>
      <c r="N17" s="737"/>
      <c r="O17" s="202" t="str">
        <f ca="1">IF(A17=INDIRECT("'update Helper'!F"&amp;$BB17),IF(INDIRECT("'update Helper'!K"&amp;BB17)="","",INDIRECT("'update Helper'!K"&amp;BB17)),"")</f>
        <v/>
      </c>
      <c r="P17" s="725">
        <v>9.4000000000000004E-3</v>
      </c>
      <c r="Q17" s="723"/>
      <c r="R17" s="202"/>
      <c r="S17" s="739"/>
      <c r="T17" s="743" t="s">
        <v>254</v>
      </c>
      <c r="U17" s="542"/>
      <c r="V17" s="739"/>
      <c r="W17" s="743" t="s">
        <v>254</v>
      </c>
      <c r="X17" s="542"/>
      <c r="Y17" s="725" t="str">
        <f ca="1">IF(A17=INDIRECT("'update Helper'!F"&amp;$BB17+3),IF(OR(INDIRECT("'update Helper'!I"&amp;BB17+3)="",X17&lt;&gt;0,X18&lt;&gt;0),IF(IFERROR((X17/X18),"")="","",(X17/X18)),INDIRECT("'update Helper'!I"&amp;BB17+3)/100),"")</f>
        <v/>
      </c>
      <c r="Z17" s="723"/>
      <c r="AA17" s="202"/>
      <c r="AB17" s="725" t="str">
        <f ca="1">IF(A17=INDIRECT("'update Helper'!F"&amp;$BB17+4),IF(OR(INDIRECT("'update Helper'!I"&amp;BB17+4)="",AA17&lt;&gt;0,AA18&lt;&gt;0),IF(IFERROR((AA17/AA18),"")="","",(AA17/AA18)),INDIRECT("'update Helper'!I"&amp;BB17+4)/100),"")</f>
        <v/>
      </c>
      <c r="AC17" s="723"/>
      <c r="AD17" s="202"/>
      <c r="AE17" s="725" t="str">
        <f ca="1">IF(A17=INDIRECT("'update Helper'!F"&amp;$BB17+5),IF(A17=INDIRECT("'update Helper'!F"&amp;$BB17+5),IF(OR(INDIRECT("'update Helper'!I"&amp;BB17+5)="",AD17&lt;&gt;0,AD18&lt;&gt;0),IF(IFERROR((AD17/AD18),"")="","",(AD17/AD18)),INDIRECT("'update Helper'!I"&amp;BB17+5)/100),""),"")</f>
        <v/>
      </c>
      <c r="AF17" s="723"/>
      <c r="AG17" s="202"/>
      <c r="AH17" s="725" t="str">
        <f ca="1">IF(A17=INDIRECT("'update Helper'!F"&amp;$BB17+6),IF(OR(INDIRECT("'update Helper'!I"&amp;BB17+6)="",AG17&lt;&gt;0,AG18&lt;&gt;0),IF(IFERROR((AG17/AG18),"")="","",(AG17/AG18)),INDIRECT("'update Helper'!I"&amp;BB17+6)/100),"")</f>
        <v/>
      </c>
      <c r="AI17" s="723"/>
      <c r="AJ17" s="202"/>
      <c r="AK17" s="725" t="str">
        <f ca="1">IF(A17=INDIRECT("'update Helper'!F"&amp;$BB17+6),IF(OR(INDIRECT("'update Helper'!I"&amp;BB17+7)="",AJ17&lt;&gt;0,AJ18&lt;&gt;0),IF(IFERROR((AJ17/AJ18),"")="","",(AJ17/AJ18)),INDIRECT("'update Helper'!I"&amp;BB17+7)/100),"")</f>
        <v/>
      </c>
      <c r="AL17" s="723"/>
      <c r="AM17" s="729" t="s">
        <v>11240</v>
      </c>
      <c r="AN17" s="672" t="s">
        <v>9467</v>
      </c>
      <c r="AO17" s="672" t="s">
        <v>9223</v>
      </c>
      <c r="AP17" s="729" t="s">
        <v>11235</v>
      </c>
      <c r="AQ17" s="253" t="str">
        <f t="array" ref="AQ17">IFERROR(IF(INDEX('Reference Records'!$D$79:$D$156,MATCH(LEFT(D17,255),LEFT('Reference Records'!$C$79:$C$156,255),0))=0,"",INDEX('Reference Records'!$D$79:$D$156,MATCH(LEFT(D17,255),LEFT('Reference Records'!$C$79:$C$156,255),0))),"")</f>
        <v/>
      </c>
      <c r="AR17" s="196" t="str">
        <f t="array" ref="AR17">VLOOKUP(LEFT(D17,255),LEFT('Reference Records'!C$78:G206,255),4,0)</f>
        <v/>
      </c>
      <c r="AS17" s="196" t="e">
        <f>MATCH(AR17,'Reference Records'!$F$621:$F$699,0)+ROW(PopulationByCoverage)-1</f>
        <v>#N/A</v>
      </c>
      <c r="AT17" s="196" t="e">
        <f>MATCH(AR17,'Reference Records'!$F$621:$F$699,1)+ROW(PopulationByCoverage)-1</f>
        <v>#N/A</v>
      </c>
      <c r="AU17" s="253" t="str">
        <f>D17&amp;E17</f>
        <v>HTS-Other 3 Porcentaje de resultados de VIH positivos entre el total de pruebas de VIH realizadas en trabajadoras sexuales</v>
      </c>
      <c r="AV17" s="212" t="str">
        <f t="array" ref="AV17">IFERROR(IF(VLOOKUP(LEFT(D17,255),LEFT('Reference Records'!$C$1:$K$724,255),9,0)=0,"",CONCATENATE(VLOOKUP(LEFT(D17,255),LEFT('Reference Records'!$C$1:$K$724,255),9,0),";")),"")</f>
        <v>;</v>
      </c>
      <c r="AW17" s="212" t="str">
        <f>CLEAN(IFERROR(LEFT(AV17, SEARCH(";",AV17,1)-1),""))</f>
        <v/>
      </c>
      <c r="AX17" s="212" t="str">
        <f>SUBSTITUTE(IFERROR(MID(AV17, SEARCH(";",AV17) + 1, SEARCH(";",AV17,SEARCH(";",AV17)+1) - SEARCH(";",AV17) - 1),""),CHAR(10),"")</f>
        <v/>
      </c>
      <c r="AY17" s="353" t="str">
        <f>CLEAN(IFERROR(SUBSTITUTE(RIGHT(AV17,LEN(AV17) - SEARCH(";", AV17, SEARCH(";",AV17) + 1)),";",""),""))</f>
        <v/>
      </c>
      <c r="AZ17" s="618" t="str">
        <f>IFERROR(IF(VLOOKUP(B17,'Reference Records'!$F$159:$N$210,9,FALSE)=0,"",VLOOKUP(B17,'Reference Records'!$F$159:$N$210,9,FALSE)),"")</f>
        <v>MCI-00650</v>
      </c>
      <c r="BA17" s="253">
        <f>BA15+1</f>
        <v>848</v>
      </c>
      <c r="BB17" s="428">
        <f>BB15+'update Helper'!$AB$2</f>
        <v>972</v>
      </c>
      <c r="BD17" s="253" t="str">
        <f ca="1">IF(INDIRECT("'update Helper'!S"&amp;BA17)=0,"",IFERROR(VLOOKUP(INDIRECT("'update Helper'!U"&amp;BA17),'Account Role'!A$1:B$15,2,0), IFERROR(VLOOKUP(INDIRECT("'update Helper'!AD"&amp;BA17),'Overview - Section A'!J$26:P$107,7,0),"")))</f>
        <v/>
      </c>
    </row>
    <row r="18" spans="1:56" s="253" customFormat="1" ht="30" customHeight="1" x14ac:dyDescent="0.35">
      <c r="A18" s="728"/>
      <c r="B18" s="675"/>
      <c r="C18" s="675"/>
      <c r="D18" s="675"/>
      <c r="E18" s="675"/>
      <c r="F18" s="202">
        <v>7118</v>
      </c>
      <c r="G18" s="726"/>
      <c r="H18" s="724"/>
      <c r="I18" s="675"/>
      <c r="J18" s="736"/>
      <c r="K18" s="734"/>
      <c r="L18" s="675"/>
      <c r="M18" s="364" t="s">
        <v>312</v>
      </c>
      <c r="N18" s="738"/>
      <c r="O18" s="202" t="str">
        <f ca="1">IF(A17=INDIRECT("'update Helper'!F"&amp;$BB17),IF(INDIRECT("'update Helper'!J"&amp;BB17)=0,"",INDIRECT("'update Helper'!J"&amp;BB17)),"")</f>
        <v/>
      </c>
      <c r="P18" s="726"/>
      <c r="Q18" s="724"/>
      <c r="R18" s="202"/>
      <c r="S18" s="740"/>
      <c r="T18" s="744"/>
      <c r="U18" s="542"/>
      <c r="V18" s="740"/>
      <c r="W18" s="744"/>
      <c r="X18" s="542"/>
      <c r="Y18" s="726"/>
      <c r="Z18" s="724"/>
      <c r="AA18" s="202"/>
      <c r="AB18" s="726"/>
      <c r="AC18" s="724"/>
      <c r="AD18" s="202"/>
      <c r="AE18" s="726"/>
      <c r="AF18" s="724"/>
      <c r="AG18" s="202"/>
      <c r="AH18" s="726"/>
      <c r="AI18" s="724"/>
      <c r="AJ18" s="202"/>
      <c r="AK18" s="726"/>
      <c r="AL18" s="724"/>
      <c r="AM18" s="730"/>
      <c r="AN18" s="673"/>
      <c r="AO18" s="673"/>
      <c r="AP18" s="730"/>
      <c r="AV18" s="212"/>
      <c r="AW18" s="212"/>
      <c r="AX18" s="212"/>
      <c r="AY18" s="353"/>
      <c r="AZ18" s="618"/>
      <c r="BB18" s="212"/>
    </row>
    <row r="19" spans="1:56" s="253" customFormat="1" ht="30" customHeight="1" x14ac:dyDescent="0.35">
      <c r="A19" s="727">
        <v>6</v>
      </c>
      <c r="B19" s="729" t="s">
        <v>3006</v>
      </c>
      <c r="C19" s="674" t="s">
        <v>979</v>
      </c>
      <c r="D19" s="674" t="s">
        <v>3270</v>
      </c>
      <c r="E19" s="674"/>
      <c r="F19" s="202">
        <v>1328</v>
      </c>
      <c r="G19" s="725" t="str">
        <f ca="1">IF(OR(INDIRECT("'update Helper'!D"&amp;BA19)="",F19&lt;&gt;0,F20&lt;&gt;0),IF(IFERROR((F19/F20),"")="","",(F19/F20)),INDIRECT("'update Helper'!D"&amp;BA19)/100)</f>
        <v/>
      </c>
      <c r="H19" s="723">
        <v>2019</v>
      </c>
      <c r="I19" s="674" t="s">
        <v>9473</v>
      </c>
      <c r="J19" s="735" t="str">
        <f>AQ19</f>
        <v/>
      </c>
      <c r="K19" s="733" t="s">
        <v>439</v>
      </c>
      <c r="L19" s="674" t="s">
        <v>1073</v>
      </c>
      <c r="M19" s="205" t="s">
        <v>1070</v>
      </c>
      <c r="N19" s="737"/>
      <c r="O19" s="202">
        <v>728</v>
      </c>
      <c r="P19" s="725" t="str">
        <f ca="1">IF(OR(INDIRECT("'update Helper'!I"&amp;BB19)="",O19&lt;&gt;0,O20&lt;&gt;0),IF(IFERROR((O19/O20),"")="","",(O19/O20)),INDIRECT("'update Helper'!I"&amp;BB19)/100)</f>
        <v/>
      </c>
      <c r="Q19" s="723"/>
      <c r="R19" s="202">
        <v>582</v>
      </c>
      <c r="S19" s="725" t="str">
        <f ca="1">IF(OR(INDIRECT("'update Helper'!I"&amp;BB19+1)="",R19&lt;&gt;0,R20&lt;&gt;0),IF(IFERROR((R19/R20),"")="","",(R19/R20)),INDIRECT("'update Helper'!I"&amp;BB19+1)/100)</f>
        <v/>
      </c>
      <c r="T19" s="723"/>
      <c r="U19" s="202">
        <v>446</v>
      </c>
      <c r="V19" s="725" t="str">
        <f ca="1">IF(OR(INDIRECT("'update Helper'!I"&amp;BB19+2)="",U19&lt;&gt;0,U20&lt;&gt;0),IF(IFERROR((U19/U20),"")="","",(U19/U20)),INDIRECT("'update Helper'!I"&amp;BB19+2)/100)</f>
        <v/>
      </c>
      <c r="W19" s="723"/>
      <c r="X19" s="202"/>
      <c r="Y19" s="725" t="str">
        <f ca="1">IF(A19=INDIRECT("'update Helper'!F"&amp;$BB19+3),IF(OR(INDIRECT("'update Helper'!I"&amp;BB19+3)="",X19&lt;&gt;0,X20&lt;&gt;0),IF(IFERROR((X19/X20),"")="","",(X19/X20)),INDIRECT("'update Helper'!I"&amp;BB19+3)/100),"")</f>
        <v/>
      </c>
      <c r="Z19" s="723"/>
      <c r="AA19" s="202"/>
      <c r="AB19" s="725" t="str">
        <f ca="1">IF(A19=INDIRECT("'update Helper'!F"&amp;$BB19+4),IF(OR(INDIRECT("'update Helper'!I"&amp;BB19+4)="",AA19&lt;&gt;0,AA20&lt;&gt;0),IF(IFERROR((AA19/AA20),"")="","",(AA19/AA20)),INDIRECT("'update Helper'!I"&amp;BB19+4)/100),"")</f>
        <v/>
      </c>
      <c r="AC19" s="723"/>
      <c r="AD19" s="202"/>
      <c r="AE19" s="725" t="str">
        <f ca="1">IF(A19=INDIRECT("'update Helper'!F"&amp;$BB19+5),IF(A19=INDIRECT("'update Helper'!F"&amp;$BB19+5),IF(OR(INDIRECT("'update Helper'!I"&amp;BB19+5)="",AD19&lt;&gt;0,AD20&lt;&gt;0),IF(IFERROR((AD19/AD20),"")="","",(AD19/AD20)),INDIRECT("'update Helper'!I"&amp;BB19+5)/100),""),"")</f>
        <v/>
      </c>
      <c r="AF19" s="723"/>
      <c r="AG19" s="202"/>
      <c r="AH19" s="725" t="str">
        <f ca="1">IF(A19=INDIRECT("'update Helper'!F"&amp;$BB19+6),IF(OR(INDIRECT("'update Helper'!I"&amp;BB19+6)="",AG19&lt;&gt;0,AG20&lt;&gt;0),IF(IFERROR((AG19/AG20),"")="","",(AG19/AG20)),INDIRECT("'update Helper'!I"&amp;BB19+6)/100),"")</f>
        <v/>
      </c>
      <c r="AI19" s="723"/>
      <c r="AJ19" s="202"/>
      <c r="AK19" s="725" t="str">
        <f ca="1">IF(A19=INDIRECT("'update Helper'!F"&amp;$BB19+6),IF(OR(INDIRECT("'update Helper'!I"&amp;BB19+7)="",AJ19&lt;&gt;0,AJ20&lt;&gt;0),IF(IFERROR((AJ19/AJ20),"")="","",(AJ19/AJ20)),INDIRECT("'update Helper'!I"&amp;BB19+7)/100),"")</f>
        <v/>
      </c>
      <c r="AL19" s="723"/>
      <c r="AM19" s="672" t="s">
        <v>11242</v>
      </c>
      <c r="AN19" s="672"/>
      <c r="AO19" s="672" t="s">
        <v>9471</v>
      </c>
      <c r="AP19" s="943" t="s">
        <v>11251</v>
      </c>
      <c r="AQ19" s="253" t="str">
        <f t="array" ref="AQ19">IFERROR(IF(INDEX('Reference Records'!$D$79:$D$156,MATCH(LEFT(D19,255),LEFT('Reference Records'!$C$79:$C$156,255),0))=0,"",INDEX('Reference Records'!$D$79:$D$156,MATCH(LEFT(D19,255),LEFT('Reference Records'!$C$79:$C$156,255),0))),"")</f>
        <v/>
      </c>
      <c r="AR19" s="196" t="str">
        <f t="array" ref="AR19">VLOOKUP(LEFT(D19,255),LEFT('Reference Records'!C$78:G208,255),4,0)</f>
        <v>MCI-01080</v>
      </c>
      <c r="AS19" s="196">
        <f>MATCH(AR19,'Reference Records'!$F$621:$F$699,0)+ROW(PopulationByCoverage)-1</f>
        <v>659</v>
      </c>
      <c r="AT19" s="196">
        <f>MATCH(AR19,'Reference Records'!$F$621:$F$699,1)+ROW(PopulationByCoverage)-1</f>
        <v>659</v>
      </c>
      <c r="AU19" s="253" t="str">
        <f>D19&amp;E19</f>
        <v>TCP-6a Número de casos de tuberculosis (en todas sus formas) notificados entre reclusos.</v>
      </c>
      <c r="AV19" s="212" t="str">
        <f t="array" ref="AV19">IFERROR(IF(VLOOKUP(LEFT(D19,255),LEFT('Reference Records'!$C$1:$K$724,255),9,0)=0,"",CONCATENATE(VLOOKUP(LEFT(D19,255),LEFT('Reference Records'!$C$1:$K$724,255),9,0),";")),"")</f>
        <v>Non cumulative;</v>
      </c>
      <c r="AW19" s="212" t="str">
        <f>CLEAN(IFERROR(LEFT(AV19, SEARCH(";",AV19,1)-1),""))</f>
        <v>Non cumulative</v>
      </c>
      <c r="AX19" s="212" t="str">
        <f>SUBSTITUTE(IFERROR(MID(AV19, SEARCH(";",AV19) + 1, SEARCH(";",AV19,SEARCH(";",AV19)+1) - SEARCH(";",AV19) - 1),""),CHAR(10),"")</f>
        <v/>
      </c>
      <c r="AY19" s="353" t="str">
        <f>CLEAN(IFERROR(SUBSTITUTE(RIGHT(AV19,LEN(AV19) - SEARCH(";", AV19, SEARCH(";",AV19) + 1)),";",""),""))</f>
        <v/>
      </c>
      <c r="AZ19" s="618" t="str">
        <f>IFERROR(IF(VLOOKUP(B19,'Reference Records'!$F$159:$N$210,9,FALSE)=0,"",VLOOKUP(B19,'Reference Records'!$F$159:$N$210,9,FALSE)),"")</f>
        <v>MCI-00669</v>
      </c>
      <c r="BA19" s="253">
        <f>BA17+1</f>
        <v>849</v>
      </c>
      <c r="BB19" s="428">
        <f>BB17+'update Helper'!$AB$2</f>
        <v>980</v>
      </c>
      <c r="BD19" s="253" t="str">
        <f ca="1">IF(INDIRECT("'update Helper'!S"&amp;BA19)=0,"",IFERROR(VLOOKUP(INDIRECT("'update Helper'!U"&amp;BA19),'Account Role'!A$1:B$15,2,0), IFERROR(VLOOKUP(INDIRECT("'update Helper'!AD"&amp;BA19),'Overview - Section A'!J$26:P$107,7,0),"")))</f>
        <v/>
      </c>
    </row>
    <row r="20" spans="1:56" s="253" customFormat="1" ht="30" customHeight="1" x14ac:dyDescent="0.35">
      <c r="A20" s="728"/>
      <c r="B20" s="730"/>
      <c r="C20" s="675"/>
      <c r="D20" s="675"/>
      <c r="E20" s="675"/>
      <c r="F20" s="202"/>
      <c r="G20" s="726"/>
      <c r="H20" s="724"/>
      <c r="I20" s="675"/>
      <c r="J20" s="736"/>
      <c r="K20" s="734"/>
      <c r="L20" s="675"/>
      <c r="M20" s="364" t="s">
        <v>312</v>
      </c>
      <c r="N20" s="738"/>
      <c r="O20" s="202" t="str">
        <f ca="1">IF(A19=INDIRECT("'update Helper'!F"&amp;$BB19),IF(INDIRECT("'update Helper'!J"&amp;BB19)=0,"",INDIRECT("'update Helper'!J"&amp;BB19)),"")</f>
        <v/>
      </c>
      <c r="P20" s="726"/>
      <c r="Q20" s="724"/>
      <c r="R20" s="202"/>
      <c r="S20" s="726"/>
      <c r="T20" s="724"/>
      <c r="U20" s="202"/>
      <c r="V20" s="726"/>
      <c r="W20" s="724"/>
      <c r="X20" s="202"/>
      <c r="Y20" s="726"/>
      <c r="Z20" s="724"/>
      <c r="AA20" s="202"/>
      <c r="AB20" s="726"/>
      <c r="AC20" s="724"/>
      <c r="AD20" s="202"/>
      <c r="AE20" s="726"/>
      <c r="AF20" s="724"/>
      <c r="AG20" s="202"/>
      <c r="AH20" s="726"/>
      <c r="AI20" s="724"/>
      <c r="AJ20" s="202"/>
      <c r="AK20" s="726"/>
      <c r="AL20" s="724"/>
      <c r="AM20" s="673"/>
      <c r="AN20" s="673"/>
      <c r="AO20" s="673"/>
      <c r="AP20" s="944"/>
      <c r="AV20" s="212"/>
      <c r="AW20" s="212"/>
      <c r="AX20" s="212"/>
      <c r="AY20" s="353"/>
      <c r="AZ20" s="618"/>
      <c r="BB20" s="212"/>
    </row>
    <row r="21" spans="1:56" s="253" customFormat="1" ht="30" customHeight="1" x14ac:dyDescent="0.35">
      <c r="A21" s="727">
        <v>7</v>
      </c>
      <c r="B21" s="674" t="s">
        <v>3020</v>
      </c>
      <c r="C21" s="674" t="s">
        <v>1856</v>
      </c>
      <c r="D21" s="674" t="s">
        <v>2000</v>
      </c>
      <c r="E21" s="674"/>
      <c r="F21" s="202">
        <v>24606</v>
      </c>
      <c r="G21" s="725">
        <f ca="1">IF(OR(INDIRECT("'update Helper'!D"&amp;BA21)="",F21&lt;&gt;0,F22&lt;&gt;0),IF(IFERROR((F21/F22),"")="","",(F21/F22)),INDIRECT("'update Helper'!D"&amp;BA21)/100)</f>
        <v>0.45448836350203176</v>
      </c>
      <c r="H21" s="723">
        <v>2019</v>
      </c>
      <c r="I21" s="674" t="s">
        <v>9476</v>
      </c>
      <c r="J21" s="735" t="str">
        <f>AQ21</f>
        <v>Edad</v>
      </c>
      <c r="K21" s="733" t="s">
        <v>281</v>
      </c>
      <c r="L21" s="674" t="s">
        <v>1073</v>
      </c>
      <c r="M21" s="205" t="s">
        <v>1070</v>
      </c>
      <c r="N21" s="737"/>
      <c r="O21" s="202">
        <v>27611</v>
      </c>
      <c r="P21" s="725">
        <f ca="1">IF(OR(INDIRECT("'update Helper'!I"&amp;BB21)="",O21&lt;&gt;0,O22&lt;&gt;0),IF(IFERROR((O21/O22),"")="","",(O21/O22)),INDIRECT("'update Helper'!I"&amp;BB21)/100)</f>
        <v>0.5099926117473218</v>
      </c>
      <c r="Q21" s="723"/>
      <c r="R21" s="202">
        <v>30318</v>
      </c>
      <c r="S21" s="725">
        <f ca="1">IF(OR(INDIRECT("'update Helper'!I"&amp;BB21+1)="",R21&lt;&gt;0,R22&lt;&gt;0),IF(IFERROR((R21/R22),"")="","",(R21/R22)),INDIRECT("'update Helper'!I"&amp;BB21+1)/100)</f>
        <v>0.55999261174732173</v>
      </c>
      <c r="T21" s="723"/>
      <c r="U21" s="202">
        <v>33025</v>
      </c>
      <c r="V21" s="725">
        <f ca="1">IF(OR(INDIRECT("'update Helper'!I"&amp;BB21+2)="",U21&lt;&gt;0,U22&lt;&gt;0),IF(IFERROR((U21/U22),"")="","",(U21/U22)),INDIRECT("'update Helper'!I"&amp;BB21+2)/100)</f>
        <v>0.60999261174732178</v>
      </c>
      <c r="W21" s="723"/>
      <c r="X21" s="202"/>
      <c r="Y21" s="725" t="str">
        <f ca="1">IF(A21=INDIRECT("'update Helper'!F"&amp;$BB21+3),IF(OR(INDIRECT("'update Helper'!I"&amp;BB21+3)="",X21&lt;&gt;0,X22&lt;&gt;0),IF(IFERROR((X21/X22),"")="","",(X21/X22)),INDIRECT("'update Helper'!I"&amp;BB21+3)/100),"")</f>
        <v/>
      </c>
      <c r="Z21" s="723"/>
      <c r="AA21" s="202"/>
      <c r="AB21" s="725" t="str">
        <f ca="1">IF(A21=INDIRECT("'update Helper'!F"&amp;$BB21+4),IF(OR(INDIRECT("'update Helper'!I"&amp;BB21+4)="",AA21&lt;&gt;0,AA22&lt;&gt;0),IF(IFERROR((AA21/AA22),"")="","",(AA21/AA22)),INDIRECT("'update Helper'!I"&amp;BB21+4)/100),"")</f>
        <v/>
      </c>
      <c r="AC21" s="723"/>
      <c r="AD21" s="202"/>
      <c r="AE21" s="725" t="str">
        <f ca="1">IF(A21=INDIRECT("'update Helper'!F"&amp;$BB21+5),IF(A21=INDIRECT("'update Helper'!F"&amp;$BB21+5),IF(OR(INDIRECT("'update Helper'!I"&amp;BB21+5)="",AD21&lt;&gt;0,AD22&lt;&gt;0),IF(IFERROR((AD21/AD22),"")="","",(AD21/AD22)),INDIRECT("'update Helper'!I"&amp;BB21+5)/100),""),"")</f>
        <v/>
      </c>
      <c r="AF21" s="723"/>
      <c r="AG21" s="202"/>
      <c r="AH21" s="725" t="str">
        <f ca="1">IF(A21=INDIRECT("'update Helper'!F"&amp;$BB21+6),IF(OR(INDIRECT("'update Helper'!I"&amp;BB21+6)="",AG21&lt;&gt;0,AG22&lt;&gt;0),IF(IFERROR((AG21/AG22),"")="","",(AG21/AG22)),INDIRECT("'update Helper'!I"&amp;BB21+6)/100),"")</f>
        <v/>
      </c>
      <c r="AI21" s="723"/>
      <c r="AJ21" s="202"/>
      <c r="AK21" s="725" t="str">
        <f ca="1">IF(A21=INDIRECT("'update Helper'!F"&amp;$BB21+6),IF(OR(INDIRECT("'update Helper'!I"&amp;BB21+7)="",AJ21&lt;&gt;0,AJ22&lt;&gt;0),IF(IFERROR((AJ21/AJ22),"")="","",(AJ21/AJ22)),INDIRECT("'update Helper'!I"&amp;BB21+7)/100),"")</f>
        <v/>
      </c>
      <c r="AL21" s="723"/>
      <c r="AM21" s="672" t="s">
        <v>11225</v>
      </c>
      <c r="AN21" s="672"/>
      <c r="AO21" s="672" t="s">
        <v>9476</v>
      </c>
      <c r="AP21" s="672" t="s">
        <v>9477</v>
      </c>
      <c r="AQ21" s="253" t="str">
        <f t="array" ref="AQ21">IFERROR(IF(INDEX('Reference Records'!$D$79:$D$156,MATCH(LEFT(D21,255),LEFT('Reference Records'!$C$79:$C$156,255),0))=0,"",INDEX('Reference Records'!$D$79:$D$156,MATCH(LEFT(D21,255),LEFT('Reference Records'!$C$79:$C$156,255),0))),"")</f>
        <v>Edad</v>
      </c>
      <c r="AR21" s="196" t="str">
        <f t="array" ref="AR21">VLOOKUP(LEFT(D21,255),LEFT('Reference Records'!C$78:G210,255),4,0)</f>
        <v>MCI-01045</v>
      </c>
      <c r="AS21" s="196">
        <f>MATCH(AR21,'Reference Records'!$F$621:$F$699,0)+ROW(PopulationByCoverage)-1</f>
        <v>624</v>
      </c>
      <c r="AT21" s="196">
        <f>MATCH(AR21,'Reference Records'!$F$621:$F$699,1)+ROW(PopulationByCoverage)-1</f>
        <v>624</v>
      </c>
      <c r="AU21" s="253" t="str">
        <f>D21&amp;E21</f>
        <v>KP-1a⁽ᴹ⁾ Porcentaje de HSH alcanzados por programas de prevención del VIH - paquete definido de servicios</v>
      </c>
      <c r="AV21" s="212" t="str">
        <f t="array" ref="AV21">IFERROR(IF(VLOOKUP(LEFT(D21,255),LEFT('Reference Records'!$C$1:$K$724,255),9,0)=0,"",CONCATENATE(VLOOKUP(LEFT(D21,255),LEFT('Reference Records'!$C$1:$K$724,255),9,0),";")),"")</f>
        <v>Non cumulative;Non cumulative – other;Non cumulative - special;</v>
      </c>
      <c r="AW21" s="212" t="str">
        <f>CLEAN(IFERROR(LEFT(AV21, SEARCH(";",AV21,1)-1),""))</f>
        <v>Non cumulative</v>
      </c>
      <c r="AX21" s="212" t="str">
        <f>SUBSTITUTE(IFERROR(MID(AV21, SEARCH(";",AV21) + 1, SEARCH(";",AV21,SEARCH(";",AV21)+1) - SEARCH(";",AV21) - 1),""),CHAR(10),"")</f>
        <v>Non cumulative – other</v>
      </c>
      <c r="AY21" s="353" t="str">
        <f>CLEAN(IFERROR(SUBSTITUTE(RIGHT(AV21,LEN(AV21) - SEARCH(";", AV21, SEARCH(";",AV21) + 1)),";",""),""))</f>
        <v>Non cumulative - special</v>
      </c>
      <c r="AZ21" s="618" t="str">
        <f>IFERROR(IF(VLOOKUP(B21,'Reference Records'!$F$159:$N$210,9,FALSE)=0,"",VLOOKUP(B21,'Reference Records'!$F$159:$N$210,9,FALSE)),"")</f>
        <v>MCI-00648</v>
      </c>
      <c r="BA21" s="253">
        <f>BA19+1</f>
        <v>850</v>
      </c>
      <c r="BB21" s="428">
        <f>BB19+'update Helper'!$AB$2</f>
        <v>988</v>
      </c>
      <c r="BD21" s="253" t="str">
        <f ca="1">IF(INDIRECT("'update Helper'!S"&amp;BA21)=0,"",IFERROR(VLOOKUP(INDIRECT("'update Helper'!U"&amp;BA21),'Account Role'!A$1:B$15,2,0), IFERROR(VLOOKUP(INDIRECT("'update Helper'!AD"&amp;BA21),'Overview - Section A'!J$26:P$107,7,0),"")))</f>
        <v/>
      </c>
    </row>
    <row r="22" spans="1:56" s="253" customFormat="1" ht="30" customHeight="1" x14ac:dyDescent="0.35">
      <c r="A22" s="728"/>
      <c r="B22" s="675"/>
      <c r="C22" s="675"/>
      <c r="D22" s="675"/>
      <c r="E22" s="675"/>
      <c r="F22" s="202">
        <v>54140</v>
      </c>
      <c r="G22" s="726"/>
      <c r="H22" s="724"/>
      <c r="I22" s="675"/>
      <c r="J22" s="736"/>
      <c r="K22" s="734"/>
      <c r="L22" s="675"/>
      <c r="M22" s="364" t="s">
        <v>312</v>
      </c>
      <c r="N22" s="738"/>
      <c r="O22" s="202">
        <v>54140</v>
      </c>
      <c r="P22" s="726"/>
      <c r="Q22" s="724"/>
      <c r="R22" s="202">
        <v>54140</v>
      </c>
      <c r="S22" s="726"/>
      <c r="T22" s="724"/>
      <c r="U22" s="202">
        <v>54140</v>
      </c>
      <c r="V22" s="726"/>
      <c r="W22" s="724"/>
      <c r="X22" s="202"/>
      <c r="Y22" s="726"/>
      <c r="Z22" s="724"/>
      <c r="AA22" s="202"/>
      <c r="AB22" s="726"/>
      <c r="AC22" s="724"/>
      <c r="AD22" s="202"/>
      <c r="AE22" s="726"/>
      <c r="AF22" s="724"/>
      <c r="AG22" s="202"/>
      <c r="AH22" s="726"/>
      <c r="AI22" s="724"/>
      <c r="AJ22" s="202"/>
      <c r="AK22" s="726"/>
      <c r="AL22" s="724"/>
      <c r="AM22" s="673"/>
      <c r="AN22" s="673"/>
      <c r="AO22" s="673"/>
      <c r="AP22" s="673"/>
      <c r="AV22" s="212"/>
      <c r="AW22" s="212"/>
      <c r="AX22" s="212"/>
      <c r="AY22" s="353"/>
      <c r="AZ22" s="618"/>
      <c r="BB22" s="212"/>
    </row>
    <row r="23" spans="1:56" s="253" customFormat="1" ht="30" customHeight="1" x14ac:dyDescent="0.35">
      <c r="A23" s="727">
        <v>8</v>
      </c>
      <c r="B23" s="729" t="s">
        <v>3006</v>
      </c>
      <c r="C23" s="674" t="s">
        <v>979</v>
      </c>
      <c r="D23" s="674"/>
      <c r="E23" s="674" t="s">
        <v>9482</v>
      </c>
      <c r="F23" s="202">
        <v>1831</v>
      </c>
      <c r="G23" s="725">
        <f ca="1">IF(OR(INDIRECT("'update Helper'!D"&amp;BA23)="",F23&lt;&gt;0,F24&lt;&gt;0),IF(IFERROR((F23/F24),"")="","",(F23/F24)),INDIRECT("'update Helper'!D"&amp;BA23)/100)</f>
        <v>0.93753200204813103</v>
      </c>
      <c r="H23" s="723">
        <v>2018</v>
      </c>
      <c r="I23" s="674" t="s">
        <v>9473</v>
      </c>
      <c r="J23" s="735" t="str">
        <f>AQ23</f>
        <v/>
      </c>
      <c r="K23" s="733" t="s">
        <v>439</v>
      </c>
      <c r="L23" s="674" t="s">
        <v>1073</v>
      </c>
      <c r="M23" s="205" t="s">
        <v>1070</v>
      </c>
      <c r="N23" s="737"/>
      <c r="O23" s="202"/>
      <c r="P23" s="741">
        <v>0.95</v>
      </c>
      <c r="Q23" s="723"/>
      <c r="R23" s="202"/>
      <c r="S23" s="741">
        <v>0.95</v>
      </c>
      <c r="T23" s="723"/>
      <c r="U23" s="202"/>
      <c r="V23" s="741">
        <v>0.95</v>
      </c>
      <c r="W23" s="723"/>
      <c r="X23" s="202"/>
      <c r="Y23" s="725" t="str">
        <f ca="1">IF(A23=INDIRECT("'update Helper'!F"&amp;$BB23+3),IF(OR(INDIRECT("'update Helper'!I"&amp;BB23+3)="",X23&lt;&gt;0,X24&lt;&gt;0),IF(IFERROR((X23/X24),"")="","",(X23/X24)),INDIRECT("'update Helper'!I"&amp;BB23+3)/100),"")</f>
        <v/>
      </c>
      <c r="Z23" s="723"/>
      <c r="AA23" s="202"/>
      <c r="AB23" s="725" t="str">
        <f ca="1">IF(A23=INDIRECT("'update Helper'!F"&amp;$BB23+4),IF(OR(INDIRECT("'update Helper'!I"&amp;BB23+4)="",AA23&lt;&gt;0,AA24&lt;&gt;0),IF(IFERROR((AA23/AA24),"")="","",(AA23/AA24)),INDIRECT("'update Helper'!I"&amp;BB23+4)/100),"")</f>
        <v/>
      </c>
      <c r="AC23" s="723"/>
      <c r="AD23" s="202"/>
      <c r="AE23" s="725" t="str">
        <f ca="1">IF(A23=INDIRECT("'update Helper'!F"&amp;$BB23+5),IF(A23=INDIRECT("'update Helper'!F"&amp;$BB23+5),IF(OR(INDIRECT("'update Helper'!I"&amp;BB23+5)="",AD23&lt;&gt;0,AD24&lt;&gt;0),IF(IFERROR((AD23/AD24),"")="","",(AD23/AD24)),INDIRECT("'update Helper'!I"&amp;BB23+5)/100),""),"")</f>
        <v/>
      </c>
      <c r="AF23" s="723"/>
      <c r="AG23" s="202"/>
      <c r="AH23" s="725" t="str">
        <f ca="1">IF(A23=INDIRECT("'update Helper'!F"&amp;$BB23+6),IF(OR(INDIRECT("'update Helper'!I"&amp;BB23+6)="",AG23&lt;&gt;0,AG24&lt;&gt;0),IF(IFERROR((AG23/AG24),"")="","",(AG23/AG24)),INDIRECT("'update Helper'!I"&amp;BB23+6)/100),"")</f>
        <v/>
      </c>
      <c r="AI23" s="723"/>
      <c r="AJ23" s="202"/>
      <c r="AK23" s="725" t="str">
        <f ca="1">IF(A23=INDIRECT("'update Helper'!F"&amp;$BB23+6),IF(OR(INDIRECT("'update Helper'!I"&amp;BB23+7)="",AJ23&lt;&gt;0,AJ24&lt;&gt;0),IF(IFERROR((AJ23/AJ24),"")="","",(AJ23/AJ24)),INDIRECT("'update Helper'!I"&amp;BB23+7)/100),"")</f>
        <v/>
      </c>
      <c r="AL23" s="723"/>
      <c r="AM23" s="672" t="s">
        <v>9483</v>
      </c>
      <c r="AN23" s="672" t="s">
        <v>9481</v>
      </c>
      <c r="AO23" s="672" t="s">
        <v>9471</v>
      </c>
      <c r="AP23" s="672" t="s">
        <v>9480</v>
      </c>
      <c r="AQ23" s="253" t="str">
        <f t="array" ref="AQ23">IFERROR(IF(INDEX('Reference Records'!$D$79:$D$156,MATCH(LEFT(D23,255),LEFT('Reference Records'!$C$79:$C$156,255),0))=0,"",INDEX('Reference Records'!$D$79:$D$156,MATCH(LEFT(D23,255),LEFT('Reference Records'!$C$79:$C$156,255),0))),"")</f>
        <v/>
      </c>
      <c r="AR23" s="196" t="str">
        <f t="array" ref="AR23">VLOOKUP(LEFT(D23,255),LEFT('Reference Records'!C$78:G212,255),4,0)</f>
        <v/>
      </c>
      <c r="AS23" s="196" t="e">
        <f>MATCH(AR23,'Reference Records'!$F$621:$F$699,0)+ROW(PopulationByCoverage)-1</f>
        <v>#N/A</v>
      </c>
      <c r="AT23" s="196" t="e">
        <f>MATCH(AR23,'Reference Records'!$F$621:$F$699,1)+ROW(PopulationByCoverage)-1</f>
        <v>#N/A</v>
      </c>
      <c r="AU23" s="253" t="str">
        <f>D23&amp;E23</f>
        <v>TCP - other -1: Porcentaje de casos todas las formas de TB entre PPL tratados exitosamente entre el total de casos todas las formas notificados</v>
      </c>
      <c r="AV23" s="212" t="str">
        <f t="array" ref="AV23">IFERROR(IF(VLOOKUP(LEFT(D23,255),LEFT('Reference Records'!$C$1:$K$724,255),9,0)=0,"",CONCATENATE(VLOOKUP(LEFT(D23,255),LEFT('Reference Records'!$C$1:$K$724,255),9,0),";")),"")</f>
        <v>;</v>
      </c>
      <c r="AW23" s="212" t="str">
        <f>CLEAN(IFERROR(LEFT(AV23, SEARCH(";",AV23,1)-1),""))</f>
        <v/>
      </c>
      <c r="AX23" s="212" t="str">
        <f>SUBSTITUTE(IFERROR(MID(AV23, SEARCH(";",AV23) + 1, SEARCH(";",AV23,SEARCH(";",AV23)+1) - SEARCH(";",AV23) - 1),""),CHAR(10),"")</f>
        <v/>
      </c>
      <c r="AY23" s="353" t="str">
        <f>CLEAN(IFERROR(SUBSTITUTE(RIGHT(AV23,LEN(AV23) - SEARCH(";", AV23, SEARCH(";",AV23) + 1)),";",""),""))</f>
        <v/>
      </c>
      <c r="AZ23" s="618" t="str">
        <f>IFERROR(IF(VLOOKUP(B23,'Reference Records'!$F$159:$N$210,9,FALSE)=0,"",VLOOKUP(B23,'Reference Records'!$F$159:$N$210,9,FALSE)),"")</f>
        <v>MCI-00669</v>
      </c>
      <c r="BA23" s="253">
        <f>BA21+1</f>
        <v>851</v>
      </c>
      <c r="BB23" s="428">
        <f>BB21+'update Helper'!$AB$2</f>
        <v>996</v>
      </c>
      <c r="BD23" s="253" t="str">
        <f ca="1">IF(INDIRECT("'update Helper'!S"&amp;BA23)=0,"",IFERROR(VLOOKUP(INDIRECT("'update Helper'!U"&amp;BA23),'Account Role'!A$1:B$15,2,0), IFERROR(VLOOKUP(INDIRECT("'update Helper'!AD"&amp;BA23),'Overview - Section A'!J$26:P$107,7,0),"")))</f>
        <v/>
      </c>
    </row>
    <row r="24" spans="1:56" s="253" customFormat="1" ht="30" customHeight="1" x14ac:dyDescent="0.35">
      <c r="A24" s="728"/>
      <c r="B24" s="730"/>
      <c r="C24" s="675"/>
      <c r="D24" s="675"/>
      <c r="E24" s="675"/>
      <c r="F24" s="202">
        <v>1953</v>
      </c>
      <c r="G24" s="726"/>
      <c r="H24" s="724"/>
      <c r="I24" s="675"/>
      <c r="J24" s="736"/>
      <c r="K24" s="734"/>
      <c r="L24" s="675"/>
      <c r="M24" s="364" t="s">
        <v>312</v>
      </c>
      <c r="N24" s="738"/>
      <c r="O24" s="202"/>
      <c r="P24" s="742"/>
      <c r="Q24" s="724"/>
      <c r="R24" s="202"/>
      <c r="S24" s="742"/>
      <c r="T24" s="724"/>
      <c r="U24" s="202"/>
      <c r="V24" s="742"/>
      <c r="W24" s="724"/>
      <c r="X24" s="202"/>
      <c r="Y24" s="726"/>
      <c r="Z24" s="724"/>
      <c r="AA24" s="202"/>
      <c r="AB24" s="726"/>
      <c r="AC24" s="724"/>
      <c r="AD24" s="202"/>
      <c r="AE24" s="726"/>
      <c r="AF24" s="724"/>
      <c r="AG24" s="202"/>
      <c r="AH24" s="726"/>
      <c r="AI24" s="724"/>
      <c r="AJ24" s="202"/>
      <c r="AK24" s="726"/>
      <c r="AL24" s="724"/>
      <c r="AM24" s="673"/>
      <c r="AN24" s="673"/>
      <c r="AO24" s="673"/>
      <c r="AP24" s="673"/>
      <c r="AV24" s="212"/>
      <c r="AW24" s="212"/>
      <c r="AX24" s="212"/>
      <c r="AY24" s="353"/>
      <c r="AZ24" s="618"/>
      <c r="BB24" s="212"/>
    </row>
    <row r="25" spans="1:56" s="253" customFormat="1" ht="30" customHeight="1" x14ac:dyDescent="0.35">
      <c r="A25" s="727">
        <v>9</v>
      </c>
      <c r="B25" s="674" t="s">
        <v>3020</v>
      </c>
      <c r="C25" s="674" t="s">
        <v>8423</v>
      </c>
      <c r="D25" s="674" t="s">
        <v>2008</v>
      </c>
      <c r="E25" s="674"/>
      <c r="F25" s="202">
        <v>1456</v>
      </c>
      <c r="G25" s="725">
        <f ca="1">IF(OR(INDIRECT("'update Helper'!D"&amp;BA25)="",F25&lt;&gt;0,F26&lt;&gt;0),IF(IFERROR((F25/F26),"")="","",(F25/F26)),INDIRECT("'update Helper'!D"&amp;BA25)/100)</f>
        <v>0.72401790154152168</v>
      </c>
      <c r="H25" s="723">
        <v>2019</v>
      </c>
      <c r="I25" s="674" t="s">
        <v>9476</v>
      </c>
      <c r="J25" s="735" t="str">
        <f>AQ25</f>
        <v>Edad</v>
      </c>
      <c r="K25" s="733" t="s">
        <v>281</v>
      </c>
      <c r="L25" s="674" t="s">
        <v>1073</v>
      </c>
      <c r="M25" s="205" t="s">
        <v>1070</v>
      </c>
      <c r="N25" s="737"/>
      <c r="O25" s="202">
        <v>1709</v>
      </c>
      <c r="P25" s="725">
        <f ca="1">IF(OR(INDIRECT("'update Helper'!I"&amp;BB25)="",O25&lt;&gt;0,O26&lt;&gt;0),IF(IFERROR((O25/O26),"")="","",(O25/O26)),INDIRECT("'update Helper'!I"&amp;BB25)/100)</f>
        <v>0.84982595723520638</v>
      </c>
      <c r="Q25" s="723"/>
      <c r="R25" s="202">
        <v>1729</v>
      </c>
      <c r="S25" s="725">
        <f ca="1">IF(OR(INDIRECT("'update Helper'!I"&amp;BB25+1)="",R25&lt;&gt;0,R26&lt;&gt;0),IF(IFERROR((R25/R26),"")="","",(R25/R26)),INDIRECT("'update Helper'!I"&amp;BB25+1)/100)</f>
        <v>0.85977125808055699</v>
      </c>
      <c r="T25" s="723"/>
      <c r="U25" s="202">
        <v>1749</v>
      </c>
      <c r="V25" s="725">
        <f ca="1">IF(OR(INDIRECT("'update Helper'!I"&amp;BB25+2)="",U25&lt;&gt;0,U26&lt;&gt;0),IF(IFERROR((U25/U26),"")="","",(U25/U26)),INDIRECT("'update Helper'!I"&amp;BB25+2)/100)</f>
        <v>0.86971655892590749</v>
      </c>
      <c r="W25" s="723"/>
      <c r="X25" s="202"/>
      <c r="Y25" s="725" t="str">
        <f ca="1">IF(A25=INDIRECT("'update Helper'!F"&amp;$BB25+3),IF(OR(INDIRECT("'update Helper'!I"&amp;BB25+3)="",X25&lt;&gt;0,X26&lt;&gt;0),IF(IFERROR((X25/X26),"")="","",(X25/X26)),INDIRECT("'update Helper'!I"&amp;BB25+3)/100),"")</f>
        <v/>
      </c>
      <c r="Z25" s="723"/>
      <c r="AA25" s="202"/>
      <c r="AB25" s="725" t="str">
        <f ca="1">IF(A25=INDIRECT("'update Helper'!F"&amp;$BB25+4),IF(OR(INDIRECT("'update Helper'!I"&amp;BB25+4)="",AA25&lt;&gt;0,AA26&lt;&gt;0),IF(IFERROR((AA25/AA26),"")="","",(AA25/AA26)),INDIRECT("'update Helper'!I"&amp;BB25+4)/100),"")</f>
        <v/>
      </c>
      <c r="AC25" s="723"/>
      <c r="AD25" s="202"/>
      <c r="AE25" s="725" t="str">
        <f ca="1">IF(A25=INDIRECT("'update Helper'!F"&amp;$BB25+5),IF(A25=INDIRECT("'update Helper'!F"&amp;$BB25+5),IF(OR(INDIRECT("'update Helper'!I"&amp;BB25+5)="",AD25&lt;&gt;0,AD26&lt;&gt;0),IF(IFERROR((AD25/AD26),"")="","",(AD25/AD26)),INDIRECT("'update Helper'!I"&amp;BB25+5)/100),""),"")</f>
        <v/>
      </c>
      <c r="AF25" s="723"/>
      <c r="AG25" s="202"/>
      <c r="AH25" s="725" t="str">
        <f ca="1">IF(A25=INDIRECT("'update Helper'!F"&amp;$BB25+6),IF(OR(INDIRECT("'update Helper'!I"&amp;BB25+6)="",AG25&lt;&gt;0,AG26&lt;&gt;0),IF(IFERROR((AG25/AG26),"")="","",(AG25/AG26)),INDIRECT("'update Helper'!I"&amp;BB25+6)/100),"")</f>
        <v/>
      </c>
      <c r="AI25" s="723"/>
      <c r="AJ25" s="202"/>
      <c r="AK25" s="725" t="str">
        <f ca="1">IF(A25=INDIRECT("'update Helper'!F"&amp;$BB25+6),IF(OR(INDIRECT("'update Helper'!I"&amp;BB25+7)="",AJ25&lt;&gt;0,AJ26&lt;&gt;0),IF(IFERROR((AJ25/AJ26),"")="","",(AJ25/AJ26)),INDIRECT("'update Helper'!I"&amp;BB25+7)/100),"")</f>
        <v/>
      </c>
      <c r="AL25" s="723"/>
      <c r="AM25" s="672" t="s">
        <v>11226</v>
      </c>
      <c r="AN25" s="672"/>
      <c r="AO25" s="672" t="s">
        <v>9476</v>
      </c>
      <c r="AP25" s="672" t="s">
        <v>9485</v>
      </c>
      <c r="AQ25" s="253" t="str">
        <f t="array" ref="AQ25">IFERROR(IF(INDEX('Reference Records'!$D$79:$D$156,MATCH(LEFT(D25,255),LEFT('Reference Records'!$C$79:$C$156,255),0))=0,"",INDEX('Reference Records'!$D$79:$D$156,MATCH(LEFT(D25,255),LEFT('Reference Records'!$C$79:$C$156,255),0))),"")</f>
        <v>Edad</v>
      </c>
      <c r="AR25" s="196" t="str">
        <f t="array" ref="AR25">VLOOKUP(LEFT(D25,255),LEFT('Reference Records'!C$78:G333,255),4,0)</f>
        <v>MCI-01046</v>
      </c>
      <c r="AS25" s="196">
        <f>MATCH(AR25,'Reference Records'!$F$621:$F$699,0)+ROW(PopulationByCoverage)-1</f>
        <v>625</v>
      </c>
      <c r="AT25" s="196">
        <f>MATCH(AR25,'Reference Records'!$F$621:$F$699,1)+ROW(PopulationByCoverage)-1</f>
        <v>625</v>
      </c>
      <c r="AU25" s="253" t="str">
        <f>D25&amp;E25</f>
        <v>KP-1b⁽ᴹ⁾ Porcentaje de personas transgénero alcanzados por programas de prevención del VIH - paquete definido de servicios</v>
      </c>
      <c r="AV25" s="212" t="str">
        <f t="array" ref="AV25">IFERROR(IF(VLOOKUP(LEFT(D25,255),LEFT('Reference Records'!$C$1:$K$724,255),9,0)=0,"",CONCATENATE(VLOOKUP(LEFT(D25,255),LEFT('Reference Records'!$C$1:$K$724,255),9,0),";")),"")</f>
        <v>Non cumulative;Non cumulative – other;Non cumulative - special;</v>
      </c>
      <c r="AW25" s="212" t="str">
        <f>CLEAN(IFERROR(LEFT(AV25, SEARCH(";",AV25,1)-1),""))</f>
        <v>Non cumulative</v>
      </c>
      <c r="AX25" s="212" t="str">
        <f>SUBSTITUTE(IFERROR(MID(AV25, SEARCH(";",AV25) + 1, SEARCH(";",AV25,SEARCH(";",AV25)+1) - SEARCH(";",AV25) - 1),""),CHAR(10),"")</f>
        <v>Non cumulative – other</v>
      </c>
      <c r="AY25" s="353" t="str">
        <f>CLEAN(IFERROR(SUBSTITUTE(RIGHT(AV25,LEN(AV25) - SEARCH(";", AV25, SEARCH(";",AV25) + 1)),";",""),""))</f>
        <v>Non cumulative - special</v>
      </c>
      <c r="AZ25" s="618" t="str">
        <f>IFERROR(IF(VLOOKUP(B25,'Reference Records'!$F$159:$N$210,9,FALSE)=0,"",VLOOKUP(B25,'Reference Records'!$F$159:$N$210,9,FALSE)),"")</f>
        <v>MCI-00648</v>
      </c>
      <c r="BA25" s="253">
        <f>BA23+1</f>
        <v>852</v>
      </c>
      <c r="BB25" s="428">
        <f>BB23+'update Helper'!$AB$2</f>
        <v>1004</v>
      </c>
      <c r="BD25" s="253" t="str">
        <f ca="1">IF(INDIRECT("'update Helper'!S"&amp;BA25)=0,"",IFERROR(VLOOKUP(INDIRECT("'update Helper'!U"&amp;BA25),'Account Role'!A$1:B$15,2,0), IFERROR(VLOOKUP(INDIRECT("'update Helper'!AD"&amp;BA25),'Overview - Section A'!J$26:P$107,7,0),"")))</f>
        <v/>
      </c>
    </row>
    <row r="26" spans="1:56" s="253" customFormat="1" ht="30" customHeight="1" x14ac:dyDescent="0.35">
      <c r="A26" s="728"/>
      <c r="B26" s="675"/>
      <c r="C26" s="675"/>
      <c r="D26" s="675"/>
      <c r="E26" s="675"/>
      <c r="F26" s="202">
        <v>2011</v>
      </c>
      <c r="G26" s="726"/>
      <c r="H26" s="724"/>
      <c r="I26" s="675"/>
      <c r="J26" s="736"/>
      <c r="K26" s="734"/>
      <c r="L26" s="675"/>
      <c r="M26" s="364" t="s">
        <v>312</v>
      </c>
      <c r="N26" s="738"/>
      <c r="O26" s="202">
        <v>2011</v>
      </c>
      <c r="P26" s="726"/>
      <c r="Q26" s="724"/>
      <c r="R26" s="202">
        <v>2011</v>
      </c>
      <c r="S26" s="726"/>
      <c r="T26" s="724"/>
      <c r="U26" s="202">
        <v>2011</v>
      </c>
      <c r="V26" s="726"/>
      <c r="W26" s="724"/>
      <c r="X26" s="202"/>
      <c r="Y26" s="726"/>
      <c r="Z26" s="724"/>
      <c r="AA26" s="202"/>
      <c r="AB26" s="726"/>
      <c r="AC26" s="724"/>
      <c r="AD26" s="202"/>
      <c r="AE26" s="726"/>
      <c r="AF26" s="724"/>
      <c r="AG26" s="202"/>
      <c r="AH26" s="726"/>
      <c r="AI26" s="724"/>
      <c r="AJ26" s="202"/>
      <c r="AK26" s="726"/>
      <c r="AL26" s="724"/>
      <c r="AM26" s="673"/>
      <c r="AN26" s="673"/>
      <c r="AO26" s="673"/>
      <c r="AP26" s="673"/>
      <c r="AV26" s="212"/>
      <c r="AW26" s="212"/>
      <c r="AX26" s="212"/>
      <c r="AY26" s="353"/>
      <c r="AZ26" s="618"/>
      <c r="BB26" s="212"/>
    </row>
    <row r="27" spans="1:56" s="253" customFormat="1" ht="30" customHeight="1" x14ac:dyDescent="0.35">
      <c r="A27" s="727">
        <v>10</v>
      </c>
      <c r="B27" s="729" t="s">
        <v>3006</v>
      </c>
      <c r="C27" s="674" t="s">
        <v>979</v>
      </c>
      <c r="D27" s="674" t="s">
        <v>2370</v>
      </c>
      <c r="E27" s="674"/>
      <c r="F27" s="202">
        <v>3009</v>
      </c>
      <c r="G27" s="725" t="str">
        <f ca="1">IF(OR(INDIRECT("'update Helper'!D"&amp;BA27)="",F27&lt;&gt;0,F28&lt;&gt;0),IF(IFERROR((F27/F28),"")="","",(F27/F28)),INDIRECT("'update Helper'!D"&amp;BA27)/100)</f>
        <v/>
      </c>
      <c r="H27" s="723">
        <v>2019</v>
      </c>
      <c r="I27" s="674" t="s">
        <v>9473</v>
      </c>
      <c r="J27" s="735" t="str">
        <f>AQ27</f>
        <v>Edad,Género,Resultado de prueba del VIH,Definición de caso</v>
      </c>
      <c r="K27" s="733" t="s">
        <v>439</v>
      </c>
      <c r="L27" s="674" t="s">
        <v>1073</v>
      </c>
      <c r="M27" s="205" t="s">
        <v>1070</v>
      </c>
      <c r="N27" s="737"/>
      <c r="O27" s="202">
        <f>6884888*0.3021/1000</f>
        <v>2079.9246647999998</v>
      </c>
      <c r="P27" s="725" t="str">
        <f ca="1">IF(OR(INDIRECT("'update Helper'!I"&amp;BB27)="",O27&lt;&gt;0,O28&lt;&gt;0),IF(IFERROR((O27/O28),"")="","",(O27/O28)),INDIRECT("'update Helper'!I"&amp;BB27)/100)</f>
        <v/>
      </c>
      <c r="Q27" s="723"/>
      <c r="R27" s="202">
        <f>6942799*0.2794/1000</f>
        <v>1939.8180405999999</v>
      </c>
      <c r="S27" s="725" t="str">
        <f ca="1">IF(OR(INDIRECT("'update Helper'!I"&amp;BB27+1)="",R27&lt;&gt;0,R28&lt;&gt;0),IF(IFERROR((R27/R28),"")="","",(R27/R28)),INDIRECT("'update Helper'!I"&amp;BB27+1)/100)</f>
        <v/>
      </c>
      <c r="T27" s="723"/>
      <c r="U27" s="202">
        <f>7000702*0.255/1000</f>
        <v>1785.1790100000001</v>
      </c>
      <c r="V27" s="725" t="str">
        <f ca="1">IF(OR(INDIRECT("'update Helper'!I"&amp;BB27+2)="",U27&lt;&gt;0,U28&lt;&gt;0),IF(IFERROR((U27/U28),"")="","",(U27/U28)),INDIRECT("'update Helper'!I"&amp;BB27+2)/100)</f>
        <v/>
      </c>
      <c r="W27" s="723"/>
      <c r="X27" s="202"/>
      <c r="Y27" s="725" t="str">
        <f ca="1">IF(A27=INDIRECT("'update Helper'!F"&amp;$BB27+3),IF(OR(INDIRECT("'update Helper'!I"&amp;BB27+3)="",X27&lt;&gt;0,X28&lt;&gt;0),IF(IFERROR((X27/X28),"")="","",(X27/X28)),INDIRECT("'update Helper'!I"&amp;BB27+3)/100),"")</f>
        <v/>
      </c>
      <c r="Z27" s="723"/>
      <c r="AA27" s="202"/>
      <c r="AB27" s="725" t="str">
        <f ca="1">IF(A27=INDIRECT("'update Helper'!F"&amp;$BB27+4),IF(OR(INDIRECT("'update Helper'!I"&amp;BB27+4)="",AA27&lt;&gt;0,AA28&lt;&gt;0),IF(IFERROR((AA27/AA28),"")="","",(AA27/AA28)),INDIRECT("'update Helper'!I"&amp;BB27+4)/100),"")</f>
        <v/>
      </c>
      <c r="AC27" s="723"/>
      <c r="AD27" s="202"/>
      <c r="AE27" s="725" t="str">
        <f ca="1">IF(A27=INDIRECT("'update Helper'!F"&amp;$BB27+5),IF(A27=INDIRECT("'update Helper'!F"&amp;$BB27+5),IF(OR(INDIRECT("'update Helper'!I"&amp;BB27+5)="",AD27&lt;&gt;0,AD28&lt;&gt;0),IF(IFERROR((AD27/AD28),"")="","",(AD27/AD28)),INDIRECT("'update Helper'!I"&amp;BB27+5)/100),""),"")</f>
        <v/>
      </c>
      <c r="AF27" s="723"/>
      <c r="AG27" s="202"/>
      <c r="AH27" s="725" t="str">
        <f ca="1">IF(A27=INDIRECT("'update Helper'!F"&amp;$BB27+6),IF(OR(INDIRECT("'update Helper'!I"&amp;BB27+6)="",AG27&lt;&gt;0,AG28&lt;&gt;0),IF(IFERROR((AG27/AG28),"")="","",(AG27/AG28)),INDIRECT("'update Helper'!I"&amp;BB27+6)/100),"")</f>
        <v/>
      </c>
      <c r="AI27" s="723"/>
      <c r="AJ27" s="202"/>
      <c r="AK27" s="725" t="str">
        <f ca="1">IF(A27=INDIRECT("'update Helper'!F"&amp;$BB27+6),IF(OR(INDIRECT("'update Helper'!I"&amp;BB27+7)="",AJ27&lt;&gt;0,AJ28&lt;&gt;0),IF(IFERROR((AJ27/AJ28),"")="","",(AJ27/AJ28)),INDIRECT("'update Helper'!I"&amp;BB27+7)/100),"")</f>
        <v/>
      </c>
      <c r="AL27" s="723"/>
      <c r="AM27" s="672" t="s">
        <v>11241</v>
      </c>
      <c r="AN27" s="672"/>
      <c r="AO27" s="672" t="s">
        <v>9471</v>
      </c>
      <c r="AP27" s="672" t="s">
        <v>9488</v>
      </c>
      <c r="AQ27" s="253" t="str">
        <f t="array" ref="AQ27">IFERROR(IF(INDEX('Reference Records'!$D$79:$D$156,MATCH(LEFT(D27,255),LEFT('Reference Records'!$C$79:$C$156,255),0))=0,"",INDEX('Reference Records'!$D$79:$D$156,MATCH(LEFT(D27,255),LEFT('Reference Records'!$C$79:$C$156,255),0))),"")</f>
        <v>Edad,Género,Resultado de prueba del VIH,Definición de caso</v>
      </c>
      <c r="AR27" s="196" t="str">
        <f t="array" ref="AR27">VLOOKUP(LEFT(D27,255),LEFT('Reference Records'!C$78:G335,255),4,0)</f>
        <v>MCI-01076</v>
      </c>
      <c r="AS27" s="196">
        <f>MATCH(AR27,'Reference Records'!$F$621:$F$699,0)+ROW(PopulationByCoverage)-1</f>
        <v>655</v>
      </c>
      <c r="AT27" s="196">
        <f>MATCH(AR27,'Reference Records'!$F$621:$F$699,1)+ROW(PopulationByCoverage)-1</f>
        <v>655</v>
      </c>
      <c r="AU27" s="253" t="str">
        <f>D27&amp;E27</f>
        <v>TCP-1⁽ᴹ⁾ Número de casos notificados de todas las formas de tuberculosis (esto es, confirmados bacteriológicamente y con diagnóstico clínico), casos nuevos y recaídas.</v>
      </c>
      <c r="AV27" s="212" t="str">
        <f t="array" ref="AV27">IFERROR(IF(VLOOKUP(LEFT(D27,255),LEFT('Reference Records'!$C$1:$K$724,255),9,0)=0,"",CONCATENATE(VLOOKUP(LEFT(D27,255),LEFT('Reference Records'!$C$1:$K$724,255),9,0),";")),"")</f>
        <v>Non cumulative;</v>
      </c>
      <c r="AW27" s="212" t="str">
        <f>CLEAN(IFERROR(LEFT(AV27, SEARCH(";",AV27,1)-1),""))</f>
        <v>Non cumulative</v>
      </c>
      <c r="AX27" s="212" t="str">
        <f>SUBSTITUTE(IFERROR(MID(AV27, SEARCH(";",AV27) + 1, SEARCH(";",AV27,SEARCH(";",AV27)+1) - SEARCH(";",AV27) - 1),""),CHAR(10),"")</f>
        <v/>
      </c>
      <c r="AY27" s="353" t="str">
        <f>CLEAN(IFERROR(SUBSTITUTE(RIGHT(AV27,LEN(AV27) - SEARCH(";", AV27, SEARCH(";",AV27) + 1)),";",""),""))</f>
        <v/>
      </c>
      <c r="AZ27" s="618" t="str">
        <f>IFERROR(IF(VLOOKUP(B27,'Reference Records'!$F$159:$N$210,9,FALSE)=0,"",VLOOKUP(B27,'Reference Records'!$F$159:$N$210,9,FALSE)),"")</f>
        <v>MCI-00669</v>
      </c>
      <c r="BA27" s="253">
        <f>BA25+1</f>
        <v>853</v>
      </c>
      <c r="BB27" s="428">
        <f>BB25+'update Helper'!$AB$2</f>
        <v>1012</v>
      </c>
      <c r="BD27" s="253" t="str">
        <f ca="1">IF(INDIRECT("'update Helper'!S"&amp;BA27)=0,"",IFERROR(VLOOKUP(INDIRECT("'update Helper'!U"&amp;BA27),'Account Role'!A$1:B$15,2,0), IFERROR(VLOOKUP(INDIRECT("'update Helper'!AD"&amp;BA27),'Overview - Section A'!J$26:P$107,7,0),"")))</f>
        <v/>
      </c>
    </row>
    <row r="28" spans="1:56" s="253" customFormat="1" ht="30" customHeight="1" x14ac:dyDescent="0.35">
      <c r="A28" s="728"/>
      <c r="B28" s="730"/>
      <c r="C28" s="675"/>
      <c r="D28" s="675"/>
      <c r="E28" s="675"/>
      <c r="F28" s="202"/>
      <c r="G28" s="726"/>
      <c r="H28" s="724"/>
      <c r="I28" s="675"/>
      <c r="J28" s="736"/>
      <c r="K28" s="734"/>
      <c r="L28" s="675"/>
      <c r="M28" s="364" t="s">
        <v>312</v>
      </c>
      <c r="N28" s="738"/>
      <c r="O28" s="202" t="str">
        <f ca="1">IF(A27=INDIRECT("'update Helper'!F"&amp;$BB27),IF(INDIRECT("'update Helper'!J"&amp;BB27)=0,"",INDIRECT("'update Helper'!J"&amp;BB27)),"")</f>
        <v/>
      </c>
      <c r="P28" s="726"/>
      <c r="Q28" s="724"/>
      <c r="R28" s="202"/>
      <c r="S28" s="726"/>
      <c r="T28" s="724"/>
      <c r="U28" s="202"/>
      <c r="V28" s="726"/>
      <c r="W28" s="724"/>
      <c r="X28" s="202"/>
      <c r="Y28" s="726"/>
      <c r="Z28" s="724"/>
      <c r="AA28" s="202"/>
      <c r="AB28" s="726"/>
      <c r="AC28" s="724"/>
      <c r="AD28" s="202"/>
      <c r="AE28" s="726"/>
      <c r="AF28" s="724"/>
      <c r="AG28" s="202"/>
      <c r="AH28" s="726"/>
      <c r="AI28" s="724"/>
      <c r="AJ28" s="202"/>
      <c r="AK28" s="726"/>
      <c r="AL28" s="724"/>
      <c r="AM28" s="673"/>
      <c r="AN28" s="673"/>
      <c r="AO28" s="673"/>
      <c r="AP28" s="673"/>
      <c r="AV28" s="212"/>
      <c r="AW28" s="212"/>
      <c r="AX28" s="212"/>
      <c r="AY28" s="353"/>
      <c r="AZ28" s="618"/>
      <c r="BB28" s="212"/>
    </row>
    <row r="29" spans="1:56" s="253" customFormat="1" ht="30" customHeight="1" x14ac:dyDescent="0.35">
      <c r="A29" s="727">
        <v>11</v>
      </c>
      <c r="B29" s="674" t="s">
        <v>3020</v>
      </c>
      <c r="C29" s="674" t="s">
        <v>8418</v>
      </c>
      <c r="D29" s="674" t="s">
        <v>2016</v>
      </c>
      <c r="E29" s="674"/>
      <c r="F29" s="202">
        <v>7765</v>
      </c>
      <c r="G29" s="725">
        <f ca="1">IF(OR(INDIRECT("'update Helper'!D"&amp;BA29)="",F29&lt;&gt;0,F30&lt;&gt;0),IF(IFERROR((F29/F30),"")="","",(F29/F30)),INDIRECT("'update Helper'!D"&amp;BA29)/100)</f>
        <v>0.17266299030507873</v>
      </c>
      <c r="H29" s="723">
        <v>2019</v>
      </c>
      <c r="I29" s="674" t="s">
        <v>9476</v>
      </c>
      <c r="J29" s="735" t="str">
        <f>AQ29</f>
        <v>Género,Edad</v>
      </c>
      <c r="K29" s="733" t="s">
        <v>281</v>
      </c>
      <c r="L29" s="674" t="s">
        <v>1073</v>
      </c>
      <c r="M29" s="205" t="s">
        <v>1070</v>
      </c>
      <c r="N29" s="737"/>
      <c r="O29" s="202">
        <v>15400</v>
      </c>
      <c r="P29" s="725">
        <f ca="1">IF(OR(INDIRECT("'update Helper'!I"&amp;BB29)="",O29&lt;&gt;0,O30&lt;&gt;0),IF(IFERROR((O29/O30),"")="","",(O29/O30)),INDIRECT("'update Helper'!I"&amp;BB29)/100)</f>
        <v>0.34243529307124432</v>
      </c>
      <c r="Q29" s="723"/>
      <c r="R29" s="202">
        <v>17500</v>
      </c>
      <c r="S29" s="725">
        <f ca="1">IF(OR(INDIRECT("'update Helper'!I"&amp;BB29+1)="",R29&lt;&gt;0,R30&lt;&gt;0),IF(IFERROR((R29/R30),"")="","",(R29/R30)),INDIRECT("'update Helper'!I"&amp;BB29+1)/100)</f>
        <v>0.38913101485368673</v>
      </c>
      <c r="T29" s="723"/>
      <c r="U29" s="202">
        <v>19500</v>
      </c>
      <c r="V29" s="725">
        <f ca="1">IF(OR(INDIRECT("'update Helper'!I"&amp;BB29+2)="",U29&lt;&gt;0,U30&lt;&gt;0),IF(IFERROR((U29/U30),"")="","",(U29/U30)),INDIRECT("'update Helper'!I"&amp;BB29+2)/100)</f>
        <v>0.43360313083696522</v>
      </c>
      <c r="W29" s="723"/>
      <c r="X29" s="202"/>
      <c r="Y29" s="725" t="str">
        <f ca="1">IF(A29=INDIRECT("'update Helper'!F"&amp;$BB29+3),IF(OR(INDIRECT("'update Helper'!I"&amp;BB29+3)="",X29&lt;&gt;0,X30&lt;&gt;0),IF(IFERROR((X29/X30),"")="","",(X29/X30)),INDIRECT("'update Helper'!I"&amp;BB29+3)/100),"")</f>
        <v/>
      </c>
      <c r="Z29" s="723"/>
      <c r="AA29" s="202"/>
      <c r="AB29" s="725" t="str">
        <f ca="1">IF(A29=INDIRECT("'update Helper'!F"&amp;$BB29+4),IF(OR(INDIRECT("'update Helper'!I"&amp;BB29+4)="",AA29&lt;&gt;0,AA30&lt;&gt;0),IF(IFERROR((AA29/AA30),"")="","",(AA29/AA30)),INDIRECT("'update Helper'!I"&amp;BB29+4)/100),"")</f>
        <v/>
      </c>
      <c r="AC29" s="723"/>
      <c r="AD29" s="202"/>
      <c r="AE29" s="725" t="str">
        <f ca="1">IF(A29=INDIRECT("'update Helper'!F"&amp;$BB29+5),IF(A29=INDIRECT("'update Helper'!F"&amp;$BB29+5),IF(OR(INDIRECT("'update Helper'!I"&amp;BB29+5)="",AD29&lt;&gt;0,AD30&lt;&gt;0),IF(IFERROR((AD29/AD30),"")="","",(AD29/AD30)),INDIRECT("'update Helper'!I"&amp;BB29+5)/100),""),"")</f>
        <v/>
      </c>
      <c r="AF29" s="723"/>
      <c r="AG29" s="202"/>
      <c r="AH29" s="725" t="str">
        <f ca="1">IF(A29=INDIRECT("'update Helper'!F"&amp;$BB29+6),IF(OR(INDIRECT("'update Helper'!I"&amp;BB29+6)="",AG29&lt;&gt;0,AG30&lt;&gt;0),IF(IFERROR((AG29/AG30),"")="","",(AG29/AG30)),INDIRECT("'update Helper'!I"&amp;BB29+6)/100),"")</f>
        <v/>
      </c>
      <c r="AI29" s="723"/>
      <c r="AJ29" s="202"/>
      <c r="AK29" s="725" t="str">
        <f ca="1">IF(A29=INDIRECT("'update Helper'!F"&amp;$BB29+6),IF(OR(INDIRECT("'update Helper'!I"&amp;BB29+7)="",AJ29&lt;&gt;0,AJ30&lt;&gt;0),IF(IFERROR((AJ29/AJ30),"")="","",(AJ29/AJ30)),INDIRECT("'update Helper'!I"&amp;BB29+7)/100),"")</f>
        <v/>
      </c>
      <c r="AL29" s="723"/>
      <c r="AM29" s="672" t="s">
        <v>11227</v>
      </c>
      <c r="AN29" s="672"/>
      <c r="AO29" s="672" t="s">
        <v>9476</v>
      </c>
      <c r="AP29" s="672" t="s">
        <v>9491</v>
      </c>
      <c r="AQ29" s="253" t="str">
        <f t="array" ref="AQ29">IFERROR(IF(INDEX('Reference Records'!$D$79:$D$156,MATCH(LEFT(D29,255),LEFT('Reference Records'!$C$79:$C$156,255),0))=0,"",INDEX('Reference Records'!$D$79:$D$156,MATCH(LEFT(D29,255),LEFT('Reference Records'!$C$79:$C$156,255),0))),"")</f>
        <v>Género,Edad</v>
      </c>
      <c r="AR29" s="196" t="str">
        <f t="array" ref="AR29">VLOOKUP(LEFT(D29,255),LEFT('Reference Records'!C$78:G337,255),4,0)</f>
        <v>MCI-01047</v>
      </c>
      <c r="AS29" s="196">
        <f>MATCH(AR29,'Reference Records'!$F$621:$F$699,0)+ROW(PopulationByCoverage)-1</f>
        <v>626</v>
      </c>
      <c r="AT29" s="196">
        <f>MATCH(AR29,'Reference Records'!$F$621:$F$699,1)+ROW(PopulationByCoverage)-1</f>
        <v>626</v>
      </c>
      <c r="AU29" s="253" t="str">
        <f>D29&amp;E29</f>
        <v>KP-1c⁽ᴹ⁾ Porcentaje de trabajadores sexuales alcanzados por programas de prevención del VIH - paquete definido de servicios</v>
      </c>
      <c r="AV29" s="212" t="str">
        <f t="array" ref="AV29">IFERROR(IF(VLOOKUP(LEFT(D29,255),LEFT('Reference Records'!$C$1:$K$724,255),9,0)=0,"",CONCATENATE(VLOOKUP(LEFT(D29,255),LEFT('Reference Records'!$C$1:$K$724,255),9,0),";")),"")</f>
        <v>Non cumulative;Non cumulative – other;Non cumulative - special;</v>
      </c>
      <c r="AW29" s="212" t="str">
        <f>CLEAN(IFERROR(LEFT(AV29, SEARCH(";",AV29,1)-1),""))</f>
        <v>Non cumulative</v>
      </c>
      <c r="AX29" s="212" t="str">
        <f>SUBSTITUTE(IFERROR(MID(AV29, SEARCH(";",AV29) + 1, SEARCH(";",AV29,SEARCH(";",AV29)+1) - SEARCH(";",AV29) - 1),""),CHAR(10),"")</f>
        <v>Non cumulative – other</v>
      </c>
      <c r="AY29" s="353" t="str">
        <f>CLEAN(IFERROR(SUBSTITUTE(RIGHT(AV29,LEN(AV29) - SEARCH(";", AV29, SEARCH(";",AV29) + 1)),";",""),""))</f>
        <v>Non cumulative - special</v>
      </c>
      <c r="AZ29" s="618" t="str">
        <f>IFERROR(IF(VLOOKUP(B29,'Reference Records'!$F$159:$N$210,9,FALSE)=0,"",VLOOKUP(B29,'Reference Records'!$F$159:$N$210,9,FALSE)),"")</f>
        <v>MCI-00648</v>
      </c>
      <c r="BA29" s="253">
        <f>BA27+1</f>
        <v>854</v>
      </c>
      <c r="BB29" s="428">
        <f>BB27+'update Helper'!$AB$2</f>
        <v>1020</v>
      </c>
      <c r="BD29" s="253" t="str">
        <f ca="1">IF(INDIRECT("'update Helper'!S"&amp;BA29)=0,"",IFERROR(VLOOKUP(INDIRECT("'update Helper'!U"&amp;BA29),'Account Role'!A$1:B$15,2,0), IFERROR(VLOOKUP(INDIRECT("'update Helper'!AD"&amp;BA29),'Overview - Section A'!J$26:P$107,7,0),"")))</f>
        <v/>
      </c>
    </row>
    <row r="30" spans="1:56" s="253" customFormat="1" ht="30" customHeight="1" x14ac:dyDescent="0.35">
      <c r="A30" s="728"/>
      <c r="B30" s="675"/>
      <c r="C30" s="675"/>
      <c r="D30" s="675"/>
      <c r="E30" s="675"/>
      <c r="F30" s="202">
        <v>44972</v>
      </c>
      <c r="G30" s="726"/>
      <c r="H30" s="724"/>
      <c r="I30" s="675"/>
      <c r="J30" s="736"/>
      <c r="K30" s="734"/>
      <c r="L30" s="675"/>
      <c r="M30" s="364" t="s">
        <v>312</v>
      </c>
      <c r="N30" s="738"/>
      <c r="O30" s="202">
        <v>44972</v>
      </c>
      <c r="P30" s="726"/>
      <c r="Q30" s="724"/>
      <c r="R30" s="202">
        <v>44972</v>
      </c>
      <c r="S30" s="726"/>
      <c r="T30" s="724"/>
      <c r="U30" s="202">
        <v>44972</v>
      </c>
      <c r="V30" s="726"/>
      <c r="W30" s="724"/>
      <c r="X30" s="202"/>
      <c r="Y30" s="726"/>
      <c r="Z30" s="724"/>
      <c r="AA30" s="202"/>
      <c r="AB30" s="726"/>
      <c r="AC30" s="724"/>
      <c r="AD30" s="202"/>
      <c r="AE30" s="726"/>
      <c r="AF30" s="724"/>
      <c r="AG30" s="202"/>
      <c r="AH30" s="726"/>
      <c r="AI30" s="724"/>
      <c r="AJ30" s="202"/>
      <c r="AK30" s="726"/>
      <c r="AL30" s="724"/>
      <c r="AM30" s="673"/>
      <c r="AN30" s="673"/>
      <c r="AO30" s="673"/>
      <c r="AP30" s="673"/>
      <c r="AV30" s="212"/>
      <c r="AW30" s="212"/>
      <c r="AX30" s="212"/>
      <c r="AY30" s="353"/>
      <c r="AZ30" s="618"/>
      <c r="BB30" s="212"/>
    </row>
    <row r="31" spans="1:56" s="253" customFormat="1" ht="30" customHeight="1" x14ac:dyDescent="0.35">
      <c r="A31" s="727">
        <v>12</v>
      </c>
      <c r="B31" s="672" t="s">
        <v>3152</v>
      </c>
      <c r="C31" s="674" t="s">
        <v>8634</v>
      </c>
      <c r="D31" s="674" t="s">
        <v>2262</v>
      </c>
      <c r="E31" s="674"/>
      <c r="F31" s="202">
        <v>13193</v>
      </c>
      <c r="G31" s="725">
        <f ca="1">IF(OR(INDIRECT("'update Helper'!D"&amp;BA31)="",F31&lt;&gt;0,F32&lt;&gt;0),IF(IFERROR((F31/F32),"")="","",(F31/F32)),INDIRECT("'update Helper'!D"&amp;BA31)/100)</f>
        <v>0.55117814171122992</v>
      </c>
      <c r="H31" s="723">
        <v>2019</v>
      </c>
      <c r="I31" s="674" t="s">
        <v>9223</v>
      </c>
      <c r="J31" s="735" t="str">
        <f>AQ31</f>
        <v>Edad,Género,Duración del tratamiento,Grupo de riesgo objetivo</v>
      </c>
      <c r="K31" s="733" t="s">
        <v>439</v>
      </c>
      <c r="L31" s="674" t="s">
        <v>1073</v>
      </c>
      <c r="M31" s="205" t="s">
        <v>1070</v>
      </c>
      <c r="N31" s="737"/>
      <c r="O31" s="202">
        <v>19606</v>
      </c>
      <c r="P31" s="725">
        <f ca="1">IF(OR(INDIRECT("'update Helper'!I"&amp;BB31)="",O31&lt;&gt;0,O32&lt;&gt;0),IF(IFERROR((O31/O32),"")="","",(O31/O32)),INDIRECT("'update Helper'!I"&amp;BB31)/100)</f>
        <v>0.72001468968049942</v>
      </c>
      <c r="Q31" s="723"/>
      <c r="R31" s="202">
        <v>21094</v>
      </c>
      <c r="S31" s="725">
        <f ca="1">IF(OR(INDIRECT("'update Helper'!I"&amp;BB31+1)="",R31&lt;&gt;0,R32&lt;&gt;0),IF(IFERROR((R31/R32),"")="","",(R31/R32)),INDIRECT("'update Helper'!I"&amp;BB31+1)/100)</f>
        <v>0.77002263269329052</v>
      </c>
      <c r="T31" s="723"/>
      <c r="U31" s="202">
        <v>22494</v>
      </c>
      <c r="V31" s="725">
        <f ca="1">IF(OR(INDIRECT("'update Helper'!I"&amp;BB31+2)="",U31&lt;&gt;0,U32&lt;&gt;0),IF(IFERROR((U31/U32),"")="","",(U31/U32)),INDIRECT("'update Helper'!I"&amp;BB31+2)/100)</f>
        <v>0.81674594241312948</v>
      </c>
      <c r="W31" s="723"/>
      <c r="X31" s="202"/>
      <c r="Y31" s="725" t="str">
        <f ca="1">IF(A31=INDIRECT("'update Helper'!F"&amp;$BB31+3),IF(OR(INDIRECT("'update Helper'!I"&amp;BB31+3)="",X31&lt;&gt;0,X32&lt;&gt;0),IF(IFERROR((X31/X32),"")="","",(X31/X32)),INDIRECT("'update Helper'!I"&amp;BB31+3)/100),"")</f>
        <v/>
      </c>
      <c r="Z31" s="723"/>
      <c r="AA31" s="202"/>
      <c r="AB31" s="725" t="str">
        <f ca="1">IF(A31=INDIRECT("'update Helper'!F"&amp;$BB31+4),IF(OR(INDIRECT("'update Helper'!I"&amp;BB31+4)="",AA31&lt;&gt;0,AA32&lt;&gt;0),IF(IFERROR((AA31/AA32),"")="","",(AA31/AA32)),INDIRECT("'update Helper'!I"&amp;BB31+4)/100),"")</f>
        <v/>
      </c>
      <c r="AC31" s="723"/>
      <c r="AD31" s="202"/>
      <c r="AE31" s="725" t="str">
        <f ca="1">IF(A31=INDIRECT("'update Helper'!F"&amp;$BB31+5),IF(A31=INDIRECT("'update Helper'!F"&amp;$BB31+5),IF(OR(INDIRECT("'update Helper'!I"&amp;BB31+5)="",AD31&lt;&gt;0,AD32&lt;&gt;0),IF(IFERROR((AD31/AD32),"")="","",(AD31/AD32)),INDIRECT("'update Helper'!I"&amp;BB31+5)/100),""),"")</f>
        <v/>
      </c>
      <c r="AF31" s="723"/>
      <c r="AG31" s="202"/>
      <c r="AH31" s="725" t="str">
        <f ca="1">IF(A31=INDIRECT("'update Helper'!F"&amp;$BB31+6),IF(OR(INDIRECT("'update Helper'!I"&amp;BB31+6)="",AG31&lt;&gt;0,AG32&lt;&gt;0),IF(IFERROR((AG31/AG32),"")="","",(AG31/AG32)),INDIRECT("'update Helper'!I"&amp;BB31+6)/100),"")</f>
        <v/>
      </c>
      <c r="AI31" s="723"/>
      <c r="AJ31" s="202"/>
      <c r="AK31" s="725" t="str">
        <f ca="1">IF(A31=INDIRECT("'update Helper'!F"&amp;$BB31+6),IF(OR(INDIRECT("'update Helper'!I"&amp;BB31+7)="",AJ31&lt;&gt;0,AJ32&lt;&gt;0),IF(IFERROR((AJ31/AJ32),"")="","",(AJ31/AJ32)),INDIRECT("'update Helper'!I"&amp;BB31+7)/100),"")</f>
        <v/>
      </c>
      <c r="AL31" s="723"/>
      <c r="AM31" s="674" t="s">
        <v>9496</v>
      </c>
      <c r="AN31" s="674"/>
      <c r="AO31" s="674" t="s">
        <v>9223</v>
      </c>
      <c r="AP31" s="674" t="s">
        <v>9495</v>
      </c>
      <c r="AQ31" s="253" t="str">
        <f t="array" ref="AQ31">IFERROR(IF(INDEX('Reference Records'!$D$79:$D$156,MATCH(LEFT(D31,255),LEFT('Reference Records'!$C$79:$C$156,255),0))=0,"",INDEX('Reference Records'!$D$79:$D$156,MATCH(LEFT(D31,255),LEFT('Reference Records'!$C$79:$C$156,255),0))),"")</f>
        <v>Edad,Género,Duración del tratamiento,Grupo de riesgo objetivo</v>
      </c>
      <c r="AR31" s="196" t="str">
        <f t="array" ref="AR31">VLOOKUP(LEFT(D31,255),LEFT('Reference Records'!C$78:G339,255),4,0)</f>
        <v>MCI-01073</v>
      </c>
      <c r="AS31" s="196">
        <f>MATCH(AR31,'Reference Records'!$F$621:$F$699,0)+ROW(PopulationByCoverage)-1</f>
        <v>652</v>
      </c>
      <c r="AT31" s="196">
        <f>MATCH(AR31,'Reference Records'!$F$621:$F$699,1)+ROW(PopulationByCoverage)-1</f>
        <v>652</v>
      </c>
      <c r="AU31" s="253" t="str">
        <f>D31&amp;E31</f>
        <v>TCS-1.1⁽ᴹ⁾ Porcentaje de personas en TARV entre todas las personas viviendo con VIH al final del período de reporte</v>
      </c>
      <c r="AV31" s="212" t="str">
        <f t="array" ref="AV31">IFERROR(IF(VLOOKUP(LEFT(D31,255),LEFT('Reference Records'!$C$1:$K$724,255),9,0)=0,"",CONCATENATE(VLOOKUP(LEFT(D31,255),LEFT('Reference Records'!$C$1:$K$724,255),9,0),";")),"")</f>
        <v>Non cumulative – other;</v>
      </c>
      <c r="AW31" s="212" t="str">
        <f>CLEAN(IFERROR(LEFT(AV31, SEARCH(";",AV31,1)-1),""))</f>
        <v>Non cumulative – other</v>
      </c>
      <c r="AX31" s="212" t="str">
        <f>SUBSTITUTE(IFERROR(MID(AV31, SEARCH(";",AV31) + 1, SEARCH(";",AV31,SEARCH(";",AV31)+1) - SEARCH(";",AV31) - 1),""),CHAR(10),"")</f>
        <v/>
      </c>
      <c r="AY31" s="353" t="str">
        <f>CLEAN(IFERROR(SUBSTITUTE(RIGHT(AV31,LEN(AV31) - SEARCH(";", AV31, SEARCH(";",AV31) + 1)),";",""),""))</f>
        <v/>
      </c>
      <c r="AZ31" s="618" t="str">
        <f>IFERROR(IF(VLOOKUP(B31,'Reference Records'!$F$159:$N$210,9,FALSE)=0,"",VLOOKUP(B31,'Reference Records'!$F$159:$N$210,9,FALSE)),"")</f>
        <v>MCI-00651</v>
      </c>
      <c r="BA31" s="253">
        <f>BA29+1</f>
        <v>855</v>
      </c>
      <c r="BB31" s="428">
        <f>BB29+'update Helper'!$AB$2</f>
        <v>1028</v>
      </c>
      <c r="BD31" s="253" t="str">
        <f ca="1">IF(INDIRECT("'update Helper'!S"&amp;BA31)=0,"",IFERROR(VLOOKUP(INDIRECT("'update Helper'!U"&amp;BA31),'Account Role'!A$1:B$15,2,0), IFERROR(VLOOKUP(INDIRECT("'update Helper'!AD"&amp;BA31),'Overview - Section A'!J$26:P$107,7,0),"")))</f>
        <v/>
      </c>
    </row>
    <row r="32" spans="1:56" s="253" customFormat="1" ht="30" customHeight="1" x14ac:dyDescent="0.35">
      <c r="A32" s="728"/>
      <c r="B32" s="673"/>
      <c r="C32" s="675"/>
      <c r="D32" s="675"/>
      <c r="E32" s="675"/>
      <c r="F32" s="202">
        <v>23936</v>
      </c>
      <c r="G32" s="726"/>
      <c r="H32" s="724"/>
      <c r="I32" s="675"/>
      <c r="J32" s="736"/>
      <c r="K32" s="734"/>
      <c r="L32" s="675"/>
      <c r="M32" s="527" t="s">
        <v>312</v>
      </c>
      <c r="N32" s="738"/>
      <c r="O32" s="202">
        <v>27230</v>
      </c>
      <c r="P32" s="726"/>
      <c r="Q32" s="724"/>
      <c r="R32" s="202">
        <v>27394</v>
      </c>
      <c r="S32" s="726"/>
      <c r="T32" s="724"/>
      <c r="U32" s="202">
        <v>27541</v>
      </c>
      <c r="V32" s="726"/>
      <c r="W32" s="724"/>
      <c r="X32" s="202"/>
      <c r="Y32" s="726"/>
      <c r="Z32" s="724"/>
      <c r="AA32" s="202"/>
      <c r="AB32" s="726"/>
      <c r="AC32" s="724"/>
      <c r="AD32" s="202"/>
      <c r="AE32" s="726"/>
      <c r="AF32" s="724"/>
      <c r="AG32" s="202"/>
      <c r="AH32" s="726"/>
      <c r="AI32" s="724"/>
      <c r="AJ32" s="202"/>
      <c r="AK32" s="726"/>
      <c r="AL32" s="724"/>
      <c r="AM32" s="675"/>
      <c r="AN32" s="675"/>
      <c r="AO32" s="675"/>
      <c r="AP32" s="675"/>
      <c r="AV32" s="212"/>
      <c r="AW32" s="212"/>
      <c r="AX32" s="212"/>
      <c r="AY32" s="353"/>
      <c r="AZ32" s="618"/>
      <c r="BB32" s="212"/>
    </row>
    <row r="33" spans="1:56" s="253" customFormat="1" ht="30" customHeight="1" x14ac:dyDescent="0.35">
      <c r="A33" s="727">
        <v>13</v>
      </c>
      <c r="B33" s="674" t="s">
        <v>3020</v>
      </c>
      <c r="C33" s="674" t="s">
        <v>1856</v>
      </c>
      <c r="D33" s="674" t="s">
        <v>3184</v>
      </c>
      <c r="E33" s="674"/>
      <c r="F33" s="202"/>
      <c r="G33" s="725"/>
      <c r="H33" s="723"/>
      <c r="I33" s="674"/>
      <c r="J33" s="735" t="str">
        <f>AQ33</f>
        <v/>
      </c>
      <c r="K33" s="733" t="s">
        <v>439</v>
      </c>
      <c r="L33" s="674" t="s">
        <v>1073</v>
      </c>
      <c r="M33" s="205" t="s">
        <v>1070</v>
      </c>
      <c r="N33" s="737"/>
      <c r="O33" s="529">
        <v>1316</v>
      </c>
      <c r="P33" s="731">
        <f ca="1">IF(OR(INDIRECT("'update Helper'!I"&amp;BB33)="",O33&lt;&gt;0,O34&lt;&gt;0),IF(IFERROR((O33/O34),"")="","",(O33/O34)),INDIRECT("'update Helper'!I"&amp;BB33)/100)</f>
        <v>0.7</v>
      </c>
      <c r="Q33" s="733"/>
      <c r="R33" s="529">
        <v>2849</v>
      </c>
      <c r="S33" s="731">
        <f ca="1">IF(OR(INDIRECT("'update Helper'!I"&amp;BB33+1)="",R33&lt;&gt;0,R34&lt;&gt;0),IF(IFERROR((R33/R34),"")="","",(R33/R34)),INDIRECT("'update Helper'!I"&amp;BB33+1)/100)</f>
        <v>0.74993419320873911</v>
      </c>
      <c r="T33" s="733"/>
      <c r="U33" s="529">
        <v>5117</v>
      </c>
      <c r="V33" s="725">
        <f ca="1">IF(OR(INDIRECT("'update Helper'!I"&amp;BB33+2)="",U33&lt;&gt;0,U34&lt;&gt;0),IF(IFERROR((U33/U34),"")="","",(U33/U34)),INDIRECT("'update Helper'!I"&amp;BB33+2)/100)</f>
        <v>0.80003126954346471</v>
      </c>
      <c r="W33" s="723"/>
      <c r="X33" s="202"/>
      <c r="Y33" s="725" t="str">
        <f ca="1">IF(A33=INDIRECT("'update Helper'!F"&amp;$BB33+3),IF(OR(INDIRECT("'update Helper'!I"&amp;BB33+3)="",X33&lt;&gt;0,X34&lt;&gt;0),IF(IFERROR((X33/X34),"")="","",(X33/X34)),INDIRECT("'update Helper'!I"&amp;BB33+3)/100),"")</f>
        <v/>
      </c>
      <c r="Z33" s="723"/>
      <c r="AA33" s="202"/>
      <c r="AB33" s="725" t="str">
        <f ca="1">IF(A33=INDIRECT("'update Helper'!F"&amp;$BB33+4),IF(OR(INDIRECT("'update Helper'!I"&amp;BB33+4)="",AA33&lt;&gt;0,AA34&lt;&gt;0),IF(IFERROR((AA33/AA34),"")="","",(AA33/AA34)),INDIRECT("'update Helper'!I"&amp;BB33+4)/100),"")</f>
        <v/>
      </c>
      <c r="AC33" s="723"/>
      <c r="AD33" s="202"/>
      <c r="AE33" s="725" t="str">
        <f ca="1">IF(A33=INDIRECT("'update Helper'!F"&amp;$BB33+5),IF(A33=INDIRECT("'update Helper'!F"&amp;$BB33+5),IF(OR(INDIRECT("'update Helper'!I"&amp;BB33+5)="",AD33&lt;&gt;0,AD34&lt;&gt;0),IF(IFERROR((AD33/AD34),"")="","",(AD33/AD34)),INDIRECT("'update Helper'!I"&amp;BB33+5)/100),""),"")</f>
        <v/>
      </c>
      <c r="AF33" s="723"/>
      <c r="AG33" s="202"/>
      <c r="AH33" s="725" t="str">
        <f ca="1">IF(A33=INDIRECT("'update Helper'!F"&amp;$BB33+6),IF(OR(INDIRECT("'update Helper'!I"&amp;BB33+6)="",AG33&lt;&gt;0,AG34&lt;&gt;0),IF(IFERROR((AG33/AG34),"")="","",(AG33/AG34)),INDIRECT("'update Helper'!I"&amp;BB33+6)/100),"")</f>
        <v/>
      </c>
      <c r="AI33" s="723"/>
      <c r="AJ33" s="202"/>
      <c r="AK33" s="725" t="str">
        <f ca="1">IF(A33=INDIRECT("'update Helper'!F"&amp;$BB33+6),IF(OR(INDIRECT("'update Helper'!I"&amp;BB33+7)="",AJ33&lt;&gt;0,AJ34&lt;&gt;0),IF(IFERROR((AJ33/AJ34),"")="","",(AJ33/AJ34)),INDIRECT("'update Helper'!I"&amp;BB33+7)/100),"")</f>
        <v/>
      </c>
      <c r="AL33" s="723"/>
      <c r="AM33" s="672" t="s">
        <v>11231</v>
      </c>
      <c r="AN33" s="674"/>
      <c r="AO33" s="674"/>
      <c r="AP33" s="672" t="s">
        <v>11220</v>
      </c>
      <c r="AQ33" s="253" t="str">
        <f t="array" ref="AQ33">IFERROR(IF(INDEX('Reference Records'!$D$79:$D$156,MATCH(LEFT(D33,255),LEFT('Reference Records'!$C$79:$C$156,255),0))=0,"",INDEX('Reference Records'!$D$79:$D$156,MATCH(LEFT(D33,255),LEFT('Reference Records'!$C$79:$C$156,255),0))),"")</f>
        <v/>
      </c>
      <c r="AR33" s="196" t="str">
        <f t="array" ref="AR33">VLOOKUP(LEFT(D33,255),LEFT('Reference Records'!C$78:G341,255),4,0)</f>
        <v>MCI-01053</v>
      </c>
      <c r="AS33" s="196">
        <f>MATCH(AR33,'Reference Records'!$F$621:$F$699,0)+ROW(PopulationByCoverage)-1</f>
        <v>632</v>
      </c>
      <c r="AT33" s="196">
        <f>MATCH(AR33,'Reference Records'!$F$621:$F$699,1)+ROW(PopulationByCoverage)-1</f>
        <v>632</v>
      </c>
      <c r="AU33" s="253" t="str">
        <f>D33&amp;E33</f>
        <v>KP-6a Porcentaje de HSH elegibles que iniciaron PrEP durante el período de reporte</v>
      </c>
      <c r="AV33" s="212" t="str">
        <f t="array" ref="AV33">IFERROR(IF(VLOOKUP(LEFT(D33,255),LEFT('Reference Records'!$C$1:$K$724,255),9,0)=0,"",CONCATENATE(VLOOKUP(LEFT(D33,255),LEFT('Reference Records'!$C$1:$K$724,255),9,0),";")),"")</f>
        <v>Non cumulative;</v>
      </c>
      <c r="AW33" s="212" t="str">
        <f>CLEAN(IFERROR(LEFT(AV33, SEARCH(";",AV33,1)-1),""))</f>
        <v>Non cumulative</v>
      </c>
      <c r="AX33" s="212" t="str">
        <f>SUBSTITUTE(IFERROR(MID(AV33, SEARCH(";",AV33) + 1, SEARCH(";",AV33,SEARCH(";",AV33)+1) - SEARCH(";",AV33) - 1),""),CHAR(10),"")</f>
        <v/>
      </c>
      <c r="AY33" s="353" t="str">
        <f>CLEAN(IFERROR(SUBSTITUTE(RIGHT(AV33,LEN(AV33) - SEARCH(";", AV33, SEARCH(";",AV33) + 1)),";",""),""))</f>
        <v/>
      </c>
      <c r="AZ33" s="618" t="str">
        <f>IFERROR(IF(VLOOKUP(B33,'Reference Records'!$F$159:$N$210,9,FALSE)=0,"",VLOOKUP(B33,'Reference Records'!$F$159:$N$210,9,FALSE)),"")</f>
        <v>MCI-00648</v>
      </c>
      <c r="BA33" s="253">
        <f>BA31+1</f>
        <v>856</v>
      </c>
      <c r="BB33" s="428">
        <f>BB31+'update Helper'!$AB$2</f>
        <v>1036</v>
      </c>
      <c r="BD33" s="253" t="str">
        <f ca="1">IF(INDIRECT("'update Helper'!S"&amp;BA33)=0,"",IFERROR(VLOOKUP(INDIRECT("'update Helper'!U"&amp;BA33),'Account Role'!A$1:B$15,2,0), IFERROR(VLOOKUP(INDIRECT("'update Helper'!AD"&amp;BA33),'Overview - Section A'!J$26:P$107,7,0),"")))</f>
        <v/>
      </c>
    </row>
    <row r="34" spans="1:56" s="253" customFormat="1" ht="30" customHeight="1" x14ac:dyDescent="0.35">
      <c r="A34" s="728"/>
      <c r="B34" s="675"/>
      <c r="C34" s="675"/>
      <c r="D34" s="675"/>
      <c r="E34" s="675"/>
      <c r="F34" s="202"/>
      <c r="G34" s="726"/>
      <c r="H34" s="724"/>
      <c r="I34" s="675"/>
      <c r="J34" s="736"/>
      <c r="K34" s="734"/>
      <c r="L34" s="675"/>
      <c r="M34" s="527" t="s">
        <v>312</v>
      </c>
      <c r="N34" s="738"/>
      <c r="O34" s="529">
        <v>1880</v>
      </c>
      <c r="P34" s="732"/>
      <c r="Q34" s="734"/>
      <c r="R34" s="529">
        <v>3799</v>
      </c>
      <c r="S34" s="732"/>
      <c r="T34" s="734"/>
      <c r="U34" s="529">
        <v>6396</v>
      </c>
      <c r="V34" s="726"/>
      <c r="W34" s="724"/>
      <c r="X34" s="202"/>
      <c r="Y34" s="726"/>
      <c r="Z34" s="724"/>
      <c r="AA34" s="202"/>
      <c r="AB34" s="726"/>
      <c r="AC34" s="724"/>
      <c r="AD34" s="202"/>
      <c r="AE34" s="726"/>
      <c r="AF34" s="724"/>
      <c r="AG34" s="202"/>
      <c r="AH34" s="726"/>
      <c r="AI34" s="724"/>
      <c r="AJ34" s="202"/>
      <c r="AK34" s="726"/>
      <c r="AL34" s="724"/>
      <c r="AM34" s="673"/>
      <c r="AN34" s="675"/>
      <c r="AO34" s="675"/>
      <c r="AP34" s="673"/>
      <c r="AV34" s="212"/>
      <c r="AW34" s="212"/>
      <c r="AX34" s="212"/>
      <c r="AY34" s="353"/>
      <c r="AZ34" s="618"/>
      <c r="BB34" s="212"/>
    </row>
    <row r="35" spans="1:56" s="253" customFormat="1" ht="30" customHeight="1" x14ac:dyDescent="0.35">
      <c r="A35" s="727">
        <v>14</v>
      </c>
      <c r="B35" s="674" t="s">
        <v>3020</v>
      </c>
      <c r="C35" s="674" t="s">
        <v>8423</v>
      </c>
      <c r="D35" s="674" t="s">
        <v>3189</v>
      </c>
      <c r="E35" s="674"/>
      <c r="F35" s="202"/>
      <c r="G35" s="739" t="str">
        <f ca="1">IF(OR(INDIRECT("'update Helper'!D"&amp;BA35)="",F35&lt;&gt;0,F36&lt;&gt;0),IF(IFERROR((F35/F36),"")="","",(F35/F36)),INDIRECT("'update Helper'!D"&amp;BA35)/100)</f>
        <v/>
      </c>
      <c r="H35" s="723"/>
      <c r="I35" s="674"/>
      <c r="J35" s="735" t="str">
        <f>AQ35</f>
        <v/>
      </c>
      <c r="K35" s="733" t="s">
        <v>439</v>
      </c>
      <c r="L35" s="674" t="s">
        <v>1073</v>
      </c>
      <c r="M35" s="205" t="s">
        <v>1070</v>
      </c>
      <c r="N35" s="737"/>
      <c r="O35" s="529">
        <v>77</v>
      </c>
      <c r="P35" s="731">
        <f ca="1">IF(OR(INDIRECT("'update Helper'!I"&amp;BB35)="",O35&lt;&gt;0,O36&lt;&gt;0),IF(IFERROR((O35/O36),"")="","",(O35/O36)),INDIRECT("'update Helper'!I"&amp;BB35)/100)</f>
        <v>0.7</v>
      </c>
      <c r="Q35" s="733"/>
      <c r="R35" s="529">
        <v>167</v>
      </c>
      <c r="S35" s="731">
        <f ca="1">IF(OR(INDIRECT("'update Helper'!I"&amp;BB35+1)="",R35&lt;&gt;0,R36&lt;&gt;0),IF(IFERROR((R35/R36),"")="","",(R35/R36)),INDIRECT("'update Helper'!I"&amp;BB35+1)/100)</f>
        <v>0.7488789237668162</v>
      </c>
      <c r="T35" s="733"/>
      <c r="U35" s="529">
        <v>300</v>
      </c>
      <c r="V35" s="725">
        <f ca="1">IF(OR(INDIRECT("'update Helper'!I"&amp;BB35+2)="",U35&lt;&gt;0,U36&lt;&gt;0),IF(IFERROR((U35/U36),"")="","",(U35/U36)),INDIRECT("'update Helper'!I"&amp;BB35+2)/100)</f>
        <v>0.8</v>
      </c>
      <c r="W35" s="723"/>
      <c r="X35" s="202"/>
      <c r="Y35" s="725" t="str">
        <f ca="1">IF(A35=INDIRECT("'update Helper'!F"&amp;$BB35+3),IF(OR(INDIRECT("'update Helper'!I"&amp;BB35+3)="",X35&lt;&gt;0,X36&lt;&gt;0),IF(IFERROR((X35/X36),"")="","",(X35/X36)),INDIRECT("'update Helper'!I"&amp;BB35+3)/100),"")</f>
        <v/>
      </c>
      <c r="Z35" s="723"/>
      <c r="AA35" s="202"/>
      <c r="AB35" s="725" t="str">
        <f ca="1">IF(A35=INDIRECT("'update Helper'!F"&amp;$BB35+4),IF(OR(INDIRECT("'update Helper'!I"&amp;BB35+4)="",AA35&lt;&gt;0,AA36&lt;&gt;0),IF(IFERROR((AA35/AA36),"")="","",(AA35/AA36)),INDIRECT("'update Helper'!I"&amp;BB35+4)/100),"")</f>
        <v/>
      </c>
      <c r="AC35" s="723"/>
      <c r="AD35" s="202"/>
      <c r="AE35" s="725" t="str">
        <f ca="1">IF(A35=INDIRECT("'update Helper'!F"&amp;$BB35+5),IF(A35=INDIRECT("'update Helper'!F"&amp;$BB35+5),IF(OR(INDIRECT("'update Helper'!I"&amp;BB35+5)="",AD35&lt;&gt;0,AD36&lt;&gt;0),IF(IFERROR((AD35/AD36),"")="","",(AD35/AD36)),INDIRECT("'update Helper'!I"&amp;BB35+5)/100),""),"")</f>
        <v/>
      </c>
      <c r="AF35" s="723"/>
      <c r="AG35" s="202"/>
      <c r="AH35" s="725" t="str">
        <f ca="1">IF(A35=INDIRECT("'update Helper'!F"&amp;$BB35+6),IF(OR(INDIRECT("'update Helper'!I"&amp;BB35+6)="",AG35&lt;&gt;0,AG36&lt;&gt;0),IF(IFERROR((AG35/AG36),"")="","",(AG35/AG36)),INDIRECT("'update Helper'!I"&amp;BB35+6)/100),"")</f>
        <v/>
      </c>
      <c r="AI35" s="723"/>
      <c r="AJ35" s="202"/>
      <c r="AK35" s="725" t="str">
        <f ca="1">IF(A35=INDIRECT("'update Helper'!F"&amp;$BB35+6),IF(OR(INDIRECT("'update Helper'!I"&amp;BB35+7)="",AJ35&lt;&gt;0,AJ36&lt;&gt;0),IF(IFERROR((AJ35/AJ36),"")="","",(AJ35/AJ36)),INDIRECT("'update Helper'!I"&amp;BB35+7)/100),"")</f>
        <v/>
      </c>
      <c r="AL35" s="723"/>
      <c r="AM35" s="672" t="s">
        <v>11230</v>
      </c>
      <c r="AN35" s="674"/>
      <c r="AO35" s="674"/>
      <c r="AP35" s="672" t="s">
        <v>11221</v>
      </c>
      <c r="AQ35" s="253" t="str">
        <f t="array" ref="AQ35">IFERROR(IF(INDEX('Reference Records'!$D$79:$D$156,MATCH(LEFT(D35,255),LEFT('Reference Records'!$C$79:$C$156,255),0))=0,"",INDEX('Reference Records'!$D$79:$D$156,MATCH(LEFT(D35,255),LEFT('Reference Records'!$C$79:$C$156,255),0))),"")</f>
        <v/>
      </c>
      <c r="AR35" s="196" t="str">
        <f t="array" ref="AR35">VLOOKUP(LEFT(D35,255),LEFT('Reference Records'!C$78:G343,255),4,0)</f>
        <v>MCI-01054</v>
      </c>
      <c r="AS35" s="196">
        <f>MATCH(AR35,'Reference Records'!$F$621:$F$699,0)+ROW(PopulationByCoverage)-1</f>
        <v>633</v>
      </c>
      <c r="AT35" s="196">
        <f>MATCH(AR35,'Reference Records'!$F$621:$F$699,1)+ROW(PopulationByCoverage)-1</f>
        <v>633</v>
      </c>
      <c r="AU35" s="253" t="str">
        <f>D35&amp;E35</f>
        <v>KP-6b Porcentaje de personas transgénero elegibles que iniciaron PrEP durante el período de reporte</v>
      </c>
      <c r="AV35" s="212" t="str">
        <f t="array" ref="AV35">IFERROR(IF(VLOOKUP(LEFT(D35,255),LEFT('Reference Records'!$C$1:$K$724,255),9,0)=0,"",CONCATENATE(VLOOKUP(LEFT(D35,255),LEFT('Reference Records'!$C$1:$K$724,255),9,0),";")),"")</f>
        <v>Non cumulative;</v>
      </c>
      <c r="AW35" s="212" t="str">
        <f>CLEAN(IFERROR(LEFT(AV35, SEARCH(";",AV35,1)-1),""))</f>
        <v>Non cumulative</v>
      </c>
      <c r="AX35" s="212" t="str">
        <f>SUBSTITUTE(IFERROR(MID(AV35, SEARCH(";",AV35) + 1, SEARCH(";",AV35,SEARCH(";",AV35)+1) - SEARCH(";",AV35) - 1),""),CHAR(10),"")</f>
        <v/>
      </c>
      <c r="AY35" s="353" t="str">
        <f>CLEAN(IFERROR(SUBSTITUTE(RIGHT(AV35,LEN(AV35) - SEARCH(";", AV35, SEARCH(";",AV35) + 1)),";",""),""))</f>
        <v/>
      </c>
      <c r="AZ35" s="618" t="str">
        <f>IFERROR(IF(VLOOKUP(B35,'Reference Records'!$F$159:$N$210,9,FALSE)=0,"",VLOOKUP(B35,'Reference Records'!$F$159:$N$210,9,FALSE)),"")</f>
        <v>MCI-00648</v>
      </c>
      <c r="BA35" s="253">
        <f>BA33+1</f>
        <v>857</v>
      </c>
      <c r="BB35" s="428">
        <f>BB33+'update Helper'!$AB$2</f>
        <v>1044</v>
      </c>
      <c r="BD35" s="253" t="str">
        <f ca="1">IF(INDIRECT("'update Helper'!S"&amp;BA35)=0,"",IFERROR(VLOOKUP(INDIRECT("'update Helper'!U"&amp;BA35),'Account Role'!A$1:B$15,2,0), IFERROR(VLOOKUP(INDIRECT("'update Helper'!AD"&amp;BA35),'Overview - Section A'!J$26:P$107,7,0),"")))</f>
        <v/>
      </c>
    </row>
    <row r="36" spans="1:56" s="253" customFormat="1" ht="30" customHeight="1" x14ac:dyDescent="0.35">
      <c r="A36" s="728"/>
      <c r="B36" s="675"/>
      <c r="C36" s="675"/>
      <c r="D36" s="675"/>
      <c r="E36" s="675"/>
      <c r="F36" s="202"/>
      <c r="G36" s="740"/>
      <c r="H36" s="724"/>
      <c r="I36" s="675"/>
      <c r="J36" s="736"/>
      <c r="K36" s="734"/>
      <c r="L36" s="675"/>
      <c r="M36" s="527" t="s">
        <v>312</v>
      </c>
      <c r="N36" s="738"/>
      <c r="O36" s="529">
        <v>110</v>
      </c>
      <c r="P36" s="732"/>
      <c r="Q36" s="734"/>
      <c r="R36" s="529">
        <v>223</v>
      </c>
      <c r="S36" s="732"/>
      <c r="T36" s="734"/>
      <c r="U36" s="529">
        <v>375</v>
      </c>
      <c r="V36" s="726"/>
      <c r="W36" s="724"/>
      <c r="X36" s="202"/>
      <c r="Y36" s="726"/>
      <c r="Z36" s="724"/>
      <c r="AA36" s="202"/>
      <c r="AB36" s="726"/>
      <c r="AC36" s="724"/>
      <c r="AD36" s="202"/>
      <c r="AE36" s="726"/>
      <c r="AF36" s="724"/>
      <c r="AG36" s="202"/>
      <c r="AH36" s="726"/>
      <c r="AI36" s="724"/>
      <c r="AJ36" s="202"/>
      <c r="AK36" s="726"/>
      <c r="AL36" s="724"/>
      <c r="AM36" s="673"/>
      <c r="AN36" s="675"/>
      <c r="AO36" s="675"/>
      <c r="AP36" s="673"/>
      <c r="AV36" s="212"/>
      <c r="AW36" s="212"/>
      <c r="AX36" s="212"/>
      <c r="AY36" s="353"/>
      <c r="AZ36" s="618"/>
      <c r="BB36" s="212"/>
    </row>
    <row r="37" spans="1:56" s="253" customFormat="1" ht="30" customHeight="1" x14ac:dyDescent="0.35">
      <c r="A37" s="727">
        <v>15</v>
      </c>
      <c r="B37" s="729" t="s">
        <v>2996</v>
      </c>
      <c r="C37" s="729" t="s">
        <v>8558</v>
      </c>
      <c r="D37" s="729" t="s">
        <v>2244</v>
      </c>
      <c r="E37" s="539"/>
      <c r="F37" s="529">
        <v>153</v>
      </c>
      <c r="G37" s="731">
        <v>0.18</v>
      </c>
      <c r="H37" s="733">
        <v>2020</v>
      </c>
      <c r="I37" s="672" t="s">
        <v>9223</v>
      </c>
      <c r="J37" s="735" t="str">
        <f>AQ37</f>
        <v>Género,Grupo de riesgo objetivo</v>
      </c>
      <c r="K37" s="733" t="s">
        <v>439</v>
      </c>
      <c r="L37" s="674" t="s">
        <v>1073</v>
      </c>
      <c r="M37" s="540" t="s">
        <v>1070</v>
      </c>
      <c r="N37" s="737"/>
      <c r="O37" s="202"/>
      <c r="P37" s="731">
        <v>0.23</v>
      </c>
      <c r="Q37" s="723"/>
      <c r="R37" s="202"/>
      <c r="S37" s="731">
        <v>0.3</v>
      </c>
      <c r="T37" s="723"/>
      <c r="U37" s="202"/>
      <c r="V37" s="731">
        <v>0.4</v>
      </c>
      <c r="W37" s="723"/>
      <c r="X37" s="202"/>
      <c r="Y37" s="725"/>
      <c r="Z37" s="723"/>
      <c r="AA37" s="202"/>
      <c r="AB37" s="725"/>
      <c r="AC37" s="723"/>
      <c r="AD37" s="202"/>
      <c r="AE37" s="725"/>
      <c r="AF37" s="723"/>
      <c r="AG37" s="202"/>
      <c r="AH37" s="725"/>
      <c r="AI37" s="723"/>
      <c r="AJ37" s="202"/>
      <c r="AK37" s="725"/>
      <c r="AL37" s="723"/>
      <c r="AM37" s="672" t="s">
        <v>11243</v>
      </c>
      <c r="AN37" s="634"/>
      <c r="AO37" s="721" t="s">
        <v>9223</v>
      </c>
      <c r="AP37" s="943" t="s">
        <v>11252</v>
      </c>
      <c r="AQ37" s="253" t="str">
        <f t="array" ref="AQ37">IFERROR(IF(INDEX('Reference Records'!$D$79:$D$156,MATCH(LEFT(D37,255),LEFT('Reference Records'!$C$79:$C$156,255),0))=0,"",INDEX('Reference Records'!$D$79:$D$156,MATCH(LEFT(D37,255),LEFT('Reference Records'!$C$79:$C$156,255),0))),"")</f>
        <v>Género,Grupo de riesgo objetivo</v>
      </c>
      <c r="AR37" s="196" t="str">
        <f t="array" ref="AR37">VLOOKUP(LEFT(D37,255),LEFT('Reference Records'!C$78:G345,255),4,0)</f>
        <v>MCI-01072</v>
      </c>
      <c r="AS37" s="196">
        <f>MATCH(AR37,'Reference Records'!$F$621:$F$699,0)+ROW(PopulationByCoverage)-1</f>
        <v>651</v>
      </c>
      <c r="AT37" s="196">
        <f>MATCH(AR37,'Reference Records'!$F$621:$F$699,1)+ROW(PopulationByCoverage)-1</f>
        <v>651</v>
      </c>
      <c r="AU37" s="253" t="str">
        <f>D37&amp;E39</f>
        <v>HTS-5 Porcentaje de personas con diagnóstico nuevo de VIH que han iniciado terapia antirretroviral</v>
      </c>
      <c r="AV37" s="212" t="str">
        <f t="array" ref="AV37">IFERROR(IF(VLOOKUP(LEFT(D37,255),LEFT('Reference Records'!$C$1:$K$724,255),9,0)=0,"",CONCATENATE(VLOOKUP(LEFT(D37,255),LEFT('Reference Records'!$C$1:$K$724,255),9,0),";")),"")</f>
        <v>Non cumulative;</v>
      </c>
      <c r="AW37" s="212" t="str">
        <f>CLEAN(IFERROR(LEFT(AV37, SEARCH(";",AV37,1)-1),""))</f>
        <v>Non cumulative</v>
      </c>
      <c r="AX37" s="212" t="str">
        <f>SUBSTITUTE(IFERROR(MID(AV37, SEARCH(";",AV37) + 1, SEARCH(";",AV37,SEARCH(";",AV37)+1) - SEARCH(";",AV37) - 1),""),CHAR(10),"")</f>
        <v/>
      </c>
      <c r="AY37" s="353" t="str">
        <f>CLEAN(IFERROR(SUBSTITUTE(RIGHT(AV37,LEN(AV37) - SEARCH(";", AV37, SEARCH(";",AV37) + 1)),";",""),""))</f>
        <v/>
      </c>
      <c r="AZ37" s="618" t="str">
        <f>IFERROR(IF(VLOOKUP(B37,'Reference Records'!$F$159:$N$210,9,FALSE)=0,"",VLOOKUP(B37,'Reference Records'!$F$159:$N$210,9,FALSE)),"")</f>
        <v>MCI-00650</v>
      </c>
      <c r="BA37" s="253">
        <f t="shared" ref="BA37:BA67" si="0">BA35+1</f>
        <v>858</v>
      </c>
      <c r="BB37" s="428">
        <f>BB35+'update Helper'!$AB$2</f>
        <v>1052</v>
      </c>
      <c r="BD37" s="253" t="str">
        <f ca="1">IF(INDIRECT("'update Helper'!S"&amp;BA37)=0,"",IFERROR(VLOOKUP(INDIRECT("'update Helper'!U"&amp;BA37),'Account Role'!A$1:B$15,2,0), IFERROR(VLOOKUP(INDIRECT("'update Helper'!AD"&amp;BA37),'Overview - Section A'!J$26:P$107,7,0),"")))</f>
        <v/>
      </c>
    </row>
    <row r="38" spans="1:56" s="253" customFormat="1" ht="30" customHeight="1" x14ac:dyDescent="0.35">
      <c r="A38" s="728"/>
      <c r="B38" s="730"/>
      <c r="C38" s="730"/>
      <c r="D38" s="730"/>
      <c r="E38" s="539"/>
      <c r="F38" s="529">
        <v>862</v>
      </c>
      <c r="G38" s="732"/>
      <c r="H38" s="734"/>
      <c r="I38" s="673"/>
      <c r="J38" s="736"/>
      <c r="K38" s="734"/>
      <c r="L38" s="675"/>
      <c r="M38" s="541" t="s">
        <v>312</v>
      </c>
      <c r="N38" s="738"/>
      <c r="O38" s="202"/>
      <c r="P38" s="732"/>
      <c r="Q38" s="724"/>
      <c r="R38" s="202"/>
      <c r="S38" s="732"/>
      <c r="T38" s="724"/>
      <c r="U38" s="202"/>
      <c r="V38" s="732"/>
      <c r="W38" s="724"/>
      <c r="X38" s="202"/>
      <c r="Y38" s="726"/>
      <c r="Z38" s="724"/>
      <c r="AA38" s="202"/>
      <c r="AB38" s="726"/>
      <c r="AC38" s="724"/>
      <c r="AD38" s="202"/>
      <c r="AE38" s="726"/>
      <c r="AF38" s="724"/>
      <c r="AG38" s="202"/>
      <c r="AH38" s="726"/>
      <c r="AI38" s="724"/>
      <c r="AJ38" s="202"/>
      <c r="AK38" s="726"/>
      <c r="AL38" s="724"/>
      <c r="AM38" s="673"/>
      <c r="AN38" s="635"/>
      <c r="AO38" s="722"/>
      <c r="AP38" s="944"/>
      <c r="AV38" s="212"/>
      <c r="AW38" s="212"/>
      <c r="AX38" s="212"/>
      <c r="AY38" s="353"/>
      <c r="AZ38" s="618"/>
      <c r="BB38" s="212"/>
    </row>
    <row r="39" spans="1:56" s="253" customFormat="1" ht="30" customHeight="1" x14ac:dyDescent="0.35">
      <c r="A39" s="727">
        <v>16</v>
      </c>
      <c r="B39" s="729"/>
      <c r="C39" s="729"/>
      <c r="D39" s="729"/>
      <c r="E39" s="729"/>
      <c r="F39" s="542"/>
      <c r="G39" s="725" t="str">
        <f ca="1">IF(OR(INDIRECT("'update Helper'!D"&amp;BA39)="",F39&lt;&gt;0,F40&lt;&gt;0),IF(IFERROR((F39/F40),"")="","",(F39/F40)),INDIRECT("'update Helper'!D"&amp;BA39)/100)</f>
        <v/>
      </c>
      <c r="H39" s="723"/>
      <c r="I39" s="674"/>
      <c r="J39" s="735" t="str">
        <f>AQ39</f>
        <v/>
      </c>
      <c r="K39" s="733"/>
      <c r="L39" s="674"/>
      <c r="M39" s="205"/>
      <c r="N39" s="737"/>
      <c r="O39" s="202" t="str">
        <f ca="1">IF(A39=INDIRECT("'update Helper'!F"&amp;$BB39),IF(INDIRECT("'update Helper'!K"&amp;BB39)="","",INDIRECT("'update Helper'!K"&amp;BB39)),"")</f>
        <v/>
      </c>
      <c r="P39" s="725" t="str">
        <f ca="1">IF(OR(INDIRECT("'update Helper'!I"&amp;BB39)="",O39&lt;&gt;0,O40&lt;&gt;0),IF(IFERROR((O39/O40),"")="","",(O39/O40)),INDIRECT("'update Helper'!I"&amp;BB39)/100)</f>
        <v/>
      </c>
      <c r="Q39" s="723"/>
      <c r="R39" s="202"/>
      <c r="S39" s="725" t="str">
        <f ca="1">IF(OR(INDIRECT("'update Helper'!I"&amp;BB39+1)="",R39&lt;&gt;0,R40&lt;&gt;0),IF(IFERROR((R39/R40),"")="","",(R39/R40)),INDIRECT("'update Helper'!I"&amp;BB39+1)/100)</f>
        <v/>
      </c>
      <c r="T39" s="723"/>
      <c r="U39" s="202"/>
      <c r="V39" s="725" t="str">
        <f ca="1">IF(OR(INDIRECT("'update Helper'!I"&amp;BB39+2)="",U39&lt;&gt;0,U40&lt;&gt;0),IF(IFERROR((U39/U40),"")="","",(U39/U40)),INDIRECT("'update Helper'!I"&amp;BB39+2)/100)</f>
        <v/>
      </c>
      <c r="W39" s="723"/>
      <c r="X39" s="202"/>
      <c r="Y39" s="725" t="str">
        <f ca="1">IF(A39=INDIRECT("'update Helper'!F"&amp;$BB39+3),IF(OR(INDIRECT("'update Helper'!I"&amp;BB39+3)="",X39&lt;&gt;0,X40&lt;&gt;0),IF(IFERROR((X39/X40),"")="","",(X39/X40)),INDIRECT("'update Helper'!I"&amp;BB39+3)/100),"")</f>
        <v/>
      </c>
      <c r="Z39" s="723"/>
      <c r="AA39" s="202"/>
      <c r="AB39" s="725" t="str">
        <f ca="1">IF(A39=INDIRECT("'update Helper'!F"&amp;$BB39+4),IF(OR(INDIRECT("'update Helper'!I"&amp;BB39+4)="",AA39&lt;&gt;0,AA40&lt;&gt;0),IF(IFERROR((AA39/AA40),"")="","",(AA39/AA40)),INDIRECT("'update Helper'!I"&amp;BB39+4)/100),"")</f>
        <v/>
      </c>
      <c r="AC39" s="723"/>
      <c r="AD39" s="202"/>
      <c r="AE39" s="725" t="str">
        <f ca="1">IF(A39=INDIRECT("'update Helper'!F"&amp;$BB39+5),IF(A39=INDIRECT("'update Helper'!F"&amp;$BB39+5),IF(OR(INDIRECT("'update Helper'!I"&amp;BB39+5)="",AD39&lt;&gt;0,AD40&lt;&gt;0),IF(IFERROR((AD39/AD40),"")="","",(AD39/AD40)),INDIRECT("'update Helper'!I"&amp;BB39+5)/100),""),"")</f>
        <v/>
      </c>
      <c r="AF39" s="723"/>
      <c r="AG39" s="202"/>
      <c r="AH39" s="725" t="str">
        <f ca="1">IF(A39=INDIRECT("'update Helper'!F"&amp;$BB39+6),IF(OR(INDIRECT("'update Helper'!I"&amp;BB39+6)="",AG39&lt;&gt;0,AG40&lt;&gt;0),IF(IFERROR((AG39/AG40),"")="","",(AG39/AG40)),INDIRECT("'update Helper'!I"&amp;BB39+6)/100),"")</f>
        <v/>
      </c>
      <c r="AI39" s="723"/>
      <c r="AJ39" s="202"/>
      <c r="AK39" s="725" t="str">
        <f ca="1">IF(A39=INDIRECT("'update Helper'!F"&amp;$BB39+6),IF(OR(INDIRECT("'update Helper'!I"&amp;BB39+7)="",AJ39&lt;&gt;0,AJ40&lt;&gt;0),IF(IFERROR((AJ39/AJ40),"")="","",(AJ39/AJ40)),INDIRECT("'update Helper'!I"&amp;BB39+7)/100),"")</f>
        <v/>
      </c>
      <c r="AL39" s="723"/>
      <c r="AM39" s="729"/>
      <c r="AN39" s="634"/>
      <c r="AO39" s="721"/>
      <c r="AP39" s="721"/>
      <c r="AQ39" s="253" t="str">
        <f t="array" ref="AQ39">IFERROR(IF(INDEX('Reference Records'!$D$79:$D$156,MATCH(LEFT(D39,255),LEFT('Reference Records'!$C$79:$C$156,255),0))=0,"",INDEX('Reference Records'!$D$79:$D$156,MATCH(LEFT(D39,255),LEFT('Reference Records'!$C$79:$C$156,255),0))),"")</f>
        <v/>
      </c>
      <c r="AR39" s="196" t="str">
        <f t="array" ref="AR39">VLOOKUP(LEFT(D39,255),LEFT('Reference Records'!C$78:G347,255),4,0)</f>
        <v/>
      </c>
      <c r="AS39" s="196" t="e">
        <f>MATCH(AR39,'Reference Records'!$F$621:$F$699,0)+ROW(PopulationByCoverage)-1</f>
        <v>#N/A</v>
      </c>
      <c r="AT39" s="196" t="e">
        <f>MATCH(AR39,'Reference Records'!$F$621:$F$699,1)+ROW(PopulationByCoverage)-1</f>
        <v>#N/A</v>
      </c>
      <c r="AU39" s="253" t="e">
        <f>D39&amp;#REF!</f>
        <v>#REF!</v>
      </c>
      <c r="AV39" s="212" t="str">
        <f t="array" ref="AV39">IFERROR(IF(VLOOKUP(LEFT(D39,255),LEFT('Reference Records'!$C$1:$K$724,255),9,0)=0,"",CONCATENATE(VLOOKUP(LEFT(D39,255),LEFT('Reference Records'!$C$1:$K$724,255),9,0),";")),"")</f>
        <v>;</v>
      </c>
      <c r="AW39" s="212" t="str">
        <f>CLEAN(IFERROR(LEFT(AV39, SEARCH(";",AV39,1)-1),""))</f>
        <v/>
      </c>
      <c r="AX39" s="212" t="str">
        <f>SUBSTITUTE(IFERROR(MID(AV39, SEARCH(";",AV39) + 1, SEARCH(";",AV39,SEARCH(";",AV39)+1) - SEARCH(";",AV39) - 1),""),CHAR(10),"")</f>
        <v/>
      </c>
      <c r="AY39" s="365" t="str">
        <f>CLEAN(IFERROR(SUBSTITUTE(RIGHT(AV39,LEN(AV39) - SEARCH(";", AV39, SEARCH(";",AV39) + 1)),";",""),""))</f>
        <v/>
      </c>
      <c r="AZ39" s="618" t="str">
        <f>IFERROR(IF(VLOOKUP(B39,'Reference Records'!$F$159:$N$210,9,FALSE)=0,"",VLOOKUP(B39,'Reference Records'!$F$159:$N$210,9,FALSE)),"")</f>
        <v/>
      </c>
      <c r="BA39" s="253">
        <f t="shared" si="0"/>
        <v>859</v>
      </c>
      <c r="BB39" s="428">
        <f>BB37+'update Helper'!$AB$2</f>
        <v>1060</v>
      </c>
      <c r="BD39" s="253" t="str">
        <f ca="1">IF(INDIRECT("'update Helper'!S"&amp;BA39)=0,"",IFERROR(VLOOKUP(INDIRECT("'update Helper'!U"&amp;BA39),'Account Role'!A$1:B$15,2,0), IFERROR(VLOOKUP(INDIRECT("'update Helper'!AD"&amp;BA39),'Overview - Section A'!J$26:P$107,7,0),"")))</f>
        <v/>
      </c>
    </row>
    <row r="40" spans="1:56" s="253" customFormat="1" ht="30" customHeight="1" x14ac:dyDescent="0.35">
      <c r="A40" s="728"/>
      <c r="B40" s="730"/>
      <c r="C40" s="730"/>
      <c r="D40" s="730"/>
      <c r="E40" s="730"/>
      <c r="F40" s="542"/>
      <c r="G40" s="726"/>
      <c r="H40" s="724"/>
      <c r="I40" s="675"/>
      <c r="J40" s="736"/>
      <c r="K40" s="734"/>
      <c r="L40" s="675"/>
      <c r="M40" s="366"/>
      <c r="N40" s="738"/>
      <c r="O40" s="202" t="str">
        <f ca="1">IF(A39=INDIRECT("'update Helper'!F"&amp;$BB39),IF(INDIRECT("'update Helper'!J"&amp;BB39)=0,"",INDIRECT("'update Helper'!J"&amp;BB39)),"")</f>
        <v/>
      </c>
      <c r="P40" s="726"/>
      <c r="Q40" s="724"/>
      <c r="R40" s="202"/>
      <c r="S40" s="726"/>
      <c r="T40" s="724"/>
      <c r="U40" s="202"/>
      <c r="V40" s="726"/>
      <c r="W40" s="724"/>
      <c r="X40" s="202"/>
      <c r="Y40" s="726"/>
      <c r="Z40" s="724"/>
      <c r="AA40" s="202"/>
      <c r="AB40" s="726"/>
      <c r="AC40" s="724"/>
      <c r="AD40" s="202"/>
      <c r="AE40" s="726"/>
      <c r="AF40" s="724"/>
      <c r="AG40" s="202"/>
      <c r="AH40" s="726"/>
      <c r="AI40" s="724"/>
      <c r="AJ40" s="202"/>
      <c r="AK40" s="726"/>
      <c r="AL40" s="724"/>
      <c r="AM40" s="730"/>
      <c r="AN40" s="635"/>
      <c r="AO40" s="722"/>
      <c r="AP40" s="722"/>
      <c r="AV40" s="212"/>
      <c r="AW40" s="212"/>
      <c r="AX40" s="212"/>
      <c r="AY40" s="365"/>
      <c r="AZ40" s="618"/>
      <c r="BB40" s="212"/>
    </row>
    <row r="41" spans="1:56" s="253" customFormat="1" ht="30" customHeight="1" x14ac:dyDescent="0.35">
      <c r="A41" s="727">
        <v>17</v>
      </c>
      <c r="B41" s="729" t="s">
        <v>3152</v>
      </c>
      <c r="C41" s="729" t="s">
        <v>979</v>
      </c>
      <c r="D41" s="729"/>
      <c r="E41" s="729" t="s">
        <v>11201</v>
      </c>
      <c r="F41" s="529">
        <v>8570</v>
      </c>
      <c r="G41" s="731">
        <v>0.64</v>
      </c>
      <c r="H41" s="733">
        <v>2020</v>
      </c>
      <c r="I41" s="672" t="s">
        <v>9223</v>
      </c>
      <c r="J41" s="735" t="str">
        <f>AQ41</f>
        <v/>
      </c>
      <c r="K41" s="733" t="s">
        <v>439</v>
      </c>
      <c r="L41" s="674" t="s">
        <v>1073</v>
      </c>
      <c r="M41" s="205" t="s">
        <v>1070</v>
      </c>
      <c r="N41" s="737"/>
      <c r="O41" s="202"/>
      <c r="P41" s="731">
        <v>0.67</v>
      </c>
      <c r="Q41" s="733"/>
      <c r="R41" s="529"/>
      <c r="S41" s="731">
        <v>0.7</v>
      </c>
      <c r="T41" s="733"/>
      <c r="U41" s="529"/>
      <c r="V41" s="731">
        <v>0.73</v>
      </c>
      <c r="W41" s="723"/>
      <c r="X41" s="202"/>
      <c r="Y41" s="725"/>
      <c r="Z41" s="723"/>
      <c r="AA41" s="202"/>
      <c r="AB41" s="725"/>
      <c r="AC41" s="723"/>
      <c r="AD41" s="202"/>
      <c r="AE41" s="725"/>
      <c r="AF41" s="723"/>
      <c r="AG41" s="202"/>
      <c r="AH41" s="725"/>
      <c r="AI41" s="723"/>
      <c r="AJ41" s="202"/>
      <c r="AK41" s="725"/>
      <c r="AL41" s="723"/>
      <c r="AM41" s="672" t="s">
        <v>11206</v>
      </c>
      <c r="AN41" s="634" t="s">
        <v>11209</v>
      </c>
      <c r="AO41" s="721" t="s">
        <v>9223</v>
      </c>
      <c r="AP41" s="721" t="s">
        <v>11210</v>
      </c>
      <c r="AQ41" s="253" t="str">
        <f t="array" ref="AQ41">IFERROR(IF(INDEX('Reference Records'!$D$79:$D$156,MATCH(LEFT(D41,255),LEFT('Reference Records'!$C$79:$C$156,255),0))=0,"",INDEX('Reference Records'!$D$79:$D$156,MATCH(LEFT(D41,255),LEFT('Reference Records'!$C$79:$C$156,255),0))),"")</f>
        <v/>
      </c>
      <c r="AR41" s="196" t="str">
        <f t="array" ref="AR41">VLOOKUP(LEFT(D41,255),LEFT('Reference Records'!C$78:G349,255),4,0)</f>
        <v/>
      </c>
      <c r="AS41" s="196" t="e">
        <f>MATCH(AR41,'Reference Records'!$F$621:$F$699,0)+ROW(PopulationByCoverage)-1</f>
        <v>#N/A</v>
      </c>
      <c r="AT41" s="196" t="e">
        <f>MATCH(AR41,'Reference Records'!$F$621:$F$699,1)+ROW(PopulationByCoverage)-1</f>
        <v>#N/A</v>
      </c>
      <c r="AU41" s="253" t="str">
        <f>D41&amp;E41</f>
        <v>TCS-Other1 Porcentaje de personas en TARV a quienes se les ha realizado una prueba de carga viral en los últimos 6 meses.</v>
      </c>
      <c r="AV41" s="212" t="str">
        <f t="array" ref="AV41">IFERROR(IF(VLOOKUP(LEFT(D41,255),LEFT('Reference Records'!$C$1:$K$724,255),9,0)=0,"",CONCATENATE(VLOOKUP(LEFT(D41,255),LEFT('Reference Records'!$C$1:$K$724,255),9,0),";")),"")</f>
        <v>;</v>
      </c>
      <c r="AW41" s="212" t="str">
        <f>CLEAN(IFERROR(LEFT(AV41, SEARCH(";",AV41,1)-1),""))</f>
        <v/>
      </c>
      <c r="AX41" s="212" t="str">
        <f>SUBSTITUTE(IFERROR(MID(AV41, SEARCH(";",AV41) + 1, SEARCH(";",AV41,SEARCH(";",AV41)+1) - SEARCH(";",AV41) - 1),""),CHAR(10),"")</f>
        <v/>
      </c>
      <c r="AY41" s="365" t="str">
        <f>CLEAN(IFERROR(SUBSTITUTE(RIGHT(AV41,LEN(AV41) - SEARCH(";", AV41, SEARCH(";",AV41) + 1)),";",""),""))</f>
        <v/>
      </c>
      <c r="AZ41" s="618" t="str">
        <f>IFERROR(IF(VLOOKUP(B41,'Reference Records'!$F$159:$N$210,9,FALSE)=0,"",VLOOKUP(B41,'Reference Records'!$F$159:$N$210,9,FALSE)),"")</f>
        <v>MCI-00651</v>
      </c>
      <c r="BA41" s="253">
        <f t="shared" si="0"/>
        <v>860</v>
      </c>
      <c r="BB41" s="428">
        <f>BB39+'update Helper'!$AB$2</f>
        <v>1068</v>
      </c>
      <c r="BD41" s="253" t="str">
        <f ca="1">IF(INDIRECT("'update Helper'!S"&amp;BA41)=0,"",IFERROR(VLOOKUP(INDIRECT("'update Helper'!U"&amp;BA41),'Account Role'!A$1:B$15,2,0), IFERROR(VLOOKUP(INDIRECT("'update Helper'!AD"&amp;BA41),'Overview - Section A'!J$26:P$107,7,0),"")))</f>
        <v/>
      </c>
    </row>
    <row r="42" spans="1:56" s="253" customFormat="1" ht="30" customHeight="1" x14ac:dyDescent="0.35">
      <c r="A42" s="728"/>
      <c r="B42" s="730"/>
      <c r="C42" s="730"/>
      <c r="D42" s="730"/>
      <c r="E42" s="730"/>
      <c r="F42" s="529">
        <v>13336</v>
      </c>
      <c r="G42" s="732"/>
      <c r="H42" s="734"/>
      <c r="I42" s="673"/>
      <c r="J42" s="736"/>
      <c r="K42" s="734"/>
      <c r="L42" s="675"/>
      <c r="M42" s="366" t="s">
        <v>312</v>
      </c>
      <c r="N42" s="738"/>
      <c r="O42" s="202"/>
      <c r="P42" s="732"/>
      <c r="Q42" s="734"/>
      <c r="R42" s="529"/>
      <c r="S42" s="732"/>
      <c r="T42" s="734"/>
      <c r="U42" s="529"/>
      <c r="V42" s="732"/>
      <c r="W42" s="724"/>
      <c r="X42" s="202"/>
      <c r="Y42" s="726"/>
      <c r="Z42" s="724"/>
      <c r="AA42" s="202"/>
      <c r="AB42" s="726"/>
      <c r="AC42" s="724"/>
      <c r="AD42" s="202"/>
      <c r="AE42" s="726"/>
      <c r="AF42" s="724"/>
      <c r="AG42" s="202"/>
      <c r="AH42" s="726"/>
      <c r="AI42" s="724"/>
      <c r="AJ42" s="202"/>
      <c r="AK42" s="726"/>
      <c r="AL42" s="724"/>
      <c r="AM42" s="673"/>
      <c r="AN42" s="635"/>
      <c r="AO42" s="722"/>
      <c r="AP42" s="722"/>
      <c r="AV42" s="212"/>
      <c r="AW42" s="212"/>
      <c r="AX42" s="212"/>
      <c r="AY42" s="365"/>
      <c r="AZ42" s="618"/>
      <c r="BB42" s="212"/>
    </row>
    <row r="43" spans="1:56" s="253" customFormat="1" ht="30" customHeight="1" x14ac:dyDescent="0.35">
      <c r="A43" s="727">
        <v>18</v>
      </c>
      <c r="B43" s="729" t="s">
        <v>2996</v>
      </c>
      <c r="C43" s="729" t="s">
        <v>1856</v>
      </c>
      <c r="D43" s="729" t="s">
        <v>2115</v>
      </c>
      <c r="E43" s="674"/>
      <c r="F43" s="542">
        <v>11129</v>
      </c>
      <c r="G43" s="739">
        <f ca="1">IF(OR(INDIRECT("'update Helper'!D"&amp;BA43)="",F43&lt;&gt;0,F44&lt;&gt;0),IF(IFERROR((F43/F44),"")="","",(F43/F44)),INDIRECT("'update Helper'!D"&amp;BA43)/100)</f>
        <v>0.2055596601403768</v>
      </c>
      <c r="H43" s="743">
        <v>2020</v>
      </c>
      <c r="I43" s="729" t="s">
        <v>9223</v>
      </c>
      <c r="J43" s="735" t="str">
        <f>AQ43</f>
        <v>Edad,Resultado de prueba del VIH</v>
      </c>
      <c r="K43" s="743" t="s">
        <v>439</v>
      </c>
      <c r="L43" s="729" t="s">
        <v>1073</v>
      </c>
      <c r="M43" s="540" t="s">
        <v>1070</v>
      </c>
      <c r="N43" s="756"/>
      <c r="O43" s="542">
        <v>20152</v>
      </c>
      <c r="P43" s="739">
        <f ca="1">IF(OR(INDIRECT("'update Helper'!I"&amp;BB43)="",O43&lt;&gt;0,O44&lt;&gt;0),IF(IFERROR((O43/O44),"")="","",(O43/O44)),INDIRECT("'update Helper'!I"&amp;BB43)/100)</f>
        <v>0.37222016992981161</v>
      </c>
      <c r="Q43" s="743"/>
      <c r="R43" s="542">
        <v>20555</v>
      </c>
      <c r="S43" s="739">
        <f ca="1">IF(OR(INDIRECT("'update Helper'!I"&amp;BB43+1)="",R43&lt;&gt;0,R44&lt;&gt;0),IF(IFERROR((R43/R44),"")="","",(R43/R44)),INDIRECT("'update Helper'!I"&amp;BB43+1)/100)</f>
        <v>0.37966383450314001</v>
      </c>
      <c r="T43" s="743"/>
      <c r="U43" s="542">
        <v>20966</v>
      </c>
      <c r="V43" s="739">
        <f ca="1">IF(OR(INDIRECT("'update Helper'!I"&amp;BB43+2)="",U43&lt;&gt;0,U44&lt;&gt;0),IF(IFERROR((U43/U44),"")="","",(U43/U44)),INDIRECT("'update Helper'!I"&amp;BB43+2)/100)</f>
        <v>0.38725526413003325</v>
      </c>
      <c r="W43" s="743"/>
      <c r="X43" s="542"/>
      <c r="Y43" s="739" t="str">
        <f ca="1">IF(A43=INDIRECT("'update Helper'!F"&amp;$BB43+3),IF(OR(INDIRECT("'update Helper'!I"&amp;BB43+3)="",X43&lt;&gt;0,X44&lt;&gt;0),IF(IFERROR((X43/X44),"")="","",(X43/X44)),INDIRECT("'update Helper'!I"&amp;BB43+3)/100),"")</f>
        <v/>
      </c>
      <c r="Z43" s="743"/>
      <c r="AA43" s="542"/>
      <c r="AB43" s="739" t="str">
        <f ca="1">IF(A43=INDIRECT("'update Helper'!F"&amp;$BB43+4),IF(OR(INDIRECT("'update Helper'!I"&amp;BB43+4)="",AA43&lt;&gt;0,AA44&lt;&gt;0),IF(IFERROR((AA43/AA44),"")="","",(AA43/AA44)),INDIRECT("'update Helper'!I"&amp;BB43+4)/100),"")</f>
        <v/>
      </c>
      <c r="AC43" s="743"/>
      <c r="AD43" s="542"/>
      <c r="AE43" s="739" t="str">
        <f ca="1">IF(A43=INDIRECT("'update Helper'!F"&amp;$BB43+5),IF(A43=INDIRECT("'update Helper'!F"&amp;$BB43+5),IF(OR(INDIRECT("'update Helper'!I"&amp;BB43+5)="",AD43&lt;&gt;0,AD44&lt;&gt;0),IF(IFERROR((AD43/AD44),"")="","",(AD43/AD44)),INDIRECT("'update Helper'!I"&amp;BB43+5)/100),""),"")</f>
        <v/>
      </c>
      <c r="AF43" s="743"/>
      <c r="AG43" s="542"/>
      <c r="AH43" s="739" t="str">
        <f ca="1">IF(A43=INDIRECT("'update Helper'!F"&amp;$BB43+6),IF(OR(INDIRECT("'update Helper'!I"&amp;BB43+6)="",AG43&lt;&gt;0,AG44&lt;&gt;0),IF(IFERROR((AG43/AG44),"")="","",(AG43/AG44)),INDIRECT("'update Helper'!I"&amp;BB43+6)/100),"")</f>
        <v/>
      </c>
      <c r="AI43" s="743"/>
      <c r="AJ43" s="542"/>
      <c r="AK43" s="739" t="str">
        <f ca="1">IF(A43=INDIRECT("'update Helper'!F"&amp;$BB43+6),IF(OR(INDIRECT("'update Helper'!I"&amp;BB43+7)="",AJ43&lt;&gt;0,AJ44&lt;&gt;0),IF(IFERROR((AJ43/AJ44),"")="","",(AJ43/AJ44)),INDIRECT("'update Helper'!I"&amp;BB43+7)/100),"")</f>
        <v/>
      </c>
      <c r="AL43" s="743"/>
      <c r="AM43" s="729" t="s">
        <v>11233</v>
      </c>
      <c r="AN43" s="674"/>
      <c r="AO43" s="729" t="s">
        <v>9223</v>
      </c>
      <c r="AP43" s="674" t="s">
        <v>11236</v>
      </c>
      <c r="AQ43" s="253" t="str">
        <f t="array" ref="AQ43">IFERROR(IF(INDEX('Reference Records'!$D$79:$D$156,MATCH(LEFT(D43,255),LEFT('Reference Records'!$C$79:$C$156,255),0))=0,"",INDEX('Reference Records'!$D$79:$D$156,MATCH(LEFT(D43,255),LEFT('Reference Records'!$C$79:$C$156,255),0))),"")</f>
        <v>Edad,Resultado de prueba del VIH</v>
      </c>
      <c r="AR43" s="196" t="str">
        <f t="array" ref="AR43">VLOOKUP(LEFT(D43,255),LEFT('Reference Records'!C$78:G351,255),4,0)</f>
        <v>MCI-01065</v>
      </c>
      <c r="AS43" s="196">
        <f>MATCH(AR43,'Reference Records'!$F$621:$F$699,0)+ROW(PopulationByCoverage)-1</f>
        <v>644</v>
      </c>
      <c r="AT43" s="196">
        <f>MATCH(AR43,'Reference Records'!$F$621:$F$699,1)+ROW(PopulationByCoverage)-1</f>
        <v>644</v>
      </c>
      <c r="AU43" s="253" t="str">
        <f>D43&amp;E43</f>
        <v>HTS-3a⁽ᴹ⁾ Porcentaje de HSH a los que se les ha realizado una prueba de VIH durante el período de reporte y que conocen sus resultados</v>
      </c>
      <c r="AV43" s="212" t="str">
        <f t="array" ref="AV43">IFERROR(IF(VLOOKUP(LEFT(D43,255),LEFT('Reference Records'!$C$1:$K$724,255),9,0)=0,"",CONCATENATE(VLOOKUP(LEFT(D43,255),LEFT('Reference Records'!$C$1:$K$724,255),9,0),";")),"")</f>
        <v>Non cumulative;Non cumulative – other;Non cumulative - special;</v>
      </c>
      <c r="AW43" s="212" t="str">
        <f>CLEAN(IFERROR(LEFT(AV43, SEARCH(";",AV43,1)-1),""))</f>
        <v>Non cumulative</v>
      </c>
      <c r="AX43" s="212" t="str">
        <f>SUBSTITUTE(IFERROR(MID(AV43, SEARCH(";",AV43) + 1, SEARCH(";",AV43,SEARCH(";",AV43)+1) - SEARCH(";",AV43) - 1),""),CHAR(10),"")</f>
        <v>Non cumulative – other</v>
      </c>
      <c r="AY43" s="365" t="str">
        <f>CLEAN(IFERROR(SUBSTITUTE(RIGHT(AV43,LEN(AV43) - SEARCH(";", AV43, SEARCH(";",AV43) + 1)),";",""),""))</f>
        <v>Non cumulative - special</v>
      </c>
      <c r="AZ43" s="618" t="str">
        <f>IFERROR(IF(VLOOKUP(B43,'Reference Records'!$F$159:$N$210,9,FALSE)=0,"",VLOOKUP(B43,'Reference Records'!$F$159:$N$210,9,FALSE)),"")</f>
        <v>MCI-00650</v>
      </c>
      <c r="BA43" s="253">
        <f t="shared" si="0"/>
        <v>861</v>
      </c>
      <c r="BB43" s="428">
        <f>BB41+'update Helper'!$AB$2</f>
        <v>1076</v>
      </c>
      <c r="BD43" s="253" t="str">
        <f ca="1">IF(INDIRECT("'update Helper'!S"&amp;BA43)=0,"",IFERROR(VLOOKUP(INDIRECT("'update Helper'!U"&amp;BA43),'Account Role'!A$1:B$15,2,0), IFERROR(VLOOKUP(INDIRECT("'update Helper'!AD"&amp;BA43),'Overview - Section A'!J$26:P$107,7,0),"")))</f>
        <v/>
      </c>
    </row>
    <row r="44" spans="1:56" s="253" customFormat="1" ht="30" customHeight="1" x14ac:dyDescent="0.35">
      <c r="A44" s="728"/>
      <c r="B44" s="730"/>
      <c r="C44" s="730"/>
      <c r="D44" s="730"/>
      <c r="E44" s="675"/>
      <c r="F44" s="542">
        <v>54140</v>
      </c>
      <c r="G44" s="740"/>
      <c r="H44" s="744"/>
      <c r="I44" s="730"/>
      <c r="J44" s="736"/>
      <c r="K44" s="744"/>
      <c r="L44" s="730"/>
      <c r="M44" s="541" t="s">
        <v>312</v>
      </c>
      <c r="N44" s="757"/>
      <c r="O44" s="542">
        <v>54140</v>
      </c>
      <c r="P44" s="740"/>
      <c r="Q44" s="744"/>
      <c r="R44" s="542">
        <v>54140</v>
      </c>
      <c r="S44" s="740"/>
      <c r="T44" s="744"/>
      <c r="U44" s="542">
        <v>54140</v>
      </c>
      <c r="V44" s="740"/>
      <c r="W44" s="744"/>
      <c r="X44" s="542"/>
      <c r="Y44" s="740"/>
      <c r="Z44" s="744"/>
      <c r="AA44" s="542"/>
      <c r="AB44" s="740"/>
      <c r="AC44" s="744"/>
      <c r="AD44" s="542"/>
      <c r="AE44" s="740"/>
      <c r="AF44" s="744"/>
      <c r="AG44" s="542"/>
      <c r="AH44" s="740"/>
      <c r="AI44" s="744"/>
      <c r="AJ44" s="542"/>
      <c r="AK44" s="740"/>
      <c r="AL44" s="744"/>
      <c r="AM44" s="730"/>
      <c r="AN44" s="675"/>
      <c r="AO44" s="730"/>
      <c r="AP44" s="675"/>
      <c r="AV44" s="212"/>
      <c r="AW44" s="212"/>
      <c r="AX44" s="212"/>
      <c r="AY44" s="365"/>
      <c r="AZ44" s="618"/>
      <c r="BB44" s="212"/>
    </row>
    <row r="45" spans="1:56" s="253" customFormat="1" ht="30" customHeight="1" x14ac:dyDescent="0.35">
      <c r="A45" s="727">
        <v>19</v>
      </c>
      <c r="B45" s="758"/>
      <c r="C45" s="729"/>
      <c r="D45" s="758"/>
      <c r="E45" s="674"/>
      <c r="F45" s="542"/>
      <c r="G45" s="725" t="str">
        <f ca="1">IF(OR(INDIRECT("'update Helper'!D"&amp;BA45)="",F45&lt;&gt;0,F46&lt;&gt;0),IF(IFERROR((F45/F46),"")="","",(F45/F46)),INDIRECT("'update Helper'!D"&amp;BA45)/100)</f>
        <v/>
      </c>
      <c r="H45" s="723"/>
      <c r="I45" s="674"/>
      <c r="J45" s="735" t="str">
        <f>AQ45</f>
        <v/>
      </c>
      <c r="K45" s="733"/>
      <c r="L45" s="674"/>
      <c r="M45" s="205"/>
      <c r="N45" s="737"/>
      <c r="O45" s="202" t="str">
        <f ca="1">IF(A45=INDIRECT("'update Helper'!F"&amp;$BB45),IF(INDIRECT("'update Helper'!K"&amp;BB45)="","",INDIRECT("'update Helper'!K"&amp;BB45)),"")</f>
        <v/>
      </c>
      <c r="P45" s="725" t="str">
        <f ca="1">IF(OR(INDIRECT("'update Helper'!I"&amp;BB45)="",O45&lt;&gt;0,O46&lt;&gt;0),IF(IFERROR((O45/O46),"")="","",(O45/O46)),INDIRECT("'update Helper'!I"&amp;BB45)/100)</f>
        <v/>
      </c>
      <c r="Q45" s="723"/>
      <c r="R45" s="202"/>
      <c r="S45" s="725" t="str">
        <f ca="1">IF(OR(INDIRECT("'update Helper'!I"&amp;BB45+1)="",R45&lt;&gt;0,R46&lt;&gt;0),IF(IFERROR((R45/R46),"")="","",(R45/R46)),INDIRECT("'update Helper'!I"&amp;BB45+1)/100)</f>
        <v/>
      </c>
      <c r="T45" s="723"/>
      <c r="U45" s="202"/>
      <c r="V45" s="725" t="str">
        <f ca="1">IF(OR(INDIRECT("'update Helper'!I"&amp;BB45+2)="",U45&lt;&gt;0,U46&lt;&gt;0),IF(IFERROR((U45/U46),"")="","",(U45/U46)),INDIRECT("'update Helper'!I"&amp;BB45+2)/100)</f>
        <v/>
      </c>
      <c r="W45" s="723"/>
      <c r="X45" s="202"/>
      <c r="Y45" s="725" t="str">
        <f ca="1">IF(A45=INDIRECT("'update Helper'!F"&amp;$BB45+3),IF(OR(INDIRECT("'update Helper'!I"&amp;BB45+3)="",X45&lt;&gt;0,X46&lt;&gt;0),IF(IFERROR((X45/X46),"")="","",(X45/X46)),INDIRECT("'update Helper'!I"&amp;BB45+3)/100),"")</f>
        <v/>
      </c>
      <c r="Z45" s="723"/>
      <c r="AA45" s="202"/>
      <c r="AB45" s="725" t="str">
        <f ca="1">IF(A45=INDIRECT("'update Helper'!F"&amp;$BB45+4),IF(OR(INDIRECT("'update Helper'!I"&amp;BB45+4)="",AA45&lt;&gt;0,AA46&lt;&gt;0),IF(IFERROR((AA45/AA46),"")="","",(AA45/AA46)),INDIRECT("'update Helper'!I"&amp;BB45+4)/100),"")</f>
        <v/>
      </c>
      <c r="AC45" s="723"/>
      <c r="AD45" s="202"/>
      <c r="AE45" s="725" t="str">
        <f ca="1">IF(A45=INDIRECT("'update Helper'!F"&amp;$BB45+5),IF(A45=INDIRECT("'update Helper'!F"&amp;$BB45+5),IF(OR(INDIRECT("'update Helper'!I"&amp;BB45+5)="",AD45&lt;&gt;0,AD46&lt;&gt;0),IF(IFERROR((AD45/AD46),"")="","",(AD45/AD46)),INDIRECT("'update Helper'!I"&amp;BB45+5)/100),""),"")</f>
        <v/>
      </c>
      <c r="AF45" s="723"/>
      <c r="AG45" s="202"/>
      <c r="AH45" s="725" t="str">
        <f ca="1">IF(A45=INDIRECT("'update Helper'!F"&amp;$BB45+6),IF(OR(INDIRECT("'update Helper'!I"&amp;BB45+6)="",AG45&lt;&gt;0,AG46&lt;&gt;0),IF(IFERROR((AG45/AG46),"")="","",(AG45/AG46)),INDIRECT("'update Helper'!I"&amp;BB45+6)/100),"")</f>
        <v/>
      </c>
      <c r="AI45" s="723"/>
      <c r="AJ45" s="202"/>
      <c r="AK45" s="725" t="str">
        <f ca="1">IF(A45=INDIRECT("'update Helper'!F"&amp;$BB45+6),IF(OR(INDIRECT("'update Helper'!I"&amp;BB45+7)="",AJ45&lt;&gt;0,AJ46&lt;&gt;0),IF(IFERROR((AJ45/AJ46),"")="","",(AJ45/AJ46)),INDIRECT("'update Helper'!I"&amp;BB45+7)/100),"")</f>
        <v/>
      </c>
      <c r="AL45" s="723"/>
      <c r="AM45" s="674"/>
      <c r="AN45" s="674"/>
      <c r="AO45" s="674"/>
      <c r="AP45" s="674"/>
      <c r="AQ45" s="253" t="str">
        <f t="array" ref="AQ45">IFERROR(IF(INDEX('Reference Records'!$D$79:$D$156,MATCH(LEFT(D45,255),LEFT('Reference Records'!$C$79:$C$156,255),0))=0,"",INDEX('Reference Records'!$D$79:$D$156,MATCH(LEFT(D45,255),LEFT('Reference Records'!$C$79:$C$156,255),0))),"")</f>
        <v/>
      </c>
      <c r="AR45" s="196" t="str">
        <f t="array" ref="AR45">VLOOKUP(LEFT(D45,255),LEFT('Reference Records'!C$78:G353,255),4,0)</f>
        <v/>
      </c>
      <c r="AS45" s="196" t="e">
        <f>MATCH(AR45,'Reference Records'!$F$621:$F$699,0)+ROW(PopulationByCoverage)-1</f>
        <v>#N/A</v>
      </c>
      <c r="AT45" s="196" t="e">
        <f>MATCH(AR45,'Reference Records'!$F$621:$F$699,1)+ROW(PopulationByCoverage)-1</f>
        <v>#N/A</v>
      </c>
      <c r="AU45" s="253" t="str">
        <f>D45&amp;E45</f>
        <v/>
      </c>
      <c r="AV45" s="212" t="str">
        <f t="array" ref="AV45">IFERROR(IF(VLOOKUP(LEFT(D45,255),LEFT('Reference Records'!$C$1:$K$724,255),9,0)=0,"",CONCATENATE(VLOOKUP(LEFT(D45,255),LEFT('Reference Records'!$C$1:$K$724,255),9,0),";")),"")</f>
        <v>;</v>
      </c>
      <c r="AW45" s="212" t="str">
        <f>CLEAN(IFERROR(LEFT(AV45, SEARCH(";",AV45,1)-1),""))</f>
        <v/>
      </c>
      <c r="AX45" s="212" t="str">
        <f>SUBSTITUTE(IFERROR(MID(AV45, SEARCH(";",AV45) + 1, SEARCH(";",AV45,SEARCH(";",AV45)+1) - SEARCH(";",AV45) - 1),""),CHAR(10),"")</f>
        <v/>
      </c>
      <c r="AY45" s="365" t="str">
        <f>CLEAN(IFERROR(SUBSTITUTE(RIGHT(AV45,LEN(AV45) - SEARCH(";", AV45, SEARCH(";",AV45) + 1)),";",""),""))</f>
        <v/>
      </c>
      <c r="AZ45" s="618" t="str">
        <f>IFERROR(IF(VLOOKUP(B45,'Reference Records'!$F$159:$N$210,9,FALSE)=0,"",VLOOKUP(B45,'Reference Records'!$F$159:$N$210,9,FALSE)),"")</f>
        <v/>
      </c>
      <c r="BA45" s="253">
        <f t="shared" si="0"/>
        <v>862</v>
      </c>
      <c r="BB45" s="428">
        <f>BB43+'update Helper'!$AB$2</f>
        <v>1084</v>
      </c>
      <c r="BD45" s="253" t="str">
        <f ca="1">IF(INDIRECT("'update Helper'!S"&amp;BA45)=0,"",IFERROR(VLOOKUP(INDIRECT("'update Helper'!U"&amp;BA45),'Account Role'!A$1:B$15,2,0), IFERROR(VLOOKUP(INDIRECT("'update Helper'!AD"&amp;BA45),'Overview - Section A'!J$26:P$107,7,0),"")))</f>
        <v/>
      </c>
    </row>
    <row r="46" spans="1:56" s="253" customFormat="1" ht="30" customHeight="1" x14ac:dyDescent="0.35">
      <c r="A46" s="728"/>
      <c r="B46" s="759"/>
      <c r="C46" s="730"/>
      <c r="D46" s="759"/>
      <c r="E46" s="675"/>
      <c r="F46" s="542"/>
      <c r="G46" s="726"/>
      <c r="H46" s="724"/>
      <c r="I46" s="675"/>
      <c r="J46" s="736"/>
      <c r="K46" s="734"/>
      <c r="L46" s="675"/>
      <c r="M46" s="366"/>
      <c r="N46" s="738"/>
      <c r="O46" s="202" t="str">
        <f ca="1">IF(A45=INDIRECT("'update Helper'!F"&amp;$BB45),IF(INDIRECT("'update Helper'!J"&amp;BB45)=0,"",INDIRECT("'update Helper'!J"&amp;BB45)),"")</f>
        <v/>
      </c>
      <c r="P46" s="726"/>
      <c r="Q46" s="724"/>
      <c r="R46" s="202"/>
      <c r="S46" s="726"/>
      <c r="T46" s="724"/>
      <c r="U46" s="202"/>
      <c r="V46" s="726"/>
      <c r="W46" s="724"/>
      <c r="X46" s="202"/>
      <c r="Y46" s="726"/>
      <c r="Z46" s="724"/>
      <c r="AA46" s="202"/>
      <c r="AB46" s="726"/>
      <c r="AC46" s="724"/>
      <c r="AD46" s="202"/>
      <c r="AE46" s="726"/>
      <c r="AF46" s="724"/>
      <c r="AG46" s="202"/>
      <c r="AH46" s="726"/>
      <c r="AI46" s="724"/>
      <c r="AJ46" s="202"/>
      <c r="AK46" s="726"/>
      <c r="AL46" s="724"/>
      <c r="AM46" s="675"/>
      <c r="AN46" s="675"/>
      <c r="AO46" s="675"/>
      <c r="AP46" s="675"/>
      <c r="AV46" s="212"/>
      <c r="AW46" s="212"/>
      <c r="AX46" s="212"/>
      <c r="AY46" s="365"/>
      <c r="AZ46" s="618"/>
      <c r="BB46" s="212"/>
    </row>
    <row r="47" spans="1:56" s="253" customFormat="1" ht="30" customHeight="1" x14ac:dyDescent="0.35">
      <c r="A47" s="727">
        <v>20</v>
      </c>
      <c r="B47" s="729" t="s">
        <v>2996</v>
      </c>
      <c r="C47" s="729" t="s">
        <v>8423</v>
      </c>
      <c r="D47" s="729" t="s">
        <v>2127</v>
      </c>
      <c r="E47" s="674"/>
      <c r="F47" s="542">
        <v>577</v>
      </c>
      <c r="G47" s="739">
        <f ca="1">IF(OR(INDIRECT("'update Helper'!D"&amp;BA47)="",F47&lt;&gt;0,F48&lt;&gt;0),IF(IFERROR((F47/F48),"")="","",(F47/F48)),INDIRECT("'update Helper'!D"&amp;BA47)/100)</f>
        <v>0.28692192938836397</v>
      </c>
      <c r="H47" s="743">
        <v>2020</v>
      </c>
      <c r="I47" s="729" t="s">
        <v>9223</v>
      </c>
      <c r="J47" s="735" t="str">
        <f>AQ47</f>
        <v>Edad,Resultado de prueba del VIH</v>
      </c>
      <c r="K47" s="743" t="s">
        <v>439</v>
      </c>
      <c r="L47" s="729" t="s">
        <v>1073</v>
      </c>
      <c r="M47" s="540" t="s">
        <v>1070</v>
      </c>
      <c r="N47" s="737"/>
      <c r="O47" s="202">
        <v>1087</v>
      </c>
      <c r="P47" s="725">
        <f ca="1">IF(OR(INDIRECT("'update Helper'!I"&amp;BB47)="",O47&lt;&gt;0,O48&lt;&gt;0),IF(IFERROR((O47/O48),"")="","",(O47/O48)),INDIRECT("'update Helper'!I"&amp;BB47)/100)</f>
        <v>0.54052710094480361</v>
      </c>
      <c r="Q47" s="723"/>
      <c r="R47" s="202">
        <v>1109</v>
      </c>
      <c r="S47" s="725">
        <f ca="1">IF(OR(INDIRECT("'update Helper'!I"&amp;BB47+1)="",R47&lt;&gt;0,R48&lt;&gt;0),IF(IFERROR((R47/R48),"")="","",(R47/R48)),INDIRECT("'update Helper'!I"&amp;BB47+1)/100)</f>
        <v>0.5514669318746892</v>
      </c>
      <c r="T47" s="723"/>
      <c r="U47" s="202">
        <v>1131</v>
      </c>
      <c r="V47" s="725">
        <f ca="1">IF(OR(INDIRECT("'update Helper'!I"&amp;BB47+2)="",U47&lt;&gt;0,U48&lt;&gt;0),IF(IFERROR((U47/U48),"")="","",(U47/U48)),INDIRECT("'update Helper'!I"&amp;BB47+2)/100)</f>
        <v>0.5624067628045748</v>
      </c>
      <c r="W47" s="723"/>
      <c r="X47" s="202"/>
      <c r="Y47" s="725" t="str">
        <f ca="1">IF(A47=INDIRECT("'update Helper'!F"&amp;$BB47+3),IF(OR(INDIRECT("'update Helper'!I"&amp;BB47+3)="",X47&lt;&gt;0,X48&lt;&gt;0),IF(IFERROR((X47/X48),"")="","",(X47/X48)),INDIRECT("'update Helper'!I"&amp;BB47+3)/100),"")</f>
        <v/>
      </c>
      <c r="Z47" s="723"/>
      <c r="AA47" s="202"/>
      <c r="AB47" s="725" t="str">
        <f ca="1">IF(A47=INDIRECT("'update Helper'!F"&amp;$BB47+4),IF(OR(INDIRECT("'update Helper'!I"&amp;BB47+4)="",AA47&lt;&gt;0,AA48&lt;&gt;0),IF(IFERROR((AA47/AA48),"")="","",(AA47/AA48)),INDIRECT("'update Helper'!I"&amp;BB47+4)/100),"")</f>
        <v/>
      </c>
      <c r="AC47" s="723"/>
      <c r="AD47" s="202"/>
      <c r="AE47" s="725" t="str">
        <f ca="1">IF(A47=INDIRECT("'update Helper'!F"&amp;$BB47+5),IF(A47=INDIRECT("'update Helper'!F"&amp;$BB47+5),IF(OR(INDIRECT("'update Helper'!I"&amp;BB47+5)="",AD47&lt;&gt;0,AD48&lt;&gt;0),IF(IFERROR((AD47/AD48),"")="","",(AD47/AD48)),INDIRECT("'update Helper'!I"&amp;BB47+5)/100),""),"")</f>
        <v/>
      </c>
      <c r="AF47" s="723"/>
      <c r="AG47" s="202"/>
      <c r="AH47" s="725" t="str">
        <f ca="1">IF(A47=INDIRECT("'update Helper'!F"&amp;$BB47+6),IF(OR(INDIRECT("'update Helper'!I"&amp;BB47+6)="",AG47&lt;&gt;0,AG48&lt;&gt;0),IF(IFERROR((AG47/AG48),"")="","",(AG47/AG48)),INDIRECT("'update Helper'!I"&amp;BB47+6)/100),"")</f>
        <v/>
      </c>
      <c r="AI47" s="723"/>
      <c r="AJ47" s="202"/>
      <c r="AK47" s="725" t="str">
        <f ca="1">IF(A47=INDIRECT("'update Helper'!F"&amp;$BB47+6),IF(OR(INDIRECT("'update Helper'!I"&amp;BB47+7)="",AJ47&lt;&gt;0,AJ48&lt;&gt;0),IF(IFERROR((AJ47/AJ48),"")="","",(AJ47/AJ48)),INDIRECT("'update Helper'!I"&amp;BB47+7)/100),"")</f>
        <v/>
      </c>
      <c r="AL47" s="723"/>
      <c r="AM47" s="674" t="s">
        <v>11234</v>
      </c>
      <c r="AN47" s="674"/>
      <c r="AO47" s="729" t="s">
        <v>9223</v>
      </c>
      <c r="AP47" s="674" t="s">
        <v>11237</v>
      </c>
      <c r="AQ47" s="253" t="str">
        <f t="array" ref="AQ47">IFERROR(IF(INDEX('Reference Records'!$D$79:$D$156,MATCH(LEFT(D47,255),LEFT('Reference Records'!$C$79:$C$156,255),0))=0,"",INDEX('Reference Records'!$D$79:$D$156,MATCH(LEFT(D47,255),LEFT('Reference Records'!$C$79:$C$156,255),0))),"")</f>
        <v>Edad,Resultado de prueba del VIH</v>
      </c>
      <c r="AR47" s="196" t="str">
        <f t="array" ref="AR47">VLOOKUP(LEFT(D47,255),LEFT('Reference Records'!C$78:G400,255),4,0)</f>
        <v>MCI-01066</v>
      </c>
      <c r="AS47" s="196">
        <f>MATCH(AR47,'Reference Records'!$F$621:$F$699,0)+ROW(PopulationByCoverage)-1</f>
        <v>645</v>
      </c>
      <c r="AT47" s="196">
        <f>MATCH(AR47,'Reference Records'!$F$621:$F$699,1)+ROW(PopulationByCoverage)-1</f>
        <v>645</v>
      </c>
      <c r="AU47" s="253" t="str">
        <f>D47&amp;E47</f>
        <v>HTS-3b⁽ᴹ⁾ Porcentaje de personas transgénero a los que se les ha realizado una prueba de VIH durante el período de reporte y que conocen sus resultados</v>
      </c>
      <c r="AV47" s="212" t="str">
        <f t="array" ref="AV47">IFERROR(IF(VLOOKUP(LEFT(D47,255),LEFT('Reference Records'!$C$1:$K$724,255),9,0)=0,"",CONCATENATE(VLOOKUP(LEFT(D47,255),LEFT('Reference Records'!$C$1:$K$724,255),9,0),";")),"")</f>
        <v>Non cumulative;Non cumulative – other;Non cumulative - special;</v>
      </c>
      <c r="AW47" s="212" t="str">
        <f>CLEAN(IFERROR(LEFT(AV47, SEARCH(";",AV47,1)-1),""))</f>
        <v>Non cumulative</v>
      </c>
      <c r="AX47" s="212" t="str">
        <f>SUBSTITUTE(IFERROR(MID(AV47, SEARCH(";",AV47) + 1, SEARCH(";",AV47,SEARCH(";",AV47)+1) - SEARCH(";",AV47) - 1),""),CHAR(10),"")</f>
        <v>Non cumulative – other</v>
      </c>
      <c r="AY47" s="365" t="str">
        <f>CLEAN(IFERROR(SUBSTITUTE(RIGHT(AV47,LEN(AV47) - SEARCH(";", AV47, SEARCH(";",AV47) + 1)),";",""),""))</f>
        <v>Non cumulative - special</v>
      </c>
      <c r="AZ47" s="618" t="str">
        <f>IFERROR(IF(VLOOKUP(B47,'Reference Records'!$F$159:$N$210,9,FALSE)=0,"",VLOOKUP(B47,'Reference Records'!$F$159:$N$210,9,FALSE)),"")</f>
        <v>MCI-00650</v>
      </c>
      <c r="BA47" s="253">
        <f t="shared" si="0"/>
        <v>863</v>
      </c>
      <c r="BB47" s="428">
        <f>BB45+'update Helper'!$AB$2</f>
        <v>1092</v>
      </c>
      <c r="BD47" s="253" t="str">
        <f ca="1">IF(INDIRECT("'update Helper'!S"&amp;BA47)=0,"",IFERROR(VLOOKUP(INDIRECT("'update Helper'!U"&amp;BA47),'Account Role'!A$1:B$15,2,0), IFERROR(VLOOKUP(INDIRECT("'update Helper'!AD"&amp;BA47),'Overview - Section A'!J$26:P$107,7,0),"")))</f>
        <v/>
      </c>
    </row>
    <row r="48" spans="1:56" s="253" customFormat="1" ht="30" customHeight="1" x14ac:dyDescent="0.35">
      <c r="A48" s="728"/>
      <c r="B48" s="730"/>
      <c r="C48" s="730"/>
      <c r="D48" s="730"/>
      <c r="E48" s="675"/>
      <c r="F48" s="542">
        <v>2011</v>
      </c>
      <c r="G48" s="740"/>
      <c r="H48" s="744"/>
      <c r="I48" s="730"/>
      <c r="J48" s="736"/>
      <c r="K48" s="744"/>
      <c r="L48" s="730"/>
      <c r="M48" s="541" t="s">
        <v>312</v>
      </c>
      <c r="N48" s="738"/>
      <c r="O48" s="202">
        <v>2011</v>
      </c>
      <c r="P48" s="726"/>
      <c r="Q48" s="724"/>
      <c r="R48" s="202">
        <v>2011</v>
      </c>
      <c r="S48" s="726"/>
      <c r="T48" s="724"/>
      <c r="U48" s="202">
        <v>2011</v>
      </c>
      <c r="V48" s="726"/>
      <c r="W48" s="724"/>
      <c r="X48" s="202"/>
      <c r="Y48" s="726"/>
      <c r="Z48" s="724"/>
      <c r="AA48" s="202"/>
      <c r="AB48" s="726"/>
      <c r="AC48" s="724"/>
      <c r="AD48" s="202"/>
      <c r="AE48" s="726"/>
      <c r="AF48" s="724"/>
      <c r="AG48" s="202"/>
      <c r="AH48" s="726"/>
      <c r="AI48" s="724"/>
      <c r="AJ48" s="202"/>
      <c r="AK48" s="726"/>
      <c r="AL48" s="724"/>
      <c r="AM48" s="675"/>
      <c r="AN48" s="675"/>
      <c r="AO48" s="730"/>
      <c r="AP48" s="675"/>
      <c r="AV48" s="212"/>
      <c r="AW48" s="212"/>
      <c r="AX48" s="212"/>
      <c r="AY48" s="365"/>
      <c r="AZ48" s="618"/>
      <c r="BB48" s="212"/>
    </row>
    <row r="49" spans="1:56" s="253" customFormat="1" ht="30" customHeight="1" x14ac:dyDescent="0.35">
      <c r="A49" s="727">
        <v>21</v>
      </c>
      <c r="B49" s="672"/>
      <c r="C49" s="672"/>
      <c r="D49" s="672"/>
      <c r="E49" s="674"/>
      <c r="F49" s="542"/>
      <c r="G49" s="725" t="str">
        <f ca="1">IF(OR(INDIRECT("'update Helper'!D"&amp;BA49)="",F49&lt;&gt;0,F50&lt;&gt;0),IF(IFERROR((F49/F50),"")="","",(F49/F50)),INDIRECT("'update Helper'!D"&amp;BA49)/100)</f>
        <v/>
      </c>
      <c r="H49" s="723"/>
      <c r="I49" s="674"/>
      <c r="J49" s="735" t="str">
        <f>AQ49</f>
        <v/>
      </c>
      <c r="K49" s="733"/>
      <c r="L49" s="674"/>
      <c r="M49" s="205"/>
      <c r="N49" s="737"/>
      <c r="O49" s="202" t="str">
        <f ca="1">IF(A49=INDIRECT("'update Helper'!F"&amp;$BB49),IF(INDIRECT("'update Helper'!K"&amp;BB49)="","",INDIRECT("'update Helper'!K"&amp;BB49)),"")</f>
        <v/>
      </c>
      <c r="P49" s="725" t="str">
        <f ca="1">IF(OR(INDIRECT("'update Helper'!I"&amp;BB49)="",O49&lt;&gt;0,O50&lt;&gt;0),IF(IFERROR((O49/O50),"")="","",(O49/O50)),INDIRECT("'update Helper'!I"&amp;BB49)/100)</f>
        <v/>
      </c>
      <c r="Q49" s="723"/>
      <c r="R49" s="202"/>
      <c r="S49" s="725" t="str">
        <f ca="1">IF(OR(INDIRECT("'update Helper'!I"&amp;BB49+1)="",R49&lt;&gt;0,R50&lt;&gt;0),IF(IFERROR((R49/R50),"")="","",(R49/R50)),INDIRECT("'update Helper'!I"&amp;BB49+1)/100)</f>
        <v/>
      </c>
      <c r="T49" s="723"/>
      <c r="U49" s="202"/>
      <c r="V49" s="725" t="str">
        <f ca="1">IF(OR(INDIRECT("'update Helper'!I"&amp;BB49+2)="",U49&lt;&gt;0,U50&lt;&gt;0),IF(IFERROR((U49/U50),"")="","",(U49/U50)),INDIRECT("'update Helper'!I"&amp;BB49+2)/100)</f>
        <v/>
      </c>
      <c r="W49" s="723"/>
      <c r="X49" s="202"/>
      <c r="Y49" s="725" t="str">
        <f ca="1">IF(A49=INDIRECT("'update Helper'!F"&amp;$BB49+3),IF(OR(INDIRECT("'update Helper'!I"&amp;BB49+3)="",X49&lt;&gt;0,X50&lt;&gt;0),IF(IFERROR((X49/X50),"")="","",(X49/X50)),INDIRECT("'update Helper'!I"&amp;BB49+3)/100),"")</f>
        <v/>
      </c>
      <c r="Z49" s="723"/>
      <c r="AA49" s="202"/>
      <c r="AB49" s="725" t="str">
        <f ca="1">IF(A49=INDIRECT("'update Helper'!F"&amp;$BB49+4),IF(OR(INDIRECT("'update Helper'!I"&amp;BB49+4)="",AA49&lt;&gt;0,AA50&lt;&gt;0),IF(IFERROR((AA49/AA50),"")="","",(AA49/AA50)),INDIRECT("'update Helper'!I"&amp;BB49+4)/100),"")</f>
        <v/>
      </c>
      <c r="AC49" s="723"/>
      <c r="AD49" s="202"/>
      <c r="AE49" s="725" t="str">
        <f ca="1">IF(A49=INDIRECT("'update Helper'!F"&amp;$BB49+5),IF(A49=INDIRECT("'update Helper'!F"&amp;$BB49+5),IF(OR(INDIRECT("'update Helper'!I"&amp;BB49+5)="",AD49&lt;&gt;0,AD50&lt;&gt;0),IF(IFERROR((AD49/AD50),"")="","",(AD49/AD50)),INDIRECT("'update Helper'!I"&amp;BB49+5)/100),""),"")</f>
        <v/>
      </c>
      <c r="AF49" s="723"/>
      <c r="AG49" s="202"/>
      <c r="AH49" s="725" t="str">
        <f ca="1">IF(A49=INDIRECT("'update Helper'!F"&amp;$BB49+6),IF(OR(INDIRECT("'update Helper'!I"&amp;BB49+6)="",AG49&lt;&gt;0,AG50&lt;&gt;0),IF(IFERROR((AG49/AG50),"")="","",(AG49/AG50)),INDIRECT("'update Helper'!I"&amp;BB49+6)/100),"")</f>
        <v/>
      </c>
      <c r="AI49" s="723"/>
      <c r="AJ49" s="202"/>
      <c r="AK49" s="725" t="str">
        <f ca="1">IF(A49=INDIRECT("'update Helper'!F"&amp;$BB49+6),IF(OR(INDIRECT("'update Helper'!I"&amp;BB49+7)="",AJ49&lt;&gt;0,AJ50&lt;&gt;0),IF(IFERROR((AJ49/AJ50),"")="","",(AJ49/AJ50)),INDIRECT("'update Helper'!I"&amp;BB49+7)/100),"")</f>
        <v/>
      </c>
      <c r="AL49" s="723"/>
      <c r="AM49" s="674"/>
      <c r="AN49" s="674"/>
      <c r="AO49" s="674"/>
      <c r="AP49" s="674"/>
      <c r="AQ49" s="253" t="str">
        <f t="array" ref="AQ49">IFERROR(IF(INDEX('Reference Records'!$D$79:$D$156,MATCH(LEFT(D49,255),LEFT('Reference Records'!$C$79:$C$156,255),0))=0,"",INDEX('Reference Records'!$D$79:$D$156,MATCH(LEFT(D49,255),LEFT('Reference Records'!$C$79:$C$156,255),0))),"")</f>
        <v/>
      </c>
      <c r="AR49" s="196" t="str">
        <f t="array" ref="AR49">VLOOKUP(LEFT(D49,255),LEFT('Reference Records'!C$78:G402,255),4,0)</f>
        <v/>
      </c>
      <c r="AS49" s="196" t="e">
        <f>MATCH(AR49,'Reference Records'!$F$621:$F$699,0)+ROW(PopulationByCoverage)-1</f>
        <v>#N/A</v>
      </c>
      <c r="AT49" s="196" t="e">
        <f>MATCH(AR49,'Reference Records'!$F$621:$F$699,1)+ROW(PopulationByCoverage)-1</f>
        <v>#N/A</v>
      </c>
      <c r="AU49" s="253" t="str">
        <f>D49&amp;E49</f>
        <v/>
      </c>
      <c r="AV49" s="212" t="str">
        <f t="array" ref="AV49">IFERROR(IF(VLOOKUP(LEFT(D49,255),LEFT('Reference Records'!$C$1:$K$724,255),9,0)=0,"",CONCATENATE(VLOOKUP(LEFT(D49,255),LEFT('Reference Records'!$C$1:$K$724,255),9,0),";")),"")</f>
        <v>;</v>
      </c>
      <c r="AW49" s="212" t="str">
        <f>CLEAN(IFERROR(LEFT(AV49, SEARCH(";",AV49,1)-1),""))</f>
        <v/>
      </c>
      <c r="AX49" s="212" t="str">
        <f>SUBSTITUTE(IFERROR(MID(AV49, SEARCH(";",AV49) + 1, SEARCH(";",AV49,SEARCH(";",AV49)+1) - SEARCH(";",AV49) - 1),""),CHAR(10),"")</f>
        <v/>
      </c>
      <c r="AY49" s="365" t="str">
        <f>CLEAN(IFERROR(SUBSTITUTE(RIGHT(AV49,LEN(AV49) - SEARCH(";", AV49, SEARCH(";",AV49) + 1)),";",""),""))</f>
        <v/>
      </c>
      <c r="AZ49" s="618" t="str">
        <f>IFERROR(IF(VLOOKUP(B49,'Reference Records'!$F$159:$N$210,9,FALSE)=0,"",VLOOKUP(B49,'Reference Records'!$F$159:$N$210,9,FALSE)),"")</f>
        <v/>
      </c>
      <c r="BA49" s="253">
        <f t="shared" si="0"/>
        <v>864</v>
      </c>
      <c r="BB49" s="428">
        <f>BB47+'update Helper'!$AB$2</f>
        <v>1100</v>
      </c>
      <c r="BD49" s="253" t="str">
        <f ca="1">IF(INDIRECT("'update Helper'!S"&amp;BA49)=0,"",IFERROR(VLOOKUP(INDIRECT("'update Helper'!U"&amp;BA49),'Account Role'!A$1:B$15,2,0), IFERROR(VLOOKUP(INDIRECT("'update Helper'!AD"&amp;BA49),'Overview - Section A'!J$26:P$107,7,0),"")))</f>
        <v/>
      </c>
    </row>
    <row r="50" spans="1:56" s="253" customFormat="1" ht="30" customHeight="1" x14ac:dyDescent="0.35">
      <c r="A50" s="728"/>
      <c r="B50" s="673"/>
      <c r="C50" s="673"/>
      <c r="D50" s="673"/>
      <c r="E50" s="675"/>
      <c r="F50" s="542"/>
      <c r="G50" s="726"/>
      <c r="H50" s="724"/>
      <c r="I50" s="675"/>
      <c r="J50" s="736"/>
      <c r="K50" s="734"/>
      <c r="L50" s="675"/>
      <c r="M50" s="366"/>
      <c r="N50" s="738"/>
      <c r="O50" s="202" t="str">
        <f ca="1">IF(A49=INDIRECT("'update Helper'!F"&amp;$BB49),IF(INDIRECT("'update Helper'!J"&amp;BB49)=0,"",INDIRECT("'update Helper'!J"&amp;BB49)),"")</f>
        <v/>
      </c>
      <c r="P50" s="726"/>
      <c r="Q50" s="724"/>
      <c r="R50" s="202"/>
      <c r="S50" s="726"/>
      <c r="T50" s="724"/>
      <c r="U50" s="202"/>
      <c r="V50" s="726"/>
      <c r="W50" s="724"/>
      <c r="X50" s="202"/>
      <c r="Y50" s="726"/>
      <c r="Z50" s="724"/>
      <c r="AA50" s="202"/>
      <c r="AB50" s="726"/>
      <c r="AC50" s="724"/>
      <c r="AD50" s="202"/>
      <c r="AE50" s="726"/>
      <c r="AF50" s="724"/>
      <c r="AG50" s="202"/>
      <c r="AH50" s="726"/>
      <c r="AI50" s="724"/>
      <c r="AJ50" s="202"/>
      <c r="AK50" s="726"/>
      <c r="AL50" s="724"/>
      <c r="AM50" s="675"/>
      <c r="AN50" s="675"/>
      <c r="AO50" s="675"/>
      <c r="AP50" s="675"/>
      <c r="AV50" s="212"/>
      <c r="AW50" s="212"/>
      <c r="AX50" s="212"/>
      <c r="AY50" s="365"/>
      <c r="AZ50" s="618"/>
      <c r="BB50" s="212"/>
    </row>
    <row r="51" spans="1:56" s="253" customFormat="1" ht="30" customHeight="1" x14ac:dyDescent="0.35">
      <c r="A51" s="727">
        <v>22</v>
      </c>
      <c r="B51" s="729" t="s">
        <v>2996</v>
      </c>
      <c r="C51" s="729" t="s">
        <v>8418</v>
      </c>
      <c r="D51" s="729" t="s">
        <v>2139</v>
      </c>
      <c r="E51" s="674"/>
      <c r="F51" s="542">
        <v>4150</v>
      </c>
      <c r="G51" s="739">
        <f ca="1">IF(OR(INDIRECT("'update Helper'!D"&amp;BA51)="",F51&lt;&gt;0,F52&lt;&gt;0),IF(IFERROR((F51/F52),"")="","",(F51/F52)),INDIRECT("'update Helper'!D"&amp;BA51)/100)</f>
        <v>9.2279640665302851E-2</v>
      </c>
      <c r="H51" s="743">
        <v>2020</v>
      </c>
      <c r="I51" s="729" t="s">
        <v>9223</v>
      </c>
      <c r="J51" s="735" t="str">
        <f>AQ51</f>
        <v>Edad,Género,Resultado de prueba del VIH</v>
      </c>
      <c r="K51" s="743" t="s">
        <v>439</v>
      </c>
      <c r="L51" s="729" t="s">
        <v>1073</v>
      </c>
      <c r="M51" s="540" t="s">
        <v>1070</v>
      </c>
      <c r="N51" s="737"/>
      <c r="O51" s="202">
        <v>9477</v>
      </c>
      <c r="P51" s="725">
        <f ca="1">IF(OR(INDIRECT("'update Helper'!I"&amp;BB51)="",O51&lt;&gt;0,O52&lt;&gt;0),IF(IFERROR((O51/O52),"")="","",(O51/O52)),INDIRECT("'update Helper'!I"&amp;BB51)/100)</f>
        <v>0.2107311215867651</v>
      </c>
      <c r="Q51" s="723"/>
      <c r="R51" s="202">
        <v>9667</v>
      </c>
      <c r="S51" s="725">
        <f ca="1">IF(OR(INDIRECT("'update Helper'!I"&amp;BB51+1)="",R51&lt;&gt;0,R52&lt;&gt;0),IF(IFERROR((R51/R52),"")="","",(R51/R52)),INDIRECT("'update Helper'!I"&amp;BB51+1)/100)</f>
        <v>0.21495597260517654</v>
      </c>
      <c r="T51" s="723"/>
      <c r="U51" s="202">
        <v>9860</v>
      </c>
      <c r="V51" s="725">
        <f ca="1">IF(OR(INDIRECT("'update Helper'!I"&amp;BB51+2)="",U51&lt;&gt;0,U52&lt;&gt;0),IF(IFERROR((U51/U52),"")="","",(U51/U52)),INDIRECT("'update Helper'!I"&amp;BB51+2)/100)</f>
        <v>0.21924753179756293</v>
      </c>
      <c r="W51" s="723"/>
      <c r="X51" s="202"/>
      <c r="Y51" s="725" t="str">
        <f ca="1">IF(A51=INDIRECT("'update Helper'!F"&amp;$BB51+3),IF(OR(INDIRECT("'update Helper'!I"&amp;BB51+3)="",X51&lt;&gt;0,X52&lt;&gt;0),IF(IFERROR((X51/X52),"")="","",(X51/X52)),INDIRECT("'update Helper'!I"&amp;BB51+3)/100),"")</f>
        <v/>
      </c>
      <c r="Z51" s="723"/>
      <c r="AA51" s="202"/>
      <c r="AB51" s="725" t="str">
        <f ca="1">IF(A51=INDIRECT("'update Helper'!F"&amp;$BB51+4),IF(OR(INDIRECT("'update Helper'!I"&amp;BB51+4)="",AA51&lt;&gt;0,AA52&lt;&gt;0),IF(IFERROR((AA51/AA52),"")="","",(AA51/AA52)),INDIRECT("'update Helper'!I"&amp;BB51+4)/100),"")</f>
        <v/>
      </c>
      <c r="AC51" s="723"/>
      <c r="AD51" s="202"/>
      <c r="AE51" s="725" t="str">
        <f ca="1">IF(A51=INDIRECT("'update Helper'!F"&amp;$BB51+5),IF(A51=INDIRECT("'update Helper'!F"&amp;$BB51+5),IF(OR(INDIRECT("'update Helper'!I"&amp;BB51+5)="",AD51&lt;&gt;0,AD52&lt;&gt;0),IF(IFERROR((AD51/AD52),"")="","",(AD51/AD52)),INDIRECT("'update Helper'!I"&amp;BB51+5)/100),""),"")</f>
        <v/>
      </c>
      <c r="AF51" s="723"/>
      <c r="AG51" s="202"/>
      <c r="AH51" s="725" t="str">
        <f ca="1">IF(A51=INDIRECT("'update Helper'!F"&amp;$BB51+6),IF(OR(INDIRECT("'update Helper'!I"&amp;BB51+6)="",AG51&lt;&gt;0,AG52&lt;&gt;0),IF(IFERROR((AG51/AG52),"")="","",(AG51/AG52)),INDIRECT("'update Helper'!I"&amp;BB51+6)/100),"")</f>
        <v/>
      </c>
      <c r="AI51" s="723"/>
      <c r="AJ51" s="202"/>
      <c r="AK51" s="725" t="str">
        <f ca="1">IF(A51=INDIRECT("'update Helper'!F"&amp;$BB51+6),IF(OR(INDIRECT("'update Helper'!I"&amp;BB51+7)="",AJ51&lt;&gt;0,AJ52&lt;&gt;0),IF(IFERROR((AJ51/AJ52),"")="","",(AJ51/AJ52)),INDIRECT("'update Helper'!I"&amp;BB51+7)/100),"")</f>
        <v/>
      </c>
      <c r="AL51" s="723"/>
      <c r="AM51" s="674" t="s">
        <v>11232</v>
      </c>
      <c r="AN51" s="674"/>
      <c r="AO51" s="729" t="s">
        <v>9223</v>
      </c>
      <c r="AP51" s="674" t="s">
        <v>11238</v>
      </c>
      <c r="AQ51" s="253" t="str">
        <f t="array" ref="AQ51">IFERROR(IF(INDEX('Reference Records'!$D$79:$D$156,MATCH(LEFT(D51,255),LEFT('Reference Records'!$C$79:$C$156,255),0))=0,"",INDEX('Reference Records'!$D$79:$D$156,MATCH(LEFT(D51,255),LEFT('Reference Records'!$C$79:$C$156,255),0))),"")</f>
        <v>Edad,Género,Resultado de prueba del VIH</v>
      </c>
      <c r="AR51" s="196" t="str">
        <f t="array" ref="AR51">VLOOKUP(LEFT(D51,255),LEFT('Reference Records'!C$78:G405,255),4,0)</f>
        <v>MCI-01067</v>
      </c>
      <c r="AS51" s="196">
        <f>MATCH(AR51,'Reference Records'!$F$621:$F$699,0)+ROW(PopulationByCoverage)-1</f>
        <v>646</v>
      </c>
      <c r="AT51" s="196">
        <f>MATCH(AR51,'Reference Records'!$F$621:$F$699,1)+ROW(PopulationByCoverage)-1</f>
        <v>646</v>
      </c>
      <c r="AU51" s="253" t="str">
        <f>D51&amp;E51</f>
        <v>HTS-3c⁽ᴹ⁾ Porcentaje de trabajadores sexuales a los que se les ha realizado una prueba de VIH durante el período de reporte y que conocen sus resultados</v>
      </c>
      <c r="AV51" s="212" t="str">
        <f t="array" ref="AV51">IFERROR(IF(VLOOKUP(LEFT(D51,255),LEFT('Reference Records'!$C$1:$K$724,255),9,0)=0,"",CONCATENATE(VLOOKUP(LEFT(D51,255),LEFT('Reference Records'!$C$1:$K$724,255),9,0),";")),"")</f>
        <v>Non cumulative;Non cumulative – other;Non cumulative - special;</v>
      </c>
      <c r="AW51" s="212" t="str">
        <f>CLEAN(IFERROR(LEFT(AV51, SEARCH(";",AV51,1)-1),""))</f>
        <v>Non cumulative</v>
      </c>
      <c r="AX51" s="212" t="str">
        <f>SUBSTITUTE(IFERROR(MID(AV51, SEARCH(";",AV51) + 1, SEARCH(";",AV51,SEARCH(";",AV51)+1) - SEARCH(";",AV51) - 1),""),CHAR(10),"")</f>
        <v>Non cumulative – other</v>
      </c>
      <c r="AY51" s="365" t="str">
        <f>CLEAN(IFERROR(SUBSTITUTE(RIGHT(AV51,LEN(AV51) - SEARCH(";", AV51, SEARCH(";",AV51) + 1)),";",""),""))</f>
        <v>Non cumulative - special</v>
      </c>
      <c r="AZ51" s="618" t="str">
        <f>IFERROR(IF(VLOOKUP(B51,'Reference Records'!$F$159:$N$210,9,FALSE)=0,"",VLOOKUP(B51,'Reference Records'!$F$159:$N$210,9,FALSE)),"")</f>
        <v>MCI-00650</v>
      </c>
      <c r="BA51" s="253">
        <f t="shared" si="0"/>
        <v>865</v>
      </c>
      <c r="BB51" s="428">
        <f>BB49+'update Helper'!$AB$2</f>
        <v>1108</v>
      </c>
      <c r="BD51" s="253" t="str">
        <f ca="1">IF(INDIRECT("'update Helper'!S"&amp;BA51)=0,"",IFERROR(VLOOKUP(INDIRECT("'update Helper'!U"&amp;BA51),'Account Role'!A$1:B$15,2,0), IFERROR(VLOOKUP(INDIRECT("'update Helper'!AD"&amp;BA51),'Overview - Section A'!J$26:P$107,7,0),"")))</f>
        <v/>
      </c>
    </row>
    <row r="52" spans="1:56" s="253" customFormat="1" ht="30" customHeight="1" x14ac:dyDescent="0.35">
      <c r="A52" s="728"/>
      <c r="B52" s="730"/>
      <c r="C52" s="730"/>
      <c r="D52" s="730"/>
      <c r="E52" s="675"/>
      <c r="F52" s="542">
        <v>44972</v>
      </c>
      <c r="G52" s="740"/>
      <c r="H52" s="744"/>
      <c r="I52" s="730"/>
      <c r="J52" s="736"/>
      <c r="K52" s="744"/>
      <c r="L52" s="730"/>
      <c r="M52" s="541" t="s">
        <v>312</v>
      </c>
      <c r="N52" s="738"/>
      <c r="O52" s="202">
        <v>44972</v>
      </c>
      <c r="P52" s="726"/>
      <c r="Q52" s="724"/>
      <c r="R52" s="202">
        <v>44972</v>
      </c>
      <c r="S52" s="726"/>
      <c r="T52" s="724"/>
      <c r="U52" s="202">
        <v>44972</v>
      </c>
      <c r="V52" s="726"/>
      <c r="W52" s="724"/>
      <c r="X52" s="202"/>
      <c r="Y52" s="726"/>
      <c r="Z52" s="724"/>
      <c r="AA52" s="202"/>
      <c r="AB52" s="726"/>
      <c r="AC52" s="724"/>
      <c r="AD52" s="202"/>
      <c r="AE52" s="726"/>
      <c r="AF52" s="724"/>
      <c r="AG52" s="202"/>
      <c r="AH52" s="726"/>
      <c r="AI52" s="724"/>
      <c r="AJ52" s="202"/>
      <c r="AK52" s="726"/>
      <c r="AL52" s="724"/>
      <c r="AM52" s="675"/>
      <c r="AN52" s="675"/>
      <c r="AO52" s="730"/>
      <c r="AP52" s="675"/>
      <c r="AV52" s="212"/>
      <c r="AW52" s="212"/>
      <c r="AX52" s="212"/>
      <c r="AY52" s="365"/>
      <c r="AZ52" s="618"/>
      <c r="BB52" s="212"/>
    </row>
    <row r="53" spans="1:56" s="253" customFormat="1" ht="30" customHeight="1" x14ac:dyDescent="0.35">
      <c r="A53" s="727">
        <v>23</v>
      </c>
      <c r="B53" s="674"/>
      <c r="C53" s="674"/>
      <c r="D53" s="674"/>
      <c r="E53" s="674"/>
      <c r="F53" s="202"/>
      <c r="G53" s="725" t="str">
        <f ca="1">IF(OR(INDIRECT("'update Helper'!D"&amp;BA53)="",F53&lt;&gt;0,F54&lt;&gt;0),IF(IFERROR((F53/F54),"")="","",(F53/F54)),INDIRECT("'update Helper'!D"&amp;BA53)/100)</f>
        <v/>
      </c>
      <c r="H53" s="723"/>
      <c r="I53" s="674"/>
      <c r="J53" s="735" t="str">
        <f>AQ53</f>
        <v/>
      </c>
      <c r="K53" s="723"/>
      <c r="L53" s="674"/>
      <c r="M53" s="205"/>
      <c r="N53" s="737"/>
      <c r="O53" s="202" t="str">
        <f ca="1">IF(A53=INDIRECT("'update Helper'!F"&amp;$BB53),IF(INDIRECT("'update Helper'!K"&amp;BB53)="","",INDIRECT("'update Helper'!K"&amp;BB53)),"")</f>
        <v/>
      </c>
      <c r="P53" s="725" t="str">
        <f ca="1">IF(OR(INDIRECT("'update Helper'!I"&amp;BB53)="",O53&lt;&gt;0,O54&lt;&gt;0),IF(IFERROR((O53/O54),"")="","",(O53/O54)),INDIRECT("'update Helper'!I"&amp;BB53)/100)</f>
        <v/>
      </c>
      <c r="Q53" s="723"/>
      <c r="R53" s="202"/>
      <c r="S53" s="725" t="str">
        <f ca="1">IF(OR(INDIRECT("'update Helper'!I"&amp;BB53+1)="",R53&lt;&gt;0,R54&lt;&gt;0),IF(IFERROR((R53/R54),"")="","",(R53/R54)),INDIRECT("'update Helper'!I"&amp;BB53+1)/100)</f>
        <v/>
      </c>
      <c r="T53" s="723"/>
      <c r="U53" s="202"/>
      <c r="V53" s="725" t="str">
        <f ca="1">IF(OR(INDIRECT("'update Helper'!I"&amp;BB53+2)="",U53&lt;&gt;0,U54&lt;&gt;0),IF(IFERROR((U53/U54),"")="","",(U53/U54)),INDIRECT("'update Helper'!I"&amp;BB53+2)/100)</f>
        <v/>
      </c>
      <c r="W53" s="723"/>
      <c r="X53" s="202"/>
      <c r="Y53" s="725" t="str">
        <f ca="1">IF(A53=INDIRECT("'update Helper'!F"&amp;$BB53+3),IF(OR(INDIRECT("'update Helper'!I"&amp;BB53+3)="",X53&lt;&gt;0,X54&lt;&gt;0),IF(IFERROR((X53/X54),"")="","",(X53/X54)),INDIRECT("'update Helper'!I"&amp;BB53+3)/100),"")</f>
        <v/>
      </c>
      <c r="Z53" s="723"/>
      <c r="AA53" s="202"/>
      <c r="AB53" s="725" t="str">
        <f ca="1">IF(A53=INDIRECT("'update Helper'!F"&amp;$BB53+4),IF(OR(INDIRECT("'update Helper'!I"&amp;BB53+4)="",AA53&lt;&gt;0,AA54&lt;&gt;0),IF(IFERROR((AA53/AA54),"")="","",(AA53/AA54)),INDIRECT("'update Helper'!I"&amp;BB53+4)/100),"")</f>
        <v/>
      </c>
      <c r="AC53" s="723"/>
      <c r="AD53" s="202"/>
      <c r="AE53" s="725" t="str">
        <f ca="1">IF(A53=INDIRECT("'update Helper'!F"&amp;$BB53+5),IF(A53=INDIRECT("'update Helper'!F"&amp;$BB53+5),IF(OR(INDIRECT("'update Helper'!I"&amp;BB53+5)="",AD53&lt;&gt;0,AD54&lt;&gt;0),IF(IFERROR((AD53/AD54),"")="","",(AD53/AD54)),INDIRECT("'update Helper'!I"&amp;BB53+5)/100),""),"")</f>
        <v/>
      </c>
      <c r="AF53" s="723"/>
      <c r="AG53" s="202"/>
      <c r="AH53" s="725" t="str">
        <f ca="1">IF(A53=INDIRECT("'update Helper'!F"&amp;$BB53+6),IF(OR(INDIRECT("'update Helper'!I"&amp;BB53+6)="",AG53&lt;&gt;0,AG54&lt;&gt;0),IF(IFERROR((AG53/AG54),"")="","",(AG53/AG54)),INDIRECT("'update Helper'!I"&amp;BB53+6)/100),"")</f>
        <v/>
      </c>
      <c r="AI53" s="723"/>
      <c r="AJ53" s="202"/>
      <c r="AK53" s="725" t="str">
        <f ca="1">IF(A53=INDIRECT("'update Helper'!F"&amp;$BB53+6),IF(OR(INDIRECT("'update Helper'!I"&amp;BB53+7)="",AJ53&lt;&gt;0,AJ54&lt;&gt;0),IF(IFERROR((AJ53/AJ54),"")="","",(AJ53/AJ54)),INDIRECT("'update Helper'!I"&amp;BB53+7)/100),"")</f>
        <v/>
      </c>
      <c r="AL53" s="723"/>
      <c r="AM53" s="674"/>
      <c r="AN53" s="674"/>
      <c r="AO53" s="674"/>
      <c r="AP53" s="674"/>
      <c r="AQ53" s="253" t="str">
        <f t="array" ref="AQ53">IFERROR(IF(INDEX('Reference Records'!$D$79:$D$156,MATCH(LEFT(D53,255),LEFT('Reference Records'!$C$79:$C$156,255),0))=0,"",INDEX('Reference Records'!$D$79:$D$156,MATCH(LEFT(D53,255),LEFT('Reference Records'!$C$79:$C$156,255),0))),"")</f>
        <v/>
      </c>
      <c r="AR53" s="196" t="str">
        <f t="array" ref="AR53">VLOOKUP(LEFT(D53,255),LEFT('Reference Records'!C$78:G407,255),4,0)</f>
        <v/>
      </c>
      <c r="AS53" s="196" t="e">
        <f>MATCH(AR53,'Reference Records'!$F$621:$F$699,0)+ROW(PopulationByCoverage)-1</f>
        <v>#N/A</v>
      </c>
      <c r="AT53" s="196" t="e">
        <f>MATCH(AR53,'Reference Records'!$F$621:$F$699,1)+ROW(PopulationByCoverage)-1</f>
        <v>#N/A</v>
      </c>
      <c r="AU53" s="253" t="str">
        <f>D53&amp;E53</f>
        <v/>
      </c>
      <c r="AV53" s="212" t="str">
        <f t="array" ref="AV53">IFERROR(IF(VLOOKUP(LEFT(D53,255),LEFT('Reference Records'!$C$1:$K$724,255),9,0)=0,"",CONCATENATE(VLOOKUP(LEFT(D53,255),LEFT('Reference Records'!$C$1:$K$724,255),9,0),";")),"")</f>
        <v>;</v>
      </c>
      <c r="AW53" s="212" t="str">
        <f>CLEAN(IFERROR(LEFT(AV53, SEARCH(";",AV53,1)-1),""))</f>
        <v/>
      </c>
      <c r="AX53" s="212" t="str">
        <f>SUBSTITUTE(IFERROR(MID(AV53, SEARCH(";",AV53) + 1, SEARCH(";",AV53,SEARCH(";",AV53)+1) - SEARCH(";",AV53) - 1),""),CHAR(10),"")</f>
        <v/>
      </c>
      <c r="AY53" s="365" t="str">
        <f>CLEAN(IFERROR(SUBSTITUTE(RIGHT(AV53,LEN(AV53) - SEARCH(";", AV53, SEARCH(";",AV53) + 1)),";",""),""))</f>
        <v/>
      </c>
      <c r="AZ53" s="618" t="str">
        <f>IFERROR(IF(VLOOKUP(B53,'Reference Records'!$F$159:$N$210,9,FALSE)=0,"",VLOOKUP(B53,'Reference Records'!$F$159:$N$210,9,FALSE)),"")</f>
        <v/>
      </c>
      <c r="BA53" s="253">
        <f t="shared" si="0"/>
        <v>866</v>
      </c>
      <c r="BB53" s="428">
        <f>BB51+'update Helper'!$AB$2</f>
        <v>1116</v>
      </c>
      <c r="BD53" s="253" t="str">
        <f ca="1">IF(INDIRECT("'update Helper'!S"&amp;BA53)=0,"",IFERROR(VLOOKUP(INDIRECT("'update Helper'!U"&amp;BA53),'Account Role'!A$1:B$15,2,0), IFERROR(VLOOKUP(INDIRECT("'update Helper'!AD"&amp;BA53),'Overview - Section A'!J$26:P$107,7,0),"")))</f>
        <v/>
      </c>
    </row>
    <row r="54" spans="1:56" s="253" customFormat="1" ht="30" customHeight="1" x14ac:dyDescent="0.35">
      <c r="A54" s="728"/>
      <c r="B54" s="675"/>
      <c r="C54" s="675"/>
      <c r="D54" s="675"/>
      <c r="E54" s="675"/>
      <c r="F54" s="202"/>
      <c r="G54" s="726"/>
      <c r="H54" s="724"/>
      <c r="I54" s="675"/>
      <c r="J54" s="736"/>
      <c r="K54" s="724"/>
      <c r="L54" s="675"/>
      <c r="M54" s="366"/>
      <c r="N54" s="738"/>
      <c r="O54" s="202" t="str">
        <f ca="1">IF(A53=INDIRECT("'update Helper'!F"&amp;$BB53),IF(INDIRECT("'update Helper'!J"&amp;BB53)=0,"",INDIRECT("'update Helper'!J"&amp;BB53)),"")</f>
        <v/>
      </c>
      <c r="P54" s="726"/>
      <c r="Q54" s="724"/>
      <c r="R54" s="202"/>
      <c r="S54" s="726"/>
      <c r="T54" s="724"/>
      <c r="U54" s="202"/>
      <c r="V54" s="726"/>
      <c r="W54" s="724"/>
      <c r="X54" s="202"/>
      <c r="Y54" s="726"/>
      <c r="Z54" s="724"/>
      <c r="AA54" s="202"/>
      <c r="AB54" s="726"/>
      <c r="AC54" s="724"/>
      <c r="AD54" s="202"/>
      <c r="AE54" s="726"/>
      <c r="AF54" s="724"/>
      <c r="AG54" s="202"/>
      <c r="AH54" s="726"/>
      <c r="AI54" s="724"/>
      <c r="AJ54" s="202"/>
      <c r="AK54" s="726"/>
      <c r="AL54" s="724"/>
      <c r="AM54" s="675"/>
      <c r="AN54" s="675"/>
      <c r="AO54" s="675"/>
      <c r="AP54" s="675"/>
      <c r="AV54" s="212"/>
      <c r="AW54" s="212"/>
      <c r="AX54" s="212"/>
      <c r="AY54" s="365"/>
      <c r="AZ54" s="618"/>
      <c r="BB54" s="212"/>
    </row>
    <row r="55" spans="1:56" s="253" customFormat="1" ht="30" customHeight="1" x14ac:dyDescent="0.35">
      <c r="A55" s="727">
        <v>24</v>
      </c>
      <c r="B55" s="674"/>
      <c r="C55" s="674"/>
      <c r="D55" s="674"/>
      <c r="E55" s="674"/>
      <c r="F55" s="202"/>
      <c r="G55" s="725" t="str">
        <f ca="1">IF(OR(INDIRECT("'update Helper'!D"&amp;BA55)="",F55&lt;&gt;0,F56&lt;&gt;0),IF(IFERROR((F55/F56),"")="","",(F55/F56)),INDIRECT("'update Helper'!D"&amp;BA55)/100)</f>
        <v/>
      </c>
      <c r="H55" s="723"/>
      <c r="I55" s="674"/>
      <c r="J55" s="735" t="str">
        <f>AQ55</f>
        <v/>
      </c>
      <c r="K55" s="723"/>
      <c r="L55" s="674"/>
      <c r="M55" s="205"/>
      <c r="N55" s="737"/>
      <c r="O55" s="202" t="str">
        <f ca="1">IF(A55=INDIRECT("'update Helper'!F"&amp;$BB55),IF(INDIRECT("'update Helper'!K"&amp;BB55)="","",INDIRECT("'update Helper'!K"&amp;BB55)),"")</f>
        <v/>
      </c>
      <c r="P55" s="725" t="str">
        <f ca="1">IF(OR(INDIRECT("'update Helper'!I"&amp;BB55)="",O55&lt;&gt;0,O56&lt;&gt;0),IF(IFERROR((O55/O56),"")="","",(O55/O56)),INDIRECT("'update Helper'!I"&amp;BB55)/100)</f>
        <v/>
      </c>
      <c r="Q55" s="723"/>
      <c r="R55" s="202"/>
      <c r="S55" s="725" t="str">
        <f ca="1">IF(OR(INDIRECT("'update Helper'!I"&amp;BB55+1)="",R55&lt;&gt;0,R56&lt;&gt;0),IF(IFERROR((R55/R56),"")="","",(R55/R56)),INDIRECT("'update Helper'!I"&amp;BB55+1)/100)</f>
        <v/>
      </c>
      <c r="T55" s="723"/>
      <c r="U55" s="202"/>
      <c r="V55" s="725" t="str">
        <f ca="1">IF(OR(INDIRECT("'update Helper'!I"&amp;BB55+2)="",U55&lt;&gt;0,U56&lt;&gt;0),IF(IFERROR((U55/U56),"")="","",(U55/U56)),INDIRECT("'update Helper'!I"&amp;BB55+2)/100)</f>
        <v/>
      </c>
      <c r="W55" s="723"/>
      <c r="X55" s="202"/>
      <c r="Y55" s="725" t="str">
        <f ca="1">IF(A55=INDIRECT("'update Helper'!F"&amp;$BB55+3),IF(OR(INDIRECT("'update Helper'!I"&amp;BB55+3)="",X55&lt;&gt;0,X56&lt;&gt;0),IF(IFERROR((X55/X56),"")="","",(X55/X56)),INDIRECT("'update Helper'!I"&amp;BB55+3)/100),"")</f>
        <v/>
      </c>
      <c r="Z55" s="723"/>
      <c r="AA55" s="202"/>
      <c r="AB55" s="725" t="str">
        <f ca="1">IF(A55=INDIRECT("'update Helper'!F"&amp;$BB55+4),IF(OR(INDIRECT("'update Helper'!I"&amp;BB55+4)="",AA55&lt;&gt;0,AA56&lt;&gt;0),IF(IFERROR((AA55/AA56),"")="","",(AA55/AA56)),INDIRECT("'update Helper'!I"&amp;BB55+4)/100),"")</f>
        <v/>
      </c>
      <c r="AC55" s="723"/>
      <c r="AD55" s="202"/>
      <c r="AE55" s="725" t="str">
        <f ca="1">IF(A55=INDIRECT("'update Helper'!F"&amp;$BB55+5),IF(A55=INDIRECT("'update Helper'!F"&amp;$BB55+5),IF(OR(INDIRECT("'update Helper'!I"&amp;BB55+5)="",AD55&lt;&gt;0,AD56&lt;&gt;0),IF(IFERROR((AD55/AD56),"")="","",(AD55/AD56)),INDIRECT("'update Helper'!I"&amp;BB55+5)/100),""),"")</f>
        <v/>
      </c>
      <c r="AF55" s="723"/>
      <c r="AG55" s="202"/>
      <c r="AH55" s="725" t="str">
        <f ca="1">IF(A55=INDIRECT("'update Helper'!F"&amp;$BB55+6),IF(OR(INDIRECT("'update Helper'!I"&amp;BB55+6)="",AG55&lt;&gt;0,AG56&lt;&gt;0),IF(IFERROR((AG55/AG56),"")="","",(AG55/AG56)),INDIRECT("'update Helper'!I"&amp;BB55+6)/100),"")</f>
        <v/>
      </c>
      <c r="AI55" s="723"/>
      <c r="AJ55" s="202"/>
      <c r="AK55" s="725" t="str">
        <f ca="1">IF(A55=INDIRECT("'update Helper'!F"&amp;$BB55+6),IF(OR(INDIRECT("'update Helper'!I"&amp;BB55+7)="",AJ55&lt;&gt;0,AJ56&lt;&gt;0),IF(IFERROR((AJ55/AJ56),"")="","",(AJ55/AJ56)),INDIRECT("'update Helper'!I"&amp;BB55+7)/100),"")</f>
        <v/>
      </c>
      <c r="AL55" s="723"/>
      <c r="AM55" s="674"/>
      <c r="AN55" s="674"/>
      <c r="AO55" s="674"/>
      <c r="AP55" s="674"/>
      <c r="AQ55" s="253" t="str">
        <f t="array" ref="AQ55">IFERROR(IF(INDEX('Reference Records'!$D$79:$D$156,MATCH(LEFT(D55,255),LEFT('Reference Records'!$C$79:$C$156,255),0))=0,"",INDEX('Reference Records'!$D$79:$D$156,MATCH(LEFT(D55,255),LEFT('Reference Records'!$C$79:$C$156,255),0))),"")</f>
        <v/>
      </c>
      <c r="AR55" s="196" t="str">
        <f t="array" ref="AR55">VLOOKUP(LEFT(D55,255),LEFT('Reference Records'!C$78:G409,255),4,0)</f>
        <v/>
      </c>
      <c r="AS55" s="196" t="e">
        <f>MATCH(AR55,'Reference Records'!$F$621:$F$699,0)+ROW(PopulationByCoverage)-1</f>
        <v>#N/A</v>
      </c>
      <c r="AT55" s="196" t="e">
        <f>MATCH(AR55,'Reference Records'!$F$621:$F$699,1)+ROW(PopulationByCoverage)-1</f>
        <v>#N/A</v>
      </c>
      <c r="AU55" s="253" t="str">
        <f>D55&amp;E55</f>
        <v/>
      </c>
      <c r="AV55" s="212" t="str">
        <f t="array" ref="AV55">IFERROR(IF(VLOOKUP(LEFT(D55,255),LEFT('Reference Records'!$C$1:$K$724,255),9,0)=0,"",CONCATENATE(VLOOKUP(LEFT(D55,255),LEFT('Reference Records'!$C$1:$K$724,255),9,0),";")),"")</f>
        <v>;</v>
      </c>
      <c r="AW55" s="212" t="str">
        <f>CLEAN(IFERROR(LEFT(AV55, SEARCH(";",AV55,1)-1),""))</f>
        <v/>
      </c>
      <c r="AX55" s="212" t="str">
        <f>SUBSTITUTE(IFERROR(MID(AV55, SEARCH(";",AV55) + 1, SEARCH(";",AV55,SEARCH(";",AV55)+1) - SEARCH(";",AV55) - 1),""),CHAR(10),"")</f>
        <v/>
      </c>
      <c r="AY55" s="365" t="str">
        <f>CLEAN(IFERROR(SUBSTITUTE(RIGHT(AV55,LEN(AV55) - SEARCH(";", AV55, SEARCH(";",AV55) + 1)),";",""),""))</f>
        <v/>
      </c>
      <c r="AZ55" s="618" t="str">
        <f>IFERROR(IF(VLOOKUP(B55,'Reference Records'!$F$159:$N$210,9,FALSE)=0,"",VLOOKUP(B55,'Reference Records'!$F$159:$N$210,9,FALSE)),"")</f>
        <v/>
      </c>
      <c r="BA55" s="253">
        <f t="shared" si="0"/>
        <v>867</v>
      </c>
      <c r="BB55" s="428">
        <f>BB53+'update Helper'!$AB$2</f>
        <v>1124</v>
      </c>
      <c r="BD55" s="253" t="str">
        <f ca="1">IF(INDIRECT("'update Helper'!S"&amp;BA55)=0,"",IFERROR(VLOOKUP(INDIRECT("'update Helper'!U"&amp;BA55),'Account Role'!A$1:B$15,2,0), IFERROR(VLOOKUP(INDIRECT("'update Helper'!AD"&amp;BA55),'Overview - Section A'!J$26:P$107,7,0),"")))</f>
        <v/>
      </c>
    </row>
    <row r="56" spans="1:56" s="253" customFormat="1" ht="30" customHeight="1" x14ac:dyDescent="0.35">
      <c r="A56" s="728"/>
      <c r="B56" s="675"/>
      <c r="C56" s="675"/>
      <c r="D56" s="675"/>
      <c r="E56" s="675"/>
      <c r="F56" s="202"/>
      <c r="G56" s="726"/>
      <c r="H56" s="724"/>
      <c r="I56" s="675"/>
      <c r="J56" s="736"/>
      <c r="K56" s="724"/>
      <c r="L56" s="675"/>
      <c r="M56" s="366"/>
      <c r="N56" s="738"/>
      <c r="O56" s="202" t="str">
        <f ca="1">IF(A55=INDIRECT("'update Helper'!F"&amp;$BB55),IF(INDIRECT("'update Helper'!J"&amp;BB55)=0,"",INDIRECT("'update Helper'!J"&amp;BB55)),"")</f>
        <v/>
      </c>
      <c r="P56" s="726"/>
      <c r="Q56" s="724"/>
      <c r="R56" s="202"/>
      <c r="S56" s="726"/>
      <c r="T56" s="724"/>
      <c r="U56" s="202"/>
      <c r="V56" s="726"/>
      <c r="W56" s="724"/>
      <c r="X56" s="202"/>
      <c r="Y56" s="726"/>
      <c r="Z56" s="724"/>
      <c r="AA56" s="202"/>
      <c r="AB56" s="726"/>
      <c r="AC56" s="724"/>
      <c r="AD56" s="202"/>
      <c r="AE56" s="726"/>
      <c r="AF56" s="724"/>
      <c r="AG56" s="202"/>
      <c r="AH56" s="726"/>
      <c r="AI56" s="724"/>
      <c r="AJ56" s="202"/>
      <c r="AK56" s="726"/>
      <c r="AL56" s="724"/>
      <c r="AM56" s="675"/>
      <c r="AN56" s="675"/>
      <c r="AO56" s="675"/>
      <c r="AP56" s="675"/>
      <c r="AV56" s="212"/>
      <c r="AW56" s="212"/>
      <c r="AX56" s="212"/>
      <c r="AY56" s="365"/>
      <c r="AZ56" s="618"/>
      <c r="BB56" s="212"/>
    </row>
    <row r="57" spans="1:56" s="253" customFormat="1" ht="30" customHeight="1" x14ac:dyDescent="0.35">
      <c r="A57" s="727">
        <v>25</v>
      </c>
      <c r="B57" s="674"/>
      <c r="C57" s="674"/>
      <c r="D57" s="674"/>
      <c r="E57" s="674"/>
      <c r="F57" s="202"/>
      <c r="G57" s="725" t="str">
        <f ca="1">IF(OR(INDIRECT("'update Helper'!D"&amp;BA57)="",F57&lt;&gt;0,F58&lt;&gt;0),IF(IFERROR((F57/F58),"")="","",(F57/F58)),INDIRECT("'update Helper'!D"&amp;BA57)/100)</f>
        <v/>
      </c>
      <c r="H57" s="723"/>
      <c r="I57" s="674"/>
      <c r="J57" s="735" t="str">
        <f>AQ57</f>
        <v/>
      </c>
      <c r="K57" s="723"/>
      <c r="L57" s="674"/>
      <c r="M57" s="205"/>
      <c r="N57" s="737"/>
      <c r="O57" s="202" t="str">
        <f ca="1">IF(A57=INDIRECT("'update Helper'!F"&amp;$BB57),IF(INDIRECT("'update Helper'!K"&amp;BB57)="","",INDIRECT("'update Helper'!K"&amp;BB57)),"")</f>
        <v/>
      </c>
      <c r="P57" s="725" t="str">
        <f ca="1">IF(OR(INDIRECT("'update Helper'!I"&amp;BB57)="",O57&lt;&gt;0,O58&lt;&gt;0),IF(IFERROR((O57/O58),"")="","",(O57/O58)),INDIRECT("'update Helper'!I"&amp;BB57)/100)</f>
        <v/>
      </c>
      <c r="Q57" s="723"/>
      <c r="R57" s="202"/>
      <c r="S57" s="725" t="str">
        <f ca="1">IF(OR(INDIRECT("'update Helper'!I"&amp;BB57+1)="",R57&lt;&gt;0,R58&lt;&gt;0),IF(IFERROR((R57/R58),"")="","",(R57/R58)),INDIRECT("'update Helper'!I"&amp;BB57+1)/100)</f>
        <v/>
      </c>
      <c r="T57" s="723"/>
      <c r="U57" s="202"/>
      <c r="V57" s="725" t="str">
        <f ca="1">IF(OR(INDIRECT("'update Helper'!I"&amp;BB57+2)="",U57&lt;&gt;0,U58&lt;&gt;0),IF(IFERROR((U57/U58),"")="","",(U57/U58)),INDIRECT("'update Helper'!I"&amp;BB57+2)/100)</f>
        <v/>
      </c>
      <c r="W57" s="723"/>
      <c r="X57" s="202"/>
      <c r="Y57" s="725" t="str">
        <f ca="1">IF(A57=INDIRECT("'update Helper'!F"&amp;$BB57+3),IF(OR(INDIRECT("'update Helper'!I"&amp;BB57+3)="",X57&lt;&gt;0,X58&lt;&gt;0),IF(IFERROR((X57/X58),"")="","",(X57/X58)),INDIRECT("'update Helper'!I"&amp;BB57+3)/100),"")</f>
        <v/>
      </c>
      <c r="Z57" s="723"/>
      <c r="AA57" s="202"/>
      <c r="AB57" s="725" t="str">
        <f ca="1">IF(A57=INDIRECT("'update Helper'!F"&amp;$BB57+4),IF(OR(INDIRECT("'update Helper'!I"&amp;BB57+4)="",AA57&lt;&gt;0,AA58&lt;&gt;0),IF(IFERROR((AA57/AA58),"")="","",(AA57/AA58)),INDIRECT("'update Helper'!I"&amp;BB57+4)/100),"")</f>
        <v/>
      </c>
      <c r="AC57" s="723"/>
      <c r="AD57" s="202"/>
      <c r="AE57" s="725" t="str">
        <f ca="1">IF(A57=INDIRECT("'update Helper'!F"&amp;$BB57+5),IF(A57=INDIRECT("'update Helper'!F"&amp;$BB57+5),IF(OR(INDIRECT("'update Helper'!I"&amp;BB57+5)="",AD57&lt;&gt;0,AD58&lt;&gt;0),IF(IFERROR((AD57/AD58),"")="","",(AD57/AD58)),INDIRECT("'update Helper'!I"&amp;BB57+5)/100),""),"")</f>
        <v/>
      </c>
      <c r="AF57" s="723"/>
      <c r="AG57" s="202"/>
      <c r="AH57" s="725" t="str">
        <f ca="1">IF(A57=INDIRECT("'update Helper'!F"&amp;$BB57+6),IF(OR(INDIRECT("'update Helper'!I"&amp;BB57+6)="",AG57&lt;&gt;0,AG58&lt;&gt;0),IF(IFERROR((AG57/AG58),"")="","",(AG57/AG58)),INDIRECT("'update Helper'!I"&amp;BB57+6)/100),"")</f>
        <v/>
      </c>
      <c r="AI57" s="723"/>
      <c r="AJ57" s="202"/>
      <c r="AK57" s="725" t="str">
        <f ca="1">IF(A57=INDIRECT("'update Helper'!F"&amp;$BB57+6),IF(OR(INDIRECT("'update Helper'!I"&amp;BB57+7)="",AJ57&lt;&gt;0,AJ58&lt;&gt;0),IF(IFERROR((AJ57/AJ58),"")="","",(AJ57/AJ58)),INDIRECT("'update Helper'!I"&amp;BB57+7)/100),"")</f>
        <v/>
      </c>
      <c r="AL57" s="723"/>
      <c r="AM57" s="674"/>
      <c r="AN57" s="674"/>
      <c r="AO57" s="674"/>
      <c r="AP57" s="674"/>
      <c r="AQ57" s="253" t="str">
        <f t="array" ref="AQ57">IFERROR(IF(INDEX('Reference Records'!$D$79:$D$156,MATCH(LEFT(D57,255),LEFT('Reference Records'!$C$79:$C$156,255),0))=0,"",INDEX('Reference Records'!$D$79:$D$156,MATCH(LEFT(D57,255),LEFT('Reference Records'!$C$79:$C$156,255),0))),"")</f>
        <v/>
      </c>
      <c r="AR57" s="196" t="str">
        <f t="array" ref="AR57">VLOOKUP(LEFT(D57,255),LEFT('Reference Records'!C$78:G411,255),4,0)</f>
        <v/>
      </c>
      <c r="AS57" s="196" t="e">
        <f>MATCH(AR57,'Reference Records'!$F$621:$F$699,0)+ROW(PopulationByCoverage)-1</f>
        <v>#N/A</v>
      </c>
      <c r="AT57" s="196" t="e">
        <f>MATCH(AR57,'Reference Records'!$F$621:$F$699,1)+ROW(PopulationByCoverage)-1</f>
        <v>#N/A</v>
      </c>
      <c r="AU57" s="253" t="str">
        <f>D57&amp;E57</f>
        <v/>
      </c>
      <c r="AV57" s="212" t="str">
        <f t="array" ref="AV57">IFERROR(IF(VLOOKUP(LEFT(D57,255),LEFT('Reference Records'!$C$1:$K$724,255),9,0)=0,"",CONCATENATE(VLOOKUP(LEFT(D57,255),LEFT('Reference Records'!$C$1:$K$724,255),9,0),";")),"")</f>
        <v>;</v>
      </c>
      <c r="AW57" s="212" t="str">
        <f>CLEAN(IFERROR(LEFT(AV57, SEARCH(";",AV57,1)-1),""))</f>
        <v/>
      </c>
      <c r="AX57" s="212" t="str">
        <f>SUBSTITUTE(IFERROR(MID(AV57, SEARCH(";",AV57) + 1, SEARCH(";",AV57,SEARCH(";",AV57)+1) - SEARCH(";",AV57) - 1),""),CHAR(10),"")</f>
        <v/>
      </c>
      <c r="AY57" s="365" t="str">
        <f>CLEAN(IFERROR(SUBSTITUTE(RIGHT(AV57,LEN(AV57) - SEARCH(";", AV57, SEARCH(";",AV57) + 1)),";",""),""))</f>
        <v/>
      </c>
      <c r="AZ57" s="618" t="str">
        <f>IFERROR(IF(VLOOKUP(B57,'Reference Records'!$F$159:$N$210,9,FALSE)=0,"",VLOOKUP(B57,'Reference Records'!$F$159:$N$210,9,FALSE)),"")</f>
        <v/>
      </c>
      <c r="BA57" s="253">
        <f t="shared" si="0"/>
        <v>868</v>
      </c>
      <c r="BB57" s="428">
        <f>BB55+'update Helper'!$AB$2</f>
        <v>1132</v>
      </c>
      <c r="BD57" s="253" t="str">
        <f ca="1">IF(INDIRECT("'update Helper'!S"&amp;BA57)=0,"",IFERROR(VLOOKUP(INDIRECT("'update Helper'!U"&amp;BA57),'Account Role'!A$1:B$15,2,0), IFERROR(VLOOKUP(INDIRECT("'update Helper'!AD"&amp;BA57),'Overview - Section A'!J$26:P$107,7,0),"")))</f>
        <v/>
      </c>
    </row>
    <row r="58" spans="1:56" s="253" customFormat="1" ht="30" customHeight="1" x14ac:dyDescent="0.35">
      <c r="A58" s="728"/>
      <c r="B58" s="675"/>
      <c r="C58" s="675"/>
      <c r="D58" s="675"/>
      <c r="E58" s="675"/>
      <c r="F58" s="202"/>
      <c r="G58" s="726"/>
      <c r="H58" s="724"/>
      <c r="I58" s="675"/>
      <c r="J58" s="736"/>
      <c r="K58" s="724"/>
      <c r="L58" s="675"/>
      <c r="M58" s="366"/>
      <c r="N58" s="738"/>
      <c r="O58" s="202" t="str">
        <f ca="1">IF(A57=INDIRECT("'update Helper'!F"&amp;$BB57),IF(INDIRECT("'update Helper'!J"&amp;BB57)=0,"",INDIRECT("'update Helper'!J"&amp;BB57)),"")</f>
        <v/>
      </c>
      <c r="P58" s="726"/>
      <c r="Q58" s="724"/>
      <c r="R58" s="202"/>
      <c r="S58" s="726"/>
      <c r="T58" s="724"/>
      <c r="U58" s="202"/>
      <c r="V58" s="726"/>
      <c r="W58" s="724"/>
      <c r="X58" s="202"/>
      <c r="Y58" s="726"/>
      <c r="Z58" s="724"/>
      <c r="AA58" s="202"/>
      <c r="AB58" s="726"/>
      <c r="AC58" s="724"/>
      <c r="AD58" s="202"/>
      <c r="AE58" s="726"/>
      <c r="AF58" s="724"/>
      <c r="AG58" s="202"/>
      <c r="AH58" s="726"/>
      <c r="AI58" s="724"/>
      <c r="AJ58" s="202"/>
      <c r="AK58" s="726"/>
      <c r="AL58" s="724"/>
      <c r="AM58" s="675"/>
      <c r="AN58" s="675"/>
      <c r="AO58" s="675"/>
      <c r="AP58" s="675"/>
      <c r="AV58" s="212"/>
      <c r="AW58" s="212"/>
      <c r="AX58" s="212"/>
      <c r="AY58" s="365"/>
      <c r="AZ58" s="618"/>
      <c r="BB58" s="212"/>
    </row>
    <row r="59" spans="1:56" s="253" customFormat="1" ht="30" customHeight="1" x14ac:dyDescent="0.35">
      <c r="A59" s="727">
        <v>26</v>
      </c>
      <c r="B59" s="674"/>
      <c r="C59" s="674"/>
      <c r="D59" s="674"/>
      <c r="E59" s="674"/>
      <c r="F59" s="202"/>
      <c r="G59" s="725" t="str">
        <f ca="1">IF(OR(INDIRECT("'update Helper'!D"&amp;BA59)="",F59&lt;&gt;0,F60&lt;&gt;0),IF(IFERROR((F59/F60),"")="","",(F59/F60)),INDIRECT("'update Helper'!D"&amp;BA59)/100)</f>
        <v/>
      </c>
      <c r="H59" s="723"/>
      <c r="I59" s="674"/>
      <c r="J59" s="735" t="str">
        <f>AQ59</f>
        <v/>
      </c>
      <c r="K59" s="723"/>
      <c r="L59" s="674"/>
      <c r="M59" s="205"/>
      <c r="N59" s="737"/>
      <c r="O59" s="202" t="str">
        <f ca="1">IF(A59=INDIRECT("'update Helper'!F"&amp;$BB59),IF(INDIRECT("'update Helper'!K"&amp;BB59)="","",INDIRECT("'update Helper'!K"&amp;BB59)),"")</f>
        <v/>
      </c>
      <c r="P59" s="725" t="str">
        <f ca="1">IF(OR(INDIRECT("'update Helper'!I"&amp;BB59)="",O59&lt;&gt;0,O60&lt;&gt;0),IF(IFERROR((O59/O60),"")="","",(O59/O60)),INDIRECT("'update Helper'!I"&amp;BB59)/100)</f>
        <v/>
      </c>
      <c r="Q59" s="723"/>
      <c r="R59" s="202"/>
      <c r="S59" s="725" t="str">
        <f ca="1">IF(OR(INDIRECT("'update Helper'!I"&amp;BB59+1)="",R59&lt;&gt;0,R60&lt;&gt;0),IF(IFERROR((R59/R60),"")="","",(R59/R60)),INDIRECT("'update Helper'!I"&amp;BB59+1)/100)</f>
        <v/>
      </c>
      <c r="T59" s="723"/>
      <c r="U59" s="202"/>
      <c r="V59" s="725" t="str">
        <f ca="1">IF(OR(INDIRECT("'update Helper'!I"&amp;BB59+2)="",U59&lt;&gt;0,U60&lt;&gt;0),IF(IFERROR((U59/U60),"")="","",(U59/U60)),INDIRECT("'update Helper'!I"&amp;BB59+2)/100)</f>
        <v/>
      </c>
      <c r="W59" s="723"/>
      <c r="X59" s="202"/>
      <c r="Y59" s="725" t="str">
        <f ca="1">IF(A59=INDIRECT("'update Helper'!F"&amp;$BB59+3),IF(OR(INDIRECT("'update Helper'!I"&amp;BB59+3)="",X59&lt;&gt;0,X60&lt;&gt;0),IF(IFERROR((X59/X60),"")="","",(X59/X60)),INDIRECT("'update Helper'!I"&amp;BB59+3)/100),"")</f>
        <v/>
      </c>
      <c r="Z59" s="723"/>
      <c r="AA59" s="202"/>
      <c r="AB59" s="725" t="str">
        <f ca="1">IF(A59=INDIRECT("'update Helper'!F"&amp;$BB59+4),IF(OR(INDIRECT("'update Helper'!I"&amp;BB59+4)="",AA59&lt;&gt;0,AA60&lt;&gt;0),IF(IFERROR((AA59/AA60),"")="","",(AA59/AA60)),INDIRECT("'update Helper'!I"&amp;BB59+4)/100),"")</f>
        <v/>
      </c>
      <c r="AC59" s="723"/>
      <c r="AD59" s="202"/>
      <c r="AE59" s="725" t="str">
        <f ca="1">IF(A59=INDIRECT("'update Helper'!F"&amp;$BB59+5),IF(A59=INDIRECT("'update Helper'!F"&amp;$BB59+5),IF(OR(INDIRECT("'update Helper'!I"&amp;BB59+5)="",AD59&lt;&gt;0,AD60&lt;&gt;0),IF(IFERROR((AD59/AD60),"")="","",(AD59/AD60)),INDIRECT("'update Helper'!I"&amp;BB59+5)/100),""),"")</f>
        <v/>
      </c>
      <c r="AF59" s="723"/>
      <c r="AG59" s="202"/>
      <c r="AH59" s="725" t="str">
        <f ca="1">IF(A59=INDIRECT("'update Helper'!F"&amp;$BB59+6),IF(OR(INDIRECT("'update Helper'!I"&amp;BB59+6)="",AG59&lt;&gt;0,AG60&lt;&gt;0),IF(IFERROR((AG59/AG60),"")="","",(AG59/AG60)),INDIRECT("'update Helper'!I"&amp;BB59+6)/100),"")</f>
        <v/>
      </c>
      <c r="AI59" s="723"/>
      <c r="AJ59" s="202"/>
      <c r="AK59" s="725" t="str">
        <f ca="1">IF(A59=INDIRECT("'update Helper'!F"&amp;$BB59+6),IF(OR(INDIRECT("'update Helper'!I"&amp;BB59+7)="",AJ59&lt;&gt;0,AJ60&lt;&gt;0),IF(IFERROR((AJ59/AJ60),"")="","",(AJ59/AJ60)),INDIRECT("'update Helper'!I"&amp;BB59+7)/100),"")</f>
        <v/>
      </c>
      <c r="AL59" s="723"/>
      <c r="AM59" s="674"/>
      <c r="AN59" s="674"/>
      <c r="AO59" s="674"/>
      <c r="AP59" s="674"/>
      <c r="AQ59" s="253" t="str">
        <f t="array" ref="AQ59">IFERROR(IF(INDEX('Reference Records'!$D$79:$D$156,MATCH(LEFT(D59,255),LEFT('Reference Records'!$C$79:$C$156,255),0))=0,"",INDEX('Reference Records'!$D$79:$D$156,MATCH(LEFT(D59,255),LEFT('Reference Records'!$C$79:$C$156,255),0))),"")</f>
        <v/>
      </c>
      <c r="AR59" s="196" t="str">
        <f t="array" ref="AR59">VLOOKUP(LEFT(D59,255),LEFT('Reference Records'!C$78:G413,255),4,0)</f>
        <v/>
      </c>
      <c r="AS59" s="196" t="e">
        <f>MATCH(AR59,'Reference Records'!$F$621:$F$699,0)+ROW(PopulationByCoverage)-1</f>
        <v>#N/A</v>
      </c>
      <c r="AT59" s="196" t="e">
        <f>MATCH(AR59,'Reference Records'!$F$621:$F$699,1)+ROW(PopulationByCoverage)-1</f>
        <v>#N/A</v>
      </c>
      <c r="AU59" s="253" t="str">
        <f>D59&amp;E59</f>
        <v/>
      </c>
      <c r="AV59" s="212" t="str">
        <f t="array" ref="AV59">IFERROR(IF(VLOOKUP(LEFT(D59,255),LEFT('Reference Records'!$C$1:$K$724,255),9,0)=0,"",CONCATENATE(VLOOKUP(LEFT(D59,255),LEFT('Reference Records'!$C$1:$K$724,255),9,0),";")),"")</f>
        <v>;</v>
      </c>
      <c r="AW59" s="212" t="str">
        <f>CLEAN(IFERROR(LEFT(AV59, SEARCH(";",AV59,1)-1),""))</f>
        <v/>
      </c>
      <c r="AX59" s="212" t="str">
        <f>SUBSTITUTE(IFERROR(MID(AV59, SEARCH(";",AV59) + 1, SEARCH(";",AV59,SEARCH(";",AV59)+1) - SEARCH(";",AV59) - 1),""),CHAR(10),"")</f>
        <v/>
      </c>
      <c r="AY59" s="365" t="str">
        <f>CLEAN(IFERROR(SUBSTITUTE(RIGHT(AV59,LEN(AV59) - SEARCH(";", AV59, SEARCH(";",AV59) + 1)),";",""),""))</f>
        <v/>
      </c>
      <c r="AZ59" s="618" t="str">
        <f>IFERROR(IF(VLOOKUP(B59,'Reference Records'!$F$159:$N$210,9,FALSE)=0,"",VLOOKUP(B59,'Reference Records'!$F$159:$N$210,9,FALSE)),"")</f>
        <v/>
      </c>
      <c r="BA59" s="253">
        <f t="shared" si="0"/>
        <v>869</v>
      </c>
      <c r="BB59" s="428">
        <f>BB57+'update Helper'!$AB$2</f>
        <v>1140</v>
      </c>
      <c r="BD59" s="253" t="str">
        <f ca="1">IF(INDIRECT("'update Helper'!S"&amp;BA59)=0,"",IFERROR(VLOOKUP(INDIRECT("'update Helper'!U"&amp;BA59),'Account Role'!A$1:B$15,2,0), IFERROR(VLOOKUP(INDIRECT("'update Helper'!AD"&amp;BA59),'Overview - Section A'!J$26:P$107,7,0),"")))</f>
        <v/>
      </c>
    </row>
    <row r="60" spans="1:56" s="253" customFormat="1" ht="30" customHeight="1" x14ac:dyDescent="0.35">
      <c r="A60" s="728"/>
      <c r="B60" s="675"/>
      <c r="C60" s="675"/>
      <c r="D60" s="675"/>
      <c r="E60" s="675"/>
      <c r="F60" s="202"/>
      <c r="G60" s="726"/>
      <c r="H60" s="724"/>
      <c r="I60" s="675"/>
      <c r="J60" s="736"/>
      <c r="K60" s="724"/>
      <c r="L60" s="675"/>
      <c r="M60" s="366"/>
      <c r="N60" s="738"/>
      <c r="O60" s="202" t="str">
        <f ca="1">IF(A59=INDIRECT("'update Helper'!F"&amp;$BB59),IF(INDIRECT("'update Helper'!J"&amp;BB59)=0,"",INDIRECT("'update Helper'!J"&amp;BB59)),"")</f>
        <v/>
      </c>
      <c r="P60" s="726"/>
      <c r="Q60" s="724"/>
      <c r="R60" s="202"/>
      <c r="S60" s="726"/>
      <c r="T60" s="724"/>
      <c r="U60" s="202"/>
      <c r="V60" s="726"/>
      <c r="W60" s="724"/>
      <c r="X60" s="202"/>
      <c r="Y60" s="726"/>
      <c r="Z60" s="724"/>
      <c r="AA60" s="202"/>
      <c r="AB60" s="726"/>
      <c r="AC60" s="724"/>
      <c r="AD60" s="202"/>
      <c r="AE60" s="726"/>
      <c r="AF60" s="724"/>
      <c r="AG60" s="202"/>
      <c r="AH60" s="726"/>
      <c r="AI60" s="724"/>
      <c r="AJ60" s="202"/>
      <c r="AK60" s="726"/>
      <c r="AL60" s="724"/>
      <c r="AM60" s="675"/>
      <c r="AN60" s="675"/>
      <c r="AO60" s="675"/>
      <c r="AP60" s="675"/>
      <c r="AV60" s="212"/>
      <c r="AW60" s="212"/>
      <c r="AX60" s="212"/>
      <c r="AY60" s="365"/>
      <c r="AZ60" s="618"/>
      <c r="BB60" s="212"/>
    </row>
    <row r="61" spans="1:56" s="253" customFormat="1" ht="30" customHeight="1" x14ac:dyDescent="0.35">
      <c r="A61" s="727">
        <v>27</v>
      </c>
      <c r="B61" s="674"/>
      <c r="C61" s="674"/>
      <c r="D61" s="674"/>
      <c r="E61" s="674"/>
      <c r="F61" s="202"/>
      <c r="G61" s="725" t="str">
        <f ca="1">IF(OR(INDIRECT("'update Helper'!D"&amp;BA61)="",F61&lt;&gt;0,F62&lt;&gt;0),IF(IFERROR((F61/F62),"")="","",(F61/F62)),INDIRECT("'update Helper'!D"&amp;BA61)/100)</f>
        <v/>
      </c>
      <c r="H61" s="723"/>
      <c r="I61" s="674"/>
      <c r="J61" s="735" t="str">
        <f>AQ61</f>
        <v/>
      </c>
      <c r="K61" s="723"/>
      <c r="L61" s="674"/>
      <c r="M61" s="205"/>
      <c r="N61" s="737"/>
      <c r="O61" s="202" t="str">
        <f ca="1">IF(A61=INDIRECT("'update Helper'!F"&amp;$BB61),IF(INDIRECT("'update Helper'!K"&amp;BB61)="","",INDIRECT("'update Helper'!K"&amp;BB61)),"")</f>
        <v/>
      </c>
      <c r="P61" s="725" t="str">
        <f ca="1">IF(OR(INDIRECT("'update Helper'!I"&amp;BB61)="",O61&lt;&gt;0,O62&lt;&gt;0),IF(IFERROR((O61/O62),"")="","",(O61/O62)),INDIRECT("'update Helper'!I"&amp;BB61)/100)</f>
        <v/>
      </c>
      <c r="Q61" s="723"/>
      <c r="R61" s="202"/>
      <c r="S61" s="725" t="str">
        <f ca="1">IF(OR(INDIRECT("'update Helper'!I"&amp;BB61+1)="",R61&lt;&gt;0,R62&lt;&gt;0),IF(IFERROR((R61/R62),"")="","",(R61/R62)),INDIRECT("'update Helper'!I"&amp;BB61+1)/100)</f>
        <v/>
      </c>
      <c r="T61" s="723"/>
      <c r="U61" s="202"/>
      <c r="V61" s="725" t="str">
        <f ca="1">IF(OR(INDIRECT("'update Helper'!I"&amp;BB61+2)="",U61&lt;&gt;0,U62&lt;&gt;0),IF(IFERROR((U61/U62),"")="","",(U61/U62)),INDIRECT("'update Helper'!I"&amp;BB61+2)/100)</f>
        <v/>
      </c>
      <c r="W61" s="723"/>
      <c r="X61" s="202"/>
      <c r="Y61" s="725" t="str">
        <f ca="1">IF(A61=INDIRECT("'update Helper'!F"&amp;$BB61+3),IF(OR(INDIRECT("'update Helper'!I"&amp;BB61+3)="",X61&lt;&gt;0,X62&lt;&gt;0),IF(IFERROR((X61/X62),"")="","",(X61/X62)),INDIRECT("'update Helper'!I"&amp;BB61+3)/100),"")</f>
        <v/>
      </c>
      <c r="Z61" s="723"/>
      <c r="AA61" s="202"/>
      <c r="AB61" s="725" t="str">
        <f ca="1">IF(A61=INDIRECT("'update Helper'!F"&amp;$BB61+4),IF(OR(INDIRECT("'update Helper'!I"&amp;BB61+4)="",AA61&lt;&gt;0,AA62&lt;&gt;0),IF(IFERROR((AA61/AA62),"")="","",(AA61/AA62)),INDIRECT("'update Helper'!I"&amp;BB61+4)/100),"")</f>
        <v/>
      </c>
      <c r="AC61" s="723"/>
      <c r="AD61" s="202"/>
      <c r="AE61" s="725" t="str">
        <f ca="1">IF(A61=INDIRECT("'update Helper'!F"&amp;$BB61+5),IF(A61=INDIRECT("'update Helper'!F"&amp;$BB61+5),IF(OR(INDIRECT("'update Helper'!I"&amp;BB61+5)="",AD61&lt;&gt;0,AD62&lt;&gt;0),IF(IFERROR((AD61/AD62),"")="","",(AD61/AD62)),INDIRECT("'update Helper'!I"&amp;BB61+5)/100),""),"")</f>
        <v/>
      </c>
      <c r="AF61" s="723"/>
      <c r="AG61" s="202"/>
      <c r="AH61" s="725" t="str">
        <f ca="1">IF(A61=INDIRECT("'update Helper'!F"&amp;$BB61+6),IF(OR(INDIRECT("'update Helper'!I"&amp;BB61+6)="",AG61&lt;&gt;0,AG62&lt;&gt;0),IF(IFERROR((AG61/AG62),"")="","",(AG61/AG62)),INDIRECT("'update Helper'!I"&amp;BB61+6)/100),"")</f>
        <v/>
      </c>
      <c r="AI61" s="723"/>
      <c r="AJ61" s="202"/>
      <c r="AK61" s="725" t="str">
        <f ca="1">IF(A61=INDIRECT("'update Helper'!F"&amp;$BB61+6),IF(OR(INDIRECT("'update Helper'!I"&amp;BB61+7)="",AJ61&lt;&gt;0,AJ62&lt;&gt;0),IF(IFERROR((AJ61/AJ62),"")="","",(AJ61/AJ62)),INDIRECT("'update Helper'!I"&amp;BB61+7)/100),"")</f>
        <v/>
      </c>
      <c r="AL61" s="723"/>
      <c r="AM61" s="674"/>
      <c r="AN61" s="674"/>
      <c r="AO61" s="674"/>
      <c r="AP61" s="674"/>
      <c r="AQ61" s="253" t="str">
        <f t="array" ref="AQ61">IFERROR(IF(INDEX('Reference Records'!$D$79:$D$156,MATCH(LEFT(D61,255),LEFT('Reference Records'!$C$79:$C$156,255),0))=0,"",INDEX('Reference Records'!$D$79:$D$156,MATCH(LEFT(D61,255),LEFT('Reference Records'!$C$79:$C$156,255),0))),"")</f>
        <v/>
      </c>
      <c r="AR61" s="196" t="str">
        <f t="array" ref="AR61">VLOOKUP(LEFT(D61,255),LEFT('Reference Records'!C$78:G618,255),4,0)</f>
        <v/>
      </c>
      <c r="AS61" s="196" t="e">
        <f>MATCH(AR61,'Reference Records'!$F$621:$F$699,0)+ROW(PopulationByCoverage)-1</f>
        <v>#N/A</v>
      </c>
      <c r="AT61" s="196" t="e">
        <f>MATCH(AR61,'Reference Records'!$F$621:$F$699,1)+ROW(PopulationByCoverage)-1</f>
        <v>#N/A</v>
      </c>
      <c r="AU61" s="253" t="str">
        <f>D61&amp;E61</f>
        <v/>
      </c>
      <c r="AV61" s="212" t="str">
        <f t="array" ref="AV61">IFERROR(IF(VLOOKUP(LEFT(D61,255),LEFT('Reference Records'!$C$1:$K$724,255),9,0)=0,"",CONCATENATE(VLOOKUP(LEFT(D61,255),LEFT('Reference Records'!$C$1:$K$724,255),9,0),";")),"")</f>
        <v>;</v>
      </c>
      <c r="AW61" s="212" t="str">
        <f>CLEAN(IFERROR(LEFT(AV61, SEARCH(";",AV61,1)-1),""))</f>
        <v/>
      </c>
      <c r="AX61" s="212" t="str">
        <f>SUBSTITUTE(IFERROR(MID(AV61, SEARCH(";",AV61) + 1, SEARCH(";",AV61,SEARCH(";",AV61)+1) - SEARCH(";",AV61) - 1),""),CHAR(10),"")</f>
        <v/>
      </c>
      <c r="AY61" s="365" t="str">
        <f>CLEAN(IFERROR(SUBSTITUTE(RIGHT(AV61,LEN(AV61) - SEARCH(";", AV61, SEARCH(";",AV61) + 1)),";",""),""))</f>
        <v/>
      </c>
      <c r="AZ61" s="618" t="str">
        <f>IFERROR(IF(VLOOKUP(B61,'Reference Records'!$F$159:$N$210,9,FALSE)=0,"",VLOOKUP(B61,'Reference Records'!$F$159:$N$210,9,FALSE)),"")</f>
        <v/>
      </c>
      <c r="BA61" s="253">
        <f t="shared" si="0"/>
        <v>870</v>
      </c>
      <c r="BB61" s="428">
        <f>BB59+'update Helper'!$AB$2</f>
        <v>1148</v>
      </c>
      <c r="BD61" s="253" t="str">
        <f ca="1">IF(INDIRECT("'update Helper'!S"&amp;BA61)=0,"",IFERROR(VLOOKUP(INDIRECT("'update Helper'!U"&amp;BA61),'Account Role'!A$1:B$15,2,0), IFERROR(VLOOKUP(INDIRECT("'update Helper'!AD"&amp;BA61),'Overview - Section A'!J$26:P$107,7,0),"")))</f>
        <v/>
      </c>
    </row>
    <row r="62" spans="1:56" s="253" customFormat="1" ht="30" customHeight="1" x14ac:dyDescent="0.35">
      <c r="A62" s="728"/>
      <c r="B62" s="675"/>
      <c r="C62" s="675"/>
      <c r="D62" s="675"/>
      <c r="E62" s="675"/>
      <c r="F62" s="202"/>
      <c r="G62" s="726"/>
      <c r="H62" s="724"/>
      <c r="I62" s="675"/>
      <c r="J62" s="736"/>
      <c r="K62" s="724"/>
      <c r="L62" s="675"/>
      <c r="M62" s="366"/>
      <c r="N62" s="738"/>
      <c r="O62" s="202" t="str">
        <f ca="1">IF(A61=INDIRECT("'update Helper'!F"&amp;$BB61),IF(INDIRECT("'update Helper'!J"&amp;BB61)=0,"",INDIRECT("'update Helper'!J"&amp;BB61)),"")</f>
        <v/>
      </c>
      <c r="P62" s="726"/>
      <c r="Q62" s="724"/>
      <c r="R62" s="202"/>
      <c r="S62" s="726"/>
      <c r="T62" s="724"/>
      <c r="U62" s="202"/>
      <c r="V62" s="726"/>
      <c r="W62" s="724"/>
      <c r="X62" s="202"/>
      <c r="Y62" s="726"/>
      <c r="Z62" s="724"/>
      <c r="AA62" s="202"/>
      <c r="AB62" s="726"/>
      <c r="AC62" s="724"/>
      <c r="AD62" s="202"/>
      <c r="AE62" s="726"/>
      <c r="AF62" s="724"/>
      <c r="AG62" s="202"/>
      <c r="AH62" s="726"/>
      <c r="AI62" s="724"/>
      <c r="AJ62" s="202"/>
      <c r="AK62" s="726"/>
      <c r="AL62" s="724"/>
      <c r="AM62" s="675"/>
      <c r="AN62" s="675"/>
      <c r="AO62" s="675"/>
      <c r="AP62" s="675"/>
      <c r="AV62" s="212"/>
      <c r="AW62" s="212"/>
      <c r="AX62" s="212"/>
      <c r="AY62" s="365"/>
      <c r="AZ62" s="618"/>
      <c r="BB62" s="212"/>
    </row>
    <row r="63" spans="1:56" s="253" customFormat="1" ht="30" customHeight="1" x14ac:dyDescent="0.35">
      <c r="A63" s="727">
        <v>28</v>
      </c>
      <c r="B63" s="674"/>
      <c r="C63" s="674"/>
      <c r="D63" s="674"/>
      <c r="E63" s="674"/>
      <c r="F63" s="202"/>
      <c r="G63" s="725" t="str">
        <f ca="1">IF(OR(INDIRECT("'update Helper'!D"&amp;BA63)="",F63&lt;&gt;0,F64&lt;&gt;0),IF(IFERROR((F63/F64),"")="","",(F63/F64)),INDIRECT("'update Helper'!D"&amp;BA63)/100)</f>
        <v/>
      </c>
      <c r="H63" s="723"/>
      <c r="I63" s="674"/>
      <c r="J63" s="735" t="str">
        <f>AQ63</f>
        <v/>
      </c>
      <c r="K63" s="723"/>
      <c r="L63" s="674"/>
      <c r="M63" s="205"/>
      <c r="N63" s="737"/>
      <c r="O63" s="202" t="str">
        <f ca="1">IF(A63=INDIRECT("'update Helper'!F"&amp;$BB63),IF(INDIRECT("'update Helper'!K"&amp;BB63)="","",INDIRECT("'update Helper'!K"&amp;BB63)),"")</f>
        <v/>
      </c>
      <c r="P63" s="725" t="str">
        <f ca="1">IF(OR(INDIRECT("'update Helper'!I"&amp;BB63)="",O63&lt;&gt;0,O64&lt;&gt;0),IF(IFERROR((O63/O64),"")="","",(O63/O64)),INDIRECT("'update Helper'!I"&amp;BB63)/100)</f>
        <v/>
      </c>
      <c r="Q63" s="723"/>
      <c r="R63" s="202"/>
      <c r="S63" s="725" t="str">
        <f ca="1">IF(OR(INDIRECT("'update Helper'!I"&amp;BB63+1)="",R63&lt;&gt;0,R64&lt;&gt;0),IF(IFERROR((R63/R64),"")="","",(R63/R64)),INDIRECT("'update Helper'!I"&amp;BB63+1)/100)</f>
        <v/>
      </c>
      <c r="T63" s="723"/>
      <c r="U63" s="202"/>
      <c r="V63" s="725" t="str">
        <f ca="1">IF(OR(INDIRECT("'update Helper'!I"&amp;BB63+2)="",U63&lt;&gt;0,U64&lt;&gt;0),IF(IFERROR((U63/U64),"")="","",(U63/U64)),INDIRECT("'update Helper'!I"&amp;BB63+2)/100)</f>
        <v/>
      </c>
      <c r="W63" s="723"/>
      <c r="X63" s="202"/>
      <c r="Y63" s="725" t="str">
        <f ca="1">IF(A63=INDIRECT("'update Helper'!F"&amp;$BB63+3),IF(OR(INDIRECT("'update Helper'!I"&amp;BB63+3)="",X63&lt;&gt;0,X64&lt;&gt;0),IF(IFERROR((X63/X64),"")="","",(X63/X64)),INDIRECT("'update Helper'!I"&amp;BB63+3)/100),"")</f>
        <v/>
      </c>
      <c r="Z63" s="723"/>
      <c r="AA63" s="202"/>
      <c r="AB63" s="725" t="str">
        <f ca="1">IF(A63=INDIRECT("'update Helper'!F"&amp;$BB63+4),IF(OR(INDIRECT("'update Helper'!I"&amp;BB63+4)="",AA63&lt;&gt;0,AA64&lt;&gt;0),IF(IFERROR((AA63/AA64),"")="","",(AA63/AA64)),INDIRECT("'update Helper'!I"&amp;BB63+4)/100),"")</f>
        <v/>
      </c>
      <c r="AC63" s="723"/>
      <c r="AD63" s="202"/>
      <c r="AE63" s="725" t="str">
        <f ca="1">IF(A63=INDIRECT("'update Helper'!F"&amp;$BB63+5),IF(A63=INDIRECT("'update Helper'!F"&amp;$BB63+5),IF(OR(INDIRECT("'update Helper'!I"&amp;BB63+5)="",AD63&lt;&gt;0,AD64&lt;&gt;0),IF(IFERROR((AD63/AD64),"")="","",(AD63/AD64)),INDIRECT("'update Helper'!I"&amp;BB63+5)/100),""),"")</f>
        <v/>
      </c>
      <c r="AF63" s="723"/>
      <c r="AG63" s="202"/>
      <c r="AH63" s="725" t="str">
        <f ca="1">IF(A63=INDIRECT("'update Helper'!F"&amp;$BB63+6),IF(OR(INDIRECT("'update Helper'!I"&amp;BB63+6)="",AG63&lt;&gt;0,AG64&lt;&gt;0),IF(IFERROR((AG63/AG64),"")="","",(AG63/AG64)),INDIRECT("'update Helper'!I"&amp;BB63+6)/100),"")</f>
        <v/>
      </c>
      <c r="AI63" s="723"/>
      <c r="AJ63" s="202"/>
      <c r="AK63" s="725" t="str">
        <f ca="1">IF(A63=INDIRECT("'update Helper'!F"&amp;$BB63+6),IF(OR(INDIRECT("'update Helper'!I"&amp;BB63+7)="",AJ63&lt;&gt;0,AJ64&lt;&gt;0),IF(IFERROR((AJ63/AJ64),"")="","",(AJ63/AJ64)),INDIRECT("'update Helper'!I"&amp;BB63+7)/100),"")</f>
        <v/>
      </c>
      <c r="AL63" s="723"/>
      <c r="AM63" s="674"/>
      <c r="AN63" s="674"/>
      <c r="AO63" s="674"/>
      <c r="AP63" s="674"/>
      <c r="AQ63" s="253" t="str">
        <f t="array" ref="AQ63">IFERROR(IF(INDEX('Reference Records'!$D$79:$D$156,MATCH(LEFT(D63,255),LEFT('Reference Records'!$C$79:$C$156,255),0))=0,"",INDEX('Reference Records'!$D$79:$D$156,MATCH(LEFT(D63,255),LEFT('Reference Records'!$C$79:$C$156,255),0))),"")</f>
        <v/>
      </c>
      <c r="AR63" s="196" t="str">
        <f t="array" ref="AR63">VLOOKUP(LEFT(D63,255),LEFT('Reference Records'!C$78:G620,255),4,0)</f>
        <v/>
      </c>
      <c r="AS63" s="196" t="e">
        <f>MATCH(AR63,'Reference Records'!$F$621:$F$699,0)+ROW(PopulationByCoverage)-1</f>
        <v>#N/A</v>
      </c>
      <c r="AT63" s="196" t="e">
        <f>MATCH(AR63,'Reference Records'!$F$621:$F$699,1)+ROW(PopulationByCoverage)-1</f>
        <v>#N/A</v>
      </c>
      <c r="AU63" s="253" t="str">
        <f>D63&amp;E63</f>
        <v/>
      </c>
      <c r="AV63" s="212" t="str">
        <f t="array" ref="AV63">IFERROR(IF(VLOOKUP(LEFT(D63,255),LEFT('Reference Records'!$C$1:$K$724,255),9,0)=0,"",CONCATENATE(VLOOKUP(LEFT(D63,255),LEFT('Reference Records'!$C$1:$K$724,255),9,0),";")),"")</f>
        <v>;</v>
      </c>
      <c r="AW63" s="212" t="str">
        <f>CLEAN(IFERROR(LEFT(AV63, SEARCH(";",AV63,1)-1),""))</f>
        <v/>
      </c>
      <c r="AX63" s="212" t="str">
        <f>SUBSTITUTE(IFERROR(MID(AV63, SEARCH(";",AV63) + 1, SEARCH(";",AV63,SEARCH(";",AV63)+1) - SEARCH(";",AV63) - 1),""),CHAR(10),"")</f>
        <v/>
      </c>
      <c r="AY63" s="365" t="str">
        <f>CLEAN(IFERROR(SUBSTITUTE(RIGHT(AV63,LEN(AV63) - SEARCH(";", AV63, SEARCH(";",AV63) + 1)),";",""),""))</f>
        <v/>
      </c>
      <c r="AZ63" s="618" t="str">
        <f>IFERROR(IF(VLOOKUP(B63,'Reference Records'!$F$159:$N$210,9,FALSE)=0,"",VLOOKUP(B63,'Reference Records'!$F$159:$N$210,9,FALSE)),"")</f>
        <v/>
      </c>
      <c r="BA63" s="253">
        <f t="shared" si="0"/>
        <v>871</v>
      </c>
      <c r="BB63" s="428">
        <f>BB61+'update Helper'!$AB$2</f>
        <v>1156</v>
      </c>
      <c r="BD63" s="253" t="str">
        <f ca="1">IF(INDIRECT("'update Helper'!S"&amp;BA63)=0,"",IFERROR(VLOOKUP(INDIRECT("'update Helper'!U"&amp;BA63),'Account Role'!A$1:B$15,2,0), IFERROR(VLOOKUP(INDIRECT("'update Helper'!AD"&amp;BA63),'Overview - Section A'!J$26:P$107,7,0),"")))</f>
        <v/>
      </c>
    </row>
    <row r="64" spans="1:56" s="253" customFormat="1" ht="30" customHeight="1" x14ac:dyDescent="0.35">
      <c r="A64" s="728"/>
      <c r="B64" s="675"/>
      <c r="C64" s="675"/>
      <c r="D64" s="675"/>
      <c r="E64" s="675"/>
      <c r="F64" s="202"/>
      <c r="G64" s="726"/>
      <c r="H64" s="724"/>
      <c r="I64" s="675"/>
      <c r="J64" s="736"/>
      <c r="K64" s="724"/>
      <c r="L64" s="675"/>
      <c r="M64" s="366"/>
      <c r="N64" s="738"/>
      <c r="O64" s="202" t="str">
        <f ca="1">IF(A63=INDIRECT("'update Helper'!F"&amp;$BB63),IF(INDIRECT("'update Helper'!J"&amp;BB63)=0,"",INDIRECT("'update Helper'!J"&amp;BB63)),"")</f>
        <v/>
      </c>
      <c r="P64" s="726"/>
      <c r="Q64" s="724"/>
      <c r="R64" s="202"/>
      <c r="S64" s="726"/>
      <c r="T64" s="724"/>
      <c r="U64" s="202"/>
      <c r="V64" s="726"/>
      <c r="W64" s="724"/>
      <c r="X64" s="202"/>
      <c r="Y64" s="726"/>
      <c r="Z64" s="724"/>
      <c r="AA64" s="202"/>
      <c r="AB64" s="726"/>
      <c r="AC64" s="724"/>
      <c r="AD64" s="202"/>
      <c r="AE64" s="726"/>
      <c r="AF64" s="724"/>
      <c r="AG64" s="202"/>
      <c r="AH64" s="726"/>
      <c r="AI64" s="724"/>
      <c r="AJ64" s="202"/>
      <c r="AK64" s="726"/>
      <c r="AL64" s="724"/>
      <c r="AM64" s="675"/>
      <c r="AN64" s="675"/>
      <c r="AO64" s="675"/>
      <c r="AP64" s="675"/>
      <c r="AV64" s="212"/>
      <c r="AW64" s="212"/>
      <c r="AX64" s="212"/>
      <c r="AY64" s="365"/>
      <c r="AZ64" s="618"/>
      <c r="BB64" s="212"/>
    </row>
    <row r="65" spans="1:57" s="253" customFormat="1" ht="30" customHeight="1" x14ac:dyDescent="0.35">
      <c r="A65" s="727">
        <v>29</v>
      </c>
      <c r="B65" s="674"/>
      <c r="C65" s="674"/>
      <c r="D65" s="674"/>
      <c r="E65" s="674"/>
      <c r="F65" s="202"/>
      <c r="G65" s="725" t="str">
        <f ca="1">IF(OR(INDIRECT("'update Helper'!D"&amp;BA65)="",F65&lt;&gt;0,F66&lt;&gt;0),IF(IFERROR((F65/F66),"")="","",(F65/F66)),INDIRECT("'update Helper'!D"&amp;BA65)/100)</f>
        <v/>
      </c>
      <c r="H65" s="723"/>
      <c r="I65" s="674"/>
      <c r="J65" s="735" t="str">
        <f>AQ65</f>
        <v/>
      </c>
      <c r="K65" s="723"/>
      <c r="L65" s="674"/>
      <c r="M65" s="205"/>
      <c r="N65" s="737"/>
      <c r="O65" s="202" t="str">
        <f ca="1">IF(A65=INDIRECT("'update Helper'!F"&amp;$BB65),IF(INDIRECT("'update Helper'!K"&amp;BB65)="","",INDIRECT("'update Helper'!K"&amp;BB65)),"")</f>
        <v/>
      </c>
      <c r="P65" s="725" t="str">
        <f ca="1">IF(OR(INDIRECT("'update Helper'!I"&amp;BB65)="",O65&lt;&gt;0,O66&lt;&gt;0),IF(IFERROR((O65/O66),"")="","",(O65/O66)),INDIRECT("'update Helper'!I"&amp;BB65)/100)</f>
        <v/>
      </c>
      <c r="Q65" s="723"/>
      <c r="R65" s="202"/>
      <c r="S65" s="725" t="str">
        <f ca="1">IF(OR(INDIRECT("'update Helper'!I"&amp;BB65+1)="",R65&lt;&gt;0,R66&lt;&gt;0),IF(IFERROR((R65/R66),"")="","",(R65/R66)),INDIRECT("'update Helper'!I"&amp;BB65+1)/100)</f>
        <v/>
      </c>
      <c r="T65" s="723"/>
      <c r="U65" s="202"/>
      <c r="V65" s="725" t="str">
        <f ca="1">IF(OR(INDIRECT("'update Helper'!I"&amp;BB65+2)="",U65&lt;&gt;0,U66&lt;&gt;0),IF(IFERROR((U65/U66),"")="","",(U65/U66)),INDIRECT("'update Helper'!I"&amp;BB65+2)/100)</f>
        <v/>
      </c>
      <c r="W65" s="723"/>
      <c r="X65" s="202"/>
      <c r="Y65" s="725" t="str">
        <f ca="1">IF(A65=INDIRECT("'update Helper'!F"&amp;$BB65+3),IF(OR(INDIRECT("'update Helper'!I"&amp;BB65+3)="",X65&lt;&gt;0,X66&lt;&gt;0),IF(IFERROR((X65/X66),"")="","",(X65/X66)),INDIRECT("'update Helper'!I"&amp;BB65+3)/100),"")</f>
        <v/>
      </c>
      <c r="Z65" s="723"/>
      <c r="AA65" s="202"/>
      <c r="AB65" s="725" t="str">
        <f ca="1">IF(A65=INDIRECT("'update Helper'!F"&amp;$BB65+4),IF(OR(INDIRECT("'update Helper'!I"&amp;BB65+4)="",AA65&lt;&gt;0,AA66&lt;&gt;0),IF(IFERROR((AA65/AA66),"")="","",(AA65/AA66)),INDIRECT("'update Helper'!I"&amp;BB65+4)/100),"")</f>
        <v/>
      </c>
      <c r="AC65" s="723"/>
      <c r="AD65" s="202"/>
      <c r="AE65" s="725" t="str">
        <f ca="1">IF(A65=INDIRECT("'update Helper'!F"&amp;$BB65+5),IF(A65=INDIRECT("'update Helper'!F"&amp;$BB65+5),IF(OR(INDIRECT("'update Helper'!I"&amp;BB65+5)="",AD65&lt;&gt;0,AD66&lt;&gt;0),IF(IFERROR((AD65/AD66),"")="","",(AD65/AD66)),INDIRECT("'update Helper'!I"&amp;BB65+5)/100),""),"")</f>
        <v/>
      </c>
      <c r="AF65" s="723"/>
      <c r="AG65" s="202"/>
      <c r="AH65" s="725" t="str">
        <f ca="1">IF(A65=INDIRECT("'update Helper'!F"&amp;$BB65+6),IF(OR(INDIRECT("'update Helper'!I"&amp;BB65+6)="",AG65&lt;&gt;0,AG66&lt;&gt;0),IF(IFERROR((AG65/AG66),"")="","",(AG65/AG66)),INDIRECT("'update Helper'!I"&amp;BB65+6)/100),"")</f>
        <v/>
      </c>
      <c r="AI65" s="723"/>
      <c r="AJ65" s="202"/>
      <c r="AK65" s="725" t="str">
        <f ca="1">IF(A65=INDIRECT("'update Helper'!F"&amp;$BB65+6),IF(OR(INDIRECT("'update Helper'!I"&amp;BB65+7)="",AJ65&lt;&gt;0,AJ66&lt;&gt;0),IF(IFERROR((AJ65/AJ66),"")="","",(AJ65/AJ66)),INDIRECT("'update Helper'!I"&amp;BB65+7)/100),"")</f>
        <v/>
      </c>
      <c r="AL65" s="723"/>
      <c r="AM65" s="674"/>
      <c r="AN65" s="674"/>
      <c r="AO65" s="674"/>
      <c r="AP65" s="674"/>
      <c r="AQ65" s="253" t="str">
        <f t="array" ref="AQ65">IFERROR(IF(INDEX('Reference Records'!$D$79:$D$156,MATCH(LEFT(D65,255),LEFT('Reference Records'!$C$79:$C$156,255),0))=0,"",INDEX('Reference Records'!$D$79:$D$156,MATCH(LEFT(D65,255),LEFT('Reference Records'!$C$79:$C$156,255),0))),"")</f>
        <v/>
      </c>
      <c r="AR65" s="196" t="str">
        <f t="array" ref="AR65">VLOOKUP(LEFT(D65,255),LEFT('Reference Records'!C$78:G622,255),4,0)</f>
        <v/>
      </c>
      <c r="AS65" s="196" t="e">
        <f>MATCH(AR65,'Reference Records'!$F$621:$F$699,0)+ROW(PopulationByCoverage)-1</f>
        <v>#N/A</v>
      </c>
      <c r="AT65" s="196" t="e">
        <f>MATCH(AR65,'Reference Records'!$F$621:$F$699,1)+ROW(PopulationByCoverage)-1</f>
        <v>#N/A</v>
      </c>
      <c r="AU65" s="253" t="str">
        <f>D65&amp;E65</f>
        <v/>
      </c>
      <c r="AV65" s="212" t="str">
        <f t="array" ref="AV65">IFERROR(IF(VLOOKUP(LEFT(D65,255),LEFT('Reference Records'!$C$1:$K$724,255),9,0)=0,"",CONCATENATE(VLOOKUP(LEFT(D65,255),LEFT('Reference Records'!$C$1:$K$724,255),9,0),";")),"")</f>
        <v>;</v>
      </c>
      <c r="AW65" s="212" t="str">
        <f>CLEAN(IFERROR(LEFT(AV65, SEARCH(";",AV65,1)-1),""))</f>
        <v/>
      </c>
      <c r="AX65" s="212" t="str">
        <f>SUBSTITUTE(IFERROR(MID(AV65, SEARCH(";",AV65) + 1, SEARCH(";",AV65,SEARCH(";",AV65)+1) - SEARCH(";",AV65) - 1),""),CHAR(10),"")</f>
        <v/>
      </c>
      <c r="AY65" s="365" t="str">
        <f>CLEAN(IFERROR(SUBSTITUTE(RIGHT(AV65,LEN(AV65) - SEARCH(";", AV65, SEARCH(";",AV65) + 1)),";",""),""))</f>
        <v/>
      </c>
      <c r="AZ65" s="618" t="str">
        <f>IFERROR(IF(VLOOKUP(B65,'Reference Records'!$F$159:$N$210,9,FALSE)=0,"",VLOOKUP(B65,'Reference Records'!$F$159:$N$210,9,FALSE)),"")</f>
        <v/>
      </c>
      <c r="BA65" s="253">
        <f t="shared" si="0"/>
        <v>872</v>
      </c>
      <c r="BB65" s="428">
        <f>BB63+'update Helper'!$AB$2</f>
        <v>1164</v>
      </c>
      <c r="BD65" s="253" t="str">
        <f ca="1">IF(INDIRECT("'update Helper'!S"&amp;BA65)=0,"",IFERROR(VLOOKUP(INDIRECT("'update Helper'!U"&amp;BA65),'Account Role'!A$1:B$15,2,0), IFERROR(VLOOKUP(INDIRECT("'update Helper'!AD"&amp;BA65),'Overview - Section A'!J$26:P$107,7,0),"")))</f>
        <v/>
      </c>
    </row>
    <row r="66" spans="1:57" s="253" customFormat="1" ht="30" customHeight="1" x14ac:dyDescent="0.35">
      <c r="A66" s="728"/>
      <c r="B66" s="675"/>
      <c r="C66" s="675"/>
      <c r="D66" s="675"/>
      <c r="E66" s="675"/>
      <c r="F66" s="202"/>
      <c r="G66" s="726"/>
      <c r="H66" s="724"/>
      <c r="I66" s="675"/>
      <c r="J66" s="736"/>
      <c r="K66" s="724"/>
      <c r="L66" s="675"/>
      <c r="M66" s="366"/>
      <c r="N66" s="738"/>
      <c r="O66" s="202" t="str">
        <f ca="1">IF(A65=INDIRECT("'update Helper'!F"&amp;$BB65),IF(INDIRECT("'update Helper'!J"&amp;BB65)=0,"",INDIRECT("'update Helper'!J"&amp;BB65)),"")</f>
        <v/>
      </c>
      <c r="P66" s="726"/>
      <c r="Q66" s="724"/>
      <c r="R66" s="202"/>
      <c r="S66" s="726"/>
      <c r="T66" s="724"/>
      <c r="U66" s="202"/>
      <c r="V66" s="726"/>
      <c r="W66" s="724"/>
      <c r="X66" s="202"/>
      <c r="Y66" s="726"/>
      <c r="Z66" s="724"/>
      <c r="AA66" s="202"/>
      <c r="AB66" s="726"/>
      <c r="AC66" s="724"/>
      <c r="AD66" s="202"/>
      <c r="AE66" s="726"/>
      <c r="AF66" s="724"/>
      <c r="AG66" s="202"/>
      <c r="AH66" s="726"/>
      <c r="AI66" s="724"/>
      <c r="AJ66" s="202"/>
      <c r="AK66" s="726"/>
      <c r="AL66" s="724"/>
      <c r="AM66" s="675"/>
      <c r="AN66" s="675"/>
      <c r="AO66" s="675"/>
      <c r="AP66" s="675"/>
      <c r="AV66" s="212"/>
      <c r="AW66" s="212"/>
      <c r="AX66" s="212"/>
      <c r="AY66" s="365"/>
      <c r="AZ66" s="618"/>
      <c r="BB66" s="212"/>
    </row>
    <row r="67" spans="1:57" ht="30" customHeight="1" x14ac:dyDescent="0.35">
      <c r="A67" s="727">
        <v>30</v>
      </c>
      <c r="B67" s="674" t="str">
        <f ca="1">IF(INDIRECT("'update Helper'!AB"&amp;BA67)=0,"",INDIRECT("'update Helper'!AB"&amp;BA67))</f>
        <v/>
      </c>
      <c r="C67" s="674" t="str">
        <f ca="1">IFERROR(INDEX('Reference Records'!C$620:C757,MATCH(INDIRECT("'update Helper'!M"&amp;BA67),'Reference Records'!E$620:E757,0)),"")</f>
        <v/>
      </c>
      <c r="D67" s="674" t="str">
        <f ca="1">IF(INDIRECT("'update Helper'!X"&amp;BA67)=0,"",INDIRECT("'update Helper'!X"&amp;BA67))</f>
        <v/>
      </c>
      <c r="E67" s="674" t="str">
        <f ca="1">IF(INDIRECT("'update Helper'!T"&amp;BA67)=0,"",INDIRECT("'update Helper'!T"&amp;BA67))</f>
        <v/>
      </c>
      <c r="F67" s="202" t="str">
        <f ca="1">IF(INDIRECT("'update Helper'!F"&amp;BA67)="","",INDIRECT("'update Helper'!F"&amp;BA67))</f>
        <v/>
      </c>
      <c r="G67" s="725" t="str">
        <f ca="1">IF(OR(INDIRECT("'update Helper'!D"&amp;BA67)="",F67&lt;&gt;0,F68&lt;&gt;0),IF(IFERROR((F67/F68),"")="","",(F67/F68)),INDIRECT("'update Helper'!D"&amp;BA67)/100)</f>
        <v/>
      </c>
      <c r="H67" s="723" t="str">
        <f ca="1">IF(INDIRECT("'update Helper'!L"&amp;BA67)=0,"",INDIRECT("'update Helper'!L"&amp;BA67))</f>
        <v/>
      </c>
      <c r="I67" s="674" t="str">
        <f ca="1">IF(INDIRECT("'update Helper'!U"&amp;BA67)=0,"",INDIRECT("'update Helper'!U"&amp;BA67))</f>
        <v/>
      </c>
      <c r="J67" s="735" t="str">
        <f ca="1">AQ67</f>
        <v/>
      </c>
      <c r="K67" s="723" t="str">
        <f ca="1">IF(OR(INDIRECT("'update Helper'!A"&amp;BA67)=FALSE,INDIRECT("'update Helper'!R"&amp;BA67)=0),"",IF(INDIRECT("'update Helper'!R"&amp;BA67)=FALSE,"No","Yes"))</f>
        <v/>
      </c>
      <c r="L67" s="674" t="str">
        <f ca="1">IF(INDIRECT("'update Helper'!S"&amp;BA67)=0,"",IFERROR(VLOOKUP(INDIRECT("'update Helper'!U"&amp;BA67),'Account Role'!A$1:B$15,2,0), IFERROR(VLOOKUP(INDIRECT("'update Helper'!AD"&amp;BA67),'Overview - Section A'!J$26:M$107,4,0),"")))</f>
        <v/>
      </c>
      <c r="M67" s="205" t="str">
        <f ca="1">IF(INDIRECT("'update Helper'!O"&amp;BA67)=0,"",INDIRECT("'update Helper'!O"&amp;BA67))</f>
        <v/>
      </c>
      <c r="N67" s="737" t="str">
        <f ca="1">IF(INDIRECT("'update Helper'!Q"&amp;BA67)=0,"",INDIRECT("'update Helper'!Q"&amp;BA67))</f>
        <v/>
      </c>
      <c r="O67" s="202" t="str">
        <f ca="1">IF(A67=INDIRECT("'update Helper'!F"&amp;$BB67),IF(INDIRECT("'update Helper'!K"&amp;BB67)="","",INDIRECT("'update Helper'!K"&amp;BB67)),"")</f>
        <v/>
      </c>
      <c r="P67" s="725" t="str">
        <f ca="1">IF(OR(INDIRECT("'update Helper'!I"&amp;BB67)="",O67&lt;&gt;0,O68&lt;&gt;0),IF(IFERROR((O67/O68),"")="","",(O67/O68)),INDIRECT("'update Helper'!I"&amp;BB67)/100)</f>
        <v/>
      </c>
      <c r="Q67" s="723" t="str">
        <f ca="1">IF(A67=INDIRECT("'update Helper'!F"&amp;$BB67),IF(INDIRECT("'update Helper'!L"&amp;BB67)=0,"",INDIRECT("'update Helper'!L"&amp;BB67)),"")</f>
        <v/>
      </c>
      <c r="R67" s="202" t="str">
        <f ca="1">IF(A67=INDIRECT("'update Helper'!F"&amp;$BB67+1),IF(INDIRECT("'update Helper'!K"&amp;BB67+1)="","",INDIRECT("'update Helper'!K"&amp;BB67+1)),"")</f>
        <v/>
      </c>
      <c r="S67" s="725" t="str">
        <f ca="1">IF(OR(INDIRECT("'update Helper'!I"&amp;BB67+1)="",R67&lt;&gt;0,R68&lt;&gt;0),IF(IFERROR((R67/R68),"")="","",(R67/R68)),INDIRECT("'update Helper'!I"&amp;BB67+1)/100)</f>
        <v/>
      </c>
      <c r="T67" s="723" t="str">
        <f ca="1">IF(A67=INDIRECT("'update Helper'!F"&amp;$BB67+1),IF(INDIRECT("'update Helper'!L"&amp;BB67+1)=0,"",INDIRECT("'update Helper'!L"&amp;BB67+1)),"")</f>
        <v/>
      </c>
      <c r="U67" s="202" t="str">
        <f ca="1">IF(A67=INDIRECT("'update Helper'!F"&amp;$BB67+2),IF(INDIRECT("'update Helper'!K"&amp;BB67+2)="","",INDIRECT("'update Helper'!K"&amp;BB67+2)),"")</f>
        <v/>
      </c>
      <c r="V67" s="725" t="str">
        <f ca="1">IF(OR(INDIRECT("'update Helper'!I"&amp;BB67+2)="",U67&lt;&gt;0,U68&lt;&gt;0),IF(IFERROR((U67/U68),"")="","",(U67/U68)),INDIRECT("'update Helper'!I"&amp;BB67+2)/100)</f>
        <v/>
      </c>
      <c r="W67" s="723" t="str">
        <f ca="1">IF(A67=INDIRECT("'update Helper'!F"&amp;$BB67+2),IF(INDIRECT("'update Helper'!L"&amp;BB67+2)=0,"",INDIRECT("'update Helper'!L"&amp;BB67+2)),"")</f>
        <v/>
      </c>
      <c r="X67" s="202" t="str">
        <f ca="1">IF(A67=INDIRECT("'update Helper'!F"&amp;$BB67+3),IF(INDIRECT("'update Helper'!K"&amp;BB67+3)="","",INDIRECT("'update Helper'!K"&amp;BB67+3)),"")</f>
        <v/>
      </c>
      <c r="Y67" s="725" t="str">
        <f ca="1">IF(A67=INDIRECT("'update Helper'!F"&amp;$BB67+3),IF(OR(INDIRECT("'update Helper'!I"&amp;BB67+3)="",X67&lt;&gt;0,X68&lt;&gt;0),IF(IFERROR((X67/X68),"")="","",(X67/X68)),INDIRECT("'update Helper'!I"&amp;BB67+3)/100),"")</f>
        <v/>
      </c>
      <c r="Z67" s="723" t="str">
        <f ca="1">IF(A67=INDIRECT("'update Helper'!F"&amp;$BB67+3),IF(INDIRECT("'update Helper'!L"&amp;BB67+3)=0,"",INDIRECT("'update Helper'!L"&amp;BB67+3)),"")</f>
        <v/>
      </c>
      <c r="AA67" s="202" t="str">
        <f ca="1">IF(A67=INDIRECT("'update Helper'!F"&amp;$BB67+4),IF(INDIRECT("'update Helper'!K"&amp;BB67+4)="","",INDIRECT("'update Helper'!K"&amp;BB67+4)),"")</f>
        <v/>
      </c>
      <c r="AB67" s="725" t="str">
        <f ca="1">IF(A67=INDIRECT("'update Helper'!F"&amp;$BB67+4),IF(OR(INDIRECT("'update Helper'!I"&amp;BB67+4)="",AA67&lt;&gt;0,AA68&lt;&gt;0),IF(IFERROR((AA67/AA68),"")="","",(AA67/AA68)),INDIRECT("'update Helper'!I"&amp;BB67+4)/100),"")</f>
        <v/>
      </c>
      <c r="AC67" s="723" t="str">
        <f ca="1">IF(A67=INDIRECT("'update Helper'!F"&amp;$BB67+4),IF(INDIRECT("'update Helper'!L"&amp;BB67+4)=0,"",INDIRECT("'update Helper'!L"&amp;BB67+4)),"")</f>
        <v/>
      </c>
      <c r="AD67" s="202" t="str">
        <f ca="1">IF(A67=INDIRECT("'update Helper'!F"&amp;$BB67+5),IF(INDIRECT("'update Helper'!K"&amp;BB67+5)="","",INDIRECT("'update Helper'!K"&amp;BB67+5)),"")</f>
        <v/>
      </c>
      <c r="AE67" s="725" t="str">
        <f ca="1">IF(A67=INDIRECT("'update Helper'!F"&amp;$BB67+5),IF(A67=INDIRECT("'update Helper'!F"&amp;$BB67+5),IF(OR(INDIRECT("'update Helper'!I"&amp;BB67+5)="",AD67&lt;&gt;0,AD68&lt;&gt;0),IF(IFERROR((AD67/AD68),"")="","",(AD67/AD68)),INDIRECT("'update Helper'!I"&amp;BB67+5)/100),""),"")</f>
        <v/>
      </c>
      <c r="AF67" s="723" t="str">
        <f ca="1">IF(A67=INDIRECT("'update Helper'!F"&amp;$BB67+5),IF(INDIRECT("'update Helper'!L"&amp;BB67+5)=0,"",INDIRECT("'update Helper'!L"&amp;BB67+5)),"")</f>
        <v/>
      </c>
      <c r="AG67" s="202" t="str">
        <f ca="1">IF(A67=INDIRECT("'update Helper'!F"&amp;$BB67+6),IF(INDIRECT("'update Helper'!K"&amp;BB67+6)="","",INDIRECT("'update Helper'!K"&amp;BB67+6)),"")</f>
        <v/>
      </c>
      <c r="AH67" s="725" t="str">
        <f ca="1">IF(A67=INDIRECT("'update Helper'!F"&amp;$BB67+6),IF(OR(INDIRECT("'update Helper'!I"&amp;BB67+6)="",AG67&lt;&gt;0,AG68&lt;&gt;0),IF(IFERROR((AG67/AG68),"")="","",(AG67/AG68)),INDIRECT("'update Helper'!I"&amp;BB67+6)/100),"")</f>
        <v/>
      </c>
      <c r="AI67" s="723" t="str">
        <f ca="1">IF(A67=INDIRECT("'update Helper'!F"&amp;$BB67+6),IF(INDIRECT("'update Helper'!L"&amp;BB67+6)=0,"",INDIRECT("'update Helper'!L"&amp;BB67+6)),"")</f>
        <v/>
      </c>
      <c r="AJ67" s="202" t="str">
        <f ca="1">IF(A67=INDIRECT("'update Helper'!F"&amp;$BB67+7),IF(INDIRECT("'update Helper'!K"&amp;BB67+7)="","",INDIRECT("'update Helper'!K"&amp;BB67+7)),"")</f>
        <v/>
      </c>
      <c r="AK67" s="725" t="str">
        <f ca="1">IF(A67=INDIRECT("'update Helper'!F"&amp;$BB67+6),IF(OR(INDIRECT("'update Helper'!I"&amp;BB67+7)="",AJ67&lt;&gt;0,AJ68&lt;&gt;0),IF(IFERROR((AJ67/AJ68),"")="","",(AJ67/AJ68)),INDIRECT("'update Helper'!I"&amp;BB67+7)/100),"")</f>
        <v/>
      </c>
      <c r="AL67" s="723" t="str">
        <f ca="1">IF(A67=INDIRECT("'update Helper'!F"&amp;$BB67+7),IF(INDIRECT("'update Helper'!L"&amp;BB67+7)=0,"",INDIRECT("'update Helper'!L"&amp;BB67+7)),"")</f>
        <v/>
      </c>
      <c r="AM67" s="674" t="str">
        <f ca="1">IF(INDIRECT("'update Helper'!V"&amp;BA67)=0,"",INDIRECT("'update Helper'!V"&amp;BA67))</f>
        <v/>
      </c>
      <c r="AN67" s="674" t="str">
        <f ca="1">IF(INDIRECT("'update Helper'!N"&amp;BA67)=0,"",INDIRECT("'update Helper'!N"&amp;BA67))</f>
        <v/>
      </c>
      <c r="AO67" s="674" t="str">
        <f ca="1">IF(INDIRECT("'update Helper'!G"&amp;BA67)=0,"",INDIRECT("'update Helper'!G"&amp;BA67))</f>
        <v/>
      </c>
      <c r="AP67" s="674" t="str">
        <f ca="1">IF(INDIRECT("'update Helper'!I"&amp;BA67)=0,"",INDIRECT("'update Helper'!I"&amp;BA67))</f>
        <v/>
      </c>
      <c r="AQ67" s="253" t="str">
        <f t="array" aca="1" ref="AQ67" ca="1">IFERROR(IF(INDEX('Reference Records'!$D$79:$D$156,MATCH(LEFT(D67,255),LEFT('Reference Records'!$C$79:$C$156,255),0))=0,"",INDEX('Reference Records'!$D$79:$D$156,MATCH(LEFT(D67,255),LEFT('Reference Records'!$C$79:$C$156,255),0))),"")</f>
        <v/>
      </c>
      <c r="AR67" s="196" t="str">
        <f t="array" aca="1" ref="AR67" ca="1">VLOOKUP(LEFT(D67,255),LEFT('Reference Records'!C$78:G700,255),4,0)</f>
        <v/>
      </c>
      <c r="AS67" s="196" t="e">
        <f ca="1">MATCH(AR67,'Reference Records'!$F$621:$F$699,0)+ROW(PopulationByCoverage)-1</f>
        <v>#N/A</v>
      </c>
      <c r="AT67" s="196" t="e">
        <f ca="1">MATCH(AR67,'Reference Records'!$F$621:$F$699,1)+ROW(PopulationByCoverage)-1</f>
        <v>#N/A</v>
      </c>
      <c r="AU67" s="253" t="str">
        <f ca="1">D67&amp;E67</f>
        <v/>
      </c>
      <c r="AV67" s="212" t="str">
        <f t="array" aca="1" ref="AV67" ca="1">IFERROR(IF(VLOOKUP(LEFT(D67,255),LEFT('Reference Records'!$C$1:$K$724,255),9,0)=0,"",CONCATENATE(VLOOKUP(LEFT(D67,255),LEFT('Reference Records'!$C$1:$K$724,255),9,0),";")),"")</f>
        <v>;</v>
      </c>
      <c r="AW67" s="212" t="str">
        <f ca="1">CLEAN(IFERROR(LEFT(AV67, SEARCH(";",AV67,1)-1),""))</f>
        <v/>
      </c>
      <c r="AX67" s="212" t="str">
        <f ca="1">SUBSTITUTE(IFERROR(MID(AV67, SEARCH(";",AV67) + 1, SEARCH(";",AV67,SEARCH(";",AV67)+1) - SEARCH(";",AV67) - 1),""),CHAR(10),"")</f>
        <v/>
      </c>
      <c r="AY67" s="375" t="str">
        <f ca="1">CLEAN(IFERROR(SUBSTITUTE(RIGHT(AV67,LEN(AV67) - SEARCH(";", AV67, SEARCH(";",AV67) + 1)),";",""),""))</f>
        <v/>
      </c>
      <c r="AZ67" s="618" t="str">
        <f ca="1">IFERROR(IF(VLOOKUP(B67,'Reference Records'!$F$159:$N$210,9,FALSE)=0,"",VLOOKUP(B67,'Reference Records'!$F$159:$N$210,9,FALSE)),"")</f>
        <v/>
      </c>
      <c r="BA67" s="253">
        <f t="shared" si="0"/>
        <v>873</v>
      </c>
      <c r="BB67" s="428">
        <f>BB65+'update Helper'!$AB$2</f>
        <v>1172</v>
      </c>
      <c r="BC67" s="253"/>
      <c r="BD67" s="253" t="str">
        <f ca="1">IF(INDIRECT("'update Helper'!S"&amp;BA67)=0,"",IFERROR(VLOOKUP(INDIRECT("'update Helper'!U"&amp;BA67),'Account Role'!A$1:B$15,2,0), IFERROR(VLOOKUP(INDIRECT("'update Helper'!AD"&amp;BA67),'Overview - Section A'!J$26:P$107,7,0),"")))</f>
        <v/>
      </c>
      <c r="BE67" s="253"/>
    </row>
    <row r="68" spans="1:57" ht="30" customHeight="1" x14ac:dyDescent="0.35">
      <c r="A68" s="728"/>
      <c r="B68" s="675"/>
      <c r="C68" s="675"/>
      <c r="D68" s="675"/>
      <c r="E68" s="675"/>
      <c r="F68" s="202" t="str">
        <f ca="1">IF(INDIRECT("'update Helper'!E"&amp;BA67)=0,"",INDIRECT("'update Helper'!E"&amp;BA67))</f>
        <v/>
      </c>
      <c r="G68" s="726"/>
      <c r="H68" s="724"/>
      <c r="I68" s="675"/>
      <c r="J68" s="736"/>
      <c r="K68" s="724"/>
      <c r="L68" s="675"/>
      <c r="M68" s="376" t="str">
        <f ca="1">IF(INDIRECT("'update Helper'!P"&amp;BA67)=0,"",INDIRECT("'update Helper'!P"&amp;BA67))</f>
        <v/>
      </c>
      <c r="N68" s="738"/>
      <c r="O68" s="202" t="str">
        <f ca="1">IF(A67=INDIRECT("'update Helper'!F"&amp;$BB67),IF(INDIRECT("'update Helper'!J"&amp;BB67)=0,"",INDIRECT("'update Helper'!J"&amp;BB67)),"")</f>
        <v/>
      </c>
      <c r="P68" s="726"/>
      <c r="Q68" s="724"/>
      <c r="R68" s="202" t="str">
        <f ca="1">IF(A67=INDIRECT("'update Helper'!F"&amp;$BB67+1),IF(INDIRECT("'update Helper'!J"&amp;BB67+1)=0,"",INDIRECT("'update Helper'!J"&amp;BB67+1)),"")</f>
        <v/>
      </c>
      <c r="S68" s="726"/>
      <c r="T68" s="724"/>
      <c r="U68" s="202" t="str">
        <f ca="1">IF(A67=INDIRECT("'update Helper'!F"&amp;$BB67+2),IF(INDIRECT("'update Helper'!J"&amp;BB67+2)=0,"",INDIRECT("'update Helper'!J"&amp;BB67+2)),"")</f>
        <v/>
      </c>
      <c r="V68" s="726"/>
      <c r="W68" s="724"/>
      <c r="X68" s="202" t="str">
        <f ca="1">IF(A67=INDIRECT("'update Helper'!F"&amp;$BB67+3),IF(INDIRECT("'update Helper'!J"&amp;BB67+3)=0,"",INDIRECT("'update Helper'!J"&amp;BB67+3)),"")</f>
        <v/>
      </c>
      <c r="Y68" s="726"/>
      <c r="Z68" s="724"/>
      <c r="AA68" s="202" t="str">
        <f ca="1">IF(A67=INDIRECT("'update Helper'!F"&amp;$BB67+4),IF(INDIRECT("'update Helper'!J"&amp;BB67+4)=0,"",INDIRECT("'update Helper'!J"&amp;BB67+4)),"")</f>
        <v/>
      </c>
      <c r="AB68" s="726"/>
      <c r="AC68" s="724"/>
      <c r="AD68" s="202" t="str">
        <f ca="1">IF(A67=INDIRECT("'update Helper'!F"&amp;$BB67+5),IF(INDIRECT("'update Helper'!J"&amp;BB67+5)=0,"",INDIRECT("'update Helper'!J"&amp;BB67+5)),"")</f>
        <v/>
      </c>
      <c r="AE68" s="726"/>
      <c r="AF68" s="724"/>
      <c r="AG68" s="202" t="str">
        <f ca="1">IF(A67=INDIRECT("'update Helper'!F"&amp;$BB67+6),IF(INDIRECT("'update Helper'!J"&amp;BB67+6)=0,"",INDIRECT("'update Helper'!J"&amp;BB67+6)),"")</f>
        <v/>
      </c>
      <c r="AH68" s="726"/>
      <c r="AI68" s="724"/>
      <c r="AJ68" s="202" t="str">
        <f ca="1">IF(A67=INDIRECT("'update Helper'!F"&amp;$BB67+7),IF(INDIRECT("'update Helper'!J"&amp;BB67+7)=0,"",INDIRECT("'update Helper'!J"&amp;BB67+7)),"")</f>
        <v/>
      </c>
      <c r="AK68" s="726"/>
      <c r="AL68" s="724"/>
      <c r="AM68" s="675"/>
      <c r="AN68" s="675"/>
      <c r="AO68" s="675"/>
      <c r="AP68" s="675"/>
      <c r="AQ68" s="253"/>
      <c r="AR68" s="253"/>
      <c r="AS68" s="253"/>
      <c r="AT68" s="253"/>
      <c r="AU68" s="253"/>
      <c r="AV68" s="212"/>
      <c r="AW68" s="212"/>
      <c r="AX68" s="212"/>
      <c r="AY68" s="375"/>
      <c r="AZ68" s="618"/>
      <c r="BA68" s="253"/>
      <c r="BB68" s="212"/>
      <c r="BC68" s="253"/>
      <c r="BD68" s="253"/>
      <c r="BE68" s="253"/>
    </row>
    <row r="69" spans="1:57" ht="30" customHeight="1" x14ac:dyDescent="0.35">
      <c r="AE69" s="747"/>
    </row>
    <row r="70" spans="1:57" ht="30" customHeight="1" x14ac:dyDescent="0.35">
      <c r="AE70" s="747"/>
    </row>
    <row r="71" spans="1:57" ht="30" customHeight="1" x14ac:dyDescent="0.35">
      <c r="AE71" s="747"/>
    </row>
    <row r="72" spans="1:57" ht="30" customHeight="1" x14ac:dyDescent="0.35">
      <c r="AE72" s="747"/>
    </row>
    <row r="73" spans="1:57" ht="30" customHeight="1" x14ac:dyDescent="0.35">
      <c r="AE73" s="747"/>
    </row>
    <row r="74" spans="1:57" ht="30" customHeight="1" x14ac:dyDescent="0.35">
      <c r="AE74" s="747"/>
    </row>
    <row r="75" spans="1:57" ht="30" customHeight="1" x14ac:dyDescent="0.35">
      <c r="AE75" s="747"/>
    </row>
    <row r="76" spans="1:57" ht="30" customHeight="1" x14ac:dyDescent="0.35">
      <c r="AE76" s="747"/>
    </row>
    <row r="77" spans="1:57" ht="30" customHeight="1" x14ac:dyDescent="0.35">
      <c r="AE77" s="747"/>
    </row>
    <row r="78" spans="1:57" ht="30" customHeight="1" x14ac:dyDescent="0.35">
      <c r="AE78" s="747"/>
    </row>
    <row r="79" spans="1:57" ht="30" customHeight="1" x14ac:dyDescent="0.35">
      <c r="AE79" s="747"/>
    </row>
    <row r="80" spans="1:57" ht="30" customHeight="1" x14ac:dyDescent="0.35">
      <c r="AE80" s="747"/>
    </row>
    <row r="81" spans="31:31" ht="30" customHeight="1" x14ac:dyDescent="0.35">
      <c r="AE81" s="747"/>
    </row>
    <row r="82" spans="31:31" ht="30" customHeight="1" x14ac:dyDescent="0.35">
      <c r="AE82" s="747"/>
    </row>
    <row r="83" spans="31:31" ht="30" customHeight="1" x14ac:dyDescent="0.35">
      <c r="AE83" s="747"/>
    </row>
    <row r="84" spans="31:31" ht="30" customHeight="1" x14ac:dyDescent="0.35">
      <c r="AE84" s="747"/>
    </row>
    <row r="85" spans="31:31" ht="30" customHeight="1" x14ac:dyDescent="0.35">
      <c r="AE85" s="747"/>
    </row>
    <row r="86" spans="31:31" ht="30" customHeight="1" x14ac:dyDescent="0.35">
      <c r="AE86" s="747"/>
    </row>
    <row r="87" spans="31:31" ht="30" customHeight="1" x14ac:dyDescent="0.35">
      <c r="AE87" s="747"/>
    </row>
    <row r="88" spans="31:31" ht="30" customHeight="1" x14ac:dyDescent="0.35">
      <c r="AE88" s="747"/>
    </row>
    <row r="89" spans="31:31" ht="30" customHeight="1" x14ac:dyDescent="0.35">
      <c r="AE89" s="747"/>
    </row>
    <row r="90" spans="31:31" ht="30" customHeight="1" x14ac:dyDescent="0.35">
      <c r="AE90" s="747"/>
    </row>
    <row r="91" spans="31:31" ht="30" customHeight="1" x14ac:dyDescent="0.35">
      <c r="AE91" s="747"/>
    </row>
    <row r="92" spans="31:31" ht="30" customHeight="1" x14ac:dyDescent="0.35">
      <c r="AE92" s="747"/>
    </row>
    <row r="93" spans="31:31" ht="30" customHeight="1" x14ac:dyDescent="0.35">
      <c r="AE93" s="747"/>
    </row>
    <row r="94" spans="31:31" ht="30" customHeight="1" x14ac:dyDescent="0.35">
      <c r="AE94" s="747"/>
    </row>
    <row r="95" spans="31:31" ht="30" customHeight="1" x14ac:dyDescent="0.35">
      <c r="AE95" s="747"/>
    </row>
    <row r="96" spans="31:31" ht="30" customHeight="1" x14ac:dyDescent="0.35">
      <c r="AE96" s="747"/>
    </row>
    <row r="97" spans="31:31" ht="30" customHeight="1" x14ac:dyDescent="0.35">
      <c r="AE97" s="747"/>
    </row>
    <row r="98" spans="31:31" ht="30" customHeight="1" x14ac:dyDescent="0.35">
      <c r="AE98" s="747"/>
    </row>
    <row r="99" spans="31:31" ht="30" customHeight="1" x14ac:dyDescent="0.35">
      <c r="AE99" s="747"/>
    </row>
    <row r="100" spans="31:31" ht="30" customHeight="1" x14ac:dyDescent="0.35">
      <c r="AE100" s="747"/>
    </row>
    <row r="101" spans="31:31" x14ac:dyDescent="0.35">
      <c r="AE101" s="747"/>
    </row>
    <row r="102" spans="31:31" x14ac:dyDescent="0.35">
      <c r="AE102" s="747"/>
    </row>
  </sheetData>
  <sheetProtection password="FB8C" sheet="1" objects="1" scenarios="1" formatCells="0" formatColumns="0" formatRows="0"/>
  <mergeCells count="1014">
    <mergeCell ref="AZ67:AZ68"/>
    <mergeCell ref="Y67:Y68"/>
    <mergeCell ref="Z67:Z68"/>
    <mergeCell ref="AB67:AB68"/>
    <mergeCell ref="AC67:AC68"/>
    <mergeCell ref="AF67:AF68"/>
    <mergeCell ref="AH67:AH68"/>
    <mergeCell ref="AI67:AI68"/>
    <mergeCell ref="AK67:AK68"/>
    <mergeCell ref="AL67:AL68"/>
    <mergeCell ref="K67:K68"/>
    <mergeCell ref="L67:L68"/>
    <mergeCell ref="N67:N68"/>
    <mergeCell ref="P67:P68"/>
    <mergeCell ref="Q67:Q68"/>
    <mergeCell ref="S67:S68"/>
    <mergeCell ref="T67:T68"/>
    <mergeCell ref="V67:V68"/>
    <mergeCell ref="W67:W68"/>
    <mergeCell ref="AZ65:AZ66"/>
    <mergeCell ref="Y65:Y66"/>
    <mergeCell ref="Z65:Z66"/>
    <mergeCell ref="AB65:AB66"/>
    <mergeCell ref="AC65:AC66"/>
    <mergeCell ref="AF65:AF66"/>
    <mergeCell ref="AH65:AH66"/>
    <mergeCell ref="AI65:AI66"/>
    <mergeCell ref="AK65:AK66"/>
    <mergeCell ref="AL65:AL66"/>
    <mergeCell ref="K65:K66"/>
    <mergeCell ref="L65:L66"/>
    <mergeCell ref="N65:N66"/>
    <mergeCell ref="P65:P66"/>
    <mergeCell ref="Q65:Q66"/>
    <mergeCell ref="S65:S66"/>
    <mergeCell ref="T65:T66"/>
    <mergeCell ref="T61:T62"/>
    <mergeCell ref="V61:V62"/>
    <mergeCell ref="W61:W62"/>
    <mergeCell ref="Y61:Y62"/>
    <mergeCell ref="Z61:Z62"/>
    <mergeCell ref="AB61:AB62"/>
    <mergeCell ref="AC61:AC62"/>
    <mergeCell ref="AO63:AO64"/>
    <mergeCell ref="AP63:AP64"/>
    <mergeCell ref="A67:A68"/>
    <mergeCell ref="B67:B68"/>
    <mergeCell ref="C67:C68"/>
    <mergeCell ref="D67:D68"/>
    <mergeCell ref="E67:E68"/>
    <mergeCell ref="G67:G68"/>
    <mergeCell ref="H67:H68"/>
    <mergeCell ref="I67:I68"/>
    <mergeCell ref="J67:J68"/>
    <mergeCell ref="AM65:AM66"/>
    <mergeCell ref="AN65:AN66"/>
    <mergeCell ref="AO65:AO66"/>
    <mergeCell ref="AP65:AP66"/>
    <mergeCell ref="AM67:AM68"/>
    <mergeCell ref="AN67:AN68"/>
    <mergeCell ref="AO67:AO68"/>
    <mergeCell ref="AP67:AP68"/>
    <mergeCell ref="A65:A66"/>
    <mergeCell ref="B65:B66"/>
    <mergeCell ref="C65:C66"/>
    <mergeCell ref="D65:D66"/>
    <mergeCell ref="E65:E66"/>
    <mergeCell ref="G65:G66"/>
    <mergeCell ref="H65:H66"/>
    <mergeCell ref="I65:I66"/>
    <mergeCell ref="J65:J66"/>
    <mergeCell ref="AH63:AH64"/>
    <mergeCell ref="AI63:AI64"/>
    <mergeCell ref="AK63:AK64"/>
    <mergeCell ref="AL63:AL64"/>
    <mergeCell ref="AM63:AM64"/>
    <mergeCell ref="AN63:AN64"/>
    <mergeCell ref="V65:V66"/>
    <mergeCell ref="W65:W66"/>
    <mergeCell ref="AZ63:AZ64"/>
    <mergeCell ref="AZ61:AZ62"/>
    <mergeCell ref="A63:A64"/>
    <mergeCell ref="B63:B64"/>
    <mergeCell ref="C63:C64"/>
    <mergeCell ref="D63:D64"/>
    <mergeCell ref="E63:E64"/>
    <mergeCell ref="G63:G64"/>
    <mergeCell ref="H63:H64"/>
    <mergeCell ref="I63:I64"/>
    <mergeCell ref="J63:J64"/>
    <mergeCell ref="K63:K64"/>
    <mergeCell ref="L63:L64"/>
    <mergeCell ref="N63:N64"/>
    <mergeCell ref="P63:P64"/>
    <mergeCell ref="Q63:Q64"/>
    <mergeCell ref="S63:S64"/>
    <mergeCell ref="T63:T64"/>
    <mergeCell ref="V63:V64"/>
    <mergeCell ref="W63:W64"/>
    <mergeCell ref="Y63:Y64"/>
    <mergeCell ref="Z63:Z64"/>
    <mergeCell ref="AB63:AB64"/>
    <mergeCell ref="AC63:AC64"/>
    <mergeCell ref="AF63:AF64"/>
    <mergeCell ref="AF61:AF62"/>
    <mergeCell ref="AH61:AH62"/>
    <mergeCell ref="AI61:AI62"/>
    <mergeCell ref="AK61:AK62"/>
    <mergeCell ref="AL61:AL62"/>
    <mergeCell ref="AM61:AM62"/>
    <mergeCell ref="AN61:AN62"/>
    <mergeCell ref="W59:W60"/>
    <mergeCell ref="Y59:Y60"/>
    <mergeCell ref="Z59:Z60"/>
    <mergeCell ref="AB59:AB60"/>
    <mergeCell ref="AC59:AC60"/>
    <mergeCell ref="A57:A58"/>
    <mergeCell ref="B57:B58"/>
    <mergeCell ref="C57:C58"/>
    <mergeCell ref="D57:D58"/>
    <mergeCell ref="E57:E58"/>
    <mergeCell ref="G57:G58"/>
    <mergeCell ref="H57:H58"/>
    <mergeCell ref="I57:I58"/>
    <mergeCell ref="Q59:Q60"/>
    <mergeCell ref="S59:S60"/>
    <mergeCell ref="T59:T60"/>
    <mergeCell ref="V59:V60"/>
    <mergeCell ref="J57:J58"/>
    <mergeCell ref="K57:K58"/>
    <mergeCell ref="L57:L58"/>
    <mergeCell ref="N57:N58"/>
    <mergeCell ref="AO61:AO62"/>
    <mergeCell ref="AP61:AP62"/>
    <mergeCell ref="AP59:AP60"/>
    <mergeCell ref="AZ59:AZ60"/>
    <mergeCell ref="A61:A62"/>
    <mergeCell ref="B61:B62"/>
    <mergeCell ref="C61:C62"/>
    <mergeCell ref="D61:D62"/>
    <mergeCell ref="E61:E62"/>
    <mergeCell ref="G61:G62"/>
    <mergeCell ref="H61:H62"/>
    <mergeCell ref="I61:I62"/>
    <mergeCell ref="J61:J62"/>
    <mergeCell ref="K61:K62"/>
    <mergeCell ref="L61:L62"/>
    <mergeCell ref="N61:N62"/>
    <mergeCell ref="P61:P62"/>
    <mergeCell ref="Q61:Q62"/>
    <mergeCell ref="S61:S62"/>
    <mergeCell ref="A59:A60"/>
    <mergeCell ref="B59:B60"/>
    <mergeCell ref="C59:C60"/>
    <mergeCell ref="D59:D60"/>
    <mergeCell ref="E59:E60"/>
    <mergeCell ref="G59:G60"/>
    <mergeCell ref="H59:H60"/>
    <mergeCell ref="I59:I60"/>
    <mergeCell ref="J59:J60"/>
    <mergeCell ref="K59:K60"/>
    <mergeCell ref="L59:L60"/>
    <mergeCell ref="N59:N60"/>
    <mergeCell ref="P59:P60"/>
    <mergeCell ref="P57:P58"/>
    <mergeCell ref="Q57:Q58"/>
    <mergeCell ref="S57:S58"/>
    <mergeCell ref="T57:T58"/>
    <mergeCell ref="V57:V58"/>
    <mergeCell ref="W57:W58"/>
    <mergeCell ref="Y57:Y58"/>
    <mergeCell ref="Z57:Z58"/>
    <mergeCell ref="AB57:AB58"/>
    <mergeCell ref="AC57:AC58"/>
    <mergeCell ref="AF57:AF58"/>
    <mergeCell ref="AH57:AH58"/>
    <mergeCell ref="AI57:AI58"/>
    <mergeCell ref="AK57:AK58"/>
    <mergeCell ref="AL57:AL58"/>
    <mergeCell ref="AM57:AM58"/>
    <mergeCell ref="AN57:AN58"/>
    <mergeCell ref="AO57:AO58"/>
    <mergeCell ref="AF59:AF60"/>
    <mergeCell ref="AH59:AH60"/>
    <mergeCell ref="AI59:AI60"/>
    <mergeCell ref="AK59:AK60"/>
    <mergeCell ref="AL59:AL60"/>
    <mergeCell ref="AM59:AM60"/>
    <mergeCell ref="AN59:AN60"/>
    <mergeCell ref="AO59:AO60"/>
    <mergeCell ref="AO55:AO56"/>
    <mergeCell ref="AP55:AP56"/>
    <mergeCell ref="AZ55:AZ56"/>
    <mergeCell ref="AB55:AB56"/>
    <mergeCell ref="AC55:AC56"/>
    <mergeCell ref="AF55:AF56"/>
    <mergeCell ref="AH55:AH56"/>
    <mergeCell ref="AI55:AI56"/>
    <mergeCell ref="AK55:AK56"/>
    <mergeCell ref="AL55:AL56"/>
    <mergeCell ref="AM55:AM56"/>
    <mergeCell ref="AN55:AN56"/>
    <mergeCell ref="AE57:AE58"/>
    <mergeCell ref="AP57:AP58"/>
    <mergeCell ref="AZ57:AZ58"/>
    <mergeCell ref="AE55:AE56"/>
    <mergeCell ref="AN53:AN54"/>
    <mergeCell ref="AO53:AO54"/>
    <mergeCell ref="AP53:AP54"/>
    <mergeCell ref="AZ53:AZ54"/>
    <mergeCell ref="A55:A56"/>
    <mergeCell ref="B55:B56"/>
    <mergeCell ref="C55:C56"/>
    <mergeCell ref="D55:D56"/>
    <mergeCell ref="E55:E56"/>
    <mergeCell ref="G55:G56"/>
    <mergeCell ref="H55:H56"/>
    <mergeCell ref="I55:I56"/>
    <mergeCell ref="J55:J56"/>
    <mergeCell ref="K55:K56"/>
    <mergeCell ref="L55:L56"/>
    <mergeCell ref="N55:N56"/>
    <mergeCell ref="P55:P56"/>
    <mergeCell ref="Q55:Q56"/>
    <mergeCell ref="S55:S56"/>
    <mergeCell ref="T55:T56"/>
    <mergeCell ref="V55:V56"/>
    <mergeCell ref="W55:W56"/>
    <mergeCell ref="Y55:Y56"/>
    <mergeCell ref="Z55:Z56"/>
    <mergeCell ref="Z53:Z54"/>
    <mergeCell ref="AB53:AB54"/>
    <mergeCell ref="AC53:AC54"/>
    <mergeCell ref="AF53:AF54"/>
    <mergeCell ref="AH53:AH54"/>
    <mergeCell ref="AI53:AI54"/>
    <mergeCell ref="AK53:AK54"/>
    <mergeCell ref="AL53:AL54"/>
    <mergeCell ref="AM53:AM54"/>
    <mergeCell ref="AM51:AM52"/>
    <mergeCell ref="AN51:AN52"/>
    <mergeCell ref="AO51:AO52"/>
    <mergeCell ref="AP51:AP52"/>
    <mergeCell ref="AZ51:AZ52"/>
    <mergeCell ref="A53:A54"/>
    <mergeCell ref="B53:B54"/>
    <mergeCell ref="C53:C54"/>
    <mergeCell ref="D53:D54"/>
    <mergeCell ref="E53:E54"/>
    <mergeCell ref="G53:G54"/>
    <mergeCell ref="H53:H54"/>
    <mergeCell ref="I53:I54"/>
    <mergeCell ref="J53:J54"/>
    <mergeCell ref="K53:K54"/>
    <mergeCell ref="L53:L54"/>
    <mergeCell ref="N53:N54"/>
    <mergeCell ref="P53:P54"/>
    <mergeCell ref="Q53:Q54"/>
    <mergeCell ref="S53:S54"/>
    <mergeCell ref="T53:T54"/>
    <mergeCell ref="V53:V54"/>
    <mergeCell ref="W53:W54"/>
    <mergeCell ref="Y53:Y54"/>
    <mergeCell ref="Y51:Y52"/>
    <mergeCell ref="Z51:Z52"/>
    <mergeCell ref="AB51:AB52"/>
    <mergeCell ref="AC51:AC52"/>
    <mergeCell ref="AF51:AF52"/>
    <mergeCell ref="AH51:AH52"/>
    <mergeCell ref="AI51:AI52"/>
    <mergeCell ref="AK51:AK52"/>
    <mergeCell ref="AL51:AL52"/>
    <mergeCell ref="K51:K52"/>
    <mergeCell ref="L51:L52"/>
    <mergeCell ref="N51:N52"/>
    <mergeCell ref="P51:P52"/>
    <mergeCell ref="Q51:Q52"/>
    <mergeCell ref="S51:S52"/>
    <mergeCell ref="T51:T52"/>
    <mergeCell ref="V51:V52"/>
    <mergeCell ref="W51:W52"/>
    <mergeCell ref="A51:A52"/>
    <mergeCell ref="B51:B52"/>
    <mergeCell ref="C51:C52"/>
    <mergeCell ref="D51:D52"/>
    <mergeCell ref="E51:E52"/>
    <mergeCell ref="G51:G52"/>
    <mergeCell ref="H51:H52"/>
    <mergeCell ref="I51:I52"/>
    <mergeCell ref="J51:J52"/>
    <mergeCell ref="AH49:AH50"/>
    <mergeCell ref="AI49:AI50"/>
    <mergeCell ref="AK49:AK50"/>
    <mergeCell ref="AL49:AL50"/>
    <mergeCell ref="AM49:AM50"/>
    <mergeCell ref="AN49:AN50"/>
    <mergeCell ref="AO49:AO50"/>
    <mergeCell ref="AP49:AP50"/>
    <mergeCell ref="AZ49:AZ50"/>
    <mergeCell ref="AZ47:AZ48"/>
    <mergeCell ref="A49:A50"/>
    <mergeCell ref="B49:B50"/>
    <mergeCell ref="C49:C50"/>
    <mergeCell ref="D49:D50"/>
    <mergeCell ref="E49:E50"/>
    <mergeCell ref="G49:G50"/>
    <mergeCell ref="H49:H50"/>
    <mergeCell ref="I49:I50"/>
    <mergeCell ref="J49:J50"/>
    <mergeCell ref="K49:K50"/>
    <mergeCell ref="L49:L50"/>
    <mergeCell ref="N49:N50"/>
    <mergeCell ref="P49:P50"/>
    <mergeCell ref="Q49:Q50"/>
    <mergeCell ref="S49:S50"/>
    <mergeCell ref="T49:T50"/>
    <mergeCell ref="V49:V50"/>
    <mergeCell ref="W49:W50"/>
    <mergeCell ref="Y49:Y50"/>
    <mergeCell ref="Z49:Z50"/>
    <mergeCell ref="AB49:AB50"/>
    <mergeCell ref="AC49:AC50"/>
    <mergeCell ref="AF49:AF50"/>
    <mergeCell ref="AF47:AF48"/>
    <mergeCell ref="AH47:AH48"/>
    <mergeCell ref="AI47:AI48"/>
    <mergeCell ref="AK47:AK48"/>
    <mergeCell ref="AL47:AL48"/>
    <mergeCell ref="AM47:AM48"/>
    <mergeCell ref="AN47:AN48"/>
    <mergeCell ref="AO47:AO48"/>
    <mergeCell ref="AP47:AP48"/>
    <mergeCell ref="AP45:AP46"/>
    <mergeCell ref="AZ45:AZ46"/>
    <mergeCell ref="A47:A48"/>
    <mergeCell ref="B47:B48"/>
    <mergeCell ref="C47:C48"/>
    <mergeCell ref="D47:D48"/>
    <mergeCell ref="E47:E48"/>
    <mergeCell ref="G47:G48"/>
    <mergeCell ref="H47:H48"/>
    <mergeCell ref="I47:I48"/>
    <mergeCell ref="J47:J48"/>
    <mergeCell ref="K47:K48"/>
    <mergeCell ref="L47:L48"/>
    <mergeCell ref="N47:N48"/>
    <mergeCell ref="P47:P48"/>
    <mergeCell ref="Q47:Q48"/>
    <mergeCell ref="S47:S48"/>
    <mergeCell ref="T47:T48"/>
    <mergeCell ref="V47:V48"/>
    <mergeCell ref="W47:W48"/>
    <mergeCell ref="Y47:Y48"/>
    <mergeCell ref="Z47:Z48"/>
    <mergeCell ref="AB47:AB48"/>
    <mergeCell ref="AC47:AC48"/>
    <mergeCell ref="AC45:AC46"/>
    <mergeCell ref="AF45:AF46"/>
    <mergeCell ref="AH45:AH46"/>
    <mergeCell ref="AI45:AI46"/>
    <mergeCell ref="AK45:AK46"/>
    <mergeCell ref="AL45:AL46"/>
    <mergeCell ref="AM45:AM46"/>
    <mergeCell ref="AN45:AN46"/>
    <mergeCell ref="AO45:AO46"/>
    <mergeCell ref="AO43:AO44"/>
    <mergeCell ref="AP43:AP44"/>
    <mergeCell ref="AZ43:AZ44"/>
    <mergeCell ref="A45:A46"/>
    <mergeCell ref="B45:B46"/>
    <mergeCell ref="C45:C46"/>
    <mergeCell ref="D45:D46"/>
    <mergeCell ref="E45:E46"/>
    <mergeCell ref="G45:G46"/>
    <mergeCell ref="H45:H46"/>
    <mergeCell ref="I45:I46"/>
    <mergeCell ref="J45:J46"/>
    <mergeCell ref="K45:K46"/>
    <mergeCell ref="L45:L46"/>
    <mergeCell ref="N45:N46"/>
    <mergeCell ref="P45:P46"/>
    <mergeCell ref="Q45:Q46"/>
    <mergeCell ref="S45:S46"/>
    <mergeCell ref="T45:T46"/>
    <mergeCell ref="V45:V46"/>
    <mergeCell ref="W45:W46"/>
    <mergeCell ref="AZ41:AZ42"/>
    <mergeCell ref="A43:A44"/>
    <mergeCell ref="B43:B44"/>
    <mergeCell ref="C43:C44"/>
    <mergeCell ref="D43:D44"/>
    <mergeCell ref="E43:E44"/>
    <mergeCell ref="G43:G44"/>
    <mergeCell ref="H43:H44"/>
    <mergeCell ref="I43:I44"/>
    <mergeCell ref="J43:J44"/>
    <mergeCell ref="K43:K44"/>
    <mergeCell ref="L43:L44"/>
    <mergeCell ref="N43:N44"/>
    <mergeCell ref="P43:P44"/>
    <mergeCell ref="Q43:Q44"/>
    <mergeCell ref="S43:S44"/>
    <mergeCell ref="T43:T44"/>
    <mergeCell ref="AH41:AH42"/>
    <mergeCell ref="AI41:AI42"/>
    <mergeCell ref="AK41:AK42"/>
    <mergeCell ref="AL41:AL42"/>
    <mergeCell ref="AM41:AM42"/>
    <mergeCell ref="AN39:AN40"/>
    <mergeCell ref="AO39:AO40"/>
    <mergeCell ref="AP39:AP40"/>
    <mergeCell ref="Y45:Y46"/>
    <mergeCell ref="Z45:Z46"/>
    <mergeCell ref="AB45:AB46"/>
    <mergeCell ref="AB43:AB44"/>
    <mergeCell ref="AC43:AC44"/>
    <mergeCell ref="AF43:AF44"/>
    <mergeCell ref="AH43:AH44"/>
    <mergeCell ref="AI43:AI44"/>
    <mergeCell ref="AK43:AK44"/>
    <mergeCell ref="AL43:AL44"/>
    <mergeCell ref="AM43:AM44"/>
    <mergeCell ref="AN43:AN44"/>
    <mergeCell ref="AN41:AN42"/>
    <mergeCell ref="AO41:AO42"/>
    <mergeCell ref="AP41:AP42"/>
    <mergeCell ref="AF41:AF42"/>
    <mergeCell ref="AZ39:AZ40"/>
    <mergeCell ref="A41:A42"/>
    <mergeCell ref="B41:B42"/>
    <mergeCell ref="C41:C42"/>
    <mergeCell ref="D41:D42"/>
    <mergeCell ref="E41:E42"/>
    <mergeCell ref="G41:G42"/>
    <mergeCell ref="H41:H42"/>
    <mergeCell ref="I41:I42"/>
    <mergeCell ref="J41:J42"/>
    <mergeCell ref="K41:K42"/>
    <mergeCell ref="L41:L42"/>
    <mergeCell ref="N41:N42"/>
    <mergeCell ref="P41:P42"/>
    <mergeCell ref="Q41:Q42"/>
    <mergeCell ref="S41:S42"/>
    <mergeCell ref="T41:T42"/>
    <mergeCell ref="V41:V42"/>
    <mergeCell ref="W41:W42"/>
    <mergeCell ref="Y41:Y42"/>
    <mergeCell ref="Y39:Y40"/>
    <mergeCell ref="Z39:Z40"/>
    <mergeCell ref="AB39:AB40"/>
    <mergeCell ref="AC39:AC40"/>
    <mergeCell ref="AF39:AF40"/>
    <mergeCell ref="AH39:AH40"/>
    <mergeCell ref="AI39:AI40"/>
    <mergeCell ref="AK39:AK40"/>
    <mergeCell ref="AL39:AL40"/>
    <mergeCell ref="K39:K40"/>
    <mergeCell ref="L39:L40"/>
    <mergeCell ref="N39:N40"/>
    <mergeCell ref="A39:A40"/>
    <mergeCell ref="B39:B40"/>
    <mergeCell ref="C39:C40"/>
    <mergeCell ref="D39:D40"/>
    <mergeCell ref="G39:G40"/>
    <mergeCell ref="H39:H40"/>
    <mergeCell ref="I39:I40"/>
    <mergeCell ref="J39:J40"/>
    <mergeCell ref="AO9:AO10"/>
    <mergeCell ref="AP9:AP10"/>
    <mergeCell ref="AE37:AE38"/>
    <mergeCell ref="N11:N12"/>
    <mergeCell ref="P11:P12"/>
    <mergeCell ref="Q11:Q12"/>
    <mergeCell ref="S11:S12"/>
    <mergeCell ref="G11:G12"/>
    <mergeCell ref="H11:H12"/>
    <mergeCell ref="I11:I12"/>
    <mergeCell ref="J11:J12"/>
    <mergeCell ref="K11:K12"/>
    <mergeCell ref="AN11:AN12"/>
    <mergeCell ref="AP11:AP12"/>
    <mergeCell ref="AB11:AB12"/>
    <mergeCell ref="AC11:AC12"/>
    <mergeCell ref="E9:E10"/>
    <mergeCell ref="G9:G10"/>
    <mergeCell ref="W9:W10"/>
    <mergeCell ref="AB9:AB10"/>
    <mergeCell ref="AO17:AO18"/>
    <mergeCell ref="B13:B14"/>
    <mergeCell ref="AM39:AM40"/>
    <mergeCell ref="D13:D14"/>
    <mergeCell ref="O7:Q7"/>
    <mergeCell ref="R7:T7"/>
    <mergeCell ref="U7:W7"/>
    <mergeCell ref="AA7:AC7"/>
    <mergeCell ref="AC9:AC10"/>
    <mergeCell ref="Y9:Y10"/>
    <mergeCell ref="Z9:Z10"/>
    <mergeCell ref="X7:Z7"/>
    <mergeCell ref="H9:H10"/>
    <mergeCell ref="I9:I10"/>
    <mergeCell ref="J9:J10"/>
    <mergeCell ref="K9:K10"/>
    <mergeCell ref="L9:L10"/>
    <mergeCell ref="N9:N10"/>
    <mergeCell ref="P9:P10"/>
    <mergeCell ref="G13:G14"/>
    <mergeCell ref="AE53:AE54"/>
    <mergeCell ref="AE13:AE14"/>
    <mergeCell ref="AE15:AE16"/>
    <mergeCell ref="V43:V44"/>
    <mergeCell ref="W43:W44"/>
    <mergeCell ref="Y43:Y44"/>
    <mergeCell ref="Z43:Z44"/>
    <mergeCell ref="Z41:Z42"/>
    <mergeCell ref="AB41:AB42"/>
    <mergeCell ref="AC41:AC42"/>
    <mergeCell ref="L11:L12"/>
    <mergeCell ref="AC15:AC16"/>
    <mergeCell ref="K27:K28"/>
    <mergeCell ref="L27:L28"/>
    <mergeCell ref="N27:N28"/>
    <mergeCell ref="P27:P28"/>
    <mergeCell ref="AG7:AI7"/>
    <mergeCell ref="AH9:AH10"/>
    <mergeCell ref="AI9:AI10"/>
    <mergeCell ref="AN9:AN10"/>
    <mergeCell ref="AJ7:AL7"/>
    <mergeCell ref="AK9:AK10"/>
    <mergeCell ref="AL9:AL10"/>
    <mergeCell ref="AM9:AM10"/>
    <mergeCell ref="AD7:AF7"/>
    <mergeCell ref="AE9:AE10"/>
    <mergeCell ref="AF9:AF10"/>
    <mergeCell ref="AF17:AF18"/>
    <mergeCell ref="AF29:AF30"/>
    <mergeCell ref="P39:P40"/>
    <mergeCell ref="Q39:Q40"/>
    <mergeCell ref="S39:S40"/>
    <mergeCell ref="T39:T40"/>
    <mergeCell ref="V39:V40"/>
    <mergeCell ref="W39:W40"/>
    <mergeCell ref="T11:T12"/>
    <mergeCell ref="V11:V12"/>
    <mergeCell ref="W11:W12"/>
    <mergeCell ref="Y11:Y12"/>
    <mergeCell ref="AF13:AF14"/>
    <mergeCell ref="AI17:AI18"/>
    <mergeCell ref="AN17:AN18"/>
    <mergeCell ref="AF11:AF12"/>
    <mergeCell ref="AH11:AH12"/>
    <mergeCell ref="AI11:AI12"/>
    <mergeCell ref="AK11:AK12"/>
    <mergeCell ref="AL11:AL12"/>
    <mergeCell ref="AM11:AM12"/>
    <mergeCell ref="AE99:AE100"/>
    <mergeCell ref="AE101:AE102"/>
    <mergeCell ref="AE87:AE88"/>
    <mergeCell ref="AE89:AE90"/>
    <mergeCell ref="AE91:AE92"/>
    <mergeCell ref="AE93:AE94"/>
    <mergeCell ref="AE95:AE96"/>
    <mergeCell ref="AE97:AE98"/>
    <mergeCell ref="C9:C10"/>
    <mergeCell ref="D9:D10"/>
    <mergeCell ref="AE85:AE86"/>
    <mergeCell ref="AE61:AE62"/>
    <mergeCell ref="AE63:AE64"/>
    <mergeCell ref="AE65:AE66"/>
    <mergeCell ref="AE75:AE76"/>
    <mergeCell ref="AE77:AE78"/>
    <mergeCell ref="AE79:AE80"/>
    <mergeCell ref="AE69:AE70"/>
    <mergeCell ref="AE71:AE72"/>
    <mergeCell ref="AE81:AE82"/>
    <mergeCell ref="AE83:AE84"/>
    <mergeCell ref="AE67:AE68"/>
    <mergeCell ref="AE59:AE60"/>
    <mergeCell ref="AE47:AE48"/>
    <mergeCell ref="AE49:AE50"/>
    <mergeCell ref="AE51:AE52"/>
    <mergeCell ref="Z11:Z12"/>
    <mergeCell ref="H13:H14"/>
    <mergeCell ref="I13:I14"/>
    <mergeCell ref="J13:J14"/>
    <mergeCell ref="K13:K14"/>
    <mergeCell ref="C13:C14"/>
    <mergeCell ref="A1:G2"/>
    <mergeCell ref="AE73:AE74"/>
    <mergeCell ref="AE41:AE42"/>
    <mergeCell ref="AE43:AE44"/>
    <mergeCell ref="AE45:AE46"/>
    <mergeCell ref="AE17:AE18"/>
    <mergeCell ref="AE39:AE40"/>
    <mergeCell ref="AE19:AE20"/>
    <mergeCell ref="AE21:AE22"/>
    <mergeCell ref="AE23:AE24"/>
    <mergeCell ref="AE25:AE26"/>
    <mergeCell ref="AE27:AE28"/>
    <mergeCell ref="AE29:AE30"/>
    <mergeCell ref="AE31:AE32"/>
    <mergeCell ref="AE33:AE34"/>
    <mergeCell ref="AE35:AE36"/>
    <mergeCell ref="A9:A10"/>
    <mergeCell ref="B9:B10"/>
    <mergeCell ref="A11:A12"/>
    <mergeCell ref="B11:B12"/>
    <mergeCell ref="Q9:Q10"/>
    <mergeCell ref="S9:S10"/>
    <mergeCell ref="T9:T10"/>
    <mergeCell ref="V9:V10"/>
    <mergeCell ref="C11:C12"/>
    <mergeCell ref="D11:D12"/>
    <mergeCell ref="E11:E12"/>
    <mergeCell ref="A17:A18"/>
    <mergeCell ref="B17:B18"/>
    <mergeCell ref="C17:C18"/>
    <mergeCell ref="AE11:AE12"/>
    <mergeCell ref="A13:A14"/>
    <mergeCell ref="E13:E14"/>
    <mergeCell ref="AH13:AH14"/>
    <mergeCell ref="AI13:AI14"/>
    <mergeCell ref="T13:T14"/>
    <mergeCell ref="V13:V14"/>
    <mergeCell ref="W13:W14"/>
    <mergeCell ref="Y13:Y14"/>
    <mergeCell ref="Z13:Z14"/>
    <mergeCell ref="L13:L14"/>
    <mergeCell ref="N13:N14"/>
    <mergeCell ref="P13:P14"/>
    <mergeCell ref="Q13:Q14"/>
    <mergeCell ref="S13:S14"/>
    <mergeCell ref="AB13:AB14"/>
    <mergeCell ref="AC13:AC14"/>
    <mergeCell ref="A15:A16"/>
    <mergeCell ref="B15:B16"/>
    <mergeCell ref="C15:C16"/>
    <mergeCell ref="D15:D16"/>
    <mergeCell ref="E15:E16"/>
    <mergeCell ref="G15:G16"/>
    <mergeCell ref="H15:H16"/>
    <mergeCell ref="I15:I16"/>
    <mergeCell ref="J15:J16"/>
    <mergeCell ref="K15:K16"/>
    <mergeCell ref="L15:L16"/>
    <mergeCell ref="N15:N16"/>
    <mergeCell ref="P15:P16"/>
    <mergeCell ref="Q15:Q16"/>
    <mergeCell ref="Z15:Z16"/>
    <mergeCell ref="AB15:AB16"/>
    <mergeCell ref="AO13:AO14"/>
    <mergeCell ref="AP13:AP14"/>
    <mergeCell ref="AN15:AN16"/>
    <mergeCell ref="AO15:AO16"/>
    <mergeCell ref="AP15:AP16"/>
    <mergeCell ref="AI15:AI16"/>
    <mergeCell ref="AK15:AK16"/>
    <mergeCell ref="AL15:AL16"/>
    <mergeCell ref="AM15:AM16"/>
    <mergeCell ref="AM13:AM14"/>
    <mergeCell ref="AN13:AN14"/>
    <mergeCell ref="AK13:AK14"/>
    <mergeCell ref="AL13:AL14"/>
    <mergeCell ref="G17:G18"/>
    <mergeCell ref="H17:H18"/>
    <mergeCell ref="I17:I18"/>
    <mergeCell ref="J17:J18"/>
    <mergeCell ref="K17:K18"/>
    <mergeCell ref="AC17:AC18"/>
    <mergeCell ref="AK17:AK18"/>
    <mergeCell ref="AL17:AL18"/>
    <mergeCell ref="AM17:AM18"/>
    <mergeCell ref="AB17:AB18"/>
    <mergeCell ref="S15:S16"/>
    <mergeCell ref="T15:T16"/>
    <mergeCell ref="V15:V16"/>
    <mergeCell ref="W15:W16"/>
    <mergeCell ref="Y15:Y16"/>
    <mergeCell ref="AP17:AP18"/>
    <mergeCell ref="AF15:AF16"/>
    <mergeCell ref="AH15:AH16"/>
    <mergeCell ref="AH17:AH18"/>
    <mergeCell ref="D17:D18"/>
    <mergeCell ref="E17:E18"/>
    <mergeCell ref="T17:T18"/>
    <mergeCell ref="V17:V18"/>
    <mergeCell ref="W17:W18"/>
    <mergeCell ref="Y17:Y18"/>
    <mergeCell ref="Z17:Z18"/>
    <mergeCell ref="P17:P18"/>
    <mergeCell ref="Q17:Q18"/>
    <mergeCell ref="S17:S18"/>
    <mergeCell ref="L17:L18"/>
    <mergeCell ref="N17:N18"/>
    <mergeCell ref="A19:A20"/>
    <mergeCell ref="B19:B20"/>
    <mergeCell ref="C19:C20"/>
    <mergeCell ref="D19:D20"/>
    <mergeCell ref="E19:E20"/>
    <mergeCell ref="G19:G20"/>
    <mergeCell ref="H19:H20"/>
    <mergeCell ref="I19:I20"/>
    <mergeCell ref="J19:J20"/>
    <mergeCell ref="K19:K20"/>
    <mergeCell ref="L19:L20"/>
    <mergeCell ref="N19:N20"/>
    <mergeCell ref="AI21:AI22"/>
    <mergeCell ref="AK21:AK22"/>
    <mergeCell ref="AL21:AL22"/>
    <mergeCell ref="AM21:AM22"/>
    <mergeCell ref="Z21:Z22"/>
    <mergeCell ref="AB21:AB22"/>
    <mergeCell ref="AC21:AC22"/>
    <mergeCell ref="AF21:AF22"/>
    <mergeCell ref="AH21:AH22"/>
    <mergeCell ref="AH19:AH20"/>
    <mergeCell ref="AI19:AI20"/>
    <mergeCell ref="AK19:AK20"/>
    <mergeCell ref="AL19:AL20"/>
    <mergeCell ref="W19:W20"/>
    <mergeCell ref="P19:P20"/>
    <mergeCell ref="Q19:Q20"/>
    <mergeCell ref="S19:S20"/>
    <mergeCell ref="T19:T20"/>
    <mergeCell ref="V19:V20"/>
    <mergeCell ref="Y19:Y20"/>
    <mergeCell ref="Z19:Z20"/>
    <mergeCell ref="AB19:AB20"/>
    <mergeCell ref="AC19:AC20"/>
    <mergeCell ref="S21:S22"/>
    <mergeCell ref="T21:T22"/>
    <mergeCell ref="V21:V22"/>
    <mergeCell ref="W21:W22"/>
    <mergeCell ref="Y21:Y22"/>
    <mergeCell ref="E23:E24"/>
    <mergeCell ref="V23:V24"/>
    <mergeCell ref="W23:W24"/>
    <mergeCell ref="Y23:Y24"/>
    <mergeCell ref="Z23:Z24"/>
    <mergeCell ref="L23:L24"/>
    <mergeCell ref="N23:N24"/>
    <mergeCell ref="P23:P24"/>
    <mergeCell ref="Q23:Q24"/>
    <mergeCell ref="S23:S24"/>
    <mergeCell ref="AO19:AO20"/>
    <mergeCell ref="AP19:AP20"/>
    <mergeCell ref="A21:A22"/>
    <mergeCell ref="B21:B22"/>
    <mergeCell ref="C21:C22"/>
    <mergeCell ref="D21:D22"/>
    <mergeCell ref="E21:E22"/>
    <mergeCell ref="G21:G22"/>
    <mergeCell ref="H21:H22"/>
    <mergeCell ref="I21:I22"/>
    <mergeCell ref="J21:J22"/>
    <mergeCell ref="K21:K22"/>
    <mergeCell ref="L21:L22"/>
    <mergeCell ref="N21:N22"/>
    <mergeCell ref="P21:P22"/>
    <mergeCell ref="Q21:Q22"/>
    <mergeCell ref="AM19:AM20"/>
    <mergeCell ref="AN19:AN20"/>
    <mergeCell ref="AF19:AF20"/>
    <mergeCell ref="AN21:AN22"/>
    <mergeCell ref="AO21:AO22"/>
    <mergeCell ref="AP21:AP22"/>
    <mergeCell ref="AO23:AO24"/>
    <mergeCell ref="AP23:AP24"/>
    <mergeCell ref="A25:A26"/>
    <mergeCell ref="B25:B26"/>
    <mergeCell ref="C25:C26"/>
    <mergeCell ref="D25:D26"/>
    <mergeCell ref="E25:E26"/>
    <mergeCell ref="G25:G26"/>
    <mergeCell ref="H25:H26"/>
    <mergeCell ref="I25:I26"/>
    <mergeCell ref="J25:J26"/>
    <mergeCell ref="K25:K26"/>
    <mergeCell ref="L25:L26"/>
    <mergeCell ref="N25:N26"/>
    <mergeCell ref="AK23:AK24"/>
    <mergeCell ref="AL23:AL24"/>
    <mergeCell ref="AM23:AM24"/>
    <mergeCell ref="AB23:AB24"/>
    <mergeCell ref="AC23:AC24"/>
    <mergeCell ref="AF23:AF24"/>
    <mergeCell ref="AH23:AH24"/>
    <mergeCell ref="AI23:AI24"/>
    <mergeCell ref="T23:T24"/>
    <mergeCell ref="G23:G24"/>
    <mergeCell ref="H23:H24"/>
    <mergeCell ref="I23:I24"/>
    <mergeCell ref="J23:J24"/>
    <mergeCell ref="K23:K24"/>
    <mergeCell ref="A23:A24"/>
    <mergeCell ref="B23:B24"/>
    <mergeCell ref="C23:C24"/>
    <mergeCell ref="D23:D24"/>
    <mergeCell ref="Q27:Q28"/>
    <mergeCell ref="AM25:AM26"/>
    <mergeCell ref="AN25:AN26"/>
    <mergeCell ref="AF25:AF26"/>
    <mergeCell ref="AH25:AH26"/>
    <mergeCell ref="AI25:AI26"/>
    <mergeCell ref="AK25:AK26"/>
    <mergeCell ref="AL25:AL26"/>
    <mergeCell ref="W25:W26"/>
    <mergeCell ref="Y25:Y26"/>
    <mergeCell ref="Z25:Z26"/>
    <mergeCell ref="AB25:AB26"/>
    <mergeCell ref="AC25:AC26"/>
    <mergeCell ref="P25:P26"/>
    <mergeCell ref="Q25:Q26"/>
    <mergeCell ref="S25:S26"/>
    <mergeCell ref="T25:T26"/>
    <mergeCell ref="V25:V26"/>
    <mergeCell ref="S27:S28"/>
    <mergeCell ref="T27:T28"/>
    <mergeCell ref="A27:A28"/>
    <mergeCell ref="B27:B28"/>
    <mergeCell ref="C27:C28"/>
    <mergeCell ref="D27:D28"/>
    <mergeCell ref="E27:E28"/>
    <mergeCell ref="G27:G28"/>
    <mergeCell ref="H27:H28"/>
    <mergeCell ref="I27:I28"/>
    <mergeCell ref="J27:J28"/>
    <mergeCell ref="V27:V28"/>
    <mergeCell ref="W27:W28"/>
    <mergeCell ref="Y27:Y28"/>
    <mergeCell ref="L29:L30"/>
    <mergeCell ref="N29:N30"/>
    <mergeCell ref="AO25:AO26"/>
    <mergeCell ref="AP25:AP26"/>
    <mergeCell ref="AN27:AN28"/>
    <mergeCell ref="AO27:AO28"/>
    <mergeCell ref="AP27:AP28"/>
    <mergeCell ref="AI27:AI28"/>
    <mergeCell ref="AK27:AK28"/>
    <mergeCell ref="AL27:AL28"/>
    <mergeCell ref="AM27:AM28"/>
    <mergeCell ref="Z27:Z28"/>
    <mergeCell ref="AB27:AB28"/>
    <mergeCell ref="AC27:AC28"/>
    <mergeCell ref="AF27:AF28"/>
    <mergeCell ref="AH27:AH28"/>
    <mergeCell ref="AH29:AH30"/>
    <mergeCell ref="AI29:AI30"/>
    <mergeCell ref="AN29:AN30"/>
    <mergeCell ref="AO29:AO30"/>
    <mergeCell ref="H29:H30"/>
    <mergeCell ref="I29:I30"/>
    <mergeCell ref="J29:J30"/>
    <mergeCell ref="K29:K30"/>
    <mergeCell ref="AC29:AC30"/>
    <mergeCell ref="A29:A30"/>
    <mergeCell ref="B29:B30"/>
    <mergeCell ref="C29:C30"/>
    <mergeCell ref="D29:D30"/>
    <mergeCell ref="E29:E30"/>
    <mergeCell ref="T29:T30"/>
    <mergeCell ref="V29:V30"/>
    <mergeCell ref="W29:W30"/>
    <mergeCell ref="Y29:Y30"/>
    <mergeCell ref="Z29:Z30"/>
    <mergeCell ref="P29:P30"/>
    <mergeCell ref="Q29:Q30"/>
    <mergeCell ref="S29:S30"/>
    <mergeCell ref="Z33:Z34"/>
    <mergeCell ref="A31:A32"/>
    <mergeCell ref="B31:B32"/>
    <mergeCell ref="C31:C32"/>
    <mergeCell ref="D31:D32"/>
    <mergeCell ref="E31:E32"/>
    <mergeCell ref="G31:G32"/>
    <mergeCell ref="H31:H32"/>
    <mergeCell ref="I31:I32"/>
    <mergeCell ref="J31:J32"/>
    <mergeCell ref="K31:K32"/>
    <mergeCell ref="L31:L32"/>
    <mergeCell ref="N31:N32"/>
    <mergeCell ref="AK29:AK30"/>
    <mergeCell ref="AL29:AL30"/>
    <mergeCell ref="AM29:AM30"/>
    <mergeCell ref="AB29:AB30"/>
    <mergeCell ref="AH31:AH32"/>
    <mergeCell ref="AI31:AI32"/>
    <mergeCell ref="AK31:AK32"/>
    <mergeCell ref="AL31:AL32"/>
    <mergeCell ref="W31:W32"/>
    <mergeCell ref="P31:P32"/>
    <mergeCell ref="Q31:Q32"/>
    <mergeCell ref="S31:S32"/>
    <mergeCell ref="T31:T32"/>
    <mergeCell ref="V31:V32"/>
    <mergeCell ref="Y31:Y32"/>
    <mergeCell ref="Z31:Z32"/>
    <mergeCell ref="AB31:AB32"/>
    <mergeCell ref="AC31:AC32"/>
    <mergeCell ref="G29:G30"/>
    <mergeCell ref="S33:S34"/>
    <mergeCell ref="T33:T34"/>
    <mergeCell ref="V33:V34"/>
    <mergeCell ref="W33:W34"/>
    <mergeCell ref="Y33:Y34"/>
    <mergeCell ref="AB33:AB34"/>
    <mergeCell ref="AC33:AC34"/>
    <mergeCell ref="AO31:AO32"/>
    <mergeCell ref="AP31:AP32"/>
    <mergeCell ref="A33:A34"/>
    <mergeCell ref="B33:B34"/>
    <mergeCell ref="C33:C34"/>
    <mergeCell ref="D33:D34"/>
    <mergeCell ref="E33:E34"/>
    <mergeCell ref="G33:G34"/>
    <mergeCell ref="H33:H34"/>
    <mergeCell ref="I33:I34"/>
    <mergeCell ref="J33:J34"/>
    <mergeCell ref="K33:K34"/>
    <mergeCell ref="L33:L34"/>
    <mergeCell ref="N33:N34"/>
    <mergeCell ref="P33:P34"/>
    <mergeCell ref="Q33:Q34"/>
    <mergeCell ref="AM31:AM32"/>
    <mergeCell ref="AN31:AN32"/>
    <mergeCell ref="AF31:AF32"/>
    <mergeCell ref="AN33:AN34"/>
    <mergeCell ref="AO33:AO34"/>
    <mergeCell ref="AP33:AP34"/>
    <mergeCell ref="AI33:AI34"/>
    <mergeCell ref="AK33:AK34"/>
    <mergeCell ref="AL33:AL34"/>
    <mergeCell ref="H35:H36"/>
    <mergeCell ref="I35:I36"/>
    <mergeCell ref="J35:J36"/>
    <mergeCell ref="K35:K36"/>
    <mergeCell ref="A35:A36"/>
    <mergeCell ref="B35:B36"/>
    <mergeCell ref="C35:C36"/>
    <mergeCell ref="D35:D36"/>
    <mergeCell ref="E35:E36"/>
    <mergeCell ref="V35:V36"/>
    <mergeCell ref="W35:W36"/>
    <mergeCell ref="Y35:Y36"/>
    <mergeCell ref="Z35:Z36"/>
    <mergeCell ref="L35:L36"/>
    <mergeCell ref="N35:N36"/>
    <mergeCell ref="P35:P36"/>
    <mergeCell ref="Q35:Q36"/>
    <mergeCell ref="S35:S36"/>
    <mergeCell ref="A37:A38"/>
    <mergeCell ref="B37:B38"/>
    <mergeCell ref="C37:C38"/>
    <mergeCell ref="D37:D38"/>
    <mergeCell ref="E39:E40"/>
    <mergeCell ref="G37:G38"/>
    <mergeCell ref="H37:H38"/>
    <mergeCell ref="I37:I38"/>
    <mergeCell ref="J37:J38"/>
    <mergeCell ref="K37:K38"/>
    <mergeCell ref="L37:L38"/>
    <mergeCell ref="N37:N38"/>
    <mergeCell ref="AK35:AK36"/>
    <mergeCell ref="AL35:AL36"/>
    <mergeCell ref="AM35:AM36"/>
    <mergeCell ref="AB35:AB36"/>
    <mergeCell ref="AC35:AC36"/>
    <mergeCell ref="AF35:AF36"/>
    <mergeCell ref="AH35:AH36"/>
    <mergeCell ref="AI35:AI36"/>
    <mergeCell ref="T35:T36"/>
    <mergeCell ref="W37:W38"/>
    <mergeCell ref="Y37:Y38"/>
    <mergeCell ref="Z37:Z38"/>
    <mergeCell ref="AB37:AB38"/>
    <mergeCell ref="AC37:AC38"/>
    <mergeCell ref="P37:P38"/>
    <mergeCell ref="Q37:Q38"/>
    <mergeCell ref="S37:S38"/>
    <mergeCell ref="T37:T38"/>
    <mergeCell ref="V37:V38"/>
    <mergeCell ref="G35:G36"/>
    <mergeCell ref="AO37:AO38"/>
    <mergeCell ref="AP37:AP38"/>
    <mergeCell ref="AM37:AM38"/>
    <mergeCell ref="AN37:AN38"/>
    <mergeCell ref="AF37:AF38"/>
    <mergeCell ref="AH37:AH38"/>
    <mergeCell ref="AI37:AI38"/>
    <mergeCell ref="AK37:AK38"/>
    <mergeCell ref="AL37:AL38"/>
    <mergeCell ref="AZ29:AZ30"/>
    <mergeCell ref="AZ31:AZ32"/>
    <mergeCell ref="AZ33:AZ34"/>
    <mergeCell ref="AZ35:AZ36"/>
    <mergeCell ref="AZ37:AZ38"/>
    <mergeCell ref="AZ9:AZ10"/>
    <mergeCell ref="AZ11:AZ12"/>
    <mergeCell ref="AZ13:AZ14"/>
    <mergeCell ref="AZ15:AZ16"/>
    <mergeCell ref="AZ17:AZ18"/>
    <mergeCell ref="AZ19:AZ20"/>
    <mergeCell ref="AZ21:AZ22"/>
    <mergeCell ref="AZ23:AZ24"/>
    <mergeCell ref="AZ25:AZ26"/>
    <mergeCell ref="AZ27:AZ28"/>
    <mergeCell ref="AN35:AN36"/>
    <mergeCell ref="AO35:AO36"/>
    <mergeCell ref="AP35:AP36"/>
    <mergeCell ref="AF33:AF34"/>
    <mergeCell ref="AH33:AH34"/>
    <mergeCell ref="AM33:AM34"/>
    <mergeCell ref="AP29:AP30"/>
    <mergeCell ref="AN23:AN24"/>
  </mergeCells>
  <conditionalFormatting sqref="A9 A13 A17 A21 A25 A29 A33 A37">
    <cfRule type="expression" dxfId="486" priority="1351">
      <formula>#REF!="Yes"</formula>
    </cfRule>
  </conditionalFormatting>
  <conditionalFormatting sqref="D9:E30 D41:D68">
    <cfRule type="expression" dxfId="485" priority="1222">
      <formula>AND($D9&lt;&gt;"",$E9&lt;&gt;"")</formula>
    </cfRule>
  </conditionalFormatting>
  <conditionalFormatting sqref="O21 O25 O29 O37 O39 O41 O43 O45 O47 O49 O51 O53 O55 O57 O59 O61 O63 O65">
    <cfRule type="expression" dxfId="484" priority="1220">
      <formula>AND(OR($O21&lt;&gt;"",$O22&lt;&gt;"",$P21&lt;&gt;""),$Q21="TBD")</formula>
    </cfRule>
  </conditionalFormatting>
  <conditionalFormatting sqref="O21:Q22 O25:Q26 O29:Q30 P37:P38 O37:O66 Q37:Q66">
    <cfRule type="expression" dxfId="483" priority="1221">
      <formula>AND(OR($O21&lt;&gt;"",$O22&lt;&gt;"",$P21&lt;&gt;""),$Q21="TBD")</formula>
    </cfRule>
  </conditionalFormatting>
  <conditionalFormatting sqref="R21 R25 R29 R37 R39 R41 R43 R45 R47 R49 R51 R53 R55 R57 R59 R61 R63 R65">
    <cfRule type="expression" dxfId="482" priority="1218">
      <formula>AND(OR($O21&lt;&gt;"",$O22&lt;&gt;"",$P21&lt;&gt;""),$Q21="TBD")</formula>
    </cfRule>
  </conditionalFormatting>
  <conditionalFormatting sqref="R21:T22 R25:T26 R29:T30 S37:S38 R37:R66 T37:T66">
    <cfRule type="expression" dxfId="481" priority="1219">
      <formula>AND(OR($R21&lt;&gt;"",$R22&lt;&gt;"",$S21&lt;&gt;""),$T21="TBD")</formula>
    </cfRule>
  </conditionalFormatting>
  <conditionalFormatting sqref="U21 U25 U29 U37 U39 U41 U43 U45 U47 U49 U51 U53 U55 U57 U59 U61 U63 U65">
    <cfRule type="expression" dxfId="480" priority="1216">
      <formula>AND(OR($O21&lt;&gt;"",$O22&lt;&gt;"",$P21&lt;&gt;""),$Q21="TBD")</formula>
    </cfRule>
  </conditionalFormatting>
  <conditionalFormatting sqref="U21:V22 W21:W26 U25:V26 U29:W30 V37:V38 U37:U66 W37:W66">
    <cfRule type="expression" dxfId="479" priority="1217">
      <formula>AND(OR($U21&lt;&gt;"",$U22&lt;&gt;"",$V21&lt;&gt;""),$W21="TBD")</formula>
    </cfRule>
  </conditionalFormatting>
  <conditionalFormatting sqref="X9 X11 X13 X15 X17 X19 X21 X23 X25 X27 X29 X37 X39 X41 X43 X45 X47 X49 X51 X53 X55 X57 X59 X61 X63 X65">
    <cfRule type="expression" dxfId="478" priority="1214">
      <formula>AND(OR($O9&lt;&gt;"",$O10&lt;&gt;"",$P9&lt;&gt;""),$Q9="TBD")</formula>
    </cfRule>
  </conditionalFormatting>
  <conditionalFormatting sqref="X9:Z30 X37:Z66">
    <cfRule type="expression" dxfId="477" priority="1215">
      <formula>AND(OR($X9&lt;&gt;"",$X10&lt;&gt;"",$Y9&lt;&gt;""),$Z9="TBD")</formula>
    </cfRule>
  </conditionalFormatting>
  <conditionalFormatting sqref="AA9 AA11 AA13 AA15 AA17 AA19 AA21 AA23 AA25 AA27 AA29 AA37 AA39 AA41 AA43 AA45 AA47 AA49 AA51 AA53 AA55 AA57 AA59 AA61 AA63 AA65">
    <cfRule type="expression" dxfId="476" priority="1212">
      <formula>AND(OR($O9&lt;&gt;"",$O10&lt;&gt;"",$P9&lt;&gt;""),$Q9="TBD")</formula>
    </cfRule>
  </conditionalFormatting>
  <conditionalFormatting sqref="AA9:AC30 AA37:AC66">
    <cfRule type="expression" dxfId="475" priority="1213">
      <formula>AND(OR($AA9&lt;&gt;"",$AA10&lt;&gt;"",$AB9&lt;&gt;""),$AC9="TBD")</formula>
    </cfRule>
  </conditionalFormatting>
  <conditionalFormatting sqref="AD9 AD11 AD13 AD15 AD17 AD19 AD21 AD23 AD25 AD27 AD29 AD37 AD39 AD41 AD43 AD45 AD47 AD49 AD51 AD53 AD55 AD57 AD59 AD61 AD63 AD65">
    <cfRule type="expression" dxfId="474" priority="1210">
      <formula>AND(OR($O9&lt;&gt;"",$O10&lt;&gt;"",$P9&lt;&gt;""),$Q9="TBD")</formula>
    </cfRule>
  </conditionalFormatting>
  <conditionalFormatting sqref="AD9:AF30 AD37:AF66">
    <cfRule type="expression" dxfId="473" priority="1211">
      <formula>AND(OR($AD9&lt;&gt;"",$AD10&lt;&gt;"",$AE9&lt;&gt;""),$AF9="TBD")</formula>
    </cfRule>
  </conditionalFormatting>
  <conditionalFormatting sqref="AG9 AG11 AG13 AG15 AG17 AG19 AG21 AG23 AG25 AG27 AG29 AG37 AG39 AG41 AG43 AG45 AG47 AG49 AG51 AG53 AG55 AG57 AG59 AG61 AG63 AG65">
    <cfRule type="expression" dxfId="472" priority="1208">
      <formula>AND(OR($O9&lt;&gt;"",$O10&lt;&gt;"",$P9&lt;&gt;""),$Q9="TBD")</formula>
    </cfRule>
  </conditionalFormatting>
  <conditionalFormatting sqref="AG9:AI30 AG37:AI66">
    <cfRule type="expression" dxfId="471" priority="1209">
      <formula>AND(OR($AG9&lt;&gt;"",$AG10&lt;&gt;"",$AH9&lt;&gt;""),$AI9="TBD")</formula>
    </cfRule>
  </conditionalFormatting>
  <conditionalFormatting sqref="AJ9 AJ11 AJ13 AJ15 AJ17 AJ19 AJ21 AJ23 AJ25 AJ27 AJ29 AJ37 AJ39 AJ41 AJ43 AJ45 AJ47 AJ49 AJ51 AJ53 AJ55 AJ57 AJ59 AJ61 AJ63 AJ65">
    <cfRule type="expression" dxfId="470" priority="1206">
      <formula>AND(OR($O9&lt;&gt;"",$O10&lt;&gt;"",$P9&lt;&gt;""),$Q9="TBD")</formula>
    </cfRule>
  </conditionalFormatting>
  <conditionalFormatting sqref="AJ9:AL30 AJ37:AL66">
    <cfRule type="expression" dxfId="469" priority="1207">
      <formula>AND(OR($AJ9&lt;&gt;"",$AJ10&lt;&gt;"",$AK9&lt;&gt;""),$AL9="TBD")</formula>
    </cfRule>
  </conditionalFormatting>
  <conditionalFormatting sqref="O22 O26 O30 O38 O40 O42 O44 O46 O48 O50 O52 O54 O56 O58 O60 O62 O64 O66">
    <cfRule type="expression" dxfId="468" priority="1204">
      <formula>AND(OR($O21&lt;&gt;"",$O22&lt;&gt;"",$P21&lt;&gt;""),$Q21="TBD")</formula>
    </cfRule>
  </conditionalFormatting>
  <conditionalFormatting sqref="R22 R26 R30 R38 R40 R42 R44 R46 R48 R50 R52 R54 R56 R58 R60 R62 R64 R66">
    <cfRule type="expression" dxfId="467" priority="1203">
      <formula>AND(OR($R21&lt;&gt;"",$R22&lt;&gt;"",$S21&lt;&gt;""),$T21="TBD")</formula>
    </cfRule>
  </conditionalFormatting>
  <conditionalFormatting sqref="U22 U26 U30 U38 U40 U42 U44 U46 U48 U50 U52 U54 U56 U58 U60 U62 U64 U66">
    <cfRule type="expression" dxfId="466" priority="1202">
      <formula>AND(OR($U21&lt;&gt;"",$U22&lt;&gt;"",$V21&lt;&gt;""),$W21="TBD")</formula>
    </cfRule>
  </conditionalFormatting>
  <conditionalFormatting sqref="X10 X12 X14 X16 X18 X20 X22 X24 X26 X28 X30 X38 X40 X42 X44 X46 X48 X50 X52 X54 X56 X58 X60 X62 X64 X66">
    <cfRule type="expression" dxfId="465" priority="1201">
      <formula>AND(OR($X9&lt;&gt;"",$X10&lt;&gt;"",$Y9&lt;&gt;""),$Z9="TBD")</formula>
    </cfRule>
  </conditionalFormatting>
  <conditionalFormatting sqref="AA10 AA12 AA14 AA16 AA18 AA20 AA22 AA24 AA26 AA28 AA30 AA38 AA40 AA42 AA44 AA46 AA48 AA50 AA52 AA54 AA56 AA58 AA60 AA62 AA64 AA66">
    <cfRule type="expression" dxfId="464" priority="1200">
      <formula>AND(OR($AA9&lt;&gt;"",$AA10&lt;&gt;"",$AB9&lt;&gt;""),$AC9="TBD")</formula>
    </cfRule>
  </conditionalFormatting>
  <conditionalFormatting sqref="AD10 AD12 AD14 AD16 AD18 AD20 AD22 AD24 AD26 AD28 AD30 AD38 AD40 AD42 AD44 AD46 AD48 AD50 AD52 AD54 AD56 AD58 AD60 AD62 AD64 AD66">
    <cfRule type="expression" dxfId="463" priority="1199">
      <formula>AND(OR($AD9&lt;&gt;"",$AD10&lt;&gt;"",$AE9&lt;&gt;""),$AF9="TBD")</formula>
    </cfRule>
  </conditionalFormatting>
  <conditionalFormatting sqref="AG10 AG12 AG14 AG16 AG18 AG20 AG22 AG24 AG26 AG28 AG30 AG38 AG40 AG42 AG44 AG46 AG48 AG50 AG52 AG54 AG56 AG58 AG60 AG62 AG64 AG66">
    <cfRule type="expression" dxfId="462" priority="1198">
      <formula>AND(OR($AG9&lt;&gt;"",$AG10&lt;&gt;"",$AH9&lt;&gt;""),$AI9="TBD")</formula>
    </cfRule>
  </conditionalFormatting>
  <conditionalFormatting sqref="AJ10 AJ12 AJ14 AJ16 AJ18 AJ20 AJ22 AJ24 AJ26 AJ28 AJ30 AJ38 AJ40 AJ42 AJ44 AJ46 AJ48 AJ50 AJ52 AJ54 AJ56 AJ58 AJ60 AJ62 AJ64 AJ66">
    <cfRule type="expression" dxfId="461" priority="1197">
      <formula>AND(OR($AJ9&lt;&gt;"",$AJ10&lt;&gt;"",$AK9&lt;&gt;""),$AL9="TBD")</formula>
    </cfRule>
  </conditionalFormatting>
  <conditionalFormatting sqref="A11 A15 A19 A23 A27 A31 A35">
    <cfRule type="expression" dxfId="460" priority="1195">
      <formula>#REF!="Yes"</formula>
    </cfRule>
  </conditionalFormatting>
  <conditionalFormatting sqref="M10 M12 M14 M16 M18 M20 M22 M24 M26 M28 M30 M38 M40">
    <cfRule type="expression" dxfId="459" priority="13592">
      <formula>AND($M10="",$B9&lt;&gt;"")</formula>
    </cfRule>
  </conditionalFormatting>
  <conditionalFormatting sqref="A9 A13 A17 A21 A25 A29 A33 A37 A15 A19 A23 A27 A31 A35 A11">
    <cfRule type="expression" dxfId="458" priority="13593">
      <formula>#REF!="[Record ID]"</formula>
    </cfRule>
  </conditionalFormatting>
  <conditionalFormatting sqref="A39">
    <cfRule type="expression" dxfId="457" priority="778">
      <formula>#REF!="Yes"</formula>
    </cfRule>
  </conditionalFormatting>
  <conditionalFormatting sqref="P39:P40">
    <cfRule type="expression" dxfId="456" priority="776">
      <formula>AND(OR($O39&lt;&gt;"",$O40&lt;&gt;"",$P39&lt;&gt;""),$Q39="TBD")</formula>
    </cfRule>
  </conditionalFormatting>
  <conditionalFormatting sqref="S39:S40">
    <cfRule type="expression" dxfId="455" priority="774">
      <formula>AND(OR($R39&lt;&gt;"",$R40&lt;&gt;"",$S39&lt;&gt;""),$T39="TBD")</formula>
    </cfRule>
  </conditionalFormatting>
  <conditionalFormatting sqref="V39:V40">
    <cfRule type="expression" dxfId="454" priority="773">
      <formula>AND(OR($U39&lt;&gt;"",$U40&lt;&gt;"",$V39&lt;&gt;""),$W39="TBD")</formula>
    </cfRule>
  </conditionalFormatting>
  <conditionalFormatting sqref="A39">
    <cfRule type="expression" dxfId="453" priority="780">
      <formula>#REF!="[Record ID]"</formula>
    </cfRule>
  </conditionalFormatting>
  <conditionalFormatting sqref="A41">
    <cfRule type="expression" dxfId="452" priority="740">
      <formula>#REF!="Yes"</formula>
    </cfRule>
  </conditionalFormatting>
  <conditionalFormatting sqref="E41:E42">
    <cfRule type="expression" dxfId="451" priority="739">
      <formula>AND($D41&lt;&gt;"",$E41&lt;&gt;"")</formula>
    </cfRule>
  </conditionalFormatting>
  <conditionalFormatting sqref="P41:P42">
    <cfRule type="expression" dxfId="450" priority="738">
      <formula>AND(OR($O41&lt;&gt;"",$O42&lt;&gt;"",$P41&lt;&gt;""),$Q41="TBD")</formula>
    </cfRule>
  </conditionalFormatting>
  <conditionalFormatting sqref="S41:S42">
    <cfRule type="expression" dxfId="449" priority="736">
      <formula>AND(OR($R41&lt;&gt;"",$R42&lt;&gt;"",$S41&lt;&gt;""),$T41="TBD")</formula>
    </cfRule>
  </conditionalFormatting>
  <conditionalFormatting sqref="V41:V42">
    <cfRule type="expression" dxfId="448" priority="735">
      <formula>AND(OR($U41&lt;&gt;"",$U42&lt;&gt;"",$V41&lt;&gt;""),$W41="TBD")</formula>
    </cfRule>
  </conditionalFormatting>
  <conditionalFormatting sqref="M42">
    <cfRule type="expression" dxfId="447" priority="741">
      <formula>AND($M42="",$B41&lt;&gt;"")</formula>
    </cfRule>
  </conditionalFormatting>
  <conditionalFormatting sqref="A41">
    <cfRule type="expression" dxfId="446" priority="742">
      <formula>#REF!="[Record ID]"</formula>
    </cfRule>
  </conditionalFormatting>
  <conditionalFormatting sqref="A43">
    <cfRule type="expression" dxfId="445" priority="702">
      <formula>#REF!="Yes"</formula>
    </cfRule>
  </conditionalFormatting>
  <conditionalFormatting sqref="E43:E44">
    <cfRule type="expression" dxfId="444" priority="701">
      <formula>AND($D43&lt;&gt;"",$E43&lt;&gt;"")</formula>
    </cfRule>
  </conditionalFormatting>
  <conditionalFormatting sqref="P43:P44">
    <cfRule type="expression" dxfId="443" priority="700">
      <formula>AND(OR($O43&lt;&gt;"",$O44&lt;&gt;"",$P43&lt;&gt;""),$Q43="TBD")</formula>
    </cfRule>
  </conditionalFormatting>
  <conditionalFormatting sqref="S43:S44">
    <cfRule type="expression" dxfId="442" priority="698">
      <formula>AND(OR($R43&lt;&gt;"",$R44&lt;&gt;"",$S43&lt;&gt;""),$T43="TBD")</formula>
    </cfRule>
  </conditionalFormatting>
  <conditionalFormatting sqref="V43:V44">
    <cfRule type="expression" dxfId="441" priority="697">
      <formula>AND(OR($U43&lt;&gt;"",$U44&lt;&gt;"",$V43&lt;&gt;""),$W43="TBD")</formula>
    </cfRule>
  </conditionalFormatting>
  <conditionalFormatting sqref="M44">
    <cfRule type="expression" dxfId="440" priority="703">
      <formula>AND($M44="",$B43&lt;&gt;"")</formula>
    </cfRule>
  </conditionalFormatting>
  <conditionalFormatting sqref="A43">
    <cfRule type="expression" dxfId="439" priority="704">
      <formula>#REF!="[Record ID]"</formula>
    </cfRule>
  </conditionalFormatting>
  <conditionalFormatting sqref="A45">
    <cfRule type="expression" dxfId="438" priority="664">
      <formula>#REF!="Yes"</formula>
    </cfRule>
  </conditionalFormatting>
  <conditionalFormatting sqref="E45:E46">
    <cfRule type="expression" dxfId="437" priority="663">
      <formula>AND($D45&lt;&gt;"",$E45&lt;&gt;"")</formula>
    </cfRule>
  </conditionalFormatting>
  <conditionalFormatting sqref="P45:P46">
    <cfRule type="expression" dxfId="436" priority="662">
      <formula>AND(OR($O45&lt;&gt;"",$O46&lt;&gt;"",$P45&lt;&gt;""),$Q45="TBD")</formula>
    </cfRule>
  </conditionalFormatting>
  <conditionalFormatting sqref="S45:S46">
    <cfRule type="expression" dxfId="435" priority="660">
      <formula>AND(OR($R45&lt;&gt;"",$R46&lt;&gt;"",$S45&lt;&gt;""),$T45="TBD")</formula>
    </cfRule>
  </conditionalFormatting>
  <conditionalFormatting sqref="V45:V46">
    <cfRule type="expression" dxfId="434" priority="659">
      <formula>AND(OR($U45&lt;&gt;"",$U46&lt;&gt;"",$V45&lt;&gt;""),$W45="TBD")</formula>
    </cfRule>
  </conditionalFormatting>
  <conditionalFormatting sqref="M46">
    <cfRule type="expression" dxfId="433" priority="665">
      <formula>AND($M46="",$B45&lt;&gt;"")</formula>
    </cfRule>
  </conditionalFormatting>
  <conditionalFormatting sqref="A45">
    <cfRule type="expression" dxfId="432" priority="666">
      <formula>#REF!="[Record ID]"</formula>
    </cfRule>
  </conditionalFormatting>
  <conditionalFormatting sqref="A47">
    <cfRule type="expression" dxfId="431" priority="626">
      <formula>#REF!="Yes"</formula>
    </cfRule>
  </conditionalFormatting>
  <conditionalFormatting sqref="E47:E48">
    <cfRule type="expression" dxfId="430" priority="625">
      <formula>AND($D47&lt;&gt;"",$E47&lt;&gt;"")</formula>
    </cfRule>
  </conditionalFormatting>
  <conditionalFormatting sqref="P47:P48">
    <cfRule type="expression" dxfId="429" priority="624">
      <formula>AND(OR($O47&lt;&gt;"",$O48&lt;&gt;"",$P47&lt;&gt;""),$Q47="TBD")</formula>
    </cfRule>
  </conditionalFormatting>
  <conditionalFormatting sqref="S47:S48">
    <cfRule type="expression" dxfId="428" priority="622">
      <formula>AND(OR($R47&lt;&gt;"",$R48&lt;&gt;"",$S47&lt;&gt;""),$T47="TBD")</formula>
    </cfRule>
  </conditionalFormatting>
  <conditionalFormatting sqref="V47:V48">
    <cfRule type="expression" dxfId="427" priority="621">
      <formula>AND(OR($U47&lt;&gt;"",$U48&lt;&gt;"",$V47&lt;&gt;""),$W47="TBD")</formula>
    </cfRule>
  </conditionalFormatting>
  <conditionalFormatting sqref="M48">
    <cfRule type="expression" dxfId="426" priority="627">
      <formula>AND($M48="",$B47&lt;&gt;"")</formula>
    </cfRule>
  </conditionalFormatting>
  <conditionalFormatting sqref="A47">
    <cfRule type="expression" dxfId="425" priority="628">
      <formula>#REF!="[Record ID]"</formula>
    </cfRule>
  </conditionalFormatting>
  <conditionalFormatting sqref="A49">
    <cfRule type="expression" dxfId="424" priority="588">
      <formula>#REF!="Yes"</formula>
    </cfRule>
  </conditionalFormatting>
  <conditionalFormatting sqref="E49:E50">
    <cfRule type="expression" dxfId="423" priority="587">
      <formula>AND($D49&lt;&gt;"",$E49&lt;&gt;"")</formula>
    </cfRule>
  </conditionalFormatting>
  <conditionalFormatting sqref="P49:P50">
    <cfRule type="expression" dxfId="422" priority="586">
      <formula>AND(OR($O49&lt;&gt;"",$O50&lt;&gt;"",$P49&lt;&gt;""),$Q49="TBD")</formula>
    </cfRule>
  </conditionalFormatting>
  <conditionalFormatting sqref="S49:S50">
    <cfRule type="expression" dxfId="421" priority="584">
      <formula>AND(OR($R49&lt;&gt;"",$R50&lt;&gt;"",$S49&lt;&gt;""),$T49="TBD")</formula>
    </cfRule>
  </conditionalFormatting>
  <conditionalFormatting sqref="V49:V50">
    <cfRule type="expression" dxfId="420" priority="583">
      <formula>AND(OR($U49&lt;&gt;"",$U50&lt;&gt;"",$V49&lt;&gt;""),$W49="TBD")</formula>
    </cfRule>
  </conditionalFormatting>
  <conditionalFormatting sqref="M50">
    <cfRule type="expression" dxfId="419" priority="589">
      <formula>AND($M50="",$B49&lt;&gt;"")</formula>
    </cfRule>
  </conditionalFormatting>
  <conditionalFormatting sqref="A49">
    <cfRule type="expression" dxfId="418" priority="590">
      <formula>#REF!="[Record ID]"</formula>
    </cfRule>
  </conditionalFormatting>
  <conditionalFormatting sqref="A51">
    <cfRule type="expression" dxfId="417" priority="550">
      <formula>#REF!="Yes"</formula>
    </cfRule>
  </conditionalFormatting>
  <conditionalFormatting sqref="E51:E52">
    <cfRule type="expression" dxfId="416" priority="549">
      <formula>AND($D51&lt;&gt;"",$E51&lt;&gt;"")</formula>
    </cfRule>
  </conditionalFormatting>
  <conditionalFormatting sqref="P51:P52">
    <cfRule type="expression" dxfId="415" priority="548">
      <formula>AND(OR($O51&lt;&gt;"",$O52&lt;&gt;"",$P51&lt;&gt;""),$Q51="TBD")</formula>
    </cfRule>
  </conditionalFormatting>
  <conditionalFormatting sqref="S51:S52">
    <cfRule type="expression" dxfId="414" priority="546">
      <formula>AND(OR($R51&lt;&gt;"",$R52&lt;&gt;"",$S51&lt;&gt;""),$T51="TBD")</formula>
    </cfRule>
  </conditionalFormatting>
  <conditionalFormatting sqref="V51:V52">
    <cfRule type="expression" dxfId="413" priority="545">
      <formula>AND(OR($U51&lt;&gt;"",$U52&lt;&gt;"",$V51&lt;&gt;""),$W51="TBD")</formula>
    </cfRule>
  </conditionalFormatting>
  <conditionalFormatting sqref="M52">
    <cfRule type="expression" dxfId="412" priority="551">
      <formula>AND($M52="",$B51&lt;&gt;"")</formula>
    </cfRule>
  </conditionalFormatting>
  <conditionalFormatting sqref="A51">
    <cfRule type="expression" dxfId="411" priority="552">
      <formula>#REF!="[Record ID]"</formula>
    </cfRule>
  </conditionalFormatting>
  <conditionalFormatting sqref="A53">
    <cfRule type="expression" dxfId="410" priority="512">
      <formula>#REF!="Yes"</formula>
    </cfRule>
  </conditionalFormatting>
  <conditionalFormatting sqref="E53:E54">
    <cfRule type="expression" dxfId="409" priority="511">
      <formula>AND($D53&lt;&gt;"",$E53&lt;&gt;"")</formula>
    </cfRule>
  </conditionalFormatting>
  <conditionalFormatting sqref="P53:P54">
    <cfRule type="expression" dxfId="408" priority="510">
      <formula>AND(OR($O53&lt;&gt;"",$O54&lt;&gt;"",$P53&lt;&gt;""),$Q53="TBD")</formula>
    </cfRule>
  </conditionalFormatting>
  <conditionalFormatting sqref="S53:S54">
    <cfRule type="expression" dxfId="407" priority="508">
      <formula>AND(OR($R53&lt;&gt;"",$R54&lt;&gt;"",$S53&lt;&gt;""),$T53="TBD")</formula>
    </cfRule>
  </conditionalFormatting>
  <conditionalFormatting sqref="V53:V54">
    <cfRule type="expression" dxfId="406" priority="507">
      <formula>AND(OR($U53&lt;&gt;"",$U54&lt;&gt;"",$V53&lt;&gt;""),$W53="TBD")</formula>
    </cfRule>
  </conditionalFormatting>
  <conditionalFormatting sqref="M54">
    <cfRule type="expression" dxfId="405" priority="513">
      <formula>AND($M54="",$B53&lt;&gt;"")</formula>
    </cfRule>
  </conditionalFormatting>
  <conditionalFormatting sqref="A53">
    <cfRule type="expression" dxfId="404" priority="514">
      <formula>#REF!="[Record ID]"</formula>
    </cfRule>
  </conditionalFormatting>
  <conditionalFormatting sqref="A55">
    <cfRule type="expression" dxfId="403" priority="474">
      <formula>#REF!="Yes"</formula>
    </cfRule>
  </conditionalFormatting>
  <conditionalFormatting sqref="E55:E56">
    <cfRule type="expression" dxfId="402" priority="473">
      <formula>AND($D55&lt;&gt;"",$E55&lt;&gt;"")</formula>
    </cfRule>
  </conditionalFormatting>
  <conditionalFormatting sqref="P55:P56">
    <cfRule type="expression" dxfId="401" priority="472">
      <formula>AND(OR($O55&lt;&gt;"",$O56&lt;&gt;"",$P55&lt;&gt;""),$Q55="TBD")</formula>
    </cfRule>
  </conditionalFormatting>
  <conditionalFormatting sqref="S55:S56">
    <cfRule type="expression" dxfId="400" priority="470">
      <formula>AND(OR($R55&lt;&gt;"",$R56&lt;&gt;"",$S55&lt;&gt;""),$T55="TBD")</formula>
    </cfRule>
  </conditionalFormatting>
  <conditionalFormatting sqref="V55:V56">
    <cfRule type="expression" dxfId="399" priority="469">
      <formula>AND(OR($U55&lt;&gt;"",$U56&lt;&gt;"",$V55&lt;&gt;""),$W55="TBD")</formula>
    </cfRule>
  </conditionalFormatting>
  <conditionalFormatting sqref="M56">
    <cfRule type="expression" dxfId="398" priority="475">
      <formula>AND($M56="",$B55&lt;&gt;"")</formula>
    </cfRule>
  </conditionalFormatting>
  <conditionalFormatting sqref="A55">
    <cfRule type="expression" dxfId="397" priority="476">
      <formula>#REF!="[Record ID]"</formula>
    </cfRule>
  </conditionalFormatting>
  <conditionalFormatting sqref="A57">
    <cfRule type="expression" dxfId="396" priority="436">
      <formula>#REF!="Yes"</formula>
    </cfRule>
  </conditionalFormatting>
  <conditionalFormatting sqref="E57:E58">
    <cfRule type="expression" dxfId="395" priority="435">
      <formula>AND($D57&lt;&gt;"",$E57&lt;&gt;"")</formula>
    </cfRule>
  </conditionalFormatting>
  <conditionalFormatting sqref="P57:P58">
    <cfRule type="expression" dxfId="394" priority="434">
      <formula>AND(OR($O57&lt;&gt;"",$O58&lt;&gt;"",$P57&lt;&gt;""),$Q57="TBD")</formula>
    </cfRule>
  </conditionalFormatting>
  <conditionalFormatting sqref="S57:S58">
    <cfRule type="expression" dxfId="393" priority="432">
      <formula>AND(OR($R57&lt;&gt;"",$R58&lt;&gt;"",$S57&lt;&gt;""),$T57="TBD")</formula>
    </cfRule>
  </conditionalFormatting>
  <conditionalFormatting sqref="V57:V58">
    <cfRule type="expression" dxfId="392" priority="431">
      <formula>AND(OR($U57&lt;&gt;"",$U58&lt;&gt;"",$V57&lt;&gt;""),$W57="TBD")</formula>
    </cfRule>
  </conditionalFormatting>
  <conditionalFormatting sqref="M58">
    <cfRule type="expression" dxfId="391" priority="437">
      <formula>AND($M58="",$B57&lt;&gt;"")</formula>
    </cfRule>
  </conditionalFormatting>
  <conditionalFormatting sqref="A57">
    <cfRule type="expression" dxfId="390" priority="438">
      <formula>#REF!="[Record ID]"</formula>
    </cfRule>
  </conditionalFormatting>
  <conditionalFormatting sqref="A59">
    <cfRule type="expression" dxfId="389" priority="398">
      <formula>#REF!="Yes"</formula>
    </cfRule>
  </conditionalFormatting>
  <conditionalFormatting sqref="E59:E60">
    <cfRule type="expression" dxfId="388" priority="397">
      <formula>AND($D59&lt;&gt;"",$E59&lt;&gt;"")</formula>
    </cfRule>
  </conditionalFormatting>
  <conditionalFormatting sqref="P59:P60">
    <cfRule type="expression" dxfId="387" priority="396">
      <formula>AND(OR($O59&lt;&gt;"",$O60&lt;&gt;"",$P59&lt;&gt;""),$Q59="TBD")</formula>
    </cfRule>
  </conditionalFormatting>
  <conditionalFormatting sqref="S59:S60">
    <cfRule type="expression" dxfId="386" priority="394">
      <formula>AND(OR($R59&lt;&gt;"",$R60&lt;&gt;"",$S59&lt;&gt;""),$T59="TBD")</formula>
    </cfRule>
  </conditionalFormatting>
  <conditionalFormatting sqref="V59:V60">
    <cfRule type="expression" dxfId="385" priority="393">
      <formula>AND(OR($U59&lt;&gt;"",$U60&lt;&gt;"",$V59&lt;&gt;""),$W59="TBD")</formula>
    </cfRule>
  </conditionalFormatting>
  <conditionalFormatting sqref="M60">
    <cfRule type="expression" dxfId="384" priority="399">
      <formula>AND($M60="",$B59&lt;&gt;"")</formula>
    </cfRule>
  </conditionalFormatting>
  <conditionalFormatting sqref="A59">
    <cfRule type="expression" dxfId="383" priority="400">
      <formula>#REF!="[Record ID]"</formula>
    </cfRule>
  </conditionalFormatting>
  <conditionalFormatting sqref="A61">
    <cfRule type="expression" dxfId="382" priority="360">
      <formula>#REF!="Yes"</formula>
    </cfRule>
  </conditionalFormatting>
  <conditionalFormatting sqref="E61:E62">
    <cfRule type="expression" dxfId="381" priority="359">
      <formula>AND($D61&lt;&gt;"",$E61&lt;&gt;"")</formula>
    </cfRule>
  </conditionalFormatting>
  <conditionalFormatting sqref="P61:P62">
    <cfRule type="expression" dxfId="380" priority="358">
      <formula>AND(OR($O61&lt;&gt;"",$O62&lt;&gt;"",$P61&lt;&gt;""),$Q61="TBD")</formula>
    </cfRule>
  </conditionalFormatting>
  <conditionalFormatting sqref="S61:S62">
    <cfRule type="expression" dxfId="379" priority="356">
      <formula>AND(OR($R61&lt;&gt;"",$R62&lt;&gt;"",$S61&lt;&gt;""),$T61="TBD")</formula>
    </cfRule>
  </conditionalFormatting>
  <conditionalFormatting sqref="V61:V62">
    <cfRule type="expression" dxfId="378" priority="355">
      <formula>AND(OR($U61&lt;&gt;"",$U62&lt;&gt;"",$V61&lt;&gt;""),$W61="TBD")</formula>
    </cfRule>
  </conditionalFormatting>
  <conditionalFormatting sqref="M62">
    <cfRule type="expression" dxfId="377" priority="361">
      <formula>AND($M62="",$B61&lt;&gt;"")</formula>
    </cfRule>
  </conditionalFormatting>
  <conditionalFormatting sqref="A61">
    <cfRule type="expression" dxfId="376" priority="362">
      <formula>#REF!="[Record ID]"</formula>
    </cfRule>
  </conditionalFormatting>
  <conditionalFormatting sqref="A63">
    <cfRule type="expression" dxfId="375" priority="322">
      <formula>#REF!="Yes"</formula>
    </cfRule>
  </conditionalFormatting>
  <conditionalFormatting sqref="E63:E64">
    <cfRule type="expression" dxfId="374" priority="321">
      <formula>AND($D63&lt;&gt;"",$E63&lt;&gt;"")</formula>
    </cfRule>
  </conditionalFormatting>
  <conditionalFormatting sqref="P63:P64">
    <cfRule type="expression" dxfId="373" priority="320">
      <formula>AND(OR($O63&lt;&gt;"",$O64&lt;&gt;"",$P63&lt;&gt;""),$Q63="TBD")</formula>
    </cfRule>
  </conditionalFormatting>
  <conditionalFormatting sqref="S63:S64">
    <cfRule type="expression" dxfId="372" priority="318">
      <formula>AND(OR($R63&lt;&gt;"",$R64&lt;&gt;"",$S63&lt;&gt;""),$T63="TBD")</formula>
    </cfRule>
  </conditionalFormatting>
  <conditionalFormatting sqref="V63:V64">
    <cfRule type="expression" dxfId="371" priority="317">
      <formula>AND(OR($U63&lt;&gt;"",$U64&lt;&gt;"",$V63&lt;&gt;""),$W63="TBD")</formula>
    </cfRule>
  </conditionalFormatting>
  <conditionalFormatting sqref="M64">
    <cfRule type="expression" dxfId="370" priority="323">
      <formula>AND($M64="",$B63&lt;&gt;"")</formula>
    </cfRule>
  </conditionalFormatting>
  <conditionalFormatting sqref="A63">
    <cfRule type="expression" dxfId="369" priority="324">
      <formula>#REF!="[Record ID]"</formula>
    </cfRule>
  </conditionalFormatting>
  <conditionalFormatting sqref="A65">
    <cfRule type="expression" dxfId="368" priority="284">
      <formula>#REF!="Yes"</formula>
    </cfRule>
  </conditionalFormatting>
  <conditionalFormatting sqref="E65:E66">
    <cfRule type="expression" dxfId="367" priority="283">
      <formula>AND($D65&lt;&gt;"",$E65&lt;&gt;"")</formula>
    </cfRule>
  </conditionalFormatting>
  <conditionalFormatting sqref="P65:P66">
    <cfRule type="expression" dxfId="366" priority="282">
      <formula>AND(OR($O65&lt;&gt;"",$O66&lt;&gt;"",$P65&lt;&gt;""),$Q65="TBD")</formula>
    </cfRule>
  </conditionalFormatting>
  <conditionalFormatting sqref="S65:S66">
    <cfRule type="expression" dxfId="365" priority="280">
      <formula>AND(OR($R65&lt;&gt;"",$R66&lt;&gt;"",$S65&lt;&gt;""),$T65="TBD")</formula>
    </cfRule>
  </conditionalFormatting>
  <conditionalFormatting sqref="V65:V66">
    <cfRule type="expression" dxfId="364" priority="279">
      <formula>AND(OR($U65&lt;&gt;"",$U66&lt;&gt;"",$V65&lt;&gt;""),$W65="TBD")</formula>
    </cfRule>
  </conditionalFormatting>
  <conditionalFormatting sqref="M66">
    <cfRule type="expression" dxfId="363" priority="285">
      <formula>AND($M66="",$B65&lt;&gt;"")</formula>
    </cfRule>
  </conditionalFormatting>
  <conditionalFormatting sqref="A65">
    <cfRule type="expression" dxfId="362" priority="286">
      <formula>#REF!="[Record ID]"</formula>
    </cfRule>
  </conditionalFormatting>
  <conditionalFormatting sqref="O67">
    <cfRule type="expression" dxfId="361" priority="246">
      <formula>AND(OR($O67&lt;&gt;"",$O68&lt;&gt;"",$P67&lt;&gt;""),$Q67="TBD")</formula>
    </cfRule>
  </conditionalFormatting>
  <conditionalFormatting sqref="O67:O68 Q67:Q68">
    <cfRule type="expression" dxfId="360" priority="247">
      <formula>AND(OR($O67&lt;&gt;"",$O68&lt;&gt;"",$P67&lt;&gt;""),$Q67="TBD")</formula>
    </cfRule>
  </conditionalFormatting>
  <conditionalFormatting sqref="R67">
    <cfRule type="expression" dxfId="359" priority="244">
      <formula>AND(OR($O67&lt;&gt;"",$O68&lt;&gt;"",$P67&lt;&gt;""),$Q67="TBD")</formula>
    </cfRule>
  </conditionalFormatting>
  <conditionalFormatting sqref="R67:R68 T67:T68">
    <cfRule type="expression" dxfId="358" priority="245">
      <formula>AND(OR($R67&lt;&gt;"",$R68&lt;&gt;"",$S67&lt;&gt;""),$T67="TBD")</formula>
    </cfRule>
  </conditionalFormatting>
  <conditionalFormatting sqref="U67">
    <cfRule type="expression" dxfId="357" priority="242">
      <formula>AND(OR($O67&lt;&gt;"",$O68&lt;&gt;"",$P67&lt;&gt;""),$Q67="TBD")</formula>
    </cfRule>
  </conditionalFormatting>
  <conditionalFormatting sqref="U67:U68 W67:W68">
    <cfRule type="expression" dxfId="356" priority="243">
      <formula>AND(OR($U67&lt;&gt;"",$U68&lt;&gt;"",$V67&lt;&gt;""),$W67="TBD")</formula>
    </cfRule>
  </conditionalFormatting>
  <conditionalFormatting sqref="X67">
    <cfRule type="expression" dxfId="355" priority="240">
      <formula>AND(OR($O67&lt;&gt;"",$O68&lt;&gt;"",$P67&lt;&gt;""),$Q67="TBD")</formula>
    </cfRule>
  </conditionalFormatting>
  <conditionalFormatting sqref="X67:Z68">
    <cfRule type="expression" dxfId="354" priority="241">
      <formula>AND(OR($X67&lt;&gt;"",$X68&lt;&gt;"",$Y67&lt;&gt;""),$Z67="TBD")</formula>
    </cfRule>
  </conditionalFormatting>
  <conditionalFormatting sqref="AA67">
    <cfRule type="expression" dxfId="353" priority="238">
      <formula>AND(OR($O67&lt;&gt;"",$O68&lt;&gt;"",$P67&lt;&gt;""),$Q67="TBD")</formula>
    </cfRule>
  </conditionalFormatting>
  <conditionalFormatting sqref="AA67:AC68">
    <cfRule type="expression" dxfId="352" priority="239">
      <formula>AND(OR($AA67&lt;&gt;"",$AA68&lt;&gt;"",$AB67&lt;&gt;""),$AC67="TBD")</formula>
    </cfRule>
  </conditionalFormatting>
  <conditionalFormatting sqref="AD67">
    <cfRule type="expression" dxfId="351" priority="236">
      <formula>AND(OR($O67&lt;&gt;"",$O68&lt;&gt;"",$P67&lt;&gt;""),$Q67="TBD")</formula>
    </cfRule>
  </conditionalFormatting>
  <conditionalFormatting sqref="AD67:AF68">
    <cfRule type="expression" dxfId="350" priority="237">
      <formula>AND(OR($AD67&lt;&gt;"",$AD68&lt;&gt;"",$AE67&lt;&gt;""),$AF67="TBD")</formula>
    </cfRule>
  </conditionalFormatting>
  <conditionalFormatting sqref="AG67">
    <cfRule type="expression" dxfId="349" priority="234">
      <formula>AND(OR($O67&lt;&gt;"",$O68&lt;&gt;"",$P67&lt;&gt;""),$Q67="TBD")</formula>
    </cfRule>
  </conditionalFormatting>
  <conditionalFormatting sqref="AG67:AI68">
    <cfRule type="expression" dxfId="348" priority="235">
      <formula>AND(OR($AG67&lt;&gt;"",$AG68&lt;&gt;"",$AH67&lt;&gt;""),$AI67="TBD")</formula>
    </cfRule>
  </conditionalFormatting>
  <conditionalFormatting sqref="AJ67">
    <cfRule type="expression" dxfId="347" priority="232">
      <formula>AND(OR($O67&lt;&gt;"",$O68&lt;&gt;"",$P67&lt;&gt;""),$Q67="TBD")</formula>
    </cfRule>
  </conditionalFormatting>
  <conditionalFormatting sqref="AJ67:AL68">
    <cfRule type="expression" dxfId="346" priority="233">
      <formula>AND(OR($AJ67&lt;&gt;"",$AJ68&lt;&gt;"",$AK67&lt;&gt;""),$AL67="TBD")</formula>
    </cfRule>
  </conditionalFormatting>
  <conditionalFormatting sqref="O68">
    <cfRule type="expression" dxfId="345" priority="231">
      <formula>AND(OR($O67&lt;&gt;"",$O68&lt;&gt;"",$P67&lt;&gt;""),$Q67="TBD")</formula>
    </cfRule>
  </conditionalFormatting>
  <conditionalFormatting sqref="R68">
    <cfRule type="expression" dxfId="344" priority="230">
      <formula>AND(OR($R67&lt;&gt;"",$R68&lt;&gt;"",$S67&lt;&gt;""),$T67="TBD")</formula>
    </cfRule>
  </conditionalFormatting>
  <conditionalFormatting sqref="U68">
    <cfRule type="expression" dxfId="343" priority="229">
      <formula>AND(OR($U67&lt;&gt;"",$U68&lt;&gt;"",$V67&lt;&gt;""),$W67="TBD")</formula>
    </cfRule>
  </conditionalFormatting>
  <conditionalFormatting sqref="X68">
    <cfRule type="expression" dxfId="342" priority="228">
      <formula>AND(OR($X67&lt;&gt;"",$X68&lt;&gt;"",$Y67&lt;&gt;""),$Z67="TBD")</formula>
    </cfRule>
  </conditionalFormatting>
  <conditionalFormatting sqref="AA68">
    <cfRule type="expression" dxfId="341" priority="227">
      <formula>AND(OR($AA67&lt;&gt;"",$AA68&lt;&gt;"",$AB67&lt;&gt;""),$AC67="TBD")</formula>
    </cfRule>
  </conditionalFormatting>
  <conditionalFormatting sqref="AD68">
    <cfRule type="expression" dxfId="340" priority="226">
      <formula>AND(OR($AD67&lt;&gt;"",$AD68&lt;&gt;"",$AE67&lt;&gt;""),$AF67="TBD")</formula>
    </cfRule>
  </conditionalFormatting>
  <conditionalFormatting sqref="AG68">
    <cfRule type="expression" dxfId="339" priority="225">
      <formula>AND(OR($AG67&lt;&gt;"",$AG68&lt;&gt;"",$AH67&lt;&gt;""),$AI67="TBD")</formula>
    </cfRule>
  </conditionalFormatting>
  <conditionalFormatting sqref="AJ68">
    <cfRule type="expression" dxfId="338" priority="224">
      <formula>AND(OR($AJ67&lt;&gt;"",$AJ68&lt;&gt;"",$AK67&lt;&gt;""),$AL67="TBD")</formula>
    </cfRule>
  </conditionalFormatting>
  <conditionalFormatting sqref="A67">
    <cfRule type="expression" dxfId="337" priority="221">
      <formula>#REF!="Yes"</formula>
    </cfRule>
  </conditionalFormatting>
  <conditionalFormatting sqref="E67:E68">
    <cfRule type="expression" dxfId="336" priority="220">
      <formula>AND($D67&lt;&gt;"",$E67&lt;&gt;"")</formula>
    </cfRule>
  </conditionalFormatting>
  <conditionalFormatting sqref="P67:P68">
    <cfRule type="expression" dxfId="335" priority="219">
      <formula>AND(OR($O67&lt;&gt;"",$O68&lt;&gt;"",$P67&lt;&gt;""),$Q67="TBD")</formula>
    </cfRule>
  </conditionalFormatting>
  <conditionalFormatting sqref="S67:S68">
    <cfRule type="expression" dxfId="334" priority="218">
      <formula>AND(OR($R67&lt;&gt;"",$R68&lt;&gt;"",$S67&lt;&gt;""),$T67="TBD")</formula>
    </cfRule>
  </conditionalFormatting>
  <conditionalFormatting sqref="V67:V68">
    <cfRule type="expression" dxfId="333" priority="217">
      <formula>AND(OR($U67&lt;&gt;"",$U68&lt;&gt;"",$V67&lt;&gt;""),$W67="TBD")</formula>
    </cfRule>
  </conditionalFormatting>
  <conditionalFormatting sqref="M68">
    <cfRule type="expression" dxfId="332" priority="222">
      <formula>AND($M68="",$B67&lt;&gt;"")</formula>
    </cfRule>
  </conditionalFormatting>
  <conditionalFormatting sqref="A67">
    <cfRule type="expression" dxfId="331" priority="223">
      <formula>#REF!="[Record ID]"</formula>
    </cfRule>
  </conditionalFormatting>
  <conditionalFormatting sqref="C9:C10">
    <cfRule type="expression" dxfId="330" priority="216">
      <formula>AND(OR($D9&lt;&gt;"",$E9&lt;&gt;""),$C9="")</formula>
    </cfRule>
  </conditionalFormatting>
  <conditionalFormatting sqref="C11:C12">
    <cfRule type="expression" dxfId="329" priority="215">
      <formula>AND(OR($D11&lt;&gt;"",$E11&lt;&gt;""),$C11="")</formula>
    </cfRule>
  </conditionalFormatting>
  <conditionalFormatting sqref="C13:C14">
    <cfRule type="expression" dxfId="328" priority="214">
      <formula>AND(OR($D13&lt;&gt;"",$E13&lt;&gt;""),$C13="")</formula>
    </cfRule>
  </conditionalFormatting>
  <conditionalFormatting sqref="C15:C16">
    <cfRule type="expression" dxfId="327" priority="213">
      <formula>AND(OR($D15&lt;&gt;"",$E15&lt;&gt;""),$C15="")</formula>
    </cfRule>
  </conditionalFormatting>
  <conditionalFormatting sqref="C17:C18">
    <cfRule type="expression" dxfId="326" priority="212">
      <formula>AND(OR($D17&lt;&gt;"",$E17&lt;&gt;""),$C17="")</formula>
    </cfRule>
  </conditionalFormatting>
  <conditionalFormatting sqref="C19:C20">
    <cfRule type="expression" dxfId="325" priority="211">
      <formula>AND(OR($D19&lt;&gt;"",$E19&lt;&gt;""),$C19="")</formula>
    </cfRule>
  </conditionalFormatting>
  <conditionalFormatting sqref="C21:C22">
    <cfRule type="expression" dxfId="324" priority="210">
      <formula>AND(OR($D21&lt;&gt;"",$E21&lt;&gt;""),$C21="")</formula>
    </cfRule>
  </conditionalFormatting>
  <conditionalFormatting sqref="C23:C24">
    <cfRule type="expression" dxfId="323" priority="209">
      <formula>AND(OR($D23&lt;&gt;"",$E23&lt;&gt;""),$C23="")</formula>
    </cfRule>
  </conditionalFormatting>
  <conditionalFormatting sqref="C25:C26">
    <cfRule type="expression" dxfId="322" priority="208">
      <formula>AND(OR($D25&lt;&gt;"",$E25&lt;&gt;""),$C25="")</formula>
    </cfRule>
  </conditionalFormatting>
  <conditionalFormatting sqref="C27:C28">
    <cfRule type="expression" dxfId="321" priority="207">
      <formula>AND(OR($D27&lt;&gt;"",$E27&lt;&gt;""),$C27="")</formula>
    </cfRule>
  </conditionalFormatting>
  <conditionalFormatting sqref="C29:C30">
    <cfRule type="expression" dxfId="320" priority="206">
      <formula>AND(OR($D29&lt;&gt;"",$E29&lt;&gt;""),$C29="")</formula>
    </cfRule>
  </conditionalFormatting>
  <conditionalFormatting sqref="C41:C42">
    <cfRule type="expression" dxfId="319" priority="200">
      <formula>AND(OR($D41&lt;&gt;"",$E41&lt;&gt;""),$C41="")</formula>
    </cfRule>
  </conditionalFormatting>
  <conditionalFormatting sqref="C43:C44">
    <cfRule type="expression" dxfId="318" priority="199">
      <formula>AND(OR($D43&lt;&gt;"",$E43&lt;&gt;""),$C43="")</formula>
    </cfRule>
  </conditionalFormatting>
  <conditionalFormatting sqref="C45:C46">
    <cfRule type="expression" dxfId="317" priority="198">
      <formula>AND(OR($D45&lt;&gt;"",$E45&lt;&gt;""),$C45="")</formula>
    </cfRule>
  </conditionalFormatting>
  <conditionalFormatting sqref="C47:C48">
    <cfRule type="expression" dxfId="316" priority="197">
      <formula>AND(OR($D47&lt;&gt;"",$E47&lt;&gt;""),$C47="")</formula>
    </cfRule>
  </conditionalFormatting>
  <conditionalFormatting sqref="C49:C50">
    <cfRule type="expression" dxfId="315" priority="195">
      <formula>AND(OR($D49&lt;&gt;"",$E49&lt;&gt;""),$C49="")</formula>
    </cfRule>
  </conditionalFormatting>
  <conditionalFormatting sqref="C51:C52">
    <cfRule type="expression" dxfId="314" priority="194">
      <formula>AND(OR($D51&lt;&gt;"",$E51&lt;&gt;""),$C51="")</formula>
    </cfRule>
  </conditionalFormatting>
  <conditionalFormatting sqref="C53:C54">
    <cfRule type="expression" dxfId="313" priority="193">
      <formula>AND(OR($D53&lt;&gt;"",$E53&lt;&gt;""),$C53="")</formula>
    </cfRule>
  </conditionalFormatting>
  <conditionalFormatting sqref="C55:C56">
    <cfRule type="expression" dxfId="312" priority="192">
      <formula>AND(OR($D55&lt;&gt;"",$E55&lt;&gt;""),$C55="")</formula>
    </cfRule>
  </conditionalFormatting>
  <conditionalFormatting sqref="C57:C58">
    <cfRule type="expression" dxfId="311" priority="191">
      <formula>AND(OR($D57&lt;&gt;"",$E57&lt;&gt;""),$C57="")</formula>
    </cfRule>
  </conditionalFormatting>
  <conditionalFormatting sqref="C59:C60">
    <cfRule type="expression" dxfId="310" priority="190">
      <formula>AND(OR($D59&lt;&gt;"",$E59&lt;&gt;""),$C59="")</formula>
    </cfRule>
  </conditionalFormatting>
  <conditionalFormatting sqref="C61:C62">
    <cfRule type="expression" dxfId="309" priority="189">
      <formula>AND(OR($D61&lt;&gt;"",$E61&lt;&gt;""),$C61="")</formula>
    </cfRule>
  </conditionalFormatting>
  <conditionalFormatting sqref="C63:C64">
    <cfRule type="expression" dxfId="308" priority="188">
      <formula>AND(OR($D63&lt;&gt;"",$E63&lt;&gt;""),$C63="")</formula>
    </cfRule>
  </conditionalFormatting>
  <conditionalFormatting sqref="C65:C66">
    <cfRule type="expression" dxfId="307" priority="187">
      <formula>AND(OR($D65&lt;&gt;"",$E65&lt;&gt;""),$C65="")</formula>
    </cfRule>
  </conditionalFormatting>
  <conditionalFormatting sqref="C67:C68">
    <cfRule type="expression" dxfId="306" priority="186">
      <formula>AND(OR($D67&lt;&gt;"",$E67&lt;&gt;""),$C67="")</formula>
    </cfRule>
  </conditionalFormatting>
  <conditionalFormatting sqref="O11">
    <cfRule type="expression" dxfId="305" priority="184">
      <formula>AND(OR($O11&lt;&gt;"",$O12&lt;&gt;"",$P11&lt;&gt;""),$Q11="TBD")</formula>
    </cfRule>
  </conditionalFormatting>
  <conditionalFormatting sqref="O11:Q12">
    <cfRule type="expression" dxfId="304" priority="185">
      <formula>AND(OR($O11&lt;&gt;"",$O12&lt;&gt;"",$P11&lt;&gt;""),$Q11="TBD")</formula>
    </cfRule>
  </conditionalFormatting>
  <conditionalFormatting sqref="R11">
    <cfRule type="expression" dxfId="303" priority="182">
      <formula>AND(OR($O11&lt;&gt;"",$O12&lt;&gt;"",$P11&lt;&gt;""),$Q11="TBD")</formula>
    </cfRule>
  </conditionalFormatting>
  <conditionalFormatting sqref="R11:R12 T11:T12">
    <cfRule type="expression" dxfId="302" priority="183">
      <formula>AND(OR($R11&lt;&gt;"",$R12&lt;&gt;"",$S11&lt;&gt;""),$T11="TBD")</formula>
    </cfRule>
  </conditionalFormatting>
  <conditionalFormatting sqref="U11">
    <cfRule type="expression" dxfId="301" priority="180">
      <formula>AND(OR($O11&lt;&gt;"",$O12&lt;&gt;"",$P11&lt;&gt;""),$Q11="TBD")</formula>
    </cfRule>
  </conditionalFormatting>
  <conditionalFormatting sqref="U11:U12 W11:W12">
    <cfRule type="expression" dxfId="300" priority="181">
      <formula>AND(OR($U11&lt;&gt;"",$U12&lt;&gt;"",$V11&lt;&gt;""),$W11="TBD")</formula>
    </cfRule>
  </conditionalFormatting>
  <conditionalFormatting sqref="O12">
    <cfRule type="expression" dxfId="299" priority="179">
      <formula>AND(OR($O11&lt;&gt;"",$O12&lt;&gt;"",$P11&lt;&gt;""),$Q11="TBD")</formula>
    </cfRule>
  </conditionalFormatting>
  <conditionalFormatting sqref="R12">
    <cfRule type="expression" dxfId="298" priority="178">
      <formula>AND(OR($R11&lt;&gt;"",$R12&lt;&gt;"",$S11&lt;&gt;""),$T11="TBD")</formula>
    </cfRule>
  </conditionalFormatting>
  <conditionalFormatting sqref="U12">
    <cfRule type="expression" dxfId="297" priority="177">
      <formula>AND(OR($U11&lt;&gt;"",$U12&lt;&gt;"",$V11&lt;&gt;""),$W11="TBD")</formula>
    </cfRule>
  </conditionalFormatting>
  <conditionalFormatting sqref="S11:S12">
    <cfRule type="expression" dxfId="296" priority="176">
      <formula>AND(OR($O11&lt;&gt;"",$O12&lt;&gt;"",$P11&lt;&gt;""),$Q11="TBD")</formula>
    </cfRule>
  </conditionalFormatting>
  <conditionalFormatting sqref="V11:V12">
    <cfRule type="expression" dxfId="295" priority="175">
      <formula>AND(OR($O11&lt;&gt;"",$O12&lt;&gt;"",$P11&lt;&gt;""),$Q11="TBD")</formula>
    </cfRule>
  </conditionalFormatting>
  <conditionalFormatting sqref="O15">
    <cfRule type="expression" dxfId="294" priority="173">
      <formula>AND(OR($O15&lt;&gt;"",$O16&lt;&gt;"",$P15&lt;&gt;""),$Q15="TBD")</formula>
    </cfRule>
  </conditionalFormatting>
  <conditionalFormatting sqref="O15:Q16">
    <cfRule type="expression" dxfId="293" priority="174">
      <formula>AND(OR($O15&lt;&gt;"",$O16&lt;&gt;"",$P15&lt;&gt;""),$Q15="TBD")</formula>
    </cfRule>
  </conditionalFormatting>
  <conditionalFormatting sqref="R15">
    <cfRule type="expression" dxfId="292" priority="171">
      <formula>AND(OR($O15&lt;&gt;"",$O16&lt;&gt;"",$P15&lt;&gt;""),$Q15="TBD")</formula>
    </cfRule>
  </conditionalFormatting>
  <conditionalFormatting sqref="R15:T16">
    <cfRule type="expression" dxfId="291" priority="172">
      <formula>AND(OR($R15&lt;&gt;"",$R16&lt;&gt;"",$S15&lt;&gt;""),$T15="TBD")</formula>
    </cfRule>
  </conditionalFormatting>
  <conditionalFormatting sqref="U15">
    <cfRule type="expression" dxfId="290" priority="169">
      <formula>AND(OR($O15&lt;&gt;"",$O16&lt;&gt;"",$P15&lt;&gt;""),$Q15="TBD")</formula>
    </cfRule>
  </conditionalFormatting>
  <conditionalFormatting sqref="U15:W16">
    <cfRule type="expression" dxfId="289" priority="170">
      <formula>AND(OR($U15&lt;&gt;"",$U16&lt;&gt;"",$V15&lt;&gt;""),$W15="TBD")</formula>
    </cfRule>
  </conditionalFormatting>
  <conditionalFormatting sqref="O16">
    <cfRule type="expression" dxfId="288" priority="168">
      <formula>AND(OR($O15&lt;&gt;"",$O16&lt;&gt;"",$P15&lt;&gt;""),$Q15="TBD")</formula>
    </cfRule>
  </conditionalFormatting>
  <conditionalFormatting sqref="R16">
    <cfRule type="expression" dxfId="287" priority="167">
      <formula>AND(OR($R15&lt;&gt;"",$R16&lt;&gt;"",$S15&lt;&gt;""),$T15="TBD")</formula>
    </cfRule>
  </conditionalFormatting>
  <conditionalFormatting sqref="U16">
    <cfRule type="expression" dxfId="286" priority="166">
      <formula>AND(OR($U15&lt;&gt;"",$U16&lt;&gt;"",$V15&lt;&gt;""),$W15="TBD")</formula>
    </cfRule>
  </conditionalFormatting>
  <conditionalFormatting sqref="O19">
    <cfRule type="expression" dxfId="285" priority="164">
      <formula>AND(OR($O19&lt;&gt;"",$O20&lt;&gt;"",$P19&lt;&gt;""),$Q19="TBD")</formula>
    </cfRule>
  </conditionalFormatting>
  <conditionalFormatting sqref="O19:Q20">
    <cfRule type="expression" dxfId="284" priority="165">
      <formula>AND(OR($O19&lt;&gt;"",$O20&lt;&gt;"",$P19&lt;&gt;""),$Q19="TBD")</formula>
    </cfRule>
  </conditionalFormatting>
  <conditionalFormatting sqref="R19">
    <cfRule type="expression" dxfId="283" priority="162">
      <formula>AND(OR($O19&lt;&gt;"",$O20&lt;&gt;"",$P19&lt;&gt;""),$Q19="TBD")</formula>
    </cfRule>
  </conditionalFormatting>
  <conditionalFormatting sqref="R19:T20">
    <cfRule type="expression" dxfId="282" priority="163">
      <formula>AND(OR($R19&lt;&gt;"",$R20&lt;&gt;"",$S19&lt;&gt;""),$T19="TBD")</formula>
    </cfRule>
  </conditionalFormatting>
  <conditionalFormatting sqref="U19">
    <cfRule type="expression" dxfId="281" priority="160">
      <formula>AND(OR($O19&lt;&gt;"",$O20&lt;&gt;"",$P19&lt;&gt;""),$Q19="TBD")</formula>
    </cfRule>
  </conditionalFormatting>
  <conditionalFormatting sqref="U19:W20">
    <cfRule type="expression" dxfId="280" priority="161">
      <formula>AND(OR($U19&lt;&gt;"",$U20&lt;&gt;"",$V19&lt;&gt;""),$W19="TBD")</formula>
    </cfRule>
  </conditionalFormatting>
  <conditionalFormatting sqref="O20">
    <cfRule type="expression" dxfId="279" priority="159">
      <formula>AND(OR($O19&lt;&gt;"",$O20&lt;&gt;"",$P19&lt;&gt;""),$Q19="TBD")</formula>
    </cfRule>
  </conditionalFormatting>
  <conditionalFormatting sqref="R20">
    <cfRule type="expression" dxfId="278" priority="158">
      <formula>AND(OR($R19&lt;&gt;"",$R20&lt;&gt;"",$S19&lt;&gt;""),$T19="TBD")</formula>
    </cfRule>
  </conditionalFormatting>
  <conditionalFormatting sqref="U20">
    <cfRule type="expression" dxfId="277" priority="157">
      <formula>AND(OR($U19&lt;&gt;"",$U20&lt;&gt;"",$V19&lt;&gt;""),$W19="TBD")</formula>
    </cfRule>
  </conditionalFormatting>
  <conditionalFormatting sqref="O23">
    <cfRule type="expression" dxfId="276" priority="155">
      <formula>AND(OR($O23&lt;&gt;"",$O24&lt;&gt;"",$P23&lt;&gt;""),$Q23="TBD")</formula>
    </cfRule>
  </conditionalFormatting>
  <conditionalFormatting sqref="O23:Q24">
    <cfRule type="expression" dxfId="275" priority="156">
      <formula>AND(OR($O23&lt;&gt;"",$O24&lt;&gt;"",$P23&lt;&gt;""),$Q23="TBD")</formula>
    </cfRule>
  </conditionalFormatting>
  <conditionalFormatting sqref="R23">
    <cfRule type="expression" dxfId="274" priority="153">
      <formula>AND(OR($O23&lt;&gt;"",$O24&lt;&gt;"",$P23&lt;&gt;""),$Q23="TBD")</formula>
    </cfRule>
  </conditionalFormatting>
  <conditionalFormatting sqref="R23:T24">
    <cfRule type="expression" dxfId="273" priority="154">
      <formula>AND(OR($R23&lt;&gt;"",$R24&lt;&gt;"",$S23&lt;&gt;""),$T23="TBD")</formula>
    </cfRule>
  </conditionalFormatting>
  <conditionalFormatting sqref="U23">
    <cfRule type="expression" dxfId="272" priority="151">
      <formula>AND(OR($O23&lt;&gt;"",$O24&lt;&gt;"",$P23&lt;&gt;""),$Q23="TBD")</formula>
    </cfRule>
  </conditionalFormatting>
  <conditionalFormatting sqref="U23:V24">
    <cfRule type="expression" dxfId="271" priority="152">
      <formula>AND(OR($U23&lt;&gt;"",$U24&lt;&gt;"",$V23&lt;&gt;""),$W23="TBD")</formula>
    </cfRule>
  </conditionalFormatting>
  <conditionalFormatting sqref="O24">
    <cfRule type="expression" dxfId="270" priority="150">
      <formula>AND(OR($O23&lt;&gt;"",$O24&lt;&gt;"",$P23&lt;&gt;""),$Q23="TBD")</formula>
    </cfRule>
  </conditionalFormatting>
  <conditionalFormatting sqref="R24">
    <cfRule type="expression" dxfId="269" priority="149">
      <formula>AND(OR($R23&lt;&gt;"",$R24&lt;&gt;"",$S23&lt;&gt;""),$T23="TBD")</formula>
    </cfRule>
  </conditionalFormatting>
  <conditionalFormatting sqref="U24">
    <cfRule type="expression" dxfId="268" priority="148">
      <formula>AND(OR($U23&lt;&gt;"",$U24&lt;&gt;"",$V23&lt;&gt;""),$W23="TBD")</formula>
    </cfRule>
  </conditionalFormatting>
  <conditionalFormatting sqref="O27">
    <cfRule type="expression" dxfId="267" priority="146">
      <formula>AND(OR($O27&lt;&gt;"",$O28&lt;&gt;"",$P27&lt;&gt;""),$Q27="TBD")</formula>
    </cfRule>
  </conditionalFormatting>
  <conditionalFormatting sqref="O27:Q28">
    <cfRule type="expression" dxfId="266" priority="147">
      <formula>AND(OR($O27&lt;&gt;"",$O28&lt;&gt;"",$P27&lt;&gt;""),$Q27="TBD")</formula>
    </cfRule>
  </conditionalFormatting>
  <conditionalFormatting sqref="R27">
    <cfRule type="expression" dxfId="265" priority="144">
      <formula>AND(OR($O27&lt;&gt;"",$O28&lt;&gt;"",$P27&lt;&gt;""),$Q27="TBD")</formula>
    </cfRule>
  </conditionalFormatting>
  <conditionalFormatting sqref="R27:T28">
    <cfRule type="expression" dxfId="264" priority="145">
      <formula>AND(OR($R27&lt;&gt;"",$R28&lt;&gt;"",$S27&lt;&gt;""),$T27="TBD")</formula>
    </cfRule>
  </conditionalFormatting>
  <conditionalFormatting sqref="U27">
    <cfRule type="expression" dxfId="263" priority="142">
      <formula>AND(OR($O27&lt;&gt;"",$O28&lt;&gt;"",$P27&lt;&gt;""),$Q27="TBD")</formula>
    </cfRule>
  </conditionalFormatting>
  <conditionalFormatting sqref="U27:W28">
    <cfRule type="expression" dxfId="262" priority="143">
      <formula>AND(OR($U27&lt;&gt;"",$U28&lt;&gt;"",$V27&lt;&gt;""),$W27="TBD")</formula>
    </cfRule>
  </conditionalFormatting>
  <conditionalFormatting sqref="O28">
    <cfRule type="expression" dxfId="261" priority="141">
      <formula>AND(OR($O27&lt;&gt;"",$O28&lt;&gt;"",$P27&lt;&gt;""),$Q27="TBD")</formula>
    </cfRule>
  </conditionalFormatting>
  <conditionalFormatting sqref="R28">
    <cfRule type="expression" dxfId="260" priority="140">
      <formula>AND(OR($R27&lt;&gt;"",$R28&lt;&gt;"",$S27&lt;&gt;""),$T27="TBD")</formula>
    </cfRule>
  </conditionalFormatting>
  <conditionalFormatting sqref="U28">
    <cfRule type="expression" dxfId="259" priority="139">
      <formula>AND(OR($U27&lt;&gt;"",$U28&lt;&gt;"",$V27&lt;&gt;""),$W27="TBD")</formula>
    </cfRule>
  </conditionalFormatting>
  <conditionalFormatting sqref="O9">
    <cfRule type="expression" dxfId="258" priority="137">
      <formula>AND(OR($O9&lt;&gt;"",$O10&lt;&gt;"",$P9&lt;&gt;""),$Q9="TBD")</formula>
    </cfRule>
  </conditionalFormatting>
  <conditionalFormatting sqref="O9:Q10">
    <cfRule type="expression" dxfId="257" priority="138">
      <formula>AND(OR($O9&lt;&gt;"",$O10&lt;&gt;"",$P9&lt;&gt;""),$Q9="TBD")</formula>
    </cfRule>
  </conditionalFormatting>
  <conditionalFormatting sqref="R9">
    <cfRule type="expression" dxfId="256" priority="135">
      <formula>AND(OR($O9&lt;&gt;"",$O10&lt;&gt;"",$P9&lt;&gt;""),$Q9="TBD")</formula>
    </cfRule>
  </conditionalFormatting>
  <conditionalFormatting sqref="R9:T10">
    <cfRule type="expression" dxfId="255" priority="136">
      <formula>AND(OR($R9&lt;&gt;"",$R10&lt;&gt;"",$S9&lt;&gt;""),$T9="TBD")</formula>
    </cfRule>
  </conditionalFormatting>
  <conditionalFormatting sqref="U9">
    <cfRule type="expression" dxfId="254" priority="133">
      <formula>AND(OR($O9&lt;&gt;"",$O10&lt;&gt;"",$P9&lt;&gt;""),$Q9="TBD")</formula>
    </cfRule>
  </conditionalFormatting>
  <conditionalFormatting sqref="U9:W10">
    <cfRule type="expression" dxfId="253" priority="134">
      <formula>AND(OR($U9&lt;&gt;"",$U10&lt;&gt;"",$V9&lt;&gt;""),$W9="TBD")</formula>
    </cfRule>
  </conditionalFormatting>
  <conditionalFormatting sqref="O10">
    <cfRule type="expression" dxfId="252" priority="132">
      <formula>AND(OR($O9&lt;&gt;"",$O10&lt;&gt;"",$P9&lt;&gt;""),$Q9="TBD")</formula>
    </cfRule>
  </conditionalFormatting>
  <conditionalFormatting sqref="R10">
    <cfRule type="expression" dxfId="251" priority="131">
      <formula>AND(OR($R9&lt;&gt;"",$R10&lt;&gt;"",$S9&lt;&gt;""),$T9="TBD")</formula>
    </cfRule>
  </conditionalFormatting>
  <conditionalFormatting sqref="U10">
    <cfRule type="expression" dxfId="250" priority="130">
      <formula>AND(OR($U9&lt;&gt;"",$U10&lt;&gt;"",$V9&lt;&gt;""),$W9="TBD")</formula>
    </cfRule>
  </conditionalFormatting>
  <conditionalFormatting sqref="O13">
    <cfRule type="expression" dxfId="249" priority="128">
      <formula>AND(OR($O13&lt;&gt;"",$O14&lt;&gt;"",$P13&lt;&gt;""),$Q13="TBD")</formula>
    </cfRule>
  </conditionalFormatting>
  <conditionalFormatting sqref="O13:Q14">
    <cfRule type="expression" dxfId="248" priority="129">
      <formula>AND(OR($O13&lt;&gt;"",$O14&lt;&gt;"",$P13&lt;&gt;""),$Q13="TBD")</formula>
    </cfRule>
  </conditionalFormatting>
  <conditionalFormatting sqref="R13">
    <cfRule type="expression" dxfId="247" priority="126">
      <formula>AND(OR($O13&lt;&gt;"",$O14&lt;&gt;"",$P13&lt;&gt;""),$Q13="TBD")</formula>
    </cfRule>
  </conditionalFormatting>
  <conditionalFormatting sqref="R13:T14">
    <cfRule type="expression" dxfId="246" priority="127">
      <formula>AND(OR($R13&lt;&gt;"",$R14&lt;&gt;"",$S13&lt;&gt;""),$T13="TBD")</formula>
    </cfRule>
  </conditionalFormatting>
  <conditionalFormatting sqref="U13">
    <cfRule type="expression" dxfId="245" priority="124">
      <formula>AND(OR($O13&lt;&gt;"",$O14&lt;&gt;"",$P13&lt;&gt;""),$Q13="TBD")</formula>
    </cfRule>
  </conditionalFormatting>
  <conditionalFormatting sqref="U13:W14">
    <cfRule type="expression" dxfId="244" priority="125">
      <formula>AND(OR($U13&lt;&gt;"",$U14&lt;&gt;"",$V13&lt;&gt;""),$W13="TBD")</formula>
    </cfRule>
  </conditionalFormatting>
  <conditionalFormatting sqref="O14">
    <cfRule type="expression" dxfId="243" priority="123">
      <formula>AND(OR($O13&lt;&gt;"",$O14&lt;&gt;"",$P13&lt;&gt;""),$Q13="TBD")</formula>
    </cfRule>
  </conditionalFormatting>
  <conditionalFormatting sqref="R14">
    <cfRule type="expression" dxfId="242" priority="122">
      <formula>AND(OR($R13&lt;&gt;"",$R14&lt;&gt;"",$S13&lt;&gt;""),$T13="TBD")</formula>
    </cfRule>
  </conditionalFormatting>
  <conditionalFormatting sqref="U14">
    <cfRule type="expression" dxfId="241" priority="121">
      <formula>AND(OR($U13&lt;&gt;"",$U14&lt;&gt;"",$V13&lt;&gt;""),$W13="TBD")</formula>
    </cfRule>
  </conditionalFormatting>
  <conditionalFormatting sqref="O17">
    <cfRule type="expression" dxfId="240" priority="119">
      <formula>AND(OR($O17&lt;&gt;"",$O18&lt;&gt;"",$P17&lt;&gt;""),$Q17="TBD")</formula>
    </cfRule>
  </conditionalFormatting>
  <conditionalFormatting sqref="O17:Q18">
    <cfRule type="expression" dxfId="239" priority="120">
      <formula>AND(OR($O17&lt;&gt;"",$O18&lt;&gt;"",$P17&lt;&gt;""),$Q17="TBD")</formula>
    </cfRule>
  </conditionalFormatting>
  <conditionalFormatting sqref="R17">
    <cfRule type="expression" dxfId="238" priority="117">
      <formula>AND(OR($O17&lt;&gt;"",$O18&lt;&gt;"",$P17&lt;&gt;""),$Q17="TBD")</formula>
    </cfRule>
  </conditionalFormatting>
  <conditionalFormatting sqref="R17:T18">
    <cfRule type="expression" dxfId="237" priority="118">
      <formula>AND(OR($R17&lt;&gt;"",$R18&lt;&gt;"",$S17&lt;&gt;""),$T17="TBD")</formula>
    </cfRule>
  </conditionalFormatting>
  <conditionalFormatting sqref="U17">
    <cfRule type="expression" dxfId="236" priority="115">
      <formula>AND(OR($O17&lt;&gt;"",$O18&lt;&gt;"",$P17&lt;&gt;""),$Q17="TBD")</formula>
    </cfRule>
  </conditionalFormatting>
  <conditionalFormatting sqref="U17:W18">
    <cfRule type="expression" dxfId="235" priority="116">
      <formula>AND(OR($U17&lt;&gt;"",$U18&lt;&gt;"",$V17&lt;&gt;""),$W17="TBD")</formula>
    </cfRule>
  </conditionalFormatting>
  <conditionalFormatting sqref="O18">
    <cfRule type="expression" dxfId="234" priority="114">
      <formula>AND(OR($O17&lt;&gt;"",$O18&lt;&gt;"",$P17&lt;&gt;""),$Q17="TBD")</formula>
    </cfRule>
  </conditionalFormatting>
  <conditionalFormatting sqref="R18">
    <cfRule type="expression" dxfId="233" priority="113">
      <formula>AND(OR($R17&lt;&gt;"",$R18&lt;&gt;"",$S17&lt;&gt;""),$T17="TBD")</formula>
    </cfRule>
  </conditionalFormatting>
  <conditionalFormatting sqref="U18">
    <cfRule type="expression" dxfId="232" priority="112">
      <formula>AND(OR($U17&lt;&gt;"",$U18&lt;&gt;"",$V17&lt;&gt;""),$W17="TBD")</formula>
    </cfRule>
  </conditionalFormatting>
  <conditionalFormatting sqref="D31:E32">
    <cfRule type="expression" dxfId="231" priority="111">
      <formula>AND($D31&lt;&gt;"",$E31&lt;&gt;"")</formula>
    </cfRule>
  </conditionalFormatting>
  <conditionalFormatting sqref="C31:C32">
    <cfRule type="expression" dxfId="230" priority="110">
      <formula>AND(OR($D31&lt;&gt;"",$E31&lt;&gt;""),$C31="")</formula>
    </cfRule>
  </conditionalFormatting>
  <conditionalFormatting sqref="O31">
    <cfRule type="expression" dxfId="229" priority="107">
      <formula>AND(OR($O31&lt;&gt;"",$O32&lt;&gt;"",$P31&lt;&gt;""),$Q31="TBD")</formula>
    </cfRule>
  </conditionalFormatting>
  <conditionalFormatting sqref="O31:Q32">
    <cfRule type="expression" dxfId="228" priority="108">
      <formula>AND(OR($O31&lt;&gt;"",$O32&lt;&gt;"",$P31&lt;&gt;""),$Q31="TBD")</formula>
    </cfRule>
  </conditionalFormatting>
  <conditionalFormatting sqref="R31">
    <cfRule type="expression" dxfId="227" priority="105">
      <formula>AND(OR($O31&lt;&gt;"",$O32&lt;&gt;"",$P31&lt;&gt;""),$Q31="TBD")</formula>
    </cfRule>
  </conditionalFormatting>
  <conditionalFormatting sqref="R31:T32">
    <cfRule type="expression" dxfId="226" priority="106">
      <formula>AND(OR($R31&lt;&gt;"",$R32&lt;&gt;"",$S31&lt;&gt;""),$T31="TBD")</formula>
    </cfRule>
  </conditionalFormatting>
  <conditionalFormatting sqref="U31">
    <cfRule type="expression" dxfId="225" priority="103">
      <formula>AND(OR($O31&lt;&gt;"",$O32&lt;&gt;"",$P31&lt;&gt;""),$Q31="TBD")</formula>
    </cfRule>
  </conditionalFormatting>
  <conditionalFormatting sqref="U31:W32">
    <cfRule type="expression" dxfId="224" priority="104">
      <formula>AND(OR($U31&lt;&gt;"",$U32&lt;&gt;"",$V31&lt;&gt;""),$W31="TBD")</formula>
    </cfRule>
  </conditionalFormatting>
  <conditionalFormatting sqref="X31">
    <cfRule type="expression" dxfId="223" priority="101">
      <formula>AND(OR($O31&lt;&gt;"",$O32&lt;&gt;"",$P31&lt;&gt;""),$Q31="TBD")</formula>
    </cfRule>
  </conditionalFormatting>
  <conditionalFormatting sqref="X31:Z32">
    <cfRule type="expression" dxfId="222" priority="102">
      <formula>AND(OR($X31&lt;&gt;"",$X32&lt;&gt;"",$Y31&lt;&gt;""),$Z31="TBD")</formula>
    </cfRule>
  </conditionalFormatting>
  <conditionalFormatting sqref="AA31">
    <cfRule type="expression" dxfId="221" priority="99">
      <formula>AND(OR($O31&lt;&gt;"",$O32&lt;&gt;"",$P31&lt;&gt;""),$Q31="TBD")</formula>
    </cfRule>
  </conditionalFormatting>
  <conditionalFormatting sqref="AA31:AC32">
    <cfRule type="expression" dxfId="220" priority="100">
      <formula>AND(OR($AA31&lt;&gt;"",$AA32&lt;&gt;"",$AB31&lt;&gt;""),$AC31="TBD")</formula>
    </cfRule>
  </conditionalFormatting>
  <conditionalFormatting sqref="AD31">
    <cfRule type="expression" dxfId="219" priority="97">
      <formula>AND(OR($O31&lt;&gt;"",$O32&lt;&gt;"",$P31&lt;&gt;""),$Q31="TBD")</formula>
    </cfRule>
  </conditionalFormatting>
  <conditionalFormatting sqref="AD31:AF32">
    <cfRule type="expression" dxfId="218" priority="98">
      <formula>AND(OR($AD31&lt;&gt;"",$AD32&lt;&gt;"",$AE31&lt;&gt;""),$AF31="TBD")</formula>
    </cfRule>
  </conditionalFormatting>
  <conditionalFormatting sqref="AG31">
    <cfRule type="expression" dxfId="217" priority="95">
      <formula>AND(OR($O31&lt;&gt;"",$O32&lt;&gt;"",$P31&lt;&gt;""),$Q31="TBD")</formula>
    </cfRule>
  </conditionalFormatting>
  <conditionalFormatting sqref="AG31:AI32">
    <cfRule type="expression" dxfId="216" priority="96">
      <formula>AND(OR($AG31&lt;&gt;"",$AG32&lt;&gt;"",$AH31&lt;&gt;""),$AI31="TBD")</formula>
    </cfRule>
  </conditionalFormatting>
  <conditionalFormatting sqref="AJ31">
    <cfRule type="expression" dxfId="215" priority="93">
      <formula>AND(OR($O31&lt;&gt;"",$O32&lt;&gt;"",$P31&lt;&gt;""),$Q31="TBD")</formula>
    </cfRule>
  </conditionalFormatting>
  <conditionalFormatting sqref="AJ31:AL32">
    <cfRule type="expression" dxfId="214" priority="94">
      <formula>AND(OR($AJ31&lt;&gt;"",$AJ32&lt;&gt;"",$AK31&lt;&gt;""),$AL31="TBD")</formula>
    </cfRule>
  </conditionalFormatting>
  <conditionalFormatting sqref="O32">
    <cfRule type="expression" dxfId="213" priority="92">
      <formula>AND(OR($O31&lt;&gt;"",$O32&lt;&gt;"",$P31&lt;&gt;""),$Q31="TBD")</formula>
    </cfRule>
  </conditionalFormatting>
  <conditionalFormatting sqref="R32">
    <cfRule type="expression" dxfId="212" priority="91">
      <formula>AND(OR($R31&lt;&gt;"",$R32&lt;&gt;"",$S31&lt;&gt;""),$T31="TBD")</formula>
    </cfRule>
  </conditionalFormatting>
  <conditionalFormatting sqref="U32">
    <cfRule type="expression" dxfId="211" priority="90">
      <formula>AND(OR($U31&lt;&gt;"",$U32&lt;&gt;"",$V31&lt;&gt;""),$W31="TBD")</formula>
    </cfRule>
  </conditionalFormatting>
  <conditionalFormatting sqref="X32">
    <cfRule type="expression" dxfId="210" priority="89">
      <formula>AND(OR($X31&lt;&gt;"",$X32&lt;&gt;"",$Y31&lt;&gt;""),$Z31="TBD")</formula>
    </cfRule>
  </conditionalFormatting>
  <conditionalFormatting sqref="AA32">
    <cfRule type="expression" dxfId="209" priority="88">
      <formula>AND(OR($AA31&lt;&gt;"",$AA32&lt;&gt;"",$AB31&lt;&gt;""),$AC31="TBD")</formula>
    </cfRule>
  </conditionalFormatting>
  <conditionalFormatting sqref="AD32">
    <cfRule type="expression" dxfId="208" priority="87">
      <formula>AND(OR($AD31&lt;&gt;"",$AD32&lt;&gt;"",$AE31&lt;&gt;""),$AF31="TBD")</formula>
    </cfRule>
  </conditionalFormatting>
  <conditionalFormatting sqref="AG32">
    <cfRule type="expression" dxfId="207" priority="86">
      <formula>AND(OR($AG31&lt;&gt;"",$AG32&lt;&gt;"",$AH31&lt;&gt;""),$AI31="TBD")</formula>
    </cfRule>
  </conditionalFormatting>
  <conditionalFormatting sqref="AJ32">
    <cfRule type="expression" dxfId="206" priority="85">
      <formula>AND(OR($AJ31&lt;&gt;"",$AJ32&lt;&gt;"",$AK31&lt;&gt;""),$AL31="TBD")</formula>
    </cfRule>
  </conditionalFormatting>
  <conditionalFormatting sqref="M32">
    <cfRule type="expression" dxfId="205" priority="109">
      <formula>AND($M32="",$B31&lt;&gt;"")</formula>
    </cfRule>
  </conditionalFormatting>
  <conditionalFormatting sqref="D33:E34">
    <cfRule type="expression" dxfId="204" priority="59">
      <formula>AND($D33&lt;&gt;"",$E33&lt;&gt;"")</formula>
    </cfRule>
  </conditionalFormatting>
  <conditionalFormatting sqref="C33:C34">
    <cfRule type="expression" dxfId="203" priority="58">
      <formula>AND(OR($D33&lt;&gt;"",$E33&lt;&gt;""),$C33="")</formula>
    </cfRule>
  </conditionalFormatting>
  <conditionalFormatting sqref="O33">
    <cfRule type="expression" dxfId="202" priority="55">
      <formula>AND(OR($O33&lt;&gt;"",$O34&lt;&gt;"",$P33&lt;&gt;""),$Q33="TBD")</formula>
    </cfRule>
  </conditionalFormatting>
  <conditionalFormatting sqref="O33:Q34">
    <cfRule type="expression" dxfId="201" priority="56">
      <formula>AND(OR($O33&lt;&gt;"",$O34&lt;&gt;"",$P33&lt;&gt;""),$Q33="TBD")</formula>
    </cfRule>
  </conditionalFormatting>
  <conditionalFormatting sqref="R33">
    <cfRule type="expression" dxfId="200" priority="53">
      <formula>AND(OR($O33&lt;&gt;"",$O34&lt;&gt;"",$P33&lt;&gt;""),$Q33="TBD")</formula>
    </cfRule>
  </conditionalFormatting>
  <conditionalFormatting sqref="R33:T34">
    <cfRule type="expression" dxfId="199" priority="54">
      <formula>AND(OR($R33&lt;&gt;"",$R34&lt;&gt;"",$S33&lt;&gt;""),$T33="TBD")</formula>
    </cfRule>
  </conditionalFormatting>
  <conditionalFormatting sqref="U33">
    <cfRule type="expression" dxfId="198" priority="51">
      <formula>AND(OR($O33&lt;&gt;"",$O34&lt;&gt;"",$P33&lt;&gt;""),$Q33="TBD")</formula>
    </cfRule>
  </conditionalFormatting>
  <conditionalFormatting sqref="U33:W34">
    <cfRule type="expression" dxfId="197" priority="52">
      <formula>AND(OR($U33&lt;&gt;"",$U34&lt;&gt;"",$V33&lt;&gt;""),$W33="TBD")</formula>
    </cfRule>
  </conditionalFormatting>
  <conditionalFormatting sqref="X33">
    <cfRule type="expression" dxfId="196" priority="49">
      <formula>AND(OR($O33&lt;&gt;"",$O34&lt;&gt;"",$P33&lt;&gt;""),$Q33="TBD")</formula>
    </cfRule>
  </conditionalFormatting>
  <conditionalFormatting sqref="X33:Z34">
    <cfRule type="expression" dxfId="195" priority="50">
      <formula>AND(OR($X33&lt;&gt;"",$X34&lt;&gt;"",$Y33&lt;&gt;""),$Z33="TBD")</formula>
    </cfRule>
  </conditionalFormatting>
  <conditionalFormatting sqref="AA33">
    <cfRule type="expression" dxfId="194" priority="47">
      <formula>AND(OR($O33&lt;&gt;"",$O34&lt;&gt;"",$P33&lt;&gt;""),$Q33="TBD")</formula>
    </cfRule>
  </conditionalFormatting>
  <conditionalFormatting sqref="AA33:AC34">
    <cfRule type="expression" dxfId="193" priority="48">
      <formula>AND(OR($AA33&lt;&gt;"",$AA34&lt;&gt;"",$AB33&lt;&gt;""),$AC33="TBD")</formula>
    </cfRule>
  </conditionalFormatting>
  <conditionalFormatting sqref="AD33">
    <cfRule type="expression" dxfId="192" priority="45">
      <formula>AND(OR($O33&lt;&gt;"",$O34&lt;&gt;"",$P33&lt;&gt;""),$Q33="TBD")</formula>
    </cfRule>
  </conditionalFormatting>
  <conditionalFormatting sqref="AD33:AF34">
    <cfRule type="expression" dxfId="191" priority="46">
      <formula>AND(OR($AD33&lt;&gt;"",$AD34&lt;&gt;"",$AE33&lt;&gt;""),$AF33="TBD")</formula>
    </cfRule>
  </conditionalFormatting>
  <conditionalFormatting sqref="AG33">
    <cfRule type="expression" dxfId="190" priority="43">
      <formula>AND(OR($O33&lt;&gt;"",$O34&lt;&gt;"",$P33&lt;&gt;""),$Q33="TBD")</formula>
    </cfRule>
  </conditionalFormatting>
  <conditionalFormatting sqref="AG33:AI34">
    <cfRule type="expression" dxfId="189" priority="44">
      <formula>AND(OR($AG33&lt;&gt;"",$AG34&lt;&gt;"",$AH33&lt;&gt;""),$AI33="TBD")</formula>
    </cfRule>
  </conditionalFormatting>
  <conditionalFormatting sqref="AJ33">
    <cfRule type="expression" dxfId="188" priority="41">
      <formula>AND(OR($O33&lt;&gt;"",$O34&lt;&gt;"",$P33&lt;&gt;""),$Q33="TBD")</formula>
    </cfRule>
  </conditionalFormatting>
  <conditionalFormatting sqref="AJ33:AL34">
    <cfRule type="expression" dxfId="187" priority="42">
      <formula>AND(OR($AJ33&lt;&gt;"",$AJ34&lt;&gt;"",$AK33&lt;&gt;""),$AL33="TBD")</formula>
    </cfRule>
  </conditionalFormatting>
  <conditionalFormatting sqref="O34">
    <cfRule type="expression" dxfId="186" priority="40">
      <formula>AND(OR($O33&lt;&gt;"",$O34&lt;&gt;"",$P33&lt;&gt;""),$Q33="TBD")</formula>
    </cfRule>
  </conditionalFormatting>
  <conditionalFormatting sqref="R34">
    <cfRule type="expression" dxfId="185" priority="39">
      <formula>AND(OR($R33&lt;&gt;"",$R34&lt;&gt;"",$S33&lt;&gt;""),$T33="TBD")</formula>
    </cfRule>
  </conditionalFormatting>
  <conditionalFormatting sqref="U34">
    <cfRule type="expression" dxfId="184" priority="38">
      <formula>AND(OR($U33&lt;&gt;"",$U34&lt;&gt;"",$V33&lt;&gt;""),$W33="TBD")</formula>
    </cfRule>
  </conditionalFormatting>
  <conditionalFormatting sqref="X34">
    <cfRule type="expression" dxfId="183" priority="37">
      <formula>AND(OR($X33&lt;&gt;"",$X34&lt;&gt;"",$Y33&lt;&gt;""),$Z33="TBD")</formula>
    </cfRule>
  </conditionalFormatting>
  <conditionalFormatting sqref="AA34">
    <cfRule type="expression" dxfId="182" priority="36">
      <formula>AND(OR($AA33&lt;&gt;"",$AA34&lt;&gt;"",$AB33&lt;&gt;""),$AC33="TBD")</formula>
    </cfRule>
  </conditionalFormatting>
  <conditionalFormatting sqref="AD34">
    <cfRule type="expression" dxfId="181" priority="35">
      <formula>AND(OR($AD33&lt;&gt;"",$AD34&lt;&gt;"",$AE33&lt;&gt;""),$AF33="TBD")</formula>
    </cfRule>
  </conditionalFormatting>
  <conditionalFormatting sqref="AG34">
    <cfRule type="expression" dxfId="180" priority="34">
      <formula>AND(OR($AG33&lt;&gt;"",$AG34&lt;&gt;"",$AH33&lt;&gt;""),$AI33="TBD")</formula>
    </cfRule>
  </conditionalFormatting>
  <conditionalFormatting sqref="AJ34">
    <cfRule type="expression" dxfId="179" priority="33">
      <formula>AND(OR($AJ33&lt;&gt;"",$AJ34&lt;&gt;"",$AK33&lt;&gt;""),$AL33="TBD")</formula>
    </cfRule>
  </conditionalFormatting>
  <conditionalFormatting sqref="M34">
    <cfRule type="expression" dxfId="178" priority="57">
      <formula>AND($M34="",$B33&lt;&gt;"")</formula>
    </cfRule>
  </conditionalFormatting>
  <conditionalFormatting sqref="D35:D36">
    <cfRule type="expression" dxfId="177" priority="32">
      <formula>AND($D35&lt;&gt;"",$E35&lt;&gt;"")</formula>
    </cfRule>
  </conditionalFormatting>
  <conditionalFormatting sqref="E35:E36">
    <cfRule type="expression" dxfId="176" priority="31">
      <formula>AND($D35&lt;&gt;"",$E35&lt;&gt;"")</formula>
    </cfRule>
  </conditionalFormatting>
  <conditionalFormatting sqref="C35:C36">
    <cfRule type="expression" dxfId="175" priority="30">
      <formula>AND(OR($D35&lt;&gt;"",$E35&lt;&gt;""),$C35="")</formula>
    </cfRule>
  </conditionalFormatting>
  <conditionalFormatting sqref="O35">
    <cfRule type="expression" dxfId="174" priority="28">
      <formula>AND(OR($O35&lt;&gt;"",$O36&lt;&gt;"",$P35&lt;&gt;""),$Q35="TBD")</formula>
    </cfRule>
  </conditionalFormatting>
  <conditionalFormatting sqref="O35:O36 Q35:Q36">
    <cfRule type="expression" dxfId="173" priority="29">
      <formula>AND(OR($O35&lt;&gt;"",$O36&lt;&gt;"",$P35&lt;&gt;""),$Q35="TBD")</formula>
    </cfRule>
  </conditionalFormatting>
  <conditionalFormatting sqref="R35">
    <cfRule type="expression" dxfId="172" priority="26">
      <formula>AND(OR($O35&lt;&gt;"",$O36&lt;&gt;"",$P35&lt;&gt;""),$Q35="TBD")</formula>
    </cfRule>
  </conditionalFormatting>
  <conditionalFormatting sqref="R35:R36 T35:T36">
    <cfRule type="expression" dxfId="171" priority="27">
      <formula>AND(OR($R35&lt;&gt;"",$R36&lt;&gt;"",$S35&lt;&gt;""),$T35="TBD")</formula>
    </cfRule>
  </conditionalFormatting>
  <conditionalFormatting sqref="U35">
    <cfRule type="expression" dxfId="170" priority="24">
      <formula>AND(OR($O35&lt;&gt;"",$O36&lt;&gt;"",$P35&lt;&gt;""),$Q35="TBD")</formula>
    </cfRule>
  </conditionalFormatting>
  <conditionalFormatting sqref="U35:U36 W35:W36">
    <cfRule type="expression" dxfId="169" priority="25">
      <formula>AND(OR($U35&lt;&gt;"",$U36&lt;&gt;"",$V35&lt;&gt;""),$W35="TBD")</formula>
    </cfRule>
  </conditionalFormatting>
  <conditionalFormatting sqref="X35">
    <cfRule type="expression" dxfId="168" priority="22">
      <formula>AND(OR($O35&lt;&gt;"",$O36&lt;&gt;"",$P35&lt;&gt;""),$Q35="TBD")</formula>
    </cfRule>
  </conditionalFormatting>
  <conditionalFormatting sqref="X35:Z36">
    <cfRule type="expression" dxfId="167" priority="23">
      <formula>AND(OR($X35&lt;&gt;"",$X36&lt;&gt;"",$Y35&lt;&gt;""),$Z35="TBD")</formula>
    </cfRule>
  </conditionalFormatting>
  <conditionalFormatting sqref="AA35">
    <cfRule type="expression" dxfId="166" priority="20">
      <formula>AND(OR($O35&lt;&gt;"",$O36&lt;&gt;"",$P35&lt;&gt;""),$Q35="TBD")</formula>
    </cfRule>
  </conditionalFormatting>
  <conditionalFormatting sqref="AA35:AC36">
    <cfRule type="expression" dxfId="165" priority="21">
      <formula>AND(OR($AA35&lt;&gt;"",$AA36&lt;&gt;"",$AB35&lt;&gt;""),$AC35="TBD")</formula>
    </cfRule>
  </conditionalFormatting>
  <conditionalFormatting sqref="AD35">
    <cfRule type="expression" dxfId="164" priority="18">
      <formula>AND(OR($O35&lt;&gt;"",$O36&lt;&gt;"",$P35&lt;&gt;""),$Q35="TBD")</formula>
    </cfRule>
  </conditionalFormatting>
  <conditionalFormatting sqref="AD35:AF36">
    <cfRule type="expression" dxfId="163" priority="19">
      <formula>AND(OR($AD35&lt;&gt;"",$AD36&lt;&gt;"",$AE35&lt;&gt;""),$AF35="TBD")</formula>
    </cfRule>
  </conditionalFormatting>
  <conditionalFormatting sqref="AG35">
    <cfRule type="expression" dxfId="162" priority="16">
      <formula>AND(OR($O35&lt;&gt;"",$O36&lt;&gt;"",$P35&lt;&gt;""),$Q35="TBD")</formula>
    </cfRule>
  </conditionalFormatting>
  <conditionalFormatting sqref="AG35:AI36">
    <cfRule type="expression" dxfId="161" priority="17">
      <formula>AND(OR($AG35&lt;&gt;"",$AG36&lt;&gt;"",$AH35&lt;&gt;""),$AI35="TBD")</formula>
    </cfRule>
  </conditionalFormatting>
  <conditionalFormatting sqref="AJ35">
    <cfRule type="expression" dxfId="160" priority="14">
      <formula>AND(OR($O35&lt;&gt;"",$O36&lt;&gt;"",$P35&lt;&gt;""),$Q35="TBD")</formula>
    </cfRule>
  </conditionalFormatting>
  <conditionalFormatting sqref="AJ35:AL36">
    <cfRule type="expression" dxfId="159" priority="15">
      <formula>AND(OR($AJ35&lt;&gt;"",$AJ36&lt;&gt;"",$AK35&lt;&gt;""),$AL35="TBD")</formula>
    </cfRule>
  </conditionalFormatting>
  <conditionalFormatting sqref="O36">
    <cfRule type="expression" dxfId="158" priority="13">
      <formula>AND(OR($O35&lt;&gt;"",$O36&lt;&gt;"",$P35&lt;&gt;""),$Q35="TBD")</formula>
    </cfRule>
  </conditionalFormatting>
  <conditionalFormatting sqref="R36">
    <cfRule type="expression" dxfId="157" priority="12">
      <formula>AND(OR($R35&lt;&gt;"",$R36&lt;&gt;"",$S35&lt;&gt;""),$T35="TBD")</formula>
    </cfRule>
  </conditionalFormatting>
  <conditionalFormatting sqref="U36">
    <cfRule type="expression" dxfId="156" priority="11">
      <formula>AND(OR($U35&lt;&gt;"",$U36&lt;&gt;"",$V35&lt;&gt;""),$W35="TBD")</formula>
    </cfRule>
  </conditionalFormatting>
  <conditionalFormatting sqref="X36">
    <cfRule type="expression" dxfId="155" priority="10">
      <formula>AND(OR($X35&lt;&gt;"",$X36&lt;&gt;"",$Y35&lt;&gt;""),$Z35="TBD")</formula>
    </cfRule>
  </conditionalFormatting>
  <conditionalFormatting sqref="AA36">
    <cfRule type="expression" dxfId="154" priority="9">
      <formula>AND(OR($AA35&lt;&gt;"",$AA36&lt;&gt;"",$AB35&lt;&gt;""),$AC35="TBD")</formula>
    </cfRule>
  </conditionalFormatting>
  <conditionalFormatting sqref="AD36">
    <cfRule type="expression" dxfId="153" priority="8">
      <formula>AND(OR($AD35&lt;&gt;"",$AD36&lt;&gt;"",$AE35&lt;&gt;""),$AF35="TBD")</formula>
    </cfRule>
  </conditionalFormatting>
  <conditionalFormatting sqref="AG36">
    <cfRule type="expression" dxfId="152" priority="7">
      <formula>AND(OR($AG35&lt;&gt;"",$AG36&lt;&gt;"",$AH35&lt;&gt;""),$AI35="TBD")</formula>
    </cfRule>
  </conditionalFormatting>
  <conditionalFormatting sqref="AJ36">
    <cfRule type="expression" dxfId="151" priority="6">
      <formula>AND(OR($AJ35&lt;&gt;"",$AJ36&lt;&gt;"",$AK35&lt;&gt;""),$AL35="TBD")</formula>
    </cfRule>
  </conditionalFormatting>
  <conditionalFormatting sqref="P35:P36">
    <cfRule type="expression" dxfId="150" priority="4">
      <formula>AND(OR($O35&lt;&gt;"",$O36&lt;&gt;"",$P35&lt;&gt;""),$Q35="TBD")</formula>
    </cfRule>
  </conditionalFormatting>
  <conditionalFormatting sqref="S35:S36">
    <cfRule type="expression" dxfId="149" priority="3">
      <formula>AND(OR($R35&lt;&gt;"",$R36&lt;&gt;"",$S35&lt;&gt;""),$T35="TBD")</formula>
    </cfRule>
  </conditionalFormatting>
  <conditionalFormatting sqref="V35:V36">
    <cfRule type="expression" dxfId="148" priority="2">
      <formula>AND(OR($U35&lt;&gt;"",$U36&lt;&gt;"",$V35&lt;&gt;""),$W35="TBD")</formula>
    </cfRule>
  </conditionalFormatting>
  <conditionalFormatting sqref="M36">
    <cfRule type="expression" dxfId="147" priority="5">
      <formula>AND($M36="",$B35&lt;&gt;"")</formula>
    </cfRule>
  </conditionalFormatting>
  <conditionalFormatting sqref="AN9:AN10">
    <cfRule type="expression" dxfId="146" priority="1">
      <formula>AND($D9&lt;&gt;"",$E9&lt;&gt;"")</formula>
    </cfRule>
  </conditionalFormatting>
  <conditionalFormatting sqref="D37:D38">
    <cfRule type="expression" dxfId="145" priority="13595">
      <formula>AND($D37&lt;&gt;"",$E39&lt;&gt;"")</formula>
    </cfRule>
  </conditionalFormatting>
  <conditionalFormatting sqref="D39:D40">
    <cfRule type="expression" dxfId="144" priority="13596">
      <formula>AND($D39&lt;&gt;"",#REF!&lt;&gt;"")</formula>
    </cfRule>
  </conditionalFormatting>
  <conditionalFormatting sqref="E39:E40">
    <cfRule type="expression" dxfId="143" priority="13597">
      <formula>AND($D37&lt;&gt;"",$E39&lt;&gt;"")</formula>
    </cfRule>
  </conditionalFormatting>
  <conditionalFormatting sqref="C37:C38">
    <cfRule type="expression" dxfId="142" priority="13600">
      <formula>AND(OR($D37&lt;&gt;"",$E39&lt;&gt;""),$C37="")</formula>
    </cfRule>
  </conditionalFormatting>
  <conditionalFormatting sqref="C39:C40">
    <cfRule type="expression" dxfId="141" priority="13601">
      <formula>AND(OR($D39&lt;&gt;"",#REF!&lt;&gt;""),$C39="")</formula>
    </cfRule>
  </conditionalFormatting>
  <dataValidations count="13">
    <dataValidation type="list" allowBlank="1" showInputMessage="1" showErrorMessage="1" sqref="B9:B68" xr:uid="{D74CEB6C-15C7-4FCA-B7EA-9D7CF484E49B}">
      <formula1>Coverage_Module</formula1>
    </dataValidation>
    <dataValidation type="list" allowBlank="1" showInputMessage="1" showErrorMessage="1" sqref="M9 M11 M13 M15 M17 M19 M21 M23 M25 M27 M29 M31 M33 M35 M37 M39 M41 M43 M45 M47 M49 M51 M53 M55 M57 M59 M61 M63 M65 M67" xr:uid="{64E5998C-F53A-4CC1-A74D-05D0442A5B49}">
      <formula1>Country</formula1>
    </dataValidation>
    <dataValidation type="list" allowBlank="1" showInputMessage="1" showErrorMessage="1" sqref="K9:K68" xr:uid="{82FEE408-9125-41A8-813B-3CEAB240A296}">
      <formula1>"Yes,No"</formula1>
    </dataValidation>
    <dataValidation type="list" allowBlank="1" showInputMessage="1" showErrorMessage="1" sqref="H9:H68" xr:uid="{B67C3E4A-74BA-4422-B047-E1337C5BECAA}">
      <formula1>baseline_validation</formula1>
    </dataValidation>
    <dataValidation type="decimal" operator="greaterThanOrEqual" allowBlank="1" showInputMessage="1" showErrorMessage="1" sqref="U9:V68 R9:S68 O9:P68 AD9:AE68 AG9:AH68 AA9:AB68 X9:Y68 AJ9:AK68 F9:G68" xr:uid="{D65FB9A8-A3CA-439A-AE4A-F016FF1237AB}">
      <formula1>0</formula1>
    </dataValidation>
    <dataValidation type="list" allowBlank="1" showInputMessage="1" showErrorMessage="1" sqref="D9:D68" xr:uid="{81AD2138-8DC2-4FA4-B24F-7D80E01F26DF}">
      <formula1>OFFSET(CoverageStart,MATCH(AZ9,CoverageColumn,0)-1,2,COUNTIF(CoverageColumn,AZ9),1)</formula1>
    </dataValidation>
    <dataValidation type="list" allowBlank="1" showInputMessage="1" showErrorMessage="1" sqref="T9:T68" xr:uid="{67BFF3FC-CA4A-477C-B443-AE9662730C2C}">
      <formula1>IF(OR($R9&lt;&gt;"",$R10&lt;&gt;"",$S9&lt;&gt;""),INDIRECT("FakeRange"),$G$4)</formula1>
    </dataValidation>
    <dataValidation type="list" allowBlank="1" showInputMessage="1" showErrorMessage="1" sqref="L9:L68" xr:uid="{E29D35CB-28B8-414B-AB67-254BDEF45F4C}">
      <formula1>MergedAndDistinctPR</formula1>
    </dataValidation>
    <dataValidation type="custom" allowBlank="1" showInputMessage="1" showErrorMessage="1" errorTitle="Coverage Indicators" error="Cannot enter both Standard and Custom indicators on the same line" sqref="E9:E36 E41:E68" xr:uid="{ED565DC8-47EF-44C8-A94B-72AE491DB7DA}">
      <formula1>D9=""</formula1>
    </dataValidation>
    <dataValidation type="custom" allowBlank="1" showInputMessage="1" showErrorMessage="1" errorTitle="Coverage Indicators" error="Cannot enter both Standard and Custom indicators on the same line" sqref="E39:E40" xr:uid="{682B8365-C93C-45C2-8336-9EDE4529D587}">
      <formula1>D37=""</formula1>
    </dataValidation>
    <dataValidation type="list" allowBlank="1" showInputMessage="1" showErrorMessage="1" sqref="C39:C40" xr:uid="{8E9AB8D6-1791-466B-8CEE-D4BF3BA3CBDF}">
      <formula1>IF(#REF!&lt;&gt;"",$XEP$1,INDIRECT(CONCATENATE("'Reference Records'!C",AS39,":C",AT39)))</formula1>
    </dataValidation>
    <dataValidation type="list" allowBlank="1" showInputMessage="1" showErrorMessage="1" sqref="C9:C36 C41:C68" xr:uid="{13152068-1F1D-43B1-9A16-2EDDA434EE6A}">
      <formula1>IF($E9&lt;&gt;"",$XEP$1,INDIRECT(CONCATENATE("'Reference Records'!C",AS9,":C",AT9)))</formula1>
    </dataValidation>
    <dataValidation type="list" allowBlank="1" showInputMessage="1" showErrorMessage="1" sqref="C37:C38" xr:uid="{8A686A74-E374-479C-9C76-9F73DA0FC2A6}">
      <formula1>IF($E39&lt;&gt;"",$XEP$1,INDIRECT(CONCATENATE("'Reference Records'!C",AS37,":C",AT37)))</formula1>
    </dataValidation>
  </dataValidations>
  <hyperlinks>
    <hyperlink ref="B4" location="'Instructions-FR'!InstructionD" display="'Instructions-FR'!InstructionD" xr:uid="{00000000-0004-0000-0A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6EE02FB5-A4FA-4C12-9E92-0063A90EF3EE}">
          <x14:formula1>
            <xm:f>Setup!$A$16:$A$18</xm:f>
          </x14:formula1>
          <xm:sqref>M10 M12 M14 M16 M18 M20 M22 M24 M26 M28 M30 M32 M34 M36 M38 M40 M42 M44 M46 M48 M50 M52 M54 M56 M58 M60 M62 M64 M66 M68</xm:sqref>
        </x14:dataValidation>
        <x14:dataValidation type="list" allowBlank="1" showInputMessage="1" showErrorMessage="1" xr:uid="{42AEB737-5F64-4571-855C-1C65B404CE86}">
          <x14:formula1>
            <xm:f>IF($E9&lt;&gt;"",Setup!$E$15:$E$17,OFFSET(AW9,0,0,1,COUNTIF(AW9:AY9,"?*")))</xm:f>
          </x14:formula1>
          <xm:sqref>N41:N68 N9:N36</xm:sqref>
        </x14:dataValidation>
        <x14:dataValidation type="list" allowBlank="1" showInputMessage="1" showErrorMessage="1" xr:uid="{6E257E2A-4C6C-4BA0-A58E-05AAFC29DD78}">
          <x14:formula1>
            <xm:f>IF($E39&lt;&gt;"",Setup!$E$15:$E$17,OFFSET(AW37,0,0,1,COUNTIF(AW37:AY37,"?*")))</xm:f>
          </x14:formula1>
          <xm:sqref>N37:N38</xm:sqref>
        </x14:dataValidation>
        <x14:dataValidation type="list" allowBlank="1" showInputMessage="1" showErrorMessage="1" xr:uid="{86C6CBD9-6179-4199-843D-DD9C4F74C986}">
          <x14:formula1>
            <xm:f>IF(#REF!&lt;&gt;"",Setup!$E$15:$E$17,OFFSET(AW39,0,0,1,COUNTIF(AW39:AY39,"?*")))</xm:f>
          </x14:formula1>
          <xm:sqref>N39:N40</xm:sqref>
        </x14:dataValidation>
        <x14:dataValidation type="list" allowBlank="1" showInputMessage="1" showErrorMessage="1" xr:uid="{B6B93825-4199-4051-8A47-4825295F561C}">
          <x14:formula1>
            <xm:f>IF(OR($O9&lt;&gt;"",$O10&lt;&gt;"",$P9&lt;&gt;""),INDIRECT("FakeRange"),Setup!A$29)</xm:f>
          </x14:formula1>
          <xm:sqref>Q9:Q68</xm:sqref>
        </x14:dataValidation>
        <x14:dataValidation type="list" allowBlank="1" showInputMessage="1" showErrorMessage="1" xr:uid="{23CEE8EB-DD5E-499B-8547-0B096937C599}">
          <x14:formula1>
            <xm:f>IF(OR($U9&lt;&gt;"",$U10&lt;&gt;"",$V9&lt;&gt;""),INDIRECT("FakeRange"),Setup!A$29)</xm:f>
          </x14:formula1>
          <xm:sqref>W9:W68</xm:sqref>
        </x14:dataValidation>
        <x14:dataValidation type="list" allowBlank="1" showInputMessage="1" showErrorMessage="1" xr:uid="{6D3282A3-C2E0-4E17-BE98-C6D0D6827754}">
          <x14:formula1>
            <xm:f>IF(OR($X9&lt;&gt;"",$X10&lt;&gt;"",$Y9&lt;&gt;""),INDIRECT("FakeRange"),Setup!A$29)</xm:f>
          </x14:formula1>
          <xm:sqref>Z9:Z68</xm:sqref>
        </x14:dataValidation>
        <x14:dataValidation type="list" allowBlank="1" showInputMessage="1" showErrorMessage="1" xr:uid="{681F9945-E351-4203-88B7-0C9DC8011E06}">
          <x14:formula1>
            <xm:f>IF(OR($AA9&lt;&gt;"",$AA10&lt;&gt;"",$AB9&lt;&gt;""),INDIRECT("FakeRange"),Setup!A$29)</xm:f>
          </x14:formula1>
          <xm:sqref>AC9:AC68</xm:sqref>
        </x14:dataValidation>
        <x14:dataValidation type="list" allowBlank="1" showInputMessage="1" showErrorMessage="1" xr:uid="{D2B1D220-F049-4126-8E91-020C9D2385C9}">
          <x14:formula1>
            <xm:f>IF(OR(AD9&lt;&gt;"",AD10&lt;&gt;"",AE9&gt;""),INDIRECT("FakeRange"),Setup!A$29)</xm:f>
          </x14:formula1>
          <xm:sqref>AF9:AF68</xm:sqref>
        </x14:dataValidation>
        <x14:dataValidation type="list" allowBlank="1" showInputMessage="1" showErrorMessage="1" xr:uid="{42F68886-89E6-4CB9-A7B3-4D4AC2C7847B}">
          <x14:formula1>
            <xm:f>IF(OR(AG9&lt;&gt;"",AG10&lt;&gt;"",AH9&lt;&gt;""),INDIRECT("FakeRange"),Setup!A$29)</xm:f>
          </x14:formula1>
          <xm:sqref>AI9:AI68</xm:sqref>
        </x14:dataValidation>
        <x14:dataValidation type="list" allowBlank="1" showInputMessage="1" showErrorMessage="1" xr:uid="{A02C40BD-CCA0-404F-BEB9-57574AB16212}">
          <x14:formula1>
            <xm:f>IF(OR(AJ9&lt;&gt;"",AJ10&lt;&gt;"",AK9&lt;&gt;""),INDIRECT("FakeRange"),Setup!A$29)</xm:f>
          </x14:formula1>
          <xm:sqref>AL9:AL68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W1820"/>
  <sheetViews>
    <sheetView showGridLines="0" topLeftCell="B3" zoomScale="70" zoomScaleNormal="70" workbookViewId="0">
      <selection activeCell="B16" sqref="B16:B17"/>
    </sheetView>
  </sheetViews>
  <sheetFormatPr defaultColWidth="9" defaultRowHeight="15.5" x14ac:dyDescent="0.35"/>
  <cols>
    <col min="1" max="1" width="7.5" style="210" hidden="1" customWidth="1"/>
    <col min="2" max="2" width="26.1640625" customWidth="1"/>
    <col min="3" max="3" width="30.58203125" customWidth="1"/>
    <col min="4" max="4" width="15.08203125" customWidth="1"/>
    <col min="5" max="5" width="24.08203125" customWidth="1"/>
    <col min="6" max="6" width="20.08203125" customWidth="1"/>
    <col min="7" max="7" width="16.08203125" customWidth="1"/>
    <col min="8" max="8" width="17.08203125" customWidth="1"/>
    <col min="9" max="9" width="30.58203125" customWidth="1"/>
    <col min="10" max="10" width="66.6640625" customWidth="1"/>
    <col min="11" max="11" width="30.58203125" customWidth="1"/>
    <col min="12" max="12" width="15.08203125" customWidth="1"/>
    <col min="13" max="13" width="16.58203125" customWidth="1"/>
    <col min="14" max="14" width="50.58203125" customWidth="1"/>
    <col min="15" max="19" width="9" hidden="1" customWidth="1"/>
    <col min="20" max="20" width="17.08203125" hidden="1" customWidth="1"/>
    <col min="21" max="21" width="12.58203125" hidden="1" customWidth="1"/>
    <col min="22" max="22" width="10.1640625" hidden="1" customWidth="1"/>
    <col min="23" max="23" width="13.6640625" hidden="1" customWidth="1"/>
  </cols>
  <sheetData>
    <row r="1" spans="1:23" x14ac:dyDescent="0.35">
      <c r="B1" s="771" t="str">
        <f ca="1">Translations!A69</f>
        <v>Marco de desempeño - Desagregación - Sección E</v>
      </c>
      <c r="C1" s="771"/>
      <c r="D1" s="771"/>
      <c r="E1" s="771"/>
      <c r="F1" s="771"/>
      <c r="G1" s="771"/>
      <c r="H1" s="771"/>
      <c r="I1" s="771"/>
      <c r="J1" s="771"/>
    </row>
    <row r="2" spans="1:23" ht="28.5" customHeight="1" x14ac:dyDescent="0.35">
      <c r="B2" s="772"/>
      <c r="C2" s="772"/>
      <c r="D2" s="772"/>
      <c r="E2" s="772"/>
      <c r="F2" s="772"/>
      <c r="G2" s="772"/>
      <c r="H2" s="772"/>
      <c r="I2" s="772"/>
      <c r="J2" s="772"/>
    </row>
    <row r="3" spans="1:23" x14ac:dyDescent="0.35">
      <c r="B3" s="772"/>
      <c r="C3" s="772"/>
      <c r="D3" s="772"/>
      <c r="E3" s="772"/>
      <c r="F3" s="772"/>
      <c r="G3" s="772"/>
      <c r="H3" s="772"/>
      <c r="I3" s="772"/>
      <c r="J3" s="772"/>
    </row>
    <row r="4" spans="1:23" ht="16" thickBot="1" x14ac:dyDescent="0.4"/>
    <row r="5" spans="1:23" ht="16" thickBot="1" x14ac:dyDescent="0.4">
      <c r="B5" s="186" t="str">
        <f ca="1">Translations!A12</f>
        <v>Navegación de la página</v>
      </c>
      <c r="C5" s="184" t="str">
        <f ca="1">Translations!A70</f>
        <v>Impacto</v>
      </c>
      <c r="D5" s="184" t="str">
        <f ca="1">Translations!A78</f>
        <v xml:space="preserve">Resultados </v>
      </c>
      <c r="E5" s="184" t="str">
        <f ca="1">Translations!A71</f>
        <v>Cobertura</v>
      </c>
      <c r="F5" s="188" t="str">
        <f ca="1">Translations!A48</f>
        <v>Instrucciones</v>
      </c>
    </row>
    <row r="6" spans="1:23" x14ac:dyDescent="0.35">
      <c r="K6" s="253"/>
      <c r="L6" s="253"/>
      <c r="M6" s="253"/>
    </row>
    <row r="7" spans="1:23" x14ac:dyDescent="0.35">
      <c r="C7" s="253"/>
      <c r="K7" s="253"/>
      <c r="L7" s="253"/>
      <c r="M7" s="253"/>
    </row>
    <row r="8" spans="1:23" ht="16.399999999999999" customHeight="1" x14ac:dyDescent="0.35">
      <c r="B8" s="773" t="str">
        <f ca="1">Translations!A72</f>
        <v>Desagregación del Indicador de impacto</v>
      </c>
      <c r="C8" s="774"/>
      <c r="D8" s="774"/>
      <c r="E8" s="774"/>
      <c r="F8" s="774"/>
      <c r="G8" s="774"/>
      <c r="H8" s="774"/>
      <c r="I8" s="774"/>
      <c r="J8" s="774"/>
      <c r="K8" s="773"/>
      <c r="L8" s="774"/>
      <c r="M8" s="774"/>
      <c r="N8" s="774"/>
    </row>
    <row r="9" spans="1:23" ht="45" customHeight="1" x14ac:dyDescent="0.35">
      <c r="A9" s="196" t="s">
        <v>341</v>
      </c>
      <c r="B9" s="271" t="str">
        <f ca="1">Translations!A37</f>
        <v xml:space="preserve">Indicador de impacto número </v>
      </c>
      <c r="C9" s="271" t="str">
        <f ca="1">Translations!A73</f>
        <v>Nombre del indicador de impacto</v>
      </c>
      <c r="D9" s="271" t="str">
        <f ca="1">Translations!$A$74</f>
        <v>Categoría</v>
      </c>
      <c r="E9" s="271" t="str">
        <f ca="1">Translations!$A$75</f>
        <v>Desagregación</v>
      </c>
      <c r="F9" s="271" t="s">
        <v>546</v>
      </c>
      <c r="G9" s="271" t="str">
        <f ca="1">Translations!$A$41</f>
        <v>Línea de base %</v>
      </c>
      <c r="H9" s="271" t="s">
        <v>436</v>
      </c>
      <c r="I9" s="271" t="s">
        <v>438</v>
      </c>
      <c r="J9" s="271" t="s">
        <v>407</v>
      </c>
      <c r="K9" s="271" t="str">
        <f ca="1">Translations!A73 &amp;" (EN) "</f>
        <v xml:space="preserve">Nombre del indicador de impacto (EN) </v>
      </c>
      <c r="L9" s="271" t="str">
        <f ca="1">Translations!$A$74 &amp; " (EN)"</f>
        <v>Categoría (EN)</v>
      </c>
      <c r="M9" s="271" t="s">
        <v>11197</v>
      </c>
      <c r="N9" s="271" t="s">
        <v>11198</v>
      </c>
    </row>
    <row r="10" spans="1:23" s="194" customFormat="1" ht="40.4" customHeight="1" x14ac:dyDescent="0.35">
      <c r="A10" s="770" t="str">
        <f ca="1">INDIRECT("'update Helper'!C"&amp;U10)</f>
        <v>a1G3p000005ncDHEAY</v>
      </c>
      <c r="B10" s="766">
        <v>1</v>
      </c>
      <c r="C10" s="760" t="str">
        <f>IFERROR(VLOOKUP(B10,'Impact Indicators - Section B '!$A$9:$AF$52,32,FALSE),"")</f>
        <v>HIV I-9a⁽ᴹ⁾ Porcentaje de HSH y viven con el VIH</v>
      </c>
      <c r="D10" s="768" t="str">
        <f>R10</f>
        <v>Edad</v>
      </c>
      <c r="E10" s="768" t="str">
        <f>S10</f>
        <v>25+</v>
      </c>
      <c r="F10" s="413"/>
      <c r="G10" s="762" t="str">
        <f ca="1">IF(OR(INDIRECT("'update Helper'!E"&amp;U10)="",F10&lt;&gt;0,F11&lt;&gt;0),IF(IFERROR((F10/F11),"")="","",(F10/F11)),INDIRECT("'update Helper'!E"&amp;U10)/100)</f>
        <v/>
      </c>
      <c r="H10" s="743">
        <v>2019</v>
      </c>
      <c r="I10" s="764"/>
      <c r="J10" s="729" t="s">
        <v>9912</v>
      </c>
      <c r="K10" s="760" t="str">
        <f>W10</f>
        <v>HIV I-9a⁽ᴹ⁾ Percentage of men who have sex with men who are living with HIV</v>
      </c>
      <c r="L10" s="760" t="str">
        <f>V10</f>
        <v>Age</v>
      </c>
      <c r="M10" s="729"/>
      <c r="N10" s="729" t="s">
        <v>4037</v>
      </c>
      <c r="P10" s="194">
        <f>IF(AND(EXACT(C10,C8),C8&lt;&gt;0),P8+1,0)</f>
        <v>0</v>
      </c>
      <c r="Q10" s="194" t="str">
        <f>IF(C10&lt;&gt;"",C10&amp;"-"&amp;P10,"")</f>
        <v>HIV I-9a⁽ᴹ⁾ Porcentaje de HSH y viven con el VIH-0</v>
      </c>
      <c r="R10" s="194" t="str">
        <f t="array" ref="R10">IFERROR(IF(INDEX('Disaggregation Records'!$E$3:$E$66,MATCH(RIGHT(Q10,255),RIGHT('Disaggregation Records'!$D$3:$D$66,255),0))="","",INDEX('Disaggregation Records'!$E$3:$E$66,MATCH(RIGHT(Q10,255),RIGHT('Disaggregation Records'!$D$3:$D$66,255),0))),"")</f>
        <v>Edad</v>
      </c>
      <c r="S10" s="194" t="str">
        <f t="array" ref="S10">IFERROR(IF(INDEX('Disaggregation Records'!$F$3:$F$66,MATCH(RIGHT(Q10,255),RIGHT('Disaggregation Records'!$D$3:$D$66,255),0))="","",INDEX('Disaggregation Records'!$F$3:$F$66,MATCH(RIGHT(Q10,255),RIGHT('Disaggregation Records'!$D$3:$D$66,255),0))),"")</f>
        <v>25+</v>
      </c>
      <c r="T10" s="194" t="str">
        <f t="array" ref="T10">IFERROR(IF(INDEX('Disaggregation Records'!$H$3:$H$66,MATCH(RIGHT(Q10,255),RIGHT('Disaggregation Records'!$D$3:$D$66,255),0))="","",INDEX('Disaggregation Records'!$H$3:$H$66,MATCH(RIGHT(Q10,255),RIGHT('Disaggregation Records'!$D$3:$D$66,255),0))),"")</f>
        <v>IDR-00657</v>
      </c>
      <c r="U10" s="194">
        <f>ROW(Impact_Indicator_Disaggregation)+3</f>
        <v>2121</v>
      </c>
      <c r="V10" s="194" t="str">
        <f t="array" ref="V10">IFERROR(IF(INDEX('Disaggregation Records'!$I$3:$I$66,MATCH(RIGHT(Q10,255),RIGHT('Disaggregation Records'!$D$3:$D$66,255),0))="","",INDEX('Disaggregation Records'!$I$3:$I$66,MATCH(RIGHT(Q10,255),RIGHT('Disaggregation Records'!$D$3:$D$66,255),0))),"")</f>
        <v>Age</v>
      </c>
      <c r="W10" s="194" t="str">
        <f>IFERROR(INDEX('Reference Records'!O$3:O$19,MATCH(LEFT(C10,255),'Reference Records'!J$3:J$19,0)),"")</f>
        <v>HIV I-9a⁽ᴹ⁾ Percentage of men who have sex with men who are living with HIV</v>
      </c>
    </row>
    <row r="11" spans="1:23" s="195" customFormat="1" ht="40.4" customHeight="1" x14ac:dyDescent="0.35">
      <c r="A11" s="770"/>
      <c r="B11" s="767"/>
      <c r="C11" s="761"/>
      <c r="D11" s="769"/>
      <c r="E11" s="769"/>
      <c r="F11" s="208"/>
      <c r="G11" s="763"/>
      <c r="H11" s="744"/>
      <c r="I11" s="765"/>
      <c r="J11" s="730"/>
      <c r="K11" s="761"/>
      <c r="L11" s="761"/>
      <c r="M11" s="730"/>
      <c r="N11" s="730"/>
    </row>
    <row r="12" spans="1:23" s="194" customFormat="1" ht="40.4" customHeight="1" x14ac:dyDescent="0.35">
      <c r="A12" s="770" t="str">
        <f ca="1">INDIRECT("'update Helper'!C"&amp;U12)</f>
        <v>a1G3p000005ncDIEAY</v>
      </c>
      <c r="B12" s="766">
        <v>1</v>
      </c>
      <c r="C12" s="760" t="str">
        <f>IFERROR(VLOOKUP(B12,'Impact Indicators - Section B '!$A$9:$AF$52,32,FALSE),"")</f>
        <v>HIV I-9a⁽ᴹ⁾ Porcentaje de HSH y viven con el VIH</v>
      </c>
      <c r="D12" s="768" t="str">
        <f>R12</f>
        <v>Edad</v>
      </c>
      <c r="E12" s="768" t="str">
        <f>S12</f>
        <v>&lt;25</v>
      </c>
      <c r="F12" s="413"/>
      <c r="G12" s="762" t="str">
        <f ca="1">IF(OR(INDIRECT("'update Helper'!E"&amp;U12)="",F12&lt;&gt;0,F13&lt;&gt;0),IF(IFERROR((F12/F13),"")="","",(F12/F13)),INDIRECT("'update Helper'!E"&amp;U12)/100)</f>
        <v/>
      </c>
      <c r="H12" s="743">
        <v>2019</v>
      </c>
      <c r="I12" s="764"/>
      <c r="J12" s="729" t="s">
        <v>9912</v>
      </c>
      <c r="K12" s="760" t="str">
        <f>W12</f>
        <v>HIV I-9a⁽ᴹ⁾ Percentage of men who have sex with men who are living with HIV</v>
      </c>
      <c r="L12" s="760" t="str">
        <f>V12</f>
        <v>Age</v>
      </c>
      <c r="M12" s="729"/>
      <c r="N12" s="729" t="s">
        <v>4037</v>
      </c>
      <c r="P12" s="194">
        <f>IF(AND(EXACT(C12,C10),C10&lt;&gt;0),P10+1,0)</f>
        <v>1</v>
      </c>
      <c r="Q12" s="194" t="str">
        <f>IF(C12&lt;&gt;"",C12&amp;"-"&amp;P12,"")</f>
        <v>HIV I-9a⁽ᴹ⁾ Porcentaje de HSH y viven con el VIH-1</v>
      </c>
      <c r="R12" s="194" t="str">
        <f t="array" ref="R12">IFERROR(IF(INDEX('Disaggregation Records'!$E$3:$E$66,MATCH(RIGHT(Q12,255),RIGHT('Disaggregation Records'!$D$3:$D$66,255),0))="","",INDEX('Disaggregation Records'!$E$3:$E$66,MATCH(RIGHT(Q12,255),RIGHT('Disaggregation Records'!$D$3:$D$66,255),0))),"")</f>
        <v>Edad</v>
      </c>
      <c r="S12" s="194" t="str">
        <f t="array" ref="S12">IFERROR(IF(INDEX('Disaggregation Records'!$F$3:$F$66,MATCH(RIGHT(Q12,255),RIGHT('Disaggregation Records'!$D$3:$D$66,255),0))="","",INDEX('Disaggregation Records'!$F$3:$F$66,MATCH(RIGHT(Q12,255),RIGHT('Disaggregation Records'!$D$3:$D$66,255),0))),"")</f>
        <v>&lt;25</v>
      </c>
      <c r="T12" s="194" t="str">
        <f t="array" ref="T12">IFERROR(IF(INDEX('Disaggregation Records'!$H$3:$H$66,MATCH(RIGHT(Q12,255),RIGHT('Disaggregation Records'!$D$3:$D$66,255),0))="","",INDEX('Disaggregation Records'!$H$3:$H$66,MATCH(RIGHT(Q12,255),RIGHT('Disaggregation Records'!$D$3:$D$66,255),0))),"")</f>
        <v>IDR-00656</v>
      </c>
      <c r="U12" s="194">
        <f>U10+1</f>
        <v>2122</v>
      </c>
      <c r="V12" s="194" t="str">
        <f t="array" ref="V12">IFERROR(IF(INDEX('Disaggregation Records'!$I$3:$I$66,MATCH(RIGHT(Q12,255),RIGHT('Disaggregation Records'!$D$3:$D$66,255),0))="","",INDEX('Disaggregation Records'!$I$3:$I$66,MATCH(RIGHT(Q12,255),RIGHT('Disaggregation Records'!$D$3:$D$66,255),0))),"")</f>
        <v>Age</v>
      </c>
      <c r="W12" s="194" t="str">
        <f>IFERROR(INDEX('Reference Records'!O$3:O$19,MATCH(LEFT(C12,255),'Reference Records'!J$3:J$19,0)),"")</f>
        <v>HIV I-9a⁽ᴹ⁾ Percentage of men who have sex with men who are living with HIV</v>
      </c>
    </row>
    <row r="13" spans="1:23" s="195" customFormat="1" ht="40.4" customHeight="1" x14ac:dyDescent="0.35">
      <c r="A13" s="770"/>
      <c r="B13" s="767"/>
      <c r="C13" s="761"/>
      <c r="D13" s="769"/>
      <c r="E13" s="769"/>
      <c r="F13" s="208"/>
      <c r="G13" s="763"/>
      <c r="H13" s="744"/>
      <c r="I13" s="765"/>
      <c r="J13" s="730"/>
      <c r="K13" s="761"/>
      <c r="L13" s="761"/>
      <c r="M13" s="730"/>
      <c r="N13" s="730"/>
    </row>
    <row r="14" spans="1:23" s="194" customFormat="1" ht="40.4" customHeight="1" x14ac:dyDescent="0.35">
      <c r="A14" s="770" t="str">
        <f t="shared" ref="A14:A76" ca="1" si="0">INDIRECT("'update Helper'!C"&amp;U14)</f>
        <v>a1G3p000005ncDJEAY</v>
      </c>
      <c r="B14" s="766">
        <v>1</v>
      </c>
      <c r="C14" s="760" t="str">
        <f>IFERROR(VLOOKUP(B14,'Impact Indicators - Section B '!$A$9:$AF$52,32,FALSE),"")</f>
        <v>HIV I-9a⁽ᴹ⁾ Porcentaje de HSH y viven con el VIH</v>
      </c>
      <c r="D14" s="768" t="str">
        <f>R14</f>
        <v/>
      </c>
      <c r="E14" s="768" t="str">
        <f>S14</f>
        <v/>
      </c>
      <c r="F14" s="413"/>
      <c r="G14" s="762" t="str">
        <f ca="1">IF(OR(INDIRECT("'update Helper'!E"&amp;U14)="",F14&lt;&gt;0,F15&lt;&gt;0),IF(IFERROR((F14/F15),"")="","",(F14/F15)),INDIRECT("'update Helper'!E"&amp;U14)/100)</f>
        <v/>
      </c>
      <c r="H14" s="743"/>
      <c r="I14" s="764"/>
      <c r="J14" s="729"/>
      <c r="K14" s="760" t="str">
        <f>W14</f>
        <v>HIV I-9a⁽ᴹ⁾ Percentage of men who have sex with men who are living with HIV</v>
      </c>
      <c r="L14" s="760" t="str">
        <f>V14</f>
        <v/>
      </c>
      <c r="M14" s="729"/>
      <c r="N14" s="729"/>
      <c r="P14" s="194">
        <f>IF(AND(EXACT(C14,C12),C12&lt;&gt;0),P12+1,0)</f>
        <v>2</v>
      </c>
      <c r="Q14" s="194" t="str">
        <f>IF(C14&lt;&gt;"",C14&amp;"-"&amp;P14,"")</f>
        <v>HIV I-9a⁽ᴹ⁾ Porcentaje de HSH y viven con el VIH-2</v>
      </c>
      <c r="R14" s="194" t="str">
        <f t="array" ref="R14">IFERROR(IF(INDEX('Disaggregation Records'!$E$3:$E$66,MATCH(RIGHT(Q14,255),RIGHT('Disaggregation Records'!$D$3:$D$66,255),0))="","",INDEX('Disaggregation Records'!$E$3:$E$66,MATCH(RIGHT(Q14,255),RIGHT('Disaggregation Records'!$D$3:$D$66,255),0))),"")</f>
        <v/>
      </c>
      <c r="S14" s="194" t="str">
        <f t="array" ref="S14">IFERROR(IF(INDEX('Disaggregation Records'!$F$3:$F$66,MATCH(RIGHT(Q14,255),RIGHT('Disaggregation Records'!$D$3:$D$66,255),0))="","",INDEX('Disaggregation Records'!$F$3:$F$66,MATCH(RIGHT(Q14,255),RIGHT('Disaggregation Records'!$D$3:$D$66,255),0))),"")</f>
        <v/>
      </c>
      <c r="T14" s="194" t="str">
        <f t="array" ref="T14">IFERROR(IF(INDEX('Disaggregation Records'!$H$3:$H$66,MATCH(RIGHT(Q14,255),RIGHT('Disaggregation Records'!$D$3:$D$66,255),0))="","",INDEX('Disaggregation Records'!$H$3:$H$66,MATCH(RIGHT(Q14,255),RIGHT('Disaggregation Records'!$D$3:$D$66,255),0))),"")</f>
        <v/>
      </c>
      <c r="U14" s="194">
        <f>U12+1</f>
        <v>2123</v>
      </c>
      <c r="V14" s="194" t="str">
        <f t="array" ref="V14">IFERROR(IF(INDEX('Disaggregation Records'!$I$3:$I$66,MATCH(RIGHT(Q14,255),RIGHT('Disaggregation Records'!$D$3:$D$66,255),0))="","",INDEX('Disaggregation Records'!$I$3:$I$66,MATCH(RIGHT(Q14,255),RIGHT('Disaggregation Records'!$D$3:$D$66,255),0))),"")</f>
        <v/>
      </c>
      <c r="W14" s="194" t="str">
        <f>IFERROR(INDEX('Reference Records'!O$3:O$19,MATCH(LEFT(C14,255),'Reference Records'!J$3:J$19,0)),"")</f>
        <v>HIV I-9a⁽ᴹ⁾ Percentage of men who have sex with men who are living with HIV</v>
      </c>
    </row>
    <row r="15" spans="1:23" s="194" customFormat="1" ht="40.4" customHeight="1" x14ac:dyDescent="0.35">
      <c r="A15" s="770"/>
      <c r="B15" s="767"/>
      <c r="C15" s="761"/>
      <c r="D15" s="769"/>
      <c r="E15" s="769"/>
      <c r="F15" s="208"/>
      <c r="G15" s="763"/>
      <c r="H15" s="744"/>
      <c r="I15" s="765"/>
      <c r="J15" s="730"/>
      <c r="K15" s="761"/>
      <c r="L15" s="761"/>
      <c r="M15" s="730"/>
      <c r="N15" s="730"/>
      <c r="P15" s="195"/>
      <c r="Q15" s="195"/>
      <c r="R15" s="195"/>
      <c r="S15" s="195"/>
      <c r="T15" s="195"/>
      <c r="U15" s="195"/>
      <c r="V15" s="195"/>
      <c r="W15" s="195"/>
    </row>
    <row r="16" spans="1:23" s="194" customFormat="1" ht="40.4" customHeight="1" x14ac:dyDescent="0.35">
      <c r="A16" s="770" t="str">
        <f t="shared" ca="1" si="0"/>
        <v>a1G3p000005ncDKEAY</v>
      </c>
      <c r="B16" s="766">
        <v>1</v>
      </c>
      <c r="C16" s="760" t="str">
        <f>IFERROR(VLOOKUP(B16,'Impact Indicators - Section B '!$A$9:$AF$52,32,FALSE),"")</f>
        <v>HIV I-9a⁽ᴹ⁾ Porcentaje de HSH y viven con el VIH</v>
      </c>
      <c r="D16" s="768" t="str">
        <f>R16</f>
        <v/>
      </c>
      <c r="E16" s="768" t="str">
        <f>S16</f>
        <v/>
      </c>
      <c r="F16" s="413"/>
      <c r="G16" s="762" t="str">
        <f ca="1">IF(OR(INDIRECT("'update Helper'!E"&amp;U16)="",F16&lt;&gt;0,F17&lt;&gt;0),IF(IFERROR((F16/F17),"")="","",(F16/F17)),INDIRECT("'update Helper'!E"&amp;U16)/100)</f>
        <v/>
      </c>
      <c r="H16" s="743"/>
      <c r="I16" s="764"/>
      <c r="J16" s="729"/>
      <c r="K16" s="760" t="str">
        <f>W16</f>
        <v>HIV I-9a⁽ᴹ⁾ Percentage of men who have sex with men who are living with HIV</v>
      </c>
      <c r="L16" s="760" t="str">
        <f>V16</f>
        <v/>
      </c>
      <c r="M16" s="729"/>
      <c r="N16" s="729"/>
      <c r="P16" s="194">
        <f>IF(AND(EXACT(C16,C14),C14&lt;&gt;0),P14+1,0)</f>
        <v>3</v>
      </c>
      <c r="Q16" s="194" t="str">
        <f>IF(C16&lt;&gt;"",C16&amp;"-"&amp;P16,"")</f>
        <v>HIV I-9a⁽ᴹ⁾ Porcentaje de HSH y viven con el VIH-3</v>
      </c>
      <c r="R16" s="194" t="str">
        <f t="array" ref="R16">IFERROR(IF(INDEX('Disaggregation Records'!$E$3:$E$66,MATCH(RIGHT(Q16,255),RIGHT('Disaggregation Records'!$D$3:$D$66,255),0))="","",INDEX('Disaggregation Records'!$E$3:$E$66,MATCH(RIGHT(Q16,255),RIGHT('Disaggregation Records'!$D$3:$D$66,255),0))),"")</f>
        <v/>
      </c>
      <c r="S16" s="194" t="str">
        <f t="array" ref="S16">IFERROR(IF(INDEX('Disaggregation Records'!$F$3:$F$66,MATCH(RIGHT(Q16,255),RIGHT('Disaggregation Records'!$D$3:$D$66,255),0))="","",INDEX('Disaggregation Records'!$F$3:$F$66,MATCH(RIGHT(Q16,255),RIGHT('Disaggregation Records'!$D$3:$D$66,255),0))),"")</f>
        <v/>
      </c>
      <c r="T16" s="194" t="str">
        <f t="array" ref="T16">IFERROR(IF(INDEX('Disaggregation Records'!$H$3:$H$66,MATCH(RIGHT(Q16,255),RIGHT('Disaggregation Records'!$D$3:$D$66,255),0))="","",INDEX('Disaggregation Records'!$H$3:$H$66,MATCH(RIGHT(Q16,255),RIGHT('Disaggregation Records'!$D$3:$D$66,255),0))),"")</f>
        <v/>
      </c>
      <c r="U16" s="194">
        <f>U14+1</f>
        <v>2124</v>
      </c>
      <c r="V16" s="194" t="str">
        <f t="array" ref="V16">IFERROR(IF(INDEX('Disaggregation Records'!$I$3:$I$66,MATCH(RIGHT(Q16,255),RIGHT('Disaggregation Records'!$D$3:$D$66,255),0))="","",INDEX('Disaggregation Records'!$I$3:$I$66,MATCH(RIGHT(Q16,255),RIGHT('Disaggregation Records'!$D$3:$D$66,255),0))),"")</f>
        <v/>
      </c>
      <c r="W16" s="194" t="str">
        <f>IFERROR(INDEX('Reference Records'!O$3:O$19,MATCH(LEFT(C16,255),'Reference Records'!J$3:J$19,0)),"")</f>
        <v>HIV I-9a⁽ᴹ⁾ Percentage of men who have sex with men who are living with HIV</v>
      </c>
    </row>
    <row r="17" spans="1:23" s="195" customFormat="1" ht="40.4" customHeight="1" x14ac:dyDescent="0.35">
      <c r="A17" s="770"/>
      <c r="B17" s="767"/>
      <c r="C17" s="761"/>
      <c r="D17" s="769"/>
      <c r="E17" s="769"/>
      <c r="F17" s="208"/>
      <c r="G17" s="763"/>
      <c r="H17" s="744"/>
      <c r="I17" s="765"/>
      <c r="J17" s="730"/>
      <c r="K17" s="761"/>
      <c r="L17" s="761"/>
      <c r="M17" s="730"/>
      <c r="N17" s="730"/>
    </row>
    <row r="18" spans="1:23" s="194" customFormat="1" ht="40.4" customHeight="1" x14ac:dyDescent="0.35">
      <c r="A18" s="770" t="str">
        <f t="shared" ca="1" si="0"/>
        <v>a1G3p000005ncDLEAY</v>
      </c>
      <c r="B18" s="766">
        <v>1</v>
      </c>
      <c r="C18" s="760" t="str">
        <f>IFERROR(VLOOKUP(B18,'Impact Indicators - Section B '!$A$9:$AF$52,32,FALSE),"")</f>
        <v>HIV I-9a⁽ᴹ⁾ Porcentaje de HSH y viven con el VIH</v>
      </c>
      <c r="D18" s="768" t="str">
        <f>R18</f>
        <v/>
      </c>
      <c r="E18" s="768" t="str">
        <f>S18</f>
        <v/>
      </c>
      <c r="F18" s="413"/>
      <c r="G18" s="762" t="str">
        <f ca="1">IF(OR(INDIRECT("'update Helper'!E"&amp;U18)="",F18&lt;&gt;0,F19&lt;&gt;0),IF(IFERROR((F18/F19),"")="","",(F18/F19)),INDIRECT("'update Helper'!E"&amp;U18)/100)</f>
        <v/>
      </c>
      <c r="H18" s="743"/>
      <c r="I18" s="764"/>
      <c r="J18" s="729"/>
      <c r="K18" s="760" t="str">
        <f>W18</f>
        <v>HIV I-9a⁽ᴹ⁾ Percentage of men who have sex with men who are living with HIV</v>
      </c>
      <c r="L18" s="760" t="str">
        <f>V18</f>
        <v/>
      </c>
      <c r="M18" s="729"/>
      <c r="N18" s="729"/>
      <c r="P18" s="194">
        <f>IF(AND(EXACT(C18,C16),C16&lt;&gt;0),P16+1,0)</f>
        <v>4</v>
      </c>
      <c r="Q18" s="194" t="str">
        <f>IF(C18&lt;&gt;"",C18&amp;"-"&amp;P18,"")</f>
        <v>HIV I-9a⁽ᴹ⁾ Porcentaje de HSH y viven con el VIH-4</v>
      </c>
      <c r="R18" s="194" t="str">
        <f t="array" ref="R18">IFERROR(IF(INDEX('Disaggregation Records'!$E$3:$E$66,MATCH(RIGHT(Q18,255),RIGHT('Disaggregation Records'!$D$3:$D$66,255),0))="","",INDEX('Disaggregation Records'!$E$3:$E$66,MATCH(RIGHT(Q18,255),RIGHT('Disaggregation Records'!$D$3:$D$66,255),0))),"")</f>
        <v/>
      </c>
      <c r="S18" s="194" t="str">
        <f t="array" ref="S18">IFERROR(IF(INDEX('Disaggregation Records'!$F$3:$F$66,MATCH(RIGHT(Q18,255),RIGHT('Disaggregation Records'!$D$3:$D$66,255),0))="","",INDEX('Disaggregation Records'!$F$3:$F$66,MATCH(RIGHT(Q18,255),RIGHT('Disaggregation Records'!$D$3:$D$66,255),0))),"")</f>
        <v/>
      </c>
      <c r="T18" s="194" t="str">
        <f t="array" ref="T18">IFERROR(IF(INDEX('Disaggregation Records'!$H$3:$H$66,MATCH(RIGHT(Q18,255),RIGHT('Disaggregation Records'!$D$3:$D$66,255),0))="","",INDEX('Disaggregation Records'!$H$3:$H$66,MATCH(RIGHT(Q18,255),RIGHT('Disaggregation Records'!$D$3:$D$66,255),0))),"")</f>
        <v/>
      </c>
      <c r="U18" s="194">
        <f>U16+1</f>
        <v>2125</v>
      </c>
      <c r="V18" s="194" t="str">
        <f t="array" ref="V18">IFERROR(IF(INDEX('Disaggregation Records'!$I$3:$I$66,MATCH(RIGHT(Q18,255),RIGHT('Disaggregation Records'!$D$3:$D$66,255),0))="","",INDEX('Disaggregation Records'!$I$3:$I$66,MATCH(RIGHT(Q18,255),RIGHT('Disaggregation Records'!$D$3:$D$66,255),0))),"")</f>
        <v/>
      </c>
      <c r="W18" s="194" t="str">
        <f>IFERROR(INDEX('Reference Records'!O$3:O$19,MATCH(LEFT(C18,255),'Reference Records'!J$3:J$19,0)),"")</f>
        <v>HIV I-9a⁽ᴹ⁾ Percentage of men who have sex with men who are living with HIV</v>
      </c>
    </row>
    <row r="19" spans="1:23" s="195" customFormat="1" ht="40.4" customHeight="1" x14ac:dyDescent="0.35">
      <c r="A19" s="770"/>
      <c r="B19" s="767"/>
      <c r="C19" s="761"/>
      <c r="D19" s="769"/>
      <c r="E19" s="769"/>
      <c r="F19" s="208"/>
      <c r="G19" s="763"/>
      <c r="H19" s="744"/>
      <c r="I19" s="765"/>
      <c r="J19" s="730"/>
      <c r="K19" s="761"/>
      <c r="L19" s="761"/>
      <c r="M19" s="730"/>
      <c r="N19" s="730"/>
    </row>
    <row r="20" spans="1:23" s="194" customFormat="1" ht="40.4" customHeight="1" x14ac:dyDescent="0.35">
      <c r="A20" s="770" t="str">
        <f t="shared" ca="1" si="0"/>
        <v>a1G3p000005ncDMEAY</v>
      </c>
      <c r="B20" s="766">
        <v>1</v>
      </c>
      <c r="C20" s="760" t="str">
        <f>IFERROR(VLOOKUP(B20,'Impact Indicators - Section B '!$A$9:$AF$52,32,FALSE),"")</f>
        <v>HIV I-9a⁽ᴹ⁾ Porcentaje de HSH y viven con el VIH</v>
      </c>
      <c r="D20" s="768" t="str">
        <f>R20</f>
        <v/>
      </c>
      <c r="E20" s="768" t="str">
        <f>S20</f>
        <v/>
      </c>
      <c r="F20" s="413"/>
      <c r="G20" s="762" t="str">
        <f ca="1">IF(OR(INDIRECT("'update Helper'!E"&amp;U20)="",F20&lt;&gt;0,F21&lt;&gt;0),IF(IFERROR((F20/F21),"")="","",(F20/F21)),INDIRECT("'update Helper'!E"&amp;U20)/100)</f>
        <v/>
      </c>
      <c r="H20" s="743"/>
      <c r="I20" s="764"/>
      <c r="J20" s="729"/>
      <c r="K20" s="760" t="str">
        <f>W20</f>
        <v>HIV I-9a⁽ᴹ⁾ Percentage of men who have sex with men who are living with HIV</v>
      </c>
      <c r="L20" s="760" t="str">
        <f>V20</f>
        <v/>
      </c>
      <c r="M20" s="729"/>
      <c r="N20" s="729"/>
      <c r="P20" s="194">
        <f>IF(AND(EXACT(C20,C18),C18&lt;&gt;0),P18+1,0)</f>
        <v>5</v>
      </c>
      <c r="Q20" s="194" t="str">
        <f>IF(C20&lt;&gt;"",C20&amp;"-"&amp;P20,"")</f>
        <v>HIV I-9a⁽ᴹ⁾ Porcentaje de HSH y viven con el VIH-5</v>
      </c>
      <c r="R20" s="194" t="str">
        <f t="array" ref="R20">IFERROR(IF(INDEX('Disaggregation Records'!$E$3:$E$66,MATCH(RIGHT(Q20,255),RIGHT('Disaggregation Records'!$D$3:$D$66,255),0))="","",INDEX('Disaggregation Records'!$E$3:$E$66,MATCH(RIGHT(Q20,255),RIGHT('Disaggregation Records'!$D$3:$D$66,255),0))),"")</f>
        <v/>
      </c>
      <c r="S20" s="194" t="str">
        <f t="array" ref="S20">IFERROR(IF(INDEX('Disaggregation Records'!$F$3:$F$66,MATCH(RIGHT(Q20,255),RIGHT('Disaggregation Records'!$D$3:$D$66,255),0))="","",INDEX('Disaggregation Records'!$F$3:$F$66,MATCH(RIGHT(Q20,255),RIGHT('Disaggregation Records'!$D$3:$D$66,255),0))),"")</f>
        <v/>
      </c>
      <c r="T20" s="194" t="str">
        <f t="array" ref="T20">IFERROR(IF(INDEX('Disaggregation Records'!$H$3:$H$66,MATCH(RIGHT(Q20,255),RIGHT('Disaggregation Records'!$D$3:$D$66,255),0))="","",INDEX('Disaggregation Records'!$H$3:$H$66,MATCH(RIGHT(Q20,255),RIGHT('Disaggregation Records'!$D$3:$D$66,255),0))),"")</f>
        <v/>
      </c>
      <c r="U20" s="194">
        <f>U18+1</f>
        <v>2126</v>
      </c>
      <c r="V20" s="194" t="str">
        <f t="array" ref="V20">IFERROR(IF(INDEX('Disaggregation Records'!$I$3:$I$66,MATCH(RIGHT(Q20,255),RIGHT('Disaggregation Records'!$D$3:$D$66,255),0))="","",INDEX('Disaggregation Records'!$I$3:$I$66,MATCH(RIGHT(Q20,255),RIGHT('Disaggregation Records'!$D$3:$D$66,255),0))),"")</f>
        <v/>
      </c>
      <c r="W20" s="194" t="str">
        <f>IFERROR(INDEX('Reference Records'!O$3:O$19,MATCH(LEFT(C20,255),'Reference Records'!J$3:J$19,0)),"")</f>
        <v>HIV I-9a⁽ᴹ⁾ Percentage of men who have sex with men who are living with HIV</v>
      </c>
    </row>
    <row r="21" spans="1:23" s="194" customFormat="1" ht="40.4" customHeight="1" x14ac:dyDescent="0.35">
      <c r="A21" s="770"/>
      <c r="B21" s="767"/>
      <c r="C21" s="761"/>
      <c r="D21" s="769"/>
      <c r="E21" s="769"/>
      <c r="F21" s="208"/>
      <c r="G21" s="763"/>
      <c r="H21" s="744"/>
      <c r="I21" s="765"/>
      <c r="J21" s="730"/>
      <c r="K21" s="761"/>
      <c r="L21" s="761"/>
      <c r="M21" s="730"/>
      <c r="N21" s="730"/>
      <c r="P21" s="195"/>
      <c r="Q21" s="195"/>
      <c r="R21" s="195"/>
      <c r="S21" s="195"/>
      <c r="T21" s="195"/>
      <c r="U21" s="195"/>
      <c r="V21" s="195"/>
      <c r="W21" s="195"/>
    </row>
    <row r="22" spans="1:23" s="194" customFormat="1" ht="40.4" customHeight="1" x14ac:dyDescent="0.35">
      <c r="A22" s="770" t="str">
        <f t="shared" ca="1" si="0"/>
        <v>a1G3p000005ncDNEAY</v>
      </c>
      <c r="B22" s="766">
        <v>1</v>
      </c>
      <c r="C22" s="760" t="str">
        <f>IFERROR(VLOOKUP(B22,'Impact Indicators - Section B '!$A$9:$AF$52,32,FALSE),"")</f>
        <v>HIV I-9a⁽ᴹ⁾ Porcentaje de HSH y viven con el VIH</v>
      </c>
      <c r="D22" s="768" t="str">
        <f>R22</f>
        <v/>
      </c>
      <c r="E22" s="768" t="str">
        <f>S22</f>
        <v/>
      </c>
      <c r="F22" s="413"/>
      <c r="G22" s="762" t="str">
        <f ca="1">IF(OR(INDIRECT("'update Helper'!E"&amp;U22)="",F22&lt;&gt;0,F23&lt;&gt;0),IF(IFERROR((F22/F23),"")="","",(F22/F23)),INDIRECT("'update Helper'!E"&amp;U22)/100)</f>
        <v/>
      </c>
      <c r="H22" s="743"/>
      <c r="I22" s="764"/>
      <c r="J22" s="729"/>
      <c r="K22" s="760" t="str">
        <f>W22</f>
        <v>HIV I-9a⁽ᴹ⁾ Percentage of men who have sex with men who are living with HIV</v>
      </c>
      <c r="L22" s="760" t="str">
        <f>V22</f>
        <v/>
      </c>
      <c r="M22" s="729"/>
      <c r="N22" s="729"/>
      <c r="P22" s="194">
        <f>IF(AND(EXACT(C22,C20),C20&lt;&gt;0),P20+1,0)</f>
        <v>6</v>
      </c>
      <c r="Q22" s="194" t="str">
        <f>IF(C22&lt;&gt;"",C22&amp;"-"&amp;P22,"")</f>
        <v>HIV I-9a⁽ᴹ⁾ Porcentaje de HSH y viven con el VIH-6</v>
      </c>
      <c r="R22" s="194" t="str">
        <f t="array" ref="R22">IFERROR(IF(INDEX('Disaggregation Records'!$E$3:$E$66,MATCH(RIGHT(Q22,255),RIGHT('Disaggregation Records'!$D$3:$D$66,255),0))="","",INDEX('Disaggregation Records'!$E$3:$E$66,MATCH(RIGHT(Q22,255),RIGHT('Disaggregation Records'!$D$3:$D$66,255),0))),"")</f>
        <v/>
      </c>
      <c r="S22" s="194" t="str">
        <f t="array" ref="S22">IFERROR(IF(INDEX('Disaggregation Records'!$F$3:$F$66,MATCH(RIGHT(Q22,255),RIGHT('Disaggregation Records'!$D$3:$D$66,255),0))="","",INDEX('Disaggregation Records'!$F$3:$F$66,MATCH(RIGHT(Q22,255),RIGHT('Disaggregation Records'!$D$3:$D$66,255),0))),"")</f>
        <v/>
      </c>
      <c r="T22" s="194" t="str">
        <f t="array" ref="T22">IFERROR(IF(INDEX('Disaggregation Records'!$H$3:$H$66,MATCH(RIGHT(Q22,255),RIGHT('Disaggregation Records'!$D$3:$D$66,255),0))="","",INDEX('Disaggregation Records'!$H$3:$H$66,MATCH(RIGHT(Q22,255),RIGHT('Disaggregation Records'!$D$3:$D$66,255),0))),"")</f>
        <v/>
      </c>
      <c r="U22" s="194">
        <f>U20+1</f>
        <v>2127</v>
      </c>
      <c r="V22" s="194" t="str">
        <f t="array" ref="V22">IFERROR(IF(INDEX('Disaggregation Records'!$I$3:$I$66,MATCH(RIGHT(Q22,255),RIGHT('Disaggregation Records'!$D$3:$D$66,255),0))="","",INDEX('Disaggregation Records'!$I$3:$I$66,MATCH(RIGHT(Q22,255),RIGHT('Disaggregation Records'!$D$3:$D$66,255),0))),"")</f>
        <v/>
      </c>
      <c r="W22" s="194" t="str">
        <f>IFERROR(INDEX('Reference Records'!O$3:O$19,MATCH(LEFT(C22,255),'Reference Records'!J$3:J$19,0)),"")</f>
        <v>HIV I-9a⁽ᴹ⁾ Percentage of men who have sex with men who are living with HIV</v>
      </c>
    </row>
    <row r="23" spans="1:23" s="195" customFormat="1" ht="40.4" customHeight="1" x14ac:dyDescent="0.35">
      <c r="A23" s="770"/>
      <c r="B23" s="767"/>
      <c r="C23" s="761"/>
      <c r="D23" s="769"/>
      <c r="E23" s="769"/>
      <c r="F23" s="208"/>
      <c r="G23" s="763"/>
      <c r="H23" s="744"/>
      <c r="I23" s="765"/>
      <c r="J23" s="730"/>
      <c r="K23" s="761"/>
      <c r="L23" s="761"/>
      <c r="M23" s="730"/>
      <c r="N23" s="730"/>
    </row>
    <row r="24" spans="1:23" s="194" customFormat="1" ht="40.4" customHeight="1" x14ac:dyDescent="0.35">
      <c r="A24" s="770" t="str">
        <f t="shared" ca="1" si="0"/>
        <v>a1G3p000005ncDOEAY</v>
      </c>
      <c r="B24" s="766">
        <v>1</v>
      </c>
      <c r="C24" s="760" t="str">
        <f>IFERROR(VLOOKUP(B24,'Impact Indicators - Section B '!$A$9:$AF$52,32,FALSE),"")</f>
        <v>HIV I-9a⁽ᴹ⁾ Porcentaje de HSH y viven con el VIH</v>
      </c>
      <c r="D24" s="768" t="str">
        <f>R24</f>
        <v/>
      </c>
      <c r="E24" s="768" t="str">
        <f>S24</f>
        <v/>
      </c>
      <c r="F24" s="413"/>
      <c r="G24" s="762" t="str">
        <f ca="1">IF(OR(INDIRECT("'update Helper'!E"&amp;U24)="",F24&lt;&gt;0,F25&lt;&gt;0),IF(IFERROR((F24/F25),"")="","",(F24/F25)),INDIRECT("'update Helper'!E"&amp;U24)/100)</f>
        <v/>
      </c>
      <c r="H24" s="743"/>
      <c r="I24" s="764"/>
      <c r="J24" s="729"/>
      <c r="K24" s="760" t="str">
        <f>W24</f>
        <v>HIV I-9a⁽ᴹ⁾ Percentage of men who have sex with men who are living with HIV</v>
      </c>
      <c r="L24" s="760" t="str">
        <f>V24</f>
        <v/>
      </c>
      <c r="M24" s="729"/>
      <c r="N24" s="729"/>
      <c r="P24" s="194">
        <f>IF(AND(EXACT(C24,C22),C22&lt;&gt;0),P22+1,0)</f>
        <v>7</v>
      </c>
      <c r="Q24" s="194" t="str">
        <f>IF(C24&lt;&gt;"",C24&amp;"-"&amp;P24,"")</f>
        <v>HIV I-9a⁽ᴹ⁾ Porcentaje de HSH y viven con el VIH-7</v>
      </c>
      <c r="R24" s="194" t="str">
        <f t="array" ref="R24">IFERROR(IF(INDEX('Disaggregation Records'!$E$3:$E$66,MATCH(RIGHT(Q24,255),RIGHT('Disaggregation Records'!$D$3:$D$66,255),0))="","",INDEX('Disaggregation Records'!$E$3:$E$66,MATCH(RIGHT(Q24,255),RIGHT('Disaggregation Records'!$D$3:$D$66,255),0))),"")</f>
        <v/>
      </c>
      <c r="S24" s="194" t="str">
        <f t="array" ref="S24">IFERROR(IF(INDEX('Disaggregation Records'!$F$3:$F$66,MATCH(RIGHT(Q24,255),RIGHT('Disaggregation Records'!$D$3:$D$66,255),0))="","",INDEX('Disaggregation Records'!$F$3:$F$66,MATCH(RIGHT(Q24,255),RIGHT('Disaggregation Records'!$D$3:$D$66,255),0))),"")</f>
        <v/>
      </c>
      <c r="T24" s="194" t="str">
        <f t="array" ref="T24">IFERROR(IF(INDEX('Disaggregation Records'!$H$3:$H$66,MATCH(RIGHT(Q24,255),RIGHT('Disaggregation Records'!$D$3:$D$66,255),0))="","",INDEX('Disaggregation Records'!$H$3:$H$66,MATCH(RIGHT(Q24,255),RIGHT('Disaggregation Records'!$D$3:$D$66,255),0))),"")</f>
        <v/>
      </c>
      <c r="U24" s="194">
        <f>U22+1</f>
        <v>2128</v>
      </c>
      <c r="V24" s="194" t="str">
        <f t="array" ref="V24">IFERROR(IF(INDEX('Disaggregation Records'!$I$3:$I$66,MATCH(RIGHT(Q24,255),RIGHT('Disaggregation Records'!$D$3:$D$66,255),0))="","",INDEX('Disaggregation Records'!$I$3:$I$66,MATCH(RIGHT(Q24,255),RIGHT('Disaggregation Records'!$D$3:$D$66,255),0))),"")</f>
        <v/>
      </c>
      <c r="W24" s="194" t="str">
        <f>IFERROR(INDEX('Reference Records'!O$3:O$19,MATCH(LEFT(C24,255),'Reference Records'!J$3:J$19,0)),"")</f>
        <v>HIV I-9a⁽ᴹ⁾ Percentage of men who have sex with men who are living with HIV</v>
      </c>
    </row>
    <row r="25" spans="1:23" s="195" customFormat="1" ht="40.4" customHeight="1" x14ac:dyDescent="0.35">
      <c r="A25" s="770"/>
      <c r="B25" s="767"/>
      <c r="C25" s="761"/>
      <c r="D25" s="769"/>
      <c r="E25" s="769"/>
      <c r="F25" s="208"/>
      <c r="G25" s="763"/>
      <c r="H25" s="744"/>
      <c r="I25" s="765"/>
      <c r="J25" s="730"/>
      <c r="K25" s="761"/>
      <c r="L25" s="761"/>
      <c r="M25" s="730"/>
      <c r="N25" s="730"/>
    </row>
    <row r="26" spans="1:23" s="194" customFormat="1" ht="40.4" customHeight="1" x14ac:dyDescent="0.35">
      <c r="A26" s="770" t="str">
        <f t="shared" ca="1" si="0"/>
        <v>a1G3p000005ncDPEAY</v>
      </c>
      <c r="B26" s="766">
        <v>1</v>
      </c>
      <c r="C26" s="760" t="str">
        <f>IFERROR(VLOOKUP(B26,'Impact Indicators - Section B '!$A$9:$AF$52,32,FALSE),"")</f>
        <v>HIV I-9a⁽ᴹ⁾ Porcentaje de HSH y viven con el VIH</v>
      </c>
      <c r="D26" s="768" t="str">
        <f>R26</f>
        <v/>
      </c>
      <c r="E26" s="768" t="str">
        <f>S26</f>
        <v/>
      </c>
      <c r="F26" s="413"/>
      <c r="G26" s="762" t="str">
        <f ca="1">IF(OR(INDIRECT("'update Helper'!E"&amp;U26)="",F26&lt;&gt;0,F27&lt;&gt;0),IF(IFERROR((F26/F27),"")="","",(F26/F27)),INDIRECT("'update Helper'!E"&amp;U26)/100)</f>
        <v/>
      </c>
      <c r="H26" s="743"/>
      <c r="I26" s="764"/>
      <c r="J26" s="729"/>
      <c r="K26" s="760" t="str">
        <f>W26</f>
        <v>HIV I-9a⁽ᴹ⁾ Percentage of men who have sex with men who are living with HIV</v>
      </c>
      <c r="L26" s="760" t="str">
        <f>V26</f>
        <v/>
      </c>
      <c r="M26" s="729"/>
      <c r="N26" s="729"/>
      <c r="P26" s="194">
        <f>IF(AND(EXACT(C26,C24),C24&lt;&gt;0),P24+1,0)</f>
        <v>8</v>
      </c>
      <c r="Q26" s="194" t="str">
        <f>IF(C26&lt;&gt;"",C26&amp;"-"&amp;P26,"")</f>
        <v>HIV I-9a⁽ᴹ⁾ Porcentaje de HSH y viven con el VIH-8</v>
      </c>
      <c r="R26" s="194" t="str">
        <f t="array" ref="R26">IFERROR(IF(INDEX('Disaggregation Records'!$E$3:$E$66,MATCH(RIGHT(Q26,255),RIGHT('Disaggregation Records'!$D$3:$D$66,255),0))="","",INDEX('Disaggregation Records'!$E$3:$E$66,MATCH(RIGHT(Q26,255),RIGHT('Disaggregation Records'!$D$3:$D$66,255),0))),"")</f>
        <v/>
      </c>
      <c r="S26" s="194" t="str">
        <f t="array" ref="S26">IFERROR(IF(INDEX('Disaggregation Records'!$F$3:$F$66,MATCH(RIGHT(Q26,255),RIGHT('Disaggregation Records'!$D$3:$D$66,255),0))="","",INDEX('Disaggregation Records'!$F$3:$F$66,MATCH(RIGHT(Q26,255),RIGHT('Disaggregation Records'!$D$3:$D$66,255),0))),"")</f>
        <v/>
      </c>
      <c r="T26" s="194" t="str">
        <f t="array" ref="T26">IFERROR(IF(INDEX('Disaggregation Records'!$H$3:$H$66,MATCH(RIGHT(Q26,255),RIGHT('Disaggregation Records'!$D$3:$D$66,255),0))="","",INDEX('Disaggregation Records'!$H$3:$H$66,MATCH(RIGHT(Q26,255),RIGHT('Disaggregation Records'!$D$3:$D$66,255),0))),"")</f>
        <v/>
      </c>
      <c r="U26" s="194">
        <f>U24+1</f>
        <v>2129</v>
      </c>
      <c r="V26" s="194" t="str">
        <f t="array" ref="V26">IFERROR(IF(INDEX('Disaggregation Records'!$I$3:$I$66,MATCH(RIGHT(Q26,255),RIGHT('Disaggregation Records'!$D$3:$D$66,255),0))="","",INDEX('Disaggregation Records'!$I$3:$I$66,MATCH(RIGHT(Q26,255),RIGHT('Disaggregation Records'!$D$3:$D$66,255),0))),"")</f>
        <v/>
      </c>
      <c r="W26" s="194" t="str">
        <f>IFERROR(INDEX('Reference Records'!O$3:O$19,MATCH(LEFT(C26,255),'Reference Records'!J$3:J$19,0)),"")</f>
        <v>HIV I-9a⁽ᴹ⁾ Percentage of men who have sex with men who are living with HIV</v>
      </c>
    </row>
    <row r="27" spans="1:23" s="194" customFormat="1" ht="40.4" customHeight="1" x14ac:dyDescent="0.35">
      <c r="A27" s="770"/>
      <c r="B27" s="767"/>
      <c r="C27" s="761"/>
      <c r="D27" s="769"/>
      <c r="E27" s="769"/>
      <c r="F27" s="208"/>
      <c r="G27" s="763"/>
      <c r="H27" s="744"/>
      <c r="I27" s="765"/>
      <c r="J27" s="730"/>
      <c r="K27" s="761"/>
      <c r="L27" s="761"/>
      <c r="M27" s="730"/>
      <c r="N27" s="730"/>
      <c r="P27" s="195"/>
      <c r="Q27" s="195"/>
      <c r="R27" s="195"/>
      <c r="S27" s="195"/>
      <c r="T27" s="195"/>
      <c r="U27" s="195"/>
      <c r="V27" s="195"/>
      <c r="W27" s="195"/>
    </row>
    <row r="28" spans="1:23" s="194" customFormat="1" ht="40.4" customHeight="1" x14ac:dyDescent="0.35">
      <c r="A28" s="770" t="str">
        <f t="shared" ca="1" si="0"/>
        <v>a1G3p000005ncDQEAY</v>
      </c>
      <c r="B28" s="766">
        <v>1</v>
      </c>
      <c r="C28" s="760" t="str">
        <f>IFERROR(VLOOKUP(B28,'Impact Indicators - Section B '!$A$9:$AF$52,32,FALSE),"")</f>
        <v>HIV I-9a⁽ᴹ⁾ Porcentaje de HSH y viven con el VIH</v>
      </c>
      <c r="D28" s="768" t="str">
        <f>R28</f>
        <v/>
      </c>
      <c r="E28" s="768" t="str">
        <f>S28</f>
        <v/>
      </c>
      <c r="F28" s="413"/>
      <c r="G28" s="762" t="str">
        <f ca="1">IF(OR(INDIRECT("'update Helper'!E"&amp;U28)="",F28&lt;&gt;0,F29&lt;&gt;0),IF(IFERROR((F28/F29),"")="","",(F28/F29)),INDIRECT("'update Helper'!E"&amp;U28)/100)</f>
        <v/>
      </c>
      <c r="H28" s="743"/>
      <c r="I28" s="764"/>
      <c r="J28" s="729"/>
      <c r="K28" s="760" t="str">
        <f>W28</f>
        <v>HIV I-9a⁽ᴹ⁾ Percentage of men who have sex with men who are living with HIV</v>
      </c>
      <c r="L28" s="760" t="str">
        <f>V28</f>
        <v/>
      </c>
      <c r="M28" s="729"/>
      <c r="N28" s="729"/>
      <c r="P28" s="194">
        <f>IF(AND(EXACT(C28,C26),C26&lt;&gt;0),P26+1,0)</f>
        <v>9</v>
      </c>
      <c r="Q28" s="194" t="str">
        <f>IF(C28&lt;&gt;"",C28&amp;"-"&amp;P28,"")</f>
        <v>HIV I-9a⁽ᴹ⁾ Porcentaje de HSH y viven con el VIH-9</v>
      </c>
      <c r="R28" s="194" t="str">
        <f t="array" ref="R28">IFERROR(IF(INDEX('Disaggregation Records'!$E$3:$E$66,MATCH(RIGHT(Q28,255),RIGHT('Disaggregation Records'!$D$3:$D$66,255),0))="","",INDEX('Disaggregation Records'!$E$3:$E$66,MATCH(RIGHT(Q28,255),RIGHT('Disaggregation Records'!$D$3:$D$66,255),0))),"")</f>
        <v/>
      </c>
      <c r="S28" s="194" t="str">
        <f t="array" ref="S28">IFERROR(IF(INDEX('Disaggregation Records'!$F$3:$F$66,MATCH(RIGHT(Q28,255),RIGHT('Disaggregation Records'!$D$3:$D$66,255),0))="","",INDEX('Disaggregation Records'!$F$3:$F$66,MATCH(RIGHT(Q28,255),RIGHT('Disaggregation Records'!$D$3:$D$66,255),0))),"")</f>
        <v/>
      </c>
      <c r="T28" s="194" t="str">
        <f t="array" ref="T28">IFERROR(IF(INDEX('Disaggregation Records'!$H$3:$H$66,MATCH(RIGHT(Q28,255),RIGHT('Disaggregation Records'!$D$3:$D$66,255),0))="","",INDEX('Disaggregation Records'!$H$3:$H$66,MATCH(RIGHT(Q28,255),RIGHT('Disaggregation Records'!$D$3:$D$66,255),0))),"")</f>
        <v/>
      </c>
      <c r="U28" s="194">
        <f>U26+1</f>
        <v>2130</v>
      </c>
      <c r="V28" s="194" t="str">
        <f t="array" ref="V28">IFERROR(IF(INDEX('Disaggregation Records'!$I$3:$I$66,MATCH(RIGHT(Q28,255),RIGHT('Disaggregation Records'!$D$3:$D$66,255),0))="","",INDEX('Disaggregation Records'!$I$3:$I$66,MATCH(RIGHT(Q28,255),RIGHT('Disaggregation Records'!$D$3:$D$66,255),0))),"")</f>
        <v/>
      </c>
      <c r="W28" s="194" t="str">
        <f>IFERROR(INDEX('Reference Records'!O$3:O$19,MATCH(LEFT(C28,255),'Reference Records'!J$3:J$19,0)),"")</f>
        <v>HIV I-9a⁽ᴹ⁾ Percentage of men who have sex with men who are living with HIV</v>
      </c>
    </row>
    <row r="29" spans="1:23" s="195" customFormat="1" ht="40.4" customHeight="1" x14ac:dyDescent="0.35">
      <c r="A29" s="770"/>
      <c r="B29" s="767"/>
      <c r="C29" s="761"/>
      <c r="D29" s="769"/>
      <c r="E29" s="769"/>
      <c r="F29" s="208"/>
      <c r="G29" s="763"/>
      <c r="H29" s="744"/>
      <c r="I29" s="765"/>
      <c r="J29" s="730"/>
      <c r="K29" s="761"/>
      <c r="L29" s="761"/>
      <c r="M29" s="730"/>
      <c r="N29" s="730"/>
    </row>
    <row r="30" spans="1:23" s="194" customFormat="1" ht="40.4" customHeight="1" x14ac:dyDescent="0.35">
      <c r="A30" s="770" t="str">
        <f t="shared" ca="1" si="0"/>
        <v>a1G3p000005ncFhEAI</v>
      </c>
      <c r="B30" s="766">
        <v>2</v>
      </c>
      <c r="C30" s="760" t="str">
        <f>IFERROR(VLOOKUP(B30,'Impact Indicators - Section B '!$A$9:$AF$52,32,FALSE),"")</f>
        <v>HIV I-9b⁽ᴹ⁾ Porcentaje de personas transgénero que viven con el VIH</v>
      </c>
      <c r="D30" s="768" t="str">
        <f>R30</f>
        <v>Edad</v>
      </c>
      <c r="E30" s="768" t="str">
        <f>S30</f>
        <v>25+</v>
      </c>
      <c r="F30" s="413"/>
      <c r="G30" s="762" t="str">
        <f ca="1">IF(OR(INDIRECT("'update Helper'!E"&amp;U30)="",F30&lt;&gt;0,F31&lt;&gt;0),IF(IFERROR((F30/F31),"")="","",(F30/F31)),INDIRECT("'update Helper'!E"&amp;U30)/100)</f>
        <v/>
      </c>
      <c r="H30" s="743"/>
      <c r="I30" s="764"/>
      <c r="J30" s="729"/>
      <c r="K30" s="760" t="str">
        <f>W30</f>
        <v>HIV I-9b⁽ᴹ⁾ Percentage of transgender people who are living with HIV</v>
      </c>
      <c r="L30" s="760" t="str">
        <f>V30</f>
        <v>Age</v>
      </c>
      <c r="M30" s="729"/>
      <c r="N30" s="729"/>
      <c r="P30" s="194">
        <f>IF(AND(EXACT(C30,C28),C28&lt;&gt;0),P28+1,0)</f>
        <v>0</v>
      </c>
      <c r="Q30" s="194" t="str">
        <f>IF(C30&lt;&gt;"",C30&amp;"-"&amp;P30,"")</f>
        <v>HIV I-9b⁽ᴹ⁾ Porcentaje de personas transgénero que viven con el VIH-0</v>
      </c>
      <c r="R30" s="194" t="str">
        <f t="array" ref="R30">IFERROR(IF(INDEX('Disaggregation Records'!$E$3:$E$66,MATCH(RIGHT(Q30,255),RIGHT('Disaggregation Records'!$D$3:$D$66,255),0))="","",INDEX('Disaggregation Records'!$E$3:$E$66,MATCH(RIGHT(Q30,255),RIGHT('Disaggregation Records'!$D$3:$D$66,255),0))),"")</f>
        <v>Edad</v>
      </c>
      <c r="S30" s="194" t="str">
        <f t="array" ref="S30">IFERROR(IF(INDEX('Disaggregation Records'!$F$3:$F$66,MATCH(RIGHT(Q30,255),RIGHT('Disaggregation Records'!$D$3:$D$66,255),0))="","",INDEX('Disaggregation Records'!$F$3:$F$66,MATCH(RIGHT(Q30,255),RIGHT('Disaggregation Records'!$D$3:$D$66,255),0))),"")</f>
        <v>25+</v>
      </c>
      <c r="T30" s="194" t="str">
        <f t="array" ref="T30">IFERROR(IF(INDEX('Disaggregation Records'!$H$3:$H$66,MATCH(RIGHT(Q30,255),RIGHT('Disaggregation Records'!$D$3:$D$66,255),0))="","",INDEX('Disaggregation Records'!$H$3:$H$66,MATCH(RIGHT(Q30,255),RIGHT('Disaggregation Records'!$D$3:$D$66,255),0))),"")</f>
        <v>IDR-00659</v>
      </c>
      <c r="U30" s="194">
        <f>U28+1</f>
        <v>2131</v>
      </c>
      <c r="V30" s="194" t="str">
        <f t="array" ref="V30">IFERROR(IF(INDEX('Disaggregation Records'!$I$3:$I$66,MATCH(RIGHT(Q30,255),RIGHT('Disaggregation Records'!$D$3:$D$66,255),0))="","",INDEX('Disaggregation Records'!$I$3:$I$66,MATCH(RIGHT(Q30,255),RIGHT('Disaggregation Records'!$D$3:$D$66,255),0))),"")</f>
        <v>Age</v>
      </c>
      <c r="W30" s="194" t="str">
        <f>IFERROR(INDEX('Reference Records'!O$3:O$19,MATCH(LEFT(C30,255),'Reference Records'!J$3:J$19,0)),"")</f>
        <v>HIV I-9b⁽ᴹ⁾ Percentage of transgender people who are living with HIV</v>
      </c>
    </row>
    <row r="31" spans="1:23" s="195" customFormat="1" ht="40.4" customHeight="1" x14ac:dyDescent="0.35">
      <c r="A31" s="770"/>
      <c r="B31" s="767"/>
      <c r="C31" s="761"/>
      <c r="D31" s="769"/>
      <c r="E31" s="769"/>
      <c r="F31" s="208"/>
      <c r="G31" s="763"/>
      <c r="H31" s="744"/>
      <c r="I31" s="765"/>
      <c r="J31" s="730"/>
      <c r="K31" s="761"/>
      <c r="L31" s="761"/>
      <c r="M31" s="730"/>
      <c r="N31" s="730"/>
    </row>
    <row r="32" spans="1:23" s="194" customFormat="1" ht="40.4" customHeight="1" x14ac:dyDescent="0.35">
      <c r="A32" s="770" t="str">
        <f t="shared" ca="1" si="0"/>
        <v>a1G3p000005ncFiEAI</v>
      </c>
      <c r="B32" s="766">
        <v>2</v>
      </c>
      <c r="C32" s="760" t="str">
        <f>IFERROR(VLOOKUP(B32,'Impact Indicators - Section B '!$A$9:$AF$52,32,FALSE),"")</f>
        <v>HIV I-9b⁽ᴹ⁾ Porcentaje de personas transgénero que viven con el VIH</v>
      </c>
      <c r="D32" s="768" t="str">
        <f>R32</f>
        <v>Edad</v>
      </c>
      <c r="E32" s="768" t="str">
        <f>S32</f>
        <v>&lt;25</v>
      </c>
      <c r="F32" s="413"/>
      <c r="G32" s="762" t="str">
        <f ca="1">IF(OR(INDIRECT("'update Helper'!E"&amp;U32)="",F32&lt;&gt;0,F33&lt;&gt;0),IF(IFERROR((F32/F33),"")="","",(F32/F33)),INDIRECT("'update Helper'!E"&amp;U32)/100)</f>
        <v/>
      </c>
      <c r="H32" s="743"/>
      <c r="I32" s="764"/>
      <c r="J32" s="729" t="s">
        <v>9913</v>
      </c>
      <c r="K32" s="760" t="str">
        <f>W32</f>
        <v>HIV I-9b⁽ᴹ⁾ Percentage of transgender people who are living with HIV</v>
      </c>
      <c r="L32" s="760" t="str">
        <f>V32</f>
        <v>Age</v>
      </c>
      <c r="M32" s="729"/>
      <c r="N32" s="729"/>
      <c r="P32" s="194">
        <f>IF(AND(EXACT(C32,C30),C30&lt;&gt;0),P30+1,0)</f>
        <v>1</v>
      </c>
      <c r="Q32" s="194" t="str">
        <f>IF(C32&lt;&gt;"",C32&amp;"-"&amp;P32,"")</f>
        <v>HIV I-9b⁽ᴹ⁾ Porcentaje de personas transgénero que viven con el VIH-1</v>
      </c>
      <c r="R32" s="194" t="str">
        <f t="array" ref="R32">IFERROR(IF(INDEX('Disaggregation Records'!$E$3:$E$66,MATCH(RIGHT(Q32,255),RIGHT('Disaggregation Records'!$D$3:$D$66,255),0))="","",INDEX('Disaggregation Records'!$E$3:$E$66,MATCH(RIGHT(Q32,255),RIGHT('Disaggregation Records'!$D$3:$D$66,255),0))),"")</f>
        <v>Edad</v>
      </c>
      <c r="S32" s="194" t="str">
        <f t="array" ref="S32">IFERROR(IF(INDEX('Disaggregation Records'!$F$3:$F$66,MATCH(RIGHT(Q32,255),RIGHT('Disaggregation Records'!$D$3:$D$66,255),0))="","",INDEX('Disaggregation Records'!$F$3:$F$66,MATCH(RIGHT(Q32,255),RIGHT('Disaggregation Records'!$D$3:$D$66,255),0))),"")</f>
        <v>&lt;25</v>
      </c>
      <c r="T32" s="194" t="str">
        <f t="array" ref="T32">IFERROR(IF(INDEX('Disaggregation Records'!$H$3:$H$66,MATCH(RIGHT(Q32,255),RIGHT('Disaggregation Records'!$D$3:$D$66,255),0))="","",INDEX('Disaggregation Records'!$H$3:$H$66,MATCH(RIGHT(Q32,255),RIGHT('Disaggregation Records'!$D$3:$D$66,255),0))),"")</f>
        <v>IDR-00658</v>
      </c>
      <c r="U32" s="194">
        <f>U30+1</f>
        <v>2132</v>
      </c>
      <c r="V32" s="194" t="str">
        <f t="array" ref="V32">IFERROR(IF(INDEX('Disaggregation Records'!$I$3:$I$66,MATCH(RIGHT(Q32,255),RIGHT('Disaggregation Records'!$D$3:$D$66,255),0))="","",INDEX('Disaggregation Records'!$I$3:$I$66,MATCH(RIGHT(Q32,255),RIGHT('Disaggregation Records'!$D$3:$D$66,255),0))),"")</f>
        <v>Age</v>
      </c>
      <c r="W32" s="194" t="str">
        <f>IFERROR(INDEX('Reference Records'!O$3:O$19,MATCH(LEFT(C32,255),'Reference Records'!J$3:J$19,0)),"")</f>
        <v>HIV I-9b⁽ᴹ⁾ Percentage of transgender people who are living with HIV</v>
      </c>
    </row>
    <row r="33" spans="1:23" s="194" customFormat="1" ht="40.4" customHeight="1" x14ac:dyDescent="0.35">
      <c r="A33" s="770"/>
      <c r="B33" s="767"/>
      <c r="C33" s="761"/>
      <c r="D33" s="769"/>
      <c r="E33" s="769"/>
      <c r="F33" s="208"/>
      <c r="G33" s="763"/>
      <c r="H33" s="744"/>
      <c r="I33" s="765"/>
      <c r="J33" s="730"/>
      <c r="K33" s="761"/>
      <c r="L33" s="761"/>
      <c r="M33" s="730"/>
      <c r="N33" s="730"/>
      <c r="P33" s="195"/>
      <c r="Q33" s="195"/>
      <c r="R33" s="195"/>
      <c r="S33" s="195"/>
      <c r="T33" s="195"/>
      <c r="U33" s="195"/>
      <c r="V33" s="195"/>
      <c r="W33" s="195"/>
    </row>
    <row r="34" spans="1:23" s="194" customFormat="1" ht="40.4" customHeight="1" x14ac:dyDescent="0.35">
      <c r="A34" s="770" t="str">
        <f t="shared" ca="1" si="0"/>
        <v>a1G3p000005ncFjEAI</v>
      </c>
      <c r="B34" s="766">
        <v>2</v>
      </c>
      <c r="C34" s="760" t="str">
        <f>IFERROR(VLOOKUP(B34,'Impact Indicators - Section B '!$A$9:$AF$52,32,FALSE),"")</f>
        <v>HIV I-9b⁽ᴹ⁾ Porcentaje de personas transgénero que viven con el VIH</v>
      </c>
      <c r="D34" s="768" t="str">
        <f>R34</f>
        <v/>
      </c>
      <c r="E34" s="768" t="str">
        <f>S34</f>
        <v/>
      </c>
      <c r="F34" s="413"/>
      <c r="G34" s="762" t="str">
        <f ca="1">IF(OR(INDIRECT("'update Helper'!E"&amp;U34)="",F34&lt;&gt;0,F35&lt;&gt;0),IF(IFERROR((F34/F35),"")="","",(F34/F35)),INDIRECT("'update Helper'!E"&amp;U34)/100)</f>
        <v/>
      </c>
      <c r="H34" s="743"/>
      <c r="I34" s="764"/>
      <c r="J34" s="729"/>
      <c r="K34" s="760" t="str">
        <f>W34</f>
        <v>HIV I-9b⁽ᴹ⁾ Percentage of transgender people who are living with HIV</v>
      </c>
      <c r="L34" s="760" t="str">
        <f>V34</f>
        <v/>
      </c>
      <c r="M34" s="729"/>
      <c r="N34" s="729"/>
      <c r="P34" s="194">
        <f>IF(AND(EXACT(C34,C32),C32&lt;&gt;0),P32+1,0)</f>
        <v>2</v>
      </c>
      <c r="Q34" s="194" t="str">
        <f>IF(C34&lt;&gt;"",C34&amp;"-"&amp;P34,"")</f>
        <v>HIV I-9b⁽ᴹ⁾ Porcentaje de personas transgénero que viven con el VIH-2</v>
      </c>
      <c r="R34" s="194" t="str">
        <f t="array" ref="R34">IFERROR(IF(INDEX('Disaggregation Records'!$E$3:$E$66,MATCH(RIGHT(Q34,255),RIGHT('Disaggregation Records'!$D$3:$D$66,255),0))="","",INDEX('Disaggregation Records'!$E$3:$E$66,MATCH(RIGHT(Q34,255),RIGHT('Disaggregation Records'!$D$3:$D$66,255),0))),"")</f>
        <v/>
      </c>
      <c r="S34" s="194" t="str">
        <f t="array" ref="S34">IFERROR(IF(INDEX('Disaggregation Records'!$F$3:$F$66,MATCH(RIGHT(Q34,255),RIGHT('Disaggregation Records'!$D$3:$D$66,255),0))="","",INDEX('Disaggregation Records'!$F$3:$F$66,MATCH(RIGHT(Q34,255),RIGHT('Disaggregation Records'!$D$3:$D$66,255),0))),"")</f>
        <v/>
      </c>
      <c r="T34" s="194" t="str">
        <f t="array" ref="T34">IFERROR(IF(INDEX('Disaggregation Records'!$H$3:$H$66,MATCH(RIGHT(Q34,255),RIGHT('Disaggregation Records'!$D$3:$D$66,255),0))="","",INDEX('Disaggregation Records'!$H$3:$H$66,MATCH(RIGHT(Q34,255),RIGHT('Disaggregation Records'!$D$3:$D$66,255),0))),"")</f>
        <v/>
      </c>
      <c r="U34" s="194">
        <f>U32+1</f>
        <v>2133</v>
      </c>
      <c r="V34" s="194" t="str">
        <f t="array" ref="V34">IFERROR(IF(INDEX('Disaggregation Records'!$I$3:$I$66,MATCH(RIGHT(Q34,255),RIGHT('Disaggregation Records'!$D$3:$D$66,255),0))="","",INDEX('Disaggregation Records'!$I$3:$I$66,MATCH(RIGHT(Q34,255),RIGHT('Disaggregation Records'!$D$3:$D$66,255),0))),"")</f>
        <v/>
      </c>
      <c r="W34" s="194" t="str">
        <f>IFERROR(INDEX('Reference Records'!O$3:O$19,MATCH(LEFT(C34,255),'Reference Records'!J$3:J$19,0)),"")</f>
        <v>HIV I-9b⁽ᴹ⁾ Percentage of transgender people who are living with HIV</v>
      </c>
    </row>
    <row r="35" spans="1:23" s="195" customFormat="1" ht="40.4" customHeight="1" x14ac:dyDescent="0.35">
      <c r="A35" s="770"/>
      <c r="B35" s="767"/>
      <c r="C35" s="761"/>
      <c r="D35" s="769"/>
      <c r="E35" s="769"/>
      <c r="F35" s="208"/>
      <c r="G35" s="763"/>
      <c r="H35" s="744"/>
      <c r="I35" s="765"/>
      <c r="J35" s="730"/>
      <c r="K35" s="761"/>
      <c r="L35" s="761"/>
      <c r="M35" s="730"/>
      <c r="N35" s="730"/>
    </row>
    <row r="36" spans="1:23" s="194" customFormat="1" ht="40.4" customHeight="1" x14ac:dyDescent="0.35">
      <c r="A36" s="770" t="str">
        <f t="shared" ca="1" si="0"/>
        <v>a1G3p000005ncFkEAI</v>
      </c>
      <c r="B36" s="766">
        <v>2</v>
      </c>
      <c r="C36" s="760" t="str">
        <f>IFERROR(VLOOKUP(B36,'Impact Indicators - Section B '!$A$9:$AF$52,32,FALSE),"")</f>
        <v>HIV I-9b⁽ᴹ⁾ Porcentaje de personas transgénero que viven con el VIH</v>
      </c>
      <c r="D36" s="768" t="str">
        <f>R36</f>
        <v/>
      </c>
      <c r="E36" s="768" t="str">
        <f>S36</f>
        <v/>
      </c>
      <c r="F36" s="413"/>
      <c r="G36" s="762" t="str">
        <f ca="1">IF(OR(INDIRECT("'update Helper'!E"&amp;U36)="",F36&lt;&gt;0,F37&lt;&gt;0),IF(IFERROR((F36/F37),"")="","",(F36/F37)),INDIRECT("'update Helper'!E"&amp;U36)/100)</f>
        <v/>
      </c>
      <c r="H36" s="743"/>
      <c r="I36" s="764"/>
      <c r="J36" s="729"/>
      <c r="K36" s="760" t="str">
        <f>W36</f>
        <v>HIV I-9b⁽ᴹ⁾ Percentage of transgender people who are living with HIV</v>
      </c>
      <c r="L36" s="760" t="str">
        <f>V36</f>
        <v/>
      </c>
      <c r="M36" s="729"/>
      <c r="N36" s="729"/>
      <c r="P36" s="194">
        <f>IF(AND(EXACT(C36,C34),C34&lt;&gt;0),P34+1,0)</f>
        <v>3</v>
      </c>
      <c r="Q36" s="194" t="str">
        <f>IF(C36&lt;&gt;"",C36&amp;"-"&amp;P36,"")</f>
        <v>HIV I-9b⁽ᴹ⁾ Porcentaje de personas transgénero que viven con el VIH-3</v>
      </c>
      <c r="R36" s="194" t="str">
        <f t="array" ref="R36">IFERROR(IF(INDEX('Disaggregation Records'!$E$3:$E$66,MATCH(RIGHT(Q36,255),RIGHT('Disaggregation Records'!$D$3:$D$66,255),0))="","",INDEX('Disaggregation Records'!$E$3:$E$66,MATCH(RIGHT(Q36,255),RIGHT('Disaggregation Records'!$D$3:$D$66,255),0))),"")</f>
        <v/>
      </c>
      <c r="S36" s="194" t="str">
        <f t="array" ref="S36">IFERROR(IF(INDEX('Disaggregation Records'!$F$3:$F$66,MATCH(RIGHT(Q36,255),RIGHT('Disaggregation Records'!$D$3:$D$66,255),0))="","",INDEX('Disaggregation Records'!$F$3:$F$66,MATCH(RIGHT(Q36,255),RIGHT('Disaggregation Records'!$D$3:$D$66,255),0))),"")</f>
        <v/>
      </c>
      <c r="T36" s="194" t="str">
        <f t="array" ref="T36">IFERROR(IF(INDEX('Disaggregation Records'!$H$3:$H$66,MATCH(RIGHT(Q36,255),RIGHT('Disaggregation Records'!$D$3:$D$66,255),0))="","",INDEX('Disaggregation Records'!$H$3:$H$66,MATCH(RIGHT(Q36,255),RIGHT('Disaggregation Records'!$D$3:$D$66,255),0))),"")</f>
        <v/>
      </c>
      <c r="U36" s="194">
        <f>U34+1</f>
        <v>2134</v>
      </c>
      <c r="V36" s="194" t="str">
        <f t="array" ref="V36">IFERROR(IF(INDEX('Disaggregation Records'!$I$3:$I$66,MATCH(RIGHT(Q36,255),RIGHT('Disaggregation Records'!$D$3:$D$66,255),0))="","",INDEX('Disaggregation Records'!$I$3:$I$66,MATCH(RIGHT(Q36,255),RIGHT('Disaggregation Records'!$D$3:$D$66,255),0))),"")</f>
        <v/>
      </c>
      <c r="W36" s="194" t="str">
        <f>IFERROR(INDEX('Reference Records'!O$3:O$19,MATCH(LEFT(C36,255),'Reference Records'!J$3:J$19,0)),"")</f>
        <v>HIV I-9b⁽ᴹ⁾ Percentage of transgender people who are living with HIV</v>
      </c>
    </row>
    <row r="37" spans="1:23" s="195" customFormat="1" ht="40.4" customHeight="1" x14ac:dyDescent="0.35">
      <c r="A37" s="770"/>
      <c r="B37" s="767"/>
      <c r="C37" s="761"/>
      <c r="D37" s="769"/>
      <c r="E37" s="769"/>
      <c r="F37" s="208"/>
      <c r="G37" s="763"/>
      <c r="H37" s="744"/>
      <c r="I37" s="765"/>
      <c r="J37" s="730"/>
      <c r="K37" s="761"/>
      <c r="L37" s="761"/>
      <c r="M37" s="730"/>
      <c r="N37" s="730"/>
    </row>
    <row r="38" spans="1:23" s="194" customFormat="1" ht="40.4" customHeight="1" x14ac:dyDescent="0.35">
      <c r="A38" s="770" t="str">
        <f t="shared" ca="1" si="0"/>
        <v>a1G3p000005ncFlEAI</v>
      </c>
      <c r="B38" s="766">
        <v>2</v>
      </c>
      <c r="C38" s="760" t="str">
        <f>IFERROR(VLOOKUP(B38,'Impact Indicators - Section B '!$A$9:$AF$52,32,FALSE),"")</f>
        <v>HIV I-9b⁽ᴹ⁾ Porcentaje de personas transgénero que viven con el VIH</v>
      </c>
      <c r="D38" s="768" t="str">
        <f>R38</f>
        <v/>
      </c>
      <c r="E38" s="768" t="str">
        <f>S38</f>
        <v/>
      </c>
      <c r="F38" s="413"/>
      <c r="G38" s="762" t="str">
        <f ca="1">IF(OR(INDIRECT("'update Helper'!E"&amp;U38)="",F38&lt;&gt;0,F39&lt;&gt;0),IF(IFERROR((F38/F39),"")="","",(F38/F39)),INDIRECT("'update Helper'!E"&amp;U38)/100)</f>
        <v/>
      </c>
      <c r="H38" s="743"/>
      <c r="I38" s="764"/>
      <c r="J38" s="729"/>
      <c r="K38" s="760" t="str">
        <f>W38</f>
        <v>HIV I-9b⁽ᴹ⁾ Percentage of transgender people who are living with HIV</v>
      </c>
      <c r="L38" s="760" t="str">
        <f>V38</f>
        <v/>
      </c>
      <c r="M38" s="729"/>
      <c r="N38" s="729"/>
      <c r="P38" s="194">
        <f>IF(AND(EXACT(C38,C36),C36&lt;&gt;0),P36+1,0)</f>
        <v>4</v>
      </c>
      <c r="Q38" s="194" t="str">
        <f>IF(C38&lt;&gt;"",C38&amp;"-"&amp;P38,"")</f>
        <v>HIV I-9b⁽ᴹ⁾ Porcentaje de personas transgénero que viven con el VIH-4</v>
      </c>
      <c r="R38" s="194" t="str">
        <f t="array" ref="R38">IFERROR(IF(INDEX('Disaggregation Records'!$E$3:$E$66,MATCH(RIGHT(Q38,255),RIGHT('Disaggregation Records'!$D$3:$D$66,255),0))="","",INDEX('Disaggregation Records'!$E$3:$E$66,MATCH(RIGHT(Q38,255),RIGHT('Disaggregation Records'!$D$3:$D$66,255),0))),"")</f>
        <v/>
      </c>
      <c r="S38" s="194" t="str">
        <f t="array" ref="S38">IFERROR(IF(INDEX('Disaggregation Records'!$F$3:$F$66,MATCH(RIGHT(Q38,255),RIGHT('Disaggregation Records'!$D$3:$D$66,255),0))="","",INDEX('Disaggregation Records'!$F$3:$F$66,MATCH(RIGHT(Q38,255),RIGHT('Disaggregation Records'!$D$3:$D$66,255),0))),"")</f>
        <v/>
      </c>
      <c r="T38" s="194" t="str">
        <f t="array" ref="T38">IFERROR(IF(INDEX('Disaggregation Records'!$H$3:$H$66,MATCH(RIGHT(Q38,255),RIGHT('Disaggregation Records'!$D$3:$D$66,255),0))="","",INDEX('Disaggregation Records'!$H$3:$H$66,MATCH(RIGHT(Q38,255),RIGHT('Disaggregation Records'!$D$3:$D$66,255),0))),"")</f>
        <v/>
      </c>
      <c r="U38" s="194">
        <f>U36+1</f>
        <v>2135</v>
      </c>
      <c r="V38" s="194" t="str">
        <f t="array" ref="V38">IFERROR(IF(INDEX('Disaggregation Records'!$I$3:$I$66,MATCH(RIGHT(Q38,255),RIGHT('Disaggregation Records'!$D$3:$D$66,255),0))="","",INDEX('Disaggregation Records'!$I$3:$I$66,MATCH(RIGHT(Q38,255),RIGHT('Disaggregation Records'!$D$3:$D$66,255),0))),"")</f>
        <v/>
      </c>
      <c r="W38" s="194" t="str">
        <f>IFERROR(INDEX('Reference Records'!O$3:O$19,MATCH(LEFT(C38,255),'Reference Records'!J$3:J$19,0)),"")</f>
        <v>HIV I-9b⁽ᴹ⁾ Percentage of transgender people who are living with HIV</v>
      </c>
    </row>
    <row r="39" spans="1:23" s="194" customFormat="1" ht="40.4" customHeight="1" x14ac:dyDescent="0.35">
      <c r="A39" s="770"/>
      <c r="B39" s="767"/>
      <c r="C39" s="761"/>
      <c r="D39" s="769"/>
      <c r="E39" s="769"/>
      <c r="F39" s="208"/>
      <c r="G39" s="763"/>
      <c r="H39" s="744"/>
      <c r="I39" s="765"/>
      <c r="J39" s="730"/>
      <c r="K39" s="761"/>
      <c r="L39" s="761"/>
      <c r="M39" s="730"/>
      <c r="N39" s="730"/>
      <c r="P39" s="195"/>
      <c r="Q39" s="195"/>
      <c r="R39" s="195"/>
      <c r="S39" s="195"/>
      <c r="T39" s="195"/>
      <c r="U39" s="195"/>
      <c r="V39" s="195"/>
      <c r="W39" s="195"/>
    </row>
    <row r="40" spans="1:23" s="194" customFormat="1" ht="40.4" customHeight="1" x14ac:dyDescent="0.35">
      <c r="A40" s="770" t="str">
        <f t="shared" ca="1" si="0"/>
        <v>a1G3p000005ncFmEAI</v>
      </c>
      <c r="B40" s="766">
        <v>2</v>
      </c>
      <c r="C40" s="760" t="str">
        <f>IFERROR(VLOOKUP(B40,'Impact Indicators - Section B '!$A$9:$AF$52,32,FALSE),"")</f>
        <v>HIV I-9b⁽ᴹ⁾ Porcentaje de personas transgénero que viven con el VIH</v>
      </c>
      <c r="D40" s="768" t="str">
        <f>R40</f>
        <v/>
      </c>
      <c r="E40" s="768" t="str">
        <f>S40</f>
        <v/>
      </c>
      <c r="F40" s="413"/>
      <c r="G40" s="762" t="str">
        <f ca="1">IF(OR(INDIRECT("'update Helper'!E"&amp;U40)="",F40&lt;&gt;0,F41&lt;&gt;0),IF(IFERROR((F40/F41),"")="","",(F40/F41)),INDIRECT("'update Helper'!E"&amp;U40)/100)</f>
        <v/>
      </c>
      <c r="H40" s="743"/>
      <c r="I40" s="764"/>
      <c r="J40" s="729"/>
      <c r="K40" s="760" t="str">
        <f>W40</f>
        <v>HIV I-9b⁽ᴹ⁾ Percentage of transgender people who are living with HIV</v>
      </c>
      <c r="L40" s="760" t="str">
        <f>V40</f>
        <v/>
      </c>
      <c r="M40" s="729"/>
      <c r="N40" s="729"/>
      <c r="P40" s="194">
        <f>IF(AND(EXACT(C40,C38),C38&lt;&gt;0),P38+1,0)</f>
        <v>5</v>
      </c>
      <c r="Q40" s="194" t="str">
        <f>IF(C40&lt;&gt;"",C40&amp;"-"&amp;P40,"")</f>
        <v>HIV I-9b⁽ᴹ⁾ Porcentaje de personas transgénero que viven con el VIH-5</v>
      </c>
      <c r="R40" s="194" t="str">
        <f t="array" ref="R40">IFERROR(IF(INDEX('Disaggregation Records'!$E$3:$E$66,MATCH(RIGHT(Q40,255),RIGHT('Disaggregation Records'!$D$3:$D$66,255),0))="","",INDEX('Disaggregation Records'!$E$3:$E$66,MATCH(RIGHT(Q40,255),RIGHT('Disaggregation Records'!$D$3:$D$66,255),0))),"")</f>
        <v/>
      </c>
      <c r="S40" s="194" t="str">
        <f t="array" ref="S40">IFERROR(IF(INDEX('Disaggregation Records'!$F$3:$F$66,MATCH(RIGHT(Q40,255),RIGHT('Disaggregation Records'!$D$3:$D$66,255),0))="","",INDEX('Disaggregation Records'!$F$3:$F$66,MATCH(RIGHT(Q40,255),RIGHT('Disaggregation Records'!$D$3:$D$66,255),0))),"")</f>
        <v/>
      </c>
      <c r="T40" s="194" t="str">
        <f t="array" ref="T40">IFERROR(IF(INDEX('Disaggregation Records'!$H$3:$H$66,MATCH(RIGHT(Q40,255),RIGHT('Disaggregation Records'!$D$3:$D$66,255),0))="","",INDEX('Disaggregation Records'!$H$3:$H$66,MATCH(RIGHT(Q40,255),RIGHT('Disaggregation Records'!$D$3:$D$66,255),0))),"")</f>
        <v/>
      </c>
      <c r="U40" s="194">
        <f>U38+1</f>
        <v>2136</v>
      </c>
      <c r="V40" s="194" t="str">
        <f t="array" ref="V40">IFERROR(IF(INDEX('Disaggregation Records'!$I$3:$I$66,MATCH(RIGHT(Q40,255),RIGHT('Disaggregation Records'!$D$3:$D$66,255),0))="","",INDEX('Disaggregation Records'!$I$3:$I$66,MATCH(RIGHT(Q40,255),RIGHT('Disaggregation Records'!$D$3:$D$66,255),0))),"")</f>
        <v/>
      </c>
      <c r="W40" s="194" t="str">
        <f>IFERROR(INDEX('Reference Records'!O$3:O$19,MATCH(LEFT(C40,255),'Reference Records'!J$3:J$19,0)),"")</f>
        <v>HIV I-9b⁽ᴹ⁾ Percentage of transgender people who are living with HIV</v>
      </c>
    </row>
    <row r="41" spans="1:23" s="195" customFormat="1" ht="40.4" customHeight="1" x14ac:dyDescent="0.35">
      <c r="A41" s="770"/>
      <c r="B41" s="767"/>
      <c r="C41" s="761"/>
      <c r="D41" s="769"/>
      <c r="E41" s="769"/>
      <c r="F41" s="208"/>
      <c r="G41" s="763"/>
      <c r="H41" s="744"/>
      <c r="I41" s="765"/>
      <c r="J41" s="730"/>
      <c r="K41" s="761"/>
      <c r="L41" s="761"/>
      <c r="M41" s="730"/>
      <c r="N41" s="730"/>
    </row>
    <row r="42" spans="1:23" s="194" customFormat="1" ht="40.4" customHeight="1" x14ac:dyDescent="0.35">
      <c r="A42" s="770" t="str">
        <f t="shared" ca="1" si="0"/>
        <v>a1G3p000005ncFnEAI</v>
      </c>
      <c r="B42" s="766">
        <v>2</v>
      </c>
      <c r="C42" s="760" t="str">
        <f>IFERROR(VLOOKUP(B42,'Impact Indicators - Section B '!$A$9:$AF$52,32,FALSE),"")</f>
        <v>HIV I-9b⁽ᴹ⁾ Porcentaje de personas transgénero que viven con el VIH</v>
      </c>
      <c r="D42" s="768" t="str">
        <f>R42</f>
        <v/>
      </c>
      <c r="E42" s="768" t="str">
        <f>S42</f>
        <v/>
      </c>
      <c r="F42" s="413"/>
      <c r="G42" s="762" t="str">
        <f ca="1">IF(OR(INDIRECT("'update Helper'!E"&amp;U42)="",F42&lt;&gt;0,F43&lt;&gt;0),IF(IFERROR((F42/F43),"")="","",(F42/F43)),INDIRECT("'update Helper'!E"&amp;U42)/100)</f>
        <v/>
      </c>
      <c r="H42" s="743"/>
      <c r="I42" s="764"/>
      <c r="J42" s="729"/>
      <c r="K42" s="760" t="str">
        <f>W42</f>
        <v>HIV I-9b⁽ᴹ⁾ Percentage of transgender people who are living with HIV</v>
      </c>
      <c r="L42" s="760" t="str">
        <f>V42</f>
        <v/>
      </c>
      <c r="M42" s="729"/>
      <c r="N42" s="729"/>
      <c r="P42" s="194">
        <f>IF(AND(EXACT(C42,C40),C40&lt;&gt;0),P40+1,0)</f>
        <v>6</v>
      </c>
      <c r="Q42" s="194" t="str">
        <f>IF(C42&lt;&gt;"",C42&amp;"-"&amp;P42,"")</f>
        <v>HIV I-9b⁽ᴹ⁾ Porcentaje de personas transgénero que viven con el VIH-6</v>
      </c>
      <c r="R42" s="194" t="str">
        <f t="array" ref="R42">IFERROR(IF(INDEX('Disaggregation Records'!$E$3:$E$66,MATCH(RIGHT(Q42,255),RIGHT('Disaggregation Records'!$D$3:$D$66,255),0))="","",INDEX('Disaggregation Records'!$E$3:$E$66,MATCH(RIGHT(Q42,255),RIGHT('Disaggregation Records'!$D$3:$D$66,255),0))),"")</f>
        <v/>
      </c>
      <c r="S42" s="194" t="str">
        <f t="array" ref="S42">IFERROR(IF(INDEX('Disaggregation Records'!$F$3:$F$66,MATCH(RIGHT(Q42,255),RIGHT('Disaggregation Records'!$D$3:$D$66,255),0))="","",INDEX('Disaggregation Records'!$F$3:$F$66,MATCH(RIGHT(Q42,255),RIGHT('Disaggregation Records'!$D$3:$D$66,255),0))),"")</f>
        <v/>
      </c>
      <c r="T42" s="194" t="str">
        <f t="array" ref="T42">IFERROR(IF(INDEX('Disaggregation Records'!$H$3:$H$66,MATCH(RIGHT(Q42,255),RIGHT('Disaggregation Records'!$D$3:$D$66,255),0))="","",INDEX('Disaggregation Records'!$H$3:$H$66,MATCH(RIGHT(Q42,255),RIGHT('Disaggregation Records'!$D$3:$D$66,255),0))),"")</f>
        <v/>
      </c>
      <c r="U42" s="194">
        <f>U40+1</f>
        <v>2137</v>
      </c>
      <c r="V42" s="194" t="str">
        <f t="array" ref="V42">IFERROR(IF(INDEX('Disaggregation Records'!$I$3:$I$66,MATCH(RIGHT(Q42,255),RIGHT('Disaggregation Records'!$D$3:$D$66,255),0))="","",INDEX('Disaggregation Records'!$I$3:$I$66,MATCH(RIGHT(Q42,255),RIGHT('Disaggregation Records'!$D$3:$D$66,255),0))),"")</f>
        <v/>
      </c>
      <c r="W42" s="194" t="str">
        <f>IFERROR(INDEX('Reference Records'!O$3:O$19,MATCH(LEFT(C42,255),'Reference Records'!J$3:J$19,0)),"")</f>
        <v>HIV I-9b⁽ᴹ⁾ Percentage of transgender people who are living with HIV</v>
      </c>
    </row>
    <row r="43" spans="1:23" s="195" customFormat="1" ht="40.4" customHeight="1" x14ac:dyDescent="0.35">
      <c r="A43" s="770"/>
      <c r="B43" s="767"/>
      <c r="C43" s="761"/>
      <c r="D43" s="769"/>
      <c r="E43" s="769"/>
      <c r="F43" s="208"/>
      <c r="G43" s="763"/>
      <c r="H43" s="744"/>
      <c r="I43" s="765"/>
      <c r="J43" s="730"/>
      <c r="K43" s="761"/>
      <c r="L43" s="761"/>
      <c r="M43" s="730"/>
      <c r="N43" s="730"/>
    </row>
    <row r="44" spans="1:23" s="194" customFormat="1" ht="40.4" customHeight="1" x14ac:dyDescent="0.35">
      <c r="A44" s="770" t="str">
        <f t="shared" ca="1" si="0"/>
        <v>a1G3p000005ncFoEAI</v>
      </c>
      <c r="B44" s="766">
        <v>2</v>
      </c>
      <c r="C44" s="760" t="str">
        <f>IFERROR(VLOOKUP(B44,'Impact Indicators - Section B '!$A$9:$AF$52,32,FALSE),"")</f>
        <v>HIV I-9b⁽ᴹ⁾ Porcentaje de personas transgénero que viven con el VIH</v>
      </c>
      <c r="D44" s="768" t="str">
        <f>R44</f>
        <v/>
      </c>
      <c r="E44" s="768" t="str">
        <f>S44</f>
        <v/>
      </c>
      <c r="F44" s="413"/>
      <c r="G44" s="762" t="str">
        <f ca="1">IF(OR(INDIRECT("'update Helper'!E"&amp;U44)="",F44&lt;&gt;0,F45&lt;&gt;0),IF(IFERROR((F44/F45),"")="","",(F44/F45)),INDIRECT("'update Helper'!E"&amp;U44)/100)</f>
        <v/>
      </c>
      <c r="H44" s="743"/>
      <c r="I44" s="764"/>
      <c r="J44" s="729"/>
      <c r="K44" s="760" t="str">
        <f>W44</f>
        <v>HIV I-9b⁽ᴹ⁾ Percentage of transgender people who are living with HIV</v>
      </c>
      <c r="L44" s="760" t="str">
        <f>V44</f>
        <v/>
      </c>
      <c r="M44" s="729"/>
      <c r="N44" s="729"/>
      <c r="P44" s="194">
        <f>IF(AND(EXACT(C44,C42),C42&lt;&gt;0),P42+1,0)</f>
        <v>7</v>
      </c>
      <c r="Q44" s="194" t="str">
        <f>IF(C44&lt;&gt;"",C44&amp;"-"&amp;P44,"")</f>
        <v>HIV I-9b⁽ᴹ⁾ Porcentaje de personas transgénero que viven con el VIH-7</v>
      </c>
      <c r="R44" s="194" t="str">
        <f t="array" ref="R44">IFERROR(IF(INDEX('Disaggregation Records'!$E$3:$E$66,MATCH(RIGHT(Q44,255),RIGHT('Disaggregation Records'!$D$3:$D$66,255),0))="","",INDEX('Disaggregation Records'!$E$3:$E$66,MATCH(RIGHT(Q44,255),RIGHT('Disaggregation Records'!$D$3:$D$66,255),0))),"")</f>
        <v/>
      </c>
      <c r="S44" s="194" t="str">
        <f t="array" ref="S44">IFERROR(IF(INDEX('Disaggregation Records'!$F$3:$F$66,MATCH(RIGHT(Q44,255),RIGHT('Disaggregation Records'!$D$3:$D$66,255),0))="","",INDEX('Disaggregation Records'!$F$3:$F$66,MATCH(RIGHT(Q44,255),RIGHT('Disaggregation Records'!$D$3:$D$66,255),0))),"")</f>
        <v/>
      </c>
      <c r="T44" s="194" t="str">
        <f t="array" ref="T44">IFERROR(IF(INDEX('Disaggregation Records'!$H$3:$H$66,MATCH(RIGHT(Q44,255),RIGHT('Disaggregation Records'!$D$3:$D$66,255),0))="","",INDEX('Disaggregation Records'!$H$3:$H$66,MATCH(RIGHT(Q44,255),RIGHT('Disaggregation Records'!$D$3:$D$66,255),0))),"")</f>
        <v/>
      </c>
      <c r="U44" s="194">
        <f>U42+1</f>
        <v>2138</v>
      </c>
      <c r="V44" s="194" t="str">
        <f t="array" ref="V44">IFERROR(IF(INDEX('Disaggregation Records'!$I$3:$I$66,MATCH(RIGHT(Q44,255),RIGHT('Disaggregation Records'!$D$3:$D$66,255),0))="","",INDEX('Disaggregation Records'!$I$3:$I$66,MATCH(RIGHT(Q44,255),RIGHT('Disaggregation Records'!$D$3:$D$66,255),0))),"")</f>
        <v/>
      </c>
      <c r="W44" s="194" t="str">
        <f>IFERROR(INDEX('Reference Records'!O$3:O$19,MATCH(LEFT(C44,255),'Reference Records'!J$3:J$19,0)),"")</f>
        <v>HIV I-9b⁽ᴹ⁾ Percentage of transgender people who are living with HIV</v>
      </c>
    </row>
    <row r="45" spans="1:23" s="194" customFormat="1" ht="40.4" customHeight="1" x14ac:dyDescent="0.35">
      <c r="A45" s="770"/>
      <c r="B45" s="767"/>
      <c r="C45" s="761"/>
      <c r="D45" s="769"/>
      <c r="E45" s="769"/>
      <c r="F45" s="208"/>
      <c r="G45" s="763"/>
      <c r="H45" s="744"/>
      <c r="I45" s="765"/>
      <c r="J45" s="730"/>
      <c r="K45" s="761"/>
      <c r="L45" s="761"/>
      <c r="M45" s="730"/>
      <c r="N45" s="730"/>
      <c r="P45" s="195"/>
      <c r="Q45" s="195"/>
      <c r="R45" s="195"/>
      <c r="S45" s="195"/>
      <c r="T45" s="195"/>
      <c r="U45" s="195"/>
      <c r="V45" s="195"/>
      <c r="W45" s="195"/>
    </row>
    <row r="46" spans="1:23" s="194" customFormat="1" ht="40.4" customHeight="1" x14ac:dyDescent="0.35">
      <c r="A46" s="770" t="str">
        <f t="shared" ca="1" si="0"/>
        <v>a1G3p000005ncFpEAI</v>
      </c>
      <c r="B46" s="766">
        <v>2</v>
      </c>
      <c r="C46" s="760" t="str">
        <f>IFERROR(VLOOKUP(B46,'Impact Indicators - Section B '!$A$9:$AF$52,32,FALSE),"")</f>
        <v>HIV I-9b⁽ᴹ⁾ Porcentaje de personas transgénero que viven con el VIH</v>
      </c>
      <c r="D46" s="768" t="str">
        <f>R46</f>
        <v/>
      </c>
      <c r="E46" s="768" t="str">
        <f>S46</f>
        <v/>
      </c>
      <c r="F46" s="413"/>
      <c r="G46" s="762" t="str">
        <f ca="1">IF(OR(INDIRECT("'update Helper'!E"&amp;U46)="",F46&lt;&gt;0,F47&lt;&gt;0),IF(IFERROR((F46/F47),"")="","",(F46/F47)),INDIRECT("'update Helper'!E"&amp;U46)/100)</f>
        <v/>
      </c>
      <c r="H46" s="743"/>
      <c r="I46" s="764"/>
      <c r="J46" s="729"/>
      <c r="K46" s="760" t="str">
        <f>W46</f>
        <v>HIV I-9b⁽ᴹ⁾ Percentage of transgender people who are living with HIV</v>
      </c>
      <c r="L46" s="760" t="str">
        <f>V46</f>
        <v/>
      </c>
      <c r="M46" s="729"/>
      <c r="N46" s="729"/>
      <c r="P46" s="194">
        <f>IF(AND(EXACT(C46,C44),C44&lt;&gt;0),P44+1,0)</f>
        <v>8</v>
      </c>
      <c r="Q46" s="194" t="str">
        <f>IF(C46&lt;&gt;"",C46&amp;"-"&amp;P46,"")</f>
        <v>HIV I-9b⁽ᴹ⁾ Porcentaje de personas transgénero que viven con el VIH-8</v>
      </c>
      <c r="R46" s="194" t="str">
        <f t="array" ref="R46">IFERROR(IF(INDEX('Disaggregation Records'!$E$3:$E$66,MATCH(RIGHT(Q46,255),RIGHT('Disaggregation Records'!$D$3:$D$66,255),0))="","",INDEX('Disaggregation Records'!$E$3:$E$66,MATCH(RIGHT(Q46,255),RIGHT('Disaggregation Records'!$D$3:$D$66,255),0))),"")</f>
        <v/>
      </c>
      <c r="S46" s="194" t="str">
        <f t="array" ref="S46">IFERROR(IF(INDEX('Disaggregation Records'!$F$3:$F$66,MATCH(RIGHT(Q46,255),RIGHT('Disaggregation Records'!$D$3:$D$66,255),0))="","",INDEX('Disaggregation Records'!$F$3:$F$66,MATCH(RIGHT(Q46,255),RIGHT('Disaggregation Records'!$D$3:$D$66,255),0))),"")</f>
        <v/>
      </c>
      <c r="T46" s="194" t="str">
        <f t="array" ref="T46">IFERROR(IF(INDEX('Disaggregation Records'!$H$3:$H$66,MATCH(RIGHT(Q46,255),RIGHT('Disaggregation Records'!$D$3:$D$66,255),0))="","",INDEX('Disaggregation Records'!$H$3:$H$66,MATCH(RIGHT(Q46,255),RIGHT('Disaggregation Records'!$D$3:$D$66,255),0))),"")</f>
        <v/>
      </c>
      <c r="U46" s="194">
        <f>U44+1</f>
        <v>2139</v>
      </c>
      <c r="V46" s="194" t="str">
        <f t="array" ref="V46">IFERROR(IF(INDEX('Disaggregation Records'!$I$3:$I$66,MATCH(RIGHT(Q46,255),RIGHT('Disaggregation Records'!$D$3:$D$66,255),0))="","",INDEX('Disaggregation Records'!$I$3:$I$66,MATCH(RIGHT(Q46,255),RIGHT('Disaggregation Records'!$D$3:$D$66,255),0))),"")</f>
        <v/>
      </c>
      <c r="W46" s="194" t="str">
        <f>IFERROR(INDEX('Reference Records'!O$3:O$19,MATCH(LEFT(C46,255),'Reference Records'!J$3:J$19,0)),"")</f>
        <v>HIV I-9b⁽ᴹ⁾ Percentage of transgender people who are living with HIV</v>
      </c>
    </row>
    <row r="47" spans="1:23" s="195" customFormat="1" ht="40.4" customHeight="1" x14ac:dyDescent="0.35">
      <c r="A47" s="770"/>
      <c r="B47" s="767"/>
      <c r="C47" s="761"/>
      <c r="D47" s="769"/>
      <c r="E47" s="769"/>
      <c r="F47" s="208"/>
      <c r="G47" s="763"/>
      <c r="H47" s="744"/>
      <c r="I47" s="765"/>
      <c r="J47" s="730"/>
      <c r="K47" s="761"/>
      <c r="L47" s="761"/>
      <c r="M47" s="730"/>
      <c r="N47" s="730"/>
    </row>
    <row r="48" spans="1:23" s="194" customFormat="1" ht="40.4" customHeight="1" x14ac:dyDescent="0.35">
      <c r="A48" s="770" t="str">
        <f t="shared" ca="1" si="0"/>
        <v>a1G3p000005ncFqEAI</v>
      </c>
      <c r="B48" s="766">
        <v>2</v>
      </c>
      <c r="C48" s="760" t="str">
        <f>IFERROR(VLOOKUP(B48,'Impact Indicators - Section B '!$A$9:$AF$52,32,FALSE),"")</f>
        <v>HIV I-9b⁽ᴹ⁾ Porcentaje de personas transgénero que viven con el VIH</v>
      </c>
      <c r="D48" s="768" t="str">
        <f>R48</f>
        <v/>
      </c>
      <c r="E48" s="768" t="str">
        <f>S48</f>
        <v/>
      </c>
      <c r="F48" s="413"/>
      <c r="G48" s="762" t="str">
        <f ca="1">IF(OR(INDIRECT("'update Helper'!E"&amp;U48)="",F48&lt;&gt;0,F49&lt;&gt;0),IF(IFERROR((F48/F49),"")="","",(F48/F49)),INDIRECT("'update Helper'!E"&amp;U48)/100)</f>
        <v/>
      </c>
      <c r="H48" s="743"/>
      <c r="I48" s="764"/>
      <c r="J48" s="729"/>
      <c r="K48" s="760" t="str">
        <f>W48</f>
        <v>HIV I-9b⁽ᴹ⁾ Percentage of transgender people who are living with HIV</v>
      </c>
      <c r="L48" s="760" t="str">
        <f>V48</f>
        <v/>
      </c>
      <c r="M48" s="729"/>
      <c r="N48" s="729"/>
      <c r="P48" s="194">
        <f>IF(AND(EXACT(C48,C46),C46&lt;&gt;0),P46+1,0)</f>
        <v>9</v>
      </c>
      <c r="Q48" s="194" t="str">
        <f>IF(C48&lt;&gt;"",C48&amp;"-"&amp;P48,"")</f>
        <v>HIV I-9b⁽ᴹ⁾ Porcentaje de personas transgénero que viven con el VIH-9</v>
      </c>
      <c r="R48" s="194" t="str">
        <f t="array" ref="R48">IFERROR(IF(INDEX('Disaggregation Records'!$E$3:$E$66,MATCH(RIGHT(Q48,255),RIGHT('Disaggregation Records'!$D$3:$D$66,255),0))="","",INDEX('Disaggregation Records'!$E$3:$E$66,MATCH(RIGHT(Q48,255),RIGHT('Disaggregation Records'!$D$3:$D$66,255),0))),"")</f>
        <v/>
      </c>
      <c r="S48" s="194" t="str">
        <f t="array" ref="S48">IFERROR(IF(INDEX('Disaggregation Records'!$F$3:$F$66,MATCH(RIGHT(Q48,255),RIGHT('Disaggregation Records'!$D$3:$D$66,255),0))="","",INDEX('Disaggregation Records'!$F$3:$F$66,MATCH(RIGHT(Q48,255),RIGHT('Disaggregation Records'!$D$3:$D$66,255),0))),"")</f>
        <v/>
      </c>
      <c r="T48" s="194" t="str">
        <f t="array" ref="T48">IFERROR(IF(INDEX('Disaggregation Records'!$H$3:$H$66,MATCH(RIGHT(Q48,255),RIGHT('Disaggregation Records'!$D$3:$D$66,255),0))="","",INDEX('Disaggregation Records'!$H$3:$H$66,MATCH(RIGHT(Q48,255),RIGHT('Disaggregation Records'!$D$3:$D$66,255),0))),"")</f>
        <v/>
      </c>
      <c r="U48" s="194">
        <f>U46+1</f>
        <v>2140</v>
      </c>
      <c r="V48" s="194" t="str">
        <f t="array" ref="V48">IFERROR(IF(INDEX('Disaggregation Records'!$I$3:$I$66,MATCH(RIGHT(Q48,255),RIGHT('Disaggregation Records'!$D$3:$D$66,255),0))="","",INDEX('Disaggregation Records'!$I$3:$I$66,MATCH(RIGHT(Q48,255),RIGHT('Disaggregation Records'!$D$3:$D$66,255),0))),"")</f>
        <v/>
      </c>
      <c r="W48" s="194" t="str">
        <f>IFERROR(INDEX('Reference Records'!O$3:O$19,MATCH(LEFT(C48,255),'Reference Records'!J$3:J$19,0)),"")</f>
        <v>HIV I-9b⁽ᴹ⁾ Percentage of transgender people who are living with HIV</v>
      </c>
    </row>
    <row r="49" spans="1:23" s="195" customFormat="1" ht="40.4" customHeight="1" x14ac:dyDescent="0.35">
      <c r="A49" s="770"/>
      <c r="B49" s="767"/>
      <c r="C49" s="761"/>
      <c r="D49" s="769"/>
      <c r="E49" s="769"/>
      <c r="F49" s="208"/>
      <c r="G49" s="763"/>
      <c r="H49" s="744"/>
      <c r="I49" s="765"/>
      <c r="J49" s="730"/>
      <c r="K49" s="761"/>
      <c r="L49" s="761"/>
      <c r="M49" s="730"/>
      <c r="N49" s="730"/>
    </row>
    <row r="50" spans="1:23" s="194" customFormat="1" ht="40.4" customHeight="1" x14ac:dyDescent="0.35">
      <c r="A50" s="770" t="str">
        <f t="shared" ca="1" si="0"/>
        <v>a1G3p000005ncDREAY</v>
      </c>
      <c r="B50" s="766">
        <v>3</v>
      </c>
      <c r="C50" s="760" t="str">
        <f>IFERROR(VLOOKUP(B50,'Impact Indicators - Section B '!$A$9:$AF$52,32,FALSE),"")</f>
        <v/>
      </c>
      <c r="D50" s="768" t="str">
        <f>R50</f>
        <v/>
      </c>
      <c r="E50" s="768" t="str">
        <f>S50</f>
        <v/>
      </c>
      <c r="F50" s="413"/>
      <c r="G50" s="762">
        <f ca="1">IF(OR(INDIRECT("'update Helper'!E"&amp;U50)="",F50&lt;&gt;0,F51&lt;&gt;0),IF(IFERROR((F50/F51),"")="","",(F50/F51)),INDIRECT("'update Helper'!E"&amp;U50)/100)</f>
        <v>0.37</v>
      </c>
      <c r="H50" s="743">
        <v>2019</v>
      </c>
      <c r="I50" s="764"/>
      <c r="J50" s="729" t="s">
        <v>9912</v>
      </c>
      <c r="K50" s="760" t="str">
        <f>W50</f>
        <v/>
      </c>
      <c r="L50" s="760" t="str">
        <f>V50</f>
        <v/>
      </c>
      <c r="M50" s="729"/>
      <c r="N50" s="729" t="s">
        <v>4059</v>
      </c>
      <c r="P50" s="194">
        <f>IF(AND(EXACT(C50,C48),C48&lt;&gt;0),P48+1,0)</f>
        <v>0</v>
      </c>
      <c r="Q50" s="194" t="str">
        <f>IF(C50&lt;&gt;"",C50&amp;"-"&amp;P50,"")</f>
        <v/>
      </c>
      <c r="R50" s="194" t="str">
        <f t="array" ref="R50">IFERROR(IF(INDEX('Disaggregation Records'!$E$3:$E$66,MATCH(RIGHT(Q50,255),RIGHT('Disaggregation Records'!$D$3:$D$66,255),0))="","",INDEX('Disaggregation Records'!$E$3:$E$66,MATCH(RIGHT(Q50,255),RIGHT('Disaggregation Records'!$D$3:$D$66,255),0))),"")</f>
        <v/>
      </c>
      <c r="S50" s="194" t="str">
        <f t="array" ref="S50">IFERROR(IF(INDEX('Disaggregation Records'!$F$3:$F$66,MATCH(RIGHT(Q50,255),RIGHT('Disaggregation Records'!$D$3:$D$66,255),0))="","",INDEX('Disaggregation Records'!$F$3:$F$66,MATCH(RIGHT(Q50,255),RIGHT('Disaggregation Records'!$D$3:$D$66,255),0))),"")</f>
        <v/>
      </c>
      <c r="T50" s="194" t="str">
        <f t="array" ref="T50">IFERROR(IF(INDEX('Disaggregation Records'!$H$3:$H$66,MATCH(RIGHT(Q50,255),RIGHT('Disaggregation Records'!$D$3:$D$66,255),0))="","",INDEX('Disaggregation Records'!$H$3:$H$66,MATCH(RIGHT(Q50,255),RIGHT('Disaggregation Records'!$D$3:$D$66,255),0))),"")</f>
        <v/>
      </c>
      <c r="U50" s="194">
        <f>U48+1</f>
        <v>2141</v>
      </c>
      <c r="V50" s="194" t="str">
        <f t="array" ref="V50">IFERROR(IF(INDEX('Disaggregation Records'!$I$3:$I$66,MATCH(RIGHT(Q50,255),RIGHT('Disaggregation Records'!$D$3:$D$66,255),0))="","",INDEX('Disaggregation Records'!$I$3:$I$66,MATCH(RIGHT(Q50,255),RIGHT('Disaggregation Records'!$D$3:$D$66,255),0))),"")</f>
        <v/>
      </c>
      <c r="W50" s="194" t="str">
        <f>IFERROR(INDEX('Reference Records'!O$3:O$19,MATCH(LEFT(C50,255),'Reference Records'!J$3:J$19,0)),"")</f>
        <v/>
      </c>
    </row>
    <row r="51" spans="1:23" s="194" customFormat="1" ht="40.4" customHeight="1" x14ac:dyDescent="0.35">
      <c r="A51" s="770"/>
      <c r="B51" s="767">
        <v>2.2894736842105301</v>
      </c>
      <c r="C51" s="761"/>
      <c r="D51" s="769"/>
      <c r="E51" s="769"/>
      <c r="F51" s="208"/>
      <c r="G51" s="763"/>
      <c r="H51" s="744"/>
      <c r="I51" s="765"/>
      <c r="J51" s="730"/>
      <c r="K51" s="761"/>
      <c r="L51" s="761"/>
      <c r="M51" s="730"/>
      <c r="N51" s="730"/>
      <c r="P51" s="195"/>
      <c r="Q51" s="195"/>
      <c r="R51" s="195"/>
      <c r="S51" s="195"/>
      <c r="T51" s="195"/>
      <c r="U51" s="195"/>
      <c r="V51" s="195"/>
      <c r="W51" s="195"/>
    </row>
    <row r="52" spans="1:23" s="194" customFormat="1" ht="40.4" customHeight="1" x14ac:dyDescent="0.35">
      <c r="A52" s="770" t="str">
        <f t="shared" ca="1" si="0"/>
        <v>a1G3p000005ncDSEAY</v>
      </c>
      <c r="B52" s="766">
        <v>3</v>
      </c>
      <c r="C52" s="760" t="str">
        <f>IFERROR(VLOOKUP(B52,'Impact Indicators - Section B '!$A$9:$AF$52,32,FALSE),"")</f>
        <v/>
      </c>
      <c r="D52" s="768" t="str">
        <f>R52</f>
        <v/>
      </c>
      <c r="E52" s="768" t="str">
        <f>S52</f>
        <v/>
      </c>
      <c r="F52" s="413"/>
      <c r="G52" s="762" t="str">
        <f ca="1">IF(OR(INDIRECT("'update Helper'!E"&amp;U52)="",F52&lt;&gt;0,F53&lt;&gt;0),IF(IFERROR((F52/F53),"")="","",(F52/F53)),INDIRECT("'update Helper'!E"&amp;U52)/100)</f>
        <v/>
      </c>
      <c r="H52" s="743">
        <v>2019</v>
      </c>
      <c r="I52" s="764"/>
      <c r="J52" s="729" t="s">
        <v>9912</v>
      </c>
      <c r="K52" s="760" t="str">
        <f>W52</f>
        <v/>
      </c>
      <c r="L52" s="760" t="str">
        <f>V52</f>
        <v/>
      </c>
      <c r="M52" s="729"/>
      <c r="N52" s="729" t="s">
        <v>4059</v>
      </c>
      <c r="P52" s="194">
        <f>IF(AND(EXACT(C52,C50),C50&lt;&gt;0),P50+1,0)</f>
        <v>1</v>
      </c>
      <c r="Q52" s="194" t="str">
        <f>IF(C52&lt;&gt;"",C52&amp;"-"&amp;P52,"")</f>
        <v/>
      </c>
      <c r="R52" s="194" t="str">
        <f t="array" ref="R52">IFERROR(IF(INDEX('Disaggregation Records'!$E$3:$E$66,MATCH(RIGHT(Q52,255),RIGHT('Disaggregation Records'!$D$3:$D$66,255),0))="","",INDEX('Disaggregation Records'!$E$3:$E$66,MATCH(RIGHT(Q52,255),RIGHT('Disaggregation Records'!$D$3:$D$66,255),0))),"")</f>
        <v/>
      </c>
      <c r="S52" s="194" t="str">
        <f t="array" ref="S52">IFERROR(IF(INDEX('Disaggregation Records'!$F$3:$F$66,MATCH(RIGHT(Q52,255),RIGHT('Disaggregation Records'!$D$3:$D$66,255),0))="","",INDEX('Disaggregation Records'!$F$3:$F$66,MATCH(RIGHT(Q52,255),RIGHT('Disaggregation Records'!$D$3:$D$66,255),0))),"")</f>
        <v/>
      </c>
      <c r="T52" s="194" t="str">
        <f t="array" ref="T52">IFERROR(IF(INDEX('Disaggregation Records'!$H$3:$H$66,MATCH(RIGHT(Q52,255),RIGHT('Disaggregation Records'!$D$3:$D$66,255),0))="","",INDEX('Disaggregation Records'!$H$3:$H$66,MATCH(RIGHT(Q52,255),RIGHT('Disaggregation Records'!$D$3:$D$66,255),0))),"")</f>
        <v/>
      </c>
      <c r="U52" s="194">
        <f>U50+1</f>
        <v>2142</v>
      </c>
      <c r="V52" s="194" t="str">
        <f t="array" ref="V52">IFERROR(IF(INDEX('Disaggregation Records'!$I$3:$I$66,MATCH(RIGHT(Q52,255),RIGHT('Disaggregation Records'!$D$3:$D$66,255),0))="","",INDEX('Disaggregation Records'!$I$3:$I$66,MATCH(RIGHT(Q52,255),RIGHT('Disaggregation Records'!$D$3:$D$66,255),0))),"")</f>
        <v/>
      </c>
      <c r="W52" s="194" t="str">
        <f>IFERROR(INDEX('Reference Records'!O$3:O$19,MATCH(LEFT(C52,255),'Reference Records'!J$3:J$19,0)),"")</f>
        <v/>
      </c>
    </row>
    <row r="53" spans="1:23" s="195" customFormat="1" ht="40.4" customHeight="1" x14ac:dyDescent="0.35">
      <c r="A53" s="770"/>
      <c r="B53" s="767">
        <v>2.2894736842105301</v>
      </c>
      <c r="C53" s="761"/>
      <c r="D53" s="769"/>
      <c r="E53" s="769"/>
      <c r="F53" s="208"/>
      <c r="G53" s="763"/>
      <c r="H53" s="744"/>
      <c r="I53" s="765"/>
      <c r="J53" s="730"/>
      <c r="K53" s="761"/>
      <c r="L53" s="761"/>
      <c r="M53" s="730"/>
      <c r="N53" s="730"/>
    </row>
    <row r="54" spans="1:23" s="194" customFormat="1" ht="40.4" customHeight="1" x14ac:dyDescent="0.35">
      <c r="A54" s="770" t="str">
        <f t="shared" ca="1" si="0"/>
        <v>a1G3p000005ncDTEAY</v>
      </c>
      <c r="B54" s="766">
        <v>3</v>
      </c>
      <c r="C54" s="760" t="str">
        <f>IFERROR(VLOOKUP(B54,'Impact Indicators - Section B '!$A$9:$AF$52,32,FALSE),"")</f>
        <v/>
      </c>
      <c r="D54" s="768" t="str">
        <f>R54</f>
        <v/>
      </c>
      <c r="E54" s="768" t="str">
        <f>S54</f>
        <v/>
      </c>
      <c r="F54" s="413"/>
      <c r="G54" s="762" t="str">
        <f ca="1">IF(OR(INDIRECT("'update Helper'!E"&amp;U54)="",F54&lt;&gt;0,F55&lt;&gt;0),IF(IFERROR((F54/F55),"")="","",(F54/F55)),INDIRECT("'update Helper'!E"&amp;U54)/100)</f>
        <v/>
      </c>
      <c r="H54" s="743"/>
      <c r="I54" s="764"/>
      <c r="J54" s="729"/>
      <c r="K54" s="760" t="str">
        <f>W54</f>
        <v/>
      </c>
      <c r="L54" s="760" t="str">
        <f>V54</f>
        <v/>
      </c>
      <c r="M54" s="729"/>
      <c r="N54" s="729"/>
      <c r="P54" s="194">
        <f>IF(AND(EXACT(C54,C52),C52&lt;&gt;0),P52+1,0)</f>
        <v>2</v>
      </c>
      <c r="Q54" s="194" t="str">
        <f>IF(C54&lt;&gt;"",C54&amp;"-"&amp;P54,"")</f>
        <v/>
      </c>
      <c r="R54" s="194" t="str">
        <f t="array" ref="R54">IFERROR(IF(INDEX('Disaggregation Records'!$E$3:$E$66,MATCH(RIGHT(Q54,255),RIGHT('Disaggregation Records'!$D$3:$D$66,255),0))="","",INDEX('Disaggregation Records'!$E$3:$E$66,MATCH(RIGHT(Q54,255),RIGHT('Disaggregation Records'!$D$3:$D$66,255),0))),"")</f>
        <v/>
      </c>
      <c r="S54" s="194" t="str">
        <f t="array" ref="S54">IFERROR(IF(INDEX('Disaggregation Records'!$F$3:$F$66,MATCH(RIGHT(Q54,255),RIGHT('Disaggregation Records'!$D$3:$D$66,255),0))="","",INDEX('Disaggregation Records'!$F$3:$F$66,MATCH(RIGHT(Q54,255),RIGHT('Disaggregation Records'!$D$3:$D$66,255),0))),"")</f>
        <v/>
      </c>
      <c r="T54" s="194" t="str">
        <f t="array" ref="T54">IFERROR(IF(INDEX('Disaggregation Records'!$H$3:$H$66,MATCH(RIGHT(Q54,255),RIGHT('Disaggregation Records'!$D$3:$D$66,255),0))="","",INDEX('Disaggregation Records'!$H$3:$H$66,MATCH(RIGHT(Q54,255),RIGHT('Disaggregation Records'!$D$3:$D$66,255),0))),"")</f>
        <v/>
      </c>
      <c r="U54" s="194">
        <f>U52+1</f>
        <v>2143</v>
      </c>
      <c r="V54" s="194" t="str">
        <f t="array" ref="V54">IFERROR(IF(INDEX('Disaggregation Records'!$I$3:$I$66,MATCH(RIGHT(Q54,255),RIGHT('Disaggregation Records'!$D$3:$D$66,255),0))="","",INDEX('Disaggregation Records'!$I$3:$I$66,MATCH(RIGHT(Q54,255),RIGHT('Disaggregation Records'!$D$3:$D$66,255),0))),"")</f>
        <v/>
      </c>
      <c r="W54" s="194" t="str">
        <f>IFERROR(INDEX('Reference Records'!O$3:O$19,MATCH(LEFT(C54,255),'Reference Records'!J$3:J$19,0)),"")</f>
        <v/>
      </c>
    </row>
    <row r="55" spans="1:23" s="195" customFormat="1" ht="40.4" customHeight="1" x14ac:dyDescent="0.35">
      <c r="A55" s="770"/>
      <c r="B55" s="767">
        <v>2.2894736842105301</v>
      </c>
      <c r="C55" s="761"/>
      <c r="D55" s="769"/>
      <c r="E55" s="769"/>
      <c r="F55" s="208"/>
      <c r="G55" s="763"/>
      <c r="H55" s="744"/>
      <c r="I55" s="765"/>
      <c r="J55" s="730"/>
      <c r="K55" s="761"/>
      <c r="L55" s="761"/>
      <c r="M55" s="730"/>
      <c r="N55" s="730"/>
    </row>
    <row r="56" spans="1:23" s="194" customFormat="1" ht="40.4" customHeight="1" x14ac:dyDescent="0.35">
      <c r="A56" s="770" t="str">
        <f t="shared" ca="1" si="0"/>
        <v>a1G3p000005ncDUEAY</v>
      </c>
      <c r="B56" s="766">
        <v>3</v>
      </c>
      <c r="C56" s="760" t="str">
        <f>IFERROR(VLOOKUP(B56,'Impact Indicators - Section B '!$A$9:$AF$52,32,FALSE),"")</f>
        <v/>
      </c>
      <c r="D56" s="768" t="str">
        <f>R56</f>
        <v/>
      </c>
      <c r="E56" s="768" t="str">
        <f>S56</f>
        <v/>
      </c>
      <c r="F56" s="413"/>
      <c r="G56" s="762" t="str">
        <f ca="1">IF(OR(INDIRECT("'update Helper'!E"&amp;U56)="",F56&lt;&gt;0,F57&lt;&gt;0),IF(IFERROR((F56/F57),"")="","",(F56/F57)),INDIRECT("'update Helper'!E"&amp;U56)/100)</f>
        <v/>
      </c>
      <c r="H56" s="743"/>
      <c r="I56" s="764"/>
      <c r="J56" s="729"/>
      <c r="K56" s="760" t="str">
        <f>W56</f>
        <v/>
      </c>
      <c r="L56" s="760" t="str">
        <f>V56</f>
        <v/>
      </c>
      <c r="M56" s="729"/>
      <c r="N56" s="729"/>
      <c r="P56" s="194">
        <f>IF(AND(EXACT(C56,C54),C54&lt;&gt;0),P54+1,0)</f>
        <v>3</v>
      </c>
      <c r="Q56" s="194" t="str">
        <f>IF(C56&lt;&gt;"",C56&amp;"-"&amp;P56,"")</f>
        <v/>
      </c>
      <c r="R56" s="194" t="str">
        <f t="array" ref="R56">IFERROR(IF(INDEX('Disaggregation Records'!$E$3:$E$66,MATCH(RIGHT(Q56,255),RIGHT('Disaggregation Records'!$D$3:$D$66,255),0))="","",INDEX('Disaggregation Records'!$E$3:$E$66,MATCH(RIGHT(Q56,255),RIGHT('Disaggregation Records'!$D$3:$D$66,255),0))),"")</f>
        <v/>
      </c>
      <c r="S56" s="194" t="str">
        <f t="array" ref="S56">IFERROR(IF(INDEX('Disaggregation Records'!$F$3:$F$66,MATCH(RIGHT(Q56,255),RIGHT('Disaggregation Records'!$D$3:$D$66,255),0))="","",INDEX('Disaggregation Records'!$F$3:$F$66,MATCH(RIGHT(Q56,255),RIGHT('Disaggregation Records'!$D$3:$D$66,255),0))),"")</f>
        <v/>
      </c>
      <c r="T56" s="194" t="str">
        <f t="array" ref="T56">IFERROR(IF(INDEX('Disaggregation Records'!$H$3:$H$66,MATCH(RIGHT(Q56,255),RIGHT('Disaggregation Records'!$D$3:$D$66,255),0))="","",INDEX('Disaggregation Records'!$H$3:$H$66,MATCH(RIGHT(Q56,255),RIGHT('Disaggregation Records'!$D$3:$D$66,255),0))),"")</f>
        <v/>
      </c>
      <c r="U56" s="194">
        <f>U54+1</f>
        <v>2144</v>
      </c>
      <c r="V56" s="194" t="str">
        <f t="array" ref="V56">IFERROR(IF(INDEX('Disaggregation Records'!$I$3:$I$66,MATCH(RIGHT(Q56,255),RIGHT('Disaggregation Records'!$D$3:$D$66,255),0))="","",INDEX('Disaggregation Records'!$I$3:$I$66,MATCH(RIGHT(Q56,255),RIGHT('Disaggregation Records'!$D$3:$D$66,255),0))),"")</f>
        <v/>
      </c>
      <c r="W56" s="194" t="str">
        <f>IFERROR(INDEX('Reference Records'!O$3:O$19,MATCH(LEFT(C56,255),'Reference Records'!J$3:J$19,0)),"")</f>
        <v/>
      </c>
    </row>
    <row r="57" spans="1:23" s="194" customFormat="1" ht="40.4" customHeight="1" x14ac:dyDescent="0.35">
      <c r="A57" s="770"/>
      <c r="B57" s="767">
        <v>2.2894736842105301</v>
      </c>
      <c r="C57" s="761"/>
      <c r="D57" s="769"/>
      <c r="E57" s="769"/>
      <c r="F57" s="208"/>
      <c r="G57" s="763"/>
      <c r="H57" s="744"/>
      <c r="I57" s="765"/>
      <c r="J57" s="730"/>
      <c r="K57" s="761"/>
      <c r="L57" s="761"/>
      <c r="M57" s="730"/>
      <c r="N57" s="730"/>
      <c r="P57" s="195"/>
      <c r="Q57" s="195"/>
      <c r="R57" s="195"/>
      <c r="S57" s="195"/>
      <c r="T57" s="195"/>
      <c r="U57" s="195"/>
      <c r="V57" s="195"/>
      <c r="W57" s="195"/>
    </row>
    <row r="58" spans="1:23" s="194" customFormat="1" ht="40.4" customHeight="1" x14ac:dyDescent="0.35">
      <c r="A58" s="770" t="str">
        <f t="shared" ca="1" si="0"/>
        <v>a1G3p000005ncDVEAY</v>
      </c>
      <c r="B58" s="766">
        <v>3</v>
      </c>
      <c r="C58" s="760" t="str">
        <f>IFERROR(VLOOKUP(B58,'Impact Indicators - Section B '!$A$9:$AF$52,32,FALSE),"")</f>
        <v/>
      </c>
      <c r="D58" s="768" t="str">
        <f>R58</f>
        <v/>
      </c>
      <c r="E58" s="768" t="str">
        <f>S58</f>
        <v/>
      </c>
      <c r="F58" s="413"/>
      <c r="G58" s="762" t="str">
        <f ca="1">IF(OR(INDIRECT("'update Helper'!E"&amp;U58)="",F58&lt;&gt;0,F59&lt;&gt;0),IF(IFERROR((F58/F59),"")="","",(F58/F59)),INDIRECT("'update Helper'!E"&amp;U58)/100)</f>
        <v/>
      </c>
      <c r="H58" s="743"/>
      <c r="I58" s="764"/>
      <c r="J58" s="729"/>
      <c r="K58" s="760" t="str">
        <f>W58</f>
        <v/>
      </c>
      <c r="L58" s="760" t="str">
        <f>V58</f>
        <v/>
      </c>
      <c r="M58" s="729"/>
      <c r="N58" s="729"/>
      <c r="P58" s="194">
        <f>IF(AND(EXACT(C58,C56),C56&lt;&gt;0),P56+1,0)</f>
        <v>4</v>
      </c>
      <c r="Q58" s="194" t="str">
        <f>IF(C58&lt;&gt;"",C58&amp;"-"&amp;P58,"")</f>
        <v/>
      </c>
      <c r="R58" s="194" t="str">
        <f t="array" ref="R58">IFERROR(IF(INDEX('Disaggregation Records'!$E$3:$E$66,MATCH(RIGHT(Q58,255),RIGHT('Disaggregation Records'!$D$3:$D$66,255),0))="","",INDEX('Disaggregation Records'!$E$3:$E$66,MATCH(RIGHT(Q58,255),RIGHT('Disaggregation Records'!$D$3:$D$66,255),0))),"")</f>
        <v/>
      </c>
      <c r="S58" s="194" t="str">
        <f t="array" ref="S58">IFERROR(IF(INDEX('Disaggregation Records'!$F$3:$F$66,MATCH(RIGHT(Q58,255),RIGHT('Disaggregation Records'!$D$3:$D$66,255),0))="","",INDEX('Disaggregation Records'!$F$3:$F$66,MATCH(RIGHT(Q58,255),RIGHT('Disaggregation Records'!$D$3:$D$66,255),0))),"")</f>
        <v/>
      </c>
      <c r="T58" s="194" t="str">
        <f t="array" ref="T58">IFERROR(IF(INDEX('Disaggregation Records'!$H$3:$H$66,MATCH(RIGHT(Q58,255),RIGHT('Disaggregation Records'!$D$3:$D$66,255),0))="","",INDEX('Disaggregation Records'!$H$3:$H$66,MATCH(RIGHT(Q58,255),RIGHT('Disaggregation Records'!$D$3:$D$66,255),0))),"")</f>
        <v/>
      </c>
      <c r="U58" s="194">
        <f>U56+1</f>
        <v>2145</v>
      </c>
      <c r="V58" s="194" t="str">
        <f t="array" ref="V58">IFERROR(IF(INDEX('Disaggregation Records'!$I$3:$I$66,MATCH(RIGHT(Q58,255),RIGHT('Disaggregation Records'!$D$3:$D$66,255),0))="","",INDEX('Disaggregation Records'!$I$3:$I$66,MATCH(RIGHT(Q58,255),RIGHT('Disaggregation Records'!$D$3:$D$66,255),0))),"")</f>
        <v/>
      </c>
      <c r="W58" s="194" t="str">
        <f>IFERROR(INDEX('Reference Records'!O$3:O$19,MATCH(LEFT(C58,255),'Reference Records'!J$3:J$19,0)),"")</f>
        <v/>
      </c>
    </row>
    <row r="59" spans="1:23" s="194" customFormat="1" ht="40.4" customHeight="1" x14ac:dyDescent="0.35">
      <c r="A59" s="770"/>
      <c r="B59" s="767">
        <v>2.2894736842105301</v>
      </c>
      <c r="C59" s="761"/>
      <c r="D59" s="769"/>
      <c r="E59" s="769"/>
      <c r="F59" s="208"/>
      <c r="G59" s="763"/>
      <c r="H59" s="744"/>
      <c r="I59" s="765"/>
      <c r="J59" s="730"/>
      <c r="K59" s="761"/>
      <c r="L59" s="761"/>
      <c r="M59" s="730"/>
      <c r="N59" s="730"/>
      <c r="P59" s="195"/>
      <c r="Q59" s="195"/>
      <c r="R59" s="195"/>
      <c r="S59" s="195"/>
      <c r="T59" s="195"/>
      <c r="U59" s="195"/>
      <c r="V59" s="195"/>
      <c r="W59" s="195"/>
    </row>
    <row r="60" spans="1:23" s="194" customFormat="1" ht="40.4" customHeight="1" x14ac:dyDescent="0.35">
      <c r="A60" s="770" t="str">
        <f t="shared" ca="1" si="0"/>
        <v>a1G3p000005ncDWEAY</v>
      </c>
      <c r="B60" s="766">
        <v>3</v>
      </c>
      <c r="C60" s="760" t="str">
        <f>IFERROR(VLOOKUP(B60,'Impact Indicators - Section B '!$A$9:$AF$52,32,FALSE),"")</f>
        <v/>
      </c>
      <c r="D60" s="768" t="str">
        <f>R60</f>
        <v/>
      </c>
      <c r="E60" s="768" t="str">
        <f>S60</f>
        <v/>
      </c>
      <c r="F60" s="413"/>
      <c r="G60" s="762" t="str">
        <f ca="1">IF(OR(INDIRECT("'update Helper'!E"&amp;U60)="",F60&lt;&gt;0,F61&lt;&gt;0),IF(IFERROR((F60/F61),"")="","",(F60/F61)),INDIRECT("'update Helper'!E"&amp;U60)/100)</f>
        <v/>
      </c>
      <c r="H60" s="743"/>
      <c r="I60" s="764"/>
      <c r="J60" s="729"/>
      <c r="K60" s="760" t="str">
        <f>W60</f>
        <v/>
      </c>
      <c r="L60" s="760" t="str">
        <f>V60</f>
        <v/>
      </c>
      <c r="M60" s="729"/>
      <c r="N60" s="729"/>
      <c r="P60" s="194">
        <f>IF(AND(EXACT(C60,C58),C58&lt;&gt;0),P58+1,0)</f>
        <v>5</v>
      </c>
      <c r="Q60" s="194" t="str">
        <f>IF(C60&lt;&gt;"",C60&amp;"-"&amp;P60,"")</f>
        <v/>
      </c>
      <c r="R60" s="194" t="str">
        <f t="array" ref="R60">IFERROR(IF(INDEX('Disaggregation Records'!$E$3:$E$66,MATCH(RIGHT(Q60,255),RIGHT('Disaggregation Records'!$D$3:$D$66,255),0))="","",INDEX('Disaggregation Records'!$E$3:$E$66,MATCH(RIGHT(Q60,255),RIGHT('Disaggregation Records'!$D$3:$D$66,255),0))),"")</f>
        <v/>
      </c>
      <c r="S60" s="194" t="str">
        <f t="array" ref="S60">IFERROR(IF(INDEX('Disaggregation Records'!$F$3:$F$66,MATCH(RIGHT(Q60,255),RIGHT('Disaggregation Records'!$D$3:$D$66,255),0))="","",INDEX('Disaggregation Records'!$F$3:$F$66,MATCH(RIGHT(Q60,255),RIGHT('Disaggregation Records'!$D$3:$D$66,255),0))),"")</f>
        <v/>
      </c>
      <c r="T60" s="194" t="str">
        <f t="array" ref="T60">IFERROR(IF(INDEX('Disaggregation Records'!$H$3:$H$66,MATCH(RIGHT(Q60,255),RIGHT('Disaggregation Records'!$D$3:$D$66,255),0))="","",INDEX('Disaggregation Records'!$H$3:$H$66,MATCH(RIGHT(Q60,255),RIGHT('Disaggregation Records'!$D$3:$D$66,255),0))),"")</f>
        <v/>
      </c>
      <c r="U60" s="194">
        <f>U58+1</f>
        <v>2146</v>
      </c>
      <c r="V60" s="194" t="str">
        <f t="array" ref="V60">IFERROR(IF(INDEX('Disaggregation Records'!$I$3:$I$66,MATCH(RIGHT(Q60,255),RIGHT('Disaggregation Records'!$D$3:$D$66,255),0))="","",INDEX('Disaggregation Records'!$I$3:$I$66,MATCH(RIGHT(Q60,255),RIGHT('Disaggregation Records'!$D$3:$D$66,255),0))),"")</f>
        <v/>
      </c>
      <c r="W60" s="194" t="str">
        <f>IFERROR(INDEX('Reference Records'!O$3:O$19,MATCH(LEFT(C60,255),'Reference Records'!J$3:J$19,0)),"")</f>
        <v/>
      </c>
    </row>
    <row r="61" spans="1:23" s="195" customFormat="1" ht="40.4" customHeight="1" x14ac:dyDescent="0.35">
      <c r="A61" s="770"/>
      <c r="B61" s="767">
        <v>2.2894736842105301</v>
      </c>
      <c r="C61" s="761"/>
      <c r="D61" s="769"/>
      <c r="E61" s="769"/>
      <c r="F61" s="208"/>
      <c r="G61" s="763"/>
      <c r="H61" s="744"/>
      <c r="I61" s="765"/>
      <c r="J61" s="730"/>
      <c r="K61" s="761"/>
      <c r="L61" s="761"/>
      <c r="M61" s="730"/>
      <c r="N61" s="730"/>
    </row>
    <row r="62" spans="1:23" s="194" customFormat="1" ht="40.4" customHeight="1" x14ac:dyDescent="0.35">
      <c r="A62" s="770" t="str">
        <f t="shared" ca="1" si="0"/>
        <v>a1G3p000005ncDXEAY</v>
      </c>
      <c r="B62" s="766">
        <v>3</v>
      </c>
      <c r="C62" s="760" t="str">
        <f>IFERROR(VLOOKUP(B62,'Impact Indicators - Section B '!$A$9:$AF$52,32,FALSE),"")</f>
        <v/>
      </c>
      <c r="D62" s="768" t="str">
        <f>R62</f>
        <v/>
      </c>
      <c r="E62" s="768" t="str">
        <f>S62</f>
        <v/>
      </c>
      <c r="F62" s="413"/>
      <c r="G62" s="762" t="str">
        <f ca="1">IF(OR(INDIRECT("'update Helper'!E"&amp;U62)="",F62&lt;&gt;0,F63&lt;&gt;0),IF(IFERROR((F62/F63),"")="","",(F62/F63)),INDIRECT("'update Helper'!E"&amp;U62)/100)</f>
        <v/>
      </c>
      <c r="H62" s="743"/>
      <c r="I62" s="764"/>
      <c r="J62" s="729"/>
      <c r="K62" s="760" t="str">
        <f>W62</f>
        <v/>
      </c>
      <c r="L62" s="760" t="str">
        <f>V62</f>
        <v/>
      </c>
      <c r="M62" s="729"/>
      <c r="N62" s="729"/>
      <c r="P62" s="194">
        <f>IF(AND(EXACT(C62,C60),C60&lt;&gt;0),P60+1,0)</f>
        <v>6</v>
      </c>
      <c r="Q62" s="194" t="str">
        <f>IF(C62&lt;&gt;"",C62&amp;"-"&amp;P62,"")</f>
        <v/>
      </c>
      <c r="R62" s="194" t="str">
        <f t="array" ref="R62">IFERROR(IF(INDEX('Disaggregation Records'!$E$3:$E$66,MATCH(RIGHT(Q62,255),RIGHT('Disaggregation Records'!$D$3:$D$66,255),0))="","",INDEX('Disaggregation Records'!$E$3:$E$66,MATCH(RIGHT(Q62,255),RIGHT('Disaggregation Records'!$D$3:$D$66,255),0))),"")</f>
        <v/>
      </c>
      <c r="S62" s="194" t="str">
        <f t="array" ref="S62">IFERROR(IF(INDEX('Disaggregation Records'!$F$3:$F$66,MATCH(RIGHT(Q62,255),RIGHT('Disaggregation Records'!$D$3:$D$66,255),0))="","",INDEX('Disaggregation Records'!$F$3:$F$66,MATCH(RIGHT(Q62,255),RIGHT('Disaggregation Records'!$D$3:$D$66,255),0))),"")</f>
        <v/>
      </c>
      <c r="T62" s="194" t="str">
        <f t="array" ref="T62">IFERROR(IF(INDEX('Disaggregation Records'!$H$3:$H$66,MATCH(RIGHT(Q62,255),RIGHT('Disaggregation Records'!$D$3:$D$66,255),0))="","",INDEX('Disaggregation Records'!$H$3:$H$66,MATCH(RIGHT(Q62,255),RIGHT('Disaggregation Records'!$D$3:$D$66,255),0))),"")</f>
        <v/>
      </c>
      <c r="U62" s="194">
        <f>U60+1</f>
        <v>2147</v>
      </c>
      <c r="V62" s="194" t="str">
        <f t="array" ref="V62">IFERROR(IF(INDEX('Disaggregation Records'!$I$3:$I$66,MATCH(RIGHT(Q62,255),RIGHT('Disaggregation Records'!$D$3:$D$66,255),0))="","",INDEX('Disaggregation Records'!$I$3:$I$66,MATCH(RIGHT(Q62,255),RIGHT('Disaggregation Records'!$D$3:$D$66,255),0))),"")</f>
        <v/>
      </c>
      <c r="W62" s="194" t="str">
        <f>IFERROR(INDEX('Reference Records'!O$3:O$19,MATCH(LEFT(C62,255),'Reference Records'!J$3:J$19,0)),"")</f>
        <v/>
      </c>
    </row>
    <row r="63" spans="1:23" s="195" customFormat="1" ht="40.4" customHeight="1" x14ac:dyDescent="0.35">
      <c r="A63" s="770"/>
      <c r="B63" s="767">
        <v>2.2894736842105301</v>
      </c>
      <c r="C63" s="761"/>
      <c r="D63" s="769"/>
      <c r="E63" s="769"/>
      <c r="F63" s="208"/>
      <c r="G63" s="763"/>
      <c r="H63" s="744"/>
      <c r="I63" s="765"/>
      <c r="J63" s="730"/>
      <c r="K63" s="761"/>
      <c r="L63" s="761"/>
      <c r="M63" s="730"/>
      <c r="N63" s="730"/>
    </row>
    <row r="64" spans="1:23" s="194" customFormat="1" ht="40.4" customHeight="1" x14ac:dyDescent="0.35">
      <c r="A64" s="770" t="str">
        <f t="shared" ca="1" si="0"/>
        <v>a1G3p000005ncDYEAY</v>
      </c>
      <c r="B64" s="766">
        <v>3</v>
      </c>
      <c r="C64" s="760" t="str">
        <f>IFERROR(VLOOKUP(B64,'Impact Indicators - Section B '!$A$9:$AF$52,32,FALSE),"")</f>
        <v/>
      </c>
      <c r="D64" s="768" t="str">
        <f>R64</f>
        <v/>
      </c>
      <c r="E64" s="768" t="str">
        <f>S64</f>
        <v/>
      </c>
      <c r="F64" s="413"/>
      <c r="G64" s="762" t="str">
        <f ca="1">IF(OR(INDIRECT("'update Helper'!E"&amp;U64)="",F64&lt;&gt;0,F65&lt;&gt;0),IF(IFERROR((F64/F65),"")="","",(F64/F65)),INDIRECT("'update Helper'!E"&amp;U64)/100)</f>
        <v/>
      </c>
      <c r="H64" s="743"/>
      <c r="I64" s="764"/>
      <c r="J64" s="729"/>
      <c r="K64" s="760" t="str">
        <f>W64</f>
        <v/>
      </c>
      <c r="L64" s="760" t="str">
        <f>V64</f>
        <v/>
      </c>
      <c r="M64" s="729"/>
      <c r="N64" s="729"/>
      <c r="P64" s="194">
        <f>IF(AND(EXACT(C64,C62),C62&lt;&gt;0),P62+1,0)</f>
        <v>7</v>
      </c>
      <c r="Q64" s="194" t="str">
        <f>IF(C64&lt;&gt;"",C64&amp;"-"&amp;P64,"")</f>
        <v/>
      </c>
      <c r="R64" s="194" t="str">
        <f t="array" ref="R64">IFERROR(IF(INDEX('Disaggregation Records'!$E$3:$E$66,MATCH(RIGHT(Q64,255),RIGHT('Disaggregation Records'!$D$3:$D$66,255),0))="","",INDEX('Disaggregation Records'!$E$3:$E$66,MATCH(RIGHT(Q64,255),RIGHT('Disaggregation Records'!$D$3:$D$66,255),0))),"")</f>
        <v/>
      </c>
      <c r="S64" s="194" t="str">
        <f t="array" ref="S64">IFERROR(IF(INDEX('Disaggregation Records'!$F$3:$F$66,MATCH(RIGHT(Q64,255),RIGHT('Disaggregation Records'!$D$3:$D$66,255),0))="","",INDEX('Disaggregation Records'!$F$3:$F$66,MATCH(RIGHT(Q64,255),RIGHT('Disaggregation Records'!$D$3:$D$66,255),0))),"")</f>
        <v/>
      </c>
      <c r="T64" s="194" t="str">
        <f t="array" ref="T64">IFERROR(IF(INDEX('Disaggregation Records'!$H$3:$H$66,MATCH(RIGHT(Q64,255),RIGHT('Disaggregation Records'!$D$3:$D$66,255),0))="","",INDEX('Disaggregation Records'!$H$3:$H$66,MATCH(RIGHT(Q64,255),RIGHT('Disaggregation Records'!$D$3:$D$66,255),0))),"")</f>
        <v/>
      </c>
      <c r="U64" s="194">
        <f>U62+1</f>
        <v>2148</v>
      </c>
      <c r="V64" s="194" t="str">
        <f t="array" ref="V64">IFERROR(IF(INDEX('Disaggregation Records'!$I$3:$I$66,MATCH(RIGHT(Q64,255),RIGHT('Disaggregation Records'!$D$3:$D$66,255),0))="","",INDEX('Disaggregation Records'!$I$3:$I$66,MATCH(RIGHT(Q64,255),RIGHT('Disaggregation Records'!$D$3:$D$66,255),0))),"")</f>
        <v/>
      </c>
      <c r="W64" s="194" t="str">
        <f>IFERROR(INDEX('Reference Records'!O$3:O$19,MATCH(LEFT(C64,255),'Reference Records'!J$3:J$19,0)),"")</f>
        <v/>
      </c>
    </row>
    <row r="65" spans="1:23" s="194" customFormat="1" ht="40.4" customHeight="1" x14ac:dyDescent="0.35">
      <c r="A65" s="770"/>
      <c r="B65" s="767">
        <v>2.2894736842105301</v>
      </c>
      <c r="C65" s="761"/>
      <c r="D65" s="769"/>
      <c r="E65" s="769"/>
      <c r="F65" s="208"/>
      <c r="G65" s="763"/>
      <c r="H65" s="744"/>
      <c r="I65" s="765"/>
      <c r="J65" s="730"/>
      <c r="K65" s="761"/>
      <c r="L65" s="761"/>
      <c r="M65" s="730"/>
      <c r="N65" s="730"/>
      <c r="P65" s="195"/>
      <c r="Q65" s="195"/>
      <c r="R65" s="195"/>
      <c r="S65" s="195"/>
      <c r="T65" s="195"/>
      <c r="U65" s="195"/>
      <c r="V65" s="195"/>
      <c r="W65" s="195"/>
    </row>
    <row r="66" spans="1:23" s="194" customFormat="1" ht="40.4" customHeight="1" x14ac:dyDescent="0.35">
      <c r="A66" s="770" t="str">
        <f t="shared" ca="1" si="0"/>
        <v>a1G3p000005ncDZEAY</v>
      </c>
      <c r="B66" s="766">
        <v>3</v>
      </c>
      <c r="C66" s="760" t="str">
        <f>IFERROR(VLOOKUP(B66,'Impact Indicators - Section B '!$A$9:$AF$52,32,FALSE),"")</f>
        <v/>
      </c>
      <c r="D66" s="768" t="str">
        <f>R66</f>
        <v/>
      </c>
      <c r="E66" s="768" t="str">
        <f>S66</f>
        <v/>
      </c>
      <c r="F66" s="413"/>
      <c r="G66" s="762" t="str">
        <f ca="1">IF(OR(INDIRECT("'update Helper'!E"&amp;U66)="",F66&lt;&gt;0,F67&lt;&gt;0),IF(IFERROR((F66/F67),"")="","",(F66/F67)),INDIRECT("'update Helper'!E"&amp;U66)/100)</f>
        <v/>
      </c>
      <c r="H66" s="743"/>
      <c r="I66" s="764"/>
      <c r="J66" s="729"/>
      <c r="K66" s="760" t="str">
        <f>W66</f>
        <v/>
      </c>
      <c r="L66" s="760" t="str">
        <f>V66</f>
        <v/>
      </c>
      <c r="M66" s="729"/>
      <c r="N66" s="729"/>
      <c r="P66" s="194">
        <f>IF(AND(EXACT(C66,C64),C64&lt;&gt;0),P64+1,0)</f>
        <v>8</v>
      </c>
      <c r="Q66" s="194" t="str">
        <f>IF(C66&lt;&gt;"",C66&amp;"-"&amp;P66,"")</f>
        <v/>
      </c>
      <c r="R66" s="194" t="str">
        <f t="array" ref="R66">IFERROR(IF(INDEX('Disaggregation Records'!$E$3:$E$66,MATCH(RIGHT(Q66,255),RIGHT('Disaggregation Records'!$D$3:$D$66,255),0))="","",INDEX('Disaggregation Records'!$E$3:$E$66,MATCH(RIGHT(Q66,255),RIGHT('Disaggregation Records'!$D$3:$D$66,255),0))),"")</f>
        <v/>
      </c>
      <c r="S66" s="194" t="str">
        <f t="array" ref="S66">IFERROR(IF(INDEX('Disaggregation Records'!$F$3:$F$66,MATCH(RIGHT(Q66,255),RIGHT('Disaggregation Records'!$D$3:$D$66,255),0))="","",INDEX('Disaggregation Records'!$F$3:$F$66,MATCH(RIGHT(Q66,255),RIGHT('Disaggregation Records'!$D$3:$D$66,255),0))),"")</f>
        <v/>
      </c>
      <c r="T66" s="194" t="str">
        <f t="array" ref="T66">IFERROR(IF(INDEX('Disaggregation Records'!$H$3:$H$66,MATCH(RIGHT(Q66,255),RIGHT('Disaggregation Records'!$D$3:$D$66,255),0))="","",INDEX('Disaggregation Records'!$H$3:$H$66,MATCH(RIGHT(Q66,255),RIGHT('Disaggregation Records'!$D$3:$D$66,255),0))),"")</f>
        <v/>
      </c>
      <c r="U66" s="194">
        <f>U64+1</f>
        <v>2149</v>
      </c>
      <c r="V66" s="194" t="str">
        <f t="array" ref="V66">IFERROR(IF(INDEX('Disaggregation Records'!$I$3:$I$66,MATCH(RIGHT(Q66,255),RIGHT('Disaggregation Records'!$D$3:$D$66,255),0))="","",INDEX('Disaggregation Records'!$I$3:$I$66,MATCH(RIGHT(Q66,255),RIGHT('Disaggregation Records'!$D$3:$D$66,255),0))),"")</f>
        <v/>
      </c>
      <c r="W66" s="194" t="str">
        <f>IFERROR(INDEX('Reference Records'!O$3:O$19,MATCH(LEFT(C66,255),'Reference Records'!J$3:J$19,0)),"")</f>
        <v/>
      </c>
    </row>
    <row r="67" spans="1:23" s="195" customFormat="1" ht="40.4" customHeight="1" x14ac:dyDescent="0.35">
      <c r="A67" s="770"/>
      <c r="B67" s="767">
        <v>2.2894736842105301</v>
      </c>
      <c r="C67" s="761"/>
      <c r="D67" s="769"/>
      <c r="E67" s="769"/>
      <c r="F67" s="208"/>
      <c r="G67" s="763"/>
      <c r="H67" s="744"/>
      <c r="I67" s="765"/>
      <c r="J67" s="730"/>
      <c r="K67" s="761"/>
      <c r="L67" s="761"/>
      <c r="M67" s="730"/>
      <c r="N67" s="730"/>
    </row>
    <row r="68" spans="1:23" s="194" customFormat="1" ht="40.4" customHeight="1" x14ac:dyDescent="0.35">
      <c r="A68" s="770" t="str">
        <f t="shared" ca="1" si="0"/>
        <v>a1G3p000005ncDaEAI</v>
      </c>
      <c r="B68" s="766">
        <v>3</v>
      </c>
      <c r="C68" s="760" t="str">
        <f>IFERROR(VLOOKUP(B68,'Impact Indicators - Section B '!$A$9:$AF$52,32,FALSE),"")</f>
        <v/>
      </c>
      <c r="D68" s="768" t="str">
        <f>R68</f>
        <v/>
      </c>
      <c r="E68" s="768" t="str">
        <f>S68</f>
        <v/>
      </c>
      <c r="F68" s="413"/>
      <c r="G68" s="762" t="str">
        <f ca="1">IF(OR(INDIRECT("'update Helper'!E"&amp;U68)="",F68&lt;&gt;0,F69&lt;&gt;0),IF(IFERROR((F68/F69),"")="","",(F68/F69)),INDIRECT("'update Helper'!E"&amp;U68)/100)</f>
        <v/>
      </c>
      <c r="H68" s="743"/>
      <c r="I68" s="764"/>
      <c r="J68" s="729"/>
      <c r="K68" s="760" t="str">
        <f>W68</f>
        <v/>
      </c>
      <c r="L68" s="760" t="str">
        <f>V68</f>
        <v/>
      </c>
      <c r="M68" s="729"/>
      <c r="N68" s="729"/>
      <c r="P68" s="194">
        <f>IF(AND(EXACT(C68,C66),C66&lt;&gt;0),P66+1,0)</f>
        <v>9</v>
      </c>
      <c r="Q68" s="194" t="str">
        <f>IF(C68&lt;&gt;"",C68&amp;"-"&amp;P68,"")</f>
        <v/>
      </c>
      <c r="R68" s="194" t="str">
        <f t="array" ref="R68">IFERROR(IF(INDEX('Disaggregation Records'!$E$3:$E$66,MATCH(RIGHT(Q68,255),RIGHT('Disaggregation Records'!$D$3:$D$66,255),0))="","",INDEX('Disaggregation Records'!$E$3:$E$66,MATCH(RIGHT(Q68,255),RIGHT('Disaggregation Records'!$D$3:$D$66,255),0))),"")</f>
        <v/>
      </c>
      <c r="S68" s="194" t="str">
        <f t="array" ref="S68">IFERROR(IF(INDEX('Disaggregation Records'!$F$3:$F$66,MATCH(RIGHT(Q68,255),RIGHT('Disaggregation Records'!$D$3:$D$66,255),0))="","",INDEX('Disaggregation Records'!$F$3:$F$66,MATCH(RIGHT(Q68,255),RIGHT('Disaggregation Records'!$D$3:$D$66,255),0))),"")</f>
        <v/>
      </c>
      <c r="T68" s="194" t="str">
        <f t="array" ref="T68">IFERROR(IF(INDEX('Disaggregation Records'!$H$3:$H$66,MATCH(RIGHT(Q68,255),RIGHT('Disaggregation Records'!$D$3:$D$66,255),0))="","",INDEX('Disaggregation Records'!$H$3:$H$66,MATCH(RIGHT(Q68,255),RIGHT('Disaggregation Records'!$D$3:$D$66,255),0))),"")</f>
        <v/>
      </c>
      <c r="U68" s="194">
        <f>U66+1</f>
        <v>2150</v>
      </c>
      <c r="V68" s="194" t="str">
        <f t="array" ref="V68">IFERROR(IF(INDEX('Disaggregation Records'!$I$3:$I$66,MATCH(RIGHT(Q68,255),RIGHT('Disaggregation Records'!$D$3:$D$66,255),0))="","",INDEX('Disaggregation Records'!$I$3:$I$66,MATCH(RIGHT(Q68,255),RIGHT('Disaggregation Records'!$D$3:$D$66,255),0))),"")</f>
        <v/>
      </c>
      <c r="W68" s="194" t="str">
        <f>IFERROR(INDEX('Reference Records'!O$3:O$19,MATCH(LEFT(C68,255),'Reference Records'!J$3:J$19,0)),"")</f>
        <v/>
      </c>
    </row>
    <row r="69" spans="1:23" s="195" customFormat="1" ht="40.4" customHeight="1" x14ac:dyDescent="0.35">
      <c r="A69" s="770"/>
      <c r="B69" s="767">
        <v>2.2894736842105301</v>
      </c>
      <c r="C69" s="761"/>
      <c r="D69" s="769"/>
      <c r="E69" s="769"/>
      <c r="F69" s="208"/>
      <c r="G69" s="763"/>
      <c r="H69" s="744"/>
      <c r="I69" s="765"/>
      <c r="J69" s="730"/>
      <c r="K69" s="761"/>
      <c r="L69" s="761"/>
      <c r="M69" s="730"/>
      <c r="N69" s="730"/>
    </row>
    <row r="70" spans="1:23" s="194" customFormat="1" ht="40.4" customHeight="1" x14ac:dyDescent="0.35">
      <c r="A70" s="770" t="str">
        <f t="shared" ca="1" si="0"/>
        <v>a1G3p000005ncFrEAI</v>
      </c>
      <c r="B70" s="766">
        <v>4</v>
      </c>
      <c r="C70" s="760" t="str">
        <f>IFERROR(VLOOKUP(B70,'Impact Indicators - Section B '!$A$9:$AF$52,32,FALSE),"")</f>
        <v/>
      </c>
      <c r="D70" s="768" t="str">
        <f>R70</f>
        <v/>
      </c>
      <c r="E70" s="768" t="str">
        <f>S70</f>
        <v/>
      </c>
      <c r="F70" s="413"/>
      <c r="G70" s="762" t="str">
        <f ca="1">IF(OR(INDIRECT("'update Helper'!E"&amp;U70)="",F70&lt;&gt;0,F71&lt;&gt;0),IF(IFERROR((F70/F71),"")="","",(F70/F71)),INDIRECT("'update Helper'!E"&amp;U70)/100)</f>
        <v/>
      </c>
      <c r="H70" s="743"/>
      <c r="I70" s="764"/>
      <c r="J70" s="729"/>
      <c r="K70" s="760" t="str">
        <f>W70</f>
        <v/>
      </c>
      <c r="L70" s="760" t="str">
        <f>V70</f>
        <v/>
      </c>
      <c r="M70" s="729"/>
      <c r="N70" s="729"/>
      <c r="P70" s="194">
        <f>IF(AND(EXACT(C70,C68),C68&lt;&gt;0),P68+1,0)</f>
        <v>10</v>
      </c>
      <c r="Q70" s="194" t="str">
        <f>IF(C70&lt;&gt;"",C70&amp;"-"&amp;P70,"")</f>
        <v/>
      </c>
      <c r="R70" s="194" t="str">
        <f t="array" ref="R70">IFERROR(IF(INDEX('Disaggregation Records'!$E$3:$E$66,MATCH(RIGHT(Q70,255),RIGHT('Disaggregation Records'!$D$3:$D$66,255),0))="","",INDEX('Disaggregation Records'!$E$3:$E$66,MATCH(RIGHT(Q70,255),RIGHT('Disaggregation Records'!$D$3:$D$66,255),0))),"")</f>
        <v/>
      </c>
      <c r="S70" s="194" t="str">
        <f t="array" ref="S70">IFERROR(IF(INDEX('Disaggregation Records'!$F$3:$F$66,MATCH(RIGHT(Q70,255),RIGHT('Disaggregation Records'!$D$3:$D$66,255),0))="","",INDEX('Disaggregation Records'!$F$3:$F$66,MATCH(RIGHT(Q70,255),RIGHT('Disaggregation Records'!$D$3:$D$66,255),0))),"")</f>
        <v/>
      </c>
      <c r="T70" s="194" t="str">
        <f t="array" ref="T70">IFERROR(IF(INDEX('Disaggregation Records'!$H$3:$H$66,MATCH(RIGHT(Q70,255),RIGHT('Disaggregation Records'!$D$3:$D$66,255),0))="","",INDEX('Disaggregation Records'!$H$3:$H$66,MATCH(RIGHT(Q70,255),RIGHT('Disaggregation Records'!$D$3:$D$66,255),0))),"")</f>
        <v/>
      </c>
      <c r="U70" s="194">
        <f>U68+1</f>
        <v>2151</v>
      </c>
      <c r="V70" s="194" t="str">
        <f t="array" ref="V70">IFERROR(IF(INDEX('Disaggregation Records'!$I$3:$I$66,MATCH(RIGHT(Q70,255),RIGHT('Disaggregation Records'!$D$3:$D$66,255),0))="","",INDEX('Disaggregation Records'!$I$3:$I$66,MATCH(RIGHT(Q70,255),RIGHT('Disaggregation Records'!$D$3:$D$66,255),0))),"")</f>
        <v/>
      </c>
      <c r="W70" s="194" t="str">
        <f>IFERROR(INDEX('Reference Records'!O$3:O$19,MATCH(LEFT(C70,255),'Reference Records'!J$3:J$19,0)),"")</f>
        <v/>
      </c>
    </row>
    <row r="71" spans="1:23" s="194" customFormat="1" ht="40.4" customHeight="1" x14ac:dyDescent="0.35">
      <c r="A71" s="770"/>
      <c r="B71" s="767"/>
      <c r="C71" s="761"/>
      <c r="D71" s="769"/>
      <c r="E71" s="769"/>
      <c r="F71" s="208"/>
      <c r="G71" s="763"/>
      <c r="H71" s="744"/>
      <c r="I71" s="765"/>
      <c r="J71" s="730"/>
      <c r="K71" s="761"/>
      <c r="L71" s="761"/>
      <c r="M71" s="730"/>
      <c r="N71" s="730"/>
      <c r="P71" s="195"/>
      <c r="Q71" s="195"/>
      <c r="R71" s="195"/>
      <c r="S71" s="195"/>
      <c r="T71" s="195"/>
      <c r="U71" s="195"/>
      <c r="V71" s="195"/>
      <c r="W71" s="195"/>
    </row>
    <row r="72" spans="1:23" s="194" customFormat="1" ht="40.4" customHeight="1" x14ac:dyDescent="0.35">
      <c r="A72" s="770" t="str">
        <f t="shared" ca="1" si="0"/>
        <v>a1G3p000005ncFsEAI</v>
      </c>
      <c r="B72" s="766">
        <v>4</v>
      </c>
      <c r="C72" s="760" t="str">
        <f>IFERROR(VLOOKUP(B72,'Impact Indicators - Section B '!$A$9:$AF$52,32,FALSE),"")</f>
        <v/>
      </c>
      <c r="D72" s="768" t="str">
        <f>R72</f>
        <v/>
      </c>
      <c r="E72" s="768" t="str">
        <f>S72</f>
        <v/>
      </c>
      <c r="F72" s="413"/>
      <c r="G72" s="762" t="str">
        <f ca="1">IF(OR(INDIRECT("'update Helper'!E"&amp;U72)="",F72&lt;&gt;0,F73&lt;&gt;0),IF(IFERROR((F72/F73),"")="","",(F72/F73)),INDIRECT("'update Helper'!E"&amp;U72)/100)</f>
        <v/>
      </c>
      <c r="H72" s="743"/>
      <c r="I72" s="764"/>
      <c r="J72" s="729"/>
      <c r="K72" s="760" t="str">
        <f>W72</f>
        <v/>
      </c>
      <c r="L72" s="760" t="str">
        <f>V72</f>
        <v/>
      </c>
      <c r="M72" s="729"/>
      <c r="N72" s="729"/>
      <c r="P72" s="194">
        <f>IF(AND(EXACT(C72,C70),C70&lt;&gt;0),P70+1,0)</f>
        <v>11</v>
      </c>
      <c r="Q72" s="194" t="str">
        <f>IF(C72&lt;&gt;"",C72&amp;"-"&amp;P72,"")</f>
        <v/>
      </c>
      <c r="R72" s="194" t="str">
        <f t="array" ref="R72">IFERROR(IF(INDEX('Disaggregation Records'!$E$3:$E$66,MATCH(RIGHT(Q72,255),RIGHT('Disaggregation Records'!$D$3:$D$66,255),0))="","",INDEX('Disaggregation Records'!$E$3:$E$66,MATCH(RIGHT(Q72,255),RIGHT('Disaggregation Records'!$D$3:$D$66,255),0))),"")</f>
        <v/>
      </c>
      <c r="S72" s="194" t="str">
        <f t="array" ref="S72">IFERROR(IF(INDEX('Disaggregation Records'!$F$3:$F$66,MATCH(RIGHT(Q72,255),RIGHT('Disaggregation Records'!$D$3:$D$66,255),0))="","",INDEX('Disaggregation Records'!$F$3:$F$66,MATCH(RIGHT(Q72,255),RIGHT('Disaggregation Records'!$D$3:$D$66,255),0))),"")</f>
        <v/>
      </c>
      <c r="T72" s="194" t="str">
        <f t="array" ref="T72">IFERROR(IF(INDEX('Disaggregation Records'!$H$3:$H$66,MATCH(RIGHT(Q72,255),RIGHT('Disaggregation Records'!$D$3:$D$66,255),0))="","",INDEX('Disaggregation Records'!$H$3:$H$66,MATCH(RIGHT(Q72,255),RIGHT('Disaggregation Records'!$D$3:$D$66,255),0))),"")</f>
        <v/>
      </c>
      <c r="U72" s="194">
        <f>U70+1</f>
        <v>2152</v>
      </c>
      <c r="V72" s="194" t="str">
        <f t="array" ref="V72">IFERROR(IF(INDEX('Disaggregation Records'!$I$3:$I$66,MATCH(RIGHT(Q72,255),RIGHT('Disaggregation Records'!$D$3:$D$66,255),0))="","",INDEX('Disaggregation Records'!$I$3:$I$66,MATCH(RIGHT(Q72,255),RIGHT('Disaggregation Records'!$D$3:$D$66,255),0))),"")</f>
        <v/>
      </c>
      <c r="W72" s="194" t="str">
        <f>IFERROR(INDEX('Reference Records'!O$3:O$19,MATCH(LEFT(C72,255),'Reference Records'!J$3:J$19,0)),"")</f>
        <v/>
      </c>
    </row>
    <row r="73" spans="1:23" s="195" customFormat="1" ht="40.4" customHeight="1" x14ac:dyDescent="0.35">
      <c r="A73" s="770"/>
      <c r="B73" s="767"/>
      <c r="C73" s="761"/>
      <c r="D73" s="769"/>
      <c r="E73" s="769"/>
      <c r="F73" s="208"/>
      <c r="G73" s="763"/>
      <c r="H73" s="744"/>
      <c r="I73" s="765"/>
      <c r="J73" s="730"/>
      <c r="K73" s="761"/>
      <c r="L73" s="761"/>
      <c r="M73" s="730"/>
      <c r="N73" s="730"/>
    </row>
    <row r="74" spans="1:23" s="194" customFormat="1" ht="40.4" customHeight="1" x14ac:dyDescent="0.35">
      <c r="A74" s="770" t="str">
        <f t="shared" ca="1" si="0"/>
        <v>a1G3p000005ncFtEAI</v>
      </c>
      <c r="B74" s="766">
        <v>4</v>
      </c>
      <c r="C74" s="760" t="str">
        <f>IFERROR(VLOOKUP(B74,'Impact Indicators - Section B '!$A$9:$AF$52,32,FALSE),"")</f>
        <v/>
      </c>
      <c r="D74" s="768" t="str">
        <f>R74</f>
        <v/>
      </c>
      <c r="E74" s="768" t="str">
        <f>S74</f>
        <v/>
      </c>
      <c r="F74" s="413"/>
      <c r="G74" s="762" t="str">
        <f ca="1">IF(OR(INDIRECT("'update Helper'!E"&amp;U74)="",F74&lt;&gt;0,F75&lt;&gt;0),IF(IFERROR((F74/F75),"")="","",(F74/F75)),INDIRECT("'update Helper'!E"&amp;U74)/100)</f>
        <v/>
      </c>
      <c r="H74" s="743"/>
      <c r="I74" s="764"/>
      <c r="J74" s="729"/>
      <c r="K74" s="760" t="str">
        <f>W74</f>
        <v/>
      </c>
      <c r="L74" s="760" t="str">
        <f>V74</f>
        <v/>
      </c>
      <c r="M74" s="729"/>
      <c r="N74" s="729"/>
      <c r="P74" s="194">
        <f>IF(AND(EXACT(C74,C72),C72&lt;&gt;0),P72+1,0)</f>
        <v>12</v>
      </c>
      <c r="Q74" s="194" t="str">
        <f>IF(C74&lt;&gt;"",C74&amp;"-"&amp;P74,"")</f>
        <v/>
      </c>
      <c r="R74" s="194" t="str">
        <f t="array" ref="R74">IFERROR(IF(INDEX('Disaggregation Records'!$E$3:$E$66,MATCH(RIGHT(Q74,255),RIGHT('Disaggregation Records'!$D$3:$D$66,255),0))="","",INDEX('Disaggregation Records'!$E$3:$E$66,MATCH(RIGHT(Q74,255),RIGHT('Disaggregation Records'!$D$3:$D$66,255),0))),"")</f>
        <v/>
      </c>
      <c r="S74" s="194" t="str">
        <f t="array" ref="S74">IFERROR(IF(INDEX('Disaggregation Records'!$F$3:$F$66,MATCH(RIGHT(Q74,255),RIGHT('Disaggregation Records'!$D$3:$D$66,255),0))="","",INDEX('Disaggregation Records'!$F$3:$F$66,MATCH(RIGHT(Q74,255),RIGHT('Disaggregation Records'!$D$3:$D$66,255),0))),"")</f>
        <v/>
      </c>
      <c r="T74" s="194" t="str">
        <f t="array" ref="T74">IFERROR(IF(INDEX('Disaggregation Records'!$H$3:$H$66,MATCH(RIGHT(Q74,255),RIGHT('Disaggregation Records'!$D$3:$D$66,255),0))="","",INDEX('Disaggregation Records'!$H$3:$H$66,MATCH(RIGHT(Q74,255),RIGHT('Disaggregation Records'!$D$3:$D$66,255),0))),"")</f>
        <v/>
      </c>
      <c r="U74" s="194">
        <f>U72+1</f>
        <v>2153</v>
      </c>
      <c r="V74" s="194" t="str">
        <f t="array" ref="V74">IFERROR(IF(INDEX('Disaggregation Records'!$I$3:$I$66,MATCH(RIGHT(Q74,255),RIGHT('Disaggregation Records'!$D$3:$D$66,255),0))="","",INDEX('Disaggregation Records'!$I$3:$I$66,MATCH(RIGHT(Q74,255),RIGHT('Disaggregation Records'!$D$3:$D$66,255),0))),"")</f>
        <v/>
      </c>
      <c r="W74" s="194" t="str">
        <f>IFERROR(INDEX('Reference Records'!O$3:O$19,MATCH(LEFT(C74,255),'Reference Records'!J$3:J$19,0)),"")</f>
        <v/>
      </c>
    </row>
    <row r="75" spans="1:23" s="195" customFormat="1" ht="40.4" customHeight="1" x14ac:dyDescent="0.35">
      <c r="A75" s="770"/>
      <c r="B75" s="767"/>
      <c r="C75" s="761"/>
      <c r="D75" s="769"/>
      <c r="E75" s="769"/>
      <c r="F75" s="208"/>
      <c r="G75" s="763"/>
      <c r="H75" s="744"/>
      <c r="I75" s="765"/>
      <c r="J75" s="730"/>
      <c r="K75" s="761"/>
      <c r="L75" s="761"/>
      <c r="M75" s="730"/>
      <c r="N75" s="730"/>
    </row>
    <row r="76" spans="1:23" s="194" customFormat="1" ht="40.4" customHeight="1" x14ac:dyDescent="0.35">
      <c r="A76" s="770" t="str">
        <f t="shared" ca="1" si="0"/>
        <v>a1G3p000005ncFuEAI</v>
      </c>
      <c r="B76" s="766">
        <v>4</v>
      </c>
      <c r="C76" s="760" t="str">
        <f>IFERROR(VLOOKUP(B76,'Impact Indicators - Section B '!$A$9:$AF$52,32,FALSE),"")</f>
        <v/>
      </c>
      <c r="D76" s="768" t="str">
        <f>R76</f>
        <v/>
      </c>
      <c r="E76" s="768" t="str">
        <f>S76</f>
        <v/>
      </c>
      <c r="F76" s="413"/>
      <c r="G76" s="762" t="str">
        <f ca="1">IF(OR(INDIRECT("'update Helper'!E"&amp;U76)="",F76&lt;&gt;0,F77&lt;&gt;0),IF(IFERROR((F76/F77),"")="","",(F76/F77)),INDIRECT("'update Helper'!E"&amp;U76)/100)</f>
        <v/>
      </c>
      <c r="H76" s="743"/>
      <c r="I76" s="764"/>
      <c r="J76" s="729"/>
      <c r="K76" s="760" t="str">
        <f>W76</f>
        <v/>
      </c>
      <c r="L76" s="760" t="str">
        <f>V76</f>
        <v/>
      </c>
      <c r="M76" s="729"/>
      <c r="N76" s="729"/>
      <c r="P76" s="194">
        <f>IF(AND(EXACT(C76,C74),C74&lt;&gt;0),P74+1,0)</f>
        <v>13</v>
      </c>
      <c r="Q76" s="194" t="str">
        <f>IF(C76&lt;&gt;"",C76&amp;"-"&amp;P76,"")</f>
        <v/>
      </c>
      <c r="R76" s="194" t="str">
        <f t="array" ref="R76">IFERROR(IF(INDEX('Disaggregation Records'!$E$3:$E$66,MATCH(RIGHT(Q76,255),RIGHT('Disaggregation Records'!$D$3:$D$66,255),0))="","",INDEX('Disaggregation Records'!$E$3:$E$66,MATCH(RIGHT(Q76,255),RIGHT('Disaggregation Records'!$D$3:$D$66,255),0))),"")</f>
        <v/>
      </c>
      <c r="S76" s="194" t="str">
        <f t="array" ref="S76">IFERROR(IF(INDEX('Disaggregation Records'!$F$3:$F$66,MATCH(RIGHT(Q76,255),RIGHT('Disaggregation Records'!$D$3:$D$66,255),0))="","",INDEX('Disaggregation Records'!$F$3:$F$66,MATCH(RIGHT(Q76,255),RIGHT('Disaggregation Records'!$D$3:$D$66,255),0))),"")</f>
        <v/>
      </c>
      <c r="T76" s="194" t="str">
        <f t="array" ref="T76">IFERROR(IF(INDEX('Disaggregation Records'!$H$3:$H$66,MATCH(RIGHT(Q76,255),RIGHT('Disaggregation Records'!$D$3:$D$66,255),0))="","",INDEX('Disaggregation Records'!$H$3:$H$66,MATCH(RIGHT(Q76,255),RIGHT('Disaggregation Records'!$D$3:$D$66,255),0))),"")</f>
        <v/>
      </c>
      <c r="U76" s="194">
        <f>U74+1</f>
        <v>2154</v>
      </c>
      <c r="V76" s="194" t="str">
        <f t="array" ref="V76">IFERROR(IF(INDEX('Disaggregation Records'!$I$3:$I$66,MATCH(RIGHT(Q76,255),RIGHT('Disaggregation Records'!$D$3:$D$66,255),0))="","",INDEX('Disaggregation Records'!$I$3:$I$66,MATCH(RIGHT(Q76,255),RIGHT('Disaggregation Records'!$D$3:$D$66,255),0))),"")</f>
        <v/>
      </c>
      <c r="W76" s="194" t="str">
        <f>IFERROR(INDEX('Reference Records'!O$3:O$19,MATCH(LEFT(C76,255),'Reference Records'!J$3:J$19,0)),"")</f>
        <v/>
      </c>
    </row>
    <row r="77" spans="1:23" s="194" customFormat="1" ht="40.4" customHeight="1" x14ac:dyDescent="0.35">
      <c r="A77" s="770"/>
      <c r="B77" s="767"/>
      <c r="C77" s="761"/>
      <c r="D77" s="769"/>
      <c r="E77" s="769"/>
      <c r="F77" s="208"/>
      <c r="G77" s="763"/>
      <c r="H77" s="744"/>
      <c r="I77" s="765"/>
      <c r="J77" s="730"/>
      <c r="K77" s="761"/>
      <c r="L77" s="761"/>
      <c r="M77" s="730"/>
      <c r="N77" s="730"/>
      <c r="P77" s="195"/>
      <c r="Q77" s="195"/>
      <c r="R77" s="195"/>
      <c r="S77" s="195"/>
      <c r="T77" s="195"/>
      <c r="U77" s="195"/>
      <c r="V77" s="195"/>
      <c r="W77" s="195"/>
    </row>
    <row r="78" spans="1:23" s="194" customFormat="1" ht="40.4" customHeight="1" x14ac:dyDescent="0.35">
      <c r="A78" s="770" t="str">
        <f t="shared" ref="A78:A140" ca="1" si="1">INDIRECT("'update Helper'!C"&amp;U78)</f>
        <v>a1G3p000005ncFvEAI</v>
      </c>
      <c r="B78" s="766">
        <v>4</v>
      </c>
      <c r="C78" s="760" t="str">
        <f>IFERROR(VLOOKUP(B78,'Impact Indicators - Section B '!$A$9:$AF$52,32,FALSE),"")</f>
        <v/>
      </c>
      <c r="D78" s="768" t="str">
        <f>R78</f>
        <v/>
      </c>
      <c r="E78" s="768" t="str">
        <f>S78</f>
        <v/>
      </c>
      <c r="F78" s="413"/>
      <c r="G78" s="762" t="str">
        <f ca="1">IF(OR(INDIRECT("'update Helper'!E"&amp;U78)="",F78&lt;&gt;0,F79&lt;&gt;0),IF(IFERROR((F78/F79),"")="","",(F78/F79)),INDIRECT("'update Helper'!E"&amp;U78)/100)</f>
        <v/>
      </c>
      <c r="H78" s="743"/>
      <c r="I78" s="764"/>
      <c r="J78" s="729"/>
      <c r="K78" s="760" t="str">
        <f>W78</f>
        <v/>
      </c>
      <c r="L78" s="760" t="str">
        <f>V78</f>
        <v/>
      </c>
      <c r="M78" s="729"/>
      <c r="N78" s="729"/>
      <c r="P78" s="194">
        <f>IF(AND(EXACT(C78,C76),C76&lt;&gt;0),P76+1,0)</f>
        <v>14</v>
      </c>
      <c r="Q78" s="194" t="str">
        <f>IF(C78&lt;&gt;"",C78&amp;"-"&amp;P78,"")</f>
        <v/>
      </c>
      <c r="R78" s="194" t="str">
        <f t="array" ref="R78">IFERROR(IF(INDEX('Disaggregation Records'!$E$3:$E$66,MATCH(RIGHT(Q78,255),RIGHT('Disaggregation Records'!$D$3:$D$66,255),0))="","",INDEX('Disaggregation Records'!$E$3:$E$66,MATCH(RIGHT(Q78,255),RIGHT('Disaggregation Records'!$D$3:$D$66,255),0))),"")</f>
        <v/>
      </c>
      <c r="S78" s="194" t="str">
        <f t="array" ref="S78">IFERROR(IF(INDEX('Disaggregation Records'!$F$3:$F$66,MATCH(RIGHT(Q78,255),RIGHT('Disaggregation Records'!$D$3:$D$66,255),0))="","",INDEX('Disaggregation Records'!$F$3:$F$66,MATCH(RIGHT(Q78,255),RIGHT('Disaggregation Records'!$D$3:$D$66,255),0))),"")</f>
        <v/>
      </c>
      <c r="T78" s="194" t="str">
        <f t="array" ref="T78">IFERROR(IF(INDEX('Disaggregation Records'!$H$3:$H$66,MATCH(RIGHT(Q78,255),RIGHT('Disaggregation Records'!$D$3:$D$66,255),0))="","",INDEX('Disaggregation Records'!$H$3:$H$66,MATCH(RIGHT(Q78,255),RIGHT('Disaggregation Records'!$D$3:$D$66,255),0))),"")</f>
        <v/>
      </c>
      <c r="U78" s="194">
        <f>U76+1</f>
        <v>2155</v>
      </c>
      <c r="V78" s="194" t="str">
        <f t="array" ref="V78">IFERROR(IF(INDEX('Disaggregation Records'!$I$3:$I$66,MATCH(RIGHT(Q78,255),RIGHT('Disaggregation Records'!$D$3:$D$66,255),0))="","",INDEX('Disaggregation Records'!$I$3:$I$66,MATCH(RIGHT(Q78,255),RIGHT('Disaggregation Records'!$D$3:$D$66,255),0))),"")</f>
        <v/>
      </c>
      <c r="W78" s="194" t="str">
        <f>IFERROR(INDEX('Reference Records'!O$3:O$19,MATCH(LEFT(C78,255),'Reference Records'!J$3:J$19,0)),"")</f>
        <v/>
      </c>
    </row>
    <row r="79" spans="1:23" s="195" customFormat="1" ht="40.4" customHeight="1" x14ac:dyDescent="0.35">
      <c r="A79" s="770"/>
      <c r="B79" s="767"/>
      <c r="C79" s="761"/>
      <c r="D79" s="769"/>
      <c r="E79" s="769"/>
      <c r="F79" s="208"/>
      <c r="G79" s="763"/>
      <c r="H79" s="744"/>
      <c r="I79" s="765"/>
      <c r="J79" s="730"/>
      <c r="K79" s="761"/>
      <c r="L79" s="761"/>
      <c r="M79" s="730"/>
      <c r="N79" s="730"/>
    </row>
    <row r="80" spans="1:23" s="194" customFormat="1" ht="40.4" customHeight="1" x14ac:dyDescent="0.35">
      <c r="A80" s="770" t="str">
        <f t="shared" ca="1" si="1"/>
        <v>a1G3p000005ncFwEAI</v>
      </c>
      <c r="B80" s="766">
        <v>4</v>
      </c>
      <c r="C80" s="760" t="str">
        <f>IFERROR(VLOOKUP(B80,'Impact Indicators - Section B '!$A$9:$AF$52,32,FALSE),"")</f>
        <v/>
      </c>
      <c r="D80" s="768" t="str">
        <f>R80</f>
        <v/>
      </c>
      <c r="E80" s="768" t="str">
        <f>S80</f>
        <v/>
      </c>
      <c r="F80" s="413"/>
      <c r="G80" s="762" t="str">
        <f ca="1">IF(OR(INDIRECT("'update Helper'!E"&amp;U80)="",F80&lt;&gt;0,F81&lt;&gt;0),IF(IFERROR((F80/F81),"")="","",(F80/F81)),INDIRECT("'update Helper'!E"&amp;U80)/100)</f>
        <v/>
      </c>
      <c r="H80" s="743"/>
      <c r="I80" s="764"/>
      <c r="J80" s="729"/>
      <c r="K80" s="760" t="str">
        <f>W80</f>
        <v/>
      </c>
      <c r="L80" s="760" t="str">
        <f>V80</f>
        <v/>
      </c>
      <c r="M80" s="729"/>
      <c r="N80" s="729"/>
      <c r="P80" s="194">
        <f>IF(AND(EXACT(C80,C78),C78&lt;&gt;0),P78+1,0)</f>
        <v>15</v>
      </c>
      <c r="Q80" s="194" t="str">
        <f>IF(C80&lt;&gt;"",C80&amp;"-"&amp;P80,"")</f>
        <v/>
      </c>
      <c r="R80" s="194" t="str">
        <f t="array" ref="R80">IFERROR(IF(INDEX('Disaggregation Records'!$E$3:$E$66,MATCH(RIGHT(Q80,255),RIGHT('Disaggregation Records'!$D$3:$D$66,255),0))="","",INDEX('Disaggregation Records'!$E$3:$E$66,MATCH(RIGHT(Q80,255),RIGHT('Disaggregation Records'!$D$3:$D$66,255),0))),"")</f>
        <v/>
      </c>
      <c r="S80" s="194" t="str">
        <f t="array" ref="S80">IFERROR(IF(INDEX('Disaggregation Records'!$F$3:$F$66,MATCH(RIGHT(Q80,255),RIGHT('Disaggregation Records'!$D$3:$D$66,255),0))="","",INDEX('Disaggregation Records'!$F$3:$F$66,MATCH(RIGHT(Q80,255),RIGHT('Disaggregation Records'!$D$3:$D$66,255),0))),"")</f>
        <v/>
      </c>
      <c r="T80" s="194" t="str">
        <f t="array" ref="T80">IFERROR(IF(INDEX('Disaggregation Records'!$H$3:$H$66,MATCH(RIGHT(Q80,255),RIGHT('Disaggregation Records'!$D$3:$D$66,255),0))="","",INDEX('Disaggregation Records'!$H$3:$H$66,MATCH(RIGHT(Q80,255),RIGHT('Disaggregation Records'!$D$3:$D$66,255),0))),"")</f>
        <v/>
      </c>
      <c r="U80" s="194">
        <f>U78+1</f>
        <v>2156</v>
      </c>
      <c r="V80" s="194" t="str">
        <f t="array" ref="V80">IFERROR(IF(INDEX('Disaggregation Records'!$I$3:$I$66,MATCH(RIGHT(Q80,255),RIGHT('Disaggregation Records'!$D$3:$D$66,255),0))="","",INDEX('Disaggregation Records'!$I$3:$I$66,MATCH(RIGHT(Q80,255),RIGHT('Disaggregation Records'!$D$3:$D$66,255),0))),"")</f>
        <v/>
      </c>
      <c r="W80" s="194" t="str">
        <f>IFERROR(INDEX('Reference Records'!O$3:O$19,MATCH(LEFT(C80,255),'Reference Records'!J$3:J$19,0)),"")</f>
        <v/>
      </c>
    </row>
    <row r="81" spans="1:23" s="195" customFormat="1" ht="40.4" customHeight="1" x14ac:dyDescent="0.35">
      <c r="A81" s="770"/>
      <c r="B81" s="767"/>
      <c r="C81" s="761"/>
      <c r="D81" s="769"/>
      <c r="E81" s="769"/>
      <c r="F81" s="208"/>
      <c r="G81" s="763"/>
      <c r="H81" s="744"/>
      <c r="I81" s="765"/>
      <c r="J81" s="730"/>
      <c r="K81" s="761"/>
      <c r="L81" s="761"/>
      <c r="M81" s="730"/>
      <c r="N81" s="730"/>
    </row>
    <row r="82" spans="1:23" s="194" customFormat="1" ht="40.4" customHeight="1" x14ac:dyDescent="0.35">
      <c r="A82" s="770" t="str">
        <f t="shared" ca="1" si="1"/>
        <v>a1G3p000005ncFxEAI</v>
      </c>
      <c r="B82" s="766">
        <v>4</v>
      </c>
      <c r="C82" s="760" t="str">
        <f>IFERROR(VLOOKUP(B82,'Impact Indicators - Section B '!$A$9:$AF$52,32,FALSE),"")</f>
        <v/>
      </c>
      <c r="D82" s="768" t="str">
        <f>R82</f>
        <v/>
      </c>
      <c r="E82" s="768" t="str">
        <f>S82</f>
        <v/>
      </c>
      <c r="F82" s="413"/>
      <c r="G82" s="762" t="str">
        <f ca="1">IF(OR(INDIRECT("'update Helper'!E"&amp;U82)="",F82&lt;&gt;0,F83&lt;&gt;0),IF(IFERROR((F82/F83),"")="","",(F82/F83)),INDIRECT("'update Helper'!E"&amp;U82)/100)</f>
        <v/>
      </c>
      <c r="H82" s="743"/>
      <c r="I82" s="764"/>
      <c r="J82" s="729"/>
      <c r="K82" s="760" t="str">
        <f>W82</f>
        <v/>
      </c>
      <c r="L82" s="760" t="str">
        <f>V82</f>
        <v/>
      </c>
      <c r="M82" s="729"/>
      <c r="N82" s="729"/>
      <c r="P82" s="194">
        <f>IF(AND(EXACT(C82,C80),C80&lt;&gt;0),P80+1,0)</f>
        <v>16</v>
      </c>
      <c r="Q82" s="194" t="str">
        <f>IF(C82&lt;&gt;"",C82&amp;"-"&amp;P82,"")</f>
        <v/>
      </c>
      <c r="R82" s="194" t="str">
        <f t="array" ref="R82">IFERROR(IF(INDEX('Disaggregation Records'!$E$3:$E$66,MATCH(RIGHT(Q82,255),RIGHT('Disaggregation Records'!$D$3:$D$66,255),0))="","",INDEX('Disaggregation Records'!$E$3:$E$66,MATCH(RIGHT(Q82,255),RIGHT('Disaggregation Records'!$D$3:$D$66,255),0))),"")</f>
        <v/>
      </c>
      <c r="S82" s="194" t="str">
        <f t="array" ref="S82">IFERROR(IF(INDEX('Disaggregation Records'!$F$3:$F$66,MATCH(RIGHT(Q82,255),RIGHT('Disaggregation Records'!$D$3:$D$66,255),0))="","",INDEX('Disaggregation Records'!$F$3:$F$66,MATCH(RIGHT(Q82,255),RIGHT('Disaggregation Records'!$D$3:$D$66,255),0))),"")</f>
        <v/>
      </c>
      <c r="T82" s="194" t="str">
        <f t="array" ref="T82">IFERROR(IF(INDEX('Disaggregation Records'!$H$3:$H$66,MATCH(RIGHT(Q82,255),RIGHT('Disaggregation Records'!$D$3:$D$66,255),0))="","",INDEX('Disaggregation Records'!$H$3:$H$66,MATCH(RIGHT(Q82,255),RIGHT('Disaggregation Records'!$D$3:$D$66,255),0))),"")</f>
        <v/>
      </c>
      <c r="U82" s="194">
        <f>U80+1</f>
        <v>2157</v>
      </c>
      <c r="V82" s="194" t="str">
        <f t="array" ref="V82">IFERROR(IF(INDEX('Disaggregation Records'!$I$3:$I$66,MATCH(RIGHT(Q82,255),RIGHT('Disaggregation Records'!$D$3:$D$66,255),0))="","",INDEX('Disaggregation Records'!$I$3:$I$66,MATCH(RIGHT(Q82,255),RIGHT('Disaggregation Records'!$D$3:$D$66,255),0))),"")</f>
        <v/>
      </c>
      <c r="W82" s="194" t="str">
        <f>IFERROR(INDEX('Reference Records'!O$3:O$19,MATCH(LEFT(C82,255),'Reference Records'!J$3:J$19,0)),"")</f>
        <v/>
      </c>
    </row>
    <row r="83" spans="1:23" s="194" customFormat="1" ht="40.4" customHeight="1" x14ac:dyDescent="0.35">
      <c r="A83" s="770"/>
      <c r="B83" s="767"/>
      <c r="C83" s="761"/>
      <c r="D83" s="769"/>
      <c r="E83" s="769"/>
      <c r="F83" s="208"/>
      <c r="G83" s="763"/>
      <c r="H83" s="744"/>
      <c r="I83" s="765"/>
      <c r="J83" s="730"/>
      <c r="K83" s="761"/>
      <c r="L83" s="761"/>
      <c r="M83" s="730"/>
      <c r="N83" s="730"/>
      <c r="P83" s="195"/>
      <c r="Q83" s="195"/>
      <c r="R83" s="195"/>
      <c r="S83" s="195"/>
      <c r="T83" s="195"/>
      <c r="U83" s="195"/>
      <c r="V83" s="195"/>
      <c r="W83" s="195"/>
    </row>
    <row r="84" spans="1:23" s="194" customFormat="1" ht="40.4" customHeight="1" x14ac:dyDescent="0.35">
      <c r="A84" s="770" t="str">
        <f t="shared" ca="1" si="1"/>
        <v>a1G3p000005ncFyEAI</v>
      </c>
      <c r="B84" s="766">
        <v>4</v>
      </c>
      <c r="C84" s="760" t="str">
        <f>IFERROR(VLOOKUP(B84,'Impact Indicators - Section B '!$A$9:$AF$52,32,FALSE),"")</f>
        <v/>
      </c>
      <c r="D84" s="768" t="str">
        <f>R84</f>
        <v/>
      </c>
      <c r="E84" s="768" t="str">
        <f>S84</f>
        <v/>
      </c>
      <c r="F84" s="413"/>
      <c r="G84" s="762" t="str">
        <f ca="1">IF(OR(INDIRECT("'update Helper'!E"&amp;U84)="",F84&lt;&gt;0,F85&lt;&gt;0),IF(IFERROR((F84/F85),"")="","",(F84/F85)),INDIRECT("'update Helper'!E"&amp;U84)/100)</f>
        <v/>
      </c>
      <c r="H84" s="743"/>
      <c r="I84" s="764"/>
      <c r="J84" s="729"/>
      <c r="K84" s="760" t="str">
        <f>W84</f>
        <v/>
      </c>
      <c r="L84" s="760" t="str">
        <f>V84</f>
        <v/>
      </c>
      <c r="M84" s="729"/>
      <c r="N84" s="729"/>
      <c r="P84" s="194">
        <f>IF(AND(EXACT(C84,C82),C82&lt;&gt;0),P82+1,0)</f>
        <v>17</v>
      </c>
      <c r="Q84" s="194" t="str">
        <f>IF(C84&lt;&gt;"",C84&amp;"-"&amp;P84,"")</f>
        <v/>
      </c>
      <c r="R84" s="194" t="str">
        <f t="array" ref="R84">IFERROR(IF(INDEX('Disaggregation Records'!$E$3:$E$66,MATCH(RIGHT(Q84,255),RIGHT('Disaggregation Records'!$D$3:$D$66,255),0))="","",INDEX('Disaggregation Records'!$E$3:$E$66,MATCH(RIGHT(Q84,255),RIGHT('Disaggregation Records'!$D$3:$D$66,255),0))),"")</f>
        <v/>
      </c>
      <c r="S84" s="194" t="str">
        <f t="array" ref="S84">IFERROR(IF(INDEX('Disaggregation Records'!$F$3:$F$66,MATCH(RIGHT(Q84,255),RIGHT('Disaggregation Records'!$D$3:$D$66,255),0))="","",INDEX('Disaggregation Records'!$F$3:$F$66,MATCH(RIGHT(Q84,255),RIGHT('Disaggregation Records'!$D$3:$D$66,255),0))),"")</f>
        <v/>
      </c>
      <c r="T84" s="194" t="str">
        <f t="array" ref="T84">IFERROR(IF(INDEX('Disaggregation Records'!$H$3:$H$66,MATCH(RIGHT(Q84,255),RIGHT('Disaggregation Records'!$D$3:$D$66,255),0))="","",INDEX('Disaggregation Records'!$H$3:$H$66,MATCH(RIGHT(Q84,255),RIGHT('Disaggregation Records'!$D$3:$D$66,255),0))),"")</f>
        <v/>
      </c>
      <c r="U84" s="194">
        <f>U82+1</f>
        <v>2158</v>
      </c>
      <c r="V84" s="194" t="str">
        <f t="array" ref="V84">IFERROR(IF(INDEX('Disaggregation Records'!$I$3:$I$66,MATCH(RIGHT(Q84,255),RIGHT('Disaggregation Records'!$D$3:$D$66,255),0))="","",INDEX('Disaggregation Records'!$I$3:$I$66,MATCH(RIGHT(Q84,255),RIGHT('Disaggregation Records'!$D$3:$D$66,255),0))),"")</f>
        <v/>
      </c>
      <c r="W84" s="194" t="str">
        <f>IFERROR(INDEX('Reference Records'!O$3:O$19,MATCH(LEFT(C84,255),'Reference Records'!J$3:J$19,0)),"")</f>
        <v/>
      </c>
    </row>
    <row r="85" spans="1:23" s="195" customFormat="1" ht="40.4" customHeight="1" x14ac:dyDescent="0.35">
      <c r="A85" s="770"/>
      <c r="B85" s="767"/>
      <c r="C85" s="761"/>
      <c r="D85" s="769"/>
      <c r="E85" s="769"/>
      <c r="F85" s="208"/>
      <c r="G85" s="763"/>
      <c r="H85" s="744"/>
      <c r="I85" s="765"/>
      <c r="J85" s="730"/>
      <c r="K85" s="761"/>
      <c r="L85" s="761"/>
      <c r="M85" s="730"/>
      <c r="N85" s="730"/>
    </row>
    <row r="86" spans="1:23" s="194" customFormat="1" ht="40.4" customHeight="1" x14ac:dyDescent="0.35">
      <c r="A86" s="770" t="str">
        <f t="shared" ca="1" si="1"/>
        <v>a1G3p000005ncFzEAI</v>
      </c>
      <c r="B86" s="766">
        <v>4</v>
      </c>
      <c r="C86" s="760" t="str">
        <f>IFERROR(VLOOKUP(B86,'Impact Indicators - Section B '!$A$9:$AF$52,32,FALSE),"")</f>
        <v/>
      </c>
      <c r="D86" s="768" t="str">
        <f>R86</f>
        <v/>
      </c>
      <c r="E86" s="768" t="str">
        <f>S86</f>
        <v/>
      </c>
      <c r="F86" s="413"/>
      <c r="G86" s="762" t="str">
        <f ca="1">IF(OR(INDIRECT("'update Helper'!E"&amp;U86)="",F86&lt;&gt;0,F87&lt;&gt;0),IF(IFERROR((F86/F87),"")="","",(F86/F87)),INDIRECT("'update Helper'!E"&amp;U86)/100)</f>
        <v/>
      </c>
      <c r="H86" s="743"/>
      <c r="I86" s="764"/>
      <c r="J86" s="729"/>
      <c r="K86" s="760" t="str">
        <f>W86</f>
        <v/>
      </c>
      <c r="L86" s="760" t="str">
        <f>V86</f>
        <v/>
      </c>
      <c r="M86" s="729"/>
      <c r="N86" s="729"/>
      <c r="P86" s="194">
        <f>IF(AND(EXACT(C86,C84),C84&lt;&gt;0),P84+1,0)</f>
        <v>18</v>
      </c>
      <c r="Q86" s="194" t="str">
        <f>IF(C86&lt;&gt;"",C86&amp;"-"&amp;P86,"")</f>
        <v/>
      </c>
      <c r="R86" s="194" t="str">
        <f t="array" ref="R86">IFERROR(IF(INDEX('Disaggregation Records'!$E$3:$E$66,MATCH(RIGHT(Q86,255),RIGHT('Disaggregation Records'!$D$3:$D$66,255),0))="","",INDEX('Disaggregation Records'!$E$3:$E$66,MATCH(RIGHT(Q86,255),RIGHT('Disaggregation Records'!$D$3:$D$66,255),0))),"")</f>
        <v/>
      </c>
      <c r="S86" s="194" t="str">
        <f t="array" ref="S86">IFERROR(IF(INDEX('Disaggregation Records'!$F$3:$F$66,MATCH(RIGHT(Q86,255),RIGHT('Disaggregation Records'!$D$3:$D$66,255),0))="","",INDEX('Disaggregation Records'!$F$3:$F$66,MATCH(RIGHT(Q86,255),RIGHT('Disaggregation Records'!$D$3:$D$66,255),0))),"")</f>
        <v/>
      </c>
      <c r="T86" s="194" t="str">
        <f t="array" ref="T86">IFERROR(IF(INDEX('Disaggregation Records'!$H$3:$H$66,MATCH(RIGHT(Q86,255),RIGHT('Disaggregation Records'!$D$3:$D$66,255),0))="","",INDEX('Disaggregation Records'!$H$3:$H$66,MATCH(RIGHT(Q86,255),RIGHT('Disaggregation Records'!$D$3:$D$66,255),0))),"")</f>
        <v/>
      </c>
      <c r="U86" s="194">
        <f>U84+1</f>
        <v>2159</v>
      </c>
      <c r="V86" s="194" t="str">
        <f t="array" ref="V86">IFERROR(IF(INDEX('Disaggregation Records'!$I$3:$I$66,MATCH(RIGHT(Q86,255),RIGHT('Disaggregation Records'!$D$3:$D$66,255),0))="","",INDEX('Disaggregation Records'!$I$3:$I$66,MATCH(RIGHT(Q86,255),RIGHT('Disaggregation Records'!$D$3:$D$66,255),0))),"")</f>
        <v/>
      </c>
      <c r="W86" s="194" t="str">
        <f>IFERROR(INDEX('Reference Records'!O$3:O$19,MATCH(LEFT(C86,255),'Reference Records'!J$3:J$19,0)),"")</f>
        <v/>
      </c>
    </row>
    <row r="87" spans="1:23" s="195" customFormat="1" ht="40.4" customHeight="1" x14ac:dyDescent="0.35">
      <c r="A87" s="770"/>
      <c r="B87" s="767"/>
      <c r="C87" s="761"/>
      <c r="D87" s="769"/>
      <c r="E87" s="769"/>
      <c r="F87" s="208"/>
      <c r="G87" s="763"/>
      <c r="H87" s="744"/>
      <c r="I87" s="765"/>
      <c r="J87" s="730"/>
      <c r="K87" s="761"/>
      <c r="L87" s="761"/>
      <c r="M87" s="730"/>
      <c r="N87" s="730"/>
    </row>
    <row r="88" spans="1:23" s="194" customFormat="1" ht="40.4" customHeight="1" x14ac:dyDescent="0.35">
      <c r="A88" s="770" t="str">
        <f t="shared" ca="1" si="1"/>
        <v>a1G3p000005ncG0EAI</v>
      </c>
      <c r="B88" s="766">
        <v>4</v>
      </c>
      <c r="C88" s="760" t="str">
        <f>IFERROR(VLOOKUP(B88,'Impact Indicators - Section B '!$A$9:$AF$52,32,FALSE),"")</f>
        <v/>
      </c>
      <c r="D88" s="768" t="str">
        <f>R88</f>
        <v/>
      </c>
      <c r="E88" s="768" t="str">
        <f>S88</f>
        <v/>
      </c>
      <c r="F88" s="413"/>
      <c r="G88" s="762" t="str">
        <f ca="1">IF(OR(INDIRECT("'update Helper'!E"&amp;U88)="",F88&lt;&gt;0,F89&lt;&gt;0),IF(IFERROR((F88/F89),"")="","",(F88/F89)),INDIRECT("'update Helper'!E"&amp;U88)/100)</f>
        <v/>
      </c>
      <c r="H88" s="743"/>
      <c r="I88" s="764"/>
      <c r="J88" s="729"/>
      <c r="K88" s="760" t="str">
        <f>W88</f>
        <v/>
      </c>
      <c r="L88" s="760" t="str">
        <f>V88</f>
        <v/>
      </c>
      <c r="M88" s="729"/>
      <c r="N88" s="729"/>
      <c r="P88" s="194">
        <f>IF(AND(EXACT(C88,C86),C86&lt;&gt;0),P86+1,0)</f>
        <v>19</v>
      </c>
      <c r="Q88" s="194" t="str">
        <f>IF(C88&lt;&gt;"",C88&amp;"-"&amp;P88,"")</f>
        <v/>
      </c>
      <c r="R88" s="194" t="str">
        <f t="array" ref="R88">IFERROR(IF(INDEX('Disaggregation Records'!$E$3:$E$66,MATCH(RIGHT(Q88,255),RIGHT('Disaggregation Records'!$D$3:$D$66,255),0))="","",INDEX('Disaggregation Records'!$E$3:$E$66,MATCH(RIGHT(Q88,255),RIGHT('Disaggregation Records'!$D$3:$D$66,255),0))),"")</f>
        <v/>
      </c>
      <c r="S88" s="194" t="str">
        <f t="array" ref="S88">IFERROR(IF(INDEX('Disaggregation Records'!$F$3:$F$66,MATCH(RIGHT(Q88,255),RIGHT('Disaggregation Records'!$D$3:$D$66,255),0))="","",INDEX('Disaggregation Records'!$F$3:$F$66,MATCH(RIGHT(Q88,255),RIGHT('Disaggregation Records'!$D$3:$D$66,255),0))),"")</f>
        <v/>
      </c>
      <c r="T88" s="194" t="str">
        <f t="array" ref="T88">IFERROR(IF(INDEX('Disaggregation Records'!$H$3:$H$66,MATCH(RIGHT(Q88,255),RIGHT('Disaggregation Records'!$D$3:$D$66,255),0))="","",INDEX('Disaggregation Records'!$H$3:$H$66,MATCH(RIGHT(Q88,255),RIGHT('Disaggregation Records'!$D$3:$D$66,255),0))),"")</f>
        <v/>
      </c>
      <c r="U88" s="194">
        <f>U86+1</f>
        <v>2160</v>
      </c>
      <c r="V88" s="194" t="str">
        <f t="array" ref="V88">IFERROR(IF(INDEX('Disaggregation Records'!$I$3:$I$66,MATCH(RIGHT(Q88,255),RIGHT('Disaggregation Records'!$D$3:$D$66,255),0))="","",INDEX('Disaggregation Records'!$I$3:$I$66,MATCH(RIGHT(Q88,255),RIGHT('Disaggregation Records'!$D$3:$D$66,255),0))),"")</f>
        <v/>
      </c>
      <c r="W88" s="194" t="str">
        <f>IFERROR(INDEX('Reference Records'!O$3:O$19,MATCH(LEFT(C88,255),'Reference Records'!J$3:J$19,0)),"")</f>
        <v/>
      </c>
    </row>
    <row r="89" spans="1:23" s="194" customFormat="1" ht="40.4" customHeight="1" x14ac:dyDescent="0.35">
      <c r="A89" s="770"/>
      <c r="B89" s="767"/>
      <c r="C89" s="761"/>
      <c r="D89" s="769"/>
      <c r="E89" s="769"/>
      <c r="F89" s="208"/>
      <c r="G89" s="763"/>
      <c r="H89" s="744"/>
      <c r="I89" s="765"/>
      <c r="J89" s="730"/>
      <c r="K89" s="761"/>
      <c r="L89" s="761"/>
      <c r="M89" s="730"/>
      <c r="N89" s="730"/>
      <c r="P89" s="195"/>
      <c r="Q89" s="195"/>
      <c r="R89" s="195"/>
      <c r="S89" s="195"/>
      <c r="T89" s="195"/>
      <c r="U89" s="195"/>
      <c r="V89" s="195"/>
      <c r="W89" s="195"/>
    </row>
    <row r="90" spans="1:23" s="194" customFormat="1" ht="40.4" customHeight="1" x14ac:dyDescent="0.35">
      <c r="A90" s="770" t="str">
        <f t="shared" ca="1" si="1"/>
        <v>a1G3p000005ncDbEAI</v>
      </c>
      <c r="B90" s="766">
        <v>5</v>
      </c>
      <c r="C90" s="760" t="str">
        <f>IFERROR(VLOOKUP(B90,'Impact Indicators - Section B '!$A$9:$AF$52,32,FALSE),"")</f>
        <v/>
      </c>
      <c r="D90" s="768" t="str">
        <f>R90</f>
        <v/>
      </c>
      <c r="E90" s="768" t="str">
        <f>S90</f>
        <v/>
      </c>
      <c r="F90" s="413"/>
      <c r="G90" s="762" t="str">
        <f ca="1">IF(OR(INDIRECT("'update Helper'!E"&amp;U90)="",F90&lt;&gt;0,F91&lt;&gt;0),IF(IFERROR((F90/F91),"")="","",(F90/F91)),INDIRECT("'update Helper'!E"&amp;U90)/100)</f>
        <v/>
      </c>
      <c r="H90" s="743"/>
      <c r="I90" s="764"/>
      <c r="J90" s="729"/>
      <c r="K90" s="760" t="str">
        <f>W90</f>
        <v/>
      </c>
      <c r="L90" s="760" t="str">
        <f>V90</f>
        <v/>
      </c>
      <c r="M90" s="729"/>
      <c r="N90" s="729"/>
      <c r="P90" s="194">
        <f>IF(AND(EXACT(C90,C88),C88&lt;&gt;0),P88+1,0)</f>
        <v>20</v>
      </c>
      <c r="Q90" s="194" t="str">
        <f>IF(C90&lt;&gt;"",C90&amp;"-"&amp;P90,"")</f>
        <v/>
      </c>
      <c r="R90" s="194" t="str">
        <f t="array" ref="R90">IFERROR(IF(INDEX('Disaggregation Records'!$E$3:$E$66,MATCH(RIGHT(Q90,255),RIGHT('Disaggregation Records'!$D$3:$D$66,255),0))="","",INDEX('Disaggregation Records'!$E$3:$E$66,MATCH(RIGHT(Q90,255),RIGHT('Disaggregation Records'!$D$3:$D$66,255),0))),"")</f>
        <v/>
      </c>
      <c r="S90" s="194" t="str">
        <f t="array" ref="S90">IFERROR(IF(INDEX('Disaggregation Records'!$F$3:$F$66,MATCH(RIGHT(Q90,255),RIGHT('Disaggregation Records'!$D$3:$D$66,255),0))="","",INDEX('Disaggregation Records'!$F$3:$F$66,MATCH(RIGHT(Q90,255),RIGHT('Disaggregation Records'!$D$3:$D$66,255),0))),"")</f>
        <v/>
      </c>
      <c r="T90" s="194" t="str">
        <f t="array" ref="T90">IFERROR(IF(INDEX('Disaggregation Records'!$H$3:$H$66,MATCH(RIGHT(Q90,255),RIGHT('Disaggregation Records'!$D$3:$D$66,255),0))="","",INDEX('Disaggregation Records'!$H$3:$H$66,MATCH(RIGHT(Q90,255),RIGHT('Disaggregation Records'!$D$3:$D$66,255),0))),"")</f>
        <v/>
      </c>
      <c r="U90" s="194">
        <f>U88+1</f>
        <v>2161</v>
      </c>
      <c r="V90" s="194" t="str">
        <f t="array" ref="V90">IFERROR(IF(INDEX('Disaggregation Records'!$I$3:$I$66,MATCH(RIGHT(Q90,255),RIGHT('Disaggregation Records'!$D$3:$D$66,255),0))="","",INDEX('Disaggregation Records'!$I$3:$I$66,MATCH(RIGHT(Q90,255),RIGHT('Disaggregation Records'!$D$3:$D$66,255),0))),"")</f>
        <v/>
      </c>
      <c r="W90" s="194" t="str">
        <f>IFERROR(INDEX('Reference Records'!O$3:O$19,MATCH(LEFT(C90,255),'Reference Records'!J$3:J$19,0)),"")</f>
        <v/>
      </c>
    </row>
    <row r="91" spans="1:23" s="195" customFormat="1" ht="40.4" customHeight="1" x14ac:dyDescent="0.35">
      <c r="A91" s="770"/>
      <c r="B91" s="767">
        <v>3.7556390977443699</v>
      </c>
      <c r="C91" s="761"/>
      <c r="D91" s="769"/>
      <c r="E91" s="769"/>
      <c r="F91" s="208"/>
      <c r="G91" s="763"/>
      <c r="H91" s="744"/>
      <c r="I91" s="765"/>
      <c r="J91" s="730"/>
      <c r="K91" s="761"/>
      <c r="L91" s="761"/>
      <c r="M91" s="730"/>
      <c r="N91" s="730"/>
    </row>
    <row r="92" spans="1:23" s="194" customFormat="1" ht="40.4" customHeight="1" x14ac:dyDescent="0.35">
      <c r="A92" s="770" t="str">
        <f t="shared" ca="1" si="1"/>
        <v>a1G3p000005ncDcEAI</v>
      </c>
      <c r="B92" s="766">
        <v>5</v>
      </c>
      <c r="C92" s="760" t="str">
        <f>IFERROR(VLOOKUP(B92,'Impact Indicators - Section B '!$A$9:$AF$52,32,FALSE),"")</f>
        <v/>
      </c>
      <c r="D92" s="768" t="str">
        <f>R92</f>
        <v/>
      </c>
      <c r="E92" s="768" t="str">
        <f>S92</f>
        <v/>
      </c>
      <c r="F92" s="413"/>
      <c r="G92" s="762" t="str">
        <f ca="1">IF(OR(INDIRECT("'update Helper'!E"&amp;U92)="",F92&lt;&gt;0,F93&lt;&gt;0),IF(IFERROR((F92/F93),"")="","",(F92/F93)),INDIRECT("'update Helper'!E"&amp;U92)/100)</f>
        <v/>
      </c>
      <c r="H92" s="743">
        <v>2019</v>
      </c>
      <c r="I92" s="764"/>
      <c r="J92" s="729"/>
      <c r="K92" s="760" t="str">
        <f>W92</f>
        <v/>
      </c>
      <c r="L92" s="760" t="str">
        <f>V92</f>
        <v/>
      </c>
      <c r="M92" s="729"/>
      <c r="N92" s="729"/>
      <c r="P92" s="194">
        <f>IF(AND(EXACT(C92,C90),C90&lt;&gt;0),P90+1,0)</f>
        <v>21</v>
      </c>
      <c r="Q92" s="194" t="str">
        <f>IF(C92&lt;&gt;"",C92&amp;"-"&amp;P92,"")</f>
        <v/>
      </c>
      <c r="R92" s="194" t="str">
        <f t="array" ref="R92">IFERROR(IF(INDEX('Disaggregation Records'!$E$3:$E$66,MATCH(RIGHT(Q92,255),RIGHT('Disaggregation Records'!$D$3:$D$66,255),0))="","",INDEX('Disaggregation Records'!$E$3:$E$66,MATCH(RIGHT(Q92,255),RIGHT('Disaggregation Records'!$D$3:$D$66,255),0))),"")</f>
        <v/>
      </c>
      <c r="S92" s="194" t="str">
        <f t="array" ref="S92">IFERROR(IF(INDEX('Disaggregation Records'!$F$3:$F$66,MATCH(RIGHT(Q92,255),RIGHT('Disaggregation Records'!$D$3:$D$66,255),0))="","",INDEX('Disaggregation Records'!$F$3:$F$66,MATCH(RIGHT(Q92,255),RIGHT('Disaggregation Records'!$D$3:$D$66,255),0))),"")</f>
        <v/>
      </c>
      <c r="T92" s="194" t="str">
        <f t="array" ref="T92">IFERROR(IF(INDEX('Disaggregation Records'!$H$3:$H$66,MATCH(RIGHT(Q92,255),RIGHT('Disaggregation Records'!$D$3:$D$66,255),0))="","",INDEX('Disaggregation Records'!$H$3:$H$66,MATCH(RIGHT(Q92,255),RIGHT('Disaggregation Records'!$D$3:$D$66,255),0))),"")</f>
        <v/>
      </c>
      <c r="U92" s="194">
        <f>U90+1</f>
        <v>2162</v>
      </c>
      <c r="V92" s="194" t="str">
        <f t="array" ref="V92">IFERROR(IF(INDEX('Disaggregation Records'!$I$3:$I$66,MATCH(RIGHT(Q92,255),RIGHT('Disaggregation Records'!$D$3:$D$66,255),0))="","",INDEX('Disaggregation Records'!$I$3:$I$66,MATCH(RIGHT(Q92,255),RIGHT('Disaggregation Records'!$D$3:$D$66,255),0))),"")</f>
        <v/>
      </c>
      <c r="W92" s="194" t="str">
        <f>IFERROR(INDEX('Reference Records'!O$3:O$19,MATCH(LEFT(C92,255),'Reference Records'!J$3:J$19,0)),"")</f>
        <v/>
      </c>
    </row>
    <row r="93" spans="1:23" s="195" customFormat="1" ht="40.4" customHeight="1" x14ac:dyDescent="0.35">
      <c r="A93" s="770"/>
      <c r="B93" s="767">
        <v>3.7556390977443699</v>
      </c>
      <c r="C93" s="761"/>
      <c r="D93" s="769"/>
      <c r="E93" s="769"/>
      <c r="F93" s="208"/>
      <c r="G93" s="763"/>
      <c r="H93" s="744"/>
      <c r="I93" s="765"/>
      <c r="J93" s="730"/>
      <c r="K93" s="761"/>
      <c r="L93" s="761"/>
      <c r="M93" s="730"/>
      <c r="N93" s="730"/>
    </row>
    <row r="94" spans="1:23" s="194" customFormat="1" ht="40.4" customHeight="1" x14ac:dyDescent="0.35">
      <c r="A94" s="770" t="str">
        <f t="shared" ca="1" si="1"/>
        <v>a1G3p000005ncDdEAI</v>
      </c>
      <c r="B94" s="766">
        <v>5</v>
      </c>
      <c r="C94" s="760" t="str">
        <f>IFERROR(VLOOKUP(B94,'Impact Indicators - Section B '!$A$9:$AF$52,32,FALSE),"")</f>
        <v/>
      </c>
      <c r="D94" s="768" t="str">
        <f>R94</f>
        <v/>
      </c>
      <c r="E94" s="768" t="str">
        <f>S94</f>
        <v/>
      </c>
      <c r="F94" s="413"/>
      <c r="G94" s="762" t="str">
        <f ca="1">IF(OR(INDIRECT("'update Helper'!E"&amp;U94)="",F94&lt;&gt;0,F95&lt;&gt;0),IF(IFERROR((F94/F95),"")="","",(F94/F95)),INDIRECT("'update Helper'!E"&amp;U94)/100)</f>
        <v/>
      </c>
      <c r="H94" s="743"/>
      <c r="I94" s="764"/>
      <c r="J94" s="729"/>
      <c r="K94" s="760" t="str">
        <f>W94</f>
        <v/>
      </c>
      <c r="L94" s="760" t="str">
        <f>V94</f>
        <v/>
      </c>
      <c r="M94" s="729"/>
      <c r="N94" s="729"/>
      <c r="P94" s="194">
        <f>IF(AND(EXACT(C94,C92),C92&lt;&gt;0),P92+1,0)</f>
        <v>22</v>
      </c>
      <c r="Q94" s="194" t="str">
        <f>IF(C94&lt;&gt;"",C94&amp;"-"&amp;P94,"")</f>
        <v/>
      </c>
      <c r="R94" s="194" t="str">
        <f t="array" ref="R94">IFERROR(IF(INDEX('Disaggregation Records'!$E$3:$E$66,MATCH(RIGHT(Q94,255),RIGHT('Disaggregation Records'!$D$3:$D$66,255),0))="","",INDEX('Disaggregation Records'!$E$3:$E$66,MATCH(RIGHT(Q94,255),RIGHT('Disaggregation Records'!$D$3:$D$66,255),0))),"")</f>
        <v/>
      </c>
      <c r="S94" s="194" t="str">
        <f t="array" ref="S94">IFERROR(IF(INDEX('Disaggregation Records'!$F$3:$F$66,MATCH(RIGHT(Q94,255),RIGHT('Disaggregation Records'!$D$3:$D$66,255),0))="","",INDEX('Disaggregation Records'!$F$3:$F$66,MATCH(RIGHT(Q94,255),RIGHT('Disaggregation Records'!$D$3:$D$66,255),0))),"")</f>
        <v/>
      </c>
      <c r="T94" s="194" t="str">
        <f t="array" ref="T94">IFERROR(IF(INDEX('Disaggregation Records'!$H$3:$H$66,MATCH(RIGHT(Q94,255),RIGHT('Disaggregation Records'!$D$3:$D$66,255),0))="","",INDEX('Disaggregation Records'!$H$3:$H$66,MATCH(RIGHT(Q94,255),RIGHT('Disaggregation Records'!$D$3:$D$66,255),0))),"")</f>
        <v/>
      </c>
      <c r="U94" s="194">
        <f>U92+1</f>
        <v>2163</v>
      </c>
      <c r="V94" s="194" t="str">
        <f t="array" ref="V94">IFERROR(IF(INDEX('Disaggregation Records'!$I$3:$I$66,MATCH(RIGHT(Q94,255),RIGHT('Disaggregation Records'!$D$3:$D$66,255),0))="","",INDEX('Disaggregation Records'!$I$3:$I$66,MATCH(RIGHT(Q94,255),RIGHT('Disaggregation Records'!$D$3:$D$66,255),0))),"")</f>
        <v/>
      </c>
      <c r="W94" s="194" t="str">
        <f>IFERROR(INDEX('Reference Records'!O$3:O$19,MATCH(LEFT(C94,255),'Reference Records'!J$3:J$19,0)),"")</f>
        <v/>
      </c>
    </row>
    <row r="95" spans="1:23" s="194" customFormat="1" ht="40.4" customHeight="1" x14ac:dyDescent="0.35">
      <c r="A95" s="770"/>
      <c r="B95" s="767">
        <v>3.7556390977443699</v>
      </c>
      <c r="C95" s="761"/>
      <c r="D95" s="769"/>
      <c r="E95" s="769"/>
      <c r="F95" s="208"/>
      <c r="G95" s="763"/>
      <c r="H95" s="744"/>
      <c r="I95" s="765"/>
      <c r="J95" s="730"/>
      <c r="K95" s="761"/>
      <c r="L95" s="761"/>
      <c r="M95" s="730"/>
      <c r="N95" s="730"/>
      <c r="P95" s="195"/>
      <c r="Q95" s="195"/>
      <c r="R95" s="195"/>
      <c r="S95" s="195"/>
      <c r="T95" s="195"/>
      <c r="U95" s="195"/>
      <c r="V95" s="195"/>
      <c r="W95" s="195"/>
    </row>
    <row r="96" spans="1:23" s="194" customFormat="1" ht="40.4" customHeight="1" x14ac:dyDescent="0.35">
      <c r="A96" s="770" t="str">
        <f t="shared" ca="1" si="1"/>
        <v>a1G3p000005ncDeEAI</v>
      </c>
      <c r="B96" s="766">
        <v>5</v>
      </c>
      <c r="C96" s="760" t="str">
        <f>IFERROR(VLOOKUP(B96,'Impact Indicators - Section B '!$A$9:$AF$52,32,FALSE),"")</f>
        <v/>
      </c>
      <c r="D96" s="768" t="str">
        <f>R96</f>
        <v/>
      </c>
      <c r="E96" s="768" t="str">
        <f>S96</f>
        <v/>
      </c>
      <c r="F96" s="413"/>
      <c r="G96" s="762" t="str">
        <f ca="1">IF(OR(INDIRECT("'update Helper'!E"&amp;U96)="",F96&lt;&gt;0,F97&lt;&gt;0),IF(IFERROR((F96/F97),"")="","",(F96/F97)),INDIRECT("'update Helper'!E"&amp;U96)/100)</f>
        <v/>
      </c>
      <c r="H96" s="743">
        <v>2019</v>
      </c>
      <c r="I96" s="764"/>
      <c r="J96" s="729"/>
      <c r="K96" s="760" t="str">
        <f>W96</f>
        <v/>
      </c>
      <c r="L96" s="760" t="str">
        <f>V96</f>
        <v/>
      </c>
      <c r="M96" s="729"/>
      <c r="N96" s="729"/>
      <c r="P96" s="194">
        <f>IF(AND(EXACT(C96,C94),C94&lt;&gt;0),P94+1,0)</f>
        <v>23</v>
      </c>
      <c r="Q96" s="194" t="str">
        <f>IF(C96&lt;&gt;"",C96&amp;"-"&amp;P96,"")</f>
        <v/>
      </c>
      <c r="R96" s="194" t="str">
        <f t="array" ref="R96">IFERROR(IF(INDEX('Disaggregation Records'!$E$3:$E$66,MATCH(RIGHT(Q96,255),RIGHT('Disaggregation Records'!$D$3:$D$66,255),0))="","",INDEX('Disaggregation Records'!$E$3:$E$66,MATCH(RIGHT(Q96,255),RIGHT('Disaggregation Records'!$D$3:$D$66,255),0))),"")</f>
        <v/>
      </c>
      <c r="S96" s="194" t="str">
        <f t="array" ref="S96">IFERROR(IF(INDEX('Disaggregation Records'!$F$3:$F$66,MATCH(RIGHT(Q96,255),RIGHT('Disaggregation Records'!$D$3:$D$66,255),0))="","",INDEX('Disaggregation Records'!$F$3:$F$66,MATCH(RIGHT(Q96,255),RIGHT('Disaggregation Records'!$D$3:$D$66,255),0))),"")</f>
        <v/>
      </c>
      <c r="T96" s="194" t="str">
        <f t="array" ref="T96">IFERROR(IF(INDEX('Disaggregation Records'!$H$3:$H$66,MATCH(RIGHT(Q96,255),RIGHT('Disaggregation Records'!$D$3:$D$66,255),0))="","",INDEX('Disaggregation Records'!$H$3:$H$66,MATCH(RIGHT(Q96,255),RIGHT('Disaggregation Records'!$D$3:$D$66,255),0))),"")</f>
        <v/>
      </c>
      <c r="U96" s="194">
        <f>U94+1</f>
        <v>2164</v>
      </c>
      <c r="V96" s="194" t="str">
        <f t="array" ref="V96">IFERROR(IF(INDEX('Disaggregation Records'!$I$3:$I$66,MATCH(RIGHT(Q96,255),RIGHT('Disaggregation Records'!$D$3:$D$66,255),0))="","",INDEX('Disaggregation Records'!$I$3:$I$66,MATCH(RIGHT(Q96,255),RIGHT('Disaggregation Records'!$D$3:$D$66,255),0))),"")</f>
        <v/>
      </c>
      <c r="W96" s="194" t="str">
        <f>IFERROR(INDEX('Reference Records'!O$3:O$19,MATCH(LEFT(C96,255),'Reference Records'!J$3:J$19,0)),"")</f>
        <v/>
      </c>
    </row>
    <row r="97" spans="1:23" s="195" customFormat="1" ht="40.4" customHeight="1" x14ac:dyDescent="0.35">
      <c r="A97" s="770"/>
      <c r="B97" s="767">
        <v>3.7556390977443699</v>
      </c>
      <c r="C97" s="761"/>
      <c r="D97" s="769"/>
      <c r="E97" s="769"/>
      <c r="F97" s="208"/>
      <c r="G97" s="763"/>
      <c r="H97" s="744"/>
      <c r="I97" s="765"/>
      <c r="J97" s="730"/>
      <c r="K97" s="761"/>
      <c r="L97" s="761"/>
      <c r="M97" s="730"/>
      <c r="N97" s="730"/>
    </row>
    <row r="98" spans="1:23" s="194" customFormat="1" ht="40.4" customHeight="1" x14ac:dyDescent="0.35">
      <c r="A98" s="770" t="str">
        <f t="shared" ca="1" si="1"/>
        <v>a1G3p000005ncDfEAI</v>
      </c>
      <c r="B98" s="766">
        <v>5</v>
      </c>
      <c r="C98" s="760" t="str">
        <f>IFERROR(VLOOKUP(B98,'Impact Indicators - Section B '!$A$9:$AF$52,32,FALSE),"")</f>
        <v/>
      </c>
      <c r="D98" s="768" t="str">
        <f>R98</f>
        <v/>
      </c>
      <c r="E98" s="768" t="str">
        <f>S98</f>
        <v/>
      </c>
      <c r="F98" s="413"/>
      <c r="G98" s="762" t="str">
        <f ca="1">IF(OR(INDIRECT("'update Helper'!E"&amp;U98)="",F98&lt;&gt;0,F99&lt;&gt;0),IF(IFERROR((F98/F99),"")="","",(F98/F99)),INDIRECT("'update Helper'!E"&amp;U98)/100)</f>
        <v/>
      </c>
      <c r="H98" s="743">
        <v>2019</v>
      </c>
      <c r="I98" s="764"/>
      <c r="J98" s="729"/>
      <c r="K98" s="760" t="str">
        <f>W98</f>
        <v/>
      </c>
      <c r="L98" s="760" t="str">
        <f>V98</f>
        <v/>
      </c>
      <c r="M98" s="729"/>
      <c r="N98" s="729"/>
      <c r="P98" s="194">
        <f>IF(AND(EXACT(C98,C96),C96&lt;&gt;0),P96+1,0)</f>
        <v>24</v>
      </c>
      <c r="Q98" s="194" t="str">
        <f>IF(C98&lt;&gt;"",C98&amp;"-"&amp;P98,"")</f>
        <v/>
      </c>
      <c r="R98" s="194" t="str">
        <f t="array" ref="R98">IFERROR(IF(INDEX('Disaggregation Records'!$E$3:$E$66,MATCH(RIGHT(Q98,255),RIGHT('Disaggregation Records'!$D$3:$D$66,255),0))="","",INDEX('Disaggregation Records'!$E$3:$E$66,MATCH(RIGHT(Q98,255),RIGHT('Disaggregation Records'!$D$3:$D$66,255),0))),"")</f>
        <v/>
      </c>
      <c r="S98" s="194" t="str">
        <f t="array" ref="S98">IFERROR(IF(INDEX('Disaggregation Records'!$F$3:$F$66,MATCH(RIGHT(Q98,255),RIGHT('Disaggregation Records'!$D$3:$D$66,255),0))="","",INDEX('Disaggregation Records'!$F$3:$F$66,MATCH(RIGHT(Q98,255),RIGHT('Disaggregation Records'!$D$3:$D$66,255),0))),"")</f>
        <v/>
      </c>
      <c r="T98" s="194" t="str">
        <f t="array" ref="T98">IFERROR(IF(INDEX('Disaggregation Records'!$H$3:$H$66,MATCH(RIGHT(Q98,255),RIGHT('Disaggregation Records'!$D$3:$D$66,255),0))="","",INDEX('Disaggregation Records'!$H$3:$H$66,MATCH(RIGHT(Q98,255),RIGHT('Disaggregation Records'!$D$3:$D$66,255),0))),"")</f>
        <v/>
      </c>
      <c r="U98" s="194">
        <f>U96+1</f>
        <v>2165</v>
      </c>
      <c r="V98" s="194" t="str">
        <f t="array" ref="V98">IFERROR(IF(INDEX('Disaggregation Records'!$I$3:$I$66,MATCH(RIGHT(Q98,255),RIGHT('Disaggregation Records'!$D$3:$D$66,255),0))="","",INDEX('Disaggregation Records'!$I$3:$I$66,MATCH(RIGHT(Q98,255),RIGHT('Disaggregation Records'!$D$3:$D$66,255),0))),"")</f>
        <v/>
      </c>
      <c r="W98" s="194" t="str">
        <f>IFERROR(INDEX('Reference Records'!O$3:O$19,MATCH(LEFT(C98,255),'Reference Records'!J$3:J$19,0)),"")</f>
        <v/>
      </c>
    </row>
    <row r="99" spans="1:23" s="195" customFormat="1" ht="40.4" customHeight="1" x14ac:dyDescent="0.35">
      <c r="A99" s="770"/>
      <c r="B99" s="767">
        <v>3.7556390977443699</v>
      </c>
      <c r="C99" s="761"/>
      <c r="D99" s="769"/>
      <c r="E99" s="769"/>
      <c r="F99" s="208"/>
      <c r="G99" s="763"/>
      <c r="H99" s="744"/>
      <c r="I99" s="765"/>
      <c r="J99" s="730"/>
      <c r="K99" s="761"/>
      <c r="L99" s="761"/>
      <c r="M99" s="730"/>
      <c r="N99" s="730"/>
    </row>
    <row r="100" spans="1:23" s="194" customFormat="1" ht="40.4" customHeight="1" x14ac:dyDescent="0.35">
      <c r="A100" s="770" t="str">
        <f t="shared" ca="1" si="1"/>
        <v>a1G3p000005ncDgEAI</v>
      </c>
      <c r="B100" s="766">
        <v>5</v>
      </c>
      <c r="C100" s="760" t="str">
        <f>IFERROR(VLOOKUP(B100,'Impact Indicators - Section B '!$A$9:$AF$52,32,FALSE),"")</f>
        <v/>
      </c>
      <c r="D100" s="768" t="str">
        <f>R100</f>
        <v/>
      </c>
      <c r="E100" s="768" t="str">
        <f>S100</f>
        <v/>
      </c>
      <c r="F100" s="413"/>
      <c r="G100" s="762" t="str">
        <f ca="1">IF(OR(INDIRECT("'update Helper'!E"&amp;U100)="",F100&lt;&gt;0,F101&lt;&gt;0),IF(IFERROR((F100/F101),"")="","",(F100/F101)),INDIRECT("'update Helper'!E"&amp;U100)/100)</f>
        <v/>
      </c>
      <c r="H100" s="743"/>
      <c r="I100" s="764"/>
      <c r="J100" s="729"/>
      <c r="K100" s="760" t="str">
        <f>W100</f>
        <v/>
      </c>
      <c r="L100" s="760" t="str">
        <f>V100</f>
        <v/>
      </c>
      <c r="M100" s="729"/>
      <c r="N100" s="729"/>
      <c r="P100" s="194">
        <f>IF(AND(EXACT(C100,C98),C98&lt;&gt;0),P98+1,0)</f>
        <v>25</v>
      </c>
      <c r="Q100" s="194" t="str">
        <f>IF(C100&lt;&gt;"",C100&amp;"-"&amp;P100,"")</f>
        <v/>
      </c>
      <c r="R100" s="194" t="str">
        <f t="array" ref="R100">IFERROR(IF(INDEX('Disaggregation Records'!$E$3:$E$66,MATCH(RIGHT(Q100,255),RIGHT('Disaggregation Records'!$D$3:$D$66,255),0))="","",INDEX('Disaggregation Records'!$E$3:$E$66,MATCH(RIGHT(Q100,255),RIGHT('Disaggregation Records'!$D$3:$D$66,255),0))),"")</f>
        <v/>
      </c>
      <c r="S100" s="194" t="str">
        <f t="array" ref="S100">IFERROR(IF(INDEX('Disaggregation Records'!$F$3:$F$66,MATCH(RIGHT(Q100,255),RIGHT('Disaggregation Records'!$D$3:$D$66,255),0))="","",INDEX('Disaggregation Records'!$F$3:$F$66,MATCH(RIGHT(Q100,255),RIGHT('Disaggregation Records'!$D$3:$D$66,255),0))),"")</f>
        <v/>
      </c>
      <c r="T100" s="194" t="str">
        <f t="array" ref="T100">IFERROR(IF(INDEX('Disaggregation Records'!$H$3:$H$66,MATCH(RIGHT(Q100,255),RIGHT('Disaggregation Records'!$D$3:$D$66,255),0))="","",INDEX('Disaggregation Records'!$H$3:$H$66,MATCH(RIGHT(Q100,255),RIGHT('Disaggregation Records'!$D$3:$D$66,255),0))),"")</f>
        <v/>
      </c>
      <c r="U100" s="194">
        <f>U98+1</f>
        <v>2166</v>
      </c>
      <c r="V100" s="194" t="str">
        <f t="array" ref="V100">IFERROR(IF(INDEX('Disaggregation Records'!$I$3:$I$66,MATCH(RIGHT(Q100,255),RIGHT('Disaggregation Records'!$D$3:$D$66,255),0))="","",INDEX('Disaggregation Records'!$I$3:$I$66,MATCH(RIGHT(Q100,255),RIGHT('Disaggregation Records'!$D$3:$D$66,255),0))),"")</f>
        <v/>
      </c>
      <c r="W100" s="194" t="str">
        <f>IFERROR(INDEX('Reference Records'!O$3:O$19,MATCH(LEFT(C100,255),'Reference Records'!J$3:J$19,0)),"")</f>
        <v/>
      </c>
    </row>
    <row r="101" spans="1:23" s="194" customFormat="1" ht="40.4" customHeight="1" x14ac:dyDescent="0.35">
      <c r="A101" s="770"/>
      <c r="B101" s="767">
        <v>3.7556390977443699</v>
      </c>
      <c r="C101" s="761"/>
      <c r="D101" s="769"/>
      <c r="E101" s="769"/>
      <c r="F101" s="208"/>
      <c r="G101" s="763"/>
      <c r="H101" s="744"/>
      <c r="I101" s="765"/>
      <c r="J101" s="730"/>
      <c r="K101" s="761"/>
      <c r="L101" s="761"/>
      <c r="M101" s="730"/>
      <c r="N101" s="730"/>
      <c r="P101" s="195"/>
      <c r="Q101" s="195"/>
      <c r="R101" s="195"/>
      <c r="S101" s="195"/>
      <c r="T101" s="195"/>
      <c r="U101" s="195"/>
      <c r="V101" s="195"/>
      <c r="W101" s="195"/>
    </row>
    <row r="102" spans="1:23" s="194" customFormat="1" ht="40.4" customHeight="1" x14ac:dyDescent="0.35">
      <c r="A102" s="770" t="str">
        <f t="shared" ca="1" si="1"/>
        <v>a1G3p000005ncDhEAI</v>
      </c>
      <c r="B102" s="766">
        <v>5</v>
      </c>
      <c r="C102" s="760" t="str">
        <f>IFERROR(VLOOKUP(B102,'Impact Indicators - Section B '!$A$9:$AF$52,32,FALSE),"")</f>
        <v/>
      </c>
      <c r="D102" s="768" t="str">
        <f>R102</f>
        <v/>
      </c>
      <c r="E102" s="768" t="str">
        <f>S102</f>
        <v/>
      </c>
      <c r="F102" s="413"/>
      <c r="G102" s="762" t="str">
        <f ca="1">IF(OR(INDIRECT("'update Helper'!E"&amp;U102)="",F102&lt;&gt;0,F103&lt;&gt;0),IF(IFERROR((F102/F103),"")="","",(F102/F103)),INDIRECT("'update Helper'!E"&amp;U102)/100)</f>
        <v/>
      </c>
      <c r="H102" s="743"/>
      <c r="I102" s="764"/>
      <c r="J102" s="729"/>
      <c r="K102" s="760" t="str">
        <f>W102</f>
        <v/>
      </c>
      <c r="L102" s="760" t="str">
        <f>V102</f>
        <v/>
      </c>
      <c r="M102" s="729"/>
      <c r="N102" s="729"/>
      <c r="P102" s="194">
        <f>IF(AND(EXACT(C102,C100),C100&lt;&gt;0),P100+1,0)</f>
        <v>26</v>
      </c>
      <c r="Q102" s="194" t="str">
        <f>IF(C102&lt;&gt;"",C102&amp;"-"&amp;P102,"")</f>
        <v/>
      </c>
      <c r="R102" s="194" t="str">
        <f t="array" ref="R102">IFERROR(IF(INDEX('Disaggregation Records'!$E$3:$E$66,MATCH(RIGHT(Q102,255),RIGHT('Disaggregation Records'!$D$3:$D$66,255),0))="","",INDEX('Disaggregation Records'!$E$3:$E$66,MATCH(RIGHT(Q102,255),RIGHT('Disaggregation Records'!$D$3:$D$66,255),0))),"")</f>
        <v/>
      </c>
      <c r="S102" s="194" t="str">
        <f t="array" ref="S102">IFERROR(IF(INDEX('Disaggregation Records'!$F$3:$F$66,MATCH(RIGHT(Q102,255),RIGHT('Disaggregation Records'!$D$3:$D$66,255),0))="","",INDEX('Disaggregation Records'!$F$3:$F$66,MATCH(RIGHT(Q102,255),RIGHT('Disaggregation Records'!$D$3:$D$66,255),0))),"")</f>
        <v/>
      </c>
      <c r="T102" s="194" t="str">
        <f t="array" ref="T102">IFERROR(IF(INDEX('Disaggregation Records'!$H$3:$H$66,MATCH(RIGHT(Q102,255),RIGHT('Disaggregation Records'!$D$3:$D$66,255),0))="","",INDEX('Disaggregation Records'!$H$3:$H$66,MATCH(RIGHT(Q102,255),RIGHT('Disaggregation Records'!$D$3:$D$66,255),0))),"")</f>
        <v/>
      </c>
      <c r="U102" s="194">
        <f>U100+1</f>
        <v>2167</v>
      </c>
      <c r="V102" s="194" t="str">
        <f t="array" ref="V102">IFERROR(IF(INDEX('Disaggregation Records'!$I$3:$I$66,MATCH(RIGHT(Q102,255),RIGHT('Disaggregation Records'!$D$3:$D$66,255),0))="","",INDEX('Disaggregation Records'!$I$3:$I$66,MATCH(RIGHT(Q102,255),RIGHT('Disaggregation Records'!$D$3:$D$66,255),0))),"")</f>
        <v/>
      </c>
      <c r="W102" s="194" t="str">
        <f>IFERROR(INDEX('Reference Records'!O$3:O$19,MATCH(LEFT(C102,255),'Reference Records'!J$3:J$19,0)),"")</f>
        <v/>
      </c>
    </row>
    <row r="103" spans="1:23" s="195" customFormat="1" ht="40.4" customHeight="1" x14ac:dyDescent="0.35">
      <c r="A103" s="770"/>
      <c r="B103" s="767">
        <v>3.7556390977443699</v>
      </c>
      <c r="C103" s="761"/>
      <c r="D103" s="769"/>
      <c r="E103" s="769"/>
      <c r="F103" s="208"/>
      <c r="G103" s="763"/>
      <c r="H103" s="744"/>
      <c r="I103" s="765"/>
      <c r="J103" s="730"/>
      <c r="K103" s="761"/>
      <c r="L103" s="761"/>
      <c r="M103" s="730"/>
      <c r="N103" s="730"/>
    </row>
    <row r="104" spans="1:23" s="194" customFormat="1" ht="40.4" customHeight="1" x14ac:dyDescent="0.35">
      <c r="A104" s="770" t="str">
        <f t="shared" ca="1" si="1"/>
        <v>a1G3p000005ncDiEAI</v>
      </c>
      <c r="B104" s="766">
        <v>5</v>
      </c>
      <c r="C104" s="760" t="str">
        <f>IFERROR(VLOOKUP(B104,'Impact Indicators - Section B '!$A$9:$AF$52,32,FALSE),"")</f>
        <v/>
      </c>
      <c r="D104" s="768" t="str">
        <f>R104</f>
        <v/>
      </c>
      <c r="E104" s="768" t="str">
        <f>S104</f>
        <v/>
      </c>
      <c r="F104" s="413"/>
      <c r="G104" s="762" t="str">
        <f ca="1">IF(OR(INDIRECT("'update Helper'!E"&amp;U104)="",F104&lt;&gt;0,F105&lt;&gt;0),IF(IFERROR((F104/F105),"")="","",(F104/F105)),INDIRECT("'update Helper'!E"&amp;U104)/100)</f>
        <v/>
      </c>
      <c r="H104" s="743"/>
      <c r="I104" s="764"/>
      <c r="J104" s="729"/>
      <c r="K104" s="760" t="str">
        <f>W104</f>
        <v/>
      </c>
      <c r="L104" s="760" t="str">
        <f>V104</f>
        <v/>
      </c>
      <c r="M104" s="729"/>
      <c r="N104" s="729"/>
      <c r="P104" s="194">
        <f>IF(AND(EXACT(C104,C102),C102&lt;&gt;0),P102+1,0)</f>
        <v>27</v>
      </c>
      <c r="Q104" s="194" t="str">
        <f>IF(C104&lt;&gt;"",C104&amp;"-"&amp;P104,"")</f>
        <v/>
      </c>
      <c r="R104" s="194" t="str">
        <f t="array" ref="R104">IFERROR(IF(INDEX('Disaggregation Records'!$E$3:$E$66,MATCH(RIGHT(Q104,255),RIGHT('Disaggregation Records'!$D$3:$D$66,255),0))="","",INDEX('Disaggregation Records'!$E$3:$E$66,MATCH(RIGHT(Q104,255),RIGHT('Disaggregation Records'!$D$3:$D$66,255),0))),"")</f>
        <v/>
      </c>
      <c r="S104" s="194" t="str">
        <f t="array" ref="S104">IFERROR(IF(INDEX('Disaggregation Records'!$F$3:$F$66,MATCH(RIGHT(Q104,255),RIGHT('Disaggregation Records'!$D$3:$D$66,255),0))="","",INDEX('Disaggregation Records'!$F$3:$F$66,MATCH(RIGHT(Q104,255),RIGHT('Disaggregation Records'!$D$3:$D$66,255),0))),"")</f>
        <v/>
      </c>
      <c r="T104" s="194" t="str">
        <f t="array" ref="T104">IFERROR(IF(INDEX('Disaggregation Records'!$H$3:$H$66,MATCH(RIGHT(Q104,255),RIGHT('Disaggregation Records'!$D$3:$D$66,255),0))="","",INDEX('Disaggregation Records'!$H$3:$H$66,MATCH(RIGHT(Q104,255),RIGHT('Disaggregation Records'!$D$3:$D$66,255),0))),"")</f>
        <v/>
      </c>
      <c r="U104" s="194">
        <f>U102+1</f>
        <v>2168</v>
      </c>
      <c r="V104" s="194" t="str">
        <f t="array" ref="V104">IFERROR(IF(INDEX('Disaggregation Records'!$I$3:$I$66,MATCH(RIGHT(Q104,255),RIGHT('Disaggregation Records'!$D$3:$D$66,255),0))="","",INDEX('Disaggregation Records'!$I$3:$I$66,MATCH(RIGHT(Q104,255),RIGHT('Disaggregation Records'!$D$3:$D$66,255),0))),"")</f>
        <v/>
      </c>
      <c r="W104" s="194" t="str">
        <f>IFERROR(INDEX('Reference Records'!O$3:O$19,MATCH(LEFT(C104,255),'Reference Records'!J$3:J$19,0)),"")</f>
        <v/>
      </c>
    </row>
    <row r="105" spans="1:23" s="195" customFormat="1" ht="40.4" customHeight="1" x14ac:dyDescent="0.35">
      <c r="A105" s="770"/>
      <c r="B105" s="767">
        <v>3.7556390977443699</v>
      </c>
      <c r="C105" s="761"/>
      <c r="D105" s="769"/>
      <c r="E105" s="769"/>
      <c r="F105" s="208"/>
      <c r="G105" s="763"/>
      <c r="H105" s="744"/>
      <c r="I105" s="765"/>
      <c r="J105" s="730"/>
      <c r="K105" s="761"/>
      <c r="L105" s="761"/>
      <c r="M105" s="730"/>
      <c r="N105" s="730"/>
    </row>
    <row r="106" spans="1:23" s="194" customFormat="1" ht="40.4" customHeight="1" x14ac:dyDescent="0.35">
      <c r="A106" s="770" t="str">
        <f t="shared" ca="1" si="1"/>
        <v>a1G3p000005ncDjEAI</v>
      </c>
      <c r="B106" s="766">
        <v>5</v>
      </c>
      <c r="C106" s="760" t="str">
        <f>IFERROR(VLOOKUP(B106,'Impact Indicators - Section B '!$A$9:$AF$52,32,FALSE),"")</f>
        <v/>
      </c>
      <c r="D106" s="768" t="str">
        <f>R106</f>
        <v/>
      </c>
      <c r="E106" s="768" t="str">
        <f>S106</f>
        <v/>
      </c>
      <c r="F106" s="413"/>
      <c r="G106" s="762" t="str">
        <f ca="1">IF(OR(INDIRECT("'update Helper'!E"&amp;U106)="",F106&lt;&gt;0,F107&lt;&gt;0),IF(IFERROR((F106/F107),"")="","",(F106/F107)),INDIRECT("'update Helper'!E"&amp;U106)/100)</f>
        <v/>
      </c>
      <c r="H106" s="743"/>
      <c r="I106" s="764"/>
      <c r="J106" s="729"/>
      <c r="K106" s="760" t="str">
        <f>W106</f>
        <v/>
      </c>
      <c r="L106" s="760" t="str">
        <f>V106</f>
        <v/>
      </c>
      <c r="M106" s="729"/>
      <c r="N106" s="729"/>
      <c r="P106" s="194">
        <f>IF(AND(EXACT(C106,C104),C104&lt;&gt;0),P104+1,0)</f>
        <v>28</v>
      </c>
      <c r="Q106" s="194" t="str">
        <f>IF(C106&lt;&gt;"",C106&amp;"-"&amp;P106,"")</f>
        <v/>
      </c>
      <c r="R106" s="194" t="str">
        <f t="array" ref="R106">IFERROR(IF(INDEX('Disaggregation Records'!$E$3:$E$66,MATCH(RIGHT(Q106,255),RIGHT('Disaggregation Records'!$D$3:$D$66,255),0))="","",INDEX('Disaggregation Records'!$E$3:$E$66,MATCH(RIGHT(Q106,255),RIGHT('Disaggregation Records'!$D$3:$D$66,255),0))),"")</f>
        <v/>
      </c>
      <c r="S106" s="194" t="str">
        <f t="array" ref="S106">IFERROR(IF(INDEX('Disaggregation Records'!$F$3:$F$66,MATCH(RIGHT(Q106,255),RIGHT('Disaggregation Records'!$D$3:$D$66,255),0))="","",INDEX('Disaggregation Records'!$F$3:$F$66,MATCH(RIGHT(Q106,255),RIGHT('Disaggregation Records'!$D$3:$D$66,255),0))),"")</f>
        <v/>
      </c>
      <c r="T106" s="194" t="str">
        <f t="array" ref="T106">IFERROR(IF(INDEX('Disaggregation Records'!$H$3:$H$66,MATCH(RIGHT(Q106,255),RIGHT('Disaggregation Records'!$D$3:$D$66,255),0))="","",INDEX('Disaggregation Records'!$H$3:$H$66,MATCH(RIGHT(Q106,255),RIGHT('Disaggregation Records'!$D$3:$D$66,255),0))),"")</f>
        <v/>
      </c>
      <c r="U106" s="194">
        <f>U104+1</f>
        <v>2169</v>
      </c>
      <c r="V106" s="194" t="str">
        <f t="array" ref="V106">IFERROR(IF(INDEX('Disaggregation Records'!$I$3:$I$66,MATCH(RIGHT(Q106,255),RIGHT('Disaggregation Records'!$D$3:$D$66,255),0))="","",INDEX('Disaggregation Records'!$I$3:$I$66,MATCH(RIGHT(Q106,255),RIGHT('Disaggregation Records'!$D$3:$D$66,255),0))),"")</f>
        <v/>
      </c>
      <c r="W106" s="194" t="str">
        <f>IFERROR(INDEX('Reference Records'!O$3:O$19,MATCH(LEFT(C106,255),'Reference Records'!J$3:J$19,0)),"")</f>
        <v/>
      </c>
    </row>
    <row r="107" spans="1:23" s="194" customFormat="1" ht="40.4" customHeight="1" x14ac:dyDescent="0.35">
      <c r="A107" s="770"/>
      <c r="B107" s="767">
        <v>3.7556390977443699</v>
      </c>
      <c r="C107" s="761"/>
      <c r="D107" s="769"/>
      <c r="E107" s="769"/>
      <c r="F107" s="208"/>
      <c r="G107" s="763"/>
      <c r="H107" s="744"/>
      <c r="I107" s="765"/>
      <c r="J107" s="730"/>
      <c r="K107" s="761"/>
      <c r="L107" s="761"/>
      <c r="M107" s="730"/>
      <c r="N107" s="730"/>
      <c r="P107" s="195"/>
      <c r="Q107" s="195"/>
      <c r="R107" s="195"/>
      <c r="S107" s="195"/>
      <c r="T107" s="195"/>
      <c r="U107" s="195"/>
      <c r="V107" s="195"/>
      <c r="W107" s="195"/>
    </row>
    <row r="108" spans="1:23" s="194" customFormat="1" ht="40.4" customHeight="1" x14ac:dyDescent="0.35">
      <c r="A108" s="770" t="str">
        <f t="shared" ca="1" si="1"/>
        <v>a1G3p000005ncDkEAI</v>
      </c>
      <c r="B108" s="766">
        <v>5</v>
      </c>
      <c r="C108" s="760" t="str">
        <f>IFERROR(VLOOKUP(B108,'Impact Indicators - Section B '!$A$9:$AF$52,32,FALSE),"")</f>
        <v/>
      </c>
      <c r="D108" s="768" t="str">
        <f>R108</f>
        <v/>
      </c>
      <c r="E108" s="768" t="str">
        <f>S108</f>
        <v/>
      </c>
      <c r="F108" s="413"/>
      <c r="G108" s="762" t="str">
        <f ca="1">IF(OR(INDIRECT("'update Helper'!E"&amp;U108)="",F108&lt;&gt;0,F109&lt;&gt;0),IF(IFERROR((F108/F109),"")="","",(F108/F109)),INDIRECT("'update Helper'!E"&amp;U108)/100)</f>
        <v/>
      </c>
      <c r="H108" s="743"/>
      <c r="I108" s="764"/>
      <c r="J108" s="729"/>
      <c r="K108" s="760" t="str">
        <f>W108</f>
        <v/>
      </c>
      <c r="L108" s="760" t="str">
        <f>V108</f>
        <v/>
      </c>
      <c r="M108" s="729"/>
      <c r="N108" s="729"/>
      <c r="P108" s="194">
        <f>IF(AND(EXACT(C108,C106),C106&lt;&gt;0),P106+1,0)</f>
        <v>29</v>
      </c>
      <c r="Q108" s="194" t="str">
        <f>IF(C108&lt;&gt;"",C108&amp;"-"&amp;P108,"")</f>
        <v/>
      </c>
      <c r="R108" s="194" t="str">
        <f t="array" ref="R108">IFERROR(IF(INDEX('Disaggregation Records'!$E$3:$E$66,MATCH(RIGHT(Q108,255),RIGHT('Disaggregation Records'!$D$3:$D$66,255),0))="","",INDEX('Disaggregation Records'!$E$3:$E$66,MATCH(RIGHT(Q108,255),RIGHT('Disaggregation Records'!$D$3:$D$66,255),0))),"")</f>
        <v/>
      </c>
      <c r="S108" s="194" t="str">
        <f t="array" ref="S108">IFERROR(IF(INDEX('Disaggregation Records'!$F$3:$F$66,MATCH(RIGHT(Q108,255),RIGHT('Disaggregation Records'!$D$3:$D$66,255),0))="","",INDEX('Disaggregation Records'!$F$3:$F$66,MATCH(RIGHT(Q108,255),RIGHT('Disaggregation Records'!$D$3:$D$66,255),0))),"")</f>
        <v/>
      </c>
      <c r="T108" s="194" t="str">
        <f t="array" ref="T108">IFERROR(IF(INDEX('Disaggregation Records'!$H$3:$H$66,MATCH(RIGHT(Q108,255),RIGHT('Disaggregation Records'!$D$3:$D$66,255),0))="","",INDEX('Disaggregation Records'!$H$3:$H$66,MATCH(RIGHT(Q108,255),RIGHT('Disaggregation Records'!$D$3:$D$66,255),0))),"")</f>
        <v/>
      </c>
      <c r="U108" s="194">
        <f>U106+1</f>
        <v>2170</v>
      </c>
      <c r="V108" s="194" t="str">
        <f t="array" ref="V108">IFERROR(IF(INDEX('Disaggregation Records'!$I$3:$I$66,MATCH(RIGHT(Q108,255),RIGHT('Disaggregation Records'!$D$3:$D$66,255),0))="","",INDEX('Disaggregation Records'!$I$3:$I$66,MATCH(RIGHT(Q108,255),RIGHT('Disaggregation Records'!$D$3:$D$66,255),0))),"")</f>
        <v/>
      </c>
      <c r="W108" s="194" t="str">
        <f>IFERROR(INDEX('Reference Records'!O$3:O$19,MATCH(LEFT(C108,255),'Reference Records'!J$3:J$19,0)),"")</f>
        <v/>
      </c>
    </row>
    <row r="109" spans="1:23" s="194" customFormat="1" ht="40.4" customHeight="1" x14ac:dyDescent="0.35">
      <c r="A109" s="770"/>
      <c r="B109" s="767">
        <v>3.7556390977443699</v>
      </c>
      <c r="C109" s="761"/>
      <c r="D109" s="769"/>
      <c r="E109" s="769"/>
      <c r="F109" s="208"/>
      <c r="G109" s="763"/>
      <c r="H109" s="744"/>
      <c r="I109" s="765"/>
      <c r="J109" s="730"/>
      <c r="K109" s="761"/>
      <c r="L109" s="761"/>
      <c r="M109" s="730"/>
      <c r="N109" s="730"/>
      <c r="P109" s="195"/>
      <c r="Q109" s="195"/>
      <c r="R109" s="195"/>
      <c r="S109" s="195"/>
      <c r="T109" s="195"/>
      <c r="U109" s="195"/>
      <c r="V109" s="195"/>
      <c r="W109" s="195"/>
    </row>
    <row r="110" spans="1:23" s="194" customFormat="1" ht="40.4" customHeight="1" x14ac:dyDescent="0.35">
      <c r="A110" s="770" t="str">
        <f t="shared" ca="1" si="1"/>
        <v>a1G3p000005ncG1EAI</v>
      </c>
      <c r="B110" s="766">
        <v>6</v>
      </c>
      <c r="C110" s="760" t="str">
        <f>IFERROR(VLOOKUP(B110,'Impact Indicators - Section B '!$A$9:$AF$52,32,FALSE),"")</f>
        <v/>
      </c>
      <c r="D110" s="768" t="str">
        <f>R110</f>
        <v/>
      </c>
      <c r="E110" s="768" t="str">
        <f>S110</f>
        <v/>
      </c>
      <c r="F110" s="413"/>
      <c r="G110" s="762" t="str">
        <f ca="1">IF(OR(INDIRECT("'update Helper'!E"&amp;U110)="",F110&lt;&gt;0,F111&lt;&gt;0),IF(IFERROR((F110/F111),"")="","",(F110/F111)),INDIRECT("'update Helper'!E"&amp;U110)/100)</f>
        <v/>
      </c>
      <c r="H110" s="743"/>
      <c r="I110" s="764"/>
      <c r="J110" s="729"/>
      <c r="K110" s="760" t="str">
        <f>W110</f>
        <v/>
      </c>
      <c r="L110" s="760" t="str">
        <f>V110</f>
        <v/>
      </c>
      <c r="M110" s="729"/>
      <c r="N110" s="729"/>
      <c r="P110" s="194">
        <f>IF(AND(EXACT(C110,C108),C108&lt;&gt;0),P108+1,0)</f>
        <v>30</v>
      </c>
      <c r="Q110" s="194" t="str">
        <f>IF(C110&lt;&gt;"",C110&amp;"-"&amp;P110,"")</f>
        <v/>
      </c>
      <c r="R110" s="194" t="str">
        <f t="array" ref="R110">IFERROR(IF(INDEX('Disaggregation Records'!$E$3:$E$66,MATCH(RIGHT(Q110,255),RIGHT('Disaggregation Records'!$D$3:$D$66,255),0))="","",INDEX('Disaggregation Records'!$E$3:$E$66,MATCH(RIGHT(Q110,255),RIGHT('Disaggregation Records'!$D$3:$D$66,255),0))),"")</f>
        <v/>
      </c>
      <c r="S110" s="194" t="str">
        <f t="array" ref="S110">IFERROR(IF(INDEX('Disaggregation Records'!$F$3:$F$66,MATCH(RIGHT(Q110,255),RIGHT('Disaggregation Records'!$D$3:$D$66,255),0))="","",INDEX('Disaggregation Records'!$F$3:$F$66,MATCH(RIGHT(Q110,255),RIGHT('Disaggregation Records'!$D$3:$D$66,255),0))),"")</f>
        <v/>
      </c>
      <c r="T110" s="194" t="str">
        <f t="array" ref="T110">IFERROR(IF(INDEX('Disaggregation Records'!$H$3:$H$66,MATCH(RIGHT(Q110,255),RIGHT('Disaggregation Records'!$D$3:$D$66,255),0))="","",INDEX('Disaggregation Records'!$H$3:$H$66,MATCH(RIGHT(Q110,255),RIGHT('Disaggregation Records'!$D$3:$D$66,255),0))),"")</f>
        <v/>
      </c>
      <c r="U110" s="194">
        <f>U108+1</f>
        <v>2171</v>
      </c>
      <c r="V110" s="194" t="str">
        <f t="array" ref="V110">IFERROR(IF(INDEX('Disaggregation Records'!$I$3:$I$66,MATCH(RIGHT(Q110,255),RIGHT('Disaggregation Records'!$D$3:$D$66,255),0))="","",INDEX('Disaggregation Records'!$I$3:$I$66,MATCH(RIGHT(Q110,255),RIGHT('Disaggregation Records'!$D$3:$D$66,255),0))),"")</f>
        <v/>
      </c>
      <c r="W110" s="194" t="str">
        <f>IFERROR(INDEX('Reference Records'!O$3:O$19,MATCH(LEFT(C110,255),'Reference Records'!J$3:J$19,0)),"")</f>
        <v/>
      </c>
    </row>
    <row r="111" spans="1:23" s="195" customFormat="1" ht="40.4" customHeight="1" x14ac:dyDescent="0.35">
      <c r="A111" s="770"/>
      <c r="B111" s="767">
        <v>4.5075187969924899</v>
      </c>
      <c r="C111" s="761"/>
      <c r="D111" s="769"/>
      <c r="E111" s="769"/>
      <c r="F111" s="208"/>
      <c r="G111" s="763"/>
      <c r="H111" s="744"/>
      <c r="I111" s="765"/>
      <c r="J111" s="730"/>
      <c r="K111" s="761"/>
      <c r="L111" s="761"/>
      <c r="M111" s="730"/>
      <c r="N111" s="730"/>
    </row>
    <row r="112" spans="1:23" s="194" customFormat="1" ht="40.4" customHeight="1" x14ac:dyDescent="0.35">
      <c r="A112" s="770" t="str">
        <f t="shared" ca="1" si="1"/>
        <v>a1G3p000005ncG2EAI</v>
      </c>
      <c r="B112" s="766">
        <v>6</v>
      </c>
      <c r="C112" s="760" t="str">
        <f>IFERROR(VLOOKUP(B112,'Impact Indicators - Section B '!$A$9:$AF$52,32,FALSE),"")</f>
        <v/>
      </c>
      <c r="D112" s="768" t="str">
        <f>R112</f>
        <v/>
      </c>
      <c r="E112" s="768" t="str">
        <f>S112</f>
        <v/>
      </c>
      <c r="F112" s="413"/>
      <c r="G112" s="762" t="str">
        <f ca="1">IF(OR(INDIRECT("'update Helper'!E"&amp;U112)="",F112&lt;&gt;0,F113&lt;&gt;0),IF(IFERROR((F112/F113),"")="","",(F112/F113)),INDIRECT("'update Helper'!E"&amp;U112)/100)</f>
        <v/>
      </c>
      <c r="H112" s="743"/>
      <c r="I112" s="764"/>
      <c r="J112" s="729"/>
      <c r="K112" s="760" t="str">
        <f>W112</f>
        <v/>
      </c>
      <c r="L112" s="760" t="str">
        <f>V112</f>
        <v/>
      </c>
      <c r="M112" s="729"/>
      <c r="N112" s="729"/>
      <c r="P112" s="194">
        <f>IF(AND(EXACT(C112,C110),C110&lt;&gt;0),P110+1,0)</f>
        <v>31</v>
      </c>
      <c r="Q112" s="194" t="str">
        <f>IF(C112&lt;&gt;"",C112&amp;"-"&amp;P112,"")</f>
        <v/>
      </c>
      <c r="R112" s="194" t="str">
        <f t="array" ref="R112">IFERROR(IF(INDEX('Disaggregation Records'!$E$3:$E$66,MATCH(RIGHT(Q112,255),RIGHT('Disaggregation Records'!$D$3:$D$66,255),0))="","",INDEX('Disaggregation Records'!$E$3:$E$66,MATCH(RIGHT(Q112,255),RIGHT('Disaggregation Records'!$D$3:$D$66,255),0))),"")</f>
        <v/>
      </c>
      <c r="S112" s="194" t="str">
        <f t="array" ref="S112">IFERROR(IF(INDEX('Disaggregation Records'!$F$3:$F$66,MATCH(RIGHT(Q112,255),RIGHT('Disaggregation Records'!$D$3:$D$66,255),0))="","",INDEX('Disaggregation Records'!$F$3:$F$66,MATCH(RIGHT(Q112,255),RIGHT('Disaggregation Records'!$D$3:$D$66,255),0))),"")</f>
        <v/>
      </c>
      <c r="T112" s="194" t="str">
        <f t="array" ref="T112">IFERROR(IF(INDEX('Disaggregation Records'!$H$3:$H$66,MATCH(RIGHT(Q112,255),RIGHT('Disaggregation Records'!$D$3:$D$66,255),0))="","",INDEX('Disaggregation Records'!$H$3:$H$66,MATCH(RIGHT(Q112,255),RIGHT('Disaggregation Records'!$D$3:$D$66,255),0))),"")</f>
        <v/>
      </c>
      <c r="U112" s="194">
        <f>U110+1</f>
        <v>2172</v>
      </c>
      <c r="V112" s="194" t="str">
        <f t="array" ref="V112">IFERROR(IF(INDEX('Disaggregation Records'!$I$3:$I$66,MATCH(RIGHT(Q112,255),RIGHT('Disaggregation Records'!$D$3:$D$66,255),0))="","",INDEX('Disaggregation Records'!$I$3:$I$66,MATCH(RIGHT(Q112,255),RIGHT('Disaggregation Records'!$D$3:$D$66,255),0))),"")</f>
        <v/>
      </c>
      <c r="W112" s="194" t="str">
        <f>IFERROR(INDEX('Reference Records'!O$3:O$19,MATCH(LEFT(C112,255),'Reference Records'!J$3:J$19,0)),"")</f>
        <v/>
      </c>
    </row>
    <row r="113" spans="1:23" s="195" customFormat="1" ht="40.4" customHeight="1" x14ac:dyDescent="0.35">
      <c r="A113" s="770"/>
      <c r="B113" s="767">
        <v>4.5075187969924899</v>
      </c>
      <c r="C113" s="761"/>
      <c r="D113" s="769"/>
      <c r="E113" s="769"/>
      <c r="F113" s="208"/>
      <c r="G113" s="763"/>
      <c r="H113" s="744"/>
      <c r="I113" s="765"/>
      <c r="J113" s="730"/>
      <c r="K113" s="761"/>
      <c r="L113" s="761"/>
      <c r="M113" s="730"/>
      <c r="N113" s="730"/>
    </row>
    <row r="114" spans="1:23" s="194" customFormat="1" ht="40.4" customHeight="1" x14ac:dyDescent="0.35">
      <c r="A114" s="770" t="str">
        <f t="shared" ca="1" si="1"/>
        <v>a1G3p000005ncG3EAI</v>
      </c>
      <c r="B114" s="766">
        <v>6</v>
      </c>
      <c r="C114" s="760" t="str">
        <f>IFERROR(VLOOKUP(B114,'Impact Indicators - Section B '!$A$9:$AF$52,32,FALSE),"")</f>
        <v/>
      </c>
      <c r="D114" s="768" t="str">
        <f>R114</f>
        <v/>
      </c>
      <c r="E114" s="768" t="str">
        <f>S114</f>
        <v/>
      </c>
      <c r="F114" s="413"/>
      <c r="G114" s="762" t="str">
        <f ca="1">IF(OR(INDIRECT("'update Helper'!E"&amp;U114)="",F114&lt;&gt;0,F115&lt;&gt;0),IF(IFERROR((F114/F115),"")="","",(F114/F115)),INDIRECT("'update Helper'!E"&amp;U114)/100)</f>
        <v/>
      </c>
      <c r="H114" s="743"/>
      <c r="I114" s="764"/>
      <c r="J114" s="729"/>
      <c r="K114" s="760" t="str">
        <f>W114</f>
        <v/>
      </c>
      <c r="L114" s="760" t="str">
        <f>V114</f>
        <v/>
      </c>
      <c r="M114" s="729"/>
      <c r="N114" s="729"/>
      <c r="P114" s="194">
        <f>IF(AND(EXACT(C114,C112),C112&lt;&gt;0),P112+1,0)</f>
        <v>32</v>
      </c>
      <c r="Q114" s="194" t="str">
        <f>IF(C114&lt;&gt;"",C114&amp;"-"&amp;P114,"")</f>
        <v/>
      </c>
      <c r="R114" s="194" t="str">
        <f t="array" ref="R114">IFERROR(IF(INDEX('Disaggregation Records'!$E$3:$E$66,MATCH(RIGHT(Q114,255),RIGHT('Disaggregation Records'!$D$3:$D$66,255),0))="","",INDEX('Disaggregation Records'!$E$3:$E$66,MATCH(RIGHT(Q114,255),RIGHT('Disaggregation Records'!$D$3:$D$66,255),0))),"")</f>
        <v/>
      </c>
      <c r="S114" s="194" t="str">
        <f t="array" ref="S114">IFERROR(IF(INDEX('Disaggregation Records'!$F$3:$F$66,MATCH(RIGHT(Q114,255),RIGHT('Disaggregation Records'!$D$3:$D$66,255),0))="","",INDEX('Disaggregation Records'!$F$3:$F$66,MATCH(RIGHT(Q114,255),RIGHT('Disaggregation Records'!$D$3:$D$66,255),0))),"")</f>
        <v/>
      </c>
      <c r="T114" s="194" t="str">
        <f t="array" ref="T114">IFERROR(IF(INDEX('Disaggregation Records'!$H$3:$H$66,MATCH(RIGHT(Q114,255),RIGHT('Disaggregation Records'!$D$3:$D$66,255),0))="","",INDEX('Disaggregation Records'!$H$3:$H$66,MATCH(RIGHT(Q114,255),RIGHT('Disaggregation Records'!$D$3:$D$66,255),0))),"")</f>
        <v/>
      </c>
      <c r="U114" s="194">
        <f>U112+1</f>
        <v>2173</v>
      </c>
      <c r="V114" s="194" t="str">
        <f t="array" ref="V114">IFERROR(IF(INDEX('Disaggregation Records'!$I$3:$I$66,MATCH(RIGHT(Q114,255),RIGHT('Disaggregation Records'!$D$3:$D$66,255),0))="","",INDEX('Disaggregation Records'!$I$3:$I$66,MATCH(RIGHT(Q114,255),RIGHT('Disaggregation Records'!$D$3:$D$66,255),0))),"")</f>
        <v/>
      </c>
      <c r="W114" s="194" t="str">
        <f>IFERROR(INDEX('Reference Records'!O$3:O$19,MATCH(LEFT(C114,255),'Reference Records'!J$3:J$19,0)),"")</f>
        <v/>
      </c>
    </row>
    <row r="115" spans="1:23" s="194" customFormat="1" ht="40.4" customHeight="1" x14ac:dyDescent="0.35">
      <c r="A115" s="770"/>
      <c r="B115" s="767">
        <v>4.5075187969924899</v>
      </c>
      <c r="C115" s="761"/>
      <c r="D115" s="769"/>
      <c r="E115" s="769"/>
      <c r="F115" s="208"/>
      <c r="G115" s="763"/>
      <c r="H115" s="744"/>
      <c r="I115" s="765"/>
      <c r="J115" s="730"/>
      <c r="K115" s="761"/>
      <c r="L115" s="761"/>
      <c r="M115" s="730"/>
      <c r="N115" s="730"/>
      <c r="P115" s="195"/>
      <c r="Q115" s="195"/>
      <c r="R115" s="195"/>
      <c r="S115" s="195"/>
      <c r="T115" s="195"/>
      <c r="U115" s="195"/>
      <c r="V115" s="195"/>
      <c r="W115" s="195"/>
    </row>
    <row r="116" spans="1:23" s="194" customFormat="1" ht="40.4" customHeight="1" x14ac:dyDescent="0.35">
      <c r="A116" s="770" t="str">
        <f t="shared" ca="1" si="1"/>
        <v>a1G3p000005ncG4EAI</v>
      </c>
      <c r="B116" s="766">
        <v>6</v>
      </c>
      <c r="C116" s="760" t="str">
        <f>IFERROR(VLOOKUP(B116,'Impact Indicators - Section B '!$A$9:$AF$52,32,FALSE),"")</f>
        <v/>
      </c>
      <c r="D116" s="768" t="str">
        <f>R116</f>
        <v/>
      </c>
      <c r="E116" s="768" t="str">
        <f>S116</f>
        <v/>
      </c>
      <c r="F116" s="413"/>
      <c r="G116" s="762" t="str">
        <f ca="1">IF(OR(INDIRECT("'update Helper'!E"&amp;U116)="",F116&lt;&gt;0,F117&lt;&gt;0),IF(IFERROR((F116/F117),"")="","",(F116/F117)),INDIRECT("'update Helper'!E"&amp;U116)/100)</f>
        <v/>
      </c>
      <c r="H116" s="743"/>
      <c r="I116" s="764"/>
      <c r="J116" s="729"/>
      <c r="K116" s="760" t="str">
        <f>W116</f>
        <v/>
      </c>
      <c r="L116" s="760" t="str">
        <f>V116</f>
        <v/>
      </c>
      <c r="M116" s="729"/>
      <c r="N116" s="729"/>
      <c r="P116" s="194">
        <f>IF(AND(EXACT(C116,C114),C114&lt;&gt;0),P114+1,0)</f>
        <v>33</v>
      </c>
      <c r="Q116" s="194" t="str">
        <f>IF(C116&lt;&gt;"",C116&amp;"-"&amp;P116,"")</f>
        <v/>
      </c>
      <c r="R116" s="194" t="str">
        <f t="array" ref="R116">IFERROR(IF(INDEX('Disaggregation Records'!$E$3:$E$66,MATCH(RIGHT(Q116,255),RIGHT('Disaggregation Records'!$D$3:$D$66,255),0))="","",INDEX('Disaggregation Records'!$E$3:$E$66,MATCH(RIGHT(Q116,255),RIGHT('Disaggregation Records'!$D$3:$D$66,255),0))),"")</f>
        <v/>
      </c>
      <c r="S116" s="194" t="str">
        <f t="array" ref="S116">IFERROR(IF(INDEX('Disaggregation Records'!$F$3:$F$66,MATCH(RIGHT(Q116,255),RIGHT('Disaggregation Records'!$D$3:$D$66,255),0))="","",INDEX('Disaggregation Records'!$F$3:$F$66,MATCH(RIGHT(Q116,255),RIGHT('Disaggregation Records'!$D$3:$D$66,255),0))),"")</f>
        <v/>
      </c>
      <c r="T116" s="194" t="str">
        <f t="array" ref="T116">IFERROR(IF(INDEX('Disaggregation Records'!$H$3:$H$66,MATCH(RIGHT(Q116,255),RIGHT('Disaggregation Records'!$D$3:$D$66,255),0))="","",INDEX('Disaggregation Records'!$H$3:$H$66,MATCH(RIGHT(Q116,255),RIGHT('Disaggregation Records'!$D$3:$D$66,255),0))),"")</f>
        <v/>
      </c>
      <c r="U116" s="194">
        <f>U114+1</f>
        <v>2174</v>
      </c>
      <c r="V116" s="194" t="str">
        <f t="array" ref="V116">IFERROR(IF(INDEX('Disaggregation Records'!$I$3:$I$66,MATCH(RIGHT(Q116,255),RIGHT('Disaggregation Records'!$D$3:$D$66,255),0))="","",INDEX('Disaggregation Records'!$I$3:$I$66,MATCH(RIGHT(Q116,255),RIGHT('Disaggregation Records'!$D$3:$D$66,255),0))),"")</f>
        <v/>
      </c>
      <c r="W116" s="194" t="str">
        <f>IFERROR(INDEX('Reference Records'!O$3:O$19,MATCH(LEFT(C116,255),'Reference Records'!J$3:J$19,0)),"")</f>
        <v/>
      </c>
    </row>
    <row r="117" spans="1:23" s="195" customFormat="1" ht="40.4" customHeight="1" x14ac:dyDescent="0.35">
      <c r="A117" s="770"/>
      <c r="B117" s="767">
        <v>4.5075187969924899</v>
      </c>
      <c r="C117" s="761"/>
      <c r="D117" s="769"/>
      <c r="E117" s="769"/>
      <c r="F117" s="208"/>
      <c r="G117" s="763"/>
      <c r="H117" s="744"/>
      <c r="I117" s="765"/>
      <c r="J117" s="730"/>
      <c r="K117" s="761"/>
      <c r="L117" s="761"/>
      <c r="M117" s="730"/>
      <c r="N117" s="730"/>
    </row>
    <row r="118" spans="1:23" s="194" customFormat="1" ht="40.4" customHeight="1" x14ac:dyDescent="0.35">
      <c r="A118" s="770" t="str">
        <f t="shared" ca="1" si="1"/>
        <v>a1G3p000005ncG5EAI</v>
      </c>
      <c r="B118" s="766">
        <v>6</v>
      </c>
      <c r="C118" s="760" t="str">
        <f>IFERROR(VLOOKUP(B118,'Impact Indicators - Section B '!$A$9:$AF$52,32,FALSE),"")</f>
        <v/>
      </c>
      <c r="D118" s="768" t="str">
        <f>R118</f>
        <v/>
      </c>
      <c r="E118" s="768" t="str">
        <f>S118</f>
        <v/>
      </c>
      <c r="F118" s="413"/>
      <c r="G118" s="762" t="str">
        <f ca="1">IF(OR(INDIRECT("'update Helper'!E"&amp;U118)="",F118&lt;&gt;0,F119&lt;&gt;0),IF(IFERROR((F118/F119),"")="","",(F118/F119)),INDIRECT("'update Helper'!E"&amp;U118)/100)</f>
        <v/>
      </c>
      <c r="H118" s="743"/>
      <c r="I118" s="764"/>
      <c r="J118" s="729"/>
      <c r="K118" s="760" t="str">
        <f>W118</f>
        <v/>
      </c>
      <c r="L118" s="760" t="str">
        <f>V118</f>
        <v/>
      </c>
      <c r="M118" s="729"/>
      <c r="N118" s="729"/>
      <c r="P118" s="194">
        <f>IF(AND(EXACT(C118,C116),C116&lt;&gt;0),P116+1,0)</f>
        <v>34</v>
      </c>
      <c r="Q118" s="194" t="str">
        <f>IF(C118&lt;&gt;"",C118&amp;"-"&amp;P118,"")</f>
        <v/>
      </c>
      <c r="R118" s="194" t="str">
        <f t="array" ref="R118">IFERROR(IF(INDEX('Disaggregation Records'!$E$3:$E$66,MATCH(RIGHT(Q118,255),RIGHT('Disaggregation Records'!$D$3:$D$66,255),0))="","",INDEX('Disaggregation Records'!$E$3:$E$66,MATCH(RIGHT(Q118,255),RIGHT('Disaggregation Records'!$D$3:$D$66,255),0))),"")</f>
        <v/>
      </c>
      <c r="S118" s="194" t="str">
        <f t="array" ref="S118">IFERROR(IF(INDEX('Disaggregation Records'!$F$3:$F$66,MATCH(RIGHT(Q118,255),RIGHT('Disaggregation Records'!$D$3:$D$66,255),0))="","",INDEX('Disaggregation Records'!$F$3:$F$66,MATCH(RIGHT(Q118,255),RIGHT('Disaggregation Records'!$D$3:$D$66,255),0))),"")</f>
        <v/>
      </c>
      <c r="T118" s="194" t="str">
        <f t="array" ref="T118">IFERROR(IF(INDEX('Disaggregation Records'!$H$3:$H$66,MATCH(RIGHT(Q118,255),RIGHT('Disaggregation Records'!$D$3:$D$66,255),0))="","",INDEX('Disaggregation Records'!$H$3:$H$66,MATCH(RIGHT(Q118,255),RIGHT('Disaggregation Records'!$D$3:$D$66,255),0))),"")</f>
        <v/>
      </c>
      <c r="U118" s="194">
        <f>U116+1</f>
        <v>2175</v>
      </c>
      <c r="V118" s="194" t="str">
        <f t="array" ref="V118">IFERROR(IF(INDEX('Disaggregation Records'!$I$3:$I$66,MATCH(RIGHT(Q118,255),RIGHT('Disaggregation Records'!$D$3:$D$66,255),0))="","",INDEX('Disaggregation Records'!$I$3:$I$66,MATCH(RIGHT(Q118,255),RIGHT('Disaggregation Records'!$D$3:$D$66,255),0))),"")</f>
        <v/>
      </c>
      <c r="W118" s="194" t="str">
        <f>IFERROR(INDEX('Reference Records'!O$3:O$19,MATCH(LEFT(C118,255),'Reference Records'!J$3:J$19,0)),"")</f>
        <v/>
      </c>
    </row>
    <row r="119" spans="1:23" s="195" customFormat="1" ht="40.4" customHeight="1" x14ac:dyDescent="0.35">
      <c r="A119" s="770"/>
      <c r="B119" s="767">
        <v>4.5075187969924899</v>
      </c>
      <c r="C119" s="761"/>
      <c r="D119" s="769"/>
      <c r="E119" s="769"/>
      <c r="F119" s="208"/>
      <c r="G119" s="763"/>
      <c r="H119" s="744"/>
      <c r="I119" s="765"/>
      <c r="J119" s="730"/>
      <c r="K119" s="761"/>
      <c r="L119" s="761"/>
      <c r="M119" s="730"/>
      <c r="N119" s="730"/>
    </row>
    <row r="120" spans="1:23" s="194" customFormat="1" ht="40.4" customHeight="1" x14ac:dyDescent="0.35">
      <c r="A120" s="770" t="str">
        <f t="shared" ca="1" si="1"/>
        <v>a1G3p000005ncG6EAI</v>
      </c>
      <c r="B120" s="766">
        <v>6</v>
      </c>
      <c r="C120" s="760" t="str">
        <f>IFERROR(VLOOKUP(B120,'Impact Indicators - Section B '!$A$9:$AF$52,32,FALSE),"")</f>
        <v/>
      </c>
      <c r="D120" s="768" t="str">
        <f>R120</f>
        <v/>
      </c>
      <c r="E120" s="768" t="str">
        <f>S120</f>
        <v/>
      </c>
      <c r="F120" s="413"/>
      <c r="G120" s="762" t="str">
        <f ca="1">IF(OR(INDIRECT("'update Helper'!E"&amp;U120)="",F120&lt;&gt;0,F121&lt;&gt;0),IF(IFERROR((F120/F121),"")="","",(F120/F121)),INDIRECT("'update Helper'!E"&amp;U120)/100)</f>
        <v/>
      </c>
      <c r="H120" s="743"/>
      <c r="I120" s="764"/>
      <c r="J120" s="729"/>
      <c r="K120" s="760" t="str">
        <f>W120</f>
        <v/>
      </c>
      <c r="L120" s="760" t="str">
        <f>V120</f>
        <v/>
      </c>
      <c r="M120" s="729"/>
      <c r="N120" s="729"/>
      <c r="P120" s="194">
        <f>IF(AND(EXACT(C120,C118),C118&lt;&gt;0),P118+1,0)</f>
        <v>35</v>
      </c>
      <c r="Q120" s="194" t="str">
        <f>IF(C120&lt;&gt;"",C120&amp;"-"&amp;P120,"")</f>
        <v/>
      </c>
      <c r="R120" s="194" t="str">
        <f t="array" ref="R120">IFERROR(IF(INDEX('Disaggregation Records'!$E$3:$E$66,MATCH(RIGHT(Q120,255),RIGHT('Disaggregation Records'!$D$3:$D$66,255),0))="","",INDEX('Disaggregation Records'!$E$3:$E$66,MATCH(RIGHT(Q120,255),RIGHT('Disaggregation Records'!$D$3:$D$66,255),0))),"")</f>
        <v/>
      </c>
      <c r="S120" s="194" t="str">
        <f t="array" ref="S120">IFERROR(IF(INDEX('Disaggregation Records'!$F$3:$F$66,MATCH(RIGHT(Q120,255),RIGHT('Disaggregation Records'!$D$3:$D$66,255),0))="","",INDEX('Disaggregation Records'!$F$3:$F$66,MATCH(RIGHT(Q120,255),RIGHT('Disaggregation Records'!$D$3:$D$66,255),0))),"")</f>
        <v/>
      </c>
      <c r="T120" s="194" t="str">
        <f t="array" ref="T120">IFERROR(IF(INDEX('Disaggregation Records'!$H$3:$H$66,MATCH(RIGHT(Q120,255),RIGHT('Disaggregation Records'!$D$3:$D$66,255),0))="","",INDEX('Disaggregation Records'!$H$3:$H$66,MATCH(RIGHT(Q120,255),RIGHT('Disaggregation Records'!$D$3:$D$66,255),0))),"")</f>
        <v/>
      </c>
      <c r="U120" s="194">
        <f>U118+1</f>
        <v>2176</v>
      </c>
      <c r="V120" s="194" t="str">
        <f t="array" ref="V120">IFERROR(IF(INDEX('Disaggregation Records'!$I$3:$I$66,MATCH(RIGHT(Q120,255),RIGHT('Disaggregation Records'!$D$3:$D$66,255),0))="","",INDEX('Disaggregation Records'!$I$3:$I$66,MATCH(RIGHT(Q120,255),RIGHT('Disaggregation Records'!$D$3:$D$66,255),0))),"")</f>
        <v/>
      </c>
      <c r="W120" s="194" t="str">
        <f>IFERROR(INDEX('Reference Records'!O$3:O$19,MATCH(LEFT(C120,255),'Reference Records'!J$3:J$19,0)),"")</f>
        <v/>
      </c>
    </row>
    <row r="121" spans="1:23" s="194" customFormat="1" ht="40.4" customHeight="1" x14ac:dyDescent="0.35">
      <c r="A121" s="770"/>
      <c r="B121" s="767">
        <v>4.5075187969924899</v>
      </c>
      <c r="C121" s="761"/>
      <c r="D121" s="769"/>
      <c r="E121" s="769"/>
      <c r="F121" s="208"/>
      <c r="G121" s="763"/>
      <c r="H121" s="744"/>
      <c r="I121" s="765"/>
      <c r="J121" s="730"/>
      <c r="K121" s="761"/>
      <c r="L121" s="761"/>
      <c r="M121" s="730"/>
      <c r="N121" s="730"/>
      <c r="P121" s="195"/>
      <c r="Q121" s="195"/>
      <c r="R121" s="195"/>
      <c r="S121" s="195"/>
      <c r="T121" s="195"/>
      <c r="U121" s="195"/>
      <c r="V121" s="195"/>
      <c r="W121" s="195"/>
    </row>
    <row r="122" spans="1:23" s="194" customFormat="1" ht="40.4" customHeight="1" x14ac:dyDescent="0.35">
      <c r="A122" s="770" t="str">
        <f t="shared" ca="1" si="1"/>
        <v>a1G3p000005ncG7EAI</v>
      </c>
      <c r="B122" s="766">
        <v>6</v>
      </c>
      <c r="C122" s="760" t="str">
        <f>IFERROR(VLOOKUP(B122,'Impact Indicators - Section B '!$A$9:$AF$52,32,FALSE),"")</f>
        <v/>
      </c>
      <c r="D122" s="768" t="str">
        <f>R122</f>
        <v/>
      </c>
      <c r="E122" s="768" t="str">
        <f>S122</f>
        <v/>
      </c>
      <c r="F122" s="413"/>
      <c r="G122" s="762" t="str">
        <f ca="1">IF(OR(INDIRECT("'update Helper'!E"&amp;U122)="",F122&lt;&gt;0,F123&lt;&gt;0),IF(IFERROR((F122/F123),"")="","",(F122/F123)),INDIRECT("'update Helper'!E"&amp;U122)/100)</f>
        <v/>
      </c>
      <c r="H122" s="743"/>
      <c r="I122" s="764"/>
      <c r="J122" s="729"/>
      <c r="K122" s="760" t="str">
        <f>W122</f>
        <v/>
      </c>
      <c r="L122" s="760" t="str">
        <f>V122</f>
        <v/>
      </c>
      <c r="M122" s="729"/>
      <c r="N122" s="729"/>
      <c r="P122" s="194">
        <f>IF(AND(EXACT(C122,C120),C120&lt;&gt;0),P120+1,0)</f>
        <v>36</v>
      </c>
      <c r="Q122" s="194" t="str">
        <f>IF(C122&lt;&gt;"",C122&amp;"-"&amp;P122,"")</f>
        <v/>
      </c>
      <c r="R122" s="194" t="str">
        <f t="array" ref="R122">IFERROR(IF(INDEX('Disaggregation Records'!$E$3:$E$66,MATCH(RIGHT(Q122,255),RIGHT('Disaggregation Records'!$D$3:$D$66,255),0))="","",INDEX('Disaggregation Records'!$E$3:$E$66,MATCH(RIGHT(Q122,255),RIGHT('Disaggregation Records'!$D$3:$D$66,255),0))),"")</f>
        <v/>
      </c>
      <c r="S122" s="194" t="str">
        <f t="array" ref="S122">IFERROR(IF(INDEX('Disaggregation Records'!$F$3:$F$66,MATCH(RIGHT(Q122,255),RIGHT('Disaggregation Records'!$D$3:$D$66,255),0))="","",INDEX('Disaggregation Records'!$F$3:$F$66,MATCH(RIGHT(Q122,255),RIGHT('Disaggregation Records'!$D$3:$D$66,255),0))),"")</f>
        <v/>
      </c>
      <c r="T122" s="194" t="str">
        <f t="array" ref="T122">IFERROR(IF(INDEX('Disaggregation Records'!$H$3:$H$66,MATCH(RIGHT(Q122,255),RIGHT('Disaggregation Records'!$D$3:$D$66,255),0))="","",INDEX('Disaggregation Records'!$H$3:$H$66,MATCH(RIGHT(Q122,255),RIGHT('Disaggregation Records'!$D$3:$D$66,255),0))),"")</f>
        <v/>
      </c>
      <c r="U122" s="194">
        <f>U120+1</f>
        <v>2177</v>
      </c>
      <c r="V122" s="194" t="str">
        <f t="array" ref="V122">IFERROR(IF(INDEX('Disaggregation Records'!$I$3:$I$66,MATCH(RIGHT(Q122,255),RIGHT('Disaggregation Records'!$D$3:$D$66,255),0))="","",INDEX('Disaggregation Records'!$I$3:$I$66,MATCH(RIGHT(Q122,255),RIGHT('Disaggregation Records'!$D$3:$D$66,255),0))),"")</f>
        <v/>
      </c>
      <c r="W122" s="194" t="str">
        <f>IFERROR(INDEX('Reference Records'!O$3:O$19,MATCH(LEFT(C122,255),'Reference Records'!J$3:J$19,0)),"")</f>
        <v/>
      </c>
    </row>
    <row r="123" spans="1:23" s="195" customFormat="1" ht="40.4" customHeight="1" x14ac:dyDescent="0.35">
      <c r="A123" s="770"/>
      <c r="B123" s="767">
        <v>4.5075187969924899</v>
      </c>
      <c r="C123" s="761"/>
      <c r="D123" s="769"/>
      <c r="E123" s="769"/>
      <c r="F123" s="208"/>
      <c r="G123" s="763"/>
      <c r="H123" s="744"/>
      <c r="I123" s="765"/>
      <c r="J123" s="730"/>
      <c r="K123" s="761"/>
      <c r="L123" s="761"/>
      <c r="M123" s="730"/>
      <c r="N123" s="730"/>
    </row>
    <row r="124" spans="1:23" s="194" customFormat="1" ht="40.4" customHeight="1" x14ac:dyDescent="0.35">
      <c r="A124" s="770" t="str">
        <f t="shared" ca="1" si="1"/>
        <v>a1G3p000005ncG8EAI</v>
      </c>
      <c r="B124" s="766">
        <v>6</v>
      </c>
      <c r="C124" s="760" t="str">
        <f>IFERROR(VLOOKUP(B124,'Impact Indicators - Section B '!$A$9:$AF$52,32,FALSE),"")</f>
        <v/>
      </c>
      <c r="D124" s="768" t="str">
        <f>R124</f>
        <v/>
      </c>
      <c r="E124" s="768" t="str">
        <f>S124</f>
        <v/>
      </c>
      <c r="F124" s="413"/>
      <c r="G124" s="762" t="str">
        <f ca="1">IF(OR(INDIRECT("'update Helper'!E"&amp;U124)="",F124&lt;&gt;0,F125&lt;&gt;0),IF(IFERROR((F124/F125),"")="","",(F124/F125)),INDIRECT("'update Helper'!E"&amp;U124)/100)</f>
        <v/>
      </c>
      <c r="H124" s="743"/>
      <c r="I124" s="764"/>
      <c r="J124" s="729"/>
      <c r="K124" s="760" t="str">
        <f>W124</f>
        <v/>
      </c>
      <c r="L124" s="760" t="str">
        <f>V124</f>
        <v/>
      </c>
      <c r="M124" s="729"/>
      <c r="N124" s="729"/>
      <c r="P124" s="194">
        <f>IF(AND(EXACT(C124,C122),C122&lt;&gt;0),P122+1,0)</f>
        <v>37</v>
      </c>
      <c r="Q124" s="194" t="str">
        <f>IF(C124&lt;&gt;"",C124&amp;"-"&amp;P124,"")</f>
        <v/>
      </c>
      <c r="R124" s="194" t="str">
        <f t="array" ref="R124">IFERROR(IF(INDEX('Disaggregation Records'!$E$3:$E$66,MATCH(RIGHT(Q124,255),RIGHT('Disaggregation Records'!$D$3:$D$66,255),0))="","",INDEX('Disaggregation Records'!$E$3:$E$66,MATCH(RIGHT(Q124,255),RIGHT('Disaggregation Records'!$D$3:$D$66,255),0))),"")</f>
        <v/>
      </c>
      <c r="S124" s="194" t="str">
        <f t="array" ref="S124">IFERROR(IF(INDEX('Disaggregation Records'!$F$3:$F$66,MATCH(RIGHT(Q124,255),RIGHT('Disaggregation Records'!$D$3:$D$66,255),0))="","",INDEX('Disaggregation Records'!$F$3:$F$66,MATCH(RIGHT(Q124,255),RIGHT('Disaggregation Records'!$D$3:$D$66,255),0))),"")</f>
        <v/>
      </c>
      <c r="T124" s="194" t="str">
        <f t="array" ref="T124">IFERROR(IF(INDEX('Disaggregation Records'!$H$3:$H$66,MATCH(RIGHT(Q124,255),RIGHT('Disaggregation Records'!$D$3:$D$66,255),0))="","",INDEX('Disaggregation Records'!$H$3:$H$66,MATCH(RIGHT(Q124,255),RIGHT('Disaggregation Records'!$D$3:$D$66,255),0))),"")</f>
        <v/>
      </c>
      <c r="U124" s="194">
        <f>U122+1</f>
        <v>2178</v>
      </c>
      <c r="V124" s="194" t="str">
        <f t="array" ref="V124">IFERROR(IF(INDEX('Disaggregation Records'!$I$3:$I$66,MATCH(RIGHT(Q124,255),RIGHT('Disaggregation Records'!$D$3:$D$66,255),0))="","",INDEX('Disaggregation Records'!$I$3:$I$66,MATCH(RIGHT(Q124,255),RIGHT('Disaggregation Records'!$D$3:$D$66,255),0))),"")</f>
        <v/>
      </c>
      <c r="W124" s="194" t="str">
        <f>IFERROR(INDEX('Reference Records'!O$3:O$19,MATCH(LEFT(C124,255),'Reference Records'!J$3:J$19,0)),"")</f>
        <v/>
      </c>
    </row>
    <row r="125" spans="1:23" s="195" customFormat="1" ht="40.4" customHeight="1" x14ac:dyDescent="0.35">
      <c r="A125" s="770"/>
      <c r="B125" s="767">
        <v>4.5075187969924899</v>
      </c>
      <c r="C125" s="761"/>
      <c r="D125" s="769"/>
      <c r="E125" s="769"/>
      <c r="F125" s="208"/>
      <c r="G125" s="763"/>
      <c r="H125" s="744"/>
      <c r="I125" s="765"/>
      <c r="J125" s="730"/>
      <c r="K125" s="761"/>
      <c r="L125" s="761"/>
      <c r="M125" s="730"/>
      <c r="N125" s="730"/>
    </row>
    <row r="126" spans="1:23" s="194" customFormat="1" ht="40.4" customHeight="1" x14ac:dyDescent="0.35">
      <c r="A126" s="770" t="str">
        <f t="shared" ca="1" si="1"/>
        <v>a1G3p000005ncG9EAI</v>
      </c>
      <c r="B126" s="766">
        <v>6</v>
      </c>
      <c r="C126" s="760" t="str">
        <f>IFERROR(VLOOKUP(B126,'Impact Indicators - Section B '!$A$9:$AF$52,32,FALSE),"")</f>
        <v/>
      </c>
      <c r="D126" s="768" t="str">
        <f>R126</f>
        <v/>
      </c>
      <c r="E126" s="768" t="str">
        <f>S126</f>
        <v/>
      </c>
      <c r="F126" s="413"/>
      <c r="G126" s="762" t="str">
        <f ca="1">IF(OR(INDIRECT("'update Helper'!E"&amp;U126)="",F126&lt;&gt;0,F127&lt;&gt;0),IF(IFERROR((F126/F127),"")="","",(F126/F127)),INDIRECT("'update Helper'!E"&amp;U126)/100)</f>
        <v/>
      </c>
      <c r="H126" s="743"/>
      <c r="I126" s="764"/>
      <c r="J126" s="729"/>
      <c r="K126" s="760" t="str">
        <f>W126</f>
        <v/>
      </c>
      <c r="L126" s="760" t="str">
        <f>V126</f>
        <v/>
      </c>
      <c r="M126" s="729"/>
      <c r="N126" s="729"/>
      <c r="P126" s="194">
        <f>IF(AND(EXACT(C126,C124),C124&lt;&gt;0),P124+1,0)</f>
        <v>38</v>
      </c>
      <c r="Q126" s="194" t="str">
        <f>IF(C126&lt;&gt;"",C126&amp;"-"&amp;P126,"")</f>
        <v/>
      </c>
      <c r="R126" s="194" t="str">
        <f t="array" ref="R126">IFERROR(IF(INDEX('Disaggregation Records'!$E$3:$E$66,MATCH(RIGHT(Q126,255),RIGHT('Disaggregation Records'!$D$3:$D$66,255),0))="","",INDEX('Disaggregation Records'!$E$3:$E$66,MATCH(RIGHT(Q126,255),RIGHT('Disaggregation Records'!$D$3:$D$66,255),0))),"")</f>
        <v/>
      </c>
      <c r="S126" s="194" t="str">
        <f t="array" ref="S126">IFERROR(IF(INDEX('Disaggregation Records'!$F$3:$F$66,MATCH(RIGHT(Q126,255),RIGHT('Disaggregation Records'!$D$3:$D$66,255),0))="","",INDEX('Disaggregation Records'!$F$3:$F$66,MATCH(RIGHT(Q126,255),RIGHT('Disaggregation Records'!$D$3:$D$66,255),0))),"")</f>
        <v/>
      </c>
      <c r="T126" s="194" t="str">
        <f t="array" ref="T126">IFERROR(IF(INDEX('Disaggregation Records'!$H$3:$H$66,MATCH(RIGHT(Q126,255),RIGHT('Disaggregation Records'!$D$3:$D$66,255),0))="","",INDEX('Disaggregation Records'!$H$3:$H$66,MATCH(RIGHT(Q126,255),RIGHT('Disaggregation Records'!$D$3:$D$66,255),0))),"")</f>
        <v/>
      </c>
      <c r="U126" s="194">
        <f>U124+1</f>
        <v>2179</v>
      </c>
      <c r="V126" s="194" t="str">
        <f t="array" ref="V126">IFERROR(IF(INDEX('Disaggregation Records'!$I$3:$I$66,MATCH(RIGHT(Q126,255),RIGHT('Disaggregation Records'!$D$3:$D$66,255),0))="","",INDEX('Disaggregation Records'!$I$3:$I$66,MATCH(RIGHT(Q126,255),RIGHT('Disaggregation Records'!$D$3:$D$66,255),0))),"")</f>
        <v/>
      </c>
      <c r="W126" s="194" t="str">
        <f>IFERROR(INDEX('Reference Records'!O$3:O$19,MATCH(LEFT(C126,255),'Reference Records'!J$3:J$19,0)),"")</f>
        <v/>
      </c>
    </row>
    <row r="127" spans="1:23" s="194" customFormat="1" ht="40.4" customHeight="1" x14ac:dyDescent="0.35">
      <c r="A127" s="770"/>
      <c r="B127" s="767">
        <v>4.5075187969924899</v>
      </c>
      <c r="C127" s="761"/>
      <c r="D127" s="769"/>
      <c r="E127" s="769"/>
      <c r="F127" s="208"/>
      <c r="G127" s="763"/>
      <c r="H127" s="744"/>
      <c r="I127" s="765"/>
      <c r="J127" s="730"/>
      <c r="K127" s="761"/>
      <c r="L127" s="761"/>
      <c r="M127" s="730"/>
      <c r="N127" s="730"/>
      <c r="P127" s="195"/>
      <c r="Q127" s="195"/>
      <c r="R127" s="195"/>
      <c r="S127" s="195"/>
      <c r="T127" s="195"/>
      <c r="U127" s="195"/>
      <c r="V127" s="195"/>
      <c r="W127" s="195"/>
    </row>
    <row r="128" spans="1:23" s="194" customFormat="1" ht="40.4" customHeight="1" x14ac:dyDescent="0.35">
      <c r="A128" s="770" t="str">
        <f t="shared" ca="1" si="1"/>
        <v>a1G3p000005ncGAEAY</v>
      </c>
      <c r="B128" s="766">
        <v>6</v>
      </c>
      <c r="C128" s="760" t="str">
        <f>IFERROR(VLOOKUP(B128,'Impact Indicators - Section B '!$A$9:$AF$52,32,FALSE),"")</f>
        <v/>
      </c>
      <c r="D128" s="768" t="str">
        <f>R128</f>
        <v/>
      </c>
      <c r="E128" s="768" t="str">
        <f>S128</f>
        <v/>
      </c>
      <c r="F128" s="413"/>
      <c r="G128" s="762" t="str">
        <f ca="1">IF(OR(INDIRECT("'update Helper'!E"&amp;U128)="",F128&lt;&gt;0,F129&lt;&gt;0),IF(IFERROR((F128/F129),"")="","",(F128/F129)),INDIRECT("'update Helper'!E"&amp;U128)/100)</f>
        <v/>
      </c>
      <c r="H128" s="743"/>
      <c r="I128" s="764"/>
      <c r="J128" s="729"/>
      <c r="K128" s="760" t="str">
        <f>W128</f>
        <v/>
      </c>
      <c r="L128" s="760" t="str">
        <f>V128</f>
        <v/>
      </c>
      <c r="M128" s="729"/>
      <c r="N128" s="729"/>
      <c r="P128" s="194">
        <f>IF(AND(EXACT(C128,C126),C126&lt;&gt;0),P126+1,0)</f>
        <v>39</v>
      </c>
      <c r="Q128" s="194" t="str">
        <f>IF(C128&lt;&gt;"",C128&amp;"-"&amp;P128,"")</f>
        <v/>
      </c>
      <c r="R128" s="194" t="str">
        <f t="array" ref="R128">IFERROR(IF(INDEX('Disaggregation Records'!$E$3:$E$66,MATCH(RIGHT(Q128,255),RIGHT('Disaggregation Records'!$D$3:$D$66,255),0))="","",INDEX('Disaggregation Records'!$E$3:$E$66,MATCH(RIGHT(Q128,255),RIGHT('Disaggregation Records'!$D$3:$D$66,255),0))),"")</f>
        <v/>
      </c>
      <c r="S128" s="194" t="str">
        <f t="array" ref="S128">IFERROR(IF(INDEX('Disaggregation Records'!$F$3:$F$66,MATCH(RIGHT(Q128,255),RIGHT('Disaggregation Records'!$D$3:$D$66,255),0))="","",INDEX('Disaggregation Records'!$F$3:$F$66,MATCH(RIGHT(Q128,255),RIGHT('Disaggregation Records'!$D$3:$D$66,255),0))),"")</f>
        <v/>
      </c>
      <c r="T128" s="194" t="str">
        <f t="array" ref="T128">IFERROR(IF(INDEX('Disaggregation Records'!$H$3:$H$66,MATCH(RIGHT(Q128,255),RIGHT('Disaggregation Records'!$D$3:$D$66,255),0))="","",INDEX('Disaggregation Records'!$H$3:$H$66,MATCH(RIGHT(Q128,255),RIGHT('Disaggregation Records'!$D$3:$D$66,255),0))),"")</f>
        <v/>
      </c>
      <c r="U128" s="194">
        <f>U126+1</f>
        <v>2180</v>
      </c>
      <c r="V128" s="194" t="str">
        <f t="array" ref="V128">IFERROR(IF(INDEX('Disaggregation Records'!$I$3:$I$66,MATCH(RIGHT(Q128,255),RIGHT('Disaggregation Records'!$D$3:$D$66,255),0))="","",INDEX('Disaggregation Records'!$I$3:$I$66,MATCH(RIGHT(Q128,255),RIGHT('Disaggregation Records'!$D$3:$D$66,255),0))),"")</f>
        <v/>
      </c>
      <c r="W128" s="194" t="str">
        <f>IFERROR(INDEX('Reference Records'!O$3:O$19,MATCH(LEFT(C128,255),'Reference Records'!J$3:J$19,0)),"")</f>
        <v/>
      </c>
    </row>
    <row r="129" spans="1:23" s="195" customFormat="1" ht="40.4" customHeight="1" x14ac:dyDescent="0.35">
      <c r="A129" s="770"/>
      <c r="B129" s="767">
        <v>4.5075187969924899</v>
      </c>
      <c r="C129" s="761"/>
      <c r="D129" s="769"/>
      <c r="E129" s="769"/>
      <c r="F129" s="208"/>
      <c r="G129" s="763"/>
      <c r="H129" s="744"/>
      <c r="I129" s="765"/>
      <c r="J129" s="730"/>
      <c r="K129" s="761"/>
      <c r="L129" s="761"/>
      <c r="M129" s="730"/>
      <c r="N129" s="730"/>
    </row>
    <row r="130" spans="1:23" s="194" customFormat="1" ht="40.4" customHeight="1" x14ac:dyDescent="0.35">
      <c r="A130" s="770" t="str">
        <f t="shared" ca="1" si="1"/>
        <v>a1G3p000005ncDlEAI</v>
      </c>
      <c r="B130" s="766">
        <v>7</v>
      </c>
      <c r="C130" s="760" t="str">
        <f>IFERROR(VLOOKUP(B130,'Impact Indicators - Section B '!$A$9:$AF$52,32,FALSE),"")</f>
        <v/>
      </c>
      <c r="D130" s="768" t="str">
        <f>R130</f>
        <v/>
      </c>
      <c r="E130" s="768" t="str">
        <f>S130</f>
        <v/>
      </c>
      <c r="F130" s="413"/>
      <c r="G130" s="762" t="str">
        <f ca="1">IF(OR(INDIRECT("'update Helper'!E"&amp;U130)="",F130&lt;&gt;0,F131&lt;&gt;0),IF(IFERROR((F130/F131),"")="","",(F130/F131)),INDIRECT("'update Helper'!E"&amp;U130)/100)</f>
        <v/>
      </c>
      <c r="H130" s="743"/>
      <c r="I130" s="764"/>
      <c r="J130" s="729"/>
      <c r="K130" s="760" t="str">
        <f>W130</f>
        <v/>
      </c>
      <c r="L130" s="760" t="str">
        <f>V130</f>
        <v/>
      </c>
      <c r="M130" s="729"/>
      <c r="N130" s="729"/>
      <c r="P130" s="194">
        <f>IF(AND(EXACT(C130,C128),C128&lt;&gt;0),P128+1,0)</f>
        <v>40</v>
      </c>
      <c r="Q130" s="194" t="str">
        <f>IF(C130&lt;&gt;"",C130&amp;"-"&amp;P130,"")</f>
        <v/>
      </c>
      <c r="R130" s="194" t="str">
        <f t="array" ref="R130">IFERROR(IF(INDEX('Disaggregation Records'!$E$3:$E$66,MATCH(RIGHT(Q130,255),RIGHT('Disaggregation Records'!$D$3:$D$66,255),0))="","",INDEX('Disaggregation Records'!$E$3:$E$66,MATCH(RIGHT(Q130,255),RIGHT('Disaggregation Records'!$D$3:$D$66,255),0))),"")</f>
        <v/>
      </c>
      <c r="S130" s="194" t="str">
        <f t="array" ref="S130">IFERROR(IF(INDEX('Disaggregation Records'!$F$3:$F$66,MATCH(RIGHT(Q130,255),RIGHT('Disaggregation Records'!$D$3:$D$66,255),0))="","",INDEX('Disaggregation Records'!$F$3:$F$66,MATCH(RIGHT(Q130,255),RIGHT('Disaggregation Records'!$D$3:$D$66,255),0))),"")</f>
        <v/>
      </c>
      <c r="T130" s="194" t="str">
        <f t="array" ref="T130">IFERROR(IF(INDEX('Disaggregation Records'!$H$3:$H$66,MATCH(RIGHT(Q130,255),RIGHT('Disaggregation Records'!$D$3:$D$66,255),0))="","",INDEX('Disaggregation Records'!$H$3:$H$66,MATCH(RIGHT(Q130,255),RIGHT('Disaggregation Records'!$D$3:$D$66,255),0))),"")</f>
        <v/>
      </c>
      <c r="U130" s="194">
        <f>U128+1</f>
        <v>2181</v>
      </c>
      <c r="V130" s="194" t="str">
        <f t="array" ref="V130">IFERROR(IF(INDEX('Disaggregation Records'!$I$3:$I$66,MATCH(RIGHT(Q130,255),RIGHT('Disaggregation Records'!$D$3:$D$66,255),0))="","",INDEX('Disaggregation Records'!$I$3:$I$66,MATCH(RIGHT(Q130,255),RIGHT('Disaggregation Records'!$D$3:$D$66,255),0))),"")</f>
        <v/>
      </c>
      <c r="W130" s="194" t="str">
        <f>IFERROR(INDEX('Reference Records'!O$3:O$19,MATCH(LEFT(C130,255),'Reference Records'!J$3:J$19,0)),"")</f>
        <v/>
      </c>
    </row>
    <row r="131" spans="1:23" s="195" customFormat="1" ht="40.4" customHeight="1" x14ac:dyDescent="0.35">
      <c r="A131" s="770"/>
      <c r="B131" s="767">
        <v>5.2218045112781999</v>
      </c>
      <c r="C131" s="761"/>
      <c r="D131" s="769"/>
      <c r="E131" s="769"/>
      <c r="F131" s="208"/>
      <c r="G131" s="763"/>
      <c r="H131" s="744"/>
      <c r="I131" s="765"/>
      <c r="J131" s="730"/>
      <c r="K131" s="761"/>
      <c r="L131" s="761"/>
      <c r="M131" s="730"/>
      <c r="N131" s="730"/>
    </row>
    <row r="132" spans="1:23" s="194" customFormat="1" ht="40.4" customHeight="1" x14ac:dyDescent="0.35">
      <c r="A132" s="770" t="str">
        <f t="shared" ca="1" si="1"/>
        <v>a1G3p000005ncDmEAI</v>
      </c>
      <c r="B132" s="766">
        <v>7</v>
      </c>
      <c r="C132" s="760" t="str">
        <f>IFERROR(VLOOKUP(B132,'Impact Indicators - Section B '!$A$9:$AF$52,32,FALSE),"")</f>
        <v/>
      </c>
      <c r="D132" s="768" t="str">
        <f>R132</f>
        <v/>
      </c>
      <c r="E132" s="768" t="str">
        <f>S132</f>
        <v/>
      </c>
      <c r="F132" s="413"/>
      <c r="G132" s="762" t="str">
        <f ca="1">IF(OR(INDIRECT("'update Helper'!E"&amp;U132)="",F132&lt;&gt;0,F133&lt;&gt;0),IF(IFERROR((F132/F133),"")="","",(F132/F133)),INDIRECT("'update Helper'!E"&amp;U132)/100)</f>
        <v/>
      </c>
      <c r="H132" s="743"/>
      <c r="I132" s="764"/>
      <c r="J132" s="729"/>
      <c r="K132" s="760" t="str">
        <f>W132</f>
        <v/>
      </c>
      <c r="L132" s="760" t="str">
        <f>V132</f>
        <v/>
      </c>
      <c r="M132" s="729"/>
      <c r="N132" s="729"/>
      <c r="P132" s="194">
        <f>IF(AND(EXACT(C132,C130),C130&lt;&gt;0),P130+1,0)</f>
        <v>41</v>
      </c>
      <c r="Q132" s="194" t="str">
        <f>IF(C132&lt;&gt;"",C132&amp;"-"&amp;P132,"")</f>
        <v/>
      </c>
      <c r="R132" s="194" t="str">
        <f t="array" ref="R132">IFERROR(IF(INDEX('Disaggregation Records'!$E$3:$E$66,MATCH(RIGHT(Q132,255),RIGHT('Disaggregation Records'!$D$3:$D$66,255),0))="","",INDEX('Disaggregation Records'!$E$3:$E$66,MATCH(RIGHT(Q132,255),RIGHT('Disaggregation Records'!$D$3:$D$66,255),0))),"")</f>
        <v/>
      </c>
      <c r="S132" s="194" t="str">
        <f t="array" ref="S132">IFERROR(IF(INDEX('Disaggregation Records'!$F$3:$F$66,MATCH(RIGHT(Q132,255),RIGHT('Disaggregation Records'!$D$3:$D$66,255),0))="","",INDEX('Disaggregation Records'!$F$3:$F$66,MATCH(RIGHT(Q132,255),RIGHT('Disaggregation Records'!$D$3:$D$66,255),0))),"")</f>
        <v/>
      </c>
      <c r="T132" s="194" t="str">
        <f t="array" ref="T132">IFERROR(IF(INDEX('Disaggregation Records'!$H$3:$H$66,MATCH(RIGHT(Q132,255),RIGHT('Disaggregation Records'!$D$3:$D$66,255),0))="","",INDEX('Disaggregation Records'!$H$3:$H$66,MATCH(RIGHT(Q132,255),RIGHT('Disaggregation Records'!$D$3:$D$66,255),0))),"")</f>
        <v/>
      </c>
      <c r="U132" s="194">
        <f>U130+1</f>
        <v>2182</v>
      </c>
      <c r="V132" s="194" t="str">
        <f t="array" ref="V132">IFERROR(IF(INDEX('Disaggregation Records'!$I$3:$I$66,MATCH(RIGHT(Q132,255),RIGHT('Disaggregation Records'!$D$3:$D$66,255),0))="","",INDEX('Disaggregation Records'!$I$3:$I$66,MATCH(RIGHT(Q132,255),RIGHT('Disaggregation Records'!$D$3:$D$66,255),0))),"")</f>
        <v/>
      </c>
      <c r="W132" s="194" t="str">
        <f>IFERROR(INDEX('Reference Records'!O$3:O$19,MATCH(LEFT(C132,255),'Reference Records'!J$3:J$19,0)),"")</f>
        <v/>
      </c>
    </row>
    <row r="133" spans="1:23" s="194" customFormat="1" ht="40.4" customHeight="1" x14ac:dyDescent="0.35">
      <c r="A133" s="770"/>
      <c r="B133" s="767">
        <v>5.2218045112781999</v>
      </c>
      <c r="C133" s="761"/>
      <c r="D133" s="769"/>
      <c r="E133" s="769"/>
      <c r="F133" s="208"/>
      <c r="G133" s="763"/>
      <c r="H133" s="744"/>
      <c r="I133" s="765"/>
      <c r="J133" s="730"/>
      <c r="K133" s="761"/>
      <c r="L133" s="761"/>
      <c r="M133" s="730"/>
      <c r="N133" s="730"/>
      <c r="P133" s="195"/>
      <c r="Q133" s="195"/>
      <c r="R133" s="195"/>
      <c r="S133" s="195"/>
      <c r="T133" s="195"/>
      <c r="U133" s="195"/>
      <c r="V133" s="195"/>
      <c r="W133" s="195"/>
    </row>
    <row r="134" spans="1:23" s="194" customFormat="1" ht="40.4" customHeight="1" x14ac:dyDescent="0.35">
      <c r="A134" s="770" t="str">
        <f t="shared" ca="1" si="1"/>
        <v>a1G3p000005ncDnEAI</v>
      </c>
      <c r="B134" s="766">
        <v>7</v>
      </c>
      <c r="C134" s="760" t="str">
        <f>IFERROR(VLOOKUP(B134,'Impact Indicators - Section B '!$A$9:$AF$52,32,FALSE),"")</f>
        <v/>
      </c>
      <c r="D134" s="768" t="str">
        <f>R134</f>
        <v/>
      </c>
      <c r="E134" s="768" t="str">
        <f>S134</f>
        <v/>
      </c>
      <c r="F134" s="413"/>
      <c r="G134" s="762" t="str">
        <f ca="1">IF(OR(INDIRECT("'update Helper'!E"&amp;U134)="",F134&lt;&gt;0,F135&lt;&gt;0),IF(IFERROR((F134/F135),"")="","",(F134/F135)),INDIRECT("'update Helper'!E"&amp;U134)/100)</f>
        <v/>
      </c>
      <c r="H134" s="743"/>
      <c r="I134" s="764"/>
      <c r="J134" s="729"/>
      <c r="K134" s="760" t="str">
        <f>W134</f>
        <v/>
      </c>
      <c r="L134" s="760" t="str">
        <f>V134</f>
        <v/>
      </c>
      <c r="M134" s="729"/>
      <c r="N134" s="729"/>
      <c r="P134" s="194">
        <f>IF(AND(EXACT(C134,C132),C132&lt;&gt;0),P132+1,0)</f>
        <v>42</v>
      </c>
      <c r="Q134" s="194" t="str">
        <f>IF(C134&lt;&gt;"",C134&amp;"-"&amp;P134,"")</f>
        <v/>
      </c>
      <c r="R134" s="194" t="str">
        <f t="array" ref="R134">IFERROR(IF(INDEX('Disaggregation Records'!$E$3:$E$66,MATCH(RIGHT(Q134,255),RIGHT('Disaggregation Records'!$D$3:$D$66,255),0))="","",INDEX('Disaggregation Records'!$E$3:$E$66,MATCH(RIGHT(Q134,255),RIGHT('Disaggregation Records'!$D$3:$D$66,255),0))),"")</f>
        <v/>
      </c>
      <c r="S134" s="194" t="str">
        <f t="array" ref="S134">IFERROR(IF(INDEX('Disaggregation Records'!$F$3:$F$66,MATCH(RIGHT(Q134,255),RIGHT('Disaggregation Records'!$D$3:$D$66,255),0))="","",INDEX('Disaggregation Records'!$F$3:$F$66,MATCH(RIGHT(Q134,255),RIGHT('Disaggregation Records'!$D$3:$D$66,255),0))),"")</f>
        <v/>
      </c>
      <c r="T134" s="194" t="str">
        <f t="array" ref="T134">IFERROR(IF(INDEX('Disaggregation Records'!$H$3:$H$66,MATCH(RIGHT(Q134,255),RIGHT('Disaggregation Records'!$D$3:$D$66,255),0))="","",INDEX('Disaggregation Records'!$H$3:$H$66,MATCH(RIGHT(Q134,255),RIGHT('Disaggregation Records'!$D$3:$D$66,255),0))),"")</f>
        <v/>
      </c>
      <c r="U134" s="194">
        <f>U132+1</f>
        <v>2183</v>
      </c>
      <c r="V134" s="194" t="str">
        <f t="array" ref="V134">IFERROR(IF(INDEX('Disaggregation Records'!$I$3:$I$66,MATCH(RIGHT(Q134,255),RIGHT('Disaggregation Records'!$D$3:$D$66,255),0))="","",INDEX('Disaggregation Records'!$I$3:$I$66,MATCH(RIGHT(Q134,255),RIGHT('Disaggregation Records'!$D$3:$D$66,255),0))),"")</f>
        <v/>
      </c>
      <c r="W134" s="194" t="str">
        <f>IFERROR(INDEX('Reference Records'!O$3:O$19,MATCH(LEFT(C134,255),'Reference Records'!J$3:J$19,0)),"")</f>
        <v/>
      </c>
    </row>
    <row r="135" spans="1:23" s="195" customFormat="1" ht="40.4" customHeight="1" x14ac:dyDescent="0.35">
      <c r="A135" s="770"/>
      <c r="B135" s="767">
        <v>5.2218045112781999</v>
      </c>
      <c r="C135" s="761"/>
      <c r="D135" s="769"/>
      <c r="E135" s="769"/>
      <c r="F135" s="208"/>
      <c r="G135" s="763"/>
      <c r="H135" s="744"/>
      <c r="I135" s="765"/>
      <c r="J135" s="730"/>
      <c r="K135" s="761"/>
      <c r="L135" s="761"/>
      <c r="M135" s="730"/>
      <c r="N135" s="730"/>
    </row>
    <row r="136" spans="1:23" s="194" customFormat="1" ht="40.4" customHeight="1" x14ac:dyDescent="0.35">
      <c r="A136" s="770" t="str">
        <f t="shared" ca="1" si="1"/>
        <v>a1G3p000005ncDoEAI</v>
      </c>
      <c r="B136" s="766">
        <v>7</v>
      </c>
      <c r="C136" s="760" t="str">
        <f>IFERROR(VLOOKUP(B136,'Impact Indicators - Section B '!$A$9:$AF$52,32,FALSE),"")</f>
        <v/>
      </c>
      <c r="D136" s="768" t="str">
        <f>R136</f>
        <v/>
      </c>
      <c r="E136" s="768" t="str">
        <f>S136</f>
        <v/>
      </c>
      <c r="F136" s="413"/>
      <c r="G136" s="762" t="str">
        <f ca="1">IF(OR(INDIRECT("'update Helper'!E"&amp;U136)="",F136&lt;&gt;0,F137&lt;&gt;0),IF(IFERROR((F136/F137),"")="","",(F136/F137)),INDIRECT("'update Helper'!E"&amp;U136)/100)</f>
        <v/>
      </c>
      <c r="H136" s="743"/>
      <c r="I136" s="764"/>
      <c r="J136" s="729"/>
      <c r="K136" s="760" t="str">
        <f>W136</f>
        <v/>
      </c>
      <c r="L136" s="760" t="str">
        <f>V136</f>
        <v/>
      </c>
      <c r="M136" s="729"/>
      <c r="N136" s="729"/>
      <c r="P136" s="194">
        <f>IF(AND(EXACT(C136,C134),C134&lt;&gt;0),P134+1,0)</f>
        <v>43</v>
      </c>
      <c r="Q136" s="194" t="str">
        <f>IF(C136&lt;&gt;"",C136&amp;"-"&amp;P136,"")</f>
        <v/>
      </c>
      <c r="R136" s="194" t="str">
        <f t="array" ref="R136">IFERROR(IF(INDEX('Disaggregation Records'!$E$3:$E$66,MATCH(RIGHT(Q136,255),RIGHT('Disaggregation Records'!$D$3:$D$66,255),0))="","",INDEX('Disaggregation Records'!$E$3:$E$66,MATCH(RIGHT(Q136,255),RIGHT('Disaggregation Records'!$D$3:$D$66,255),0))),"")</f>
        <v/>
      </c>
      <c r="S136" s="194" t="str">
        <f t="array" ref="S136">IFERROR(IF(INDEX('Disaggregation Records'!$F$3:$F$66,MATCH(RIGHT(Q136,255),RIGHT('Disaggregation Records'!$D$3:$D$66,255),0))="","",INDEX('Disaggregation Records'!$F$3:$F$66,MATCH(RIGHT(Q136,255),RIGHT('Disaggregation Records'!$D$3:$D$66,255),0))),"")</f>
        <v/>
      </c>
      <c r="T136" s="194" t="str">
        <f t="array" ref="T136">IFERROR(IF(INDEX('Disaggregation Records'!$H$3:$H$66,MATCH(RIGHT(Q136,255),RIGHT('Disaggregation Records'!$D$3:$D$66,255),0))="","",INDEX('Disaggregation Records'!$H$3:$H$66,MATCH(RIGHT(Q136,255),RIGHT('Disaggregation Records'!$D$3:$D$66,255),0))),"")</f>
        <v/>
      </c>
      <c r="U136" s="194">
        <f>U134+1</f>
        <v>2184</v>
      </c>
      <c r="V136" s="194" t="str">
        <f t="array" ref="V136">IFERROR(IF(INDEX('Disaggregation Records'!$I$3:$I$66,MATCH(RIGHT(Q136,255),RIGHT('Disaggregation Records'!$D$3:$D$66,255),0))="","",INDEX('Disaggregation Records'!$I$3:$I$66,MATCH(RIGHT(Q136,255),RIGHT('Disaggregation Records'!$D$3:$D$66,255),0))),"")</f>
        <v/>
      </c>
      <c r="W136" s="194" t="str">
        <f>IFERROR(INDEX('Reference Records'!O$3:O$19,MATCH(LEFT(C136,255),'Reference Records'!J$3:J$19,0)),"")</f>
        <v/>
      </c>
    </row>
    <row r="137" spans="1:23" s="195" customFormat="1" ht="40.4" customHeight="1" x14ac:dyDescent="0.35">
      <c r="A137" s="770"/>
      <c r="B137" s="767">
        <v>5.2218045112781999</v>
      </c>
      <c r="C137" s="761"/>
      <c r="D137" s="769"/>
      <c r="E137" s="769"/>
      <c r="F137" s="208"/>
      <c r="G137" s="763"/>
      <c r="H137" s="744"/>
      <c r="I137" s="765"/>
      <c r="J137" s="730"/>
      <c r="K137" s="761"/>
      <c r="L137" s="761"/>
      <c r="M137" s="730"/>
      <c r="N137" s="730"/>
    </row>
    <row r="138" spans="1:23" s="194" customFormat="1" ht="40.4" customHeight="1" x14ac:dyDescent="0.35">
      <c r="A138" s="770" t="str">
        <f t="shared" ca="1" si="1"/>
        <v>a1G3p000005ncDpEAI</v>
      </c>
      <c r="B138" s="766">
        <v>7</v>
      </c>
      <c r="C138" s="760" t="str">
        <f>IFERROR(VLOOKUP(B138,'Impact Indicators - Section B '!$A$9:$AF$52,32,FALSE),"")</f>
        <v/>
      </c>
      <c r="D138" s="768" t="str">
        <f>R138</f>
        <v/>
      </c>
      <c r="E138" s="768" t="str">
        <f>S138</f>
        <v/>
      </c>
      <c r="F138" s="413"/>
      <c r="G138" s="762" t="str">
        <f ca="1">IF(OR(INDIRECT("'update Helper'!E"&amp;U138)="",F138&lt;&gt;0,F139&lt;&gt;0),IF(IFERROR((F138/F139),"")="","",(F138/F139)),INDIRECT("'update Helper'!E"&amp;U138)/100)</f>
        <v/>
      </c>
      <c r="H138" s="743"/>
      <c r="I138" s="764"/>
      <c r="J138" s="729"/>
      <c r="K138" s="760" t="str">
        <f>W138</f>
        <v/>
      </c>
      <c r="L138" s="760" t="str">
        <f>V138</f>
        <v/>
      </c>
      <c r="M138" s="729"/>
      <c r="N138" s="729"/>
      <c r="P138" s="194">
        <f>IF(AND(EXACT(C138,C136),C136&lt;&gt;0),P136+1,0)</f>
        <v>44</v>
      </c>
      <c r="Q138" s="194" t="str">
        <f>IF(C138&lt;&gt;"",C138&amp;"-"&amp;P138,"")</f>
        <v/>
      </c>
      <c r="R138" s="194" t="str">
        <f t="array" ref="R138">IFERROR(IF(INDEX('Disaggregation Records'!$E$3:$E$66,MATCH(RIGHT(Q138,255),RIGHT('Disaggregation Records'!$D$3:$D$66,255),0))="","",INDEX('Disaggregation Records'!$E$3:$E$66,MATCH(RIGHT(Q138,255),RIGHT('Disaggregation Records'!$D$3:$D$66,255),0))),"")</f>
        <v/>
      </c>
      <c r="S138" s="194" t="str">
        <f t="array" ref="S138">IFERROR(IF(INDEX('Disaggregation Records'!$F$3:$F$66,MATCH(RIGHT(Q138,255),RIGHT('Disaggregation Records'!$D$3:$D$66,255),0))="","",INDEX('Disaggregation Records'!$F$3:$F$66,MATCH(RIGHT(Q138,255),RIGHT('Disaggregation Records'!$D$3:$D$66,255),0))),"")</f>
        <v/>
      </c>
      <c r="T138" s="194" t="str">
        <f t="array" ref="T138">IFERROR(IF(INDEX('Disaggregation Records'!$H$3:$H$66,MATCH(RIGHT(Q138,255),RIGHT('Disaggregation Records'!$D$3:$D$66,255),0))="","",INDEX('Disaggregation Records'!$H$3:$H$66,MATCH(RIGHT(Q138,255),RIGHT('Disaggregation Records'!$D$3:$D$66,255),0))),"")</f>
        <v/>
      </c>
      <c r="U138" s="194">
        <f>U136+1</f>
        <v>2185</v>
      </c>
      <c r="V138" s="194" t="str">
        <f t="array" ref="V138">IFERROR(IF(INDEX('Disaggregation Records'!$I$3:$I$66,MATCH(RIGHT(Q138,255),RIGHT('Disaggregation Records'!$D$3:$D$66,255),0))="","",INDEX('Disaggregation Records'!$I$3:$I$66,MATCH(RIGHT(Q138,255),RIGHT('Disaggregation Records'!$D$3:$D$66,255),0))),"")</f>
        <v/>
      </c>
      <c r="W138" s="194" t="str">
        <f>IFERROR(INDEX('Reference Records'!O$3:O$19,MATCH(LEFT(C138,255),'Reference Records'!J$3:J$19,0)),"")</f>
        <v/>
      </c>
    </row>
    <row r="139" spans="1:23" s="194" customFormat="1" ht="40.4" customHeight="1" x14ac:dyDescent="0.35">
      <c r="A139" s="770"/>
      <c r="B139" s="767">
        <v>5.2218045112781999</v>
      </c>
      <c r="C139" s="761"/>
      <c r="D139" s="769"/>
      <c r="E139" s="769"/>
      <c r="F139" s="208"/>
      <c r="G139" s="763"/>
      <c r="H139" s="744"/>
      <c r="I139" s="765"/>
      <c r="J139" s="730"/>
      <c r="K139" s="761"/>
      <c r="L139" s="761"/>
      <c r="M139" s="730"/>
      <c r="N139" s="730"/>
      <c r="P139" s="195"/>
      <c r="Q139" s="195"/>
      <c r="R139" s="195"/>
      <c r="S139" s="195"/>
      <c r="T139" s="195"/>
      <c r="U139" s="195"/>
      <c r="V139" s="195"/>
      <c r="W139" s="195"/>
    </row>
    <row r="140" spans="1:23" s="194" customFormat="1" ht="40.4" customHeight="1" x14ac:dyDescent="0.35">
      <c r="A140" s="770" t="str">
        <f t="shared" ca="1" si="1"/>
        <v>a1G3p000005ncDqEAI</v>
      </c>
      <c r="B140" s="766">
        <v>7</v>
      </c>
      <c r="C140" s="760" t="str">
        <f>IFERROR(VLOOKUP(B140,'Impact Indicators - Section B '!$A$9:$AF$52,32,FALSE),"")</f>
        <v/>
      </c>
      <c r="D140" s="768" t="str">
        <f>R140</f>
        <v/>
      </c>
      <c r="E140" s="768" t="str">
        <f>S140</f>
        <v/>
      </c>
      <c r="F140" s="413"/>
      <c r="G140" s="762" t="str">
        <f ca="1">IF(OR(INDIRECT("'update Helper'!E"&amp;U140)="",F140&lt;&gt;0,F141&lt;&gt;0),IF(IFERROR((F140/F141),"")="","",(F140/F141)),INDIRECT("'update Helper'!E"&amp;U140)/100)</f>
        <v/>
      </c>
      <c r="H140" s="743"/>
      <c r="I140" s="764"/>
      <c r="J140" s="729"/>
      <c r="K140" s="760" t="str">
        <f>W140</f>
        <v/>
      </c>
      <c r="L140" s="760" t="str">
        <f>V140</f>
        <v/>
      </c>
      <c r="M140" s="729"/>
      <c r="N140" s="729"/>
      <c r="P140" s="194">
        <f>IF(AND(EXACT(C140,C138),C138&lt;&gt;0),P138+1,0)</f>
        <v>45</v>
      </c>
      <c r="Q140" s="194" t="str">
        <f>IF(C140&lt;&gt;"",C140&amp;"-"&amp;P140,"")</f>
        <v/>
      </c>
      <c r="R140" s="194" t="str">
        <f t="array" ref="R140">IFERROR(IF(INDEX('Disaggregation Records'!$E$3:$E$66,MATCH(RIGHT(Q140,255),RIGHT('Disaggregation Records'!$D$3:$D$66,255),0))="","",INDEX('Disaggregation Records'!$E$3:$E$66,MATCH(RIGHT(Q140,255),RIGHT('Disaggregation Records'!$D$3:$D$66,255),0))),"")</f>
        <v/>
      </c>
      <c r="S140" s="194" t="str">
        <f t="array" ref="S140">IFERROR(IF(INDEX('Disaggregation Records'!$F$3:$F$66,MATCH(RIGHT(Q140,255),RIGHT('Disaggregation Records'!$D$3:$D$66,255),0))="","",INDEX('Disaggregation Records'!$F$3:$F$66,MATCH(RIGHT(Q140,255),RIGHT('Disaggregation Records'!$D$3:$D$66,255),0))),"")</f>
        <v/>
      </c>
      <c r="T140" s="194" t="str">
        <f t="array" ref="T140">IFERROR(IF(INDEX('Disaggregation Records'!$H$3:$H$66,MATCH(RIGHT(Q140,255),RIGHT('Disaggregation Records'!$D$3:$D$66,255),0))="","",INDEX('Disaggregation Records'!$H$3:$H$66,MATCH(RIGHT(Q140,255),RIGHT('Disaggregation Records'!$D$3:$D$66,255),0))),"")</f>
        <v/>
      </c>
      <c r="U140" s="194">
        <f>U138+1</f>
        <v>2186</v>
      </c>
      <c r="V140" s="194" t="str">
        <f t="array" ref="V140">IFERROR(IF(INDEX('Disaggregation Records'!$I$3:$I$66,MATCH(RIGHT(Q140,255),RIGHT('Disaggregation Records'!$D$3:$D$66,255),0))="","",INDEX('Disaggregation Records'!$I$3:$I$66,MATCH(RIGHT(Q140,255),RIGHT('Disaggregation Records'!$D$3:$D$66,255),0))),"")</f>
        <v/>
      </c>
      <c r="W140" s="194" t="str">
        <f>IFERROR(INDEX('Reference Records'!O$3:O$19,MATCH(LEFT(C140,255),'Reference Records'!J$3:J$19,0)),"")</f>
        <v/>
      </c>
    </row>
    <row r="141" spans="1:23" s="195" customFormat="1" ht="40.4" customHeight="1" x14ac:dyDescent="0.35">
      <c r="A141" s="770"/>
      <c r="B141" s="767">
        <v>5.2218045112781999</v>
      </c>
      <c r="C141" s="761"/>
      <c r="D141" s="769"/>
      <c r="E141" s="769"/>
      <c r="F141" s="208"/>
      <c r="G141" s="763"/>
      <c r="H141" s="744"/>
      <c r="I141" s="765"/>
      <c r="J141" s="730"/>
      <c r="K141" s="761"/>
      <c r="L141" s="761"/>
      <c r="M141" s="730"/>
      <c r="N141" s="730"/>
    </row>
    <row r="142" spans="1:23" s="194" customFormat="1" ht="40.4" customHeight="1" x14ac:dyDescent="0.35">
      <c r="A142" s="770" t="str">
        <f t="shared" ref="A142:A204" ca="1" si="2">INDIRECT("'update Helper'!C"&amp;U142)</f>
        <v>a1G3p000005ncDrEAI</v>
      </c>
      <c r="B142" s="766">
        <v>7</v>
      </c>
      <c r="C142" s="760" t="str">
        <f>IFERROR(VLOOKUP(B142,'Impact Indicators - Section B '!$A$9:$AF$52,32,FALSE),"")</f>
        <v/>
      </c>
      <c r="D142" s="768" t="str">
        <f>R142</f>
        <v/>
      </c>
      <c r="E142" s="768" t="str">
        <f>S142</f>
        <v/>
      </c>
      <c r="F142" s="413"/>
      <c r="G142" s="762" t="str">
        <f ca="1">IF(OR(INDIRECT("'update Helper'!E"&amp;U142)="",F142&lt;&gt;0,F143&lt;&gt;0),IF(IFERROR((F142/F143),"")="","",(F142/F143)),INDIRECT("'update Helper'!E"&amp;U142)/100)</f>
        <v/>
      </c>
      <c r="H142" s="743"/>
      <c r="I142" s="764"/>
      <c r="J142" s="729"/>
      <c r="K142" s="760" t="str">
        <f>W142</f>
        <v/>
      </c>
      <c r="L142" s="760" t="str">
        <f>V142</f>
        <v/>
      </c>
      <c r="M142" s="729"/>
      <c r="N142" s="729"/>
      <c r="P142" s="194">
        <f>IF(AND(EXACT(C142,C140),C140&lt;&gt;0),P140+1,0)</f>
        <v>46</v>
      </c>
      <c r="Q142" s="194" t="str">
        <f>IF(C142&lt;&gt;"",C142&amp;"-"&amp;P142,"")</f>
        <v/>
      </c>
      <c r="R142" s="194" t="str">
        <f t="array" ref="R142">IFERROR(IF(INDEX('Disaggregation Records'!$E$3:$E$66,MATCH(RIGHT(Q142,255),RIGHT('Disaggregation Records'!$D$3:$D$66,255),0))="","",INDEX('Disaggregation Records'!$E$3:$E$66,MATCH(RIGHT(Q142,255),RIGHT('Disaggregation Records'!$D$3:$D$66,255),0))),"")</f>
        <v/>
      </c>
      <c r="S142" s="194" t="str">
        <f t="array" ref="S142">IFERROR(IF(INDEX('Disaggregation Records'!$F$3:$F$66,MATCH(RIGHT(Q142,255),RIGHT('Disaggregation Records'!$D$3:$D$66,255),0))="","",INDEX('Disaggregation Records'!$F$3:$F$66,MATCH(RIGHT(Q142,255),RIGHT('Disaggregation Records'!$D$3:$D$66,255),0))),"")</f>
        <v/>
      </c>
      <c r="T142" s="194" t="str">
        <f t="array" ref="T142">IFERROR(IF(INDEX('Disaggregation Records'!$H$3:$H$66,MATCH(RIGHT(Q142,255),RIGHT('Disaggregation Records'!$D$3:$D$66,255),0))="","",INDEX('Disaggregation Records'!$H$3:$H$66,MATCH(RIGHT(Q142,255),RIGHT('Disaggregation Records'!$D$3:$D$66,255),0))),"")</f>
        <v/>
      </c>
      <c r="U142" s="194">
        <f>U140+1</f>
        <v>2187</v>
      </c>
      <c r="V142" s="194" t="str">
        <f t="array" ref="V142">IFERROR(IF(INDEX('Disaggregation Records'!$I$3:$I$66,MATCH(RIGHT(Q142,255),RIGHT('Disaggregation Records'!$D$3:$D$66,255),0))="","",INDEX('Disaggregation Records'!$I$3:$I$66,MATCH(RIGHT(Q142,255),RIGHT('Disaggregation Records'!$D$3:$D$66,255),0))),"")</f>
        <v/>
      </c>
      <c r="W142" s="194" t="str">
        <f>IFERROR(INDEX('Reference Records'!O$3:O$19,MATCH(LEFT(C142,255),'Reference Records'!J$3:J$19,0)),"")</f>
        <v/>
      </c>
    </row>
    <row r="143" spans="1:23" s="195" customFormat="1" ht="40.4" customHeight="1" x14ac:dyDescent="0.35">
      <c r="A143" s="770"/>
      <c r="B143" s="767">
        <v>5.2218045112781999</v>
      </c>
      <c r="C143" s="761"/>
      <c r="D143" s="769"/>
      <c r="E143" s="769"/>
      <c r="F143" s="208"/>
      <c r="G143" s="763"/>
      <c r="H143" s="744"/>
      <c r="I143" s="765"/>
      <c r="J143" s="730"/>
      <c r="K143" s="761"/>
      <c r="L143" s="761"/>
      <c r="M143" s="730"/>
      <c r="N143" s="730"/>
    </row>
    <row r="144" spans="1:23" s="194" customFormat="1" ht="40.4" customHeight="1" x14ac:dyDescent="0.35">
      <c r="A144" s="770" t="str">
        <f t="shared" ca="1" si="2"/>
        <v>a1G3p000005ncDsEAI</v>
      </c>
      <c r="B144" s="766">
        <v>7</v>
      </c>
      <c r="C144" s="760" t="str">
        <f>IFERROR(VLOOKUP(B144,'Impact Indicators - Section B '!$A$9:$AF$52,32,FALSE),"")</f>
        <v/>
      </c>
      <c r="D144" s="768" t="str">
        <f>R144</f>
        <v/>
      </c>
      <c r="E144" s="768" t="str">
        <f>S144</f>
        <v/>
      </c>
      <c r="F144" s="413"/>
      <c r="G144" s="762" t="str">
        <f ca="1">IF(OR(INDIRECT("'update Helper'!E"&amp;U144)="",F144&lt;&gt;0,F145&lt;&gt;0),IF(IFERROR((F144/F145),"")="","",(F144/F145)),INDIRECT("'update Helper'!E"&amp;U144)/100)</f>
        <v/>
      </c>
      <c r="H144" s="743"/>
      <c r="I144" s="764"/>
      <c r="J144" s="729"/>
      <c r="K144" s="760" t="str">
        <f>W144</f>
        <v/>
      </c>
      <c r="L144" s="760" t="str">
        <f>V144</f>
        <v/>
      </c>
      <c r="M144" s="729"/>
      <c r="N144" s="729"/>
      <c r="P144" s="194">
        <f>IF(AND(EXACT(C144,C142),C142&lt;&gt;0),P142+1,0)</f>
        <v>47</v>
      </c>
      <c r="Q144" s="194" t="str">
        <f>IF(C144&lt;&gt;"",C144&amp;"-"&amp;P144,"")</f>
        <v/>
      </c>
      <c r="R144" s="194" t="str">
        <f t="array" ref="R144">IFERROR(IF(INDEX('Disaggregation Records'!$E$3:$E$66,MATCH(RIGHT(Q144,255),RIGHT('Disaggregation Records'!$D$3:$D$66,255),0))="","",INDEX('Disaggregation Records'!$E$3:$E$66,MATCH(RIGHT(Q144,255),RIGHT('Disaggregation Records'!$D$3:$D$66,255),0))),"")</f>
        <v/>
      </c>
      <c r="S144" s="194" t="str">
        <f t="array" ref="S144">IFERROR(IF(INDEX('Disaggregation Records'!$F$3:$F$66,MATCH(RIGHT(Q144,255),RIGHT('Disaggregation Records'!$D$3:$D$66,255),0))="","",INDEX('Disaggregation Records'!$F$3:$F$66,MATCH(RIGHT(Q144,255),RIGHT('Disaggregation Records'!$D$3:$D$66,255),0))),"")</f>
        <v/>
      </c>
      <c r="T144" s="194" t="str">
        <f t="array" ref="T144">IFERROR(IF(INDEX('Disaggregation Records'!$H$3:$H$66,MATCH(RIGHT(Q144,255),RIGHT('Disaggregation Records'!$D$3:$D$66,255),0))="","",INDEX('Disaggregation Records'!$H$3:$H$66,MATCH(RIGHT(Q144,255),RIGHT('Disaggregation Records'!$D$3:$D$66,255),0))),"")</f>
        <v/>
      </c>
      <c r="U144" s="194">
        <f>U142+1</f>
        <v>2188</v>
      </c>
      <c r="V144" s="194" t="str">
        <f t="array" ref="V144">IFERROR(IF(INDEX('Disaggregation Records'!$I$3:$I$66,MATCH(RIGHT(Q144,255),RIGHT('Disaggregation Records'!$D$3:$D$66,255),0))="","",INDEX('Disaggregation Records'!$I$3:$I$66,MATCH(RIGHT(Q144,255),RIGHT('Disaggregation Records'!$D$3:$D$66,255),0))),"")</f>
        <v/>
      </c>
      <c r="W144" s="194" t="str">
        <f>IFERROR(INDEX('Reference Records'!O$3:O$19,MATCH(LEFT(C144,255),'Reference Records'!J$3:J$19,0)),"")</f>
        <v/>
      </c>
    </row>
    <row r="145" spans="1:23" s="194" customFormat="1" ht="40.4" customHeight="1" x14ac:dyDescent="0.35">
      <c r="A145" s="770"/>
      <c r="B145" s="767">
        <v>5.2218045112781999</v>
      </c>
      <c r="C145" s="761"/>
      <c r="D145" s="769"/>
      <c r="E145" s="769"/>
      <c r="F145" s="208"/>
      <c r="G145" s="763"/>
      <c r="H145" s="744"/>
      <c r="I145" s="765"/>
      <c r="J145" s="730"/>
      <c r="K145" s="761"/>
      <c r="L145" s="761"/>
      <c r="M145" s="730"/>
      <c r="N145" s="730"/>
      <c r="P145" s="195"/>
      <c r="Q145" s="195"/>
      <c r="R145" s="195"/>
      <c r="S145" s="195"/>
      <c r="T145" s="195"/>
      <c r="U145" s="195"/>
      <c r="V145" s="195"/>
      <c r="W145" s="195"/>
    </row>
    <row r="146" spans="1:23" s="194" customFormat="1" ht="40.4" customHeight="1" x14ac:dyDescent="0.35">
      <c r="A146" s="770" t="str">
        <f t="shared" ca="1" si="2"/>
        <v>a1G3p000005ncDtEAI</v>
      </c>
      <c r="B146" s="766">
        <v>7</v>
      </c>
      <c r="C146" s="760" t="str">
        <f>IFERROR(VLOOKUP(B146,'Impact Indicators - Section B '!$A$9:$AF$52,32,FALSE),"")</f>
        <v/>
      </c>
      <c r="D146" s="768" t="str">
        <f>R146</f>
        <v/>
      </c>
      <c r="E146" s="768" t="str">
        <f>S146</f>
        <v/>
      </c>
      <c r="F146" s="413"/>
      <c r="G146" s="762" t="str">
        <f ca="1">IF(OR(INDIRECT("'update Helper'!E"&amp;U146)="",F146&lt;&gt;0,F147&lt;&gt;0),IF(IFERROR((F146/F147),"")="","",(F146/F147)),INDIRECT("'update Helper'!E"&amp;U146)/100)</f>
        <v/>
      </c>
      <c r="H146" s="743"/>
      <c r="I146" s="764"/>
      <c r="J146" s="729"/>
      <c r="K146" s="760" t="str">
        <f>W146</f>
        <v/>
      </c>
      <c r="L146" s="760" t="str">
        <f>V146</f>
        <v/>
      </c>
      <c r="M146" s="729"/>
      <c r="N146" s="729"/>
      <c r="P146" s="194">
        <f>IF(AND(EXACT(C146,C144),C144&lt;&gt;0),P144+1,0)</f>
        <v>48</v>
      </c>
      <c r="Q146" s="194" t="str">
        <f>IF(C146&lt;&gt;"",C146&amp;"-"&amp;P146,"")</f>
        <v/>
      </c>
      <c r="R146" s="194" t="str">
        <f t="array" ref="R146">IFERROR(IF(INDEX('Disaggregation Records'!$E$3:$E$66,MATCH(RIGHT(Q146,255),RIGHT('Disaggregation Records'!$D$3:$D$66,255),0))="","",INDEX('Disaggregation Records'!$E$3:$E$66,MATCH(RIGHT(Q146,255),RIGHT('Disaggregation Records'!$D$3:$D$66,255),0))),"")</f>
        <v/>
      </c>
      <c r="S146" s="194" t="str">
        <f t="array" ref="S146">IFERROR(IF(INDEX('Disaggregation Records'!$F$3:$F$66,MATCH(RIGHT(Q146,255),RIGHT('Disaggregation Records'!$D$3:$D$66,255),0))="","",INDEX('Disaggregation Records'!$F$3:$F$66,MATCH(RIGHT(Q146,255),RIGHT('Disaggregation Records'!$D$3:$D$66,255),0))),"")</f>
        <v/>
      </c>
      <c r="T146" s="194" t="str">
        <f t="array" ref="T146">IFERROR(IF(INDEX('Disaggregation Records'!$H$3:$H$66,MATCH(RIGHT(Q146,255),RIGHT('Disaggregation Records'!$D$3:$D$66,255),0))="","",INDEX('Disaggregation Records'!$H$3:$H$66,MATCH(RIGHT(Q146,255),RIGHT('Disaggregation Records'!$D$3:$D$66,255),0))),"")</f>
        <v/>
      </c>
      <c r="U146" s="194">
        <f>U144+1</f>
        <v>2189</v>
      </c>
      <c r="V146" s="194" t="str">
        <f t="array" ref="V146">IFERROR(IF(INDEX('Disaggregation Records'!$I$3:$I$66,MATCH(RIGHT(Q146,255),RIGHT('Disaggregation Records'!$D$3:$D$66,255),0))="","",INDEX('Disaggregation Records'!$I$3:$I$66,MATCH(RIGHT(Q146,255),RIGHT('Disaggregation Records'!$D$3:$D$66,255),0))),"")</f>
        <v/>
      </c>
      <c r="W146" s="194" t="str">
        <f>IFERROR(INDEX('Reference Records'!O$3:O$19,MATCH(LEFT(C146,255),'Reference Records'!J$3:J$19,0)),"")</f>
        <v/>
      </c>
    </row>
    <row r="147" spans="1:23" s="195" customFormat="1" ht="40.4" customHeight="1" x14ac:dyDescent="0.35">
      <c r="A147" s="770"/>
      <c r="B147" s="767">
        <v>5.2218045112781999</v>
      </c>
      <c r="C147" s="761"/>
      <c r="D147" s="769"/>
      <c r="E147" s="769"/>
      <c r="F147" s="208"/>
      <c r="G147" s="763"/>
      <c r="H147" s="744"/>
      <c r="I147" s="765"/>
      <c r="J147" s="730"/>
      <c r="K147" s="761"/>
      <c r="L147" s="761"/>
      <c r="M147" s="730"/>
      <c r="N147" s="730"/>
    </row>
    <row r="148" spans="1:23" s="194" customFormat="1" ht="40.4" customHeight="1" x14ac:dyDescent="0.35">
      <c r="A148" s="770" t="str">
        <f t="shared" ca="1" si="2"/>
        <v>a1G3p000005ncDuEAI</v>
      </c>
      <c r="B148" s="766">
        <v>7</v>
      </c>
      <c r="C148" s="760" t="str">
        <f>IFERROR(VLOOKUP(B148,'Impact Indicators - Section B '!$A$9:$AF$52,32,FALSE),"")</f>
        <v/>
      </c>
      <c r="D148" s="768" t="str">
        <f>R148</f>
        <v/>
      </c>
      <c r="E148" s="768" t="str">
        <f>S148</f>
        <v/>
      </c>
      <c r="F148" s="413"/>
      <c r="G148" s="762" t="str">
        <f ca="1">IF(OR(INDIRECT("'update Helper'!E"&amp;U148)="",F148&lt;&gt;0,F149&lt;&gt;0),IF(IFERROR((F148/F149),"")="","",(F148/F149)),INDIRECT("'update Helper'!E"&amp;U148)/100)</f>
        <v/>
      </c>
      <c r="H148" s="743"/>
      <c r="I148" s="764"/>
      <c r="J148" s="729"/>
      <c r="K148" s="760" t="str">
        <f>W148</f>
        <v/>
      </c>
      <c r="L148" s="760" t="str">
        <f>V148</f>
        <v/>
      </c>
      <c r="M148" s="729"/>
      <c r="N148" s="729"/>
      <c r="P148" s="194">
        <f>IF(AND(EXACT(C148,C146),C146&lt;&gt;0),P146+1,0)</f>
        <v>49</v>
      </c>
      <c r="Q148" s="194" t="str">
        <f>IF(C148&lt;&gt;"",C148&amp;"-"&amp;P148,"")</f>
        <v/>
      </c>
      <c r="R148" s="194" t="str">
        <f t="array" ref="R148">IFERROR(IF(INDEX('Disaggregation Records'!$E$3:$E$66,MATCH(RIGHT(Q148,255),RIGHT('Disaggregation Records'!$D$3:$D$66,255),0))="","",INDEX('Disaggregation Records'!$E$3:$E$66,MATCH(RIGHT(Q148,255),RIGHT('Disaggregation Records'!$D$3:$D$66,255),0))),"")</f>
        <v/>
      </c>
      <c r="S148" s="194" t="str">
        <f t="array" ref="S148">IFERROR(IF(INDEX('Disaggregation Records'!$F$3:$F$66,MATCH(RIGHT(Q148,255),RIGHT('Disaggregation Records'!$D$3:$D$66,255),0))="","",INDEX('Disaggregation Records'!$F$3:$F$66,MATCH(RIGHT(Q148,255),RIGHT('Disaggregation Records'!$D$3:$D$66,255),0))),"")</f>
        <v/>
      </c>
      <c r="T148" s="194" t="str">
        <f t="array" ref="T148">IFERROR(IF(INDEX('Disaggregation Records'!$H$3:$H$66,MATCH(RIGHT(Q148,255),RIGHT('Disaggregation Records'!$D$3:$D$66,255),0))="","",INDEX('Disaggregation Records'!$H$3:$H$66,MATCH(RIGHT(Q148,255),RIGHT('Disaggregation Records'!$D$3:$D$66,255),0))),"")</f>
        <v/>
      </c>
      <c r="U148" s="194">
        <f>U146+1</f>
        <v>2190</v>
      </c>
      <c r="V148" s="194" t="str">
        <f t="array" ref="V148">IFERROR(IF(INDEX('Disaggregation Records'!$I$3:$I$66,MATCH(RIGHT(Q148,255),RIGHT('Disaggregation Records'!$D$3:$D$66,255),0))="","",INDEX('Disaggregation Records'!$I$3:$I$66,MATCH(RIGHT(Q148,255),RIGHT('Disaggregation Records'!$D$3:$D$66,255),0))),"")</f>
        <v/>
      </c>
      <c r="W148" s="194" t="str">
        <f>IFERROR(INDEX('Reference Records'!O$3:O$19,MATCH(LEFT(C148,255),'Reference Records'!J$3:J$19,0)),"")</f>
        <v/>
      </c>
    </row>
    <row r="149" spans="1:23" s="195" customFormat="1" ht="40.4" customHeight="1" x14ac:dyDescent="0.35">
      <c r="A149" s="770"/>
      <c r="B149" s="767">
        <v>5.2218045112781999</v>
      </c>
      <c r="C149" s="761"/>
      <c r="D149" s="769"/>
      <c r="E149" s="769"/>
      <c r="F149" s="208"/>
      <c r="G149" s="763"/>
      <c r="H149" s="744"/>
      <c r="I149" s="765"/>
      <c r="J149" s="730"/>
      <c r="K149" s="761"/>
      <c r="L149" s="761"/>
      <c r="M149" s="730"/>
      <c r="N149" s="730"/>
    </row>
    <row r="150" spans="1:23" s="194" customFormat="1" ht="40.4" customHeight="1" x14ac:dyDescent="0.35">
      <c r="A150" s="770" t="str">
        <f t="shared" ca="1" si="2"/>
        <v>a1G3p000005ncGBEAY</v>
      </c>
      <c r="B150" s="766">
        <v>8</v>
      </c>
      <c r="C150" s="760" t="str">
        <f>IFERROR(VLOOKUP(B150,'Impact Indicators - Section B '!$A$9:$AF$52,32,FALSE),"")</f>
        <v/>
      </c>
      <c r="D150" s="768" t="str">
        <f>R150</f>
        <v/>
      </c>
      <c r="E150" s="768" t="str">
        <f>S150</f>
        <v/>
      </c>
      <c r="F150" s="413"/>
      <c r="G150" s="762" t="str">
        <f ca="1">IF(OR(INDIRECT("'update Helper'!E"&amp;U150)="",F150&lt;&gt;0,F151&lt;&gt;0),IF(IFERROR((F150/F151),"")="","",(F150/F151)),INDIRECT("'update Helper'!E"&amp;U150)/100)</f>
        <v/>
      </c>
      <c r="H150" s="743"/>
      <c r="I150" s="764"/>
      <c r="J150" s="729"/>
      <c r="K150" s="760" t="str">
        <f>W150</f>
        <v/>
      </c>
      <c r="L150" s="760" t="str">
        <f>V150</f>
        <v/>
      </c>
      <c r="M150" s="729"/>
      <c r="N150" s="729"/>
      <c r="P150" s="194">
        <f>IF(AND(EXACT(C150,C148),C148&lt;&gt;0),P148+1,0)</f>
        <v>50</v>
      </c>
      <c r="Q150" s="194" t="str">
        <f>IF(C150&lt;&gt;"",C150&amp;"-"&amp;P150,"")</f>
        <v/>
      </c>
      <c r="R150" s="194" t="str">
        <f t="array" ref="R150">IFERROR(IF(INDEX('Disaggregation Records'!$E$3:$E$66,MATCH(RIGHT(Q150,255),RIGHT('Disaggregation Records'!$D$3:$D$66,255),0))="","",INDEX('Disaggregation Records'!$E$3:$E$66,MATCH(RIGHT(Q150,255),RIGHT('Disaggregation Records'!$D$3:$D$66,255),0))),"")</f>
        <v/>
      </c>
      <c r="S150" s="194" t="str">
        <f t="array" ref="S150">IFERROR(IF(INDEX('Disaggregation Records'!$F$3:$F$66,MATCH(RIGHT(Q150,255),RIGHT('Disaggregation Records'!$D$3:$D$66,255),0))="","",INDEX('Disaggregation Records'!$F$3:$F$66,MATCH(RIGHT(Q150,255),RIGHT('Disaggregation Records'!$D$3:$D$66,255),0))),"")</f>
        <v/>
      </c>
      <c r="T150" s="194" t="str">
        <f t="array" ref="T150">IFERROR(IF(INDEX('Disaggregation Records'!$H$3:$H$66,MATCH(RIGHT(Q150,255),RIGHT('Disaggregation Records'!$D$3:$D$66,255),0))="","",INDEX('Disaggregation Records'!$H$3:$H$66,MATCH(RIGHT(Q150,255),RIGHT('Disaggregation Records'!$D$3:$D$66,255),0))),"")</f>
        <v/>
      </c>
      <c r="U150" s="194">
        <f>U148+1</f>
        <v>2191</v>
      </c>
      <c r="V150" s="194" t="str">
        <f t="array" ref="V150">IFERROR(IF(INDEX('Disaggregation Records'!$I$3:$I$66,MATCH(RIGHT(Q150,255),RIGHT('Disaggregation Records'!$D$3:$D$66,255),0))="","",INDEX('Disaggregation Records'!$I$3:$I$66,MATCH(RIGHT(Q150,255),RIGHT('Disaggregation Records'!$D$3:$D$66,255),0))),"")</f>
        <v/>
      </c>
      <c r="W150" s="194" t="str">
        <f>IFERROR(INDEX('Reference Records'!O$3:O$19,MATCH(LEFT(C150,255),'Reference Records'!J$3:J$19,0)),"")</f>
        <v/>
      </c>
    </row>
    <row r="151" spans="1:23" s="194" customFormat="1" ht="40.4" customHeight="1" x14ac:dyDescent="0.35">
      <c r="A151" s="770"/>
      <c r="B151" s="767">
        <v>5.9736842105263204</v>
      </c>
      <c r="C151" s="761"/>
      <c r="D151" s="769"/>
      <c r="E151" s="769"/>
      <c r="F151" s="208"/>
      <c r="G151" s="763"/>
      <c r="H151" s="744"/>
      <c r="I151" s="765"/>
      <c r="J151" s="730"/>
      <c r="K151" s="761"/>
      <c r="L151" s="761"/>
      <c r="M151" s="730"/>
      <c r="N151" s="730"/>
      <c r="P151" s="195"/>
      <c r="Q151" s="195"/>
      <c r="R151" s="195"/>
      <c r="S151" s="195"/>
      <c r="T151" s="195"/>
      <c r="U151" s="195"/>
      <c r="V151" s="195"/>
      <c r="W151" s="195"/>
    </row>
    <row r="152" spans="1:23" s="194" customFormat="1" ht="40.4" customHeight="1" x14ac:dyDescent="0.35">
      <c r="A152" s="770" t="str">
        <f t="shared" ca="1" si="2"/>
        <v>a1G3p000005ncGCEAY</v>
      </c>
      <c r="B152" s="766">
        <v>8</v>
      </c>
      <c r="C152" s="760" t="str">
        <f>IFERROR(VLOOKUP(B152,'Impact Indicators - Section B '!$A$9:$AF$52,32,FALSE),"")</f>
        <v/>
      </c>
      <c r="D152" s="768" t="str">
        <f>R152</f>
        <v/>
      </c>
      <c r="E152" s="768" t="str">
        <f>S152</f>
        <v/>
      </c>
      <c r="F152" s="413"/>
      <c r="G152" s="762" t="str">
        <f ca="1">IF(OR(INDIRECT("'update Helper'!E"&amp;U152)="",F152&lt;&gt;0,F153&lt;&gt;0),IF(IFERROR((F152/F153),"")="","",(F152/F153)),INDIRECT("'update Helper'!E"&amp;U152)/100)</f>
        <v/>
      </c>
      <c r="H152" s="743"/>
      <c r="I152" s="764"/>
      <c r="J152" s="729"/>
      <c r="K152" s="760" t="str">
        <f>W152</f>
        <v/>
      </c>
      <c r="L152" s="760" t="str">
        <f>V152</f>
        <v/>
      </c>
      <c r="M152" s="729"/>
      <c r="N152" s="729"/>
      <c r="P152" s="194">
        <f>IF(AND(EXACT(C152,C150),C150&lt;&gt;0),P150+1,0)</f>
        <v>51</v>
      </c>
      <c r="Q152" s="194" t="str">
        <f>IF(C152&lt;&gt;"",C152&amp;"-"&amp;P152,"")</f>
        <v/>
      </c>
      <c r="R152" s="194" t="str">
        <f t="array" ref="R152">IFERROR(IF(INDEX('Disaggregation Records'!$E$3:$E$66,MATCH(RIGHT(Q152,255),RIGHT('Disaggregation Records'!$D$3:$D$66,255),0))="","",INDEX('Disaggregation Records'!$E$3:$E$66,MATCH(RIGHT(Q152,255),RIGHT('Disaggregation Records'!$D$3:$D$66,255),0))),"")</f>
        <v/>
      </c>
      <c r="S152" s="194" t="str">
        <f t="array" ref="S152">IFERROR(IF(INDEX('Disaggregation Records'!$F$3:$F$66,MATCH(RIGHT(Q152,255),RIGHT('Disaggregation Records'!$D$3:$D$66,255),0))="","",INDEX('Disaggregation Records'!$F$3:$F$66,MATCH(RIGHT(Q152,255),RIGHT('Disaggregation Records'!$D$3:$D$66,255),0))),"")</f>
        <v/>
      </c>
      <c r="T152" s="194" t="str">
        <f t="array" ref="T152">IFERROR(IF(INDEX('Disaggregation Records'!$H$3:$H$66,MATCH(RIGHT(Q152,255),RIGHT('Disaggregation Records'!$D$3:$D$66,255),0))="","",INDEX('Disaggregation Records'!$H$3:$H$66,MATCH(RIGHT(Q152,255),RIGHT('Disaggregation Records'!$D$3:$D$66,255),0))),"")</f>
        <v/>
      </c>
      <c r="U152" s="194">
        <f>U150+1</f>
        <v>2192</v>
      </c>
      <c r="V152" s="194" t="str">
        <f t="array" ref="V152">IFERROR(IF(INDEX('Disaggregation Records'!$I$3:$I$66,MATCH(RIGHT(Q152,255),RIGHT('Disaggregation Records'!$D$3:$D$66,255),0))="","",INDEX('Disaggregation Records'!$I$3:$I$66,MATCH(RIGHT(Q152,255),RIGHT('Disaggregation Records'!$D$3:$D$66,255),0))),"")</f>
        <v/>
      </c>
      <c r="W152" s="194" t="str">
        <f>IFERROR(INDEX('Reference Records'!O$3:O$19,MATCH(LEFT(C152,255),'Reference Records'!J$3:J$19,0)),"")</f>
        <v/>
      </c>
    </row>
    <row r="153" spans="1:23" s="195" customFormat="1" ht="40.4" customHeight="1" x14ac:dyDescent="0.35">
      <c r="A153" s="770"/>
      <c r="B153" s="767">
        <v>5.9736842105263204</v>
      </c>
      <c r="C153" s="761"/>
      <c r="D153" s="769"/>
      <c r="E153" s="769"/>
      <c r="F153" s="208"/>
      <c r="G153" s="763"/>
      <c r="H153" s="744"/>
      <c r="I153" s="765"/>
      <c r="J153" s="730"/>
      <c r="K153" s="761"/>
      <c r="L153" s="761"/>
      <c r="M153" s="730"/>
      <c r="N153" s="730"/>
    </row>
    <row r="154" spans="1:23" s="194" customFormat="1" ht="40.4" customHeight="1" x14ac:dyDescent="0.35">
      <c r="A154" s="770" t="str">
        <f t="shared" ca="1" si="2"/>
        <v>a1G3p000005ncGDEAY</v>
      </c>
      <c r="B154" s="766">
        <v>8</v>
      </c>
      <c r="C154" s="760" t="str">
        <f>IFERROR(VLOOKUP(B154,'Impact Indicators - Section B '!$A$9:$AF$52,32,FALSE),"")</f>
        <v/>
      </c>
      <c r="D154" s="768" t="str">
        <f>R154</f>
        <v/>
      </c>
      <c r="E154" s="768" t="str">
        <f>S154</f>
        <v/>
      </c>
      <c r="F154" s="413"/>
      <c r="G154" s="762" t="str">
        <f ca="1">IF(OR(INDIRECT("'update Helper'!E"&amp;U154)="",F154&lt;&gt;0,F155&lt;&gt;0),IF(IFERROR((F154/F155),"")="","",(F154/F155)),INDIRECT("'update Helper'!E"&amp;U154)/100)</f>
        <v/>
      </c>
      <c r="H154" s="743"/>
      <c r="I154" s="764"/>
      <c r="J154" s="729"/>
      <c r="K154" s="760" t="str">
        <f>W154</f>
        <v/>
      </c>
      <c r="L154" s="760" t="str">
        <f>V154</f>
        <v/>
      </c>
      <c r="M154" s="729"/>
      <c r="N154" s="729"/>
      <c r="P154" s="194">
        <f>IF(AND(EXACT(C154,C152),C152&lt;&gt;0),P152+1,0)</f>
        <v>52</v>
      </c>
      <c r="Q154" s="194" t="str">
        <f>IF(C154&lt;&gt;"",C154&amp;"-"&amp;P154,"")</f>
        <v/>
      </c>
      <c r="R154" s="194" t="str">
        <f t="array" ref="R154">IFERROR(IF(INDEX('Disaggregation Records'!$E$3:$E$66,MATCH(RIGHT(Q154,255),RIGHT('Disaggregation Records'!$D$3:$D$66,255),0))="","",INDEX('Disaggregation Records'!$E$3:$E$66,MATCH(RIGHT(Q154,255),RIGHT('Disaggregation Records'!$D$3:$D$66,255),0))),"")</f>
        <v/>
      </c>
      <c r="S154" s="194" t="str">
        <f t="array" ref="S154">IFERROR(IF(INDEX('Disaggregation Records'!$F$3:$F$66,MATCH(RIGHT(Q154,255),RIGHT('Disaggregation Records'!$D$3:$D$66,255),0))="","",INDEX('Disaggregation Records'!$F$3:$F$66,MATCH(RIGHT(Q154,255),RIGHT('Disaggregation Records'!$D$3:$D$66,255),0))),"")</f>
        <v/>
      </c>
      <c r="T154" s="194" t="str">
        <f t="array" ref="T154">IFERROR(IF(INDEX('Disaggregation Records'!$H$3:$H$66,MATCH(RIGHT(Q154,255),RIGHT('Disaggregation Records'!$D$3:$D$66,255),0))="","",INDEX('Disaggregation Records'!$H$3:$H$66,MATCH(RIGHT(Q154,255),RIGHT('Disaggregation Records'!$D$3:$D$66,255),0))),"")</f>
        <v/>
      </c>
      <c r="U154" s="194">
        <f>U152+1</f>
        <v>2193</v>
      </c>
      <c r="V154" s="194" t="str">
        <f t="array" ref="V154">IFERROR(IF(INDEX('Disaggregation Records'!$I$3:$I$66,MATCH(RIGHT(Q154,255),RIGHT('Disaggregation Records'!$D$3:$D$66,255),0))="","",INDEX('Disaggregation Records'!$I$3:$I$66,MATCH(RIGHT(Q154,255),RIGHT('Disaggregation Records'!$D$3:$D$66,255),0))),"")</f>
        <v/>
      </c>
      <c r="W154" s="194" t="str">
        <f>IFERROR(INDEX('Reference Records'!O$3:O$19,MATCH(LEFT(C154,255),'Reference Records'!J$3:J$19,0)),"")</f>
        <v/>
      </c>
    </row>
    <row r="155" spans="1:23" s="195" customFormat="1" ht="40.4" customHeight="1" x14ac:dyDescent="0.35">
      <c r="A155" s="770"/>
      <c r="B155" s="767">
        <v>5.9736842105263204</v>
      </c>
      <c r="C155" s="761"/>
      <c r="D155" s="769"/>
      <c r="E155" s="769"/>
      <c r="F155" s="208"/>
      <c r="G155" s="763"/>
      <c r="H155" s="744"/>
      <c r="I155" s="765"/>
      <c r="J155" s="730"/>
      <c r="K155" s="761"/>
      <c r="L155" s="761"/>
      <c r="M155" s="730"/>
      <c r="N155" s="730"/>
    </row>
    <row r="156" spans="1:23" s="194" customFormat="1" ht="40.4" customHeight="1" x14ac:dyDescent="0.35">
      <c r="A156" s="770" t="str">
        <f t="shared" ca="1" si="2"/>
        <v>a1G3p000005ncGEEAY</v>
      </c>
      <c r="B156" s="766">
        <v>8</v>
      </c>
      <c r="C156" s="760" t="str">
        <f>IFERROR(VLOOKUP(B156,'Impact Indicators - Section B '!$A$9:$AF$52,32,FALSE),"")</f>
        <v/>
      </c>
      <c r="D156" s="768" t="str">
        <f>R156</f>
        <v/>
      </c>
      <c r="E156" s="768" t="str">
        <f>S156</f>
        <v/>
      </c>
      <c r="F156" s="413"/>
      <c r="G156" s="762" t="str">
        <f ca="1">IF(OR(INDIRECT("'update Helper'!E"&amp;U156)="",F156&lt;&gt;0,F157&lt;&gt;0),IF(IFERROR((F156/F157),"")="","",(F156/F157)),INDIRECT("'update Helper'!E"&amp;U156)/100)</f>
        <v/>
      </c>
      <c r="H156" s="743"/>
      <c r="I156" s="764"/>
      <c r="J156" s="729"/>
      <c r="K156" s="760" t="str">
        <f>W156</f>
        <v/>
      </c>
      <c r="L156" s="760" t="str">
        <f>V156</f>
        <v/>
      </c>
      <c r="M156" s="729"/>
      <c r="N156" s="729"/>
      <c r="P156" s="194">
        <f>IF(AND(EXACT(C156,C154),C154&lt;&gt;0),P154+1,0)</f>
        <v>53</v>
      </c>
      <c r="Q156" s="194" t="str">
        <f>IF(C156&lt;&gt;"",C156&amp;"-"&amp;P156,"")</f>
        <v/>
      </c>
      <c r="R156" s="194" t="str">
        <f t="array" ref="R156">IFERROR(IF(INDEX('Disaggregation Records'!$E$3:$E$66,MATCH(RIGHT(Q156,255),RIGHT('Disaggregation Records'!$D$3:$D$66,255),0))="","",INDEX('Disaggregation Records'!$E$3:$E$66,MATCH(RIGHT(Q156,255),RIGHT('Disaggregation Records'!$D$3:$D$66,255),0))),"")</f>
        <v/>
      </c>
      <c r="S156" s="194" t="str">
        <f t="array" ref="S156">IFERROR(IF(INDEX('Disaggregation Records'!$F$3:$F$66,MATCH(RIGHT(Q156,255),RIGHT('Disaggregation Records'!$D$3:$D$66,255),0))="","",INDEX('Disaggregation Records'!$F$3:$F$66,MATCH(RIGHT(Q156,255),RIGHT('Disaggregation Records'!$D$3:$D$66,255),0))),"")</f>
        <v/>
      </c>
      <c r="T156" s="194" t="str">
        <f t="array" ref="T156">IFERROR(IF(INDEX('Disaggregation Records'!$H$3:$H$66,MATCH(RIGHT(Q156,255),RIGHT('Disaggregation Records'!$D$3:$D$66,255),0))="","",INDEX('Disaggregation Records'!$H$3:$H$66,MATCH(RIGHT(Q156,255),RIGHT('Disaggregation Records'!$D$3:$D$66,255),0))),"")</f>
        <v/>
      </c>
      <c r="U156" s="194">
        <f>U154+1</f>
        <v>2194</v>
      </c>
      <c r="V156" s="194" t="str">
        <f t="array" ref="V156">IFERROR(IF(INDEX('Disaggregation Records'!$I$3:$I$66,MATCH(RIGHT(Q156,255),RIGHT('Disaggregation Records'!$D$3:$D$66,255),0))="","",INDEX('Disaggregation Records'!$I$3:$I$66,MATCH(RIGHT(Q156,255),RIGHT('Disaggregation Records'!$D$3:$D$66,255),0))),"")</f>
        <v/>
      </c>
      <c r="W156" s="194" t="str">
        <f>IFERROR(INDEX('Reference Records'!O$3:O$19,MATCH(LEFT(C156,255),'Reference Records'!J$3:J$19,0)),"")</f>
        <v/>
      </c>
    </row>
    <row r="157" spans="1:23" s="194" customFormat="1" ht="40.4" customHeight="1" x14ac:dyDescent="0.35">
      <c r="A157" s="770"/>
      <c r="B157" s="767">
        <v>5.9736842105263204</v>
      </c>
      <c r="C157" s="761"/>
      <c r="D157" s="769"/>
      <c r="E157" s="769"/>
      <c r="F157" s="208"/>
      <c r="G157" s="763"/>
      <c r="H157" s="744"/>
      <c r="I157" s="765"/>
      <c r="J157" s="730"/>
      <c r="K157" s="761"/>
      <c r="L157" s="761"/>
      <c r="M157" s="730"/>
      <c r="N157" s="730"/>
      <c r="P157" s="195"/>
      <c r="Q157" s="195"/>
      <c r="R157" s="195"/>
      <c r="S157" s="195"/>
      <c r="T157" s="195"/>
      <c r="U157" s="195"/>
      <c r="V157" s="195"/>
      <c r="W157" s="195"/>
    </row>
    <row r="158" spans="1:23" s="194" customFormat="1" ht="40.4" customHeight="1" x14ac:dyDescent="0.35">
      <c r="A158" s="770" t="str">
        <f t="shared" ca="1" si="2"/>
        <v>a1G3p000005ncGFEAY</v>
      </c>
      <c r="B158" s="766">
        <v>8</v>
      </c>
      <c r="C158" s="760" t="str">
        <f>IFERROR(VLOOKUP(B158,'Impact Indicators - Section B '!$A$9:$AF$52,32,FALSE),"")</f>
        <v/>
      </c>
      <c r="D158" s="768" t="str">
        <f>R158</f>
        <v/>
      </c>
      <c r="E158" s="768" t="str">
        <f>S158</f>
        <v/>
      </c>
      <c r="F158" s="413"/>
      <c r="G158" s="762" t="str">
        <f ca="1">IF(OR(INDIRECT("'update Helper'!E"&amp;U158)="",F158&lt;&gt;0,F159&lt;&gt;0),IF(IFERROR((F158/F159),"")="","",(F158/F159)),INDIRECT("'update Helper'!E"&amp;U158)/100)</f>
        <v/>
      </c>
      <c r="H158" s="743"/>
      <c r="I158" s="764"/>
      <c r="J158" s="729"/>
      <c r="K158" s="760" t="str">
        <f>W158</f>
        <v/>
      </c>
      <c r="L158" s="760" t="str">
        <f>V158</f>
        <v/>
      </c>
      <c r="M158" s="729"/>
      <c r="N158" s="729"/>
      <c r="P158" s="194">
        <f>IF(AND(EXACT(C158,C156),C156&lt;&gt;0),P156+1,0)</f>
        <v>54</v>
      </c>
      <c r="Q158" s="194" t="str">
        <f>IF(C158&lt;&gt;"",C158&amp;"-"&amp;P158,"")</f>
        <v/>
      </c>
      <c r="R158" s="194" t="str">
        <f t="array" ref="R158">IFERROR(IF(INDEX('Disaggregation Records'!$E$3:$E$66,MATCH(RIGHT(Q158,255),RIGHT('Disaggregation Records'!$D$3:$D$66,255),0))="","",INDEX('Disaggregation Records'!$E$3:$E$66,MATCH(RIGHT(Q158,255),RIGHT('Disaggregation Records'!$D$3:$D$66,255),0))),"")</f>
        <v/>
      </c>
      <c r="S158" s="194" t="str">
        <f t="array" ref="S158">IFERROR(IF(INDEX('Disaggregation Records'!$F$3:$F$66,MATCH(RIGHT(Q158,255),RIGHT('Disaggregation Records'!$D$3:$D$66,255),0))="","",INDEX('Disaggregation Records'!$F$3:$F$66,MATCH(RIGHT(Q158,255),RIGHT('Disaggregation Records'!$D$3:$D$66,255),0))),"")</f>
        <v/>
      </c>
      <c r="T158" s="194" t="str">
        <f t="array" ref="T158">IFERROR(IF(INDEX('Disaggregation Records'!$H$3:$H$66,MATCH(RIGHT(Q158,255),RIGHT('Disaggregation Records'!$D$3:$D$66,255),0))="","",INDEX('Disaggregation Records'!$H$3:$H$66,MATCH(RIGHT(Q158,255),RIGHT('Disaggregation Records'!$D$3:$D$66,255),0))),"")</f>
        <v/>
      </c>
      <c r="U158" s="194">
        <f>U156+1</f>
        <v>2195</v>
      </c>
      <c r="V158" s="194" t="str">
        <f t="array" ref="V158">IFERROR(IF(INDEX('Disaggregation Records'!$I$3:$I$66,MATCH(RIGHT(Q158,255),RIGHT('Disaggregation Records'!$D$3:$D$66,255),0))="","",INDEX('Disaggregation Records'!$I$3:$I$66,MATCH(RIGHT(Q158,255),RIGHT('Disaggregation Records'!$D$3:$D$66,255),0))),"")</f>
        <v/>
      </c>
      <c r="W158" s="194" t="str">
        <f>IFERROR(INDEX('Reference Records'!O$3:O$19,MATCH(LEFT(C158,255),'Reference Records'!J$3:J$19,0)),"")</f>
        <v/>
      </c>
    </row>
    <row r="159" spans="1:23" s="194" customFormat="1" ht="40.4" customHeight="1" x14ac:dyDescent="0.35">
      <c r="A159" s="770"/>
      <c r="B159" s="767">
        <v>5.9736842105263204</v>
      </c>
      <c r="C159" s="761"/>
      <c r="D159" s="769"/>
      <c r="E159" s="769"/>
      <c r="F159" s="208"/>
      <c r="G159" s="763"/>
      <c r="H159" s="744"/>
      <c r="I159" s="765"/>
      <c r="J159" s="730"/>
      <c r="K159" s="761"/>
      <c r="L159" s="761"/>
      <c r="M159" s="730"/>
      <c r="N159" s="730"/>
      <c r="P159" s="195"/>
      <c r="Q159" s="195"/>
      <c r="R159" s="195"/>
      <c r="S159" s="195"/>
      <c r="T159" s="195"/>
      <c r="U159" s="195"/>
      <c r="V159" s="195"/>
      <c r="W159" s="195"/>
    </row>
    <row r="160" spans="1:23" s="194" customFormat="1" ht="40.4" customHeight="1" x14ac:dyDescent="0.35">
      <c r="A160" s="770" t="str">
        <f t="shared" ca="1" si="2"/>
        <v>a1G3p000005ncGGEAY</v>
      </c>
      <c r="B160" s="766">
        <v>8</v>
      </c>
      <c r="C160" s="760" t="str">
        <f>IFERROR(VLOOKUP(B160,'Impact Indicators - Section B '!$A$9:$AF$52,32,FALSE),"")</f>
        <v/>
      </c>
      <c r="D160" s="768" t="str">
        <f>R160</f>
        <v/>
      </c>
      <c r="E160" s="768" t="str">
        <f>S160</f>
        <v/>
      </c>
      <c r="F160" s="413"/>
      <c r="G160" s="762" t="str">
        <f ca="1">IF(OR(INDIRECT("'update Helper'!E"&amp;U160)="",F160&lt;&gt;0,F161&lt;&gt;0),IF(IFERROR((F160/F161),"")="","",(F160/F161)),INDIRECT("'update Helper'!E"&amp;U160)/100)</f>
        <v/>
      </c>
      <c r="H160" s="743"/>
      <c r="I160" s="764"/>
      <c r="J160" s="729"/>
      <c r="K160" s="760" t="str">
        <f>W160</f>
        <v/>
      </c>
      <c r="L160" s="760" t="str">
        <f>V160</f>
        <v/>
      </c>
      <c r="M160" s="729"/>
      <c r="N160" s="729"/>
      <c r="P160" s="194">
        <f>IF(AND(EXACT(C160,C158),C158&lt;&gt;0),P158+1,0)</f>
        <v>55</v>
      </c>
      <c r="Q160" s="194" t="str">
        <f>IF(C160&lt;&gt;"",C160&amp;"-"&amp;P160,"")</f>
        <v/>
      </c>
      <c r="R160" s="194" t="str">
        <f t="array" ref="R160">IFERROR(IF(INDEX('Disaggregation Records'!$E$3:$E$66,MATCH(RIGHT(Q160,255),RIGHT('Disaggregation Records'!$D$3:$D$66,255),0))="","",INDEX('Disaggregation Records'!$E$3:$E$66,MATCH(RIGHT(Q160,255),RIGHT('Disaggregation Records'!$D$3:$D$66,255),0))),"")</f>
        <v/>
      </c>
      <c r="S160" s="194" t="str">
        <f t="array" ref="S160">IFERROR(IF(INDEX('Disaggregation Records'!$F$3:$F$66,MATCH(RIGHT(Q160,255),RIGHT('Disaggregation Records'!$D$3:$D$66,255),0))="","",INDEX('Disaggregation Records'!$F$3:$F$66,MATCH(RIGHT(Q160,255),RIGHT('Disaggregation Records'!$D$3:$D$66,255),0))),"")</f>
        <v/>
      </c>
      <c r="T160" s="194" t="str">
        <f t="array" ref="T160">IFERROR(IF(INDEX('Disaggregation Records'!$H$3:$H$66,MATCH(RIGHT(Q160,255),RIGHT('Disaggregation Records'!$D$3:$D$66,255),0))="","",INDEX('Disaggregation Records'!$H$3:$H$66,MATCH(RIGHT(Q160,255),RIGHT('Disaggregation Records'!$D$3:$D$66,255),0))),"")</f>
        <v/>
      </c>
      <c r="U160" s="194">
        <f>U158+1</f>
        <v>2196</v>
      </c>
      <c r="V160" s="194" t="str">
        <f t="array" ref="V160">IFERROR(IF(INDEX('Disaggregation Records'!$I$3:$I$66,MATCH(RIGHT(Q160,255),RIGHT('Disaggregation Records'!$D$3:$D$66,255),0))="","",INDEX('Disaggregation Records'!$I$3:$I$66,MATCH(RIGHT(Q160,255),RIGHT('Disaggregation Records'!$D$3:$D$66,255),0))),"")</f>
        <v/>
      </c>
      <c r="W160" s="194" t="str">
        <f>IFERROR(INDEX('Reference Records'!O$3:O$19,MATCH(LEFT(C160,255),'Reference Records'!J$3:J$19,0)),"")</f>
        <v/>
      </c>
    </row>
    <row r="161" spans="1:23" s="195" customFormat="1" ht="40.4" customHeight="1" x14ac:dyDescent="0.35">
      <c r="A161" s="770"/>
      <c r="B161" s="767">
        <v>5.9736842105263204</v>
      </c>
      <c r="C161" s="761"/>
      <c r="D161" s="769"/>
      <c r="E161" s="769"/>
      <c r="F161" s="208"/>
      <c r="G161" s="763"/>
      <c r="H161" s="744"/>
      <c r="I161" s="765"/>
      <c r="J161" s="730"/>
      <c r="K161" s="761"/>
      <c r="L161" s="761"/>
      <c r="M161" s="730"/>
      <c r="N161" s="730"/>
    </row>
    <row r="162" spans="1:23" s="194" customFormat="1" ht="40.4" customHeight="1" x14ac:dyDescent="0.35">
      <c r="A162" s="770" t="str">
        <f t="shared" ca="1" si="2"/>
        <v>a1G3p000005ncGHEAY</v>
      </c>
      <c r="B162" s="766">
        <v>8</v>
      </c>
      <c r="C162" s="760" t="str">
        <f>IFERROR(VLOOKUP(B162,'Impact Indicators - Section B '!$A$9:$AF$52,32,FALSE),"")</f>
        <v/>
      </c>
      <c r="D162" s="768" t="str">
        <f>R162</f>
        <v/>
      </c>
      <c r="E162" s="768" t="str">
        <f>S162</f>
        <v/>
      </c>
      <c r="F162" s="413"/>
      <c r="G162" s="762" t="str">
        <f ca="1">IF(OR(INDIRECT("'update Helper'!E"&amp;U162)="",F162&lt;&gt;0,F163&lt;&gt;0),IF(IFERROR((F162/F163),"")="","",(F162/F163)),INDIRECT("'update Helper'!E"&amp;U162)/100)</f>
        <v/>
      </c>
      <c r="H162" s="743"/>
      <c r="I162" s="764"/>
      <c r="J162" s="729"/>
      <c r="K162" s="760" t="str">
        <f>W162</f>
        <v/>
      </c>
      <c r="L162" s="760" t="str">
        <f>V162</f>
        <v/>
      </c>
      <c r="M162" s="729"/>
      <c r="N162" s="729"/>
      <c r="P162" s="194">
        <f>IF(AND(EXACT(C162,C160),C160&lt;&gt;0),P160+1,0)</f>
        <v>56</v>
      </c>
      <c r="Q162" s="194" t="str">
        <f>IF(C162&lt;&gt;"",C162&amp;"-"&amp;P162,"")</f>
        <v/>
      </c>
      <c r="R162" s="194" t="str">
        <f t="array" ref="R162">IFERROR(IF(INDEX('Disaggregation Records'!$E$3:$E$66,MATCH(RIGHT(Q162,255),RIGHT('Disaggregation Records'!$D$3:$D$66,255),0))="","",INDEX('Disaggregation Records'!$E$3:$E$66,MATCH(RIGHT(Q162,255),RIGHT('Disaggregation Records'!$D$3:$D$66,255),0))),"")</f>
        <v/>
      </c>
      <c r="S162" s="194" t="str">
        <f t="array" ref="S162">IFERROR(IF(INDEX('Disaggregation Records'!$F$3:$F$66,MATCH(RIGHT(Q162,255),RIGHT('Disaggregation Records'!$D$3:$D$66,255),0))="","",INDEX('Disaggregation Records'!$F$3:$F$66,MATCH(RIGHT(Q162,255),RIGHT('Disaggregation Records'!$D$3:$D$66,255),0))),"")</f>
        <v/>
      </c>
      <c r="T162" s="194" t="str">
        <f t="array" ref="T162">IFERROR(IF(INDEX('Disaggregation Records'!$H$3:$H$66,MATCH(RIGHT(Q162,255),RIGHT('Disaggregation Records'!$D$3:$D$66,255),0))="","",INDEX('Disaggregation Records'!$H$3:$H$66,MATCH(RIGHT(Q162,255),RIGHT('Disaggregation Records'!$D$3:$D$66,255),0))),"")</f>
        <v/>
      </c>
      <c r="U162" s="194">
        <f>U160+1</f>
        <v>2197</v>
      </c>
      <c r="V162" s="194" t="str">
        <f t="array" ref="V162">IFERROR(IF(INDEX('Disaggregation Records'!$I$3:$I$66,MATCH(RIGHT(Q162,255),RIGHT('Disaggregation Records'!$D$3:$D$66,255),0))="","",INDEX('Disaggregation Records'!$I$3:$I$66,MATCH(RIGHT(Q162,255),RIGHT('Disaggregation Records'!$D$3:$D$66,255),0))),"")</f>
        <v/>
      </c>
      <c r="W162" s="194" t="str">
        <f>IFERROR(INDEX('Reference Records'!O$3:O$19,MATCH(LEFT(C162,255),'Reference Records'!J$3:J$19,0)),"")</f>
        <v/>
      </c>
    </row>
    <row r="163" spans="1:23" s="195" customFormat="1" ht="40.4" customHeight="1" x14ac:dyDescent="0.35">
      <c r="A163" s="770"/>
      <c r="B163" s="767">
        <v>5.9736842105263204</v>
      </c>
      <c r="C163" s="761"/>
      <c r="D163" s="769"/>
      <c r="E163" s="769"/>
      <c r="F163" s="208"/>
      <c r="G163" s="763"/>
      <c r="H163" s="744"/>
      <c r="I163" s="765"/>
      <c r="J163" s="730"/>
      <c r="K163" s="761"/>
      <c r="L163" s="761"/>
      <c r="M163" s="730"/>
      <c r="N163" s="730"/>
    </row>
    <row r="164" spans="1:23" s="194" customFormat="1" ht="40.4" customHeight="1" x14ac:dyDescent="0.35">
      <c r="A164" s="770" t="str">
        <f t="shared" ca="1" si="2"/>
        <v>a1G3p000005ncGIEAY</v>
      </c>
      <c r="B164" s="766">
        <v>8</v>
      </c>
      <c r="C164" s="760" t="str">
        <f>IFERROR(VLOOKUP(B164,'Impact Indicators - Section B '!$A$9:$AF$52,32,FALSE),"")</f>
        <v/>
      </c>
      <c r="D164" s="768" t="str">
        <f>R164</f>
        <v/>
      </c>
      <c r="E164" s="768" t="str">
        <f>S164</f>
        <v/>
      </c>
      <c r="F164" s="413"/>
      <c r="G164" s="762" t="str">
        <f ca="1">IF(OR(INDIRECT("'update Helper'!E"&amp;U164)="",F164&lt;&gt;0,F165&lt;&gt;0),IF(IFERROR((F164/F165),"")="","",(F164/F165)),INDIRECT("'update Helper'!E"&amp;U164)/100)</f>
        <v/>
      </c>
      <c r="H164" s="743"/>
      <c r="I164" s="764"/>
      <c r="J164" s="729"/>
      <c r="K164" s="760" t="str">
        <f>W164</f>
        <v/>
      </c>
      <c r="L164" s="760" t="str">
        <f>V164</f>
        <v/>
      </c>
      <c r="M164" s="729"/>
      <c r="N164" s="729"/>
      <c r="P164" s="194">
        <f>IF(AND(EXACT(C164,C162),C162&lt;&gt;0),P162+1,0)</f>
        <v>57</v>
      </c>
      <c r="Q164" s="194" t="str">
        <f>IF(C164&lt;&gt;"",C164&amp;"-"&amp;P164,"")</f>
        <v/>
      </c>
      <c r="R164" s="194" t="str">
        <f t="array" ref="R164">IFERROR(IF(INDEX('Disaggregation Records'!$E$3:$E$66,MATCH(RIGHT(Q164,255),RIGHT('Disaggregation Records'!$D$3:$D$66,255),0))="","",INDEX('Disaggregation Records'!$E$3:$E$66,MATCH(RIGHT(Q164,255),RIGHT('Disaggregation Records'!$D$3:$D$66,255),0))),"")</f>
        <v/>
      </c>
      <c r="S164" s="194" t="str">
        <f t="array" ref="S164">IFERROR(IF(INDEX('Disaggregation Records'!$F$3:$F$66,MATCH(RIGHT(Q164,255),RIGHT('Disaggregation Records'!$D$3:$D$66,255),0))="","",INDEX('Disaggregation Records'!$F$3:$F$66,MATCH(RIGHT(Q164,255),RIGHT('Disaggregation Records'!$D$3:$D$66,255),0))),"")</f>
        <v/>
      </c>
      <c r="T164" s="194" t="str">
        <f t="array" ref="T164">IFERROR(IF(INDEX('Disaggregation Records'!$H$3:$H$66,MATCH(RIGHT(Q164,255),RIGHT('Disaggregation Records'!$D$3:$D$66,255),0))="","",INDEX('Disaggregation Records'!$H$3:$H$66,MATCH(RIGHT(Q164,255),RIGHT('Disaggregation Records'!$D$3:$D$66,255),0))),"")</f>
        <v/>
      </c>
      <c r="U164" s="194">
        <f>U162+1</f>
        <v>2198</v>
      </c>
      <c r="V164" s="194" t="str">
        <f t="array" ref="V164">IFERROR(IF(INDEX('Disaggregation Records'!$I$3:$I$66,MATCH(RIGHT(Q164,255),RIGHT('Disaggregation Records'!$D$3:$D$66,255),0))="","",INDEX('Disaggregation Records'!$I$3:$I$66,MATCH(RIGHT(Q164,255),RIGHT('Disaggregation Records'!$D$3:$D$66,255),0))),"")</f>
        <v/>
      </c>
      <c r="W164" s="194" t="str">
        <f>IFERROR(INDEX('Reference Records'!O$3:O$19,MATCH(LEFT(C164,255),'Reference Records'!J$3:J$19,0)),"")</f>
        <v/>
      </c>
    </row>
    <row r="165" spans="1:23" s="194" customFormat="1" ht="40.4" customHeight="1" x14ac:dyDescent="0.35">
      <c r="A165" s="770"/>
      <c r="B165" s="767">
        <v>5.9736842105263204</v>
      </c>
      <c r="C165" s="761"/>
      <c r="D165" s="769"/>
      <c r="E165" s="769"/>
      <c r="F165" s="208"/>
      <c r="G165" s="763"/>
      <c r="H165" s="744"/>
      <c r="I165" s="765"/>
      <c r="J165" s="730"/>
      <c r="K165" s="761"/>
      <c r="L165" s="761"/>
      <c r="M165" s="730"/>
      <c r="N165" s="730"/>
      <c r="P165" s="195"/>
      <c r="Q165" s="195"/>
      <c r="R165" s="195"/>
      <c r="S165" s="195"/>
      <c r="T165" s="195"/>
      <c r="U165" s="195"/>
      <c r="V165" s="195"/>
      <c r="W165" s="195"/>
    </row>
    <row r="166" spans="1:23" s="194" customFormat="1" ht="40.4" customHeight="1" x14ac:dyDescent="0.35">
      <c r="A166" s="770" t="str">
        <f t="shared" ca="1" si="2"/>
        <v>a1G3p000005ncGJEAY</v>
      </c>
      <c r="B166" s="766">
        <v>8</v>
      </c>
      <c r="C166" s="760" t="str">
        <f>IFERROR(VLOOKUP(B166,'Impact Indicators - Section B '!$A$9:$AF$52,32,FALSE),"")</f>
        <v/>
      </c>
      <c r="D166" s="768" t="str">
        <f>R166</f>
        <v/>
      </c>
      <c r="E166" s="768" t="str">
        <f>S166</f>
        <v/>
      </c>
      <c r="F166" s="413"/>
      <c r="G166" s="762" t="str">
        <f ca="1">IF(OR(INDIRECT("'update Helper'!E"&amp;U166)="",F166&lt;&gt;0,F167&lt;&gt;0),IF(IFERROR((F166/F167),"")="","",(F166/F167)),INDIRECT("'update Helper'!E"&amp;U166)/100)</f>
        <v/>
      </c>
      <c r="H166" s="743"/>
      <c r="I166" s="764"/>
      <c r="J166" s="729"/>
      <c r="K166" s="760" t="str">
        <f>W166</f>
        <v/>
      </c>
      <c r="L166" s="760" t="str">
        <f>V166</f>
        <v/>
      </c>
      <c r="M166" s="729"/>
      <c r="N166" s="729"/>
      <c r="P166" s="194">
        <f>IF(AND(EXACT(C166,C164),C164&lt;&gt;0),P164+1,0)</f>
        <v>58</v>
      </c>
      <c r="Q166" s="194" t="str">
        <f>IF(C166&lt;&gt;"",C166&amp;"-"&amp;P166,"")</f>
        <v/>
      </c>
      <c r="R166" s="194" t="str">
        <f t="array" ref="R166">IFERROR(IF(INDEX('Disaggregation Records'!$E$3:$E$66,MATCH(RIGHT(Q166,255),RIGHT('Disaggregation Records'!$D$3:$D$66,255),0))="","",INDEX('Disaggregation Records'!$E$3:$E$66,MATCH(RIGHT(Q166,255),RIGHT('Disaggregation Records'!$D$3:$D$66,255),0))),"")</f>
        <v/>
      </c>
      <c r="S166" s="194" t="str">
        <f t="array" ref="S166">IFERROR(IF(INDEX('Disaggregation Records'!$F$3:$F$66,MATCH(RIGHT(Q166,255),RIGHT('Disaggregation Records'!$D$3:$D$66,255),0))="","",INDEX('Disaggregation Records'!$F$3:$F$66,MATCH(RIGHT(Q166,255),RIGHT('Disaggregation Records'!$D$3:$D$66,255),0))),"")</f>
        <v/>
      </c>
      <c r="T166" s="194" t="str">
        <f t="array" ref="T166">IFERROR(IF(INDEX('Disaggregation Records'!$H$3:$H$66,MATCH(RIGHT(Q166,255),RIGHT('Disaggregation Records'!$D$3:$D$66,255),0))="","",INDEX('Disaggregation Records'!$H$3:$H$66,MATCH(RIGHT(Q166,255),RIGHT('Disaggregation Records'!$D$3:$D$66,255),0))),"")</f>
        <v/>
      </c>
      <c r="U166" s="194">
        <f>U164+1</f>
        <v>2199</v>
      </c>
      <c r="V166" s="194" t="str">
        <f t="array" ref="V166">IFERROR(IF(INDEX('Disaggregation Records'!$I$3:$I$66,MATCH(RIGHT(Q166,255),RIGHT('Disaggregation Records'!$D$3:$D$66,255),0))="","",INDEX('Disaggregation Records'!$I$3:$I$66,MATCH(RIGHT(Q166,255),RIGHT('Disaggregation Records'!$D$3:$D$66,255),0))),"")</f>
        <v/>
      </c>
      <c r="W166" s="194" t="str">
        <f>IFERROR(INDEX('Reference Records'!O$3:O$19,MATCH(LEFT(C166,255),'Reference Records'!J$3:J$19,0)),"")</f>
        <v/>
      </c>
    </row>
    <row r="167" spans="1:23" s="195" customFormat="1" ht="40.4" customHeight="1" x14ac:dyDescent="0.35">
      <c r="A167" s="770"/>
      <c r="B167" s="767">
        <v>5.9736842105263204</v>
      </c>
      <c r="C167" s="761"/>
      <c r="D167" s="769"/>
      <c r="E167" s="769"/>
      <c r="F167" s="208"/>
      <c r="G167" s="763"/>
      <c r="H167" s="744"/>
      <c r="I167" s="765"/>
      <c r="J167" s="730"/>
      <c r="K167" s="761"/>
      <c r="L167" s="761"/>
      <c r="M167" s="730"/>
      <c r="N167" s="730"/>
    </row>
    <row r="168" spans="1:23" s="194" customFormat="1" ht="40.4" customHeight="1" x14ac:dyDescent="0.35">
      <c r="A168" s="770" t="str">
        <f t="shared" ca="1" si="2"/>
        <v>a1G3p000005ncGKEAY</v>
      </c>
      <c r="B168" s="766">
        <v>8</v>
      </c>
      <c r="C168" s="760" t="str">
        <f>IFERROR(VLOOKUP(B168,'Impact Indicators - Section B '!$A$9:$AF$52,32,FALSE),"")</f>
        <v/>
      </c>
      <c r="D168" s="768" t="str">
        <f>R168</f>
        <v/>
      </c>
      <c r="E168" s="768" t="str">
        <f>S168</f>
        <v/>
      </c>
      <c r="F168" s="413"/>
      <c r="G168" s="762" t="str">
        <f ca="1">IF(OR(INDIRECT("'update Helper'!E"&amp;U168)="",F168&lt;&gt;0,F169&lt;&gt;0),IF(IFERROR((F168/F169),"")="","",(F168/F169)),INDIRECT("'update Helper'!E"&amp;U168)/100)</f>
        <v/>
      </c>
      <c r="H168" s="743"/>
      <c r="I168" s="764"/>
      <c r="J168" s="729"/>
      <c r="K168" s="760" t="str">
        <f>W168</f>
        <v/>
      </c>
      <c r="L168" s="760" t="str">
        <f>V168</f>
        <v/>
      </c>
      <c r="M168" s="729"/>
      <c r="N168" s="729"/>
      <c r="P168" s="194">
        <f>IF(AND(EXACT(C168,C166),C166&lt;&gt;0),P166+1,0)</f>
        <v>59</v>
      </c>
      <c r="Q168" s="194" t="str">
        <f>IF(C168&lt;&gt;"",C168&amp;"-"&amp;P168,"")</f>
        <v/>
      </c>
      <c r="R168" s="194" t="str">
        <f t="array" ref="R168">IFERROR(IF(INDEX('Disaggregation Records'!$E$3:$E$66,MATCH(RIGHT(Q168,255),RIGHT('Disaggregation Records'!$D$3:$D$66,255),0))="","",INDEX('Disaggregation Records'!$E$3:$E$66,MATCH(RIGHT(Q168,255),RIGHT('Disaggregation Records'!$D$3:$D$66,255),0))),"")</f>
        <v/>
      </c>
      <c r="S168" s="194" t="str">
        <f t="array" ref="S168">IFERROR(IF(INDEX('Disaggregation Records'!$F$3:$F$66,MATCH(RIGHT(Q168,255),RIGHT('Disaggregation Records'!$D$3:$D$66,255),0))="","",INDEX('Disaggregation Records'!$F$3:$F$66,MATCH(RIGHT(Q168,255),RIGHT('Disaggregation Records'!$D$3:$D$66,255),0))),"")</f>
        <v/>
      </c>
      <c r="T168" s="194" t="str">
        <f t="array" ref="T168">IFERROR(IF(INDEX('Disaggregation Records'!$H$3:$H$66,MATCH(RIGHT(Q168,255),RIGHT('Disaggregation Records'!$D$3:$D$66,255),0))="","",INDEX('Disaggregation Records'!$H$3:$H$66,MATCH(RIGHT(Q168,255),RIGHT('Disaggregation Records'!$D$3:$D$66,255),0))),"")</f>
        <v/>
      </c>
      <c r="U168" s="194">
        <f>U166+1</f>
        <v>2200</v>
      </c>
      <c r="V168" s="194" t="str">
        <f t="array" ref="V168">IFERROR(IF(INDEX('Disaggregation Records'!$I$3:$I$66,MATCH(RIGHT(Q168,255),RIGHT('Disaggregation Records'!$D$3:$D$66,255),0))="","",INDEX('Disaggregation Records'!$I$3:$I$66,MATCH(RIGHT(Q168,255),RIGHT('Disaggregation Records'!$D$3:$D$66,255),0))),"")</f>
        <v/>
      </c>
      <c r="W168" s="194" t="str">
        <f>IFERROR(INDEX('Reference Records'!O$3:O$19,MATCH(LEFT(C168,255),'Reference Records'!J$3:J$19,0)),"")</f>
        <v/>
      </c>
    </row>
    <row r="169" spans="1:23" s="195" customFormat="1" ht="40.4" customHeight="1" x14ac:dyDescent="0.35">
      <c r="A169" s="770"/>
      <c r="B169" s="767">
        <v>5.9736842105263204</v>
      </c>
      <c r="C169" s="761"/>
      <c r="D169" s="769"/>
      <c r="E169" s="769"/>
      <c r="F169" s="208"/>
      <c r="G169" s="763"/>
      <c r="H169" s="744"/>
      <c r="I169" s="765"/>
      <c r="J169" s="730"/>
      <c r="K169" s="761"/>
      <c r="L169" s="761"/>
      <c r="M169" s="730"/>
      <c r="N169" s="730"/>
    </row>
    <row r="170" spans="1:23" s="194" customFormat="1" ht="40.4" customHeight="1" x14ac:dyDescent="0.35">
      <c r="A170" s="770" t="str">
        <f t="shared" ca="1" si="2"/>
        <v>a1G3p000005ncDvEAI</v>
      </c>
      <c r="B170" s="766">
        <v>9</v>
      </c>
      <c r="C170" s="760" t="str">
        <f>IFERROR(VLOOKUP(B170,'Impact Indicators - Section B '!$A$9:$AF$52,32,FALSE),"")</f>
        <v/>
      </c>
      <c r="D170" s="768" t="str">
        <f>R170</f>
        <v/>
      </c>
      <c r="E170" s="768" t="str">
        <f>S170</f>
        <v/>
      </c>
      <c r="F170" s="413"/>
      <c r="G170" s="762" t="str">
        <f ca="1">IF(OR(INDIRECT("'update Helper'!E"&amp;U170)="",F170&lt;&gt;0,F171&lt;&gt;0),IF(IFERROR((F170/F171),"")="","",(F170/F171)),INDIRECT("'update Helper'!E"&amp;U170)/100)</f>
        <v/>
      </c>
      <c r="H170" s="743"/>
      <c r="I170" s="764"/>
      <c r="J170" s="729"/>
      <c r="K170" s="760" t="str">
        <f>W170</f>
        <v/>
      </c>
      <c r="L170" s="760" t="str">
        <f>V170</f>
        <v/>
      </c>
      <c r="M170" s="729"/>
      <c r="N170" s="729"/>
      <c r="P170" s="194">
        <f>IF(AND(EXACT(C170,C168),C168&lt;&gt;0),P168+1,0)</f>
        <v>60</v>
      </c>
      <c r="Q170" s="194" t="str">
        <f>IF(C170&lt;&gt;"",C170&amp;"-"&amp;P170,"")</f>
        <v/>
      </c>
      <c r="R170" s="194" t="str">
        <f t="array" ref="R170">IFERROR(IF(INDEX('Disaggregation Records'!$E$3:$E$66,MATCH(RIGHT(Q170,255),RIGHT('Disaggregation Records'!$D$3:$D$66,255),0))="","",INDEX('Disaggregation Records'!$E$3:$E$66,MATCH(RIGHT(Q170,255),RIGHT('Disaggregation Records'!$D$3:$D$66,255),0))),"")</f>
        <v/>
      </c>
      <c r="S170" s="194" t="str">
        <f t="array" ref="S170">IFERROR(IF(INDEX('Disaggregation Records'!$F$3:$F$66,MATCH(RIGHT(Q170,255),RIGHT('Disaggregation Records'!$D$3:$D$66,255),0))="","",INDEX('Disaggregation Records'!$F$3:$F$66,MATCH(RIGHT(Q170,255),RIGHT('Disaggregation Records'!$D$3:$D$66,255),0))),"")</f>
        <v/>
      </c>
      <c r="T170" s="194" t="str">
        <f t="array" ref="T170">IFERROR(IF(INDEX('Disaggregation Records'!$H$3:$H$66,MATCH(RIGHT(Q170,255),RIGHT('Disaggregation Records'!$D$3:$D$66,255),0))="","",INDEX('Disaggregation Records'!$H$3:$H$66,MATCH(RIGHT(Q170,255),RIGHT('Disaggregation Records'!$D$3:$D$66,255),0))),"")</f>
        <v/>
      </c>
      <c r="U170" s="194">
        <f>U168+1</f>
        <v>2201</v>
      </c>
      <c r="V170" s="194" t="str">
        <f t="array" ref="V170">IFERROR(IF(INDEX('Disaggregation Records'!$I$3:$I$66,MATCH(RIGHT(Q170,255),RIGHT('Disaggregation Records'!$D$3:$D$66,255),0))="","",INDEX('Disaggregation Records'!$I$3:$I$66,MATCH(RIGHT(Q170,255),RIGHT('Disaggregation Records'!$D$3:$D$66,255),0))),"")</f>
        <v/>
      </c>
      <c r="W170" s="194" t="str">
        <f>IFERROR(INDEX('Reference Records'!O$3:O$19,MATCH(LEFT(C170,255),'Reference Records'!J$3:J$19,0)),"")</f>
        <v/>
      </c>
    </row>
    <row r="171" spans="1:23" s="194" customFormat="1" ht="40.4" customHeight="1" x14ac:dyDescent="0.35">
      <c r="A171" s="770"/>
      <c r="B171" s="767">
        <v>6.6879699248120303</v>
      </c>
      <c r="C171" s="761"/>
      <c r="D171" s="769"/>
      <c r="E171" s="769"/>
      <c r="F171" s="208"/>
      <c r="G171" s="763"/>
      <c r="H171" s="744"/>
      <c r="I171" s="765"/>
      <c r="J171" s="730"/>
      <c r="K171" s="761"/>
      <c r="L171" s="761"/>
      <c r="M171" s="730"/>
      <c r="N171" s="730"/>
      <c r="P171" s="195"/>
      <c r="Q171" s="195"/>
      <c r="R171" s="195"/>
      <c r="S171" s="195"/>
      <c r="T171" s="195"/>
      <c r="U171" s="195"/>
      <c r="V171" s="195"/>
      <c r="W171" s="195"/>
    </row>
    <row r="172" spans="1:23" s="194" customFormat="1" ht="40.4" customHeight="1" x14ac:dyDescent="0.35">
      <c r="A172" s="770" t="str">
        <f t="shared" ca="1" si="2"/>
        <v>a1G3p000005ncDwEAI</v>
      </c>
      <c r="B172" s="766">
        <v>9</v>
      </c>
      <c r="C172" s="760" t="str">
        <f>IFERROR(VLOOKUP(B172,'Impact Indicators - Section B '!$A$9:$AF$52,32,FALSE),"")</f>
        <v/>
      </c>
      <c r="D172" s="768" t="str">
        <f>R172</f>
        <v/>
      </c>
      <c r="E172" s="768" t="str">
        <f>S172</f>
        <v/>
      </c>
      <c r="F172" s="413"/>
      <c r="G172" s="762" t="str">
        <f ca="1">IF(OR(INDIRECT("'update Helper'!E"&amp;U172)="",F172&lt;&gt;0,F173&lt;&gt;0),IF(IFERROR((F172/F173),"")="","",(F172/F173)),INDIRECT("'update Helper'!E"&amp;U172)/100)</f>
        <v/>
      </c>
      <c r="H172" s="743"/>
      <c r="I172" s="764"/>
      <c r="J172" s="729"/>
      <c r="K172" s="760" t="str">
        <f>W172</f>
        <v/>
      </c>
      <c r="L172" s="760" t="str">
        <f>V172</f>
        <v/>
      </c>
      <c r="M172" s="729"/>
      <c r="N172" s="729"/>
      <c r="P172" s="194">
        <f>IF(AND(EXACT(C172,C170),C170&lt;&gt;0),P170+1,0)</f>
        <v>61</v>
      </c>
      <c r="Q172" s="194" t="str">
        <f>IF(C172&lt;&gt;"",C172&amp;"-"&amp;P172,"")</f>
        <v/>
      </c>
      <c r="R172" s="194" t="str">
        <f t="array" ref="R172">IFERROR(IF(INDEX('Disaggregation Records'!$E$3:$E$66,MATCH(RIGHT(Q172,255),RIGHT('Disaggregation Records'!$D$3:$D$66,255),0))="","",INDEX('Disaggregation Records'!$E$3:$E$66,MATCH(RIGHT(Q172,255),RIGHT('Disaggregation Records'!$D$3:$D$66,255),0))),"")</f>
        <v/>
      </c>
      <c r="S172" s="194" t="str">
        <f t="array" ref="S172">IFERROR(IF(INDEX('Disaggregation Records'!$F$3:$F$66,MATCH(RIGHT(Q172,255),RIGHT('Disaggregation Records'!$D$3:$D$66,255),0))="","",INDEX('Disaggregation Records'!$F$3:$F$66,MATCH(RIGHT(Q172,255),RIGHT('Disaggregation Records'!$D$3:$D$66,255),0))),"")</f>
        <v/>
      </c>
      <c r="T172" s="194" t="str">
        <f t="array" ref="T172">IFERROR(IF(INDEX('Disaggregation Records'!$H$3:$H$66,MATCH(RIGHT(Q172,255),RIGHT('Disaggregation Records'!$D$3:$D$66,255),0))="","",INDEX('Disaggregation Records'!$H$3:$H$66,MATCH(RIGHT(Q172,255),RIGHT('Disaggregation Records'!$D$3:$D$66,255),0))),"")</f>
        <v/>
      </c>
      <c r="U172" s="194">
        <f>U170+1</f>
        <v>2202</v>
      </c>
      <c r="V172" s="194" t="str">
        <f t="array" ref="V172">IFERROR(IF(INDEX('Disaggregation Records'!$I$3:$I$66,MATCH(RIGHT(Q172,255),RIGHT('Disaggregation Records'!$D$3:$D$66,255),0))="","",INDEX('Disaggregation Records'!$I$3:$I$66,MATCH(RIGHT(Q172,255),RIGHT('Disaggregation Records'!$D$3:$D$66,255),0))),"")</f>
        <v/>
      </c>
      <c r="W172" s="194" t="str">
        <f>IFERROR(INDEX('Reference Records'!O$3:O$19,MATCH(LEFT(C172,255),'Reference Records'!J$3:J$19,0)),"")</f>
        <v/>
      </c>
    </row>
    <row r="173" spans="1:23" s="195" customFormat="1" ht="40.4" customHeight="1" x14ac:dyDescent="0.35">
      <c r="A173" s="770"/>
      <c r="B173" s="767">
        <v>6.6879699248120303</v>
      </c>
      <c r="C173" s="761"/>
      <c r="D173" s="769"/>
      <c r="E173" s="769"/>
      <c r="F173" s="208"/>
      <c r="G173" s="763"/>
      <c r="H173" s="744"/>
      <c r="I173" s="765"/>
      <c r="J173" s="730"/>
      <c r="K173" s="761"/>
      <c r="L173" s="761"/>
      <c r="M173" s="730"/>
      <c r="N173" s="730"/>
    </row>
    <row r="174" spans="1:23" s="194" customFormat="1" ht="40.4" customHeight="1" x14ac:dyDescent="0.35">
      <c r="A174" s="770" t="str">
        <f t="shared" ca="1" si="2"/>
        <v>a1G3p000005ncDxEAI</v>
      </c>
      <c r="B174" s="766">
        <v>9</v>
      </c>
      <c r="C174" s="760" t="str">
        <f>IFERROR(VLOOKUP(B174,'Impact Indicators - Section B '!$A$9:$AF$52,32,FALSE),"")</f>
        <v/>
      </c>
      <c r="D174" s="768" t="str">
        <f>R174</f>
        <v/>
      </c>
      <c r="E174" s="768" t="str">
        <f>S174</f>
        <v/>
      </c>
      <c r="F174" s="413"/>
      <c r="G174" s="762" t="str">
        <f ca="1">IF(OR(INDIRECT("'update Helper'!E"&amp;U174)="",F174&lt;&gt;0,F175&lt;&gt;0),IF(IFERROR((F174/F175),"")="","",(F174/F175)),INDIRECT("'update Helper'!E"&amp;U174)/100)</f>
        <v/>
      </c>
      <c r="H174" s="743"/>
      <c r="I174" s="764"/>
      <c r="J174" s="729"/>
      <c r="K174" s="760" t="str">
        <f>W174</f>
        <v/>
      </c>
      <c r="L174" s="760" t="str">
        <f>V174</f>
        <v/>
      </c>
      <c r="M174" s="729"/>
      <c r="N174" s="729"/>
      <c r="P174" s="194">
        <f>IF(AND(EXACT(C174,C172),C172&lt;&gt;0),P172+1,0)</f>
        <v>62</v>
      </c>
      <c r="Q174" s="194" t="str">
        <f>IF(C174&lt;&gt;"",C174&amp;"-"&amp;P174,"")</f>
        <v/>
      </c>
      <c r="R174" s="194" t="str">
        <f t="array" ref="R174">IFERROR(IF(INDEX('Disaggregation Records'!$E$3:$E$66,MATCH(RIGHT(Q174,255),RIGHT('Disaggregation Records'!$D$3:$D$66,255),0))="","",INDEX('Disaggregation Records'!$E$3:$E$66,MATCH(RIGHT(Q174,255),RIGHT('Disaggregation Records'!$D$3:$D$66,255),0))),"")</f>
        <v/>
      </c>
      <c r="S174" s="194" t="str">
        <f t="array" ref="S174">IFERROR(IF(INDEX('Disaggregation Records'!$F$3:$F$66,MATCH(RIGHT(Q174,255),RIGHT('Disaggregation Records'!$D$3:$D$66,255),0))="","",INDEX('Disaggregation Records'!$F$3:$F$66,MATCH(RIGHT(Q174,255),RIGHT('Disaggregation Records'!$D$3:$D$66,255),0))),"")</f>
        <v/>
      </c>
      <c r="T174" s="194" t="str">
        <f t="array" ref="T174">IFERROR(IF(INDEX('Disaggregation Records'!$H$3:$H$66,MATCH(RIGHT(Q174,255),RIGHT('Disaggregation Records'!$D$3:$D$66,255),0))="","",INDEX('Disaggregation Records'!$H$3:$H$66,MATCH(RIGHT(Q174,255),RIGHT('Disaggregation Records'!$D$3:$D$66,255),0))),"")</f>
        <v/>
      </c>
      <c r="U174" s="194">
        <f>U172+1</f>
        <v>2203</v>
      </c>
      <c r="V174" s="194" t="str">
        <f t="array" ref="V174">IFERROR(IF(INDEX('Disaggregation Records'!$I$3:$I$66,MATCH(RIGHT(Q174,255),RIGHT('Disaggregation Records'!$D$3:$D$66,255),0))="","",INDEX('Disaggregation Records'!$I$3:$I$66,MATCH(RIGHT(Q174,255),RIGHT('Disaggregation Records'!$D$3:$D$66,255),0))),"")</f>
        <v/>
      </c>
      <c r="W174" s="194" t="str">
        <f>IFERROR(INDEX('Reference Records'!O$3:O$19,MATCH(LEFT(C174,255),'Reference Records'!J$3:J$19,0)),"")</f>
        <v/>
      </c>
    </row>
    <row r="175" spans="1:23" s="195" customFormat="1" ht="40.4" customHeight="1" x14ac:dyDescent="0.35">
      <c r="A175" s="770"/>
      <c r="B175" s="767">
        <v>6.6879699248120303</v>
      </c>
      <c r="C175" s="761"/>
      <c r="D175" s="769"/>
      <c r="E175" s="769"/>
      <c r="F175" s="208"/>
      <c r="G175" s="763"/>
      <c r="H175" s="744"/>
      <c r="I175" s="765"/>
      <c r="J175" s="730"/>
      <c r="K175" s="761"/>
      <c r="L175" s="761"/>
      <c r="M175" s="730"/>
      <c r="N175" s="730"/>
    </row>
    <row r="176" spans="1:23" s="194" customFormat="1" ht="40.4" customHeight="1" x14ac:dyDescent="0.35">
      <c r="A176" s="770" t="str">
        <f t="shared" ca="1" si="2"/>
        <v>a1G3p000005ncDyEAI</v>
      </c>
      <c r="B176" s="766">
        <v>9</v>
      </c>
      <c r="C176" s="760" t="str">
        <f>IFERROR(VLOOKUP(B176,'Impact Indicators - Section B '!$A$9:$AF$52,32,FALSE),"")</f>
        <v/>
      </c>
      <c r="D176" s="768" t="str">
        <f>R176</f>
        <v/>
      </c>
      <c r="E176" s="768" t="str">
        <f>S176</f>
        <v/>
      </c>
      <c r="F176" s="413"/>
      <c r="G176" s="762" t="str">
        <f ca="1">IF(OR(INDIRECT("'update Helper'!E"&amp;U176)="",F176&lt;&gt;0,F177&lt;&gt;0),IF(IFERROR((F176/F177),"")="","",(F176/F177)),INDIRECT("'update Helper'!E"&amp;U176)/100)</f>
        <v/>
      </c>
      <c r="H176" s="743"/>
      <c r="I176" s="764"/>
      <c r="J176" s="729"/>
      <c r="K176" s="760" t="str">
        <f>W176</f>
        <v/>
      </c>
      <c r="L176" s="760" t="str">
        <f>V176</f>
        <v/>
      </c>
      <c r="M176" s="729"/>
      <c r="N176" s="729"/>
      <c r="P176" s="194">
        <f>IF(AND(EXACT(C176,C174),C174&lt;&gt;0),P174+1,0)</f>
        <v>63</v>
      </c>
      <c r="Q176" s="194" t="str">
        <f>IF(C176&lt;&gt;"",C176&amp;"-"&amp;P176,"")</f>
        <v/>
      </c>
      <c r="R176" s="194" t="str">
        <f t="array" ref="R176">IFERROR(IF(INDEX('Disaggregation Records'!$E$3:$E$66,MATCH(RIGHT(Q176,255),RIGHT('Disaggregation Records'!$D$3:$D$66,255),0))="","",INDEX('Disaggregation Records'!$E$3:$E$66,MATCH(RIGHT(Q176,255),RIGHT('Disaggregation Records'!$D$3:$D$66,255),0))),"")</f>
        <v/>
      </c>
      <c r="S176" s="194" t="str">
        <f t="array" ref="S176">IFERROR(IF(INDEX('Disaggregation Records'!$F$3:$F$66,MATCH(RIGHT(Q176,255),RIGHT('Disaggregation Records'!$D$3:$D$66,255),0))="","",INDEX('Disaggregation Records'!$F$3:$F$66,MATCH(RIGHT(Q176,255),RIGHT('Disaggregation Records'!$D$3:$D$66,255),0))),"")</f>
        <v/>
      </c>
      <c r="T176" s="194" t="str">
        <f t="array" ref="T176">IFERROR(IF(INDEX('Disaggregation Records'!$H$3:$H$66,MATCH(RIGHT(Q176,255),RIGHT('Disaggregation Records'!$D$3:$D$66,255),0))="","",INDEX('Disaggregation Records'!$H$3:$H$66,MATCH(RIGHT(Q176,255),RIGHT('Disaggregation Records'!$D$3:$D$66,255),0))),"")</f>
        <v/>
      </c>
      <c r="U176" s="194">
        <f>U174+1</f>
        <v>2204</v>
      </c>
      <c r="V176" s="194" t="str">
        <f t="array" ref="V176">IFERROR(IF(INDEX('Disaggregation Records'!$I$3:$I$66,MATCH(RIGHT(Q176,255),RIGHT('Disaggregation Records'!$D$3:$D$66,255),0))="","",INDEX('Disaggregation Records'!$I$3:$I$66,MATCH(RIGHT(Q176,255),RIGHT('Disaggregation Records'!$D$3:$D$66,255),0))),"")</f>
        <v/>
      </c>
      <c r="W176" s="194" t="str">
        <f>IFERROR(INDEX('Reference Records'!O$3:O$19,MATCH(LEFT(C176,255),'Reference Records'!J$3:J$19,0)),"")</f>
        <v/>
      </c>
    </row>
    <row r="177" spans="1:23" s="194" customFormat="1" ht="40.4" customHeight="1" x14ac:dyDescent="0.35">
      <c r="A177" s="770"/>
      <c r="B177" s="767">
        <v>6.6879699248120303</v>
      </c>
      <c r="C177" s="761"/>
      <c r="D177" s="769"/>
      <c r="E177" s="769"/>
      <c r="F177" s="208"/>
      <c r="G177" s="763"/>
      <c r="H177" s="744"/>
      <c r="I177" s="765"/>
      <c r="J177" s="730"/>
      <c r="K177" s="761"/>
      <c r="L177" s="761"/>
      <c r="M177" s="730"/>
      <c r="N177" s="730"/>
      <c r="P177" s="195"/>
      <c r="Q177" s="195"/>
      <c r="R177" s="195"/>
      <c r="S177" s="195"/>
      <c r="T177" s="195"/>
      <c r="U177" s="195"/>
      <c r="V177" s="195"/>
      <c r="W177" s="195"/>
    </row>
    <row r="178" spans="1:23" s="194" customFormat="1" ht="40.4" customHeight="1" x14ac:dyDescent="0.35">
      <c r="A178" s="770" t="str">
        <f t="shared" ca="1" si="2"/>
        <v>a1G3p000005ncDzEAI</v>
      </c>
      <c r="B178" s="766">
        <v>9</v>
      </c>
      <c r="C178" s="760" t="str">
        <f>IFERROR(VLOOKUP(B178,'Impact Indicators - Section B '!$A$9:$AF$52,32,FALSE),"")</f>
        <v/>
      </c>
      <c r="D178" s="768" t="str">
        <f>R178</f>
        <v/>
      </c>
      <c r="E178" s="768" t="str">
        <f>S178</f>
        <v/>
      </c>
      <c r="F178" s="413"/>
      <c r="G178" s="762" t="str">
        <f ca="1">IF(OR(INDIRECT("'update Helper'!E"&amp;U178)="",F178&lt;&gt;0,F179&lt;&gt;0),IF(IFERROR((F178/F179),"")="","",(F178/F179)),INDIRECT("'update Helper'!E"&amp;U178)/100)</f>
        <v/>
      </c>
      <c r="H178" s="743"/>
      <c r="I178" s="764"/>
      <c r="J178" s="729"/>
      <c r="K178" s="760" t="str">
        <f>W178</f>
        <v/>
      </c>
      <c r="L178" s="760" t="str">
        <f>V178</f>
        <v/>
      </c>
      <c r="M178" s="729"/>
      <c r="N178" s="729"/>
      <c r="P178" s="194">
        <f>IF(AND(EXACT(C178,C176),C176&lt;&gt;0),P176+1,0)</f>
        <v>64</v>
      </c>
      <c r="Q178" s="194" t="str">
        <f>IF(C178&lt;&gt;"",C178&amp;"-"&amp;P178,"")</f>
        <v/>
      </c>
      <c r="R178" s="194" t="str">
        <f t="array" ref="R178">IFERROR(IF(INDEX('Disaggregation Records'!$E$3:$E$66,MATCH(RIGHT(Q178,255),RIGHT('Disaggregation Records'!$D$3:$D$66,255),0))="","",INDEX('Disaggregation Records'!$E$3:$E$66,MATCH(RIGHT(Q178,255),RIGHT('Disaggregation Records'!$D$3:$D$66,255),0))),"")</f>
        <v/>
      </c>
      <c r="S178" s="194" t="str">
        <f t="array" ref="S178">IFERROR(IF(INDEX('Disaggregation Records'!$F$3:$F$66,MATCH(RIGHT(Q178,255),RIGHT('Disaggregation Records'!$D$3:$D$66,255),0))="","",INDEX('Disaggregation Records'!$F$3:$F$66,MATCH(RIGHT(Q178,255),RIGHT('Disaggregation Records'!$D$3:$D$66,255),0))),"")</f>
        <v/>
      </c>
      <c r="T178" s="194" t="str">
        <f t="array" ref="T178">IFERROR(IF(INDEX('Disaggregation Records'!$H$3:$H$66,MATCH(RIGHT(Q178,255),RIGHT('Disaggregation Records'!$D$3:$D$66,255),0))="","",INDEX('Disaggregation Records'!$H$3:$H$66,MATCH(RIGHT(Q178,255),RIGHT('Disaggregation Records'!$D$3:$D$66,255),0))),"")</f>
        <v/>
      </c>
      <c r="U178" s="194">
        <f>U176+1</f>
        <v>2205</v>
      </c>
      <c r="V178" s="194" t="str">
        <f t="array" ref="V178">IFERROR(IF(INDEX('Disaggregation Records'!$I$3:$I$66,MATCH(RIGHT(Q178,255),RIGHT('Disaggregation Records'!$D$3:$D$66,255),0))="","",INDEX('Disaggregation Records'!$I$3:$I$66,MATCH(RIGHT(Q178,255),RIGHT('Disaggregation Records'!$D$3:$D$66,255),0))),"")</f>
        <v/>
      </c>
      <c r="W178" s="194" t="str">
        <f>IFERROR(INDEX('Reference Records'!O$3:O$19,MATCH(LEFT(C178,255),'Reference Records'!J$3:J$19,0)),"")</f>
        <v/>
      </c>
    </row>
    <row r="179" spans="1:23" s="195" customFormat="1" ht="40.4" customHeight="1" x14ac:dyDescent="0.35">
      <c r="A179" s="770"/>
      <c r="B179" s="767">
        <v>6.6879699248120303</v>
      </c>
      <c r="C179" s="761"/>
      <c r="D179" s="769"/>
      <c r="E179" s="769"/>
      <c r="F179" s="208"/>
      <c r="G179" s="763"/>
      <c r="H179" s="744"/>
      <c r="I179" s="765"/>
      <c r="J179" s="730"/>
      <c r="K179" s="761"/>
      <c r="L179" s="761"/>
      <c r="M179" s="730"/>
      <c r="N179" s="730"/>
    </row>
    <row r="180" spans="1:23" s="194" customFormat="1" ht="40.4" customHeight="1" x14ac:dyDescent="0.35">
      <c r="A180" s="770" t="str">
        <f t="shared" ca="1" si="2"/>
        <v>a1G3p000005ncE0EAI</v>
      </c>
      <c r="B180" s="766">
        <v>9</v>
      </c>
      <c r="C180" s="760" t="str">
        <f>IFERROR(VLOOKUP(B180,'Impact Indicators - Section B '!$A$9:$AF$52,32,FALSE),"")</f>
        <v/>
      </c>
      <c r="D180" s="768" t="str">
        <f>R180</f>
        <v/>
      </c>
      <c r="E180" s="768" t="str">
        <f>S180</f>
        <v/>
      </c>
      <c r="F180" s="413"/>
      <c r="G180" s="762" t="str">
        <f ca="1">IF(OR(INDIRECT("'update Helper'!E"&amp;U180)="",F180&lt;&gt;0,F181&lt;&gt;0),IF(IFERROR((F180/F181),"")="","",(F180/F181)),INDIRECT("'update Helper'!E"&amp;U180)/100)</f>
        <v/>
      </c>
      <c r="H180" s="743"/>
      <c r="I180" s="764"/>
      <c r="J180" s="729"/>
      <c r="K180" s="760" t="str">
        <f>W180</f>
        <v/>
      </c>
      <c r="L180" s="760" t="str">
        <f>V180</f>
        <v/>
      </c>
      <c r="M180" s="729"/>
      <c r="N180" s="729"/>
      <c r="P180" s="194">
        <f>IF(AND(EXACT(C180,C178),C178&lt;&gt;0),P178+1,0)</f>
        <v>65</v>
      </c>
      <c r="Q180" s="194" t="str">
        <f>IF(C180&lt;&gt;"",C180&amp;"-"&amp;P180,"")</f>
        <v/>
      </c>
      <c r="R180" s="194" t="str">
        <f t="array" ref="R180">IFERROR(IF(INDEX('Disaggregation Records'!$E$3:$E$66,MATCH(RIGHT(Q180,255),RIGHT('Disaggregation Records'!$D$3:$D$66,255),0))="","",INDEX('Disaggregation Records'!$E$3:$E$66,MATCH(RIGHT(Q180,255),RIGHT('Disaggregation Records'!$D$3:$D$66,255),0))),"")</f>
        <v/>
      </c>
      <c r="S180" s="194" t="str">
        <f t="array" ref="S180">IFERROR(IF(INDEX('Disaggregation Records'!$F$3:$F$66,MATCH(RIGHT(Q180,255),RIGHT('Disaggregation Records'!$D$3:$D$66,255),0))="","",INDEX('Disaggregation Records'!$F$3:$F$66,MATCH(RIGHT(Q180,255),RIGHT('Disaggregation Records'!$D$3:$D$66,255),0))),"")</f>
        <v/>
      </c>
      <c r="T180" s="194" t="str">
        <f t="array" ref="T180">IFERROR(IF(INDEX('Disaggregation Records'!$H$3:$H$66,MATCH(RIGHT(Q180,255),RIGHT('Disaggregation Records'!$D$3:$D$66,255),0))="","",INDEX('Disaggregation Records'!$H$3:$H$66,MATCH(RIGHT(Q180,255),RIGHT('Disaggregation Records'!$D$3:$D$66,255),0))),"")</f>
        <v/>
      </c>
      <c r="U180" s="194">
        <f>U178+1</f>
        <v>2206</v>
      </c>
      <c r="V180" s="194" t="str">
        <f t="array" ref="V180">IFERROR(IF(INDEX('Disaggregation Records'!$I$3:$I$66,MATCH(RIGHT(Q180,255),RIGHT('Disaggregation Records'!$D$3:$D$66,255),0))="","",INDEX('Disaggregation Records'!$I$3:$I$66,MATCH(RIGHT(Q180,255),RIGHT('Disaggregation Records'!$D$3:$D$66,255),0))),"")</f>
        <v/>
      </c>
      <c r="W180" s="194" t="str">
        <f>IFERROR(INDEX('Reference Records'!O$3:O$19,MATCH(LEFT(C180,255),'Reference Records'!J$3:J$19,0)),"")</f>
        <v/>
      </c>
    </row>
    <row r="181" spans="1:23" s="195" customFormat="1" ht="40.4" customHeight="1" x14ac:dyDescent="0.35">
      <c r="A181" s="770"/>
      <c r="B181" s="767">
        <v>6.6879699248120303</v>
      </c>
      <c r="C181" s="761"/>
      <c r="D181" s="769"/>
      <c r="E181" s="769"/>
      <c r="F181" s="208"/>
      <c r="G181" s="763"/>
      <c r="H181" s="744"/>
      <c r="I181" s="765"/>
      <c r="J181" s="730"/>
      <c r="K181" s="761"/>
      <c r="L181" s="761"/>
      <c r="M181" s="730"/>
      <c r="N181" s="730"/>
    </row>
    <row r="182" spans="1:23" s="194" customFormat="1" ht="40.4" customHeight="1" x14ac:dyDescent="0.35">
      <c r="A182" s="770" t="str">
        <f t="shared" ca="1" si="2"/>
        <v>a1G3p000005ncE1EAI</v>
      </c>
      <c r="B182" s="766">
        <v>9</v>
      </c>
      <c r="C182" s="760" t="str">
        <f>IFERROR(VLOOKUP(B182,'Impact Indicators - Section B '!$A$9:$AF$52,32,FALSE),"")</f>
        <v/>
      </c>
      <c r="D182" s="768" t="str">
        <f>R182</f>
        <v/>
      </c>
      <c r="E182" s="768" t="str">
        <f>S182</f>
        <v/>
      </c>
      <c r="F182" s="413"/>
      <c r="G182" s="762" t="str">
        <f ca="1">IF(OR(INDIRECT("'update Helper'!E"&amp;U182)="",F182&lt;&gt;0,F183&lt;&gt;0),IF(IFERROR((F182/F183),"")="","",(F182/F183)),INDIRECT("'update Helper'!E"&amp;U182)/100)</f>
        <v/>
      </c>
      <c r="H182" s="743"/>
      <c r="I182" s="764"/>
      <c r="J182" s="729"/>
      <c r="K182" s="760" t="str">
        <f>W182</f>
        <v/>
      </c>
      <c r="L182" s="760" t="str">
        <f>V182</f>
        <v/>
      </c>
      <c r="M182" s="729"/>
      <c r="N182" s="729"/>
      <c r="P182" s="194">
        <f>IF(AND(EXACT(C182,C180),C180&lt;&gt;0),P180+1,0)</f>
        <v>66</v>
      </c>
      <c r="Q182" s="194" t="str">
        <f>IF(C182&lt;&gt;"",C182&amp;"-"&amp;P182,"")</f>
        <v/>
      </c>
      <c r="R182" s="194" t="str">
        <f t="array" ref="R182">IFERROR(IF(INDEX('Disaggregation Records'!$E$3:$E$66,MATCH(RIGHT(Q182,255),RIGHT('Disaggregation Records'!$D$3:$D$66,255),0))="","",INDEX('Disaggregation Records'!$E$3:$E$66,MATCH(RIGHT(Q182,255),RIGHT('Disaggregation Records'!$D$3:$D$66,255),0))),"")</f>
        <v/>
      </c>
      <c r="S182" s="194" t="str">
        <f t="array" ref="S182">IFERROR(IF(INDEX('Disaggregation Records'!$F$3:$F$66,MATCH(RIGHT(Q182,255),RIGHT('Disaggregation Records'!$D$3:$D$66,255),0))="","",INDEX('Disaggregation Records'!$F$3:$F$66,MATCH(RIGHT(Q182,255),RIGHT('Disaggregation Records'!$D$3:$D$66,255),0))),"")</f>
        <v/>
      </c>
      <c r="T182" s="194" t="str">
        <f t="array" ref="T182">IFERROR(IF(INDEX('Disaggregation Records'!$H$3:$H$66,MATCH(RIGHT(Q182,255),RIGHT('Disaggregation Records'!$D$3:$D$66,255),0))="","",INDEX('Disaggregation Records'!$H$3:$H$66,MATCH(RIGHT(Q182,255),RIGHT('Disaggregation Records'!$D$3:$D$66,255),0))),"")</f>
        <v/>
      </c>
      <c r="U182" s="194">
        <f>U180+1</f>
        <v>2207</v>
      </c>
      <c r="V182" s="194" t="str">
        <f t="array" ref="V182">IFERROR(IF(INDEX('Disaggregation Records'!$I$3:$I$66,MATCH(RIGHT(Q182,255),RIGHT('Disaggregation Records'!$D$3:$D$66,255),0))="","",INDEX('Disaggregation Records'!$I$3:$I$66,MATCH(RIGHT(Q182,255),RIGHT('Disaggregation Records'!$D$3:$D$66,255),0))),"")</f>
        <v/>
      </c>
      <c r="W182" s="194" t="str">
        <f>IFERROR(INDEX('Reference Records'!O$3:O$19,MATCH(LEFT(C182,255),'Reference Records'!J$3:J$19,0)),"")</f>
        <v/>
      </c>
    </row>
    <row r="183" spans="1:23" s="194" customFormat="1" ht="40.4" customHeight="1" x14ac:dyDescent="0.35">
      <c r="A183" s="770"/>
      <c r="B183" s="767">
        <v>6.6879699248120303</v>
      </c>
      <c r="C183" s="761"/>
      <c r="D183" s="769"/>
      <c r="E183" s="769"/>
      <c r="F183" s="208"/>
      <c r="G183" s="763"/>
      <c r="H183" s="744"/>
      <c r="I183" s="765"/>
      <c r="J183" s="730"/>
      <c r="K183" s="761"/>
      <c r="L183" s="761"/>
      <c r="M183" s="730"/>
      <c r="N183" s="730"/>
      <c r="P183" s="195"/>
      <c r="Q183" s="195"/>
      <c r="R183" s="195"/>
      <c r="S183" s="195"/>
      <c r="T183" s="195"/>
      <c r="U183" s="195"/>
      <c r="V183" s="195"/>
      <c r="W183" s="195"/>
    </row>
    <row r="184" spans="1:23" s="194" customFormat="1" ht="40.4" customHeight="1" x14ac:dyDescent="0.35">
      <c r="A184" s="770" t="str">
        <f t="shared" ca="1" si="2"/>
        <v>a1G3p000005ncE2EAI</v>
      </c>
      <c r="B184" s="766">
        <v>9</v>
      </c>
      <c r="C184" s="760" t="str">
        <f>IFERROR(VLOOKUP(B184,'Impact Indicators - Section B '!$A$9:$AF$52,32,FALSE),"")</f>
        <v/>
      </c>
      <c r="D184" s="768" t="str">
        <f>R184</f>
        <v/>
      </c>
      <c r="E184" s="768" t="str">
        <f>S184</f>
        <v/>
      </c>
      <c r="F184" s="413"/>
      <c r="G184" s="762" t="str">
        <f ca="1">IF(OR(INDIRECT("'update Helper'!E"&amp;U184)="",F184&lt;&gt;0,F185&lt;&gt;0),IF(IFERROR((F184/F185),"")="","",(F184/F185)),INDIRECT("'update Helper'!E"&amp;U184)/100)</f>
        <v/>
      </c>
      <c r="H184" s="743"/>
      <c r="I184" s="764"/>
      <c r="J184" s="729"/>
      <c r="K184" s="760" t="str">
        <f>W184</f>
        <v/>
      </c>
      <c r="L184" s="760" t="str">
        <f>V184</f>
        <v/>
      </c>
      <c r="M184" s="729"/>
      <c r="N184" s="729"/>
      <c r="P184" s="194">
        <f>IF(AND(EXACT(C184,C182),C182&lt;&gt;0),P182+1,0)</f>
        <v>67</v>
      </c>
      <c r="Q184" s="194" t="str">
        <f>IF(C184&lt;&gt;"",C184&amp;"-"&amp;P184,"")</f>
        <v/>
      </c>
      <c r="R184" s="194" t="str">
        <f t="array" ref="R184">IFERROR(IF(INDEX('Disaggregation Records'!$E$3:$E$66,MATCH(RIGHT(Q184,255),RIGHT('Disaggregation Records'!$D$3:$D$66,255),0))="","",INDEX('Disaggregation Records'!$E$3:$E$66,MATCH(RIGHT(Q184,255),RIGHT('Disaggregation Records'!$D$3:$D$66,255),0))),"")</f>
        <v/>
      </c>
      <c r="S184" s="194" t="str">
        <f t="array" ref="S184">IFERROR(IF(INDEX('Disaggregation Records'!$F$3:$F$66,MATCH(RIGHT(Q184,255),RIGHT('Disaggregation Records'!$D$3:$D$66,255),0))="","",INDEX('Disaggregation Records'!$F$3:$F$66,MATCH(RIGHT(Q184,255),RIGHT('Disaggregation Records'!$D$3:$D$66,255),0))),"")</f>
        <v/>
      </c>
      <c r="T184" s="194" t="str">
        <f t="array" ref="T184">IFERROR(IF(INDEX('Disaggregation Records'!$H$3:$H$66,MATCH(RIGHT(Q184,255),RIGHT('Disaggregation Records'!$D$3:$D$66,255),0))="","",INDEX('Disaggregation Records'!$H$3:$H$66,MATCH(RIGHT(Q184,255),RIGHT('Disaggregation Records'!$D$3:$D$66,255),0))),"")</f>
        <v/>
      </c>
      <c r="U184" s="194">
        <f>U182+1</f>
        <v>2208</v>
      </c>
      <c r="V184" s="194" t="str">
        <f t="array" ref="V184">IFERROR(IF(INDEX('Disaggregation Records'!$I$3:$I$66,MATCH(RIGHT(Q184,255),RIGHT('Disaggregation Records'!$D$3:$D$66,255),0))="","",INDEX('Disaggregation Records'!$I$3:$I$66,MATCH(RIGHT(Q184,255),RIGHT('Disaggregation Records'!$D$3:$D$66,255),0))),"")</f>
        <v/>
      </c>
      <c r="W184" s="194" t="str">
        <f>IFERROR(INDEX('Reference Records'!O$3:O$19,MATCH(LEFT(C184,255),'Reference Records'!J$3:J$19,0)),"")</f>
        <v/>
      </c>
    </row>
    <row r="185" spans="1:23" s="195" customFormat="1" ht="40.4" customHeight="1" x14ac:dyDescent="0.35">
      <c r="A185" s="770"/>
      <c r="B185" s="767">
        <v>6.6879699248120303</v>
      </c>
      <c r="C185" s="761"/>
      <c r="D185" s="769"/>
      <c r="E185" s="769"/>
      <c r="F185" s="208"/>
      <c r="G185" s="763"/>
      <c r="H185" s="744"/>
      <c r="I185" s="765"/>
      <c r="J185" s="730"/>
      <c r="K185" s="761"/>
      <c r="L185" s="761"/>
      <c r="M185" s="730"/>
      <c r="N185" s="730"/>
    </row>
    <row r="186" spans="1:23" s="194" customFormat="1" ht="40.4" customHeight="1" x14ac:dyDescent="0.35">
      <c r="A186" s="770" t="str">
        <f t="shared" ca="1" si="2"/>
        <v>a1G3p000005ncE3EAI</v>
      </c>
      <c r="B186" s="766">
        <v>9</v>
      </c>
      <c r="C186" s="760" t="str">
        <f>IFERROR(VLOOKUP(B186,'Impact Indicators - Section B '!$A$9:$AF$52,32,FALSE),"")</f>
        <v/>
      </c>
      <c r="D186" s="768" t="str">
        <f>R186</f>
        <v/>
      </c>
      <c r="E186" s="768" t="str">
        <f>S186</f>
        <v/>
      </c>
      <c r="F186" s="413"/>
      <c r="G186" s="762" t="str">
        <f ca="1">IF(OR(INDIRECT("'update Helper'!E"&amp;U186)="",F186&lt;&gt;0,F187&lt;&gt;0),IF(IFERROR((F186/F187),"")="","",(F186/F187)),INDIRECT("'update Helper'!E"&amp;U186)/100)</f>
        <v/>
      </c>
      <c r="H186" s="743"/>
      <c r="I186" s="764"/>
      <c r="J186" s="729"/>
      <c r="K186" s="760" t="str">
        <f>W186</f>
        <v/>
      </c>
      <c r="L186" s="760" t="str">
        <f>V186</f>
        <v/>
      </c>
      <c r="M186" s="729"/>
      <c r="N186" s="729"/>
      <c r="P186" s="194">
        <f>IF(AND(EXACT(C186,C184),C184&lt;&gt;0),P184+1,0)</f>
        <v>68</v>
      </c>
      <c r="Q186" s="194" t="str">
        <f>IF(C186&lt;&gt;"",C186&amp;"-"&amp;P186,"")</f>
        <v/>
      </c>
      <c r="R186" s="194" t="str">
        <f t="array" ref="R186">IFERROR(IF(INDEX('Disaggregation Records'!$E$3:$E$66,MATCH(RIGHT(Q186,255),RIGHT('Disaggregation Records'!$D$3:$D$66,255),0))="","",INDEX('Disaggregation Records'!$E$3:$E$66,MATCH(RIGHT(Q186,255),RIGHT('Disaggregation Records'!$D$3:$D$66,255),0))),"")</f>
        <v/>
      </c>
      <c r="S186" s="194" t="str">
        <f t="array" ref="S186">IFERROR(IF(INDEX('Disaggregation Records'!$F$3:$F$66,MATCH(RIGHT(Q186,255),RIGHT('Disaggregation Records'!$D$3:$D$66,255),0))="","",INDEX('Disaggregation Records'!$F$3:$F$66,MATCH(RIGHT(Q186,255),RIGHT('Disaggregation Records'!$D$3:$D$66,255),0))),"")</f>
        <v/>
      </c>
      <c r="T186" s="194" t="str">
        <f t="array" ref="T186">IFERROR(IF(INDEX('Disaggregation Records'!$H$3:$H$66,MATCH(RIGHT(Q186,255),RIGHT('Disaggregation Records'!$D$3:$D$66,255),0))="","",INDEX('Disaggregation Records'!$H$3:$H$66,MATCH(RIGHT(Q186,255),RIGHT('Disaggregation Records'!$D$3:$D$66,255),0))),"")</f>
        <v/>
      </c>
      <c r="U186" s="194">
        <f>U184+1</f>
        <v>2209</v>
      </c>
      <c r="V186" s="194" t="str">
        <f t="array" ref="V186">IFERROR(IF(INDEX('Disaggregation Records'!$I$3:$I$66,MATCH(RIGHT(Q186,255),RIGHT('Disaggregation Records'!$D$3:$D$66,255),0))="","",INDEX('Disaggregation Records'!$I$3:$I$66,MATCH(RIGHT(Q186,255),RIGHT('Disaggregation Records'!$D$3:$D$66,255),0))),"")</f>
        <v/>
      </c>
      <c r="W186" s="194" t="str">
        <f>IFERROR(INDEX('Reference Records'!O$3:O$19,MATCH(LEFT(C186,255),'Reference Records'!J$3:J$19,0)),"")</f>
        <v/>
      </c>
    </row>
    <row r="187" spans="1:23" s="195" customFormat="1" ht="40.4" customHeight="1" x14ac:dyDescent="0.35">
      <c r="A187" s="770"/>
      <c r="B187" s="767">
        <v>6.6879699248120303</v>
      </c>
      <c r="C187" s="761"/>
      <c r="D187" s="769"/>
      <c r="E187" s="769"/>
      <c r="F187" s="208"/>
      <c r="G187" s="763"/>
      <c r="H187" s="744"/>
      <c r="I187" s="765"/>
      <c r="J187" s="730"/>
      <c r="K187" s="761"/>
      <c r="L187" s="761"/>
      <c r="M187" s="730"/>
      <c r="N187" s="730"/>
    </row>
    <row r="188" spans="1:23" s="194" customFormat="1" ht="40.4" customHeight="1" x14ac:dyDescent="0.35">
      <c r="A188" s="770" t="str">
        <f t="shared" ca="1" si="2"/>
        <v>a1G3p000005ncE4EAI</v>
      </c>
      <c r="B188" s="766">
        <v>9</v>
      </c>
      <c r="C188" s="760" t="str">
        <f>IFERROR(VLOOKUP(B188,'Impact Indicators - Section B '!$A$9:$AF$52,32,FALSE),"")</f>
        <v/>
      </c>
      <c r="D188" s="768" t="str">
        <f>R188</f>
        <v/>
      </c>
      <c r="E188" s="768" t="str">
        <f>S188</f>
        <v/>
      </c>
      <c r="F188" s="413"/>
      <c r="G188" s="762" t="str">
        <f ca="1">IF(OR(INDIRECT("'update Helper'!E"&amp;U188)="",F188&lt;&gt;0,F189&lt;&gt;0),IF(IFERROR((F188/F189),"")="","",(F188/F189)),INDIRECT("'update Helper'!E"&amp;U188)/100)</f>
        <v/>
      </c>
      <c r="H188" s="743"/>
      <c r="I188" s="764"/>
      <c r="J188" s="729"/>
      <c r="K188" s="760" t="str">
        <f>W188</f>
        <v/>
      </c>
      <c r="L188" s="760" t="str">
        <f>V188</f>
        <v/>
      </c>
      <c r="M188" s="729"/>
      <c r="N188" s="729"/>
      <c r="P188" s="194">
        <f>IF(AND(EXACT(C188,C186),C186&lt;&gt;0),P186+1,0)</f>
        <v>69</v>
      </c>
      <c r="Q188" s="194" t="str">
        <f>IF(C188&lt;&gt;"",C188&amp;"-"&amp;P188,"")</f>
        <v/>
      </c>
      <c r="R188" s="194" t="str">
        <f t="array" ref="R188">IFERROR(IF(INDEX('Disaggregation Records'!$E$3:$E$66,MATCH(RIGHT(Q188,255),RIGHT('Disaggregation Records'!$D$3:$D$66,255),0))="","",INDEX('Disaggregation Records'!$E$3:$E$66,MATCH(RIGHT(Q188,255),RIGHT('Disaggregation Records'!$D$3:$D$66,255),0))),"")</f>
        <v/>
      </c>
      <c r="S188" s="194" t="str">
        <f t="array" ref="S188">IFERROR(IF(INDEX('Disaggregation Records'!$F$3:$F$66,MATCH(RIGHT(Q188,255),RIGHT('Disaggregation Records'!$D$3:$D$66,255),0))="","",INDEX('Disaggregation Records'!$F$3:$F$66,MATCH(RIGHT(Q188,255),RIGHT('Disaggregation Records'!$D$3:$D$66,255),0))),"")</f>
        <v/>
      </c>
      <c r="T188" s="194" t="str">
        <f t="array" ref="T188">IFERROR(IF(INDEX('Disaggregation Records'!$H$3:$H$66,MATCH(RIGHT(Q188,255),RIGHT('Disaggregation Records'!$D$3:$D$66,255),0))="","",INDEX('Disaggregation Records'!$H$3:$H$66,MATCH(RIGHT(Q188,255),RIGHT('Disaggregation Records'!$D$3:$D$66,255),0))),"")</f>
        <v/>
      </c>
      <c r="U188" s="194">
        <f>U186+1</f>
        <v>2210</v>
      </c>
      <c r="V188" s="194" t="str">
        <f t="array" ref="V188">IFERROR(IF(INDEX('Disaggregation Records'!$I$3:$I$66,MATCH(RIGHT(Q188,255),RIGHT('Disaggregation Records'!$D$3:$D$66,255),0))="","",INDEX('Disaggregation Records'!$I$3:$I$66,MATCH(RIGHT(Q188,255),RIGHT('Disaggregation Records'!$D$3:$D$66,255),0))),"")</f>
        <v/>
      </c>
      <c r="W188" s="194" t="str">
        <f>IFERROR(INDEX('Reference Records'!O$3:O$19,MATCH(LEFT(C188,255),'Reference Records'!J$3:J$19,0)),"")</f>
        <v/>
      </c>
    </row>
    <row r="189" spans="1:23" s="194" customFormat="1" ht="40.4" customHeight="1" x14ac:dyDescent="0.35">
      <c r="A189" s="770"/>
      <c r="B189" s="767">
        <v>6.6879699248120303</v>
      </c>
      <c r="C189" s="761"/>
      <c r="D189" s="769"/>
      <c r="E189" s="769"/>
      <c r="F189" s="208"/>
      <c r="G189" s="763"/>
      <c r="H189" s="744"/>
      <c r="I189" s="765"/>
      <c r="J189" s="730"/>
      <c r="K189" s="761"/>
      <c r="L189" s="761"/>
      <c r="M189" s="730"/>
      <c r="N189" s="730"/>
      <c r="P189" s="195"/>
      <c r="Q189" s="195"/>
      <c r="R189" s="195"/>
      <c r="S189" s="195"/>
      <c r="T189" s="195"/>
      <c r="U189" s="195"/>
      <c r="V189" s="195"/>
      <c r="W189" s="195"/>
    </row>
    <row r="190" spans="1:23" s="194" customFormat="1" ht="40.4" customHeight="1" x14ac:dyDescent="0.35">
      <c r="A190" s="770" t="str">
        <f t="shared" ca="1" si="2"/>
        <v>a1G3p000005ncGLEAY</v>
      </c>
      <c r="B190" s="766">
        <v>10</v>
      </c>
      <c r="C190" s="760" t="str">
        <f>IFERROR(VLOOKUP(B190,'Impact Indicators - Section B '!$A$9:$AF$52,32,FALSE),"")</f>
        <v/>
      </c>
      <c r="D190" s="768" t="str">
        <f>R190</f>
        <v/>
      </c>
      <c r="E190" s="768" t="str">
        <f>S190</f>
        <v/>
      </c>
      <c r="F190" s="413"/>
      <c r="G190" s="762" t="str">
        <f ca="1">IF(OR(INDIRECT("'update Helper'!E"&amp;U190)="",F190&lt;&gt;0,F191&lt;&gt;0),IF(IFERROR((F190/F191),"")="","",(F190/F191)),INDIRECT("'update Helper'!E"&amp;U190)/100)</f>
        <v/>
      </c>
      <c r="H190" s="743"/>
      <c r="I190" s="764"/>
      <c r="J190" s="729"/>
      <c r="K190" s="760" t="str">
        <f>W190</f>
        <v/>
      </c>
      <c r="L190" s="760" t="str">
        <f>V190</f>
        <v/>
      </c>
      <c r="M190" s="729"/>
      <c r="N190" s="729"/>
      <c r="P190" s="194">
        <f>IF(AND(EXACT(C190,C188),C188&lt;&gt;0),P188+1,0)</f>
        <v>70</v>
      </c>
      <c r="Q190" s="194" t="str">
        <f>IF(C190&lt;&gt;"",C190&amp;"-"&amp;P190,"")</f>
        <v/>
      </c>
      <c r="R190" s="194" t="str">
        <f t="array" ref="R190">IFERROR(IF(INDEX('Disaggregation Records'!$E$3:$E$66,MATCH(RIGHT(Q190,255),RIGHT('Disaggregation Records'!$D$3:$D$66,255),0))="","",INDEX('Disaggregation Records'!$E$3:$E$66,MATCH(RIGHT(Q190,255),RIGHT('Disaggregation Records'!$D$3:$D$66,255),0))),"")</f>
        <v/>
      </c>
      <c r="S190" s="194" t="str">
        <f t="array" ref="S190">IFERROR(IF(INDEX('Disaggregation Records'!$F$3:$F$66,MATCH(RIGHT(Q190,255),RIGHT('Disaggregation Records'!$D$3:$D$66,255),0))="","",INDEX('Disaggregation Records'!$F$3:$F$66,MATCH(RIGHT(Q190,255),RIGHT('Disaggregation Records'!$D$3:$D$66,255),0))),"")</f>
        <v/>
      </c>
      <c r="T190" s="194" t="str">
        <f t="array" ref="T190">IFERROR(IF(INDEX('Disaggregation Records'!$H$3:$H$66,MATCH(RIGHT(Q190,255),RIGHT('Disaggregation Records'!$D$3:$D$66,255),0))="","",INDEX('Disaggregation Records'!$H$3:$H$66,MATCH(RIGHT(Q190,255),RIGHT('Disaggregation Records'!$D$3:$D$66,255),0))),"")</f>
        <v/>
      </c>
      <c r="U190" s="194">
        <f>U188+1</f>
        <v>2211</v>
      </c>
      <c r="V190" s="194" t="str">
        <f t="array" ref="V190">IFERROR(IF(INDEX('Disaggregation Records'!$I$3:$I$66,MATCH(RIGHT(Q190,255),RIGHT('Disaggregation Records'!$D$3:$D$66,255),0))="","",INDEX('Disaggregation Records'!$I$3:$I$66,MATCH(RIGHT(Q190,255),RIGHT('Disaggregation Records'!$D$3:$D$66,255),0))),"")</f>
        <v/>
      </c>
      <c r="W190" s="194" t="str">
        <f>IFERROR(INDEX('Reference Records'!O$3:O$19,MATCH(LEFT(C190,255),'Reference Records'!J$3:J$19,0)),"")</f>
        <v/>
      </c>
    </row>
    <row r="191" spans="1:23" s="195" customFormat="1" ht="40.4" customHeight="1" x14ac:dyDescent="0.35">
      <c r="A191" s="770"/>
      <c r="B191" s="767">
        <v>7.4398496240601597</v>
      </c>
      <c r="C191" s="761"/>
      <c r="D191" s="769"/>
      <c r="E191" s="769"/>
      <c r="F191" s="208"/>
      <c r="G191" s="763"/>
      <c r="H191" s="744"/>
      <c r="I191" s="765"/>
      <c r="J191" s="730"/>
      <c r="K191" s="761"/>
      <c r="L191" s="761"/>
      <c r="M191" s="730"/>
      <c r="N191" s="730"/>
    </row>
    <row r="192" spans="1:23" s="194" customFormat="1" ht="40.4" customHeight="1" x14ac:dyDescent="0.35">
      <c r="A192" s="770" t="str">
        <f t="shared" ca="1" si="2"/>
        <v>a1G3p000005ncGMEAY</v>
      </c>
      <c r="B192" s="766">
        <v>10</v>
      </c>
      <c r="C192" s="760" t="str">
        <f>IFERROR(VLOOKUP(B192,'Impact Indicators - Section B '!$A$9:$AF$52,32,FALSE),"")</f>
        <v/>
      </c>
      <c r="D192" s="768" t="str">
        <f>R192</f>
        <v/>
      </c>
      <c r="E192" s="768" t="str">
        <f>S192</f>
        <v/>
      </c>
      <c r="F192" s="413"/>
      <c r="G192" s="762" t="str">
        <f ca="1">IF(OR(INDIRECT("'update Helper'!E"&amp;U192)="",F192&lt;&gt;0,F193&lt;&gt;0),IF(IFERROR((F192/F193),"")="","",(F192/F193)),INDIRECT("'update Helper'!E"&amp;U192)/100)</f>
        <v/>
      </c>
      <c r="H192" s="743"/>
      <c r="I192" s="764"/>
      <c r="J192" s="729"/>
      <c r="K192" s="760" t="str">
        <f>W192</f>
        <v/>
      </c>
      <c r="L192" s="760" t="str">
        <f>V192</f>
        <v/>
      </c>
      <c r="M192" s="729"/>
      <c r="N192" s="729"/>
      <c r="P192" s="194">
        <f>IF(AND(EXACT(C192,C190),C190&lt;&gt;0),P190+1,0)</f>
        <v>71</v>
      </c>
      <c r="Q192" s="194" t="str">
        <f>IF(C192&lt;&gt;"",C192&amp;"-"&amp;P192,"")</f>
        <v/>
      </c>
      <c r="R192" s="194" t="str">
        <f t="array" ref="R192">IFERROR(IF(INDEX('Disaggregation Records'!$E$3:$E$66,MATCH(RIGHT(Q192,255),RIGHT('Disaggregation Records'!$D$3:$D$66,255),0))="","",INDEX('Disaggregation Records'!$E$3:$E$66,MATCH(RIGHT(Q192,255),RIGHT('Disaggregation Records'!$D$3:$D$66,255),0))),"")</f>
        <v/>
      </c>
      <c r="S192" s="194" t="str">
        <f t="array" ref="S192">IFERROR(IF(INDEX('Disaggregation Records'!$F$3:$F$66,MATCH(RIGHT(Q192,255),RIGHT('Disaggregation Records'!$D$3:$D$66,255),0))="","",INDEX('Disaggregation Records'!$F$3:$F$66,MATCH(RIGHT(Q192,255),RIGHT('Disaggregation Records'!$D$3:$D$66,255),0))),"")</f>
        <v/>
      </c>
      <c r="T192" s="194" t="str">
        <f t="array" ref="T192">IFERROR(IF(INDEX('Disaggregation Records'!$H$3:$H$66,MATCH(RIGHT(Q192,255),RIGHT('Disaggregation Records'!$D$3:$D$66,255),0))="","",INDEX('Disaggregation Records'!$H$3:$H$66,MATCH(RIGHT(Q192,255),RIGHT('Disaggregation Records'!$D$3:$D$66,255),0))),"")</f>
        <v/>
      </c>
      <c r="U192" s="194">
        <f>U190+1</f>
        <v>2212</v>
      </c>
      <c r="V192" s="194" t="str">
        <f t="array" ref="V192">IFERROR(IF(INDEX('Disaggregation Records'!$I$3:$I$66,MATCH(RIGHT(Q192,255),RIGHT('Disaggregation Records'!$D$3:$D$66,255),0))="","",INDEX('Disaggregation Records'!$I$3:$I$66,MATCH(RIGHT(Q192,255),RIGHT('Disaggregation Records'!$D$3:$D$66,255),0))),"")</f>
        <v/>
      </c>
      <c r="W192" s="194" t="str">
        <f>IFERROR(INDEX('Reference Records'!O$3:O$19,MATCH(LEFT(C192,255),'Reference Records'!J$3:J$19,0)),"")</f>
        <v/>
      </c>
    </row>
    <row r="193" spans="1:23" s="195" customFormat="1" ht="40.4" customHeight="1" x14ac:dyDescent="0.35">
      <c r="A193" s="770"/>
      <c r="B193" s="767">
        <v>7.4398496240601597</v>
      </c>
      <c r="C193" s="761"/>
      <c r="D193" s="769"/>
      <c r="E193" s="769"/>
      <c r="F193" s="208"/>
      <c r="G193" s="763"/>
      <c r="H193" s="744"/>
      <c r="I193" s="765"/>
      <c r="J193" s="730"/>
      <c r="K193" s="761"/>
      <c r="L193" s="761"/>
      <c r="M193" s="730"/>
      <c r="N193" s="730"/>
    </row>
    <row r="194" spans="1:23" s="194" customFormat="1" ht="40.4" customHeight="1" x14ac:dyDescent="0.35">
      <c r="A194" s="770" t="str">
        <f t="shared" ca="1" si="2"/>
        <v>a1G3p000005ncGNEAY</v>
      </c>
      <c r="B194" s="766">
        <v>10</v>
      </c>
      <c r="C194" s="760" t="str">
        <f>IFERROR(VLOOKUP(B194,'Impact Indicators - Section B '!$A$9:$AF$52,32,FALSE),"")</f>
        <v/>
      </c>
      <c r="D194" s="768" t="str">
        <f>R194</f>
        <v/>
      </c>
      <c r="E194" s="768" t="str">
        <f>S194</f>
        <v/>
      </c>
      <c r="F194" s="413"/>
      <c r="G194" s="762" t="str">
        <f ca="1">IF(OR(INDIRECT("'update Helper'!E"&amp;U194)="",F194&lt;&gt;0,F195&lt;&gt;0),IF(IFERROR((F194/F195),"")="","",(F194/F195)),INDIRECT("'update Helper'!E"&amp;U194)/100)</f>
        <v/>
      </c>
      <c r="H194" s="743"/>
      <c r="I194" s="764"/>
      <c r="J194" s="729"/>
      <c r="K194" s="760" t="str">
        <f>W194</f>
        <v/>
      </c>
      <c r="L194" s="760" t="str">
        <f>V194</f>
        <v/>
      </c>
      <c r="M194" s="729"/>
      <c r="N194" s="729"/>
      <c r="P194" s="194">
        <f>IF(AND(EXACT(C194,C192),C192&lt;&gt;0),P192+1,0)</f>
        <v>72</v>
      </c>
      <c r="Q194" s="194" t="str">
        <f>IF(C194&lt;&gt;"",C194&amp;"-"&amp;P194,"")</f>
        <v/>
      </c>
      <c r="R194" s="194" t="str">
        <f t="array" ref="R194">IFERROR(IF(INDEX('Disaggregation Records'!$E$3:$E$66,MATCH(RIGHT(Q194,255),RIGHT('Disaggregation Records'!$D$3:$D$66,255),0))="","",INDEX('Disaggregation Records'!$E$3:$E$66,MATCH(RIGHT(Q194,255),RIGHT('Disaggregation Records'!$D$3:$D$66,255),0))),"")</f>
        <v/>
      </c>
      <c r="S194" s="194" t="str">
        <f t="array" ref="S194">IFERROR(IF(INDEX('Disaggregation Records'!$F$3:$F$66,MATCH(RIGHT(Q194,255),RIGHT('Disaggregation Records'!$D$3:$D$66,255),0))="","",INDEX('Disaggregation Records'!$F$3:$F$66,MATCH(RIGHT(Q194,255),RIGHT('Disaggregation Records'!$D$3:$D$66,255),0))),"")</f>
        <v/>
      </c>
      <c r="T194" s="194" t="str">
        <f t="array" ref="T194">IFERROR(IF(INDEX('Disaggregation Records'!$H$3:$H$66,MATCH(RIGHT(Q194,255),RIGHT('Disaggregation Records'!$D$3:$D$66,255),0))="","",INDEX('Disaggregation Records'!$H$3:$H$66,MATCH(RIGHT(Q194,255),RIGHT('Disaggregation Records'!$D$3:$D$66,255),0))),"")</f>
        <v/>
      </c>
      <c r="U194" s="194">
        <f>U192+1</f>
        <v>2213</v>
      </c>
      <c r="V194" s="194" t="str">
        <f t="array" ref="V194">IFERROR(IF(INDEX('Disaggregation Records'!$I$3:$I$66,MATCH(RIGHT(Q194,255),RIGHT('Disaggregation Records'!$D$3:$D$66,255),0))="","",INDEX('Disaggregation Records'!$I$3:$I$66,MATCH(RIGHT(Q194,255),RIGHT('Disaggregation Records'!$D$3:$D$66,255),0))),"")</f>
        <v/>
      </c>
      <c r="W194" s="194" t="str">
        <f>IFERROR(INDEX('Reference Records'!O$3:O$19,MATCH(LEFT(C194,255),'Reference Records'!J$3:J$19,0)),"")</f>
        <v/>
      </c>
    </row>
    <row r="195" spans="1:23" s="194" customFormat="1" ht="40.4" customHeight="1" x14ac:dyDescent="0.35">
      <c r="A195" s="770"/>
      <c r="B195" s="767">
        <v>7.4398496240601597</v>
      </c>
      <c r="C195" s="761"/>
      <c r="D195" s="769"/>
      <c r="E195" s="769"/>
      <c r="F195" s="208"/>
      <c r="G195" s="763"/>
      <c r="H195" s="744"/>
      <c r="I195" s="765"/>
      <c r="J195" s="730"/>
      <c r="K195" s="761"/>
      <c r="L195" s="761"/>
      <c r="M195" s="730"/>
      <c r="N195" s="730"/>
      <c r="P195" s="195"/>
      <c r="Q195" s="195"/>
      <c r="R195" s="195"/>
      <c r="S195" s="195"/>
      <c r="T195" s="195"/>
      <c r="U195" s="195"/>
      <c r="V195" s="195"/>
      <c r="W195" s="195"/>
    </row>
    <row r="196" spans="1:23" s="194" customFormat="1" ht="40.4" customHeight="1" x14ac:dyDescent="0.35">
      <c r="A196" s="770" t="str">
        <f t="shared" ca="1" si="2"/>
        <v>a1G3p000005ncGOEAY</v>
      </c>
      <c r="B196" s="766">
        <v>10</v>
      </c>
      <c r="C196" s="760" t="str">
        <f>IFERROR(VLOOKUP(B196,'Impact Indicators - Section B '!$A$9:$AF$52,32,FALSE),"")</f>
        <v/>
      </c>
      <c r="D196" s="768" t="str">
        <f>R196</f>
        <v/>
      </c>
      <c r="E196" s="768" t="str">
        <f>S196</f>
        <v/>
      </c>
      <c r="F196" s="413"/>
      <c r="G196" s="762" t="str">
        <f ca="1">IF(OR(INDIRECT("'update Helper'!E"&amp;U196)="",F196&lt;&gt;0,F197&lt;&gt;0),IF(IFERROR((F196/F197),"")="","",(F196/F197)),INDIRECT("'update Helper'!E"&amp;U196)/100)</f>
        <v/>
      </c>
      <c r="H196" s="743"/>
      <c r="I196" s="764"/>
      <c r="J196" s="729"/>
      <c r="K196" s="760" t="str">
        <f>W196</f>
        <v/>
      </c>
      <c r="L196" s="760" t="str">
        <f>V196</f>
        <v/>
      </c>
      <c r="M196" s="729"/>
      <c r="N196" s="729"/>
      <c r="P196" s="194">
        <f>IF(AND(EXACT(C196,C194),C194&lt;&gt;0),P194+1,0)</f>
        <v>73</v>
      </c>
      <c r="Q196" s="194" t="str">
        <f>IF(C196&lt;&gt;"",C196&amp;"-"&amp;P196,"")</f>
        <v/>
      </c>
      <c r="R196" s="194" t="str">
        <f t="array" ref="R196">IFERROR(IF(INDEX('Disaggregation Records'!$E$3:$E$66,MATCH(RIGHT(Q196,255),RIGHT('Disaggregation Records'!$D$3:$D$66,255),0))="","",INDEX('Disaggregation Records'!$E$3:$E$66,MATCH(RIGHT(Q196,255),RIGHT('Disaggregation Records'!$D$3:$D$66,255),0))),"")</f>
        <v/>
      </c>
      <c r="S196" s="194" t="str">
        <f t="array" ref="S196">IFERROR(IF(INDEX('Disaggregation Records'!$F$3:$F$66,MATCH(RIGHT(Q196,255),RIGHT('Disaggregation Records'!$D$3:$D$66,255),0))="","",INDEX('Disaggregation Records'!$F$3:$F$66,MATCH(RIGHT(Q196,255),RIGHT('Disaggregation Records'!$D$3:$D$66,255),0))),"")</f>
        <v/>
      </c>
      <c r="T196" s="194" t="str">
        <f t="array" ref="T196">IFERROR(IF(INDEX('Disaggregation Records'!$H$3:$H$66,MATCH(RIGHT(Q196,255),RIGHT('Disaggregation Records'!$D$3:$D$66,255),0))="","",INDEX('Disaggregation Records'!$H$3:$H$66,MATCH(RIGHT(Q196,255),RIGHT('Disaggregation Records'!$D$3:$D$66,255),0))),"")</f>
        <v/>
      </c>
      <c r="U196" s="194">
        <f>U194+1</f>
        <v>2214</v>
      </c>
      <c r="V196" s="194" t="str">
        <f t="array" ref="V196">IFERROR(IF(INDEX('Disaggregation Records'!$I$3:$I$66,MATCH(RIGHT(Q196,255),RIGHT('Disaggregation Records'!$D$3:$D$66,255),0))="","",INDEX('Disaggregation Records'!$I$3:$I$66,MATCH(RIGHT(Q196,255),RIGHT('Disaggregation Records'!$D$3:$D$66,255),0))),"")</f>
        <v/>
      </c>
      <c r="W196" s="194" t="str">
        <f>IFERROR(INDEX('Reference Records'!O$3:O$19,MATCH(LEFT(C196,255),'Reference Records'!J$3:J$19,0)),"")</f>
        <v/>
      </c>
    </row>
    <row r="197" spans="1:23" s="195" customFormat="1" ht="40.4" customHeight="1" x14ac:dyDescent="0.35">
      <c r="A197" s="770"/>
      <c r="B197" s="767">
        <v>7.4398496240601597</v>
      </c>
      <c r="C197" s="761"/>
      <c r="D197" s="769"/>
      <c r="E197" s="769"/>
      <c r="F197" s="208"/>
      <c r="G197" s="763"/>
      <c r="H197" s="744"/>
      <c r="I197" s="765"/>
      <c r="J197" s="730"/>
      <c r="K197" s="761"/>
      <c r="L197" s="761"/>
      <c r="M197" s="730"/>
      <c r="N197" s="730"/>
    </row>
    <row r="198" spans="1:23" s="194" customFormat="1" ht="40.4" customHeight="1" x14ac:dyDescent="0.35">
      <c r="A198" s="770" t="str">
        <f t="shared" ca="1" si="2"/>
        <v>a1G3p000005ncGPEAY</v>
      </c>
      <c r="B198" s="766">
        <v>10</v>
      </c>
      <c r="C198" s="760" t="str">
        <f>IFERROR(VLOOKUP(B198,'Impact Indicators - Section B '!$A$9:$AF$52,32,FALSE),"")</f>
        <v/>
      </c>
      <c r="D198" s="768" t="str">
        <f>R198</f>
        <v/>
      </c>
      <c r="E198" s="768" t="str">
        <f>S198</f>
        <v/>
      </c>
      <c r="F198" s="413"/>
      <c r="G198" s="762" t="str">
        <f ca="1">IF(OR(INDIRECT("'update Helper'!E"&amp;U198)="",F198&lt;&gt;0,F199&lt;&gt;0),IF(IFERROR((F198/F199),"")="","",(F198/F199)),INDIRECT("'update Helper'!E"&amp;U198)/100)</f>
        <v/>
      </c>
      <c r="H198" s="743"/>
      <c r="I198" s="764"/>
      <c r="J198" s="729"/>
      <c r="K198" s="760" t="str">
        <f>W198</f>
        <v/>
      </c>
      <c r="L198" s="760" t="str">
        <f>V198</f>
        <v/>
      </c>
      <c r="M198" s="729"/>
      <c r="N198" s="729"/>
      <c r="P198" s="194">
        <f>IF(AND(EXACT(C198,C196),C196&lt;&gt;0),P196+1,0)</f>
        <v>74</v>
      </c>
      <c r="Q198" s="194" t="str">
        <f>IF(C198&lt;&gt;"",C198&amp;"-"&amp;P198,"")</f>
        <v/>
      </c>
      <c r="R198" s="194" t="str">
        <f t="array" ref="R198">IFERROR(IF(INDEX('Disaggregation Records'!$E$3:$E$66,MATCH(RIGHT(Q198,255),RIGHT('Disaggregation Records'!$D$3:$D$66,255),0))="","",INDEX('Disaggregation Records'!$E$3:$E$66,MATCH(RIGHT(Q198,255),RIGHT('Disaggregation Records'!$D$3:$D$66,255),0))),"")</f>
        <v/>
      </c>
      <c r="S198" s="194" t="str">
        <f t="array" ref="S198">IFERROR(IF(INDEX('Disaggregation Records'!$F$3:$F$66,MATCH(RIGHT(Q198,255),RIGHT('Disaggregation Records'!$D$3:$D$66,255),0))="","",INDEX('Disaggregation Records'!$F$3:$F$66,MATCH(RIGHT(Q198,255),RIGHT('Disaggregation Records'!$D$3:$D$66,255),0))),"")</f>
        <v/>
      </c>
      <c r="T198" s="194" t="str">
        <f t="array" ref="T198">IFERROR(IF(INDEX('Disaggregation Records'!$H$3:$H$66,MATCH(RIGHT(Q198,255),RIGHT('Disaggregation Records'!$D$3:$D$66,255),0))="","",INDEX('Disaggregation Records'!$H$3:$H$66,MATCH(RIGHT(Q198,255),RIGHT('Disaggregation Records'!$D$3:$D$66,255),0))),"")</f>
        <v/>
      </c>
      <c r="U198" s="194">
        <f>U196+1</f>
        <v>2215</v>
      </c>
      <c r="V198" s="194" t="str">
        <f t="array" ref="V198">IFERROR(IF(INDEX('Disaggregation Records'!$I$3:$I$66,MATCH(RIGHT(Q198,255),RIGHT('Disaggregation Records'!$D$3:$D$66,255),0))="","",INDEX('Disaggregation Records'!$I$3:$I$66,MATCH(RIGHT(Q198,255),RIGHT('Disaggregation Records'!$D$3:$D$66,255),0))),"")</f>
        <v/>
      </c>
      <c r="W198" s="194" t="str">
        <f>IFERROR(INDEX('Reference Records'!O$3:O$19,MATCH(LEFT(C198,255),'Reference Records'!J$3:J$19,0)),"")</f>
        <v/>
      </c>
    </row>
    <row r="199" spans="1:23" s="195" customFormat="1" ht="40.4" customHeight="1" x14ac:dyDescent="0.35">
      <c r="A199" s="770"/>
      <c r="B199" s="767">
        <v>7.4398496240601597</v>
      </c>
      <c r="C199" s="761"/>
      <c r="D199" s="769"/>
      <c r="E199" s="769"/>
      <c r="F199" s="208"/>
      <c r="G199" s="763"/>
      <c r="H199" s="744"/>
      <c r="I199" s="765"/>
      <c r="J199" s="730"/>
      <c r="K199" s="761"/>
      <c r="L199" s="761"/>
      <c r="M199" s="730"/>
      <c r="N199" s="730"/>
    </row>
    <row r="200" spans="1:23" s="194" customFormat="1" ht="40.4" customHeight="1" x14ac:dyDescent="0.35">
      <c r="A200" s="770" t="str">
        <f t="shared" ca="1" si="2"/>
        <v>a1G3p000005ncGQEAY</v>
      </c>
      <c r="B200" s="766">
        <v>10</v>
      </c>
      <c r="C200" s="760" t="str">
        <f>IFERROR(VLOOKUP(B200,'Impact Indicators - Section B '!$A$9:$AF$52,32,FALSE),"")</f>
        <v/>
      </c>
      <c r="D200" s="768" t="str">
        <f>R200</f>
        <v/>
      </c>
      <c r="E200" s="768" t="str">
        <f>S200</f>
        <v/>
      </c>
      <c r="F200" s="413"/>
      <c r="G200" s="762" t="str">
        <f ca="1">IF(OR(INDIRECT("'update Helper'!E"&amp;U200)="",F200&lt;&gt;0,F201&lt;&gt;0),IF(IFERROR((F200/F201),"")="","",(F200/F201)),INDIRECT("'update Helper'!E"&amp;U200)/100)</f>
        <v/>
      </c>
      <c r="H200" s="743"/>
      <c r="I200" s="764"/>
      <c r="J200" s="729"/>
      <c r="K200" s="760" t="str">
        <f>W200</f>
        <v/>
      </c>
      <c r="L200" s="760" t="str">
        <f>V200</f>
        <v/>
      </c>
      <c r="M200" s="729"/>
      <c r="N200" s="729"/>
      <c r="P200" s="194">
        <f>IF(AND(EXACT(C200,C198),C198&lt;&gt;0),P198+1,0)</f>
        <v>75</v>
      </c>
      <c r="Q200" s="194" t="str">
        <f>IF(C200&lt;&gt;"",C200&amp;"-"&amp;P200,"")</f>
        <v/>
      </c>
      <c r="R200" s="194" t="str">
        <f t="array" ref="R200">IFERROR(IF(INDEX('Disaggregation Records'!$E$3:$E$66,MATCH(RIGHT(Q200,255),RIGHT('Disaggregation Records'!$D$3:$D$66,255),0))="","",INDEX('Disaggregation Records'!$E$3:$E$66,MATCH(RIGHT(Q200,255),RIGHT('Disaggregation Records'!$D$3:$D$66,255),0))),"")</f>
        <v/>
      </c>
      <c r="S200" s="194" t="str">
        <f t="array" ref="S200">IFERROR(IF(INDEX('Disaggregation Records'!$F$3:$F$66,MATCH(RIGHT(Q200,255),RIGHT('Disaggregation Records'!$D$3:$D$66,255),0))="","",INDEX('Disaggregation Records'!$F$3:$F$66,MATCH(RIGHT(Q200,255),RIGHT('Disaggregation Records'!$D$3:$D$66,255),0))),"")</f>
        <v/>
      </c>
      <c r="T200" s="194" t="str">
        <f t="array" ref="T200">IFERROR(IF(INDEX('Disaggregation Records'!$H$3:$H$66,MATCH(RIGHT(Q200,255),RIGHT('Disaggregation Records'!$D$3:$D$66,255),0))="","",INDEX('Disaggregation Records'!$H$3:$H$66,MATCH(RIGHT(Q200,255),RIGHT('Disaggregation Records'!$D$3:$D$66,255),0))),"")</f>
        <v/>
      </c>
      <c r="U200" s="194">
        <f>U198+1</f>
        <v>2216</v>
      </c>
      <c r="V200" s="194" t="str">
        <f t="array" ref="V200">IFERROR(IF(INDEX('Disaggregation Records'!$I$3:$I$66,MATCH(RIGHT(Q200,255),RIGHT('Disaggregation Records'!$D$3:$D$66,255),0))="","",INDEX('Disaggregation Records'!$I$3:$I$66,MATCH(RIGHT(Q200,255),RIGHT('Disaggregation Records'!$D$3:$D$66,255),0))),"")</f>
        <v/>
      </c>
      <c r="W200" s="194" t="str">
        <f>IFERROR(INDEX('Reference Records'!O$3:O$19,MATCH(LEFT(C200,255),'Reference Records'!J$3:J$19,0)),"")</f>
        <v/>
      </c>
    </row>
    <row r="201" spans="1:23" s="194" customFormat="1" ht="40.4" customHeight="1" x14ac:dyDescent="0.35">
      <c r="A201" s="770"/>
      <c r="B201" s="767">
        <v>7.4398496240601597</v>
      </c>
      <c r="C201" s="761"/>
      <c r="D201" s="769"/>
      <c r="E201" s="769"/>
      <c r="F201" s="208"/>
      <c r="G201" s="763"/>
      <c r="H201" s="744"/>
      <c r="I201" s="765"/>
      <c r="J201" s="730"/>
      <c r="K201" s="761"/>
      <c r="L201" s="761"/>
      <c r="M201" s="730"/>
      <c r="N201" s="730"/>
      <c r="P201" s="195"/>
      <c r="Q201" s="195"/>
      <c r="R201" s="195"/>
      <c r="S201" s="195"/>
      <c r="T201" s="195"/>
      <c r="U201" s="195"/>
      <c r="V201" s="195"/>
      <c r="W201" s="195"/>
    </row>
    <row r="202" spans="1:23" s="194" customFormat="1" ht="40.4" customHeight="1" x14ac:dyDescent="0.35">
      <c r="A202" s="770" t="str">
        <f t="shared" ca="1" si="2"/>
        <v>a1G3p000005ncGREAY</v>
      </c>
      <c r="B202" s="766">
        <v>10</v>
      </c>
      <c r="C202" s="760" t="str">
        <f>IFERROR(VLOOKUP(B202,'Impact Indicators - Section B '!$A$9:$AF$52,32,FALSE),"")</f>
        <v/>
      </c>
      <c r="D202" s="768" t="str">
        <f>R202</f>
        <v/>
      </c>
      <c r="E202" s="768" t="str">
        <f>S202</f>
        <v/>
      </c>
      <c r="F202" s="413"/>
      <c r="G202" s="762" t="str">
        <f ca="1">IF(OR(INDIRECT("'update Helper'!E"&amp;U202)="",F202&lt;&gt;0,F203&lt;&gt;0),IF(IFERROR((F202/F203),"")="","",(F202/F203)),INDIRECT("'update Helper'!E"&amp;U202)/100)</f>
        <v/>
      </c>
      <c r="H202" s="743"/>
      <c r="I202" s="764"/>
      <c r="J202" s="729"/>
      <c r="K202" s="760" t="str">
        <f>W202</f>
        <v/>
      </c>
      <c r="L202" s="760" t="str">
        <f>V202</f>
        <v/>
      </c>
      <c r="M202" s="729"/>
      <c r="N202" s="729"/>
      <c r="P202" s="194">
        <f>IF(AND(EXACT(C202,C200),C200&lt;&gt;0),P200+1,0)</f>
        <v>76</v>
      </c>
      <c r="Q202" s="194" t="str">
        <f>IF(C202&lt;&gt;"",C202&amp;"-"&amp;P202,"")</f>
        <v/>
      </c>
      <c r="R202" s="194" t="str">
        <f t="array" ref="R202">IFERROR(IF(INDEX('Disaggregation Records'!$E$3:$E$66,MATCH(RIGHT(Q202,255),RIGHT('Disaggregation Records'!$D$3:$D$66,255),0))="","",INDEX('Disaggregation Records'!$E$3:$E$66,MATCH(RIGHT(Q202,255),RIGHT('Disaggregation Records'!$D$3:$D$66,255),0))),"")</f>
        <v/>
      </c>
      <c r="S202" s="194" t="str">
        <f t="array" ref="S202">IFERROR(IF(INDEX('Disaggregation Records'!$F$3:$F$66,MATCH(RIGHT(Q202,255),RIGHT('Disaggregation Records'!$D$3:$D$66,255),0))="","",INDEX('Disaggregation Records'!$F$3:$F$66,MATCH(RIGHT(Q202,255),RIGHT('Disaggregation Records'!$D$3:$D$66,255),0))),"")</f>
        <v/>
      </c>
      <c r="T202" s="194" t="str">
        <f t="array" ref="T202">IFERROR(IF(INDEX('Disaggregation Records'!$H$3:$H$66,MATCH(RIGHT(Q202,255),RIGHT('Disaggregation Records'!$D$3:$D$66,255),0))="","",INDEX('Disaggregation Records'!$H$3:$H$66,MATCH(RIGHT(Q202,255),RIGHT('Disaggregation Records'!$D$3:$D$66,255),0))),"")</f>
        <v/>
      </c>
      <c r="U202" s="194">
        <f>U200+1</f>
        <v>2217</v>
      </c>
      <c r="V202" s="194" t="str">
        <f t="array" ref="V202">IFERROR(IF(INDEX('Disaggregation Records'!$I$3:$I$66,MATCH(RIGHT(Q202,255),RIGHT('Disaggregation Records'!$D$3:$D$66,255),0))="","",INDEX('Disaggregation Records'!$I$3:$I$66,MATCH(RIGHT(Q202,255),RIGHT('Disaggregation Records'!$D$3:$D$66,255),0))),"")</f>
        <v/>
      </c>
      <c r="W202" s="194" t="str">
        <f>IFERROR(INDEX('Reference Records'!O$3:O$19,MATCH(LEFT(C202,255),'Reference Records'!J$3:J$19,0)),"")</f>
        <v/>
      </c>
    </row>
    <row r="203" spans="1:23" s="195" customFormat="1" ht="40.4" customHeight="1" x14ac:dyDescent="0.35">
      <c r="A203" s="770"/>
      <c r="B203" s="767">
        <v>7.4398496240601597</v>
      </c>
      <c r="C203" s="761"/>
      <c r="D203" s="769"/>
      <c r="E203" s="769"/>
      <c r="F203" s="208"/>
      <c r="G203" s="763"/>
      <c r="H203" s="744"/>
      <c r="I203" s="765"/>
      <c r="J203" s="730"/>
      <c r="K203" s="761"/>
      <c r="L203" s="761"/>
      <c r="M203" s="730"/>
      <c r="N203" s="730"/>
    </row>
    <row r="204" spans="1:23" s="194" customFormat="1" ht="40.4" customHeight="1" x14ac:dyDescent="0.35">
      <c r="A204" s="770" t="str">
        <f t="shared" ca="1" si="2"/>
        <v>a1G3p000005ncGSEAY</v>
      </c>
      <c r="B204" s="766">
        <v>10</v>
      </c>
      <c r="C204" s="760" t="str">
        <f>IFERROR(VLOOKUP(B204,'Impact Indicators - Section B '!$A$9:$AF$52,32,FALSE),"")</f>
        <v/>
      </c>
      <c r="D204" s="768" t="str">
        <f>R204</f>
        <v/>
      </c>
      <c r="E204" s="768" t="str">
        <f>S204</f>
        <v/>
      </c>
      <c r="F204" s="413"/>
      <c r="G204" s="762" t="str">
        <f ca="1">IF(OR(INDIRECT("'update Helper'!E"&amp;U204)="",F204&lt;&gt;0,F205&lt;&gt;0),IF(IFERROR((F204/F205),"")="","",(F204/F205)),INDIRECT("'update Helper'!E"&amp;U204)/100)</f>
        <v/>
      </c>
      <c r="H204" s="743"/>
      <c r="I204" s="764"/>
      <c r="J204" s="729"/>
      <c r="K204" s="760" t="str">
        <f>W204</f>
        <v/>
      </c>
      <c r="L204" s="760" t="str">
        <f>V204</f>
        <v/>
      </c>
      <c r="M204" s="729"/>
      <c r="N204" s="729"/>
      <c r="P204" s="194">
        <f>IF(AND(EXACT(C204,C202),C202&lt;&gt;0),P202+1,0)</f>
        <v>77</v>
      </c>
      <c r="Q204" s="194" t="str">
        <f>IF(C204&lt;&gt;"",C204&amp;"-"&amp;P204,"")</f>
        <v/>
      </c>
      <c r="R204" s="194" t="str">
        <f t="array" ref="R204">IFERROR(IF(INDEX('Disaggregation Records'!$E$3:$E$66,MATCH(RIGHT(Q204,255),RIGHT('Disaggregation Records'!$D$3:$D$66,255),0))="","",INDEX('Disaggregation Records'!$E$3:$E$66,MATCH(RIGHT(Q204,255),RIGHT('Disaggregation Records'!$D$3:$D$66,255),0))),"")</f>
        <v/>
      </c>
      <c r="S204" s="194" t="str">
        <f t="array" ref="S204">IFERROR(IF(INDEX('Disaggregation Records'!$F$3:$F$66,MATCH(RIGHT(Q204,255),RIGHT('Disaggregation Records'!$D$3:$D$66,255),0))="","",INDEX('Disaggregation Records'!$F$3:$F$66,MATCH(RIGHT(Q204,255),RIGHT('Disaggregation Records'!$D$3:$D$66,255),0))),"")</f>
        <v/>
      </c>
      <c r="T204" s="194" t="str">
        <f t="array" ref="T204">IFERROR(IF(INDEX('Disaggregation Records'!$H$3:$H$66,MATCH(RIGHT(Q204,255),RIGHT('Disaggregation Records'!$D$3:$D$66,255),0))="","",INDEX('Disaggregation Records'!$H$3:$H$66,MATCH(RIGHT(Q204,255),RIGHT('Disaggregation Records'!$D$3:$D$66,255),0))),"")</f>
        <v/>
      </c>
      <c r="U204" s="194">
        <f>U202+1</f>
        <v>2218</v>
      </c>
      <c r="V204" s="194" t="str">
        <f t="array" ref="V204">IFERROR(IF(INDEX('Disaggregation Records'!$I$3:$I$66,MATCH(RIGHT(Q204,255),RIGHT('Disaggregation Records'!$D$3:$D$66,255),0))="","",INDEX('Disaggregation Records'!$I$3:$I$66,MATCH(RIGHT(Q204,255),RIGHT('Disaggregation Records'!$D$3:$D$66,255),0))),"")</f>
        <v/>
      </c>
      <c r="W204" s="194" t="str">
        <f>IFERROR(INDEX('Reference Records'!O$3:O$19,MATCH(LEFT(C204,255),'Reference Records'!J$3:J$19,0)),"")</f>
        <v/>
      </c>
    </row>
    <row r="205" spans="1:23" s="195" customFormat="1" ht="40.4" customHeight="1" x14ac:dyDescent="0.35">
      <c r="A205" s="770"/>
      <c r="B205" s="767">
        <v>7.4398496240601597</v>
      </c>
      <c r="C205" s="761"/>
      <c r="D205" s="769"/>
      <c r="E205" s="769"/>
      <c r="F205" s="208"/>
      <c r="G205" s="763"/>
      <c r="H205" s="744"/>
      <c r="I205" s="765"/>
      <c r="J205" s="730"/>
      <c r="K205" s="761"/>
      <c r="L205" s="761"/>
      <c r="M205" s="730"/>
      <c r="N205" s="730"/>
    </row>
    <row r="206" spans="1:23" s="194" customFormat="1" ht="40.4" customHeight="1" x14ac:dyDescent="0.35">
      <c r="A206" s="770" t="str">
        <f t="shared" ref="A206:A268" ca="1" si="3">INDIRECT("'update Helper'!C"&amp;U206)</f>
        <v>a1G3p000005ncGTEAY</v>
      </c>
      <c r="B206" s="766">
        <v>10</v>
      </c>
      <c r="C206" s="760" t="str">
        <f>IFERROR(VLOOKUP(B206,'Impact Indicators - Section B '!$A$9:$AF$52,32,FALSE),"")</f>
        <v/>
      </c>
      <c r="D206" s="768" t="str">
        <f>R206</f>
        <v/>
      </c>
      <c r="E206" s="768" t="str">
        <f>S206</f>
        <v/>
      </c>
      <c r="F206" s="413"/>
      <c r="G206" s="762" t="str">
        <f ca="1">IF(OR(INDIRECT("'update Helper'!E"&amp;U206)="",F206&lt;&gt;0,F207&lt;&gt;0),IF(IFERROR((F206/F207),"")="","",(F206/F207)),INDIRECT("'update Helper'!E"&amp;U206)/100)</f>
        <v/>
      </c>
      <c r="H206" s="743"/>
      <c r="I206" s="764"/>
      <c r="J206" s="729"/>
      <c r="K206" s="760" t="str">
        <f>W206</f>
        <v/>
      </c>
      <c r="L206" s="760" t="str">
        <f>V206</f>
        <v/>
      </c>
      <c r="M206" s="729"/>
      <c r="N206" s="729"/>
      <c r="P206" s="194">
        <f>IF(AND(EXACT(C206,C204),C204&lt;&gt;0),P204+1,0)</f>
        <v>78</v>
      </c>
      <c r="Q206" s="194" t="str">
        <f>IF(C206&lt;&gt;"",C206&amp;"-"&amp;P206,"")</f>
        <v/>
      </c>
      <c r="R206" s="194" t="str">
        <f t="array" ref="R206">IFERROR(IF(INDEX('Disaggregation Records'!$E$3:$E$66,MATCH(RIGHT(Q206,255),RIGHT('Disaggregation Records'!$D$3:$D$66,255),0))="","",INDEX('Disaggregation Records'!$E$3:$E$66,MATCH(RIGHT(Q206,255),RIGHT('Disaggregation Records'!$D$3:$D$66,255),0))),"")</f>
        <v/>
      </c>
      <c r="S206" s="194" t="str">
        <f t="array" ref="S206">IFERROR(IF(INDEX('Disaggregation Records'!$F$3:$F$66,MATCH(RIGHT(Q206,255),RIGHT('Disaggregation Records'!$D$3:$D$66,255),0))="","",INDEX('Disaggregation Records'!$F$3:$F$66,MATCH(RIGHT(Q206,255),RIGHT('Disaggregation Records'!$D$3:$D$66,255),0))),"")</f>
        <v/>
      </c>
      <c r="T206" s="194" t="str">
        <f t="array" ref="T206">IFERROR(IF(INDEX('Disaggregation Records'!$H$3:$H$66,MATCH(RIGHT(Q206,255),RIGHT('Disaggregation Records'!$D$3:$D$66,255),0))="","",INDEX('Disaggregation Records'!$H$3:$H$66,MATCH(RIGHT(Q206,255),RIGHT('Disaggregation Records'!$D$3:$D$66,255),0))),"")</f>
        <v/>
      </c>
      <c r="U206" s="194">
        <f>U204+1</f>
        <v>2219</v>
      </c>
      <c r="V206" s="194" t="str">
        <f t="array" ref="V206">IFERROR(IF(INDEX('Disaggregation Records'!$I$3:$I$66,MATCH(RIGHT(Q206,255),RIGHT('Disaggregation Records'!$D$3:$D$66,255),0))="","",INDEX('Disaggregation Records'!$I$3:$I$66,MATCH(RIGHT(Q206,255),RIGHT('Disaggregation Records'!$D$3:$D$66,255),0))),"")</f>
        <v/>
      </c>
      <c r="W206" s="194" t="str">
        <f>IFERROR(INDEX('Reference Records'!O$3:O$19,MATCH(LEFT(C206,255),'Reference Records'!J$3:J$19,0)),"")</f>
        <v/>
      </c>
    </row>
    <row r="207" spans="1:23" s="194" customFormat="1" ht="40.4" customHeight="1" x14ac:dyDescent="0.35">
      <c r="A207" s="770"/>
      <c r="B207" s="767">
        <v>7.4398496240601597</v>
      </c>
      <c r="C207" s="761"/>
      <c r="D207" s="769"/>
      <c r="E207" s="769"/>
      <c r="F207" s="208"/>
      <c r="G207" s="763"/>
      <c r="H207" s="744"/>
      <c r="I207" s="765"/>
      <c r="J207" s="730"/>
      <c r="K207" s="761"/>
      <c r="L207" s="761"/>
      <c r="M207" s="730"/>
      <c r="N207" s="730"/>
      <c r="P207" s="195"/>
      <c r="Q207" s="195"/>
      <c r="R207" s="195"/>
      <c r="S207" s="195"/>
      <c r="T207" s="195"/>
      <c r="U207" s="195"/>
      <c r="V207" s="195"/>
      <c r="W207" s="195"/>
    </row>
    <row r="208" spans="1:23" s="194" customFormat="1" ht="40.4" customHeight="1" x14ac:dyDescent="0.35">
      <c r="A208" s="770" t="str">
        <f t="shared" ca="1" si="3"/>
        <v>a1G3p000005ncGUEAY</v>
      </c>
      <c r="B208" s="766">
        <v>10</v>
      </c>
      <c r="C208" s="760" t="str">
        <f>IFERROR(VLOOKUP(B208,'Impact Indicators - Section B '!$A$9:$AF$52,32,FALSE),"")</f>
        <v/>
      </c>
      <c r="D208" s="768" t="str">
        <f>R208</f>
        <v/>
      </c>
      <c r="E208" s="768" t="str">
        <f>S208</f>
        <v/>
      </c>
      <c r="F208" s="413"/>
      <c r="G208" s="762" t="str">
        <f ca="1">IF(OR(INDIRECT("'update Helper'!E"&amp;U208)="",F208&lt;&gt;0,F209&lt;&gt;0),IF(IFERROR((F208/F209),"")="","",(F208/F209)),INDIRECT("'update Helper'!E"&amp;U208)/100)</f>
        <v/>
      </c>
      <c r="H208" s="743"/>
      <c r="I208" s="764"/>
      <c r="J208" s="729"/>
      <c r="K208" s="760" t="str">
        <f>W208</f>
        <v/>
      </c>
      <c r="L208" s="760" t="str">
        <f>V208</f>
        <v/>
      </c>
      <c r="M208" s="729"/>
      <c r="N208" s="729"/>
      <c r="P208" s="194">
        <f>IF(AND(EXACT(C208,C206),C206&lt;&gt;0),P206+1,0)</f>
        <v>79</v>
      </c>
      <c r="Q208" s="194" t="str">
        <f>IF(C208&lt;&gt;"",C208&amp;"-"&amp;P208,"")</f>
        <v/>
      </c>
      <c r="R208" s="194" t="str">
        <f t="array" ref="R208">IFERROR(IF(INDEX('Disaggregation Records'!$E$3:$E$66,MATCH(RIGHT(Q208,255),RIGHT('Disaggregation Records'!$D$3:$D$66,255),0))="","",INDEX('Disaggregation Records'!$E$3:$E$66,MATCH(RIGHT(Q208,255),RIGHT('Disaggregation Records'!$D$3:$D$66,255),0))),"")</f>
        <v/>
      </c>
      <c r="S208" s="194" t="str">
        <f t="array" ref="S208">IFERROR(IF(INDEX('Disaggregation Records'!$F$3:$F$66,MATCH(RIGHT(Q208,255),RIGHT('Disaggregation Records'!$D$3:$D$66,255),0))="","",INDEX('Disaggregation Records'!$F$3:$F$66,MATCH(RIGHT(Q208,255),RIGHT('Disaggregation Records'!$D$3:$D$66,255),0))),"")</f>
        <v/>
      </c>
      <c r="T208" s="194" t="str">
        <f t="array" ref="T208">IFERROR(IF(INDEX('Disaggregation Records'!$H$3:$H$66,MATCH(RIGHT(Q208,255),RIGHT('Disaggregation Records'!$D$3:$D$66,255),0))="","",INDEX('Disaggregation Records'!$H$3:$H$66,MATCH(RIGHT(Q208,255),RIGHT('Disaggregation Records'!$D$3:$D$66,255),0))),"")</f>
        <v/>
      </c>
      <c r="U208" s="194">
        <f>U206+1</f>
        <v>2220</v>
      </c>
      <c r="V208" s="194" t="str">
        <f t="array" ref="V208">IFERROR(IF(INDEX('Disaggregation Records'!$I$3:$I$66,MATCH(RIGHT(Q208,255),RIGHT('Disaggregation Records'!$D$3:$D$66,255),0))="","",INDEX('Disaggregation Records'!$I$3:$I$66,MATCH(RIGHT(Q208,255),RIGHT('Disaggregation Records'!$D$3:$D$66,255),0))),"")</f>
        <v/>
      </c>
      <c r="W208" s="194" t="str">
        <f>IFERROR(INDEX('Reference Records'!O$3:O$19,MATCH(LEFT(C208,255),'Reference Records'!J$3:J$19,0)),"")</f>
        <v/>
      </c>
    </row>
    <row r="209" spans="1:23" s="194" customFormat="1" ht="40.4" customHeight="1" x14ac:dyDescent="0.35">
      <c r="A209" s="770"/>
      <c r="B209" s="767">
        <v>7.4398496240601597</v>
      </c>
      <c r="C209" s="761"/>
      <c r="D209" s="769"/>
      <c r="E209" s="769"/>
      <c r="F209" s="208"/>
      <c r="G209" s="763"/>
      <c r="H209" s="744"/>
      <c r="I209" s="765"/>
      <c r="J209" s="730"/>
      <c r="K209" s="761"/>
      <c r="L209" s="761"/>
      <c r="M209" s="730"/>
      <c r="N209" s="730"/>
      <c r="P209" s="195"/>
      <c r="Q209" s="195"/>
      <c r="R209" s="195"/>
      <c r="S209" s="195"/>
      <c r="T209" s="195"/>
      <c r="U209" s="195"/>
      <c r="V209" s="195"/>
      <c r="W209" s="195"/>
    </row>
    <row r="210" spans="1:23" s="194" customFormat="1" ht="40.4" customHeight="1" x14ac:dyDescent="0.35">
      <c r="A210" s="770" t="str">
        <f t="shared" ca="1" si="3"/>
        <v>a1G3p000005ncE5EAI</v>
      </c>
      <c r="B210" s="766">
        <v>11</v>
      </c>
      <c r="C210" s="760" t="str">
        <f>IFERROR(VLOOKUP(B210,'Impact Indicators - Section B '!$A$9:$AF$52,32,FALSE),"")</f>
        <v/>
      </c>
      <c r="D210" s="768" t="str">
        <f>R210</f>
        <v/>
      </c>
      <c r="E210" s="768" t="str">
        <f>S210</f>
        <v/>
      </c>
      <c r="F210" s="413"/>
      <c r="G210" s="762" t="str">
        <f ca="1">IF(OR(INDIRECT("'update Helper'!E"&amp;U210)="",F210&lt;&gt;0,F211&lt;&gt;0),IF(IFERROR((F210/F211),"")="","",(F210/F211)),INDIRECT("'update Helper'!E"&amp;U210)/100)</f>
        <v/>
      </c>
      <c r="H210" s="743"/>
      <c r="I210" s="764"/>
      <c r="J210" s="729"/>
      <c r="K210" s="760" t="str">
        <f>W210</f>
        <v/>
      </c>
      <c r="L210" s="760" t="str">
        <f>V210</f>
        <v/>
      </c>
      <c r="M210" s="729"/>
      <c r="N210" s="729"/>
      <c r="P210" s="194">
        <f>IF(AND(EXACT(C210,C208),C208&lt;&gt;0),P208+1,0)</f>
        <v>80</v>
      </c>
      <c r="Q210" s="194" t="str">
        <f>IF(C210&lt;&gt;"",C210&amp;"-"&amp;P210,"")</f>
        <v/>
      </c>
      <c r="R210" s="194" t="str">
        <f t="array" ref="R210">IFERROR(IF(INDEX('Disaggregation Records'!$E$3:$E$66,MATCH(RIGHT(Q210,255),RIGHT('Disaggregation Records'!$D$3:$D$66,255),0))="","",INDEX('Disaggregation Records'!$E$3:$E$66,MATCH(RIGHT(Q210,255),RIGHT('Disaggregation Records'!$D$3:$D$66,255),0))),"")</f>
        <v/>
      </c>
      <c r="S210" s="194" t="str">
        <f t="array" ref="S210">IFERROR(IF(INDEX('Disaggregation Records'!$F$3:$F$66,MATCH(RIGHT(Q210,255),RIGHT('Disaggregation Records'!$D$3:$D$66,255),0))="","",INDEX('Disaggregation Records'!$F$3:$F$66,MATCH(RIGHT(Q210,255),RIGHT('Disaggregation Records'!$D$3:$D$66,255),0))),"")</f>
        <v/>
      </c>
      <c r="T210" s="194" t="str">
        <f t="array" ref="T210">IFERROR(IF(INDEX('Disaggregation Records'!$H$3:$H$66,MATCH(RIGHT(Q210,255),RIGHT('Disaggregation Records'!$D$3:$D$66,255),0))="","",INDEX('Disaggregation Records'!$H$3:$H$66,MATCH(RIGHT(Q210,255),RIGHT('Disaggregation Records'!$D$3:$D$66,255),0))),"")</f>
        <v/>
      </c>
      <c r="U210" s="194">
        <f>U208+1</f>
        <v>2221</v>
      </c>
      <c r="V210" s="194" t="str">
        <f t="array" ref="V210">IFERROR(IF(INDEX('Disaggregation Records'!$I$3:$I$66,MATCH(RIGHT(Q210,255),RIGHT('Disaggregation Records'!$D$3:$D$66,255),0))="","",INDEX('Disaggregation Records'!$I$3:$I$66,MATCH(RIGHT(Q210,255),RIGHT('Disaggregation Records'!$D$3:$D$66,255),0))),"")</f>
        <v/>
      </c>
      <c r="W210" s="194" t="str">
        <f>IFERROR(INDEX('Reference Records'!O$3:O$19,MATCH(LEFT(C210,255),'Reference Records'!J$3:J$19,0)),"")</f>
        <v/>
      </c>
    </row>
    <row r="211" spans="1:23" s="195" customFormat="1" ht="40.4" customHeight="1" x14ac:dyDescent="0.35">
      <c r="A211" s="770"/>
      <c r="B211" s="767">
        <v>8.1541353383458706</v>
      </c>
      <c r="C211" s="761"/>
      <c r="D211" s="769"/>
      <c r="E211" s="769"/>
      <c r="F211" s="208"/>
      <c r="G211" s="763"/>
      <c r="H211" s="744"/>
      <c r="I211" s="765"/>
      <c r="J211" s="730"/>
      <c r="K211" s="761"/>
      <c r="L211" s="761"/>
      <c r="M211" s="730"/>
      <c r="N211" s="730"/>
    </row>
    <row r="212" spans="1:23" s="194" customFormat="1" ht="40.4" customHeight="1" x14ac:dyDescent="0.35">
      <c r="A212" s="770" t="str">
        <f t="shared" ca="1" si="3"/>
        <v>a1G3p000005ncE6EAI</v>
      </c>
      <c r="B212" s="766">
        <v>11</v>
      </c>
      <c r="C212" s="760" t="str">
        <f>IFERROR(VLOOKUP(B212,'Impact Indicators - Section B '!$A$9:$AF$52,32,FALSE),"")</f>
        <v/>
      </c>
      <c r="D212" s="768" t="str">
        <f>R212</f>
        <v/>
      </c>
      <c r="E212" s="768" t="str">
        <f>S212</f>
        <v/>
      </c>
      <c r="F212" s="413"/>
      <c r="G212" s="762" t="str">
        <f ca="1">IF(OR(INDIRECT("'update Helper'!E"&amp;U212)="",F212&lt;&gt;0,F213&lt;&gt;0),IF(IFERROR((F212/F213),"")="","",(F212/F213)),INDIRECT("'update Helper'!E"&amp;U212)/100)</f>
        <v/>
      </c>
      <c r="H212" s="743"/>
      <c r="I212" s="764"/>
      <c r="J212" s="729"/>
      <c r="K212" s="760" t="str">
        <f>W212</f>
        <v/>
      </c>
      <c r="L212" s="760" t="str">
        <f>V212</f>
        <v/>
      </c>
      <c r="M212" s="729"/>
      <c r="N212" s="729"/>
      <c r="P212" s="194">
        <f>IF(AND(EXACT(C212,C210),C210&lt;&gt;0),P210+1,0)</f>
        <v>81</v>
      </c>
      <c r="Q212" s="194" t="str">
        <f>IF(C212&lt;&gt;"",C212&amp;"-"&amp;P212,"")</f>
        <v/>
      </c>
      <c r="R212" s="194" t="str">
        <f t="array" ref="R212">IFERROR(IF(INDEX('Disaggregation Records'!$E$3:$E$66,MATCH(RIGHT(Q212,255),RIGHT('Disaggregation Records'!$D$3:$D$66,255),0))="","",INDEX('Disaggregation Records'!$E$3:$E$66,MATCH(RIGHT(Q212,255),RIGHT('Disaggregation Records'!$D$3:$D$66,255),0))),"")</f>
        <v/>
      </c>
      <c r="S212" s="194" t="str">
        <f t="array" ref="S212">IFERROR(IF(INDEX('Disaggregation Records'!$F$3:$F$66,MATCH(RIGHT(Q212,255),RIGHT('Disaggregation Records'!$D$3:$D$66,255),0))="","",INDEX('Disaggregation Records'!$F$3:$F$66,MATCH(RIGHT(Q212,255),RIGHT('Disaggregation Records'!$D$3:$D$66,255),0))),"")</f>
        <v/>
      </c>
      <c r="T212" s="194" t="str">
        <f t="array" ref="T212">IFERROR(IF(INDEX('Disaggregation Records'!$H$3:$H$66,MATCH(RIGHT(Q212,255),RIGHT('Disaggregation Records'!$D$3:$D$66,255),0))="","",INDEX('Disaggregation Records'!$H$3:$H$66,MATCH(RIGHT(Q212,255),RIGHT('Disaggregation Records'!$D$3:$D$66,255),0))),"")</f>
        <v/>
      </c>
      <c r="U212" s="194">
        <f>U210+1</f>
        <v>2222</v>
      </c>
      <c r="V212" s="194" t="str">
        <f t="array" ref="V212">IFERROR(IF(INDEX('Disaggregation Records'!$I$3:$I$66,MATCH(RIGHT(Q212,255),RIGHT('Disaggregation Records'!$D$3:$D$66,255),0))="","",INDEX('Disaggregation Records'!$I$3:$I$66,MATCH(RIGHT(Q212,255),RIGHT('Disaggregation Records'!$D$3:$D$66,255),0))),"")</f>
        <v/>
      </c>
      <c r="W212" s="194" t="str">
        <f>IFERROR(INDEX('Reference Records'!O$3:O$19,MATCH(LEFT(C212,255),'Reference Records'!J$3:J$19,0)),"")</f>
        <v/>
      </c>
    </row>
    <row r="213" spans="1:23" s="195" customFormat="1" ht="40.4" customHeight="1" x14ac:dyDescent="0.35">
      <c r="A213" s="770"/>
      <c r="B213" s="767">
        <v>8.1541353383458706</v>
      </c>
      <c r="C213" s="761"/>
      <c r="D213" s="769"/>
      <c r="E213" s="769"/>
      <c r="F213" s="208"/>
      <c r="G213" s="763"/>
      <c r="H213" s="744"/>
      <c r="I213" s="765"/>
      <c r="J213" s="730"/>
      <c r="K213" s="761"/>
      <c r="L213" s="761"/>
      <c r="M213" s="730"/>
      <c r="N213" s="730"/>
    </row>
    <row r="214" spans="1:23" s="194" customFormat="1" ht="40.4" customHeight="1" x14ac:dyDescent="0.35">
      <c r="A214" s="770" t="str">
        <f t="shared" ca="1" si="3"/>
        <v>a1G3p000005ncE7EAI</v>
      </c>
      <c r="B214" s="766">
        <v>11</v>
      </c>
      <c r="C214" s="760" t="str">
        <f>IFERROR(VLOOKUP(B214,'Impact Indicators - Section B '!$A$9:$AF$52,32,FALSE),"")</f>
        <v/>
      </c>
      <c r="D214" s="768" t="str">
        <f>R214</f>
        <v/>
      </c>
      <c r="E214" s="768" t="str">
        <f>S214</f>
        <v/>
      </c>
      <c r="F214" s="413"/>
      <c r="G214" s="762" t="str">
        <f ca="1">IF(OR(INDIRECT("'update Helper'!E"&amp;U214)="",F214&lt;&gt;0,F215&lt;&gt;0),IF(IFERROR((F214/F215),"")="","",(F214/F215)),INDIRECT("'update Helper'!E"&amp;U214)/100)</f>
        <v/>
      </c>
      <c r="H214" s="743"/>
      <c r="I214" s="764"/>
      <c r="J214" s="729"/>
      <c r="K214" s="760" t="str">
        <f>W214</f>
        <v/>
      </c>
      <c r="L214" s="760" t="str">
        <f>V214</f>
        <v/>
      </c>
      <c r="M214" s="729"/>
      <c r="N214" s="729"/>
      <c r="P214" s="194">
        <f>IF(AND(EXACT(C214,C212),C212&lt;&gt;0),P212+1,0)</f>
        <v>82</v>
      </c>
      <c r="Q214" s="194" t="str">
        <f>IF(C214&lt;&gt;"",C214&amp;"-"&amp;P214,"")</f>
        <v/>
      </c>
      <c r="R214" s="194" t="str">
        <f t="array" ref="R214">IFERROR(IF(INDEX('Disaggregation Records'!$E$3:$E$66,MATCH(RIGHT(Q214,255),RIGHT('Disaggregation Records'!$D$3:$D$66,255),0))="","",INDEX('Disaggregation Records'!$E$3:$E$66,MATCH(RIGHT(Q214,255),RIGHT('Disaggregation Records'!$D$3:$D$66,255),0))),"")</f>
        <v/>
      </c>
      <c r="S214" s="194" t="str">
        <f t="array" ref="S214">IFERROR(IF(INDEX('Disaggregation Records'!$F$3:$F$66,MATCH(RIGHT(Q214,255),RIGHT('Disaggregation Records'!$D$3:$D$66,255),0))="","",INDEX('Disaggregation Records'!$F$3:$F$66,MATCH(RIGHT(Q214,255),RIGHT('Disaggregation Records'!$D$3:$D$66,255),0))),"")</f>
        <v/>
      </c>
      <c r="T214" s="194" t="str">
        <f t="array" ref="T214">IFERROR(IF(INDEX('Disaggregation Records'!$H$3:$H$66,MATCH(RIGHT(Q214,255),RIGHT('Disaggregation Records'!$D$3:$D$66,255),0))="","",INDEX('Disaggregation Records'!$H$3:$H$66,MATCH(RIGHT(Q214,255),RIGHT('Disaggregation Records'!$D$3:$D$66,255),0))),"")</f>
        <v/>
      </c>
      <c r="U214" s="194">
        <f>U212+1</f>
        <v>2223</v>
      </c>
      <c r="V214" s="194" t="str">
        <f t="array" ref="V214">IFERROR(IF(INDEX('Disaggregation Records'!$I$3:$I$66,MATCH(RIGHT(Q214,255),RIGHT('Disaggregation Records'!$D$3:$D$66,255),0))="","",INDEX('Disaggregation Records'!$I$3:$I$66,MATCH(RIGHT(Q214,255),RIGHT('Disaggregation Records'!$D$3:$D$66,255),0))),"")</f>
        <v/>
      </c>
      <c r="W214" s="194" t="str">
        <f>IFERROR(INDEX('Reference Records'!O$3:O$19,MATCH(LEFT(C214,255),'Reference Records'!J$3:J$19,0)),"")</f>
        <v/>
      </c>
    </row>
    <row r="215" spans="1:23" s="194" customFormat="1" ht="40.4" customHeight="1" x14ac:dyDescent="0.35">
      <c r="A215" s="770"/>
      <c r="B215" s="767">
        <v>8.1541353383458706</v>
      </c>
      <c r="C215" s="761"/>
      <c r="D215" s="769"/>
      <c r="E215" s="769"/>
      <c r="F215" s="208"/>
      <c r="G215" s="763"/>
      <c r="H215" s="744"/>
      <c r="I215" s="765"/>
      <c r="J215" s="730"/>
      <c r="K215" s="761"/>
      <c r="L215" s="761"/>
      <c r="M215" s="730"/>
      <c r="N215" s="730"/>
      <c r="P215" s="195"/>
      <c r="Q215" s="195"/>
      <c r="R215" s="195"/>
      <c r="S215" s="195"/>
      <c r="T215" s="195"/>
      <c r="U215" s="195"/>
      <c r="V215" s="195"/>
      <c r="W215" s="195"/>
    </row>
    <row r="216" spans="1:23" s="194" customFormat="1" ht="40.4" customHeight="1" x14ac:dyDescent="0.35">
      <c r="A216" s="770" t="str">
        <f t="shared" ca="1" si="3"/>
        <v>a1G3p000005ncE8EAI</v>
      </c>
      <c r="B216" s="766">
        <v>11</v>
      </c>
      <c r="C216" s="760" t="str">
        <f>IFERROR(VLOOKUP(B216,'Impact Indicators - Section B '!$A$9:$AF$52,32,FALSE),"")</f>
        <v/>
      </c>
      <c r="D216" s="768" t="str">
        <f>R216</f>
        <v/>
      </c>
      <c r="E216" s="768" t="str">
        <f>S216</f>
        <v/>
      </c>
      <c r="F216" s="413"/>
      <c r="G216" s="762" t="str">
        <f ca="1">IF(OR(INDIRECT("'update Helper'!E"&amp;U216)="",F216&lt;&gt;0,F217&lt;&gt;0),IF(IFERROR((F216/F217),"")="","",(F216/F217)),INDIRECT("'update Helper'!E"&amp;U216)/100)</f>
        <v/>
      </c>
      <c r="H216" s="743"/>
      <c r="I216" s="764"/>
      <c r="J216" s="729"/>
      <c r="K216" s="760" t="str">
        <f>W216</f>
        <v/>
      </c>
      <c r="L216" s="760" t="str">
        <f>V216</f>
        <v/>
      </c>
      <c r="M216" s="729"/>
      <c r="N216" s="729"/>
      <c r="P216" s="194">
        <f>IF(AND(EXACT(C216,C214),C214&lt;&gt;0),P214+1,0)</f>
        <v>83</v>
      </c>
      <c r="Q216" s="194" t="str">
        <f>IF(C216&lt;&gt;"",C216&amp;"-"&amp;P216,"")</f>
        <v/>
      </c>
      <c r="R216" s="194" t="str">
        <f t="array" ref="R216">IFERROR(IF(INDEX('Disaggregation Records'!$E$3:$E$66,MATCH(RIGHT(Q216,255),RIGHT('Disaggregation Records'!$D$3:$D$66,255),0))="","",INDEX('Disaggregation Records'!$E$3:$E$66,MATCH(RIGHT(Q216,255),RIGHT('Disaggregation Records'!$D$3:$D$66,255),0))),"")</f>
        <v/>
      </c>
      <c r="S216" s="194" t="str">
        <f t="array" ref="S216">IFERROR(IF(INDEX('Disaggregation Records'!$F$3:$F$66,MATCH(RIGHT(Q216,255),RIGHT('Disaggregation Records'!$D$3:$D$66,255),0))="","",INDEX('Disaggregation Records'!$F$3:$F$66,MATCH(RIGHT(Q216,255),RIGHT('Disaggregation Records'!$D$3:$D$66,255),0))),"")</f>
        <v/>
      </c>
      <c r="T216" s="194" t="str">
        <f t="array" ref="T216">IFERROR(IF(INDEX('Disaggregation Records'!$H$3:$H$66,MATCH(RIGHT(Q216,255),RIGHT('Disaggregation Records'!$D$3:$D$66,255),0))="","",INDEX('Disaggregation Records'!$H$3:$H$66,MATCH(RIGHT(Q216,255),RIGHT('Disaggregation Records'!$D$3:$D$66,255),0))),"")</f>
        <v/>
      </c>
      <c r="U216" s="194">
        <f>U214+1</f>
        <v>2224</v>
      </c>
      <c r="V216" s="194" t="str">
        <f t="array" ref="V216">IFERROR(IF(INDEX('Disaggregation Records'!$I$3:$I$66,MATCH(RIGHT(Q216,255),RIGHT('Disaggregation Records'!$D$3:$D$66,255),0))="","",INDEX('Disaggregation Records'!$I$3:$I$66,MATCH(RIGHT(Q216,255),RIGHT('Disaggregation Records'!$D$3:$D$66,255),0))),"")</f>
        <v/>
      </c>
      <c r="W216" s="194" t="str">
        <f>IFERROR(INDEX('Reference Records'!O$3:O$19,MATCH(LEFT(C216,255),'Reference Records'!J$3:J$19,0)),"")</f>
        <v/>
      </c>
    </row>
    <row r="217" spans="1:23" s="195" customFormat="1" ht="40.4" customHeight="1" x14ac:dyDescent="0.35">
      <c r="A217" s="770"/>
      <c r="B217" s="767">
        <v>8.1541353383458706</v>
      </c>
      <c r="C217" s="761"/>
      <c r="D217" s="769"/>
      <c r="E217" s="769"/>
      <c r="F217" s="208"/>
      <c r="G217" s="763"/>
      <c r="H217" s="744"/>
      <c r="I217" s="765"/>
      <c r="J217" s="730"/>
      <c r="K217" s="761"/>
      <c r="L217" s="761"/>
      <c r="M217" s="730"/>
      <c r="N217" s="730"/>
    </row>
    <row r="218" spans="1:23" s="194" customFormat="1" ht="40.4" customHeight="1" x14ac:dyDescent="0.35">
      <c r="A218" s="770" t="str">
        <f t="shared" ca="1" si="3"/>
        <v>a1G3p000005ncE9EAI</v>
      </c>
      <c r="B218" s="766">
        <v>11</v>
      </c>
      <c r="C218" s="760" t="str">
        <f>IFERROR(VLOOKUP(B218,'Impact Indicators - Section B '!$A$9:$AF$52,32,FALSE),"")</f>
        <v/>
      </c>
      <c r="D218" s="768" t="str">
        <f>R218</f>
        <v/>
      </c>
      <c r="E218" s="768" t="str">
        <f>S218</f>
        <v/>
      </c>
      <c r="F218" s="413"/>
      <c r="G218" s="762" t="str">
        <f ca="1">IF(OR(INDIRECT("'update Helper'!E"&amp;U218)="",F218&lt;&gt;0,F219&lt;&gt;0),IF(IFERROR((F218/F219),"")="","",(F218/F219)),INDIRECT("'update Helper'!E"&amp;U218)/100)</f>
        <v/>
      </c>
      <c r="H218" s="743"/>
      <c r="I218" s="764"/>
      <c r="J218" s="729"/>
      <c r="K218" s="760" t="str">
        <f>W218</f>
        <v/>
      </c>
      <c r="L218" s="760" t="str">
        <f>V218</f>
        <v/>
      </c>
      <c r="M218" s="729"/>
      <c r="N218" s="729"/>
      <c r="P218" s="194">
        <f>IF(AND(EXACT(C218,C216),C216&lt;&gt;0),P216+1,0)</f>
        <v>84</v>
      </c>
      <c r="Q218" s="194" t="str">
        <f>IF(C218&lt;&gt;"",C218&amp;"-"&amp;P218,"")</f>
        <v/>
      </c>
      <c r="R218" s="194" t="str">
        <f t="array" ref="R218">IFERROR(IF(INDEX('Disaggregation Records'!$E$3:$E$66,MATCH(RIGHT(Q218,255),RIGHT('Disaggregation Records'!$D$3:$D$66,255),0))="","",INDEX('Disaggregation Records'!$E$3:$E$66,MATCH(RIGHT(Q218,255),RIGHT('Disaggregation Records'!$D$3:$D$66,255),0))),"")</f>
        <v/>
      </c>
      <c r="S218" s="194" t="str">
        <f t="array" ref="S218">IFERROR(IF(INDEX('Disaggregation Records'!$F$3:$F$66,MATCH(RIGHT(Q218,255),RIGHT('Disaggregation Records'!$D$3:$D$66,255),0))="","",INDEX('Disaggregation Records'!$F$3:$F$66,MATCH(RIGHT(Q218,255),RIGHT('Disaggregation Records'!$D$3:$D$66,255),0))),"")</f>
        <v/>
      </c>
      <c r="T218" s="194" t="str">
        <f t="array" ref="T218">IFERROR(IF(INDEX('Disaggregation Records'!$H$3:$H$66,MATCH(RIGHT(Q218,255),RIGHT('Disaggregation Records'!$D$3:$D$66,255),0))="","",INDEX('Disaggregation Records'!$H$3:$H$66,MATCH(RIGHT(Q218,255),RIGHT('Disaggregation Records'!$D$3:$D$66,255),0))),"")</f>
        <v/>
      </c>
      <c r="U218" s="194">
        <f>U216+1</f>
        <v>2225</v>
      </c>
      <c r="V218" s="194" t="str">
        <f t="array" ref="V218">IFERROR(IF(INDEX('Disaggregation Records'!$I$3:$I$66,MATCH(RIGHT(Q218,255),RIGHT('Disaggregation Records'!$D$3:$D$66,255),0))="","",INDEX('Disaggregation Records'!$I$3:$I$66,MATCH(RIGHT(Q218,255),RIGHT('Disaggregation Records'!$D$3:$D$66,255),0))),"")</f>
        <v/>
      </c>
      <c r="W218" s="194" t="str">
        <f>IFERROR(INDEX('Reference Records'!O$3:O$19,MATCH(LEFT(C218,255),'Reference Records'!J$3:J$19,0)),"")</f>
        <v/>
      </c>
    </row>
    <row r="219" spans="1:23" s="195" customFormat="1" ht="40.4" customHeight="1" x14ac:dyDescent="0.35">
      <c r="A219" s="770"/>
      <c r="B219" s="767">
        <v>8.1541353383458706</v>
      </c>
      <c r="C219" s="761"/>
      <c r="D219" s="769"/>
      <c r="E219" s="769"/>
      <c r="F219" s="208"/>
      <c r="G219" s="763"/>
      <c r="H219" s="744"/>
      <c r="I219" s="765"/>
      <c r="J219" s="730"/>
      <c r="K219" s="761"/>
      <c r="L219" s="761"/>
      <c r="M219" s="730"/>
      <c r="N219" s="730"/>
    </row>
    <row r="220" spans="1:23" s="194" customFormat="1" ht="40.4" customHeight="1" x14ac:dyDescent="0.35">
      <c r="A220" s="770" t="str">
        <f t="shared" ca="1" si="3"/>
        <v>a1G3p000005ncEAEAY</v>
      </c>
      <c r="B220" s="766">
        <v>11</v>
      </c>
      <c r="C220" s="760" t="str">
        <f>IFERROR(VLOOKUP(B220,'Impact Indicators - Section B '!$A$9:$AF$52,32,FALSE),"")</f>
        <v/>
      </c>
      <c r="D220" s="768" t="str">
        <f>R220</f>
        <v/>
      </c>
      <c r="E220" s="768" t="str">
        <f>S220</f>
        <v/>
      </c>
      <c r="F220" s="413"/>
      <c r="G220" s="762" t="str">
        <f ca="1">IF(OR(INDIRECT("'update Helper'!E"&amp;U220)="",F220&lt;&gt;0,F221&lt;&gt;0),IF(IFERROR((F220/F221),"")="","",(F220/F221)),INDIRECT("'update Helper'!E"&amp;U220)/100)</f>
        <v/>
      </c>
      <c r="H220" s="743"/>
      <c r="I220" s="764"/>
      <c r="J220" s="729"/>
      <c r="K220" s="760" t="str">
        <f>W220</f>
        <v/>
      </c>
      <c r="L220" s="760" t="str">
        <f>V220</f>
        <v/>
      </c>
      <c r="M220" s="729"/>
      <c r="N220" s="729"/>
      <c r="P220" s="194">
        <f>IF(AND(EXACT(C220,C218),C218&lt;&gt;0),P218+1,0)</f>
        <v>85</v>
      </c>
      <c r="Q220" s="194" t="str">
        <f>IF(C220&lt;&gt;"",C220&amp;"-"&amp;P220,"")</f>
        <v/>
      </c>
      <c r="R220" s="194" t="str">
        <f t="array" ref="R220">IFERROR(IF(INDEX('Disaggregation Records'!$E$3:$E$66,MATCH(RIGHT(Q220,255),RIGHT('Disaggregation Records'!$D$3:$D$66,255),0))="","",INDEX('Disaggregation Records'!$E$3:$E$66,MATCH(RIGHT(Q220,255),RIGHT('Disaggregation Records'!$D$3:$D$66,255),0))),"")</f>
        <v/>
      </c>
      <c r="S220" s="194" t="str">
        <f t="array" ref="S220">IFERROR(IF(INDEX('Disaggregation Records'!$F$3:$F$66,MATCH(RIGHT(Q220,255),RIGHT('Disaggregation Records'!$D$3:$D$66,255),0))="","",INDEX('Disaggregation Records'!$F$3:$F$66,MATCH(RIGHT(Q220,255),RIGHT('Disaggregation Records'!$D$3:$D$66,255),0))),"")</f>
        <v/>
      </c>
      <c r="T220" s="194" t="str">
        <f t="array" ref="T220">IFERROR(IF(INDEX('Disaggregation Records'!$H$3:$H$66,MATCH(RIGHT(Q220,255),RIGHT('Disaggregation Records'!$D$3:$D$66,255),0))="","",INDEX('Disaggregation Records'!$H$3:$H$66,MATCH(RIGHT(Q220,255),RIGHT('Disaggregation Records'!$D$3:$D$66,255),0))),"")</f>
        <v/>
      </c>
      <c r="U220" s="194">
        <f>U218+1</f>
        <v>2226</v>
      </c>
      <c r="V220" s="194" t="str">
        <f t="array" ref="V220">IFERROR(IF(INDEX('Disaggregation Records'!$I$3:$I$66,MATCH(RIGHT(Q220,255),RIGHT('Disaggregation Records'!$D$3:$D$66,255),0))="","",INDEX('Disaggregation Records'!$I$3:$I$66,MATCH(RIGHT(Q220,255),RIGHT('Disaggregation Records'!$D$3:$D$66,255),0))),"")</f>
        <v/>
      </c>
      <c r="W220" s="194" t="str">
        <f>IFERROR(INDEX('Reference Records'!O$3:O$19,MATCH(LEFT(C220,255),'Reference Records'!J$3:J$19,0)),"")</f>
        <v/>
      </c>
    </row>
    <row r="221" spans="1:23" s="194" customFormat="1" ht="40.4" customHeight="1" x14ac:dyDescent="0.35">
      <c r="A221" s="770"/>
      <c r="B221" s="767">
        <v>8.1541353383458706</v>
      </c>
      <c r="C221" s="761"/>
      <c r="D221" s="769"/>
      <c r="E221" s="769"/>
      <c r="F221" s="208"/>
      <c r="G221" s="763"/>
      <c r="H221" s="744"/>
      <c r="I221" s="765"/>
      <c r="J221" s="730"/>
      <c r="K221" s="761"/>
      <c r="L221" s="761"/>
      <c r="M221" s="730"/>
      <c r="N221" s="730"/>
      <c r="P221" s="195"/>
      <c r="Q221" s="195"/>
      <c r="R221" s="195"/>
      <c r="S221" s="195"/>
      <c r="T221" s="195"/>
      <c r="U221" s="195"/>
      <c r="V221" s="195"/>
      <c r="W221" s="195"/>
    </row>
    <row r="222" spans="1:23" s="194" customFormat="1" ht="40.4" customHeight="1" x14ac:dyDescent="0.35">
      <c r="A222" s="770" t="str">
        <f t="shared" ca="1" si="3"/>
        <v>a1G3p000005ncEBEAY</v>
      </c>
      <c r="B222" s="766">
        <v>11</v>
      </c>
      <c r="C222" s="760" t="str">
        <f>IFERROR(VLOOKUP(B222,'Impact Indicators - Section B '!$A$9:$AF$52,32,FALSE),"")</f>
        <v/>
      </c>
      <c r="D222" s="768" t="str">
        <f>R222</f>
        <v/>
      </c>
      <c r="E222" s="768" t="str">
        <f>S222</f>
        <v/>
      </c>
      <c r="F222" s="413"/>
      <c r="G222" s="762" t="str">
        <f ca="1">IF(OR(INDIRECT("'update Helper'!E"&amp;U222)="",F222&lt;&gt;0,F223&lt;&gt;0),IF(IFERROR((F222/F223),"")="","",(F222/F223)),INDIRECT("'update Helper'!E"&amp;U222)/100)</f>
        <v/>
      </c>
      <c r="H222" s="743"/>
      <c r="I222" s="764"/>
      <c r="J222" s="729"/>
      <c r="K222" s="760" t="str">
        <f>W222</f>
        <v/>
      </c>
      <c r="L222" s="760" t="str">
        <f>V222</f>
        <v/>
      </c>
      <c r="M222" s="729"/>
      <c r="N222" s="729"/>
      <c r="P222" s="194">
        <f>IF(AND(EXACT(C222,C220),C220&lt;&gt;0),P220+1,0)</f>
        <v>86</v>
      </c>
      <c r="Q222" s="194" t="str">
        <f>IF(C222&lt;&gt;"",C222&amp;"-"&amp;P222,"")</f>
        <v/>
      </c>
      <c r="R222" s="194" t="str">
        <f t="array" ref="R222">IFERROR(IF(INDEX('Disaggregation Records'!$E$3:$E$66,MATCH(RIGHT(Q222,255),RIGHT('Disaggregation Records'!$D$3:$D$66,255),0))="","",INDEX('Disaggregation Records'!$E$3:$E$66,MATCH(RIGHT(Q222,255),RIGHT('Disaggregation Records'!$D$3:$D$66,255),0))),"")</f>
        <v/>
      </c>
      <c r="S222" s="194" t="str">
        <f t="array" ref="S222">IFERROR(IF(INDEX('Disaggregation Records'!$F$3:$F$66,MATCH(RIGHT(Q222,255),RIGHT('Disaggregation Records'!$D$3:$D$66,255),0))="","",INDEX('Disaggregation Records'!$F$3:$F$66,MATCH(RIGHT(Q222,255),RIGHT('Disaggregation Records'!$D$3:$D$66,255),0))),"")</f>
        <v/>
      </c>
      <c r="T222" s="194" t="str">
        <f t="array" ref="T222">IFERROR(IF(INDEX('Disaggregation Records'!$H$3:$H$66,MATCH(RIGHT(Q222,255),RIGHT('Disaggregation Records'!$D$3:$D$66,255),0))="","",INDEX('Disaggregation Records'!$H$3:$H$66,MATCH(RIGHT(Q222,255),RIGHT('Disaggregation Records'!$D$3:$D$66,255),0))),"")</f>
        <v/>
      </c>
      <c r="U222" s="194">
        <f>U220+1</f>
        <v>2227</v>
      </c>
      <c r="V222" s="194" t="str">
        <f t="array" ref="V222">IFERROR(IF(INDEX('Disaggregation Records'!$I$3:$I$66,MATCH(RIGHT(Q222,255),RIGHT('Disaggregation Records'!$D$3:$D$66,255),0))="","",INDEX('Disaggregation Records'!$I$3:$I$66,MATCH(RIGHT(Q222,255),RIGHT('Disaggregation Records'!$D$3:$D$66,255),0))),"")</f>
        <v/>
      </c>
      <c r="W222" s="194" t="str">
        <f>IFERROR(INDEX('Reference Records'!O$3:O$19,MATCH(LEFT(C222,255),'Reference Records'!J$3:J$19,0)),"")</f>
        <v/>
      </c>
    </row>
    <row r="223" spans="1:23" s="195" customFormat="1" ht="40.4" customHeight="1" x14ac:dyDescent="0.35">
      <c r="A223" s="770"/>
      <c r="B223" s="767">
        <v>8.1541353383458706</v>
      </c>
      <c r="C223" s="761"/>
      <c r="D223" s="769"/>
      <c r="E223" s="769"/>
      <c r="F223" s="208"/>
      <c r="G223" s="763"/>
      <c r="H223" s="744"/>
      <c r="I223" s="765"/>
      <c r="J223" s="730"/>
      <c r="K223" s="761"/>
      <c r="L223" s="761"/>
      <c r="M223" s="730"/>
      <c r="N223" s="730"/>
    </row>
    <row r="224" spans="1:23" s="194" customFormat="1" ht="40.4" customHeight="1" x14ac:dyDescent="0.35">
      <c r="A224" s="770" t="str">
        <f t="shared" ca="1" si="3"/>
        <v>a1G3p000005ncECEAY</v>
      </c>
      <c r="B224" s="766">
        <v>11</v>
      </c>
      <c r="C224" s="760" t="str">
        <f>IFERROR(VLOOKUP(B224,'Impact Indicators - Section B '!$A$9:$AF$52,32,FALSE),"")</f>
        <v/>
      </c>
      <c r="D224" s="768" t="str">
        <f>R224</f>
        <v/>
      </c>
      <c r="E224" s="768" t="str">
        <f>S224</f>
        <v/>
      </c>
      <c r="F224" s="413"/>
      <c r="G224" s="762" t="str">
        <f ca="1">IF(OR(INDIRECT("'update Helper'!E"&amp;U224)="",F224&lt;&gt;0,F225&lt;&gt;0),IF(IFERROR((F224/F225),"")="","",(F224/F225)),INDIRECT("'update Helper'!E"&amp;U224)/100)</f>
        <v/>
      </c>
      <c r="H224" s="743"/>
      <c r="I224" s="764"/>
      <c r="J224" s="729"/>
      <c r="K224" s="760" t="str">
        <f>W224</f>
        <v/>
      </c>
      <c r="L224" s="760" t="str">
        <f>V224</f>
        <v/>
      </c>
      <c r="M224" s="729"/>
      <c r="N224" s="729"/>
      <c r="P224" s="194">
        <f>IF(AND(EXACT(C224,C222),C222&lt;&gt;0),P222+1,0)</f>
        <v>87</v>
      </c>
      <c r="Q224" s="194" t="str">
        <f>IF(C224&lt;&gt;"",C224&amp;"-"&amp;P224,"")</f>
        <v/>
      </c>
      <c r="R224" s="194" t="str">
        <f t="array" ref="R224">IFERROR(IF(INDEX('Disaggregation Records'!$E$3:$E$66,MATCH(RIGHT(Q224,255),RIGHT('Disaggregation Records'!$D$3:$D$66,255),0))="","",INDEX('Disaggregation Records'!$E$3:$E$66,MATCH(RIGHT(Q224,255),RIGHT('Disaggregation Records'!$D$3:$D$66,255),0))),"")</f>
        <v/>
      </c>
      <c r="S224" s="194" t="str">
        <f t="array" ref="S224">IFERROR(IF(INDEX('Disaggregation Records'!$F$3:$F$66,MATCH(RIGHT(Q224,255),RIGHT('Disaggregation Records'!$D$3:$D$66,255),0))="","",INDEX('Disaggregation Records'!$F$3:$F$66,MATCH(RIGHT(Q224,255),RIGHT('Disaggregation Records'!$D$3:$D$66,255),0))),"")</f>
        <v/>
      </c>
      <c r="T224" s="194" t="str">
        <f t="array" ref="T224">IFERROR(IF(INDEX('Disaggregation Records'!$H$3:$H$66,MATCH(RIGHT(Q224,255),RIGHT('Disaggregation Records'!$D$3:$D$66,255),0))="","",INDEX('Disaggregation Records'!$H$3:$H$66,MATCH(RIGHT(Q224,255),RIGHT('Disaggregation Records'!$D$3:$D$66,255),0))),"")</f>
        <v/>
      </c>
      <c r="U224" s="194">
        <f>U222+1</f>
        <v>2228</v>
      </c>
      <c r="V224" s="194" t="str">
        <f t="array" ref="V224">IFERROR(IF(INDEX('Disaggregation Records'!$I$3:$I$66,MATCH(RIGHT(Q224,255),RIGHT('Disaggregation Records'!$D$3:$D$66,255),0))="","",INDEX('Disaggregation Records'!$I$3:$I$66,MATCH(RIGHT(Q224,255),RIGHT('Disaggregation Records'!$D$3:$D$66,255),0))),"")</f>
        <v/>
      </c>
      <c r="W224" s="194" t="str">
        <f>IFERROR(INDEX('Reference Records'!O$3:O$19,MATCH(LEFT(C224,255),'Reference Records'!J$3:J$19,0)),"")</f>
        <v/>
      </c>
    </row>
    <row r="225" spans="1:23" s="195" customFormat="1" ht="40.4" customHeight="1" x14ac:dyDescent="0.35">
      <c r="A225" s="770"/>
      <c r="B225" s="767">
        <v>8.1541353383458706</v>
      </c>
      <c r="C225" s="761"/>
      <c r="D225" s="769"/>
      <c r="E225" s="769"/>
      <c r="F225" s="208"/>
      <c r="G225" s="763"/>
      <c r="H225" s="744"/>
      <c r="I225" s="765"/>
      <c r="J225" s="730"/>
      <c r="K225" s="761"/>
      <c r="L225" s="761"/>
      <c r="M225" s="730"/>
      <c r="N225" s="730"/>
    </row>
    <row r="226" spans="1:23" s="194" customFormat="1" ht="40.4" customHeight="1" x14ac:dyDescent="0.35">
      <c r="A226" s="770" t="str">
        <f t="shared" ca="1" si="3"/>
        <v>a1G3p000005ncEDEAY</v>
      </c>
      <c r="B226" s="766">
        <v>11</v>
      </c>
      <c r="C226" s="760" t="str">
        <f>IFERROR(VLOOKUP(B226,'Impact Indicators - Section B '!$A$9:$AF$52,32,FALSE),"")</f>
        <v/>
      </c>
      <c r="D226" s="768" t="str">
        <f>R226</f>
        <v/>
      </c>
      <c r="E226" s="768" t="str">
        <f>S226</f>
        <v/>
      </c>
      <c r="F226" s="413"/>
      <c r="G226" s="762" t="str">
        <f ca="1">IF(OR(INDIRECT("'update Helper'!E"&amp;U226)="",F226&lt;&gt;0,F227&lt;&gt;0),IF(IFERROR((F226/F227),"")="","",(F226/F227)),INDIRECT("'update Helper'!E"&amp;U226)/100)</f>
        <v/>
      </c>
      <c r="H226" s="743"/>
      <c r="I226" s="764"/>
      <c r="J226" s="729"/>
      <c r="K226" s="760" t="str">
        <f>W226</f>
        <v/>
      </c>
      <c r="L226" s="760" t="str">
        <f>V226</f>
        <v/>
      </c>
      <c r="M226" s="729"/>
      <c r="N226" s="729"/>
      <c r="P226" s="194">
        <f>IF(AND(EXACT(C226,C224),C224&lt;&gt;0),P224+1,0)</f>
        <v>88</v>
      </c>
      <c r="Q226" s="194" t="str">
        <f>IF(C226&lt;&gt;"",C226&amp;"-"&amp;P226,"")</f>
        <v/>
      </c>
      <c r="R226" s="194" t="str">
        <f t="array" ref="R226">IFERROR(IF(INDEX('Disaggregation Records'!$E$3:$E$66,MATCH(RIGHT(Q226,255),RIGHT('Disaggregation Records'!$D$3:$D$66,255),0))="","",INDEX('Disaggregation Records'!$E$3:$E$66,MATCH(RIGHT(Q226,255),RIGHT('Disaggregation Records'!$D$3:$D$66,255),0))),"")</f>
        <v/>
      </c>
      <c r="S226" s="194" t="str">
        <f t="array" ref="S226">IFERROR(IF(INDEX('Disaggregation Records'!$F$3:$F$66,MATCH(RIGHT(Q226,255),RIGHT('Disaggregation Records'!$D$3:$D$66,255),0))="","",INDEX('Disaggregation Records'!$F$3:$F$66,MATCH(RIGHT(Q226,255),RIGHT('Disaggregation Records'!$D$3:$D$66,255),0))),"")</f>
        <v/>
      </c>
      <c r="T226" s="194" t="str">
        <f t="array" ref="T226">IFERROR(IF(INDEX('Disaggregation Records'!$H$3:$H$66,MATCH(RIGHT(Q226,255),RIGHT('Disaggregation Records'!$D$3:$D$66,255),0))="","",INDEX('Disaggregation Records'!$H$3:$H$66,MATCH(RIGHT(Q226,255),RIGHT('Disaggregation Records'!$D$3:$D$66,255),0))),"")</f>
        <v/>
      </c>
      <c r="U226" s="194">
        <f>U224+1</f>
        <v>2229</v>
      </c>
      <c r="V226" s="194" t="str">
        <f t="array" ref="V226">IFERROR(IF(INDEX('Disaggregation Records'!$I$3:$I$66,MATCH(RIGHT(Q226,255),RIGHT('Disaggregation Records'!$D$3:$D$66,255),0))="","",INDEX('Disaggregation Records'!$I$3:$I$66,MATCH(RIGHT(Q226,255),RIGHT('Disaggregation Records'!$D$3:$D$66,255),0))),"")</f>
        <v/>
      </c>
      <c r="W226" s="194" t="str">
        <f>IFERROR(INDEX('Reference Records'!O$3:O$19,MATCH(LEFT(C226,255),'Reference Records'!J$3:J$19,0)),"")</f>
        <v/>
      </c>
    </row>
    <row r="227" spans="1:23" s="194" customFormat="1" ht="40.4" customHeight="1" x14ac:dyDescent="0.35">
      <c r="A227" s="770"/>
      <c r="B227" s="767">
        <v>8.1541353383458706</v>
      </c>
      <c r="C227" s="761"/>
      <c r="D227" s="769"/>
      <c r="E227" s="769"/>
      <c r="F227" s="208"/>
      <c r="G227" s="763"/>
      <c r="H227" s="744"/>
      <c r="I227" s="765"/>
      <c r="J227" s="730"/>
      <c r="K227" s="761"/>
      <c r="L227" s="761"/>
      <c r="M227" s="730"/>
      <c r="N227" s="730"/>
      <c r="P227" s="195"/>
      <c r="Q227" s="195"/>
      <c r="R227" s="195"/>
      <c r="S227" s="195"/>
      <c r="T227" s="195"/>
      <c r="U227" s="195"/>
      <c r="V227" s="195"/>
      <c r="W227" s="195"/>
    </row>
    <row r="228" spans="1:23" s="194" customFormat="1" ht="40.4" customHeight="1" x14ac:dyDescent="0.35">
      <c r="A228" s="770" t="str">
        <f t="shared" ca="1" si="3"/>
        <v>a1G3p000005ncEEEAY</v>
      </c>
      <c r="B228" s="766">
        <v>11</v>
      </c>
      <c r="C228" s="760" t="str">
        <f>IFERROR(VLOOKUP(B228,'Impact Indicators - Section B '!$A$9:$AF$52,32,FALSE),"")</f>
        <v/>
      </c>
      <c r="D228" s="768" t="str">
        <f>R228</f>
        <v/>
      </c>
      <c r="E228" s="768" t="str">
        <f>S228</f>
        <v/>
      </c>
      <c r="F228" s="413"/>
      <c r="G228" s="762" t="str">
        <f ca="1">IF(OR(INDIRECT("'update Helper'!E"&amp;U228)="",F228&lt;&gt;0,F229&lt;&gt;0),IF(IFERROR((F228/F229),"")="","",(F228/F229)),INDIRECT("'update Helper'!E"&amp;U228)/100)</f>
        <v/>
      </c>
      <c r="H228" s="743"/>
      <c r="I228" s="764"/>
      <c r="J228" s="729"/>
      <c r="K228" s="760" t="str">
        <f>W228</f>
        <v/>
      </c>
      <c r="L228" s="760" t="str">
        <f>V228</f>
        <v/>
      </c>
      <c r="M228" s="729"/>
      <c r="N228" s="729"/>
      <c r="P228" s="194">
        <f>IF(AND(EXACT(C228,C226),C226&lt;&gt;0),P226+1,0)</f>
        <v>89</v>
      </c>
      <c r="Q228" s="194" t="str">
        <f>IF(C228&lt;&gt;"",C228&amp;"-"&amp;P228,"")</f>
        <v/>
      </c>
      <c r="R228" s="194" t="str">
        <f t="array" ref="R228">IFERROR(IF(INDEX('Disaggregation Records'!$E$3:$E$66,MATCH(RIGHT(Q228,255),RIGHT('Disaggregation Records'!$D$3:$D$66,255),0))="","",INDEX('Disaggregation Records'!$E$3:$E$66,MATCH(RIGHT(Q228,255),RIGHT('Disaggregation Records'!$D$3:$D$66,255),0))),"")</f>
        <v/>
      </c>
      <c r="S228" s="194" t="str">
        <f t="array" ref="S228">IFERROR(IF(INDEX('Disaggregation Records'!$F$3:$F$66,MATCH(RIGHT(Q228,255),RIGHT('Disaggregation Records'!$D$3:$D$66,255),0))="","",INDEX('Disaggregation Records'!$F$3:$F$66,MATCH(RIGHT(Q228,255),RIGHT('Disaggregation Records'!$D$3:$D$66,255),0))),"")</f>
        <v/>
      </c>
      <c r="T228" s="194" t="str">
        <f t="array" ref="T228">IFERROR(IF(INDEX('Disaggregation Records'!$H$3:$H$66,MATCH(RIGHT(Q228,255),RIGHT('Disaggregation Records'!$D$3:$D$66,255),0))="","",INDEX('Disaggregation Records'!$H$3:$H$66,MATCH(RIGHT(Q228,255),RIGHT('Disaggregation Records'!$D$3:$D$66,255),0))),"")</f>
        <v/>
      </c>
      <c r="U228" s="194">
        <f>U226+1</f>
        <v>2230</v>
      </c>
      <c r="V228" s="194" t="str">
        <f t="array" ref="V228">IFERROR(IF(INDEX('Disaggregation Records'!$I$3:$I$66,MATCH(RIGHT(Q228,255),RIGHT('Disaggregation Records'!$D$3:$D$66,255),0))="","",INDEX('Disaggregation Records'!$I$3:$I$66,MATCH(RIGHT(Q228,255),RIGHT('Disaggregation Records'!$D$3:$D$66,255),0))),"")</f>
        <v/>
      </c>
      <c r="W228" s="194" t="str">
        <f>IFERROR(INDEX('Reference Records'!O$3:O$19,MATCH(LEFT(C228,255),'Reference Records'!J$3:J$19,0)),"")</f>
        <v/>
      </c>
    </row>
    <row r="229" spans="1:23" s="195" customFormat="1" ht="40.4" customHeight="1" x14ac:dyDescent="0.35">
      <c r="A229" s="770"/>
      <c r="B229" s="767">
        <v>8.1541353383458706</v>
      </c>
      <c r="C229" s="761"/>
      <c r="D229" s="769"/>
      <c r="E229" s="769"/>
      <c r="F229" s="208"/>
      <c r="G229" s="763"/>
      <c r="H229" s="744"/>
      <c r="I229" s="765"/>
      <c r="J229" s="730"/>
      <c r="K229" s="761"/>
      <c r="L229" s="761"/>
      <c r="M229" s="730"/>
      <c r="N229" s="730"/>
    </row>
    <row r="230" spans="1:23" s="194" customFormat="1" ht="40.4" customHeight="1" x14ac:dyDescent="0.35">
      <c r="A230" s="770" t="str">
        <f t="shared" ca="1" si="3"/>
        <v>a1G3p000005ncGVEAY</v>
      </c>
      <c r="B230" s="766">
        <v>12</v>
      </c>
      <c r="C230" s="760" t="str">
        <f>IFERROR(VLOOKUP(B230,'Impact Indicators - Section B '!$A$9:$AF$52,32,FALSE),"")</f>
        <v/>
      </c>
      <c r="D230" s="768" t="str">
        <f>R230</f>
        <v/>
      </c>
      <c r="E230" s="768" t="str">
        <f>S230</f>
        <v/>
      </c>
      <c r="F230" s="413"/>
      <c r="G230" s="762" t="str">
        <f ca="1">IF(OR(INDIRECT("'update Helper'!E"&amp;U230)="",F230&lt;&gt;0,F231&lt;&gt;0),IF(IFERROR((F230/F231),"")="","",(F230/F231)),INDIRECT("'update Helper'!E"&amp;U230)/100)</f>
        <v/>
      </c>
      <c r="H230" s="743"/>
      <c r="I230" s="764"/>
      <c r="J230" s="729"/>
      <c r="K230" s="760" t="str">
        <f>W230</f>
        <v/>
      </c>
      <c r="L230" s="760" t="str">
        <f>V230</f>
        <v/>
      </c>
      <c r="M230" s="729"/>
      <c r="N230" s="729"/>
      <c r="P230" s="194">
        <f>IF(AND(EXACT(C230,C228),C228&lt;&gt;0),P228+1,0)</f>
        <v>90</v>
      </c>
      <c r="Q230" s="194" t="str">
        <f>IF(C230&lt;&gt;"",C230&amp;"-"&amp;P230,"")</f>
        <v/>
      </c>
      <c r="R230" s="194" t="str">
        <f t="array" ref="R230">IFERROR(IF(INDEX('Disaggregation Records'!$E$3:$E$66,MATCH(RIGHT(Q230,255),RIGHT('Disaggregation Records'!$D$3:$D$66,255),0))="","",INDEX('Disaggregation Records'!$E$3:$E$66,MATCH(RIGHT(Q230,255),RIGHT('Disaggregation Records'!$D$3:$D$66,255),0))),"")</f>
        <v/>
      </c>
      <c r="S230" s="194" t="str">
        <f t="array" ref="S230">IFERROR(IF(INDEX('Disaggregation Records'!$F$3:$F$66,MATCH(RIGHT(Q230,255),RIGHT('Disaggregation Records'!$D$3:$D$66,255),0))="","",INDEX('Disaggregation Records'!$F$3:$F$66,MATCH(RIGHT(Q230,255),RIGHT('Disaggregation Records'!$D$3:$D$66,255),0))),"")</f>
        <v/>
      </c>
      <c r="T230" s="194" t="str">
        <f t="array" ref="T230">IFERROR(IF(INDEX('Disaggregation Records'!$H$3:$H$66,MATCH(RIGHT(Q230,255),RIGHT('Disaggregation Records'!$D$3:$D$66,255),0))="","",INDEX('Disaggregation Records'!$H$3:$H$66,MATCH(RIGHT(Q230,255),RIGHT('Disaggregation Records'!$D$3:$D$66,255),0))),"")</f>
        <v/>
      </c>
      <c r="U230" s="194">
        <f>U228+1</f>
        <v>2231</v>
      </c>
      <c r="V230" s="194" t="str">
        <f t="array" ref="V230">IFERROR(IF(INDEX('Disaggregation Records'!$I$3:$I$66,MATCH(RIGHT(Q230,255),RIGHT('Disaggregation Records'!$D$3:$D$66,255),0))="","",INDEX('Disaggregation Records'!$I$3:$I$66,MATCH(RIGHT(Q230,255),RIGHT('Disaggregation Records'!$D$3:$D$66,255),0))),"")</f>
        <v/>
      </c>
      <c r="W230" s="194" t="str">
        <f>IFERROR(INDEX('Reference Records'!O$3:O$19,MATCH(LEFT(C230,255),'Reference Records'!J$3:J$19,0)),"")</f>
        <v/>
      </c>
    </row>
    <row r="231" spans="1:23" s="195" customFormat="1" ht="40.4" customHeight="1" x14ac:dyDescent="0.35">
      <c r="A231" s="770"/>
      <c r="B231" s="767">
        <v>8.9060150375939902</v>
      </c>
      <c r="C231" s="761"/>
      <c r="D231" s="769"/>
      <c r="E231" s="769"/>
      <c r="F231" s="208"/>
      <c r="G231" s="763"/>
      <c r="H231" s="744"/>
      <c r="I231" s="765"/>
      <c r="J231" s="730"/>
      <c r="K231" s="761"/>
      <c r="L231" s="761"/>
      <c r="M231" s="730"/>
      <c r="N231" s="730"/>
    </row>
    <row r="232" spans="1:23" s="194" customFormat="1" ht="40.4" customHeight="1" x14ac:dyDescent="0.35">
      <c r="A232" s="770" t="str">
        <f t="shared" ca="1" si="3"/>
        <v>a1G3p000005ncGWEAY</v>
      </c>
      <c r="B232" s="766">
        <v>12</v>
      </c>
      <c r="C232" s="760" t="str">
        <f>IFERROR(VLOOKUP(B232,'Impact Indicators - Section B '!$A$9:$AF$52,32,FALSE),"")</f>
        <v/>
      </c>
      <c r="D232" s="768" t="str">
        <f>R232</f>
        <v/>
      </c>
      <c r="E232" s="768" t="str">
        <f>S232</f>
        <v/>
      </c>
      <c r="F232" s="413"/>
      <c r="G232" s="762" t="str">
        <f ca="1">IF(OR(INDIRECT("'update Helper'!E"&amp;U232)="",F232&lt;&gt;0,F233&lt;&gt;0),IF(IFERROR((F232/F233),"")="","",(F232/F233)),INDIRECT("'update Helper'!E"&amp;U232)/100)</f>
        <v/>
      </c>
      <c r="H232" s="743"/>
      <c r="I232" s="764"/>
      <c r="J232" s="729"/>
      <c r="K232" s="760" t="str">
        <f>W232</f>
        <v/>
      </c>
      <c r="L232" s="760" t="str">
        <f>V232</f>
        <v/>
      </c>
      <c r="M232" s="729"/>
      <c r="N232" s="729"/>
      <c r="P232" s="194">
        <f>IF(AND(EXACT(C232,C230),C230&lt;&gt;0),P230+1,0)</f>
        <v>91</v>
      </c>
      <c r="Q232" s="194" t="str">
        <f>IF(C232&lt;&gt;"",C232&amp;"-"&amp;P232,"")</f>
        <v/>
      </c>
      <c r="R232" s="194" t="str">
        <f t="array" ref="R232">IFERROR(IF(INDEX('Disaggregation Records'!$E$3:$E$66,MATCH(RIGHT(Q232,255),RIGHT('Disaggregation Records'!$D$3:$D$66,255),0))="","",INDEX('Disaggregation Records'!$E$3:$E$66,MATCH(RIGHT(Q232,255),RIGHT('Disaggregation Records'!$D$3:$D$66,255),0))),"")</f>
        <v/>
      </c>
      <c r="S232" s="194" t="str">
        <f t="array" ref="S232">IFERROR(IF(INDEX('Disaggregation Records'!$F$3:$F$66,MATCH(RIGHT(Q232,255),RIGHT('Disaggregation Records'!$D$3:$D$66,255),0))="","",INDEX('Disaggregation Records'!$F$3:$F$66,MATCH(RIGHT(Q232,255),RIGHT('Disaggregation Records'!$D$3:$D$66,255),0))),"")</f>
        <v/>
      </c>
      <c r="T232" s="194" t="str">
        <f t="array" ref="T232">IFERROR(IF(INDEX('Disaggregation Records'!$H$3:$H$66,MATCH(RIGHT(Q232,255),RIGHT('Disaggregation Records'!$D$3:$D$66,255),0))="","",INDEX('Disaggregation Records'!$H$3:$H$66,MATCH(RIGHT(Q232,255),RIGHT('Disaggregation Records'!$D$3:$D$66,255),0))),"")</f>
        <v/>
      </c>
      <c r="U232" s="194">
        <f>U230+1</f>
        <v>2232</v>
      </c>
      <c r="V232" s="194" t="str">
        <f t="array" ref="V232">IFERROR(IF(INDEX('Disaggregation Records'!$I$3:$I$66,MATCH(RIGHT(Q232,255),RIGHT('Disaggregation Records'!$D$3:$D$66,255),0))="","",INDEX('Disaggregation Records'!$I$3:$I$66,MATCH(RIGHT(Q232,255),RIGHT('Disaggregation Records'!$D$3:$D$66,255),0))),"")</f>
        <v/>
      </c>
      <c r="W232" s="194" t="str">
        <f>IFERROR(INDEX('Reference Records'!O$3:O$19,MATCH(LEFT(C232,255),'Reference Records'!J$3:J$19,0)),"")</f>
        <v/>
      </c>
    </row>
    <row r="233" spans="1:23" s="194" customFormat="1" ht="40.4" customHeight="1" x14ac:dyDescent="0.35">
      <c r="A233" s="770"/>
      <c r="B233" s="767">
        <v>8.9060150375939902</v>
      </c>
      <c r="C233" s="761"/>
      <c r="D233" s="769"/>
      <c r="E233" s="769"/>
      <c r="F233" s="208"/>
      <c r="G233" s="763"/>
      <c r="H233" s="744"/>
      <c r="I233" s="765"/>
      <c r="J233" s="730"/>
      <c r="K233" s="761"/>
      <c r="L233" s="761"/>
      <c r="M233" s="730"/>
      <c r="N233" s="730"/>
      <c r="P233" s="195"/>
      <c r="Q233" s="195"/>
      <c r="R233" s="195"/>
      <c r="S233" s="195"/>
      <c r="T233" s="195"/>
      <c r="U233" s="195"/>
      <c r="V233" s="195"/>
      <c r="W233" s="195"/>
    </row>
    <row r="234" spans="1:23" s="194" customFormat="1" ht="40.4" customHeight="1" x14ac:dyDescent="0.35">
      <c r="A234" s="770" t="str">
        <f t="shared" ca="1" si="3"/>
        <v>a1G3p000005ncGXEAY</v>
      </c>
      <c r="B234" s="766">
        <v>12</v>
      </c>
      <c r="C234" s="760" t="str">
        <f>IFERROR(VLOOKUP(B234,'Impact Indicators - Section B '!$A$9:$AF$52,32,FALSE),"")</f>
        <v/>
      </c>
      <c r="D234" s="768" t="str">
        <f>R234</f>
        <v/>
      </c>
      <c r="E234" s="768" t="str">
        <f>S234</f>
        <v/>
      </c>
      <c r="F234" s="413"/>
      <c r="G234" s="762" t="str">
        <f ca="1">IF(OR(INDIRECT("'update Helper'!E"&amp;U234)="",F234&lt;&gt;0,F235&lt;&gt;0),IF(IFERROR((F234/F235),"")="","",(F234/F235)),INDIRECT("'update Helper'!E"&amp;U234)/100)</f>
        <v/>
      </c>
      <c r="H234" s="743"/>
      <c r="I234" s="764"/>
      <c r="J234" s="729"/>
      <c r="K234" s="760" t="str">
        <f>W234</f>
        <v/>
      </c>
      <c r="L234" s="760" t="str">
        <f>V234</f>
        <v/>
      </c>
      <c r="M234" s="729"/>
      <c r="N234" s="729"/>
      <c r="P234" s="194">
        <f>IF(AND(EXACT(C234,C232),C232&lt;&gt;0),P232+1,0)</f>
        <v>92</v>
      </c>
      <c r="Q234" s="194" t="str">
        <f>IF(C234&lt;&gt;"",C234&amp;"-"&amp;P234,"")</f>
        <v/>
      </c>
      <c r="R234" s="194" t="str">
        <f t="array" ref="R234">IFERROR(IF(INDEX('Disaggregation Records'!$E$3:$E$66,MATCH(RIGHT(Q234,255),RIGHT('Disaggregation Records'!$D$3:$D$66,255),0))="","",INDEX('Disaggregation Records'!$E$3:$E$66,MATCH(RIGHT(Q234,255),RIGHT('Disaggregation Records'!$D$3:$D$66,255),0))),"")</f>
        <v/>
      </c>
      <c r="S234" s="194" t="str">
        <f t="array" ref="S234">IFERROR(IF(INDEX('Disaggregation Records'!$F$3:$F$66,MATCH(RIGHT(Q234,255),RIGHT('Disaggregation Records'!$D$3:$D$66,255),0))="","",INDEX('Disaggregation Records'!$F$3:$F$66,MATCH(RIGHT(Q234,255),RIGHT('Disaggregation Records'!$D$3:$D$66,255),0))),"")</f>
        <v/>
      </c>
      <c r="T234" s="194" t="str">
        <f t="array" ref="T234">IFERROR(IF(INDEX('Disaggregation Records'!$H$3:$H$66,MATCH(RIGHT(Q234,255),RIGHT('Disaggregation Records'!$D$3:$D$66,255),0))="","",INDEX('Disaggregation Records'!$H$3:$H$66,MATCH(RIGHT(Q234,255),RIGHT('Disaggregation Records'!$D$3:$D$66,255),0))),"")</f>
        <v/>
      </c>
      <c r="U234" s="194">
        <f>U232+1</f>
        <v>2233</v>
      </c>
      <c r="V234" s="194" t="str">
        <f t="array" ref="V234">IFERROR(IF(INDEX('Disaggregation Records'!$I$3:$I$66,MATCH(RIGHT(Q234,255),RIGHT('Disaggregation Records'!$D$3:$D$66,255),0))="","",INDEX('Disaggregation Records'!$I$3:$I$66,MATCH(RIGHT(Q234,255),RIGHT('Disaggregation Records'!$D$3:$D$66,255),0))),"")</f>
        <v/>
      </c>
      <c r="W234" s="194" t="str">
        <f>IFERROR(INDEX('Reference Records'!O$3:O$19,MATCH(LEFT(C234,255),'Reference Records'!J$3:J$19,0)),"")</f>
        <v/>
      </c>
    </row>
    <row r="235" spans="1:23" s="195" customFormat="1" ht="40.4" customHeight="1" x14ac:dyDescent="0.35">
      <c r="A235" s="770"/>
      <c r="B235" s="767">
        <v>8.9060150375939902</v>
      </c>
      <c r="C235" s="761"/>
      <c r="D235" s="769"/>
      <c r="E235" s="769"/>
      <c r="F235" s="208"/>
      <c r="G235" s="763"/>
      <c r="H235" s="744"/>
      <c r="I235" s="765"/>
      <c r="J235" s="730"/>
      <c r="K235" s="761"/>
      <c r="L235" s="761"/>
      <c r="M235" s="730"/>
      <c r="N235" s="730"/>
    </row>
    <row r="236" spans="1:23" s="194" customFormat="1" ht="40.4" customHeight="1" x14ac:dyDescent="0.35">
      <c r="A236" s="770" t="str">
        <f t="shared" ca="1" si="3"/>
        <v>a1G3p000005ncGYEAY</v>
      </c>
      <c r="B236" s="766">
        <v>12</v>
      </c>
      <c r="C236" s="760" t="str">
        <f>IFERROR(VLOOKUP(B236,'Impact Indicators - Section B '!$A$9:$AF$52,32,FALSE),"")</f>
        <v/>
      </c>
      <c r="D236" s="768" t="str">
        <f>R236</f>
        <v/>
      </c>
      <c r="E236" s="768" t="str">
        <f>S236</f>
        <v/>
      </c>
      <c r="F236" s="413"/>
      <c r="G236" s="762" t="str">
        <f ca="1">IF(OR(INDIRECT("'update Helper'!E"&amp;U236)="",F236&lt;&gt;0,F237&lt;&gt;0),IF(IFERROR((F236/F237),"")="","",(F236/F237)),INDIRECT("'update Helper'!E"&amp;U236)/100)</f>
        <v/>
      </c>
      <c r="H236" s="743"/>
      <c r="I236" s="764"/>
      <c r="J236" s="729"/>
      <c r="K236" s="760" t="str">
        <f>W236</f>
        <v/>
      </c>
      <c r="L236" s="760" t="str">
        <f>V236</f>
        <v/>
      </c>
      <c r="M236" s="729"/>
      <c r="N236" s="729"/>
      <c r="P236" s="194">
        <f>IF(AND(EXACT(C236,C234),C234&lt;&gt;0),P234+1,0)</f>
        <v>93</v>
      </c>
      <c r="Q236" s="194" t="str">
        <f>IF(C236&lt;&gt;"",C236&amp;"-"&amp;P236,"")</f>
        <v/>
      </c>
      <c r="R236" s="194" t="str">
        <f t="array" ref="R236">IFERROR(IF(INDEX('Disaggregation Records'!$E$3:$E$66,MATCH(RIGHT(Q236,255),RIGHT('Disaggregation Records'!$D$3:$D$66,255),0))="","",INDEX('Disaggregation Records'!$E$3:$E$66,MATCH(RIGHT(Q236,255),RIGHT('Disaggregation Records'!$D$3:$D$66,255),0))),"")</f>
        <v/>
      </c>
      <c r="S236" s="194" t="str">
        <f t="array" ref="S236">IFERROR(IF(INDEX('Disaggregation Records'!$F$3:$F$66,MATCH(RIGHT(Q236,255),RIGHT('Disaggregation Records'!$D$3:$D$66,255),0))="","",INDEX('Disaggregation Records'!$F$3:$F$66,MATCH(RIGHT(Q236,255),RIGHT('Disaggregation Records'!$D$3:$D$66,255),0))),"")</f>
        <v/>
      </c>
      <c r="T236" s="194" t="str">
        <f t="array" ref="T236">IFERROR(IF(INDEX('Disaggregation Records'!$H$3:$H$66,MATCH(RIGHT(Q236,255),RIGHT('Disaggregation Records'!$D$3:$D$66,255),0))="","",INDEX('Disaggregation Records'!$H$3:$H$66,MATCH(RIGHT(Q236,255),RIGHT('Disaggregation Records'!$D$3:$D$66,255),0))),"")</f>
        <v/>
      </c>
      <c r="U236" s="194">
        <f>U234+1</f>
        <v>2234</v>
      </c>
      <c r="V236" s="194" t="str">
        <f t="array" ref="V236">IFERROR(IF(INDEX('Disaggregation Records'!$I$3:$I$66,MATCH(RIGHT(Q236,255),RIGHT('Disaggregation Records'!$D$3:$D$66,255),0))="","",INDEX('Disaggregation Records'!$I$3:$I$66,MATCH(RIGHT(Q236,255),RIGHT('Disaggregation Records'!$D$3:$D$66,255),0))),"")</f>
        <v/>
      </c>
      <c r="W236" s="194" t="str">
        <f>IFERROR(INDEX('Reference Records'!O$3:O$19,MATCH(LEFT(C236,255),'Reference Records'!J$3:J$19,0)),"")</f>
        <v/>
      </c>
    </row>
    <row r="237" spans="1:23" s="195" customFormat="1" ht="40.4" customHeight="1" x14ac:dyDescent="0.35">
      <c r="A237" s="770"/>
      <c r="B237" s="767">
        <v>8.9060150375939902</v>
      </c>
      <c r="C237" s="761"/>
      <c r="D237" s="769"/>
      <c r="E237" s="769"/>
      <c r="F237" s="208"/>
      <c r="G237" s="763"/>
      <c r="H237" s="744"/>
      <c r="I237" s="765"/>
      <c r="J237" s="730"/>
      <c r="K237" s="761"/>
      <c r="L237" s="761"/>
      <c r="M237" s="730"/>
      <c r="N237" s="730"/>
    </row>
    <row r="238" spans="1:23" s="194" customFormat="1" ht="40.4" customHeight="1" x14ac:dyDescent="0.35">
      <c r="A238" s="770" t="str">
        <f t="shared" ca="1" si="3"/>
        <v>a1G3p000005ncGZEAY</v>
      </c>
      <c r="B238" s="766">
        <v>12</v>
      </c>
      <c r="C238" s="760" t="str">
        <f>IFERROR(VLOOKUP(B238,'Impact Indicators - Section B '!$A$9:$AF$52,32,FALSE),"")</f>
        <v/>
      </c>
      <c r="D238" s="768" t="str">
        <f>R238</f>
        <v/>
      </c>
      <c r="E238" s="768" t="str">
        <f>S238</f>
        <v/>
      </c>
      <c r="F238" s="413"/>
      <c r="G238" s="762" t="str">
        <f ca="1">IF(OR(INDIRECT("'update Helper'!E"&amp;U238)="",F238&lt;&gt;0,F239&lt;&gt;0),IF(IFERROR((F238/F239),"")="","",(F238/F239)),INDIRECT("'update Helper'!E"&amp;U238)/100)</f>
        <v/>
      </c>
      <c r="H238" s="743"/>
      <c r="I238" s="764"/>
      <c r="J238" s="729"/>
      <c r="K238" s="760" t="str">
        <f>W238</f>
        <v/>
      </c>
      <c r="L238" s="760" t="str">
        <f>V238</f>
        <v/>
      </c>
      <c r="M238" s="729"/>
      <c r="N238" s="729"/>
      <c r="P238" s="194">
        <f>IF(AND(EXACT(C238,C236),C236&lt;&gt;0),P236+1,0)</f>
        <v>94</v>
      </c>
      <c r="Q238" s="194" t="str">
        <f>IF(C238&lt;&gt;"",C238&amp;"-"&amp;P238,"")</f>
        <v/>
      </c>
      <c r="R238" s="194" t="str">
        <f t="array" ref="R238">IFERROR(IF(INDEX('Disaggregation Records'!$E$3:$E$66,MATCH(RIGHT(Q238,255),RIGHT('Disaggregation Records'!$D$3:$D$66,255),0))="","",INDEX('Disaggregation Records'!$E$3:$E$66,MATCH(RIGHT(Q238,255),RIGHT('Disaggregation Records'!$D$3:$D$66,255),0))),"")</f>
        <v/>
      </c>
      <c r="S238" s="194" t="str">
        <f t="array" ref="S238">IFERROR(IF(INDEX('Disaggregation Records'!$F$3:$F$66,MATCH(RIGHT(Q238,255),RIGHT('Disaggregation Records'!$D$3:$D$66,255),0))="","",INDEX('Disaggregation Records'!$F$3:$F$66,MATCH(RIGHT(Q238,255),RIGHT('Disaggregation Records'!$D$3:$D$66,255),0))),"")</f>
        <v/>
      </c>
      <c r="T238" s="194" t="str">
        <f t="array" ref="T238">IFERROR(IF(INDEX('Disaggregation Records'!$H$3:$H$66,MATCH(RIGHT(Q238,255),RIGHT('Disaggregation Records'!$D$3:$D$66,255),0))="","",INDEX('Disaggregation Records'!$H$3:$H$66,MATCH(RIGHT(Q238,255),RIGHT('Disaggregation Records'!$D$3:$D$66,255),0))),"")</f>
        <v/>
      </c>
      <c r="U238" s="194">
        <f>U236+1</f>
        <v>2235</v>
      </c>
      <c r="V238" s="194" t="str">
        <f t="array" ref="V238">IFERROR(IF(INDEX('Disaggregation Records'!$I$3:$I$66,MATCH(RIGHT(Q238,255),RIGHT('Disaggregation Records'!$D$3:$D$66,255),0))="","",INDEX('Disaggregation Records'!$I$3:$I$66,MATCH(RIGHT(Q238,255),RIGHT('Disaggregation Records'!$D$3:$D$66,255),0))),"")</f>
        <v/>
      </c>
      <c r="W238" s="194" t="str">
        <f>IFERROR(INDEX('Reference Records'!O$3:O$19,MATCH(LEFT(C238,255),'Reference Records'!J$3:J$19,0)),"")</f>
        <v/>
      </c>
    </row>
    <row r="239" spans="1:23" s="194" customFormat="1" ht="40.4" customHeight="1" x14ac:dyDescent="0.35">
      <c r="A239" s="770"/>
      <c r="B239" s="767">
        <v>8.9060150375939902</v>
      </c>
      <c r="C239" s="761"/>
      <c r="D239" s="769"/>
      <c r="E239" s="769"/>
      <c r="F239" s="208"/>
      <c r="G239" s="763"/>
      <c r="H239" s="744"/>
      <c r="I239" s="765"/>
      <c r="J239" s="730"/>
      <c r="K239" s="761"/>
      <c r="L239" s="761"/>
      <c r="M239" s="730"/>
      <c r="N239" s="730"/>
      <c r="P239" s="195"/>
      <c r="Q239" s="195"/>
      <c r="R239" s="195"/>
      <c r="S239" s="195"/>
      <c r="T239" s="195"/>
      <c r="U239" s="195"/>
      <c r="V239" s="195"/>
      <c r="W239" s="195"/>
    </row>
    <row r="240" spans="1:23" s="194" customFormat="1" ht="40.4" customHeight="1" x14ac:dyDescent="0.35">
      <c r="A240" s="770" t="str">
        <f t="shared" ca="1" si="3"/>
        <v>a1G3p000005ncGaEAI</v>
      </c>
      <c r="B240" s="766">
        <v>12</v>
      </c>
      <c r="C240" s="760" t="str">
        <f>IFERROR(VLOOKUP(B240,'Impact Indicators - Section B '!$A$9:$AF$52,32,FALSE),"")</f>
        <v/>
      </c>
      <c r="D240" s="768" t="str">
        <f>R240</f>
        <v/>
      </c>
      <c r="E240" s="768" t="str">
        <f>S240</f>
        <v/>
      </c>
      <c r="F240" s="413"/>
      <c r="G240" s="762" t="str">
        <f ca="1">IF(OR(INDIRECT("'update Helper'!E"&amp;U240)="",F240&lt;&gt;0,F241&lt;&gt;0),IF(IFERROR((F240/F241),"")="","",(F240/F241)),INDIRECT("'update Helper'!E"&amp;U240)/100)</f>
        <v/>
      </c>
      <c r="H240" s="743"/>
      <c r="I240" s="764"/>
      <c r="J240" s="729"/>
      <c r="K240" s="760" t="str">
        <f>W240</f>
        <v/>
      </c>
      <c r="L240" s="760" t="str">
        <f>V240</f>
        <v/>
      </c>
      <c r="M240" s="729"/>
      <c r="N240" s="729"/>
      <c r="P240" s="194">
        <f>IF(AND(EXACT(C240,C238),C238&lt;&gt;0),P238+1,0)</f>
        <v>95</v>
      </c>
      <c r="Q240" s="194" t="str">
        <f>IF(C240&lt;&gt;"",C240&amp;"-"&amp;P240,"")</f>
        <v/>
      </c>
      <c r="R240" s="194" t="str">
        <f t="array" ref="R240">IFERROR(IF(INDEX('Disaggregation Records'!$E$3:$E$66,MATCH(RIGHT(Q240,255),RIGHT('Disaggregation Records'!$D$3:$D$66,255),0))="","",INDEX('Disaggregation Records'!$E$3:$E$66,MATCH(RIGHT(Q240,255),RIGHT('Disaggregation Records'!$D$3:$D$66,255),0))),"")</f>
        <v/>
      </c>
      <c r="S240" s="194" t="str">
        <f t="array" ref="S240">IFERROR(IF(INDEX('Disaggregation Records'!$F$3:$F$66,MATCH(RIGHT(Q240,255),RIGHT('Disaggregation Records'!$D$3:$D$66,255),0))="","",INDEX('Disaggregation Records'!$F$3:$F$66,MATCH(RIGHT(Q240,255),RIGHT('Disaggregation Records'!$D$3:$D$66,255),0))),"")</f>
        <v/>
      </c>
      <c r="T240" s="194" t="str">
        <f t="array" ref="T240">IFERROR(IF(INDEX('Disaggregation Records'!$H$3:$H$66,MATCH(RIGHT(Q240,255),RIGHT('Disaggregation Records'!$D$3:$D$66,255),0))="","",INDEX('Disaggregation Records'!$H$3:$H$66,MATCH(RIGHT(Q240,255),RIGHT('Disaggregation Records'!$D$3:$D$66,255),0))),"")</f>
        <v/>
      </c>
      <c r="U240" s="194">
        <f>U238+1</f>
        <v>2236</v>
      </c>
      <c r="V240" s="194" t="str">
        <f t="array" ref="V240">IFERROR(IF(INDEX('Disaggregation Records'!$I$3:$I$66,MATCH(RIGHT(Q240,255),RIGHT('Disaggregation Records'!$D$3:$D$66,255),0))="","",INDEX('Disaggregation Records'!$I$3:$I$66,MATCH(RIGHT(Q240,255),RIGHT('Disaggregation Records'!$D$3:$D$66,255),0))),"")</f>
        <v/>
      </c>
      <c r="W240" s="194" t="str">
        <f>IFERROR(INDEX('Reference Records'!O$3:O$19,MATCH(LEFT(C240,255),'Reference Records'!J$3:J$19,0)),"")</f>
        <v/>
      </c>
    </row>
    <row r="241" spans="1:23" s="195" customFormat="1" ht="40.4" customHeight="1" x14ac:dyDescent="0.35">
      <c r="A241" s="770"/>
      <c r="B241" s="767">
        <v>8.9060150375939902</v>
      </c>
      <c r="C241" s="761"/>
      <c r="D241" s="769"/>
      <c r="E241" s="769"/>
      <c r="F241" s="208"/>
      <c r="G241" s="763"/>
      <c r="H241" s="744"/>
      <c r="I241" s="765"/>
      <c r="J241" s="730"/>
      <c r="K241" s="761"/>
      <c r="L241" s="761"/>
      <c r="M241" s="730"/>
      <c r="N241" s="730"/>
    </row>
    <row r="242" spans="1:23" s="194" customFormat="1" ht="40.4" customHeight="1" x14ac:dyDescent="0.35">
      <c r="A242" s="770" t="str">
        <f t="shared" ca="1" si="3"/>
        <v>a1G3p000005ncGbEAI</v>
      </c>
      <c r="B242" s="766">
        <v>12</v>
      </c>
      <c r="C242" s="760" t="str">
        <f>IFERROR(VLOOKUP(B242,'Impact Indicators - Section B '!$A$9:$AF$52,32,FALSE),"")</f>
        <v/>
      </c>
      <c r="D242" s="768" t="str">
        <f>R242</f>
        <v/>
      </c>
      <c r="E242" s="768" t="str">
        <f>S242</f>
        <v/>
      </c>
      <c r="F242" s="413"/>
      <c r="G242" s="762" t="str">
        <f ca="1">IF(OR(INDIRECT("'update Helper'!E"&amp;U242)="",F242&lt;&gt;0,F243&lt;&gt;0),IF(IFERROR((F242/F243),"")="","",(F242/F243)),INDIRECT("'update Helper'!E"&amp;U242)/100)</f>
        <v/>
      </c>
      <c r="H242" s="743"/>
      <c r="I242" s="764"/>
      <c r="J242" s="729"/>
      <c r="K242" s="760" t="str">
        <f>W242</f>
        <v/>
      </c>
      <c r="L242" s="760" t="str">
        <f>V242</f>
        <v/>
      </c>
      <c r="M242" s="729"/>
      <c r="N242" s="729"/>
      <c r="P242" s="194">
        <f>IF(AND(EXACT(C242,C240),C240&lt;&gt;0),P240+1,0)</f>
        <v>96</v>
      </c>
      <c r="Q242" s="194" t="str">
        <f>IF(C242&lt;&gt;"",C242&amp;"-"&amp;P242,"")</f>
        <v/>
      </c>
      <c r="R242" s="194" t="str">
        <f t="array" ref="R242">IFERROR(IF(INDEX('Disaggregation Records'!$E$3:$E$66,MATCH(RIGHT(Q242,255),RIGHT('Disaggregation Records'!$D$3:$D$66,255),0))="","",INDEX('Disaggregation Records'!$E$3:$E$66,MATCH(RIGHT(Q242,255),RIGHT('Disaggregation Records'!$D$3:$D$66,255),0))),"")</f>
        <v/>
      </c>
      <c r="S242" s="194" t="str">
        <f t="array" ref="S242">IFERROR(IF(INDEX('Disaggregation Records'!$F$3:$F$66,MATCH(RIGHT(Q242,255),RIGHT('Disaggregation Records'!$D$3:$D$66,255),0))="","",INDEX('Disaggregation Records'!$F$3:$F$66,MATCH(RIGHT(Q242,255),RIGHT('Disaggregation Records'!$D$3:$D$66,255),0))),"")</f>
        <v/>
      </c>
      <c r="T242" s="194" t="str">
        <f t="array" ref="T242">IFERROR(IF(INDEX('Disaggregation Records'!$H$3:$H$66,MATCH(RIGHT(Q242,255),RIGHT('Disaggregation Records'!$D$3:$D$66,255),0))="","",INDEX('Disaggregation Records'!$H$3:$H$66,MATCH(RIGHT(Q242,255),RIGHT('Disaggregation Records'!$D$3:$D$66,255),0))),"")</f>
        <v/>
      </c>
      <c r="U242" s="194">
        <f>U240+1</f>
        <v>2237</v>
      </c>
      <c r="V242" s="194" t="str">
        <f t="array" ref="V242">IFERROR(IF(INDEX('Disaggregation Records'!$I$3:$I$66,MATCH(RIGHT(Q242,255),RIGHT('Disaggregation Records'!$D$3:$D$66,255),0))="","",INDEX('Disaggregation Records'!$I$3:$I$66,MATCH(RIGHT(Q242,255),RIGHT('Disaggregation Records'!$D$3:$D$66,255),0))),"")</f>
        <v/>
      </c>
      <c r="W242" s="194" t="str">
        <f>IFERROR(INDEX('Reference Records'!O$3:O$19,MATCH(LEFT(C242,255),'Reference Records'!J$3:J$19,0)),"")</f>
        <v/>
      </c>
    </row>
    <row r="243" spans="1:23" s="195" customFormat="1" ht="40.4" customHeight="1" x14ac:dyDescent="0.35">
      <c r="A243" s="770"/>
      <c r="B243" s="767">
        <v>8.9060150375939902</v>
      </c>
      <c r="C243" s="761"/>
      <c r="D243" s="769"/>
      <c r="E243" s="769"/>
      <c r="F243" s="208"/>
      <c r="G243" s="763"/>
      <c r="H243" s="744"/>
      <c r="I243" s="765"/>
      <c r="J243" s="730"/>
      <c r="K243" s="761"/>
      <c r="L243" s="761"/>
      <c r="M243" s="730"/>
      <c r="N243" s="730"/>
    </row>
    <row r="244" spans="1:23" s="194" customFormat="1" ht="40.4" customHeight="1" x14ac:dyDescent="0.35">
      <c r="A244" s="770" t="str">
        <f t="shared" ca="1" si="3"/>
        <v>a1G3p000005ncGdEAI</v>
      </c>
      <c r="B244" s="766">
        <v>12</v>
      </c>
      <c r="C244" s="760" t="str">
        <f>IFERROR(VLOOKUP(B244,'Impact Indicators - Section B '!$A$9:$AF$52,32,FALSE),"")</f>
        <v/>
      </c>
      <c r="D244" s="768" t="str">
        <f>R244</f>
        <v/>
      </c>
      <c r="E244" s="768" t="str">
        <f>S244</f>
        <v/>
      </c>
      <c r="F244" s="413"/>
      <c r="G244" s="762" t="str">
        <f ca="1">IF(OR(INDIRECT("'update Helper'!E"&amp;U244)="",F244&lt;&gt;0,F245&lt;&gt;0),IF(IFERROR((F244/F245),"")="","",(F244/F245)),INDIRECT("'update Helper'!E"&amp;U244)/100)</f>
        <v/>
      </c>
      <c r="H244" s="743"/>
      <c r="I244" s="764"/>
      <c r="J244" s="729"/>
      <c r="K244" s="760" t="str">
        <f>W244</f>
        <v/>
      </c>
      <c r="L244" s="760" t="str">
        <f>V244</f>
        <v/>
      </c>
      <c r="M244" s="729"/>
      <c r="N244" s="729"/>
      <c r="P244" s="194">
        <f>IF(AND(EXACT(C244,C242),C242&lt;&gt;0),P242+1,0)</f>
        <v>97</v>
      </c>
      <c r="Q244" s="194" t="str">
        <f>IF(C244&lt;&gt;"",C244&amp;"-"&amp;P244,"")</f>
        <v/>
      </c>
      <c r="R244" s="194" t="str">
        <f t="array" ref="R244">IFERROR(IF(INDEX('Disaggregation Records'!$E$3:$E$66,MATCH(RIGHT(Q244,255),RIGHT('Disaggregation Records'!$D$3:$D$66,255),0))="","",INDEX('Disaggregation Records'!$E$3:$E$66,MATCH(RIGHT(Q244,255),RIGHT('Disaggregation Records'!$D$3:$D$66,255),0))),"")</f>
        <v/>
      </c>
      <c r="S244" s="194" t="str">
        <f t="array" ref="S244">IFERROR(IF(INDEX('Disaggregation Records'!$F$3:$F$66,MATCH(RIGHT(Q244,255),RIGHT('Disaggregation Records'!$D$3:$D$66,255),0))="","",INDEX('Disaggregation Records'!$F$3:$F$66,MATCH(RIGHT(Q244,255),RIGHT('Disaggregation Records'!$D$3:$D$66,255),0))),"")</f>
        <v/>
      </c>
      <c r="T244" s="194" t="str">
        <f t="array" ref="T244">IFERROR(IF(INDEX('Disaggregation Records'!$H$3:$H$66,MATCH(RIGHT(Q244,255),RIGHT('Disaggregation Records'!$D$3:$D$66,255),0))="","",INDEX('Disaggregation Records'!$H$3:$H$66,MATCH(RIGHT(Q244,255),RIGHT('Disaggregation Records'!$D$3:$D$66,255),0))),"")</f>
        <v/>
      </c>
      <c r="U244" s="194">
        <f>U242+1</f>
        <v>2238</v>
      </c>
      <c r="V244" s="194" t="str">
        <f t="array" ref="V244">IFERROR(IF(INDEX('Disaggregation Records'!$I$3:$I$66,MATCH(RIGHT(Q244,255),RIGHT('Disaggregation Records'!$D$3:$D$66,255),0))="","",INDEX('Disaggregation Records'!$I$3:$I$66,MATCH(RIGHT(Q244,255),RIGHT('Disaggregation Records'!$D$3:$D$66,255),0))),"")</f>
        <v/>
      </c>
      <c r="W244" s="194" t="str">
        <f>IFERROR(INDEX('Reference Records'!O$3:O$19,MATCH(LEFT(C244,255),'Reference Records'!J$3:J$19,0)),"")</f>
        <v/>
      </c>
    </row>
    <row r="245" spans="1:23" s="194" customFormat="1" ht="40.4" customHeight="1" x14ac:dyDescent="0.35">
      <c r="A245" s="770"/>
      <c r="B245" s="767">
        <v>8.9060150375939902</v>
      </c>
      <c r="C245" s="761"/>
      <c r="D245" s="769"/>
      <c r="E245" s="769"/>
      <c r="F245" s="208"/>
      <c r="G245" s="763"/>
      <c r="H245" s="744"/>
      <c r="I245" s="765"/>
      <c r="J245" s="730"/>
      <c r="K245" s="761"/>
      <c r="L245" s="761"/>
      <c r="M245" s="730"/>
      <c r="N245" s="730"/>
      <c r="P245" s="195"/>
      <c r="Q245" s="195"/>
      <c r="R245" s="195"/>
      <c r="S245" s="195"/>
      <c r="T245" s="195"/>
      <c r="U245" s="195"/>
      <c r="V245" s="195"/>
      <c r="W245" s="195"/>
    </row>
    <row r="246" spans="1:23" s="194" customFormat="1" ht="40.4" customHeight="1" x14ac:dyDescent="0.35">
      <c r="A246" s="770" t="str">
        <f t="shared" ca="1" si="3"/>
        <v>a1G3p000005ncGeEAI</v>
      </c>
      <c r="B246" s="766">
        <v>12</v>
      </c>
      <c r="C246" s="760" t="str">
        <f>IFERROR(VLOOKUP(B246,'Impact Indicators - Section B '!$A$9:$AF$52,32,FALSE),"")</f>
        <v/>
      </c>
      <c r="D246" s="768" t="str">
        <f>R246</f>
        <v/>
      </c>
      <c r="E246" s="768" t="str">
        <f>S246</f>
        <v/>
      </c>
      <c r="F246" s="413"/>
      <c r="G246" s="762" t="str">
        <f ca="1">IF(OR(INDIRECT("'update Helper'!E"&amp;U246)="",F246&lt;&gt;0,F247&lt;&gt;0),IF(IFERROR((F246/F247),"")="","",(F246/F247)),INDIRECT("'update Helper'!E"&amp;U246)/100)</f>
        <v/>
      </c>
      <c r="H246" s="743"/>
      <c r="I246" s="764"/>
      <c r="J246" s="729"/>
      <c r="K246" s="760" t="str">
        <f>W246</f>
        <v/>
      </c>
      <c r="L246" s="760" t="str">
        <f>V246</f>
        <v/>
      </c>
      <c r="M246" s="729"/>
      <c r="N246" s="729"/>
      <c r="P246" s="194">
        <f>IF(AND(EXACT(C246,C244),C244&lt;&gt;0),P244+1,0)</f>
        <v>98</v>
      </c>
      <c r="Q246" s="194" t="str">
        <f>IF(C246&lt;&gt;"",C246&amp;"-"&amp;P246,"")</f>
        <v/>
      </c>
      <c r="R246" s="194" t="str">
        <f t="array" ref="R246">IFERROR(IF(INDEX('Disaggregation Records'!$E$3:$E$66,MATCH(RIGHT(Q246,255),RIGHT('Disaggregation Records'!$D$3:$D$66,255),0))="","",INDEX('Disaggregation Records'!$E$3:$E$66,MATCH(RIGHT(Q246,255),RIGHT('Disaggregation Records'!$D$3:$D$66,255),0))),"")</f>
        <v/>
      </c>
      <c r="S246" s="194" t="str">
        <f t="array" ref="S246">IFERROR(IF(INDEX('Disaggregation Records'!$F$3:$F$66,MATCH(RIGHT(Q246,255),RIGHT('Disaggregation Records'!$D$3:$D$66,255),0))="","",INDEX('Disaggregation Records'!$F$3:$F$66,MATCH(RIGHT(Q246,255),RIGHT('Disaggregation Records'!$D$3:$D$66,255),0))),"")</f>
        <v/>
      </c>
      <c r="T246" s="194" t="str">
        <f t="array" ref="T246">IFERROR(IF(INDEX('Disaggregation Records'!$H$3:$H$66,MATCH(RIGHT(Q246,255),RIGHT('Disaggregation Records'!$D$3:$D$66,255),0))="","",INDEX('Disaggregation Records'!$H$3:$H$66,MATCH(RIGHT(Q246,255),RIGHT('Disaggregation Records'!$D$3:$D$66,255),0))),"")</f>
        <v/>
      </c>
      <c r="U246" s="194">
        <f>U244+1</f>
        <v>2239</v>
      </c>
      <c r="V246" s="194" t="str">
        <f t="array" ref="V246">IFERROR(IF(INDEX('Disaggregation Records'!$I$3:$I$66,MATCH(RIGHT(Q246,255),RIGHT('Disaggregation Records'!$D$3:$D$66,255),0))="","",INDEX('Disaggregation Records'!$I$3:$I$66,MATCH(RIGHT(Q246,255),RIGHT('Disaggregation Records'!$D$3:$D$66,255),0))),"")</f>
        <v/>
      </c>
      <c r="W246" s="194" t="str">
        <f>IFERROR(INDEX('Reference Records'!O$3:O$19,MATCH(LEFT(C246,255),'Reference Records'!J$3:J$19,0)),"")</f>
        <v/>
      </c>
    </row>
    <row r="247" spans="1:23" s="195" customFormat="1" ht="40.4" customHeight="1" x14ac:dyDescent="0.35">
      <c r="A247" s="770"/>
      <c r="B247" s="767">
        <v>8.9060150375939902</v>
      </c>
      <c r="C247" s="761"/>
      <c r="D247" s="769"/>
      <c r="E247" s="769"/>
      <c r="F247" s="208"/>
      <c r="G247" s="763"/>
      <c r="H247" s="744"/>
      <c r="I247" s="765"/>
      <c r="J247" s="730"/>
      <c r="K247" s="761"/>
      <c r="L247" s="761"/>
      <c r="M247" s="730"/>
      <c r="N247" s="730"/>
    </row>
    <row r="248" spans="1:23" s="194" customFormat="1" ht="40.4" customHeight="1" x14ac:dyDescent="0.35">
      <c r="A248" s="770" t="str">
        <f t="shared" ca="1" si="3"/>
        <v>a1G3p000005ncGfEAI</v>
      </c>
      <c r="B248" s="766">
        <v>12</v>
      </c>
      <c r="C248" s="760" t="str">
        <f>IFERROR(VLOOKUP(B248,'Impact Indicators - Section B '!$A$9:$AF$52,32,FALSE),"")</f>
        <v/>
      </c>
      <c r="D248" s="768" t="str">
        <f>R248</f>
        <v/>
      </c>
      <c r="E248" s="768" t="str">
        <f>S248</f>
        <v/>
      </c>
      <c r="F248" s="413"/>
      <c r="G248" s="762" t="str">
        <f ca="1">IF(OR(INDIRECT("'update Helper'!E"&amp;U248)="",F248&lt;&gt;0,F249&lt;&gt;0),IF(IFERROR((F248/F249),"")="","",(F248/F249)),INDIRECT("'update Helper'!E"&amp;U248)/100)</f>
        <v/>
      </c>
      <c r="H248" s="743"/>
      <c r="I248" s="764"/>
      <c r="J248" s="729"/>
      <c r="K248" s="760" t="str">
        <f>W248</f>
        <v/>
      </c>
      <c r="L248" s="760" t="str">
        <f>V248</f>
        <v/>
      </c>
      <c r="M248" s="729"/>
      <c r="N248" s="729"/>
      <c r="P248" s="194">
        <f>IF(AND(EXACT(C248,C246),C246&lt;&gt;0),P246+1,0)</f>
        <v>99</v>
      </c>
      <c r="Q248" s="194" t="str">
        <f>IF(C248&lt;&gt;"",C248&amp;"-"&amp;P248,"")</f>
        <v/>
      </c>
      <c r="R248" s="194" t="str">
        <f t="array" ref="R248">IFERROR(IF(INDEX('Disaggregation Records'!$E$3:$E$66,MATCH(RIGHT(Q248,255),RIGHT('Disaggregation Records'!$D$3:$D$66,255),0))="","",INDEX('Disaggregation Records'!$E$3:$E$66,MATCH(RIGHT(Q248,255),RIGHT('Disaggregation Records'!$D$3:$D$66,255),0))),"")</f>
        <v/>
      </c>
      <c r="S248" s="194" t="str">
        <f t="array" ref="S248">IFERROR(IF(INDEX('Disaggregation Records'!$F$3:$F$66,MATCH(RIGHT(Q248,255),RIGHT('Disaggregation Records'!$D$3:$D$66,255),0))="","",INDEX('Disaggregation Records'!$F$3:$F$66,MATCH(RIGHT(Q248,255),RIGHT('Disaggregation Records'!$D$3:$D$66,255),0))),"")</f>
        <v/>
      </c>
      <c r="T248" s="194" t="str">
        <f t="array" ref="T248">IFERROR(IF(INDEX('Disaggregation Records'!$H$3:$H$66,MATCH(RIGHT(Q248,255),RIGHT('Disaggregation Records'!$D$3:$D$66,255),0))="","",INDEX('Disaggregation Records'!$H$3:$H$66,MATCH(RIGHT(Q248,255),RIGHT('Disaggregation Records'!$D$3:$D$66,255),0))),"")</f>
        <v/>
      </c>
      <c r="U248" s="194">
        <f>U246+1</f>
        <v>2240</v>
      </c>
      <c r="V248" s="194" t="str">
        <f t="array" ref="V248">IFERROR(IF(INDEX('Disaggregation Records'!$I$3:$I$66,MATCH(RIGHT(Q248,255),RIGHT('Disaggregation Records'!$D$3:$D$66,255),0))="","",INDEX('Disaggregation Records'!$I$3:$I$66,MATCH(RIGHT(Q248,255),RIGHT('Disaggregation Records'!$D$3:$D$66,255),0))),"")</f>
        <v/>
      </c>
      <c r="W248" s="194" t="str">
        <f>IFERROR(INDEX('Reference Records'!O$3:O$19,MATCH(LEFT(C248,255),'Reference Records'!J$3:J$19,0)),"")</f>
        <v/>
      </c>
    </row>
    <row r="249" spans="1:23" s="195" customFormat="1" ht="40.4" customHeight="1" x14ac:dyDescent="0.35">
      <c r="A249" s="770"/>
      <c r="B249" s="767">
        <v>8.9060150375939902</v>
      </c>
      <c r="C249" s="761"/>
      <c r="D249" s="769"/>
      <c r="E249" s="769"/>
      <c r="F249" s="208"/>
      <c r="G249" s="763"/>
      <c r="H249" s="744"/>
      <c r="I249" s="765"/>
      <c r="J249" s="730"/>
      <c r="K249" s="761"/>
      <c r="L249" s="761"/>
      <c r="M249" s="730"/>
      <c r="N249" s="730"/>
    </row>
    <row r="250" spans="1:23" s="194" customFormat="1" ht="40.4" customHeight="1" x14ac:dyDescent="0.35">
      <c r="A250" s="770" t="str">
        <f t="shared" ca="1" si="3"/>
        <v>a1G3p000005ncEFEAY</v>
      </c>
      <c r="B250" s="766">
        <v>13</v>
      </c>
      <c r="C250" s="760" t="str">
        <f>IFERROR(VLOOKUP(B250,'Impact Indicators - Section B '!$A$9:$AF$52,32,FALSE),"")</f>
        <v/>
      </c>
      <c r="D250" s="768" t="str">
        <f>R250</f>
        <v/>
      </c>
      <c r="E250" s="768" t="str">
        <f>S250</f>
        <v/>
      </c>
      <c r="F250" s="413"/>
      <c r="G250" s="762" t="str">
        <f ca="1">IF(OR(INDIRECT("'update Helper'!E"&amp;U250)="",F250&lt;&gt;0,F251&lt;&gt;0),IF(IFERROR((F250/F251),"")="","",(F250/F251)),INDIRECT("'update Helper'!E"&amp;U250)/100)</f>
        <v/>
      </c>
      <c r="H250" s="743"/>
      <c r="I250" s="764"/>
      <c r="J250" s="729"/>
      <c r="K250" s="760" t="str">
        <f>W250</f>
        <v/>
      </c>
      <c r="L250" s="760" t="str">
        <f>V250</f>
        <v/>
      </c>
      <c r="M250" s="729"/>
      <c r="N250" s="729"/>
      <c r="P250" s="194">
        <f>IF(AND(EXACT(C250,C248),C248&lt;&gt;0),P248+1,0)</f>
        <v>100</v>
      </c>
      <c r="Q250" s="194" t="str">
        <f>IF(C250&lt;&gt;"",C250&amp;"-"&amp;P250,"")</f>
        <v/>
      </c>
      <c r="R250" s="194" t="str">
        <f t="array" ref="R250">IFERROR(IF(INDEX('Disaggregation Records'!$E$3:$E$66,MATCH(RIGHT(Q250,255),RIGHT('Disaggregation Records'!$D$3:$D$66,255),0))="","",INDEX('Disaggregation Records'!$E$3:$E$66,MATCH(RIGHT(Q250,255),RIGHT('Disaggregation Records'!$D$3:$D$66,255),0))),"")</f>
        <v/>
      </c>
      <c r="S250" s="194" t="str">
        <f t="array" ref="S250">IFERROR(IF(INDEX('Disaggregation Records'!$F$3:$F$66,MATCH(RIGHT(Q250,255),RIGHT('Disaggregation Records'!$D$3:$D$66,255),0))="","",INDEX('Disaggregation Records'!$F$3:$F$66,MATCH(RIGHT(Q250,255),RIGHT('Disaggregation Records'!$D$3:$D$66,255),0))),"")</f>
        <v/>
      </c>
      <c r="T250" s="194" t="str">
        <f t="array" ref="T250">IFERROR(IF(INDEX('Disaggregation Records'!$H$3:$H$66,MATCH(RIGHT(Q250,255),RIGHT('Disaggregation Records'!$D$3:$D$66,255),0))="","",INDEX('Disaggregation Records'!$H$3:$H$66,MATCH(RIGHT(Q250,255),RIGHT('Disaggregation Records'!$D$3:$D$66,255),0))),"")</f>
        <v/>
      </c>
      <c r="U250" s="194">
        <f>U248+1</f>
        <v>2241</v>
      </c>
      <c r="V250" s="194" t="str">
        <f t="array" ref="V250">IFERROR(IF(INDEX('Disaggregation Records'!$I$3:$I$66,MATCH(RIGHT(Q250,255),RIGHT('Disaggregation Records'!$D$3:$D$66,255),0))="","",INDEX('Disaggregation Records'!$I$3:$I$66,MATCH(RIGHT(Q250,255),RIGHT('Disaggregation Records'!$D$3:$D$66,255),0))),"")</f>
        <v/>
      </c>
      <c r="W250" s="194" t="str">
        <f>IFERROR(INDEX('Reference Records'!O$3:O$19,MATCH(LEFT(C250,255),'Reference Records'!J$3:J$19,0)),"")</f>
        <v/>
      </c>
    </row>
    <row r="251" spans="1:23" s="194" customFormat="1" ht="40.4" customHeight="1" x14ac:dyDescent="0.35">
      <c r="A251" s="770"/>
      <c r="B251" s="767">
        <v>9.6203007518797108</v>
      </c>
      <c r="C251" s="761"/>
      <c r="D251" s="769"/>
      <c r="E251" s="769"/>
      <c r="F251" s="208"/>
      <c r="G251" s="763"/>
      <c r="H251" s="744"/>
      <c r="I251" s="765"/>
      <c r="J251" s="730"/>
      <c r="K251" s="761"/>
      <c r="L251" s="761"/>
      <c r="M251" s="730"/>
      <c r="N251" s="730"/>
      <c r="P251" s="195"/>
      <c r="Q251" s="195"/>
      <c r="R251" s="195"/>
      <c r="S251" s="195"/>
      <c r="T251" s="195"/>
      <c r="U251" s="195"/>
      <c r="V251" s="195"/>
      <c r="W251" s="195"/>
    </row>
    <row r="252" spans="1:23" s="194" customFormat="1" ht="40.4" customHeight="1" x14ac:dyDescent="0.35">
      <c r="A252" s="770" t="str">
        <f t="shared" ca="1" si="3"/>
        <v>a1G3p000005ncEGEAY</v>
      </c>
      <c r="B252" s="766">
        <v>13</v>
      </c>
      <c r="C252" s="760" t="str">
        <f>IFERROR(VLOOKUP(B252,'Impact Indicators - Section B '!$A$9:$AF$52,32,FALSE),"")</f>
        <v/>
      </c>
      <c r="D252" s="768" t="str">
        <f>R252</f>
        <v/>
      </c>
      <c r="E252" s="768" t="str">
        <f>S252</f>
        <v/>
      </c>
      <c r="F252" s="413"/>
      <c r="G252" s="762" t="str">
        <f ca="1">IF(OR(INDIRECT("'update Helper'!E"&amp;U252)="",F252&lt;&gt;0,F253&lt;&gt;0),IF(IFERROR((F252/F253),"")="","",(F252/F253)),INDIRECT("'update Helper'!E"&amp;U252)/100)</f>
        <v/>
      </c>
      <c r="H252" s="743"/>
      <c r="I252" s="764"/>
      <c r="J252" s="729"/>
      <c r="K252" s="760" t="str">
        <f>W252</f>
        <v/>
      </c>
      <c r="L252" s="760" t="str">
        <f>V252</f>
        <v/>
      </c>
      <c r="M252" s="729"/>
      <c r="N252" s="729"/>
      <c r="P252" s="194">
        <f>IF(AND(EXACT(C252,C250),C250&lt;&gt;0),P250+1,0)</f>
        <v>101</v>
      </c>
      <c r="Q252" s="194" t="str">
        <f>IF(C252&lt;&gt;"",C252&amp;"-"&amp;P252,"")</f>
        <v/>
      </c>
      <c r="R252" s="194" t="str">
        <f t="array" ref="R252">IFERROR(IF(INDEX('Disaggregation Records'!$E$3:$E$66,MATCH(RIGHT(Q252,255),RIGHT('Disaggregation Records'!$D$3:$D$66,255),0))="","",INDEX('Disaggregation Records'!$E$3:$E$66,MATCH(RIGHT(Q252,255),RIGHT('Disaggregation Records'!$D$3:$D$66,255),0))),"")</f>
        <v/>
      </c>
      <c r="S252" s="194" t="str">
        <f t="array" ref="S252">IFERROR(IF(INDEX('Disaggregation Records'!$F$3:$F$66,MATCH(RIGHT(Q252,255),RIGHT('Disaggregation Records'!$D$3:$D$66,255),0))="","",INDEX('Disaggregation Records'!$F$3:$F$66,MATCH(RIGHT(Q252,255),RIGHT('Disaggregation Records'!$D$3:$D$66,255),0))),"")</f>
        <v/>
      </c>
      <c r="T252" s="194" t="str">
        <f t="array" ref="T252">IFERROR(IF(INDEX('Disaggregation Records'!$H$3:$H$66,MATCH(RIGHT(Q252,255),RIGHT('Disaggregation Records'!$D$3:$D$66,255),0))="","",INDEX('Disaggregation Records'!$H$3:$H$66,MATCH(RIGHT(Q252,255),RIGHT('Disaggregation Records'!$D$3:$D$66,255),0))),"")</f>
        <v/>
      </c>
      <c r="U252" s="194">
        <f>U250+1</f>
        <v>2242</v>
      </c>
      <c r="V252" s="194" t="str">
        <f t="array" ref="V252">IFERROR(IF(INDEX('Disaggregation Records'!$I$3:$I$66,MATCH(RIGHT(Q252,255),RIGHT('Disaggregation Records'!$D$3:$D$66,255),0))="","",INDEX('Disaggregation Records'!$I$3:$I$66,MATCH(RIGHT(Q252,255),RIGHT('Disaggregation Records'!$D$3:$D$66,255),0))),"")</f>
        <v/>
      </c>
      <c r="W252" s="194" t="str">
        <f>IFERROR(INDEX('Reference Records'!O$3:O$19,MATCH(LEFT(C252,255),'Reference Records'!J$3:J$19,0)),"")</f>
        <v/>
      </c>
    </row>
    <row r="253" spans="1:23" s="195" customFormat="1" ht="40.4" customHeight="1" x14ac:dyDescent="0.35">
      <c r="A253" s="770"/>
      <c r="B253" s="767">
        <v>9.6203007518797108</v>
      </c>
      <c r="C253" s="761"/>
      <c r="D253" s="769"/>
      <c r="E253" s="769"/>
      <c r="F253" s="208"/>
      <c r="G253" s="763"/>
      <c r="H253" s="744"/>
      <c r="I253" s="765"/>
      <c r="J253" s="730"/>
      <c r="K253" s="761"/>
      <c r="L253" s="761"/>
      <c r="M253" s="730"/>
      <c r="N253" s="730"/>
    </row>
    <row r="254" spans="1:23" s="194" customFormat="1" ht="40.4" customHeight="1" x14ac:dyDescent="0.35">
      <c r="A254" s="770" t="str">
        <f t="shared" ca="1" si="3"/>
        <v>a1G3p000005ncEHEAY</v>
      </c>
      <c r="B254" s="766">
        <v>13</v>
      </c>
      <c r="C254" s="760" t="str">
        <f>IFERROR(VLOOKUP(B254,'Impact Indicators - Section B '!$A$9:$AF$52,32,FALSE),"")</f>
        <v/>
      </c>
      <c r="D254" s="768" t="str">
        <f>R254</f>
        <v/>
      </c>
      <c r="E254" s="768" t="str">
        <f>S254</f>
        <v/>
      </c>
      <c r="F254" s="413"/>
      <c r="G254" s="762" t="str">
        <f ca="1">IF(OR(INDIRECT("'update Helper'!E"&amp;U254)="",F254&lt;&gt;0,F255&lt;&gt;0),IF(IFERROR((F254/F255),"")="","",(F254/F255)),INDIRECT("'update Helper'!E"&amp;U254)/100)</f>
        <v/>
      </c>
      <c r="H254" s="743"/>
      <c r="I254" s="764"/>
      <c r="J254" s="729"/>
      <c r="K254" s="760" t="str">
        <f>W254</f>
        <v/>
      </c>
      <c r="L254" s="760" t="str">
        <f>V254</f>
        <v/>
      </c>
      <c r="M254" s="729"/>
      <c r="N254" s="729"/>
      <c r="P254" s="194">
        <f>IF(AND(EXACT(C254,C252),C252&lt;&gt;0),P252+1,0)</f>
        <v>102</v>
      </c>
      <c r="Q254" s="194" t="str">
        <f>IF(C254&lt;&gt;"",C254&amp;"-"&amp;P254,"")</f>
        <v/>
      </c>
      <c r="R254" s="194" t="str">
        <f t="array" ref="R254">IFERROR(IF(INDEX('Disaggregation Records'!$E$3:$E$66,MATCH(RIGHT(Q254,255),RIGHT('Disaggregation Records'!$D$3:$D$66,255),0))="","",INDEX('Disaggregation Records'!$E$3:$E$66,MATCH(RIGHT(Q254,255),RIGHT('Disaggregation Records'!$D$3:$D$66,255),0))),"")</f>
        <v/>
      </c>
      <c r="S254" s="194" t="str">
        <f t="array" ref="S254">IFERROR(IF(INDEX('Disaggregation Records'!$F$3:$F$66,MATCH(RIGHT(Q254,255),RIGHT('Disaggregation Records'!$D$3:$D$66,255),0))="","",INDEX('Disaggregation Records'!$F$3:$F$66,MATCH(RIGHT(Q254,255),RIGHT('Disaggregation Records'!$D$3:$D$66,255),0))),"")</f>
        <v/>
      </c>
      <c r="T254" s="194" t="str">
        <f t="array" ref="T254">IFERROR(IF(INDEX('Disaggregation Records'!$H$3:$H$66,MATCH(RIGHT(Q254,255),RIGHT('Disaggregation Records'!$D$3:$D$66,255),0))="","",INDEX('Disaggregation Records'!$H$3:$H$66,MATCH(RIGHT(Q254,255),RIGHT('Disaggregation Records'!$D$3:$D$66,255),0))),"")</f>
        <v/>
      </c>
      <c r="U254" s="194">
        <f>U252+1</f>
        <v>2243</v>
      </c>
      <c r="V254" s="194" t="str">
        <f t="array" ref="V254">IFERROR(IF(INDEX('Disaggregation Records'!$I$3:$I$66,MATCH(RIGHT(Q254,255),RIGHT('Disaggregation Records'!$D$3:$D$66,255),0))="","",INDEX('Disaggregation Records'!$I$3:$I$66,MATCH(RIGHT(Q254,255),RIGHT('Disaggregation Records'!$D$3:$D$66,255),0))),"")</f>
        <v/>
      </c>
      <c r="W254" s="194" t="str">
        <f>IFERROR(INDEX('Reference Records'!O$3:O$19,MATCH(LEFT(C254,255),'Reference Records'!J$3:J$19,0)),"")</f>
        <v/>
      </c>
    </row>
    <row r="255" spans="1:23" s="195" customFormat="1" ht="40.4" customHeight="1" x14ac:dyDescent="0.35">
      <c r="A255" s="770"/>
      <c r="B255" s="767">
        <v>9.6203007518797108</v>
      </c>
      <c r="C255" s="761"/>
      <c r="D255" s="769"/>
      <c r="E255" s="769"/>
      <c r="F255" s="208"/>
      <c r="G255" s="763"/>
      <c r="H255" s="744"/>
      <c r="I255" s="765"/>
      <c r="J255" s="730"/>
      <c r="K255" s="761"/>
      <c r="L255" s="761"/>
      <c r="M255" s="730"/>
      <c r="N255" s="730"/>
    </row>
    <row r="256" spans="1:23" s="194" customFormat="1" ht="40.4" customHeight="1" x14ac:dyDescent="0.35">
      <c r="A256" s="770" t="str">
        <f t="shared" ca="1" si="3"/>
        <v>a1G3p000005ncEIEAY</v>
      </c>
      <c r="B256" s="766">
        <v>13</v>
      </c>
      <c r="C256" s="760" t="str">
        <f>IFERROR(VLOOKUP(B256,'Impact Indicators - Section B '!$A$9:$AF$52,32,FALSE),"")</f>
        <v/>
      </c>
      <c r="D256" s="768" t="str">
        <f>R256</f>
        <v/>
      </c>
      <c r="E256" s="768" t="str">
        <f>S256</f>
        <v/>
      </c>
      <c r="F256" s="413"/>
      <c r="G256" s="762" t="str">
        <f ca="1">IF(OR(INDIRECT("'update Helper'!E"&amp;U256)="",F256&lt;&gt;0,F257&lt;&gt;0),IF(IFERROR((F256/F257),"")="","",(F256/F257)),INDIRECT("'update Helper'!E"&amp;U256)/100)</f>
        <v/>
      </c>
      <c r="H256" s="743"/>
      <c r="I256" s="764"/>
      <c r="J256" s="729"/>
      <c r="K256" s="760" t="str">
        <f>W256</f>
        <v/>
      </c>
      <c r="L256" s="760" t="str">
        <f>V256</f>
        <v/>
      </c>
      <c r="M256" s="729"/>
      <c r="N256" s="729"/>
      <c r="P256" s="194">
        <f>IF(AND(EXACT(C256,C254),C254&lt;&gt;0),P254+1,0)</f>
        <v>103</v>
      </c>
      <c r="Q256" s="194" t="str">
        <f>IF(C256&lt;&gt;"",C256&amp;"-"&amp;P256,"")</f>
        <v/>
      </c>
      <c r="R256" s="194" t="str">
        <f t="array" ref="R256">IFERROR(IF(INDEX('Disaggregation Records'!$E$3:$E$66,MATCH(RIGHT(Q256,255),RIGHT('Disaggregation Records'!$D$3:$D$66,255),0))="","",INDEX('Disaggregation Records'!$E$3:$E$66,MATCH(RIGHT(Q256,255),RIGHT('Disaggregation Records'!$D$3:$D$66,255),0))),"")</f>
        <v/>
      </c>
      <c r="S256" s="194" t="str">
        <f t="array" ref="S256">IFERROR(IF(INDEX('Disaggregation Records'!$F$3:$F$66,MATCH(RIGHT(Q256,255),RIGHT('Disaggregation Records'!$D$3:$D$66,255),0))="","",INDEX('Disaggregation Records'!$F$3:$F$66,MATCH(RIGHT(Q256,255),RIGHT('Disaggregation Records'!$D$3:$D$66,255),0))),"")</f>
        <v/>
      </c>
      <c r="T256" s="194" t="str">
        <f t="array" ref="T256">IFERROR(IF(INDEX('Disaggregation Records'!$H$3:$H$66,MATCH(RIGHT(Q256,255),RIGHT('Disaggregation Records'!$D$3:$D$66,255),0))="","",INDEX('Disaggregation Records'!$H$3:$H$66,MATCH(RIGHT(Q256,255),RIGHT('Disaggregation Records'!$D$3:$D$66,255),0))),"")</f>
        <v/>
      </c>
      <c r="U256" s="194">
        <f>U254+1</f>
        <v>2244</v>
      </c>
      <c r="V256" s="194" t="str">
        <f t="array" ref="V256">IFERROR(IF(INDEX('Disaggregation Records'!$I$3:$I$66,MATCH(RIGHT(Q256,255),RIGHT('Disaggregation Records'!$D$3:$D$66,255),0))="","",INDEX('Disaggregation Records'!$I$3:$I$66,MATCH(RIGHT(Q256,255),RIGHT('Disaggregation Records'!$D$3:$D$66,255),0))),"")</f>
        <v/>
      </c>
      <c r="W256" s="194" t="str">
        <f>IFERROR(INDEX('Reference Records'!O$3:O$19,MATCH(LEFT(C256,255),'Reference Records'!J$3:J$19,0)),"")</f>
        <v/>
      </c>
    </row>
    <row r="257" spans="1:23" s="194" customFormat="1" ht="40.4" customHeight="1" x14ac:dyDescent="0.35">
      <c r="A257" s="770"/>
      <c r="B257" s="767">
        <v>9.6203007518797108</v>
      </c>
      <c r="C257" s="761"/>
      <c r="D257" s="769"/>
      <c r="E257" s="769"/>
      <c r="F257" s="208"/>
      <c r="G257" s="763"/>
      <c r="H257" s="744"/>
      <c r="I257" s="765"/>
      <c r="J257" s="730"/>
      <c r="K257" s="761"/>
      <c r="L257" s="761"/>
      <c r="M257" s="730"/>
      <c r="N257" s="730"/>
      <c r="P257" s="195"/>
      <c r="Q257" s="195"/>
      <c r="R257" s="195"/>
      <c r="S257" s="195"/>
      <c r="T257" s="195"/>
      <c r="U257" s="195"/>
      <c r="V257" s="195"/>
      <c r="W257" s="195"/>
    </row>
    <row r="258" spans="1:23" s="194" customFormat="1" ht="40.4" customHeight="1" x14ac:dyDescent="0.35">
      <c r="A258" s="770" t="str">
        <f t="shared" ca="1" si="3"/>
        <v>a1G3p000005ncEJEAY</v>
      </c>
      <c r="B258" s="766">
        <v>13</v>
      </c>
      <c r="C258" s="760" t="str">
        <f>IFERROR(VLOOKUP(B258,'Impact Indicators - Section B '!$A$9:$AF$52,32,FALSE),"")</f>
        <v/>
      </c>
      <c r="D258" s="768" t="str">
        <f>R258</f>
        <v/>
      </c>
      <c r="E258" s="768" t="str">
        <f>S258</f>
        <v/>
      </c>
      <c r="F258" s="413"/>
      <c r="G258" s="762" t="str">
        <f ca="1">IF(OR(INDIRECT("'update Helper'!E"&amp;U258)="",F258&lt;&gt;0,F259&lt;&gt;0),IF(IFERROR((F258/F259),"")="","",(F258/F259)),INDIRECT("'update Helper'!E"&amp;U258)/100)</f>
        <v/>
      </c>
      <c r="H258" s="743"/>
      <c r="I258" s="764"/>
      <c r="J258" s="729"/>
      <c r="K258" s="760" t="str">
        <f>W258</f>
        <v/>
      </c>
      <c r="L258" s="760" t="str">
        <f>V258</f>
        <v/>
      </c>
      <c r="M258" s="729"/>
      <c r="N258" s="729"/>
      <c r="P258" s="194">
        <f>IF(AND(EXACT(C258,C256),C256&lt;&gt;0),P256+1,0)</f>
        <v>104</v>
      </c>
      <c r="Q258" s="194" t="str">
        <f>IF(C258&lt;&gt;"",C258&amp;"-"&amp;P258,"")</f>
        <v/>
      </c>
      <c r="R258" s="194" t="str">
        <f t="array" ref="R258">IFERROR(IF(INDEX('Disaggregation Records'!$E$3:$E$66,MATCH(RIGHT(Q258,255),RIGHT('Disaggregation Records'!$D$3:$D$66,255),0))="","",INDEX('Disaggregation Records'!$E$3:$E$66,MATCH(RIGHT(Q258,255),RIGHT('Disaggregation Records'!$D$3:$D$66,255),0))),"")</f>
        <v/>
      </c>
      <c r="S258" s="194" t="str">
        <f t="array" ref="S258">IFERROR(IF(INDEX('Disaggregation Records'!$F$3:$F$66,MATCH(RIGHT(Q258,255),RIGHT('Disaggregation Records'!$D$3:$D$66,255),0))="","",INDEX('Disaggregation Records'!$F$3:$F$66,MATCH(RIGHT(Q258,255),RIGHT('Disaggregation Records'!$D$3:$D$66,255),0))),"")</f>
        <v/>
      </c>
      <c r="T258" s="194" t="str">
        <f t="array" ref="T258">IFERROR(IF(INDEX('Disaggregation Records'!$H$3:$H$66,MATCH(RIGHT(Q258,255),RIGHT('Disaggregation Records'!$D$3:$D$66,255),0))="","",INDEX('Disaggregation Records'!$H$3:$H$66,MATCH(RIGHT(Q258,255),RIGHT('Disaggregation Records'!$D$3:$D$66,255),0))),"")</f>
        <v/>
      </c>
      <c r="U258" s="194">
        <f>U256+1</f>
        <v>2245</v>
      </c>
      <c r="V258" s="194" t="str">
        <f t="array" ref="V258">IFERROR(IF(INDEX('Disaggregation Records'!$I$3:$I$66,MATCH(RIGHT(Q258,255),RIGHT('Disaggregation Records'!$D$3:$D$66,255),0))="","",INDEX('Disaggregation Records'!$I$3:$I$66,MATCH(RIGHT(Q258,255),RIGHT('Disaggregation Records'!$D$3:$D$66,255),0))),"")</f>
        <v/>
      </c>
      <c r="W258" s="194" t="str">
        <f>IFERROR(INDEX('Reference Records'!O$3:O$19,MATCH(LEFT(C258,255),'Reference Records'!J$3:J$19,0)),"")</f>
        <v/>
      </c>
    </row>
    <row r="259" spans="1:23" s="194" customFormat="1" ht="40.4" customHeight="1" x14ac:dyDescent="0.35">
      <c r="A259" s="770"/>
      <c r="B259" s="767">
        <v>9.6203007518797108</v>
      </c>
      <c r="C259" s="761"/>
      <c r="D259" s="769"/>
      <c r="E259" s="769"/>
      <c r="F259" s="208"/>
      <c r="G259" s="763"/>
      <c r="H259" s="744"/>
      <c r="I259" s="765"/>
      <c r="J259" s="730"/>
      <c r="K259" s="761"/>
      <c r="L259" s="761"/>
      <c r="M259" s="730"/>
      <c r="N259" s="730"/>
      <c r="P259" s="195"/>
      <c r="Q259" s="195"/>
      <c r="R259" s="195"/>
      <c r="S259" s="195"/>
      <c r="T259" s="195"/>
      <c r="U259" s="195"/>
      <c r="V259" s="195"/>
      <c r="W259" s="195"/>
    </row>
    <row r="260" spans="1:23" s="194" customFormat="1" ht="40.4" customHeight="1" x14ac:dyDescent="0.35">
      <c r="A260" s="770" t="str">
        <f t="shared" ca="1" si="3"/>
        <v>a1G3p000005ncEKEAY</v>
      </c>
      <c r="B260" s="766">
        <v>13</v>
      </c>
      <c r="C260" s="760" t="str">
        <f>IFERROR(VLOOKUP(B260,'Impact Indicators - Section B '!$A$9:$AF$52,32,FALSE),"")</f>
        <v/>
      </c>
      <c r="D260" s="768" t="str">
        <f>R260</f>
        <v/>
      </c>
      <c r="E260" s="768" t="str">
        <f>S260</f>
        <v/>
      </c>
      <c r="F260" s="413"/>
      <c r="G260" s="762" t="str">
        <f ca="1">IF(OR(INDIRECT("'update Helper'!E"&amp;U260)="",F260&lt;&gt;0,F261&lt;&gt;0),IF(IFERROR((F260/F261),"")="","",(F260/F261)),INDIRECT("'update Helper'!E"&amp;U260)/100)</f>
        <v/>
      </c>
      <c r="H260" s="743"/>
      <c r="I260" s="764"/>
      <c r="J260" s="729"/>
      <c r="K260" s="760" t="str">
        <f>W260</f>
        <v/>
      </c>
      <c r="L260" s="760" t="str">
        <f>V260</f>
        <v/>
      </c>
      <c r="M260" s="729"/>
      <c r="N260" s="729"/>
      <c r="P260" s="194">
        <f>IF(AND(EXACT(C260,C258),C258&lt;&gt;0),P258+1,0)</f>
        <v>105</v>
      </c>
      <c r="Q260" s="194" t="str">
        <f>IF(C260&lt;&gt;"",C260&amp;"-"&amp;P260,"")</f>
        <v/>
      </c>
      <c r="R260" s="194" t="str">
        <f t="array" ref="R260">IFERROR(IF(INDEX('Disaggregation Records'!$E$3:$E$66,MATCH(RIGHT(Q260,255),RIGHT('Disaggregation Records'!$D$3:$D$66,255),0))="","",INDEX('Disaggregation Records'!$E$3:$E$66,MATCH(RIGHT(Q260,255),RIGHT('Disaggregation Records'!$D$3:$D$66,255),0))),"")</f>
        <v/>
      </c>
      <c r="S260" s="194" t="str">
        <f t="array" ref="S260">IFERROR(IF(INDEX('Disaggregation Records'!$F$3:$F$66,MATCH(RIGHT(Q260,255),RIGHT('Disaggregation Records'!$D$3:$D$66,255),0))="","",INDEX('Disaggregation Records'!$F$3:$F$66,MATCH(RIGHT(Q260,255),RIGHT('Disaggregation Records'!$D$3:$D$66,255),0))),"")</f>
        <v/>
      </c>
      <c r="T260" s="194" t="str">
        <f t="array" ref="T260">IFERROR(IF(INDEX('Disaggregation Records'!$H$3:$H$66,MATCH(RIGHT(Q260,255),RIGHT('Disaggregation Records'!$D$3:$D$66,255),0))="","",INDEX('Disaggregation Records'!$H$3:$H$66,MATCH(RIGHT(Q260,255),RIGHT('Disaggregation Records'!$D$3:$D$66,255),0))),"")</f>
        <v/>
      </c>
      <c r="U260" s="194">
        <f>U258+1</f>
        <v>2246</v>
      </c>
      <c r="V260" s="194" t="str">
        <f t="array" ref="V260">IFERROR(IF(INDEX('Disaggregation Records'!$I$3:$I$66,MATCH(RIGHT(Q260,255),RIGHT('Disaggregation Records'!$D$3:$D$66,255),0))="","",INDEX('Disaggregation Records'!$I$3:$I$66,MATCH(RIGHT(Q260,255),RIGHT('Disaggregation Records'!$D$3:$D$66,255),0))),"")</f>
        <v/>
      </c>
      <c r="W260" s="194" t="str">
        <f>IFERROR(INDEX('Reference Records'!O$3:O$19,MATCH(LEFT(C260,255),'Reference Records'!J$3:J$19,0)),"")</f>
        <v/>
      </c>
    </row>
    <row r="261" spans="1:23" s="194" customFormat="1" ht="40.4" customHeight="1" x14ac:dyDescent="0.35">
      <c r="A261" s="770"/>
      <c r="B261" s="767">
        <v>9.6203007518797108</v>
      </c>
      <c r="C261" s="761"/>
      <c r="D261" s="769"/>
      <c r="E261" s="769"/>
      <c r="F261" s="208"/>
      <c r="G261" s="763"/>
      <c r="H261" s="744"/>
      <c r="I261" s="765"/>
      <c r="J261" s="730"/>
      <c r="K261" s="761"/>
      <c r="L261" s="761"/>
      <c r="M261" s="730"/>
      <c r="N261" s="730"/>
      <c r="P261" s="195"/>
      <c r="Q261" s="195"/>
      <c r="R261" s="195"/>
      <c r="S261" s="195"/>
      <c r="T261" s="195"/>
      <c r="U261" s="195"/>
      <c r="V261" s="195"/>
      <c r="W261" s="195"/>
    </row>
    <row r="262" spans="1:23" s="194" customFormat="1" ht="40.4" customHeight="1" x14ac:dyDescent="0.35">
      <c r="A262" s="770" t="str">
        <f t="shared" ca="1" si="3"/>
        <v>a1G3p000005ncELEAY</v>
      </c>
      <c r="B262" s="766">
        <v>13</v>
      </c>
      <c r="C262" s="760" t="str">
        <f>IFERROR(VLOOKUP(B262,'Impact Indicators - Section B '!$A$9:$AF$52,32,FALSE),"")</f>
        <v/>
      </c>
      <c r="D262" s="768" t="str">
        <f>R262</f>
        <v/>
      </c>
      <c r="E262" s="768" t="str">
        <f>S262</f>
        <v/>
      </c>
      <c r="F262" s="413"/>
      <c r="G262" s="762" t="str">
        <f ca="1">IF(OR(INDIRECT("'update Helper'!E"&amp;U262)="",F262&lt;&gt;0,F263&lt;&gt;0),IF(IFERROR((F262/F263),"")="","",(F262/F263)),INDIRECT("'update Helper'!E"&amp;U262)/100)</f>
        <v/>
      </c>
      <c r="H262" s="743"/>
      <c r="I262" s="764"/>
      <c r="J262" s="729"/>
      <c r="K262" s="760" t="str">
        <f>W262</f>
        <v/>
      </c>
      <c r="L262" s="760" t="str">
        <f>V262</f>
        <v/>
      </c>
      <c r="M262" s="729"/>
      <c r="N262" s="729"/>
      <c r="P262" s="194">
        <f>IF(AND(EXACT(C262,C260),C260&lt;&gt;0),P260+1,0)</f>
        <v>106</v>
      </c>
      <c r="Q262" s="194" t="str">
        <f>IF(C262&lt;&gt;"",C262&amp;"-"&amp;P262,"")</f>
        <v/>
      </c>
      <c r="R262" s="194" t="str">
        <f t="array" ref="R262">IFERROR(IF(INDEX('Disaggregation Records'!$E$3:$E$66,MATCH(RIGHT(Q262,255),RIGHT('Disaggregation Records'!$D$3:$D$66,255),0))="","",INDEX('Disaggregation Records'!$E$3:$E$66,MATCH(RIGHT(Q262,255),RIGHT('Disaggregation Records'!$D$3:$D$66,255),0))),"")</f>
        <v/>
      </c>
      <c r="S262" s="194" t="str">
        <f t="array" ref="S262">IFERROR(IF(INDEX('Disaggregation Records'!$F$3:$F$66,MATCH(RIGHT(Q262,255),RIGHT('Disaggregation Records'!$D$3:$D$66,255),0))="","",INDEX('Disaggregation Records'!$F$3:$F$66,MATCH(RIGHT(Q262,255),RIGHT('Disaggregation Records'!$D$3:$D$66,255),0))),"")</f>
        <v/>
      </c>
      <c r="T262" s="194" t="str">
        <f t="array" ref="T262">IFERROR(IF(INDEX('Disaggregation Records'!$H$3:$H$66,MATCH(RIGHT(Q262,255),RIGHT('Disaggregation Records'!$D$3:$D$66,255),0))="","",INDEX('Disaggregation Records'!$H$3:$H$66,MATCH(RIGHT(Q262,255),RIGHT('Disaggregation Records'!$D$3:$D$66,255),0))),"")</f>
        <v/>
      </c>
      <c r="U262" s="194">
        <f>U260+1</f>
        <v>2247</v>
      </c>
      <c r="V262" s="194" t="str">
        <f t="array" ref="V262">IFERROR(IF(INDEX('Disaggregation Records'!$I$3:$I$66,MATCH(RIGHT(Q262,255),RIGHT('Disaggregation Records'!$D$3:$D$66,255),0))="","",INDEX('Disaggregation Records'!$I$3:$I$66,MATCH(RIGHT(Q262,255),RIGHT('Disaggregation Records'!$D$3:$D$66,255),0))),"")</f>
        <v/>
      </c>
      <c r="W262" s="194" t="str">
        <f>IFERROR(INDEX('Reference Records'!O$3:O$19,MATCH(LEFT(C262,255),'Reference Records'!J$3:J$19,0)),"")</f>
        <v/>
      </c>
    </row>
    <row r="263" spans="1:23" s="194" customFormat="1" ht="40.4" customHeight="1" x14ac:dyDescent="0.35">
      <c r="A263" s="770"/>
      <c r="B263" s="767">
        <v>9.6203007518797108</v>
      </c>
      <c r="C263" s="761"/>
      <c r="D263" s="769"/>
      <c r="E263" s="769"/>
      <c r="F263" s="208"/>
      <c r="G263" s="763"/>
      <c r="H263" s="744"/>
      <c r="I263" s="765"/>
      <c r="J263" s="730"/>
      <c r="K263" s="761"/>
      <c r="L263" s="761"/>
      <c r="M263" s="730"/>
      <c r="N263" s="730"/>
      <c r="P263" s="195"/>
      <c r="Q263" s="195"/>
      <c r="R263" s="195"/>
      <c r="S263" s="195"/>
      <c r="T263" s="195"/>
      <c r="U263" s="195"/>
      <c r="V263" s="195"/>
      <c r="W263" s="195"/>
    </row>
    <row r="264" spans="1:23" s="194" customFormat="1" ht="40.4" customHeight="1" x14ac:dyDescent="0.35">
      <c r="A264" s="770" t="str">
        <f t="shared" ca="1" si="3"/>
        <v>a1G3p000005ncEMEAY</v>
      </c>
      <c r="B264" s="766">
        <v>13</v>
      </c>
      <c r="C264" s="760" t="str">
        <f>IFERROR(VLOOKUP(B264,'Impact Indicators - Section B '!$A$9:$AF$52,32,FALSE),"")</f>
        <v/>
      </c>
      <c r="D264" s="768" t="str">
        <f>R264</f>
        <v/>
      </c>
      <c r="E264" s="768" t="str">
        <f>S264</f>
        <v/>
      </c>
      <c r="F264" s="413"/>
      <c r="G264" s="762" t="str">
        <f ca="1">IF(OR(INDIRECT("'update Helper'!E"&amp;U264)="",F264&lt;&gt;0,F265&lt;&gt;0),IF(IFERROR((F264/F265),"")="","",(F264/F265)),INDIRECT("'update Helper'!E"&amp;U264)/100)</f>
        <v/>
      </c>
      <c r="H264" s="743"/>
      <c r="I264" s="764"/>
      <c r="J264" s="729"/>
      <c r="K264" s="760" t="str">
        <f>W264</f>
        <v/>
      </c>
      <c r="L264" s="760" t="str">
        <f>V264</f>
        <v/>
      </c>
      <c r="M264" s="729"/>
      <c r="N264" s="729"/>
      <c r="P264" s="194">
        <f>IF(AND(EXACT(C264,C262),C262&lt;&gt;0),P262+1,0)</f>
        <v>107</v>
      </c>
      <c r="Q264" s="194" t="str">
        <f>IF(C264&lt;&gt;"",C264&amp;"-"&amp;P264,"")</f>
        <v/>
      </c>
      <c r="R264" s="194" t="str">
        <f t="array" ref="R264">IFERROR(IF(INDEX('Disaggregation Records'!$E$3:$E$66,MATCH(RIGHT(Q264,255),RIGHT('Disaggregation Records'!$D$3:$D$66,255),0))="","",INDEX('Disaggregation Records'!$E$3:$E$66,MATCH(RIGHT(Q264,255),RIGHT('Disaggregation Records'!$D$3:$D$66,255),0))),"")</f>
        <v/>
      </c>
      <c r="S264" s="194" t="str">
        <f t="array" ref="S264">IFERROR(IF(INDEX('Disaggregation Records'!$F$3:$F$66,MATCH(RIGHT(Q264,255),RIGHT('Disaggregation Records'!$D$3:$D$66,255),0))="","",INDEX('Disaggregation Records'!$F$3:$F$66,MATCH(RIGHT(Q264,255),RIGHT('Disaggregation Records'!$D$3:$D$66,255),0))),"")</f>
        <v/>
      </c>
      <c r="T264" s="194" t="str">
        <f t="array" ref="T264">IFERROR(IF(INDEX('Disaggregation Records'!$H$3:$H$66,MATCH(RIGHT(Q264,255),RIGHT('Disaggregation Records'!$D$3:$D$66,255),0))="","",INDEX('Disaggregation Records'!$H$3:$H$66,MATCH(RIGHT(Q264,255),RIGHT('Disaggregation Records'!$D$3:$D$66,255),0))),"")</f>
        <v/>
      </c>
      <c r="U264" s="194">
        <f>U262+1</f>
        <v>2248</v>
      </c>
      <c r="V264" s="194" t="str">
        <f t="array" ref="V264">IFERROR(IF(INDEX('Disaggregation Records'!$I$3:$I$66,MATCH(RIGHT(Q264,255),RIGHT('Disaggregation Records'!$D$3:$D$66,255),0))="","",INDEX('Disaggregation Records'!$I$3:$I$66,MATCH(RIGHT(Q264,255),RIGHT('Disaggregation Records'!$D$3:$D$66,255),0))),"")</f>
        <v/>
      </c>
      <c r="W264" s="194" t="str">
        <f>IFERROR(INDEX('Reference Records'!O$3:O$19,MATCH(LEFT(C264,255),'Reference Records'!J$3:J$19,0)),"")</f>
        <v/>
      </c>
    </row>
    <row r="265" spans="1:23" s="194" customFormat="1" ht="40.4" customHeight="1" x14ac:dyDescent="0.35">
      <c r="A265" s="770"/>
      <c r="B265" s="767">
        <v>9.6203007518797108</v>
      </c>
      <c r="C265" s="761"/>
      <c r="D265" s="769"/>
      <c r="E265" s="769"/>
      <c r="F265" s="208"/>
      <c r="G265" s="763"/>
      <c r="H265" s="744"/>
      <c r="I265" s="765"/>
      <c r="J265" s="730"/>
      <c r="K265" s="761"/>
      <c r="L265" s="761"/>
      <c r="M265" s="730"/>
      <c r="N265" s="730"/>
      <c r="P265" s="195"/>
      <c r="Q265" s="195"/>
      <c r="R265" s="195"/>
      <c r="S265" s="195"/>
      <c r="T265" s="195"/>
      <c r="U265" s="195"/>
      <c r="V265" s="195"/>
      <c r="W265" s="195"/>
    </row>
    <row r="266" spans="1:23" s="194" customFormat="1" ht="40.4" customHeight="1" x14ac:dyDescent="0.35">
      <c r="A266" s="770" t="str">
        <f t="shared" ca="1" si="3"/>
        <v>a1G3p000005ncENEAY</v>
      </c>
      <c r="B266" s="766">
        <v>13</v>
      </c>
      <c r="C266" s="760" t="str">
        <f>IFERROR(VLOOKUP(B266,'Impact Indicators - Section B '!$A$9:$AF$52,32,FALSE),"")</f>
        <v/>
      </c>
      <c r="D266" s="768" t="str">
        <f>R266</f>
        <v/>
      </c>
      <c r="E266" s="768" t="str">
        <f>S266</f>
        <v/>
      </c>
      <c r="F266" s="413"/>
      <c r="G266" s="762" t="str">
        <f ca="1">IF(OR(INDIRECT("'update Helper'!E"&amp;U266)="",F266&lt;&gt;0,F267&lt;&gt;0),IF(IFERROR((F266/F267),"")="","",(F266/F267)),INDIRECT("'update Helper'!E"&amp;U266)/100)</f>
        <v/>
      </c>
      <c r="H266" s="743"/>
      <c r="I266" s="764"/>
      <c r="J266" s="729"/>
      <c r="K266" s="760" t="str">
        <f>W266</f>
        <v/>
      </c>
      <c r="L266" s="760" t="str">
        <f>V266</f>
        <v/>
      </c>
      <c r="M266" s="729"/>
      <c r="N266" s="729"/>
      <c r="P266" s="194">
        <f>IF(AND(EXACT(C266,C264),C264&lt;&gt;0),P264+1,0)</f>
        <v>108</v>
      </c>
      <c r="Q266" s="194" t="str">
        <f>IF(C266&lt;&gt;"",C266&amp;"-"&amp;P266,"")</f>
        <v/>
      </c>
      <c r="R266" s="194" t="str">
        <f t="array" ref="R266">IFERROR(IF(INDEX('Disaggregation Records'!$E$3:$E$66,MATCH(RIGHT(Q266,255),RIGHT('Disaggregation Records'!$D$3:$D$66,255),0))="","",INDEX('Disaggregation Records'!$E$3:$E$66,MATCH(RIGHT(Q266,255),RIGHT('Disaggregation Records'!$D$3:$D$66,255),0))),"")</f>
        <v/>
      </c>
      <c r="S266" s="194" t="str">
        <f t="array" ref="S266">IFERROR(IF(INDEX('Disaggregation Records'!$F$3:$F$66,MATCH(RIGHT(Q266,255),RIGHT('Disaggregation Records'!$D$3:$D$66,255),0))="","",INDEX('Disaggregation Records'!$F$3:$F$66,MATCH(RIGHT(Q266,255),RIGHT('Disaggregation Records'!$D$3:$D$66,255),0))),"")</f>
        <v/>
      </c>
      <c r="T266" s="194" t="str">
        <f t="array" ref="T266">IFERROR(IF(INDEX('Disaggregation Records'!$H$3:$H$66,MATCH(RIGHT(Q266,255),RIGHT('Disaggregation Records'!$D$3:$D$66,255),0))="","",INDEX('Disaggregation Records'!$H$3:$H$66,MATCH(RIGHT(Q266,255),RIGHT('Disaggregation Records'!$D$3:$D$66,255),0))),"")</f>
        <v/>
      </c>
      <c r="U266" s="194">
        <f>U264+1</f>
        <v>2249</v>
      </c>
      <c r="V266" s="194" t="str">
        <f t="array" ref="V266">IFERROR(IF(INDEX('Disaggregation Records'!$I$3:$I$66,MATCH(RIGHT(Q266,255),RIGHT('Disaggregation Records'!$D$3:$D$66,255),0))="","",INDEX('Disaggregation Records'!$I$3:$I$66,MATCH(RIGHT(Q266,255),RIGHT('Disaggregation Records'!$D$3:$D$66,255),0))),"")</f>
        <v/>
      </c>
      <c r="W266" s="194" t="str">
        <f>IFERROR(INDEX('Reference Records'!O$3:O$19,MATCH(LEFT(C266,255),'Reference Records'!J$3:J$19,0)),"")</f>
        <v/>
      </c>
    </row>
    <row r="267" spans="1:23" s="194" customFormat="1" ht="40.4" customHeight="1" x14ac:dyDescent="0.35">
      <c r="A267" s="770"/>
      <c r="B267" s="767">
        <v>9.6203007518797108</v>
      </c>
      <c r="C267" s="761"/>
      <c r="D267" s="769"/>
      <c r="E267" s="769"/>
      <c r="F267" s="208"/>
      <c r="G267" s="763"/>
      <c r="H267" s="744"/>
      <c r="I267" s="765"/>
      <c r="J267" s="730"/>
      <c r="K267" s="761"/>
      <c r="L267" s="761"/>
      <c r="M267" s="730"/>
      <c r="N267" s="730"/>
      <c r="P267" s="195"/>
      <c r="Q267" s="195"/>
      <c r="R267" s="195"/>
      <c r="S267" s="195"/>
      <c r="T267" s="195"/>
      <c r="U267" s="195"/>
      <c r="V267" s="195"/>
      <c r="W267" s="195"/>
    </row>
    <row r="268" spans="1:23" s="194" customFormat="1" ht="40.4" customHeight="1" x14ac:dyDescent="0.35">
      <c r="A268" s="770" t="str">
        <f t="shared" ca="1" si="3"/>
        <v>a1G3p000005ncEOEAY</v>
      </c>
      <c r="B268" s="766">
        <v>13</v>
      </c>
      <c r="C268" s="760" t="str">
        <f>IFERROR(VLOOKUP(B268,'Impact Indicators - Section B '!$A$9:$AF$52,32,FALSE),"")</f>
        <v/>
      </c>
      <c r="D268" s="768" t="str">
        <f>R268</f>
        <v/>
      </c>
      <c r="E268" s="768" t="str">
        <f>S268</f>
        <v/>
      </c>
      <c r="F268" s="413"/>
      <c r="G268" s="762" t="str">
        <f ca="1">IF(OR(INDIRECT("'update Helper'!E"&amp;U268)="",F268&lt;&gt;0,F269&lt;&gt;0),IF(IFERROR((F268/F269),"")="","",(F268/F269)),INDIRECT("'update Helper'!E"&amp;U268)/100)</f>
        <v/>
      </c>
      <c r="H268" s="743"/>
      <c r="I268" s="764"/>
      <c r="J268" s="729"/>
      <c r="K268" s="760" t="str">
        <f>W268</f>
        <v/>
      </c>
      <c r="L268" s="760" t="str">
        <f>V268</f>
        <v/>
      </c>
      <c r="M268" s="729"/>
      <c r="N268" s="729"/>
      <c r="P268" s="194">
        <f>IF(AND(EXACT(C268,C266),C266&lt;&gt;0),P266+1,0)</f>
        <v>109</v>
      </c>
      <c r="Q268" s="194" t="str">
        <f>IF(C268&lt;&gt;"",C268&amp;"-"&amp;P268,"")</f>
        <v/>
      </c>
      <c r="R268" s="194" t="str">
        <f t="array" ref="R268">IFERROR(IF(INDEX('Disaggregation Records'!$E$3:$E$66,MATCH(RIGHT(Q268,255),RIGHT('Disaggregation Records'!$D$3:$D$66,255),0))="","",INDEX('Disaggregation Records'!$E$3:$E$66,MATCH(RIGHT(Q268,255),RIGHT('Disaggregation Records'!$D$3:$D$66,255),0))),"")</f>
        <v/>
      </c>
      <c r="S268" s="194" t="str">
        <f t="array" ref="S268">IFERROR(IF(INDEX('Disaggregation Records'!$F$3:$F$66,MATCH(RIGHT(Q268,255),RIGHT('Disaggregation Records'!$D$3:$D$66,255),0))="","",INDEX('Disaggregation Records'!$F$3:$F$66,MATCH(RIGHT(Q268,255),RIGHT('Disaggregation Records'!$D$3:$D$66,255),0))),"")</f>
        <v/>
      </c>
      <c r="T268" s="194" t="str">
        <f t="array" ref="T268">IFERROR(IF(INDEX('Disaggregation Records'!$H$3:$H$66,MATCH(RIGHT(Q268,255),RIGHT('Disaggregation Records'!$D$3:$D$66,255),0))="","",INDEX('Disaggregation Records'!$H$3:$H$66,MATCH(RIGHT(Q268,255),RIGHT('Disaggregation Records'!$D$3:$D$66,255),0))),"")</f>
        <v/>
      </c>
      <c r="U268" s="194">
        <f>U266+1</f>
        <v>2250</v>
      </c>
      <c r="V268" s="194" t="str">
        <f t="array" ref="V268">IFERROR(IF(INDEX('Disaggregation Records'!$I$3:$I$66,MATCH(RIGHT(Q268,255),RIGHT('Disaggregation Records'!$D$3:$D$66,255),0))="","",INDEX('Disaggregation Records'!$I$3:$I$66,MATCH(RIGHT(Q268,255),RIGHT('Disaggregation Records'!$D$3:$D$66,255),0))),"")</f>
        <v/>
      </c>
      <c r="W268" s="194" t="str">
        <f>IFERROR(INDEX('Reference Records'!O$3:O$19,MATCH(LEFT(C268,255),'Reference Records'!J$3:J$19,0)),"")</f>
        <v/>
      </c>
    </row>
    <row r="269" spans="1:23" s="194" customFormat="1" ht="40.4" customHeight="1" x14ac:dyDescent="0.35">
      <c r="A269" s="770"/>
      <c r="B269" s="767">
        <v>9.6203007518797108</v>
      </c>
      <c r="C269" s="761"/>
      <c r="D269" s="769"/>
      <c r="E269" s="769"/>
      <c r="F269" s="208"/>
      <c r="G269" s="763"/>
      <c r="H269" s="744"/>
      <c r="I269" s="765"/>
      <c r="J269" s="730"/>
      <c r="K269" s="761"/>
      <c r="L269" s="761"/>
      <c r="M269" s="730"/>
      <c r="N269" s="730"/>
      <c r="P269" s="195"/>
      <c r="Q269" s="195"/>
      <c r="R269" s="195"/>
      <c r="S269" s="195"/>
      <c r="T269" s="195"/>
      <c r="U269" s="195"/>
      <c r="V269" s="195"/>
      <c r="W269" s="195"/>
    </row>
    <row r="270" spans="1:23" s="194" customFormat="1" ht="40.4" customHeight="1" x14ac:dyDescent="0.35">
      <c r="A270" s="770" t="str">
        <f t="shared" ref="A270:A308" ca="1" si="4">INDIRECT("'update Helper'!C"&amp;U270)</f>
        <v>a1G3p000005ncGcEAI</v>
      </c>
      <c r="B270" s="766">
        <v>14</v>
      </c>
      <c r="C270" s="760" t="str">
        <f>IFERROR(VLOOKUP(B270,'Impact Indicators - Section B '!$A$9:$AF$52,32,FALSE),"")</f>
        <v/>
      </c>
      <c r="D270" s="768" t="str">
        <f>R270</f>
        <v/>
      </c>
      <c r="E270" s="768" t="str">
        <f>S270</f>
        <v/>
      </c>
      <c r="F270" s="413"/>
      <c r="G270" s="762" t="str">
        <f ca="1">IF(OR(INDIRECT("'update Helper'!E"&amp;U270)="",F270&lt;&gt;0,F271&lt;&gt;0),IF(IFERROR((F270/F271),"")="","",(F270/F271)),INDIRECT("'update Helper'!E"&amp;U270)/100)</f>
        <v/>
      </c>
      <c r="H270" s="743"/>
      <c r="I270" s="764"/>
      <c r="J270" s="729"/>
      <c r="K270" s="760" t="str">
        <f>W270</f>
        <v/>
      </c>
      <c r="L270" s="760" t="str">
        <f>V270</f>
        <v/>
      </c>
      <c r="M270" s="729"/>
      <c r="N270" s="729"/>
      <c r="P270" s="194">
        <f>IF(AND(EXACT(C270,C268),C268&lt;&gt;0),P268+1,0)</f>
        <v>110</v>
      </c>
      <c r="Q270" s="194" t="str">
        <f>IF(C270&lt;&gt;"",C270&amp;"-"&amp;P270,"")</f>
        <v/>
      </c>
      <c r="R270" s="194" t="str">
        <f t="array" ref="R270">IFERROR(IF(INDEX('Disaggregation Records'!$E$3:$E$66,MATCH(RIGHT(Q270,255),RIGHT('Disaggregation Records'!$D$3:$D$66,255),0))="","",INDEX('Disaggregation Records'!$E$3:$E$66,MATCH(RIGHT(Q270,255),RIGHT('Disaggregation Records'!$D$3:$D$66,255),0))),"")</f>
        <v/>
      </c>
      <c r="S270" s="194" t="str">
        <f t="array" ref="S270">IFERROR(IF(INDEX('Disaggregation Records'!$F$3:$F$66,MATCH(RIGHT(Q270,255),RIGHT('Disaggregation Records'!$D$3:$D$66,255),0))="","",INDEX('Disaggregation Records'!$F$3:$F$66,MATCH(RIGHT(Q270,255),RIGHT('Disaggregation Records'!$D$3:$D$66,255),0))),"")</f>
        <v/>
      </c>
      <c r="T270" s="194" t="str">
        <f t="array" ref="T270">IFERROR(IF(INDEX('Disaggregation Records'!$H$3:$H$66,MATCH(RIGHT(Q270,255),RIGHT('Disaggregation Records'!$D$3:$D$66,255),0))="","",INDEX('Disaggregation Records'!$H$3:$H$66,MATCH(RIGHT(Q270,255),RIGHT('Disaggregation Records'!$D$3:$D$66,255),0))),"")</f>
        <v/>
      </c>
      <c r="U270" s="194">
        <f>U268+1</f>
        <v>2251</v>
      </c>
      <c r="V270" s="194" t="str">
        <f t="array" ref="V270">IFERROR(IF(INDEX('Disaggregation Records'!$I$3:$I$66,MATCH(RIGHT(Q270,255),RIGHT('Disaggregation Records'!$D$3:$D$66,255),0))="","",INDEX('Disaggregation Records'!$I$3:$I$66,MATCH(RIGHT(Q270,255),RIGHT('Disaggregation Records'!$D$3:$D$66,255),0))),"")</f>
        <v/>
      </c>
      <c r="W270" s="194" t="str">
        <f>IFERROR(INDEX('Reference Records'!O$3:O$19,MATCH(LEFT(C270,255),'Reference Records'!J$3:J$19,0)),"")</f>
        <v/>
      </c>
    </row>
    <row r="271" spans="1:23" s="194" customFormat="1" ht="40.4" customHeight="1" x14ac:dyDescent="0.35">
      <c r="A271" s="770"/>
      <c r="B271" s="767">
        <v>10.3721804511278</v>
      </c>
      <c r="C271" s="761"/>
      <c r="D271" s="769"/>
      <c r="E271" s="769"/>
      <c r="F271" s="208"/>
      <c r="G271" s="763"/>
      <c r="H271" s="744"/>
      <c r="I271" s="765"/>
      <c r="J271" s="730"/>
      <c r="K271" s="761"/>
      <c r="L271" s="761"/>
      <c r="M271" s="730"/>
      <c r="N271" s="730"/>
      <c r="P271" s="195"/>
      <c r="Q271" s="195"/>
      <c r="R271" s="195"/>
      <c r="S271" s="195"/>
      <c r="T271" s="195"/>
      <c r="U271" s="195"/>
      <c r="V271" s="195"/>
      <c r="W271" s="195"/>
    </row>
    <row r="272" spans="1:23" s="194" customFormat="1" ht="40.4" customHeight="1" x14ac:dyDescent="0.35">
      <c r="A272" s="770" t="str">
        <f t="shared" ca="1" si="4"/>
        <v>a1G3p000005ncGgEAI</v>
      </c>
      <c r="B272" s="766">
        <v>14</v>
      </c>
      <c r="C272" s="760" t="str">
        <f>IFERROR(VLOOKUP(B272,'Impact Indicators - Section B '!$A$9:$AF$52,32,FALSE),"")</f>
        <v/>
      </c>
      <c r="D272" s="768" t="str">
        <f>R272</f>
        <v/>
      </c>
      <c r="E272" s="768" t="str">
        <f>S272</f>
        <v/>
      </c>
      <c r="F272" s="413"/>
      <c r="G272" s="762" t="str">
        <f ca="1">IF(OR(INDIRECT("'update Helper'!E"&amp;U272)="",F272&lt;&gt;0,F273&lt;&gt;0),IF(IFERROR((F272/F273),"")="","",(F272/F273)),INDIRECT("'update Helper'!E"&amp;U272)/100)</f>
        <v/>
      </c>
      <c r="H272" s="743"/>
      <c r="I272" s="764"/>
      <c r="J272" s="729"/>
      <c r="K272" s="760" t="str">
        <f>W272</f>
        <v/>
      </c>
      <c r="L272" s="760" t="str">
        <f>V272</f>
        <v/>
      </c>
      <c r="M272" s="729"/>
      <c r="N272" s="729"/>
      <c r="P272" s="194">
        <f>IF(AND(EXACT(C272,C270),C270&lt;&gt;0),P270+1,0)</f>
        <v>111</v>
      </c>
      <c r="Q272" s="194" t="str">
        <f>IF(C272&lt;&gt;"",C272&amp;"-"&amp;P272,"")</f>
        <v/>
      </c>
      <c r="R272" s="194" t="str">
        <f t="array" ref="R272">IFERROR(IF(INDEX('Disaggregation Records'!$E$3:$E$66,MATCH(RIGHT(Q272,255),RIGHT('Disaggregation Records'!$D$3:$D$66,255),0))="","",INDEX('Disaggregation Records'!$E$3:$E$66,MATCH(RIGHT(Q272,255),RIGHT('Disaggregation Records'!$D$3:$D$66,255),0))),"")</f>
        <v/>
      </c>
      <c r="S272" s="194" t="str">
        <f t="array" ref="S272">IFERROR(IF(INDEX('Disaggregation Records'!$F$3:$F$66,MATCH(RIGHT(Q272,255),RIGHT('Disaggregation Records'!$D$3:$D$66,255),0))="","",INDEX('Disaggregation Records'!$F$3:$F$66,MATCH(RIGHT(Q272,255),RIGHT('Disaggregation Records'!$D$3:$D$66,255),0))),"")</f>
        <v/>
      </c>
      <c r="T272" s="194" t="str">
        <f t="array" ref="T272">IFERROR(IF(INDEX('Disaggregation Records'!$H$3:$H$66,MATCH(RIGHT(Q272,255),RIGHT('Disaggregation Records'!$D$3:$D$66,255),0))="","",INDEX('Disaggregation Records'!$H$3:$H$66,MATCH(RIGHT(Q272,255),RIGHT('Disaggregation Records'!$D$3:$D$66,255),0))),"")</f>
        <v/>
      </c>
      <c r="U272" s="194">
        <f>U270+1</f>
        <v>2252</v>
      </c>
      <c r="V272" s="194" t="str">
        <f t="array" ref="V272">IFERROR(IF(INDEX('Disaggregation Records'!$I$3:$I$66,MATCH(RIGHT(Q272,255),RIGHT('Disaggregation Records'!$D$3:$D$66,255),0))="","",INDEX('Disaggregation Records'!$I$3:$I$66,MATCH(RIGHT(Q272,255),RIGHT('Disaggregation Records'!$D$3:$D$66,255),0))),"")</f>
        <v/>
      </c>
      <c r="W272" s="194" t="str">
        <f>IFERROR(INDEX('Reference Records'!O$3:O$19,MATCH(LEFT(C272,255),'Reference Records'!J$3:J$19,0)),"")</f>
        <v/>
      </c>
    </row>
    <row r="273" spans="1:23" s="194" customFormat="1" ht="40.4" customHeight="1" x14ac:dyDescent="0.35">
      <c r="A273" s="770"/>
      <c r="B273" s="767">
        <v>10.3721804511278</v>
      </c>
      <c r="C273" s="761"/>
      <c r="D273" s="769"/>
      <c r="E273" s="769"/>
      <c r="F273" s="208"/>
      <c r="G273" s="763"/>
      <c r="H273" s="744"/>
      <c r="I273" s="765"/>
      <c r="J273" s="730"/>
      <c r="K273" s="761"/>
      <c r="L273" s="761"/>
      <c r="M273" s="730"/>
      <c r="N273" s="730"/>
      <c r="P273" s="195"/>
      <c r="Q273" s="195"/>
      <c r="R273" s="195"/>
      <c r="S273" s="195"/>
      <c r="T273" s="195"/>
      <c r="U273" s="195"/>
      <c r="V273" s="195"/>
      <c r="W273" s="195"/>
    </row>
    <row r="274" spans="1:23" s="194" customFormat="1" ht="40.4" customHeight="1" x14ac:dyDescent="0.35">
      <c r="A274" s="770" t="str">
        <f t="shared" ca="1" si="4"/>
        <v>a1G3p000005ncGhEAI</v>
      </c>
      <c r="B274" s="766">
        <v>14</v>
      </c>
      <c r="C274" s="760" t="str">
        <f>IFERROR(VLOOKUP(B274,'Impact Indicators - Section B '!$A$9:$AF$52,32,FALSE),"")</f>
        <v/>
      </c>
      <c r="D274" s="768" t="str">
        <f>R274</f>
        <v/>
      </c>
      <c r="E274" s="768" t="str">
        <f>S274</f>
        <v/>
      </c>
      <c r="F274" s="413"/>
      <c r="G274" s="762" t="str">
        <f ca="1">IF(OR(INDIRECT("'update Helper'!E"&amp;U274)="",F274&lt;&gt;0,F275&lt;&gt;0),IF(IFERROR((F274/F275),"")="","",(F274/F275)),INDIRECT("'update Helper'!E"&amp;U274)/100)</f>
        <v/>
      </c>
      <c r="H274" s="743"/>
      <c r="I274" s="764"/>
      <c r="J274" s="729"/>
      <c r="K274" s="760" t="str">
        <f>W274</f>
        <v/>
      </c>
      <c r="L274" s="760" t="str">
        <f>V274</f>
        <v/>
      </c>
      <c r="M274" s="729"/>
      <c r="N274" s="729"/>
      <c r="P274" s="194">
        <f>IF(AND(EXACT(C274,C272),C272&lt;&gt;0),P272+1,0)</f>
        <v>112</v>
      </c>
      <c r="Q274" s="194" t="str">
        <f>IF(C274&lt;&gt;"",C274&amp;"-"&amp;P274,"")</f>
        <v/>
      </c>
      <c r="R274" s="194" t="str">
        <f t="array" ref="R274">IFERROR(IF(INDEX('Disaggregation Records'!$E$3:$E$66,MATCH(RIGHT(Q274,255),RIGHT('Disaggregation Records'!$D$3:$D$66,255),0))="","",INDEX('Disaggregation Records'!$E$3:$E$66,MATCH(RIGHT(Q274,255),RIGHT('Disaggregation Records'!$D$3:$D$66,255),0))),"")</f>
        <v/>
      </c>
      <c r="S274" s="194" t="str">
        <f t="array" ref="S274">IFERROR(IF(INDEX('Disaggregation Records'!$F$3:$F$66,MATCH(RIGHT(Q274,255),RIGHT('Disaggregation Records'!$D$3:$D$66,255),0))="","",INDEX('Disaggregation Records'!$F$3:$F$66,MATCH(RIGHT(Q274,255),RIGHT('Disaggregation Records'!$D$3:$D$66,255),0))),"")</f>
        <v/>
      </c>
      <c r="T274" s="194" t="str">
        <f t="array" ref="T274">IFERROR(IF(INDEX('Disaggregation Records'!$H$3:$H$66,MATCH(RIGHT(Q274,255),RIGHT('Disaggregation Records'!$D$3:$D$66,255),0))="","",INDEX('Disaggregation Records'!$H$3:$H$66,MATCH(RIGHT(Q274,255),RIGHT('Disaggregation Records'!$D$3:$D$66,255),0))),"")</f>
        <v/>
      </c>
      <c r="U274" s="194">
        <f>U272+1</f>
        <v>2253</v>
      </c>
      <c r="V274" s="194" t="str">
        <f t="array" ref="V274">IFERROR(IF(INDEX('Disaggregation Records'!$I$3:$I$66,MATCH(RIGHT(Q274,255),RIGHT('Disaggregation Records'!$D$3:$D$66,255),0))="","",INDEX('Disaggregation Records'!$I$3:$I$66,MATCH(RIGHT(Q274,255),RIGHT('Disaggregation Records'!$D$3:$D$66,255),0))),"")</f>
        <v/>
      </c>
      <c r="W274" s="194" t="str">
        <f>IFERROR(INDEX('Reference Records'!O$3:O$19,MATCH(LEFT(C274,255),'Reference Records'!J$3:J$19,0)),"")</f>
        <v/>
      </c>
    </row>
    <row r="275" spans="1:23" s="194" customFormat="1" ht="40.4" customHeight="1" x14ac:dyDescent="0.35">
      <c r="A275" s="770"/>
      <c r="B275" s="767">
        <v>10.3721804511278</v>
      </c>
      <c r="C275" s="761"/>
      <c r="D275" s="769"/>
      <c r="E275" s="769"/>
      <c r="F275" s="208"/>
      <c r="G275" s="763"/>
      <c r="H275" s="744"/>
      <c r="I275" s="765"/>
      <c r="J275" s="730"/>
      <c r="K275" s="761"/>
      <c r="L275" s="761"/>
      <c r="M275" s="730"/>
      <c r="N275" s="730"/>
      <c r="P275" s="195"/>
      <c r="Q275" s="195"/>
      <c r="R275" s="195"/>
      <c r="S275" s="195"/>
      <c r="T275" s="195"/>
      <c r="U275" s="195"/>
      <c r="V275" s="195"/>
      <c r="W275" s="195"/>
    </row>
    <row r="276" spans="1:23" s="194" customFormat="1" ht="40.4" customHeight="1" x14ac:dyDescent="0.35">
      <c r="A276" s="770" t="str">
        <f t="shared" ca="1" si="4"/>
        <v>a1G3p000005ncGiEAI</v>
      </c>
      <c r="B276" s="766">
        <v>14</v>
      </c>
      <c r="C276" s="760" t="str">
        <f>IFERROR(VLOOKUP(B276,'Impact Indicators - Section B '!$A$9:$AF$52,32,FALSE),"")</f>
        <v/>
      </c>
      <c r="D276" s="768" t="str">
        <f>R276</f>
        <v/>
      </c>
      <c r="E276" s="768" t="str">
        <f>S276</f>
        <v/>
      </c>
      <c r="F276" s="413"/>
      <c r="G276" s="762" t="str">
        <f ca="1">IF(OR(INDIRECT("'update Helper'!E"&amp;U276)="",F276&lt;&gt;0,F277&lt;&gt;0),IF(IFERROR((F276/F277),"")="","",(F276/F277)),INDIRECT("'update Helper'!E"&amp;U276)/100)</f>
        <v/>
      </c>
      <c r="H276" s="743"/>
      <c r="I276" s="764"/>
      <c r="J276" s="729"/>
      <c r="K276" s="760" t="str">
        <f>W276</f>
        <v/>
      </c>
      <c r="L276" s="760" t="str">
        <f>V276</f>
        <v/>
      </c>
      <c r="M276" s="729"/>
      <c r="N276" s="729"/>
      <c r="P276" s="194">
        <f>IF(AND(EXACT(C276,C274),C274&lt;&gt;0),P274+1,0)</f>
        <v>113</v>
      </c>
      <c r="Q276" s="194" t="str">
        <f>IF(C276&lt;&gt;"",C276&amp;"-"&amp;P276,"")</f>
        <v/>
      </c>
      <c r="R276" s="194" t="str">
        <f t="array" ref="R276">IFERROR(IF(INDEX('Disaggregation Records'!$E$3:$E$66,MATCH(RIGHT(Q276,255),RIGHT('Disaggregation Records'!$D$3:$D$66,255),0))="","",INDEX('Disaggregation Records'!$E$3:$E$66,MATCH(RIGHT(Q276,255),RIGHT('Disaggregation Records'!$D$3:$D$66,255),0))),"")</f>
        <v/>
      </c>
      <c r="S276" s="194" t="str">
        <f t="array" ref="S276">IFERROR(IF(INDEX('Disaggregation Records'!$F$3:$F$66,MATCH(RIGHT(Q276,255),RIGHT('Disaggregation Records'!$D$3:$D$66,255),0))="","",INDEX('Disaggregation Records'!$F$3:$F$66,MATCH(RIGHT(Q276,255),RIGHT('Disaggregation Records'!$D$3:$D$66,255),0))),"")</f>
        <v/>
      </c>
      <c r="T276" s="194" t="str">
        <f t="array" ref="T276">IFERROR(IF(INDEX('Disaggregation Records'!$H$3:$H$66,MATCH(RIGHT(Q276,255),RIGHT('Disaggregation Records'!$D$3:$D$66,255),0))="","",INDEX('Disaggregation Records'!$H$3:$H$66,MATCH(RIGHT(Q276,255),RIGHT('Disaggregation Records'!$D$3:$D$66,255),0))),"")</f>
        <v/>
      </c>
      <c r="U276" s="194">
        <f>U274+1</f>
        <v>2254</v>
      </c>
      <c r="V276" s="194" t="str">
        <f t="array" ref="V276">IFERROR(IF(INDEX('Disaggregation Records'!$I$3:$I$66,MATCH(RIGHT(Q276,255),RIGHT('Disaggregation Records'!$D$3:$D$66,255),0))="","",INDEX('Disaggregation Records'!$I$3:$I$66,MATCH(RIGHT(Q276,255),RIGHT('Disaggregation Records'!$D$3:$D$66,255),0))),"")</f>
        <v/>
      </c>
      <c r="W276" s="194" t="str">
        <f>IFERROR(INDEX('Reference Records'!O$3:O$19,MATCH(LEFT(C276,255),'Reference Records'!J$3:J$19,0)),"")</f>
        <v/>
      </c>
    </row>
    <row r="277" spans="1:23" s="194" customFormat="1" ht="40.4" customHeight="1" x14ac:dyDescent="0.35">
      <c r="A277" s="770"/>
      <c r="B277" s="767">
        <v>10.3721804511278</v>
      </c>
      <c r="C277" s="761"/>
      <c r="D277" s="769"/>
      <c r="E277" s="769"/>
      <c r="F277" s="208"/>
      <c r="G277" s="763"/>
      <c r="H277" s="744"/>
      <c r="I277" s="765"/>
      <c r="J277" s="730"/>
      <c r="K277" s="761"/>
      <c r="L277" s="761"/>
      <c r="M277" s="730"/>
      <c r="N277" s="730"/>
      <c r="P277" s="195"/>
      <c r="Q277" s="195"/>
      <c r="R277" s="195"/>
      <c r="S277" s="195"/>
      <c r="T277" s="195"/>
      <c r="U277" s="195"/>
      <c r="V277" s="195"/>
      <c r="W277" s="195"/>
    </row>
    <row r="278" spans="1:23" s="194" customFormat="1" ht="40.4" customHeight="1" x14ac:dyDescent="0.35">
      <c r="A278" s="770" t="str">
        <f t="shared" ca="1" si="4"/>
        <v>a1G3p000005ncGjEAI</v>
      </c>
      <c r="B278" s="766">
        <v>14</v>
      </c>
      <c r="C278" s="760" t="str">
        <f>IFERROR(VLOOKUP(B278,'Impact Indicators - Section B '!$A$9:$AF$52,32,FALSE),"")</f>
        <v/>
      </c>
      <c r="D278" s="768" t="str">
        <f>R278</f>
        <v/>
      </c>
      <c r="E278" s="768" t="str">
        <f>S278</f>
        <v/>
      </c>
      <c r="F278" s="413"/>
      <c r="G278" s="762" t="str">
        <f ca="1">IF(OR(INDIRECT("'update Helper'!E"&amp;U278)="",F278&lt;&gt;0,F279&lt;&gt;0),IF(IFERROR((F278/F279),"")="","",(F278/F279)),INDIRECT("'update Helper'!E"&amp;U278)/100)</f>
        <v/>
      </c>
      <c r="H278" s="743"/>
      <c r="I278" s="764"/>
      <c r="J278" s="729"/>
      <c r="K278" s="760" t="str">
        <f>W278</f>
        <v/>
      </c>
      <c r="L278" s="760" t="str">
        <f>V278</f>
        <v/>
      </c>
      <c r="M278" s="729"/>
      <c r="N278" s="729"/>
      <c r="P278" s="194">
        <f>IF(AND(EXACT(C278,C276),C276&lt;&gt;0),P276+1,0)</f>
        <v>114</v>
      </c>
      <c r="Q278" s="194" t="str">
        <f>IF(C278&lt;&gt;"",C278&amp;"-"&amp;P278,"")</f>
        <v/>
      </c>
      <c r="R278" s="194" t="str">
        <f t="array" ref="R278">IFERROR(IF(INDEX('Disaggregation Records'!$E$3:$E$66,MATCH(RIGHT(Q278,255),RIGHT('Disaggregation Records'!$D$3:$D$66,255),0))="","",INDEX('Disaggregation Records'!$E$3:$E$66,MATCH(RIGHT(Q278,255),RIGHT('Disaggregation Records'!$D$3:$D$66,255),0))),"")</f>
        <v/>
      </c>
      <c r="S278" s="194" t="str">
        <f t="array" ref="S278">IFERROR(IF(INDEX('Disaggregation Records'!$F$3:$F$66,MATCH(RIGHT(Q278,255),RIGHT('Disaggregation Records'!$D$3:$D$66,255),0))="","",INDEX('Disaggregation Records'!$F$3:$F$66,MATCH(RIGHT(Q278,255),RIGHT('Disaggregation Records'!$D$3:$D$66,255),0))),"")</f>
        <v/>
      </c>
      <c r="T278" s="194" t="str">
        <f t="array" ref="T278">IFERROR(IF(INDEX('Disaggregation Records'!$H$3:$H$66,MATCH(RIGHT(Q278,255),RIGHT('Disaggregation Records'!$D$3:$D$66,255),0))="","",INDEX('Disaggregation Records'!$H$3:$H$66,MATCH(RIGHT(Q278,255),RIGHT('Disaggregation Records'!$D$3:$D$66,255),0))),"")</f>
        <v/>
      </c>
      <c r="U278" s="194">
        <f>U276+1</f>
        <v>2255</v>
      </c>
      <c r="V278" s="194" t="str">
        <f t="array" ref="V278">IFERROR(IF(INDEX('Disaggregation Records'!$I$3:$I$66,MATCH(RIGHT(Q278,255),RIGHT('Disaggregation Records'!$D$3:$D$66,255),0))="","",INDEX('Disaggregation Records'!$I$3:$I$66,MATCH(RIGHT(Q278,255),RIGHT('Disaggregation Records'!$D$3:$D$66,255),0))),"")</f>
        <v/>
      </c>
      <c r="W278" s="194" t="str">
        <f>IFERROR(INDEX('Reference Records'!O$3:O$19,MATCH(LEFT(C278,255),'Reference Records'!J$3:J$19,0)),"")</f>
        <v/>
      </c>
    </row>
    <row r="279" spans="1:23" s="194" customFormat="1" ht="40.4" customHeight="1" x14ac:dyDescent="0.35">
      <c r="A279" s="770"/>
      <c r="B279" s="767">
        <v>10.3721804511278</v>
      </c>
      <c r="C279" s="761"/>
      <c r="D279" s="769"/>
      <c r="E279" s="769"/>
      <c r="F279" s="208"/>
      <c r="G279" s="763"/>
      <c r="H279" s="744"/>
      <c r="I279" s="765"/>
      <c r="J279" s="730"/>
      <c r="K279" s="761"/>
      <c r="L279" s="761"/>
      <c r="M279" s="730"/>
      <c r="N279" s="730"/>
      <c r="P279" s="195"/>
      <c r="Q279" s="195"/>
      <c r="R279" s="195"/>
      <c r="S279" s="195"/>
      <c r="T279" s="195"/>
      <c r="U279" s="195"/>
      <c r="V279" s="195"/>
      <c r="W279" s="195"/>
    </row>
    <row r="280" spans="1:23" s="194" customFormat="1" ht="40.4" customHeight="1" x14ac:dyDescent="0.35">
      <c r="A280" s="770" t="str">
        <f t="shared" ca="1" si="4"/>
        <v>a1G3p000005ncGkEAI</v>
      </c>
      <c r="B280" s="766">
        <v>14</v>
      </c>
      <c r="C280" s="760" t="str">
        <f>IFERROR(VLOOKUP(B280,'Impact Indicators - Section B '!$A$9:$AF$52,32,FALSE),"")</f>
        <v/>
      </c>
      <c r="D280" s="768" t="str">
        <f>R280</f>
        <v/>
      </c>
      <c r="E280" s="768" t="str">
        <f>S280</f>
        <v/>
      </c>
      <c r="F280" s="413"/>
      <c r="G280" s="762" t="str">
        <f ca="1">IF(OR(INDIRECT("'update Helper'!E"&amp;U280)="",F280&lt;&gt;0,F281&lt;&gt;0),IF(IFERROR((F280/F281),"")="","",(F280/F281)),INDIRECT("'update Helper'!E"&amp;U280)/100)</f>
        <v/>
      </c>
      <c r="H280" s="743"/>
      <c r="I280" s="764"/>
      <c r="J280" s="729"/>
      <c r="K280" s="760" t="str">
        <f>W280</f>
        <v/>
      </c>
      <c r="L280" s="760" t="str">
        <f>V280</f>
        <v/>
      </c>
      <c r="M280" s="729"/>
      <c r="N280" s="729"/>
      <c r="P280" s="194">
        <f>IF(AND(EXACT(C280,C278),C278&lt;&gt;0),P278+1,0)</f>
        <v>115</v>
      </c>
      <c r="Q280" s="194" t="str">
        <f>IF(C280&lt;&gt;"",C280&amp;"-"&amp;P280,"")</f>
        <v/>
      </c>
      <c r="R280" s="194" t="str">
        <f t="array" ref="R280">IFERROR(IF(INDEX('Disaggregation Records'!$E$3:$E$66,MATCH(RIGHT(Q280,255),RIGHT('Disaggregation Records'!$D$3:$D$66,255),0))="","",INDEX('Disaggregation Records'!$E$3:$E$66,MATCH(RIGHT(Q280,255),RIGHT('Disaggregation Records'!$D$3:$D$66,255),0))),"")</f>
        <v/>
      </c>
      <c r="S280" s="194" t="str">
        <f t="array" ref="S280">IFERROR(IF(INDEX('Disaggregation Records'!$F$3:$F$66,MATCH(RIGHT(Q280,255),RIGHT('Disaggregation Records'!$D$3:$D$66,255),0))="","",INDEX('Disaggregation Records'!$F$3:$F$66,MATCH(RIGHT(Q280,255),RIGHT('Disaggregation Records'!$D$3:$D$66,255),0))),"")</f>
        <v/>
      </c>
      <c r="T280" s="194" t="str">
        <f t="array" ref="T280">IFERROR(IF(INDEX('Disaggregation Records'!$H$3:$H$66,MATCH(RIGHT(Q280,255),RIGHT('Disaggregation Records'!$D$3:$D$66,255),0))="","",INDEX('Disaggregation Records'!$H$3:$H$66,MATCH(RIGHT(Q280,255),RIGHT('Disaggregation Records'!$D$3:$D$66,255),0))),"")</f>
        <v/>
      </c>
      <c r="U280" s="194">
        <f>U278+1</f>
        <v>2256</v>
      </c>
      <c r="V280" s="194" t="str">
        <f t="array" ref="V280">IFERROR(IF(INDEX('Disaggregation Records'!$I$3:$I$66,MATCH(RIGHT(Q280,255),RIGHT('Disaggregation Records'!$D$3:$D$66,255),0))="","",INDEX('Disaggregation Records'!$I$3:$I$66,MATCH(RIGHT(Q280,255),RIGHT('Disaggregation Records'!$D$3:$D$66,255),0))),"")</f>
        <v/>
      </c>
      <c r="W280" s="194" t="str">
        <f>IFERROR(INDEX('Reference Records'!O$3:O$19,MATCH(LEFT(C280,255),'Reference Records'!J$3:J$19,0)),"")</f>
        <v/>
      </c>
    </row>
    <row r="281" spans="1:23" s="194" customFormat="1" ht="40.4" customHeight="1" x14ac:dyDescent="0.35">
      <c r="A281" s="770"/>
      <c r="B281" s="767">
        <v>10.3721804511278</v>
      </c>
      <c r="C281" s="761"/>
      <c r="D281" s="769"/>
      <c r="E281" s="769"/>
      <c r="F281" s="208"/>
      <c r="G281" s="763"/>
      <c r="H281" s="744"/>
      <c r="I281" s="765"/>
      <c r="J281" s="730"/>
      <c r="K281" s="761"/>
      <c r="L281" s="761"/>
      <c r="M281" s="730"/>
      <c r="N281" s="730"/>
      <c r="P281" s="195"/>
      <c r="Q281" s="195"/>
      <c r="R281" s="195"/>
      <c r="S281" s="195"/>
      <c r="T281" s="195"/>
      <c r="U281" s="195"/>
      <c r="V281" s="195"/>
      <c r="W281" s="195"/>
    </row>
    <row r="282" spans="1:23" s="194" customFormat="1" ht="40.4" customHeight="1" x14ac:dyDescent="0.35">
      <c r="A282" s="770" t="str">
        <f t="shared" ca="1" si="4"/>
        <v>a1G3p000005ncGlEAI</v>
      </c>
      <c r="B282" s="766">
        <v>14</v>
      </c>
      <c r="C282" s="760" t="str">
        <f>IFERROR(VLOOKUP(B282,'Impact Indicators - Section B '!$A$9:$AF$52,32,FALSE),"")</f>
        <v/>
      </c>
      <c r="D282" s="768" t="str">
        <f>R282</f>
        <v/>
      </c>
      <c r="E282" s="768" t="str">
        <f>S282</f>
        <v/>
      </c>
      <c r="F282" s="413"/>
      <c r="G282" s="762" t="str">
        <f ca="1">IF(OR(INDIRECT("'update Helper'!E"&amp;U282)="",F282&lt;&gt;0,F283&lt;&gt;0),IF(IFERROR((F282/F283),"")="","",(F282/F283)),INDIRECT("'update Helper'!E"&amp;U282)/100)</f>
        <v/>
      </c>
      <c r="H282" s="743"/>
      <c r="I282" s="764"/>
      <c r="J282" s="729"/>
      <c r="K282" s="760" t="str">
        <f>W282</f>
        <v/>
      </c>
      <c r="L282" s="760" t="str">
        <f>V282</f>
        <v/>
      </c>
      <c r="M282" s="729"/>
      <c r="N282" s="729"/>
      <c r="P282" s="194">
        <f>IF(AND(EXACT(C282,C280),C280&lt;&gt;0),P280+1,0)</f>
        <v>116</v>
      </c>
      <c r="Q282" s="194" t="str">
        <f>IF(C282&lt;&gt;"",C282&amp;"-"&amp;P282,"")</f>
        <v/>
      </c>
      <c r="R282" s="194" t="str">
        <f t="array" ref="R282">IFERROR(IF(INDEX('Disaggregation Records'!$E$3:$E$66,MATCH(RIGHT(Q282,255),RIGHT('Disaggregation Records'!$D$3:$D$66,255),0))="","",INDEX('Disaggregation Records'!$E$3:$E$66,MATCH(RIGHT(Q282,255),RIGHT('Disaggregation Records'!$D$3:$D$66,255),0))),"")</f>
        <v/>
      </c>
      <c r="S282" s="194" t="str">
        <f t="array" ref="S282">IFERROR(IF(INDEX('Disaggregation Records'!$F$3:$F$66,MATCH(RIGHT(Q282,255),RIGHT('Disaggregation Records'!$D$3:$D$66,255),0))="","",INDEX('Disaggregation Records'!$F$3:$F$66,MATCH(RIGHT(Q282,255),RIGHT('Disaggregation Records'!$D$3:$D$66,255),0))),"")</f>
        <v/>
      </c>
      <c r="T282" s="194" t="str">
        <f t="array" ref="T282">IFERROR(IF(INDEX('Disaggregation Records'!$H$3:$H$66,MATCH(RIGHT(Q282,255),RIGHT('Disaggregation Records'!$D$3:$D$66,255),0))="","",INDEX('Disaggregation Records'!$H$3:$H$66,MATCH(RIGHT(Q282,255),RIGHT('Disaggregation Records'!$D$3:$D$66,255),0))),"")</f>
        <v/>
      </c>
      <c r="U282" s="194">
        <f>U280+1</f>
        <v>2257</v>
      </c>
      <c r="V282" s="194" t="str">
        <f t="array" ref="V282">IFERROR(IF(INDEX('Disaggregation Records'!$I$3:$I$66,MATCH(RIGHT(Q282,255),RIGHT('Disaggregation Records'!$D$3:$D$66,255),0))="","",INDEX('Disaggregation Records'!$I$3:$I$66,MATCH(RIGHT(Q282,255),RIGHT('Disaggregation Records'!$D$3:$D$66,255),0))),"")</f>
        <v/>
      </c>
      <c r="W282" s="194" t="str">
        <f>IFERROR(INDEX('Reference Records'!O$3:O$19,MATCH(LEFT(C282,255),'Reference Records'!J$3:J$19,0)),"")</f>
        <v/>
      </c>
    </row>
    <row r="283" spans="1:23" s="194" customFormat="1" ht="40.4" customHeight="1" x14ac:dyDescent="0.35">
      <c r="A283" s="770"/>
      <c r="B283" s="767">
        <v>10.3721804511278</v>
      </c>
      <c r="C283" s="761"/>
      <c r="D283" s="769"/>
      <c r="E283" s="769"/>
      <c r="F283" s="208"/>
      <c r="G283" s="763"/>
      <c r="H283" s="744"/>
      <c r="I283" s="765"/>
      <c r="J283" s="730"/>
      <c r="K283" s="761"/>
      <c r="L283" s="761"/>
      <c r="M283" s="730"/>
      <c r="N283" s="730"/>
      <c r="P283" s="195"/>
      <c r="Q283" s="195"/>
      <c r="R283" s="195"/>
      <c r="S283" s="195"/>
      <c r="T283" s="195"/>
      <c r="U283" s="195"/>
      <c r="V283" s="195"/>
      <c r="W283" s="195"/>
    </row>
    <row r="284" spans="1:23" s="194" customFormat="1" ht="40.4" customHeight="1" x14ac:dyDescent="0.35">
      <c r="A284" s="770" t="str">
        <f t="shared" ca="1" si="4"/>
        <v>a1G3p000005ncGmEAI</v>
      </c>
      <c r="B284" s="766">
        <v>14</v>
      </c>
      <c r="C284" s="760" t="str">
        <f>IFERROR(VLOOKUP(B284,'Impact Indicators - Section B '!$A$9:$AF$52,32,FALSE),"")</f>
        <v/>
      </c>
      <c r="D284" s="768" t="str">
        <f>R284</f>
        <v/>
      </c>
      <c r="E284" s="768" t="str">
        <f>S284</f>
        <v/>
      </c>
      <c r="F284" s="413"/>
      <c r="G284" s="762" t="str">
        <f ca="1">IF(OR(INDIRECT("'update Helper'!E"&amp;U284)="",F284&lt;&gt;0,F285&lt;&gt;0),IF(IFERROR((F284/F285),"")="","",(F284/F285)),INDIRECT("'update Helper'!E"&amp;U284)/100)</f>
        <v/>
      </c>
      <c r="H284" s="743"/>
      <c r="I284" s="764"/>
      <c r="J284" s="729"/>
      <c r="K284" s="760" t="str">
        <f>W284</f>
        <v/>
      </c>
      <c r="L284" s="760" t="str">
        <f>V284</f>
        <v/>
      </c>
      <c r="M284" s="729"/>
      <c r="N284" s="729"/>
      <c r="P284" s="194">
        <f>IF(AND(EXACT(C284,C282),C282&lt;&gt;0),P282+1,0)</f>
        <v>117</v>
      </c>
      <c r="Q284" s="194" t="str">
        <f>IF(C284&lt;&gt;"",C284&amp;"-"&amp;P284,"")</f>
        <v/>
      </c>
      <c r="R284" s="194" t="str">
        <f t="array" ref="R284">IFERROR(IF(INDEX('Disaggregation Records'!$E$3:$E$66,MATCH(RIGHT(Q284,255),RIGHT('Disaggregation Records'!$D$3:$D$66,255),0))="","",INDEX('Disaggregation Records'!$E$3:$E$66,MATCH(RIGHT(Q284,255),RIGHT('Disaggregation Records'!$D$3:$D$66,255),0))),"")</f>
        <v/>
      </c>
      <c r="S284" s="194" t="str">
        <f t="array" ref="S284">IFERROR(IF(INDEX('Disaggregation Records'!$F$3:$F$66,MATCH(RIGHT(Q284,255),RIGHT('Disaggregation Records'!$D$3:$D$66,255),0))="","",INDEX('Disaggregation Records'!$F$3:$F$66,MATCH(RIGHT(Q284,255),RIGHT('Disaggregation Records'!$D$3:$D$66,255),0))),"")</f>
        <v/>
      </c>
      <c r="T284" s="194" t="str">
        <f t="array" ref="T284">IFERROR(IF(INDEX('Disaggregation Records'!$H$3:$H$66,MATCH(RIGHT(Q284,255),RIGHT('Disaggregation Records'!$D$3:$D$66,255),0))="","",INDEX('Disaggregation Records'!$H$3:$H$66,MATCH(RIGHT(Q284,255),RIGHT('Disaggregation Records'!$D$3:$D$66,255),0))),"")</f>
        <v/>
      </c>
      <c r="U284" s="194">
        <f>U282+1</f>
        <v>2258</v>
      </c>
      <c r="V284" s="194" t="str">
        <f t="array" ref="V284">IFERROR(IF(INDEX('Disaggregation Records'!$I$3:$I$66,MATCH(RIGHT(Q284,255),RIGHT('Disaggregation Records'!$D$3:$D$66,255),0))="","",INDEX('Disaggregation Records'!$I$3:$I$66,MATCH(RIGHT(Q284,255),RIGHT('Disaggregation Records'!$D$3:$D$66,255),0))),"")</f>
        <v/>
      </c>
      <c r="W284" s="194" t="str">
        <f>IFERROR(INDEX('Reference Records'!O$3:O$19,MATCH(LEFT(C284,255),'Reference Records'!J$3:J$19,0)),"")</f>
        <v/>
      </c>
    </row>
    <row r="285" spans="1:23" s="194" customFormat="1" ht="40.4" customHeight="1" x14ac:dyDescent="0.35">
      <c r="A285" s="770"/>
      <c r="B285" s="767">
        <v>10.3721804511278</v>
      </c>
      <c r="C285" s="761"/>
      <c r="D285" s="769"/>
      <c r="E285" s="769"/>
      <c r="F285" s="208"/>
      <c r="G285" s="763"/>
      <c r="H285" s="744"/>
      <c r="I285" s="765"/>
      <c r="J285" s="730"/>
      <c r="K285" s="761"/>
      <c r="L285" s="761"/>
      <c r="M285" s="730"/>
      <c r="N285" s="730"/>
      <c r="P285" s="195"/>
      <c r="Q285" s="195"/>
      <c r="R285" s="195"/>
      <c r="S285" s="195"/>
      <c r="T285" s="195"/>
      <c r="U285" s="195"/>
      <c r="V285" s="195"/>
      <c r="W285" s="195"/>
    </row>
    <row r="286" spans="1:23" s="194" customFormat="1" ht="40.4" customHeight="1" x14ac:dyDescent="0.35">
      <c r="A286" s="770" t="str">
        <f t="shared" ca="1" si="4"/>
        <v>a1G3p000005ncGnEAI</v>
      </c>
      <c r="B286" s="766">
        <v>14</v>
      </c>
      <c r="C286" s="760" t="str">
        <f>IFERROR(VLOOKUP(B286,'Impact Indicators - Section B '!$A$9:$AF$52,32,FALSE),"")</f>
        <v/>
      </c>
      <c r="D286" s="768" t="str">
        <f>R286</f>
        <v/>
      </c>
      <c r="E286" s="768" t="str">
        <f>S286</f>
        <v/>
      </c>
      <c r="F286" s="413"/>
      <c r="G286" s="762" t="str">
        <f ca="1">IF(OR(INDIRECT("'update Helper'!E"&amp;U286)="",F286&lt;&gt;0,F287&lt;&gt;0),IF(IFERROR((F286/F287),"")="","",(F286/F287)),INDIRECT("'update Helper'!E"&amp;U286)/100)</f>
        <v/>
      </c>
      <c r="H286" s="743"/>
      <c r="I286" s="764"/>
      <c r="J286" s="729"/>
      <c r="K286" s="760" t="str">
        <f>W286</f>
        <v/>
      </c>
      <c r="L286" s="760" t="str">
        <f>V286</f>
        <v/>
      </c>
      <c r="M286" s="729"/>
      <c r="N286" s="729"/>
      <c r="P286" s="194">
        <f>IF(AND(EXACT(C286,C284),C284&lt;&gt;0),P284+1,0)</f>
        <v>118</v>
      </c>
      <c r="Q286" s="194" t="str">
        <f>IF(C286&lt;&gt;"",C286&amp;"-"&amp;P286,"")</f>
        <v/>
      </c>
      <c r="R286" s="194" t="str">
        <f t="array" ref="R286">IFERROR(IF(INDEX('Disaggregation Records'!$E$3:$E$66,MATCH(RIGHT(Q286,255),RIGHT('Disaggregation Records'!$D$3:$D$66,255),0))="","",INDEX('Disaggregation Records'!$E$3:$E$66,MATCH(RIGHT(Q286,255),RIGHT('Disaggregation Records'!$D$3:$D$66,255),0))),"")</f>
        <v/>
      </c>
      <c r="S286" s="194" t="str">
        <f t="array" ref="S286">IFERROR(IF(INDEX('Disaggregation Records'!$F$3:$F$66,MATCH(RIGHT(Q286,255),RIGHT('Disaggregation Records'!$D$3:$D$66,255),0))="","",INDEX('Disaggregation Records'!$F$3:$F$66,MATCH(RIGHT(Q286,255),RIGHT('Disaggregation Records'!$D$3:$D$66,255),0))),"")</f>
        <v/>
      </c>
      <c r="T286" s="194" t="str">
        <f t="array" ref="T286">IFERROR(IF(INDEX('Disaggregation Records'!$H$3:$H$66,MATCH(RIGHT(Q286,255),RIGHT('Disaggregation Records'!$D$3:$D$66,255),0))="","",INDEX('Disaggregation Records'!$H$3:$H$66,MATCH(RIGHT(Q286,255),RIGHT('Disaggregation Records'!$D$3:$D$66,255),0))),"")</f>
        <v/>
      </c>
      <c r="U286" s="194">
        <f>U284+1</f>
        <v>2259</v>
      </c>
      <c r="V286" s="194" t="str">
        <f t="array" ref="V286">IFERROR(IF(INDEX('Disaggregation Records'!$I$3:$I$66,MATCH(RIGHT(Q286,255),RIGHT('Disaggregation Records'!$D$3:$D$66,255),0))="","",INDEX('Disaggregation Records'!$I$3:$I$66,MATCH(RIGHT(Q286,255),RIGHT('Disaggregation Records'!$D$3:$D$66,255),0))),"")</f>
        <v/>
      </c>
      <c r="W286" s="194" t="str">
        <f>IFERROR(INDEX('Reference Records'!O$3:O$19,MATCH(LEFT(C286,255),'Reference Records'!J$3:J$19,0)),"")</f>
        <v/>
      </c>
    </row>
    <row r="287" spans="1:23" s="194" customFormat="1" ht="40.4" customHeight="1" x14ac:dyDescent="0.35">
      <c r="A287" s="770"/>
      <c r="B287" s="767">
        <v>10.3721804511278</v>
      </c>
      <c r="C287" s="761"/>
      <c r="D287" s="769"/>
      <c r="E287" s="769"/>
      <c r="F287" s="208"/>
      <c r="G287" s="763"/>
      <c r="H287" s="744"/>
      <c r="I287" s="765"/>
      <c r="J287" s="730"/>
      <c r="K287" s="761"/>
      <c r="L287" s="761"/>
      <c r="M287" s="730"/>
      <c r="N287" s="730"/>
      <c r="P287" s="195"/>
      <c r="Q287" s="195"/>
      <c r="R287" s="195"/>
      <c r="S287" s="195"/>
      <c r="T287" s="195"/>
      <c r="U287" s="195"/>
      <c r="V287" s="195"/>
      <c r="W287" s="195"/>
    </row>
    <row r="288" spans="1:23" s="194" customFormat="1" ht="40.4" customHeight="1" x14ac:dyDescent="0.35">
      <c r="A288" s="770" t="str">
        <f t="shared" ca="1" si="4"/>
        <v>a1G3p000005ncGoEAI</v>
      </c>
      <c r="B288" s="766">
        <v>14</v>
      </c>
      <c r="C288" s="760" t="str">
        <f>IFERROR(VLOOKUP(B288,'Impact Indicators - Section B '!$A$9:$AF$52,32,FALSE),"")</f>
        <v/>
      </c>
      <c r="D288" s="768" t="str">
        <f>R288</f>
        <v/>
      </c>
      <c r="E288" s="768" t="str">
        <f>S288</f>
        <v/>
      </c>
      <c r="F288" s="413"/>
      <c r="G288" s="762" t="str">
        <f ca="1">IF(OR(INDIRECT("'update Helper'!E"&amp;U288)="",F288&lt;&gt;0,F289&lt;&gt;0),IF(IFERROR((F288/F289),"")="","",(F288/F289)),INDIRECT("'update Helper'!E"&amp;U288)/100)</f>
        <v/>
      </c>
      <c r="H288" s="743"/>
      <c r="I288" s="764"/>
      <c r="J288" s="729"/>
      <c r="K288" s="760" t="str">
        <f>W288</f>
        <v/>
      </c>
      <c r="L288" s="760" t="str">
        <f>V288</f>
        <v/>
      </c>
      <c r="M288" s="729"/>
      <c r="N288" s="729"/>
      <c r="P288" s="194">
        <f>IF(AND(EXACT(C288,C286),C286&lt;&gt;0),P286+1,0)</f>
        <v>119</v>
      </c>
      <c r="Q288" s="194" t="str">
        <f>IF(C288&lt;&gt;"",C288&amp;"-"&amp;P288,"")</f>
        <v/>
      </c>
      <c r="R288" s="194" t="str">
        <f t="array" ref="R288">IFERROR(IF(INDEX('Disaggregation Records'!$E$3:$E$66,MATCH(RIGHT(Q288,255),RIGHT('Disaggregation Records'!$D$3:$D$66,255),0))="","",INDEX('Disaggregation Records'!$E$3:$E$66,MATCH(RIGHT(Q288,255),RIGHT('Disaggregation Records'!$D$3:$D$66,255),0))),"")</f>
        <v/>
      </c>
      <c r="S288" s="194" t="str">
        <f t="array" ref="S288">IFERROR(IF(INDEX('Disaggregation Records'!$F$3:$F$66,MATCH(RIGHT(Q288,255),RIGHT('Disaggregation Records'!$D$3:$D$66,255),0))="","",INDEX('Disaggregation Records'!$F$3:$F$66,MATCH(RIGHT(Q288,255),RIGHT('Disaggregation Records'!$D$3:$D$66,255),0))),"")</f>
        <v/>
      </c>
      <c r="T288" s="194" t="str">
        <f t="array" ref="T288">IFERROR(IF(INDEX('Disaggregation Records'!$H$3:$H$66,MATCH(RIGHT(Q288,255),RIGHT('Disaggregation Records'!$D$3:$D$66,255),0))="","",INDEX('Disaggregation Records'!$H$3:$H$66,MATCH(RIGHT(Q288,255),RIGHT('Disaggregation Records'!$D$3:$D$66,255),0))),"")</f>
        <v/>
      </c>
      <c r="U288" s="194">
        <f>U286+1</f>
        <v>2260</v>
      </c>
      <c r="V288" s="194" t="str">
        <f t="array" ref="V288">IFERROR(IF(INDEX('Disaggregation Records'!$I$3:$I$66,MATCH(RIGHT(Q288,255),RIGHT('Disaggregation Records'!$D$3:$D$66,255),0))="","",INDEX('Disaggregation Records'!$I$3:$I$66,MATCH(RIGHT(Q288,255),RIGHT('Disaggregation Records'!$D$3:$D$66,255),0))),"")</f>
        <v/>
      </c>
      <c r="W288" s="194" t="str">
        <f>IFERROR(INDEX('Reference Records'!O$3:O$19,MATCH(LEFT(C288,255),'Reference Records'!J$3:J$19,0)),"")</f>
        <v/>
      </c>
    </row>
    <row r="289" spans="1:23" s="194" customFormat="1" ht="40.4" customHeight="1" x14ac:dyDescent="0.35">
      <c r="A289" s="770"/>
      <c r="B289" s="767">
        <v>10.3721804511278</v>
      </c>
      <c r="C289" s="761"/>
      <c r="D289" s="769"/>
      <c r="E289" s="769"/>
      <c r="F289" s="208"/>
      <c r="G289" s="763"/>
      <c r="H289" s="744"/>
      <c r="I289" s="765"/>
      <c r="J289" s="730"/>
      <c r="K289" s="761"/>
      <c r="L289" s="761"/>
      <c r="M289" s="730"/>
      <c r="N289" s="730"/>
      <c r="P289" s="195"/>
      <c r="Q289" s="195"/>
      <c r="R289" s="195"/>
      <c r="S289" s="195"/>
      <c r="T289" s="195"/>
      <c r="U289" s="195"/>
      <c r="V289" s="195"/>
      <c r="W289" s="195"/>
    </row>
    <row r="290" spans="1:23" s="194" customFormat="1" ht="40.4" customHeight="1" x14ac:dyDescent="0.35">
      <c r="A290" s="770" t="str">
        <f t="shared" ca="1" si="4"/>
        <v>a1G3p000005ncEPEAY</v>
      </c>
      <c r="B290" s="766">
        <v>15</v>
      </c>
      <c r="C290" s="760" t="str">
        <f>IFERROR(VLOOKUP(B290,'Impact Indicators - Section B '!$A$9:$AF$52,32,FALSE),"")</f>
        <v/>
      </c>
      <c r="D290" s="768" t="str">
        <f>R290</f>
        <v/>
      </c>
      <c r="E290" s="768" t="str">
        <f>S290</f>
        <v/>
      </c>
      <c r="F290" s="413"/>
      <c r="G290" s="762" t="str">
        <f ca="1">IF(OR(INDIRECT("'update Helper'!E"&amp;U290)="",F290&lt;&gt;0,F291&lt;&gt;0),IF(IFERROR((F290/F291),"")="","",(F290/F291)),INDIRECT("'update Helper'!E"&amp;U290)/100)</f>
        <v/>
      </c>
      <c r="H290" s="743"/>
      <c r="I290" s="764"/>
      <c r="J290" s="729"/>
      <c r="K290" s="760" t="str">
        <f>W290</f>
        <v/>
      </c>
      <c r="L290" s="760" t="str">
        <f>V290</f>
        <v/>
      </c>
      <c r="M290" s="729"/>
      <c r="N290" s="729"/>
      <c r="P290" s="194">
        <f>IF(AND(EXACT(C290,C288),C288&lt;&gt;0),P288+1,0)</f>
        <v>120</v>
      </c>
      <c r="Q290" s="194" t="str">
        <f>IF(C290&lt;&gt;"",C290&amp;"-"&amp;P290,"")</f>
        <v/>
      </c>
      <c r="R290" s="194" t="str">
        <f t="array" ref="R290">IFERROR(IF(INDEX('Disaggregation Records'!$E$3:$E$66,MATCH(RIGHT(Q290,255),RIGHT('Disaggregation Records'!$D$3:$D$66,255),0))="","",INDEX('Disaggregation Records'!$E$3:$E$66,MATCH(RIGHT(Q290,255),RIGHT('Disaggregation Records'!$D$3:$D$66,255),0))),"")</f>
        <v/>
      </c>
      <c r="S290" s="194" t="str">
        <f t="array" ref="S290">IFERROR(IF(INDEX('Disaggregation Records'!$F$3:$F$66,MATCH(RIGHT(Q290,255),RIGHT('Disaggregation Records'!$D$3:$D$66,255),0))="","",INDEX('Disaggregation Records'!$F$3:$F$66,MATCH(RIGHT(Q290,255),RIGHT('Disaggregation Records'!$D$3:$D$66,255),0))),"")</f>
        <v/>
      </c>
      <c r="T290" s="194" t="str">
        <f t="array" ref="T290">IFERROR(IF(INDEX('Disaggregation Records'!$H$3:$H$66,MATCH(RIGHT(Q290,255),RIGHT('Disaggregation Records'!$D$3:$D$66,255),0))="","",INDEX('Disaggregation Records'!$H$3:$H$66,MATCH(RIGHT(Q290,255),RIGHT('Disaggregation Records'!$D$3:$D$66,255),0))),"")</f>
        <v/>
      </c>
      <c r="U290" s="194">
        <f>U288+1</f>
        <v>2261</v>
      </c>
      <c r="V290" s="194" t="str">
        <f t="array" ref="V290">IFERROR(IF(INDEX('Disaggregation Records'!$I$3:$I$66,MATCH(RIGHT(Q290,255),RIGHT('Disaggregation Records'!$D$3:$D$66,255),0))="","",INDEX('Disaggregation Records'!$I$3:$I$66,MATCH(RIGHT(Q290,255),RIGHT('Disaggregation Records'!$D$3:$D$66,255),0))),"")</f>
        <v/>
      </c>
      <c r="W290" s="194" t="str">
        <f>IFERROR(INDEX('Reference Records'!O$3:O$19,MATCH(LEFT(C290,255),'Reference Records'!J$3:J$19,0)),"")</f>
        <v/>
      </c>
    </row>
    <row r="291" spans="1:23" s="194" customFormat="1" ht="40.4" customHeight="1" x14ac:dyDescent="0.35">
      <c r="A291" s="770"/>
      <c r="B291" s="767"/>
      <c r="C291" s="761"/>
      <c r="D291" s="769"/>
      <c r="E291" s="769"/>
      <c r="F291" s="208"/>
      <c r="G291" s="763"/>
      <c r="H291" s="744"/>
      <c r="I291" s="765"/>
      <c r="J291" s="730"/>
      <c r="K291" s="761"/>
      <c r="L291" s="761"/>
      <c r="M291" s="730"/>
      <c r="N291" s="730"/>
      <c r="P291" s="195"/>
      <c r="Q291" s="195"/>
      <c r="R291" s="195"/>
      <c r="S291" s="195"/>
      <c r="T291" s="195"/>
      <c r="U291" s="195"/>
      <c r="V291" s="195"/>
      <c r="W291" s="195"/>
    </row>
    <row r="292" spans="1:23" s="194" customFormat="1" ht="40.4" customHeight="1" x14ac:dyDescent="0.35">
      <c r="A292" s="770" t="str">
        <f t="shared" ca="1" si="4"/>
        <v>a1G3p000005ncEQEAY</v>
      </c>
      <c r="B292" s="766">
        <v>15</v>
      </c>
      <c r="C292" s="760" t="str">
        <f>IFERROR(VLOOKUP(B292,'Impact Indicators - Section B '!$A$9:$AF$52,32,FALSE),"")</f>
        <v/>
      </c>
      <c r="D292" s="768" t="str">
        <f>R292</f>
        <v/>
      </c>
      <c r="E292" s="768" t="str">
        <f>S292</f>
        <v/>
      </c>
      <c r="F292" s="413"/>
      <c r="G292" s="762" t="str">
        <f ca="1">IF(OR(INDIRECT("'update Helper'!E"&amp;U292)="",F292&lt;&gt;0,F293&lt;&gt;0),IF(IFERROR((F292/F293),"")="","",(F292/F293)),INDIRECT("'update Helper'!E"&amp;U292)/100)</f>
        <v/>
      </c>
      <c r="H292" s="743"/>
      <c r="I292" s="764"/>
      <c r="J292" s="729"/>
      <c r="K292" s="760" t="str">
        <f>W292</f>
        <v/>
      </c>
      <c r="L292" s="760" t="str">
        <f>V292</f>
        <v/>
      </c>
      <c r="M292" s="729"/>
      <c r="N292" s="729"/>
      <c r="P292" s="194">
        <f>IF(AND(EXACT(C292,C290),C290&lt;&gt;0),P290+1,0)</f>
        <v>121</v>
      </c>
      <c r="Q292" s="194" t="str">
        <f>IF(C292&lt;&gt;"",C292&amp;"-"&amp;P292,"")</f>
        <v/>
      </c>
      <c r="R292" s="194" t="str">
        <f t="array" ref="R292">IFERROR(IF(INDEX('Disaggregation Records'!$E$3:$E$66,MATCH(RIGHT(Q292,255),RIGHT('Disaggregation Records'!$D$3:$D$66,255),0))="","",INDEX('Disaggregation Records'!$E$3:$E$66,MATCH(RIGHT(Q292,255),RIGHT('Disaggregation Records'!$D$3:$D$66,255),0))),"")</f>
        <v/>
      </c>
      <c r="S292" s="194" t="str">
        <f t="array" ref="S292">IFERROR(IF(INDEX('Disaggregation Records'!$F$3:$F$66,MATCH(RIGHT(Q292,255),RIGHT('Disaggregation Records'!$D$3:$D$66,255),0))="","",INDEX('Disaggregation Records'!$F$3:$F$66,MATCH(RIGHT(Q292,255),RIGHT('Disaggregation Records'!$D$3:$D$66,255),0))),"")</f>
        <v/>
      </c>
      <c r="T292" s="194" t="str">
        <f t="array" ref="T292">IFERROR(IF(INDEX('Disaggregation Records'!$H$3:$H$66,MATCH(RIGHT(Q292,255),RIGHT('Disaggregation Records'!$D$3:$D$66,255),0))="","",INDEX('Disaggregation Records'!$H$3:$H$66,MATCH(RIGHT(Q292,255),RIGHT('Disaggregation Records'!$D$3:$D$66,255),0))),"")</f>
        <v/>
      </c>
      <c r="U292" s="194">
        <f>U290+1</f>
        <v>2262</v>
      </c>
      <c r="V292" s="194" t="str">
        <f t="array" ref="V292">IFERROR(IF(INDEX('Disaggregation Records'!$I$3:$I$66,MATCH(RIGHT(Q292,255),RIGHT('Disaggregation Records'!$D$3:$D$66,255),0))="","",INDEX('Disaggregation Records'!$I$3:$I$66,MATCH(RIGHT(Q292,255),RIGHT('Disaggregation Records'!$D$3:$D$66,255),0))),"")</f>
        <v/>
      </c>
      <c r="W292" s="194" t="str">
        <f>IFERROR(INDEX('Reference Records'!O$3:O$19,MATCH(LEFT(C292,255),'Reference Records'!J$3:J$19,0)),"")</f>
        <v/>
      </c>
    </row>
    <row r="293" spans="1:23" s="194" customFormat="1" ht="40.4" customHeight="1" x14ac:dyDescent="0.35">
      <c r="A293" s="770"/>
      <c r="B293" s="767"/>
      <c r="C293" s="761"/>
      <c r="D293" s="769"/>
      <c r="E293" s="769"/>
      <c r="F293" s="208"/>
      <c r="G293" s="763"/>
      <c r="H293" s="744"/>
      <c r="I293" s="765"/>
      <c r="J293" s="730"/>
      <c r="K293" s="761"/>
      <c r="L293" s="761"/>
      <c r="M293" s="730"/>
      <c r="N293" s="730"/>
      <c r="P293" s="195"/>
      <c r="Q293" s="195"/>
      <c r="R293" s="195"/>
      <c r="S293" s="195"/>
      <c r="T293" s="195"/>
      <c r="U293" s="195"/>
      <c r="V293" s="195"/>
      <c r="W293" s="195"/>
    </row>
    <row r="294" spans="1:23" s="194" customFormat="1" ht="40.4" customHeight="1" x14ac:dyDescent="0.35">
      <c r="A294" s="770" t="str">
        <f t="shared" ca="1" si="4"/>
        <v>a1G3p000005ncEREAY</v>
      </c>
      <c r="B294" s="766">
        <v>15</v>
      </c>
      <c r="C294" s="760" t="str">
        <f>IFERROR(VLOOKUP(B294,'Impact Indicators - Section B '!$A$9:$AF$52,32,FALSE),"")</f>
        <v/>
      </c>
      <c r="D294" s="768" t="str">
        <f>R294</f>
        <v/>
      </c>
      <c r="E294" s="768" t="str">
        <f>S294</f>
        <v/>
      </c>
      <c r="F294" s="413"/>
      <c r="G294" s="762" t="str">
        <f ca="1">IF(OR(INDIRECT("'update Helper'!E"&amp;U294)="",F294&lt;&gt;0,F295&lt;&gt;0),IF(IFERROR((F294/F295),"")="","",(F294/F295)),INDIRECT("'update Helper'!E"&amp;U294)/100)</f>
        <v/>
      </c>
      <c r="H294" s="743"/>
      <c r="I294" s="764"/>
      <c r="J294" s="729"/>
      <c r="K294" s="760" t="str">
        <f>W294</f>
        <v/>
      </c>
      <c r="L294" s="760" t="str">
        <f>V294</f>
        <v/>
      </c>
      <c r="M294" s="729"/>
      <c r="N294" s="729"/>
      <c r="P294" s="194">
        <f>IF(AND(EXACT(C294,C292),C292&lt;&gt;0),P292+1,0)</f>
        <v>122</v>
      </c>
      <c r="Q294" s="194" t="str">
        <f>IF(C294&lt;&gt;"",C294&amp;"-"&amp;P294,"")</f>
        <v/>
      </c>
      <c r="R294" s="194" t="str">
        <f t="array" ref="R294">IFERROR(IF(INDEX('Disaggregation Records'!$E$3:$E$66,MATCH(RIGHT(Q294,255),RIGHT('Disaggregation Records'!$D$3:$D$66,255),0))="","",INDEX('Disaggregation Records'!$E$3:$E$66,MATCH(RIGHT(Q294,255),RIGHT('Disaggregation Records'!$D$3:$D$66,255),0))),"")</f>
        <v/>
      </c>
      <c r="S294" s="194" t="str">
        <f t="array" ref="S294">IFERROR(IF(INDEX('Disaggregation Records'!$F$3:$F$66,MATCH(RIGHT(Q294,255),RIGHT('Disaggregation Records'!$D$3:$D$66,255),0))="","",INDEX('Disaggregation Records'!$F$3:$F$66,MATCH(RIGHT(Q294,255),RIGHT('Disaggregation Records'!$D$3:$D$66,255),0))),"")</f>
        <v/>
      </c>
      <c r="T294" s="194" t="str">
        <f t="array" ref="T294">IFERROR(IF(INDEX('Disaggregation Records'!$H$3:$H$66,MATCH(RIGHT(Q294,255),RIGHT('Disaggregation Records'!$D$3:$D$66,255),0))="","",INDEX('Disaggregation Records'!$H$3:$H$66,MATCH(RIGHT(Q294,255),RIGHT('Disaggregation Records'!$D$3:$D$66,255),0))),"")</f>
        <v/>
      </c>
      <c r="U294" s="194">
        <f>U292+1</f>
        <v>2263</v>
      </c>
      <c r="V294" s="194" t="str">
        <f t="array" ref="V294">IFERROR(IF(INDEX('Disaggregation Records'!$I$3:$I$66,MATCH(RIGHT(Q294,255),RIGHT('Disaggregation Records'!$D$3:$D$66,255),0))="","",INDEX('Disaggregation Records'!$I$3:$I$66,MATCH(RIGHT(Q294,255),RIGHT('Disaggregation Records'!$D$3:$D$66,255),0))),"")</f>
        <v/>
      </c>
      <c r="W294" s="194" t="str">
        <f>IFERROR(INDEX('Reference Records'!O$3:O$19,MATCH(LEFT(C294,255),'Reference Records'!J$3:J$19,0)),"")</f>
        <v/>
      </c>
    </row>
    <row r="295" spans="1:23" s="194" customFormat="1" ht="40.4" customHeight="1" x14ac:dyDescent="0.35">
      <c r="A295" s="770"/>
      <c r="B295" s="767"/>
      <c r="C295" s="761"/>
      <c r="D295" s="769"/>
      <c r="E295" s="769"/>
      <c r="F295" s="208"/>
      <c r="G295" s="763"/>
      <c r="H295" s="744"/>
      <c r="I295" s="765"/>
      <c r="J295" s="730"/>
      <c r="K295" s="761"/>
      <c r="L295" s="761"/>
      <c r="M295" s="730"/>
      <c r="N295" s="730"/>
      <c r="P295" s="195"/>
      <c r="Q295" s="195"/>
      <c r="R295" s="195"/>
      <c r="S295" s="195"/>
      <c r="T295" s="195"/>
      <c r="U295" s="195"/>
      <c r="V295" s="195"/>
      <c r="W295" s="195"/>
    </row>
    <row r="296" spans="1:23" s="194" customFormat="1" ht="40.4" customHeight="1" x14ac:dyDescent="0.35">
      <c r="A296" s="770" t="str">
        <f t="shared" ca="1" si="4"/>
        <v>a1G3p000005ncESEAY</v>
      </c>
      <c r="B296" s="766">
        <v>15</v>
      </c>
      <c r="C296" s="760" t="str">
        <f>IFERROR(VLOOKUP(B296,'Impact Indicators - Section B '!$A$9:$AF$52,32,FALSE),"")</f>
        <v/>
      </c>
      <c r="D296" s="768" t="str">
        <f>R296</f>
        <v/>
      </c>
      <c r="E296" s="768" t="str">
        <f>S296</f>
        <v/>
      </c>
      <c r="F296" s="413"/>
      <c r="G296" s="762" t="str">
        <f ca="1">IF(OR(INDIRECT("'update Helper'!E"&amp;U296)="",F296&lt;&gt;0,F297&lt;&gt;0),IF(IFERROR((F296/F297),"")="","",(F296/F297)),INDIRECT("'update Helper'!E"&amp;U296)/100)</f>
        <v/>
      </c>
      <c r="H296" s="743"/>
      <c r="I296" s="764"/>
      <c r="J296" s="729"/>
      <c r="K296" s="760" t="str">
        <f>W296</f>
        <v/>
      </c>
      <c r="L296" s="760" t="str">
        <f>V296</f>
        <v/>
      </c>
      <c r="M296" s="729"/>
      <c r="N296" s="729"/>
      <c r="P296" s="194">
        <f>IF(AND(EXACT(C296,C294),C294&lt;&gt;0),P294+1,0)</f>
        <v>123</v>
      </c>
      <c r="Q296" s="194" t="str">
        <f>IF(C296&lt;&gt;"",C296&amp;"-"&amp;P296,"")</f>
        <v/>
      </c>
      <c r="R296" s="194" t="str">
        <f t="array" ref="R296">IFERROR(IF(INDEX('Disaggregation Records'!$E$3:$E$66,MATCH(RIGHT(Q296,255),RIGHT('Disaggregation Records'!$D$3:$D$66,255),0))="","",INDEX('Disaggregation Records'!$E$3:$E$66,MATCH(RIGHT(Q296,255),RIGHT('Disaggregation Records'!$D$3:$D$66,255),0))),"")</f>
        <v/>
      </c>
      <c r="S296" s="194" t="str">
        <f t="array" ref="S296">IFERROR(IF(INDEX('Disaggregation Records'!$F$3:$F$66,MATCH(RIGHT(Q296,255),RIGHT('Disaggregation Records'!$D$3:$D$66,255),0))="","",INDEX('Disaggregation Records'!$F$3:$F$66,MATCH(RIGHT(Q296,255),RIGHT('Disaggregation Records'!$D$3:$D$66,255),0))),"")</f>
        <v/>
      </c>
      <c r="T296" s="194" t="str">
        <f t="array" ref="T296">IFERROR(IF(INDEX('Disaggregation Records'!$H$3:$H$66,MATCH(RIGHT(Q296,255),RIGHT('Disaggregation Records'!$D$3:$D$66,255),0))="","",INDEX('Disaggregation Records'!$H$3:$H$66,MATCH(RIGHT(Q296,255),RIGHT('Disaggregation Records'!$D$3:$D$66,255),0))),"")</f>
        <v/>
      </c>
      <c r="U296" s="194">
        <f>U294+1</f>
        <v>2264</v>
      </c>
      <c r="V296" s="194" t="str">
        <f t="array" ref="V296">IFERROR(IF(INDEX('Disaggregation Records'!$I$3:$I$66,MATCH(RIGHT(Q296,255),RIGHT('Disaggregation Records'!$D$3:$D$66,255),0))="","",INDEX('Disaggregation Records'!$I$3:$I$66,MATCH(RIGHT(Q296,255),RIGHT('Disaggregation Records'!$D$3:$D$66,255),0))),"")</f>
        <v/>
      </c>
      <c r="W296" s="194" t="str">
        <f>IFERROR(INDEX('Reference Records'!O$3:O$19,MATCH(LEFT(C296,255),'Reference Records'!J$3:J$19,0)),"")</f>
        <v/>
      </c>
    </row>
    <row r="297" spans="1:23" s="194" customFormat="1" ht="40.4" customHeight="1" x14ac:dyDescent="0.35">
      <c r="A297" s="770"/>
      <c r="B297" s="767"/>
      <c r="C297" s="761"/>
      <c r="D297" s="769"/>
      <c r="E297" s="769"/>
      <c r="F297" s="208"/>
      <c r="G297" s="763"/>
      <c r="H297" s="744"/>
      <c r="I297" s="765"/>
      <c r="J297" s="730"/>
      <c r="K297" s="761"/>
      <c r="L297" s="761"/>
      <c r="M297" s="730"/>
      <c r="N297" s="730"/>
      <c r="P297" s="195"/>
      <c r="Q297" s="195"/>
      <c r="R297" s="195"/>
      <c r="S297" s="195"/>
      <c r="T297" s="195"/>
      <c r="U297" s="195"/>
      <c r="V297" s="195"/>
      <c r="W297" s="195"/>
    </row>
    <row r="298" spans="1:23" s="194" customFormat="1" ht="40.4" customHeight="1" x14ac:dyDescent="0.35">
      <c r="A298" s="770" t="str">
        <f t="shared" ca="1" si="4"/>
        <v>a1G3p000005ncETEAY</v>
      </c>
      <c r="B298" s="766">
        <v>15</v>
      </c>
      <c r="C298" s="760" t="str">
        <f>IFERROR(VLOOKUP(B298,'Impact Indicators - Section B '!$A$9:$AF$52,32,FALSE),"")</f>
        <v/>
      </c>
      <c r="D298" s="768" t="str">
        <f>R298</f>
        <v/>
      </c>
      <c r="E298" s="768" t="str">
        <f>S298</f>
        <v/>
      </c>
      <c r="F298" s="413"/>
      <c r="G298" s="762" t="str">
        <f ca="1">IF(OR(INDIRECT("'update Helper'!E"&amp;U298)="",F298&lt;&gt;0,F299&lt;&gt;0),IF(IFERROR((F298/F299),"")="","",(F298/F299)),INDIRECT("'update Helper'!E"&amp;U298)/100)</f>
        <v/>
      </c>
      <c r="H298" s="743"/>
      <c r="I298" s="764"/>
      <c r="J298" s="729"/>
      <c r="K298" s="760" t="str">
        <f>W298</f>
        <v/>
      </c>
      <c r="L298" s="760" t="str">
        <f>V298</f>
        <v/>
      </c>
      <c r="M298" s="729"/>
      <c r="N298" s="729"/>
      <c r="P298" s="194">
        <f>IF(AND(EXACT(C298,C296),C296&lt;&gt;0),P296+1,0)</f>
        <v>124</v>
      </c>
      <c r="Q298" s="194" t="str">
        <f>IF(C298&lt;&gt;"",C298&amp;"-"&amp;P298,"")</f>
        <v/>
      </c>
      <c r="R298" s="194" t="str">
        <f t="array" ref="R298">IFERROR(IF(INDEX('Disaggregation Records'!$E$3:$E$66,MATCH(RIGHT(Q298,255),RIGHT('Disaggregation Records'!$D$3:$D$66,255),0))="","",INDEX('Disaggregation Records'!$E$3:$E$66,MATCH(RIGHT(Q298,255),RIGHT('Disaggregation Records'!$D$3:$D$66,255),0))),"")</f>
        <v/>
      </c>
      <c r="S298" s="194" t="str">
        <f t="array" ref="S298">IFERROR(IF(INDEX('Disaggregation Records'!$F$3:$F$66,MATCH(RIGHT(Q298,255),RIGHT('Disaggregation Records'!$D$3:$D$66,255),0))="","",INDEX('Disaggregation Records'!$F$3:$F$66,MATCH(RIGHT(Q298,255),RIGHT('Disaggregation Records'!$D$3:$D$66,255),0))),"")</f>
        <v/>
      </c>
      <c r="T298" s="194" t="str">
        <f t="array" ref="T298">IFERROR(IF(INDEX('Disaggregation Records'!$H$3:$H$66,MATCH(RIGHT(Q298,255),RIGHT('Disaggregation Records'!$D$3:$D$66,255),0))="","",INDEX('Disaggregation Records'!$H$3:$H$66,MATCH(RIGHT(Q298,255),RIGHT('Disaggregation Records'!$D$3:$D$66,255),0))),"")</f>
        <v/>
      </c>
      <c r="U298" s="194">
        <f>U296+1</f>
        <v>2265</v>
      </c>
      <c r="V298" s="194" t="str">
        <f t="array" ref="V298">IFERROR(IF(INDEX('Disaggregation Records'!$I$3:$I$66,MATCH(RIGHT(Q298,255),RIGHT('Disaggregation Records'!$D$3:$D$66,255),0))="","",INDEX('Disaggregation Records'!$I$3:$I$66,MATCH(RIGHT(Q298,255),RIGHT('Disaggregation Records'!$D$3:$D$66,255),0))),"")</f>
        <v/>
      </c>
      <c r="W298" s="194" t="str">
        <f>IFERROR(INDEX('Reference Records'!O$3:O$19,MATCH(LEFT(C298,255),'Reference Records'!J$3:J$19,0)),"")</f>
        <v/>
      </c>
    </row>
    <row r="299" spans="1:23" s="194" customFormat="1" ht="40.4" customHeight="1" x14ac:dyDescent="0.35">
      <c r="A299" s="770"/>
      <c r="B299" s="767"/>
      <c r="C299" s="761"/>
      <c r="D299" s="769"/>
      <c r="E299" s="769"/>
      <c r="F299" s="208"/>
      <c r="G299" s="763"/>
      <c r="H299" s="744"/>
      <c r="I299" s="765"/>
      <c r="J299" s="730"/>
      <c r="K299" s="761"/>
      <c r="L299" s="761"/>
      <c r="M299" s="730"/>
      <c r="N299" s="730"/>
      <c r="P299" s="195"/>
      <c r="Q299" s="195"/>
      <c r="R299" s="195"/>
      <c r="S299" s="195"/>
      <c r="T299" s="195"/>
      <c r="U299" s="195"/>
      <c r="V299" s="195"/>
      <c r="W299" s="195"/>
    </row>
    <row r="300" spans="1:23" s="194" customFormat="1" ht="40.4" customHeight="1" x14ac:dyDescent="0.35">
      <c r="A300" s="770" t="str">
        <f t="shared" ca="1" si="4"/>
        <v>a1G3p000005ncEUEAY</v>
      </c>
      <c r="B300" s="766">
        <v>15</v>
      </c>
      <c r="C300" s="760" t="str">
        <f>IFERROR(VLOOKUP(B300,'Impact Indicators - Section B '!$A$9:$AF$52,32,FALSE),"")</f>
        <v/>
      </c>
      <c r="D300" s="768" t="str">
        <f>R300</f>
        <v/>
      </c>
      <c r="E300" s="768" t="str">
        <f>S300</f>
        <v/>
      </c>
      <c r="F300" s="413"/>
      <c r="G300" s="762" t="str">
        <f ca="1">IF(OR(INDIRECT("'update Helper'!E"&amp;U300)="",F300&lt;&gt;0,F301&lt;&gt;0),IF(IFERROR((F300/F301),"")="","",(F300/F301)),INDIRECT("'update Helper'!E"&amp;U300)/100)</f>
        <v/>
      </c>
      <c r="H300" s="743"/>
      <c r="I300" s="764"/>
      <c r="J300" s="729"/>
      <c r="K300" s="760" t="str">
        <f>W300</f>
        <v/>
      </c>
      <c r="L300" s="760" t="str">
        <f>V300</f>
        <v/>
      </c>
      <c r="M300" s="729"/>
      <c r="N300" s="729"/>
      <c r="P300" s="194">
        <f>IF(AND(EXACT(C300,C298),C298&lt;&gt;0),P298+1,0)</f>
        <v>125</v>
      </c>
      <c r="Q300" s="194" t="str">
        <f>IF(C300&lt;&gt;"",C300&amp;"-"&amp;P300,"")</f>
        <v/>
      </c>
      <c r="R300" s="194" t="str">
        <f t="array" ref="R300">IFERROR(IF(INDEX('Disaggregation Records'!$E$3:$E$66,MATCH(RIGHT(Q300,255),RIGHT('Disaggregation Records'!$D$3:$D$66,255),0))="","",INDEX('Disaggregation Records'!$E$3:$E$66,MATCH(RIGHT(Q300,255),RIGHT('Disaggregation Records'!$D$3:$D$66,255),0))),"")</f>
        <v/>
      </c>
      <c r="S300" s="194" t="str">
        <f t="array" ref="S300">IFERROR(IF(INDEX('Disaggregation Records'!$F$3:$F$66,MATCH(RIGHT(Q300,255),RIGHT('Disaggregation Records'!$D$3:$D$66,255),0))="","",INDEX('Disaggregation Records'!$F$3:$F$66,MATCH(RIGHT(Q300,255),RIGHT('Disaggregation Records'!$D$3:$D$66,255),0))),"")</f>
        <v/>
      </c>
      <c r="T300" s="194" t="str">
        <f t="array" ref="T300">IFERROR(IF(INDEX('Disaggregation Records'!$H$3:$H$66,MATCH(RIGHT(Q300,255),RIGHT('Disaggregation Records'!$D$3:$D$66,255),0))="","",INDEX('Disaggregation Records'!$H$3:$H$66,MATCH(RIGHT(Q300,255),RIGHT('Disaggregation Records'!$D$3:$D$66,255),0))),"")</f>
        <v/>
      </c>
      <c r="U300" s="194">
        <f>U298+1</f>
        <v>2266</v>
      </c>
      <c r="V300" s="194" t="str">
        <f t="array" ref="V300">IFERROR(IF(INDEX('Disaggregation Records'!$I$3:$I$66,MATCH(RIGHT(Q300,255),RIGHT('Disaggregation Records'!$D$3:$D$66,255),0))="","",INDEX('Disaggregation Records'!$I$3:$I$66,MATCH(RIGHT(Q300,255),RIGHT('Disaggregation Records'!$D$3:$D$66,255),0))),"")</f>
        <v/>
      </c>
      <c r="W300" s="194" t="str">
        <f>IFERROR(INDEX('Reference Records'!O$3:O$19,MATCH(LEFT(C300,255),'Reference Records'!J$3:J$19,0)),"")</f>
        <v/>
      </c>
    </row>
    <row r="301" spans="1:23" s="194" customFormat="1" ht="40.4" customHeight="1" x14ac:dyDescent="0.35">
      <c r="A301" s="770"/>
      <c r="B301" s="767"/>
      <c r="C301" s="761"/>
      <c r="D301" s="769"/>
      <c r="E301" s="769"/>
      <c r="F301" s="208"/>
      <c r="G301" s="763"/>
      <c r="H301" s="744"/>
      <c r="I301" s="765"/>
      <c r="J301" s="730"/>
      <c r="K301" s="761"/>
      <c r="L301" s="761"/>
      <c r="M301" s="730"/>
      <c r="N301" s="730"/>
      <c r="P301" s="195"/>
      <c r="Q301" s="195"/>
      <c r="R301" s="195"/>
      <c r="S301" s="195"/>
      <c r="T301" s="195"/>
      <c r="U301" s="195"/>
      <c r="V301" s="195"/>
      <c r="W301" s="195"/>
    </row>
    <row r="302" spans="1:23" s="194" customFormat="1" ht="40.4" customHeight="1" x14ac:dyDescent="0.35">
      <c r="A302" s="770" t="str">
        <f t="shared" ca="1" si="4"/>
        <v>a1G3p000005ncEVEAY</v>
      </c>
      <c r="B302" s="766">
        <v>15</v>
      </c>
      <c r="C302" s="760" t="str">
        <f>IFERROR(VLOOKUP(B302,'Impact Indicators - Section B '!$A$9:$AF$52,32,FALSE),"")</f>
        <v/>
      </c>
      <c r="D302" s="768" t="str">
        <f>R302</f>
        <v/>
      </c>
      <c r="E302" s="768" t="str">
        <f>S302</f>
        <v/>
      </c>
      <c r="F302" s="413"/>
      <c r="G302" s="762" t="str">
        <f ca="1">IF(OR(INDIRECT("'update Helper'!E"&amp;U302)="",F302&lt;&gt;0,F303&lt;&gt;0),IF(IFERROR((F302/F303),"")="","",(F302/F303)),INDIRECT("'update Helper'!E"&amp;U302)/100)</f>
        <v/>
      </c>
      <c r="H302" s="743"/>
      <c r="I302" s="764"/>
      <c r="J302" s="729"/>
      <c r="K302" s="760" t="str">
        <f>W302</f>
        <v/>
      </c>
      <c r="L302" s="760" t="str">
        <f>V302</f>
        <v/>
      </c>
      <c r="M302" s="729"/>
      <c r="N302" s="729"/>
      <c r="P302" s="194">
        <f>IF(AND(EXACT(C302,C300),C300&lt;&gt;0),P300+1,0)</f>
        <v>126</v>
      </c>
      <c r="Q302" s="194" t="str">
        <f>IF(C302&lt;&gt;"",C302&amp;"-"&amp;P302,"")</f>
        <v/>
      </c>
      <c r="R302" s="194" t="str">
        <f t="array" ref="R302">IFERROR(IF(INDEX('Disaggregation Records'!$E$3:$E$66,MATCH(RIGHT(Q302,255),RIGHT('Disaggregation Records'!$D$3:$D$66,255),0))="","",INDEX('Disaggregation Records'!$E$3:$E$66,MATCH(RIGHT(Q302,255),RIGHT('Disaggregation Records'!$D$3:$D$66,255),0))),"")</f>
        <v/>
      </c>
      <c r="S302" s="194" t="str">
        <f t="array" ref="S302">IFERROR(IF(INDEX('Disaggregation Records'!$F$3:$F$66,MATCH(RIGHT(Q302,255),RIGHT('Disaggregation Records'!$D$3:$D$66,255),0))="","",INDEX('Disaggregation Records'!$F$3:$F$66,MATCH(RIGHT(Q302,255),RIGHT('Disaggregation Records'!$D$3:$D$66,255),0))),"")</f>
        <v/>
      </c>
      <c r="T302" s="194" t="str">
        <f t="array" ref="T302">IFERROR(IF(INDEX('Disaggregation Records'!$H$3:$H$66,MATCH(RIGHT(Q302,255),RIGHT('Disaggregation Records'!$D$3:$D$66,255),0))="","",INDEX('Disaggregation Records'!$H$3:$H$66,MATCH(RIGHT(Q302,255),RIGHT('Disaggregation Records'!$D$3:$D$66,255),0))),"")</f>
        <v/>
      </c>
      <c r="U302" s="194">
        <f>U300+1</f>
        <v>2267</v>
      </c>
      <c r="V302" s="194" t="str">
        <f t="array" ref="V302">IFERROR(IF(INDEX('Disaggregation Records'!$I$3:$I$66,MATCH(RIGHT(Q302,255),RIGHT('Disaggregation Records'!$D$3:$D$66,255),0))="","",INDEX('Disaggregation Records'!$I$3:$I$66,MATCH(RIGHT(Q302,255),RIGHT('Disaggregation Records'!$D$3:$D$66,255),0))),"")</f>
        <v/>
      </c>
      <c r="W302" s="194" t="str">
        <f>IFERROR(INDEX('Reference Records'!O$3:O$19,MATCH(LEFT(C302,255),'Reference Records'!J$3:J$19,0)),"")</f>
        <v/>
      </c>
    </row>
    <row r="303" spans="1:23" s="194" customFormat="1" ht="40.4" customHeight="1" x14ac:dyDescent="0.35">
      <c r="A303" s="770"/>
      <c r="B303" s="767"/>
      <c r="C303" s="761"/>
      <c r="D303" s="769"/>
      <c r="E303" s="769"/>
      <c r="F303" s="208"/>
      <c r="G303" s="763"/>
      <c r="H303" s="744"/>
      <c r="I303" s="765"/>
      <c r="J303" s="730"/>
      <c r="K303" s="761"/>
      <c r="L303" s="761"/>
      <c r="M303" s="730"/>
      <c r="N303" s="730"/>
      <c r="P303" s="195"/>
      <c r="Q303" s="195"/>
      <c r="R303" s="195"/>
      <c r="S303" s="195"/>
      <c r="T303" s="195"/>
      <c r="U303" s="195"/>
      <c r="V303" s="195"/>
      <c r="W303" s="195"/>
    </row>
    <row r="304" spans="1:23" s="194" customFormat="1" ht="40.4" customHeight="1" x14ac:dyDescent="0.35">
      <c r="A304" s="770" t="str">
        <f t="shared" ca="1" si="4"/>
        <v>a1G3p000005ncEWEAY</v>
      </c>
      <c r="B304" s="766">
        <v>15</v>
      </c>
      <c r="C304" s="760" t="str">
        <f>IFERROR(VLOOKUP(B304,'Impact Indicators - Section B '!$A$9:$AF$52,32,FALSE),"")</f>
        <v/>
      </c>
      <c r="D304" s="768" t="str">
        <f>R304</f>
        <v/>
      </c>
      <c r="E304" s="768" t="str">
        <f>S304</f>
        <v/>
      </c>
      <c r="F304" s="413"/>
      <c r="G304" s="762" t="str">
        <f ca="1">IF(OR(INDIRECT("'update Helper'!E"&amp;U304)="",F304&lt;&gt;0,F305&lt;&gt;0),IF(IFERROR((F304/F305),"")="","",(F304/F305)),INDIRECT("'update Helper'!E"&amp;U304)/100)</f>
        <v/>
      </c>
      <c r="H304" s="743"/>
      <c r="I304" s="764"/>
      <c r="J304" s="729"/>
      <c r="K304" s="760" t="str">
        <f>W304</f>
        <v/>
      </c>
      <c r="L304" s="760" t="str">
        <f>V304</f>
        <v/>
      </c>
      <c r="M304" s="729"/>
      <c r="N304" s="729"/>
      <c r="P304" s="194">
        <f>IF(AND(EXACT(C304,C302),C302&lt;&gt;0),P302+1,0)</f>
        <v>127</v>
      </c>
      <c r="Q304" s="194" t="str">
        <f>IF(C304&lt;&gt;"",C304&amp;"-"&amp;P304,"")</f>
        <v/>
      </c>
      <c r="R304" s="194" t="str">
        <f t="array" ref="R304">IFERROR(IF(INDEX('Disaggregation Records'!$E$3:$E$66,MATCH(RIGHT(Q304,255),RIGHT('Disaggregation Records'!$D$3:$D$66,255),0))="","",INDEX('Disaggregation Records'!$E$3:$E$66,MATCH(RIGHT(Q304,255),RIGHT('Disaggregation Records'!$D$3:$D$66,255),0))),"")</f>
        <v/>
      </c>
      <c r="S304" s="194" t="str">
        <f t="array" ref="S304">IFERROR(IF(INDEX('Disaggregation Records'!$F$3:$F$66,MATCH(RIGHT(Q304,255),RIGHT('Disaggregation Records'!$D$3:$D$66,255),0))="","",INDEX('Disaggregation Records'!$F$3:$F$66,MATCH(RIGHT(Q304,255),RIGHT('Disaggregation Records'!$D$3:$D$66,255),0))),"")</f>
        <v/>
      </c>
      <c r="T304" s="194" t="str">
        <f t="array" ref="T304">IFERROR(IF(INDEX('Disaggregation Records'!$H$3:$H$66,MATCH(RIGHT(Q304,255),RIGHT('Disaggregation Records'!$D$3:$D$66,255),0))="","",INDEX('Disaggregation Records'!$H$3:$H$66,MATCH(RIGHT(Q304,255),RIGHT('Disaggregation Records'!$D$3:$D$66,255),0))),"")</f>
        <v/>
      </c>
      <c r="U304" s="194">
        <f>U302+1</f>
        <v>2268</v>
      </c>
      <c r="V304" s="194" t="str">
        <f t="array" ref="V304">IFERROR(IF(INDEX('Disaggregation Records'!$I$3:$I$66,MATCH(RIGHT(Q304,255),RIGHT('Disaggregation Records'!$D$3:$D$66,255),0))="","",INDEX('Disaggregation Records'!$I$3:$I$66,MATCH(RIGHT(Q304,255),RIGHT('Disaggregation Records'!$D$3:$D$66,255),0))),"")</f>
        <v/>
      </c>
      <c r="W304" s="194" t="str">
        <f>IFERROR(INDEX('Reference Records'!O$3:O$19,MATCH(LEFT(C304,255),'Reference Records'!J$3:J$19,0)),"")</f>
        <v/>
      </c>
    </row>
    <row r="305" spans="1:23" s="194" customFormat="1" ht="40.4" customHeight="1" x14ac:dyDescent="0.35">
      <c r="A305" s="770"/>
      <c r="B305" s="767"/>
      <c r="C305" s="761"/>
      <c r="D305" s="769"/>
      <c r="E305" s="769"/>
      <c r="F305" s="208"/>
      <c r="G305" s="763"/>
      <c r="H305" s="744"/>
      <c r="I305" s="765"/>
      <c r="J305" s="730"/>
      <c r="K305" s="761"/>
      <c r="L305" s="761"/>
      <c r="M305" s="730"/>
      <c r="N305" s="730"/>
      <c r="P305" s="195"/>
      <c r="Q305" s="195"/>
      <c r="R305" s="195"/>
      <c r="S305" s="195"/>
      <c r="T305" s="195"/>
      <c r="U305" s="195"/>
      <c r="V305" s="195"/>
      <c r="W305" s="195"/>
    </row>
    <row r="306" spans="1:23" s="194" customFormat="1" ht="40.4" customHeight="1" x14ac:dyDescent="0.35">
      <c r="A306" s="770" t="str">
        <f t="shared" ca="1" si="4"/>
        <v>a1G3p000005ncEXEAY</v>
      </c>
      <c r="B306" s="766">
        <v>15</v>
      </c>
      <c r="C306" s="760" t="str">
        <f>IFERROR(VLOOKUP(B306,'Impact Indicators - Section B '!$A$9:$AF$52,32,FALSE),"")</f>
        <v/>
      </c>
      <c r="D306" s="768" t="str">
        <f>R306</f>
        <v/>
      </c>
      <c r="E306" s="768" t="str">
        <f>S306</f>
        <v/>
      </c>
      <c r="F306" s="413"/>
      <c r="G306" s="762" t="str">
        <f ca="1">IF(OR(INDIRECT("'update Helper'!E"&amp;U306)="",F306&lt;&gt;0,F307&lt;&gt;0),IF(IFERROR((F306/F307),"")="","",(F306/F307)),INDIRECT("'update Helper'!E"&amp;U306)/100)</f>
        <v/>
      </c>
      <c r="H306" s="743"/>
      <c r="I306" s="764"/>
      <c r="J306" s="729"/>
      <c r="K306" s="760" t="str">
        <f>W306</f>
        <v/>
      </c>
      <c r="L306" s="760" t="str">
        <f>V306</f>
        <v/>
      </c>
      <c r="M306" s="729"/>
      <c r="N306" s="729"/>
      <c r="P306" s="194">
        <f>IF(AND(EXACT(C306,C304),C304&lt;&gt;0),P304+1,0)</f>
        <v>128</v>
      </c>
      <c r="Q306" s="194" t="str">
        <f>IF(C306&lt;&gt;"",C306&amp;"-"&amp;P306,"")</f>
        <v/>
      </c>
      <c r="R306" s="194" t="str">
        <f t="array" ref="R306">IFERROR(IF(INDEX('Disaggregation Records'!$E$3:$E$66,MATCH(RIGHT(Q306,255),RIGHT('Disaggregation Records'!$D$3:$D$66,255),0))="","",INDEX('Disaggregation Records'!$E$3:$E$66,MATCH(RIGHT(Q306,255),RIGHT('Disaggregation Records'!$D$3:$D$66,255),0))),"")</f>
        <v/>
      </c>
      <c r="S306" s="194" t="str">
        <f t="array" ref="S306">IFERROR(IF(INDEX('Disaggregation Records'!$F$3:$F$66,MATCH(RIGHT(Q306,255),RIGHT('Disaggregation Records'!$D$3:$D$66,255),0))="","",INDEX('Disaggregation Records'!$F$3:$F$66,MATCH(RIGHT(Q306,255),RIGHT('Disaggregation Records'!$D$3:$D$66,255),0))),"")</f>
        <v/>
      </c>
      <c r="T306" s="194" t="str">
        <f t="array" ref="T306">IFERROR(IF(INDEX('Disaggregation Records'!$H$3:$H$66,MATCH(RIGHT(Q306,255),RIGHT('Disaggregation Records'!$D$3:$D$66,255),0))="","",INDEX('Disaggregation Records'!$H$3:$H$66,MATCH(RIGHT(Q306,255),RIGHT('Disaggregation Records'!$D$3:$D$66,255),0))),"")</f>
        <v/>
      </c>
      <c r="U306" s="194">
        <f>U304+1</f>
        <v>2269</v>
      </c>
      <c r="V306" s="194" t="str">
        <f t="array" ref="V306">IFERROR(IF(INDEX('Disaggregation Records'!$I$3:$I$66,MATCH(RIGHT(Q306,255),RIGHT('Disaggregation Records'!$D$3:$D$66,255),0))="","",INDEX('Disaggregation Records'!$I$3:$I$66,MATCH(RIGHT(Q306,255),RIGHT('Disaggregation Records'!$D$3:$D$66,255),0))),"")</f>
        <v/>
      </c>
      <c r="W306" s="194" t="str">
        <f>IFERROR(INDEX('Reference Records'!O$3:O$19,MATCH(LEFT(C306,255),'Reference Records'!J$3:J$19,0)),"")</f>
        <v/>
      </c>
    </row>
    <row r="307" spans="1:23" s="194" customFormat="1" ht="40.4" customHeight="1" x14ac:dyDescent="0.35">
      <c r="A307" s="770"/>
      <c r="B307" s="767"/>
      <c r="C307" s="761"/>
      <c r="D307" s="769"/>
      <c r="E307" s="769"/>
      <c r="F307" s="208"/>
      <c r="G307" s="763"/>
      <c r="H307" s="744"/>
      <c r="I307" s="765"/>
      <c r="J307" s="730"/>
      <c r="K307" s="761"/>
      <c r="L307" s="761"/>
      <c r="M307" s="730"/>
      <c r="N307" s="730"/>
      <c r="P307" s="195"/>
      <c r="Q307" s="195"/>
      <c r="R307" s="195"/>
      <c r="S307" s="195"/>
      <c r="T307" s="195"/>
      <c r="U307" s="195"/>
      <c r="V307" s="195"/>
      <c r="W307" s="195"/>
    </row>
    <row r="308" spans="1:23" s="194" customFormat="1" ht="40.4" customHeight="1" x14ac:dyDescent="0.35">
      <c r="A308" s="770" t="str">
        <f t="shared" ca="1" si="4"/>
        <v>a1G3p000005ncEYEAY</v>
      </c>
      <c r="B308" s="766">
        <v>15</v>
      </c>
      <c r="C308" s="760" t="str">
        <f>IFERROR(VLOOKUP(B308,'Impact Indicators - Section B '!$A$9:$AF$52,32,FALSE),"")</f>
        <v/>
      </c>
      <c r="D308" s="768" t="str">
        <f>R308</f>
        <v/>
      </c>
      <c r="E308" s="768" t="str">
        <f>S308</f>
        <v/>
      </c>
      <c r="F308" s="413"/>
      <c r="G308" s="762" t="str">
        <f ca="1">IF(OR(INDIRECT("'update Helper'!E"&amp;U308)="",F308&lt;&gt;0,F309&lt;&gt;0),IF(IFERROR((F308/F309),"")="","",(F308/F309)),INDIRECT("'update Helper'!E"&amp;U308)/100)</f>
        <v/>
      </c>
      <c r="H308" s="743"/>
      <c r="I308" s="764"/>
      <c r="J308" s="729"/>
      <c r="K308" s="760" t="str">
        <f>W308</f>
        <v/>
      </c>
      <c r="L308" s="760" t="str">
        <f>V308</f>
        <v/>
      </c>
      <c r="M308" s="729"/>
      <c r="N308" s="729"/>
      <c r="P308" s="194">
        <f>IF(AND(EXACT(C308,C306),C306&lt;&gt;0),P306+1,0)</f>
        <v>129</v>
      </c>
      <c r="Q308" s="194" t="str">
        <f>IF(C308&lt;&gt;"",C308&amp;"-"&amp;P308,"")</f>
        <v/>
      </c>
      <c r="R308" s="194" t="str">
        <f t="array" ref="R308">IFERROR(IF(INDEX('Disaggregation Records'!$E$3:$E$66,MATCH(RIGHT(Q308,255),RIGHT('Disaggregation Records'!$D$3:$D$66,255),0))="","",INDEX('Disaggregation Records'!$E$3:$E$66,MATCH(RIGHT(Q308,255),RIGHT('Disaggregation Records'!$D$3:$D$66,255),0))),"")</f>
        <v/>
      </c>
      <c r="S308" s="194" t="str">
        <f t="array" ref="S308">IFERROR(IF(INDEX('Disaggregation Records'!$F$3:$F$66,MATCH(RIGHT(Q308,255),RIGHT('Disaggregation Records'!$D$3:$D$66,255),0))="","",INDEX('Disaggregation Records'!$F$3:$F$66,MATCH(RIGHT(Q308,255),RIGHT('Disaggregation Records'!$D$3:$D$66,255),0))),"")</f>
        <v/>
      </c>
      <c r="T308" s="194" t="str">
        <f t="array" ref="T308">IFERROR(IF(INDEX('Disaggregation Records'!$H$3:$H$66,MATCH(RIGHT(Q308,255),RIGHT('Disaggregation Records'!$D$3:$D$66,255),0))="","",INDEX('Disaggregation Records'!$H$3:$H$66,MATCH(RIGHT(Q308,255),RIGHT('Disaggregation Records'!$D$3:$D$66,255),0))),"")</f>
        <v/>
      </c>
      <c r="U308" s="194">
        <f>U306+1</f>
        <v>2270</v>
      </c>
      <c r="V308" s="194" t="str">
        <f t="array" ref="V308">IFERROR(IF(INDEX('Disaggregation Records'!$I$3:$I$66,MATCH(RIGHT(Q308,255),RIGHT('Disaggregation Records'!$D$3:$D$66,255),0))="","",INDEX('Disaggregation Records'!$I$3:$I$66,MATCH(RIGHT(Q308,255),RIGHT('Disaggregation Records'!$D$3:$D$66,255),0))),"")</f>
        <v/>
      </c>
      <c r="W308" s="194" t="str">
        <f>IFERROR(INDEX('Reference Records'!O$3:O$19,MATCH(LEFT(C308,255),'Reference Records'!J$3:J$19,0)),"")</f>
        <v/>
      </c>
    </row>
    <row r="309" spans="1:23" s="194" customFormat="1" ht="40.4" customHeight="1" x14ac:dyDescent="0.35">
      <c r="A309" s="770"/>
      <c r="B309" s="767"/>
      <c r="C309" s="761"/>
      <c r="D309" s="769"/>
      <c r="E309" s="769"/>
      <c r="F309" s="208"/>
      <c r="G309" s="763"/>
      <c r="H309" s="744"/>
      <c r="I309" s="765"/>
      <c r="J309" s="730"/>
      <c r="K309" s="761"/>
      <c r="L309" s="761"/>
      <c r="M309" s="730"/>
      <c r="N309" s="730"/>
      <c r="P309" s="195"/>
      <c r="Q309" s="195"/>
      <c r="R309" s="195"/>
      <c r="S309" s="195"/>
      <c r="T309" s="195"/>
      <c r="U309" s="195"/>
      <c r="V309" s="195"/>
      <c r="W309" s="195"/>
    </row>
    <row r="310" spans="1:23" s="194" customFormat="1" ht="40.4" customHeight="1" x14ac:dyDescent="0.35">
      <c r="A310" s="183"/>
      <c r="B310" s="354"/>
      <c r="C310" s="355"/>
      <c r="D310" s="356"/>
      <c r="E310" s="356"/>
      <c r="F310" s="357"/>
      <c r="G310" s="358"/>
      <c r="H310" s="359"/>
      <c r="I310" s="360"/>
      <c r="J310" s="361"/>
      <c r="K310" s="361"/>
      <c r="L310" s="361"/>
      <c r="M310" s="361"/>
      <c r="N310" s="361"/>
    </row>
    <row r="311" spans="1:23" s="194" customFormat="1" ht="40.4" customHeight="1" x14ac:dyDescent="0.35">
      <c r="A311" s="183"/>
      <c r="B311" s="354"/>
      <c r="C311" s="355"/>
      <c r="D311" s="356"/>
      <c r="E311" s="356"/>
      <c r="F311" s="357"/>
      <c r="G311" s="358"/>
      <c r="H311" s="359"/>
      <c r="I311" s="360"/>
      <c r="J311" s="361"/>
      <c r="K311" s="361"/>
      <c r="L311" s="361"/>
      <c r="M311" s="361"/>
      <c r="N311" s="361"/>
    </row>
    <row r="312" spans="1:23" s="194" customFormat="1" ht="40.4" customHeight="1" x14ac:dyDescent="0.35">
      <c r="A312" s="183"/>
      <c r="B312" s="354"/>
      <c r="C312" s="355"/>
      <c r="D312" s="356"/>
      <c r="E312" s="356"/>
      <c r="F312" s="357"/>
      <c r="G312" s="358"/>
      <c r="H312" s="359"/>
      <c r="I312" s="360"/>
      <c r="J312" s="361"/>
      <c r="K312" s="361"/>
      <c r="L312" s="361"/>
      <c r="M312" s="361"/>
      <c r="N312" s="361"/>
    </row>
    <row r="313" spans="1:23" s="167" customFormat="1" x14ac:dyDescent="0.35">
      <c r="A313" s="198"/>
      <c r="B313" s="183"/>
      <c r="C313" s="198"/>
      <c r="D313" s="198"/>
      <c r="E313" s="198"/>
      <c r="F313" s="198"/>
      <c r="G313" s="198"/>
      <c r="H313" s="198"/>
      <c r="I313" s="198"/>
      <c r="J313" s="198"/>
      <c r="K313" s="198"/>
      <c r="L313" s="198"/>
      <c r="M313" s="198"/>
    </row>
    <row r="314" spans="1:23" ht="16.399999999999999" customHeight="1" x14ac:dyDescent="0.35">
      <c r="B314" s="775" t="str">
        <f ca="1">Translations!A76</f>
        <v xml:space="preserve">Desagregación del indicador de resultados </v>
      </c>
      <c r="C314" s="776"/>
      <c r="D314" s="776"/>
      <c r="E314" s="776"/>
      <c r="F314" s="776"/>
      <c r="G314" s="776"/>
      <c r="H314" s="776"/>
      <c r="I314" s="776"/>
      <c r="J314" s="776"/>
      <c r="K314" s="773"/>
      <c r="L314" s="774"/>
      <c r="M314" s="774"/>
      <c r="N314" s="774"/>
    </row>
    <row r="315" spans="1:23" ht="45" customHeight="1" x14ac:dyDescent="0.35">
      <c r="A315" s="253" t="s">
        <v>341</v>
      </c>
      <c r="B315" s="271" t="str">
        <f ca="1">Translations!A77</f>
        <v>Número del indicador de resultado</v>
      </c>
      <c r="C315" s="271" t="str">
        <f ca="1">Translations!A79</f>
        <v>Nombre del indicador de resultado</v>
      </c>
      <c r="D315" s="271" t="str">
        <f ca="1">Translations!$A$74</f>
        <v>Categoría</v>
      </c>
      <c r="E315" s="271" t="str">
        <f ca="1">Translations!$A$75</f>
        <v>Desagregación</v>
      </c>
      <c r="F315" s="271" t="s">
        <v>546</v>
      </c>
      <c r="G315" s="271" t="str">
        <f ca="1">Translations!$A$41</f>
        <v>Línea de base %</v>
      </c>
      <c r="H315" s="271" t="s">
        <v>436</v>
      </c>
      <c r="I315" s="271" t="s">
        <v>438</v>
      </c>
      <c r="J315" s="271" t="s">
        <v>407</v>
      </c>
      <c r="K315" s="271" t="str">
        <f ca="1">Translations!A79 &amp; " (EN)"</f>
        <v>Nombre del indicador de resultado (EN)</v>
      </c>
      <c r="L315" s="271" t="str">
        <f ca="1">Translations!$A$74 &amp; " (EN)"</f>
        <v>Categoría (EN)</v>
      </c>
      <c r="M315" s="271" t="s">
        <v>11197</v>
      </c>
      <c r="N315" s="271" t="s">
        <v>11198</v>
      </c>
      <c r="Q315" s="362"/>
      <c r="R315" s="362"/>
      <c r="S315" s="362"/>
      <c r="T315" s="194"/>
    </row>
    <row r="316" spans="1:23" s="194" customFormat="1" ht="40.4" customHeight="1" x14ac:dyDescent="0.35">
      <c r="A316" s="770" t="str">
        <f ca="1">INDIRECT("'update Helper'!C"&amp;U316)</f>
        <v>a1V3p000006jw8SEAQ</v>
      </c>
      <c r="B316" s="766">
        <v>1</v>
      </c>
      <c r="C316" s="760" t="str">
        <f>IFERROR(VLOOKUP(B316,'Outcome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16" s="768" t="str">
        <f>R316</f>
        <v/>
      </c>
      <c r="E316" s="768" t="str">
        <f>S316</f>
        <v/>
      </c>
      <c r="F316" s="413"/>
      <c r="G316" s="762" t="str">
        <f ca="1">IF(OR(INDIRECT("'update Helper'!E"&amp;U316)="",F316&lt;&gt;0,F317&lt;&gt;0),IF(IFERROR((F316/F317),"")="","",(F316/F317)),INDIRECT("'update Helper'!E"&amp;U316)/100)</f>
        <v/>
      </c>
      <c r="H316" s="743"/>
      <c r="I316" s="764"/>
      <c r="J316" s="729" t="s">
        <v>9912</v>
      </c>
      <c r="K316" s="760" t="str">
        <f>W316</f>
        <v>TB O-4⁽ᴹ⁾ Treatment success rate of RR TB and/or MDR-TB: Percentage of cases with RR and/or MDR-TB successfully treated</v>
      </c>
      <c r="L316" s="760" t="str">
        <f>V316</f>
        <v/>
      </c>
      <c r="M316" s="729"/>
      <c r="N316" s="729" t="s">
        <v>4669</v>
      </c>
      <c r="P316" s="194">
        <f>IF(AND(EXACT(C316,C314),C314&lt;&gt;0),P314+1,0)</f>
        <v>0</v>
      </c>
      <c r="Q316" s="194" t="str">
        <f>IF(C316&lt;&gt;"",C316&amp;"-"&amp;P316,"")</f>
        <v>TB O-4⁽ᴹ⁾ Tasa de éxito del tratamiento de los casos de tuberculosis resistente a la rifampicina y/o tuberculosis multirresistente: Porcentaje de casos de tuberculosis resistente a la rifampicina y/o tuberculosis multirresistente tratados con éxito.-0</v>
      </c>
      <c r="R316" s="194" t="str">
        <f t="array" ref="R316">IFERROR(IF(INDEX('Disaggregation Records'!$E$69:$E$152,MATCH(RIGHT(Q316,255),RIGHT('Disaggregation Records'!$D$69:$D$152,255),0))="","",INDEX('Disaggregation Records'!$E$69:$E$152,MATCH(RIGHT(Q316,255),RIGHT('Disaggregation Records'!$D$69:$D$152,255),0))),"")</f>
        <v/>
      </c>
      <c r="S316" s="194" t="str">
        <f t="array" ref="S316">IFERROR(IF(INDEX('Disaggregation Records'!$F$69:$F$152,MATCH(RIGHT(Q316,255),RIGHT('Disaggregation Records'!$D$69:$D$152,255),0))="","",INDEX('Disaggregation Records'!$F$69:$F$152,MATCH(RIGHT(Q316,255),RIGHT('Disaggregation Records'!$D$69:$D$152,255),0))),"")</f>
        <v/>
      </c>
      <c r="T316" s="194" t="str">
        <f t="array" ref="T316">IFERROR(IF(INDEX('Disaggregation Records'!$H$69:$H$152,MATCH(RIGHT(Q316,255),RIGHT('Disaggregation Records'!$D$69:$D$152,255),0))="","",INDEX('Disaggregation Records'!$H$69:$H$152,MATCH(RIGHT(Q316,255),RIGHT('Disaggregation Records'!$D$69:$D$152,255),0))),"")</f>
        <v/>
      </c>
      <c r="U316" s="194">
        <f>ROW(Outcome_Indicator_Disaggregation)+3</f>
        <v>1667</v>
      </c>
      <c r="V316" s="194" t="str">
        <f t="array" ref="V316">IFERROR(IF(INDEX('Disaggregation Records'!$I$69:$I$152,MATCH(RIGHT(Q316,255),RIGHT('Disaggregation Records'!$D$69:$D$152,255),0))="","",INDEX('Disaggregation Records'!$I$69:$I$152,MATCH(RIGHT(Q316,255),RIGHT('Disaggregation Records'!$D$69:$D$152,255),0))),"")</f>
        <v/>
      </c>
      <c r="W316" s="194" t="str">
        <f>IFERROR(INDEX('Reference Records'!P$23:P$74,MATCH(LEFT(C316,255),'Reference Records'!J$23:J$74,0)),"")</f>
        <v>TB O-4⁽ᴹ⁾ Treatment success rate of RR TB and/or MDR-TB: Percentage of cases with RR and/or MDR-TB successfully treated</v>
      </c>
    </row>
    <row r="317" spans="1:23" s="194" customFormat="1" ht="40.4" customHeight="1" x14ac:dyDescent="0.35">
      <c r="A317" s="770"/>
      <c r="B317" s="767"/>
      <c r="C317" s="761"/>
      <c r="D317" s="769"/>
      <c r="E317" s="769"/>
      <c r="F317" s="208"/>
      <c r="G317" s="763"/>
      <c r="H317" s="744"/>
      <c r="I317" s="765"/>
      <c r="J317" s="730"/>
      <c r="K317" s="761"/>
      <c r="L317" s="761"/>
      <c r="M317" s="730"/>
      <c r="N317" s="730"/>
      <c r="V317" s="194" t="str">
        <f t="array" ref="V317">IFERROR(IF(INDEX('Disaggregation Records'!$I$69:$I$152,MATCH(RIGHT(Q317,255),RIGHT('Disaggregation Records'!$D$69:$D$152,255),0))="","",INDEX('Disaggregation Records'!$I$69:$I$152,MATCH(RIGHT(Q317,255),RIGHT('Disaggregation Records'!$D$69:$D$152,255),0))),"")</f>
        <v/>
      </c>
    </row>
    <row r="318" spans="1:23" s="194" customFormat="1" ht="40.4" customHeight="1" x14ac:dyDescent="0.35">
      <c r="A318" s="770" t="str">
        <f ca="1">INDIRECT("'update Helper'!C"&amp;U318)</f>
        <v>a1V3p000006jw8TEAQ</v>
      </c>
      <c r="B318" s="766">
        <v>1</v>
      </c>
      <c r="C318" s="760" t="str">
        <f>IFERROR(VLOOKUP(B318,'Outcome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18" s="768" t="str">
        <f>R318</f>
        <v/>
      </c>
      <c r="E318" s="768" t="str">
        <f>S318</f>
        <v/>
      </c>
      <c r="F318" s="413"/>
      <c r="G318" s="762" t="str">
        <f ca="1">IF(OR(INDIRECT("'update Helper'!E"&amp;U318)="",F318&lt;&gt;0,F319&lt;&gt;0),IF(IFERROR((F318/F319),"")="","",(F318/F319)),INDIRECT("'update Helper'!E"&amp;U318)/100)</f>
        <v/>
      </c>
      <c r="H318" s="743"/>
      <c r="I318" s="764"/>
      <c r="J318" s="729" t="s">
        <v>9912</v>
      </c>
      <c r="K318" s="760" t="str">
        <f>W318</f>
        <v>TB O-4⁽ᴹ⁾ Treatment success rate of RR TB and/or MDR-TB: Percentage of cases with RR and/or MDR-TB successfully treated</v>
      </c>
      <c r="L318" s="760" t="str">
        <f>V318</f>
        <v/>
      </c>
      <c r="M318" s="729"/>
      <c r="N318" s="729" t="s">
        <v>4669</v>
      </c>
      <c r="P318" s="194">
        <f>IF(AND(EXACT(C318,C316),C316&lt;&gt;0),P316+1,0)</f>
        <v>1</v>
      </c>
      <c r="Q318" s="194" t="str">
        <f>IF(C318&lt;&gt;"",C318&amp;"-"&amp;P318,"")</f>
        <v>TB O-4⁽ᴹ⁾ Tasa de éxito del tratamiento de los casos de tuberculosis resistente a la rifampicina y/o tuberculosis multirresistente: Porcentaje de casos de tuberculosis resistente a la rifampicina y/o tuberculosis multirresistente tratados con éxito.-1</v>
      </c>
      <c r="R318" s="194" t="str">
        <f t="array" ref="R318">IFERROR(IF(INDEX('Disaggregation Records'!$E$69:$E$152,MATCH(RIGHT(Q318,255),RIGHT('Disaggregation Records'!$D$69:$D$152,255),0))="","",INDEX('Disaggregation Records'!$E$69:$E$152,MATCH(RIGHT(Q318,255),RIGHT('Disaggregation Records'!$D$69:$D$152,255),0))),"")</f>
        <v/>
      </c>
      <c r="S318" s="194" t="str">
        <f t="array" ref="S318">IFERROR(IF(INDEX('Disaggregation Records'!$F$69:$F$152,MATCH(RIGHT(Q318,255),RIGHT('Disaggregation Records'!$D$69:$D$152,255),0))="","",INDEX('Disaggregation Records'!$F$69:$F$152,MATCH(RIGHT(Q318,255),RIGHT('Disaggregation Records'!$D$69:$D$152,255),0))),"")</f>
        <v/>
      </c>
      <c r="T318" s="194" t="str">
        <f t="array" ref="T318">IFERROR(IF(INDEX('Disaggregation Records'!$H$69:$H$152,MATCH(RIGHT(Q318,255),RIGHT('Disaggregation Records'!$D$69:$D$152,255),0))="","",INDEX('Disaggregation Records'!$H$69:$H$152,MATCH(RIGHT(Q318,255),RIGHT('Disaggregation Records'!$D$69:$D$152,255),0))),"")</f>
        <v/>
      </c>
      <c r="U318" s="194">
        <f>U316+1</f>
        <v>1668</v>
      </c>
      <c r="V318" s="194" t="str">
        <f t="array" ref="V318">IFERROR(IF(INDEX('Disaggregation Records'!$I$69:$I$152,MATCH(RIGHT(Q318,255),RIGHT('Disaggregation Records'!$D$69:$D$152,255),0))="","",INDEX('Disaggregation Records'!$I$69:$I$152,MATCH(RIGHT(Q318,255),RIGHT('Disaggregation Records'!$D$69:$D$152,255),0))),"")</f>
        <v/>
      </c>
      <c r="W318" s="194" t="str">
        <f>IFERROR(INDEX('Reference Records'!P$23:P$74,MATCH(LEFT(C318,255),'Reference Records'!J$23:J$74,0)),"")</f>
        <v>TB O-4⁽ᴹ⁾ Treatment success rate of RR TB and/or MDR-TB: Percentage of cases with RR and/or MDR-TB successfully treated</v>
      </c>
    </row>
    <row r="319" spans="1:23" s="194" customFormat="1" ht="40.4" customHeight="1" x14ac:dyDescent="0.35">
      <c r="A319" s="770"/>
      <c r="B319" s="767"/>
      <c r="C319" s="761"/>
      <c r="D319" s="769"/>
      <c r="E319" s="769"/>
      <c r="F319" s="208"/>
      <c r="G319" s="763"/>
      <c r="H319" s="744"/>
      <c r="I319" s="765"/>
      <c r="J319" s="730"/>
      <c r="K319" s="761"/>
      <c r="L319" s="761"/>
      <c r="M319" s="730"/>
      <c r="N319" s="730"/>
      <c r="V319" s="194" t="str">
        <f t="array" ref="V319">IFERROR(IF(INDEX('Disaggregation Records'!$I$69:$I$152,MATCH(RIGHT(Q319,255),RIGHT('Disaggregation Records'!$D$69:$D$152,255),0))="","",INDEX('Disaggregation Records'!$I$69:$I$152,MATCH(RIGHT(Q319,255),RIGHT('Disaggregation Records'!$D$69:$D$152,255),0))),"")</f>
        <v/>
      </c>
    </row>
    <row r="320" spans="1:23" s="194" customFormat="1" ht="40.4" customHeight="1" x14ac:dyDescent="0.35">
      <c r="A320" s="770" t="str">
        <f ca="1">INDIRECT("'update Helper'!C"&amp;U320)</f>
        <v>a1V3p000006jw8UEAQ</v>
      </c>
      <c r="B320" s="766">
        <v>1</v>
      </c>
      <c r="C320" s="760" t="str">
        <f>IFERROR(VLOOKUP(B320,'Outcome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20" s="768" t="str">
        <f>R320</f>
        <v/>
      </c>
      <c r="E320" s="768" t="str">
        <f>S320</f>
        <v/>
      </c>
      <c r="F320" s="413"/>
      <c r="G320" s="762" t="str">
        <f ca="1">IF(OR(INDIRECT("'update Helper'!E"&amp;U320)="",F320&lt;&gt;0,F321&lt;&gt;0),IF(IFERROR((F320/F321),"")="","",(F320/F321)),INDIRECT("'update Helper'!E"&amp;U320)/100)</f>
        <v/>
      </c>
      <c r="H320" s="743"/>
      <c r="I320" s="764"/>
      <c r="J320" s="729"/>
      <c r="K320" s="760" t="str">
        <f>W320</f>
        <v>TB O-4⁽ᴹ⁾ Treatment success rate of RR TB and/or MDR-TB: Percentage of cases with RR and/or MDR-TB successfully treated</v>
      </c>
      <c r="L320" s="760" t="str">
        <f>V320</f>
        <v/>
      </c>
      <c r="M320" s="729"/>
      <c r="N320" s="729"/>
      <c r="P320" s="194">
        <f>IF(AND(EXACT(C320,C318),C318&lt;&gt;0),P318+1,0)</f>
        <v>2</v>
      </c>
      <c r="Q320" s="194" t="str">
        <f>IF(C320&lt;&gt;"",C320&amp;"-"&amp;P320,"")</f>
        <v>TB O-4⁽ᴹ⁾ Tasa de éxito del tratamiento de los casos de tuberculosis resistente a la rifampicina y/o tuberculosis multirresistente: Porcentaje de casos de tuberculosis resistente a la rifampicina y/o tuberculosis multirresistente tratados con éxito.-2</v>
      </c>
      <c r="R320" s="194" t="str">
        <f t="array" ref="R320">IFERROR(IF(INDEX('Disaggregation Records'!$E$69:$E$152,MATCH(RIGHT(Q320,255),RIGHT('Disaggregation Records'!$D$69:$D$152,255),0))="","",INDEX('Disaggregation Records'!$E$69:$E$152,MATCH(RIGHT(Q320,255),RIGHT('Disaggregation Records'!$D$69:$D$152,255),0))),"")</f>
        <v/>
      </c>
      <c r="S320" s="194" t="str">
        <f t="array" ref="S320">IFERROR(IF(INDEX('Disaggregation Records'!$F$69:$F$152,MATCH(RIGHT(Q320,255),RIGHT('Disaggregation Records'!$D$69:$D$152,255),0))="","",INDEX('Disaggregation Records'!$F$69:$F$152,MATCH(RIGHT(Q320,255),RIGHT('Disaggregation Records'!$D$69:$D$152,255),0))),"")</f>
        <v/>
      </c>
      <c r="T320" s="194" t="str">
        <f t="array" ref="T320">IFERROR(IF(INDEX('Disaggregation Records'!$H$69:$H$152,MATCH(RIGHT(Q320,255),RIGHT('Disaggregation Records'!$D$69:$D$152,255),0))="","",INDEX('Disaggregation Records'!$H$69:$H$152,MATCH(RIGHT(Q320,255),RIGHT('Disaggregation Records'!$D$69:$D$152,255),0))),"")</f>
        <v/>
      </c>
      <c r="U320" s="194">
        <f>U318+1</f>
        <v>1669</v>
      </c>
      <c r="V320" s="194" t="str">
        <f t="array" ref="V320">IFERROR(IF(INDEX('Disaggregation Records'!$I$69:$I$152,MATCH(RIGHT(Q320,255),RIGHT('Disaggregation Records'!$D$69:$D$152,255),0))="","",INDEX('Disaggregation Records'!$I$69:$I$152,MATCH(RIGHT(Q320,255),RIGHT('Disaggregation Records'!$D$69:$D$152,255),0))),"")</f>
        <v/>
      </c>
      <c r="W320" s="194" t="str">
        <f>IFERROR(INDEX('Reference Records'!P$23:P$74,MATCH(LEFT(C320,255),'Reference Records'!J$23:J$74,0)),"")</f>
        <v>TB O-4⁽ᴹ⁾ Treatment success rate of RR TB and/or MDR-TB: Percentage of cases with RR and/or MDR-TB successfully treated</v>
      </c>
    </row>
    <row r="321" spans="1:23" s="194" customFormat="1" ht="40.4" customHeight="1" x14ac:dyDescent="0.35">
      <c r="A321" s="770"/>
      <c r="B321" s="767"/>
      <c r="C321" s="761"/>
      <c r="D321" s="769"/>
      <c r="E321" s="769"/>
      <c r="F321" s="208"/>
      <c r="G321" s="763"/>
      <c r="H321" s="744"/>
      <c r="I321" s="765"/>
      <c r="J321" s="730"/>
      <c r="K321" s="761"/>
      <c r="L321" s="761"/>
      <c r="M321" s="730"/>
      <c r="N321" s="730"/>
      <c r="V321" s="194" t="str">
        <f t="array" ref="V321">IFERROR(IF(INDEX('Disaggregation Records'!$I$69:$I$152,MATCH(RIGHT(Q321,255),RIGHT('Disaggregation Records'!$D$69:$D$152,255),0))="","",INDEX('Disaggregation Records'!$I$69:$I$152,MATCH(RIGHT(Q321,255),RIGHT('Disaggregation Records'!$D$69:$D$152,255),0))),"")</f>
        <v/>
      </c>
    </row>
    <row r="322" spans="1:23" s="194" customFormat="1" ht="40.4" customHeight="1" x14ac:dyDescent="0.35">
      <c r="A322" s="770" t="str">
        <f ca="1">INDIRECT("'update Helper'!C"&amp;U322)</f>
        <v>a1V3p000006jw8VEAQ</v>
      </c>
      <c r="B322" s="766">
        <v>1</v>
      </c>
      <c r="C322" s="760" t="str">
        <f>IFERROR(VLOOKUP(B322,'Outcome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22" s="768" t="str">
        <f>R322</f>
        <v/>
      </c>
      <c r="E322" s="768" t="str">
        <f>S322</f>
        <v/>
      </c>
      <c r="F322" s="413"/>
      <c r="G322" s="762" t="str">
        <f ca="1">IF(OR(INDIRECT("'update Helper'!E"&amp;U322)="",F322&lt;&gt;0,F323&lt;&gt;0),IF(IFERROR((F322/F323),"")="","",(F322/F323)),INDIRECT("'update Helper'!E"&amp;U322)/100)</f>
        <v/>
      </c>
      <c r="H322" s="743"/>
      <c r="I322" s="764"/>
      <c r="J322" s="729"/>
      <c r="K322" s="760" t="str">
        <f>W322</f>
        <v>TB O-4⁽ᴹ⁾ Treatment success rate of RR TB and/or MDR-TB: Percentage of cases with RR and/or MDR-TB successfully treated</v>
      </c>
      <c r="L322" s="760" t="str">
        <f>V322</f>
        <v/>
      </c>
      <c r="M322" s="729"/>
      <c r="N322" s="729"/>
      <c r="P322" s="194">
        <f>IF(AND(EXACT(C322,C320),C320&lt;&gt;0),P320+1,0)</f>
        <v>3</v>
      </c>
      <c r="Q322" s="194" t="str">
        <f>IF(C322&lt;&gt;"",C322&amp;"-"&amp;P322,"")</f>
        <v>TB O-4⁽ᴹ⁾ Tasa de éxito del tratamiento de los casos de tuberculosis resistente a la rifampicina y/o tuberculosis multirresistente: Porcentaje de casos de tuberculosis resistente a la rifampicina y/o tuberculosis multirresistente tratados con éxito.-3</v>
      </c>
      <c r="R322" s="194" t="str">
        <f t="array" ref="R322">IFERROR(IF(INDEX('Disaggregation Records'!$E$69:$E$152,MATCH(RIGHT(Q322,255),RIGHT('Disaggregation Records'!$D$69:$D$152,255),0))="","",INDEX('Disaggregation Records'!$E$69:$E$152,MATCH(RIGHT(Q322,255),RIGHT('Disaggregation Records'!$D$69:$D$152,255),0))),"")</f>
        <v/>
      </c>
      <c r="S322" s="194" t="str">
        <f t="array" ref="S322">IFERROR(IF(INDEX('Disaggregation Records'!$F$69:$F$152,MATCH(RIGHT(Q322,255),RIGHT('Disaggregation Records'!$D$69:$D$152,255),0))="","",INDEX('Disaggregation Records'!$F$69:$F$152,MATCH(RIGHT(Q322,255),RIGHT('Disaggregation Records'!$D$69:$D$152,255),0))),"")</f>
        <v/>
      </c>
      <c r="T322" s="194" t="str">
        <f t="array" ref="T322">IFERROR(IF(INDEX('Disaggregation Records'!$H$69:$H$152,MATCH(RIGHT(Q322,255),RIGHT('Disaggregation Records'!$D$69:$D$152,255),0))="","",INDEX('Disaggregation Records'!$H$69:$H$152,MATCH(RIGHT(Q322,255),RIGHT('Disaggregation Records'!$D$69:$D$152,255),0))),"")</f>
        <v/>
      </c>
      <c r="U322" s="194">
        <f>U320+1</f>
        <v>1670</v>
      </c>
      <c r="V322" s="194" t="str">
        <f t="array" ref="V322">IFERROR(IF(INDEX('Disaggregation Records'!$I$69:$I$152,MATCH(RIGHT(Q322,255),RIGHT('Disaggregation Records'!$D$69:$D$152,255),0))="","",INDEX('Disaggregation Records'!$I$69:$I$152,MATCH(RIGHT(Q322,255),RIGHT('Disaggregation Records'!$D$69:$D$152,255),0))),"")</f>
        <v/>
      </c>
      <c r="W322" s="194" t="str">
        <f>IFERROR(INDEX('Reference Records'!P$23:P$74,MATCH(LEFT(C322,255),'Reference Records'!J$23:J$74,0)),"")</f>
        <v>TB O-4⁽ᴹ⁾ Treatment success rate of RR TB and/or MDR-TB: Percentage of cases with RR and/or MDR-TB successfully treated</v>
      </c>
    </row>
    <row r="323" spans="1:23" s="194" customFormat="1" ht="40.4" customHeight="1" x14ac:dyDescent="0.35">
      <c r="A323" s="770"/>
      <c r="B323" s="767"/>
      <c r="C323" s="761"/>
      <c r="D323" s="769"/>
      <c r="E323" s="769"/>
      <c r="F323" s="208"/>
      <c r="G323" s="763"/>
      <c r="H323" s="744"/>
      <c r="I323" s="765"/>
      <c r="J323" s="730"/>
      <c r="K323" s="761"/>
      <c r="L323" s="761"/>
      <c r="M323" s="730"/>
      <c r="N323" s="730"/>
      <c r="V323" s="194" t="str">
        <f t="array" ref="V323">IFERROR(IF(INDEX('Disaggregation Records'!$I$69:$I$152,MATCH(RIGHT(Q323,255),RIGHT('Disaggregation Records'!$D$69:$D$152,255),0))="","",INDEX('Disaggregation Records'!$I$69:$I$152,MATCH(RIGHT(Q323,255),RIGHT('Disaggregation Records'!$D$69:$D$152,255),0))),"")</f>
        <v/>
      </c>
    </row>
    <row r="324" spans="1:23" s="194" customFormat="1" ht="40.4" customHeight="1" x14ac:dyDescent="0.35">
      <c r="A324" s="770" t="str">
        <f ca="1">INDIRECT("'update Helper'!C"&amp;U324)</f>
        <v>a1V3p000006jw8WEAQ</v>
      </c>
      <c r="B324" s="766">
        <v>1</v>
      </c>
      <c r="C324" s="760" t="str">
        <f>IFERROR(VLOOKUP(B324,'Outcome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24" s="768" t="str">
        <f>R324</f>
        <v/>
      </c>
      <c r="E324" s="768" t="str">
        <f>S324</f>
        <v/>
      </c>
      <c r="F324" s="413"/>
      <c r="G324" s="762" t="str">
        <f ca="1">IF(OR(INDIRECT("'update Helper'!E"&amp;U324)="",F324&lt;&gt;0,F325&lt;&gt;0),IF(IFERROR((F324/F325),"")="","",(F324/F325)),INDIRECT("'update Helper'!E"&amp;U324)/100)</f>
        <v/>
      </c>
      <c r="H324" s="743"/>
      <c r="I324" s="764"/>
      <c r="J324" s="729"/>
      <c r="K324" s="760" t="str">
        <f>W324</f>
        <v>TB O-4⁽ᴹ⁾ Treatment success rate of RR TB and/or MDR-TB: Percentage of cases with RR and/or MDR-TB successfully treated</v>
      </c>
      <c r="L324" s="760" t="str">
        <f>V324</f>
        <v/>
      </c>
      <c r="M324" s="729"/>
      <c r="N324" s="729"/>
      <c r="P324" s="194">
        <f>IF(AND(EXACT(C324,C322),C322&lt;&gt;0),P322+1,0)</f>
        <v>4</v>
      </c>
      <c r="Q324" s="194" t="str">
        <f>IF(C324&lt;&gt;"",C324&amp;"-"&amp;P324,"")</f>
        <v>TB O-4⁽ᴹ⁾ Tasa de éxito del tratamiento de los casos de tuberculosis resistente a la rifampicina y/o tuberculosis multirresistente: Porcentaje de casos de tuberculosis resistente a la rifampicina y/o tuberculosis multirresistente tratados con éxito.-4</v>
      </c>
      <c r="R324" s="194" t="str">
        <f t="array" ref="R324">IFERROR(IF(INDEX('Disaggregation Records'!$E$69:$E$152,MATCH(RIGHT(Q324,255),RIGHT('Disaggregation Records'!$D$69:$D$152,255),0))="","",INDEX('Disaggregation Records'!$E$69:$E$152,MATCH(RIGHT(Q324,255),RIGHT('Disaggregation Records'!$D$69:$D$152,255),0))),"")</f>
        <v/>
      </c>
      <c r="S324" s="194" t="str">
        <f t="array" ref="S324">IFERROR(IF(INDEX('Disaggregation Records'!$F$69:$F$152,MATCH(RIGHT(Q324,255),RIGHT('Disaggregation Records'!$D$69:$D$152,255),0))="","",INDEX('Disaggregation Records'!$F$69:$F$152,MATCH(RIGHT(Q324,255),RIGHT('Disaggregation Records'!$D$69:$D$152,255),0))),"")</f>
        <v/>
      </c>
      <c r="T324" s="194" t="str">
        <f t="array" ref="T324">IFERROR(IF(INDEX('Disaggregation Records'!$H$69:$H$152,MATCH(RIGHT(Q324,255),RIGHT('Disaggregation Records'!$D$69:$D$152,255),0))="","",INDEX('Disaggregation Records'!$H$69:$H$152,MATCH(RIGHT(Q324,255),RIGHT('Disaggregation Records'!$D$69:$D$152,255),0))),"")</f>
        <v/>
      </c>
      <c r="U324" s="194">
        <f>U322+1</f>
        <v>1671</v>
      </c>
      <c r="V324" s="194" t="str">
        <f t="array" ref="V324">IFERROR(IF(INDEX('Disaggregation Records'!$I$69:$I$152,MATCH(RIGHT(Q324,255),RIGHT('Disaggregation Records'!$D$69:$D$152,255),0))="","",INDEX('Disaggregation Records'!$I$69:$I$152,MATCH(RIGHT(Q324,255),RIGHT('Disaggregation Records'!$D$69:$D$152,255),0))),"")</f>
        <v/>
      </c>
      <c r="W324" s="194" t="str">
        <f>IFERROR(INDEX('Reference Records'!P$23:P$74,MATCH(LEFT(C324,255),'Reference Records'!J$23:J$74,0)),"")</f>
        <v>TB O-4⁽ᴹ⁾ Treatment success rate of RR TB and/or MDR-TB: Percentage of cases with RR and/or MDR-TB successfully treated</v>
      </c>
    </row>
    <row r="325" spans="1:23" s="194" customFormat="1" ht="40.4" customHeight="1" x14ac:dyDescent="0.35">
      <c r="A325" s="770"/>
      <c r="B325" s="767"/>
      <c r="C325" s="761"/>
      <c r="D325" s="769"/>
      <c r="E325" s="769"/>
      <c r="F325" s="208"/>
      <c r="G325" s="763"/>
      <c r="H325" s="744"/>
      <c r="I325" s="765"/>
      <c r="J325" s="730"/>
      <c r="K325" s="761"/>
      <c r="L325" s="761"/>
      <c r="M325" s="730"/>
      <c r="N325" s="730"/>
      <c r="V325" s="194" t="str">
        <f t="array" ref="V325">IFERROR(IF(INDEX('Disaggregation Records'!$I$69:$I$152,MATCH(RIGHT(Q325,255),RIGHT('Disaggregation Records'!$D$69:$D$152,255),0))="","",INDEX('Disaggregation Records'!$I$69:$I$152,MATCH(RIGHT(Q325,255),RIGHT('Disaggregation Records'!$D$69:$D$152,255),0))),"")</f>
        <v/>
      </c>
    </row>
    <row r="326" spans="1:23" s="194" customFormat="1" ht="40.4" customHeight="1" x14ac:dyDescent="0.35">
      <c r="A326" s="770" t="str">
        <f ca="1">INDIRECT("'update Helper'!C"&amp;U326)</f>
        <v>a1V3p000006jw8XEAQ</v>
      </c>
      <c r="B326" s="766">
        <v>1</v>
      </c>
      <c r="C326" s="760" t="str">
        <f>IFERROR(VLOOKUP(B326,'Outcome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26" s="768" t="str">
        <f>R326</f>
        <v/>
      </c>
      <c r="E326" s="768" t="str">
        <f>S326</f>
        <v/>
      </c>
      <c r="F326" s="413"/>
      <c r="G326" s="762" t="str">
        <f ca="1">IF(OR(INDIRECT("'update Helper'!E"&amp;U326)="",F326&lt;&gt;0,F327&lt;&gt;0),IF(IFERROR((F326/F327),"")="","",(F326/F327)),INDIRECT("'update Helper'!E"&amp;U326)/100)</f>
        <v/>
      </c>
      <c r="H326" s="743"/>
      <c r="I326" s="764"/>
      <c r="J326" s="729"/>
      <c r="K326" s="760" t="str">
        <f>W326</f>
        <v>TB O-4⁽ᴹ⁾ Treatment success rate of RR TB and/or MDR-TB: Percentage of cases with RR and/or MDR-TB successfully treated</v>
      </c>
      <c r="L326" s="760" t="str">
        <f>V326</f>
        <v/>
      </c>
      <c r="M326" s="729"/>
      <c r="N326" s="729"/>
      <c r="P326" s="194">
        <f>IF(AND(EXACT(C326,C324),C324&lt;&gt;0),P324+1,0)</f>
        <v>5</v>
      </c>
      <c r="Q326" s="194" t="str">
        <f>IF(C326&lt;&gt;"",C326&amp;"-"&amp;P326,"")</f>
        <v>TB O-4⁽ᴹ⁾ Tasa de éxito del tratamiento de los casos de tuberculosis resistente a la rifampicina y/o tuberculosis multirresistente: Porcentaje de casos de tuberculosis resistente a la rifampicina y/o tuberculosis multirresistente tratados con éxito.-5</v>
      </c>
      <c r="R326" s="194" t="str">
        <f t="array" ref="R326">IFERROR(IF(INDEX('Disaggregation Records'!$E$69:$E$152,MATCH(RIGHT(Q326,255),RIGHT('Disaggregation Records'!$D$69:$D$152,255),0))="","",INDEX('Disaggregation Records'!$E$69:$E$152,MATCH(RIGHT(Q326,255),RIGHT('Disaggregation Records'!$D$69:$D$152,255),0))),"")</f>
        <v/>
      </c>
      <c r="S326" s="194" t="str">
        <f t="array" ref="S326">IFERROR(IF(INDEX('Disaggregation Records'!$F$69:$F$152,MATCH(RIGHT(Q326,255),RIGHT('Disaggregation Records'!$D$69:$D$152,255),0))="","",INDEX('Disaggregation Records'!$F$69:$F$152,MATCH(RIGHT(Q326,255),RIGHT('Disaggregation Records'!$D$69:$D$152,255),0))),"")</f>
        <v/>
      </c>
      <c r="T326" s="194" t="str">
        <f t="array" ref="T326">IFERROR(IF(INDEX('Disaggregation Records'!$H$69:$H$152,MATCH(RIGHT(Q326,255),RIGHT('Disaggregation Records'!$D$69:$D$152,255),0))="","",INDEX('Disaggregation Records'!$H$69:$H$152,MATCH(RIGHT(Q326,255),RIGHT('Disaggregation Records'!$D$69:$D$152,255),0))),"")</f>
        <v/>
      </c>
      <c r="U326" s="194">
        <f>U324+1</f>
        <v>1672</v>
      </c>
      <c r="V326" s="194" t="str">
        <f t="array" ref="V326">IFERROR(IF(INDEX('Disaggregation Records'!$I$69:$I$152,MATCH(RIGHT(Q326,255),RIGHT('Disaggregation Records'!$D$69:$D$152,255),0))="","",INDEX('Disaggregation Records'!$I$69:$I$152,MATCH(RIGHT(Q326,255),RIGHT('Disaggregation Records'!$D$69:$D$152,255),0))),"")</f>
        <v/>
      </c>
      <c r="W326" s="194" t="str">
        <f>IFERROR(INDEX('Reference Records'!P$23:P$74,MATCH(LEFT(C326,255),'Reference Records'!J$23:J$74,0)),"")</f>
        <v>TB O-4⁽ᴹ⁾ Treatment success rate of RR TB and/or MDR-TB: Percentage of cases with RR and/or MDR-TB successfully treated</v>
      </c>
    </row>
    <row r="327" spans="1:23" s="194" customFormat="1" ht="40.4" customHeight="1" x14ac:dyDescent="0.35">
      <c r="A327" s="770"/>
      <c r="B327" s="767"/>
      <c r="C327" s="761"/>
      <c r="D327" s="769"/>
      <c r="E327" s="769"/>
      <c r="F327" s="208"/>
      <c r="G327" s="763"/>
      <c r="H327" s="744"/>
      <c r="I327" s="765"/>
      <c r="J327" s="730"/>
      <c r="K327" s="761"/>
      <c r="L327" s="761"/>
      <c r="M327" s="730"/>
      <c r="N327" s="730"/>
      <c r="V327" s="194" t="str">
        <f t="array" ref="V327">IFERROR(IF(INDEX('Disaggregation Records'!$I$69:$I$152,MATCH(RIGHT(Q327,255),RIGHT('Disaggregation Records'!$D$69:$D$152,255),0))="","",INDEX('Disaggregation Records'!$I$69:$I$152,MATCH(RIGHT(Q327,255),RIGHT('Disaggregation Records'!$D$69:$D$152,255),0))),"")</f>
        <v/>
      </c>
    </row>
    <row r="328" spans="1:23" s="194" customFormat="1" ht="40.4" customHeight="1" x14ac:dyDescent="0.35">
      <c r="A328" s="770" t="str">
        <f ca="1">INDIRECT("'update Helper'!C"&amp;U328)</f>
        <v>a1V3p000006jw8YEAQ</v>
      </c>
      <c r="B328" s="766">
        <v>1</v>
      </c>
      <c r="C328" s="760" t="str">
        <f>IFERROR(VLOOKUP(B328,'Outcome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28" s="768" t="str">
        <f>R328</f>
        <v/>
      </c>
      <c r="E328" s="768" t="str">
        <f>S328</f>
        <v/>
      </c>
      <c r="F328" s="413"/>
      <c r="G328" s="762" t="str">
        <f ca="1">IF(OR(INDIRECT("'update Helper'!E"&amp;U328)="",F328&lt;&gt;0,F329&lt;&gt;0),IF(IFERROR((F328/F329),"")="","",(F328/F329)),INDIRECT("'update Helper'!E"&amp;U328)/100)</f>
        <v/>
      </c>
      <c r="H328" s="743"/>
      <c r="I328" s="764"/>
      <c r="J328" s="729"/>
      <c r="K328" s="760" t="str">
        <f>W328</f>
        <v>TB O-4⁽ᴹ⁾ Treatment success rate of RR TB and/or MDR-TB: Percentage of cases with RR and/or MDR-TB successfully treated</v>
      </c>
      <c r="L328" s="760" t="str">
        <f>V328</f>
        <v/>
      </c>
      <c r="M328" s="729"/>
      <c r="N328" s="729"/>
      <c r="P328" s="194">
        <f>IF(AND(EXACT(C328,C326),C326&lt;&gt;0),P326+1,0)</f>
        <v>6</v>
      </c>
      <c r="Q328" s="194" t="str">
        <f>IF(C328&lt;&gt;"",C328&amp;"-"&amp;P328,"")</f>
        <v>TB O-4⁽ᴹ⁾ Tasa de éxito del tratamiento de los casos de tuberculosis resistente a la rifampicina y/o tuberculosis multirresistente: Porcentaje de casos de tuberculosis resistente a la rifampicina y/o tuberculosis multirresistente tratados con éxito.-6</v>
      </c>
      <c r="R328" s="194" t="str">
        <f t="array" ref="R328">IFERROR(IF(INDEX('Disaggregation Records'!$E$69:$E$152,MATCH(RIGHT(Q328,255),RIGHT('Disaggregation Records'!$D$69:$D$152,255),0))="","",INDEX('Disaggregation Records'!$E$69:$E$152,MATCH(RIGHT(Q328,255),RIGHT('Disaggregation Records'!$D$69:$D$152,255),0))),"")</f>
        <v/>
      </c>
      <c r="S328" s="194" t="str">
        <f t="array" ref="S328">IFERROR(IF(INDEX('Disaggregation Records'!$F$69:$F$152,MATCH(RIGHT(Q328,255),RIGHT('Disaggregation Records'!$D$69:$D$152,255),0))="","",INDEX('Disaggregation Records'!$F$69:$F$152,MATCH(RIGHT(Q328,255),RIGHT('Disaggregation Records'!$D$69:$D$152,255),0))),"")</f>
        <v/>
      </c>
      <c r="T328" s="194" t="str">
        <f t="array" ref="T328">IFERROR(IF(INDEX('Disaggregation Records'!$H$69:$H$152,MATCH(RIGHT(Q328,255),RIGHT('Disaggregation Records'!$D$69:$D$152,255),0))="","",INDEX('Disaggregation Records'!$H$69:$H$152,MATCH(RIGHT(Q328,255),RIGHT('Disaggregation Records'!$D$69:$D$152,255),0))),"")</f>
        <v/>
      </c>
      <c r="U328" s="194">
        <f>U326+1</f>
        <v>1673</v>
      </c>
      <c r="V328" s="194" t="str">
        <f t="array" ref="V328">IFERROR(IF(INDEX('Disaggregation Records'!$I$69:$I$152,MATCH(RIGHT(Q328,255),RIGHT('Disaggregation Records'!$D$69:$D$152,255),0))="","",INDEX('Disaggregation Records'!$I$69:$I$152,MATCH(RIGHT(Q328,255),RIGHT('Disaggregation Records'!$D$69:$D$152,255),0))),"")</f>
        <v/>
      </c>
      <c r="W328" s="194" t="str">
        <f>IFERROR(INDEX('Reference Records'!P$23:P$74,MATCH(LEFT(C328,255),'Reference Records'!J$23:J$74,0)),"")</f>
        <v>TB O-4⁽ᴹ⁾ Treatment success rate of RR TB and/or MDR-TB: Percentage of cases with RR and/or MDR-TB successfully treated</v>
      </c>
    </row>
    <row r="329" spans="1:23" s="194" customFormat="1" ht="40.4" customHeight="1" x14ac:dyDescent="0.35">
      <c r="A329" s="770"/>
      <c r="B329" s="767"/>
      <c r="C329" s="761"/>
      <c r="D329" s="769"/>
      <c r="E329" s="769"/>
      <c r="F329" s="208"/>
      <c r="G329" s="763"/>
      <c r="H329" s="744"/>
      <c r="I329" s="765"/>
      <c r="J329" s="730"/>
      <c r="K329" s="761"/>
      <c r="L329" s="761"/>
      <c r="M329" s="730"/>
      <c r="N329" s="730"/>
      <c r="V329" s="194" t="str">
        <f t="array" ref="V329">IFERROR(IF(INDEX('Disaggregation Records'!$I$69:$I$152,MATCH(RIGHT(Q329,255),RIGHT('Disaggregation Records'!$D$69:$D$152,255),0))="","",INDEX('Disaggregation Records'!$I$69:$I$152,MATCH(RIGHT(Q329,255),RIGHT('Disaggregation Records'!$D$69:$D$152,255),0))),"")</f>
        <v/>
      </c>
    </row>
    <row r="330" spans="1:23" s="194" customFormat="1" ht="40.4" customHeight="1" x14ac:dyDescent="0.35">
      <c r="A330" s="770" t="str">
        <f ca="1">INDIRECT("'update Helper'!C"&amp;U330)</f>
        <v>a1V3p000006jw8ZEAQ</v>
      </c>
      <c r="B330" s="766">
        <v>1</v>
      </c>
      <c r="C330" s="760" t="str">
        <f>IFERROR(VLOOKUP(B330,'Outcome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30" s="768" t="str">
        <f>R330</f>
        <v/>
      </c>
      <c r="E330" s="768" t="str">
        <f>S330</f>
        <v/>
      </c>
      <c r="F330" s="413"/>
      <c r="G330" s="762" t="str">
        <f ca="1">IF(OR(INDIRECT("'update Helper'!E"&amp;U330)="",F330&lt;&gt;0,F331&lt;&gt;0),IF(IFERROR((F330/F331),"")="","",(F330/F331)),INDIRECT("'update Helper'!E"&amp;U330)/100)</f>
        <v/>
      </c>
      <c r="H330" s="743"/>
      <c r="I330" s="764"/>
      <c r="J330" s="729"/>
      <c r="K330" s="760" t="str">
        <f>W330</f>
        <v>TB O-4⁽ᴹ⁾ Treatment success rate of RR TB and/or MDR-TB: Percentage of cases with RR and/or MDR-TB successfully treated</v>
      </c>
      <c r="L330" s="760" t="str">
        <f>V330</f>
        <v/>
      </c>
      <c r="M330" s="729"/>
      <c r="N330" s="729"/>
      <c r="P330" s="194">
        <f>IF(AND(EXACT(C330,C328),C328&lt;&gt;0),P328+1,0)</f>
        <v>7</v>
      </c>
      <c r="Q330" s="194" t="str">
        <f>IF(C330&lt;&gt;"",C330&amp;"-"&amp;P330,"")</f>
        <v>TB O-4⁽ᴹ⁾ Tasa de éxito del tratamiento de los casos de tuberculosis resistente a la rifampicina y/o tuberculosis multirresistente: Porcentaje de casos de tuberculosis resistente a la rifampicina y/o tuberculosis multirresistente tratados con éxito.-7</v>
      </c>
      <c r="R330" s="194" t="str">
        <f t="array" ref="R330">IFERROR(IF(INDEX('Disaggregation Records'!$E$69:$E$152,MATCH(RIGHT(Q330,255),RIGHT('Disaggregation Records'!$D$69:$D$152,255),0))="","",INDEX('Disaggregation Records'!$E$69:$E$152,MATCH(RIGHT(Q330,255),RIGHT('Disaggregation Records'!$D$69:$D$152,255),0))),"")</f>
        <v/>
      </c>
      <c r="S330" s="194" t="str">
        <f t="array" ref="S330">IFERROR(IF(INDEX('Disaggregation Records'!$F$69:$F$152,MATCH(RIGHT(Q330,255),RIGHT('Disaggregation Records'!$D$69:$D$152,255),0))="","",INDEX('Disaggregation Records'!$F$69:$F$152,MATCH(RIGHT(Q330,255),RIGHT('Disaggregation Records'!$D$69:$D$152,255),0))),"")</f>
        <v/>
      </c>
      <c r="T330" s="194" t="str">
        <f t="array" ref="T330">IFERROR(IF(INDEX('Disaggregation Records'!$H$69:$H$152,MATCH(RIGHT(Q330,255),RIGHT('Disaggregation Records'!$D$69:$D$152,255),0))="","",INDEX('Disaggregation Records'!$H$69:$H$152,MATCH(RIGHT(Q330,255),RIGHT('Disaggregation Records'!$D$69:$D$152,255),0))),"")</f>
        <v/>
      </c>
      <c r="U330" s="194">
        <f>U328+1</f>
        <v>1674</v>
      </c>
      <c r="V330" s="194" t="str">
        <f t="array" ref="V330">IFERROR(IF(INDEX('Disaggregation Records'!$I$69:$I$152,MATCH(RIGHT(Q330,255),RIGHT('Disaggregation Records'!$D$69:$D$152,255),0))="","",INDEX('Disaggregation Records'!$I$69:$I$152,MATCH(RIGHT(Q330,255),RIGHT('Disaggregation Records'!$D$69:$D$152,255),0))),"")</f>
        <v/>
      </c>
      <c r="W330" s="194" t="str">
        <f>IFERROR(INDEX('Reference Records'!P$23:P$74,MATCH(LEFT(C330,255),'Reference Records'!J$23:J$74,0)),"")</f>
        <v>TB O-4⁽ᴹ⁾ Treatment success rate of RR TB and/or MDR-TB: Percentage of cases with RR and/or MDR-TB successfully treated</v>
      </c>
    </row>
    <row r="331" spans="1:23" s="194" customFormat="1" ht="40.4" customHeight="1" x14ac:dyDescent="0.35">
      <c r="A331" s="770"/>
      <c r="B331" s="767"/>
      <c r="C331" s="761"/>
      <c r="D331" s="769"/>
      <c r="E331" s="769"/>
      <c r="F331" s="208"/>
      <c r="G331" s="763"/>
      <c r="H331" s="744"/>
      <c r="I331" s="765"/>
      <c r="J331" s="730"/>
      <c r="K331" s="761"/>
      <c r="L331" s="761"/>
      <c r="M331" s="730"/>
      <c r="N331" s="730"/>
      <c r="V331" s="194" t="str">
        <f t="array" ref="V331">IFERROR(IF(INDEX('Disaggregation Records'!$I$69:$I$152,MATCH(RIGHT(Q331,255),RIGHT('Disaggregation Records'!$D$69:$D$152,255),0))="","",INDEX('Disaggregation Records'!$I$69:$I$152,MATCH(RIGHT(Q331,255),RIGHT('Disaggregation Records'!$D$69:$D$152,255),0))),"")</f>
        <v/>
      </c>
    </row>
    <row r="332" spans="1:23" s="194" customFormat="1" ht="40.4" customHeight="1" x14ac:dyDescent="0.35">
      <c r="A332" s="770" t="str">
        <f ca="1">INDIRECT("'update Helper'!C"&amp;U332)</f>
        <v>a1V3p000006jw8aEAA</v>
      </c>
      <c r="B332" s="766">
        <v>1</v>
      </c>
      <c r="C332" s="760" t="str">
        <f>IFERROR(VLOOKUP(B332,'Outcome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32" s="768" t="str">
        <f>R332</f>
        <v/>
      </c>
      <c r="E332" s="768" t="str">
        <f>S332</f>
        <v/>
      </c>
      <c r="F332" s="413"/>
      <c r="G332" s="762" t="str">
        <f ca="1">IF(OR(INDIRECT("'update Helper'!E"&amp;U332)="",F332&lt;&gt;0,F333&lt;&gt;0),IF(IFERROR((F332/F333),"")="","",(F332/F333)),INDIRECT("'update Helper'!E"&amp;U332)/100)</f>
        <v/>
      </c>
      <c r="H332" s="743"/>
      <c r="I332" s="764"/>
      <c r="J332" s="729"/>
      <c r="K332" s="760" t="str">
        <f>W332</f>
        <v>TB O-4⁽ᴹ⁾ Treatment success rate of RR TB and/or MDR-TB: Percentage of cases with RR and/or MDR-TB successfully treated</v>
      </c>
      <c r="L332" s="760" t="str">
        <f>V332</f>
        <v/>
      </c>
      <c r="M332" s="729"/>
      <c r="N332" s="729"/>
      <c r="P332" s="194">
        <f>IF(AND(EXACT(C332,C330),C330&lt;&gt;0),P330+1,0)</f>
        <v>8</v>
      </c>
      <c r="Q332" s="194" t="str">
        <f>IF(C332&lt;&gt;"",C332&amp;"-"&amp;P332,"")</f>
        <v>TB O-4⁽ᴹ⁾ Tasa de éxito del tratamiento de los casos de tuberculosis resistente a la rifampicina y/o tuberculosis multirresistente: Porcentaje de casos de tuberculosis resistente a la rifampicina y/o tuberculosis multirresistente tratados con éxito.-8</v>
      </c>
      <c r="R332" s="194" t="str">
        <f t="array" ref="R332">IFERROR(IF(INDEX('Disaggregation Records'!$E$69:$E$152,MATCH(RIGHT(Q332,255),RIGHT('Disaggregation Records'!$D$69:$D$152,255),0))="","",INDEX('Disaggregation Records'!$E$69:$E$152,MATCH(RIGHT(Q332,255),RIGHT('Disaggregation Records'!$D$69:$D$152,255),0))),"")</f>
        <v/>
      </c>
      <c r="S332" s="194" t="str">
        <f t="array" ref="S332">IFERROR(IF(INDEX('Disaggregation Records'!$F$69:$F$152,MATCH(RIGHT(Q332,255),RIGHT('Disaggregation Records'!$D$69:$D$152,255),0))="","",INDEX('Disaggregation Records'!$F$69:$F$152,MATCH(RIGHT(Q332,255),RIGHT('Disaggregation Records'!$D$69:$D$152,255),0))),"")</f>
        <v/>
      </c>
      <c r="T332" s="194" t="str">
        <f t="array" ref="T332">IFERROR(IF(INDEX('Disaggregation Records'!$H$69:$H$152,MATCH(RIGHT(Q332,255),RIGHT('Disaggregation Records'!$D$69:$D$152,255),0))="","",INDEX('Disaggregation Records'!$H$69:$H$152,MATCH(RIGHT(Q332,255),RIGHT('Disaggregation Records'!$D$69:$D$152,255),0))),"")</f>
        <v/>
      </c>
      <c r="U332" s="194">
        <f>U330+1</f>
        <v>1675</v>
      </c>
      <c r="V332" s="194" t="str">
        <f t="array" ref="V332">IFERROR(IF(INDEX('Disaggregation Records'!$I$69:$I$152,MATCH(RIGHT(Q332,255),RIGHT('Disaggregation Records'!$D$69:$D$152,255),0))="","",INDEX('Disaggregation Records'!$I$69:$I$152,MATCH(RIGHT(Q332,255),RIGHT('Disaggregation Records'!$D$69:$D$152,255),0))),"")</f>
        <v/>
      </c>
      <c r="W332" s="194" t="str">
        <f>IFERROR(INDEX('Reference Records'!P$23:P$74,MATCH(LEFT(C332,255),'Reference Records'!J$23:J$74,0)),"")</f>
        <v>TB O-4⁽ᴹ⁾ Treatment success rate of RR TB and/or MDR-TB: Percentage of cases with RR and/or MDR-TB successfully treated</v>
      </c>
    </row>
    <row r="333" spans="1:23" s="194" customFormat="1" ht="40.4" customHeight="1" x14ac:dyDescent="0.35">
      <c r="A333" s="770"/>
      <c r="B333" s="767"/>
      <c r="C333" s="761"/>
      <c r="D333" s="769"/>
      <c r="E333" s="769"/>
      <c r="F333" s="208"/>
      <c r="G333" s="763"/>
      <c r="H333" s="744"/>
      <c r="I333" s="765"/>
      <c r="J333" s="730"/>
      <c r="K333" s="761"/>
      <c r="L333" s="761"/>
      <c r="M333" s="730"/>
      <c r="N333" s="730"/>
      <c r="V333" s="194" t="str">
        <f t="array" ref="V333">IFERROR(IF(INDEX('Disaggregation Records'!$I$69:$I$152,MATCH(RIGHT(Q333,255),RIGHT('Disaggregation Records'!$D$69:$D$152,255),0))="","",INDEX('Disaggregation Records'!$I$69:$I$152,MATCH(RIGHT(Q333,255),RIGHT('Disaggregation Records'!$D$69:$D$152,255),0))),"")</f>
        <v/>
      </c>
    </row>
    <row r="334" spans="1:23" s="194" customFormat="1" ht="40.4" customHeight="1" x14ac:dyDescent="0.35">
      <c r="A334" s="770" t="str">
        <f ca="1">INDIRECT("'update Helper'!C"&amp;U334)</f>
        <v>a1V3p000006jw8bEAA</v>
      </c>
      <c r="B334" s="766">
        <v>1</v>
      </c>
      <c r="C334" s="760" t="str">
        <f>IFERROR(VLOOKUP(B334,'Outcome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34" s="768" t="str">
        <f>R334</f>
        <v/>
      </c>
      <c r="E334" s="768" t="str">
        <f>S334</f>
        <v/>
      </c>
      <c r="F334" s="413"/>
      <c r="G334" s="762" t="str">
        <f ca="1">IF(OR(INDIRECT("'update Helper'!E"&amp;U334)="",F334&lt;&gt;0,F335&lt;&gt;0),IF(IFERROR((F334/F335),"")="","",(F334/F335)),INDIRECT("'update Helper'!E"&amp;U334)/100)</f>
        <v/>
      </c>
      <c r="H334" s="743"/>
      <c r="I334" s="764"/>
      <c r="J334" s="729"/>
      <c r="K334" s="760" t="str">
        <f>W334</f>
        <v>TB O-4⁽ᴹ⁾ Treatment success rate of RR TB and/or MDR-TB: Percentage of cases with RR and/or MDR-TB successfully treated</v>
      </c>
      <c r="L334" s="760" t="str">
        <f>V334</f>
        <v/>
      </c>
      <c r="M334" s="729"/>
      <c r="N334" s="729"/>
      <c r="P334" s="194">
        <f>IF(AND(EXACT(C334,C332),C332&lt;&gt;0),P332+1,0)</f>
        <v>9</v>
      </c>
      <c r="Q334" s="194" t="str">
        <f>IF(C334&lt;&gt;"",C334&amp;"-"&amp;P334,"")</f>
        <v>TB O-4⁽ᴹ⁾ Tasa de éxito del tratamiento de los casos de tuberculosis resistente a la rifampicina y/o tuberculosis multirresistente: Porcentaje de casos de tuberculosis resistente a la rifampicina y/o tuberculosis multirresistente tratados con éxito.-9</v>
      </c>
      <c r="R334" s="194" t="str">
        <f t="array" ref="R334">IFERROR(IF(INDEX('Disaggregation Records'!$E$69:$E$152,MATCH(RIGHT(Q334,255),RIGHT('Disaggregation Records'!$D$69:$D$152,255),0))="","",INDEX('Disaggregation Records'!$E$69:$E$152,MATCH(RIGHT(Q334,255),RIGHT('Disaggregation Records'!$D$69:$D$152,255),0))),"")</f>
        <v/>
      </c>
      <c r="S334" s="194" t="str">
        <f t="array" ref="S334">IFERROR(IF(INDEX('Disaggregation Records'!$F$69:$F$152,MATCH(RIGHT(Q334,255),RIGHT('Disaggregation Records'!$D$69:$D$152,255),0))="","",INDEX('Disaggregation Records'!$F$69:$F$152,MATCH(RIGHT(Q334,255),RIGHT('Disaggregation Records'!$D$69:$D$152,255),0))),"")</f>
        <v/>
      </c>
      <c r="T334" s="194" t="str">
        <f t="array" ref="T334">IFERROR(IF(INDEX('Disaggregation Records'!$H$69:$H$152,MATCH(RIGHT(Q334,255),RIGHT('Disaggregation Records'!$D$69:$D$152,255),0))="","",INDEX('Disaggregation Records'!$H$69:$H$152,MATCH(RIGHT(Q334,255),RIGHT('Disaggregation Records'!$D$69:$D$152,255),0))),"")</f>
        <v/>
      </c>
      <c r="U334" s="194">
        <f>U332+1</f>
        <v>1676</v>
      </c>
      <c r="V334" s="194" t="str">
        <f t="array" ref="V334">IFERROR(IF(INDEX('Disaggregation Records'!$I$69:$I$152,MATCH(RIGHT(Q334,255),RIGHT('Disaggregation Records'!$D$69:$D$152,255),0))="","",INDEX('Disaggregation Records'!$I$69:$I$152,MATCH(RIGHT(Q334,255),RIGHT('Disaggregation Records'!$D$69:$D$152,255),0))),"")</f>
        <v/>
      </c>
      <c r="W334" s="194" t="str">
        <f>IFERROR(INDEX('Reference Records'!P$23:P$74,MATCH(LEFT(C334,255),'Reference Records'!J$23:J$74,0)),"")</f>
        <v>TB O-4⁽ᴹ⁾ Treatment success rate of RR TB and/or MDR-TB: Percentage of cases with RR and/or MDR-TB successfully treated</v>
      </c>
    </row>
    <row r="335" spans="1:23" s="194" customFormat="1" ht="40.4" customHeight="1" x14ac:dyDescent="0.35">
      <c r="A335" s="770"/>
      <c r="B335" s="767"/>
      <c r="C335" s="761"/>
      <c r="D335" s="769"/>
      <c r="E335" s="769"/>
      <c r="F335" s="208"/>
      <c r="G335" s="763"/>
      <c r="H335" s="744"/>
      <c r="I335" s="765"/>
      <c r="J335" s="730"/>
      <c r="K335" s="761"/>
      <c r="L335" s="761"/>
      <c r="M335" s="730"/>
      <c r="N335" s="730"/>
      <c r="V335" s="194" t="str">
        <f t="array" ref="V335">IFERROR(IF(INDEX('Disaggregation Records'!$I$69:$I$152,MATCH(RIGHT(Q335,255),RIGHT('Disaggregation Records'!$D$69:$D$152,255),0))="","",INDEX('Disaggregation Records'!$I$69:$I$152,MATCH(RIGHT(Q335,255),RIGHT('Disaggregation Records'!$D$69:$D$152,255),0))),"")</f>
        <v/>
      </c>
    </row>
    <row r="336" spans="1:23" s="194" customFormat="1" ht="40.4" customHeight="1" x14ac:dyDescent="0.35">
      <c r="A336" s="770" t="str">
        <f ca="1">INDIRECT("'update Helper'!C"&amp;U336)</f>
        <v>a1V3p000006jwAsEAI</v>
      </c>
      <c r="B336" s="766">
        <v>2</v>
      </c>
      <c r="C336" s="760" t="str">
        <f>IFERROR(VLOOKUP(B336,'Outcome Indicators - Section C '!$A$9:$AF$70,32,FALSE),"")</f>
        <v>HIV O-12 Porcentaje de personas que viven con VIH que reciben tratamiento antirretroviral y tienen carga viral suprimida</v>
      </c>
      <c r="D336" s="768" t="str">
        <f>R336</f>
        <v>Género</v>
      </c>
      <c r="E336" s="768" t="str">
        <f>S336</f>
        <v>Transgénero</v>
      </c>
      <c r="F336" s="413"/>
      <c r="G336" s="762" t="str">
        <f ca="1">IF(OR(INDIRECT("'update Helper'!E"&amp;U336)="",F336&lt;&gt;0,F337&lt;&gt;0),IF(IFERROR((F336/F337),"")="","",(F336/F337)),INDIRECT("'update Helper'!E"&amp;U336)/100)</f>
        <v/>
      </c>
      <c r="H336" s="743"/>
      <c r="I336" s="764"/>
      <c r="J336" s="729"/>
      <c r="K336" s="760" t="str">
        <f>W336</f>
        <v>HIV O-12 Percentage of people living with HIV and on ART who are virologically suppressed</v>
      </c>
      <c r="L336" s="760" t="str">
        <f>V336</f>
        <v>Gender</v>
      </c>
      <c r="M336" s="729"/>
      <c r="N336" s="729"/>
      <c r="P336" s="194">
        <f>IF(AND(EXACT(C336,C334),C334&lt;&gt;0),P334+1,0)</f>
        <v>0</v>
      </c>
      <c r="Q336" s="194" t="str">
        <f>IF(C336&lt;&gt;"",C336&amp;"-"&amp;P336,"")</f>
        <v>HIV O-12 Porcentaje de personas que viven con VIH que reciben tratamiento antirretroviral y tienen carga viral suprimida-0</v>
      </c>
      <c r="R336" s="194" t="str">
        <f t="array" ref="R336">IFERROR(IF(INDEX('Disaggregation Records'!$E$69:$E$152,MATCH(RIGHT(Q336,255),RIGHT('Disaggregation Records'!$D$69:$D$152,255),0))="","",INDEX('Disaggregation Records'!$E$69:$E$152,MATCH(RIGHT(Q336,255),RIGHT('Disaggregation Records'!$D$69:$D$152,255),0))),"")</f>
        <v>Género</v>
      </c>
      <c r="S336" s="194" t="str">
        <f t="array" ref="S336">IFERROR(IF(INDEX('Disaggregation Records'!$F$69:$F$152,MATCH(RIGHT(Q336,255),RIGHT('Disaggregation Records'!$D$69:$D$152,255),0))="","",INDEX('Disaggregation Records'!$F$69:$F$152,MATCH(RIGHT(Q336,255),RIGHT('Disaggregation Records'!$D$69:$D$152,255),0))),"")</f>
        <v>Transgénero</v>
      </c>
      <c r="T336" s="194" t="str">
        <f t="array" ref="T336">IFERROR(IF(INDEX('Disaggregation Records'!$H$69:$H$152,MATCH(RIGHT(Q336,255),RIGHT('Disaggregation Records'!$D$69:$D$152,255),0))="","",INDEX('Disaggregation Records'!$H$69:$H$152,MATCH(RIGHT(Q336,255),RIGHT('Disaggregation Records'!$D$69:$D$152,255),0))),"")</f>
        <v>IDR-00800</v>
      </c>
      <c r="U336" s="194">
        <f>U334+1</f>
        <v>1677</v>
      </c>
      <c r="V336" s="194" t="str">
        <f t="array" ref="V336">IFERROR(IF(INDEX('Disaggregation Records'!$I$69:$I$152,MATCH(RIGHT(Q336,255),RIGHT('Disaggregation Records'!$D$69:$D$152,255),0))="","",INDEX('Disaggregation Records'!$I$69:$I$152,MATCH(RIGHT(Q336,255),RIGHT('Disaggregation Records'!$D$69:$D$152,255),0))),"")</f>
        <v>Gender</v>
      </c>
      <c r="W336" s="194" t="str">
        <f>IFERROR(INDEX('Reference Records'!P$23:P$74,MATCH(LEFT(C336,255),'Reference Records'!J$23:J$74,0)),"")</f>
        <v>HIV O-12 Percentage of people living with HIV and on ART who are virologically suppressed</v>
      </c>
    </row>
    <row r="337" spans="1:23" s="194" customFormat="1" ht="40.4" customHeight="1" x14ac:dyDescent="0.35">
      <c r="A337" s="770"/>
      <c r="B337" s="767"/>
      <c r="C337" s="761"/>
      <c r="D337" s="769"/>
      <c r="E337" s="769"/>
      <c r="F337" s="208"/>
      <c r="G337" s="763"/>
      <c r="H337" s="744"/>
      <c r="I337" s="765"/>
      <c r="J337" s="730"/>
      <c r="K337" s="761"/>
      <c r="L337" s="761"/>
      <c r="M337" s="730"/>
      <c r="N337" s="730"/>
      <c r="V337" s="194" t="str">
        <f t="array" ref="V337">IFERROR(IF(INDEX('Disaggregation Records'!$I$69:$I$152,MATCH(RIGHT(Q337,255),RIGHT('Disaggregation Records'!$D$69:$D$152,255),0))="","",INDEX('Disaggregation Records'!$I$69:$I$152,MATCH(RIGHT(Q337,255),RIGHT('Disaggregation Records'!$D$69:$D$152,255),0))),"")</f>
        <v/>
      </c>
    </row>
    <row r="338" spans="1:23" s="194" customFormat="1" ht="40.4" customHeight="1" x14ac:dyDescent="0.35">
      <c r="A338" s="770" t="str">
        <f ca="1">INDIRECT("'update Helper'!C"&amp;U338)</f>
        <v>a1V3p000006jwAtEAI</v>
      </c>
      <c r="B338" s="766">
        <v>2</v>
      </c>
      <c r="C338" s="760" t="str">
        <f>IFERROR(VLOOKUP(B338,'Outcome Indicators - Section C '!$A$9:$AF$70,32,FALSE),"")</f>
        <v>HIV O-12 Porcentaje de personas que viven con VIH que reciben tratamiento antirretroviral y tienen carga viral suprimida</v>
      </c>
      <c r="D338" s="768" t="str">
        <f>R338</f>
        <v>Género</v>
      </c>
      <c r="E338" s="768" t="str">
        <f>S338</f>
        <v>Mujeres</v>
      </c>
      <c r="F338" s="413"/>
      <c r="G338" s="762" t="str">
        <f ca="1">IF(OR(INDIRECT("'update Helper'!E"&amp;U338)="",F338&lt;&gt;0,F339&lt;&gt;0),IF(IFERROR((F338/F339),"")="","",(F338/F339)),INDIRECT("'update Helper'!E"&amp;U338)/100)</f>
        <v/>
      </c>
      <c r="H338" s="743"/>
      <c r="I338" s="764"/>
      <c r="J338" s="729"/>
      <c r="K338" s="760" t="str">
        <f>W338</f>
        <v>HIV O-12 Percentage of people living with HIV and on ART who are virologically suppressed</v>
      </c>
      <c r="L338" s="760" t="str">
        <f>V338</f>
        <v>Gender</v>
      </c>
      <c r="M338" s="729"/>
      <c r="N338" s="729"/>
      <c r="P338" s="194">
        <f>IF(AND(EXACT(C338,C336),C336&lt;&gt;0),P336+1,0)</f>
        <v>1</v>
      </c>
      <c r="Q338" s="194" t="str">
        <f>IF(C338&lt;&gt;"",C338&amp;"-"&amp;P338,"")</f>
        <v>HIV O-12 Porcentaje de personas que viven con VIH que reciben tratamiento antirretroviral y tienen carga viral suprimida-1</v>
      </c>
      <c r="R338" s="194" t="str">
        <f t="array" ref="R338">IFERROR(IF(INDEX('Disaggregation Records'!$E$69:$E$152,MATCH(RIGHT(Q338,255),RIGHT('Disaggregation Records'!$D$69:$D$152,255),0))="","",INDEX('Disaggregation Records'!$E$69:$E$152,MATCH(RIGHT(Q338,255),RIGHT('Disaggregation Records'!$D$69:$D$152,255),0))),"")</f>
        <v>Género</v>
      </c>
      <c r="S338" s="194" t="str">
        <f t="array" ref="S338">IFERROR(IF(INDEX('Disaggregation Records'!$F$69:$F$152,MATCH(RIGHT(Q338,255),RIGHT('Disaggregation Records'!$D$69:$D$152,255),0))="","",INDEX('Disaggregation Records'!$F$69:$F$152,MATCH(RIGHT(Q338,255),RIGHT('Disaggregation Records'!$D$69:$D$152,255),0))),"")</f>
        <v>Mujeres</v>
      </c>
      <c r="T338" s="194" t="str">
        <f t="array" ref="T338">IFERROR(IF(INDEX('Disaggregation Records'!$H$69:$H$152,MATCH(RIGHT(Q338,255),RIGHT('Disaggregation Records'!$D$69:$D$152,255),0))="","",INDEX('Disaggregation Records'!$H$69:$H$152,MATCH(RIGHT(Q338,255),RIGHT('Disaggregation Records'!$D$69:$D$152,255),0))),"")</f>
        <v>IDR-00797</v>
      </c>
      <c r="U338" s="194">
        <f>U336+1</f>
        <v>1678</v>
      </c>
      <c r="V338" s="194" t="str">
        <f t="array" ref="V338">IFERROR(IF(INDEX('Disaggregation Records'!$I$69:$I$152,MATCH(RIGHT(Q338,255),RIGHT('Disaggregation Records'!$D$69:$D$152,255),0))="","",INDEX('Disaggregation Records'!$I$69:$I$152,MATCH(RIGHT(Q338,255),RIGHT('Disaggregation Records'!$D$69:$D$152,255),0))),"")</f>
        <v>Gender</v>
      </c>
      <c r="W338" s="194" t="str">
        <f>IFERROR(INDEX('Reference Records'!P$23:P$74,MATCH(LEFT(C338,255),'Reference Records'!J$23:J$74,0)),"")</f>
        <v>HIV O-12 Percentage of people living with HIV and on ART who are virologically suppressed</v>
      </c>
    </row>
    <row r="339" spans="1:23" s="194" customFormat="1" ht="40.4" customHeight="1" x14ac:dyDescent="0.35">
      <c r="A339" s="770"/>
      <c r="B339" s="767"/>
      <c r="C339" s="761"/>
      <c r="D339" s="769"/>
      <c r="E339" s="769"/>
      <c r="F339" s="208"/>
      <c r="G339" s="763"/>
      <c r="H339" s="744"/>
      <c r="I339" s="765"/>
      <c r="J339" s="730"/>
      <c r="K339" s="761"/>
      <c r="L339" s="761"/>
      <c r="M339" s="730"/>
      <c r="N339" s="730"/>
      <c r="V339" s="194" t="str">
        <f t="array" ref="V339">IFERROR(IF(INDEX('Disaggregation Records'!$I$69:$I$152,MATCH(RIGHT(Q339,255),RIGHT('Disaggregation Records'!$D$69:$D$152,255),0))="","",INDEX('Disaggregation Records'!$I$69:$I$152,MATCH(RIGHT(Q339,255),RIGHT('Disaggregation Records'!$D$69:$D$152,255),0))),"")</f>
        <v/>
      </c>
    </row>
    <row r="340" spans="1:23" s="194" customFormat="1" ht="40.4" customHeight="1" x14ac:dyDescent="0.35">
      <c r="A340" s="770" t="str">
        <f ca="1">INDIRECT("'update Helper'!C"&amp;U340)</f>
        <v>a1V3p000006jwAuEAI</v>
      </c>
      <c r="B340" s="766">
        <v>2</v>
      </c>
      <c r="C340" s="760" t="str">
        <f>IFERROR(VLOOKUP(B340,'Outcome Indicators - Section C '!$A$9:$AF$70,32,FALSE),"")</f>
        <v>HIV O-12 Porcentaje de personas que viven con VIH que reciben tratamiento antirretroviral y tienen carga viral suprimida</v>
      </c>
      <c r="D340" s="768" t="str">
        <f>R340</f>
        <v>Género</v>
      </c>
      <c r="E340" s="768" t="str">
        <f>S340</f>
        <v>Hombres</v>
      </c>
      <c r="F340" s="413"/>
      <c r="G340" s="762" t="str">
        <f ca="1">IF(OR(INDIRECT("'update Helper'!E"&amp;U340)="",F340&lt;&gt;0,F341&lt;&gt;0),IF(IFERROR((F340/F341),"")="","",(F340/F341)),INDIRECT("'update Helper'!E"&amp;U340)/100)</f>
        <v/>
      </c>
      <c r="H340" s="743"/>
      <c r="I340" s="764"/>
      <c r="J340" s="729"/>
      <c r="K340" s="760" t="str">
        <f>W340</f>
        <v>HIV O-12 Percentage of people living with HIV and on ART who are virologically suppressed</v>
      </c>
      <c r="L340" s="760" t="str">
        <f>V340</f>
        <v>Gender</v>
      </c>
      <c r="M340" s="729"/>
      <c r="N340" s="729"/>
      <c r="P340" s="194">
        <f>IF(AND(EXACT(C340,C338),C338&lt;&gt;0),P338+1,0)</f>
        <v>2</v>
      </c>
      <c r="Q340" s="194" t="str">
        <f>IF(C340&lt;&gt;"",C340&amp;"-"&amp;P340,"")</f>
        <v>HIV O-12 Porcentaje de personas que viven con VIH que reciben tratamiento antirretroviral y tienen carga viral suprimida-2</v>
      </c>
      <c r="R340" s="194" t="str">
        <f t="array" ref="R340">IFERROR(IF(INDEX('Disaggregation Records'!$E$69:$E$152,MATCH(RIGHT(Q340,255),RIGHT('Disaggregation Records'!$D$69:$D$152,255),0))="","",INDEX('Disaggregation Records'!$E$69:$E$152,MATCH(RIGHT(Q340,255),RIGHT('Disaggregation Records'!$D$69:$D$152,255),0))),"")</f>
        <v>Género</v>
      </c>
      <c r="S340" s="194" t="str">
        <f t="array" ref="S340">IFERROR(IF(INDEX('Disaggregation Records'!$F$69:$F$152,MATCH(RIGHT(Q340,255),RIGHT('Disaggregation Records'!$D$69:$D$152,255),0))="","",INDEX('Disaggregation Records'!$F$69:$F$152,MATCH(RIGHT(Q340,255),RIGHT('Disaggregation Records'!$D$69:$D$152,255),0))),"")</f>
        <v>Hombres</v>
      </c>
      <c r="T340" s="194" t="str">
        <f t="array" ref="T340">IFERROR(IF(INDEX('Disaggregation Records'!$H$69:$H$152,MATCH(RIGHT(Q340,255),RIGHT('Disaggregation Records'!$D$69:$D$152,255),0))="","",INDEX('Disaggregation Records'!$H$69:$H$152,MATCH(RIGHT(Q340,255),RIGHT('Disaggregation Records'!$D$69:$D$152,255),0))),"")</f>
        <v>IDR-00796</v>
      </c>
      <c r="U340" s="194">
        <f>U338+1</f>
        <v>1679</v>
      </c>
      <c r="V340" s="194" t="str">
        <f t="array" ref="V340">IFERROR(IF(INDEX('Disaggregation Records'!$I$69:$I$152,MATCH(RIGHT(Q340,255),RIGHT('Disaggregation Records'!$D$69:$D$152,255),0))="","",INDEX('Disaggregation Records'!$I$69:$I$152,MATCH(RIGHT(Q340,255),RIGHT('Disaggregation Records'!$D$69:$D$152,255),0))),"")</f>
        <v>Gender</v>
      </c>
      <c r="W340" s="194" t="str">
        <f>IFERROR(INDEX('Reference Records'!P$23:P$74,MATCH(LEFT(C340,255),'Reference Records'!J$23:J$74,0)),"")</f>
        <v>HIV O-12 Percentage of people living with HIV and on ART who are virologically suppressed</v>
      </c>
    </row>
    <row r="341" spans="1:23" s="194" customFormat="1" ht="40.4" customHeight="1" x14ac:dyDescent="0.35">
      <c r="A341" s="770"/>
      <c r="B341" s="767"/>
      <c r="C341" s="761"/>
      <c r="D341" s="769"/>
      <c r="E341" s="769"/>
      <c r="F341" s="208"/>
      <c r="G341" s="763"/>
      <c r="H341" s="744"/>
      <c r="I341" s="765"/>
      <c r="J341" s="730"/>
      <c r="K341" s="761"/>
      <c r="L341" s="761"/>
      <c r="M341" s="730"/>
      <c r="N341" s="730"/>
      <c r="V341" s="194" t="str">
        <f t="array" ref="V341">IFERROR(IF(INDEX('Disaggregation Records'!$I$69:$I$152,MATCH(RIGHT(Q341,255),RIGHT('Disaggregation Records'!$D$69:$D$152,255),0))="","",INDEX('Disaggregation Records'!$I$69:$I$152,MATCH(RIGHT(Q341,255),RIGHT('Disaggregation Records'!$D$69:$D$152,255),0))),"")</f>
        <v/>
      </c>
    </row>
    <row r="342" spans="1:23" s="194" customFormat="1" ht="40.4" customHeight="1" x14ac:dyDescent="0.35">
      <c r="A342" s="770" t="str">
        <f ca="1">INDIRECT("'update Helper'!C"&amp;U342)</f>
        <v>a1V3p000006jwAvEAI</v>
      </c>
      <c r="B342" s="766">
        <v>2</v>
      </c>
      <c r="C342" s="760" t="str">
        <f>IFERROR(VLOOKUP(B342,'Outcome Indicators - Section C '!$A$9:$AF$70,32,FALSE),"")</f>
        <v>HIV O-12 Porcentaje de personas que viven con VIH que reciben tratamiento antirretroviral y tienen carga viral suprimida</v>
      </c>
      <c r="D342" s="768" t="str">
        <f>R342</f>
        <v/>
      </c>
      <c r="E342" s="768" t="str">
        <f>S342</f>
        <v/>
      </c>
      <c r="F342" s="413"/>
      <c r="G342" s="762" t="str">
        <f ca="1">IF(OR(INDIRECT("'update Helper'!E"&amp;U342)="",F342&lt;&gt;0,F343&lt;&gt;0),IF(IFERROR((F342/F343),"")="","",(F342/F343)),INDIRECT("'update Helper'!E"&amp;U342)/100)</f>
        <v/>
      </c>
      <c r="H342" s="743"/>
      <c r="I342" s="764"/>
      <c r="J342" s="729"/>
      <c r="K342" s="760" t="str">
        <f>W342</f>
        <v>HIV O-12 Percentage of people living with HIV and on ART who are virologically suppressed</v>
      </c>
      <c r="L342" s="760" t="str">
        <f>V342</f>
        <v/>
      </c>
      <c r="M342" s="729"/>
      <c r="N342" s="729"/>
      <c r="P342" s="194">
        <f>IF(AND(EXACT(C342,C340),C340&lt;&gt;0),P340+1,0)</f>
        <v>3</v>
      </c>
      <c r="Q342" s="194" t="str">
        <f>IF(C342&lt;&gt;"",C342&amp;"-"&amp;P342,"")</f>
        <v>HIV O-12 Porcentaje de personas que viven con VIH que reciben tratamiento antirretroviral y tienen carga viral suprimida-3</v>
      </c>
      <c r="R342" s="194" t="str">
        <f t="array" ref="R342">IFERROR(IF(INDEX('Disaggregation Records'!$E$69:$E$152,MATCH(RIGHT(Q342,255),RIGHT('Disaggregation Records'!$D$69:$D$152,255),0))="","",INDEX('Disaggregation Records'!$E$69:$E$152,MATCH(RIGHT(Q342,255),RIGHT('Disaggregation Records'!$D$69:$D$152,255),0))),"")</f>
        <v/>
      </c>
      <c r="S342" s="194" t="str">
        <f t="array" ref="S342">IFERROR(IF(INDEX('Disaggregation Records'!$F$69:$F$152,MATCH(RIGHT(Q342,255),RIGHT('Disaggregation Records'!$D$69:$D$152,255),0))="","",INDEX('Disaggregation Records'!$F$69:$F$152,MATCH(RIGHT(Q342,255),RIGHT('Disaggregation Records'!$D$69:$D$152,255),0))),"")</f>
        <v/>
      </c>
      <c r="T342" s="194" t="str">
        <f t="array" ref="T342">IFERROR(IF(INDEX('Disaggregation Records'!$H$69:$H$152,MATCH(RIGHT(Q342,255),RIGHT('Disaggregation Records'!$D$69:$D$152,255),0))="","",INDEX('Disaggregation Records'!$H$69:$H$152,MATCH(RIGHT(Q342,255),RIGHT('Disaggregation Records'!$D$69:$D$152,255),0))),"")</f>
        <v/>
      </c>
      <c r="U342" s="194">
        <f>U340+1</f>
        <v>1680</v>
      </c>
      <c r="V342" s="194" t="str">
        <f t="array" ref="V342">IFERROR(IF(INDEX('Disaggregation Records'!$I$69:$I$152,MATCH(RIGHT(Q342,255),RIGHT('Disaggregation Records'!$D$69:$D$152,255),0))="","",INDEX('Disaggregation Records'!$I$69:$I$152,MATCH(RIGHT(Q342,255),RIGHT('Disaggregation Records'!$D$69:$D$152,255),0))),"")</f>
        <v/>
      </c>
      <c r="W342" s="194" t="str">
        <f>IFERROR(INDEX('Reference Records'!P$23:P$74,MATCH(LEFT(C342,255),'Reference Records'!J$23:J$74,0)),"")</f>
        <v>HIV O-12 Percentage of people living with HIV and on ART who are virologically suppressed</v>
      </c>
    </row>
    <row r="343" spans="1:23" s="194" customFormat="1" ht="40.4" customHeight="1" x14ac:dyDescent="0.35">
      <c r="A343" s="770"/>
      <c r="B343" s="767"/>
      <c r="C343" s="761"/>
      <c r="D343" s="769"/>
      <c r="E343" s="769"/>
      <c r="F343" s="208"/>
      <c r="G343" s="763"/>
      <c r="H343" s="744"/>
      <c r="I343" s="765"/>
      <c r="J343" s="730"/>
      <c r="K343" s="761"/>
      <c r="L343" s="761"/>
      <c r="M343" s="730"/>
      <c r="N343" s="730"/>
      <c r="V343" s="194" t="str">
        <f t="array" ref="V343">IFERROR(IF(INDEX('Disaggregation Records'!$I$69:$I$152,MATCH(RIGHT(Q343,255),RIGHT('Disaggregation Records'!$D$69:$D$152,255),0))="","",INDEX('Disaggregation Records'!$I$69:$I$152,MATCH(RIGHT(Q343,255),RIGHT('Disaggregation Records'!$D$69:$D$152,255),0))),"")</f>
        <v/>
      </c>
    </row>
    <row r="344" spans="1:23" s="194" customFormat="1" ht="40.4" customHeight="1" x14ac:dyDescent="0.35">
      <c r="A344" s="770" t="str">
        <f ca="1">INDIRECT("'update Helper'!C"&amp;U344)</f>
        <v>a1V3p000006jwAwEAI</v>
      </c>
      <c r="B344" s="766">
        <v>2</v>
      </c>
      <c r="C344" s="760" t="str">
        <f>IFERROR(VLOOKUP(B344,'Outcome Indicators - Section C '!$A$9:$AF$70,32,FALSE),"")</f>
        <v>HIV O-12 Porcentaje de personas que viven con VIH que reciben tratamiento antirretroviral y tienen carga viral suprimida</v>
      </c>
      <c r="D344" s="768" t="str">
        <f>R344</f>
        <v/>
      </c>
      <c r="E344" s="768" t="str">
        <f>S344</f>
        <v/>
      </c>
      <c r="F344" s="413"/>
      <c r="G344" s="762" t="str">
        <f ca="1">IF(OR(INDIRECT("'update Helper'!E"&amp;U344)="",F344&lt;&gt;0,F345&lt;&gt;0),IF(IFERROR((F344/F345),"")="","",(F344/F345)),INDIRECT("'update Helper'!E"&amp;U344)/100)</f>
        <v/>
      </c>
      <c r="H344" s="743"/>
      <c r="I344" s="764"/>
      <c r="J344" s="729"/>
      <c r="K344" s="760" t="str">
        <f>W344</f>
        <v>HIV O-12 Percentage of people living with HIV and on ART who are virologically suppressed</v>
      </c>
      <c r="L344" s="760" t="str">
        <f>V344</f>
        <v/>
      </c>
      <c r="M344" s="729"/>
      <c r="N344" s="729"/>
      <c r="P344" s="194">
        <f>IF(AND(EXACT(C344,C342),C342&lt;&gt;0),P342+1,0)</f>
        <v>4</v>
      </c>
      <c r="Q344" s="194" t="str">
        <f>IF(C344&lt;&gt;"",C344&amp;"-"&amp;P344,"")</f>
        <v>HIV O-12 Porcentaje de personas que viven con VIH que reciben tratamiento antirretroviral y tienen carga viral suprimida-4</v>
      </c>
      <c r="R344" s="194" t="str">
        <f t="array" ref="R344">IFERROR(IF(INDEX('Disaggregation Records'!$E$69:$E$152,MATCH(RIGHT(Q344,255),RIGHT('Disaggregation Records'!$D$69:$D$152,255),0))="","",INDEX('Disaggregation Records'!$E$69:$E$152,MATCH(RIGHT(Q344,255),RIGHT('Disaggregation Records'!$D$69:$D$152,255),0))),"")</f>
        <v/>
      </c>
      <c r="S344" s="194" t="str">
        <f t="array" ref="S344">IFERROR(IF(INDEX('Disaggregation Records'!$F$69:$F$152,MATCH(RIGHT(Q344,255),RIGHT('Disaggregation Records'!$D$69:$D$152,255),0))="","",INDEX('Disaggregation Records'!$F$69:$F$152,MATCH(RIGHT(Q344,255),RIGHT('Disaggregation Records'!$D$69:$D$152,255),0))),"")</f>
        <v/>
      </c>
      <c r="T344" s="194" t="str">
        <f t="array" ref="T344">IFERROR(IF(INDEX('Disaggregation Records'!$H$69:$H$152,MATCH(RIGHT(Q344,255),RIGHT('Disaggregation Records'!$D$69:$D$152,255),0))="","",INDEX('Disaggregation Records'!$H$69:$H$152,MATCH(RIGHT(Q344,255),RIGHT('Disaggregation Records'!$D$69:$D$152,255),0))),"")</f>
        <v/>
      </c>
      <c r="U344" s="194">
        <f>U342+1</f>
        <v>1681</v>
      </c>
      <c r="V344" s="194" t="str">
        <f t="array" ref="V344">IFERROR(IF(INDEX('Disaggregation Records'!$I$69:$I$152,MATCH(RIGHT(Q344,255),RIGHT('Disaggregation Records'!$D$69:$D$152,255),0))="","",INDEX('Disaggregation Records'!$I$69:$I$152,MATCH(RIGHT(Q344,255),RIGHT('Disaggregation Records'!$D$69:$D$152,255),0))),"")</f>
        <v/>
      </c>
      <c r="W344" s="194" t="str">
        <f>IFERROR(INDEX('Reference Records'!P$23:P$74,MATCH(LEFT(C344,255),'Reference Records'!J$23:J$74,0)),"")</f>
        <v>HIV O-12 Percentage of people living with HIV and on ART who are virologically suppressed</v>
      </c>
    </row>
    <row r="345" spans="1:23" s="194" customFormat="1" ht="40.4" customHeight="1" x14ac:dyDescent="0.35">
      <c r="A345" s="770"/>
      <c r="B345" s="767"/>
      <c r="C345" s="761"/>
      <c r="D345" s="769"/>
      <c r="E345" s="769"/>
      <c r="F345" s="208"/>
      <c r="G345" s="763"/>
      <c r="H345" s="744"/>
      <c r="I345" s="765"/>
      <c r="J345" s="730"/>
      <c r="K345" s="761"/>
      <c r="L345" s="761"/>
      <c r="M345" s="730"/>
      <c r="N345" s="730"/>
      <c r="V345" s="194" t="str">
        <f t="array" ref="V345">IFERROR(IF(INDEX('Disaggregation Records'!$I$69:$I$152,MATCH(RIGHT(Q345,255),RIGHT('Disaggregation Records'!$D$69:$D$152,255),0))="","",INDEX('Disaggregation Records'!$I$69:$I$152,MATCH(RIGHT(Q345,255),RIGHT('Disaggregation Records'!$D$69:$D$152,255),0))),"")</f>
        <v/>
      </c>
    </row>
    <row r="346" spans="1:23" s="194" customFormat="1" ht="40.4" customHeight="1" x14ac:dyDescent="0.35">
      <c r="A346" s="770" t="str">
        <f ca="1">INDIRECT("'update Helper'!C"&amp;U346)</f>
        <v>a1V3p000006jwAxEAI</v>
      </c>
      <c r="B346" s="766">
        <v>2</v>
      </c>
      <c r="C346" s="760" t="str">
        <f>IFERROR(VLOOKUP(B346,'Outcome Indicators - Section C '!$A$9:$AF$70,32,FALSE),"")</f>
        <v>HIV O-12 Porcentaje de personas que viven con VIH que reciben tratamiento antirretroviral y tienen carga viral suprimida</v>
      </c>
      <c r="D346" s="768" t="str">
        <f>R346</f>
        <v/>
      </c>
      <c r="E346" s="768" t="str">
        <f>S346</f>
        <v/>
      </c>
      <c r="F346" s="413"/>
      <c r="G346" s="762" t="str">
        <f ca="1">IF(OR(INDIRECT("'update Helper'!E"&amp;U346)="",F346&lt;&gt;0,F347&lt;&gt;0),IF(IFERROR((F346/F347),"")="","",(F346/F347)),INDIRECT("'update Helper'!E"&amp;U346)/100)</f>
        <v/>
      </c>
      <c r="H346" s="743"/>
      <c r="I346" s="764"/>
      <c r="J346" s="729"/>
      <c r="K346" s="760" t="str">
        <f>W346</f>
        <v>HIV O-12 Percentage of people living with HIV and on ART who are virologically suppressed</v>
      </c>
      <c r="L346" s="760" t="str">
        <f>V346</f>
        <v/>
      </c>
      <c r="M346" s="729"/>
      <c r="N346" s="729"/>
      <c r="P346" s="194">
        <f>IF(AND(EXACT(C346,C344),C344&lt;&gt;0),P344+1,0)</f>
        <v>5</v>
      </c>
      <c r="Q346" s="194" t="str">
        <f>IF(C346&lt;&gt;"",C346&amp;"-"&amp;P346,"")</f>
        <v>HIV O-12 Porcentaje de personas que viven con VIH que reciben tratamiento antirretroviral y tienen carga viral suprimida-5</v>
      </c>
      <c r="R346" s="194" t="str">
        <f t="array" ref="R346">IFERROR(IF(INDEX('Disaggregation Records'!$E$69:$E$152,MATCH(RIGHT(Q346,255),RIGHT('Disaggregation Records'!$D$69:$D$152,255),0))="","",INDEX('Disaggregation Records'!$E$69:$E$152,MATCH(RIGHT(Q346,255),RIGHT('Disaggregation Records'!$D$69:$D$152,255),0))),"")</f>
        <v/>
      </c>
      <c r="S346" s="194" t="str">
        <f t="array" ref="S346">IFERROR(IF(INDEX('Disaggregation Records'!$F$69:$F$152,MATCH(RIGHT(Q346,255),RIGHT('Disaggregation Records'!$D$69:$D$152,255),0))="","",INDEX('Disaggregation Records'!$F$69:$F$152,MATCH(RIGHT(Q346,255),RIGHT('Disaggregation Records'!$D$69:$D$152,255),0))),"")</f>
        <v/>
      </c>
      <c r="T346" s="194" t="str">
        <f t="array" ref="T346">IFERROR(IF(INDEX('Disaggregation Records'!$H$69:$H$152,MATCH(RIGHT(Q346,255),RIGHT('Disaggregation Records'!$D$69:$D$152,255),0))="","",INDEX('Disaggregation Records'!$H$69:$H$152,MATCH(RIGHT(Q346,255),RIGHT('Disaggregation Records'!$D$69:$D$152,255),0))),"")</f>
        <v/>
      </c>
      <c r="U346" s="194">
        <f>U344+1</f>
        <v>1682</v>
      </c>
      <c r="V346" s="194" t="str">
        <f t="array" ref="V346">IFERROR(IF(INDEX('Disaggregation Records'!$I$69:$I$152,MATCH(RIGHT(Q346,255),RIGHT('Disaggregation Records'!$D$69:$D$152,255),0))="","",INDEX('Disaggregation Records'!$I$69:$I$152,MATCH(RIGHT(Q346,255),RIGHT('Disaggregation Records'!$D$69:$D$152,255),0))),"")</f>
        <v/>
      </c>
      <c r="W346" s="194" t="str">
        <f>IFERROR(INDEX('Reference Records'!P$23:P$74,MATCH(LEFT(C346,255),'Reference Records'!J$23:J$74,0)),"")</f>
        <v>HIV O-12 Percentage of people living with HIV and on ART who are virologically suppressed</v>
      </c>
    </row>
    <row r="347" spans="1:23" s="194" customFormat="1" ht="40.4" customHeight="1" x14ac:dyDescent="0.35">
      <c r="A347" s="770"/>
      <c r="B347" s="767"/>
      <c r="C347" s="761"/>
      <c r="D347" s="769"/>
      <c r="E347" s="769"/>
      <c r="F347" s="208"/>
      <c r="G347" s="763"/>
      <c r="H347" s="744"/>
      <c r="I347" s="765"/>
      <c r="J347" s="730"/>
      <c r="K347" s="761"/>
      <c r="L347" s="761"/>
      <c r="M347" s="730"/>
      <c r="N347" s="730"/>
      <c r="V347" s="194" t="str">
        <f t="array" ref="V347">IFERROR(IF(INDEX('Disaggregation Records'!$I$69:$I$152,MATCH(RIGHT(Q347,255),RIGHT('Disaggregation Records'!$D$69:$D$152,255),0))="","",INDEX('Disaggregation Records'!$I$69:$I$152,MATCH(RIGHT(Q347,255),RIGHT('Disaggregation Records'!$D$69:$D$152,255),0))),"")</f>
        <v/>
      </c>
    </row>
    <row r="348" spans="1:23" s="194" customFormat="1" ht="40.4" customHeight="1" x14ac:dyDescent="0.35">
      <c r="A348" s="770" t="str">
        <f ca="1">INDIRECT("'update Helper'!C"&amp;U348)</f>
        <v>a1V3p000006jwAyEAI</v>
      </c>
      <c r="B348" s="766">
        <v>2</v>
      </c>
      <c r="C348" s="760" t="str">
        <f>IFERROR(VLOOKUP(B348,'Outcome Indicators - Section C '!$A$9:$AF$70,32,FALSE),"")</f>
        <v>HIV O-12 Porcentaje de personas que viven con VIH que reciben tratamiento antirretroviral y tienen carga viral suprimida</v>
      </c>
      <c r="D348" s="768" t="str">
        <f>R348</f>
        <v/>
      </c>
      <c r="E348" s="768" t="str">
        <f>S348</f>
        <v/>
      </c>
      <c r="F348" s="413"/>
      <c r="G348" s="762" t="str">
        <f ca="1">IF(OR(INDIRECT("'update Helper'!E"&amp;U348)="",F348&lt;&gt;0,F349&lt;&gt;0),IF(IFERROR((F348/F349),"")="","",(F348/F349)),INDIRECT("'update Helper'!E"&amp;U348)/100)</f>
        <v/>
      </c>
      <c r="H348" s="743"/>
      <c r="I348" s="764"/>
      <c r="J348" s="729"/>
      <c r="K348" s="760" t="str">
        <f>W348</f>
        <v>HIV O-12 Percentage of people living with HIV and on ART who are virologically suppressed</v>
      </c>
      <c r="L348" s="760" t="str">
        <f>V348</f>
        <v/>
      </c>
      <c r="M348" s="729"/>
      <c r="N348" s="729"/>
      <c r="P348" s="194">
        <f>IF(AND(EXACT(C348,C346),C346&lt;&gt;0),P346+1,0)</f>
        <v>6</v>
      </c>
      <c r="Q348" s="194" t="str">
        <f>IF(C348&lt;&gt;"",C348&amp;"-"&amp;P348,"")</f>
        <v>HIV O-12 Porcentaje de personas que viven con VIH que reciben tratamiento antirretroviral y tienen carga viral suprimida-6</v>
      </c>
      <c r="R348" s="194" t="str">
        <f t="array" ref="R348">IFERROR(IF(INDEX('Disaggregation Records'!$E$69:$E$152,MATCH(RIGHT(Q348,255),RIGHT('Disaggregation Records'!$D$69:$D$152,255),0))="","",INDEX('Disaggregation Records'!$E$69:$E$152,MATCH(RIGHT(Q348,255),RIGHT('Disaggregation Records'!$D$69:$D$152,255),0))),"")</f>
        <v/>
      </c>
      <c r="S348" s="194" t="str">
        <f t="array" ref="S348">IFERROR(IF(INDEX('Disaggregation Records'!$F$69:$F$152,MATCH(RIGHT(Q348,255),RIGHT('Disaggregation Records'!$D$69:$D$152,255),0))="","",INDEX('Disaggregation Records'!$F$69:$F$152,MATCH(RIGHT(Q348,255),RIGHT('Disaggregation Records'!$D$69:$D$152,255),0))),"")</f>
        <v/>
      </c>
      <c r="T348" s="194" t="str">
        <f t="array" ref="T348">IFERROR(IF(INDEX('Disaggregation Records'!$H$69:$H$152,MATCH(RIGHT(Q348,255),RIGHT('Disaggregation Records'!$D$69:$D$152,255),0))="","",INDEX('Disaggregation Records'!$H$69:$H$152,MATCH(RIGHT(Q348,255),RIGHT('Disaggregation Records'!$D$69:$D$152,255),0))),"")</f>
        <v/>
      </c>
      <c r="U348" s="194">
        <f>U346+1</f>
        <v>1683</v>
      </c>
      <c r="V348" s="194" t="str">
        <f t="array" ref="V348">IFERROR(IF(INDEX('Disaggregation Records'!$I$69:$I$152,MATCH(RIGHT(Q348,255),RIGHT('Disaggregation Records'!$D$69:$D$152,255),0))="","",INDEX('Disaggregation Records'!$I$69:$I$152,MATCH(RIGHT(Q348,255),RIGHT('Disaggregation Records'!$D$69:$D$152,255),0))),"")</f>
        <v/>
      </c>
      <c r="W348" s="194" t="str">
        <f>IFERROR(INDEX('Reference Records'!P$23:P$74,MATCH(LEFT(C348,255),'Reference Records'!J$23:J$74,0)),"")</f>
        <v>HIV O-12 Percentage of people living with HIV and on ART who are virologically suppressed</v>
      </c>
    </row>
    <row r="349" spans="1:23" s="194" customFormat="1" ht="40.4" customHeight="1" x14ac:dyDescent="0.35">
      <c r="A349" s="770"/>
      <c r="B349" s="767"/>
      <c r="C349" s="761"/>
      <c r="D349" s="769"/>
      <c r="E349" s="769"/>
      <c r="F349" s="208"/>
      <c r="G349" s="763"/>
      <c r="H349" s="744"/>
      <c r="I349" s="765"/>
      <c r="J349" s="730"/>
      <c r="K349" s="761"/>
      <c r="L349" s="761"/>
      <c r="M349" s="730"/>
      <c r="N349" s="730"/>
      <c r="V349" s="194" t="str">
        <f t="array" ref="V349">IFERROR(IF(INDEX('Disaggregation Records'!$I$69:$I$152,MATCH(RIGHT(Q349,255),RIGHT('Disaggregation Records'!$D$69:$D$152,255),0))="","",INDEX('Disaggregation Records'!$I$69:$I$152,MATCH(RIGHT(Q349,255),RIGHT('Disaggregation Records'!$D$69:$D$152,255),0))),"")</f>
        <v/>
      </c>
    </row>
    <row r="350" spans="1:23" s="194" customFormat="1" ht="40.4" customHeight="1" x14ac:dyDescent="0.35">
      <c r="A350" s="770" t="str">
        <f ca="1">INDIRECT("'update Helper'!C"&amp;U350)</f>
        <v>a1V3p000006jwAzEAI</v>
      </c>
      <c r="B350" s="766">
        <v>2</v>
      </c>
      <c r="C350" s="760" t="str">
        <f>IFERROR(VLOOKUP(B350,'Outcome Indicators - Section C '!$A$9:$AF$70,32,FALSE),"")</f>
        <v>HIV O-12 Porcentaje de personas que viven con VIH que reciben tratamiento antirretroviral y tienen carga viral suprimida</v>
      </c>
      <c r="D350" s="768" t="str">
        <f>R350</f>
        <v/>
      </c>
      <c r="E350" s="768" t="str">
        <f>S350</f>
        <v/>
      </c>
      <c r="F350" s="413"/>
      <c r="G350" s="762" t="str">
        <f ca="1">IF(OR(INDIRECT("'update Helper'!E"&amp;U350)="",F350&lt;&gt;0,F351&lt;&gt;0),IF(IFERROR((F350/F351),"")="","",(F350/F351)),INDIRECT("'update Helper'!E"&amp;U350)/100)</f>
        <v/>
      </c>
      <c r="H350" s="743"/>
      <c r="I350" s="764"/>
      <c r="J350" s="729"/>
      <c r="K350" s="760" t="str">
        <f>W350</f>
        <v>HIV O-12 Percentage of people living with HIV and on ART who are virologically suppressed</v>
      </c>
      <c r="L350" s="760" t="str">
        <f>V350</f>
        <v/>
      </c>
      <c r="M350" s="729"/>
      <c r="N350" s="729"/>
      <c r="P350" s="194">
        <f>IF(AND(EXACT(C350,C348),C348&lt;&gt;0),P348+1,0)</f>
        <v>7</v>
      </c>
      <c r="Q350" s="194" t="str">
        <f>IF(C350&lt;&gt;"",C350&amp;"-"&amp;P350,"")</f>
        <v>HIV O-12 Porcentaje de personas que viven con VIH que reciben tratamiento antirretroviral y tienen carga viral suprimida-7</v>
      </c>
      <c r="R350" s="194" t="str">
        <f t="array" ref="R350">IFERROR(IF(INDEX('Disaggregation Records'!$E$69:$E$152,MATCH(RIGHT(Q350,255),RIGHT('Disaggregation Records'!$D$69:$D$152,255),0))="","",INDEX('Disaggregation Records'!$E$69:$E$152,MATCH(RIGHT(Q350,255),RIGHT('Disaggregation Records'!$D$69:$D$152,255),0))),"")</f>
        <v/>
      </c>
      <c r="S350" s="194" t="str">
        <f t="array" ref="S350">IFERROR(IF(INDEX('Disaggregation Records'!$F$69:$F$152,MATCH(RIGHT(Q350,255),RIGHT('Disaggregation Records'!$D$69:$D$152,255),0))="","",INDEX('Disaggregation Records'!$F$69:$F$152,MATCH(RIGHT(Q350,255),RIGHT('Disaggregation Records'!$D$69:$D$152,255),0))),"")</f>
        <v/>
      </c>
      <c r="T350" s="194" t="str">
        <f t="array" ref="T350">IFERROR(IF(INDEX('Disaggregation Records'!$H$69:$H$152,MATCH(RIGHT(Q350,255),RIGHT('Disaggregation Records'!$D$69:$D$152,255),0))="","",INDEX('Disaggregation Records'!$H$69:$H$152,MATCH(RIGHT(Q350,255),RIGHT('Disaggregation Records'!$D$69:$D$152,255),0))),"")</f>
        <v/>
      </c>
      <c r="U350" s="194">
        <f>U348+1</f>
        <v>1684</v>
      </c>
      <c r="V350" s="194" t="str">
        <f t="array" ref="V350">IFERROR(IF(INDEX('Disaggregation Records'!$I$69:$I$152,MATCH(RIGHT(Q350,255),RIGHT('Disaggregation Records'!$D$69:$D$152,255),0))="","",INDEX('Disaggregation Records'!$I$69:$I$152,MATCH(RIGHT(Q350,255),RIGHT('Disaggregation Records'!$D$69:$D$152,255),0))),"")</f>
        <v/>
      </c>
      <c r="W350" s="194" t="str">
        <f>IFERROR(INDEX('Reference Records'!P$23:P$74,MATCH(LEFT(C350,255),'Reference Records'!J$23:J$74,0)),"")</f>
        <v>HIV O-12 Percentage of people living with HIV and on ART who are virologically suppressed</v>
      </c>
    </row>
    <row r="351" spans="1:23" s="194" customFormat="1" ht="40.4" customHeight="1" x14ac:dyDescent="0.35">
      <c r="A351" s="770"/>
      <c r="B351" s="767"/>
      <c r="C351" s="761"/>
      <c r="D351" s="769"/>
      <c r="E351" s="769"/>
      <c r="F351" s="208"/>
      <c r="G351" s="763"/>
      <c r="H351" s="744"/>
      <c r="I351" s="765"/>
      <c r="J351" s="730"/>
      <c r="K351" s="761"/>
      <c r="L351" s="761"/>
      <c r="M351" s="730"/>
      <c r="N351" s="730"/>
      <c r="V351" s="194" t="str">
        <f t="array" ref="V351">IFERROR(IF(INDEX('Disaggregation Records'!$I$69:$I$152,MATCH(RIGHT(Q351,255),RIGHT('Disaggregation Records'!$D$69:$D$152,255),0))="","",INDEX('Disaggregation Records'!$I$69:$I$152,MATCH(RIGHT(Q351,255),RIGHT('Disaggregation Records'!$D$69:$D$152,255),0))),"")</f>
        <v/>
      </c>
    </row>
    <row r="352" spans="1:23" s="194" customFormat="1" ht="40.4" customHeight="1" x14ac:dyDescent="0.35">
      <c r="A352" s="770" t="str">
        <f ca="1">INDIRECT("'update Helper'!C"&amp;U352)</f>
        <v>a1V3p000006jwB0EAI</v>
      </c>
      <c r="B352" s="766">
        <v>2</v>
      </c>
      <c r="C352" s="760" t="str">
        <f>IFERROR(VLOOKUP(B352,'Outcome Indicators - Section C '!$A$9:$AF$70,32,FALSE),"")</f>
        <v>HIV O-12 Porcentaje de personas que viven con VIH que reciben tratamiento antirretroviral y tienen carga viral suprimida</v>
      </c>
      <c r="D352" s="768" t="str">
        <f>R352</f>
        <v/>
      </c>
      <c r="E352" s="768" t="str">
        <f>S352</f>
        <v/>
      </c>
      <c r="F352" s="413"/>
      <c r="G352" s="762" t="str">
        <f ca="1">IF(OR(INDIRECT("'update Helper'!E"&amp;U352)="",F352&lt;&gt;0,F353&lt;&gt;0),IF(IFERROR((F352/F353),"")="","",(F352/F353)),INDIRECT("'update Helper'!E"&amp;U352)/100)</f>
        <v/>
      </c>
      <c r="H352" s="743"/>
      <c r="I352" s="764"/>
      <c r="J352" s="729"/>
      <c r="K352" s="760" t="str">
        <f>W352</f>
        <v>HIV O-12 Percentage of people living with HIV and on ART who are virologically suppressed</v>
      </c>
      <c r="L352" s="760" t="str">
        <f>V352</f>
        <v/>
      </c>
      <c r="M352" s="729"/>
      <c r="N352" s="729"/>
      <c r="P352" s="194">
        <f>IF(AND(EXACT(C352,C350),C350&lt;&gt;0),P350+1,0)</f>
        <v>8</v>
      </c>
      <c r="Q352" s="194" t="str">
        <f>IF(C352&lt;&gt;"",C352&amp;"-"&amp;P352,"")</f>
        <v>HIV O-12 Porcentaje de personas que viven con VIH que reciben tratamiento antirretroviral y tienen carga viral suprimida-8</v>
      </c>
      <c r="R352" s="194" t="str">
        <f t="array" ref="R352">IFERROR(IF(INDEX('Disaggregation Records'!$E$69:$E$152,MATCH(RIGHT(Q352,255),RIGHT('Disaggregation Records'!$D$69:$D$152,255),0))="","",INDEX('Disaggregation Records'!$E$69:$E$152,MATCH(RIGHT(Q352,255),RIGHT('Disaggregation Records'!$D$69:$D$152,255),0))),"")</f>
        <v/>
      </c>
      <c r="S352" s="194" t="str">
        <f t="array" ref="S352">IFERROR(IF(INDEX('Disaggregation Records'!$F$69:$F$152,MATCH(RIGHT(Q352,255),RIGHT('Disaggregation Records'!$D$69:$D$152,255),0))="","",INDEX('Disaggregation Records'!$F$69:$F$152,MATCH(RIGHT(Q352,255),RIGHT('Disaggregation Records'!$D$69:$D$152,255),0))),"")</f>
        <v/>
      </c>
      <c r="T352" s="194" t="str">
        <f t="array" ref="T352">IFERROR(IF(INDEX('Disaggregation Records'!$H$69:$H$152,MATCH(RIGHT(Q352,255),RIGHT('Disaggregation Records'!$D$69:$D$152,255),0))="","",INDEX('Disaggregation Records'!$H$69:$H$152,MATCH(RIGHT(Q352,255),RIGHT('Disaggregation Records'!$D$69:$D$152,255),0))),"")</f>
        <v/>
      </c>
      <c r="U352" s="194">
        <f>U350+1</f>
        <v>1685</v>
      </c>
      <c r="V352" s="194" t="str">
        <f t="array" ref="V352">IFERROR(IF(INDEX('Disaggregation Records'!$I$69:$I$152,MATCH(RIGHT(Q352,255),RIGHT('Disaggregation Records'!$D$69:$D$152,255),0))="","",INDEX('Disaggregation Records'!$I$69:$I$152,MATCH(RIGHT(Q352,255),RIGHT('Disaggregation Records'!$D$69:$D$152,255),0))),"")</f>
        <v/>
      </c>
      <c r="W352" s="194" t="str">
        <f>IFERROR(INDEX('Reference Records'!P$23:P$74,MATCH(LEFT(C352,255),'Reference Records'!J$23:J$74,0)),"")</f>
        <v>HIV O-12 Percentage of people living with HIV and on ART who are virologically suppressed</v>
      </c>
    </row>
    <row r="353" spans="1:23" s="194" customFormat="1" ht="40.4" customHeight="1" x14ac:dyDescent="0.35">
      <c r="A353" s="770"/>
      <c r="B353" s="767"/>
      <c r="C353" s="761"/>
      <c r="D353" s="769"/>
      <c r="E353" s="769"/>
      <c r="F353" s="208"/>
      <c r="G353" s="763"/>
      <c r="H353" s="744"/>
      <c r="I353" s="765"/>
      <c r="J353" s="730"/>
      <c r="K353" s="761"/>
      <c r="L353" s="761"/>
      <c r="M353" s="730"/>
      <c r="N353" s="730"/>
      <c r="V353" s="194" t="str">
        <f t="array" ref="V353">IFERROR(IF(INDEX('Disaggregation Records'!$I$69:$I$152,MATCH(RIGHT(Q353,255),RIGHT('Disaggregation Records'!$D$69:$D$152,255),0))="","",INDEX('Disaggregation Records'!$I$69:$I$152,MATCH(RIGHT(Q353,255),RIGHT('Disaggregation Records'!$D$69:$D$152,255),0))),"")</f>
        <v/>
      </c>
    </row>
    <row r="354" spans="1:23" s="194" customFormat="1" ht="40.4" customHeight="1" x14ac:dyDescent="0.35">
      <c r="A354" s="770" t="str">
        <f ca="1">INDIRECT("'update Helper'!C"&amp;U354)</f>
        <v>a1V3p000006jwB1EAI</v>
      </c>
      <c r="B354" s="766">
        <v>2</v>
      </c>
      <c r="C354" s="760" t="str">
        <f>IFERROR(VLOOKUP(B354,'Outcome Indicators - Section C '!$A$9:$AF$70,32,FALSE),"")</f>
        <v>HIV O-12 Porcentaje de personas que viven con VIH que reciben tratamiento antirretroviral y tienen carga viral suprimida</v>
      </c>
      <c r="D354" s="768" t="str">
        <f>R354</f>
        <v/>
      </c>
      <c r="E354" s="768" t="str">
        <f>S354</f>
        <v/>
      </c>
      <c r="F354" s="413"/>
      <c r="G354" s="762" t="str">
        <f ca="1">IF(OR(INDIRECT("'update Helper'!E"&amp;U354)="",F354&lt;&gt;0,F355&lt;&gt;0),IF(IFERROR((F354/F355),"")="","",(F354/F355)),INDIRECT("'update Helper'!E"&amp;U354)/100)</f>
        <v/>
      </c>
      <c r="H354" s="743"/>
      <c r="I354" s="764"/>
      <c r="J354" s="729"/>
      <c r="K354" s="760" t="str">
        <f>W354</f>
        <v>HIV O-12 Percentage of people living with HIV and on ART who are virologically suppressed</v>
      </c>
      <c r="L354" s="760" t="str">
        <f>V354</f>
        <v/>
      </c>
      <c r="M354" s="729"/>
      <c r="N354" s="729"/>
      <c r="P354" s="194">
        <f>IF(AND(EXACT(C354,C352),C352&lt;&gt;0),P352+1,0)</f>
        <v>9</v>
      </c>
      <c r="Q354" s="194" t="str">
        <f>IF(C354&lt;&gt;"",C354&amp;"-"&amp;P354,"")</f>
        <v>HIV O-12 Porcentaje de personas que viven con VIH que reciben tratamiento antirretroviral y tienen carga viral suprimida-9</v>
      </c>
      <c r="R354" s="194" t="str">
        <f t="array" ref="R354">IFERROR(IF(INDEX('Disaggregation Records'!$E$69:$E$152,MATCH(RIGHT(Q354,255),RIGHT('Disaggregation Records'!$D$69:$D$152,255),0))="","",INDEX('Disaggregation Records'!$E$69:$E$152,MATCH(RIGHT(Q354,255),RIGHT('Disaggregation Records'!$D$69:$D$152,255),0))),"")</f>
        <v/>
      </c>
      <c r="S354" s="194" t="str">
        <f t="array" ref="S354">IFERROR(IF(INDEX('Disaggregation Records'!$F$69:$F$152,MATCH(RIGHT(Q354,255),RIGHT('Disaggregation Records'!$D$69:$D$152,255),0))="","",INDEX('Disaggregation Records'!$F$69:$F$152,MATCH(RIGHT(Q354,255),RIGHT('Disaggregation Records'!$D$69:$D$152,255),0))),"")</f>
        <v/>
      </c>
      <c r="T354" s="194" t="str">
        <f t="array" ref="T354">IFERROR(IF(INDEX('Disaggregation Records'!$H$69:$H$152,MATCH(RIGHT(Q354,255),RIGHT('Disaggregation Records'!$D$69:$D$152,255),0))="","",INDEX('Disaggregation Records'!$H$69:$H$152,MATCH(RIGHT(Q354,255),RIGHT('Disaggregation Records'!$D$69:$D$152,255),0))),"")</f>
        <v/>
      </c>
      <c r="U354" s="194">
        <f>U352+1</f>
        <v>1686</v>
      </c>
      <c r="V354" s="194" t="str">
        <f t="array" ref="V354">IFERROR(IF(INDEX('Disaggregation Records'!$I$69:$I$152,MATCH(RIGHT(Q354,255),RIGHT('Disaggregation Records'!$D$69:$D$152,255),0))="","",INDEX('Disaggregation Records'!$I$69:$I$152,MATCH(RIGHT(Q354,255),RIGHT('Disaggregation Records'!$D$69:$D$152,255),0))),"")</f>
        <v/>
      </c>
      <c r="W354" s="194" t="str">
        <f>IFERROR(INDEX('Reference Records'!P$23:P$74,MATCH(LEFT(C354,255),'Reference Records'!J$23:J$74,0)),"")</f>
        <v>HIV O-12 Percentage of people living with HIV and on ART who are virologically suppressed</v>
      </c>
    </row>
    <row r="355" spans="1:23" s="194" customFormat="1" ht="40.4" customHeight="1" x14ac:dyDescent="0.35">
      <c r="A355" s="770"/>
      <c r="B355" s="767"/>
      <c r="C355" s="761"/>
      <c r="D355" s="769"/>
      <c r="E355" s="769"/>
      <c r="F355" s="208"/>
      <c r="G355" s="763"/>
      <c r="H355" s="744"/>
      <c r="I355" s="765"/>
      <c r="J355" s="730"/>
      <c r="K355" s="761"/>
      <c r="L355" s="761"/>
      <c r="M355" s="730"/>
      <c r="N355" s="730"/>
      <c r="V355" s="194" t="str">
        <f t="array" ref="V355">IFERROR(IF(INDEX('Disaggregation Records'!$I$69:$I$152,MATCH(RIGHT(Q355,255),RIGHT('Disaggregation Records'!$D$69:$D$152,255),0))="","",INDEX('Disaggregation Records'!$I$69:$I$152,MATCH(RIGHT(Q355,255),RIGHT('Disaggregation Records'!$D$69:$D$152,255),0))),"")</f>
        <v/>
      </c>
    </row>
    <row r="356" spans="1:23" s="194" customFormat="1" ht="40.4" customHeight="1" x14ac:dyDescent="0.35">
      <c r="A356" s="770" t="str">
        <f ca="1">INDIRECT("'update Helper'!C"&amp;U356)</f>
        <v>a1V3p000006jw8cEAA</v>
      </c>
      <c r="B356" s="766">
        <v>3</v>
      </c>
      <c r="C356" s="760" t="str">
        <f>IFERROR(VLOOKUP(B356,'Outcome Indicators - Section C '!$A$9:$AF$70,32,FALSE),"")</f>
        <v>TB O-2a Tasa de éxito del tratamiento en todas las formas de tuberculosis, confirmada bacteriológicamente y con diagnóstico clínico, casos nuevos y recaídas.</v>
      </c>
      <c r="D356" s="768" t="str">
        <f>R356</f>
        <v/>
      </c>
      <c r="E356" s="768" t="str">
        <f>S356</f>
        <v/>
      </c>
      <c r="F356" s="413"/>
      <c r="G356" s="762" t="str">
        <f ca="1">IF(OR(INDIRECT("'update Helper'!E"&amp;U356)="",F356&lt;&gt;0,F357&lt;&gt;0),IF(IFERROR((F356/F357),"")="","",(F356/F357)),INDIRECT("'update Helper'!E"&amp;U356)/100)</f>
        <v/>
      </c>
      <c r="H356" s="743"/>
      <c r="I356" s="764"/>
      <c r="J356" s="729"/>
      <c r="K356" s="760" t="str">
        <f>W356</f>
        <v>TB O-2a Treatment success rate of all forms of TB - bacteriologically confirmed plus clinically diagnosed, new and relapse cases</v>
      </c>
      <c r="L356" s="760" t="str">
        <f>V356</f>
        <v/>
      </c>
      <c r="M356" s="729"/>
      <c r="N356" s="729" t="s">
        <v>4037</v>
      </c>
      <c r="P356" s="194">
        <f>IF(AND(EXACT(C356,C354),C354&lt;&gt;0),P354+1,0)</f>
        <v>0</v>
      </c>
      <c r="Q356" s="194" t="str">
        <f>IF(C356&lt;&gt;"",C356&amp;"-"&amp;P356,"")</f>
        <v>TB O-2a Tasa de éxito del tratamiento en todas las formas de tuberculosis, confirmada bacteriológicamente y con diagnóstico clínico, casos nuevos y recaídas.-0</v>
      </c>
      <c r="R356" s="194" t="str">
        <f t="array" ref="R356">IFERROR(IF(INDEX('Disaggregation Records'!$E$69:$E$152,MATCH(RIGHT(Q356,255),RIGHT('Disaggregation Records'!$D$69:$D$152,255),0))="","",INDEX('Disaggregation Records'!$E$69:$E$152,MATCH(RIGHT(Q356,255),RIGHT('Disaggregation Records'!$D$69:$D$152,255),0))),"")</f>
        <v/>
      </c>
      <c r="S356" s="194" t="str">
        <f t="array" ref="S356">IFERROR(IF(INDEX('Disaggregation Records'!$F$69:$F$152,MATCH(RIGHT(Q356,255),RIGHT('Disaggregation Records'!$D$69:$D$152,255),0))="","",INDEX('Disaggregation Records'!$F$69:$F$152,MATCH(RIGHT(Q356,255),RIGHT('Disaggregation Records'!$D$69:$D$152,255),0))),"")</f>
        <v/>
      </c>
      <c r="T356" s="194" t="str">
        <f t="array" ref="T356">IFERROR(IF(INDEX('Disaggregation Records'!$H$69:$H$152,MATCH(RIGHT(Q356,255),RIGHT('Disaggregation Records'!$D$69:$D$152,255),0))="","",INDEX('Disaggregation Records'!$H$69:$H$152,MATCH(RIGHT(Q356,255),RIGHT('Disaggregation Records'!$D$69:$D$152,255),0))),"")</f>
        <v/>
      </c>
      <c r="U356" s="194">
        <f>U354+1</f>
        <v>1687</v>
      </c>
      <c r="V356" s="194" t="str">
        <f t="array" ref="V356">IFERROR(IF(INDEX('Disaggregation Records'!$I$69:$I$152,MATCH(RIGHT(Q356,255),RIGHT('Disaggregation Records'!$D$69:$D$152,255),0))="","",INDEX('Disaggregation Records'!$I$69:$I$152,MATCH(RIGHT(Q356,255),RIGHT('Disaggregation Records'!$D$69:$D$152,255),0))),"")</f>
        <v/>
      </c>
      <c r="W356" s="194" t="str">
        <f>IFERROR(INDEX('Reference Records'!P$23:P$74,MATCH(LEFT(C356,255),'Reference Records'!J$23:J$74,0)),"")</f>
        <v>TB O-2a Treatment success rate of all forms of TB - bacteriologically confirmed plus clinically diagnosed, new and relapse cases</v>
      </c>
    </row>
    <row r="357" spans="1:23" s="194" customFormat="1" ht="40.4" customHeight="1" x14ac:dyDescent="0.35">
      <c r="A357" s="770"/>
      <c r="B357" s="767"/>
      <c r="C357" s="761"/>
      <c r="D357" s="769"/>
      <c r="E357" s="769"/>
      <c r="F357" s="208"/>
      <c r="G357" s="763"/>
      <c r="H357" s="744"/>
      <c r="I357" s="765"/>
      <c r="J357" s="730"/>
      <c r="K357" s="761"/>
      <c r="L357" s="761"/>
      <c r="M357" s="730"/>
      <c r="N357" s="730"/>
      <c r="V357" s="194" t="str">
        <f t="array" ref="V357">IFERROR(IF(INDEX('Disaggregation Records'!$I$69:$I$152,MATCH(RIGHT(Q357,255),RIGHT('Disaggregation Records'!$D$69:$D$152,255),0))="","",INDEX('Disaggregation Records'!$I$69:$I$152,MATCH(RIGHT(Q357,255),RIGHT('Disaggregation Records'!$D$69:$D$152,255),0))),"")</f>
        <v/>
      </c>
    </row>
    <row r="358" spans="1:23" s="194" customFormat="1" ht="40.4" customHeight="1" x14ac:dyDescent="0.35">
      <c r="A358" s="770" t="str">
        <f ca="1">INDIRECT("'update Helper'!C"&amp;U358)</f>
        <v>a1V3p000006jw8dEAA</v>
      </c>
      <c r="B358" s="766">
        <v>3</v>
      </c>
      <c r="C358" s="760" t="str">
        <f>IFERROR(VLOOKUP(B358,'Outcome Indicators - Section C '!$A$9:$AF$70,32,FALSE),"")</f>
        <v>TB O-2a Tasa de éxito del tratamiento en todas las formas de tuberculosis, confirmada bacteriológicamente y con diagnóstico clínico, casos nuevos y recaídas.</v>
      </c>
      <c r="D358" s="768" t="str">
        <f>R358</f>
        <v/>
      </c>
      <c r="E358" s="768" t="str">
        <f>S358</f>
        <v/>
      </c>
      <c r="F358" s="413"/>
      <c r="G358" s="762" t="str">
        <f ca="1">IF(OR(INDIRECT("'update Helper'!E"&amp;U358)="",F358&lt;&gt;0,F359&lt;&gt;0),IF(IFERROR((F358/F359),"")="","",(F358/F359)),INDIRECT("'update Helper'!E"&amp;U358)/100)</f>
        <v/>
      </c>
      <c r="H358" s="743"/>
      <c r="I358" s="764"/>
      <c r="J358" s="729"/>
      <c r="K358" s="760" t="str">
        <f>W358</f>
        <v>TB O-2a Treatment success rate of all forms of TB - bacteriologically confirmed plus clinically diagnosed, new and relapse cases</v>
      </c>
      <c r="L358" s="760" t="str">
        <f>V358</f>
        <v/>
      </c>
      <c r="M358" s="729"/>
      <c r="N358" s="729" t="s">
        <v>4037</v>
      </c>
      <c r="P358" s="194">
        <f>IF(AND(EXACT(C358,C356),C356&lt;&gt;0),P356+1,0)</f>
        <v>1</v>
      </c>
      <c r="Q358" s="194" t="str">
        <f>IF(C358&lt;&gt;"",C358&amp;"-"&amp;P358,"")</f>
        <v>TB O-2a Tasa de éxito del tratamiento en todas las formas de tuberculosis, confirmada bacteriológicamente y con diagnóstico clínico, casos nuevos y recaídas.-1</v>
      </c>
      <c r="R358" s="194" t="str">
        <f t="array" ref="R358">IFERROR(IF(INDEX('Disaggregation Records'!$E$69:$E$152,MATCH(RIGHT(Q358,255),RIGHT('Disaggregation Records'!$D$69:$D$152,255),0))="","",INDEX('Disaggregation Records'!$E$69:$E$152,MATCH(RIGHT(Q358,255),RIGHT('Disaggregation Records'!$D$69:$D$152,255),0))),"")</f>
        <v/>
      </c>
      <c r="S358" s="194" t="str">
        <f t="array" ref="S358">IFERROR(IF(INDEX('Disaggregation Records'!$F$69:$F$152,MATCH(RIGHT(Q358,255),RIGHT('Disaggregation Records'!$D$69:$D$152,255),0))="","",INDEX('Disaggregation Records'!$F$69:$F$152,MATCH(RIGHT(Q358,255),RIGHT('Disaggregation Records'!$D$69:$D$152,255),0))),"")</f>
        <v/>
      </c>
      <c r="T358" s="194" t="str">
        <f t="array" ref="T358">IFERROR(IF(INDEX('Disaggregation Records'!$H$69:$H$152,MATCH(RIGHT(Q358,255),RIGHT('Disaggregation Records'!$D$69:$D$152,255),0))="","",INDEX('Disaggregation Records'!$H$69:$H$152,MATCH(RIGHT(Q358,255),RIGHT('Disaggregation Records'!$D$69:$D$152,255),0))),"")</f>
        <v/>
      </c>
      <c r="U358" s="194">
        <f>U356+1</f>
        <v>1688</v>
      </c>
      <c r="V358" s="194" t="str">
        <f t="array" ref="V358">IFERROR(IF(INDEX('Disaggregation Records'!$I$69:$I$152,MATCH(RIGHT(Q358,255),RIGHT('Disaggregation Records'!$D$69:$D$152,255),0))="","",INDEX('Disaggregation Records'!$I$69:$I$152,MATCH(RIGHT(Q358,255),RIGHT('Disaggregation Records'!$D$69:$D$152,255),0))),"")</f>
        <v/>
      </c>
      <c r="W358" s="194" t="str">
        <f>IFERROR(INDEX('Reference Records'!P$23:P$74,MATCH(LEFT(C358,255),'Reference Records'!J$23:J$74,0)),"")</f>
        <v>TB O-2a Treatment success rate of all forms of TB - bacteriologically confirmed plus clinically diagnosed, new and relapse cases</v>
      </c>
    </row>
    <row r="359" spans="1:23" s="194" customFormat="1" ht="40.4" customHeight="1" x14ac:dyDescent="0.35">
      <c r="A359" s="770"/>
      <c r="B359" s="767"/>
      <c r="C359" s="761"/>
      <c r="D359" s="769"/>
      <c r="E359" s="769"/>
      <c r="F359" s="208"/>
      <c r="G359" s="763"/>
      <c r="H359" s="744"/>
      <c r="I359" s="765"/>
      <c r="J359" s="730"/>
      <c r="K359" s="761"/>
      <c r="L359" s="761"/>
      <c r="M359" s="730"/>
      <c r="N359" s="730"/>
      <c r="V359" s="194" t="str">
        <f t="array" ref="V359">IFERROR(IF(INDEX('Disaggregation Records'!$I$69:$I$152,MATCH(RIGHT(Q359,255),RIGHT('Disaggregation Records'!$D$69:$D$152,255),0))="","",INDEX('Disaggregation Records'!$I$69:$I$152,MATCH(RIGHT(Q359,255),RIGHT('Disaggregation Records'!$D$69:$D$152,255),0))),"")</f>
        <v/>
      </c>
    </row>
    <row r="360" spans="1:23" s="194" customFormat="1" ht="40.4" customHeight="1" x14ac:dyDescent="0.35">
      <c r="A360" s="770" t="str">
        <f ca="1">INDIRECT("'update Helper'!C"&amp;U360)</f>
        <v>a1V3p000006jw8eEAA</v>
      </c>
      <c r="B360" s="766">
        <v>3</v>
      </c>
      <c r="C360" s="760" t="str">
        <f>IFERROR(VLOOKUP(B360,'Outcome Indicators - Section C '!$A$9:$AF$70,32,FALSE),"")</f>
        <v>TB O-2a Tasa de éxito del tratamiento en todas las formas de tuberculosis, confirmada bacteriológicamente y con diagnóstico clínico, casos nuevos y recaídas.</v>
      </c>
      <c r="D360" s="768" t="str">
        <f>R360</f>
        <v/>
      </c>
      <c r="E360" s="768" t="str">
        <f>S360</f>
        <v/>
      </c>
      <c r="F360" s="413"/>
      <c r="G360" s="762" t="str">
        <f ca="1">IF(OR(INDIRECT("'update Helper'!E"&amp;U360)="",F360&lt;&gt;0,F361&lt;&gt;0),IF(IFERROR((F360/F361),"")="","",(F360/F361)),INDIRECT("'update Helper'!E"&amp;U360)/100)</f>
        <v/>
      </c>
      <c r="H360" s="743"/>
      <c r="I360" s="764"/>
      <c r="J360" s="729"/>
      <c r="K360" s="760" t="str">
        <f>W360</f>
        <v>TB O-2a Treatment success rate of all forms of TB - bacteriologically confirmed plus clinically diagnosed, new and relapse cases</v>
      </c>
      <c r="L360" s="760" t="str">
        <f>V360</f>
        <v/>
      </c>
      <c r="M360" s="729"/>
      <c r="N360" s="729" t="s">
        <v>4037</v>
      </c>
      <c r="P360" s="194">
        <f>IF(AND(EXACT(C360,C358),C358&lt;&gt;0),P358+1,0)</f>
        <v>2</v>
      </c>
      <c r="Q360" s="194" t="str">
        <f>IF(C360&lt;&gt;"",C360&amp;"-"&amp;P360,"")</f>
        <v>TB O-2a Tasa de éxito del tratamiento en todas las formas de tuberculosis, confirmada bacteriológicamente y con diagnóstico clínico, casos nuevos y recaídas.-2</v>
      </c>
      <c r="R360" s="194" t="str">
        <f t="array" ref="R360">IFERROR(IF(INDEX('Disaggregation Records'!$E$69:$E$152,MATCH(RIGHT(Q360,255),RIGHT('Disaggregation Records'!$D$69:$D$152,255),0))="","",INDEX('Disaggregation Records'!$E$69:$E$152,MATCH(RIGHT(Q360,255),RIGHT('Disaggregation Records'!$D$69:$D$152,255),0))),"")</f>
        <v/>
      </c>
      <c r="S360" s="194" t="str">
        <f t="array" ref="S360">IFERROR(IF(INDEX('Disaggregation Records'!$F$69:$F$152,MATCH(RIGHT(Q360,255),RIGHT('Disaggregation Records'!$D$69:$D$152,255),0))="","",INDEX('Disaggregation Records'!$F$69:$F$152,MATCH(RIGHT(Q360,255),RIGHT('Disaggregation Records'!$D$69:$D$152,255),0))),"")</f>
        <v/>
      </c>
      <c r="T360" s="194" t="str">
        <f t="array" ref="T360">IFERROR(IF(INDEX('Disaggregation Records'!$H$69:$H$152,MATCH(RIGHT(Q360,255),RIGHT('Disaggregation Records'!$D$69:$D$152,255),0))="","",INDEX('Disaggregation Records'!$H$69:$H$152,MATCH(RIGHT(Q360,255),RIGHT('Disaggregation Records'!$D$69:$D$152,255),0))),"")</f>
        <v/>
      </c>
      <c r="U360" s="194">
        <f>U358+1</f>
        <v>1689</v>
      </c>
      <c r="V360" s="194" t="str">
        <f t="array" ref="V360">IFERROR(IF(INDEX('Disaggregation Records'!$I$69:$I$152,MATCH(RIGHT(Q360,255),RIGHT('Disaggregation Records'!$D$69:$D$152,255),0))="","",INDEX('Disaggregation Records'!$I$69:$I$152,MATCH(RIGHT(Q360,255),RIGHT('Disaggregation Records'!$D$69:$D$152,255),0))),"")</f>
        <v/>
      </c>
      <c r="W360" s="194" t="str">
        <f>IFERROR(INDEX('Reference Records'!P$23:P$74,MATCH(LEFT(C360,255),'Reference Records'!J$23:J$74,0)),"")</f>
        <v>TB O-2a Treatment success rate of all forms of TB - bacteriologically confirmed plus clinically diagnosed, new and relapse cases</v>
      </c>
    </row>
    <row r="361" spans="1:23" s="194" customFormat="1" ht="40.4" customHeight="1" x14ac:dyDescent="0.35">
      <c r="A361" s="770"/>
      <c r="B361" s="767"/>
      <c r="C361" s="761"/>
      <c r="D361" s="769"/>
      <c r="E361" s="769"/>
      <c r="F361" s="208"/>
      <c r="G361" s="763"/>
      <c r="H361" s="744"/>
      <c r="I361" s="765"/>
      <c r="J361" s="730"/>
      <c r="K361" s="761"/>
      <c r="L361" s="761"/>
      <c r="M361" s="730"/>
      <c r="N361" s="730"/>
      <c r="V361" s="194" t="str">
        <f t="array" ref="V361">IFERROR(IF(INDEX('Disaggregation Records'!$I$69:$I$152,MATCH(RIGHT(Q361,255),RIGHT('Disaggregation Records'!$D$69:$D$152,255),0))="","",INDEX('Disaggregation Records'!$I$69:$I$152,MATCH(RIGHT(Q361,255),RIGHT('Disaggregation Records'!$D$69:$D$152,255),0))),"")</f>
        <v/>
      </c>
    </row>
    <row r="362" spans="1:23" s="194" customFormat="1" ht="40.4" customHeight="1" x14ac:dyDescent="0.35">
      <c r="A362" s="770" t="str">
        <f ca="1">INDIRECT("'update Helper'!C"&amp;U362)</f>
        <v>a1V3p000006jw8fEAA</v>
      </c>
      <c r="B362" s="766">
        <v>3</v>
      </c>
      <c r="C362" s="760" t="str">
        <f>IFERROR(VLOOKUP(B362,'Outcome Indicators - Section C '!$A$9:$AF$70,32,FALSE),"")</f>
        <v>TB O-2a Tasa de éxito del tratamiento en todas las formas de tuberculosis, confirmada bacteriológicamente y con diagnóstico clínico, casos nuevos y recaídas.</v>
      </c>
      <c r="D362" s="768" t="str">
        <f>R362</f>
        <v/>
      </c>
      <c r="E362" s="768" t="str">
        <f>S362</f>
        <v/>
      </c>
      <c r="F362" s="413"/>
      <c r="G362" s="762" t="str">
        <f ca="1">IF(OR(INDIRECT("'update Helper'!E"&amp;U362)="",F362&lt;&gt;0,F363&lt;&gt;0),IF(IFERROR((F362/F363),"")="","",(F362/F363)),INDIRECT("'update Helper'!E"&amp;U362)/100)</f>
        <v/>
      </c>
      <c r="H362" s="743"/>
      <c r="I362" s="764"/>
      <c r="J362" s="729"/>
      <c r="K362" s="760" t="str">
        <f>W362</f>
        <v>TB O-2a Treatment success rate of all forms of TB - bacteriologically confirmed plus clinically diagnosed, new and relapse cases</v>
      </c>
      <c r="L362" s="760" t="str">
        <f>V362</f>
        <v/>
      </c>
      <c r="M362" s="729"/>
      <c r="N362" s="729"/>
      <c r="P362" s="194">
        <f>IF(AND(EXACT(C362,C360),C360&lt;&gt;0),P360+1,0)</f>
        <v>3</v>
      </c>
      <c r="Q362" s="194" t="str">
        <f>IF(C362&lt;&gt;"",C362&amp;"-"&amp;P362,"")</f>
        <v>TB O-2a Tasa de éxito del tratamiento en todas las formas de tuberculosis, confirmada bacteriológicamente y con diagnóstico clínico, casos nuevos y recaídas.-3</v>
      </c>
      <c r="R362" s="194" t="str">
        <f t="array" ref="R362">IFERROR(IF(INDEX('Disaggregation Records'!$E$69:$E$152,MATCH(RIGHT(Q362,255),RIGHT('Disaggregation Records'!$D$69:$D$152,255),0))="","",INDEX('Disaggregation Records'!$E$69:$E$152,MATCH(RIGHT(Q362,255),RIGHT('Disaggregation Records'!$D$69:$D$152,255),0))),"")</f>
        <v/>
      </c>
      <c r="S362" s="194" t="str">
        <f t="array" ref="S362">IFERROR(IF(INDEX('Disaggregation Records'!$F$69:$F$152,MATCH(RIGHT(Q362,255),RIGHT('Disaggregation Records'!$D$69:$D$152,255),0))="","",INDEX('Disaggregation Records'!$F$69:$F$152,MATCH(RIGHT(Q362,255),RIGHT('Disaggregation Records'!$D$69:$D$152,255),0))),"")</f>
        <v/>
      </c>
      <c r="T362" s="194" t="str">
        <f t="array" ref="T362">IFERROR(IF(INDEX('Disaggregation Records'!$H$69:$H$152,MATCH(RIGHT(Q362,255),RIGHT('Disaggregation Records'!$D$69:$D$152,255),0))="","",INDEX('Disaggregation Records'!$H$69:$H$152,MATCH(RIGHT(Q362,255),RIGHT('Disaggregation Records'!$D$69:$D$152,255),0))),"")</f>
        <v/>
      </c>
      <c r="U362" s="194">
        <f>U360+1</f>
        <v>1690</v>
      </c>
      <c r="V362" s="194" t="str">
        <f t="array" ref="V362">IFERROR(IF(INDEX('Disaggregation Records'!$I$69:$I$152,MATCH(RIGHT(Q362,255),RIGHT('Disaggregation Records'!$D$69:$D$152,255),0))="","",INDEX('Disaggregation Records'!$I$69:$I$152,MATCH(RIGHT(Q362,255),RIGHT('Disaggregation Records'!$D$69:$D$152,255),0))),"")</f>
        <v/>
      </c>
      <c r="W362" s="194" t="str">
        <f>IFERROR(INDEX('Reference Records'!P$23:P$74,MATCH(LEFT(C362,255),'Reference Records'!J$23:J$74,0)),"")</f>
        <v>TB O-2a Treatment success rate of all forms of TB - bacteriologically confirmed plus clinically diagnosed, new and relapse cases</v>
      </c>
    </row>
    <row r="363" spans="1:23" s="194" customFormat="1" ht="40.4" customHeight="1" x14ac:dyDescent="0.35">
      <c r="A363" s="770"/>
      <c r="B363" s="767"/>
      <c r="C363" s="761"/>
      <c r="D363" s="769"/>
      <c r="E363" s="769"/>
      <c r="F363" s="208"/>
      <c r="G363" s="763"/>
      <c r="H363" s="744"/>
      <c r="I363" s="765"/>
      <c r="J363" s="730"/>
      <c r="K363" s="761"/>
      <c r="L363" s="761"/>
      <c r="M363" s="730"/>
      <c r="N363" s="730"/>
      <c r="V363" s="194" t="str">
        <f t="array" ref="V363">IFERROR(IF(INDEX('Disaggregation Records'!$I$69:$I$152,MATCH(RIGHT(Q363,255),RIGHT('Disaggregation Records'!$D$69:$D$152,255),0))="","",INDEX('Disaggregation Records'!$I$69:$I$152,MATCH(RIGHT(Q363,255),RIGHT('Disaggregation Records'!$D$69:$D$152,255),0))),"")</f>
        <v/>
      </c>
    </row>
    <row r="364" spans="1:23" s="194" customFormat="1" ht="40.4" customHeight="1" x14ac:dyDescent="0.35">
      <c r="A364" s="770" t="str">
        <f ca="1">INDIRECT("'update Helper'!C"&amp;U364)</f>
        <v>a1V3p000006jw8gEAA</v>
      </c>
      <c r="B364" s="766">
        <v>3</v>
      </c>
      <c r="C364" s="760" t="str">
        <f>IFERROR(VLOOKUP(B364,'Outcome Indicators - Section C '!$A$9:$AF$70,32,FALSE),"")</f>
        <v>TB O-2a Tasa de éxito del tratamiento en todas las formas de tuberculosis, confirmada bacteriológicamente y con diagnóstico clínico, casos nuevos y recaídas.</v>
      </c>
      <c r="D364" s="768" t="str">
        <f>R364</f>
        <v/>
      </c>
      <c r="E364" s="768" t="str">
        <f>S364</f>
        <v/>
      </c>
      <c r="F364" s="413"/>
      <c r="G364" s="762" t="str">
        <f ca="1">IF(OR(INDIRECT("'update Helper'!E"&amp;U364)="",F364&lt;&gt;0,F365&lt;&gt;0),IF(IFERROR((F364/F365),"")="","",(F364/F365)),INDIRECT("'update Helper'!E"&amp;U364)/100)</f>
        <v/>
      </c>
      <c r="H364" s="743"/>
      <c r="I364" s="764"/>
      <c r="J364" s="729"/>
      <c r="K364" s="760" t="str">
        <f>W364</f>
        <v>TB O-2a Treatment success rate of all forms of TB - bacteriologically confirmed plus clinically diagnosed, new and relapse cases</v>
      </c>
      <c r="L364" s="760" t="str">
        <f>V364</f>
        <v/>
      </c>
      <c r="M364" s="729"/>
      <c r="N364" s="729"/>
      <c r="P364" s="194">
        <f>IF(AND(EXACT(C364,C362),C362&lt;&gt;0),P362+1,0)</f>
        <v>4</v>
      </c>
      <c r="Q364" s="194" t="str">
        <f>IF(C364&lt;&gt;"",C364&amp;"-"&amp;P364,"")</f>
        <v>TB O-2a Tasa de éxito del tratamiento en todas las formas de tuberculosis, confirmada bacteriológicamente y con diagnóstico clínico, casos nuevos y recaídas.-4</v>
      </c>
      <c r="R364" s="194" t="str">
        <f t="array" ref="R364">IFERROR(IF(INDEX('Disaggregation Records'!$E$69:$E$152,MATCH(RIGHT(Q364,255),RIGHT('Disaggregation Records'!$D$69:$D$152,255),0))="","",INDEX('Disaggregation Records'!$E$69:$E$152,MATCH(RIGHT(Q364,255),RIGHT('Disaggregation Records'!$D$69:$D$152,255),0))),"")</f>
        <v/>
      </c>
      <c r="S364" s="194" t="str">
        <f t="array" ref="S364">IFERROR(IF(INDEX('Disaggregation Records'!$F$69:$F$152,MATCH(RIGHT(Q364,255),RIGHT('Disaggregation Records'!$D$69:$D$152,255),0))="","",INDEX('Disaggregation Records'!$F$69:$F$152,MATCH(RIGHT(Q364,255),RIGHT('Disaggregation Records'!$D$69:$D$152,255),0))),"")</f>
        <v/>
      </c>
      <c r="T364" s="194" t="str">
        <f t="array" ref="T364">IFERROR(IF(INDEX('Disaggregation Records'!$H$69:$H$152,MATCH(RIGHT(Q364,255),RIGHT('Disaggregation Records'!$D$69:$D$152,255),0))="","",INDEX('Disaggregation Records'!$H$69:$H$152,MATCH(RIGHT(Q364,255),RIGHT('Disaggregation Records'!$D$69:$D$152,255),0))),"")</f>
        <v/>
      </c>
      <c r="U364" s="194">
        <f>U362+1</f>
        <v>1691</v>
      </c>
      <c r="V364" s="194" t="str">
        <f t="array" ref="V364">IFERROR(IF(INDEX('Disaggregation Records'!$I$69:$I$152,MATCH(RIGHT(Q364,255),RIGHT('Disaggregation Records'!$D$69:$D$152,255),0))="","",INDEX('Disaggregation Records'!$I$69:$I$152,MATCH(RIGHT(Q364,255),RIGHT('Disaggregation Records'!$D$69:$D$152,255),0))),"")</f>
        <v/>
      </c>
      <c r="W364" s="194" t="str">
        <f>IFERROR(INDEX('Reference Records'!P$23:P$74,MATCH(LEFT(C364,255),'Reference Records'!J$23:J$74,0)),"")</f>
        <v>TB O-2a Treatment success rate of all forms of TB - bacteriologically confirmed plus clinically diagnosed, new and relapse cases</v>
      </c>
    </row>
    <row r="365" spans="1:23" s="194" customFormat="1" ht="40.4" customHeight="1" x14ac:dyDescent="0.35">
      <c r="A365" s="770"/>
      <c r="B365" s="767"/>
      <c r="C365" s="761"/>
      <c r="D365" s="769"/>
      <c r="E365" s="769"/>
      <c r="F365" s="208"/>
      <c r="G365" s="763"/>
      <c r="H365" s="744"/>
      <c r="I365" s="765"/>
      <c r="J365" s="730"/>
      <c r="K365" s="761"/>
      <c r="L365" s="761"/>
      <c r="M365" s="730"/>
      <c r="N365" s="730"/>
      <c r="V365" s="194" t="str">
        <f t="array" ref="V365">IFERROR(IF(INDEX('Disaggregation Records'!$I$69:$I$152,MATCH(RIGHT(Q365,255),RIGHT('Disaggregation Records'!$D$69:$D$152,255),0))="","",INDEX('Disaggregation Records'!$I$69:$I$152,MATCH(RIGHT(Q365,255),RIGHT('Disaggregation Records'!$D$69:$D$152,255),0))),"")</f>
        <v/>
      </c>
    </row>
    <row r="366" spans="1:23" s="194" customFormat="1" ht="40.4" customHeight="1" x14ac:dyDescent="0.35">
      <c r="A366" s="770" t="str">
        <f ca="1">INDIRECT("'update Helper'!C"&amp;U366)</f>
        <v>a1V3p000006jw8hEAA</v>
      </c>
      <c r="B366" s="766">
        <v>3</v>
      </c>
      <c r="C366" s="760" t="str">
        <f>IFERROR(VLOOKUP(B366,'Outcome Indicators - Section C '!$A$9:$AF$70,32,FALSE),"")</f>
        <v>TB O-2a Tasa de éxito del tratamiento en todas las formas de tuberculosis, confirmada bacteriológicamente y con diagnóstico clínico, casos nuevos y recaídas.</v>
      </c>
      <c r="D366" s="768" t="str">
        <f>R366</f>
        <v/>
      </c>
      <c r="E366" s="768" t="str">
        <f>S366</f>
        <v/>
      </c>
      <c r="F366" s="413"/>
      <c r="G366" s="762" t="str">
        <f ca="1">IF(OR(INDIRECT("'update Helper'!E"&amp;U366)="",F366&lt;&gt;0,F367&lt;&gt;0),IF(IFERROR((F366/F367),"")="","",(F366/F367)),INDIRECT("'update Helper'!E"&amp;U366)/100)</f>
        <v/>
      </c>
      <c r="H366" s="743"/>
      <c r="I366" s="764"/>
      <c r="J366" s="729"/>
      <c r="K366" s="760" t="str">
        <f>W366</f>
        <v>TB O-2a Treatment success rate of all forms of TB - bacteriologically confirmed plus clinically diagnosed, new and relapse cases</v>
      </c>
      <c r="L366" s="760" t="str">
        <f>V366</f>
        <v/>
      </c>
      <c r="M366" s="729"/>
      <c r="N366" s="729"/>
      <c r="P366" s="194">
        <f>IF(AND(EXACT(C366,C364),C364&lt;&gt;0),P364+1,0)</f>
        <v>5</v>
      </c>
      <c r="Q366" s="194" t="str">
        <f>IF(C366&lt;&gt;"",C366&amp;"-"&amp;P366,"")</f>
        <v>TB O-2a Tasa de éxito del tratamiento en todas las formas de tuberculosis, confirmada bacteriológicamente y con diagnóstico clínico, casos nuevos y recaídas.-5</v>
      </c>
      <c r="R366" s="194" t="str">
        <f t="array" ref="R366">IFERROR(IF(INDEX('Disaggregation Records'!$E$69:$E$152,MATCH(RIGHT(Q366,255),RIGHT('Disaggregation Records'!$D$69:$D$152,255),0))="","",INDEX('Disaggregation Records'!$E$69:$E$152,MATCH(RIGHT(Q366,255),RIGHT('Disaggregation Records'!$D$69:$D$152,255),0))),"")</f>
        <v/>
      </c>
      <c r="S366" s="194" t="str">
        <f t="array" ref="S366">IFERROR(IF(INDEX('Disaggregation Records'!$F$69:$F$152,MATCH(RIGHT(Q366,255),RIGHT('Disaggregation Records'!$D$69:$D$152,255),0))="","",INDEX('Disaggregation Records'!$F$69:$F$152,MATCH(RIGHT(Q366,255),RIGHT('Disaggregation Records'!$D$69:$D$152,255),0))),"")</f>
        <v/>
      </c>
      <c r="T366" s="194" t="str">
        <f t="array" ref="T366">IFERROR(IF(INDEX('Disaggregation Records'!$H$69:$H$152,MATCH(RIGHT(Q366,255),RIGHT('Disaggregation Records'!$D$69:$D$152,255),0))="","",INDEX('Disaggregation Records'!$H$69:$H$152,MATCH(RIGHT(Q366,255),RIGHT('Disaggregation Records'!$D$69:$D$152,255),0))),"")</f>
        <v/>
      </c>
      <c r="U366" s="194">
        <f>U364+1</f>
        <v>1692</v>
      </c>
      <c r="V366" s="194" t="str">
        <f t="array" ref="V366">IFERROR(IF(INDEX('Disaggregation Records'!$I$69:$I$152,MATCH(RIGHT(Q366,255),RIGHT('Disaggregation Records'!$D$69:$D$152,255),0))="","",INDEX('Disaggregation Records'!$I$69:$I$152,MATCH(RIGHT(Q366,255),RIGHT('Disaggregation Records'!$D$69:$D$152,255),0))),"")</f>
        <v/>
      </c>
      <c r="W366" s="194" t="str">
        <f>IFERROR(INDEX('Reference Records'!P$23:P$74,MATCH(LEFT(C366,255),'Reference Records'!J$23:J$74,0)),"")</f>
        <v>TB O-2a Treatment success rate of all forms of TB - bacteriologically confirmed plus clinically diagnosed, new and relapse cases</v>
      </c>
    </row>
    <row r="367" spans="1:23" s="194" customFormat="1" ht="40.4" customHeight="1" x14ac:dyDescent="0.35">
      <c r="A367" s="770"/>
      <c r="B367" s="767"/>
      <c r="C367" s="761"/>
      <c r="D367" s="769"/>
      <c r="E367" s="769"/>
      <c r="F367" s="208"/>
      <c r="G367" s="763"/>
      <c r="H367" s="744"/>
      <c r="I367" s="765"/>
      <c r="J367" s="730"/>
      <c r="K367" s="761"/>
      <c r="L367" s="761"/>
      <c r="M367" s="730"/>
      <c r="N367" s="730"/>
      <c r="V367" s="194" t="str">
        <f t="array" ref="V367">IFERROR(IF(INDEX('Disaggregation Records'!$I$69:$I$152,MATCH(RIGHT(Q367,255),RIGHT('Disaggregation Records'!$D$69:$D$152,255),0))="","",INDEX('Disaggregation Records'!$I$69:$I$152,MATCH(RIGHT(Q367,255),RIGHT('Disaggregation Records'!$D$69:$D$152,255),0))),"")</f>
        <v/>
      </c>
    </row>
    <row r="368" spans="1:23" s="194" customFormat="1" ht="40.4" customHeight="1" x14ac:dyDescent="0.35">
      <c r="A368" s="770" t="str">
        <f ca="1">INDIRECT("'update Helper'!C"&amp;U368)</f>
        <v>a1V3p000006jw8iEAA</v>
      </c>
      <c r="B368" s="766">
        <v>3</v>
      </c>
      <c r="C368" s="760" t="str">
        <f>IFERROR(VLOOKUP(B368,'Outcome Indicators - Section C '!$A$9:$AF$70,32,FALSE),"")</f>
        <v>TB O-2a Tasa de éxito del tratamiento en todas las formas de tuberculosis, confirmada bacteriológicamente y con diagnóstico clínico, casos nuevos y recaídas.</v>
      </c>
      <c r="D368" s="768" t="str">
        <f>R368</f>
        <v/>
      </c>
      <c r="E368" s="768" t="str">
        <f>S368</f>
        <v/>
      </c>
      <c r="F368" s="413"/>
      <c r="G368" s="762" t="str">
        <f ca="1">IF(OR(INDIRECT("'update Helper'!E"&amp;U368)="",F368&lt;&gt;0,F369&lt;&gt;0),IF(IFERROR((F368/F369),"")="","",(F368/F369)),INDIRECT("'update Helper'!E"&amp;U368)/100)</f>
        <v/>
      </c>
      <c r="H368" s="743"/>
      <c r="I368" s="764"/>
      <c r="J368" s="729"/>
      <c r="K368" s="760" t="str">
        <f>W368</f>
        <v>TB O-2a Treatment success rate of all forms of TB - bacteriologically confirmed plus clinically diagnosed, new and relapse cases</v>
      </c>
      <c r="L368" s="760" t="str">
        <f>V368</f>
        <v/>
      </c>
      <c r="M368" s="729"/>
      <c r="N368" s="729"/>
      <c r="P368" s="194">
        <f>IF(AND(EXACT(C368,C366),C366&lt;&gt;0),P366+1,0)</f>
        <v>6</v>
      </c>
      <c r="Q368" s="194" t="str">
        <f>IF(C368&lt;&gt;"",C368&amp;"-"&amp;P368,"")</f>
        <v>TB O-2a Tasa de éxito del tratamiento en todas las formas de tuberculosis, confirmada bacteriológicamente y con diagnóstico clínico, casos nuevos y recaídas.-6</v>
      </c>
      <c r="R368" s="194" t="str">
        <f t="array" ref="R368">IFERROR(IF(INDEX('Disaggregation Records'!$E$69:$E$152,MATCH(RIGHT(Q368,255),RIGHT('Disaggregation Records'!$D$69:$D$152,255),0))="","",INDEX('Disaggregation Records'!$E$69:$E$152,MATCH(RIGHT(Q368,255),RIGHT('Disaggregation Records'!$D$69:$D$152,255),0))),"")</f>
        <v/>
      </c>
      <c r="S368" s="194" t="str">
        <f t="array" ref="S368">IFERROR(IF(INDEX('Disaggregation Records'!$F$69:$F$152,MATCH(RIGHT(Q368,255),RIGHT('Disaggregation Records'!$D$69:$D$152,255),0))="","",INDEX('Disaggregation Records'!$F$69:$F$152,MATCH(RIGHT(Q368,255),RIGHT('Disaggregation Records'!$D$69:$D$152,255),0))),"")</f>
        <v/>
      </c>
      <c r="T368" s="194" t="str">
        <f t="array" ref="T368">IFERROR(IF(INDEX('Disaggregation Records'!$H$69:$H$152,MATCH(RIGHT(Q368,255),RIGHT('Disaggregation Records'!$D$69:$D$152,255),0))="","",INDEX('Disaggregation Records'!$H$69:$H$152,MATCH(RIGHT(Q368,255),RIGHT('Disaggregation Records'!$D$69:$D$152,255),0))),"")</f>
        <v/>
      </c>
      <c r="U368" s="194">
        <f>U366+1</f>
        <v>1693</v>
      </c>
      <c r="V368" s="194" t="str">
        <f t="array" ref="V368">IFERROR(IF(INDEX('Disaggregation Records'!$I$69:$I$152,MATCH(RIGHT(Q368,255),RIGHT('Disaggregation Records'!$D$69:$D$152,255),0))="","",INDEX('Disaggregation Records'!$I$69:$I$152,MATCH(RIGHT(Q368,255),RIGHT('Disaggregation Records'!$D$69:$D$152,255),0))),"")</f>
        <v/>
      </c>
      <c r="W368" s="194" t="str">
        <f>IFERROR(INDEX('Reference Records'!P$23:P$74,MATCH(LEFT(C368,255),'Reference Records'!J$23:J$74,0)),"")</f>
        <v>TB O-2a Treatment success rate of all forms of TB - bacteriologically confirmed plus clinically diagnosed, new and relapse cases</v>
      </c>
    </row>
    <row r="369" spans="1:23" s="194" customFormat="1" ht="40.4" customHeight="1" x14ac:dyDescent="0.35">
      <c r="A369" s="770"/>
      <c r="B369" s="767"/>
      <c r="C369" s="761"/>
      <c r="D369" s="769"/>
      <c r="E369" s="769"/>
      <c r="F369" s="208"/>
      <c r="G369" s="763"/>
      <c r="H369" s="744"/>
      <c r="I369" s="765"/>
      <c r="J369" s="730"/>
      <c r="K369" s="761"/>
      <c r="L369" s="761"/>
      <c r="M369" s="730"/>
      <c r="N369" s="730"/>
      <c r="V369" s="194" t="str">
        <f t="array" ref="V369">IFERROR(IF(INDEX('Disaggregation Records'!$I$69:$I$152,MATCH(RIGHT(Q369,255),RIGHT('Disaggregation Records'!$D$69:$D$152,255),0))="","",INDEX('Disaggregation Records'!$I$69:$I$152,MATCH(RIGHT(Q369,255),RIGHT('Disaggregation Records'!$D$69:$D$152,255),0))),"")</f>
        <v/>
      </c>
    </row>
    <row r="370" spans="1:23" s="194" customFormat="1" ht="40.4" customHeight="1" x14ac:dyDescent="0.35">
      <c r="A370" s="770" t="str">
        <f ca="1">INDIRECT("'update Helper'!C"&amp;U370)</f>
        <v>a1V3p000006jw8jEAA</v>
      </c>
      <c r="B370" s="766">
        <v>3</v>
      </c>
      <c r="C370" s="760" t="str">
        <f>IFERROR(VLOOKUP(B370,'Outcome Indicators - Section C '!$A$9:$AF$70,32,FALSE),"")</f>
        <v>TB O-2a Tasa de éxito del tratamiento en todas las formas de tuberculosis, confirmada bacteriológicamente y con diagnóstico clínico, casos nuevos y recaídas.</v>
      </c>
      <c r="D370" s="768" t="str">
        <f>R370</f>
        <v/>
      </c>
      <c r="E370" s="768" t="str">
        <f>S370</f>
        <v/>
      </c>
      <c r="F370" s="413"/>
      <c r="G370" s="762" t="str">
        <f ca="1">IF(OR(INDIRECT("'update Helper'!E"&amp;U370)="",F370&lt;&gt;0,F371&lt;&gt;0),IF(IFERROR((F370/F371),"")="","",(F370/F371)),INDIRECT("'update Helper'!E"&amp;U370)/100)</f>
        <v/>
      </c>
      <c r="H370" s="743"/>
      <c r="I370" s="764"/>
      <c r="J370" s="729"/>
      <c r="K370" s="760" t="str">
        <f>W370</f>
        <v>TB O-2a Treatment success rate of all forms of TB - bacteriologically confirmed plus clinically diagnosed, new and relapse cases</v>
      </c>
      <c r="L370" s="760" t="str">
        <f>V370</f>
        <v/>
      </c>
      <c r="M370" s="729"/>
      <c r="N370" s="729"/>
      <c r="P370" s="194">
        <f>IF(AND(EXACT(C370,C368),C368&lt;&gt;0),P368+1,0)</f>
        <v>7</v>
      </c>
      <c r="Q370" s="194" t="str">
        <f>IF(C370&lt;&gt;"",C370&amp;"-"&amp;P370,"")</f>
        <v>TB O-2a Tasa de éxito del tratamiento en todas las formas de tuberculosis, confirmada bacteriológicamente y con diagnóstico clínico, casos nuevos y recaídas.-7</v>
      </c>
      <c r="R370" s="194" t="str">
        <f t="array" ref="R370">IFERROR(IF(INDEX('Disaggregation Records'!$E$69:$E$152,MATCH(RIGHT(Q370,255),RIGHT('Disaggregation Records'!$D$69:$D$152,255),0))="","",INDEX('Disaggregation Records'!$E$69:$E$152,MATCH(RIGHT(Q370,255),RIGHT('Disaggregation Records'!$D$69:$D$152,255),0))),"")</f>
        <v/>
      </c>
      <c r="S370" s="194" t="str">
        <f t="array" ref="S370">IFERROR(IF(INDEX('Disaggregation Records'!$F$69:$F$152,MATCH(RIGHT(Q370,255),RIGHT('Disaggregation Records'!$D$69:$D$152,255),0))="","",INDEX('Disaggregation Records'!$F$69:$F$152,MATCH(RIGHT(Q370,255),RIGHT('Disaggregation Records'!$D$69:$D$152,255),0))),"")</f>
        <v/>
      </c>
      <c r="T370" s="194" t="str">
        <f t="array" ref="T370">IFERROR(IF(INDEX('Disaggregation Records'!$H$69:$H$152,MATCH(RIGHT(Q370,255),RIGHT('Disaggregation Records'!$D$69:$D$152,255),0))="","",INDEX('Disaggregation Records'!$H$69:$H$152,MATCH(RIGHT(Q370,255),RIGHT('Disaggregation Records'!$D$69:$D$152,255),0))),"")</f>
        <v/>
      </c>
      <c r="U370" s="194">
        <f>U368+1</f>
        <v>1694</v>
      </c>
      <c r="V370" s="194" t="str">
        <f t="array" ref="V370">IFERROR(IF(INDEX('Disaggregation Records'!$I$69:$I$152,MATCH(RIGHT(Q370,255),RIGHT('Disaggregation Records'!$D$69:$D$152,255),0))="","",INDEX('Disaggregation Records'!$I$69:$I$152,MATCH(RIGHT(Q370,255),RIGHT('Disaggregation Records'!$D$69:$D$152,255),0))),"")</f>
        <v/>
      </c>
      <c r="W370" s="194" t="str">
        <f>IFERROR(INDEX('Reference Records'!P$23:P$74,MATCH(LEFT(C370,255),'Reference Records'!J$23:J$74,0)),"")</f>
        <v>TB O-2a Treatment success rate of all forms of TB - bacteriologically confirmed plus clinically diagnosed, new and relapse cases</v>
      </c>
    </row>
    <row r="371" spans="1:23" s="194" customFormat="1" ht="40.4" customHeight="1" x14ac:dyDescent="0.35">
      <c r="A371" s="770"/>
      <c r="B371" s="767"/>
      <c r="C371" s="761"/>
      <c r="D371" s="769"/>
      <c r="E371" s="769"/>
      <c r="F371" s="208"/>
      <c r="G371" s="763"/>
      <c r="H371" s="744"/>
      <c r="I371" s="765"/>
      <c r="J371" s="730"/>
      <c r="K371" s="761"/>
      <c r="L371" s="761"/>
      <c r="M371" s="730"/>
      <c r="N371" s="730"/>
      <c r="V371" s="194" t="str">
        <f t="array" ref="V371">IFERROR(IF(INDEX('Disaggregation Records'!$I$69:$I$152,MATCH(RIGHT(Q371,255),RIGHT('Disaggregation Records'!$D$69:$D$152,255),0))="","",INDEX('Disaggregation Records'!$I$69:$I$152,MATCH(RIGHT(Q371,255),RIGHT('Disaggregation Records'!$D$69:$D$152,255),0))),"")</f>
        <v/>
      </c>
    </row>
    <row r="372" spans="1:23" s="194" customFormat="1" ht="40.4" customHeight="1" x14ac:dyDescent="0.35">
      <c r="A372" s="770" t="str">
        <f ca="1">INDIRECT("'update Helper'!C"&amp;U372)</f>
        <v>a1V3p000006jw8kEAA</v>
      </c>
      <c r="B372" s="766">
        <v>3</v>
      </c>
      <c r="C372" s="760" t="str">
        <f>IFERROR(VLOOKUP(B372,'Outcome Indicators - Section C '!$A$9:$AF$70,32,FALSE),"")</f>
        <v>TB O-2a Tasa de éxito del tratamiento en todas las formas de tuberculosis, confirmada bacteriológicamente y con diagnóstico clínico, casos nuevos y recaídas.</v>
      </c>
      <c r="D372" s="768" t="str">
        <f>R372</f>
        <v/>
      </c>
      <c r="E372" s="768" t="str">
        <f>S372</f>
        <v/>
      </c>
      <c r="F372" s="413"/>
      <c r="G372" s="762" t="str">
        <f ca="1">IF(OR(INDIRECT("'update Helper'!E"&amp;U372)="",F372&lt;&gt;0,F373&lt;&gt;0),IF(IFERROR((F372/F373),"")="","",(F372/F373)),INDIRECT("'update Helper'!E"&amp;U372)/100)</f>
        <v/>
      </c>
      <c r="H372" s="743"/>
      <c r="I372" s="764"/>
      <c r="J372" s="729"/>
      <c r="K372" s="760" t="str">
        <f>W372</f>
        <v>TB O-2a Treatment success rate of all forms of TB - bacteriologically confirmed plus clinically diagnosed, new and relapse cases</v>
      </c>
      <c r="L372" s="760" t="str">
        <f>V372</f>
        <v/>
      </c>
      <c r="M372" s="729"/>
      <c r="N372" s="729"/>
      <c r="P372" s="194">
        <f>IF(AND(EXACT(C372,C370),C370&lt;&gt;0),P370+1,0)</f>
        <v>8</v>
      </c>
      <c r="Q372" s="194" t="str">
        <f>IF(C372&lt;&gt;"",C372&amp;"-"&amp;P372,"")</f>
        <v>TB O-2a Tasa de éxito del tratamiento en todas las formas de tuberculosis, confirmada bacteriológicamente y con diagnóstico clínico, casos nuevos y recaídas.-8</v>
      </c>
      <c r="R372" s="194" t="str">
        <f t="array" ref="R372">IFERROR(IF(INDEX('Disaggregation Records'!$E$69:$E$152,MATCH(RIGHT(Q372,255),RIGHT('Disaggregation Records'!$D$69:$D$152,255),0))="","",INDEX('Disaggregation Records'!$E$69:$E$152,MATCH(RIGHT(Q372,255),RIGHT('Disaggregation Records'!$D$69:$D$152,255),0))),"")</f>
        <v/>
      </c>
      <c r="S372" s="194" t="str">
        <f t="array" ref="S372">IFERROR(IF(INDEX('Disaggregation Records'!$F$69:$F$152,MATCH(RIGHT(Q372,255),RIGHT('Disaggregation Records'!$D$69:$D$152,255),0))="","",INDEX('Disaggregation Records'!$F$69:$F$152,MATCH(RIGHT(Q372,255),RIGHT('Disaggregation Records'!$D$69:$D$152,255),0))),"")</f>
        <v/>
      </c>
      <c r="T372" s="194" t="str">
        <f t="array" ref="T372">IFERROR(IF(INDEX('Disaggregation Records'!$H$69:$H$152,MATCH(RIGHT(Q372,255),RIGHT('Disaggregation Records'!$D$69:$D$152,255),0))="","",INDEX('Disaggregation Records'!$H$69:$H$152,MATCH(RIGHT(Q372,255),RIGHT('Disaggregation Records'!$D$69:$D$152,255),0))),"")</f>
        <v/>
      </c>
      <c r="U372" s="194">
        <f>U370+1</f>
        <v>1695</v>
      </c>
      <c r="V372" s="194" t="str">
        <f t="array" ref="V372">IFERROR(IF(INDEX('Disaggregation Records'!$I$69:$I$152,MATCH(RIGHT(Q372,255),RIGHT('Disaggregation Records'!$D$69:$D$152,255),0))="","",INDEX('Disaggregation Records'!$I$69:$I$152,MATCH(RIGHT(Q372,255),RIGHT('Disaggregation Records'!$D$69:$D$152,255),0))),"")</f>
        <v/>
      </c>
      <c r="W372" s="194" t="str">
        <f>IFERROR(INDEX('Reference Records'!P$23:P$74,MATCH(LEFT(C372,255),'Reference Records'!J$23:J$74,0)),"")</f>
        <v>TB O-2a Treatment success rate of all forms of TB - bacteriologically confirmed plus clinically diagnosed, new and relapse cases</v>
      </c>
    </row>
    <row r="373" spans="1:23" s="194" customFormat="1" ht="40.4" customHeight="1" x14ac:dyDescent="0.35">
      <c r="A373" s="770"/>
      <c r="B373" s="767"/>
      <c r="C373" s="761"/>
      <c r="D373" s="769"/>
      <c r="E373" s="769"/>
      <c r="F373" s="208"/>
      <c r="G373" s="763"/>
      <c r="H373" s="744"/>
      <c r="I373" s="765"/>
      <c r="J373" s="730"/>
      <c r="K373" s="761"/>
      <c r="L373" s="761"/>
      <c r="M373" s="730"/>
      <c r="N373" s="730"/>
      <c r="V373" s="194" t="str">
        <f t="array" ref="V373">IFERROR(IF(INDEX('Disaggregation Records'!$I$69:$I$152,MATCH(RIGHT(Q373,255),RIGHT('Disaggregation Records'!$D$69:$D$152,255),0))="","",INDEX('Disaggregation Records'!$I$69:$I$152,MATCH(RIGHT(Q373,255),RIGHT('Disaggregation Records'!$D$69:$D$152,255),0))),"")</f>
        <v/>
      </c>
    </row>
    <row r="374" spans="1:23" s="194" customFormat="1" ht="40.4" customHeight="1" x14ac:dyDescent="0.35">
      <c r="A374" s="770" t="str">
        <f ca="1">INDIRECT("'update Helper'!C"&amp;U374)</f>
        <v>a1V3p000006jw8lEAA</v>
      </c>
      <c r="B374" s="766">
        <v>3</v>
      </c>
      <c r="C374" s="760" t="str">
        <f>IFERROR(VLOOKUP(B374,'Outcome Indicators - Section C '!$A$9:$AF$70,32,FALSE),"")</f>
        <v>TB O-2a Tasa de éxito del tratamiento en todas las formas de tuberculosis, confirmada bacteriológicamente y con diagnóstico clínico, casos nuevos y recaídas.</v>
      </c>
      <c r="D374" s="768" t="str">
        <f>R374</f>
        <v/>
      </c>
      <c r="E374" s="768" t="str">
        <f>S374</f>
        <v/>
      </c>
      <c r="F374" s="413"/>
      <c r="G374" s="762" t="str">
        <f ca="1">IF(OR(INDIRECT("'update Helper'!E"&amp;U374)="",F374&lt;&gt;0,F375&lt;&gt;0),IF(IFERROR((F374/F375),"")="","",(F374/F375)),INDIRECT("'update Helper'!E"&amp;U374)/100)</f>
        <v/>
      </c>
      <c r="H374" s="743"/>
      <c r="I374" s="764"/>
      <c r="J374" s="729"/>
      <c r="K374" s="760" t="str">
        <f>W374</f>
        <v>TB O-2a Treatment success rate of all forms of TB - bacteriologically confirmed plus clinically diagnosed, new and relapse cases</v>
      </c>
      <c r="L374" s="760" t="str">
        <f>V374</f>
        <v/>
      </c>
      <c r="M374" s="729"/>
      <c r="N374" s="729"/>
      <c r="P374" s="194">
        <f>IF(AND(EXACT(C374,C372),C372&lt;&gt;0),P372+1,0)</f>
        <v>9</v>
      </c>
      <c r="Q374" s="194" t="str">
        <f>IF(C374&lt;&gt;"",C374&amp;"-"&amp;P374,"")</f>
        <v>TB O-2a Tasa de éxito del tratamiento en todas las formas de tuberculosis, confirmada bacteriológicamente y con diagnóstico clínico, casos nuevos y recaídas.-9</v>
      </c>
      <c r="R374" s="194" t="str">
        <f t="array" ref="R374">IFERROR(IF(INDEX('Disaggregation Records'!$E$69:$E$152,MATCH(RIGHT(Q374,255),RIGHT('Disaggregation Records'!$D$69:$D$152,255),0))="","",INDEX('Disaggregation Records'!$E$69:$E$152,MATCH(RIGHT(Q374,255),RIGHT('Disaggregation Records'!$D$69:$D$152,255),0))),"")</f>
        <v/>
      </c>
      <c r="S374" s="194" t="str">
        <f t="array" ref="S374">IFERROR(IF(INDEX('Disaggregation Records'!$F$69:$F$152,MATCH(RIGHT(Q374,255),RIGHT('Disaggregation Records'!$D$69:$D$152,255),0))="","",INDEX('Disaggregation Records'!$F$69:$F$152,MATCH(RIGHT(Q374,255),RIGHT('Disaggregation Records'!$D$69:$D$152,255),0))),"")</f>
        <v/>
      </c>
      <c r="T374" s="194" t="str">
        <f t="array" ref="T374">IFERROR(IF(INDEX('Disaggregation Records'!$H$69:$H$152,MATCH(RIGHT(Q374,255),RIGHT('Disaggregation Records'!$D$69:$D$152,255),0))="","",INDEX('Disaggregation Records'!$H$69:$H$152,MATCH(RIGHT(Q374,255),RIGHT('Disaggregation Records'!$D$69:$D$152,255),0))),"")</f>
        <v/>
      </c>
      <c r="U374" s="194">
        <f>U372+1</f>
        <v>1696</v>
      </c>
      <c r="V374" s="194" t="str">
        <f t="array" ref="V374">IFERROR(IF(INDEX('Disaggregation Records'!$I$69:$I$152,MATCH(RIGHT(Q374,255),RIGHT('Disaggregation Records'!$D$69:$D$152,255),0))="","",INDEX('Disaggregation Records'!$I$69:$I$152,MATCH(RIGHT(Q374,255),RIGHT('Disaggregation Records'!$D$69:$D$152,255),0))),"")</f>
        <v/>
      </c>
      <c r="W374" s="194" t="str">
        <f>IFERROR(INDEX('Reference Records'!P$23:P$74,MATCH(LEFT(C374,255),'Reference Records'!J$23:J$74,0)),"")</f>
        <v>TB O-2a Treatment success rate of all forms of TB - bacteriologically confirmed plus clinically diagnosed, new and relapse cases</v>
      </c>
    </row>
    <row r="375" spans="1:23" s="194" customFormat="1" ht="40.4" customHeight="1" x14ac:dyDescent="0.35">
      <c r="A375" s="770"/>
      <c r="B375" s="767"/>
      <c r="C375" s="761"/>
      <c r="D375" s="769"/>
      <c r="E375" s="769"/>
      <c r="F375" s="208"/>
      <c r="G375" s="763"/>
      <c r="H375" s="744"/>
      <c r="I375" s="765"/>
      <c r="J375" s="730"/>
      <c r="K375" s="761"/>
      <c r="L375" s="761"/>
      <c r="M375" s="730"/>
      <c r="N375" s="730"/>
      <c r="V375" s="194" t="str">
        <f t="array" ref="V375">IFERROR(IF(INDEX('Disaggregation Records'!$I$69:$I$152,MATCH(RIGHT(Q375,255),RIGHT('Disaggregation Records'!$D$69:$D$152,255),0))="","",INDEX('Disaggregation Records'!$I$69:$I$152,MATCH(RIGHT(Q375,255),RIGHT('Disaggregation Records'!$D$69:$D$152,255),0))),"")</f>
        <v/>
      </c>
    </row>
    <row r="376" spans="1:23" s="194" customFormat="1" ht="40.4" customHeight="1" x14ac:dyDescent="0.35">
      <c r="A376" s="770" t="str">
        <f ca="1">INDIRECT("'update Helper'!C"&amp;U376)</f>
        <v>a1V3p000006jwB2EAI</v>
      </c>
      <c r="B376" s="766">
        <v>4</v>
      </c>
      <c r="C376" s="760" t="str">
        <f>IFERROR(VLOOKUP(B376,'Outcome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76" s="768" t="str">
        <f>R376</f>
        <v/>
      </c>
      <c r="E376" s="768" t="str">
        <f>S376</f>
        <v/>
      </c>
      <c r="F376" s="413"/>
      <c r="G376" s="762" t="str">
        <f ca="1">IF(OR(INDIRECT("'update Helper'!E"&amp;U376)="",F376&lt;&gt;0,F377&lt;&gt;0),IF(IFERROR((F376/F377),"")="","",(F376/F377)),INDIRECT("'update Helper'!E"&amp;U376)/100)</f>
        <v/>
      </c>
      <c r="H376" s="743"/>
      <c r="I376" s="764"/>
      <c r="J376" s="729"/>
      <c r="K376" s="760" t="str">
        <f>W376</f>
        <v>TB O-5⁽ᴹ⁾ TB treatment coverage: Percentage of new and relapse cases that were notified and treated among the estimated number of incident TB cases in the same year (all form of TB - bacteriologically confirmed plus clinically diagnosed)</v>
      </c>
      <c r="L376" s="760" t="str">
        <f>V376</f>
        <v/>
      </c>
      <c r="M376" s="729"/>
      <c r="N376" s="729"/>
      <c r="P376" s="194">
        <f>IF(AND(EXACT(C376,C374),C374&lt;&gt;0),P374+1,0)</f>
        <v>0</v>
      </c>
      <c r="Q376" s="194" t="str">
        <f>IF(C376&lt;&gt;"",C376&amp;"-"&amp;P376,"")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clínico).-0</v>
      </c>
      <c r="R376" s="194" t="str">
        <f t="array" ref="R376">IFERROR(IF(INDEX('Disaggregation Records'!$E$69:$E$152,MATCH(RIGHT(Q376,255),RIGHT('Disaggregation Records'!$D$69:$D$152,255),0))="","",INDEX('Disaggregation Records'!$E$69:$E$152,MATCH(RIGHT(Q376,255),RIGHT('Disaggregation Records'!$D$69:$D$152,255),0))),"")</f>
        <v/>
      </c>
      <c r="S376" s="194" t="str">
        <f t="array" ref="S376">IFERROR(IF(INDEX('Disaggregation Records'!$F$69:$F$152,MATCH(RIGHT(Q376,255),RIGHT('Disaggregation Records'!$D$69:$D$152,255),0))="","",INDEX('Disaggregation Records'!$F$69:$F$152,MATCH(RIGHT(Q376,255),RIGHT('Disaggregation Records'!$D$69:$D$152,255),0))),"")</f>
        <v/>
      </c>
      <c r="T376" s="194" t="str">
        <f t="array" ref="T376">IFERROR(IF(INDEX('Disaggregation Records'!$H$69:$H$152,MATCH(RIGHT(Q376,255),RIGHT('Disaggregation Records'!$D$69:$D$152,255),0))="","",INDEX('Disaggregation Records'!$H$69:$H$152,MATCH(RIGHT(Q376,255),RIGHT('Disaggregation Records'!$D$69:$D$152,255),0))),"")</f>
        <v/>
      </c>
      <c r="U376" s="194">
        <f>U374+1</f>
        <v>1697</v>
      </c>
      <c r="V376" s="194" t="str">
        <f t="array" ref="V376">IFERROR(IF(INDEX('Disaggregation Records'!$I$69:$I$152,MATCH(RIGHT(Q376,255),RIGHT('Disaggregation Records'!$D$69:$D$152,255),0))="","",INDEX('Disaggregation Records'!$I$69:$I$152,MATCH(RIGHT(Q376,255),RIGHT('Disaggregation Records'!$D$69:$D$152,255),0))),"")</f>
        <v/>
      </c>
      <c r="W376" s="194" t="str">
        <f>IFERROR(INDEX('Reference Records'!P$23:P$74,MATCH(LEFT(C376,255),'Reference Records'!J$23:J$74,0)),"")</f>
        <v>TB O-5⁽ᴹ⁾ TB treatment coverage: Percentage of new and relapse cases that were notified and treated among the estimated number of incident TB cases in the same year (all form of TB - bacteriologically confirmed plus clinically diagnosed)</v>
      </c>
    </row>
    <row r="377" spans="1:23" s="194" customFormat="1" ht="40.4" customHeight="1" x14ac:dyDescent="0.35">
      <c r="A377" s="770"/>
      <c r="B377" s="767"/>
      <c r="C377" s="761"/>
      <c r="D377" s="769"/>
      <c r="E377" s="769"/>
      <c r="F377" s="208"/>
      <c r="G377" s="763"/>
      <c r="H377" s="744"/>
      <c r="I377" s="765"/>
      <c r="J377" s="730"/>
      <c r="K377" s="761"/>
      <c r="L377" s="761"/>
      <c r="M377" s="730"/>
      <c r="N377" s="730"/>
      <c r="V377" s="194" t="str">
        <f t="array" ref="V377">IFERROR(IF(INDEX('Disaggregation Records'!$I$69:$I$152,MATCH(RIGHT(Q377,255),RIGHT('Disaggregation Records'!$D$69:$D$152,255),0))="","",INDEX('Disaggregation Records'!$I$69:$I$152,MATCH(RIGHT(Q377,255),RIGHT('Disaggregation Records'!$D$69:$D$152,255),0))),"")</f>
        <v/>
      </c>
    </row>
    <row r="378" spans="1:23" s="194" customFormat="1" ht="40.4" customHeight="1" x14ac:dyDescent="0.35">
      <c r="A378" s="770" t="str">
        <f ca="1">INDIRECT("'update Helper'!C"&amp;U378)</f>
        <v>a1V3p000006jwB3EAI</v>
      </c>
      <c r="B378" s="766">
        <v>4</v>
      </c>
      <c r="C378" s="760" t="str">
        <f>IFERROR(VLOOKUP(B378,'Outcome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78" s="768" t="str">
        <f>R378</f>
        <v/>
      </c>
      <c r="E378" s="768" t="str">
        <f>S378</f>
        <v/>
      </c>
      <c r="F378" s="413"/>
      <c r="G378" s="762" t="str">
        <f ca="1">IF(OR(INDIRECT("'update Helper'!E"&amp;U378)="",F378&lt;&gt;0,F379&lt;&gt;0),IF(IFERROR((F378/F379),"")="","",(F378/F379)),INDIRECT("'update Helper'!E"&amp;U378)/100)</f>
        <v/>
      </c>
      <c r="H378" s="743"/>
      <c r="I378" s="764"/>
      <c r="J378" s="729"/>
      <c r="K378" s="760" t="str">
        <f>W378</f>
        <v>TB O-5⁽ᴹ⁾ TB treatment coverage: Percentage of new and relapse cases that were notified and treated among the estimated number of incident TB cases in the same year (all form of TB - bacteriologically confirmed plus clinically diagnosed)</v>
      </c>
      <c r="L378" s="760" t="str">
        <f>V378</f>
        <v/>
      </c>
      <c r="M378" s="729"/>
      <c r="N378" s="729"/>
      <c r="P378" s="194">
        <f>IF(AND(EXACT(C378,C376),C376&lt;&gt;0),P376+1,0)</f>
        <v>1</v>
      </c>
      <c r="Q378" s="194" t="str">
        <f>IF(C378&lt;&gt;"",C378&amp;"-"&amp;P378,"")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clínico).-1</v>
      </c>
      <c r="R378" s="194" t="str">
        <f t="array" ref="R378">IFERROR(IF(INDEX('Disaggregation Records'!$E$69:$E$152,MATCH(RIGHT(Q378,255),RIGHT('Disaggregation Records'!$D$69:$D$152,255),0))="","",INDEX('Disaggregation Records'!$E$69:$E$152,MATCH(RIGHT(Q378,255),RIGHT('Disaggregation Records'!$D$69:$D$152,255),0))),"")</f>
        <v/>
      </c>
      <c r="S378" s="194" t="str">
        <f t="array" ref="S378">IFERROR(IF(INDEX('Disaggregation Records'!$F$69:$F$152,MATCH(RIGHT(Q378,255),RIGHT('Disaggregation Records'!$D$69:$D$152,255),0))="","",INDEX('Disaggregation Records'!$F$69:$F$152,MATCH(RIGHT(Q378,255),RIGHT('Disaggregation Records'!$D$69:$D$152,255),0))),"")</f>
        <v/>
      </c>
      <c r="T378" s="194" t="str">
        <f t="array" ref="T378">IFERROR(IF(INDEX('Disaggregation Records'!$H$69:$H$152,MATCH(RIGHT(Q378,255),RIGHT('Disaggregation Records'!$D$69:$D$152,255),0))="","",INDEX('Disaggregation Records'!$H$69:$H$152,MATCH(RIGHT(Q378,255),RIGHT('Disaggregation Records'!$D$69:$D$152,255),0))),"")</f>
        <v/>
      </c>
      <c r="U378" s="194">
        <f>U376+1</f>
        <v>1698</v>
      </c>
      <c r="V378" s="194" t="str">
        <f t="array" ref="V378">IFERROR(IF(INDEX('Disaggregation Records'!$I$69:$I$152,MATCH(RIGHT(Q378,255),RIGHT('Disaggregation Records'!$D$69:$D$152,255),0))="","",INDEX('Disaggregation Records'!$I$69:$I$152,MATCH(RIGHT(Q378,255),RIGHT('Disaggregation Records'!$D$69:$D$152,255),0))),"")</f>
        <v/>
      </c>
      <c r="W378" s="194" t="str">
        <f>IFERROR(INDEX('Reference Records'!P$23:P$74,MATCH(LEFT(C378,255),'Reference Records'!J$23:J$74,0)),"")</f>
        <v>TB O-5⁽ᴹ⁾ TB treatment coverage: Percentage of new and relapse cases that were notified and treated among the estimated number of incident TB cases in the same year (all form of TB - bacteriologically confirmed plus clinically diagnosed)</v>
      </c>
    </row>
    <row r="379" spans="1:23" s="194" customFormat="1" ht="40.4" customHeight="1" x14ac:dyDescent="0.35">
      <c r="A379" s="770"/>
      <c r="B379" s="767"/>
      <c r="C379" s="761"/>
      <c r="D379" s="769"/>
      <c r="E379" s="769"/>
      <c r="F379" s="208"/>
      <c r="G379" s="763"/>
      <c r="H379" s="744"/>
      <c r="I379" s="765"/>
      <c r="J379" s="730"/>
      <c r="K379" s="761"/>
      <c r="L379" s="761"/>
      <c r="M379" s="730"/>
      <c r="N379" s="730"/>
      <c r="V379" s="194" t="str">
        <f t="array" ref="V379">IFERROR(IF(INDEX('Disaggregation Records'!$I$69:$I$152,MATCH(RIGHT(Q379,255),RIGHT('Disaggregation Records'!$D$69:$D$152,255),0))="","",INDEX('Disaggregation Records'!$I$69:$I$152,MATCH(RIGHT(Q379,255),RIGHT('Disaggregation Records'!$D$69:$D$152,255),0))),"")</f>
        <v/>
      </c>
    </row>
    <row r="380" spans="1:23" s="194" customFormat="1" ht="40.4" customHeight="1" x14ac:dyDescent="0.35">
      <c r="A380" s="770" t="str">
        <f ca="1">INDIRECT("'update Helper'!C"&amp;U380)</f>
        <v>a1V3p000006jwB4EAI</v>
      </c>
      <c r="B380" s="766">
        <v>4</v>
      </c>
      <c r="C380" s="760" t="str">
        <f>IFERROR(VLOOKUP(B380,'Outcome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80" s="768" t="str">
        <f>R380</f>
        <v/>
      </c>
      <c r="E380" s="768" t="str">
        <f>S380</f>
        <v/>
      </c>
      <c r="F380" s="413"/>
      <c r="G380" s="762" t="str">
        <f ca="1">IF(OR(INDIRECT("'update Helper'!E"&amp;U380)="",F380&lt;&gt;0,F381&lt;&gt;0),IF(IFERROR((F380/F381),"")="","",(F380/F381)),INDIRECT("'update Helper'!E"&amp;U380)/100)</f>
        <v/>
      </c>
      <c r="H380" s="743"/>
      <c r="I380" s="764"/>
      <c r="J380" s="729"/>
      <c r="K380" s="760" t="str">
        <f>W380</f>
        <v>TB O-5⁽ᴹ⁾ TB treatment coverage: Percentage of new and relapse cases that were notified and treated among the estimated number of incident TB cases in the same year (all form of TB - bacteriologically confirmed plus clinically diagnosed)</v>
      </c>
      <c r="L380" s="760" t="str">
        <f>V380</f>
        <v/>
      </c>
      <c r="M380" s="729"/>
      <c r="N380" s="729"/>
      <c r="P380" s="194">
        <f>IF(AND(EXACT(C380,C378),C378&lt;&gt;0),P378+1,0)</f>
        <v>2</v>
      </c>
      <c r="Q380" s="194" t="str">
        <f>IF(C380&lt;&gt;"",C380&amp;"-"&amp;P380,"")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clínico).-2</v>
      </c>
      <c r="R380" s="194" t="str">
        <f t="array" ref="R380">IFERROR(IF(INDEX('Disaggregation Records'!$E$69:$E$152,MATCH(RIGHT(Q380,255),RIGHT('Disaggregation Records'!$D$69:$D$152,255),0))="","",INDEX('Disaggregation Records'!$E$69:$E$152,MATCH(RIGHT(Q380,255),RIGHT('Disaggregation Records'!$D$69:$D$152,255),0))),"")</f>
        <v/>
      </c>
      <c r="S380" s="194" t="str">
        <f t="array" ref="S380">IFERROR(IF(INDEX('Disaggregation Records'!$F$69:$F$152,MATCH(RIGHT(Q380,255),RIGHT('Disaggregation Records'!$D$69:$D$152,255),0))="","",INDEX('Disaggregation Records'!$F$69:$F$152,MATCH(RIGHT(Q380,255),RIGHT('Disaggregation Records'!$D$69:$D$152,255),0))),"")</f>
        <v/>
      </c>
      <c r="T380" s="194" t="str">
        <f t="array" ref="T380">IFERROR(IF(INDEX('Disaggregation Records'!$H$69:$H$152,MATCH(RIGHT(Q380,255),RIGHT('Disaggregation Records'!$D$69:$D$152,255),0))="","",INDEX('Disaggregation Records'!$H$69:$H$152,MATCH(RIGHT(Q380,255),RIGHT('Disaggregation Records'!$D$69:$D$152,255),0))),"")</f>
        <v/>
      </c>
      <c r="U380" s="194">
        <f>U378+1</f>
        <v>1699</v>
      </c>
      <c r="V380" s="194" t="str">
        <f t="array" ref="V380">IFERROR(IF(INDEX('Disaggregation Records'!$I$69:$I$152,MATCH(RIGHT(Q380,255),RIGHT('Disaggregation Records'!$D$69:$D$152,255),0))="","",INDEX('Disaggregation Records'!$I$69:$I$152,MATCH(RIGHT(Q380,255),RIGHT('Disaggregation Records'!$D$69:$D$152,255),0))),"")</f>
        <v/>
      </c>
      <c r="W380" s="194" t="str">
        <f>IFERROR(INDEX('Reference Records'!P$23:P$74,MATCH(LEFT(C380,255),'Reference Records'!J$23:J$74,0)),"")</f>
        <v>TB O-5⁽ᴹ⁾ TB treatment coverage: Percentage of new and relapse cases that were notified and treated among the estimated number of incident TB cases in the same year (all form of TB - bacteriologically confirmed plus clinically diagnosed)</v>
      </c>
    </row>
    <row r="381" spans="1:23" s="194" customFormat="1" ht="40.4" customHeight="1" x14ac:dyDescent="0.35">
      <c r="A381" s="770"/>
      <c r="B381" s="767"/>
      <c r="C381" s="761"/>
      <c r="D381" s="769"/>
      <c r="E381" s="769"/>
      <c r="F381" s="208"/>
      <c r="G381" s="763"/>
      <c r="H381" s="744"/>
      <c r="I381" s="765"/>
      <c r="J381" s="730"/>
      <c r="K381" s="761"/>
      <c r="L381" s="761"/>
      <c r="M381" s="730"/>
      <c r="N381" s="730"/>
      <c r="V381" s="194" t="str">
        <f t="array" ref="V381">IFERROR(IF(INDEX('Disaggregation Records'!$I$69:$I$152,MATCH(RIGHT(Q381,255),RIGHT('Disaggregation Records'!$D$69:$D$152,255),0))="","",INDEX('Disaggregation Records'!$I$69:$I$152,MATCH(RIGHT(Q381,255),RIGHT('Disaggregation Records'!$D$69:$D$152,255),0))),"")</f>
        <v/>
      </c>
    </row>
    <row r="382" spans="1:23" s="194" customFormat="1" ht="40.4" customHeight="1" x14ac:dyDescent="0.35">
      <c r="A382" s="770" t="str">
        <f ca="1">INDIRECT("'update Helper'!C"&amp;U382)</f>
        <v>a1V3p000006jwB5EAI</v>
      </c>
      <c r="B382" s="766">
        <v>4</v>
      </c>
      <c r="C382" s="760" t="str">
        <f>IFERROR(VLOOKUP(B382,'Outcome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82" s="768" t="str">
        <f>R382</f>
        <v/>
      </c>
      <c r="E382" s="768" t="str">
        <f>S382</f>
        <v/>
      </c>
      <c r="F382" s="413"/>
      <c r="G382" s="762" t="str">
        <f ca="1">IF(OR(INDIRECT("'update Helper'!E"&amp;U382)="",F382&lt;&gt;0,F383&lt;&gt;0),IF(IFERROR((F382/F383),"")="","",(F382/F383)),INDIRECT("'update Helper'!E"&amp;U382)/100)</f>
        <v/>
      </c>
      <c r="H382" s="743"/>
      <c r="I382" s="764"/>
      <c r="J382" s="729"/>
      <c r="K382" s="760" t="str">
        <f>W382</f>
        <v>TB O-5⁽ᴹ⁾ TB treatment coverage: Percentage of new and relapse cases that were notified and treated among the estimated number of incident TB cases in the same year (all form of TB - bacteriologically confirmed plus clinically diagnosed)</v>
      </c>
      <c r="L382" s="760" t="str">
        <f>V382</f>
        <v/>
      </c>
      <c r="M382" s="729"/>
      <c r="N382" s="729"/>
      <c r="P382" s="194">
        <f>IF(AND(EXACT(C382,C380),C380&lt;&gt;0),P380+1,0)</f>
        <v>3</v>
      </c>
      <c r="Q382" s="194" t="str">
        <f>IF(C382&lt;&gt;"",C382&amp;"-"&amp;P382,"")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clínico).-3</v>
      </c>
      <c r="R382" s="194" t="str">
        <f t="array" ref="R382">IFERROR(IF(INDEX('Disaggregation Records'!$E$69:$E$152,MATCH(RIGHT(Q382,255),RIGHT('Disaggregation Records'!$D$69:$D$152,255),0))="","",INDEX('Disaggregation Records'!$E$69:$E$152,MATCH(RIGHT(Q382,255),RIGHT('Disaggregation Records'!$D$69:$D$152,255),0))),"")</f>
        <v/>
      </c>
      <c r="S382" s="194" t="str">
        <f t="array" ref="S382">IFERROR(IF(INDEX('Disaggregation Records'!$F$69:$F$152,MATCH(RIGHT(Q382,255),RIGHT('Disaggregation Records'!$D$69:$D$152,255),0))="","",INDEX('Disaggregation Records'!$F$69:$F$152,MATCH(RIGHT(Q382,255),RIGHT('Disaggregation Records'!$D$69:$D$152,255),0))),"")</f>
        <v/>
      </c>
      <c r="T382" s="194" t="str">
        <f t="array" ref="T382">IFERROR(IF(INDEX('Disaggregation Records'!$H$69:$H$152,MATCH(RIGHT(Q382,255),RIGHT('Disaggregation Records'!$D$69:$D$152,255),0))="","",INDEX('Disaggregation Records'!$H$69:$H$152,MATCH(RIGHT(Q382,255),RIGHT('Disaggregation Records'!$D$69:$D$152,255),0))),"")</f>
        <v/>
      </c>
      <c r="U382" s="194">
        <f>U380+1</f>
        <v>1700</v>
      </c>
      <c r="V382" s="194" t="str">
        <f t="array" ref="V382">IFERROR(IF(INDEX('Disaggregation Records'!$I$69:$I$152,MATCH(RIGHT(Q382,255),RIGHT('Disaggregation Records'!$D$69:$D$152,255),0))="","",INDEX('Disaggregation Records'!$I$69:$I$152,MATCH(RIGHT(Q382,255),RIGHT('Disaggregation Records'!$D$69:$D$152,255),0))),"")</f>
        <v/>
      </c>
      <c r="W382" s="194" t="str">
        <f>IFERROR(INDEX('Reference Records'!P$23:P$74,MATCH(LEFT(C382,255),'Reference Records'!J$23:J$74,0)),"")</f>
        <v>TB O-5⁽ᴹ⁾ TB treatment coverage: Percentage of new and relapse cases that were notified and treated among the estimated number of incident TB cases in the same year (all form of TB - bacteriologically confirmed plus clinically diagnosed)</v>
      </c>
    </row>
    <row r="383" spans="1:23" s="194" customFormat="1" ht="40.4" customHeight="1" x14ac:dyDescent="0.35">
      <c r="A383" s="770"/>
      <c r="B383" s="767"/>
      <c r="C383" s="761"/>
      <c r="D383" s="769"/>
      <c r="E383" s="769"/>
      <c r="F383" s="208"/>
      <c r="G383" s="763"/>
      <c r="H383" s="744"/>
      <c r="I383" s="765"/>
      <c r="J383" s="730"/>
      <c r="K383" s="761"/>
      <c r="L383" s="761"/>
      <c r="M383" s="730"/>
      <c r="N383" s="730"/>
      <c r="V383" s="194" t="str">
        <f t="array" ref="V383">IFERROR(IF(INDEX('Disaggregation Records'!$I$69:$I$152,MATCH(RIGHT(Q383,255),RIGHT('Disaggregation Records'!$D$69:$D$152,255),0))="","",INDEX('Disaggregation Records'!$I$69:$I$152,MATCH(RIGHT(Q383,255),RIGHT('Disaggregation Records'!$D$69:$D$152,255),0))),"")</f>
        <v/>
      </c>
    </row>
    <row r="384" spans="1:23" s="194" customFormat="1" ht="40.4" customHeight="1" x14ac:dyDescent="0.35">
      <c r="A384" s="770" t="str">
        <f ca="1">INDIRECT("'update Helper'!C"&amp;U384)</f>
        <v>a1V3p000006jwB6EAI</v>
      </c>
      <c r="B384" s="766">
        <v>4</v>
      </c>
      <c r="C384" s="760" t="str">
        <f>IFERROR(VLOOKUP(B384,'Outcome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84" s="768" t="str">
        <f>R384</f>
        <v/>
      </c>
      <c r="E384" s="768" t="str">
        <f>S384</f>
        <v/>
      </c>
      <c r="F384" s="413"/>
      <c r="G384" s="762" t="str">
        <f ca="1">IF(OR(INDIRECT("'update Helper'!E"&amp;U384)="",F384&lt;&gt;0,F385&lt;&gt;0),IF(IFERROR((F384/F385),"")="","",(F384/F385)),INDIRECT("'update Helper'!E"&amp;U384)/100)</f>
        <v/>
      </c>
      <c r="H384" s="743"/>
      <c r="I384" s="764"/>
      <c r="J384" s="729"/>
      <c r="K384" s="760" t="str">
        <f>W384</f>
        <v>TB O-5⁽ᴹ⁾ TB treatment coverage: Percentage of new and relapse cases that were notified and treated among the estimated number of incident TB cases in the same year (all form of TB - bacteriologically confirmed plus clinically diagnosed)</v>
      </c>
      <c r="L384" s="760" t="str">
        <f>V384</f>
        <v/>
      </c>
      <c r="M384" s="729"/>
      <c r="N384" s="729"/>
      <c r="P384" s="194">
        <f>IF(AND(EXACT(C384,C382),C382&lt;&gt;0),P382+1,0)</f>
        <v>4</v>
      </c>
      <c r="Q384" s="194" t="str">
        <f>IF(C384&lt;&gt;"",C384&amp;"-"&amp;P384,"")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clínico).-4</v>
      </c>
      <c r="R384" s="194" t="str">
        <f t="array" ref="R384">IFERROR(IF(INDEX('Disaggregation Records'!$E$69:$E$152,MATCH(RIGHT(Q384,255),RIGHT('Disaggregation Records'!$D$69:$D$152,255),0))="","",INDEX('Disaggregation Records'!$E$69:$E$152,MATCH(RIGHT(Q384,255),RIGHT('Disaggregation Records'!$D$69:$D$152,255),0))),"")</f>
        <v/>
      </c>
      <c r="S384" s="194" t="str">
        <f t="array" ref="S384">IFERROR(IF(INDEX('Disaggregation Records'!$F$69:$F$152,MATCH(RIGHT(Q384,255),RIGHT('Disaggregation Records'!$D$69:$D$152,255),0))="","",INDEX('Disaggregation Records'!$F$69:$F$152,MATCH(RIGHT(Q384,255),RIGHT('Disaggregation Records'!$D$69:$D$152,255),0))),"")</f>
        <v/>
      </c>
      <c r="T384" s="194" t="str">
        <f t="array" ref="T384">IFERROR(IF(INDEX('Disaggregation Records'!$H$69:$H$152,MATCH(RIGHT(Q384,255),RIGHT('Disaggregation Records'!$D$69:$D$152,255),0))="","",INDEX('Disaggregation Records'!$H$69:$H$152,MATCH(RIGHT(Q384,255),RIGHT('Disaggregation Records'!$D$69:$D$152,255),0))),"")</f>
        <v/>
      </c>
      <c r="U384" s="194">
        <f>U382+1</f>
        <v>1701</v>
      </c>
      <c r="V384" s="194" t="str">
        <f t="array" ref="V384">IFERROR(IF(INDEX('Disaggregation Records'!$I$69:$I$152,MATCH(RIGHT(Q384,255),RIGHT('Disaggregation Records'!$D$69:$D$152,255),0))="","",INDEX('Disaggregation Records'!$I$69:$I$152,MATCH(RIGHT(Q384,255),RIGHT('Disaggregation Records'!$D$69:$D$152,255),0))),"")</f>
        <v/>
      </c>
      <c r="W384" s="194" t="str">
        <f>IFERROR(INDEX('Reference Records'!P$23:P$74,MATCH(LEFT(C384,255),'Reference Records'!J$23:J$74,0)),"")</f>
        <v>TB O-5⁽ᴹ⁾ TB treatment coverage: Percentage of new and relapse cases that were notified and treated among the estimated number of incident TB cases in the same year (all form of TB - bacteriologically confirmed plus clinically diagnosed)</v>
      </c>
    </row>
    <row r="385" spans="1:23" s="194" customFormat="1" ht="40.4" customHeight="1" x14ac:dyDescent="0.35">
      <c r="A385" s="770"/>
      <c r="B385" s="767"/>
      <c r="C385" s="761"/>
      <c r="D385" s="769"/>
      <c r="E385" s="769"/>
      <c r="F385" s="208"/>
      <c r="G385" s="763"/>
      <c r="H385" s="744"/>
      <c r="I385" s="765"/>
      <c r="J385" s="730"/>
      <c r="K385" s="761"/>
      <c r="L385" s="761"/>
      <c r="M385" s="730"/>
      <c r="N385" s="730"/>
      <c r="V385" s="194" t="str">
        <f t="array" ref="V385">IFERROR(IF(INDEX('Disaggregation Records'!$I$69:$I$152,MATCH(RIGHT(Q385,255),RIGHT('Disaggregation Records'!$D$69:$D$152,255),0))="","",INDEX('Disaggregation Records'!$I$69:$I$152,MATCH(RIGHT(Q385,255),RIGHT('Disaggregation Records'!$D$69:$D$152,255),0))),"")</f>
        <v/>
      </c>
    </row>
    <row r="386" spans="1:23" s="194" customFormat="1" ht="40.4" customHeight="1" x14ac:dyDescent="0.35">
      <c r="A386" s="770" t="str">
        <f ca="1">INDIRECT("'update Helper'!C"&amp;U386)</f>
        <v>a1V3p000006jwB7EAI</v>
      </c>
      <c r="B386" s="766">
        <v>4</v>
      </c>
      <c r="C386" s="760" t="str">
        <f>IFERROR(VLOOKUP(B386,'Outcome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86" s="768" t="str">
        <f>R386</f>
        <v/>
      </c>
      <c r="E386" s="768" t="str">
        <f>S386</f>
        <v/>
      </c>
      <c r="F386" s="413"/>
      <c r="G386" s="762" t="str">
        <f ca="1">IF(OR(INDIRECT("'update Helper'!E"&amp;U386)="",F386&lt;&gt;0,F387&lt;&gt;0),IF(IFERROR((F386/F387),"")="","",(F386/F387)),INDIRECT("'update Helper'!E"&amp;U386)/100)</f>
        <v/>
      </c>
      <c r="H386" s="743"/>
      <c r="I386" s="764"/>
      <c r="J386" s="729"/>
      <c r="K386" s="760" t="str">
        <f>W386</f>
        <v>TB O-5⁽ᴹ⁾ TB treatment coverage: Percentage of new and relapse cases that were notified and treated among the estimated number of incident TB cases in the same year (all form of TB - bacteriologically confirmed plus clinically diagnosed)</v>
      </c>
      <c r="L386" s="760" t="str">
        <f>V386</f>
        <v/>
      </c>
      <c r="M386" s="729"/>
      <c r="N386" s="729"/>
      <c r="P386" s="194">
        <f>IF(AND(EXACT(C386,C384),C384&lt;&gt;0),P384+1,0)</f>
        <v>5</v>
      </c>
      <c r="Q386" s="194" t="str">
        <f>IF(C386&lt;&gt;"",C386&amp;"-"&amp;P386,"")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clínico).-5</v>
      </c>
      <c r="R386" s="194" t="str">
        <f t="array" ref="R386">IFERROR(IF(INDEX('Disaggregation Records'!$E$69:$E$152,MATCH(RIGHT(Q386,255),RIGHT('Disaggregation Records'!$D$69:$D$152,255),0))="","",INDEX('Disaggregation Records'!$E$69:$E$152,MATCH(RIGHT(Q386,255),RIGHT('Disaggregation Records'!$D$69:$D$152,255),0))),"")</f>
        <v/>
      </c>
      <c r="S386" s="194" t="str">
        <f t="array" ref="S386">IFERROR(IF(INDEX('Disaggregation Records'!$F$69:$F$152,MATCH(RIGHT(Q386,255),RIGHT('Disaggregation Records'!$D$69:$D$152,255),0))="","",INDEX('Disaggregation Records'!$F$69:$F$152,MATCH(RIGHT(Q386,255),RIGHT('Disaggregation Records'!$D$69:$D$152,255),0))),"")</f>
        <v/>
      </c>
      <c r="T386" s="194" t="str">
        <f t="array" ref="T386">IFERROR(IF(INDEX('Disaggregation Records'!$H$69:$H$152,MATCH(RIGHT(Q386,255),RIGHT('Disaggregation Records'!$D$69:$D$152,255),0))="","",INDEX('Disaggregation Records'!$H$69:$H$152,MATCH(RIGHT(Q386,255),RIGHT('Disaggregation Records'!$D$69:$D$152,255),0))),"")</f>
        <v/>
      </c>
      <c r="U386" s="194">
        <f>U384+1</f>
        <v>1702</v>
      </c>
      <c r="V386" s="194" t="str">
        <f t="array" ref="V386">IFERROR(IF(INDEX('Disaggregation Records'!$I$69:$I$152,MATCH(RIGHT(Q386,255),RIGHT('Disaggregation Records'!$D$69:$D$152,255),0))="","",INDEX('Disaggregation Records'!$I$69:$I$152,MATCH(RIGHT(Q386,255),RIGHT('Disaggregation Records'!$D$69:$D$152,255),0))),"")</f>
        <v/>
      </c>
      <c r="W386" s="194" t="str">
        <f>IFERROR(INDEX('Reference Records'!P$23:P$74,MATCH(LEFT(C386,255),'Reference Records'!J$23:J$74,0)),"")</f>
        <v>TB O-5⁽ᴹ⁾ TB treatment coverage: Percentage of new and relapse cases that were notified and treated among the estimated number of incident TB cases in the same year (all form of TB - bacteriologically confirmed plus clinically diagnosed)</v>
      </c>
    </row>
    <row r="387" spans="1:23" s="194" customFormat="1" ht="40.4" customHeight="1" x14ac:dyDescent="0.35">
      <c r="A387" s="770"/>
      <c r="B387" s="767"/>
      <c r="C387" s="761"/>
      <c r="D387" s="769"/>
      <c r="E387" s="769"/>
      <c r="F387" s="208"/>
      <c r="G387" s="763"/>
      <c r="H387" s="744"/>
      <c r="I387" s="765"/>
      <c r="J387" s="730"/>
      <c r="K387" s="761"/>
      <c r="L387" s="761"/>
      <c r="M387" s="730"/>
      <c r="N387" s="730"/>
      <c r="V387" s="194" t="str">
        <f t="array" ref="V387">IFERROR(IF(INDEX('Disaggregation Records'!$I$69:$I$152,MATCH(RIGHT(Q387,255),RIGHT('Disaggregation Records'!$D$69:$D$152,255),0))="","",INDEX('Disaggregation Records'!$I$69:$I$152,MATCH(RIGHT(Q387,255),RIGHT('Disaggregation Records'!$D$69:$D$152,255),0))),"")</f>
        <v/>
      </c>
    </row>
    <row r="388" spans="1:23" s="194" customFormat="1" ht="40.4" customHeight="1" x14ac:dyDescent="0.35">
      <c r="A388" s="770" t="str">
        <f ca="1">INDIRECT("'update Helper'!C"&amp;U388)</f>
        <v>a1V3p000006jwB8EAI</v>
      </c>
      <c r="B388" s="766">
        <v>4</v>
      </c>
      <c r="C388" s="760" t="str">
        <f>IFERROR(VLOOKUP(B388,'Outcome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88" s="768" t="str">
        <f>R388</f>
        <v/>
      </c>
      <c r="E388" s="768" t="str">
        <f>S388</f>
        <v/>
      </c>
      <c r="F388" s="413"/>
      <c r="G388" s="762" t="str">
        <f ca="1">IF(OR(INDIRECT("'update Helper'!E"&amp;U388)="",F388&lt;&gt;0,F389&lt;&gt;0),IF(IFERROR((F388/F389),"")="","",(F388/F389)),INDIRECT("'update Helper'!E"&amp;U388)/100)</f>
        <v/>
      </c>
      <c r="H388" s="743"/>
      <c r="I388" s="764"/>
      <c r="J388" s="729"/>
      <c r="K388" s="760" t="str">
        <f>W388</f>
        <v>TB O-5⁽ᴹ⁾ TB treatment coverage: Percentage of new and relapse cases that were notified and treated among the estimated number of incident TB cases in the same year (all form of TB - bacteriologically confirmed plus clinically diagnosed)</v>
      </c>
      <c r="L388" s="760" t="str">
        <f>V388</f>
        <v/>
      </c>
      <c r="M388" s="729"/>
      <c r="N388" s="729"/>
      <c r="P388" s="194">
        <f>IF(AND(EXACT(C388,C386),C386&lt;&gt;0),P386+1,0)</f>
        <v>6</v>
      </c>
      <c r="Q388" s="194" t="str">
        <f>IF(C388&lt;&gt;"",C388&amp;"-"&amp;P388,"")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clínico).-6</v>
      </c>
      <c r="R388" s="194" t="str">
        <f t="array" ref="R388">IFERROR(IF(INDEX('Disaggregation Records'!$E$69:$E$152,MATCH(RIGHT(Q388,255),RIGHT('Disaggregation Records'!$D$69:$D$152,255),0))="","",INDEX('Disaggregation Records'!$E$69:$E$152,MATCH(RIGHT(Q388,255),RIGHT('Disaggregation Records'!$D$69:$D$152,255),0))),"")</f>
        <v/>
      </c>
      <c r="S388" s="194" t="str">
        <f t="array" ref="S388">IFERROR(IF(INDEX('Disaggregation Records'!$F$69:$F$152,MATCH(RIGHT(Q388,255),RIGHT('Disaggregation Records'!$D$69:$D$152,255),0))="","",INDEX('Disaggregation Records'!$F$69:$F$152,MATCH(RIGHT(Q388,255),RIGHT('Disaggregation Records'!$D$69:$D$152,255),0))),"")</f>
        <v/>
      </c>
      <c r="T388" s="194" t="str">
        <f t="array" ref="T388">IFERROR(IF(INDEX('Disaggregation Records'!$H$69:$H$152,MATCH(RIGHT(Q388,255),RIGHT('Disaggregation Records'!$D$69:$D$152,255),0))="","",INDEX('Disaggregation Records'!$H$69:$H$152,MATCH(RIGHT(Q388,255),RIGHT('Disaggregation Records'!$D$69:$D$152,255),0))),"")</f>
        <v/>
      </c>
      <c r="U388" s="194">
        <f>U386+1</f>
        <v>1703</v>
      </c>
      <c r="V388" s="194" t="str">
        <f t="array" ref="V388">IFERROR(IF(INDEX('Disaggregation Records'!$I$69:$I$152,MATCH(RIGHT(Q388,255),RIGHT('Disaggregation Records'!$D$69:$D$152,255),0))="","",INDEX('Disaggregation Records'!$I$69:$I$152,MATCH(RIGHT(Q388,255),RIGHT('Disaggregation Records'!$D$69:$D$152,255),0))),"")</f>
        <v/>
      </c>
      <c r="W388" s="194" t="str">
        <f>IFERROR(INDEX('Reference Records'!P$23:P$74,MATCH(LEFT(C388,255),'Reference Records'!J$23:J$74,0)),"")</f>
        <v>TB O-5⁽ᴹ⁾ TB treatment coverage: Percentage of new and relapse cases that were notified and treated among the estimated number of incident TB cases in the same year (all form of TB - bacteriologically confirmed plus clinically diagnosed)</v>
      </c>
    </row>
    <row r="389" spans="1:23" s="194" customFormat="1" ht="40.4" customHeight="1" x14ac:dyDescent="0.35">
      <c r="A389" s="770"/>
      <c r="B389" s="767"/>
      <c r="C389" s="761"/>
      <c r="D389" s="769"/>
      <c r="E389" s="769"/>
      <c r="F389" s="208"/>
      <c r="G389" s="763"/>
      <c r="H389" s="744"/>
      <c r="I389" s="765"/>
      <c r="J389" s="730"/>
      <c r="K389" s="761"/>
      <c r="L389" s="761"/>
      <c r="M389" s="730"/>
      <c r="N389" s="730"/>
      <c r="V389" s="194" t="str">
        <f t="array" ref="V389">IFERROR(IF(INDEX('Disaggregation Records'!$I$69:$I$152,MATCH(RIGHT(Q389,255),RIGHT('Disaggregation Records'!$D$69:$D$152,255),0))="","",INDEX('Disaggregation Records'!$I$69:$I$152,MATCH(RIGHT(Q389,255),RIGHT('Disaggregation Records'!$D$69:$D$152,255),0))),"")</f>
        <v/>
      </c>
    </row>
    <row r="390" spans="1:23" s="194" customFormat="1" ht="40.4" customHeight="1" x14ac:dyDescent="0.35">
      <c r="A390" s="770" t="str">
        <f ca="1">INDIRECT("'update Helper'!C"&amp;U390)</f>
        <v>a1V3p000006jwB9EAI</v>
      </c>
      <c r="B390" s="766">
        <v>4</v>
      </c>
      <c r="C390" s="760" t="str">
        <f>IFERROR(VLOOKUP(B390,'Outcome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90" s="768" t="str">
        <f>R390</f>
        <v/>
      </c>
      <c r="E390" s="768" t="str">
        <f>S390</f>
        <v/>
      </c>
      <c r="F390" s="413"/>
      <c r="G390" s="762" t="str">
        <f ca="1">IF(OR(INDIRECT("'update Helper'!E"&amp;U390)="",F390&lt;&gt;0,F391&lt;&gt;0),IF(IFERROR((F390/F391),"")="","",(F390/F391)),INDIRECT("'update Helper'!E"&amp;U390)/100)</f>
        <v/>
      </c>
      <c r="H390" s="743"/>
      <c r="I390" s="764"/>
      <c r="J390" s="729"/>
      <c r="K390" s="760" t="str">
        <f>W390</f>
        <v>TB O-5⁽ᴹ⁾ TB treatment coverage: Percentage of new and relapse cases that were notified and treated among the estimated number of incident TB cases in the same year (all form of TB - bacteriologically confirmed plus clinically diagnosed)</v>
      </c>
      <c r="L390" s="760" t="str">
        <f>V390</f>
        <v/>
      </c>
      <c r="M390" s="729"/>
      <c r="N390" s="729"/>
      <c r="P390" s="194">
        <f>IF(AND(EXACT(C390,C388),C388&lt;&gt;0),P388+1,0)</f>
        <v>7</v>
      </c>
      <c r="Q390" s="194" t="str">
        <f>IF(C390&lt;&gt;"",C390&amp;"-"&amp;P390,"")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clínico).-7</v>
      </c>
      <c r="R390" s="194" t="str">
        <f t="array" ref="R390">IFERROR(IF(INDEX('Disaggregation Records'!$E$69:$E$152,MATCH(RIGHT(Q390,255),RIGHT('Disaggregation Records'!$D$69:$D$152,255),0))="","",INDEX('Disaggregation Records'!$E$69:$E$152,MATCH(RIGHT(Q390,255),RIGHT('Disaggregation Records'!$D$69:$D$152,255),0))),"")</f>
        <v/>
      </c>
      <c r="S390" s="194" t="str">
        <f t="array" ref="S390">IFERROR(IF(INDEX('Disaggregation Records'!$F$69:$F$152,MATCH(RIGHT(Q390,255),RIGHT('Disaggregation Records'!$D$69:$D$152,255),0))="","",INDEX('Disaggregation Records'!$F$69:$F$152,MATCH(RIGHT(Q390,255),RIGHT('Disaggregation Records'!$D$69:$D$152,255),0))),"")</f>
        <v/>
      </c>
      <c r="T390" s="194" t="str">
        <f t="array" ref="T390">IFERROR(IF(INDEX('Disaggregation Records'!$H$69:$H$152,MATCH(RIGHT(Q390,255),RIGHT('Disaggregation Records'!$D$69:$D$152,255),0))="","",INDEX('Disaggregation Records'!$H$69:$H$152,MATCH(RIGHT(Q390,255),RIGHT('Disaggregation Records'!$D$69:$D$152,255),0))),"")</f>
        <v/>
      </c>
      <c r="U390" s="194">
        <f>U388+1</f>
        <v>1704</v>
      </c>
      <c r="V390" s="194" t="str">
        <f t="array" ref="V390">IFERROR(IF(INDEX('Disaggregation Records'!$I$69:$I$152,MATCH(RIGHT(Q390,255),RIGHT('Disaggregation Records'!$D$69:$D$152,255),0))="","",INDEX('Disaggregation Records'!$I$69:$I$152,MATCH(RIGHT(Q390,255),RIGHT('Disaggregation Records'!$D$69:$D$152,255),0))),"")</f>
        <v/>
      </c>
      <c r="W390" s="194" t="str">
        <f>IFERROR(INDEX('Reference Records'!P$23:P$74,MATCH(LEFT(C390,255),'Reference Records'!J$23:J$74,0)),"")</f>
        <v>TB O-5⁽ᴹ⁾ TB treatment coverage: Percentage of new and relapse cases that were notified and treated among the estimated number of incident TB cases in the same year (all form of TB - bacteriologically confirmed plus clinically diagnosed)</v>
      </c>
    </row>
    <row r="391" spans="1:23" s="194" customFormat="1" ht="40.4" customHeight="1" x14ac:dyDescent="0.35">
      <c r="A391" s="770"/>
      <c r="B391" s="767"/>
      <c r="C391" s="761"/>
      <c r="D391" s="769"/>
      <c r="E391" s="769"/>
      <c r="F391" s="208"/>
      <c r="G391" s="763"/>
      <c r="H391" s="744"/>
      <c r="I391" s="765"/>
      <c r="J391" s="730"/>
      <c r="K391" s="761"/>
      <c r="L391" s="761"/>
      <c r="M391" s="730"/>
      <c r="N391" s="730"/>
      <c r="V391" s="194" t="str">
        <f t="array" ref="V391">IFERROR(IF(INDEX('Disaggregation Records'!$I$69:$I$152,MATCH(RIGHT(Q391,255),RIGHT('Disaggregation Records'!$D$69:$D$152,255),0))="","",INDEX('Disaggregation Records'!$I$69:$I$152,MATCH(RIGHT(Q391,255),RIGHT('Disaggregation Records'!$D$69:$D$152,255),0))),"")</f>
        <v/>
      </c>
    </row>
    <row r="392" spans="1:23" s="194" customFormat="1" ht="40.4" customHeight="1" x14ac:dyDescent="0.35">
      <c r="A392" s="770" t="str">
        <f ca="1">INDIRECT("'update Helper'!C"&amp;U392)</f>
        <v>a1V3p000006jwBAEAY</v>
      </c>
      <c r="B392" s="766">
        <v>4</v>
      </c>
      <c r="C392" s="760" t="str">
        <f>IFERROR(VLOOKUP(B392,'Outcome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92" s="768" t="str">
        <f>R392</f>
        <v/>
      </c>
      <c r="E392" s="768" t="str">
        <f>S392</f>
        <v/>
      </c>
      <c r="F392" s="413"/>
      <c r="G392" s="762" t="str">
        <f ca="1">IF(OR(INDIRECT("'update Helper'!E"&amp;U392)="",F392&lt;&gt;0,F393&lt;&gt;0),IF(IFERROR((F392/F393),"")="","",(F392/F393)),INDIRECT("'update Helper'!E"&amp;U392)/100)</f>
        <v/>
      </c>
      <c r="H392" s="743"/>
      <c r="I392" s="764"/>
      <c r="J392" s="729"/>
      <c r="K392" s="760" t="str">
        <f>W392</f>
        <v>TB O-5⁽ᴹ⁾ TB treatment coverage: Percentage of new and relapse cases that were notified and treated among the estimated number of incident TB cases in the same year (all form of TB - bacteriologically confirmed plus clinically diagnosed)</v>
      </c>
      <c r="L392" s="760" t="str">
        <f>V392</f>
        <v/>
      </c>
      <c r="M392" s="729"/>
      <c r="N392" s="729"/>
      <c r="P392" s="194">
        <f>IF(AND(EXACT(C392,C390),C390&lt;&gt;0),P390+1,0)</f>
        <v>8</v>
      </c>
      <c r="Q392" s="194" t="str">
        <f>IF(C392&lt;&gt;"",C392&amp;"-"&amp;P392,"")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clínico).-8</v>
      </c>
      <c r="R392" s="194" t="str">
        <f t="array" ref="R392">IFERROR(IF(INDEX('Disaggregation Records'!$E$69:$E$152,MATCH(RIGHT(Q392,255),RIGHT('Disaggregation Records'!$D$69:$D$152,255),0))="","",INDEX('Disaggregation Records'!$E$69:$E$152,MATCH(RIGHT(Q392,255),RIGHT('Disaggregation Records'!$D$69:$D$152,255),0))),"")</f>
        <v/>
      </c>
      <c r="S392" s="194" t="str">
        <f t="array" ref="S392">IFERROR(IF(INDEX('Disaggregation Records'!$F$69:$F$152,MATCH(RIGHT(Q392,255),RIGHT('Disaggregation Records'!$D$69:$D$152,255),0))="","",INDEX('Disaggregation Records'!$F$69:$F$152,MATCH(RIGHT(Q392,255),RIGHT('Disaggregation Records'!$D$69:$D$152,255),0))),"")</f>
        <v/>
      </c>
      <c r="T392" s="194" t="str">
        <f t="array" ref="T392">IFERROR(IF(INDEX('Disaggregation Records'!$H$69:$H$152,MATCH(RIGHT(Q392,255),RIGHT('Disaggregation Records'!$D$69:$D$152,255),0))="","",INDEX('Disaggregation Records'!$H$69:$H$152,MATCH(RIGHT(Q392,255),RIGHT('Disaggregation Records'!$D$69:$D$152,255),0))),"")</f>
        <v/>
      </c>
      <c r="U392" s="194">
        <f>U390+1</f>
        <v>1705</v>
      </c>
      <c r="V392" s="194" t="str">
        <f t="array" ref="V392">IFERROR(IF(INDEX('Disaggregation Records'!$I$69:$I$152,MATCH(RIGHT(Q392,255),RIGHT('Disaggregation Records'!$D$69:$D$152,255),0))="","",INDEX('Disaggregation Records'!$I$69:$I$152,MATCH(RIGHT(Q392,255),RIGHT('Disaggregation Records'!$D$69:$D$152,255),0))),"")</f>
        <v/>
      </c>
      <c r="W392" s="194" t="str">
        <f>IFERROR(INDEX('Reference Records'!P$23:P$74,MATCH(LEFT(C392,255),'Reference Records'!J$23:J$74,0)),"")</f>
        <v>TB O-5⁽ᴹ⁾ TB treatment coverage: Percentage of new and relapse cases that were notified and treated among the estimated number of incident TB cases in the same year (all form of TB - bacteriologically confirmed plus clinically diagnosed)</v>
      </c>
    </row>
    <row r="393" spans="1:23" s="194" customFormat="1" ht="40.4" customHeight="1" x14ac:dyDescent="0.35">
      <c r="A393" s="770"/>
      <c r="B393" s="767"/>
      <c r="C393" s="761"/>
      <c r="D393" s="769"/>
      <c r="E393" s="769"/>
      <c r="F393" s="208"/>
      <c r="G393" s="763"/>
      <c r="H393" s="744"/>
      <c r="I393" s="765"/>
      <c r="J393" s="730"/>
      <c r="K393" s="761"/>
      <c r="L393" s="761"/>
      <c r="M393" s="730"/>
      <c r="N393" s="730"/>
      <c r="V393" s="194" t="str">
        <f t="array" ref="V393">IFERROR(IF(INDEX('Disaggregation Records'!$I$69:$I$152,MATCH(RIGHT(Q393,255),RIGHT('Disaggregation Records'!$D$69:$D$152,255),0))="","",INDEX('Disaggregation Records'!$I$69:$I$152,MATCH(RIGHT(Q393,255),RIGHT('Disaggregation Records'!$D$69:$D$152,255),0))),"")</f>
        <v/>
      </c>
    </row>
    <row r="394" spans="1:23" s="194" customFormat="1" ht="40.4" customHeight="1" x14ac:dyDescent="0.35">
      <c r="A394" s="770" t="str">
        <f ca="1">INDIRECT("'update Helper'!C"&amp;U394)</f>
        <v>a1V3p000006jwBBEAY</v>
      </c>
      <c r="B394" s="766">
        <v>4</v>
      </c>
      <c r="C394" s="760" t="str">
        <f>IFERROR(VLOOKUP(B394,'Outcome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94" s="768" t="str">
        <f>R394</f>
        <v/>
      </c>
      <c r="E394" s="768" t="str">
        <f>S394</f>
        <v/>
      </c>
      <c r="F394" s="413"/>
      <c r="G394" s="762" t="str">
        <f ca="1">IF(OR(INDIRECT("'update Helper'!E"&amp;U394)="",F394&lt;&gt;0,F395&lt;&gt;0),IF(IFERROR((F394/F395),"")="","",(F394/F395)),INDIRECT("'update Helper'!E"&amp;U394)/100)</f>
        <v/>
      </c>
      <c r="H394" s="743"/>
      <c r="I394" s="764"/>
      <c r="J394" s="729"/>
      <c r="K394" s="760" t="str">
        <f>W394</f>
        <v>TB O-5⁽ᴹ⁾ TB treatment coverage: Percentage of new and relapse cases that were notified and treated among the estimated number of incident TB cases in the same year (all form of TB - bacteriologically confirmed plus clinically diagnosed)</v>
      </c>
      <c r="L394" s="760" t="str">
        <f>V394</f>
        <v/>
      </c>
      <c r="M394" s="729"/>
      <c r="N394" s="729"/>
      <c r="P394" s="194">
        <f>IF(AND(EXACT(C394,C392),C392&lt;&gt;0),P392+1,0)</f>
        <v>9</v>
      </c>
      <c r="Q394" s="194" t="str">
        <f>IF(C394&lt;&gt;"",C394&amp;"-"&amp;P394,"")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clínico).-9</v>
      </c>
      <c r="R394" s="194" t="str">
        <f t="array" ref="R394">IFERROR(IF(INDEX('Disaggregation Records'!$E$69:$E$152,MATCH(RIGHT(Q394,255),RIGHT('Disaggregation Records'!$D$69:$D$152,255),0))="","",INDEX('Disaggregation Records'!$E$69:$E$152,MATCH(RIGHT(Q394,255),RIGHT('Disaggregation Records'!$D$69:$D$152,255),0))),"")</f>
        <v/>
      </c>
      <c r="S394" s="194" t="str">
        <f t="array" ref="S394">IFERROR(IF(INDEX('Disaggregation Records'!$F$69:$F$152,MATCH(RIGHT(Q394,255),RIGHT('Disaggregation Records'!$D$69:$D$152,255),0))="","",INDEX('Disaggregation Records'!$F$69:$F$152,MATCH(RIGHT(Q394,255),RIGHT('Disaggregation Records'!$D$69:$D$152,255),0))),"")</f>
        <v/>
      </c>
      <c r="T394" s="194" t="str">
        <f t="array" ref="T394">IFERROR(IF(INDEX('Disaggregation Records'!$H$69:$H$152,MATCH(RIGHT(Q394,255),RIGHT('Disaggregation Records'!$D$69:$D$152,255),0))="","",INDEX('Disaggregation Records'!$H$69:$H$152,MATCH(RIGHT(Q394,255),RIGHT('Disaggregation Records'!$D$69:$D$152,255),0))),"")</f>
        <v/>
      </c>
      <c r="U394" s="194">
        <f>U392+1</f>
        <v>1706</v>
      </c>
      <c r="V394" s="194" t="str">
        <f t="array" ref="V394">IFERROR(IF(INDEX('Disaggregation Records'!$I$69:$I$152,MATCH(RIGHT(Q394,255),RIGHT('Disaggregation Records'!$D$69:$D$152,255),0))="","",INDEX('Disaggregation Records'!$I$69:$I$152,MATCH(RIGHT(Q394,255),RIGHT('Disaggregation Records'!$D$69:$D$152,255),0))),"")</f>
        <v/>
      </c>
      <c r="W394" s="194" t="str">
        <f>IFERROR(INDEX('Reference Records'!P$23:P$74,MATCH(LEFT(C394,255),'Reference Records'!J$23:J$74,0)),"")</f>
        <v>TB O-5⁽ᴹ⁾ TB treatment coverage: Percentage of new and relapse cases that were notified and treated among the estimated number of incident TB cases in the same year (all form of TB - bacteriologically confirmed plus clinically diagnosed)</v>
      </c>
    </row>
    <row r="395" spans="1:23" s="194" customFormat="1" ht="40.4" customHeight="1" x14ac:dyDescent="0.35">
      <c r="A395" s="770"/>
      <c r="B395" s="767"/>
      <c r="C395" s="761"/>
      <c r="D395" s="769"/>
      <c r="E395" s="769"/>
      <c r="F395" s="208"/>
      <c r="G395" s="763"/>
      <c r="H395" s="744"/>
      <c r="I395" s="765"/>
      <c r="J395" s="730"/>
      <c r="K395" s="761"/>
      <c r="L395" s="761"/>
      <c r="M395" s="730"/>
      <c r="N395" s="730"/>
      <c r="V395" s="194" t="str">
        <f t="array" ref="V395">IFERROR(IF(INDEX('Disaggregation Records'!$I$69:$I$152,MATCH(RIGHT(Q395,255),RIGHT('Disaggregation Records'!$D$69:$D$152,255),0))="","",INDEX('Disaggregation Records'!$I$69:$I$152,MATCH(RIGHT(Q395,255),RIGHT('Disaggregation Records'!$D$69:$D$152,255),0))),"")</f>
        <v/>
      </c>
    </row>
    <row r="396" spans="1:23" s="194" customFormat="1" ht="40.4" customHeight="1" x14ac:dyDescent="0.35">
      <c r="A396" s="770" t="str">
        <f ca="1">INDIRECT("'update Helper'!C"&amp;U396)</f>
        <v>a1V3p000006jw8mEAA</v>
      </c>
      <c r="B396" s="766">
        <v>5</v>
      </c>
      <c r="C396" s="760" t="str">
        <f>IFERROR(VLOOKUP(B396,'Outcome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96" s="768" t="str">
        <f>R396</f>
        <v/>
      </c>
      <c r="E396" s="768" t="str">
        <f>S396</f>
        <v/>
      </c>
      <c r="F396" s="413"/>
      <c r="G396" s="762" t="str">
        <f ca="1">IF(OR(INDIRECT("'update Helper'!E"&amp;U396)="",F396&lt;&gt;0,F397&lt;&gt;0),IF(IFERROR((F396/F397),"")="","",(F396/F397)),INDIRECT("'update Helper'!E"&amp;U396)/100)</f>
        <v/>
      </c>
      <c r="H396" s="743"/>
      <c r="I396" s="764"/>
      <c r="J396" s="729"/>
      <c r="K396" s="760" t="str">
        <f>W396</f>
        <v>TB O-6 Notification of RR-TB and/or MDR-TB cases – Percentage of notified cases of bacteriologically confirmed, drug resistant RR-TB and/or MDR-TB as a proportion of all estimated RR-TB and/or MDR-TB cases</v>
      </c>
      <c r="L396" s="760" t="str">
        <f>V396</f>
        <v/>
      </c>
      <c r="M396" s="729"/>
      <c r="N396" s="729"/>
      <c r="P396" s="194">
        <f>IF(AND(EXACT(C396,C394),C394&lt;&gt;0),P394+1,0)</f>
        <v>0</v>
      </c>
      <c r="Q396" s="194" t="str">
        <f>IF(C396&lt;&gt;"",C396&amp;"-"&amp;P396,"")</f>
        <v>TB O-6 Notificación de casos de tuberculosis resistente a la rifampicina (TB-RR) y/o tuberculosis multirresistente (TB-MR): porcentaje de casos notificados de TB-RR y/o TB-MR confirmados bacteriológicamente como proporción de todos los casos estimados de TB-RR y/o TB-MR.-0</v>
      </c>
      <c r="R396" s="194" t="str">
        <f t="array" ref="R396">IFERROR(IF(INDEX('Disaggregation Records'!$E$69:$E$152,MATCH(RIGHT(Q396,255),RIGHT('Disaggregation Records'!$D$69:$D$152,255),0))="","",INDEX('Disaggregation Records'!$E$69:$E$152,MATCH(RIGHT(Q396,255),RIGHT('Disaggregation Records'!$D$69:$D$152,255),0))),"")</f>
        <v/>
      </c>
      <c r="S396" s="194" t="str">
        <f t="array" ref="S396">IFERROR(IF(INDEX('Disaggregation Records'!$F$69:$F$152,MATCH(RIGHT(Q396,255),RIGHT('Disaggregation Records'!$D$69:$D$152,255),0))="","",INDEX('Disaggregation Records'!$F$69:$F$152,MATCH(RIGHT(Q396,255),RIGHT('Disaggregation Records'!$D$69:$D$152,255),0))),"")</f>
        <v/>
      </c>
      <c r="T396" s="194" t="str">
        <f t="array" ref="T396">IFERROR(IF(INDEX('Disaggregation Records'!$H$69:$H$152,MATCH(RIGHT(Q396,255),RIGHT('Disaggregation Records'!$D$69:$D$152,255),0))="","",INDEX('Disaggregation Records'!$H$69:$H$152,MATCH(RIGHT(Q396,255),RIGHT('Disaggregation Records'!$D$69:$D$152,255),0))),"")</f>
        <v/>
      </c>
      <c r="U396" s="194">
        <f>U394+1</f>
        <v>1707</v>
      </c>
      <c r="V396" s="194" t="str">
        <f t="array" ref="V396">IFERROR(IF(INDEX('Disaggregation Records'!$I$69:$I$152,MATCH(RIGHT(Q396,255),RIGHT('Disaggregation Records'!$D$69:$D$152,255),0))="","",INDEX('Disaggregation Records'!$I$69:$I$152,MATCH(RIGHT(Q396,255),RIGHT('Disaggregation Records'!$D$69:$D$152,255),0))),"")</f>
        <v/>
      </c>
      <c r="W396" s="194" t="str">
        <f>IFERROR(INDEX('Reference Records'!P$23:P$74,MATCH(LEFT(C396,255),'Reference Records'!J$23:J$74,0)),"")</f>
        <v>TB O-6 Notification of RR-TB and/or MDR-TB cases – Percentage of notified cases of bacteriologically confirmed, drug resistant RR-TB and/or MDR-TB as a proportion of all estimated RR-TB and/or MDR-TB cases</v>
      </c>
    </row>
    <row r="397" spans="1:23" s="194" customFormat="1" ht="40.4" customHeight="1" x14ac:dyDescent="0.35">
      <c r="A397" s="770"/>
      <c r="B397" s="767"/>
      <c r="C397" s="761"/>
      <c r="D397" s="769"/>
      <c r="E397" s="769"/>
      <c r="F397" s="208"/>
      <c r="G397" s="763"/>
      <c r="H397" s="744"/>
      <c r="I397" s="765"/>
      <c r="J397" s="730"/>
      <c r="K397" s="761"/>
      <c r="L397" s="761"/>
      <c r="M397" s="730"/>
      <c r="N397" s="730"/>
      <c r="V397" s="194" t="str">
        <f t="array" ref="V397">IFERROR(IF(INDEX('Disaggregation Records'!$I$69:$I$152,MATCH(RIGHT(Q397,255),RIGHT('Disaggregation Records'!$D$69:$D$152,255),0))="","",INDEX('Disaggregation Records'!$I$69:$I$152,MATCH(RIGHT(Q397,255),RIGHT('Disaggregation Records'!$D$69:$D$152,255),0))),"")</f>
        <v/>
      </c>
    </row>
    <row r="398" spans="1:23" s="194" customFormat="1" ht="40.4" customHeight="1" x14ac:dyDescent="0.35">
      <c r="A398" s="770" t="str">
        <f ca="1">INDIRECT("'update Helper'!C"&amp;U398)</f>
        <v>a1V3p000006jw8nEAA</v>
      </c>
      <c r="B398" s="766">
        <v>5</v>
      </c>
      <c r="C398" s="760" t="str">
        <f>IFERROR(VLOOKUP(B398,'Outcome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98" s="768" t="str">
        <f>R398</f>
        <v/>
      </c>
      <c r="E398" s="768" t="str">
        <f>S398</f>
        <v/>
      </c>
      <c r="F398" s="413"/>
      <c r="G398" s="762" t="str">
        <f ca="1">IF(OR(INDIRECT("'update Helper'!E"&amp;U398)="",F398&lt;&gt;0,F399&lt;&gt;0),IF(IFERROR((F398/F399),"")="","",(F398/F399)),INDIRECT("'update Helper'!E"&amp;U398)/100)</f>
        <v/>
      </c>
      <c r="H398" s="743"/>
      <c r="I398" s="764"/>
      <c r="J398" s="729"/>
      <c r="K398" s="760" t="str">
        <f>W398</f>
        <v>TB O-6 Notification of RR-TB and/or MDR-TB cases – Percentage of notified cases of bacteriologically confirmed, drug resistant RR-TB and/or MDR-TB as a proportion of all estimated RR-TB and/or MDR-TB cases</v>
      </c>
      <c r="L398" s="760" t="str">
        <f>V398</f>
        <v/>
      </c>
      <c r="M398" s="729"/>
      <c r="N398" s="729"/>
      <c r="P398" s="194">
        <f>IF(AND(EXACT(C398,C396),C396&lt;&gt;0),P396+1,0)</f>
        <v>1</v>
      </c>
      <c r="Q398" s="194" t="str">
        <f>IF(C398&lt;&gt;"",C398&amp;"-"&amp;P398,"")</f>
        <v>TB O-6 Notificación de casos de tuberculosis resistente a la rifampicina (TB-RR) y/o tuberculosis multirresistente (TB-MR): porcentaje de casos notificados de TB-RR y/o TB-MR confirmados bacteriológicamente como proporción de todos los casos estimados de TB-RR y/o TB-MR.-1</v>
      </c>
      <c r="R398" s="194" t="str">
        <f t="array" ref="R398">IFERROR(IF(INDEX('Disaggregation Records'!$E$69:$E$152,MATCH(RIGHT(Q398,255),RIGHT('Disaggregation Records'!$D$69:$D$152,255),0))="","",INDEX('Disaggregation Records'!$E$69:$E$152,MATCH(RIGHT(Q398,255),RIGHT('Disaggregation Records'!$D$69:$D$152,255),0))),"")</f>
        <v/>
      </c>
      <c r="S398" s="194" t="str">
        <f t="array" ref="S398">IFERROR(IF(INDEX('Disaggregation Records'!$F$69:$F$152,MATCH(RIGHT(Q398,255),RIGHT('Disaggregation Records'!$D$69:$D$152,255),0))="","",INDEX('Disaggregation Records'!$F$69:$F$152,MATCH(RIGHT(Q398,255),RIGHT('Disaggregation Records'!$D$69:$D$152,255),0))),"")</f>
        <v/>
      </c>
      <c r="T398" s="194" t="str">
        <f t="array" ref="T398">IFERROR(IF(INDEX('Disaggregation Records'!$H$69:$H$152,MATCH(RIGHT(Q398,255),RIGHT('Disaggregation Records'!$D$69:$D$152,255),0))="","",INDEX('Disaggregation Records'!$H$69:$H$152,MATCH(RIGHT(Q398,255),RIGHT('Disaggregation Records'!$D$69:$D$152,255),0))),"")</f>
        <v/>
      </c>
      <c r="U398" s="194">
        <f>U396+1</f>
        <v>1708</v>
      </c>
      <c r="V398" s="194" t="str">
        <f t="array" ref="V398">IFERROR(IF(INDEX('Disaggregation Records'!$I$69:$I$152,MATCH(RIGHT(Q398,255),RIGHT('Disaggregation Records'!$D$69:$D$152,255),0))="","",INDEX('Disaggregation Records'!$I$69:$I$152,MATCH(RIGHT(Q398,255),RIGHT('Disaggregation Records'!$D$69:$D$152,255),0))),"")</f>
        <v/>
      </c>
      <c r="W398" s="194" t="str">
        <f>IFERROR(INDEX('Reference Records'!P$23:P$74,MATCH(LEFT(C398,255),'Reference Records'!J$23:J$74,0)),"")</f>
        <v>TB O-6 Notification of RR-TB and/or MDR-TB cases – Percentage of notified cases of bacteriologically confirmed, drug resistant RR-TB and/or MDR-TB as a proportion of all estimated RR-TB and/or MDR-TB cases</v>
      </c>
    </row>
    <row r="399" spans="1:23" s="194" customFormat="1" ht="40.4" customHeight="1" x14ac:dyDescent="0.35">
      <c r="A399" s="770"/>
      <c r="B399" s="767"/>
      <c r="C399" s="761"/>
      <c r="D399" s="769"/>
      <c r="E399" s="769"/>
      <c r="F399" s="208"/>
      <c r="G399" s="763"/>
      <c r="H399" s="744"/>
      <c r="I399" s="765"/>
      <c r="J399" s="730"/>
      <c r="K399" s="761"/>
      <c r="L399" s="761"/>
      <c r="M399" s="730"/>
      <c r="N399" s="730"/>
      <c r="V399" s="194" t="str">
        <f t="array" ref="V399">IFERROR(IF(INDEX('Disaggregation Records'!$I$69:$I$152,MATCH(RIGHT(Q399,255),RIGHT('Disaggregation Records'!$D$69:$D$152,255),0))="","",INDEX('Disaggregation Records'!$I$69:$I$152,MATCH(RIGHT(Q399,255),RIGHT('Disaggregation Records'!$D$69:$D$152,255),0))),"")</f>
        <v/>
      </c>
    </row>
    <row r="400" spans="1:23" s="194" customFormat="1" ht="40.4" customHeight="1" x14ac:dyDescent="0.35">
      <c r="A400" s="770" t="str">
        <f ca="1">INDIRECT("'update Helper'!C"&amp;U400)</f>
        <v>a1V3p000006jw8oEAA</v>
      </c>
      <c r="B400" s="766">
        <v>5</v>
      </c>
      <c r="C400" s="760" t="str">
        <f>IFERROR(VLOOKUP(B400,'Outcome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00" s="768" t="str">
        <f>R400</f>
        <v/>
      </c>
      <c r="E400" s="768" t="str">
        <f>S400</f>
        <v/>
      </c>
      <c r="F400" s="413"/>
      <c r="G400" s="762" t="str">
        <f ca="1">IF(OR(INDIRECT("'update Helper'!E"&amp;U400)="",F400&lt;&gt;0,F401&lt;&gt;0),IF(IFERROR((F400/F401),"")="","",(F400/F401)),INDIRECT("'update Helper'!E"&amp;U400)/100)</f>
        <v/>
      </c>
      <c r="H400" s="743"/>
      <c r="I400" s="764"/>
      <c r="J400" s="729"/>
      <c r="K400" s="760" t="str">
        <f>W400</f>
        <v>TB O-6 Notification of RR-TB and/or MDR-TB cases – Percentage of notified cases of bacteriologically confirmed, drug resistant RR-TB and/or MDR-TB as a proportion of all estimated RR-TB and/or MDR-TB cases</v>
      </c>
      <c r="L400" s="760" t="str">
        <f>V400</f>
        <v/>
      </c>
      <c r="M400" s="729"/>
      <c r="N400" s="729"/>
      <c r="P400" s="194">
        <f>IF(AND(EXACT(C400,C398),C398&lt;&gt;0),P398+1,0)</f>
        <v>2</v>
      </c>
      <c r="Q400" s="194" t="str">
        <f>IF(C400&lt;&gt;"",C400&amp;"-"&amp;P400,"")</f>
        <v>TB O-6 Notificación de casos de tuberculosis resistente a la rifampicina (TB-RR) y/o tuberculosis multirresistente (TB-MR): porcentaje de casos notificados de TB-RR y/o TB-MR confirmados bacteriológicamente como proporción de todos los casos estimados de TB-RR y/o TB-MR.-2</v>
      </c>
      <c r="R400" s="194" t="str">
        <f t="array" ref="R400">IFERROR(IF(INDEX('Disaggregation Records'!$E$69:$E$152,MATCH(RIGHT(Q400,255),RIGHT('Disaggregation Records'!$D$69:$D$152,255),0))="","",INDEX('Disaggregation Records'!$E$69:$E$152,MATCH(RIGHT(Q400,255),RIGHT('Disaggregation Records'!$D$69:$D$152,255),0))),"")</f>
        <v/>
      </c>
      <c r="S400" s="194" t="str">
        <f t="array" ref="S400">IFERROR(IF(INDEX('Disaggregation Records'!$F$69:$F$152,MATCH(RIGHT(Q400,255),RIGHT('Disaggregation Records'!$D$69:$D$152,255),0))="","",INDEX('Disaggregation Records'!$F$69:$F$152,MATCH(RIGHT(Q400,255),RIGHT('Disaggregation Records'!$D$69:$D$152,255),0))),"")</f>
        <v/>
      </c>
      <c r="T400" s="194" t="str">
        <f t="array" ref="T400">IFERROR(IF(INDEX('Disaggregation Records'!$H$69:$H$152,MATCH(RIGHT(Q400,255),RIGHT('Disaggregation Records'!$D$69:$D$152,255),0))="","",INDEX('Disaggregation Records'!$H$69:$H$152,MATCH(RIGHT(Q400,255),RIGHT('Disaggregation Records'!$D$69:$D$152,255),0))),"")</f>
        <v/>
      </c>
      <c r="U400" s="194">
        <f>U398+1</f>
        <v>1709</v>
      </c>
      <c r="V400" s="194" t="str">
        <f t="array" ref="V400">IFERROR(IF(INDEX('Disaggregation Records'!$I$69:$I$152,MATCH(RIGHT(Q400,255),RIGHT('Disaggregation Records'!$D$69:$D$152,255),0))="","",INDEX('Disaggregation Records'!$I$69:$I$152,MATCH(RIGHT(Q400,255),RIGHT('Disaggregation Records'!$D$69:$D$152,255),0))),"")</f>
        <v/>
      </c>
      <c r="W400" s="194" t="str">
        <f>IFERROR(INDEX('Reference Records'!P$23:P$74,MATCH(LEFT(C400,255),'Reference Records'!J$23:J$74,0)),"")</f>
        <v>TB O-6 Notification of RR-TB and/or MDR-TB cases – Percentage of notified cases of bacteriologically confirmed, drug resistant RR-TB and/or MDR-TB as a proportion of all estimated RR-TB and/or MDR-TB cases</v>
      </c>
    </row>
    <row r="401" spans="1:23" s="194" customFormat="1" ht="40.4" customHeight="1" x14ac:dyDescent="0.35">
      <c r="A401" s="770"/>
      <c r="B401" s="767"/>
      <c r="C401" s="761"/>
      <c r="D401" s="769"/>
      <c r="E401" s="769"/>
      <c r="F401" s="208"/>
      <c r="G401" s="763"/>
      <c r="H401" s="744"/>
      <c r="I401" s="765"/>
      <c r="J401" s="730"/>
      <c r="K401" s="761"/>
      <c r="L401" s="761"/>
      <c r="M401" s="730"/>
      <c r="N401" s="730"/>
      <c r="V401" s="194" t="str">
        <f t="array" ref="V401">IFERROR(IF(INDEX('Disaggregation Records'!$I$69:$I$152,MATCH(RIGHT(Q401,255),RIGHT('Disaggregation Records'!$D$69:$D$152,255),0))="","",INDEX('Disaggregation Records'!$I$69:$I$152,MATCH(RIGHT(Q401,255),RIGHT('Disaggregation Records'!$D$69:$D$152,255),0))),"")</f>
        <v/>
      </c>
    </row>
    <row r="402" spans="1:23" s="194" customFormat="1" ht="40.4" customHeight="1" x14ac:dyDescent="0.35">
      <c r="A402" s="770" t="str">
        <f ca="1">INDIRECT("'update Helper'!C"&amp;U402)</f>
        <v>a1V3p000006jw8pEAA</v>
      </c>
      <c r="B402" s="766">
        <v>5</v>
      </c>
      <c r="C402" s="760" t="str">
        <f>IFERROR(VLOOKUP(B402,'Outcome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02" s="768" t="str">
        <f>R402</f>
        <v/>
      </c>
      <c r="E402" s="768" t="str">
        <f>S402</f>
        <v/>
      </c>
      <c r="F402" s="413"/>
      <c r="G402" s="762" t="str">
        <f ca="1">IF(OR(INDIRECT("'update Helper'!E"&amp;U402)="",F402&lt;&gt;0,F403&lt;&gt;0),IF(IFERROR((F402/F403),"")="","",(F402/F403)),INDIRECT("'update Helper'!E"&amp;U402)/100)</f>
        <v/>
      </c>
      <c r="H402" s="743"/>
      <c r="I402" s="764"/>
      <c r="J402" s="729"/>
      <c r="K402" s="760" t="str">
        <f>W402</f>
        <v>TB O-6 Notification of RR-TB and/or MDR-TB cases – Percentage of notified cases of bacteriologically confirmed, drug resistant RR-TB and/or MDR-TB as a proportion of all estimated RR-TB and/or MDR-TB cases</v>
      </c>
      <c r="L402" s="760" t="str">
        <f>V402</f>
        <v/>
      </c>
      <c r="M402" s="729"/>
      <c r="N402" s="729"/>
      <c r="P402" s="194">
        <f>IF(AND(EXACT(C402,C400),C400&lt;&gt;0),P400+1,0)</f>
        <v>3</v>
      </c>
      <c r="Q402" s="194" t="str">
        <f>IF(C402&lt;&gt;"",C402&amp;"-"&amp;P402,"")</f>
        <v>TB O-6 Notificación de casos de tuberculosis resistente a la rifampicina (TB-RR) y/o tuberculosis multirresistente (TB-MR): porcentaje de casos notificados de TB-RR y/o TB-MR confirmados bacteriológicamente como proporción de todos los casos estimados de TB-RR y/o TB-MR.-3</v>
      </c>
      <c r="R402" s="194" t="str">
        <f t="array" ref="R402">IFERROR(IF(INDEX('Disaggregation Records'!$E$69:$E$152,MATCH(RIGHT(Q402,255),RIGHT('Disaggregation Records'!$D$69:$D$152,255),0))="","",INDEX('Disaggregation Records'!$E$69:$E$152,MATCH(RIGHT(Q402,255),RIGHT('Disaggregation Records'!$D$69:$D$152,255),0))),"")</f>
        <v/>
      </c>
      <c r="S402" s="194" t="str">
        <f t="array" ref="S402">IFERROR(IF(INDEX('Disaggregation Records'!$F$69:$F$152,MATCH(RIGHT(Q402,255),RIGHT('Disaggregation Records'!$D$69:$D$152,255),0))="","",INDEX('Disaggregation Records'!$F$69:$F$152,MATCH(RIGHT(Q402,255),RIGHT('Disaggregation Records'!$D$69:$D$152,255),0))),"")</f>
        <v/>
      </c>
      <c r="T402" s="194" t="str">
        <f t="array" ref="T402">IFERROR(IF(INDEX('Disaggregation Records'!$H$69:$H$152,MATCH(RIGHT(Q402,255),RIGHT('Disaggregation Records'!$D$69:$D$152,255),0))="","",INDEX('Disaggregation Records'!$H$69:$H$152,MATCH(RIGHT(Q402,255),RIGHT('Disaggregation Records'!$D$69:$D$152,255),0))),"")</f>
        <v/>
      </c>
      <c r="U402" s="194">
        <f>U400+1</f>
        <v>1710</v>
      </c>
      <c r="V402" s="194" t="str">
        <f t="array" ref="V402">IFERROR(IF(INDEX('Disaggregation Records'!$I$69:$I$152,MATCH(RIGHT(Q402,255),RIGHT('Disaggregation Records'!$D$69:$D$152,255),0))="","",INDEX('Disaggregation Records'!$I$69:$I$152,MATCH(RIGHT(Q402,255),RIGHT('Disaggregation Records'!$D$69:$D$152,255),0))),"")</f>
        <v/>
      </c>
      <c r="W402" s="194" t="str">
        <f>IFERROR(INDEX('Reference Records'!P$23:P$74,MATCH(LEFT(C402,255),'Reference Records'!J$23:J$74,0)),"")</f>
        <v>TB O-6 Notification of RR-TB and/or MDR-TB cases – Percentage of notified cases of bacteriologically confirmed, drug resistant RR-TB and/or MDR-TB as a proportion of all estimated RR-TB and/or MDR-TB cases</v>
      </c>
    </row>
    <row r="403" spans="1:23" s="194" customFormat="1" ht="40.4" customHeight="1" x14ac:dyDescent="0.35">
      <c r="A403" s="770"/>
      <c r="B403" s="767"/>
      <c r="C403" s="761"/>
      <c r="D403" s="769"/>
      <c r="E403" s="769"/>
      <c r="F403" s="208"/>
      <c r="G403" s="763"/>
      <c r="H403" s="744"/>
      <c r="I403" s="765"/>
      <c r="J403" s="730"/>
      <c r="K403" s="761"/>
      <c r="L403" s="761"/>
      <c r="M403" s="730"/>
      <c r="N403" s="730"/>
      <c r="V403" s="194" t="str">
        <f t="array" ref="V403">IFERROR(IF(INDEX('Disaggregation Records'!$I$69:$I$152,MATCH(RIGHT(Q403,255),RIGHT('Disaggregation Records'!$D$69:$D$152,255),0))="","",INDEX('Disaggregation Records'!$I$69:$I$152,MATCH(RIGHT(Q403,255),RIGHT('Disaggregation Records'!$D$69:$D$152,255),0))),"")</f>
        <v/>
      </c>
    </row>
    <row r="404" spans="1:23" s="194" customFormat="1" ht="40.4" customHeight="1" x14ac:dyDescent="0.35">
      <c r="A404" s="770" t="str">
        <f ca="1">INDIRECT("'update Helper'!C"&amp;U404)</f>
        <v>a1V3p000006jw8qEAA</v>
      </c>
      <c r="B404" s="766">
        <v>5</v>
      </c>
      <c r="C404" s="760" t="str">
        <f>IFERROR(VLOOKUP(B404,'Outcome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04" s="768" t="str">
        <f>R404</f>
        <v/>
      </c>
      <c r="E404" s="768" t="str">
        <f>S404</f>
        <v/>
      </c>
      <c r="F404" s="413"/>
      <c r="G404" s="762" t="str">
        <f ca="1">IF(OR(INDIRECT("'update Helper'!E"&amp;U404)="",F404&lt;&gt;0,F405&lt;&gt;0),IF(IFERROR((F404/F405),"")="","",(F404/F405)),INDIRECT("'update Helper'!E"&amp;U404)/100)</f>
        <v/>
      </c>
      <c r="H404" s="743"/>
      <c r="I404" s="764"/>
      <c r="J404" s="729"/>
      <c r="K404" s="760" t="str">
        <f>W404</f>
        <v>TB O-6 Notification of RR-TB and/or MDR-TB cases – Percentage of notified cases of bacteriologically confirmed, drug resistant RR-TB and/or MDR-TB as a proportion of all estimated RR-TB and/or MDR-TB cases</v>
      </c>
      <c r="L404" s="760" t="str">
        <f>V404</f>
        <v/>
      </c>
      <c r="M404" s="729"/>
      <c r="N404" s="729"/>
      <c r="P404" s="194">
        <f>IF(AND(EXACT(C404,C402),C402&lt;&gt;0),P402+1,0)</f>
        <v>4</v>
      </c>
      <c r="Q404" s="194" t="str">
        <f>IF(C404&lt;&gt;"",C404&amp;"-"&amp;P404,"")</f>
        <v>TB O-6 Notificación de casos de tuberculosis resistente a la rifampicina (TB-RR) y/o tuberculosis multirresistente (TB-MR): porcentaje de casos notificados de TB-RR y/o TB-MR confirmados bacteriológicamente como proporción de todos los casos estimados de TB-RR y/o TB-MR.-4</v>
      </c>
      <c r="R404" s="194" t="str">
        <f t="array" ref="R404">IFERROR(IF(INDEX('Disaggregation Records'!$E$69:$E$152,MATCH(RIGHT(Q404,255),RIGHT('Disaggregation Records'!$D$69:$D$152,255),0))="","",INDEX('Disaggregation Records'!$E$69:$E$152,MATCH(RIGHT(Q404,255),RIGHT('Disaggregation Records'!$D$69:$D$152,255),0))),"")</f>
        <v/>
      </c>
      <c r="S404" s="194" t="str">
        <f t="array" ref="S404">IFERROR(IF(INDEX('Disaggregation Records'!$F$69:$F$152,MATCH(RIGHT(Q404,255),RIGHT('Disaggregation Records'!$D$69:$D$152,255),0))="","",INDEX('Disaggregation Records'!$F$69:$F$152,MATCH(RIGHT(Q404,255),RIGHT('Disaggregation Records'!$D$69:$D$152,255),0))),"")</f>
        <v/>
      </c>
      <c r="T404" s="194" t="str">
        <f t="array" ref="T404">IFERROR(IF(INDEX('Disaggregation Records'!$H$69:$H$152,MATCH(RIGHT(Q404,255),RIGHT('Disaggregation Records'!$D$69:$D$152,255),0))="","",INDEX('Disaggregation Records'!$H$69:$H$152,MATCH(RIGHT(Q404,255),RIGHT('Disaggregation Records'!$D$69:$D$152,255),0))),"")</f>
        <v/>
      </c>
      <c r="U404" s="194">
        <f>U402+1</f>
        <v>1711</v>
      </c>
      <c r="V404" s="194" t="str">
        <f t="array" ref="V404">IFERROR(IF(INDEX('Disaggregation Records'!$I$69:$I$152,MATCH(RIGHT(Q404,255),RIGHT('Disaggregation Records'!$D$69:$D$152,255),0))="","",INDEX('Disaggregation Records'!$I$69:$I$152,MATCH(RIGHT(Q404,255),RIGHT('Disaggregation Records'!$D$69:$D$152,255),0))),"")</f>
        <v/>
      </c>
      <c r="W404" s="194" t="str">
        <f>IFERROR(INDEX('Reference Records'!P$23:P$74,MATCH(LEFT(C404,255),'Reference Records'!J$23:J$74,0)),"")</f>
        <v>TB O-6 Notification of RR-TB and/or MDR-TB cases – Percentage of notified cases of bacteriologically confirmed, drug resistant RR-TB and/or MDR-TB as a proportion of all estimated RR-TB and/or MDR-TB cases</v>
      </c>
    </row>
    <row r="405" spans="1:23" s="194" customFormat="1" ht="40.4" customHeight="1" x14ac:dyDescent="0.35">
      <c r="A405" s="770"/>
      <c r="B405" s="767"/>
      <c r="C405" s="761"/>
      <c r="D405" s="769"/>
      <c r="E405" s="769"/>
      <c r="F405" s="208"/>
      <c r="G405" s="763"/>
      <c r="H405" s="744"/>
      <c r="I405" s="765"/>
      <c r="J405" s="730"/>
      <c r="K405" s="761"/>
      <c r="L405" s="761"/>
      <c r="M405" s="730"/>
      <c r="N405" s="730"/>
      <c r="V405" s="194" t="str">
        <f t="array" ref="V405">IFERROR(IF(INDEX('Disaggregation Records'!$I$69:$I$152,MATCH(RIGHT(Q405,255),RIGHT('Disaggregation Records'!$D$69:$D$152,255),0))="","",INDEX('Disaggregation Records'!$I$69:$I$152,MATCH(RIGHT(Q405,255),RIGHT('Disaggregation Records'!$D$69:$D$152,255),0))),"")</f>
        <v/>
      </c>
    </row>
    <row r="406" spans="1:23" s="194" customFormat="1" ht="40.4" customHeight="1" x14ac:dyDescent="0.35">
      <c r="A406" s="770" t="str">
        <f ca="1">INDIRECT("'update Helper'!C"&amp;U406)</f>
        <v>a1V3p000006jw8rEAA</v>
      </c>
      <c r="B406" s="766">
        <v>5</v>
      </c>
      <c r="C406" s="760" t="str">
        <f>IFERROR(VLOOKUP(B406,'Outcome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06" s="768" t="str">
        <f>R406</f>
        <v/>
      </c>
      <c r="E406" s="768" t="str">
        <f>S406</f>
        <v/>
      </c>
      <c r="F406" s="413"/>
      <c r="G406" s="762" t="str">
        <f ca="1">IF(OR(INDIRECT("'update Helper'!E"&amp;U406)="",F406&lt;&gt;0,F407&lt;&gt;0),IF(IFERROR((F406/F407),"")="","",(F406/F407)),INDIRECT("'update Helper'!E"&amp;U406)/100)</f>
        <v/>
      </c>
      <c r="H406" s="743"/>
      <c r="I406" s="764"/>
      <c r="J406" s="729"/>
      <c r="K406" s="760" t="str">
        <f>W406</f>
        <v>TB O-6 Notification of RR-TB and/or MDR-TB cases – Percentage of notified cases of bacteriologically confirmed, drug resistant RR-TB and/or MDR-TB as a proportion of all estimated RR-TB and/or MDR-TB cases</v>
      </c>
      <c r="L406" s="760" t="str">
        <f>V406</f>
        <v/>
      </c>
      <c r="M406" s="729"/>
      <c r="N406" s="729"/>
      <c r="P406" s="194">
        <f>IF(AND(EXACT(C406,C404),C404&lt;&gt;0),P404+1,0)</f>
        <v>5</v>
      </c>
      <c r="Q406" s="194" t="str">
        <f>IF(C406&lt;&gt;"",C406&amp;"-"&amp;P406,"")</f>
        <v>TB O-6 Notificación de casos de tuberculosis resistente a la rifampicina (TB-RR) y/o tuberculosis multirresistente (TB-MR): porcentaje de casos notificados de TB-RR y/o TB-MR confirmados bacteriológicamente como proporción de todos los casos estimados de TB-RR y/o TB-MR.-5</v>
      </c>
      <c r="R406" s="194" t="str">
        <f t="array" ref="R406">IFERROR(IF(INDEX('Disaggregation Records'!$E$69:$E$152,MATCH(RIGHT(Q406,255),RIGHT('Disaggregation Records'!$D$69:$D$152,255),0))="","",INDEX('Disaggregation Records'!$E$69:$E$152,MATCH(RIGHT(Q406,255),RIGHT('Disaggregation Records'!$D$69:$D$152,255),0))),"")</f>
        <v/>
      </c>
      <c r="S406" s="194" t="str">
        <f t="array" ref="S406">IFERROR(IF(INDEX('Disaggregation Records'!$F$69:$F$152,MATCH(RIGHT(Q406,255),RIGHT('Disaggregation Records'!$D$69:$D$152,255),0))="","",INDEX('Disaggregation Records'!$F$69:$F$152,MATCH(RIGHT(Q406,255),RIGHT('Disaggregation Records'!$D$69:$D$152,255),0))),"")</f>
        <v/>
      </c>
      <c r="T406" s="194" t="str">
        <f t="array" ref="T406">IFERROR(IF(INDEX('Disaggregation Records'!$H$69:$H$152,MATCH(RIGHT(Q406,255),RIGHT('Disaggregation Records'!$D$69:$D$152,255),0))="","",INDEX('Disaggregation Records'!$H$69:$H$152,MATCH(RIGHT(Q406,255),RIGHT('Disaggregation Records'!$D$69:$D$152,255),0))),"")</f>
        <v/>
      </c>
      <c r="U406" s="194">
        <f>U404+1</f>
        <v>1712</v>
      </c>
      <c r="V406" s="194" t="str">
        <f t="array" ref="V406">IFERROR(IF(INDEX('Disaggregation Records'!$I$69:$I$152,MATCH(RIGHT(Q406,255),RIGHT('Disaggregation Records'!$D$69:$D$152,255),0))="","",INDEX('Disaggregation Records'!$I$69:$I$152,MATCH(RIGHT(Q406,255),RIGHT('Disaggregation Records'!$D$69:$D$152,255),0))),"")</f>
        <v/>
      </c>
      <c r="W406" s="194" t="str">
        <f>IFERROR(INDEX('Reference Records'!P$23:P$74,MATCH(LEFT(C406,255),'Reference Records'!J$23:J$74,0)),"")</f>
        <v>TB O-6 Notification of RR-TB and/or MDR-TB cases – Percentage of notified cases of bacteriologically confirmed, drug resistant RR-TB and/or MDR-TB as a proportion of all estimated RR-TB and/or MDR-TB cases</v>
      </c>
    </row>
    <row r="407" spans="1:23" s="194" customFormat="1" ht="40.4" customHeight="1" x14ac:dyDescent="0.35">
      <c r="A407" s="770"/>
      <c r="B407" s="767"/>
      <c r="C407" s="761"/>
      <c r="D407" s="769"/>
      <c r="E407" s="769"/>
      <c r="F407" s="208"/>
      <c r="G407" s="763"/>
      <c r="H407" s="744"/>
      <c r="I407" s="765"/>
      <c r="J407" s="730"/>
      <c r="K407" s="761"/>
      <c r="L407" s="761"/>
      <c r="M407" s="730"/>
      <c r="N407" s="730"/>
      <c r="V407" s="194" t="str">
        <f t="array" ref="V407">IFERROR(IF(INDEX('Disaggregation Records'!$I$69:$I$152,MATCH(RIGHT(Q407,255),RIGHT('Disaggregation Records'!$D$69:$D$152,255),0))="","",INDEX('Disaggregation Records'!$I$69:$I$152,MATCH(RIGHT(Q407,255),RIGHT('Disaggregation Records'!$D$69:$D$152,255),0))),"")</f>
        <v/>
      </c>
    </row>
    <row r="408" spans="1:23" s="194" customFormat="1" ht="40.4" customHeight="1" x14ac:dyDescent="0.35">
      <c r="A408" s="770" t="str">
        <f ca="1">INDIRECT("'update Helper'!C"&amp;U408)</f>
        <v>a1V3p000006jw8sEAA</v>
      </c>
      <c r="B408" s="766">
        <v>5</v>
      </c>
      <c r="C408" s="760" t="str">
        <f>IFERROR(VLOOKUP(B408,'Outcome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08" s="768" t="str">
        <f>R408</f>
        <v/>
      </c>
      <c r="E408" s="768" t="str">
        <f>S408</f>
        <v/>
      </c>
      <c r="F408" s="413"/>
      <c r="G408" s="762" t="str">
        <f ca="1">IF(OR(INDIRECT("'update Helper'!E"&amp;U408)="",F408&lt;&gt;0,F409&lt;&gt;0),IF(IFERROR((F408/F409),"")="","",(F408/F409)),INDIRECT("'update Helper'!E"&amp;U408)/100)</f>
        <v/>
      </c>
      <c r="H408" s="743"/>
      <c r="I408" s="764"/>
      <c r="J408" s="729"/>
      <c r="K408" s="760" t="str">
        <f>W408</f>
        <v>TB O-6 Notification of RR-TB and/or MDR-TB cases – Percentage of notified cases of bacteriologically confirmed, drug resistant RR-TB and/or MDR-TB as a proportion of all estimated RR-TB and/or MDR-TB cases</v>
      </c>
      <c r="L408" s="760" t="str">
        <f>V408</f>
        <v/>
      </c>
      <c r="M408" s="729"/>
      <c r="N408" s="729"/>
      <c r="P408" s="194">
        <f>IF(AND(EXACT(C408,C406),C406&lt;&gt;0),P406+1,0)</f>
        <v>6</v>
      </c>
      <c r="Q408" s="194" t="str">
        <f>IF(C408&lt;&gt;"",C408&amp;"-"&amp;P408,"")</f>
        <v>TB O-6 Notificación de casos de tuberculosis resistente a la rifampicina (TB-RR) y/o tuberculosis multirresistente (TB-MR): porcentaje de casos notificados de TB-RR y/o TB-MR confirmados bacteriológicamente como proporción de todos los casos estimados de TB-RR y/o TB-MR.-6</v>
      </c>
      <c r="R408" s="194" t="str">
        <f t="array" ref="R408">IFERROR(IF(INDEX('Disaggregation Records'!$E$69:$E$152,MATCH(RIGHT(Q408,255),RIGHT('Disaggregation Records'!$D$69:$D$152,255),0))="","",INDEX('Disaggregation Records'!$E$69:$E$152,MATCH(RIGHT(Q408,255),RIGHT('Disaggregation Records'!$D$69:$D$152,255),0))),"")</f>
        <v/>
      </c>
      <c r="S408" s="194" t="str">
        <f t="array" ref="S408">IFERROR(IF(INDEX('Disaggregation Records'!$F$69:$F$152,MATCH(RIGHT(Q408,255),RIGHT('Disaggregation Records'!$D$69:$D$152,255),0))="","",INDEX('Disaggregation Records'!$F$69:$F$152,MATCH(RIGHT(Q408,255),RIGHT('Disaggregation Records'!$D$69:$D$152,255),0))),"")</f>
        <v/>
      </c>
      <c r="T408" s="194" t="str">
        <f t="array" ref="T408">IFERROR(IF(INDEX('Disaggregation Records'!$H$69:$H$152,MATCH(RIGHT(Q408,255),RIGHT('Disaggregation Records'!$D$69:$D$152,255),0))="","",INDEX('Disaggregation Records'!$H$69:$H$152,MATCH(RIGHT(Q408,255),RIGHT('Disaggregation Records'!$D$69:$D$152,255),0))),"")</f>
        <v/>
      </c>
      <c r="U408" s="194">
        <f>U406+1</f>
        <v>1713</v>
      </c>
      <c r="V408" s="194" t="str">
        <f t="array" ref="V408">IFERROR(IF(INDEX('Disaggregation Records'!$I$69:$I$152,MATCH(RIGHT(Q408,255),RIGHT('Disaggregation Records'!$D$69:$D$152,255),0))="","",INDEX('Disaggregation Records'!$I$69:$I$152,MATCH(RIGHT(Q408,255),RIGHT('Disaggregation Records'!$D$69:$D$152,255),0))),"")</f>
        <v/>
      </c>
      <c r="W408" s="194" t="str">
        <f>IFERROR(INDEX('Reference Records'!P$23:P$74,MATCH(LEFT(C408,255),'Reference Records'!J$23:J$74,0)),"")</f>
        <v>TB O-6 Notification of RR-TB and/or MDR-TB cases – Percentage of notified cases of bacteriologically confirmed, drug resistant RR-TB and/or MDR-TB as a proportion of all estimated RR-TB and/or MDR-TB cases</v>
      </c>
    </row>
    <row r="409" spans="1:23" s="194" customFormat="1" ht="40.4" customHeight="1" x14ac:dyDescent="0.35">
      <c r="A409" s="770"/>
      <c r="B409" s="767"/>
      <c r="C409" s="761"/>
      <c r="D409" s="769"/>
      <c r="E409" s="769"/>
      <c r="F409" s="208"/>
      <c r="G409" s="763"/>
      <c r="H409" s="744"/>
      <c r="I409" s="765"/>
      <c r="J409" s="730"/>
      <c r="K409" s="761"/>
      <c r="L409" s="761"/>
      <c r="M409" s="730"/>
      <c r="N409" s="730"/>
      <c r="V409" s="194" t="str">
        <f t="array" ref="V409">IFERROR(IF(INDEX('Disaggregation Records'!$I$69:$I$152,MATCH(RIGHT(Q409,255),RIGHT('Disaggregation Records'!$D$69:$D$152,255),0))="","",INDEX('Disaggregation Records'!$I$69:$I$152,MATCH(RIGHT(Q409,255),RIGHT('Disaggregation Records'!$D$69:$D$152,255),0))),"")</f>
        <v/>
      </c>
    </row>
    <row r="410" spans="1:23" s="194" customFormat="1" ht="40.4" customHeight="1" x14ac:dyDescent="0.35">
      <c r="A410" s="770" t="str">
        <f ca="1">INDIRECT("'update Helper'!C"&amp;U410)</f>
        <v>a1V3p000006jw8tEAA</v>
      </c>
      <c r="B410" s="766">
        <v>5</v>
      </c>
      <c r="C410" s="760" t="str">
        <f>IFERROR(VLOOKUP(B410,'Outcome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10" s="768" t="str">
        <f>R410</f>
        <v/>
      </c>
      <c r="E410" s="768" t="str">
        <f>S410</f>
        <v/>
      </c>
      <c r="F410" s="413"/>
      <c r="G410" s="762" t="str">
        <f ca="1">IF(OR(INDIRECT("'update Helper'!E"&amp;U410)="",F410&lt;&gt;0,F411&lt;&gt;0),IF(IFERROR((F410/F411),"")="","",(F410/F411)),INDIRECT("'update Helper'!E"&amp;U410)/100)</f>
        <v/>
      </c>
      <c r="H410" s="743"/>
      <c r="I410" s="764"/>
      <c r="J410" s="729"/>
      <c r="K410" s="760" t="str">
        <f>W410</f>
        <v>TB O-6 Notification of RR-TB and/or MDR-TB cases – Percentage of notified cases of bacteriologically confirmed, drug resistant RR-TB and/or MDR-TB as a proportion of all estimated RR-TB and/or MDR-TB cases</v>
      </c>
      <c r="L410" s="760" t="str">
        <f>V410</f>
        <v/>
      </c>
      <c r="M410" s="729"/>
      <c r="N410" s="729"/>
      <c r="P410" s="194">
        <f>IF(AND(EXACT(C410,C408),C408&lt;&gt;0),P408+1,0)</f>
        <v>7</v>
      </c>
      <c r="Q410" s="194" t="str">
        <f>IF(C410&lt;&gt;"",C410&amp;"-"&amp;P410,"")</f>
        <v>TB O-6 Notificación de casos de tuberculosis resistente a la rifampicina (TB-RR) y/o tuberculosis multirresistente (TB-MR): porcentaje de casos notificados de TB-RR y/o TB-MR confirmados bacteriológicamente como proporción de todos los casos estimados de TB-RR y/o TB-MR.-7</v>
      </c>
      <c r="R410" s="194" t="str">
        <f t="array" ref="R410">IFERROR(IF(INDEX('Disaggregation Records'!$E$69:$E$152,MATCH(RIGHT(Q410,255),RIGHT('Disaggregation Records'!$D$69:$D$152,255),0))="","",INDEX('Disaggregation Records'!$E$69:$E$152,MATCH(RIGHT(Q410,255),RIGHT('Disaggregation Records'!$D$69:$D$152,255),0))),"")</f>
        <v/>
      </c>
      <c r="S410" s="194" t="str">
        <f t="array" ref="S410">IFERROR(IF(INDEX('Disaggregation Records'!$F$69:$F$152,MATCH(RIGHT(Q410,255),RIGHT('Disaggregation Records'!$D$69:$D$152,255),0))="","",INDEX('Disaggregation Records'!$F$69:$F$152,MATCH(RIGHT(Q410,255),RIGHT('Disaggregation Records'!$D$69:$D$152,255),0))),"")</f>
        <v/>
      </c>
      <c r="T410" s="194" t="str">
        <f t="array" ref="T410">IFERROR(IF(INDEX('Disaggregation Records'!$H$69:$H$152,MATCH(RIGHT(Q410,255),RIGHT('Disaggregation Records'!$D$69:$D$152,255),0))="","",INDEX('Disaggregation Records'!$H$69:$H$152,MATCH(RIGHT(Q410,255),RIGHT('Disaggregation Records'!$D$69:$D$152,255),0))),"")</f>
        <v/>
      </c>
      <c r="U410" s="194">
        <f>U408+1</f>
        <v>1714</v>
      </c>
      <c r="V410" s="194" t="str">
        <f t="array" ref="V410">IFERROR(IF(INDEX('Disaggregation Records'!$I$69:$I$152,MATCH(RIGHT(Q410,255),RIGHT('Disaggregation Records'!$D$69:$D$152,255),0))="","",INDEX('Disaggregation Records'!$I$69:$I$152,MATCH(RIGHT(Q410,255),RIGHT('Disaggregation Records'!$D$69:$D$152,255),0))),"")</f>
        <v/>
      </c>
      <c r="W410" s="194" t="str">
        <f>IFERROR(INDEX('Reference Records'!P$23:P$74,MATCH(LEFT(C410,255),'Reference Records'!J$23:J$74,0)),"")</f>
        <v>TB O-6 Notification of RR-TB and/or MDR-TB cases – Percentage of notified cases of bacteriologically confirmed, drug resistant RR-TB and/or MDR-TB as a proportion of all estimated RR-TB and/or MDR-TB cases</v>
      </c>
    </row>
    <row r="411" spans="1:23" s="194" customFormat="1" ht="40.4" customHeight="1" x14ac:dyDescent="0.35">
      <c r="A411" s="770"/>
      <c r="B411" s="767"/>
      <c r="C411" s="761"/>
      <c r="D411" s="769"/>
      <c r="E411" s="769"/>
      <c r="F411" s="208"/>
      <c r="G411" s="763"/>
      <c r="H411" s="744"/>
      <c r="I411" s="765"/>
      <c r="J411" s="730"/>
      <c r="K411" s="761"/>
      <c r="L411" s="761"/>
      <c r="M411" s="730"/>
      <c r="N411" s="730"/>
      <c r="V411" s="194" t="str">
        <f t="array" ref="V411">IFERROR(IF(INDEX('Disaggregation Records'!$I$69:$I$152,MATCH(RIGHT(Q411,255),RIGHT('Disaggregation Records'!$D$69:$D$152,255),0))="","",INDEX('Disaggregation Records'!$I$69:$I$152,MATCH(RIGHT(Q411,255),RIGHT('Disaggregation Records'!$D$69:$D$152,255),0))),"")</f>
        <v/>
      </c>
    </row>
    <row r="412" spans="1:23" s="194" customFormat="1" ht="40.4" customHeight="1" x14ac:dyDescent="0.35">
      <c r="A412" s="770" t="str">
        <f ca="1">INDIRECT("'update Helper'!C"&amp;U412)</f>
        <v>a1V3p000006jw8uEAA</v>
      </c>
      <c r="B412" s="766">
        <v>5</v>
      </c>
      <c r="C412" s="760" t="str">
        <f>IFERROR(VLOOKUP(B412,'Outcome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12" s="768" t="str">
        <f>R412</f>
        <v/>
      </c>
      <c r="E412" s="768" t="str">
        <f>S412</f>
        <v/>
      </c>
      <c r="F412" s="413"/>
      <c r="G412" s="762" t="str">
        <f ca="1">IF(OR(INDIRECT("'update Helper'!E"&amp;U412)="",F412&lt;&gt;0,F413&lt;&gt;0),IF(IFERROR((F412/F413),"")="","",(F412/F413)),INDIRECT("'update Helper'!E"&amp;U412)/100)</f>
        <v/>
      </c>
      <c r="H412" s="743"/>
      <c r="I412" s="764"/>
      <c r="J412" s="729"/>
      <c r="K412" s="760" t="str">
        <f>W412</f>
        <v>TB O-6 Notification of RR-TB and/or MDR-TB cases – Percentage of notified cases of bacteriologically confirmed, drug resistant RR-TB and/or MDR-TB as a proportion of all estimated RR-TB and/or MDR-TB cases</v>
      </c>
      <c r="L412" s="760" t="str">
        <f>V412</f>
        <v/>
      </c>
      <c r="M412" s="729"/>
      <c r="N412" s="729"/>
      <c r="P412" s="194">
        <f>IF(AND(EXACT(C412,C410),C410&lt;&gt;0),P410+1,0)</f>
        <v>8</v>
      </c>
      <c r="Q412" s="194" t="str">
        <f>IF(C412&lt;&gt;"",C412&amp;"-"&amp;P412,"")</f>
        <v>TB O-6 Notificación de casos de tuberculosis resistente a la rifampicina (TB-RR) y/o tuberculosis multirresistente (TB-MR): porcentaje de casos notificados de TB-RR y/o TB-MR confirmados bacteriológicamente como proporción de todos los casos estimados de TB-RR y/o TB-MR.-8</v>
      </c>
      <c r="R412" s="194" t="str">
        <f t="array" ref="R412">IFERROR(IF(INDEX('Disaggregation Records'!$E$69:$E$152,MATCH(RIGHT(Q412,255),RIGHT('Disaggregation Records'!$D$69:$D$152,255),0))="","",INDEX('Disaggregation Records'!$E$69:$E$152,MATCH(RIGHT(Q412,255),RIGHT('Disaggregation Records'!$D$69:$D$152,255),0))),"")</f>
        <v/>
      </c>
      <c r="S412" s="194" t="str">
        <f t="array" ref="S412">IFERROR(IF(INDEX('Disaggregation Records'!$F$69:$F$152,MATCH(RIGHT(Q412,255),RIGHT('Disaggregation Records'!$D$69:$D$152,255),0))="","",INDEX('Disaggregation Records'!$F$69:$F$152,MATCH(RIGHT(Q412,255),RIGHT('Disaggregation Records'!$D$69:$D$152,255),0))),"")</f>
        <v/>
      </c>
      <c r="T412" s="194" t="str">
        <f t="array" ref="T412">IFERROR(IF(INDEX('Disaggregation Records'!$H$69:$H$152,MATCH(RIGHT(Q412,255),RIGHT('Disaggregation Records'!$D$69:$D$152,255),0))="","",INDEX('Disaggregation Records'!$H$69:$H$152,MATCH(RIGHT(Q412,255),RIGHT('Disaggregation Records'!$D$69:$D$152,255),0))),"")</f>
        <v/>
      </c>
      <c r="U412" s="194">
        <f>U410+1</f>
        <v>1715</v>
      </c>
      <c r="V412" s="194" t="str">
        <f t="array" ref="V412">IFERROR(IF(INDEX('Disaggregation Records'!$I$69:$I$152,MATCH(RIGHT(Q412,255),RIGHT('Disaggregation Records'!$D$69:$D$152,255),0))="","",INDEX('Disaggregation Records'!$I$69:$I$152,MATCH(RIGHT(Q412,255),RIGHT('Disaggregation Records'!$D$69:$D$152,255),0))),"")</f>
        <v/>
      </c>
      <c r="W412" s="194" t="str">
        <f>IFERROR(INDEX('Reference Records'!P$23:P$74,MATCH(LEFT(C412,255),'Reference Records'!J$23:J$74,0)),"")</f>
        <v>TB O-6 Notification of RR-TB and/or MDR-TB cases – Percentage of notified cases of bacteriologically confirmed, drug resistant RR-TB and/or MDR-TB as a proportion of all estimated RR-TB and/or MDR-TB cases</v>
      </c>
    </row>
    <row r="413" spans="1:23" s="194" customFormat="1" ht="40.4" customHeight="1" x14ac:dyDescent="0.35">
      <c r="A413" s="770"/>
      <c r="B413" s="767"/>
      <c r="C413" s="761"/>
      <c r="D413" s="769"/>
      <c r="E413" s="769"/>
      <c r="F413" s="208"/>
      <c r="G413" s="763"/>
      <c r="H413" s="744"/>
      <c r="I413" s="765"/>
      <c r="J413" s="730"/>
      <c r="K413" s="761"/>
      <c r="L413" s="761"/>
      <c r="M413" s="730"/>
      <c r="N413" s="730"/>
      <c r="V413" s="194" t="str">
        <f t="array" ref="V413">IFERROR(IF(INDEX('Disaggregation Records'!$I$69:$I$152,MATCH(RIGHT(Q413,255),RIGHT('Disaggregation Records'!$D$69:$D$152,255),0))="","",INDEX('Disaggregation Records'!$I$69:$I$152,MATCH(RIGHT(Q413,255),RIGHT('Disaggregation Records'!$D$69:$D$152,255),0))),"")</f>
        <v/>
      </c>
    </row>
    <row r="414" spans="1:23" s="194" customFormat="1" ht="40.4" customHeight="1" x14ac:dyDescent="0.35">
      <c r="A414" s="770" t="str">
        <f ca="1">INDIRECT("'update Helper'!C"&amp;U414)</f>
        <v>a1V3p000006jw8vEAA</v>
      </c>
      <c r="B414" s="766">
        <v>5</v>
      </c>
      <c r="C414" s="760" t="str">
        <f>IFERROR(VLOOKUP(B414,'Outcome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414" s="768" t="str">
        <f>R414</f>
        <v/>
      </c>
      <c r="E414" s="768" t="str">
        <f>S414</f>
        <v/>
      </c>
      <c r="F414" s="413"/>
      <c r="G414" s="762" t="str">
        <f ca="1">IF(OR(INDIRECT("'update Helper'!E"&amp;U414)="",F414&lt;&gt;0,F415&lt;&gt;0),IF(IFERROR((F414/F415),"")="","",(F414/F415)),INDIRECT("'update Helper'!E"&amp;U414)/100)</f>
        <v/>
      </c>
      <c r="H414" s="743"/>
      <c r="I414" s="764"/>
      <c r="J414" s="729"/>
      <c r="K414" s="760" t="str">
        <f>W414</f>
        <v>TB O-6 Notification of RR-TB and/or MDR-TB cases – Percentage of notified cases of bacteriologically confirmed, drug resistant RR-TB and/or MDR-TB as a proportion of all estimated RR-TB and/or MDR-TB cases</v>
      </c>
      <c r="L414" s="760" t="str">
        <f>V414</f>
        <v/>
      </c>
      <c r="M414" s="729"/>
      <c r="N414" s="729"/>
      <c r="P414" s="194">
        <f>IF(AND(EXACT(C414,C412),C412&lt;&gt;0),P412+1,0)</f>
        <v>9</v>
      </c>
      <c r="Q414" s="194" t="str">
        <f>IF(C414&lt;&gt;"",C414&amp;"-"&amp;P414,"")</f>
        <v>TB O-6 Notificación de casos de tuberculosis resistente a la rifampicina (TB-RR) y/o tuberculosis multirresistente (TB-MR): porcentaje de casos notificados de TB-RR y/o TB-MR confirmados bacteriológicamente como proporción de todos los casos estimados de TB-RR y/o TB-MR.-9</v>
      </c>
      <c r="R414" s="194" t="str">
        <f t="array" ref="R414">IFERROR(IF(INDEX('Disaggregation Records'!$E$69:$E$152,MATCH(RIGHT(Q414,255),RIGHT('Disaggregation Records'!$D$69:$D$152,255),0))="","",INDEX('Disaggregation Records'!$E$69:$E$152,MATCH(RIGHT(Q414,255),RIGHT('Disaggregation Records'!$D$69:$D$152,255),0))),"")</f>
        <v/>
      </c>
      <c r="S414" s="194" t="str">
        <f t="array" ref="S414">IFERROR(IF(INDEX('Disaggregation Records'!$F$69:$F$152,MATCH(RIGHT(Q414,255),RIGHT('Disaggregation Records'!$D$69:$D$152,255),0))="","",INDEX('Disaggregation Records'!$F$69:$F$152,MATCH(RIGHT(Q414,255),RIGHT('Disaggregation Records'!$D$69:$D$152,255),0))),"")</f>
        <v/>
      </c>
      <c r="T414" s="194" t="str">
        <f t="array" ref="T414">IFERROR(IF(INDEX('Disaggregation Records'!$H$69:$H$152,MATCH(RIGHT(Q414,255),RIGHT('Disaggregation Records'!$D$69:$D$152,255),0))="","",INDEX('Disaggregation Records'!$H$69:$H$152,MATCH(RIGHT(Q414,255),RIGHT('Disaggregation Records'!$D$69:$D$152,255),0))),"")</f>
        <v/>
      </c>
      <c r="U414" s="194">
        <f>U412+1</f>
        <v>1716</v>
      </c>
      <c r="V414" s="194" t="str">
        <f t="array" ref="V414">IFERROR(IF(INDEX('Disaggregation Records'!$I$69:$I$152,MATCH(RIGHT(Q414,255),RIGHT('Disaggregation Records'!$D$69:$D$152,255),0))="","",INDEX('Disaggregation Records'!$I$69:$I$152,MATCH(RIGHT(Q414,255),RIGHT('Disaggregation Records'!$D$69:$D$152,255),0))),"")</f>
        <v/>
      </c>
      <c r="W414" s="194" t="str">
        <f>IFERROR(INDEX('Reference Records'!P$23:P$74,MATCH(LEFT(C414,255),'Reference Records'!J$23:J$74,0)),"")</f>
        <v>TB O-6 Notification of RR-TB and/or MDR-TB cases – Percentage of notified cases of bacteriologically confirmed, drug resistant RR-TB and/or MDR-TB as a proportion of all estimated RR-TB and/or MDR-TB cases</v>
      </c>
    </row>
    <row r="415" spans="1:23" s="194" customFormat="1" ht="40.4" customHeight="1" x14ac:dyDescent="0.35">
      <c r="A415" s="770"/>
      <c r="B415" s="767"/>
      <c r="C415" s="761"/>
      <c r="D415" s="769"/>
      <c r="E415" s="769"/>
      <c r="F415" s="208"/>
      <c r="G415" s="763"/>
      <c r="H415" s="744"/>
      <c r="I415" s="765"/>
      <c r="J415" s="730"/>
      <c r="K415" s="761"/>
      <c r="L415" s="761"/>
      <c r="M415" s="730"/>
      <c r="N415" s="730"/>
      <c r="V415" s="194" t="str">
        <f t="array" ref="V415">IFERROR(IF(INDEX('Disaggregation Records'!$I$69:$I$152,MATCH(RIGHT(Q415,255),RIGHT('Disaggregation Records'!$D$69:$D$152,255),0))="","",INDEX('Disaggregation Records'!$I$69:$I$152,MATCH(RIGHT(Q415,255),RIGHT('Disaggregation Records'!$D$69:$D$152,255),0))),"")</f>
        <v/>
      </c>
    </row>
    <row r="416" spans="1:23" s="194" customFormat="1" ht="40.4" customHeight="1" x14ac:dyDescent="0.35">
      <c r="A416" s="770" t="str">
        <f ca="1">INDIRECT("'update Helper'!C"&amp;U416)</f>
        <v>a1V3p000006jwBCEAY</v>
      </c>
      <c r="B416" s="766">
        <v>6</v>
      </c>
      <c r="C416" s="760" t="str">
        <f>IFERROR(VLOOKUP(B416,'Outcome Indicators - Section C '!$A$9:$AF$70,32,FALSE),"")</f>
        <v/>
      </c>
      <c r="D416" s="768" t="str">
        <f>R416</f>
        <v/>
      </c>
      <c r="E416" s="768" t="str">
        <f>S416</f>
        <v/>
      </c>
      <c r="F416" s="413"/>
      <c r="G416" s="762" t="str">
        <f ca="1">IF(OR(INDIRECT("'update Helper'!E"&amp;U416)="",F416&lt;&gt;0,F417&lt;&gt;0),IF(IFERROR((F416/F417),"")="","",(F416/F417)),INDIRECT("'update Helper'!E"&amp;U416)/100)</f>
        <v/>
      </c>
      <c r="H416" s="743"/>
      <c r="I416" s="764"/>
      <c r="J416" s="729"/>
      <c r="K416" s="760" t="str">
        <f>W416</f>
        <v/>
      </c>
      <c r="L416" s="760" t="str">
        <f>V416</f>
        <v/>
      </c>
      <c r="M416" s="729"/>
      <c r="N416" s="729"/>
      <c r="P416" s="194">
        <f>IF(AND(EXACT(C416,C414),C414&lt;&gt;0),P414+1,0)</f>
        <v>0</v>
      </c>
      <c r="Q416" s="194" t="str">
        <f>IF(C416&lt;&gt;"",C416&amp;"-"&amp;P416,"")</f>
        <v/>
      </c>
      <c r="R416" s="194" t="str">
        <f t="array" ref="R416">IFERROR(IF(INDEX('Disaggregation Records'!$E$69:$E$152,MATCH(RIGHT(Q416,255),RIGHT('Disaggregation Records'!$D$69:$D$152,255),0))="","",INDEX('Disaggregation Records'!$E$69:$E$152,MATCH(RIGHT(Q416,255),RIGHT('Disaggregation Records'!$D$69:$D$152,255),0))),"")</f>
        <v/>
      </c>
      <c r="S416" s="194" t="str">
        <f t="array" ref="S416">IFERROR(IF(INDEX('Disaggregation Records'!$F$69:$F$152,MATCH(RIGHT(Q416,255),RIGHT('Disaggregation Records'!$D$69:$D$152,255),0))="","",INDEX('Disaggregation Records'!$F$69:$F$152,MATCH(RIGHT(Q416,255),RIGHT('Disaggregation Records'!$D$69:$D$152,255),0))),"")</f>
        <v/>
      </c>
      <c r="T416" s="194" t="str">
        <f t="array" ref="T416">IFERROR(IF(INDEX('Disaggregation Records'!$H$69:$H$152,MATCH(RIGHT(Q416,255),RIGHT('Disaggregation Records'!$D$69:$D$152,255),0))="","",INDEX('Disaggregation Records'!$H$69:$H$152,MATCH(RIGHT(Q416,255),RIGHT('Disaggregation Records'!$D$69:$D$152,255),0))),"")</f>
        <v/>
      </c>
      <c r="U416" s="194">
        <f>U414+1</f>
        <v>1717</v>
      </c>
      <c r="V416" s="194" t="str">
        <f t="array" ref="V416">IFERROR(IF(INDEX('Disaggregation Records'!$I$69:$I$152,MATCH(RIGHT(Q416,255),RIGHT('Disaggregation Records'!$D$69:$D$152,255),0))="","",INDEX('Disaggregation Records'!$I$69:$I$152,MATCH(RIGHT(Q416,255),RIGHT('Disaggregation Records'!$D$69:$D$152,255),0))),"")</f>
        <v/>
      </c>
      <c r="W416" s="194" t="str">
        <f>IFERROR(INDEX('Reference Records'!P$23:P$74,MATCH(LEFT(C416,255),'Reference Records'!J$23:J$74,0)),"")</f>
        <v/>
      </c>
    </row>
    <row r="417" spans="1:23" s="194" customFormat="1" ht="40.4" customHeight="1" x14ac:dyDescent="0.35">
      <c r="A417" s="770"/>
      <c r="B417" s="767"/>
      <c r="C417" s="761"/>
      <c r="D417" s="769"/>
      <c r="E417" s="769"/>
      <c r="F417" s="208"/>
      <c r="G417" s="763"/>
      <c r="H417" s="744"/>
      <c r="I417" s="765"/>
      <c r="J417" s="730"/>
      <c r="K417" s="761"/>
      <c r="L417" s="761"/>
      <c r="M417" s="730"/>
      <c r="N417" s="730"/>
      <c r="V417" s="194" t="str">
        <f t="array" ref="V417">IFERROR(IF(INDEX('Disaggregation Records'!$I$69:$I$152,MATCH(RIGHT(Q417,255),RIGHT('Disaggregation Records'!$D$69:$D$152,255),0))="","",INDEX('Disaggregation Records'!$I$69:$I$152,MATCH(RIGHT(Q417,255),RIGHT('Disaggregation Records'!$D$69:$D$152,255),0))),"")</f>
        <v/>
      </c>
    </row>
    <row r="418" spans="1:23" s="194" customFormat="1" ht="40.4" customHeight="1" x14ac:dyDescent="0.35">
      <c r="A418" s="770" t="str">
        <f ca="1">INDIRECT("'update Helper'!C"&amp;U418)</f>
        <v>a1V3p000006jwBDEAY</v>
      </c>
      <c r="B418" s="766">
        <v>6</v>
      </c>
      <c r="C418" s="760" t="str">
        <f>IFERROR(VLOOKUP(B418,'Outcome Indicators - Section C '!$A$9:$AF$70,32,FALSE),"")</f>
        <v/>
      </c>
      <c r="D418" s="768" t="str">
        <f>R418</f>
        <v/>
      </c>
      <c r="E418" s="768" t="str">
        <f>S418</f>
        <v/>
      </c>
      <c r="F418" s="413"/>
      <c r="G418" s="762" t="str">
        <f ca="1">IF(OR(INDIRECT("'update Helper'!E"&amp;U418)="",F418&lt;&gt;0,F419&lt;&gt;0),IF(IFERROR((F418/F419),"")="","",(F418/F419)),INDIRECT("'update Helper'!E"&amp;U418)/100)</f>
        <v/>
      </c>
      <c r="H418" s="743"/>
      <c r="I418" s="764"/>
      <c r="J418" s="729"/>
      <c r="K418" s="760" t="str">
        <f>W418</f>
        <v/>
      </c>
      <c r="L418" s="760" t="str">
        <f>V418</f>
        <v/>
      </c>
      <c r="M418" s="729"/>
      <c r="N418" s="729"/>
      <c r="P418" s="194">
        <f>IF(AND(EXACT(C418,C416),C416&lt;&gt;0),P416+1,0)</f>
        <v>1</v>
      </c>
      <c r="Q418" s="194" t="str">
        <f>IF(C418&lt;&gt;"",C418&amp;"-"&amp;P418,"")</f>
        <v/>
      </c>
      <c r="R418" s="194" t="str">
        <f t="array" ref="R418">IFERROR(IF(INDEX('Disaggregation Records'!$E$69:$E$152,MATCH(RIGHT(Q418,255),RIGHT('Disaggregation Records'!$D$69:$D$152,255),0))="","",INDEX('Disaggregation Records'!$E$69:$E$152,MATCH(RIGHT(Q418,255),RIGHT('Disaggregation Records'!$D$69:$D$152,255),0))),"")</f>
        <v/>
      </c>
      <c r="S418" s="194" t="str">
        <f t="array" ref="S418">IFERROR(IF(INDEX('Disaggregation Records'!$F$69:$F$152,MATCH(RIGHT(Q418,255),RIGHT('Disaggregation Records'!$D$69:$D$152,255),0))="","",INDEX('Disaggregation Records'!$F$69:$F$152,MATCH(RIGHT(Q418,255),RIGHT('Disaggregation Records'!$D$69:$D$152,255),0))),"")</f>
        <v/>
      </c>
      <c r="T418" s="194" t="str">
        <f t="array" ref="T418">IFERROR(IF(INDEX('Disaggregation Records'!$H$69:$H$152,MATCH(RIGHT(Q418,255),RIGHT('Disaggregation Records'!$D$69:$D$152,255),0))="","",INDEX('Disaggregation Records'!$H$69:$H$152,MATCH(RIGHT(Q418,255),RIGHT('Disaggregation Records'!$D$69:$D$152,255),0))),"")</f>
        <v/>
      </c>
      <c r="U418" s="194">
        <f>U416+1</f>
        <v>1718</v>
      </c>
      <c r="V418" s="194" t="str">
        <f t="array" ref="V418">IFERROR(IF(INDEX('Disaggregation Records'!$I$69:$I$152,MATCH(RIGHT(Q418,255),RIGHT('Disaggregation Records'!$D$69:$D$152,255),0))="","",INDEX('Disaggregation Records'!$I$69:$I$152,MATCH(RIGHT(Q418,255),RIGHT('Disaggregation Records'!$D$69:$D$152,255),0))),"")</f>
        <v/>
      </c>
      <c r="W418" s="194" t="str">
        <f>IFERROR(INDEX('Reference Records'!P$23:P$74,MATCH(LEFT(C418,255),'Reference Records'!J$23:J$74,0)),"")</f>
        <v/>
      </c>
    </row>
    <row r="419" spans="1:23" s="194" customFormat="1" ht="40.4" customHeight="1" x14ac:dyDescent="0.35">
      <c r="A419" s="770"/>
      <c r="B419" s="767"/>
      <c r="C419" s="761"/>
      <c r="D419" s="769"/>
      <c r="E419" s="769"/>
      <c r="F419" s="208"/>
      <c r="G419" s="763"/>
      <c r="H419" s="744"/>
      <c r="I419" s="765"/>
      <c r="J419" s="730"/>
      <c r="K419" s="761"/>
      <c r="L419" s="761"/>
      <c r="M419" s="730"/>
      <c r="N419" s="730"/>
      <c r="V419" s="194" t="str">
        <f t="array" ref="V419">IFERROR(IF(INDEX('Disaggregation Records'!$I$69:$I$152,MATCH(RIGHT(Q419,255),RIGHT('Disaggregation Records'!$D$69:$D$152,255),0))="","",INDEX('Disaggregation Records'!$I$69:$I$152,MATCH(RIGHT(Q419,255),RIGHT('Disaggregation Records'!$D$69:$D$152,255),0))),"")</f>
        <v/>
      </c>
    </row>
    <row r="420" spans="1:23" s="194" customFormat="1" ht="40.4" customHeight="1" x14ac:dyDescent="0.35">
      <c r="A420" s="770" t="str">
        <f ca="1">INDIRECT("'update Helper'!C"&amp;U420)</f>
        <v>a1V3p000006jwBEEAY</v>
      </c>
      <c r="B420" s="766">
        <v>6</v>
      </c>
      <c r="C420" s="760" t="str">
        <f>IFERROR(VLOOKUP(B420,'Outcome Indicators - Section C '!$A$9:$AF$70,32,FALSE),"")</f>
        <v/>
      </c>
      <c r="D420" s="768" t="str">
        <f>R420</f>
        <v/>
      </c>
      <c r="E420" s="768" t="str">
        <f>S420</f>
        <v/>
      </c>
      <c r="F420" s="413"/>
      <c r="G420" s="762" t="str">
        <f ca="1">IF(OR(INDIRECT("'update Helper'!E"&amp;U420)="",F420&lt;&gt;0,F421&lt;&gt;0),IF(IFERROR((F420/F421),"")="","",(F420/F421)),INDIRECT("'update Helper'!E"&amp;U420)/100)</f>
        <v/>
      </c>
      <c r="H420" s="743"/>
      <c r="I420" s="764"/>
      <c r="J420" s="729"/>
      <c r="K420" s="760" t="str">
        <f>W420</f>
        <v/>
      </c>
      <c r="L420" s="760" t="str">
        <f>V420</f>
        <v/>
      </c>
      <c r="M420" s="729"/>
      <c r="N420" s="729"/>
      <c r="P420" s="194">
        <f>IF(AND(EXACT(C420,C418),C418&lt;&gt;0),P418+1,0)</f>
        <v>2</v>
      </c>
      <c r="Q420" s="194" t="str">
        <f>IF(C420&lt;&gt;"",C420&amp;"-"&amp;P420,"")</f>
        <v/>
      </c>
      <c r="R420" s="194" t="str">
        <f t="array" ref="R420">IFERROR(IF(INDEX('Disaggregation Records'!$E$69:$E$152,MATCH(RIGHT(Q420,255),RIGHT('Disaggregation Records'!$D$69:$D$152,255),0))="","",INDEX('Disaggregation Records'!$E$69:$E$152,MATCH(RIGHT(Q420,255),RIGHT('Disaggregation Records'!$D$69:$D$152,255),0))),"")</f>
        <v/>
      </c>
      <c r="S420" s="194" t="str">
        <f t="array" ref="S420">IFERROR(IF(INDEX('Disaggregation Records'!$F$69:$F$152,MATCH(RIGHT(Q420,255),RIGHT('Disaggregation Records'!$D$69:$D$152,255),0))="","",INDEX('Disaggregation Records'!$F$69:$F$152,MATCH(RIGHT(Q420,255),RIGHT('Disaggregation Records'!$D$69:$D$152,255),0))),"")</f>
        <v/>
      </c>
      <c r="T420" s="194" t="str">
        <f t="array" ref="T420">IFERROR(IF(INDEX('Disaggregation Records'!$H$69:$H$152,MATCH(RIGHT(Q420,255),RIGHT('Disaggregation Records'!$D$69:$D$152,255),0))="","",INDEX('Disaggregation Records'!$H$69:$H$152,MATCH(RIGHT(Q420,255),RIGHT('Disaggregation Records'!$D$69:$D$152,255),0))),"")</f>
        <v/>
      </c>
      <c r="U420" s="194">
        <f>U418+1</f>
        <v>1719</v>
      </c>
      <c r="V420" s="194" t="str">
        <f t="array" ref="V420">IFERROR(IF(INDEX('Disaggregation Records'!$I$69:$I$152,MATCH(RIGHT(Q420,255),RIGHT('Disaggregation Records'!$D$69:$D$152,255),0))="","",INDEX('Disaggregation Records'!$I$69:$I$152,MATCH(RIGHT(Q420,255),RIGHT('Disaggregation Records'!$D$69:$D$152,255),0))),"")</f>
        <v/>
      </c>
      <c r="W420" s="194" t="str">
        <f>IFERROR(INDEX('Reference Records'!P$23:P$74,MATCH(LEFT(C420,255),'Reference Records'!J$23:J$74,0)),"")</f>
        <v/>
      </c>
    </row>
    <row r="421" spans="1:23" s="194" customFormat="1" ht="40.4" customHeight="1" x14ac:dyDescent="0.35">
      <c r="A421" s="770"/>
      <c r="B421" s="767"/>
      <c r="C421" s="761"/>
      <c r="D421" s="769"/>
      <c r="E421" s="769"/>
      <c r="F421" s="208"/>
      <c r="G421" s="763"/>
      <c r="H421" s="744"/>
      <c r="I421" s="765"/>
      <c r="J421" s="730"/>
      <c r="K421" s="761"/>
      <c r="L421" s="761"/>
      <c r="M421" s="730"/>
      <c r="N421" s="730"/>
      <c r="V421" s="194" t="str">
        <f t="array" ref="V421">IFERROR(IF(INDEX('Disaggregation Records'!$I$69:$I$152,MATCH(RIGHT(Q421,255),RIGHT('Disaggregation Records'!$D$69:$D$152,255),0))="","",INDEX('Disaggregation Records'!$I$69:$I$152,MATCH(RIGHT(Q421,255),RIGHT('Disaggregation Records'!$D$69:$D$152,255),0))),"")</f>
        <v/>
      </c>
    </row>
    <row r="422" spans="1:23" s="194" customFormat="1" ht="40.4" customHeight="1" x14ac:dyDescent="0.35">
      <c r="A422" s="770" t="str">
        <f ca="1">INDIRECT("'update Helper'!C"&amp;U422)</f>
        <v>a1V3p000006jwBFEAY</v>
      </c>
      <c r="B422" s="766">
        <v>6</v>
      </c>
      <c r="C422" s="760" t="str">
        <f>IFERROR(VLOOKUP(B422,'Outcome Indicators - Section C '!$A$9:$AF$70,32,FALSE),"")</f>
        <v/>
      </c>
      <c r="D422" s="768" t="str">
        <f>R422</f>
        <v/>
      </c>
      <c r="E422" s="768" t="str">
        <f>S422</f>
        <v/>
      </c>
      <c r="F422" s="413"/>
      <c r="G422" s="762" t="str">
        <f ca="1">IF(OR(INDIRECT("'update Helper'!E"&amp;U422)="",F422&lt;&gt;0,F423&lt;&gt;0),IF(IFERROR((F422/F423),"")="","",(F422/F423)),INDIRECT("'update Helper'!E"&amp;U422)/100)</f>
        <v/>
      </c>
      <c r="H422" s="743"/>
      <c r="I422" s="764"/>
      <c r="J422" s="729"/>
      <c r="K422" s="760" t="str">
        <f>W422</f>
        <v/>
      </c>
      <c r="L422" s="760" t="str">
        <f>V422</f>
        <v/>
      </c>
      <c r="M422" s="729"/>
      <c r="N422" s="729"/>
      <c r="P422" s="194">
        <f>IF(AND(EXACT(C422,C420),C420&lt;&gt;0),P420+1,0)</f>
        <v>3</v>
      </c>
      <c r="Q422" s="194" t="str">
        <f>IF(C422&lt;&gt;"",C422&amp;"-"&amp;P422,"")</f>
        <v/>
      </c>
      <c r="R422" s="194" t="str">
        <f t="array" ref="R422">IFERROR(IF(INDEX('Disaggregation Records'!$E$69:$E$152,MATCH(RIGHT(Q422,255),RIGHT('Disaggregation Records'!$D$69:$D$152,255),0))="","",INDEX('Disaggregation Records'!$E$69:$E$152,MATCH(RIGHT(Q422,255),RIGHT('Disaggregation Records'!$D$69:$D$152,255),0))),"")</f>
        <v/>
      </c>
      <c r="S422" s="194" t="str">
        <f t="array" ref="S422">IFERROR(IF(INDEX('Disaggregation Records'!$F$69:$F$152,MATCH(RIGHT(Q422,255),RIGHT('Disaggregation Records'!$D$69:$D$152,255),0))="","",INDEX('Disaggregation Records'!$F$69:$F$152,MATCH(RIGHT(Q422,255),RIGHT('Disaggregation Records'!$D$69:$D$152,255),0))),"")</f>
        <v/>
      </c>
      <c r="T422" s="194" t="str">
        <f t="array" ref="T422">IFERROR(IF(INDEX('Disaggregation Records'!$H$69:$H$152,MATCH(RIGHT(Q422,255),RIGHT('Disaggregation Records'!$D$69:$D$152,255),0))="","",INDEX('Disaggregation Records'!$H$69:$H$152,MATCH(RIGHT(Q422,255),RIGHT('Disaggregation Records'!$D$69:$D$152,255),0))),"")</f>
        <v/>
      </c>
      <c r="U422" s="194">
        <f>U420+1</f>
        <v>1720</v>
      </c>
      <c r="V422" s="194" t="str">
        <f t="array" ref="V422">IFERROR(IF(INDEX('Disaggregation Records'!$I$69:$I$152,MATCH(RIGHT(Q422,255),RIGHT('Disaggregation Records'!$D$69:$D$152,255),0))="","",INDEX('Disaggregation Records'!$I$69:$I$152,MATCH(RIGHT(Q422,255),RIGHT('Disaggregation Records'!$D$69:$D$152,255),0))),"")</f>
        <v/>
      </c>
      <c r="W422" s="194" t="str">
        <f>IFERROR(INDEX('Reference Records'!P$23:P$74,MATCH(LEFT(C422,255),'Reference Records'!J$23:J$74,0)),"")</f>
        <v/>
      </c>
    </row>
    <row r="423" spans="1:23" s="194" customFormat="1" ht="40.4" customHeight="1" x14ac:dyDescent="0.35">
      <c r="A423" s="770"/>
      <c r="B423" s="767"/>
      <c r="C423" s="761"/>
      <c r="D423" s="769"/>
      <c r="E423" s="769"/>
      <c r="F423" s="208"/>
      <c r="G423" s="763"/>
      <c r="H423" s="744"/>
      <c r="I423" s="765"/>
      <c r="J423" s="730"/>
      <c r="K423" s="761"/>
      <c r="L423" s="761"/>
      <c r="M423" s="730"/>
      <c r="N423" s="730"/>
      <c r="V423" s="194" t="str">
        <f t="array" ref="V423">IFERROR(IF(INDEX('Disaggregation Records'!$I$69:$I$152,MATCH(RIGHT(Q423,255),RIGHT('Disaggregation Records'!$D$69:$D$152,255),0))="","",INDEX('Disaggregation Records'!$I$69:$I$152,MATCH(RIGHT(Q423,255),RIGHT('Disaggregation Records'!$D$69:$D$152,255),0))),"")</f>
        <v/>
      </c>
    </row>
    <row r="424" spans="1:23" s="194" customFormat="1" ht="40.4" customHeight="1" x14ac:dyDescent="0.35">
      <c r="A424" s="770" t="str">
        <f ca="1">INDIRECT("'update Helper'!C"&amp;U424)</f>
        <v>a1V3p000006jwBGEAY</v>
      </c>
      <c r="B424" s="766">
        <v>6</v>
      </c>
      <c r="C424" s="760" t="str">
        <f>IFERROR(VLOOKUP(B424,'Outcome Indicators - Section C '!$A$9:$AF$70,32,FALSE),"")</f>
        <v/>
      </c>
      <c r="D424" s="768" t="str">
        <f>R424</f>
        <v/>
      </c>
      <c r="E424" s="768" t="str">
        <f>S424</f>
        <v/>
      </c>
      <c r="F424" s="413"/>
      <c r="G424" s="762" t="str">
        <f ca="1">IF(OR(INDIRECT("'update Helper'!E"&amp;U424)="",F424&lt;&gt;0,F425&lt;&gt;0),IF(IFERROR((F424/F425),"")="","",(F424/F425)),INDIRECT("'update Helper'!E"&amp;U424)/100)</f>
        <v/>
      </c>
      <c r="H424" s="743"/>
      <c r="I424" s="764"/>
      <c r="J424" s="729"/>
      <c r="K424" s="760" t="str">
        <f>W424</f>
        <v/>
      </c>
      <c r="L424" s="760" t="str">
        <f>V424</f>
        <v/>
      </c>
      <c r="M424" s="729"/>
      <c r="N424" s="729"/>
      <c r="P424" s="194">
        <f>IF(AND(EXACT(C424,C422),C422&lt;&gt;0),P422+1,0)</f>
        <v>4</v>
      </c>
      <c r="Q424" s="194" t="str">
        <f>IF(C424&lt;&gt;"",C424&amp;"-"&amp;P424,"")</f>
        <v/>
      </c>
      <c r="R424" s="194" t="str">
        <f t="array" ref="R424">IFERROR(IF(INDEX('Disaggregation Records'!$E$69:$E$152,MATCH(RIGHT(Q424,255),RIGHT('Disaggregation Records'!$D$69:$D$152,255),0))="","",INDEX('Disaggregation Records'!$E$69:$E$152,MATCH(RIGHT(Q424,255),RIGHT('Disaggregation Records'!$D$69:$D$152,255),0))),"")</f>
        <v/>
      </c>
      <c r="S424" s="194" t="str">
        <f t="array" ref="S424">IFERROR(IF(INDEX('Disaggregation Records'!$F$69:$F$152,MATCH(RIGHT(Q424,255),RIGHT('Disaggregation Records'!$D$69:$D$152,255),0))="","",INDEX('Disaggregation Records'!$F$69:$F$152,MATCH(RIGHT(Q424,255),RIGHT('Disaggregation Records'!$D$69:$D$152,255),0))),"")</f>
        <v/>
      </c>
      <c r="T424" s="194" t="str">
        <f t="array" ref="T424">IFERROR(IF(INDEX('Disaggregation Records'!$H$69:$H$152,MATCH(RIGHT(Q424,255),RIGHT('Disaggregation Records'!$D$69:$D$152,255),0))="","",INDEX('Disaggregation Records'!$H$69:$H$152,MATCH(RIGHT(Q424,255),RIGHT('Disaggregation Records'!$D$69:$D$152,255),0))),"")</f>
        <v/>
      </c>
      <c r="U424" s="194">
        <f>U422+1</f>
        <v>1721</v>
      </c>
      <c r="V424" s="194" t="str">
        <f t="array" ref="V424">IFERROR(IF(INDEX('Disaggregation Records'!$I$69:$I$152,MATCH(RIGHT(Q424,255),RIGHT('Disaggregation Records'!$D$69:$D$152,255),0))="","",INDEX('Disaggregation Records'!$I$69:$I$152,MATCH(RIGHT(Q424,255),RIGHT('Disaggregation Records'!$D$69:$D$152,255),0))),"")</f>
        <v/>
      </c>
      <c r="W424" s="194" t="str">
        <f>IFERROR(INDEX('Reference Records'!P$23:P$74,MATCH(LEFT(C424,255),'Reference Records'!J$23:J$74,0)),"")</f>
        <v/>
      </c>
    </row>
    <row r="425" spans="1:23" s="194" customFormat="1" ht="40.4" customHeight="1" x14ac:dyDescent="0.35">
      <c r="A425" s="770"/>
      <c r="B425" s="767"/>
      <c r="C425" s="761"/>
      <c r="D425" s="769"/>
      <c r="E425" s="769"/>
      <c r="F425" s="208"/>
      <c r="G425" s="763"/>
      <c r="H425" s="744"/>
      <c r="I425" s="765"/>
      <c r="J425" s="730"/>
      <c r="K425" s="761"/>
      <c r="L425" s="761"/>
      <c r="M425" s="730"/>
      <c r="N425" s="730"/>
      <c r="V425" s="194" t="str">
        <f t="array" ref="V425">IFERROR(IF(INDEX('Disaggregation Records'!$I$69:$I$152,MATCH(RIGHT(Q425,255),RIGHT('Disaggregation Records'!$D$69:$D$152,255),0))="","",INDEX('Disaggregation Records'!$I$69:$I$152,MATCH(RIGHT(Q425,255),RIGHT('Disaggregation Records'!$D$69:$D$152,255),0))),"")</f>
        <v/>
      </c>
    </row>
    <row r="426" spans="1:23" s="194" customFormat="1" ht="40.4" customHeight="1" x14ac:dyDescent="0.35">
      <c r="A426" s="770" t="str">
        <f ca="1">INDIRECT("'update Helper'!C"&amp;U426)</f>
        <v>a1V3p000006jwBHEAY</v>
      </c>
      <c r="B426" s="766">
        <v>6</v>
      </c>
      <c r="C426" s="760" t="str">
        <f>IFERROR(VLOOKUP(B426,'Outcome Indicators - Section C '!$A$9:$AF$70,32,FALSE),"")</f>
        <v/>
      </c>
      <c r="D426" s="768" t="str">
        <f>R426</f>
        <v/>
      </c>
      <c r="E426" s="768" t="str">
        <f>S426</f>
        <v/>
      </c>
      <c r="F426" s="413"/>
      <c r="G426" s="762" t="str">
        <f ca="1">IF(OR(INDIRECT("'update Helper'!E"&amp;U426)="",F426&lt;&gt;0,F427&lt;&gt;0),IF(IFERROR((F426/F427),"")="","",(F426/F427)),INDIRECT("'update Helper'!E"&amp;U426)/100)</f>
        <v/>
      </c>
      <c r="H426" s="743"/>
      <c r="I426" s="764"/>
      <c r="J426" s="729"/>
      <c r="K426" s="760" t="str">
        <f>W426</f>
        <v/>
      </c>
      <c r="L426" s="760" t="str">
        <f>V426</f>
        <v/>
      </c>
      <c r="M426" s="729"/>
      <c r="N426" s="729"/>
      <c r="P426" s="194">
        <f>IF(AND(EXACT(C426,C424),C424&lt;&gt;0),P424+1,0)</f>
        <v>5</v>
      </c>
      <c r="Q426" s="194" t="str">
        <f>IF(C426&lt;&gt;"",C426&amp;"-"&amp;P426,"")</f>
        <v/>
      </c>
      <c r="R426" s="194" t="str">
        <f t="array" ref="R426">IFERROR(IF(INDEX('Disaggregation Records'!$E$69:$E$152,MATCH(RIGHT(Q426,255),RIGHT('Disaggregation Records'!$D$69:$D$152,255),0))="","",INDEX('Disaggregation Records'!$E$69:$E$152,MATCH(RIGHT(Q426,255),RIGHT('Disaggregation Records'!$D$69:$D$152,255),0))),"")</f>
        <v/>
      </c>
      <c r="S426" s="194" t="str">
        <f t="array" ref="S426">IFERROR(IF(INDEX('Disaggregation Records'!$F$69:$F$152,MATCH(RIGHT(Q426,255),RIGHT('Disaggregation Records'!$D$69:$D$152,255),0))="","",INDEX('Disaggregation Records'!$F$69:$F$152,MATCH(RIGHT(Q426,255),RIGHT('Disaggregation Records'!$D$69:$D$152,255),0))),"")</f>
        <v/>
      </c>
      <c r="T426" s="194" t="str">
        <f t="array" ref="T426">IFERROR(IF(INDEX('Disaggregation Records'!$H$69:$H$152,MATCH(RIGHT(Q426,255),RIGHT('Disaggregation Records'!$D$69:$D$152,255),0))="","",INDEX('Disaggregation Records'!$H$69:$H$152,MATCH(RIGHT(Q426,255),RIGHT('Disaggregation Records'!$D$69:$D$152,255),0))),"")</f>
        <v/>
      </c>
      <c r="U426" s="194">
        <f>U424+1</f>
        <v>1722</v>
      </c>
      <c r="V426" s="194" t="str">
        <f t="array" ref="V426">IFERROR(IF(INDEX('Disaggregation Records'!$I$69:$I$152,MATCH(RIGHT(Q426,255),RIGHT('Disaggregation Records'!$D$69:$D$152,255),0))="","",INDEX('Disaggregation Records'!$I$69:$I$152,MATCH(RIGHT(Q426,255),RIGHT('Disaggregation Records'!$D$69:$D$152,255),0))),"")</f>
        <v/>
      </c>
      <c r="W426" s="194" t="str">
        <f>IFERROR(INDEX('Reference Records'!P$23:P$74,MATCH(LEFT(C426,255),'Reference Records'!J$23:J$74,0)),"")</f>
        <v/>
      </c>
    </row>
    <row r="427" spans="1:23" s="194" customFormat="1" ht="40.4" customHeight="1" x14ac:dyDescent="0.35">
      <c r="A427" s="770"/>
      <c r="B427" s="767"/>
      <c r="C427" s="761"/>
      <c r="D427" s="769"/>
      <c r="E427" s="769"/>
      <c r="F427" s="208"/>
      <c r="G427" s="763"/>
      <c r="H427" s="744"/>
      <c r="I427" s="765"/>
      <c r="J427" s="730"/>
      <c r="K427" s="761"/>
      <c r="L427" s="761"/>
      <c r="M427" s="730"/>
      <c r="N427" s="730"/>
      <c r="V427" s="194" t="str">
        <f t="array" ref="V427">IFERROR(IF(INDEX('Disaggregation Records'!$I$69:$I$152,MATCH(RIGHT(Q427,255),RIGHT('Disaggregation Records'!$D$69:$D$152,255),0))="","",INDEX('Disaggregation Records'!$I$69:$I$152,MATCH(RIGHT(Q427,255),RIGHT('Disaggregation Records'!$D$69:$D$152,255),0))),"")</f>
        <v/>
      </c>
    </row>
    <row r="428" spans="1:23" s="194" customFormat="1" ht="40.4" customHeight="1" x14ac:dyDescent="0.35">
      <c r="A428" s="770" t="str">
        <f ca="1">INDIRECT("'update Helper'!C"&amp;U428)</f>
        <v>a1V3p000006jwBIEAY</v>
      </c>
      <c r="B428" s="766">
        <v>6</v>
      </c>
      <c r="C428" s="760" t="str">
        <f>IFERROR(VLOOKUP(B428,'Outcome Indicators - Section C '!$A$9:$AF$70,32,FALSE),"")</f>
        <v/>
      </c>
      <c r="D428" s="768" t="str">
        <f>R428</f>
        <v/>
      </c>
      <c r="E428" s="768" t="str">
        <f>S428</f>
        <v/>
      </c>
      <c r="F428" s="413"/>
      <c r="G428" s="762" t="str">
        <f ca="1">IF(OR(INDIRECT("'update Helper'!E"&amp;U428)="",F428&lt;&gt;0,F429&lt;&gt;0),IF(IFERROR((F428/F429),"")="","",(F428/F429)),INDIRECT("'update Helper'!E"&amp;U428)/100)</f>
        <v/>
      </c>
      <c r="H428" s="743"/>
      <c r="I428" s="764"/>
      <c r="J428" s="729"/>
      <c r="K428" s="760" t="str">
        <f>W428</f>
        <v/>
      </c>
      <c r="L428" s="760" t="str">
        <f>V428</f>
        <v/>
      </c>
      <c r="M428" s="729"/>
      <c r="N428" s="729"/>
      <c r="P428" s="194">
        <f>IF(AND(EXACT(C428,C426),C426&lt;&gt;0),P426+1,0)</f>
        <v>6</v>
      </c>
      <c r="Q428" s="194" t="str">
        <f>IF(C428&lt;&gt;"",C428&amp;"-"&amp;P428,"")</f>
        <v/>
      </c>
      <c r="R428" s="194" t="str">
        <f t="array" ref="R428">IFERROR(IF(INDEX('Disaggregation Records'!$E$69:$E$152,MATCH(RIGHT(Q428,255),RIGHT('Disaggregation Records'!$D$69:$D$152,255),0))="","",INDEX('Disaggregation Records'!$E$69:$E$152,MATCH(RIGHT(Q428,255),RIGHT('Disaggregation Records'!$D$69:$D$152,255),0))),"")</f>
        <v/>
      </c>
      <c r="S428" s="194" t="str">
        <f t="array" ref="S428">IFERROR(IF(INDEX('Disaggregation Records'!$F$69:$F$152,MATCH(RIGHT(Q428,255),RIGHT('Disaggregation Records'!$D$69:$D$152,255),0))="","",INDEX('Disaggregation Records'!$F$69:$F$152,MATCH(RIGHT(Q428,255),RIGHT('Disaggregation Records'!$D$69:$D$152,255),0))),"")</f>
        <v/>
      </c>
      <c r="T428" s="194" t="str">
        <f t="array" ref="T428">IFERROR(IF(INDEX('Disaggregation Records'!$H$69:$H$152,MATCH(RIGHT(Q428,255),RIGHT('Disaggregation Records'!$D$69:$D$152,255),0))="","",INDEX('Disaggregation Records'!$H$69:$H$152,MATCH(RIGHT(Q428,255),RIGHT('Disaggregation Records'!$D$69:$D$152,255),0))),"")</f>
        <v/>
      </c>
      <c r="U428" s="194">
        <f>U426+1</f>
        <v>1723</v>
      </c>
      <c r="V428" s="194" t="str">
        <f t="array" ref="V428">IFERROR(IF(INDEX('Disaggregation Records'!$I$69:$I$152,MATCH(RIGHT(Q428,255),RIGHT('Disaggregation Records'!$D$69:$D$152,255),0))="","",INDEX('Disaggregation Records'!$I$69:$I$152,MATCH(RIGHT(Q428,255),RIGHT('Disaggregation Records'!$D$69:$D$152,255),0))),"")</f>
        <v/>
      </c>
      <c r="W428" s="194" t="str">
        <f>IFERROR(INDEX('Reference Records'!P$23:P$74,MATCH(LEFT(C428,255),'Reference Records'!J$23:J$74,0)),"")</f>
        <v/>
      </c>
    </row>
    <row r="429" spans="1:23" s="194" customFormat="1" ht="40.4" customHeight="1" x14ac:dyDescent="0.35">
      <c r="A429" s="770"/>
      <c r="B429" s="767"/>
      <c r="C429" s="761"/>
      <c r="D429" s="769"/>
      <c r="E429" s="769"/>
      <c r="F429" s="208"/>
      <c r="G429" s="763"/>
      <c r="H429" s="744"/>
      <c r="I429" s="765"/>
      <c r="J429" s="730"/>
      <c r="K429" s="761"/>
      <c r="L429" s="761"/>
      <c r="M429" s="730"/>
      <c r="N429" s="730"/>
      <c r="V429" s="194" t="str">
        <f t="array" ref="V429">IFERROR(IF(INDEX('Disaggregation Records'!$I$69:$I$152,MATCH(RIGHT(Q429,255),RIGHT('Disaggregation Records'!$D$69:$D$152,255),0))="","",INDEX('Disaggregation Records'!$I$69:$I$152,MATCH(RIGHT(Q429,255),RIGHT('Disaggregation Records'!$D$69:$D$152,255),0))),"")</f>
        <v/>
      </c>
    </row>
    <row r="430" spans="1:23" s="194" customFormat="1" ht="40.4" customHeight="1" x14ac:dyDescent="0.35">
      <c r="A430" s="770" t="str">
        <f ca="1">INDIRECT("'update Helper'!C"&amp;U430)</f>
        <v>a1V3p000006jwBJEAY</v>
      </c>
      <c r="B430" s="766">
        <v>6</v>
      </c>
      <c r="C430" s="760" t="str">
        <f>IFERROR(VLOOKUP(B430,'Outcome Indicators - Section C '!$A$9:$AF$70,32,FALSE),"")</f>
        <v/>
      </c>
      <c r="D430" s="768" t="str">
        <f>R430</f>
        <v/>
      </c>
      <c r="E430" s="768" t="str">
        <f>S430</f>
        <v/>
      </c>
      <c r="F430" s="413"/>
      <c r="G430" s="762" t="str">
        <f ca="1">IF(OR(INDIRECT("'update Helper'!E"&amp;U430)="",F430&lt;&gt;0,F431&lt;&gt;0),IF(IFERROR((F430/F431),"")="","",(F430/F431)),INDIRECT("'update Helper'!E"&amp;U430)/100)</f>
        <v/>
      </c>
      <c r="H430" s="743"/>
      <c r="I430" s="764"/>
      <c r="J430" s="729"/>
      <c r="K430" s="760" t="str">
        <f>W430</f>
        <v/>
      </c>
      <c r="L430" s="760" t="str">
        <f>V430</f>
        <v/>
      </c>
      <c r="M430" s="729"/>
      <c r="N430" s="729"/>
      <c r="P430" s="194">
        <f>IF(AND(EXACT(C430,C428),C428&lt;&gt;0),P428+1,0)</f>
        <v>7</v>
      </c>
      <c r="Q430" s="194" t="str">
        <f>IF(C430&lt;&gt;"",C430&amp;"-"&amp;P430,"")</f>
        <v/>
      </c>
      <c r="R430" s="194" t="str">
        <f t="array" ref="R430">IFERROR(IF(INDEX('Disaggregation Records'!$E$69:$E$152,MATCH(RIGHT(Q430,255),RIGHT('Disaggregation Records'!$D$69:$D$152,255),0))="","",INDEX('Disaggregation Records'!$E$69:$E$152,MATCH(RIGHT(Q430,255),RIGHT('Disaggregation Records'!$D$69:$D$152,255),0))),"")</f>
        <v/>
      </c>
      <c r="S430" s="194" t="str">
        <f t="array" ref="S430">IFERROR(IF(INDEX('Disaggregation Records'!$F$69:$F$152,MATCH(RIGHT(Q430,255),RIGHT('Disaggregation Records'!$D$69:$D$152,255),0))="","",INDEX('Disaggregation Records'!$F$69:$F$152,MATCH(RIGHT(Q430,255),RIGHT('Disaggregation Records'!$D$69:$D$152,255),0))),"")</f>
        <v/>
      </c>
      <c r="T430" s="194" t="str">
        <f t="array" ref="T430">IFERROR(IF(INDEX('Disaggregation Records'!$H$69:$H$152,MATCH(RIGHT(Q430,255),RIGHT('Disaggregation Records'!$D$69:$D$152,255),0))="","",INDEX('Disaggregation Records'!$H$69:$H$152,MATCH(RIGHT(Q430,255),RIGHT('Disaggregation Records'!$D$69:$D$152,255),0))),"")</f>
        <v/>
      </c>
      <c r="U430" s="194">
        <f>U428+1</f>
        <v>1724</v>
      </c>
      <c r="V430" s="194" t="str">
        <f t="array" ref="V430">IFERROR(IF(INDEX('Disaggregation Records'!$I$69:$I$152,MATCH(RIGHT(Q430,255),RIGHT('Disaggregation Records'!$D$69:$D$152,255),0))="","",INDEX('Disaggregation Records'!$I$69:$I$152,MATCH(RIGHT(Q430,255),RIGHT('Disaggregation Records'!$D$69:$D$152,255),0))),"")</f>
        <v/>
      </c>
      <c r="W430" s="194" t="str">
        <f>IFERROR(INDEX('Reference Records'!P$23:P$74,MATCH(LEFT(C430,255),'Reference Records'!J$23:J$74,0)),"")</f>
        <v/>
      </c>
    </row>
    <row r="431" spans="1:23" s="194" customFormat="1" ht="40.4" customHeight="1" x14ac:dyDescent="0.35">
      <c r="A431" s="770"/>
      <c r="B431" s="767"/>
      <c r="C431" s="761"/>
      <c r="D431" s="769"/>
      <c r="E431" s="769"/>
      <c r="F431" s="208"/>
      <c r="G431" s="763"/>
      <c r="H431" s="744"/>
      <c r="I431" s="765"/>
      <c r="J431" s="730"/>
      <c r="K431" s="761"/>
      <c r="L431" s="761"/>
      <c r="M431" s="730"/>
      <c r="N431" s="730"/>
      <c r="V431" s="194" t="str">
        <f t="array" ref="V431">IFERROR(IF(INDEX('Disaggregation Records'!$I$69:$I$152,MATCH(RIGHT(Q431,255),RIGHT('Disaggregation Records'!$D$69:$D$152,255),0))="","",INDEX('Disaggregation Records'!$I$69:$I$152,MATCH(RIGHT(Q431,255),RIGHT('Disaggregation Records'!$D$69:$D$152,255),0))),"")</f>
        <v/>
      </c>
    </row>
    <row r="432" spans="1:23" s="194" customFormat="1" ht="40.4" customHeight="1" x14ac:dyDescent="0.35">
      <c r="A432" s="770" t="str">
        <f ca="1">INDIRECT("'update Helper'!C"&amp;U432)</f>
        <v>a1V3p000006jwBKEAY</v>
      </c>
      <c r="B432" s="766">
        <v>6</v>
      </c>
      <c r="C432" s="760" t="str">
        <f>IFERROR(VLOOKUP(B432,'Outcome Indicators - Section C '!$A$9:$AF$70,32,FALSE),"")</f>
        <v/>
      </c>
      <c r="D432" s="768" t="str">
        <f>R432</f>
        <v/>
      </c>
      <c r="E432" s="768" t="str">
        <f>S432</f>
        <v/>
      </c>
      <c r="F432" s="413"/>
      <c r="G432" s="762" t="str">
        <f ca="1">IF(OR(INDIRECT("'update Helper'!E"&amp;U432)="",F432&lt;&gt;0,F433&lt;&gt;0),IF(IFERROR((F432/F433),"")="","",(F432/F433)),INDIRECT("'update Helper'!E"&amp;U432)/100)</f>
        <v/>
      </c>
      <c r="H432" s="743"/>
      <c r="I432" s="764"/>
      <c r="J432" s="729"/>
      <c r="K432" s="760" t="str">
        <f>W432</f>
        <v/>
      </c>
      <c r="L432" s="760" t="str">
        <f>V432</f>
        <v/>
      </c>
      <c r="M432" s="729"/>
      <c r="N432" s="729"/>
      <c r="P432" s="194">
        <f>IF(AND(EXACT(C432,C430),C430&lt;&gt;0),P430+1,0)</f>
        <v>8</v>
      </c>
      <c r="Q432" s="194" t="str">
        <f>IF(C432&lt;&gt;"",C432&amp;"-"&amp;P432,"")</f>
        <v/>
      </c>
      <c r="R432" s="194" t="str">
        <f t="array" ref="R432">IFERROR(IF(INDEX('Disaggregation Records'!$E$69:$E$152,MATCH(RIGHT(Q432,255),RIGHT('Disaggregation Records'!$D$69:$D$152,255),0))="","",INDEX('Disaggregation Records'!$E$69:$E$152,MATCH(RIGHT(Q432,255),RIGHT('Disaggregation Records'!$D$69:$D$152,255),0))),"")</f>
        <v/>
      </c>
      <c r="S432" s="194" t="str">
        <f t="array" ref="S432">IFERROR(IF(INDEX('Disaggregation Records'!$F$69:$F$152,MATCH(RIGHT(Q432,255),RIGHT('Disaggregation Records'!$D$69:$D$152,255),0))="","",INDEX('Disaggregation Records'!$F$69:$F$152,MATCH(RIGHT(Q432,255),RIGHT('Disaggregation Records'!$D$69:$D$152,255),0))),"")</f>
        <v/>
      </c>
      <c r="T432" s="194" t="str">
        <f t="array" ref="T432">IFERROR(IF(INDEX('Disaggregation Records'!$H$69:$H$152,MATCH(RIGHT(Q432,255),RIGHT('Disaggregation Records'!$D$69:$D$152,255),0))="","",INDEX('Disaggregation Records'!$H$69:$H$152,MATCH(RIGHT(Q432,255),RIGHT('Disaggregation Records'!$D$69:$D$152,255),0))),"")</f>
        <v/>
      </c>
      <c r="U432" s="194">
        <f>U430+1</f>
        <v>1725</v>
      </c>
      <c r="V432" s="194" t="str">
        <f t="array" ref="V432">IFERROR(IF(INDEX('Disaggregation Records'!$I$69:$I$152,MATCH(RIGHT(Q432,255),RIGHT('Disaggregation Records'!$D$69:$D$152,255),0))="","",INDEX('Disaggregation Records'!$I$69:$I$152,MATCH(RIGHT(Q432,255),RIGHT('Disaggregation Records'!$D$69:$D$152,255),0))),"")</f>
        <v/>
      </c>
      <c r="W432" s="194" t="str">
        <f>IFERROR(INDEX('Reference Records'!P$23:P$74,MATCH(LEFT(C432,255),'Reference Records'!J$23:J$74,0)),"")</f>
        <v/>
      </c>
    </row>
    <row r="433" spans="1:23" s="194" customFormat="1" ht="40.4" customHeight="1" x14ac:dyDescent="0.35">
      <c r="A433" s="770"/>
      <c r="B433" s="767"/>
      <c r="C433" s="761"/>
      <c r="D433" s="769"/>
      <c r="E433" s="769"/>
      <c r="F433" s="208"/>
      <c r="G433" s="763"/>
      <c r="H433" s="744"/>
      <c r="I433" s="765"/>
      <c r="J433" s="730"/>
      <c r="K433" s="761"/>
      <c r="L433" s="761"/>
      <c r="M433" s="730"/>
      <c r="N433" s="730"/>
      <c r="V433" s="194" t="str">
        <f t="array" ref="V433">IFERROR(IF(INDEX('Disaggregation Records'!$I$69:$I$152,MATCH(RIGHT(Q433,255),RIGHT('Disaggregation Records'!$D$69:$D$152,255),0))="","",INDEX('Disaggregation Records'!$I$69:$I$152,MATCH(RIGHT(Q433,255),RIGHT('Disaggregation Records'!$D$69:$D$152,255),0))),"")</f>
        <v/>
      </c>
    </row>
    <row r="434" spans="1:23" s="194" customFormat="1" ht="40.4" customHeight="1" x14ac:dyDescent="0.35">
      <c r="A434" s="770" t="str">
        <f ca="1">INDIRECT("'update Helper'!C"&amp;U434)</f>
        <v>a1V3p000006jwBLEAY</v>
      </c>
      <c r="B434" s="766">
        <v>6</v>
      </c>
      <c r="C434" s="760" t="str">
        <f>IFERROR(VLOOKUP(B434,'Outcome Indicators - Section C '!$A$9:$AF$70,32,FALSE),"")</f>
        <v/>
      </c>
      <c r="D434" s="768" t="str">
        <f>R434</f>
        <v/>
      </c>
      <c r="E434" s="768" t="str">
        <f>S434</f>
        <v/>
      </c>
      <c r="F434" s="413"/>
      <c r="G434" s="762" t="str">
        <f ca="1">IF(OR(INDIRECT("'update Helper'!E"&amp;U434)="",F434&lt;&gt;0,F435&lt;&gt;0),IF(IFERROR((F434/F435),"")="","",(F434/F435)),INDIRECT("'update Helper'!E"&amp;U434)/100)</f>
        <v/>
      </c>
      <c r="H434" s="743"/>
      <c r="I434" s="764"/>
      <c r="J434" s="729"/>
      <c r="K434" s="760" t="str">
        <f>W434</f>
        <v/>
      </c>
      <c r="L434" s="760" t="str">
        <f>V434</f>
        <v/>
      </c>
      <c r="M434" s="729"/>
      <c r="N434" s="729"/>
      <c r="P434" s="194">
        <f>IF(AND(EXACT(C434,C432),C432&lt;&gt;0),P432+1,0)</f>
        <v>9</v>
      </c>
      <c r="Q434" s="194" t="str">
        <f>IF(C434&lt;&gt;"",C434&amp;"-"&amp;P434,"")</f>
        <v/>
      </c>
      <c r="R434" s="194" t="str">
        <f t="array" ref="R434">IFERROR(IF(INDEX('Disaggregation Records'!$E$69:$E$152,MATCH(RIGHT(Q434,255),RIGHT('Disaggregation Records'!$D$69:$D$152,255),0))="","",INDEX('Disaggregation Records'!$E$69:$E$152,MATCH(RIGHT(Q434,255),RIGHT('Disaggregation Records'!$D$69:$D$152,255),0))),"")</f>
        <v/>
      </c>
      <c r="S434" s="194" t="str">
        <f t="array" ref="S434">IFERROR(IF(INDEX('Disaggregation Records'!$F$69:$F$152,MATCH(RIGHT(Q434,255),RIGHT('Disaggregation Records'!$D$69:$D$152,255),0))="","",INDEX('Disaggregation Records'!$F$69:$F$152,MATCH(RIGHT(Q434,255),RIGHT('Disaggregation Records'!$D$69:$D$152,255),0))),"")</f>
        <v/>
      </c>
      <c r="T434" s="194" t="str">
        <f t="array" ref="T434">IFERROR(IF(INDEX('Disaggregation Records'!$H$69:$H$152,MATCH(RIGHT(Q434,255),RIGHT('Disaggregation Records'!$D$69:$D$152,255),0))="","",INDEX('Disaggregation Records'!$H$69:$H$152,MATCH(RIGHT(Q434,255),RIGHT('Disaggregation Records'!$D$69:$D$152,255),0))),"")</f>
        <v/>
      </c>
      <c r="U434" s="194">
        <f>U432+1</f>
        <v>1726</v>
      </c>
      <c r="V434" s="194" t="str">
        <f t="array" ref="V434">IFERROR(IF(INDEX('Disaggregation Records'!$I$69:$I$152,MATCH(RIGHT(Q434,255),RIGHT('Disaggregation Records'!$D$69:$D$152,255),0))="","",INDEX('Disaggregation Records'!$I$69:$I$152,MATCH(RIGHT(Q434,255),RIGHT('Disaggregation Records'!$D$69:$D$152,255),0))),"")</f>
        <v/>
      </c>
      <c r="W434" s="194" t="str">
        <f>IFERROR(INDEX('Reference Records'!P$23:P$74,MATCH(LEFT(C434,255),'Reference Records'!J$23:J$74,0)),"")</f>
        <v/>
      </c>
    </row>
    <row r="435" spans="1:23" s="194" customFormat="1" ht="40.4" customHeight="1" x14ac:dyDescent="0.35">
      <c r="A435" s="770"/>
      <c r="B435" s="767"/>
      <c r="C435" s="761"/>
      <c r="D435" s="769"/>
      <c r="E435" s="769"/>
      <c r="F435" s="208"/>
      <c r="G435" s="763"/>
      <c r="H435" s="744"/>
      <c r="I435" s="765"/>
      <c r="J435" s="730"/>
      <c r="K435" s="761"/>
      <c r="L435" s="761"/>
      <c r="M435" s="730"/>
      <c r="N435" s="730"/>
      <c r="V435" s="194" t="str">
        <f t="array" ref="V435">IFERROR(IF(INDEX('Disaggregation Records'!$I$69:$I$152,MATCH(RIGHT(Q435,255),RIGHT('Disaggregation Records'!$D$69:$D$152,255),0))="","",INDEX('Disaggregation Records'!$I$69:$I$152,MATCH(RIGHT(Q435,255),RIGHT('Disaggregation Records'!$D$69:$D$152,255),0))),"")</f>
        <v/>
      </c>
    </row>
    <row r="436" spans="1:23" s="194" customFormat="1" ht="40.4" customHeight="1" x14ac:dyDescent="0.35">
      <c r="A436" s="770" t="str">
        <f ca="1">INDIRECT("'update Helper'!C"&amp;U436)</f>
        <v>a1V3p000006jw8wEAA</v>
      </c>
      <c r="B436" s="766">
        <v>7</v>
      </c>
      <c r="C436" s="760" t="str">
        <f>IFERROR(VLOOKUP(B436,'Outcome Indicators - Section C '!$A$9:$AF$70,32,FALSE),"")</f>
        <v/>
      </c>
      <c r="D436" s="768" t="str">
        <f>R436</f>
        <v/>
      </c>
      <c r="E436" s="768" t="str">
        <f>S436</f>
        <v/>
      </c>
      <c r="F436" s="413"/>
      <c r="G436" s="762" t="str">
        <f ca="1">IF(OR(INDIRECT("'update Helper'!E"&amp;U436)="",F436&lt;&gt;0,F437&lt;&gt;0),IF(IFERROR((F436/F437),"")="","",(F436/F437)),INDIRECT("'update Helper'!E"&amp;U436)/100)</f>
        <v/>
      </c>
      <c r="H436" s="743"/>
      <c r="I436" s="764"/>
      <c r="J436" s="729"/>
      <c r="K436" s="760" t="str">
        <f>W436</f>
        <v/>
      </c>
      <c r="L436" s="760" t="str">
        <f>V436</f>
        <v/>
      </c>
      <c r="M436" s="729"/>
      <c r="N436" s="729"/>
      <c r="P436" s="194">
        <f>IF(AND(EXACT(C436,C434),C434&lt;&gt;0),P434+1,0)</f>
        <v>10</v>
      </c>
      <c r="Q436" s="194" t="str">
        <f>IF(C436&lt;&gt;"",C436&amp;"-"&amp;P436,"")</f>
        <v/>
      </c>
      <c r="R436" s="194" t="str">
        <f t="array" ref="R436">IFERROR(IF(INDEX('Disaggregation Records'!$E$69:$E$152,MATCH(RIGHT(Q436,255),RIGHT('Disaggregation Records'!$D$69:$D$152,255),0))="","",INDEX('Disaggregation Records'!$E$69:$E$152,MATCH(RIGHT(Q436,255),RIGHT('Disaggregation Records'!$D$69:$D$152,255),0))),"")</f>
        <v/>
      </c>
      <c r="S436" s="194" t="str">
        <f t="array" ref="S436">IFERROR(IF(INDEX('Disaggregation Records'!$F$69:$F$152,MATCH(RIGHT(Q436,255),RIGHT('Disaggregation Records'!$D$69:$D$152,255),0))="","",INDEX('Disaggregation Records'!$F$69:$F$152,MATCH(RIGHT(Q436,255),RIGHT('Disaggregation Records'!$D$69:$D$152,255),0))),"")</f>
        <v/>
      </c>
      <c r="T436" s="194" t="str">
        <f t="array" ref="T436">IFERROR(IF(INDEX('Disaggregation Records'!$H$69:$H$152,MATCH(RIGHT(Q436,255),RIGHT('Disaggregation Records'!$D$69:$D$152,255),0))="","",INDEX('Disaggregation Records'!$H$69:$H$152,MATCH(RIGHT(Q436,255),RIGHT('Disaggregation Records'!$D$69:$D$152,255),0))),"")</f>
        <v/>
      </c>
      <c r="U436" s="194">
        <f>U434+1</f>
        <v>1727</v>
      </c>
      <c r="V436" s="194" t="str">
        <f t="array" ref="V436">IFERROR(IF(INDEX('Disaggregation Records'!$I$69:$I$152,MATCH(RIGHT(Q436,255),RIGHT('Disaggregation Records'!$D$69:$D$152,255),0))="","",INDEX('Disaggregation Records'!$I$69:$I$152,MATCH(RIGHT(Q436,255),RIGHT('Disaggregation Records'!$D$69:$D$152,255),0))),"")</f>
        <v/>
      </c>
      <c r="W436" s="194" t="str">
        <f>IFERROR(INDEX('Reference Records'!P$23:P$74,MATCH(LEFT(C436,255),'Reference Records'!J$23:J$74,0)),"")</f>
        <v/>
      </c>
    </row>
    <row r="437" spans="1:23" s="194" customFormat="1" ht="40.4" customHeight="1" x14ac:dyDescent="0.35">
      <c r="A437" s="770"/>
      <c r="B437" s="767"/>
      <c r="C437" s="761"/>
      <c r="D437" s="769"/>
      <c r="E437" s="769"/>
      <c r="F437" s="208"/>
      <c r="G437" s="763"/>
      <c r="H437" s="744"/>
      <c r="I437" s="765"/>
      <c r="J437" s="730"/>
      <c r="K437" s="761"/>
      <c r="L437" s="761"/>
      <c r="M437" s="730"/>
      <c r="N437" s="730"/>
      <c r="V437" s="194" t="str">
        <f t="array" ref="V437">IFERROR(IF(INDEX('Disaggregation Records'!$I$69:$I$152,MATCH(RIGHT(Q437,255),RIGHT('Disaggregation Records'!$D$69:$D$152,255),0))="","",INDEX('Disaggregation Records'!$I$69:$I$152,MATCH(RIGHT(Q437,255),RIGHT('Disaggregation Records'!$D$69:$D$152,255),0))),"")</f>
        <v/>
      </c>
    </row>
    <row r="438" spans="1:23" s="194" customFormat="1" ht="40.4" customHeight="1" x14ac:dyDescent="0.35">
      <c r="A438" s="770" t="str">
        <f ca="1">INDIRECT("'update Helper'!C"&amp;U438)</f>
        <v>a1V3p000006jw8xEAA</v>
      </c>
      <c r="B438" s="766">
        <v>7</v>
      </c>
      <c r="C438" s="760" t="str">
        <f>IFERROR(VLOOKUP(B438,'Outcome Indicators - Section C '!$A$9:$AF$70,32,FALSE),"")</f>
        <v/>
      </c>
      <c r="D438" s="768" t="str">
        <f>R438</f>
        <v/>
      </c>
      <c r="E438" s="768" t="str">
        <f>S438</f>
        <v/>
      </c>
      <c r="F438" s="413"/>
      <c r="G438" s="762" t="str">
        <f ca="1">IF(OR(INDIRECT("'update Helper'!E"&amp;U438)="",F438&lt;&gt;0,F439&lt;&gt;0),IF(IFERROR((F438/F439),"")="","",(F438/F439)),INDIRECT("'update Helper'!E"&amp;U438)/100)</f>
        <v/>
      </c>
      <c r="H438" s="743"/>
      <c r="I438" s="764"/>
      <c r="J438" s="729"/>
      <c r="K438" s="760" t="str">
        <f>W438</f>
        <v/>
      </c>
      <c r="L438" s="760" t="str">
        <f>V438</f>
        <v/>
      </c>
      <c r="M438" s="729"/>
      <c r="N438" s="729"/>
      <c r="P438" s="194">
        <f>IF(AND(EXACT(C438,C436),C436&lt;&gt;0),P436+1,0)</f>
        <v>11</v>
      </c>
      <c r="Q438" s="194" t="str">
        <f>IF(C438&lt;&gt;"",C438&amp;"-"&amp;P438,"")</f>
        <v/>
      </c>
      <c r="R438" s="194" t="str">
        <f t="array" ref="R438">IFERROR(IF(INDEX('Disaggregation Records'!$E$69:$E$152,MATCH(RIGHT(Q438,255),RIGHT('Disaggregation Records'!$D$69:$D$152,255),0))="","",INDEX('Disaggregation Records'!$E$69:$E$152,MATCH(RIGHT(Q438,255),RIGHT('Disaggregation Records'!$D$69:$D$152,255),0))),"")</f>
        <v/>
      </c>
      <c r="S438" s="194" t="str">
        <f t="array" ref="S438">IFERROR(IF(INDEX('Disaggregation Records'!$F$69:$F$152,MATCH(RIGHT(Q438,255),RIGHT('Disaggregation Records'!$D$69:$D$152,255),0))="","",INDEX('Disaggregation Records'!$F$69:$F$152,MATCH(RIGHT(Q438,255),RIGHT('Disaggregation Records'!$D$69:$D$152,255),0))),"")</f>
        <v/>
      </c>
      <c r="T438" s="194" t="str">
        <f t="array" ref="T438">IFERROR(IF(INDEX('Disaggregation Records'!$H$69:$H$152,MATCH(RIGHT(Q438,255),RIGHT('Disaggregation Records'!$D$69:$D$152,255),0))="","",INDEX('Disaggregation Records'!$H$69:$H$152,MATCH(RIGHT(Q438,255),RIGHT('Disaggregation Records'!$D$69:$D$152,255),0))),"")</f>
        <v/>
      </c>
      <c r="U438" s="194">
        <f>U436+1</f>
        <v>1728</v>
      </c>
      <c r="V438" s="194" t="str">
        <f t="array" ref="V438">IFERROR(IF(INDEX('Disaggregation Records'!$I$69:$I$152,MATCH(RIGHT(Q438,255),RIGHT('Disaggregation Records'!$D$69:$D$152,255),0))="","",INDEX('Disaggregation Records'!$I$69:$I$152,MATCH(RIGHT(Q438,255),RIGHT('Disaggregation Records'!$D$69:$D$152,255),0))),"")</f>
        <v/>
      </c>
      <c r="W438" s="194" t="str">
        <f>IFERROR(INDEX('Reference Records'!P$23:P$74,MATCH(LEFT(C438,255),'Reference Records'!J$23:J$74,0)),"")</f>
        <v/>
      </c>
    </row>
    <row r="439" spans="1:23" s="194" customFormat="1" ht="40.4" customHeight="1" x14ac:dyDescent="0.35">
      <c r="A439" s="770"/>
      <c r="B439" s="767"/>
      <c r="C439" s="761"/>
      <c r="D439" s="769"/>
      <c r="E439" s="769"/>
      <c r="F439" s="208"/>
      <c r="G439" s="763"/>
      <c r="H439" s="744"/>
      <c r="I439" s="765"/>
      <c r="J439" s="730"/>
      <c r="K439" s="761"/>
      <c r="L439" s="761"/>
      <c r="M439" s="730"/>
      <c r="N439" s="730"/>
      <c r="V439" s="194" t="str">
        <f t="array" ref="V439">IFERROR(IF(INDEX('Disaggregation Records'!$I$69:$I$152,MATCH(RIGHT(Q439,255),RIGHT('Disaggregation Records'!$D$69:$D$152,255),0))="","",INDEX('Disaggregation Records'!$I$69:$I$152,MATCH(RIGHT(Q439,255),RIGHT('Disaggregation Records'!$D$69:$D$152,255),0))),"")</f>
        <v/>
      </c>
    </row>
    <row r="440" spans="1:23" s="194" customFormat="1" ht="40.4" customHeight="1" x14ac:dyDescent="0.35">
      <c r="A440" s="770" t="str">
        <f ca="1">INDIRECT("'update Helper'!C"&amp;U440)</f>
        <v>a1V3p000006jw8yEAA</v>
      </c>
      <c r="B440" s="766">
        <v>7</v>
      </c>
      <c r="C440" s="760" t="str">
        <f>IFERROR(VLOOKUP(B440,'Outcome Indicators - Section C '!$A$9:$AF$70,32,FALSE),"")</f>
        <v/>
      </c>
      <c r="D440" s="768" t="str">
        <f>R440</f>
        <v/>
      </c>
      <c r="E440" s="768" t="str">
        <f>S440</f>
        <v/>
      </c>
      <c r="F440" s="413"/>
      <c r="G440" s="762" t="str">
        <f ca="1">IF(OR(INDIRECT("'update Helper'!E"&amp;U440)="",F440&lt;&gt;0,F441&lt;&gt;0),IF(IFERROR((F440/F441),"")="","",(F440/F441)),INDIRECT("'update Helper'!E"&amp;U440)/100)</f>
        <v/>
      </c>
      <c r="H440" s="743"/>
      <c r="I440" s="764"/>
      <c r="J440" s="729"/>
      <c r="K440" s="760" t="str">
        <f>W440</f>
        <v/>
      </c>
      <c r="L440" s="760" t="str">
        <f>V440</f>
        <v/>
      </c>
      <c r="M440" s="729"/>
      <c r="N440" s="729"/>
      <c r="P440" s="194">
        <f>IF(AND(EXACT(C440,C438),C438&lt;&gt;0),P438+1,0)</f>
        <v>12</v>
      </c>
      <c r="Q440" s="194" t="str">
        <f>IF(C440&lt;&gt;"",C440&amp;"-"&amp;P440,"")</f>
        <v/>
      </c>
      <c r="R440" s="194" t="str">
        <f t="array" ref="R440">IFERROR(IF(INDEX('Disaggregation Records'!$E$69:$E$152,MATCH(RIGHT(Q440,255),RIGHT('Disaggregation Records'!$D$69:$D$152,255),0))="","",INDEX('Disaggregation Records'!$E$69:$E$152,MATCH(RIGHT(Q440,255),RIGHT('Disaggregation Records'!$D$69:$D$152,255),0))),"")</f>
        <v/>
      </c>
      <c r="S440" s="194" t="str">
        <f t="array" ref="S440">IFERROR(IF(INDEX('Disaggregation Records'!$F$69:$F$152,MATCH(RIGHT(Q440,255),RIGHT('Disaggregation Records'!$D$69:$D$152,255),0))="","",INDEX('Disaggregation Records'!$F$69:$F$152,MATCH(RIGHT(Q440,255),RIGHT('Disaggregation Records'!$D$69:$D$152,255),0))),"")</f>
        <v/>
      </c>
      <c r="T440" s="194" t="str">
        <f t="array" ref="T440">IFERROR(IF(INDEX('Disaggregation Records'!$H$69:$H$152,MATCH(RIGHT(Q440,255),RIGHT('Disaggregation Records'!$D$69:$D$152,255),0))="","",INDEX('Disaggregation Records'!$H$69:$H$152,MATCH(RIGHT(Q440,255),RIGHT('Disaggregation Records'!$D$69:$D$152,255),0))),"")</f>
        <v/>
      </c>
      <c r="U440" s="194">
        <f>U438+1</f>
        <v>1729</v>
      </c>
      <c r="V440" s="194" t="str">
        <f t="array" ref="V440">IFERROR(IF(INDEX('Disaggregation Records'!$I$69:$I$152,MATCH(RIGHT(Q440,255),RIGHT('Disaggregation Records'!$D$69:$D$152,255),0))="","",INDEX('Disaggregation Records'!$I$69:$I$152,MATCH(RIGHT(Q440,255),RIGHT('Disaggregation Records'!$D$69:$D$152,255),0))),"")</f>
        <v/>
      </c>
      <c r="W440" s="194" t="str">
        <f>IFERROR(INDEX('Reference Records'!P$23:P$74,MATCH(LEFT(C440,255),'Reference Records'!J$23:J$74,0)),"")</f>
        <v/>
      </c>
    </row>
    <row r="441" spans="1:23" s="194" customFormat="1" ht="40.4" customHeight="1" x14ac:dyDescent="0.35">
      <c r="A441" s="770"/>
      <c r="B441" s="767"/>
      <c r="C441" s="761"/>
      <c r="D441" s="769"/>
      <c r="E441" s="769"/>
      <c r="F441" s="208"/>
      <c r="G441" s="763"/>
      <c r="H441" s="744"/>
      <c r="I441" s="765"/>
      <c r="J441" s="730"/>
      <c r="K441" s="761"/>
      <c r="L441" s="761"/>
      <c r="M441" s="730"/>
      <c r="N441" s="730"/>
      <c r="V441" s="194" t="str">
        <f t="array" ref="V441">IFERROR(IF(INDEX('Disaggregation Records'!$I$69:$I$152,MATCH(RIGHT(Q441,255),RIGHT('Disaggregation Records'!$D$69:$D$152,255),0))="","",INDEX('Disaggregation Records'!$I$69:$I$152,MATCH(RIGHT(Q441,255),RIGHT('Disaggregation Records'!$D$69:$D$152,255),0))),"")</f>
        <v/>
      </c>
    </row>
    <row r="442" spans="1:23" s="194" customFormat="1" ht="40.4" customHeight="1" x14ac:dyDescent="0.35">
      <c r="A442" s="770" t="str">
        <f ca="1">INDIRECT("'update Helper'!C"&amp;U442)</f>
        <v>a1V3p000006jw8zEAA</v>
      </c>
      <c r="B442" s="766">
        <v>7</v>
      </c>
      <c r="C442" s="760" t="str">
        <f>IFERROR(VLOOKUP(B442,'Outcome Indicators - Section C '!$A$9:$AF$70,32,FALSE),"")</f>
        <v/>
      </c>
      <c r="D442" s="768" t="str">
        <f>R442</f>
        <v/>
      </c>
      <c r="E442" s="768" t="str">
        <f>S442</f>
        <v/>
      </c>
      <c r="F442" s="413"/>
      <c r="G442" s="762" t="str">
        <f ca="1">IF(OR(INDIRECT("'update Helper'!E"&amp;U442)="",F442&lt;&gt;0,F443&lt;&gt;0),IF(IFERROR((F442/F443),"")="","",(F442/F443)),INDIRECT("'update Helper'!E"&amp;U442)/100)</f>
        <v/>
      </c>
      <c r="H442" s="743"/>
      <c r="I442" s="764"/>
      <c r="J442" s="729"/>
      <c r="K442" s="760" t="str">
        <f>W442</f>
        <v/>
      </c>
      <c r="L442" s="760" t="str">
        <f>V442</f>
        <v/>
      </c>
      <c r="M442" s="729"/>
      <c r="N442" s="729"/>
      <c r="P442" s="194">
        <f>IF(AND(EXACT(C442,C440),C440&lt;&gt;0),P440+1,0)</f>
        <v>13</v>
      </c>
      <c r="Q442" s="194" t="str">
        <f>IF(C442&lt;&gt;"",C442&amp;"-"&amp;P442,"")</f>
        <v/>
      </c>
      <c r="R442" s="194" t="str">
        <f t="array" ref="R442">IFERROR(IF(INDEX('Disaggregation Records'!$E$69:$E$152,MATCH(RIGHT(Q442,255),RIGHT('Disaggregation Records'!$D$69:$D$152,255),0))="","",INDEX('Disaggregation Records'!$E$69:$E$152,MATCH(RIGHT(Q442,255),RIGHT('Disaggregation Records'!$D$69:$D$152,255),0))),"")</f>
        <v/>
      </c>
      <c r="S442" s="194" t="str">
        <f t="array" ref="S442">IFERROR(IF(INDEX('Disaggregation Records'!$F$69:$F$152,MATCH(RIGHT(Q442,255),RIGHT('Disaggregation Records'!$D$69:$D$152,255),0))="","",INDEX('Disaggregation Records'!$F$69:$F$152,MATCH(RIGHT(Q442,255),RIGHT('Disaggregation Records'!$D$69:$D$152,255),0))),"")</f>
        <v/>
      </c>
      <c r="T442" s="194" t="str">
        <f t="array" ref="T442">IFERROR(IF(INDEX('Disaggregation Records'!$H$69:$H$152,MATCH(RIGHT(Q442,255),RIGHT('Disaggregation Records'!$D$69:$D$152,255),0))="","",INDEX('Disaggregation Records'!$H$69:$H$152,MATCH(RIGHT(Q442,255),RIGHT('Disaggregation Records'!$D$69:$D$152,255),0))),"")</f>
        <v/>
      </c>
      <c r="U442" s="194">
        <f>U440+1</f>
        <v>1730</v>
      </c>
      <c r="V442" s="194" t="str">
        <f t="array" ref="V442">IFERROR(IF(INDEX('Disaggregation Records'!$I$69:$I$152,MATCH(RIGHT(Q442,255),RIGHT('Disaggregation Records'!$D$69:$D$152,255),0))="","",INDEX('Disaggregation Records'!$I$69:$I$152,MATCH(RIGHT(Q442,255),RIGHT('Disaggregation Records'!$D$69:$D$152,255),0))),"")</f>
        <v/>
      </c>
      <c r="W442" s="194" t="str">
        <f>IFERROR(INDEX('Reference Records'!P$23:P$74,MATCH(LEFT(C442,255),'Reference Records'!J$23:J$74,0)),"")</f>
        <v/>
      </c>
    </row>
    <row r="443" spans="1:23" s="194" customFormat="1" ht="40.4" customHeight="1" x14ac:dyDescent="0.35">
      <c r="A443" s="770"/>
      <c r="B443" s="767"/>
      <c r="C443" s="761"/>
      <c r="D443" s="769"/>
      <c r="E443" s="769"/>
      <c r="F443" s="208"/>
      <c r="G443" s="763"/>
      <c r="H443" s="744"/>
      <c r="I443" s="765"/>
      <c r="J443" s="730"/>
      <c r="K443" s="761"/>
      <c r="L443" s="761"/>
      <c r="M443" s="730"/>
      <c r="N443" s="730"/>
      <c r="V443" s="194" t="str">
        <f t="array" ref="V443">IFERROR(IF(INDEX('Disaggregation Records'!$I$69:$I$152,MATCH(RIGHT(Q443,255),RIGHT('Disaggregation Records'!$D$69:$D$152,255),0))="","",INDEX('Disaggregation Records'!$I$69:$I$152,MATCH(RIGHT(Q443,255),RIGHT('Disaggregation Records'!$D$69:$D$152,255),0))),"")</f>
        <v/>
      </c>
    </row>
    <row r="444" spans="1:23" s="194" customFormat="1" ht="40.4" customHeight="1" x14ac:dyDescent="0.35">
      <c r="A444" s="770" t="str">
        <f ca="1">INDIRECT("'update Helper'!C"&amp;U444)</f>
        <v>a1V3p000006jw90EAA</v>
      </c>
      <c r="B444" s="766">
        <v>7</v>
      </c>
      <c r="C444" s="760" t="str">
        <f>IFERROR(VLOOKUP(B444,'Outcome Indicators - Section C '!$A$9:$AF$70,32,FALSE),"")</f>
        <v/>
      </c>
      <c r="D444" s="768" t="str">
        <f>R444</f>
        <v/>
      </c>
      <c r="E444" s="768" t="str">
        <f>S444</f>
        <v/>
      </c>
      <c r="F444" s="413"/>
      <c r="G444" s="762" t="str">
        <f ca="1">IF(OR(INDIRECT("'update Helper'!E"&amp;U444)="",F444&lt;&gt;0,F445&lt;&gt;0),IF(IFERROR((F444/F445),"")="","",(F444/F445)),INDIRECT("'update Helper'!E"&amp;U444)/100)</f>
        <v/>
      </c>
      <c r="H444" s="743"/>
      <c r="I444" s="764"/>
      <c r="J444" s="729"/>
      <c r="K444" s="760" t="str">
        <f>W444</f>
        <v/>
      </c>
      <c r="L444" s="760" t="str">
        <f>V444</f>
        <v/>
      </c>
      <c r="M444" s="729"/>
      <c r="N444" s="729"/>
      <c r="P444" s="194">
        <f>IF(AND(EXACT(C444,C442),C442&lt;&gt;0),P442+1,0)</f>
        <v>14</v>
      </c>
      <c r="Q444" s="194" t="str">
        <f>IF(C444&lt;&gt;"",C444&amp;"-"&amp;P444,"")</f>
        <v/>
      </c>
      <c r="R444" s="194" t="str">
        <f t="array" ref="R444">IFERROR(IF(INDEX('Disaggregation Records'!$E$69:$E$152,MATCH(RIGHT(Q444,255),RIGHT('Disaggregation Records'!$D$69:$D$152,255),0))="","",INDEX('Disaggregation Records'!$E$69:$E$152,MATCH(RIGHT(Q444,255),RIGHT('Disaggregation Records'!$D$69:$D$152,255),0))),"")</f>
        <v/>
      </c>
      <c r="S444" s="194" t="str">
        <f t="array" ref="S444">IFERROR(IF(INDEX('Disaggregation Records'!$F$69:$F$152,MATCH(RIGHT(Q444,255),RIGHT('Disaggregation Records'!$D$69:$D$152,255),0))="","",INDEX('Disaggregation Records'!$F$69:$F$152,MATCH(RIGHT(Q444,255),RIGHT('Disaggregation Records'!$D$69:$D$152,255),0))),"")</f>
        <v/>
      </c>
      <c r="T444" s="194" t="str">
        <f t="array" ref="T444">IFERROR(IF(INDEX('Disaggregation Records'!$H$69:$H$152,MATCH(RIGHT(Q444,255),RIGHT('Disaggregation Records'!$D$69:$D$152,255),0))="","",INDEX('Disaggregation Records'!$H$69:$H$152,MATCH(RIGHT(Q444,255),RIGHT('Disaggregation Records'!$D$69:$D$152,255),0))),"")</f>
        <v/>
      </c>
      <c r="U444" s="194">
        <f>U442+1</f>
        <v>1731</v>
      </c>
      <c r="V444" s="194" t="str">
        <f t="array" ref="V444">IFERROR(IF(INDEX('Disaggregation Records'!$I$69:$I$152,MATCH(RIGHT(Q444,255),RIGHT('Disaggregation Records'!$D$69:$D$152,255),0))="","",INDEX('Disaggregation Records'!$I$69:$I$152,MATCH(RIGHT(Q444,255),RIGHT('Disaggregation Records'!$D$69:$D$152,255),0))),"")</f>
        <v/>
      </c>
      <c r="W444" s="194" t="str">
        <f>IFERROR(INDEX('Reference Records'!P$23:P$74,MATCH(LEFT(C444,255),'Reference Records'!J$23:J$74,0)),"")</f>
        <v/>
      </c>
    </row>
    <row r="445" spans="1:23" s="194" customFormat="1" ht="40.4" customHeight="1" x14ac:dyDescent="0.35">
      <c r="A445" s="770"/>
      <c r="B445" s="767"/>
      <c r="C445" s="761"/>
      <c r="D445" s="769"/>
      <c r="E445" s="769"/>
      <c r="F445" s="208"/>
      <c r="G445" s="763"/>
      <c r="H445" s="744"/>
      <c r="I445" s="765"/>
      <c r="J445" s="730"/>
      <c r="K445" s="761"/>
      <c r="L445" s="761"/>
      <c r="M445" s="730"/>
      <c r="N445" s="730"/>
      <c r="V445" s="194" t="str">
        <f t="array" ref="V445">IFERROR(IF(INDEX('Disaggregation Records'!$I$69:$I$152,MATCH(RIGHT(Q445,255),RIGHT('Disaggregation Records'!$D$69:$D$152,255),0))="","",INDEX('Disaggregation Records'!$I$69:$I$152,MATCH(RIGHT(Q445,255),RIGHT('Disaggregation Records'!$D$69:$D$152,255),0))),"")</f>
        <v/>
      </c>
    </row>
    <row r="446" spans="1:23" s="194" customFormat="1" ht="40.4" customHeight="1" x14ac:dyDescent="0.35">
      <c r="A446" s="770" t="str">
        <f ca="1">INDIRECT("'update Helper'!C"&amp;U446)</f>
        <v>a1V3p000006jw91EAA</v>
      </c>
      <c r="B446" s="766">
        <v>7</v>
      </c>
      <c r="C446" s="760" t="str">
        <f>IFERROR(VLOOKUP(B446,'Outcome Indicators - Section C '!$A$9:$AF$70,32,FALSE),"")</f>
        <v/>
      </c>
      <c r="D446" s="768" t="str">
        <f>R446</f>
        <v/>
      </c>
      <c r="E446" s="768" t="str">
        <f>S446</f>
        <v/>
      </c>
      <c r="F446" s="413"/>
      <c r="G446" s="762" t="str">
        <f ca="1">IF(OR(INDIRECT("'update Helper'!E"&amp;U446)="",F446&lt;&gt;0,F447&lt;&gt;0),IF(IFERROR((F446/F447),"")="","",(F446/F447)),INDIRECT("'update Helper'!E"&amp;U446)/100)</f>
        <v/>
      </c>
      <c r="H446" s="743"/>
      <c r="I446" s="764"/>
      <c r="J446" s="729"/>
      <c r="K446" s="760" t="str">
        <f>W446</f>
        <v/>
      </c>
      <c r="L446" s="760" t="str">
        <f>V446</f>
        <v/>
      </c>
      <c r="M446" s="729"/>
      <c r="N446" s="729"/>
      <c r="P446" s="194">
        <f>IF(AND(EXACT(C446,C444),C444&lt;&gt;0),P444+1,0)</f>
        <v>15</v>
      </c>
      <c r="Q446" s="194" t="str">
        <f>IF(C446&lt;&gt;"",C446&amp;"-"&amp;P446,"")</f>
        <v/>
      </c>
      <c r="R446" s="194" t="str">
        <f t="array" ref="R446">IFERROR(IF(INDEX('Disaggregation Records'!$E$69:$E$152,MATCH(RIGHT(Q446,255),RIGHT('Disaggregation Records'!$D$69:$D$152,255),0))="","",INDEX('Disaggregation Records'!$E$69:$E$152,MATCH(RIGHT(Q446,255),RIGHT('Disaggregation Records'!$D$69:$D$152,255),0))),"")</f>
        <v/>
      </c>
      <c r="S446" s="194" t="str">
        <f t="array" ref="S446">IFERROR(IF(INDEX('Disaggregation Records'!$F$69:$F$152,MATCH(RIGHT(Q446,255),RIGHT('Disaggregation Records'!$D$69:$D$152,255),0))="","",INDEX('Disaggregation Records'!$F$69:$F$152,MATCH(RIGHT(Q446,255),RIGHT('Disaggregation Records'!$D$69:$D$152,255),0))),"")</f>
        <v/>
      </c>
      <c r="T446" s="194" t="str">
        <f t="array" ref="T446">IFERROR(IF(INDEX('Disaggregation Records'!$H$69:$H$152,MATCH(RIGHT(Q446,255),RIGHT('Disaggregation Records'!$D$69:$D$152,255),0))="","",INDEX('Disaggregation Records'!$H$69:$H$152,MATCH(RIGHT(Q446,255),RIGHT('Disaggregation Records'!$D$69:$D$152,255),0))),"")</f>
        <v/>
      </c>
      <c r="U446" s="194">
        <f>U444+1</f>
        <v>1732</v>
      </c>
      <c r="V446" s="194" t="str">
        <f t="array" ref="V446">IFERROR(IF(INDEX('Disaggregation Records'!$I$69:$I$152,MATCH(RIGHT(Q446,255),RIGHT('Disaggregation Records'!$D$69:$D$152,255),0))="","",INDEX('Disaggregation Records'!$I$69:$I$152,MATCH(RIGHT(Q446,255),RIGHT('Disaggregation Records'!$D$69:$D$152,255),0))),"")</f>
        <v/>
      </c>
      <c r="W446" s="194" t="str">
        <f>IFERROR(INDEX('Reference Records'!P$23:P$74,MATCH(LEFT(C446,255),'Reference Records'!J$23:J$74,0)),"")</f>
        <v/>
      </c>
    </row>
    <row r="447" spans="1:23" s="194" customFormat="1" ht="40.4" customHeight="1" x14ac:dyDescent="0.35">
      <c r="A447" s="770"/>
      <c r="B447" s="767"/>
      <c r="C447" s="761"/>
      <c r="D447" s="769"/>
      <c r="E447" s="769"/>
      <c r="F447" s="208"/>
      <c r="G447" s="763"/>
      <c r="H447" s="744"/>
      <c r="I447" s="765"/>
      <c r="J447" s="730"/>
      <c r="K447" s="761"/>
      <c r="L447" s="761"/>
      <c r="M447" s="730"/>
      <c r="N447" s="730"/>
      <c r="V447" s="194" t="str">
        <f t="array" ref="V447">IFERROR(IF(INDEX('Disaggregation Records'!$I$69:$I$152,MATCH(RIGHT(Q447,255),RIGHT('Disaggregation Records'!$D$69:$D$152,255),0))="","",INDEX('Disaggregation Records'!$I$69:$I$152,MATCH(RIGHT(Q447,255),RIGHT('Disaggregation Records'!$D$69:$D$152,255),0))),"")</f>
        <v/>
      </c>
    </row>
    <row r="448" spans="1:23" s="194" customFormat="1" ht="40.4" customHeight="1" x14ac:dyDescent="0.35">
      <c r="A448" s="770" t="str">
        <f ca="1">INDIRECT("'update Helper'!C"&amp;U448)</f>
        <v>a1V3p000006jw92EAA</v>
      </c>
      <c r="B448" s="766">
        <v>7</v>
      </c>
      <c r="C448" s="760" t="str">
        <f>IFERROR(VLOOKUP(B448,'Outcome Indicators - Section C '!$A$9:$AF$70,32,FALSE),"")</f>
        <v/>
      </c>
      <c r="D448" s="768" t="str">
        <f>R448</f>
        <v/>
      </c>
      <c r="E448" s="768" t="str">
        <f>S448</f>
        <v/>
      </c>
      <c r="F448" s="413"/>
      <c r="G448" s="762" t="str">
        <f ca="1">IF(OR(INDIRECT("'update Helper'!E"&amp;U448)="",F448&lt;&gt;0,F449&lt;&gt;0),IF(IFERROR((F448/F449),"")="","",(F448/F449)),INDIRECT("'update Helper'!E"&amp;U448)/100)</f>
        <v/>
      </c>
      <c r="H448" s="743"/>
      <c r="I448" s="764"/>
      <c r="J448" s="729"/>
      <c r="K448" s="760" t="str">
        <f>W448</f>
        <v/>
      </c>
      <c r="L448" s="760" t="str">
        <f>V448</f>
        <v/>
      </c>
      <c r="M448" s="729"/>
      <c r="N448" s="729"/>
      <c r="P448" s="194">
        <f>IF(AND(EXACT(C448,C446),C446&lt;&gt;0),P446+1,0)</f>
        <v>16</v>
      </c>
      <c r="Q448" s="194" t="str">
        <f>IF(C448&lt;&gt;"",C448&amp;"-"&amp;P448,"")</f>
        <v/>
      </c>
      <c r="R448" s="194" t="str">
        <f t="array" ref="R448">IFERROR(IF(INDEX('Disaggregation Records'!$E$69:$E$152,MATCH(RIGHT(Q448,255),RIGHT('Disaggregation Records'!$D$69:$D$152,255),0))="","",INDEX('Disaggregation Records'!$E$69:$E$152,MATCH(RIGHT(Q448,255),RIGHT('Disaggregation Records'!$D$69:$D$152,255),0))),"")</f>
        <v/>
      </c>
      <c r="S448" s="194" t="str">
        <f t="array" ref="S448">IFERROR(IF(INDEX('Disaggregation Records'!$F$69:$F$152,MATCH(RIGHT(Q448,255),RIGHT('Disaggregation Records'!$D$69:$D$152,255),0))="","",INDEX('Disaggregation Records'!$F$69:$F$152,MATCH(RIGHT(Q448,255),RIGHT('Disaggregation Records'!$D$69:$D$152,255),0))),"")</f>
        <v/>
      </c>
      <c r="T448" s="194" t="str">
        <f t="array" ref="T448">IFERROR(IF(INDEX('Disaggregation Records'!$H$69:$H$152,MATCH(RIGHT(Q448,255),RIGHT('Disaggregation Records'!$D$69:$D$152,255),0))="","",INDEX('Disaggregation Records'!$H$69:$H$152,MATCH(RIGHT(Q448,255),RIGHT('Disaggregation Records'!$D$69:$D$152,255),0))),"")</f>
        <v/>
      </c>
      <c r="U448" s="194">
        <f>U446+1</f>
        <v>1733</v>
      </c>
      <c r="V448" s="194" t="str">
        <f t="array" ref="V448">IFERROR(IF(INDEX('Disaggregation Records'!$I$69:$I$152,MATCH(RIGHT(Q448,255),RIGHT('Disaggregation Records'!$D$69:$D$152,255),0))="","",INDEX('Disaggregation Records'!$I$69:$I$152,MATCH(RIGHT(Q448,255),RIGHT('Disaggregation Records'!$D$69:$D$152,255),0))),"")</f>
        <v/>
      </c>
      <c r="W448" s="194" t="str">
        <f>IFERROR(INDEX('Reference Records'!P$23:P$74,MATCH(LEFT(C448,255),'Reference Records'!J$23:J$74,0)),"")</f>
        <v/>
      </c>
    </row>
    <row r="449" spans="1:23" s="194" customFormat="1" ht="40.4" customHeight="1" x14ac:dyDescent="0.35">
      <c r="A449" s="770"/>
      <c r="B449" s="767"/>
      <c r="C449" s="761"/>
      <c r="D449" s="769"/>
      <c r="E449" s="769"/>
      <c r="F449" s="208"/>
      <c r="G449" s="763"/>
      <c r="H449" s="744"/>
      <c r="I449" s="765"/>
      <c r="J449" s="730"/>
      <c r="K449" s="761"/>
      <c r="L449" s="761"/>
      <c r="M449" s="730"/>
      <c r="N449" s="730"/>
      <c r="V449" s="194" t="str">
        <f t="array" ref="V449">IFERROR(IF(INDEX('Disaggregation Records'!$I$69:$I$152,MATCH(RIGHT(Q449,255),RIGHT('Disaggregation Records'!$D$69:$D$152,255),0))="","",INDEX('Disaggregation Records'!$I$69:$I$152,MATCH(RIGHT(Q449,255),RIGHT('Disaggregation Records'!$D$69:$D$152,255),0))),"")</f>
        <v/>
      </c>
    </row>
    <row r="450" spans="1:23" s="194" customFormat="1" ht="40.4" customHeight="1" x14ac:dyDescent="0.35">
      <c r="A450" s="770" t="str">
        <f ca="1">INDIRECT("'update Helper'!C"&amp;U450)</f>
        <v>a1V3p000006jw93EAA</v>
      </c>
      <c r="B450" s="766">
        <v>7</v>
      </c>
      <c r="C450" s="760" t="str">
        <f>IFERROR(VLOOKUP(B450,'Outcome Indicators - Section C '!$A$9:$AF$70,32,FALSE),"")</f>
        <v/>
      </c>
      <c r="D450" s="768" t="str">
        <f>R450</f>
        <v/>
      </c>
      <c r="E450" s="768" t="str">
        <f>S450</f>
        <v/>
      </c>
      <c r="F450" s="413"/>
      <c r="G450" s="762" t="str">
        <f ca="1">IF(OR(INDIRECT("'update Helper'!E"&amp;U450)="",F450&lt;&gt;0,F451&lt;&gt;0),IF(IFERROR((F450/F451),"")="","",(F450/F451)),INDIRECT("'update Helper'!E"&amp;U450)/100)</f>
        <v/>
      </c>
      <c r="H450" s="743"/>
      <c r="I450" s="764"/>
      <c r="J450" s="729"/>
      <c r="K450" s="760" t="str">
        <f>W450</f>
        <v/>
      </c>
      <c r="L450" s="760" t="str">
        <f>V450</f>
        <v/>
      </c>
      <c r="M450" s="729"/>
      <c r="N450" s="729"/>
      <c r="P450" s="194">
        <f>IF(AND(EXACT(C450,C448),C448&lt;&gt;0),P448+1,0)</f>
        <v>17</v>
      </c>
      <c r="Q450" s="194" t="str">
        <f>IF(C450&lt;&gt;"",C450&amp;"-"&amp;P450,"")</f>
        <v/>
      </c>
      <c r="R450" s="194" t="str">
        <f t="array" ref="R450">IFERROR(IF(INDEX('Disaggregation Records'!$E$69:$E$152,MATCH(RIGHT(Q450,255),RIGHT('Disaggregation Records'!$D$69:$D$152,255),0))="","",INDEX('Disaggregation Records'!$E$69:$E$152,MATCH(RIGHT(Q450,255),RIGHT('Disaggregation Records'!$D$69:$D$152,255),0))),"")</f>
        <v/>
      </c>
      <c r="S450" s="194" t="str">
        <f t="array" ref="S450">IFERROR(IF(INDEX('Disaggregation Records'!$F$69:$F$152,MATCH(RIGHT(Q450,255),RIGHT('Disaggregation Records'!$D$69:$D$152,255),0))="","",INDEX('Disaggregation Records'!$F$69:$F$152,MATCH(RIGHT(Q450,255),RIGHT('Disaggregation Records'!$D$69:$D$152,255),0))),"")</f>
        <v/>
      </c>
      <c r="T450" s="194" t="str">
        <f t="array" ref="T450">IFERROR(IF(INDEX('Disaggregation Records'!$H$69:$H$152,MATCH(RIGHT(Q450,255),RIGHT('Disaggregation Records'!$D$69:$D$152,255),0))="","",INDEX('Disaggregation Records'!$H$69:$H$152,MATCH(RIGHT(Q450,255),RIGHT('Disaggregation Records'!$D$69:$D$152,255),0))),"")</f>
        <v/>
      </c>
      <c r="U450" s="194">
        <f>U448+1</f>
        <v>1734</v>
      </c>
      <c r="V450" s="194" t="str">
        <f t="array" ref="V450">IFERROR(IF(INDEX('Disaggregation Records'!$I$69:$I$152,MATCH(RIGHT(Q450,255),RIGHT('Disaggregation Records'!$D$69:$D$152,255),0))="","",INDEX('Disaggregation Records'!$I$69:$I$152,MATCH(RIGHT(Q450,255),RIGHT('Disaggregation Records'!$D$69:$D$152,255),0))),"")</f>
        <v/>
      </c>
      <c r="W450" s="194" t="str">
        <f>IFERROR(INDEX('Reference Records'!P$23:P$74,MATCH(LEFT(C450,255),'Reference Records'!J$23:J$74,0)),"")</f>
        <v/>
      </c>
    </row>
    <row r="451" spans="1:23" s="194" customFormat="1" ht="40.4" customHeight="1" x14ac:dyDescent="0.35">
      <c r="A451" s="770"/>
      <c r="B451" s="767"/>
      <c r="C451" s="761"/>
      <c r="D451" s="769"/>
      <c r="E451" s="769"/>
      <c r="F451" s="208"/>
      <c r="G451" s="763"/>
      <c r="H451" s="744"/>
      <c r="I451" s="765"/>
      <c r="J451" s="730"/>
      <c r="K451" s="761"/>
      <c r="L451" s="761"/>
      <c r="M451" s="730"/>
      <c r="N451" s="730"/>
      <c r="V451" s="194" t="str">
        <f t="array" ref="V451">IFERROR(IF(INDEX('Disaggregation Records'!$I$69:$I$152,MATCH(RIGHT(Q451,255),RIGHT('Disaggregation Records'!$D$69:$D$152,255),0))="","",INDEX('Disaggregation Records'!$I$69:$I$152,MATCH(RIGHT(Q451,255),RIGHT('Disaggregation Records'!$D$69:$D$152,255),0))),"")</f>
        <v/>
      </c>
    </row>
    <row r="452" spans="1:23" s="194" customFormat="1" ht="40.4" customHeight="1" x14ac:dyDescent="0.35">
      <c r="A452" s="770" t="str">
        <f ca="1">INDIRECT("'update Helper'!C"&amp;U452)</f>
        <v>a1V3p000006jw94EAA</v>
      </c>
      <c r="B452" s="766">
        <v>7</v>
      </c>
      <c r="C452" s="760" t="str">
        <f>IFERROR(VLOOKUP(B452,'Outcome Indicators - Section C '!$A$9:$AF$70,32,FALSE),"")</f>
        <v/>
      </c>
      <c r="D452" s="768" t="str">
        <f>R452</f>
        <v/>
      </c>
      <c r="E452" s="768" t="str">
        <f>S452</f>
        <v/>
      </c>
      <c r="F452" s="413"/>
      <c r="G452" s="762" t="str">
        <f ca="1">IF(OR(INDIRECT("'update Helper'!E"&amp;U452)="",F452&lt;&gt;0,F453&lt;&gt;0),IF(IFERROR((F452/F453),"")="","",(F452/F453)),INDIRECT("'update Helper'!E"&amp;U452)/100)</f>
        <v/>
      </c>
      <c r="H452" s="743"/>
      <c r="I452" s="764"/>
      <c r="J452" s="729"/>
      <c r="K452" s="760" t="str">
        <f>W452</f>
        <v/>
      </c>
      <c r="L452" s="760" t="str">
        <f>V452</f>
        <v/>
      </c>
      <c r="M452" s="729"/>
      <c r="N452" s="729"/>
      <c r="P452" s="194">
        <f>IF(AND(EXACT(C452,C450),C450&lt;&gt;0),P450+1,0)</f>
        <v>18</v>
      </c>
      <c r="Q452" s="194" t="str">
        <f>IF(C452&lt;&gt;"",C452&amp;"-"&amp;P452,"")</f>
        <v/>
      </c>
      <c r="R452" s="194" t="str">
        <f t="array" ref="R452">IFERROR(IF(INDEX('Disaggregation Records'!$E$69:$E$152,MATCH(RIGHT(Q452,255),RIGHT('Disaggregation Records'!$D$69:$D$152,255),0))="","",INDEX('Disaggregation Records'!$E$69:$E$152,MATCH(RIGHT(Q452,255),RIGHT('Disaggregation Records'!$D$69:$D$152,255),0))),"")</f>
        <v/>
      </c>
      <c r="S452" s="194" t="str">
        <f t="array" ref="S452">IFERROR(IF(INDEX('Disaggregation Records'!$F$69:$F$152,MATCH(RIGHT(Q452,255),RIGHT('Disaggregation Records'!$D$69:$D$152,255),0))="","",INDEX('Disaggregation Records'!$F$69:$F$152,MATCH(RIGHT(Q452,255),RIGHT('Disaggregation Records'!$D$69:$D$152,255),0))),"")</f>
        <v/>
      </c>
      <c r="T452" s="194" t="str">
        <f t="array" ref="T452">IFERROR(IF(INDEX('Disaggregation Records'!$H$69:$H$152,MATCH(RIGHT(Q452,255),RIGHT('Disaggregation Records'!$D$69:$D$152,255),0))="","",INDEX('Disaggregation Records'!$H$69:$H$152,MATCH(RIGHT(Q452,255),RIGHT('Disaggregation Records'!$D$69:$D$152,255),0))),"")</f>
        <v/>
      </c>
      <c r="U452" s="194">
        <f>U450+1</f>
        <v>1735</v>
      </c>
      <c r="V452" s="194" t="str">
        <f t="array" ref="V452">IFERROR(IF(INDEX('Disaggregation Records'!$I$69:$I$152,MATCH(RIGHT(Q452,255),RIGHT('Disaggregation Records'!$D$69:$D$152,255),0))="","",INDEX('Disaggregation Records'!$I$69:$I$152,MATCH(RIGHT(Q452,255),RIGHT('Disaggregation Records'!$D$69:$D$152,255),0))),"")</f>
        <v/>
      </c>
      <c r="W452" s="194" t="str">
        <f>IFERROR(INDEX('Reference Records'!P$23:P$74,MATCH(LEFT(C452,255),'Reference Records'!J$23:J$74,0)),"")</f>
        <v/>
      </c>
    </row>
    <row r="453" spans="1:23" s="194" customFormat="1" ht="40.4" customHeight="1" x14ac:dyDescent="0.35">
      <c r="A453" s="770"/>
      <c r="B453" s="767"/>
      <c r="C453" s="761"/>
      <c r="D453" s="769"/>
      <c r="E453" s="769"/>
      <c r="F453" s="208"/>
      <c r="G453" s="763"/>
      <c r="H453" s="744"/>
      <c r="I453" s="765"/>
      <c r="J453" s="730"/>
      <c r="K453" s="761"/>
      <c r="L453" s="761"/>
      <c r="M453" s="730"/>
      <c r="N453" s="730"/>
      <c r="V453" s="194" t="str">
        <f t="array" ref="V453">IFERROR(IF(INDEX('Disaggregation Records'!$I$69:$I$152,MATCH(RIGHT(Q453,255),RIGHT('Disaggregation Records'!$D$69:$D$152,255),0))="","",INDEX('Disaggregation Records'!$I$69:$I$152,MATCH(RIGHT(Q453,255),RIGHT('Disaggregation Records'!$D$69:$D$152,255),0))),"")</f>
        <v/>
      </c>
    </row>
    <row r="454" spans="1:23" s="194" customFormat="1" ht="40.4" customHeight="1" x14ac:dyDescent="0.35">
      <c r="A454" s="770" t="str">
        <f ca="1">INDIRECT("'update Helper'!C"&amp;U454)</f>
        <v>a1V3p000006jw95EAA</v>
      </c>
      <c r="B454" s="766">
        <v>7</v>
      </c>
      <c r="C454" s="760" t="str">
        <f>IFERROR(VLOOKUP(B454,'Outcome Indicators - Section C '!$A$9:$AF$70,32,FALSE),"")</f>
        <v/>
      </c>
      <c r="D454" s="768" t="str">
        <f>R454</f>
        <v/>
      </c>
      <c r="E454" s="768" t="str">
        <f>S454</f>
        <v/>
      </c>
      <c r="F454" s="413"/>
      <c r="G454" s="762" t="str">
        <f ca="1">IF(OR(INDIRECT("'update Helper'!E"&amp;U454)="",F454&lt;&gt;0,F455&lt;&gt;0),IF(IFERROR((F454/F455),"")="","",(F454/F455)),INDIRECT("'update Helper'!E"&amp;U454)/100)</f>
        <v/>
      </c>
      <c r="H454" s="743"/>
      <c r="I454" s="764"/>
      <c r="J454" s="729"/>
      <c r="K454" s="760" t="str">
        <f>W454</f>
        <v/>
      </c>
      <c r="L454" s="760" t="str">
        <f>V454</f>
        <v/>
      </c>
      <c r="M454" s="729"/>
      <c r="N454" s="729"/>
      <c r="P454" s="194">
        <f>IF(AND(EXACT(C454,C452),C452&lt;&gt;0),P452+1,0)</f>
        <v>19</v>
      </c>
      <c r="Q454" s="194" t="str">
        <f>IF(C454&lt;&gt;"",C454&amp;"-"&amp;P454,"")</f>
        <v/>
      </c>
      <c r="R454" s="194" t="str">
        <f t="array" ref="R454">IFERROR(IF(INDEX('Disaggregation Records'!$E$69:$E$152,MATCH(RIGHT(Q454,255),RIGHT('Disaggregation Records'!$D$69:$D$152,255),0))="","",INDEX('Disaggregation Records'!$E$69:$E$152,MATCH(RIGHT(Q454,255),RIGHT('Disaggregation Records'!$D$69:$D$152,255),0))),"")</f>
        <v/>
      </c>
      <c r="S454" s="194" t="str">
        <f t="array" ref="S454">IFERROR(IF(INDEX('Disaggregation Records'!$F$69:$F$152,MATCH(RIGHT(Q454,255),RIGHT('Disaggregation Records'!$D$69:$D$152,255),0))="","",INDEX('Disaggregation Records'!$F$69:$F$152,MATCH(RIGHT(Q454,255),RIGHT('Disaggregation Records'!$D$69:$D$152,255),0))),"")</f>
        <v/>
      </c>
      <c r="T454" s="194" t="str">
        <f t="array" ref="T454">IFERROR(IF(INDEX('Disaggregation Records'!$H$69:$H$152,MATCH(RIGHT(Q454,255),RIGHT('Disaggregation Records'!$D$69:$D$152,255),0))="","",INDEX('Disaggregation Records'!$H$69:$H$152,MATCH(RIGHT(Q454,255),RIGHT('Disaggregation Records'!$D$69:$D$152,255),0))),"")</f>
        <v/>
      </c>
      <c r="U454" s="194">
        <f>U452+1</f>
        <v>1736</v>
      </c>
      <c r="V454" s="194" t="str">
        <f t="array" ref="V454">IFERROR(IF(INDEX('Disaggregation Records'!$I$69:$I$152,MATCH(RIGHT(Q454,255),RIGHT('Disaggregation Records'!$D$69:$D$152,255),0))="","",INDEX('Disaggregation Records'!$I$69:$I$152,MATCH(RIGHT(Q454,255),RIGHT('Disaggregation Records'!$D$69:$D$152,255),0))),"")</f>
        <v/>
      </c>
      <c r="W454" s="194" t="str">
        <f>IFERROR(INDEX('Reference Records'!P$23:P$74,MATCH(LEFT(C454,255),'Reference Records'!J$23:J$74,0)),"")</f>
        <v/>
      </c>
    </row>
    <row r="455" spans="1:23" s="194" customFormat="1" ht="40.4" customHeight="1" x14ac:dyDescent="0.35">
      <c r="A455" s="770"/>
      <c r="B455" s="767"/>
      <c r="C455" s="761"/>
      <c r="D455" s="769"/>
      <c r="E455" s="769"/>
      <c r="F455" s="208"/>
      <c r="G455" s="763"/>
      <c r="H455" s="744"/>
      <c r="I455" s="765"/>
      <c r="J455" s="730"/>
      <c r="K455" s="761"/>
      <c r="L455" s="761"/>
      <c r="M455" s="730"/>
      <c r="N455" s="730"/>
      <c r="V455" s="194" t="str">
        <f t="array" ref="V455">IFERROR(IF(INDEX('Disaggregation Records'!$I$69:$I$152,MATCH(RIGHT(Q455,255),RIGHT('Disaggregation Records'!$D$69:$D$152,255),0))="","",INDEX('Disaggregation Records'!$I$69:$I$152,MATCH(RIGHT(Q455,255),RIGHT('Disaggregation Records'!$D$69:$D$152,255),0))),"")</f>
        <v/>
      </c>
    </row>
    <row r="456" spans="1:23" s="194" customFormat="1" ht="40.4" customHeight="1" x14ac:dyDescent="0.35">
      <c r="A456" s="770" t="str">
        <f ca="1">INDIRECT("'update Helper'!C"&amp;U456)</f>
        <v>a1V3p000006jwBMEAY</v>
      </c>
      <c r="B456" s="766">
        <v>8</v>
      </c>
      <c r="C456" s="760" t="str">
        <f>IFERROR(VLOOKUP(B456,'Outcome Indicators - Section C '!$A$9:$AF$70,32,FALSE),"")</f>
        <v/>
      </c>
      <c r="D456" s="768" t="str">
        <f>R456</f>
        <v/>
      </c>
      <c r="E456" s="768" t="str">
        <f>S456</f>
        <v/>
      </c>
      <c r="F456" s="413"/>
      <c r="G456" s="762" t="str">
        <f ca="1">IF(OR(INDIRECT("'update Helper'!E"&amp;U456)="",F456&lt;&gt;0,F457&lt;&gt;0),IF(IFERROR((F456/F457),"")="","",(F456/F457)),INDIRECT("'update Helper'!E"&amp;U456)/100)</f>
        <v/>
      </c>
      <c r="H456" s="743"/>
      <c r="I456" s="764"/>
      <c r="J456" s="729"/>
      <c r="K456" s="760" t="str">
        <f>W456</f>
        <v/>
      </c>
      <c r="L456" s="760" t="str">
        <f>V456</f>
        <v/>
      </c>
      <c r="M456" s="729"/>
      <c r="N456" s="729"/>
      <c r="P456" s="194">
        <f>IF(AND(EXACT(C456,C454),C454&lt;&gt;0),P454+1,0)</f>
        <v>20</v>
      </c>
      <c r="Q456" s="194" t="str">
        <f>IF(C456&lt;&gt;"",C456&amp;"-"&amp;P456,"")</f>
        <v/>
      </c>
      <c r="R456" s="194" t="str">
        <f t="array" ref="R456">IFERROR(IF(INDEX('Disaggregation Records'!$E$69:$E$152,MATCH(RIGHT(Q456,255),RIGHT('Disaggregation Records'!$D$69:$D$152,255),0))="","",INDEX('Disaggregation Records'!$E$69:$E$152,MATCH(RIGHT(Q456,255),RIGHT('Disaggregation Records'!$D$69:$D$152,255),0))),"")</f>
        <v/>
      </c>
      <c r="S456" s="194" t="str">
        <f t="array" ref="S456">IFERROR(IF(INDEX('Disaggregation Records'!$F$69:$F$152,MATCH(RIGHT(Q456,255),RIGHT('Disaggregation Records'!$D$69:$D$152,255),0))="","",INDEX('Disaggregation Records'!$F$69:$F$152,MATCH(RIGHT(Q456,255),RIGHT('Disaggregation Records'!$D$69:$D$152,255),0))),"")</f>
        <v/>
      </c>
      <c r="T456" s="194" t="str">
        <f t="array" ref="T456">IFERROR(IF(INDEX('Disaggregation Records'!$H$69:$H$152,MATCH(RIGHT(Q456,255),RIGHT('Disaggregation Records'!$D$69:$D$152,255),0))="","",INDEX('Disaggregation Records'!$H$69:$H$152,MATCH(RIGHT(Q456,255),RIGHT('Disaggregation Records'!$D$69:$D$152,255),0))),"")</f>
        <v/>
      </c>
      <c r="U456" s="194">
        <f>U454+1</f>
        <v>1737</v>
      </c>
      <c r="V456" s="194" t="str">
        <f t="array" ref="V456">IFERROR(IF(INDEX('Disaggregation Records'!$I$69:$I$152,MATCH(RIGHT(Q456,255),RIGHT('Disaggregation Records'!$D$69:$D$152,255),0))="","",INDEX('Disaggregation Records'!$I$69:$I$152,MATCH(RIGHT(Q456,255),RIGHT('Disaggregation Records'!$D$69:$D$152,255),0))),"")</f>
        <v/>
      </c>
      <c r="W456" s="194" t="str">
        <f>IFERROR(INDEX('Reference Records'!P$23:P$74,MATCH(LEFT(C456,255),'Reference Records'!J$23:J$74,0)),"")</f>
        <v/>
      </c>
    </row>
    <row r="457" spans="1:23" s="194" customFormat="1" ht="40.4" customHeight="1" x14ac:dyDescent="0.35">
      <c r="A457" s="770"/>
      <c r="B457" s="767"/>
      <c r="C457" s="761"/>
      <c r="D457" s="769"/>
      <c r="E457" s="769"/>
      <c r="F457" s="208"/>
      <c r="G457" s="763"/>
      <c r="H457" s="744"/>
      <c r="I457" s="765"/>
      <c r="J457" s="730"/>
      <c r="K457" s="761"/>
      <c r="L457" s="761"/>
      <c r="M457" s="730"/>
      <c r="N457" s="730"/>
      <c r="V457" s="194" t="str">
        <f t="array" ref="V457">IFERROR(IF(INDEX('Disaggregation Records'!$I$69:$I$152,MATCH(RIGHT(Q457,255),RIGHT('Disaggregation Records'!$D$69:$D$152,255),0))="","",INDEX('Disaggregation Records'!$I$69:$I$152,MATCH(RIGHT(Q457,255),RIGHT('Disaggregation Records'!$D$69:$D$152,255),0))),"")</f>
        <v/>
      </c>
    </row>
    <row r="458" spans="1:23" s="194" customFormat="1" ht="40.4" customHeight="1" x14ac:dyDescent="0.35">
      <c r="A458" s="770" t="str">
        <f ca="1">INDIRECT("'update Helper'!C"&amp;U458)</f>
        <v>a1V3p000006jwBNEAY</v>
      </c>
      <c r="B458" s="766">
        <v>8</v>
      </c>
      <c r="C458" s="760" t="str">
        <f>IFERROR(VLOOKUP(B458,'Outcome Indicators - Section C '!$A$9:$AF$70,32,FALSE),"")</f>
        <v/>
      </c>
      <c r="D458" s="768" t="str">
        <f>R458</f>
        <v/>
      </c>
      <c r="E458" s="768" t="str">
        <f>S458</f>
        <v/>
      </c>
      <c r="F458" s="413"/>
      <c r="G458" s="762" t="str">
        <f ca="1">IF(OR(INDIRECT("'update Helper'!E"&amp;U458)="",F458&lt;&gt;0,F459&lt;&gt;0),IF(IFERROR((F458/F459),"")="","",(F458/F459)),INDIRECT("'update Helper'!E"&amp;U458)/100)</f>
        <v/>
      </c>
      <c r="H458" s="743"/>
      <c r="I458" s="764"/>
      <c r="J458" s="729"/>
      <c r="K458" s="760" t="str">
        <f>W458</f>
        <v/>
      </c>
      <c r="L458" s="760" t="str">
        <f>V458</f>
        <v/>
      </c>
      <c r="M458" s="729"/>
      <c r="N458" s="729"/>
      <c r="P458" s="194">
        <f>IF(AND(EXACT(C458,C456),C456&lt;&gt;0),P456+1,0)</f>
        <v>21</v>
      </c>
      <c r="Q458" s="194" t="str">
        <f>IF(C458&lt;&gt;"",C458&amp;"-"&amp;P458,"")</f>
        <v/>
      </c>
      <c r="R458" s="194" t="str">
        <f t="array" ref="R458">IFERROR(IF(INDEX('Disaggregation Records'!$E$69:$E$152,MATCH(RIGHT(Q458,255),RIGHT('Disaggregation Records'!$D$69:$D$152,255),0))="","",INDEX('Disaggregation Records'!$E$69:$E$152,MATCH(RIGHT(Q458,255),RIGHT('Disaggregation Records'!$D$69:$D$152,255),0))),"")</f>
        <v/>
      </c>
      <c r="S458" s="194" t="str">
        <f t="array" ref="S458">IFERROR(IF(INDEX('Disaggregation Records'!$F$69:$F$152,MATCH(RIGHT(Q458,255),RIGHT('Disaggregation Records'!$D$69:$D$152,255),0))="","",INDEX('Disaggregation Records'!$F$69:$F$152,MATCH(RIGHT(Q458,255),RIGHT('Disaggregation Records'!$D$69:$D$152,255),0))),"")</f>
        <v/>
      </c>
      <c r="T458" s="194" t="str">
        <f t="array" ref="T458">IFERROR(IF(INDEX('Disaggregation Records'!$H$69:$H$152,MATCH(RIGHT(Q458,255),RIGHT('Disaggregation Records'!$D$69:$D$152,255),0))="","",INDEX('Disaggregation Records'!$H$69:$H$152,MATCH(RIGHT(Q458,255),RIGHT('Disaggregation Records'!$D$69:$D$152,255),0))),"")</f>
        <v/>
      </c>
      <c r="U458" s="194">
        <f>U456+1</f>
        <v>1738</v>
      </c>
      <c r="V458" s="194" t="str">
        <f t="array" ref="V458">IFERROR(IF(INDEX('Disaggregation Records'!$I$69:$I$152,MATCH(RIGHT(Q458,255),RIGHT('Disaggregation Records'!$D$69:$D$152,255),0))="","",INDEX('Disaggregation Records'!$I$69:$I$152,MATCH(RIGHT(Q458,255),RIGHT('Disaggregation Records'!$D$69:$D$152,255),0))),"")</f>
        <v/>
      </c>
      <c r="W458" s="194" t="str">
        <f>IFERROR(INDEX('Reference Records'!P$23:P$74,MATCH(LEFT(C458,255),'Reference Records'!J$23:J$74,0)),"")</f>
        <v/>
      </c>
    </row>
    <row r="459" spans="1:23" s="194" customFormat="1" ht="40.4" customHeight="1" x14ac:dyDescent="0.35">
      <c r="A459" s="770"/>
      <c r="B459" s="767"/>
      <c r="C459" s="761"/>
      <c r="D459" s="769"/>
      <c r="E459" s="769"/>
      <c r="F459" s="208"/>
      <c r="G459" s="763"/>
      <c r="H459" s="744"/>
      <c r="I459" s="765"/>
      <c r="J459" s="730"/>
      <c r="K459" s="761"/>
      <c r="L459" s="761"/>
      <c r="M459" s="730"/>
      <c r="N459" s="730"/>
      <c r="V459" s="194" t="str">
        <f t="array" ref="V459">IFERROR(IF(INDEX('Disaggregation Records'!$I$69:$I$152,MATCH(RIGHT(Q459,255),RIGHT('Disaggregation Records'!$D$69:$D$152,255),0))="","",INDEX('Disaggregation Records'!$I$69:$I$152,MATCH(RIGHT(Q459,255),RIGHT('Disaggregation Records'!$D$69:$D$152,255),0))),"")</f>
        <v/>
      </c>
    </row>
    <row r="460" spans="1:23" s="194" customFormat="1" ht="40.4" customHeight="1" x14ac:dyDescent="0.35">
      <c r="A460" s="770" t="str">
        <f ca="1">INDIRECT("'update Helper'!C"&amp;U460)</f>
        <v>a1V3p000006jwBOEAY</v>
      </c>
      <c r="B460" s="766">
        <v>8</v>
      </c>
      <c r="C460" s="760" t="str">
        <f>IFERROR(VLOOKUP(B460,'Outcome Indicators - Section C '!$A$9:$AF$70,32,FALSE),"")</f>
        <v/>
      </c>
      <c r="D460" s="768" t="str">
        <f>R460</f>
        <v/>
      </c>
      <c r="E460" s="768" t="str">
        <f>S460</f>
        <v/>
      </c>
      <c r="F460" s="413"/>
      <c r="G460" s="762" t="str">
        <f ca="1">IF(OR(INDIRECT("'update Helper'!E"&amp;U460)="",F460&lt;&gt;0,F461&lt;&gt;0),IF(IFERROR((F460/F461),"")="","",(F460/F461)),INDIRECT("'update Helper'!E"&amp;U460)/100)</f>
        <v/>
      </c>
      <c r="H460" s="743"/>
      <c r="I460" s="764"/>
      <c r="J460" s="729"/>
      <c r="K460" s="760" t="str">
        <f>W460</f>
        <v/>
      </c>
      <c r="L460" s="760" t="str">
        <f>V460</f>
        <v/>
      </c>
      <c r="M460" s="729"/>
      <c r="N460" s="729"/>
      <c r="P460" s="194">
        <f>IF(AND(EXACT(C460,C458),C458&lt;&gt;0),P458+1,0)</f>
        <v>22</v>
      </c>
      <c r="Q460" s="194" t="str">
        <f>IF(C460&lt;&gt;"",C460&amp;"-"&amp;P460,"")</f>
        <v/>
      </c>
      <c r="R460" s="194" t="str">
        <f t="array" ref="R460">IFERROR(IF(INDEX('Disaggregation Records'!$E$69:$E$152,MATCH(RIGHT(Q460,255),RIGHT('Disaggregation Records'!$D$69:$D$152,255),0))="","",INDEX('Disaggregation Records'!$E$69:$E$152,MATCH(RIGHT(Q460,255),RIGHT('Disaggregation Records'!$D$69:$D$152,255),0))),"")</f>
        <v/>
      </c>
      <c r="S460" s="194" t="str">
        <f t="array" ref="S460">IFERROR(IF(INDEX('Disaggregation Records'!$F$69:$F$152,MATCH(RIGHT(Q460,255),RIGHT('Disaggregation Records'!$D$69:$D$152,255),0))="","",INDEX('Disaggregation Records'!$F$69:$F$152,MATCH(RIGHT(Q460,255),RIGHT('Disaggregation Records'!$D$69:$D$152,255),0))),"")</f>
        <v/>
      </c>
      <c r="T460" s="194" t="str">
        <f t="array" ref="T460">IFERROR(IF(INDEX('Disaggregation Records'!$H$69:$H$152,MATCH(RIGHT(Q460,255),RIGHT('Disaggregation Records'!$D$69:$D$152,255),0))="","",INDEX('Disaggregation Records'!$H$69:$H$152,MATCH(RIGHT(Q460,255),RIGHT('Disaggregation Records'!$D$69:$D$152,255),0))),"")</f>
        <v/>
      </c>
      <c r="U460" s="194">
        <f>U458+1</f>
        <v>1739</v>
      </c>
      <c r="V460" s="194" t="str">
        <f t="array" ref="V460">IFERROR(IF(INDEX('Disaggregation Records'!$I$69:$I$152,MATCH(RIGHT(Q460,255),RIGHT('Disaggregation Records'!$D$69:$D$152,255),0))="","",INDEX('Disaggregation Records'!$I$69:$I$152,MATCH(RIGHT(Q460,255),RIGHT('Disaggregation Records'!$D$69:$D$152,255),0))),"")</f>
        <v/>
      </c>
      <c r="W460" s="194" t="str">
        <f>IFERROR(INDEX('Reference Records'!P$23:P$74,MATCH(LEFT(C460,255),'Reference Records'!J$23:J$74,0)),"")</f>
        <v/>
      </c>
    </row>
    <row r="461" spans="1:23" s="194" customFormat="1" ht="40.4" customHeight="1" x14ac:dyDescent="0.35">
      <c r="A461" s="770"/>
      <c r="B461" s="767"/>
      <c r="C461" s="761"/>
      <c r="D461" s="769"/>
      <c r="E461" s="769"/>
      <c r="F461" s="208"/>
      <c r="G461" s="763"/>
      <c r="H461" s="744"/>
      <c r="I461" s="765"/>
      <c r="J461" s="730"/>
      <c r="K461" s="761"/>
      <c r="L461" s="761"/>
      <c r="M461" s="730"/>
      <c r="N461" s="730"/>
      <c r="V461" s="194" t="str">
        <f t="array" ref="V461">IFERROR(IF(INDEX('Disaggregation Records'!$I$69:$I$152,MATCH(RIGHT(Q461,255),RIGHT('Disaggregation Records'!$D$69:$D$152,255),0))="","",INDEX('Disaggregation Records'!$I$69:$I$152,MATCH(RIGHT(Q461,255),RIGHT('Disaggregation Records'!$D$69:$D$152,255),0))),"")</f>
        <v/>
      </c>
    </row>
    <row r="462" spans="1:23" s="194" customFormat="1" ht="40.4" customHeight="1" x14ac:dyDescent="0.35">
      <c r="A462" s="770" t="str">
        <f ca="1">INDIRECT("'update Helper'!C"&amp;U462)</f>
        <v>a1V3p000006jwBPEAY</v>
      </c>
      <c r="B462" s="766">
        <v>8</v>
      </c>
      <c r="C462" s="760" t="str">
        <f>IFERROR(VLOOKUP(B462,'Outcome Indicators - Section C '!$A$9:$AF$70,32,FALSE),"")</f>
        <v/>
      </c>
      <c r="D462" s="768" t="str">
        <f>R462</f>
        <v/>
      </c>
      <c r="E462" s="768" t="str">
        <f>S462</f>
        <v/>
      </c>
      <c r="F462" s="413"/>
      <c r="G462" s="762" t="str">
        <f ca="1">IF(OR(INDIRECT("'update Helper'!E"&amp;U462)="",F462&lt;&gt;0,F463&lt;&gt;0),IF(IFERROR((F462/F463),"")="","",(F462/F463)),INDIRECT("'update Helper'!E"&amp;U462)/100)</f>
        <v/>
      </c>
      <c r="H462" s="743"/>
      <c r="I462" s="764"/>
      <c r="J462" s="729"/>
      <c r="K462" s="760" t="str">
        <f>W462</f>
        <v/>
      </c>
      <c r="L462" s="760" t="str">
        <f>V462</f>
        <v/>
      </c>
      <c r="M462" s="729"/>
      <c r="N462" s="729"/>
      <c r="P462" s="194">
        <f>IF(AND(EXACT(C462,C460),C460&lt;&gt;0),P460+1,0)</f>
        <v>23</v>
      </c>
      <c r="Q462" s="194" t="str">
        <f>IF(C462&lt;&gt;"",C462&amp;"-"&amp;P462,"")</f>
        <v/>
      </c>
      <c r="R462" s="194" t="str">
        <f t="array" ref="R462">IFERROR(IF(INDEX('Disaggregation Records'!$E$69:$E$152,MATCH(RIGHT(Q462,255),RIGHT('Disaggregation Records'!$D$69:$D$152,255),0))="","",INDEX('Disaggregation Records'!$E$69:$E$152,MATCH(RIGHT(Q462,255),RIGHT('Disaggregation Records'!$D$69:$D$152,255),0))),"")</f>
        <v/>
      </c>
      <c r="S462" s="194" t="str">
        <f t="array" ref="S462">IFERROR(IF(INDEX('Disaggregation Records'!$F$69:$F$152,MATCH(RIGHT(Q462,255),RIGHT('Disaggregation Records'!$D$69:$D$152,255),0))="","",INDEX('Disaggregation Records'!$F$69:$F$152,MATCH(RIGHT(Q462,255),RIGHT('Disaggregation Records'!$D$69:$D$152,255),0))),"")</f>
        <v/>
      </c>
      <c r="T462" s="194" t="str">
        <f t="array" ref="T462">IFERROR(IF(INDEX('Disaggregation Records'!$H$69:$H$152,MATCH(RIGHT(Q462,255),RIGHT('Disaggregation Records'!$D$69:$D$152,255),0))="","",INDEX('Disaggregation Records'!$H$69:$H$152,MATCH(RIGHT(Q462,255),RIGHT('Disaggregation Records'!$D$69:$D$152,255),0))),"")</f>
        <v/>
      </c>
      <c r="U462" s="194">
        <f>U460+1</f>
        <v>1740</v>
      </c>
      <c r="V462" s="194" t="str">
        <f t="array" ref="V462">IFERROR(IF(INDEX('Disaggregation Records'!$I$69:$I$152,MATCH(RIGHT(Q462,255),RIGHT('Disaggregation Records'!$D$69:$D$152,255),0))="","",INDEX('Disaggregation Records'!$I$69:$I$152,MATCH(RIGHT(Q462,255),RIGHT('Disaggregation Records'!$D$69:$D$152,255),0))),"")</f>
        <v/>
      </c>
      <c r="W462" s="194" t="str">
        <f>IFERROR(INDEX('Reference Records'!P$23:P$74,MATCH(LEFT(C462,255),'Reference Records'!J$23:J$74,0)),"")</f>
        <v/>
      </c>
    </row>
    <row r="463" spans="1:23" s="194" customFormat="1" ht="40.4" customHeight="1" x14ac:dyDescent="0.35">
      <c r="A463" s="770"/>
      <c r="B463" s="767"/>
      <c r="C463" s="761"/>
      <c r="D463" s="769"/>
      <c r="E463" s="769"/>
      <c r="F463" s="208"/>
      <c r="G463" s="763"/>
      <c r="H463" s="744"/>
      <c r="I463" s="765"/>
      <c r="J463" s="730"/>
      <c r="K463" s="761"/>
      <c r="L463" s="761"/>
      <c r="M463" s="730"/>
      <c r="N463" s="730"/>
      <c r="V463" s="194" t="str">
        <f t="array" ref="V463">IFERROR(IF(INDEX('Disaggregation Records'!$I$69:$I$152,MATCH(RIGHT(Q463,255),RIGHT('Disaggregation Records'!$D$69:$D$152,255),0))="","",INDEX('Disaggregation Records'!$I$69:$I$152,MATCH(RIGHT(Q463,255),RIGHT('Disaggregation Records'!$D$69:$D$152,255),0))),"")</f>
        <v/>
      </c>
    </row>
    <row r="464" spans="1:23" s="194" customFormat="1" ht="40.4" customHeight="1" x14ac:dyDescent="0.35">
      <c r="A464" s="770" t="str">
        <f ca="1">INDIRECT("'update Helper'!C"&amp;U464)</f>
        <v>a1V3p000006jwBQEAY</v>
      </c>
      <c r="B464" s="766">
        <v>8</v>
      </c>
      <c r="C464" s="760" t="str">
        <f>IFERROR(VLOOKUP(B464,'Outcome Indicators - Section C '!$A$9:$AF$70,32,FALSE),"")</f>
        <v/>
      </c>
      <c r="D464" s="768" t="str">
        <f>R464</f>
        <v/>
      </c>
      <c r="E464" s="768" t="str">
        <f>S464</f>
        <v/>
      </c>
      <c r="F464" s="413"/>
      <c r="G464" s="762" t="str">
        <f ca="1">IF(OR(INDIRECT("'update Helper'!E"&amp;U464)="",F464&lt;&gt;0,F465&lt;&gt;0),IF(IFERROR((F464/F465),"")="","",(F464/F465)),INDIRECT("'update Helper'!E"&amp;U464)/100)</f>
        <v/>
      </c>
      <c r="H464" s="743"/>
      <c r="I464" s="764"/>
      <c r="J464" s="729"/>
      <c r="K464" s="760" t="str">
        <f>W464</f>
        <v/>
      </c>
      <c r="L464" s="760" t="str">
        <f>V464</f>
        <v/>
      </c>
      <c r="M464" s="729"/>
      <c r="N464" s="729"/>
      <c r="P464" s="194">
        <f>IF(AND(EXACT(C464,C462),C462&lt;&gt;0),P462+1,0)</f>
        <v>24</v>
      </c>
      <c r="Q464" s="194" t="str">
        <f>IF(C464&lt;&gt;"",C464&amp;"-"&amp;P464,"")</f>
        <v/>
      </c>
      <c r="R464" s="194" t="str">
        <f t="array" ref="R464">IFERROR(IF(INDEX('Disaggregation Records'!$E$69:$E$152,MATCH(RIGHT(Q464,255),RIGHT('Disaggregation Records'!$D$69:$D$152,255),0))="","",INDEX('Disaggregation Records'!$E$69:$E$152,MATCH(RIGHT(Q464,255),RIGHT('Disaggregation Records'!$D$69:$D$152,255),0))),"")</f>
        <v/>
      </c>
      <c r="S464" s="194" t="str">
        <f t="array" ref="S464">IFERROR(IF(INDEX('Disaggregation Records'!$F$69:$F$152,MATCH(RIGHT(Q464,255),RIGHT('Disaggregation Records'!$D$69:$D$152,255),0))="","",INDEX('Disaggregation Records'!$F$69:$F$152,MATCH(RIGHT(Q464,255),RIGHT('Disaggregation Records'!$D$69:$D$152,255),0))),"")</f>
        <v/>
      </c>
      <c r="T464" s="194" t="str">
        <f t="array" ref="T464">IFERROR(IF(INDEX('Disaggregation Records'!$H$69:$H$152,MATCH(RIGHT(Q464,255),RIGHT('Disaggregation Records'!$D$69:$D$152,255),0))="","",INDEX('Disaggregation Records'!$H$69:$H$152,MATCH(RIGHT(Q464,255),RIGHT('Disaggregation Records'!$D$69:$D$152,255),0))),"")</f>
        <v/>
      </c>
      <c r="U464" s="194">
        <f>U462+1</f>
        <v>1741</v>
      </c>
      <c r="V464" s="194" t="str">
        <f t="array" ref="V464">IFERROR(IF(INDEX('Disaggregation Records'!$I$69:$I$152,MATCH(RIGHT(Q464,255),RIGHT('Disaggregation Records'!$D$69:$D$152,255),0))="","",INDEX('Disaggregation Records'!$I$69:$I$152,MATCH(RIGHT(Q464,255),RIGHT('Disaggregation Records'!$D$69:$D$152,255),0))),"")</f>
        <v/>
      </c>
      <c r="W464" s="194" t="str">
        <f>IFERROR(INDEX('Reference Records'!P$23:P$74,MATCH(LEFT(C464,255),'Reference Records'!J$23:J$74,0)),"")</f>
        <v/>
      </c>
    </row>
    <row r="465" spans="1:23" s="194" customFormat="1" ht="40.4" customHeight="1" x14ac:dyDescent="0.35">
      <c r="A465" s="770"/>
      <c r="B465" s="767"/>
      <c r="C465" s="761"/>
      <c r="D465" s="769"/>
      <c r="E465" s="769"/>
      <c r="F465" s="208"/>
      <c r="G465" s="763"/>
      <c r="H465" s="744"/>
      <c r="I465" s="765"/>
      <c r="J465" s="730"/>
      <c r="K465" s="761"/>
      <c r="L465" s="761"/>
      <c r="M465" s="730"/>
      <c r="N465" s="730"/>
      <c r="V465" s="194" t="str">
        <f t="array" ref="V465">IFERROR(IF(INDEX('Disaggregation Records'!$I$69:$I$152,MATCH(RIGHT(Q465,255),RIGHT('Disaggregation Records'!$D$69:$D$152,255),0))="","",INDEX('Disaggregation Records'!$I$69:$I$152,MATCH(RIGHT(Q465,255),RIGHT('Disaggregation Records'!$D$69:$D$152,255),0))),"")</f>
        <v/>
      </c>
    </row>
    <row r="466" spans="1:23" s="194" customFormat="1" ht="40.4" customHeight="1" x14ac:dyDescent="0.35">
      <c r="A466" s="770" t="str">
        <f ca="1">INDIRECT("'update Helper'!C"&amp;U466)</f>
        <v>a1V3p000006jwBREAY</v>
      </c>
      <c r="B466" s="766">
        <v>8</v>
      </c>
      <c r="C466" s="760" t="str">
        <f>IFERROR(VLOOKUP(B466,'Outcome Indicators - Section C '!$A$9:$AF$70,32,FALSE),"")</f>
        <v/>
      </c>
      <c r="D466" s="768" t="str">
        <f>R466</f>
        <v/>
      </c>
      <c r="E466" s="768" t="str">
        <f>S466</f>
        <v/>
      </c>
      <c r="F466" s="413"/>
      <c r="G466" s="762" t="str">
        <f ca="1">IF(OR(INDIRECT("'update Helper'!E"&amp;U466)="",F466&lt;&gt;0,F467&lt;&gt;0),IF(IFERROR((F466/F467),"")="","",(F466/F467)),INDIRECT("'update Helper'!E"&amp;U466)/100)</f>
        <v/>
      </c>
      <c r="H466" s="743"/>
      <c r="I466" s="764"/>
      <c r="J466" s="729"/>
      <c r="K466" s="760" t="str">
        <f>W466</f>
        <v/>
      </c>
      <c r="L466" s="760" t="str">
        <f>V466</f>
        <v/>
      </c>
      <c r="M466" s="729"/>
      <c r="N466" s="729"/>
      <c r="P466" s="194">
        <f>IF(AND(EXACT(C466,C464),C464&lt;&gt;0),P464+1,0)</f>
        <v>25</v>
      </c>
      <c r="Q466" s="194" t="str">
        <f>IF(C466&lt;&gt;"",C466&amp;"-"&amp;P466,"")</f>
        <v/>
      </c>
      <c r="R466" s="194" t="str">
        <f t="array" ref="R466">IFERROR(IF(INDEX('Disaggregation Records'!$E$69:$E$152,MATCH(RIGHT(Q466,255),RIGHT('Disaggregation Records'!$D$69:$D$152,255),0))="","",INDEX('Disaggregation Records'!$E$69:$E$152,MATCH(RIGHT(Q466,255),RIGHT('Disaggregation Records'!$D$69:$D$152,255),0))),"")</f>
        <v/>
      </c>
      <c r="S466" s="194" t="str">
        <f t="array" ref="S466">IFERROR(IF(INDEX('Disaggregation Records'!$F$69:$F$152,MATCH(RIGHT(Q466,255),RIGHT('Disaggregation Records'!$D$69:$D$152,255),0))="","",INDEX('Disaggregation Records'!$F$69:$F$152,MATCH(RIGHT(Q466,255),RIGHT('Disaggregation Records'!$D$69:$D$152,255),0))),"")</f>
        <v/>
      </c>
      <c r="T466" s="194" t="str">
        <f t="array" ref="T466">IFERROR(IF(INDEX('Disaggregation Records'!$H$69:$H$152,MATCH(RIGHT(Q466,255),RIGHT('Disaggregation Records'!$D$69:$D$152,255),0))="","",INDEX('Disaggregation Records'!$H$69:$H$152,MATCH(RIGHT(Q466,255),RIGHT('Disaggregation Records'!$D$69:$D$152,255),0))),"")</f>
        <v/>
      </c>
      <c r="U466" s="194">
        <f>U464+1</f>
        <v>1742</v>
      </c>
      <c r="V466" s="194" t="str">
        <f t="array" ref="V466">IFERROR(IF(INDEX('Disaggregation Records'!$I$69:$I$152,MATCH(RIGHT(Q466,255),RIGHT('Disaggregation Records'!$D$69:$D$152,255),0))="","",INDEX('Disaggregation Records'!$I$69:$I$152,MATCH(RIGHT(Q466,255),RIGHT('Disaggregation Records'!$D$69:$D$152,255),0))),"")</f>
        <v/>
      </c>
      <c r="W466" s="194" t="str">
        <f>IFERROR(INDEX('Reference Records'!P$23:P$74,MATCH(LEFT(C466,255),'Reference Records'!J$23:J$74,0)),"")</f>
        <v/>
      </c>
    </row>
    <row r="467" spans="1:23" s="194" customFormat="1" ht="40.4" customHeight="1" x14ac:dyDescent="0.35">
      <c r="A467" s="770"/>
      <c r="B467" s="767"/>
      <c r="C467" s="761"/>
      <c r="D467" s="769"/>
      <c r="E467" s="769"/>
      <c r="F467" s="208"/>
      <c r="G467" s="763"/>
      <c r="H467" s="744"/>
      <c r="I467" s="765"/>
      <c r="J467" s="730"/>
      <c r="K467" s="761"/>
      <c r="L467" s="761"/>
      <c r="M467" s="730"/>
      <c r="N467" s="730"/>
      <c r="V467" s="194" t="str">
        <f t="array" ref="V467">IFERROR(IF(INDEX('Disaggregation Records'!$I$69:$I$152,MATCH(RIGHT(Q467,255),RIGHT('Disaggregation Records'!$D$69:$D$152,255),0))="","",INDEX('Disaggregation Records'!$I$69:$I$152,MATCH(RIGHT(Q467,255),RIGHT('Disaggregation Records'!$D$69:$D$152,255),0))),"")</f>
        <v/>
      </c>
    </row>
    <row r="468" spans="1:23" s="194" customFormat="1" ht="40.4" customHeight="1" x14ac:dyDescent="0.35">
      <c r="A468" s="770" t="str">
        <f ca="1">INDIRECT("'update Helper'!C"&amp;U468)</f>
        <v>a1V3p000006jwBSEAY</v>
      </c>
      <c r="B468" s="766">
        <v>8</v>
      </c>
      <c r="C468" s="760" t="str">
        <f>IFERROR(VLOOKUP(B468,'Outcome Indicators - Section C '!$A$9:$AF$70,32,FALSE),"")</f>
        <v/>
      </c>
      <c r="D468" s="768" t="str">
        <f>R468</f>
        <v/>
      </c>
      <c r="E468" s="768" t="str">
        <f>S468</f>
        <v/>
      </c>
      <c r="F468" s="413"/>
      <c r="G468" s="762" t="str">
        <f ca="1">IF(OR(INDIRECT("'update Helper'!E"&amp;U468)="",F468&lt;&gt;0,F469&lt;&gt;0),IF(IFERROR((F468/F469),"")="","",(F468/F469)),INDIRECT("'update Helper'!E"&amp;U468)/100)</f>
        <v/>
      </c>
      <c r="H468" s="743"/>
      <c r="I468" s="764"/>
      <c r="J468" s="729"/>
      <c r="K468" s="760" t="str">
        <f>W468</f>
        <v/>
      </c>
      <c r="L468" s="760" t="str">
        <f>V468</f>
        <v/>
      </c>
      <c r="M468" s="729"/>
      <c r="N468" s="729"/>
      <c r="P468" s="194">
        <f>IF(AND(EXACT(C468,C466),C466&lt;&gt;0),P466+1,0)</f>
        <v>26</v>
      </c>
      <c r="Q468" s="194" t="str">
        <f>IF(C468&lt;&gt;"",C468&amp;"-"&amp;P468,"")</f>
        <v/>
      </c>
      <c r="R468" s="194" t="str">
        <f t="array" ref="R468">IFERROR(IF(INDEX('Disaggregation Records'!$E$69:$E$152,MATCH(RIGHT(Q468,255),RIGHT('Disaggregation Records'!$D$69:$D$152,255),0))="","",INDEX('Disaggregation Records'!$E$69:$E$152,MATCH(RIGHT(Q468,255),RIGHT('Disaggregation Records'!$D$69:$D$152,255),0))),"")</f>
        <v/>
      </c>
      <c r="S468" s="194" t="str">
        <f t="array" ref="S468">IFERROR(IF(INDEX('Disaggregation Records'!$F$69:$F$152,MATCH(RIGHT(Q468,255),RIGHT('Disaggregation Records'!$D$69:$D$152,255),0))="","",INDEX('Disaggregation Records'!$F$69:$F$152,MATCH(RIGHT(Q468,255),RIGHT('Disaggregation Records'!$D$69:$D$152,255),0))),"")</f>
        <v/>
      </c>
      <c r="T468" s="194" t="str">
        <f t="array" ref="T468">IFERROR(IF(INDEX('Disaggregation Records'!$H$69:$H$152,MATCH(RIGHT(Q468,255),RIGHT('Disaggregation Records'!$D$69:$D$152,255),0))="","",INDEX('Disaggregation Records'!$H$69:$H$152,MATCH(RIGHT(Q468,255),RIGHT('Disaggregation Records'!$D$69:$D$152,255),0))),"")</f>
        <v/>
      </c>
      <c r="U468" s="194">
        <f>U466+1</f>
        <v>1743</v>
      </c>
      <c r="V468" s="194" t="str">
        <f t="array" ref="V468">IFERROR(IF(INDEX('Disaggregation Records'!$I$69:$I$152,MATCH(RIGHT(Q468,255),RIGHT('Disaggregation Records'!$D$69:$D$152,255),0))="","",INDEX('Disaggregation Records'!$I$69:$I$152,MATCH(RIGHT(Q468,255),RIGHT('Disaggregation Records'!$D$69:$D$152,255),0))),"")</f>
        <v/>
      </c>
      <c r="W468" s="194" t="str">
        <f>IFERROR(INDEX('Reference Records'!P$23:P$74,MATCH(LEFT(C468,255),'Reference Records'!J$23:J$74,0)),"")</f>
        <v/>
      </c>
    </row>
    <row r="469" spans="1:23" s="194" customFormat="1" ht="40.4" customHeight="1" x14ac:dyDescent="0.35">
      <c r="A469" s="770"/>
      <c r="B469" s="767"/>
      <c r="C469" s="761"/>
      <c r="D469" s="769"/>
      <c r="E469" s="769"/>
      <c r="F469" s="208"/>
      <c r="G469" s="763"/>
      <c r="H469" s="744"/>
      <c r="I469" s="765"/>
      <c r="J469" s="730"/>
      <c r="K469" s="761"/>
      <c r="L469" s="761"/>
      <c r="M469" s="730"/>
      <c r="N469" s="730"/>
      <c r="V469" s="194" t="str">
        <f t="array" ref="V469">IFERROR(IF(INDEX('Disaggregation Records'!$I$69:$I$152,MATCH(RIGHT(Q469,255),RIGHT('Disaggregation Records'!$D$69:$D$152,255),0))="","",INDEX('Disaggregation Records'!$I$69:$I$152,MATCH(RIGHT(Q469,255),RIGHT('Disaggregation Records'!$D$69:$D$152,255),0))),"")</f>
        <v/>
      </c>
    </row>
    <row r="470" spans="1:23" s="194" customFormat="1" ht="40.4" customHeight="1" x14ac:dyDescent="0.35">
      <c r="A470" s="770" t="str">
        <f ca="1">INDIRECT("'update Helper'!C"&amp;U470)</f>
        <v>a1V3p000006jwBTEAY</v>
      </c>
      <c r="B470" s="766">
        <v>8</v>
      </c>
      <c r="C470" s="760" t="str">
        <f>IFERROR(VLOOKUP(B470,'Outcome Indicators - Section C '!$A$9:$AF$70,32,FALSE),"")</f>
        <v/>
      </c>
      <c r="D470" s="768" t="str">
        <f>R470</f>
        <v/>
      </c>
      <c r="E470" s="768" t="str">
        <f>S470</f>
        <v/>
      </c>
      <c r="F470" s="413"/>
      <c r="G470" s="762" t="str">
        <f ca="1">IF(OR(INDIRECT("'update Helper'!E"&amp;U470)="",F470&lt;&gt;0,F471&lt;&gt;0),IF(IFERROR((F470/F471),"")="","",(F470/F471)),INDIRECT("'update Helper'!E"&amp;U470)/100)</f>
        <v/>
      </c>
      <c r="H470" s="743"/>
      <c r="I470" s="764"/>
      <c r="J470" s="729"/>
      <c r="K470" s="760" t="str">
        <f>W470</f>
        <v/>
      </c>
      <c r="L470" s="760" t="str">
        <f>V470</f>
        <v/>
      </c>
      <c r="M470" s="729"/>
      <c r="N470" s="729"/>
      <c r="P470" s="194">
        <f>IF(AND(EXACT(C470,C468),C468&lt;&gt;0),P468+1,0)</f>
        <v>27</v>
      </c>
      <c r="Q470" s="194" t="str">
        <f>IF(C470&lt;&gt;"",C470&amp;"-"&amp;P470,"")</f>
        <v/>
      </c>
      <c r="R470" s="194" t="str">
        <f t="array" ref="R470">IFERROR(IF(INDEX('Disaggregation Records'!$E$69:$E$152,MATCH(RIGHT(Q470,255),RIGHT('Disaggregation Records'!$D$69:$D$152,255),0))="","",INDEX('Disaggregation Records'!$E$69:$E$152,MATCH(RIGHT(Q470,255),RIGHT('Disaggregation Records'!$D$69:$D$152,255),0))),"")</f>
        <v/>
      </c>
      <c r="S470" s="194" t="str">
        <f t="array" ref="S470">IFERROR(IF(INDEX('Disaggregation Records'!$F$69:$F$152,MATCH(RIGHT(Q470,255),RIGHT('Disaggregation Records'!$D$69:$D$152,255),0))="","",INDEX('Disaggregation Records'!$F$69:$F$152,MATCH(RIGHT(Q470,255),RIGHT('Disaggregation Records'!$D$69:$D$152,255),0))),"")</f>
        <v/>
      </c>
      <c r="T470" s="194" t="str">
        <f t="array" ref="T470">IFERROR(IF(INDEX('Disaggregation Records'!$H$69:$H$152,MATCH(RIGHT(Q470,255),RIGHT('Disaggregation Records'!$D$69:$D$152,255),0))="","",INDEX('Disaggregation Records'!$H$69:$H$152,MATCH(RIGHT(Q470,255),RIGHT('Disaggregation Records'!$D$69:$D$152,255),0))),"")</f>
        <v/>
      </c>
      <c r="U470" s="194">
        <f>U468+1</f>
        <v>1744</v>
      </c>
      <c r="V470" s="194" t="str">
        <f t="array" ref="V470">IFERROR(IF(INDEX('Disaggregation Records'!$I$69:$I$152,MATCH(RIGHT(Q470,255),RIGHT('Disaggregation Records'!$D$69:$D$152,255),0))="","",INDEX('Disaggregation Records'!$I$69:$I$152,MATCH(RIGHT(Q470,255),RIGHT('Disaggregation Records'!$D$69:$D$152,255),0))),"")</f>
        <v/>
      </c>
      <c r="W470" s="194" t="str">
        <f>IFERROR(INDEX('Reference Records'!P$23:P$74,MATCH(LEFT(C470,255),'Reference Records'!J$23:J$74,0)),"")</f>
        <v/>
      </c>
    </row>
    <row r="471" spans="1:23" s="194" customFormat="1" ht="40.4" customHeight="1" x14ac:dyDescent="0.35">
      <c r="A471" s="770"/>
      <c r="B471" s="767"/>
      <c r="C471" s="761"/>
      <c r="D471" s="769"/>
      <c r="E471" s="769"/>
      <c r="F471" s="208"/>
      <c r="G471" s="763"/>
      <c r="H471" s="744"/>
      <c r="I471" s="765"/>
      <c r="J471" s="730"/>
      <c r="K471" s="761"/>
      <c r="L471" s="761"/>
      <c r="M471" s="730"/>
      <c r="N471" s="730"/>
      <c r="V471" s="194" t="str">
        <f t="array" ref="V471">IFERROR(IF(INDEX('Disaggregation Records'!$I$69:$I$152,MATCH(RIGHT(Q471,255),RIGHT('Disaggregation Records'!$D$69:$D$152,255),0))="","",INDEX('Disaggregation Records'!$I$69:$I$152,MATCH(RIGHT(Q471,255),RIGHT('Disaggregation Records'!$D$69:$D$152,255),0))),"")</f>
        <v/>
      </c>
    </row>
    <row r="472" spans="1:23" s="194" customFormat="1" ht="40.4" customHeight="1" x14ac:dyDescent="0.35">
      <c r="A472" s="770" t="str">
        <f ca="1">INDIRECT("'update Helper'!C"&amp;U472)</f>
        <v>a1V3p000006jwBUEAY</v>
      </c>
      <c r="B472" s="766">
        <v>8</v>
      </c>
      <c r="C472" s="760" t="str">
        <f>IFERROR(VLOOKUP(B472,'Outcome Indicators - Section C '!$A$9:$AF$70,32,FALSE),"")</f>
        <v/>
      </c>
      <c r="D472" s="768" t="str">
        <f>R472</f>
        <v/>
      </c>
      <c r="E472" s="768" t="str">
        <f>S472</f>
        <v/>
      </c>
      <c r="F472" s="413"/>
      <c r="G472" s="762" t="str">
        <f ca="1">IF(OR(INDIRECT("'update Helper'!E"&amp;U472)="",F472&lt;&gt;0,F473&lt;&gt;0),IF(IFERROR((F472/F473),"")="","",(F472/F473)),INDIRECT("'update Helper'!E"&amp;U472)/100)</f>
        <v/>
      </c>
      <c r="H472" s="743"/>
      <c r="I472" s="764"/>
      <c r="J472" s="729"/>
      <c r="K472" s="760" t="str">
        <f>W472</f>
        <v/>
      </c>
      <c r="L472" s="760" t="str">
        <f>V472</f>
        <v/>
      </c>
      <c r="M472" s="729"/>
      <c r="N472" s="729"/>
      <c r="P472" s="194">
        <f>IF(AND(EXACT(C472,C470),C470&lt;&gt;0),P470+1,0)</f>
        <v>28</v>
      </c>
      <c r="Q472" s="194" t="str">
        <f>IF(C472&lt;&gt;"",C472&amp;"-"&amp;P472,"")</f>
        <v/>
      </c>
      <c r="R472" s="194" t="str">
        <f t="array" ref="R472">IFERROR(IF(INDEX('Disaggregation Records'!$E$69:$E$152,MATCH(RIGHT(Q472,255),RIGHT('Disaggregation Records'!$D$69:$D$152,255),0))="","",INDEX('Disaggregation Records'!$E$69:$E$152,MATCH(RIGHT(Q472,255),RIGHT('Disaggregation Records'!$D$69:$D$152,255),0))),"")</f>
        <v/>
      </c>
      <c r="S472" s="194" t="str">
        <f t="array" ref="S472">IFERROR(IF(INDEX('Disaggregation Records'!$F$69:$F$152,MATCH(RIGHT(Q472,255),RIGHT('Disaggregation Records'!$D$69:$D$152,255),0))="","",INDEX('Disaggregation Records'!$F$69:$F$152,MATCH(RIGHT(Q472,255),RIGHT('Disaggregation Records'!$D$69:$D$152,255),0))),"")</f>
        <v/>
      </c>
      <c r="T472" s="194" t="str">
        <f t="array" ref="T472">IFERROR(IF(INDEX('Disaggregation Records'!$H$69:$H$152,MATCH(RIGHT(Q472,255),RIGHT('Disaggregation Records'!$D$69:$D$152,255),0))="","",INDEX('Disaggregation Records'!$H$69:$H$152,MATCH(RIGHT(Q472,255),RIGHT('Disaggregation Records'!$D$69:$D$152,255),0))),"")</f>
        <v/>
      </c>
      <c r="U472" s="194">
        <f>U470+1</f>
        <v>1745</v>
      </c>
      <c r="V472" s="194" t="str">
        <f t="array" ref="V472">IFERROR(IF(INDEX('Disaggregation Records'!$I$69:$I$152,MATCH(RIGHT(Q472,255),RIGHT('Disaggregation Records'!$D$69:$D$152,255),0))="","",INDEX('Disaggregation Records'!$I$69:$I$152,MATCH(RIGHT(Q472,255),RIGHT('Disaggregation Records'!$D$69:$D$152,255),0))),"")</f>
        <v/>
      </c>
      <c r="W472" s="194" t="str">
        <f>IFERROR(INDEX('Reference Records'!P$23:P$74,MATCH(LEFT(C472,255),'Reference Records'!J$23:J$74,0)),"")</f>
        <v/>
      </c>
    </row>
    <row r="473" spans="1:23" s="194" customFormat="1" ht="40.4" customHeight="1" x14ac:dyDescent="0.35">
      <c r="A473" s="770"/>
      <c r="B473" s="767"/>
      <c r="C473" s="761"/>
      <c r="D473" s="769"/>
      <c r="E473" s="769"/>
      <c r="F473" s="208"/>
      <c r="G473" s="763"/>
      <c r="H473" s="744"/>
      <c r="I473" s="765"/>
      <c r="J473" s="730"/>
      <c r="K473" s="761"/>
      <c r="L473" s="761"/>
      <c r="M473" s="730"/>
      <c r="N473" s="730"/>
      <c r="V473" s="194" t="str">
        <f t="array" ref="V473">IFERROR(IF(INDEX('Disaggregation Records'!$I$69:$I$152,MATCH(RIGHT(Q473,255),RIGHT('Disaggregation Records'!$D$69:$D$152,255),0))="","",INDEX('Disaggregation Records'!$I$69:$I$152,MATCH(RIGHT(Q473,255),RIGHT('Disaggregation Records'!$D$69:$D$152,255),0))),"")</f>
        <v/>
      </c>
    </row>
    <row r="474" spans="1:23" s="194" customFormat="1" ht="40.4" customHeight="1" x14ac:dyDescent="0.35">
      <c r="A474" s="770" t="str">
        <f ca="1">INDIRECT("'update Helper'!C"&amp;U474)</f>
        <v>a1V3p000006jwBVEAY</v>
      </c>
      <c r="B474" s="766">
        <v>8</v>
      </c>
      <c r="C474" s="760" t="str">
        <f>IFERROR(VLOOKUP(B474,'Outcome Indicators - Section C '!$A$9:$AF$70,32,FALSE),"")</f>
        <v/>
      </c>
      <c r="D474" s="768" t="str">
        <f>R474</f>
        <v/>
      </c>
      <c r="E474" s="768" t="str">
        <f>S474</f>
        <v/>
      </c>
      <c r="F474" s="413"/>
      <c r="G474" s="762" t="str">
        <f ca="1">IF(OR(INDIRECT("'update Helper'!E"&amp;U474)="",F474&lt;&gt;0,F475&lt;&gt;0),IF(IFERROR((F474/F475),"")="","",(F474/F475)),INDIRECT("'update Helper'!E"&amp;U474)/100)</f>
        <v/>
      </c>
      <c r="H474" s="743"/>
      <c r="I474" s="764"/>
      <c r="J474" s="729"/>
      <c r="K474" s="760" t="str">
        <f>W474</f>
        <v/>
      </c>
      <c r="L474" s="760" t="str">
        <f>V474</f>
        <v/>
      </c>
      <c r="M474" s="729"/>
      <c r="N474" s="729"/>
      <c r="P474" s="194">
        <f>IF(AND(EXACT(C474,C472),C472&lt;&gt;0),P472+1,0)</f>
        <v>29</v>
      </c>
      <c r="Q474" s="194" t="str">
        <f>IF(C474&lt;&gt;"",C474&amp;"-"&amp;P474,"")</f>
        <v/>
      </c>
      <c r="R474" s="194" t="str">
        <f t="array" ref="R474">IFERROR(IF(INDEX('Disaggregation Records'!$E$69:$E$152,MATCH(RIGHT(Q474,255),RIGHT('Disaggregation Records'!$D$69:$D$152,255),0))="","",INDEX('Disaggregation Records'!$E$69:$E$152,MATCH(RIGHT(Q474,255),RIGHT('Disaggregation Records'!$D$69:$D$152,255),0))),"")</f>
        <v/>
      </c>
      <c r="S474" s="194" t="str">
        <f t="array" ref="S474">IFERROR(IF(INDEX('Disaggregation Records'!$F$69:$F$152,MATCH(RIGHT(Q474,255),RIGHT('Disaggregation Records'!$D$69:$D$152,255),0))="","",INDEX('Disaggregation Records'!$F$69:$F$152,MATCH(RIGHT(Q474,255),RIGHT('Disaggregation Records'!$D$69:$D$152,255),0))),"")</f>
        <v/>
      </c>
      <c r="T474" s="194" t="str">
        <f t="array" ref="T474">IFERROR(IF(INDEX('Disaggregation Records'!$H$69:$H$152,MATCH(RIGHT(Q474,255),RIGHT('Disaggregation Records'!$D$69:$D$152,255),0))="","",INDEX('Disaggregation Records'!$H$69:$H$152,MATCH(RIGHT(Q474,255),RIGHT('Disaggregation Records'!$D$69:$D$152,255),0))),"")</f>
        <v/>
      </c>
      <c r="U474" s="194">
        <f>U472+1</f>
        <v>1746</v>
      </c>
      <c r="V474" s="194" t="str">
        <f t="array" ref="V474">IFERROR(IF(INDEX('Disaggregation Records'!$I$69:$I$152,MATCH(RIGHT(Q474,255),RIGHT('Disaggregation Records'!$D$69:$D$152,255),0))="","",INDEX('Disaggregation Records'!$I$69:$I$152,MATCH(RIGHT(Q474,255),RIGHT('Disaggregation Records'!$D$69:$D$152,255),0))),"")</f>
        <v/>
      </c>
      <c r="W474" s="194" t="str">
        <f>IFERROR(INDEX('Reference Records'!P$23:P$74,MATCH(LEFT(C474,255),'Reference Records'!J$23:J$74,0)),"")</f>
        <v/>
      </c>
    </row>
    <row r="475" spans="1:23" s="194" customFormat="1" ht="40.4" customHeight="1" x14ac:dyDescent="0.35">
      <c r="A475" s="770"/>
      <c r="B475" s="767"/>
      <c r="C475" s="761"/>
      <c r="D475" s="769"/>
      <c r="E475" s="769"/>
      <c r="F475" s="208"/>
      <c r="G475" s="763"/>
      <c r="H475" s="744"/>
      <c r="I475" s="765"/>
      <c r="J475" s="730"/>
      <c r="K475" s="761"/>
      <c r="L475" s="761"/>
      <c r="M475" s="730"/>
      <c r="N475" s="730"/>
      <c r="V475" s="194" t="str">
        <f t="array" ref="V475">IFERROR(IF(INDEX('Disaggregation Records'!$I$69:$I$152,MATCH(RIGHT(Q475,255),RIGHT('Disaggregation Records'!$D$69:$D$152,255),0))="","",INDEX('Disaggregation Records'!$I$69:$I$152,MATCH(RIGHT(Q475,255),RIGHT('Disaggregation Records'!$D$69:$D$152,255),0))),"")</f>
        <v/>
      </c>
    </row>
    <row r="476" spans="1:23" s="194" customFormat="1" ht="40.4" customHeight="1" x14ac:dyDescent="0.35">
      <c r="A476" s="770" t="str">
        <f ca="1">INDIRECT("'update Helper'!C"&amp;U476)</f>
        <v>a1V3p000006jw96EAA</v>
      </c>
      <c r="B476" s="766">
        <v>9</v>
      </c>
      <c r="C476" s="760" t="str">
        <f>IFERROR(VLOOKUP(B476,'Outcome Indicators - Section C '!$A$9:$AF$70,32,FALSE),"")</f>
        <v/>
      </c>
      <c r="D476" s="768" t="str">
        <f>R476</f>
        <v/>
      </c>
      <c r="E476" s="768" t="str">
        <f>S476</f>
        <v/>
      </c>
      <c r="F476" s="413"/>
      <c r="G476" s="762" t="str">
        <f ca="1">IF(OR(INDIRECT("'update Helper'!E"&amp;U476)="",F476&lt;&gt;0,F477&lt;&gt;0),IF(IFERROR((F476/F477),"")="","",(F476/F477)),INDIRECT("'update Helper'!E"&amp;U476)/100)</f>
        <v/>
      </c>
      <c r="H476" s="743"/>
      <c r="I476" s="764"/>
      <c r="J476" s="729"/>
      <c r="K476" s="760" t="str">
        <f>W476</f>
        <v/>
      </c>
      <c r="L476" s="760" t="str">
        <f>V476</f>
        <v/>
      </c>
      <c r="M476" s="729"/>
      <c r="N476" s="729"/>
      <c r="P476" s="194">
        <f>IF(AND(EXACT(C476,C474),C474&lt;&gt;0),P474+1,0)</f>
        <v>30</v>
      </c>
      <c r="Q476" s="194" t="str">
        <f>IF(C476&lt;&gt;"",C476&amp;"-"&amp;P476,"")</f>
        <v/>
      </c>
      <c r="R476" s="194" t="str">
        <f t="array" ref="R476">IFERROR(IF(INDEX('Disaggregation Records'!$E$69:$E$152,MATCH(RIGHT(Q476,255),RIGHT('Disaggregation Records'!$D$69:$D$152,255),0))="","",INDEX('Disaggregation Records'!$E$69:$E$152,MATCH(RIGHT(Q476,255),RIGHT('Disaggregation Records'!$D$69:$D$152,255),0))),"")</f>
        <v/>
      </c>
      <c r="S476" s="194" t="str">
        <f t="array" ref="S476">IFERROR(IF(INDEX('Disaggregation Records'!$F$69:$F$152,MATCH(RIGHT(Q476,255),RIGHT('Disaggregation Records'!$D$69:$D$152,255),0))="","",INDEX('Disaggregation Records'!$F$69:$F$152,MATCH(RIGHT(Q476,255),RIGHT('Disaggregation Records'!$D$69:$D$152,255),0))),"")</f>
        <v/>
      </c>
      <c r="T476" s="194" t="str">
        <f t="array" ref="T476">IFERROR(IF(INDEX('Disaggregation Records'!$H$69:$H$152,MATCH(RIGHT(Q476,255),RIGHT('Disaggregation Records'!$D$69:$D$152,255),0))="","",INDEX('Disaggregation Records'!$H$69:$H$152,MATCH(RIGHT(Q476,255),RIGHT('Disaggregation Records'!$D$69:$D$152,255),0))),"")</f>
        <v/>
      </c>
      <c r="U476" s="194">
        <f>U474+1</f>
        <v>1747</v>
      </c>
      <c r="V476" s="194" t="str">
        <f t="array" ref="V476">IFERROR(IF(INDEX('Disaggregation Records'!$I$69:$I$152,MATCH(RIGHT(Q476,255),RIGHT('Disaggregation Records'!$D$69:$D$152,255),0))="","",INDEX('Disaggregation Records'!$I$69:$I$152,MATCH(RIGHT(Q476,255),RIGHT('Disaggregation Records'!$D$69:$D$152,255),0))),"")</f>
        <v/>
      </c>
      <c r="W476" s="194" t="str">
        <f>IFERROR(INDEX('Reference Records'!P$23:P$74,MATCH(LEFT(C476,255),'Reference Records'!J$23:J$74,0)),"")</f>
        <v/>
      </c>
    </row>
    <row r="477" spans="1:23" s="194" customFormat="1" ht="40.4" customHeight="1" x14ac:dyDescent="0.35">
      <c r="A477" s="770"/>
      <c r="B477" s="767"/>
      <c r="C477" s="761"/>
      <c r="D477" s="769"/>
      <c r="E477" s="769"/>
      <c r="F477" s="208"/>
      <c r="G477" s="763"/>
      <c r="H477" s="744"/>
      <c r="I477" s="765"/>
      <c r="J477" s="730"/>
      <c r="K477" s="761"/>
      <c r="L477" s="761"/>
      <c r="M477" s="730"/>
      <c r="N477" s="730"/>
      <c r="V477" s="194" t="str">
        <f t="array" ref="V477">IFERROR(IF(INDEX('Disaggregation Records'!$I$69:$I$152,MATCH(RIGHT(Q477,255),RIGHT('Disaggregation Records'!$D$69:$D$152,255),0))="","",INDEX('Disaggregation Records'!$I$69:$I$152,MATCH(RIGHT(Q477,255),RIGHT('Disaggregation Records'!$D$69:$D$152,255),0))),"")</f>
        <v/>
      </c>
    </row>
    <row r="478" spans="1:23" s="194" customFormat="1" ht="40.4" customHeight="1" x14ac:dyDescent="0.35">
      <c r="A478" s="770" t="str">
        <f ca="1">INDIRECT("'update Helper'!C"&amp;U478)</f>
        <v>a1V3p000006jw97EAA</v>
      </c>
      <c r="B478" s="766">
        <v>9</v>
      </c>
      <c r="C478" s="760" t="str">
        <f>IFERROR(VLOOKUP(B478,'Outcome Indicators - Section C '!$A$9:$AF$70,32,FALSE),"")</f>
        <v/>
      </c>
      <c r="D478" s="768" t="str">
        <f>R478</f>
        <v/>
      </c>
      <c r="E478" s="768" t="str">
        <f>S478</f>
        <v/>
      </c>
      <c r="F478" s="413"/>
      <c r="G478" s="762" t="str">
        <f ca="1">IF(OR(INDIRECT("'update Helper'!E"&amp;U478)="",F478&lt;&gt;0,F479&lt;&gt;0),IF(IFERROR((F478/F479),"")="","",(F478/F479)),INDIRECT("'update Helper'!E"&amp;U478)/100)</f>
        <v/>
      </c>
      <c r="H478" s="743"/>
      <c r="I478" s="764"/>
      <c r="J478" s="729"/>
      <c r="K478" s="760" t="str">
        <f>W478</f>
        <v/>
      </c>
      <c r="L478" s="760" t="str">
        <f>V478</f>
        <v/>
      </c>
      <c r="M478" s="729"/>
      <c r="N478" s="729"/>
      <c r="P478" s="194">
        <f>IF(AND(EXACT(C478,C476),C476&lt;&gt;0),P476+1,0)</f>
        <v>31</v>
      </c>
      <c r="Q478" s="194" t="str">
        <f>IF(C478&lt;&gt;"",C478&amp;"-"&amp;P478,"")</f>
        <v/>
      </c>
      <c r="R478" s="194" t="str">
        <f t="array" ref="R478">IFERROR(IF(INDEX('Disaggregation Records'!$E$69:$E$152,MATCH(RIGHT(Q478,255),RIGHT('Disaggregation Records'!$D$69:$D$152,255),0))="","",INDEX('Disaggregation Records'!$E$69:$E$152,MATCH(RIGHT(Q478,255),RIGHT('Disaggregation Records'!$D$69:$D$152,255),0))),"")</f>
        <v/>
      </c>
      <c r="S478" s="194" t="str">
        <f t="array" ref="S478">IFERROR(IF(INDEX('Disaggregation Records'!$F$69:$F$152,MATCH(RIGHT(Q478,255),RIGHT('Disaggregation Records'!$D$69:$D$152,255),0))="","",INDEX('Disaggregation Records'!$F$69:$F$152,MATCH(RIGHT(Q478,255),RIGHT('Disaggregation Records'!$D$69:$D$152,255),0))),"")</f>
        <v/>
      </c>
      <c r="T478" s="194" t="str">
        <f t="array" ref="T478">IFERROR(IF(INDEX('Disaggregation Records'!$H$69:$H$152,MATCH(RIGHT(Q478,255),RIGHT('Disaggregation Records'!$D$69:$D$152,255),0))="","",INDEX('Disaggregation Records'!$H$69:$H$152,MATCH(RIGHT(Q478,255),RIGHT('Disaggregation Records'!$D$69:$D$152,255),0))),"")</f>
        <v/>
      </c>
      <c r="U478" s="194">
        <f>U476+1</f>
        <v>1748</v>
      </c>
      <c r="V478" s="194" t="str">
        <f t="array" ref="V478">IFERROR(IF(INDEX('Disaggregation Records'!$I$69:$I$152,MATCH(RIGHT(Q478,255),RIGHT('Disaggregation Records'!$D$69:$D$152,255),0))="","",INDEX('Disaggregation Records'!$I$69:$I$152,MATCH(RIGHT(Q478,255),RIGHT('Disaggregation Records'!$D$69:$D$152,255),0))),"")</f>
        <v/>
      </c>
      <c r="W478" s="194" t="str">
        <f>IFERROR(INDEX('Reference Records'!P$23:P$74,MATCH(LEFT(C478,255),'Reference Records'!J$23:J$74,0)),"")</f>
        <v/>
      </c>
    </row>
    <row r="479" spans="1:23" s="194" customFormat="1" ht="40.4" customHeight="1" x14ac:dyDescent="0.35">
      <c r="A479" s="770"/>
      <c r="B479" s="767"/>
      <c r="C479" s="761"/>
      <c r="D479" s="769"/>
      <c r="E479" s="769"/>
      <c r="F479" s="208"/>
      <c r="G479" s="763"/>
      <c r="H479" s="744"/>
      <c r="I479" s="765"/>
      <c r="J479" s="730"/>
      <c r="K479" s="761"/>
      <c r="L479" s="761"/>
      <c r="M479" s="730"/>
      <c r="N479" s="730"/>
      <c r="V479" s="194" t="str">
        <f t="array" ref="V479">IFERROR(IF(INDEX('Disaggregation Records'!$I$69:$I$152,MATCH(RIGHT(Q479,255),RIGHT('Disaggregation Records'!$D$69:$D$152,255),0))="","",INDEX('Disaggregation Records'!$I$69:$I$152,MATCH(RIGHT(Q479,255),RIGHT('Disaggregation Records'!$D$69:$D$152,255),0))),"")</f>
        <v/>
      </c>
    </row>
    <row r="480" spans="1:23" s="194" customFormat="1" ht="40.4" customHeight="1" x14ac:dyDescent="0.35">
      <c r="A480" s="770" t="str">
        <f ca="1">INDIRECT("'update Helper'!C"&amp;U480)</f>
        <v>a1V3p000006jw98EAA</v>
      </c>
      <c r="B480" s="766">
        <v>9</v>
      </c>
      <c r="C480" s="760" t="str">
        <f>IFERROR(VLOOKUP(B480,'Outcome Indicators - Section C '!$A$9:$AF$70,32,FALSE),"")</f>
        <v/>
      </c>
      <c r="D480" s="768" t="str">
        <f>R480</f>
        <v/>
      </c>
      <c r="E480" s="768" t="str">
        <f>S480</f>
        <v/>
      </c>
      <c r="F480" s="413"/>
      <c r="G480" s="762" t="str">
        <f ca="1">IF(OR(INDIRECT("'update Helper'!E"&amp;U480)="",F480&lt;&gt;0,F481&lt;&gt;0),IF(IFERROR((F480/F481),"")="","",(F480/F481)),INDIRECT("'update Helper'!E"&amp;U480)/100)</f>
        <v/>
      </c>
      <c r="H480" s="743"/>
      <c r="I480" s="764"/>
      <c r="J480" s="729"/>
      <c r="K480" s="760" t="str">
        <f>W480</f>
        <v/>
      </c>
      <c r="L480" s="760" t="str">
        <f>V480</f>
        <v/>
      </c>
      <c r="M480" s="729"/>
      <c r="N480" s="729"/>
      <c r="P480" s="194">
        <f>IF(AND(EXACT(C480,C478),C478&lt;&gt;0),P478+1,0)</f>
        <v>32</v>
      </c>
      <c r="Q480" s="194" t="str">
        <f>IF(C480&lt;&gt;"",C480&amp;"-"&amp;P480,"")</f>
        <v/>
      </c>
      <c r="R480" s="194" t="str">
        <f t="array" ref="R480">IFERROR(IF(INDEX('Disaggregation Records'!$E$69:$E$152,MATCH(RIGHT(Q480,255),RIGHT('Disaggregation Records'!$D$69:$D$152,255),0))="","",INDEX('Disaggregation Records'!$E$69:$E$152,MATCH(RIGHT(Q480,255),RIGHT('Disaggregation Records'!$D$69:$D$152,255),0))),"")</f>
        <v/>
      </c>
      <c r="S480" s="194" t="str">
        <f t="array" ref="S480">IFERROR(IF(INDEX('Disaggregation Records'!$F$69:$F$152,MATCH(RIGHT(Q480,255),RIGHT('Disaggregation Records'!$D$69:$D$152,255),0))="","",INDEX('Disaggregation Records'!$F$69:$F$152,MATCH(RIGHT(Q480,255),RIGHT('Disaggregation Records'!$D$69:$D$152,255),0))),"")</f>
        <v/>
      </c>
      <c r="T480" s="194" t="str">
        <f t="array" ref="T480">IFERROR(IF(INDEX('Disaggregation Records'!$H$69:$H$152,MATCH(RIGHT(Q480,255),RIGHT('Disaggregation Records'!$D$69:$D$152,255),0))="","",INDEX('Disaggregation Records'!$H$69:$H$152,MATCH(RIGHT(Q480,255),RIGHT('Disaggregation Records'!$D$69:$D$152,255),0))),"")</f>
        <v/>
      </c>
      <c r="U480" s="194">
        <f>U478+1</f>
        <v>1749</v>
      </c>
      <c r="V480" s="194" t="str">
        <f t="array" ref="V480">IFERROR(IF(INDEX('Disaggregation Records'!$I$69:$I$152,MATCH(RIGHT(Q480,255),RIGHT('Disaggregation Records'!$D$69:$D$152,255),0))="","",INDEX('Disaggregation Records'!$I$69:$I$152,MATCH(RIGHT(Q480,255),RIGHT('Disaggregation Records'!$D$69:$D$152,255),0))),"")</f>
        <v/>
      </c>
      <c r="W480" s="194" t="str">
        <f>IFERROR(INDEX('Reference Records'!P$23:P$74,MATCH(LEFT(C480,255),'Reference Records'!J$23:J$74,0)),"")</f>
        <v/>
      </c>
    </row>
    <row r="481" spans="1:23" s="194" customFormat="1" ht="40.4" customHeight="1" x14ac:dyDescent="0.35">
      <c r="A481" s="770"/>
      <c r="B481" s="767"/>
      <c r="C481" s="761"/>
      <c r="D481" s="769"/>
      <c r="E481" s="769"/>
      <c r="F481" s="208"/>
      <c r="G481" s="763"/>
      <c r="H481" s="744"/>
      <c r="I481" s="765"/>
      <c r="J481" s="730"/>
      <c r="K481" s="761"/>
      <c r="L481" s="761"/>
      <c r="M481" s="730"/>
      <c r="N481" s="730"/>
      <c r="V481" s="194" t="str">
        <f t="array" ref="V481">IFERROR(IF(INDEX('Disaggregation Records'!$I$69:$I$152,MATCH(RIGHT(Q481,255),RIGHT('Disaggregation Records'!$D$69:$D$152,255),0))="","",INDEX('Disaggregation Records'!$I$69:$I$152,MATCH(RIGHT(Q481,255),RIGHT('Disaggregation Records'!$D$69:$D$152,255),0))),"")</f>
        <v/>
      </c>
    </row>
    <row r="482" spans="1:23" s="194" customFormat="1" ht="40.4" customHeight="1" x14ac:dyDescent="0.35">
      <c r="A482" s="770" t="str">
        <f ca="1">INDIRECT("'update Helper'!C"&amp;U482)</f>
        <v>a1V3p000006jw99EAA</v>
      </c>
      <c r="B482" s="766">
        <v>9</v>
      </c>
      <c r="C482" s="760" t="str">
        <f>IFERROR(VLOOKUP(B482,'Outcome Indicators - Section C '!$A$9:$AF$70,32,FALSE),"")</f>
        <v/>
      </c>
      <c r="D482" s="768" t="str">
        <f>R482</f>
        <v/>
      </c>
      <c r="E482" s="768" t="str">
        <f>S482</f>
        <v/>
      </c>
      <c r="F482" s="413"/>
      <c r="G482" s="762" t="str">
        <f ca="1">IF(OR(INDIRECT("'update Helper'!E"&amp;U482)="",F482&lt;&gt;0,F483&lt;&gt;0),IF(IFERROR((F482/F483),"")="","",(F482/F483)),INDIRECT("'update Helper'!E"&amp;U482)/100)</f>
        <v/>
      </c>
      <c r="H482" s="743"/>
      <c r="I482" s="764"/>
      <c r="J482" s="729"/>
      <c r="K482" s="760" t="str">
        <f>W482</f>
        <v/>
      </c>
      <c r="L482" s="760" t="str">
        <f>V482</f>
        <v/>
      </c>
      <c r="M482" s="729"/>
      <c r="N482" s="729"/>
      <c r="P482" s="194">
        <f>IF(AND(EXACT(C482,C480),C480&lt;&gt;0),P480+1,0)</f>
        <v>33</v>
      </c>
      <c r="Q482" s="194" t="str">
        <f>IF(C482&lt;&gt;"",C482&amp;"-"&amp;P482,"")</f>
        <v/>
      </c>
      <c r="R482" s="194" t="str">
        <f t="array" ref="R482">IFERROR(IF(INDEX('Disaggregation Records'!$E$69:$E$152,MATCH(RIGHT(Q482,255),RIGHT('Disaggregation Records'!$D$69:$D$152,255),0))="","",INDEX('Disaggregation Records'!$E$69:$E$152,MATCH(RIGHT(Q482,255),RIGHT('Disaggregation Records'!$D$69:$D$152,255),0))),"")</f>
        <v/>
      </c>
      <c r="S482" s="194" t="str">
        <f t="array" ref="S482">IFERROR(IF(INDEX('Disaggregation Records'!$F$69:$F$152,MATCH(RIGHT(Q482,255),RIGHT('Disaggregation Records'!$D$69:$D$152,255),0))="","",INDEX('Disaggregation Records'!$F$69:$F$152,MATCH(RIGHT(Q482,255),RIGHT('Disaggregation Records'!$D$69:$D$152,255),0))),"")</f>
        <v/>
      </c>
      <c r="T482" s="194" t="str">
        <f t="array" ref="T482">IFERROR(IF(INDEX('Disaggregation Records'!$H$69:$H$152,MATCH(RIGHT(Q482,255),RIGHT('Disaggregation Records'!$D$69:$D$152,255),0))="","",INDEX('Disaggregation Records'!$H$69:$H$152,MATCH(RIGHT(Q482,255),RIGHT('Disaggregation Records'!$D$69:$D$152,255),0))),"")</f>
        <v/>
      </c>
      <c r="U482" s="194">
        <f>U480+1</f>
        <v>1750</v>
      </c>
      <c r="V482" s="194" t="str">
        <f t="array" ref="V482">IFERROR(IF(INDEX('Disaggregation Records'!$I$69:$I$152,MATCH(RIGHT(Q482,255),RIGHT('Disaggregation Records'!$D$69:$D$152,255),0))="","",INDEX('Disaggregation Records'!$I$69:$I$152,MATCH(RIGHT(Q482,255),RIGHT('Disaggregation Records'!$D$69:$D$152,255),0))),"")</f>
        <v/>
      </c>
      <c r="W482" s="194" t="str">
        <f>IFERROR(INDEX('Reference Records'!P$23:P$74,MATCH(LEFT(C482,255),'Reference Records'!J$23:J$74,0)),"")</f>
        <v/>
      </c>
    </row>
    <row r="483" spans="1:23" s="194" customFormat="1" ht="40.4" customHeight="1" x14ac:dyDescent="0.35">
      <c r="A483" s="770"/>
      <c r="B483" s="767"/>
      <c r="C483" s="761"/>
      <c r="D483" s="769"/>
      <c r="E483" s="769"/>
      <c r="F483" s="208"/>
      <c r="G483" s="763"/>
      <c r="H483" s="744"/>
      <c r="I483" s="765"/>
      <c r="J483" s="730"/>
      <c r="K483" s="761"/>
      <c r="L483" s="761"/>
      <c r="M483" s="730"/>
      <c r="N483" s="730"/>
      <c r="V483" s="194" t="str">
        <f t="array" ref="V483">IFERROR(IF(INDEX('Disaggregation Records'!$I$69:$I$152,MATCH(RIGHT(Q483,255),RIGHT('Disaggregation Records'!$D$69:$D$152,255),0))="","",INDEX('Disaggregation Records'!$I$69:$I$152,MATCH(RIGHT(Q483,255),RIGHT('Disaggregation Records'!$D$69:$D$152,255),0))),"")</f>
        <v/>
      </c>
    </row>
    <row r="484" spans="1:23" s="194" customFormat="1" ht="40.4" customHeight="1" x14ac:dyDescent="0.35">
      <c r="A484" s="770" t="str">
        <f ca="1">INDIRECT("'update Helper'!C"&amp;U484)</f>
        <v>a1V3p000006jw9AEAQ</v>
      </c>
      <c r="B484" s="766">
        <v>9</v>
      </c>
      <c r="C484" s="760" t="str">
        <f>IFERROR(VLOOKUP(B484,'Outcome Indicators - Section C '!$A$9:$AF$70,32,FALSE),"")</f>
        <v/>
      </c>
      <c r="D484" s="768" t="str">
        <f>R484</f>
        <v/>
      </c>
      <c r="E484" s="768" t="str">
        <f>S484</f>
        <v/>
      </c>
      <c r="F484" s="413"/>
      <c r="G484" s="762" t="str">
        <f ca="1">IF(OR(INDIRECT("'update Helper'!E"&amp;U484)="",F484&lt;&gt;0,F485&lt;&gt;0),IF(IFERROR((F484/F485),"")="","",(F484/F485)),INDIRECT("'update Helper'!E"&amp;U484)/100)</f>
        <v/>
      </c>
      <c r="H484" s="743"/>
      <c r="I484" s="764"/>
      <c r="J484" s="729"/>
      <c r="K484" s="760" t="str">
        <f>W484</f>
        <v/>
      </c>
      <c r="L484" s="760" t="str">
        <f>V484</f>
        <v/>
      </c>
      <c r="M484" s="729"/>
      <c r="N484" s="729"/>
      <c r="P484" s="194">
        <f>IF(AND(EXACT(C484,C482),C482&lt;&gt;0),P482+1,0)</f>
        <v>34</v>
      </c>
      <c r="Q484" s="194" t="str">
        <f>IF(C484&lt;&gt;"",C484&amp;"-"&amp;P484,"")</f>
        <v/>
      </c>
      <c r="R484" s="194" t="str">
        <f t="array" ref="R484">IFERROR(IF(INDEX('Disaggregation Records'!$E$69:$E$152,MATCH(RIGHT(Q484,255),RIGHT('Disaggregation Records'!$D$69:$D$152,255),0))="","",INDEX('Disaggregation Records'!$E$69:$E$152,MATCH(RIGHT(Q484,255),RIGHT('Disaggregation Records'!$D$69:$D$152,255),0))),"")</f>
        <v/>
      </c>
      <c r="S484" s="194" t="str">
        <f t="array" ref="S484">IFERROR(IF(INDEX('Disaggregation Records'!$F$69:$F$152,MATCH(RIGHT(Q484,255),RIGHT('Disaggregation Records'!$D$69:$D$152,255),0))="","",INDEX('Disaggregation Records'!$F$69:$F$152,MATCH(RIGHT(Q484,255),RIGHT('Disaggregation Records'!$D$69:$D$152,255),0))),"")</f>
        <v/>
      </c>
      <c r="T484" s="194" t="str">
        <f t="array" ref="T484">IFERROR(IF(INDEX('Disaggregation Records'!$H$69:$H$152,MATCH(RIGHT(Q484,255),RIGHT('Disaggregation Records'!$D$69:$D$152,255),0))="","",INDEX('Disaggregation Records'!$H$69:$H$152,MATCH(RIGHT(Q484,255),RIGHT('Disaggregation Records'!$D$69:$D$152,255),0))),"")</f>
        <v/>
      </c>
      <c r="U484" s="194">
        <f>U482+1</f>
        <v>1751</v>
      </c>
      <c r="V484" s="194" t="str">
        <f t="array" ref="V484">IFERROR(IF(INDEX('Disaggregation Records'!$I$69:$I$152,MATCH(RIGHT(Q484,255),RIGHT('Disaggregation Records'!$D$69:$D$152,255),0))="","",INDEX('Disaggregation Records'!$I$69:$I$152,MATCH(RIGHT(Q484,255),RIGHT('Disaggregation Records'!$D$69:$D$152,255),0))),"")</f>
        <v/>
      </c>
      <c r="W484" s="194" t="str">
        <f>IFERROR(INDEX('Reference Records'!P$23:P$74,MATCH(LEFT(C484,255),'Reference Records'!J$23:J$74,0)),"")</f>
        <v/>
      </c>
    </row>
    <row r="485" spans="1:23" s="194" customFormat="1" ht="40.4" customHeight="1" x14ac:dyDescent="0.35">
      <c r="A485" s="770"/>
      <c r="B485" s="767"/>
      <c r="C485" s="761"/>
      <c r="D485" s="769"/>
      <c r="E485" s="769"/>
      <c r="F485" s="208"/>
      <c r="G485" s="763"/>
      <c r="H485" s="744"/>
      <c r="I485" s="765"/>
      <c r="J485" s="730"/>
      <c r="K485" s="761"/>
      <c r="L485" s="761"/>
      <c r="M485" s="730"/>
      <c r="N485" s="730"/>
      <c r="V485" s="194" t="str">
        <f t="array" ref="V485">IFERROR(IF(INDEX('Disaggregation Records'!$I$69:$I$152,MATCH(RIGHT(Q485,255),RIGHT('Disaggregation Records'!$D$69:$D$152,255),0))="","",INDEX('Disaggregation Records'!$I$69:$I$152,MATCH(RIGHT(Q485,255),RIGHT('Disaggregation Records'!$D$69:$D$152,255),0))),"")</f>
        <v/>
      </c>
    </row>
    <row r="486" spans="1:23" s="194" customFormat="1" ht="40.4" customHeight="1" x14ac:dyDescent="0.35">
      <c r="A486" s="770" t="str">
        <f ca="1">INDIRECT("'update Helper'!C"&amp;U486)</f>
        <v>a1V3p000006jw9BEAQ</v>
      </c>
      <c r="B486" s="766">
        <v>9</v>
      </c>
      <c r="C486" s="760" t="str">
        <f>IFERROR(VLOOKUP(B486,'Outcome Indicators - Section C '!$A$9:$AF$70,32,FALSE),"")</f>
        <v/>
      </c>
      <c r="D486" s="768" t="str">
        <f>R486</f>
        <v/>
      </c>
      <c r="E486" s="768" t="str">
        <f>S486</f>
        <v/>
      </c>
      <c r="F486" s="413"/>
      <c r="G486" s="762" t="str">
        <f ca="1">IF(OR(INDIRECT("'update Helper'!E"&amp;U486)="",F486&lt;&gt;0,F487&lt;&gt;0),IF(IFERROR((F486/F487),"")="","",(F486/F487)),INDIRECT("'update Helper'!E"&amp;U486)/100)</f>
        <v/>
      </c>
      <c r="H486" s="743"/>
      <c r="I486" s="764"/>
      <c r="J486" s="729"/>
      <c r="K486" s="760" t="str">
        <f>W486</f>
        <v/>
      </c>
      <c r="L486" s="760" t="str">
        <f>V486</f>
        <v/>
      </c>
      <c r="M486" s="729"/>
      <c r="N486" s="729"/>
      <c r="P486" s="194">
        <f>IF(AND(EXACT(C486,C484),C484&lt;&gt;0),P484+1,0)</f>
        <v>35</v>
      </c>
      <c r="Q486" s="194" t="str">
        <f>IF(C486&lt;&gt;"",C486&amp;"-"&amp;P486,"")</f>
        <v/>
      </c>
      <c r="R486" s="194" t="str">
        <f t="array" ref="R486">IFERROR(IF(INDEX('Disaggregation Records'!$E$69:$E$152,MATCH(RIGHT(Q486,255),RIGHT('Disaggregation Records'!$D$69:$D$152,255),0))="","",INDEX('Disaggregation Records'!$E$69:$E$152,MATCH(RIGHT(Q486,255),RIGHT('Disaggregation Records'!$D$69:$D$152,255),0))),"")</f>
        <v/>
      </c>
      <c r="S486" s="194" t="str">
        <f t="array" ref="S486">IFERROR(IF(INDEX('Disaggregation Records'!$F$69:$F$152,MATCH(RIGHT(Q486,255),RIGHT('Disaggregation Records'!$D$69:$D$152,255),0))="","",INDEX('Disaggregation Records'!$F$69:$F$152,MATCH(RIGHT(Q486,255),RIGHT('Disaggregation Records'!$D$69:$D$152,255),0))),"")</f>
        <v/>
      </c>
      <c r="T486" s="194" t="str">
        <f t="array" ref="T486">IFERROR(IF(INDEX('Disaggregation Records'!$H$69:$H$152,MATCH(RIGHT(Q486,255),RIGHT('Disaggregation Records'!$D$69:$D$152,255),0))="","",INDEX('Disaggregation Records'!$H$69:$H$152,MATCH(RIGHT(Q486,255),RIGHT('Disaggregation Records'!$D$69:$D$152,255),0))),"")</f>
        <v/>
      </c>
      <c r="U486" s="194">
        <f>U484+1</f>
        <v>1752</v>
      </c>
      <c r="V486" s="194" t="str">
        <f t="array" ref="V486">IFERROR(IF(INDEX('Disaggregation Records'!$I$69:$I$152,MATCH(RIGHT(Q486,255),RIGHT('Disaggregation Records'!$D$69:$D$152,255),0))="","",INDEX('Disaggregation Records'!$I$69:$I$152,MATCH(RIGHT(Q486,255),RIGHT('Disaggregation Records'!$D$69:$D$152,255),0))),"")</f>
        <v/>
      </c>
      <c r="W486" s="194" t="str">
        <f>IFERROR(INDEX('Reference Records'!P$23:P$74,MATCH(LEFT(C486,255),'Reference Records'!J$23:J$74,0)),"")</f>
        <v/>
      </c>
    </row>
    <row r="487" spans="1:23" s="194" customFormat="1" ht="40.4" customHeight="1" x14ac:dyDescent="0.35">
      <c r="A487" s="770"/>
      <c r="B487" s="767"/>
      <c r="C487" s="761"/>
      <c r="D487" s="769"/>
      <c r="E487" s="769"/>
      <c r="F487" s="208"/>
      <c r="G487" s="763"/>
      <c r="H487" s="744"/>
      <c r="I487" s="765"/>
      <c r="J487" s="730"/>
      <c r="K487" s="761"/>
      <c r="L487" s="761"/>
      <c r="M487" s="730"/>
      <c r="N487" s="730"/>
      <c r="V487" s="194" t="str">
        <f t="array" ref="V487">IFERROR(IF(INDEX('Disaggregation Records'!$I$69:$I$152,MATCH(RIGHT(Q487,255),RIGHT('Disaggregation Records'!$D$69:$D$152,255),0))="","",INDEX('Disaggregation Records'!$I$69:$I$152,MATCH(RIGHT(Q487,255),RIGHT('Disaggregation Records'!$D$69:$D$152,255),0))),"")</f>
        <v/>
      </c>
    </row>
    <row r="488" spans="1:23" s="194" customFormat="1" ht="40.4" customHeight="1" x14ac:dyDescent="0.35">
      <c r="A488" s="770" t="str">
        <f ca="1">INDIRECT("'update Helper'!C"&amp;U488)</f>
        <v>a1V3p000006jw9CEAQ</v>
      </c>
      <c r="B488" s="766">
        <v>9</v>
      </c>
      <c r="C488" s="760" t="str">
        <f>IFERROR(VLOOKUP(B488,'Outcome Indicators - Section C '!$A$9:$AF$70,32,FALSE),"")</f>
        <v/>
      </c>
      <c r="D488" s="768" t="str">
        <f>R488</f>
        <v/>
      </c>
      <c r="E488" s="768" t="str">
        <f>S488</f>
        <v/>
      </c>
      <c r="F488" s="413"/>
      <c r="G488" s="762" t="str">
        <f ca="1">IF(OR(INDIRECT("'update Helper'!E"&amp;U488)="",F488&lt;&gt;0,F489&lt;&gt;0),IF(IFERROR((F488/F489),"")="","",(F488/F489)),INDIRECT("'update Helper'!E"&amp;U488)/100)</f>
        <v/>
      </c>
      <c r="H488" s="743"/>
      <c r="I488" s="764"/>
      <c r="J488" s="729"/>
      <c r="K488" s="760" t="str">
        <f>W488</f>
        <v/>
      </c>
      <c r="L488" s="760" t="str">
        <f>V488</f>
        <v/>
      </c>
      <c r="M488" s="729"/>
      <c r="N488" s="729"/>
      <c r="P488" s="194">
        <f>IF(AND(EXACT(C488,C486),C486&lt;&gt;0),P486+1,0)</f>
        <v>36</v>
      </c>
      <c r="Q488" s="194" t="str">
        <f>IF(C488&lt;&gt;"",C488&amp;"-"&amp;P488,"")</f>
        <v/>
      </c>
      <c r="R488" s="194" t="str">
        <f t="array" ref="R488">IFERROR(IF(INDEX('Disaggregation Records'!$E$69:$E$152,MATCH(RIGHT(Q488,255),RIGHT('Disaggregation Records'!$D$69:$D$152,255),0))="","",INDEX('Disaggregation Records'!$E$69:$E$152,MATCH(RIGHT(Q488,255),RIGHT('Disaggregation Records'!$D$69:$D$152,255),0))),"")</f>
        <v/>
      </c>
      <c r="S488" s="194" t="str">
        <f t="array" ref="S488">IFERROR(IF(INDEX('Disaggregation Records'!$F$69:$F$152,MATCH(RIGHT(Q488,255),RIGHT('Disaggregation Records'!$D$69:$D$152,255),0))="","",INDEX('Disaggregation Records'!$F$69:$F$152,MATCH(RIGHT(Q488,255),RIGHT('Disaggregation Records'!$D$69:$D$152,255),0))),"")</f>
        <v/>
      </c>
      <c r="T488" s="194" t="str">
        <f t="array" ref="T488">IFERROR(IF(INDEX('Disaggregation Records'!$H$69:$H$152,MATCH(RIGHT(Q488,255),RIGHT('Disaggregation Records'!$D$69:$D$152,255),0))="","",INDEX('Disaggregation Records'!$H$69:$H$152,MATCH(RIGHT(Q488,255),RIGHT('Disaggregation Records'!$D$69:$D$152,255),0))),"")</f>
        <v/>
      </c>
      <c r="U488" s="194">
        <f>U486+1</f>
        <v>1753</v>
      </c>
      <c r="V488" s="194" t="str">
        <f t="array" ref="V488">IFERROR(IF(INDEX('Disaggregation Records'!$I$69:$I$152,MATCH(RIGHT(Q488,255),RIGHT('Disaggregation Records'!$D$69:$D$152,255),0))="","",INDEX('Disaggregation Records'!$I$69:$I$152,MATCH(RIGHT(Q488,255),RIGHT('Disaggregation Records'!$D$69:$D$152,255),0))),"")</f>
        <v/>
      </c>
      <c r="W488" s="194" t="str">
        <f>IFERROR(INDEX('Reference Records'!P$23:P$74,MATCH(LEFT(C488,255),'Reference Records'!J$23:J$74,0)),"")</f>
        <v/>
      </c>
    </row>
    <row r="489" spans="1:23" s="194" customFormat="1" ht="40.4" customHeight="1" x14ac:dyDescent="0.35">
      <c r="A489" s="770"/>
      <c r="B489" s="767"/>
      <c r="C489" s="761"/>
      <c r="D489" s="769"/>
      <c r="E489" s="769"/>
      <c r="F489" s="208"/>
      <c r="G489" s="763"/>
      <c r="H489" s="744"/>
      <c r="I489" s="765"/>
      <c r="J489" s="730"/>
      <c r="K489" s="761"/>
      <c r="L489" s="761"/>
      <c r="M489" s="730"/>
      <c r="N489" s="730"/>
      <c r="V489" s="194" t="str">
        <f t="array" ref="V489">IFERROR(IF(INDEX('Disaggregation Records'!$I$69:$I$152,MATCH(RIGHT(Q489,255),RIGHT('Disaggregation Records'!$D$69:$D$152,255),0))="","",INDEX('Disaggregation Records'!$I$69:$I$152,MATCH(RIGHT(Q489,255),RIGHT('Disaggregation Records'!$D$69:$D$152,255),0))),"")</f>
        <v/>
      </c>
    </row>
    <row r="490" spans="1:23" s="194" customFormat="1" ht="40.4" customHeight="1" x14ac:dyDescent="0.35">
      <c r="A490" s="770" t="str">
        <f ca="1">INDIRECT("'update Helper'!C"&amp;U490)</f>
        <v>a1V3p000006jw9DEAQ</v>
      </c>
      <c r="B490" s="766">
        <v>9</v>
      </c>
      <c r="C490" s="760" t="str">
        <f>IFERROR(VLOOKUP(B490,'Outcome Indicators - Section C '!$A$9:$AF$70,32,FALSE),"")</f>
        <v/>
      </c>
      <c r="D490" s="768" t="str">
        <f>R490</f>
        <v/>
      </c>
      <c r="E490" s="768" t="str">
        <f>S490</f>
        <v/>
      </c>
      <c r="F490" s="413"/>
      <c r="G490" s="762" t="str">
        <f ca="1">IF(OR(INDIRECT("'update Helper'!E"&amp;U490)="",F490&lt;&gt;0,F491&lt;&gt;0),IF(IFERROR((F490/F491),"")="","",(F490/F491)),INDIRECT("'update Helper'!E"&amp;U490)/100)</f>
        <v/>
      </c>
      <c r="H490" s="743"/>
      <c r="I490" s="764"/>
      <c r="J490" s="729"/>
      <c r="K490" s="760" t="str">
        <f>W490</f>
        <v/>
      </c>
      <c r="L490" s="760" t="str">
        <f>V490</f>
        <v/>
      </c>
      <c r="M490" s="729"/>
      <c r="N490" s="729"/>
      <c r="P490" s="194">
        <f>IF(AND(EXACT(C490,C488),C488&lt;&gt;0),P488+1,0)</f>
        <v>37</v>
      </c>
      <c r="Q490" s="194" t="str">
        <f>IF(C490&lt;&gt;"",C490&amp;"-"&amp;P490,"")</f>
        <v/>
      </c>
      <c r="R490" s="194" t="str">
        <f t="array" ref="R490">IFERROR(IF(INDEX('Disaggregation Records'!$E$69:$E$152,MATCH(RIGHT(Q490,255),RIGHT('Disaggregation Records'!$D$69:$D$152,255),0))="","",INDEX('Disaggregation Records'!$E$69:$E$152,MATCH(RIGHT(Q490,255),RIGHT('Disaggregation Records'!$D$69:$D$152,255),0))),"")</f>
        <v/>
      </c>
      <c r="S490" s="194" t="str">
        <f t="array" ref="S490">IFERROR(IF(INDEX('Disaggregation Records'!$F$69:$F$152,MATCH(RIGHT(Q490,255),RIGHT('Disaggregation Records'!$D$69:$D$152,255),0))="","",INDEX('Disaggregation Records'!$F$69:$F$152,MATCH(RIGHT(Q490,255),RIGHT('Disaggregation Records'!$D$69:$D$152,255),0))),"")</f>
        <v/>
      </c>
      <c r="T490" s="194" t="str">
        <f t="array" ref="T490">IFERROR(IF(INDEX('Disaggregation Records'!$H$69:$H$152,MATCH(RIGHT(Q490,255),RIGHT('Disaggregation Records'!$D$69:$D$152,255),0))="","",INDEX('Disaggregation Records'!$H$69:$H$152,MATCH(RIGHT(Q490,255),RIGHT('Disaggregation Records'!$D$69:$D$152,255),0))),"")</f>
        <v/>
      </c>
      <c r="U490" s="194">
        <f>U488+1</f>
        <v>1754</v>
      </c>
      <c r="V490" s="194" t="str">
        <f t="array" ref="V490">IFERROR(IF(INDEX('Disaggregation Records'!$I$69:$I$152,MATCH(RIGHT(Q490,255),RIGHT('Disaggregation Records'!$D$69:$D$152,255),0))="","",INDEX('Disaggregation Records'!$I$69:$I$152,MATCH(RIGHT(Q490,255),RIGHT('Disaggregation Records'!$D$69:$D$152,255),0))),"")</f>
        <v/>
      </c>
      <c r="W490" s="194" t="str">
        <f>IFERROR(INDEX('Reference Records'!P$23:P$74,MATCH(LEFT(C490,255),'Reference Records'!J$23:J$74,0)),"")</f>
        <v/>
      </c>
    </row>
    <row r="491" spans="1:23" s="194" customFormat="1" ht="40.4" customHeight="1" x14ac:dyDescent="0.35">
      <c r="A491" s="770"/>
      <c r="B491" s="767"/>
      <c r="C491" s="761"/>
      <c r="D491" s="769"/>
      <c r="E491" s="769"/>
      <c r="F491" s="208"/>
      <c r="G491" s="763"/>
      <c r="H491" s="744"/>
      <c r="I491" s="765"/>
      <c r="J491" s="730"/>
      <c r="K491" s="761"/>
      <c r="L491" s="761"/>
      <c r="M491" s="730"/>
      <c r="N491" s="730"/>
      <c r="V491" s="194" t="str">
        <f t="array" ref="V491">IFERROR(IF(INDEX('Disaggregation Records'!$I$69:$I$152,MATCH(RIGHT(Q491,255),RIGHT('Disaggregation Records'!$D$69:$D$152,255),0))="","",INDEX('Disaggregation Records'!$I$69:$I$152,MATCH(RIGHT(Q491,255),RIGHT('Disaggregation Records'!$D$69:$D$152,255),0))),"")</f>
        <v/>
      </c>
    </row>
    <row r="492" spans="1:23" s="194" customFormat="1" ht="40.4" customHeight="1" x14ac:dyDescent="0.35">
      <c r="A492" s="770" t="str">
        <f ca="1">INDIRECT("'update Helper'!C"&amp;U492)</f>
        <v>a1V3p000006jw9EEAQ</v>
      </c>
      <c r="B492" s="766">
        <v>9</v>
      </c>
      <c r="C492" s="760" t="str">
        <f>IFERROR(VLOOKUP(B492,'Outcome Indicators - Section C '!$A$9:$AF$70,32,FALSE),"")</f>
        <v/>
      </c>
      <c r="D492" s="768" t="str">
        <f>R492</f>
        <v/>
      </c>
      <c r="E492" s="768" t="str">
        <f>S492</f>
        <v/>
      </c>
      <c r="F492" s="413"/>
      <c r="G492" s="762" t="str">
        <f ca="1">IF(OR(INDIRECT("'update Helper'!E"&amp;U492)="",F492&lt;&gt;0,F493&lt;&gt;0),IF(IFERROR((F492/F493),"")="","",(F492/F493)),INDIRECT("'update Helper'!E"&amp;U492)/100)</f>
        <v/>
      </c>
      <c r="H492" s="743"/>
      <c r="I492" s="764"/>
      <c r="J492" s="729"/>
      <c r="K492" s="760" t="str">
        <f>W492</f>
        <v/>
      </c>
      <c r="L492" s="760" t="str">
        <f>V492</f>
        <v/>
      </c>
      <c r="M492" s="729"/>
      <c r="N492" s="729"/>
      <c r="P492" s="194">
        <f>IF(AND(EXACT(C492,C490),C490&lt;&gt;0),P490+1,0)</f>
        <v>38</v>
      </c>
      <c r="Q492" s="194" t="str">
        <f>IF(C492&lt;&gt;"",C492&amp;"-"&amp;P492,"")</f>
        <v/>
      </c>
      <c r="R492" s="194" t="str">
        <f t="array" ref="R492">IFERROR(IF(INDEX('Disaggregation Records'!$E$69:$E$152,MATCH(RIGHT(Q492,255),RIGHT('Disaggregation Records'!$D$69:$D$152,255),0))="","",INDEX('Disaggregation Records'!$E$69:$E$152,MATCH(RIGHT(Q492,255),RIGHT('Disaggregation Records'!$D$69:$D$152,255),0))),"")</f>
        <v/>
      </c>
      <c r="S492" s="194" t="str">
        <f t="array" ref="S492">IFERROR(IF(INDEX('Disaggregation Records'!$F$69:$F$152,MATCH(RIGHT(Q492,255),RIGHT('Disaggregation Records'!$D$69:$D$152,255),0))="","",INDEX('Disaggregation Records'!$F$69:$F$152,MATCH(RIGHT(Q492,255),RIGHT('Disaggregation Records'!$D$69:$D$152,255),0))),"")</f>
        <v/>
      </c>
      <c r="T492" s="194" t="str">
        <f t="array" ref="T492">IFERROR(IF(INDEX('Disaggregation Records'!$H$69:$H$152,MATCH(RIGHT(Q492,255),RIGHT('Disaggregation Records'!$D$69:$D$152,255),0))="","",INDEX('Disaggregation Records'!$H$69:$H$152,MATCH(RIGHT(Q492,255),RIGHT('Disaggregation Records'!$D$69:$D$152,255),0))),"")</f>
        <v/>
      </c>
      <c r="U492" s="194">
        <f>U490+1</f>
        <v>1755</v>
      </c>
      <c r="V492" s="194" t="str">
        <f t="array" ref="V492">IFERROR(IF(INDEX('Disaggregation Records'!$I$69:$I$152,MATCH(RIGHT(Q492,255),RIGHT('Disaggregation Records'!$D$69:$D$152,255),0))="","",INDEX('Disaggregation Records'!$I$69:$I$152,MATCH(RIGHT(Q492,255),RIGHT('Disaggregation Records'!$D$69:$D$152,255),0))),"")</f>
        <v/>
      </c>
      <c r="W492" s="194" t="str">
        <f>IFERROR(INDEX('Reference Records'!P$23:P$74,MATCH(LEFT(C492,255),'Reference Records'!J$23:J$74,0)),"")</f>
        <v/>
      </c>
    </row>
    <row r="493" spans="1:23" s="194" customFormat="1" ht="40.4" customHeight="1" x14ac:dyDescent="0.35">
      <c r="A493" s="770"/>
      <c r="B493" s="767"/>
      <c r="C493" s="761"/>
      <c r="D493" s="769"/>
      <c r="E493" s="769"/>
      <c r="F493" s="208"/>
      <c r="G493" s="763"/>
      <c r="H493" s="744"/>
      <c r="I493" s="765"/>
      <c r="J493" s="730"/>
      <c r="K493" s="761"/>
      <c r="L493" s="761"/>
      <c r="M493" s="730"/>
      <c r="N493" s="730"/>
      <c r="V493" s="194" t="str">
        <f t="array" ref="V493">IFERROR(IF(INDEX('Disaggregation Records'!$I$69:$I$152,MATCH(RIGHT(Q493,255),RIGHT('Disaggregation Records'!$D$69:$D$152,255),0))="","",INDEX('Disaggregation Records'!$I$69:$I$152,MATCH(RIGHT(Q493,255),RIGHT('Disaggregation Records'!$D$69:$D$152,255),0))),"")</f>
        <v/>
      </c>
    </row>
    <row r="494" spans="1:23" s="194" customFormat="1" ht="40.4" customHeight="1" x14ac:dyDescent="0.35">
      <c r="A494" s="770" t="str">
        <f ca="1">INDIRECT("'update Helper'!C"&amp;U494)</f>
        <v>a1V3p000006jw9FEAQ</v>
      </c>
      <c r="B494" s="766">
        <v>9</v>
      </c>
      <c r="C494" s="760" t="str">
        <f>IFERROR(VLOOKUP(B494,'Outcome Indicators - Section C '!$A$9:$AF$70,32,FALSE),"")</f>
        <v/>
      </c>
      <c r="D494" s="768" t="str">
        <f>R494</f>
        <v/>
      </c>
      <c r="E494" s="768" t="str">
        <f>S494</f>
        <v/>
      </c>
      <c r="F494" s="413"/>
      <c r="G494" s="762" t="str">
        <f ca="1">IF(OR(INDIRECT("'update Helper'!E"&amp;U494)="",F494&lt;&gt;0,F495&lt;&gt;0),IF(IFERROR((F494/F495),"")="","",(F494/F495)),INDIRECT("'update Helper'!E"&amp;U494)/100)</f>
        <v/>
      </c>
      <c r="H494" s="743"/>
      <c r="I494" s="764"/>
      <c r="J494" s="729"/>
      <c r="K494" s="760" t="str">
        <f>W494</f>
        <v/>
      </c>
      <c r="L494" s="760" t="str">
        <f>V494</f>
        <v/>
      </c>
      <c r="M494" s="729"/>
      <c r="N494" s="729"/>
      <c r="P494" s="194">
        <f>IF(AND(EXACT(C494,C492),C492&lt;&gt;0),P492+1,0)</f>
        <v>39</v>
      </c>
      <c r="Q494" s="194" t="str">
        <f>IF(C494&lt;&gt;"",C494&amp;"-"&amp;P494,"")</f>
        <v/>
      </c>
      <c r="R494" s="194" t="str">
        <f t="array" ref="R494">IFERROR(IF(INDEX('Disaggregation Records'!$E$69:$E$152,MATCH(RIGHT(Q494,255),RIGHT('Disaggregation Records'!$D$69:$D$152,255),0))="","",INDEX('Disaggregation Records'!$E$69:$E$152,MATCH(RIGHT(Q494,255),RIGHT('Disaggregation Records'!$D$69:$D$152,255),0))),"")</f>
        <v/>
      </c>
      <c r="S494" s="194" t="str">
        <f t="array" ref="S494">IFERROR(IF(INDEX('Disaggregation Records'!$F$69:$F$152,MATCH(RIGHT(Q494,255),RIGHT('Disaggregation Records'!$D$69:$D$152,255),0))="","",INDEX('Disaggregation Records'!$F$69:$F$152,MATCH(RIGHT(Q494,255),RIGHT('Disaggregation Records'!$D$69:$D$152,255),0))),"")</f>
        <v/>
      </c>
      <c r="T494" s="194" t="str">
        <f t="array" ref="T494">IFERROR(IF(INDEX('Disaggregation Records'!$H$69:$H$152,MATCH(RIGHT(Q494,255),RIGHT('Disaggregation Records'!$D$69:$D$152,255),0))="","",INDEX('Disaggregation Records'!$H$69:$H$152,MATCH(RIGHT(Q494,255),RIGHT('Disaggregation Records'!$D$69:$D$152,255),0))),"")</f>
        <v/>
      </c>
      <c r="U494" s="194">
        <f>U492+1</f>
        <v>1756</v>
      </c>
      <c r="V494" s="194" t="str">
        <f t="array" ref="V494">IFERROR(IF(INDEX('Disaggregation Records'!$I$69:$I$152,MATCH(RIGHT(Q494,255),RIGHT('Disaggregation Records'!$D$69:$D$152,255),0))="","",INDEX('Disaggregation Records'!$I$69:$I$152,MATCH(RIGHT(Q494,255),RIGHT('Disaggregation Records'!$D$69:$D$152,255),0))),"")</f>
        <v/>
      </c>
      <c r="W494" s="194" t="str">
        <f>IFERROR(INDEX('Reference Records'!P$23:P$74,MATCH(LEFT(C494,255),'Reference Records'!J$23:J$74,0)),"")</f>
        <v/>
      </c>
    </row>
    <row r="495" spans="1:23" s="194" customFormat="1" ht="40.4" customHeight="1" x14ac:dyDescent="0.35">
      <c r="A495" s="770"/>
      <c r="B495" s="767"/>
      <c r="C495" s="761"/>
      <c r="D495" s="769"/>
      <c r="E495" s="769"/>
      <c r="F495" s="208"/>
      <c r="G495" s="763"/>
      <c r="H495" s="744"/>
      <c r="I495" s="765"/>
      <c r="J495" s="730"/>
      <c r="K495" s="761"/>
      <c r="L495" s="761"/>
      <c r="M495" s="730"/>
      <c r="N495" s="730"/>
      <c r="V495" s="194" t="str">
        <f t="array" ref="V495">IFERROR(IF(INDEX('Disaggregation Records'!$I$69:$I$152,MATCH(RIGHT(Q495,255),RIGHT('Disaggregation Records'!$D$69:$D$152,255),0))="","",INDEX('Disaggregation Records'!$I$69:$I$152,MATCH(RIGHT(Q495,255),RIGHT('Disaggregation Records'!$D$69:$D$152,255),0))),"")</f>
        <v/>
      </c>
    </row>
    <row r="496" spans="1:23" s="194" customFormat="1" ht="40.4" customHeight="1" x14ac:dyDescent="0.35">
      <c r="A496" s="770" t="str">
        <f ca="1">INDIRECT("'update Helper'!C"&amp;U496)</f>
        <v>a1V3p000006jwBWEAY</v>
      </c>
      <c r="B496" s="766">
        <v>10</v>
      </c>
      <c r="C496" s="760" t="str">
        <f>IFERROR(VLOOKUP(B496,'Outcome Indicators - Section C '!$A$9:$AF$70,32,FALSE),"")</f>
        <v/>
      </c>
      <c r="D496" s="768" t="str">
        <f>R496</f>
        <v/>
      </c>
      <c r="E496" s="768" t="str">
        <f>S496</f>
        <v/>
      </c>
      <c r="F496" s="413"/>
      <c r="G496" s="762" t="str">
        <f ca="1">IF(OR(INDIRECT("'update Helper'!E"&amp;U496)="",F496&lt;&gt;0,F497&lt;&gt;0),IF(IFERROR((F496/F497),"")="","",(F496/F497)),INDIRECT("'update Helper'!E"&amp;U496)/100)</f>
        <v/>
      </c>
      <c r="H496" s="743"/>
      <c r="I496" s="764"/>
      <c r="J496" s="729"/>
      <c r="K496" s="760" t="str">
        <f>W496</f>
        <v/>
      </c>
      <c r="L496" s="760" t="str">
        <f>V496</f>
        <v/>
      </c>
      <c r="M496" s="729"/>
      <c r="N496" s="729"/>
      <c r="P496" s="194">
        <f>IF(AND(EXACT(C496,C494),C494&lt;&gt;0),P494+1,0)</f>
        <v>40</v>
      </c>
      <c r="Q496" s="194" t="str">
        <f>IF(C496&lt;&gt;"",C496&amp;"-"&amp;P496,"")</f>
        <v/>
      </c>
      <c r="R496" s="194" t="str">
        <f t="array" ref="R496">IFERROR(IF(INDEX('Disaggregation Records'!$E$69:$E$152,MATCH(RIGHT(Q496,255),RIGHT('Disaggregation Records'!$D$69:$D$152,255),0))="","",INDEX('Disaggregation Records'!$E$69:$E$152,MATCH(RIGHT(Q496,255),RIGHT('Disaggregation Records'!$D$69:$D$152,255),0))),"")</f>
        <v/>
      </c>
      <c r="S496" s="194" t="str">
        <f t="array" ref="S496">IFERROR(IF(INDEX('Disaggregation Records'!$F$69:$F$152,MATCH(RIGHT(Q496,255),RIGHT('Disaggregation Records'!$D$69:$D$152,255),0))="","",INDEX('Disaggregation Records'!$F$69:$F$152,MATCH(RIGHT(Q496,255),RIGHT('Disaggregation Records'!$D$69:$D$152,255),0))),"")</f>
        <v/>
      </c>
      <c r="T496" s="194" t="str">
        <f t="array" ref="T496">IFERROR(IF(INDEX('Disaggregation Records'!$H$69:$H$152,MATCH(RIGHT(Q496,255),RIGHT('Disaggregation Records'!$D$69:$D$152,255),0))="","",INDEX('Disaggregation Records'!$H$69:$H$152,MATCH(RIGHT(Q496,255),RIGHT('Disaggregation Records'!$D$69:$D$152,255),0))),"")</f>
        <v/>
      </c>
      <c r="U496" s="194">
        <f>U494+1</f>
        <v>1757</v>
      </c>
      <c r="V496" s="194" t="str">
        <f t="array" ref="V496">IFERROR(IF(INDEX('Disaggregation Records'!$I$69:$I$152,MATCH(RIGHT(Q496,255),RIGHT('Disaggregation Records'!$D$69:$D$152,255),0))="","",INDEX('Disaggregation Records'!$I$69:$I$152,MATCH(RIGHT(Q496,255),RIGHT('Disaggregation Records'!$D$69:$D$152,255),0))),"")</f>
        <v/>
      </c>
      <c r="W496" s="194" t="str">
        <f>IFERROR(INDEX('Reference Records'!P$23:P$74,MATCH(LEFT(C496,255),'Reference Records'!J$23:J$74,0)),"")</f>
        <v/>
      </c>
    </row>
    <row r="497" spans="1:23" s="194" customFormat="1" ht="40.4" customHeight="1" x14ac:dyDescent="0.35">
      <c r="A497" s="770"/>
      <c r="B497" s="767"/>
      <c r="C497" s="761"/>
      <c r="D497" s="769"/>
      <c r="E497" s="769"/>
      <c r="F497" s="208"/>
      <c r="G497" s="763"/>
      <c r="H497" s="744"/>
      <c r="I497" s="765"/>
      <c r="J497" s="730"/>
      <c r="K497" s="761"/>
      <c r="L497" s="761"/>
      <c r="M497" s="730"/>
      <c r="N497" s="730"/>
      <c r="V497" s="194" t="str">
        <f t="array" ref="V497">IFERROR(IF(INDEX('Disaggregation Records'!$I$69:$I$152,MATCH(RIGHT(Q497,255),RIGHT('Disaggregation Records'!$D$69:$D$152,255),0))="","",INDEX('Disaggregation Records'!$I$69:$I$152,MATCH(RIGHT(Q497,255),RIGHT('Disaggregation Records'!$D$69:$D$152,255),0))),"")</f>
        <v/>
      </c>
    </row>
    <row r="498" spans="1:23" s="194" customFormat="1" ht="40.4" customHeight="1" x14ac:dyDescent="0.35">
      <c r="A498" s="770" t="str">
        <f ca="1">INDIRECT("'update Helper'!C"&amp;U498)</f>
        <v>a1V3p000006jwBXEAY</v>
      </c>
      <c r="B498" s="766">
        <v>10</v>
      </c>
      <c r="C498" s="760" t="str">
        <f>IFERROR(VLOOKUP(B498,'Outcome Indicators - Section C '!$A$9:$AF$70,32,FALSE),"")</f>
        <v/>
      </c>
      <c r="D498" s="768" t="str">
        <f>R498</f>
        <v/>
      </c>
      <c r="E498" s="768" t="str">
        <f>S498</f>
        <v/>
      </c>
      <c r="F498" s="413"/>
      <c r="G498" s="762" t="str">
        <f ca="1">IF(OR(INDIRECT("'update Helper'!E"&amp;U498)="",F498&lt;&gt;0,F499&lt;&gt;0),IF(IFERROR((F498/F499),"")="","",(F498/F499)),INDIRECT("'update Helper'!E"&amp;U498)/100)</f>
        <v/>
      </c>
      <c r="H498" s="743"/>
      <c r="I498" s="764"/>
      <c r="J498" s="729"/>
      <c r="K498" s="760" t="str">
        <f>W498</f>
        <v/>
      </c>
      <c r="L498" s="760" t="str">
        <f>V498</f>
        <v/>
      </c>
      <c r="M498" s="729"/>
      <c r="N498" s="729"/>
      <c r="P498" s="194">
        <f>IF(AND(EXACT(C498,C496),C496&lt;&gt;0),P496+1,0)</f>
        <v>41</v>
      </c>
      <c r="Q498" s="194" t="str">
        <f>IF(C498&lt;&gt;"",C498&amp;"-"&amp;P498,"")</f>
        <v/>
      </c>
      <c r="R498" s="194" t="str">
        <f t="array" ref="R498">IFERROR(IF(INDEX('Disaggregation Records'!$E$69:$E$152,MATCH(RIGHT(Q498,255),RIGHT('Disaggregation Records'!$D$69:$D$152,255),0))="","",INDEX('Disaggregation Records'!$E$69:$E$152,MATCH(RIGHT(Q498,255),RIGHT('Disaggregation Records'!$D$69:$D$152,255),0))),"")</f>
        <v/>
      </c>
      <c r="S498" s="194" t="str">
        <f t="array" ref="S498">IFERROR(IF(INDEX('Disaggregation Records'!$F$69:$F$152,MATCH(RIGHT(Q498,255),RIGHT('Disaggregation Records'!$D$69:$D$152,255),0))="","",INDEX('Disaggregation Records'!$F$69:$F$152,MATCH(RIGHT(Q498,255),RIGHT('Disaggregation Records'!$D$69:$D$152,255),0))),"")</f>
        <v/>
      </c>
      <c r="T498" s="194" t="str">
        <f t="array" ref="T498">IFERROR(IF(INDEX('Disaggregation Records'!$H$69:$H$152,MATCH(RIGHT(Q498,255),RIGHT('Disaggregation Records'!$D$69:$D$152,255),0))="","",INDEX('Disaggregation Records'!$H$69:$H$152,MATCH(RIGHT(Q498,255),RIGHT('Disaggregation Records'!$D$69:$D$152,255),0))),"")</f>
        <v/>
      </c>
      <c r="U498" s="194">
        <f>U496+1</f>
        <v>1758</v>
      </c>
      <c r="V498" s="194" t="str">
        <f t="array" ref="V498">IFERROR(IF(INDEX('Disaggregation Records'!$I$69:$I$152,MATCH(RIGHT(Q498,255),RIGHT('Disaggregation Records'!$D$69:$D$152,255),0))="","",INDEX('Disaggregation Records'!$I$69:$I$152,MATCH(RIGHT(Q498,255),RIGHT('Disaggregation Records'!$D$69:$D$152,255),0))),"")</f>
        <v/>
      </c>
      <c r="W498" s="194" t="str">
        <f>IFERROR(INDEX('Reference Records'!P$23:P$74,MATCH(LEFT(C498,255),'Reference Records'!J$23:J$74,0)),"")</f>
        <v/>
      </c>
    </row>
    <row r="499" spans="1:23" s="194" customFormat="1" ht="40.4" customHeight="1" x14ac:dyDescent="0.35">
      <c r="A499" s="770"/>
      <c r="B499" s="767"/>
      <c r="C499" s="761"/>
      <c r="D499" s="769"/>
      <c r="E499" s="769"/>
      <c r="F499" s="208"/>
      <c r="G499" s="763"/>
      <c r="H499" s="744"/>
      <c r="I499" s="765"/>
      <c r="J499" s="730"/>
      <c r="K499" s="761"/>
      <c r="L499" s="761"/>
      <c r="M499" s="730"/>
      <c r="N499" s="730"/>
      <c r="V499" s="194" t="str">
        <f t="array" ref="V499">IFERROR(IF(INDEX('Disaggregation Records'!$I$69:$I$152,MATCH(RIGHT(Q499,255),RIGHT('Disaggregation Records'!$D$69:$D$152,255),0))="","",INDEX('Disaggregation Records'!$I$69:$I$152,MATCH(RIGHT(Q499,255),RIGHT('Disaggregation Records'!$D$69:$D$152,255),0))),"")</f>
        <v/>
      </c>
    </row>
    <row r="500" spans="1:23" s="194" customFormat="1" ht="40.4" customHeight="1" x14ac:dyDescent="0.35">
      <c r="A500" s="770" t="str">
        <f ca="1">INDIRECT("'update Helper'!C"&amp;U500)</f>
        <v>a1V3p000006jwBYEAY</v>
      </c>
      <c r="B500" s="766">
        <v>10</v>
      </c>
      <c r="C500" s="760" t="str">
        <f>IFERROR(VLOOKUP(B500,'Outcome Indicators - Section C '!$A$9:$AF$70,32,FALSE),"")</f>
        <v/>
      </c>
      <c r="D500" s="768" t="str">
        <f>R500</f>
        <v/>
      </c>
      <c r="E500" s="768" t="str">
        <f>S500</f>
        <v/>
      </c>
      <c r="F500" s="413"/>
      <c r="G500" s="762" t="str">
        <f ca="1">IF(OR(INDIRECT("'update Helper'!E"&amp;U500)="",F500&lt;&gt;0,F501&lt;&gt;0),IF(IFERROR((F500/F501),"")="","",(F500/F501)),INDIRECT("'update Helper'!E"&amp;U500)/100)</f>
        <v/>
      </c>
      <c r="H500" s="743"/>
      <c r="I500" s="764"/>
      <c r="J500" s="729"/>
      <c r="K500" s="760" t="str">
        <f>W500</f>
        <v/>
      </c>
      <c r="L500" s="760" t="str">
        <f>V500</f>
        <v/>
      </c>
      <c r="M500" s="729"/>
      <c r="N500" s="729"/>
      <c r="P500" s="194">
        <f>IF(AND(EXACT(C500,C498),C498&lt;&gt;0),P498+1,0)</f>
        <v>42</v>
      </c>
      <c r="Q500" s="194" t="str">
        <f>IF(C500&lt;&gt;"",C500&amp;"-"&amp;P500,"")</f>
        <v/>
      </c>
      <c r="R500" s="194" t="str">
        <f t="array" ref="R500">IFERROR(IF(INDEX('Disaggregation Records'!$E$69:$E$152,MATCH(RIGHT(Q500,255),RIGHT('Disaggregation Records'!$D$69:$D$152,255),0))="","",INDEX('Disaggregation Records'!$E$69:$E$152,MATCH(RIGHT(Q500,255),RIGHT('Disaggregation Records'!$D$69:$D$152,255),0))),"")</f>
        <v/>
      </c>
      <c r="S500" s="194" t="str">
        <f t="array" ref="S500">IFERROR(IF(INDEX('Disaggregation Records'!$F$69:$F$152,MATCH(RIGHT(Q500,255),RIGHT('Disaggregation Records'!$D$69:$D$152,255),0))="","",INDEX('Disaggregation Records'!$F$69:$F$152,MATCH(RIGHT(Q500,255),RIGHT('Disaggregation Records'!$D$69:$D$152,255),0))),"")</f>
        <v/>
      </c>
      <c r="T500" s="194" t="str">
        <f t="array" ref="T500">IFERROR(IF(INDEX('Disaggregation Records'!$H$69:$H$152,MATCH(RIGHT(Q500,255),RIGHT('Disaggregation Records'!$D$69:$D$152,255),0))="","",INDEX('Disaggregation Records'!$H$69:$H$152,MATCH(RIGHT(Q500,255),RIGHT('Disaggregation Records'!$D$69:$D$152,255),0))),"")</f>
        <v/>
      </c>
      <c r="U500" s="194">
        <f>U498+1</f>
        <v>1759</v>
      </c>
      <c r="V500" s="194" t="str">
        <f t="array" ref="V500">IFERROR(IF(INDEX('Disaggregation Records'!$I$69:$I$152,MATCH(RIGHT(Q500,255),RIGHT('Disaggregation Records'!$D$69:$D$152,255),0))="","",INDEX('Disaggregation Records'!$I$69:$I$152,MATCH(RIGHT(Q500,255),RIGHT('Disaggregation Records'!$D$69:$D$152,255),0))),"")</f>
        <v/>
      </c>
      <c r="W500" s="194" t="str">
        <f>IFERROR(INDEX('Reference Records'!P$23:P$74,MATCH(LEFT(C500,255),'Reference Records'!J$23:J$74,0)),"")</f>
        <v/>
      </c>
    </row>
    <row r="501" spans="1:23" s="194" customFormat="1" ht="40.4" customHeight="1" x14ac:dyDescent="0.35">
      <c r="A501" s="770"/>
      <c r="B501" s="767"/>
      <c r="C501" s="761"/>
      <c r="D501" s="769"/>
      <c r="E501" s="769"/>
      <c r="F501" s="208"/>
      <c r="G501" s="763"/>
      <c r="H501" s="744"/>
      <c r="I501" s="765"/>
      <c r="J501" s="730"/>
      <c r="K501" s="761"/>
      <c r="L501" s="761"/>
      <c r="M501" s="730"/>
      <c r="N501" s="730"/>
      <c r="V501" s="194" t="str">
        <f t="array" ref="V501">IFERROR(IF(INDEX('Disaggregation Records'!$I$69:$I$152,MATCH(RIGHT(Q501,255),RIGHT('Disaggregation Records'!$D$69:$D$152,255),0))="","",INDEX('Disaggregation Records'!$I$69:$I$152,MATCH(RIGHT(Q501,255),RIGHT('Disaggregation Records'!$D$69:$D$152,255),0))),"")</f>
        <v/>
      </c>
    </row>
    <row r="502" spans="1:23" s="194" customFormat="1" ht="40.4" customHeight="1" x14ac:dyDescent="0.35">
      <c r="A502" s="770" t="str">
        <f ca="1">INDIRECT("'update Helper'!C"&amp;U502)</f>
        <v>a1V3p000006jwBZEAY</v>
      </c>
      <c r="B502" s="766">
        <v>10</v>
      </c>
      <c r="C502" s="760" t="str">
        <f>IFERROR(VLOOKUP(B502,'Outcome Indicators - Section C '!$A$9:$AF$70,32,FALSE),"")</f>
        <v/>
      </c>
      <c r="D502" s="768" t="str">
        <f>R502</f>
        <v/>
      </c>
      <c r="E502" s="768" t="str">
        <f>S502</f>
        <v/>
      </c>
      <c r="F502" s="413"/>
      <c r="G502" s="762" t="str">
        <f ca="1">IF(OR(INDIRECT("'update Helper'!E"&amp;U502)="",F502&lt;&gt;0,F503&lt;&gt;0),IF(IFERROR((F502/F503),"")="","",(F502/F503)),INDIRECT("'update Helper'!E"&amp;U502)/100)</f>
        <v/>
      </c>
      <c r="H502" s="743"/>
      <c r="I502" s="764"/>
      <c r="J502" s="729"/>
      <c r="K502" s="760" t="str">
        <f>W502</f>
        <v/>
      </c>
      <c r="L502" s="760" t="str">
        <f>V502</f>
        <v/>
      </c>
      <c r="M502" s="729"/>
      <c r="N502" s="729"/>
      <c r="P502" s="194">
        <f>IF(AND(EXACT(C502,C500),C500&lt;&gt;0),P500+1,0)</f>
        <v>43</v>
      </c>
      <c r="Q502" s="194" t="str">
        <f>IF(C502&lt;&gt;"",C502&amp;"-"&amp;P502,"")</f>
        <v/>
      </c>
      <c r="R502" s="194" t="str">
        <f t="array" ref="R502">IFERROR(IF(INDEX('Disaggregation Records'!$E$69:$E$152,MATCH(RIGHT(Q502,255),RIGHT('Disaggregation Records'!$D$69:$D$152,255),0))="","",INDEX('Disaggregation Records'!$E$69:$E$152,MATCH(RIGHT(Q502,255),RIGHT('Disaggregation Records'!$D$69:$D$152,255),0))),"")</f>
        <v/>
      </c>
      <c r="S502" s="194" t="str">
        <f t="array" ref="S502">IFERROR(IF(INDEX('Disaggregation Records'!$F$69:$F$152,MATCH(RIGHT(Q502,255),RIGHT('Disaggregation Records'!$D$69:$D$152,255),0))="","",INDEX('Disaggregation Records'!$F$69:$F$152,MATCH(RIGHT(Q502,255),RIGHT('Disaggregation Records'!$D$69:$D$152,255),0))),"")</f>
        <v/>
      </c>
      <c r="T502" s="194" t="str">
        <f t="array" ref="T502">IFERROR(IF(INDEX('Disaggregation Records'!$H$69:$H$152,MATCH(RIGHT(Q502,255),RIGHT('Disaggregation Records'!$D$69:$D$152,255),0))="","",INDEX('Disaggregation Records'!$H$69:$H$152,MATCH(RIGHT(Q502,255),RIGHT('Disaggregation Records'!$D$69:$D$152,255),0))),"")</f>
        <v/>
      </c>
      <c r="U502" s="194">
        <f>U500+1</f>
        <v>1760</v>
      </c>
      <c r="V502" s="194" t="str">
        <f t="array" ref="V502">IFERROR(IF(INDEX('Disaggregation Records'!$I$69:$I$152,MATCH(RIGHT(Q502,255),RIGHT('Disaggregation Records'!$D$69:$D$152,255),0))="","",INDEX('Disaggregation Records'!$I$69:$I$152,MATCH(RIGHT(Q502,255),RIGHT('Disaggregation Records'!$D$69:$D$152,255),0))),"")</f>
        <v/>
      </c>
      <c r="W502" s="194" t="str">
        <f>IFERROR(INDEX('Reference Records'!P$23:P$74,MATCH(LEFT(C502,255),'Reference Records'!J$23:J$74,0)),"")</f>
        <v/>
      </c>
    </row>
    <row r="503" spans="1:23" s="194" customFormat="1" ht="40.4" customHeight="1" x14ac:dyDescent="0.35">
      <c r="A503" s="770"/>
      <c r="B503" s="767"/>
      <c r="C503" s="761"/>
      <c r="D503" s="769"/>
      <c r="E503" s="769"/>
      <c r="F503" s="208"/>
      <c r="G503" s="763"/>
      <c r="H503" s="744"/>
      <c r="I503" s="765"/>
      <c r="J503" s="730"/>
      <c r="K503" s="761"/>
      <c r="L503" s="761"/>
      <c r="M503" s="730"/>
      <c r="N503" s="730"/>
      <c r="V503" s="194" t="str">
        <f t="array" ref="V503">IFERROR(IF(INDEX('Disaggregation Records'!$I$69:$I$152,MATCH(RIGHT(Q503,255),RIGHT('Disaggregation Records'!$D$69:$D$152,255),0))="","",INDEX('Disaggregation Records'!$I$69:$I$152,MATCH(RIGHT(Q503,255),RIGHT('Disaggregation Records'!$D$69:$D$152,255),0))),"")</f>
        <v/>
      </c>
    </row>
    <row r="504" spans="1:23" s="194" customFormat="1" ht="40.4" customHeight="1" x14ac:dyDescent="0.35">
      <c r="A504" s="770" t="str">
        <f ca="1">INDIRECT("'update Helper'!C"&amp;U504)</f>
        <v>a1V3p000006jwBaEAI</v>
      </c>
      <c r="B504" s="766">
        <v>10</v>
      </c>
      <c r="C504" s="760" t="str">
        <f>IFERROR(VLOOKUP(B504,'Outcome Indicators - Section C '!$A$9:$AF$70,32,FALSE),"")</f>
        <v/>
      </c>
      <c r="D504" s="768" t="str">
        <f>R504</f>
        <v/>
      </c>
      <c r="E504" s="768" t="str">
        <f>S504</f>
        <v/>
      </c>
      <c r="F504" s="413"/>
      <c r="G504" s="762" t="str">
        <f ca="1">IF(OR(INDIRECT("'update Helper'!E"&amp;U504)="",F504&lt;&gt;0,F505&lt;&gt;0),IF(IFERROR((F504/F505),"")="","",(F504/F505)),INDIRECT("'update Helper'!E"&amp;U504)/100)</f>
        <v/>
      </c>
      <c r="H504" s="743"/>
      <c r="I504" s="764"/>
      <c r="J504" s="729"/>
      <c r="K504" s="760" t="str">
        <f>W504</f>
        <v/>
      </c>
      <c r="L504" s="760" t="str">
        <f>V504</f>
        <v/>
      </c>
      <c r="M504" s="729"/>
      <c r="N504" s="729"/>
      <c r="P504" s="194">
        <f>IF(AND(EXACT(C504,C502),C502&lt;&gt;0),P502+1,0)</f>
        <v>44</v>
      </c>
      <c r="Q504" s="194" t="str">
        <f>IF(C504&lt;&gt;"",C504&amp;"-"&amp;P504,"")</f>
        <v/>
      </c>
      <c r="R504" s="194" t="str">
        <f t="array" ref="R504">IFERROR(IF(INDEX('Disaggregation Records'!$E$69:$E$152,MATCH(RIGHT(Q504,255),RIGHT('Disaggregation Records'!$D$69:$D$152,255),0))="","",INDEX('Disaggregation Records'!$E$69:$E$152,MATCH(RIGHT(Q504,255),RIGHT('Disaggregation Records'!$D$69:$D$152,255),0))),"")</f>
        <v/>
      </c>
      <c r="S504" s="194" t="str">
        <f t="array" ref="S504">IFERROR(IF(INDEX('Disaggregation Records'!$F$69:$F$152,MATCH(RIGHT(Q504,255),RIGHT('Disaggregation Records'!$D$69:$D$152,255),0))="","",INDEX('Disaggregation Records'!$F$69:$F$152,MATCH(RIGHT(Q504,255),RIGHT('Disaggregation Records'!$D$69:$D$152,255),0))),"")</f>
        <v/>
      </c>
      <c r="T504" s="194" t="str">
        <f t="array" ref="T504">IFERROR(IF(INDEX('Disaggregation Records'!$H$69:$H$152,MATCH(RIGHT(Q504,255),RIGHT('Disaggregation Records'!$D$69:$D$152,255),0))="","",INDEX('Disaggregation Records'!$H$69:$H$152,MATCH(RIGHT(Q504,255),RIGHT('Disaggregation Records'!$D$69:$D$152,255),0))),"")</f>
        <v/>
      </c>
      <c r="U504" s="194">
        <f>U502+1</f>
        <v>1761</v>
      </c>
      <c r="V504" s="194" t="str">
        <f t="array" ref="V504">IFERROR(IF(INDEX('Disaggregation Records'!$I$69:$I$152,MATCH(RIGHT(Q504,255),RIGHT('Disaggregation Records'!$D$69:$D$152,255),0))="","",INDEX('Disaggregation Records'!$I$69:$I$152,MATCH(RIGHT(Q504,255),RIGHT('Disaggregation Records'!$D$69:$D$152,255),0))),"")</f>
        <v/>
      </c>
      <c r="W504" s="194" t="str">
        <f>IFERROR(INDEX('Reference Records'!P$23:P$74,MATCH(LEFT(C504,255),'Reference Records'!J$23:J$74,0)),"")</f>
        <v/>
      </c>
    </row>
    <row r="505" spans="1:23" s="194" customFormat="1" ht="40.4" customHeight="1" x14ac:dyDescent="0.35">
      <c r="A505" s="770"/>
      <c r="B505" s="767"/>
      <c r="C505" s="761"/>
      <c r="D505" s="769"/>
      <c r="E505" s="769"/>
      <c r="F505" s="208"/>
      <c r="G505" s="763"/>
      <c r="H505" s="744"/>
      <c r="I505" s="765"/>
      <c r="J505" s="730"/>
      <c r="K505" s="761"/>
      <c r="L505" s="761"/>
      <c r="M505" s="730"/>
      <c r="N505" s="730"/>
      <c r="V505" s="194" t="str">
        <f t="array" ref="V505">IFERROR(IF(INDEX('Disaggregation Records'!$I$69:$I$152,MATCH(RIGHT(Q505,255),RIGHT('Disaggregation Records'!$D$69:$D$152,255),0))="","",INDEX('Disaggregation Records'!$I$69:$I$152,MATCH(RIGHT(Q505,255),RIGHT('Disaggregation Records'!$D$69:$D$152,255),0))),"")</f>
        <v/>
      </c>
    </row>
    <row r="506" spans="1:23" s="194" customFormat="1" ht="40.4" customHeight="1" x14ac:dyDescent="0.35">
      <c r="A506" s="770" t="str">
        <f ca="1">INDIRECT("'update Helper'!C"&amp;U506)</f>
        <v>a1V3p000006jwBbEAI</v>
      </c>
      <c r="B506" s="766">
        <v>10</v>
      </c>
      <c r="C506" s="760" t="str">
        <f>IFERROR(VLOOKUP(B506,'Outcome Indicators - Section C '!$A$9:$AF$70,32,FALSE),"")</f>
        <v/>
      </c>
      <c r="D506" s="768" t="str">
        <f>R506</f>
        <v/>
      </c>
      <c r="E506" s="768" t="str">
        <f>S506</f>
        <v/>
      </c>
      <c r="F506" s="413"/>
      <c r="G506" s="762" t="str">
        <f ca="1">IF(OR(INDIRECT("'update Helper'!E"&amp;U506)="",F506&lt;&gt;0,F507&lt;&gt;0),IF(IFERROR((F506/F507),"")="","",(F506/F507)),INDIRECT("'update Helper'!E"&amp;U506)/100)</f>
        <v/>
      </c>
      <c r="H506" s="743"/>
      <c r="I506" s="764"/>
      <c r="J506" s="729"/>
      <c r="K506" s="760" t="str">
        <f>W506</f>
        <v/>
      </c>
      <c r="L506" s="760" t="str">
        <f>V506</f>
        <v/>
      </c>
      <c r="M506" s="729"/>
      <c r="N506" s="729"/>
      <c r="P506" s="194">
        <f>IF(AND(EXACT(C506,C504),C504&lt;&gt;0),P504+1,0)</f>
        <v>45</v>
      </c>
      <c r="Q506" s="194" t="str">
        <f>IF(C506&lt;&gt;"",C506&amp;"-"&amp;P506,"")</f>
        <v/>
      </c>
      <c r="R506" s="194" t="str">
        <f t="array" ref="R506">IFERROR(IF(INDEX('Disaggregation Records'!$E$69:$E$152,MATCH(RIGHT(Q506,255),RIGHT('Disaggregation Records'!$D$69:$D$152,255),0))="","",INDEX('Disaggregation Records'!$E$69:$E$152,MATCH(RIGHT(Q506,255),RIGHT('Disaggregation Records'!$D$69:$D$152,255),0))),"")</f>
        <v/>
      </c>
      <c r="S506" s="194" t="str">
        <f t="array" ref="S506">IFERROR(IF(INDEX('Disaggregation Records'!$F$69:$F$152,MATCH(RIGHT(Q506,255),RIGHT('Disaggregation Records'!$D$69:$D$152,255),0))="","",INDEX('Disaggregation Records'!$F$69:$F$152,MATCH(RIGHT(Q506,255),RIGHT('Disaggregation Records'!$D$69:$D$152,255),0))),"")</f>
        <v/>
      </c>
      <c r="T506" s="194" t="str">
        <f t="array" ref="T506">IFERROR(IF(INDEX('Disaggregation Records'!$H$69:$H$152,MATCH(RIGHT(Q506,255),RIGHT('Disaggregation Records'!$D$69:$D$152,255),0))="","",INDEX('Disaggregation Records'!$H$69:$H$152,MATCH(RIGHT(Q506,255),RIGHT('Disaggregation Records'!$D$69:$D$152,255),0))),"")</f>
        <v/>
      </c>
      <c r="U506" s="194">
        <f>U504+1</f>
        <v>1762</v>
      </c>
      <c r="V506" s="194" t="str">
        <f t="array" ref="V506">IFERROR(IF(INDEX('Disaggregation Records'!$I$69:$I$152,MATCH(RIGHT(Q506,255),RIGHT('Disaggregation Records'!$D$69:$D$152,255),0))="","",INDEX('Disaggregation Records'!$I$69:$I$152,MATCH(RIGHT(Q506,255),RIGHT('Disaggregation Records'!$D$69:$D$152,255),0))),"")</f>
        <v/>
      </c>
      <c r="W506" s="194" t="str">
        <f>IFERROR(INDEX('Reference Records'!P$23:P$74,MATCH(LEFT(C506,255),'Reference Records'!J$23:J$74,0)),"")</f>
        <v/>
      </c>
    </row>
    <row r="507" spans="1:23" s="194" customFormat="1" ht="40.4" customHeight="1" x14ac:dyDescent="0.35">
      <c r="A507" s="770"/>
      <c r="B507" s="767"/>
      <c r="C507" s="761"/>
      <c r="D507" s="769"/>
      <c r="E507" s="769"/>
      <c r="F507" s="208"/>
      <c r="G507" s="763"/>
      <c r="H507" s="744"/>
      <c r="I507" s="765"/>
      <c r="J507" s="730"/>
      <c r="K507" s="761"/>
      <c r="L507" s="761"/>
      <c r="M507" s="730"/>
      <c r="N507" s="730"/>
      <c r="V507" s="194" t="str">
        <f t="array" ref="V507">IFERROR(IF(INDEX('Disaggregation Records'!$I$69:$I$152,MATCH(RIGHT(Q507,255),RIGHT('Disaggregation Records'!$D$69:$D$152,255),0))="","",INDEX('Disaggregation Records'!$I$69:$I$152,MATCH(RIGHT(Q507,255),RIGHT('Disaggregation Records'!$D$69:$D$152,255),0))),"")</f>
        <v/>
      </c>
    </row>
    <row r="508" spans="1:23" s="194" customFormat="1" ht="40.4" customHeight="1" x14ac:dyDescent="0.35">
      <c r="A508" s="770" t="str">
        <f ca="1">INDIRECT("'update Helper'!C"&amp;U508)</f>
        <v>a1V3p000006jwBcEAI</v>
      </c>
      <c r="B508" s="766">
        <v>10</v>
      </c>
      <c r="C508" s="760" t="str">
        <f>IFERROR(VLOOKUP(B508,'Outcome Indicators - Section C '!$A$9:$AF$70,32,FALSE),"")</f>
        <v/>
      </c>
      <c r="D508" s="768" t="str">
        <f>R508</f>
        <v/>
      </c>
      <c r="E508" s="768" t="str">
        <f>S508</f>
        <v/>
      </c>
      <c r="F508" s="413"/>
      <c r="G508" s="762" t="str">
        <f ca="1">IF(OR(INDIRECT("'update Helper'!E"&amp;U508)="",F508&lt;&gt;0,F509&lt;&gt;0),IF(IFERROR((F508/F509),"")="","",(F508/F509)),INDIRECT("'update Helper'!E"&amp;U508)/100)</f>
        <v/>
      </c>
      <c r="H508" s="743"/>
      <c r="I508" s="764"/>
      <c r="J508" s="729"/>
      <c r="K508" s="760" t="str">
        <f>W508</f>
        <v/>
      </c>
      <c r="L508" s="760" t="str">
        <f>V508</f>
        <v/>
      </c>
      <c r="M508" s="729"/>
      <c r="N508" s="729"/>
      <c r="P508" s="194">
        <f>IF(AND(EXACT(C508,C506),C506&lt;&gt;0),P506+1,0)</f>
        <v>46</v>
      </c>
      <c r="Q508" s="194" t="str">
        <f>IF(C508&lt;&gt;"",C508&amp;"-"&amp;P508,"")</f>
        <v/>
      </c>
      <c r="R508" s="194" t="str">
        <f t="array" ref="R508">IFERROR(IF(INDEX('Disaggregation Records'!$E$69:$E$152,MATCH(RIGHT(Q508,255),RIGHT('Disaggregation Records'!$D$69:$D$152,255),0))="","",INDEX('Disaggregation Records'!$E$69:$E$152,MATCH(RIGHT(Q508,255),RIGHT('Disaggregation Records'!$D$69:$D$152,255),0))),"")</f>
        <v/>
      </c>
      <c r="S508" s="194" t="str">
        <f t="array" ref="S508">IFERROR(IF(INDEX('Disaggregation Records'!$F$69:$F$152,MATCH(RIGHT(Q508,255),RIGHT('Disaggregation Records'!$D$69:$D$152,255),0))="","",INDEX('Disaggregation Records'!$F$69:$F$152,MATCH(RIGHT(Q508,255),RIGHT('Disaggregation Records'!$D$69:$D$152,255),0))),"")</f>
        <v/>
      </c>
      <c r="T508" s="194" t="str">
        <f t="array" ref="T508">IFERROR(IF(INDEX('Disaggregation Records'!$H$69:$H$152,MATCH(RIGHT(Q508,255),RIGHT('Disaggregation Records'!$D$69:$D$152,255),0))="","",INDEX('Disaggregation Records'!$H$69:$H$152,MATCH(RIGHT(Q508,255),RIGHT('Disaggregation Records'!$D$69:$D$152,255),0))),"")</f>
        <v/>
      </c>
      <c r="U508" s="194">
        <f>U506+1</f>
        <v>1763</v>
      </c>
      <c r="V508" s="194" t="str">
        <f t="array" ref="V508">IFERROR(IF(INDEX('Disaggregation Records'!$I$69:$I$152,MATCH(RIGHT(Q508,255),RIGHT('Disaggregation Records'!$D$69:$D$152,255),0))="","",INDEX('Disaggregation Records'!$I$69:$I$152,MATCH(RIGHT(Q508,255),RIGHT('Disaggregation Records'!$D$69:$D$152,255),0))),"")</f>
        <v/>
      </c>
      <c r="W508" s="194" t="str">
        <f>IFERROR(INDEX('Reference Records'!P$23:P$74,MATCH(LEFT(C508,255),'Reference Records'!J$23:J$74,0)),"")</f>
        <v/>
      </c>
    </row>
    <row r="509" spans="1:23" s="194" customFormat="1" ht="40.4" customHeight="1" x14ac:dyDescent="0.35">
      <c r="A509" s="770"/>
      <c r="B509" s="767"/>
      <c r="C509" s="761"/>
      <c r="D509" s="769"/>
      <c r="E509" s="769"/>
      <c r="F509" s="208"/>
      <c r="G509" s="763"/>
      <c r="H509" s="744"/>
      <c r="I509" s="765"/>
      <c r="J509" s="730"/>
      <c r="K509" s="761"/>
      <c r="L509" s="761"/>
      <c r="M509" s="730"/>
      <c r="N509" s="730"/>
      <c r="V509" s="194" t="str">
        <f t="array" ref="V509">IFERROR(IF(INDEX('Disaggregation Records'!$I$69:$I$152,MATCH(RIGHT(Q509,255),RIGHT('Disaggregation Records'!$D$69:$D$152,255),0))="","",INDEX('Disaggregation Records'!$I$69:$I$152,MATCH(RIGHT(Q509,255),RIGHT('Disaggregation Records'!$D$69:$D$152,255),0))),"")</f>
        <v/>
      </c>
    </row>
    <row r="510" spans="1:23" s="194" customFormat="1" ht="40.4" customHeight="1" x14ac:dyDescent="0.35">
      <c r="A510" s="770" t="str">
        <f ca="1">INDIRECT("'update Helper'!C"&amp;U510)</f>
        <v>a1V3p000006jwBdEAI</v>
      </c>
      <c r="B510" s="766">
        <v>10</v>
      </c>
      <c r="C510" s="760" t="str">
        <f>IFERROR(VLOOKUP(B510,'Outcome Indicators - Section C '!$A$9:$AF$70,32,FALSE),"")</f>
        <v/>
      </c>
      <c r="D510" s="768" t="str">
        <f>R510</f>
        <v/>
      </c>
      <c r="E510" s="768" t="str">
        <f>S510</f>
        <v/>
      </c>
      <c r="F510" s="413"/>
      <c r="G510" s="762" t="str">
        <f ca="1">IF(OR(INDIRECT("'update Helper'!E"&amp;U510)="",F510&lt;&gt;0,F511&lt;&gt;0),IF(IFERROR((F510/F511),"")="","",(F510/F511)),INDIRECT("'update Helper'!E"&amp;U510)/100)</f>
        <v/>
      </c>
      <c r="H510" s="743"/>
      <c r="I510" s="764"/>
      <c r="J510" s="729"/>
      <c r="K510" s="760" t="str">
        <f>W510</f>
        <v/>
      </c>
      <c r="L510" s="760" t="str">
        <f>V510</f>
        <v/>
      </c>
      <c r="M510" s="729"/>
      <c r="N510" s="729"/>
      <c r="P510" s="194">
        <f>IF(AND(EXACT(C510,C508),C508&lt;&gt;0),P508+1,0)</f>
        <v>47</v>
      </c>
      <c r="Q510" s="194" t="str">
        <f>IF(C510&lt;&gt;"",C510&amp;"-"&amp;P510,"")</f>
        <v/>
      </c>
      <c r="R510" s="194" t="str">
        <f t="array" ref="R510">IFERROR(IF(INDEX('Disaggregation Records'!$E$69:$E$152,MATCH(RIGHT(Q510,255),RIGHT('Disaggregation Records'!$D$69:$D$152,255),0))="","",INDEX('Disaggregation Records'!$E$69:$E$152,MATCH(RIGHT(Q510,255),RIGHT('Disaggregation Records'!$D$69:$D$152,255),0))),"")</f>
        <v/>
      </c>
      <c r="S510" s="194" t="str">
        <f t="array" ref="S510">IFERROR(IF(INDEX('Disaggregation Records'!$F$69:$F$152,MATCH(RIGHT(Q510,255),RIGHT('Disaggregation Records'!$D$69:$D$152,255),0))="","",INDEX('Disaggregation Records'!$F$69:$F$152,MATCH(RIGHT(Q510,255),RIGHT('Disaggregation Records'!$D$69:$D$152,255),0))),"")</f>
        <v/>
      </c>
      <c r="T510" s="194" t="str">
        <f t="array" ref="T510">IFERROR(IF(INDEX('Disaggregation Records'!$H$69:$H$152,MATCH(RIGHT(Q510,255),RIGHT('Disaggregation Records'!$D$69:$D$152,255),0))="","",INDEX('Disaggregation Records'!$H$69:$H$152,MATCH(RIGHT(Q510,255),RIGHT('Disaggregation Records'!$D$69:$D$152,255),0))),"")</f>
        <v/>
      </c>
      <c r="U510" s="194">
        <f>U508+1</f>
        <v>1764</v>
      </c>
      <c r="V510" s="194" t="str">
        <f t="array" ref="V510">IFERROR(IF(INDEX('Disaggregation Records'!$I$69:$I$152,MATCH(RIGHT(Q510,255),RIGHT('Disaggregation Records'!$D$69:$D$152,255),0))="","",INDEX('Disaggregation Records'!$I$69:$I$152,MATCH(RIGHT(Q510,255),RIGHT('Disaggregation Records'!$D$69:$D$152,255),0))),"")</f>
        <v/>
      </c>
      <c r="W510" s="194" t="str">
        <f>IFERROR(INDEX('Reference Records'!P$23:P$74,MATCH(LEFT(C510,255),'Reference Records'!J$23:J$74,0)),"")</f>
        <v/>
      </c>
    </row>
    <row r="511" spans="1:23" s="194" customFormat="1" ht="40.4" customHeight="1" x14ac:dyDescent="0.35">
      <c r="A511" s="770"/>
      <c r="B511" s="767"/>
      <c r="C511" s="761"/>
      <c r="D511" s="769"/>
      <c r="E511" s="769"/>
      <c r="F511" s="208"/>
      <c r="G511" s="763"/>
      <c r="H511" s="744"/>
      <c r="I511" s="765"/>
      <c r="J511" s="730"/>
      <c r="K511" s="761"/>
      <c r="L511" s="761"/>
      <c r="M511" s="730"/>
      <c r="N511" s="730"/>
      <c r="V511" s="194" t="str">
        <f t="array" ref="V511">IFERROR(IF(INDEX('Disaggregation Records'!$I$69:$I$152,MATCH(RIGHT(Q511,255),RIGHT('Disaggregation Records'!$D$69:$D$152,255),0))="","",INDEX('Disaggregation Records'!$I$69:$I$152,MATCH(RIGHT(Q511,255),RIGHT('Disaggregation Records'!$D$69:$D$152,255),0))),"")</f>
        <v/>
      </c>
    </row>
    <row r="512" spans="1:23" s="194" customFormat="1" ht="40.4" customHeight="1" x14ac:dyDescent="0.35">
      <c r="A512" s="770" t="str">
        <f ca="1">INDIRECT("'update Helper'!C"&amp;U512)</f>
        <v>a1V3p000006jwBeEAI</v>
      </c>
      <c r="B512" s="766">
        <v>10</v>
      </c>
      <c r="C512" s="760" t="str">
        <f>IFERROR(VLOOKUP(B512,'Outcome Indicators - Section C '!$A$9:$AF$70,32,FALSE),"")</f>
        <v/>
      </c>
      <c r="D512" s="768" t="str">
        <f>R512</f>
        <v/>
      </c>
      <c r="E512" s="768" t="str">
        <f>S512</f>
        <v/>
      </c>
      <c r="F512" s="413"/>
      <c r="G512" s="762" t="str">
        <f ca="1">IF(OR(INDIRECT("'update Helper'!E"&amp;U512)="",F512&lt;&gt;0,F513&lt;&gt;0),IF(IFERROR((F512/F513),"")="","",(F512/F513)),INDIRECT("'update Helper'!E"&amp;U512)/100)</f>
        <v/>
      </c>
      <c r="H512" s="743"/>
      <c r="I512" s="764"/>
      <c r="J512" s="729"/>
      <c r="K512" s="760" t="str">
        <f>W512</f>
        <v/>
      </c>
      <c r="L512" s="760" t="str">
        <f>V512</f>
        <v/>
      </c>
      <c r="M512" s="729"/>
      <c r="N512" s="729"/>
      <c r="P512" s="194">
        <f>IF(AND(EXACT(C512,C510),C510&lt;&gt;0),P510+1,0)</f>
        <v>48</v>
      </c>
      <c r="Q512" s="194" t="str">
        <f>IF(C512&lt;&gt;"",C512&amp;"-"&amp;P512,"")</f>
        <v/>
      </c>
      <c r="R512" s="194" t="str">
        <f t="array" ref="R512">IFERROR(IF(INDEX('Disaggregation Records'!$E$69:$E$152,MATCH(RIGHT(Q512,255),RIGHT('Disaggregation Records'!$D$69:$D$152,255),0))="","",INDEX('Disaggregation Records'!$E$69:$E$152,MATCH(RIGHT(Q512,255),RIGHT('Disaggregation Records'!$D$69:$D$152,255),0))),"")</f>
        <v/>
      </c>
      <c r="S512" s="194" t="str">
        <f t="array" ref="S512">IFERROR(IF(INDEX('Disaggregation Records'!$F$69:$F$152,MATCH(RIGHT(Q512,255),RIGHT('Disaggregation Records'!$D$69:$D$152,255),0))="","",INDEX('Disaggregation Records'!$F$69:$F$152,MATCH(RIGHT(Q512,255),RIGHT('Disaggregation Records'!$D$69:$D$152,255),0))),"")</f>
        <v/>
      </c>
      <c r="T512" s="194" t="str">
        <f t="array" ref="T512">IFERROR(IF(INDEX('Disaggregation Records'!$H$69:$H$152,MATCH(RIGHT(Q512,255),RIGHT('Disaggregation Records'!$D$69:$D$152,255),0))="","",INDEX('Disaggregation Records'!$H$69:$H$152,MATCH(RIGHT(Q512,255),RIGHT('Disaggregation Records'!$D$69:$D$152,255),0))),"")</f>
        <v/>
      </c>
      <c r="U512" s="194">
        <f>U510+1</f>
        <v>1765</v>
      </c>
      <c r="V512" s="194" t="str">
        <f t="array" ref="V512">IFERROR(IF(INDEX('Disaggregation Records'!$I$69:$I$152,MATCH(RIGHT(Q512,255),RIGHT('Disaggregation Records'!$D$69:$D$152,255),0))="","",INDEX('Disaggregation Records'!$I$69:$I$152,MATCH(RIGHT(Q512,255),RIGHT('Disaggregation Records'!$D$69:$D$152,255),0))),"")</f>
        <v/>
      </c>
      <c r="W512" s="194" t="str">
        <f>IFERROR(INDEX('Reference Records'!P$23:P$74,MATCH(LEFT(C512,255),'Reference Records'!J$23:J$74,0)),"")</f>
        <v/>
      </c>
    </row>
    <row r="513" spans="1:23" s="194" customFormat="1" ht="40.4" customHeight="1" x14ac:dyDescent="0.35">
      <c r="A513" s="770"/>
      <c r="B513" s="767"/>
      <c r="C513" s="761"/>
      <c r="D513" s="769"/>
      <c r="E513" s="769"/>
      <c r="F513" s="208"/>
      <c r="G513" s="763"/>
      <c r="H513" s="744"/>
      <c r="I513" s="765"/>
      <c r="J513" s="730"/>
      <c r="K513" s="761"/>
      <c r="L513" s="761"/>
      <c r="M513" s="730"/>
      <c r="N513" s="730"/>
      <c r="V513" s="194" t="str">
        <f t="array" ref="V513">IFERROR(IF(INDEX('Disaggregation Records'!$I$69:$I$152,MATCH(RIGHT(Q513,255),RIGHT('Disaggregation Records'!$D$69:$D$152,255),0))="","",INDEX('Disaggregation Records'!$I$69:$I$152,MATCH(RIGHT(Q513,255),RIGHT('Disaggregation Records'!$D$69:$D$152,255),0))),"")</f>
        <v/>
      </c>
    </row>
    <row r="514" spans="1:23" s="194" customFormat="1" ht="40.4" customHeight="1" x14ac:dyDescent="0.35">
      <c r="A514" s="770" t="str">
        <f ca="1">INDIRECT("'update Helper'!C"&amp;U514)</f>
        <v>a1V3p000006jwBfEAI</v>
      </c>
      <c r="B514" s="766">
        <v>10</v>
      </c>
      <c r="C514" s="760" t="str">
        <f>IFERROR(VLOOKUP(B514,'Outcome Indicators - Section C '!$A$9:$AF$70,32,FALSE),"")</f>
        <v/>
      </c>
      <c r="D514" s="768" t="str">
        <f>R514</f>
        <v/>
      </c>
      <c r="E514" s="768" t="str">
        <f>S514</f>
        <v/>
      </c>
      <c r="F514" s="413"/>
      <c r="G514" s="762" t="str">
        <f ca="1">IF(OR(INDIRECT("'update Helper'!E"&amp;U514)="",F514&lt;&gt;0,F515&lt;&gt;0),IF(IFERROR((F514/F515),"")="","",(F514/F515)),INDIRECT("'update Helper'!E"&amp;U514)/100)</f>
        <v/>
      </c>
      <c r="H514" s="743"/>
      <c r="I514" s="764"/>
      <c r="J514" s="729"/>
      <c r="K514" s="760" t="str">
        <f>W514</f>
        <v/>
      </c>
      <c r="L514" s="760" t="str">
        <f>V514</f>
        <v/>
      </c>
      <c r="M514" s="729"/>
      <c r="N514" s="729"/>
      <c r="P514" s="194">
        <f>IF(AND(EXACT(C514,C512),C512&lt;&gt;0),P512+1,0)</f>
        <v>49</v>
      </c>
      <c r="Q514" s="194" t="str">
        <f>IF(C514&lt;&gt;"",C514&amp;"-"&amp;P514,"")</f>
        <v/>
      </c>
      <c r="R514" s="194" t="str">
        <f t="array" ref="R514">IFERROR(IF(INDEX('Disaggregation Records'!$E$69:$E$152,MATCH(RIGHT(Q514,255),RIGHT('Disaggregation Records'!$D$69:$D$152,255),0))="","",INDEX('Disaggregation Records'!$E$69:$E$152,MATCH(RIGHT(Q514,255),RIGHT('Disaggregation Records'!$D$69:$D$152,255),0))),"")</f>
        <v/>
      </c>
      <c r="S514" s="194" t="str">
        <f t="array" ref="S514">IFERROR(IF(INDEX('Disaggregation Records'!$F$69:$F$152,MATCH(RIGHT(Q514,255),RIGHT('Disaggregation Records'!$D$69:$D$152,255),0))="","",INDEX('Disaggregation Records'!$F$69:$F$152,MATCH(RIGHT(Q514,255),RIGHT('Disaggregation Records'!$D$69:$D$152,255),0))),"")</f>
        <v/>
      </c>
      <c r="T514" s="194" t="str">
        <f t="array" ref="T514">IFERROR(IF(INDEX('Disaggregation Records'!$H$69:$H$152,MATCH(RIGHT(Q514,255),RIGHT('Disaggregation Records'!$D$69:$D$152,255),0))="","",INDEX('Disaggregation Records'!$H$69:$H$152,MATCH(RIGHT(Q514,255),RIGHT('Disaggregation Records'!$D$69:$D$152,255),0))),"")</f>
        <v/>
      </c>
      <c r="U514" s="194">
        <f>U512+1</f>
        <v>1766</v>
      </c>
      <c r="V514" s="194" t="str">
        <f t="array" ref="V514">IFERROR(IF(INDEX('Disaggregation Records'!$I$69:$I$152,MATCH(RIGHT(Q514,255),RIGHT('Disaggregation Records'!$D$69:$D$152,255),0))="","",INDEX('Disaggregation Records'!$I$69:$I$152,MATCH(RIGHT(Q514,255),RIGHT('Disaggregation Records'!$D$69:$D$152,255),0))),"")</f>
        <v/>
      </c>
      <c r="W514" s="194" t="str">
        <f>IFERROR(INDEX('Reference Records'!P$23:P$74,MATCH(LEFT(C514,255),'Reference Records'!J$23:J$74,0)),"")</f>
        <v/>
      </c>
    </row>
    <row r="515" spans="1:23" s="194" customFormat="1" ht="40.4" customHeight="1" x14ac:dyDescent="0.35">
      <c r="A515" s="770"/>
      <c r="B515" s="767"/>
      <c r="C515" s="761"/>
      <c r="D515" s="769"/>
      <c r="E515" s="769"/>
      <c r="F515" s="208"/>
      <c r="G515" s="763"/>
      <c r="H515" s="744"/>
      <c r="I515" s="765"/>
      <c r="J515" s="730"/>
      <c r="K515" s="761"/>
      <c r="L515" s="761"/>
      <c r="M515" s="730"/>
      <c r="N515" s="730"/>
      <c r="V515" s="194" t="str">
        <f t="array" ref="V515">IFERROR(IF(INDEX('Disaggregation Records'!$I$69:$I$152,MATCH(RIGHT(Q515,255),RIGHT('Disaggregation Records'!$D$69:$D$152,255),0))="","",INDEX('Disaggregation Records'!$I$69:$I$152,MATCH(RIGHT(Q515,255),RIGHT('Disaggregation Records'!$D$69:$D$152,255),0))),"")</f>
        <v/>
      </c>
    </row>
    <row r="516" spans="1:23" s="194" customFormat="1" ht="40.4" customHeight="1" x14ac:dyDescent="0.35">
      <c r="A516" s="770" t="str">
        <f ca="1">INDIRECT("'update Helper'!C"&amp;U516)</f>
        <v>a1V3p000006jw9GEAQ</v>
      </c>
      <c r="B516" s="766">
        <v>11</v>
      </c>
      <c r="C516" s="760" t="str">
        <f>IFERROR(VLOOKUP(B516,'Outcome Indicators - Section C '!$A$9:$AF$70,32,FALSE),"")</f>
        <v/>
      </c>
      <c r="D516" s="768" t="str">
        <f>R516</f>
        <v/>
      </c>
      <c r="E516" s="768" t="str">
        <f>S516</f>
        <v/>
      </c>
      <c r="F516" s="413"/>
      <c r="G516" s="762" t="str">
        <f ca="1">IF(OR(INDIRECT("'update Helper'!E"&amp;U516)="",F516&lt;&gt;0,F517&lt;&gt;0),IF(IFERROR((F516/F517),"")="","",(F516/F517)),INDIRECT("'update Helper'!E"&amp;U516)/100)</f>
        <v/>
      </c>
      <c r="H516" s="743"/>
      <c r="I516" s="764"/>
      <c r="J516" s="729"/>
      <c r="K516" s="760" t="str">
        <f>W516</f>
        <v/>
      </c>
      <c r="L516" s="760" t="str">
        <f>V516</f>
        <v/>
      </c>
      <c r="M516" s="729"/>
      <c r="N516" s="729"/>
      <c r="P516" s="194">
        <f>IF(AND(EXACT(C516,C514),C514&lt;&gt;0),P514+1,0)</f>
        <v>50</v>
      </c>
      <c r="Q516" s="194" t="str">
        <f>IF(C516&lt;&gt;"",C516&amp;"-"&amp;P516,"")</f>
        <v/>
      </c>
      <c r="R516" s="194" t="str">
        <f t="array" ref="R516">IFERROR(IF(INDEX('Disaggregation Records'!$E$69:$E$152,MATCH(RIGHT(Q516,255),RIGHT('Disaggregation Records'!$D$69:$D$152,255),0))="","",INDEX('Disaggregation Records'!$E$69:$E$152,MATCH(RIGHT(Q516,255),RIGHT('Disaggregation Records'!$D$69:$D$152,255),0))),"")</f>
        <v/>
      </c>
      <c r="S516" s="194" t="str">
        <f t="array" ref="S516">IFERROR(IF(INDEX('Disaggregation Records'!$F$69:$F$152,MATCH(RIGHT(Q516,255),RIGHT('Disaggregation Records'!$D$69:$D$152,255),0))="","",INDEX('Disaggregation Records'!$F$69:$F$152,MATCH(RIGHT(Q516,255),RIGHT('Disaggregation Records'!$D$69:$D$152,255),0))),"")</f>
        <v/>
      </c>
      <c r="T516" s="194" t="str">
        <f t="array" ref="T516">IFERROR(IF(INDEX('Disaggregation Records'!$H$69:$H$152,MATCH(RIGHT(Q516,255),RIGHT('Disaggregation Records'!$D$69:$D$152,255),0))="","",INDEX('Disaggregation Records'!$H$69:$H$152,MATCH(RIGHT(Q516,255),RIGHT('Disaggregation Records'!$D$69:$D$152,255),0))),"")</f>
        <v/>
      </c>
      <c r="U516" s="194">
        <f>U514+1</f>
        <v>1767</v>
      </c>
      <c r="V516" s="194" t="str">
        <f t="array" ref="V516">IFERROR(IF(INDEX('Disaggregation Records'!$I$69:$I$152,MATCH(RIGHT(Q516,255),RIGHT('Disaggregation Records'!$D$69:$D$152,255),0))="","",INDEX('Disaggregation Records'!$I$69:$I$152,MATCH(RIGHT(Q516,255),RIGHT('Disaggregation Records'!$D$69:$D$152,255),0))),"")</f>
        <v/>
      </c>
      <c r="W516" s="194" t="str">
        <f>IFERROR(INDEX('Reference Records'!P$23:P$74,MATCH(LEFT(C516,255),'Reference Records'!J$23:J$74,0)),"")</f>
        <v/>
      </c>
    </row>
    <row r="517" spans="1:23" s="194" customFormat="1" ht="40.4" customHeight="1" x14ac:dyDescent="0.35">
      <c r="A517" s="770"/>
      <c r="B517" s="767"/>
      <c r="C517" s="761"/>
      <c r="D517" s="769"/>
      <c r="E517" s="769"/>
      <c r="F517" s="208"/>
      <c r="G517" s="763"/>
      <c r="H517" s="744"/>
      <c r="I517" s="765"/>
      <c r="J517" s="730"/>
      <c r="K517" s="761"/>
      <c r="L517" s="761"/>
      <c r="M517" s="730"/>
      <c r="N517" s="730"/>
      <c r="V517" s="194" t="str">
        <f t="array" ref="V517">IFERROR(IF(INDEX('Disaggregation Records'!$I$69:$I$152,MATCH(RIGHT(Q517,255),RIGHT('Disaggregation Records'!$D$69:$D$152,255),0))="","",INDEX('Disaggregation Records'!$I$69:$I$152,MATCH(RIGHT(Q517,255),RIGHT('Disaggregation Records'!$D$69:$D$152,255),0))),"")</f>
        <v/>
      </c>
    </row>
    <row r="518" spans="1:23" s="194" customFormat="1" ht="40.4" customHeight="1" x14ac:dyDescent="0.35">
      <c r="A518" s="770" t="str">
        <f ca="1">INDIRECT("'update Helper'!C"&amp;U518)</f>
        <v>a1V3p000006jw9HEAQ</v>
      </c>
      <c r="B518" s="766">
        <v>11</v>
      </c>
      <c r="C518" s="760" t="str">
        <f>IFERROR(VLOOKUP(B518,'Outcome Indicators - Section C '!$A$9:$AF$70,32,FALSE),"")</f>
        <v/>
      </c>
      <c r="D518" s="768" t="str">
        <f>R518</f>
        <v/>
      </c>
      <c r="E518" s="768" t="str">
        <f>S518</f>
        <v/>
      </c>
      <c r="F518" s="413"/>
      <c r="G518" s="762" t="str">
        <f ca="1">IF(OR(INDIRECT("'update Helper'!E"&amp;U518)="",F518&lt;&gt;0,F519&lt;&gt;0),IF(IFERROR((F518/F519),"")="","",(F518/F519)),INDIRECT("'update Helper'!E"&amp;U518)/100)</f>
        <v/>
      </c>
      <c r="H518" s="743"/>
      <c r="I518" s="764"/>
      <c r="J518" s="729"/>
      <c r="K518" s="760" t="str">
        <f>W518</f>
        <v/>
      </c>
      <c r="L518" s="760" t="str">
        <f>V518</f>
        <v/>
      </c>
      <c r="M518" s="729"/>
      <c r="N518" s="729"/>
      <c r="P518" s="194">
        <f>IF(AND(EXACT(C518,C516),C516&lt;&gt;0),P516+1,0)</f>
        <v>51</v>
      </c>
      <c r="Q518" s="194" t="str">
        <f>IF(C518&lt;&gt;"",C518&amp;"-"&amp;P518,"")</f>
        <v/>
      </c>
      <c r="R518" s="194" t="str">
        <f t="array" ref="R518">IFERROR(IF(INDEX('Disaggregation Records'!$E$69:$E$152,MATCH(RIGHT(Q518,255),RIGHT('Disaggregation Records'!$D$69:$D$152,255),0))="","",INDEX('Disaggregation Records'!$E$69:$E$152,MATCH(RIGHT(Q518,255),RIGHT('Disaggregation Records'!$D$69:$D$152,255),0))),"")</f>
        <v/>
      </c>
      <c r="S518" s="194" t="str">
        <f t="array" ref="S518">IFERROR(IF(INDEX('Disaggregation Records'!$F$69:$F$152,MATCH(RIGHT(Q518,255),RIGHT('Disaggregation Records'!$D$69:$D$152,255),0))="","",INDEX('Disaggregation Records'!$F$69:$F$152,MATCH(RIGHT(Q518,255),RIGHT('Disaggregation Records'!$D$69:$D$152,255),0))),"")</f>
        <v/>
      </c>
      <c r="T518" s="194" t="str">
        <f t="array" ref="T518">IFERROR(IF(INDEX('Disaggregation Records'!$H$69:$H$152,MATCH(RIGHT(Q518,255),RIGHT('Disaggregation Records'!$D$69:$D$152,255),0))="","",INDEX('Disaggregation Records'!$H$69:$H$152,MATCH(RIGHT(Q518,255),RIGHT('Disaggregation Records'!$D$69:$D$152,255),0))),"")</f>
        <v/>
      </c>
      <c r="U518" s="194">
        <f>U516+1</f>
        <v>1768</v>
      </c>
      <c r="V518" s="194" t="str">
        <f t="array" ref="V518">IFERROR(IF(INDEX('Disaggregation Records'!$I$69:$I$152,MATCH(RIGHT(Q518,255),RIGHT('Disaggregation Records'!$D$69:$D$152,255),0))="","",INDEX('Disaggregation Records'!$I$69:$I$152,MATCH(RIGHT(Q518,255),RIGHT('Disaggregation Records'!$D$69:$D$152,255),0))),"")</f>
        <v/>
      </c>
      <c r="W518" s="194" t="str">
        <f>IFERROR(INDEX('Reference Records'!P$23:P$74,MATCH(LEFT(C518,255),'Reference Records'!J$23:J$74,0)),"")</f>
        <v/>
      </c>
    </row>
    <row r="519" spans="1:23" s="194" customFormat="1" ht="40.4" customHeight="1" x14ac:dyDescent="0.35">
      <c r="A519" s="770"/>
      <c r="B519" s="767"/>
      <c r="C519" s="761"/>
      <c r="D519" s="769"/>
      <c r="E519" s="769"/>
      <c r="F519" s="208"/>
      <c r="G519" s="763"/>
      <c r="H519" s="744"/>
      <c r="I519" s="765"/>
      <c r="J519" s="730"/>
      <c r="K519" s="761"/>
      <c r="L519" s="761"/>
      <c r="M519" s="730"/>
      <c r="N519" s="730"/>
      <c r="V519" s="194" t="str">
        <f t="array" ref="V519">IFERROR(IF(INDEX('Disaggregation Records'!$I$69:$I$152,MATCH(RIGHT(Q519,255),RIGHT('Disaggregation Records'!$D$69:$D$152,255),0))="","",INDEX('Disaggregation Records'!$I$69:$I$152,MATCH(RIGHT(Q519,255),RIGHT('Disaggregation Records'!$D$69:$D$152,255),0))),"")</f>
        <v/>
      </c>
    </row>
    <row r="520" spans="1:23" s="194" customFormat="1" ht="40.4" customHeight="1" x14ac:dyDescent="0.35">
      <c r="A520" s="770" t="str">
        <f ca="1">INDIRECT("'update Helper'!C"&amp;U520)</f>
        <v>a1V3p000006jw9IEAQ</v>
      </c>
      <c r="B520" s="766">
        <v>11</v>
      </c>
      <c r="C520" s="760" t="str">
        <f>IFERROR(VLOOKUP(B520,'Outcome Indicators - Section C '!$A$9:$AF$70,32,FALSE),"")</f>
        <v/>
      </c>
      <c r="D520" s="768" t="str">
        <f>R520</f>
        <v/>
      </c>
      <c r="E520" s="768" t="str">
        <f>S520</f>
        <v/>
      </c>
      <c r="F520" s="413"/>
      <c r="G520" s="762" t="str">
        <f ca="1">IF(OR(INDIRECT("'update Helper'!E"&amp;U520)="",F520&lt;&gt;0,F521&lt;&gt;0),IF(IFERROR((F520/F521),"")="","",(F520/F521)),INDIRECT("'update Helper'!E"&amp;U520)/100)</f>
        <v/>
      </c>
      <c r="H520" s="743"/>
      <c r="I520" s="764"/>
      <c r="J520" s="729"/>
      <c r="K520" s="760" t="str">
        <f>W520</f>
        <v/>
      </c>
      <c r="L520" s="760" t="str">
        <f>V520</f>
        <v/>
      </c>
      <c r="M520" s="729"/>
      <c r="N520" s="729"/>
      <c r="P520" s="194">
        <f>IF(AND(EXACT(C520,C518),C518&lt;&gt;0),P518+1,0)</f>
        <v>52</v>
      </c>
      <c r="Q520" s="194" t="str">
        <f>IF(C520&lt;&gt;"",C520&amp;"-"&amp;P520,"")</f>
        <v/>
      </c>
      <c r="R520" s="194" t="str">
        <f t="array" ref="R520">IFERROR(IF(INDEX('Disaggregation Records'!$E$69:$E$152,MATCH(RIGHT(Q520,255),RIGHT('Disaggregation Records'!$D$69:$D$152,255),0))="","",INDEX('Disaggregation Records'!$E$69:$E$152,MATCH(RIGHT(Q520,255),RIGHT('Disaggregation Records'!$D$69:$D$152,255),0))),"")</f>
        <v/>
      </c>
      <c r="S520" s="194" t="str">
        <f t="array" ref="S520">IFERROR(IF(INDEX('Disaggregation Records'!$F$69:$F$152,MATCH(RIGHT(Q520,255),RIGHT('Disaggregation Records'!$D$69:$D$152,255),0))="","",INDEX('Disaggregation Records'!$F$69:$F$152,MATCH(RIGHT(Q520,255),RIGHT('Disaggregation Records'!$D$69:$D$152,255),0))),"")</f>
        <v/>
      </c>
      <c r="T520" s="194" t="str">
        <f t="array" ref="T520">IFERROR(IF(INDEX('Disaggregation Records'!$H$69:$H$152,MATCH(RIGHT(Q520,255),RIGHT('Disaggregation Records'!$D$69:$D$152,255),0))="","",INDEX('Disaggregation Records'!$H$69:$H$152,MATCH(RIGHT(Q520,255),RIGHT('Disaggregation Records'!$D$69:$D$152,255),0))),"")</f>
        <v/>
      </c>
      <c r="U520" s="194">
        <f>U518+1</f>
        <v>1769</v>
      </c>
      <c r="V520" s="194" t="str">
        <f t="array" ref="V520">IFERROR(IF(INDEX('Disaggregation Records'!$I$69:$I$152,MATCH(RIGHT(Q520,255),RIGHT('Disaggregation Records'!$D$69:$D$152,255),0))="","",INDEX('Disaggregation Records'!$I$69:$I$152,MATCH(RIGHT(Q520,255),RIGHT('Disaggregation Records'!$D$69:$D$152,255),0))),"")</f>
        <v/>
      </c>
      <c r="W520" s="194" t="str">
        <f>IFERROR(INDEX('Reference Records'!P$23:P$74,MATCH(LEFT(C520,255),'Reference Records'!J$23:J$74,0)),"")</f>
        <v/>
      </c>
    </row>
    <row r="521" spans="1:23" s="194" customFormat="1" ht="40.4" customHeight="1" x14ac:dyDescent="0.35">
      <c r="A521" s="770"/>
      <c r="B521" s="767"/>
      <c r="C521" s="761"/>
      <c r="D521" s="769"/>
      <c r="E521" s="769"/>
      <c r="F521" s="208"/>
      <c r="G521" s="763"/>
      <c r="H521" s="744"/>
      <c r="I521" s="765"/>
      <c r="J521" s="730"/>
      <c r="K521" s="761"/>
      <c r="L521" s="761"/>
      <c r="M521" s="730"/>
      <c r="N521" s="730"/>
      <c r="V521" s="194" t="str">
        <f t="array" ref="V521">IFERROR(IF(INDEX('Disaggregation Records'!$I$69:$I$152,MATCH(RIGHT(Q521,255),RIGHT('Disaggregation Records'!$D$69:$D$152,255),0))="","",INDEX('Disaggregation Records'!$I$69:$I$152,MATCH(RIGHT(Q521,255),RIGHT('Disaggregation Records'!$D$69:$D$152,255),0))),"")</f>
        <v/>
      </c>
    </row>
    <row r="522" spans="1:23" s="194" customFormat="1" ht="40.4" customHeight="1" x14ac:dyDescent="0.35">
      <c r="A522" s="770" t="str">
        <f ca="1">INDIRECT("'update Helper'!C"&amp;U522)</f>
        <v>a1V3p000006jw9JEAQ</v>
      </c>
      <c r="B522" s="766">
        <v>11</v>
      </c>
      <c r="C522" s="760" t="str">
        <f>IFERROR(VLOOKUP(B522,'Outcome Indicators - Section C '!$A$9:$AF$70,32,FALSE),"")</f>
        <v/>
      </c>
      <c r="D522" s="768" t="str">
        <f>R522</f>
        <v/>
      </c>
      <c r="E522" s="768" t="str">
        <f>S522</f>
        <v/>
      </c>
      <c r="F522" s="413"/>
      <c r="G522" s="762" t="str">
        <f ca="1">IF(OR(INDIRECT("'update Helper'!E"&amp;U522)="",F522&lt;&gt;0,F523&lt;&gt;0),IF(IFERROR((F522/F523),"")="","",(F522/F523)),INDIRECT("'update Helper'!E"&amp;U522)/100)</f>
        <v/>
      </c>
      <c r="H522" s="743"/>
      <c r="I522" s="764"/>
      <c r="J522" s="729"/>
      <c r="K522" s="760" t="str">
        <f>W522</f>
        <v/>
      </c>
      <c r="L522" s="760" t="str">
        <f>V522</f>
        <v/>
      </c>
      <c r="M522" s="729"/>
      <c r="N522" s="729"/>
      <c r="P522" s="194">
        <f>IF(AND(EXACT(C522,C520),C520&lt;&gt;0),P520+1,0)</f>
        <v>53</v>
      </c>
      <c r="Q522" s="194" t="str">
        <f>IF(C522&lt;&gt;"",C522&amp;"-"&amp;P522,"")</f>
        <v/>
      </c>
      <c r="R522" s="194" t="str">
        <f t="array" ref="R522">IFERROR(IF(INDEX('Disaggregation Records'!$E$69:$E$152,MATCH(RIGHT(Q522,255),RIGHT('Disaggregation Records'!$D$69:$D$152,255),0))="","",INDEX('Disaggregation Records'!$E$69:$E$152,MATCH(RIGHT(Q522,255),RIGHT('Disaggregation Records'!$D$69:$D$152,255),0))),"")</f>
        <v/>
      </c>
      <c r="S522" s="194" t="str">
        <f t="array" ref="S522">IFERROR(IF(INDEX('Disaggregation Records'!$F$69:$F$152,MATCH(RIGHT(Q522,255),RIGHT('Disaggregation Records'!$D$69:$D$152,255),0))="","",INDEX('Disaggregation Records'!$F$69:$F$152,MATCH(RIGHT(Q522,255),RIGHT('Disaggregation Records'!$D$69:$D$152,255),0))),"")</f>
        <v/>
      </c>
      <c r="T522" s="194" t="str">
        <f t="array" ref="T522">IFERROR(IF(INDEX('Disaggregation Records'!$H$69:$H$152,MATCH(RIGHT(Q522,255),RIGHT('Disaggregation Records'!$D$69:$D$152,255),0))="","",INDEX('Disaggregation Records'!$H$69:$H$152,MATCH(RIGHT(Q522,255),RIGHT('Disaggregation Records'!$D$69:$D$152,255),0))),"")</f>
        <v/>
      </c>
      <c r="U522" s="194">
        <f>U520+1</f>
        <v>1770</v>
      </c>
      <c r="V522" s="194" t="str">
        <f t="array" ref="V522">IFERROR(IF(INDEX('Disaggregation Records'!$I$69:$I$152,MATCH(RIGHT(Q522,255),RIGHT('Disaggregation Records'!$D$69:$D$152,255),0))="","",INDEX('Disaggregation Records'!$I$69:$I$152,MATCH(RIGHT(Q522,255),RIGHT('Disaggregation Records'!$D$69:$D$152,255),0))),"")</f>
        <v/>
      </c>
      <c r="W522" s="194" t="str">
        <f>IFERROR(INDEX('Reference Records'!P$23:P$74,MATCH(LEFT(C522,255),'Reference Records'!J$23:J$74,0)),"")</f>
        <v/>
      </c>
    </row>
    <row r="523" spans="1:23" s="194" customFormat="1" ht="40.4" customHeight="1" x14ac:dyDescent="0.35">
      <c r="A523" s="770"/>
      <c r="B523" s="767"/>
      <c r="C523" s="761"/>
      <c r="D523" s="769"/>
      <c r="E523" s="769"/>
      <c r="F523" s="208"/>
      <c r="G523" s="763"/>
      <c r="H523" s="744"/>
      <c r="I523" s="765"/>
      <c r="J523" s="730"/>
      <c r="K523" s="761"/>
      <c r="L523" s="761"/>
      <c r="M523" s="730"/>
      <c r="N523" s="730"/>
      <c r="V523" s="194" t="str">
        <f t="array" ref="V523">IFERROR(IF(INDEX('Disaggregation Records'!$I$69:$I$152,MATCH(RIGHT(Q523,255),RIGHT('Disaggregation Records'!$D$69:$D$152,255),0))="","",INDEX('Disaggregation Records'!$I$69:$I$152,MATCH(RIGHT(Q523,255),RIGHT('Disaggregation Records'!$D$69:$D$152,255),0))),"")</f>
        <v/>
      </c>
    </row>
    <row r="524" spans="1:23" s="194" customFormat="1" ht="40.4" customHeight="1" x14ac:dyDescent="0.35">
      <c r="A524" s="770" t="str">
        <f ca="1">INDIRECT("'update Helper'!C"&amp;U524)</f>
        <v>a1V3p000006jw9KEAQ</v>
      </c>
      <c r="B524" s="766">
        <v>11</v>
      </c>
      <c r="C524" s="760" t="str">
        <f>IFERROR(VLOOKUP(B524,'Outcome Indicators - Section C '!$A$9:$AF$70,32,FALSE),"")</f>
        <v/>
      </c>
      <c r="D524" s="768" t="str">
        <f>R524</f>
        <v/>
      </c>
      <c r="E524" s="768" t="str">
        <f>S524</f>
        <v/>
      </c>
      <c r="F524" s="413"/>
      <c r="G524" s="762" t="str">
        <f ca="1">IF(OR(INDIRECT("'update Helper'!E"&amp;U524)="",F524&lt;&gt;0,F525&lt;&gt;0),IF(IFERROR((F524/F525),"")="","",(F524/F525)),INDIRECT("'update Helper'!E"&amp;U524)/100)</f>
        <v/>
      </c>
      <c r="H524" s="743"/>
      <c r="I524" s="764"/>
      <c r="J524" s="729"/>
      <c r="K524" s="760" t="str">
        <f>W524</f>
        <v/>
      </c>
      <c r="L524" s="760" t="str">
        <f>V524</f>
        <v/>
      </c>
      <c r="M524" s="729"/>
      <c r="N524" s="729"/>
      <c r="P524" s="194">
        <f>IF(AND(EXACT(C524,C522),C522&lt;&gt;0),P522+1,0)</f>
        <v>54</v>
      </c>
      <c r="Q524" s="194" t="str">
        <f>IF(C524&lt;&gt;"",C524&amp;"-"&amp;P524,"")</f>
        <v/>
      </c>
      <c r="R524" s="194" t="str">
        <f t="array" ref="R524">IFERROR(IF(INDEX('Disaggregation Records'!$E$69:$E$152,MATCH(RIGHT(Q524,255),RIGHT('Disaggregation Records'!$D$69:$D$152,255),0))="","",INDEX('Disaggregation Records'!$E$69:$E$152,MATCH(RIGHT(Q524,255),RIGHT('Disaggregation Records'!$D$69:$D$152,255),0))),"")</f>
        <v/>
      </c>
      <c r="S524" s="194" t="str">
        <f t="array" ref="S524">IFERROR(IF(INDEX('Disaggregation Records'!$F$69:$F$152,MATCH(RIGHT(Q524,255),RIGHT('Disaggregation Records'!$D$69:$D$152,255),0))="","",INDEX('Disaggregation Records'!$F$69:$F$152,MATCH(RIGHT(Q524,255),RIGHT('Disaggregation Records'!$D$69:$D$152,255),0))),"")</f>
        <v/>
      </c>
      <c r="T524" s="194" t="str">
        <f t="array" ref="T524">IFERROR(IF(INDEX('Disaggregation Records'!$H$69:$H$152,MATCH(RIGHT(Q524,255),RIGHT('Disaggregation Records'!$D$69:$D$152,255),0))="","",INDEX('Disaggregation Records'!$H$69:$H$152,MATCH(RIGHT(Q524,255),RIGHT('Disaggregation Records'!$D$69:$D$152,255),0))),"")</f>
        <v/>
      </c>
      <c r="U524" s="194">
        <f>U522+1</f>
        <v>1771</v>
      </c>
      <c r="V524" s="194" t="str">
        <f t="array" ref="V524">IFERROR(IF(INDEX('Disaggregation Records'!$I$69:$I$152,MATCH(RIGHT(Q524,255),RIGHT('Disaggregation Records'!$D$69:$D$152,255),0))="","",INDEX('Disaggregation Records'!$I$69:$I$152,MATCH(RIGHT(Q524,255),RIGHT('Disaggregation Records'!$D$69:$D$152,255),0))),"")</f>
        <v/>
      </c>
      <c r="W524" s="194" t="str">
        <f>IFERROR(INDEX('Reference Records'!P$23:P$74,MATCH(LEFT(C524,255),'Reference Records'!J$23:J$74,0)),"")</f>
        <v/>
      </c>
    </row>
    <row r="525" spans="1:23" s="194" customFormat="1" ht="40.4" customHeight="1" x14ac:dyDescent="0.35">
      <c r="A525" s="770"/>
      <c r="B525" s="767"/>
      <c r="C525" s="761"/>
      <c r="D525" s="769"/>
      <c r="E525" s="769"/>
      <c r="F525" s="208"/>
      <c r="G525" s="763"/>
      <c r="H525" s="744"/>
      <c r="I525" s="765"/>
      <c r="J525" s="730"/>
      <c r="K525" s="761"/>
      <c r="L525" s="761"/>
      <c r="M525" s="730"/>
      <c r="N525" s="730"/>
      <c r="V525" s="194" t="str">
        <f t="array" ref="V525">IFERROR(IF(INDEX('Disaggregation Records'!$I$69:$I$152,MATCH(RIGHT(Q525,255),RIGHT('Disaggregation Records'!$D$69:$D$152,255),0))="","",INDEX('Disaggregation Records'!$I$69:$I$152,MATCH(RIGHT(Q525,255),RIGHT('Disaggregation Records'!$D$69:$D$152,255),0))),"")</f>
        <v/>
      </c>
    </row>
    <row r="526" spans="1:23" s="194" customFormat="1" ht="40.4" customHeight="1" x14ac:dyDescent="0.35">
      <c r="A526" s="770" t="str">
        <f ca="1">INDIRECT("'update Helper'!C"&amp;U526)</f>
        <v>a1V3p000006jw9LEAQ</v>
      </c>
      <c r="B526" s="766">
        <v>11</v>
      </c>
      <c r="C526" s="760" t="str">
        <f>IFERROR(VLOOKUP(B526,'Outcome Indicators - Section C '!$A$9:$AF$70,32,FALSE),"")</f>
        <v/>
      </c>
      <c r="D526" s="768" t="str">
        <f>R526</f>
        <v/>
      </c>
      <c r="E526" s="768" t="str">
        <f>S526</f>
        <v/>
      </c>
      <c r="F526" s="413"/>
      <c r="G526" s="762" t="str">
        <f ca="1">IF(OR(INDIRECT("'update Helper'!E"&amp;U526)="",F526&lt;&gt;0,F527&lt;&gt;0),IF(IFERROR((F526/F527),"")="","",(F526/F527)),INDIRECT("'update Helper'!E"&amp;U526)/100)</f>
        <v/>
      </c>
      <c r="H526" s="743"/>
      <c r="I526" s="764"/>
      <c r="J526" s="729"/>
      <c r="K526" s="760" t="str">
        <f>W526</f>
        <v/>
      </c>
      <c r="L526" s="760" t="str">
        <f>V526</f>
        <v/>
      </c>
      <c r="M526" s="729"/>
      <c r="N526" s="729"/>
      <c r="P526" s="194">
        <f>IF(AND(EXACT(C526,C524),C524&lt;&gt;0),P524+1,0)</f>
        <v>55</v>
      </c>
      <c r="Q526" s="194" t="str">
        <f>IF(C526&lt;&gt;"",C526&amp;"-"&amp;P526,"")</f>
        <v/>
      </c>
      <c r="R526" s="194" t="str">
        <f t="array" ref="R526">IFERROR(IF(INDEX('Disaggregation Records'!$E$69:$E$152,MATCH(RIGHT(Q526,255),RIGHT('Disaggregation Records'!$D$69:$D$152,255),0))="","",INDEX('Disaggregation Records'!$E$69:$E$152,MATCH(RIGHT(Q526,255),RIGHT('Disaggregation Records'!$D$69:$D$152,255),0))),"")</f>
        <v/>
      </c>
      <c r="S526" s="194" t="str">
        <f t="array" ref="S526">IFERROR(IF(INDEX('Disaggregation Records'!$F$69:$F$152,MATCH(RIGHT(Q526,255),RIGHT('Disaggregation Records'!$D$69:$D$152,255),0))="","",INDEX('Disaggregation Records'!$F$69:$F$152,MATCH(RIGHT(Q526,255),RIGHT('Disaggregation Records'!$D$69:$D$152,255),0))),"")</f>
        <v/>
      </c>
      <c r="T526" s="194" t="str">
        <f t="array" ref="T526">IFERROR(IF(INDEX('Disaggregation Records'!$H$69:$H$152,MATCH(RIGHT(Q526,255),RIGHT('Disaggregation Records'!$D$69:$D$152,255),0))="","",INDEX('Disaggregation Records'!$H$69:$H$152,MATCH(RIGHT(Q526,255),RIGHT('Disaggregation Records'!$D$69:$D$152,255),0))),"")</f>
        <v/>
      </c>
      <c r="U526" s="194">
        <f>U524+1</f>
        <v>1772</v>
      </c>
      <c r="V526" s="194" t="str">
        <f t="array" ref="V526">IFERROR(IF(INDEX('Disaggregation Records'!$I$69:$I$152,MATCH(RIGHT(Q526,255),RIGHT('Disaggregation Records'!$D$69:$D$152,255),0))="","",INDEX('Disaggregation Records'!$I$69:$I$152,MATCH(RIGHT(Q526,255),RIGHT('Disaggregation Records'!$D$69:$D$152,255),0))),"")</f>
        <v/>
      </c>
      <c r="W526" s="194" t="str">
        <f>IFERROR(INDEX('Reference Records'!P$23:P$74,MATCH(LEFT(C526,255),'Reference Records'!J$23:J$74,0)),"")</f>
        <v/>
      </c>
    </row>
    <row r="527" spans="1:23" s="194" customFormat="1" ht="40.4" customHeight="1" x14ac:dyDescent="0.35">
      <c r="A527" s="770"/>
      <c r="B527" s="767"/>
      <c r="C527" s="761"/>
      <c r="D527" s="769"/>
      <c r="E527" s="769"/>
      <c r="F527" s="208"/>
      <c r="G527" s="763"/>
      <c r="H527" s="744"/>
      <c r="I527" s="765"/>
      <c r="J527" s="730"/>
      <c r="K527" s="761"/>
      <c r="L527" s="761"/>
      <c r="M527" s="730"/>
      <c r="N527" s="730"/>
      <c r="V527" s="194" t="str">
        <f t="array" ref="V527">IFERROR(IF(INDEX('Disaggregation Records'!$I$69:$I$152,MATCH(RIGHT(Q527,255),RIGHT('Disaggregation Records'!$D$69:$D$152,255),0))="","",INDEX('Disaggregation Records'!$I$69:$I$152,MATCH(RIGHT(Q527,255),RIGHT('Disaggregation Records'!$D$69:$D$152,255),0))),"")</f>
        <v/>
      </c>
    </row>
    <row r="528" spans="1:23" s="194" customFormat="1" ht="40.4" customHeight="1" x14ac:dyDescent="0.35">
      <c r="A528" s="770" t="str">
        <f ca="1">INDIRECT("'update Helper'!C"&amp;U528)</f>
        <v>a1V3p000006jw9MEAQ</v>
      </c>
      <c r="B528" s="766">
        <v>11</v>
      </c>
      <c r="C528" s="760" t="str">
        <f>IFERROR(VLOOKUP(B528,'Outcome Indicators - Section C '!$A$9:$AF$70,32,FALSE),"")</f>
        <v/>
      </c>
      <c r="D528" s="768" t="str">
        <f>R528</f>
        <v/>
      </c>
      <c r="E528" s="768" t="str">
        <f>S528</f>
        <v/>
      </c>
      <c r="F528" s="413"/>
      <c r="G528" s="762" t="str">
        <f ca="1">IF(OR(INDIRECT("'update Helper'!E"&amp;U528)="",F528&lt;&gt;0,F529&lt;&gt;0),IF(IFERROR((F528/F529),"")="","",(F528/F529)),INDIRECT("'update Helper'!E"&amp;U528)/100)</f>
        <v/>
      </c>
      <c r="H528" s="743"/>
      <c r="I528" s="764"/>
      <c r="J528" s="729"/>
      <c r="K528" s="760" t="str">
        <f>W528</f>
        <v/>
      </c>
      <c r="L528" s="760" t="str">
        <f>V528</f>
        <v/>
      </c>
      <c r="M528" s="729"/>
      <c r="N528" s="729"/>
      <c r="P528" s="194">
        <f>IF(AND(EXACT(C528,C526),C526&lt;&gt;0),P526+1,0)</f>
        <v>56</v>
      </c>
      <c r="Q528" s="194" t="str">
        <f>IF(C528&lt;&gt;"",C528&amp;"-"&amp;P528,"")</f>
        <v/>
      </c>
      <c r="R528" s="194" t="str">
        <f t="array" ref="R528">IFERROR(IF(INDEX('Disaggregation Records'!$E$69:$E$152,MATCH(RIGHT(Q528,255),RIGHT('Disaggregation Records'!$D$69:$D$152,255),0))="","",INDEX('Disaggregation Records'!$E$69:$E$152,MATCH(RIGHT(Q528,255),RIGHT('Disaggregation Records'!$D$69:$D$152,255),0))),"")</f>
        <v/>
      </c>
      <c r="S528" s="194" t="str">
        <f t="array" ref="S528">IFERROR(IF(INDEX('Disaggregation Records'!$F$69:$F$152,MATCH(RIGHT(Q528,255),RIGHT('Disaggregation Records'!$D$69:$D$152,255),0))="","",INDEX('Disaggregation Records'!$F$69:$F$152,MATCH(RIGHT(Q528,255),RIGHT('Disaggregation Records'!$D$69:$D$152,255),0))),"")</f>
        <v/>
      </c>
      <c r="T528" s="194" t="str">
        <f t="array" ref="T528">IFERROR(IF(INDEX('Disaggregation Records'!$H$69:$H$152,MATCH(RIGHT(Q528,255),RIGHT('Disaggregation Records'!$D$69:$D$152,255),0))="","",INDEX('Disaggregation Records'!$H$69:$H$152,MATCH(RIGHT(Q528,255),RIGHT('Disaggregation Records'!$D$69:$D$152,255),0))),"")</f>
        <v/>
      </c>
      <c r="U528" s="194">
        <f>U526+1</f>
        <v>1773</v>
      </c>
      <c r="V528" s="194" t="str">
        <f t="array" ref="V528">IFERROR(IF(INDEX('Disaggregation Records'!$I$69:$I$152,MATCH(RIGHT(Q528,255),RIGHT('Disaggregation Records'!$D$69:$D$152,255),0))="","",INDEX('Disaggregation Records'!$I$69:$I$152,MATCH(RIGHT(Q528,255),RIGHT('Disaggregation Records'!$D$69:$D$152,255),0))),"")</f>
        <v/>
      </c>
      <c r="W528" s="194" t="str">
        <f>IFERROR(INDEX('Reference Records'!P$23:P$74,MATCH(LEFT(C528,255),'Reference Records'!J$23:J$74,0)),"")</f>
        <v/>
      </c>
    </row>
    <row r="529" spans="1:23" s="194" customFormat="1" ht="40.4" customHeight="1" x14ac:dyDescent="0.35">
      <c r="A529" s="770"/>
      <c r="B529" s="767"/>
      <c r="C529" s="761"/>
      <c r="D529" s="769"/>
      <c r="E529" s="769"/>
      <c r="F529" s="208"/>
      <c r="G529" s="763"/>
      <c r="H529" s="744"/>
      <c r="I529" s="765"/>
      <c r="J529" s="730"/>
      <c r="K529" s="761"/>
      <c r="L529" s="761"/>
      <c r="M529" s="730"/>
      <c r="N529" s="730"/>
      <c r="V529" s="194" t="str">
        <f t="array" ref="V529">IFERROR(IF(INDEX('Disaggregation Records'!$I$69:$I$152,MATCH(RIGHT(Q529,255),RIGHT('Disaggregation Records'!$D$69:$D$152,255),0))="","",INDEX('Disaggregation Records'!$I$69:$I$152,MATCH(RIGHT(Q529,255),RIGHT('Disaggregation Records'!$D$69:$D$152,255),0))),"")</f>
        <v/>
      </c>
    </row>
    <row r="530" spans="1:23" s="194" customFormat="1" ht="40.4" customHeight="1" x14ac:dyDescent="0.35">
      <c r="A530" s="770" t="str">
        <f ca="1">INDIRECT("'update Helper'!C"&amp;U530)</f>
        <v>a1V3p000006jw9NEAQ</v>
      </c>
      <c r="B530" s="766">
        <v>11</v>
      </c>
      <c r="C530" s="760" t="str">
        <f>IFERROR(VLOOKUP(B530,'Outcome Indicators - Section C '!$A$9:$AF$70,32,FALSE),"")</f>
        <v/>
      </c>
      <c r="D530" s="768" t="str">
        <f>R530</f>
        <v/>
      </c>
      <c r="E530" s="768" t="str">
        <f>S530</f>
        <v/>
      </c>
      <c r="F530" s="413"/>
      <c r="G530" s="762" t="str">
        <f ca="1">IF(OR(INDIRECT("'update Helper'!E"&amp;U530)="",F530&lt;&gt;0,F531&lt;&gt;0),IF(IFERROR((F530/F531),"")="","",(F530/F531)),INDIRECT("'update Helper'!E"&amp;U530)/100)</f>
        <v/>
      </c>
      <c r="H530" s="743"/>
      <c r="I530" s="764"/>
      <c r="J530" s="729"/>
      <c r="K530" s="760" t="str">
        <f>W530</f>
        <v/>
      </c>
      <c r="L530" s="760" t="str">
        <f>V530</f>
        <v/>
      </c>
      <c r="M530" s="729"/>
      <c r="N530" s="729"/>
      <c r="P530" s="194">
        <f>IF(AND(EXACT(C530,C528),C528&lt;&gt;0),P528+1,0)</f>
        <v>57</v>
      </c>
      <c r="Q530" s="194" t="str">
        <f>IF(C530&lt;&gt;"",C530&amp;"-"&amp;P530,"")</f>
        <v/>
      </c>
      <c r="R530" s="194" t="str">
        <f t="array" ref="R530">IFERROR(IF(INDEX('Disaggregation Records'!$E$69:$E$152,MATCH(RIGHT(Q530,255),RIGHT('Disaggregation Records'!$D$69:$D$152,255),0))="","",INDEX('Disaggregation Records'!$E$69:$E$152,MATCH(RIGHT(Q530,255),RIGHT('Disaggregation Records'!$D$69:$D$152,255),0))),"")</f>
        <v/>
      </c>
      <c r="S530" s="194" t="str">
        <f t="array" ref="S530">IFERROR(IF(INDEX('Disaggregation Records'!$F$69:$F$152,MATCH(RIGHT(Q530,255),RIGHT('Disaggregation Records'!$D$69:$D$152,255),0))="","",INDEX('Disaggregation Records'!$F$69:$F$152,MATCH(RIGHT(Q530,255),RIGHT('Disaggregation Records'!$D$69:$D$152,255),0))),"")</f>
        <v/>
      </c>
      <c r="T530" s="194" t="str">
        <f t="array" ref="T530">IFERROR(IF(INDEX('Disaggregation Records'!$H$69:$H$152,MATCH(RIGHT(Q530,255),RIGHT('Disaggregation Records'!$D$69:$D$152,255),0))="","",INDEX('Disaggregation Records'!$H$69:$H$152,MATCH(RIGHT(Q530,255),RIGHT('Disaggregation Records'!$D$69:$D$152,255),0))),"")</f>
        <v/>
      </c>
      <c r="U530" s="194">
        <f>U528+1</f>
        <v>1774</v>
      </c>
      <c r="V530" s="194" t="str">
        <f t="array" ref="V530">IFERROR(IF(INDEX('Disaggregation Records'!$I$69:$I$152,MATCH(RIGHT(Q530,255),RIGHT('Disaggregation Records'!$D$69:$D$152,255),0))="","",INDEX('Disaggregation Records'!$I$69:$I$152,MATCH(RIGHT(Q530,255),RIGHT('Disaggregation Records'!$D$69:$D$152,255),0))),"")</f>
        <v/>
      </c>
      <c r="W530" s="194" t="str">
        <f>IFERROR(INDEX('Reference Records'!P$23:P$74,MATCH(LEFT(C530,255),'Reference Records'!J$23:J$74,0)),"")</f>
        <v/>
      </c>
    </row>
    <row r="531" spans="1:23" s="194" customFormat="1" ht="40.4" customHeight="1" x14ac:dyDescent="0.35">
      <c r="A531" s="770"/>
      <c r="B531" s="767"/>
      <c r="C531" s="761"/>
      <c r="D531" s="769"/>
      <c r="E531" s="769"/>
      <c r="F531" s="208"/>
      <c r="G531" s="763"/>
      <c r="H531" s="744"/>
      <c r="I531" s="765"/>
      <c r="J531" s="730"/>
      <c r="K531" s="761"/>
      <c r="L531" s="761"/>
      <c r="M531" s="730"/>
      <c r="N531" s="730"/>
      <c r="V531" s="194" t="str">
        <f t="array" ref="V531">IFERROR(IF(INDEX('Disaggregation Records'!$I$69:$I$152,MATCH(RIGHT(Q531,255),RIGHT('Disaggregation Records'!$D$69:$D$152,255),0))="","",INDEX('Disaggregation Records'!$I$69:$I$152,MATCH(RIGHT(Q531,255),RIGHT('Disaggregation Records'!$D$69:$D$152,255),0))),"")</f>
        <v/>
      </c>
    </row>
    <row r="532" spans="1:23" s="194" customFormat="1" ht="40.4" customHeight="1" x14ac:dyDescent="0.35">
      <c r="A532" s="770" t="str">
        <f ca="1">INDIRECT("'update Helper'!C"&amp;U532)</f>
        <v>a1V3p000006jw9OEAQ</v>
      </c>
      <c r="B532" s="766">
        <v>11</v>
      </c>
      <c r="C532" s="760" t="str">
        <f>IFERROR(VLOOKUP(B532,'Outcome Indicators - Section C '!$A$9:$AF$70,32,FALSE),"")</f>
        <v/>
      </c>
      <c r="D532" s="768" t="str">
        <f>R532</f>
        <v/>
      </c>
      <c r="E532" s="768" t="str">
        <f>S532</f>
        <v/>
      </c>
      <c r="F532" s="413"/>
      <c r="G532" s="762" t="str">
        <f ca="1">IF(OR(INDIRECT("'update Helper'!E"&amp;U532)="",F532&lt;&gt;0,F533&lt;&gt;0),IF(IFERROR((F532/F533),"")="","",(F532/F533)),INDIRECT("'update Helper'!E"&amp;U532)/100)</f>
        <v/>
      </c>
      <c r="H532" s="743"/>
      <c r="I532" s="764"/>
      <c r="J532" s="729"/>
      <c r="K532" s="760" t="str">
        <f>W532</f>
        <v/>
      </c>
      <c r="L532" s="760" t="str">
        <f>V532</f>
        <v/>
      </c>
      <c r="M532" s="729"/>
      <c r="N532" s="729"/>
      <c r="P532" s="194">
        <f>IF(AND(EXACT(C532,C530),C530&lt;&gt;0),P530+1,0)</f>
        <v>58</v>
      </c>
      <c r="Q532" s="194" t="str">
        <f>IF(C532&lt;&gt;"",C532&amp;"-"&amp;P532,"")</f>
        <v/>
      </c>
      <c r="R532" s="194" t="str">
        <f t="array" ref="R532">IFERROR(IF(INDEX('Disaggregation Records'!$E$69:$E$152,MATCH(RIGHT(Q532,255),RIGHT('Disaggregation Records'!$D$69:$D$152,255),0))="","",INDEX('Disaggregation Records'!$E$69:$E$152,MATCH(RIGHT(Q532,255),RIGHT('Disaggregation Records'!$D$69:$D$152,255),0))),"")</f>
        <v/>
      </c>
      <c r="S532" s="194" t="str">
        <f t="array" ref="S532">IFERROR(IF(INDEX('Disaggregation Records'!$F$69:$F$152,MATCH(RIGHT(Q532,255),RIGHT('Disaggregation Records'!$D$69:$D$152,255),0))="","",INDEX('Disaggregation Records'!$F$69:$F$152,MATCH(RIGHT(Q532,255),RIGHT('Disaggregation Records'!$D$69:$D$152,255),0))),"")</f>
        <v/>
      </c>
      <c r="T532" s="194" t="str">
        <f t="array" ref="T532">IFERROR(IF(INDEX('Disaggregation Records'!$H$69:$H$152,MATCH(RIGHT(Q532,255),RIGHT('Disaggregation Records'!$D$69:$D$152,255),0))="","",INDEX('Disaggregation Records'!$H$69:$H$152,MATCH(RIGHT(Q532,255),RIGHT('Disaggregation Records'!$D$69:$D$152,255),0))),"")</f>
        <v/>
      </c>
      <c r="U532" s="194">
        <f>U530+1</f>
        <v>1775</v>
      </c>
      <c r="V532" s="194" t="str">
        <f t="array" ref="V532">IFERROR(IF(INDEX('Disaggregation Records'!$I$69:$I$152,MATCH(RIGHT(Q532,255),RIGHT('Disaggregation Records'!$D$69:$D$152,255),0))="","",INDEX('Disaggregation Records'!$I$69:$I$152,MATCH(RIGHT(Q532,255),RIGHT('Disaggregation Records'!$D$69:$D$152,255),0))),"")</f>
        <v/>
      </c>
      <c r="W532" s="194" t="str">
        <f>IFERROR(INDEX('Reference Records'!P$23:P$74,MATCH(LEFT(C532,255),'Reference Records'!J$23:J$74,0)),"")</f>
        <v/>
      </c>
    </row>
    <row r="533" spans="1:23" s="194" customFormat="1" ht="40.4" customHeight="1" x14ac:dyDescent="0.35">
      <c r="A533" s="770"/>
      <c r="B533" s="767"/>
      <c r="C533" s="761"/>
      <c r="D533" s="769"/>
      <c r="E533" s="769"/>
      <c r="F533" s="208"/>
      <c r="G533" s="763"/>
      <c r="H533" s="744"/>
      <c r="I533" s="765"/>
      <c r="J533" s="730"/>
      <c r="K533" s="761"/>
      <c r="L533" s="761"/>
      <c r="M533" s="730"/>
      <c r="N533" s="730"/>
      <c r="V533" s="194" t="str">
        <f t="array" ref="V533">IFERROR(IF(INDEX('Disaggregation Records'!$I$69:$I$152,MATCH(RIGHT(Q533,255),RIGHT('Disaggregation Records'!$D$69:$D$152,255),0))="","",INDEX('Disaggregation Records'!$I$69:$I$152,MATCH(RIGHT(Q533,255),RIGHT('Disaggregation Records'!$D$69:$D$152,255),0))),"")</f>
        <v/>
      </c>
    </row>
    <row r="534" spans="1:23" s="194" customFormat="1" ht="40.4" customHeight="1" x14ac:dyDescent="0.35">
      <c r="A534" s="770" t="str">
        <f ca="1">INDIRECT("'update Helper'!C"&amp;U534)</f>
        <v>a1V3p000006jw9PEAQ</v>
      </c>
      <c r="B534" s="766">
        <v>11</v>
      </c>
      <c r="C534" s="760" t="str">
        <f>IFERROR(VLOOKUP(B534,'Outcome Indicators - Section C '!$A$9:$AF$70,32,FALSE),"")</f>
        <v/>
      </c>
      <c r="D534" s="768" t="str">
        <f>R534</f>
        <v/>
      </c>
      <c r="E534" s="768" t="str">
        <f>S534</f>
        <v/>
      </c>
      <c r="F534" s="413"/>
      <c r="G534" s="762" t="str">
        <f ca="1">IF(OR(INDIRECT("'update Helper'!E"&amp;U534)="",F534&lt;&gt;0,F535&lt;&gt;0),IF(IFERROR((F534/F535),"")="","",(F534/F535)),INDIRECT("'update Helper'!E"&amp;U534)/100)</f>
        <v/>
      </c>
      <c r="H534" s="743"/>
      <c r="I534" s="764"/>
      <c r="J534" s="729"/>
      <c r="K534" s="760" t="str">
        <f>W534</f>
        <v/>
      </c>
      <c r="L534" s="760" t="str">
        <f>V534</f>
        <v/>
      </c>
      <c r="M534" s="729"/>
      <c r="N534" s="729"/>
      <c r="P534" s="194">
        <f>IF(AND(EXACT(C534,C532),C532&lt;&gt;0),P532+1,0)</f>
        <v>59</v>
      </c>
      <c r="Q534" s="194" t="str">
        <f>IF(C534&lt;&gt;"",C534&amp;"-"&amp;P534,"")</f>
        <v/>
      </c>
      <c r="R534" s="194" t="str">
        <f t="array" ref="R534">IFERROR(IF(INDEX('Disaggregation Records'!$E$69:$E$152,MATCH(RIGHT(Q534,255),RIGHT('Disaggregation Records'!$D$69:$D$152,255),0))="","",INDEX('Disaggregation Records'!$E$69:$E$152,MATCH(RIGHT(Q534,255),RIGHT('Disaggregation Records'!$D$69:$D$152,255),0))),"")</f>
        <v/>
      </c>
      <c r="S534" s="194" t="str">
        <f t="array" ref="S534">IFERROR(IF(INDEX('Disaggregation Records'!$F$69:$F$152,MATCH(RIGHT(Q534,255),RIGHT('Disaggregation Records'!$D$69:$D$152,255),0))="","",INDEX('Disaggregation Records'!$F$69:$F$152,MATCH(RIGHT(Q534,255),RIGHT('Disaggregation Records'!$D$69:$D$152,255),0))),"")</f>
        <v/>
      </c>
      <c r="T534" s="194" t="str">
        <f t="array" ref="T534">IFERROR(IF(INDEX('Disaggregation Records'!$H$69:$H$152,MATCH(RIGHT(Q534,255),RIGHT('Disaggregation Records'!$D$69:$D$152,255),0))="","",INDEX('Disaggregation Records'!$H$69:$H$152,MATCH(RIGHT(Q534,255),RIGHT('Disaggregation Records'!$D$69:$D$152,255),0))),"")</f>
        <v/>
      </c>
      <c r="U534" s="194">
        <f>U532+1</f>
        <v>1776</v>
      </c>
      <c r="V534" s="194" t="str">
        <f t="array" ref="V534">IFERROR(IF(INDEX('Disaggregation Records'!$I$69:$I$152,MATCH(RIGHT(Q534,255),RIGHT('Disaggregation Records'!$D$69:$D$152,255),0))="","",INDEX('Disaggregation Records'!$I$69:$I$152,MATCH(RIGHT(Q534,255),RIGHT('Disaggregation Records'!$D$69:$D$152,255),0))),"")</f>
        <v/>
      </c>
      <c r="W534" s="194" t="str">
        <f>IFERROR(INDEX('Reference Records'!P$23:P$74,MATCH(LEFT(C534,255),'Reference Records'!J$23:J$74,0)),"")</f>
        <v/>
      </c>
    </row>
    <row r="535" spans="1:23" s="194" customFormat="1" ht="40.4" customHeight="1" x14ac:dyDescent="0.35">
      <c r="A535" s="770"/>
      <c r="B535" s="767"/>
      <c r="C535" s="761"/>
      <c r="D535" s="769"/>
      <c r="E535" s="769"/>
      <c r="F535" s="208"/>
      <c r="G535" s="763"/>
      <c r="H535" s="744"/>
      <c r="I535" s="765"/>
      <c r="J535" s="730"/>
      <c r="K535" s="761"/>
      <c r="L535" s="761"/>
      <c r="M535" s="730"/>
      <c r="N535" s="730"/>
      <c r="V535" s="194" t="str">
        <f t="array" ref="V535">IFERROR(IF(INDEX('Disaggregation Records'!$I$69:$I$152,MATCH(RIGHT(Q535,255),RIGHT('Disaggregation Records'!$D$69:$D$152,255),0))="","",INDEX('Disaggregation Records'!$I$69:$I$152,MATCH(RIGHT(Q535,255),RIGHT('Disaggregation Records'!$D$69:$D$152,255),0))),"")</f>
        <v/>
      </c>
    </row>
    <row r="536" spans="1:23" s="194" customFormat="1" ht="40.4" customHeight="1" x14ac:dyDescent="0.35">
      <c r="A536" s="770" t="str">
        <f ca="1">INDIRECT("'update Helper'!C"&amp;U536)</f>
        <v>a1V3p000006jwBgEAI</v>
      </c>
      <c r="B536" s="766">
        <v>12</v>
      </c>
      <c r="C536" s="760" t="str">
        <f>IFERROR(VLOOKUP(B536,'Outcome Indicators - Section C '!$A$9:$AF$70,32,FALSE),"")</f>
        <v/>
      </c>
      <c r="D536" s="768" t="str">
        <f>R536</f>
        <v/>
      </c>
      <c r="E536" s="768" t="str">
        <f>S536</f>
        <v/>
      </c>
      <c r="F536" s="413"/>
      <c r="G536" s="762" t="str">
        <f ca="1">IF(OR(INDIRECT("'update Helper'!E"&amp;U536)="",F536&lt;&gt;0,F537&lt;&gt;0),IF(IFERROR((F536/F537),"")="","",(F536/F537)),INDIRECT("'update Helper'!E"&amp;U536)/100)</f>
        <v/>
      </c>
      <c r="H536" s="743"/>
      <c r="I536" s="764"/>
      <c r="J536" s="729"/>
      <c r="K536" s="760" t="str">
        <f>W536</f>
        <v/>
      </c>
      <c r="L536" s="760" t="str">
        <f>V536</f>
        <v/>
      </c>
      <c r="M536" s="729"/>
      <c r="N536" s="729"/>
      <c r="P536" s="194">
        <f>IF(AND(EXACT(C536,C534),C534&lt;&gt;0),P534+1,0)</f>
        <v>60</v>
      </c>
      <c r="Q536" s="194" t="str">
        <f>IF(C536&lt;&gt;"",C536&amp;"-"&amp;P536,"")</f>
        <v/>
      </c>
      <c r="R536" s="194" t="str">
        <f t="array" ref="R536">IFERROR(IF(INDEX('Disaggregation Records'!$E$69:$E$152,MATCH(RIGHT(Q536,255),RIGHT('Disaggregation Records'!$D$69:$D$152,255),0))="","",INDEX('Disaggregation Records'!$E$69:$E$152,MATCH(RIGHT(Q536,255),RIGHT('Disaggregation Records'!$D$69:$D$152,255),0))),"")</f>
        <v/>
      </c>
      <c r="S536" s="194" t="str">
        <f t="array" ref="S536">IFERROR(IF(INDEX('Disaggregation Records'!$F$69:$F$152,MATCH(RIGHT(Q536,255),RIGHT('Disaggregation Records'!$D$69:$D$152,255),0))="","",INDEX('Disaggregation Records'!$F$69:$F$152,MATCH(RIGHT(Q536,255),RIGHT('Disaggregation Records'!$D$69:$D$152,255),0))),"")</f>
        <v/>
      </c>
      <c r="T536" s="194" t="str">
        <f t="array" ref="T536">IFERROR(IF(INDEX('Disaggregation Records'!$H$69:$H$152,MATCH(RIGHT(Q536,255),RIGHT('Disaggregation Records'!$D$69:$D$152,255),0))="","",INDEX('Disaggregation Records'!$H$69:$H$152,MATCH(RIGHT(Q536,255),RIGHT('Disaggregation Records'!$D$69:$D$152,255),0))),"")</f>
        <v/>
      </c>
      <c r="U536" s="194">
        <f>U534+1</f>
        <v>1777</v>
      </c>
      <c r="V536" s="194" t="str">
        <f t="array" ref="V536">IFERROR(IF(INDEX('Disaggregation Records'!$I$69:$I$152,MATCH(RIGHT(Q536,255),RIGHT('Disaggregation Records'!$D$69:$D$152,255),0))="","",INDEX('Disaggregation Records'!$I$69:$I$152,MATCH(RIGHT(Q536,255),RIGHT('Disaggregation Records'!$D$69:$D$152,255),0))),"")</f>
        <v/>
      </c>
      <c r="W536" s="194" t="str">
        <f>IFERROR(INDEX('Reference Records'!P$23:P$74,MATCH(LEFT(C536,255),'Reference Records'!J$23:J$74,0)),"")</f>
        <v/>
      </c>
    </row>
    <row r="537" spans="1:23" s="194" customFormat="1" ht="40.4" customHeight="1" x14ac:dyDescent="0.35">
      <c r="A537" s="770"/>
      <c r="B537" s="767"/>
      <c r="C537" s="761"/>
      <c r="D537" s="769"/>
      <c r="E537" s="769"/>
      <c r="F537" s="208"/>
      <c r="G537" s="763"/>
      <c r="H537" s="744"/>
      <c r="I537" s="765"/>
      <c r="J537" s="730"/>
      <c r="K537" s="761"/>
      <c r="L537" s="761"/>
      <c r="M537" s="730"/>
      <c r="N537" s="730"/>
      <c r="V537" s="194" t="str">
        <f t="array" ref="V537">IFERROR(IF(INDEX('Disaggregation Records'!$I$69:$I$152,MATCH(RIGHT(Q537,255),RIGHT('Disaggregation Records'!$D$69:$D$152,255),0))="","",INDEX('Disaggregation Records'!$I$69:$I$152,MATCH(RIGHT(Q537,255),RIGHT('Disaggregation Records'!$D$69:$D$152,255),0))),"")</f>
        <v/>
      </c>
    </row>
    <row r="538" spans="1:23" s="194" customFormat="1" ht="40.4" customHeight="1" x14ac:dyDescent="0.35">
      <c r="A538" s="770" t="str">
        <f ca="1">INDIRECT("'update Helper'!C"&amp;U538)</f>
        <v>a1V3p000006jwBhEAI</v>
      </c>
      <c r="B538" s="766">
        <v>12</v>
      </c>
      <c r="C538" s="760" t="str">
        <f>IFERROR(VLOOKUP(B538,'Outcome Indicators - Section C '!$A$9:$AF$70,32,FALSE),"")</f>
        <v/>
      </c>
      <c r="D538" s="768" t="str">
        <f>R538</f>
        <v/>
      </c>
      <c r="E538" s="768" t="str">
        <f>S538</f>
        <v/>
      </c>
      <c r="F538" s="413"/>
      <c r="G538" s="762" t="str">
        <f ca="1">IF(OR(INDIRECT("'update Helper'!E"&amp;U538)="",F538&lt;&gt;0,F539&lt;&gt;0),IF(IFERROR((F538/F539),"")="","",(F538/F539)),INDIRECT("'update Helper'!E"&amp;U538)/100)</f>
        <v/>
      </c>
      <c r="H538" s="743"/>
      <c r="I538" s="764"/>
      <c r="J538" s="729"/>
      <c r="K538" s="760" t="str">
        <f>W538</f>
        <v/>
      </c>
      <c r="L538" s="760" t="str">
        <f>V538</f>
        <v/>
      </c>
      <c r="M538" s="729"/>
      <c r="N538" s="729"/>
      <c r="P538" s="194">
        <f>IF(AND(EXACT(C538,C536),C536&lt;&gt;0),P536+1,0)</f>
        <v>61</v>
      </c>
      <c r="Q538" s="194" t="str">
        <f>IF(C538&lt;&gt;"",C538&amp;"-"&amp;P538,"")</f>
        <v/>
      </c>
      <c r="R538" s="194" t="str">
        <f t="array" ref="R538">IFERROR(IF(INDEX('Disaggregation Records'!$E$69:$E$152,MATCH(RIGHT(Q538,255),RIGHT('Disaggregation Records'!$D$69:$D$152,255),0))="","",INDEX('Disaggregation Records'!$E$69:$E$152,MATCH(RIGHT(Q538,255),RIGHT('Disaggregation Records'!$D$69:$D$152,255),0))),"")</f>
        <v/>
      </c>
      <c r="S538" s="194" t="str">
        <f t="array" ref="S538">IFERROR(IF(INDEX('Disaggregation Records'!$F$69:$F$152,MATCH(RIGHT(Q538,255),RIGHT('Disaggregation Records'!$D$69:$D$152,255),0))="","",INDEX('Disaggregation Records'!$F$69:$F$152,MATCH(RIGHT(Q538,255),RIGHT('Disaggregation Records'!$D$69:$D$152,255),0))),"")</f>
        <v/>
      </c>
      <c r="T538" s="194" t="str">
        <f t="array" ref="T538">IFERROR(IF(INDEX('Disaggregation Records'!$H$69:$H$152,MATCH(RIGHT(Q538,255),RIGHT('Disaggregation Records'!$D$69:$D$152,255),0))="","",INDEX('Disaggregation Records'!$H$69:$H$152,MATCH(RIGHT(Q538,255),RIGHT('Disaggregation Records'!$D$69:$D$152,255),0))),"")</f>
        <v/>
      </c>
      <c r="U538" s="194">
        <f>U536+1</f>
        <v>1778</v>
      </c>
      <c r="V538" s="194" t="str">
        <f t="array" ref="V538">IFERROR(IF(INDEX('Disaggregation Records'!$I$69:$I$152,MATCH(RIGHT(Q538,255),RIGHT('Disaggregation Records'!$D$69:$D$152,255),0))="","",INDEX('Disaggregation Records'!$I$69:$I$152,MATCH(RIGHT(Q538,255),RIGHT('Disaggregation Records'!$D$69:$D$152,255),0))),"")</f>
        <v/>
      </c>
      <c r="W538" s="194" t="str">
        <f>IFERROR(INDEX('Reference Records'!P$23:P$74,MATCH(LEFT(C538,255),'Reference Records'!J$23:J$74,0)),"")</f>
        <v/>
      </c>
    </row>
    <row r="539" spans="1:23" s="194" customFormat="1" ht="40.4" customHeight="1" x14ac:dyDescent="0.35">
      <c r="A539" s="770"/>
      <c r="B539" s="767"/>
      <c r="C539" s="761"/>
      <c r="D539" s="769"/>
      <c r="E539" s="769"/>
      <c r="F539" s="208"/>
      <c r="G539" s="763"/>
      <c r="H539" s="744"/>
      <c r="I539" s="765"/>
      <c r="J539" s="730"/>
      <c r="K539" s="761"/>
      <c r="L539" s="761"/>
      <c r="M539" s="730"/>
      <c r="N539" s="730"/>
      <c r="V539" s="194" t="str">
        <f t="array" ref="V539">IFERROR(IF(INDEX('Disaggregation Records'!$I$69:$I$152,MATCH(RIGHT(Q539,255),RIGHT('Disaggregation Records'!$D$69:$D$152,255),0))="","",INDEX('Disaggregation Records'!$I$69:$I$152,MATCH(RIGHT(Q539,255),RIGHT('Disaggregation Records'!$D$69:$D$152,255),0))),"")</f>
        <v/>
      </c>
    </row>
    <row r="540" spans="1:23" s="194" customFormat="1" ht="40.4" customHeight="1" x14ac:dyDescent="0.35">
      <c r="A540" s="770" t="str">
        <f ca="1">INDIRECT("'update Helper'!C"&amp;U540)</f>
        <v>a1V3p000006jwBiEAI</v>
      </c>
      <c r="B540" s="766">
        <v>12</v>
      </c>
      <c r="C540" s="760" t="str">
        <f>IFERROR(VLOOKUP(B540,'Outcome Indicators - Section C '!$A$9:$AF$70,32,FALSE),"")</f>
        <v/>
      </c>
      <c r="D540" s="768" t="str">
        <f>R540</f>
        <v/>
      </c>
      <c r="E540" s="768" t="str">
        <f>S540</f>
        <v/>
      </c>
      <c r="F540" s="413"/>
      <c r="G540" s="762" t="str">
        <f ca="1">IF(OR(INDIRECT("'update Helper'!E"&amp;U540)="",F540&lt;&gt;0,F541&lt;&gt;0),IF(IFERROR((F540/F541),"")="","",(F540/F541)),INDIRECT("'update Helper'!E"&amp;U540)/100)</f>
        <v/>
      </c>
      <c r="H540" s="743"/>
      <c r="I540" s="764"/>
      <c r="J540" s="729"/>
      <c r="K540" s="760" t="str">
        <f>W540</f>
        <v/>
      </c>
      <c r="L540" s="760" t="str">
        <f>V540</f>
        <v/>
      </c>
      <c r="M540" s="729"/>
      <c r="N540" s="729"/>
      <c r="P540" s="194">
        <f>IF(AND(EXACT(C540,C538),C538&lt;&gt;0),P538+1,0)</f>
        <v>62</v>
      </c>
      <c r="Q540" s="194" t="str">
        <f>IF(C540&lt;&gt;"",C540&amp;"-"&amp;P540,"")</f>
        <v/>
      </c>
      <c r="R540" s="194" t="str">
        <f t="array" ref="R540">IFERROR(IF(INDEX('Disaggregation Records'!$E$69:$E$152,MATCH(RIGHT(Q540,255),RIGHT('Disaggregation Records'!$D$69:$D$152,255),0))="","",INDEX('Disaggregation Records'!$E$69:$E$152,MATCH(RIGHT(Q540,255),RIGHT('Disaggregation Records'!$D$69:$D$152,255),0))),"")</f>
        <v/>
      </c>
      <c r="S540" s="194" t="str">
        <f t="array" ref="S540">IFERROR(IF(INDEX('Disaggregation Records'!$F$69:$F$152,MATCH(RIGHT(Q540,255),RIGHT('Disaggregation Records'!$D$69:$D$152,255),0))="","",INDEX('Disaggregation Records'!$F$69:$F$152,MATCH(RIGHT(Q540,255),RIGHT('Disaggregation Records'!$D$69:$D$152,255),0))),"")</f>
        <v/>
      </c>
      <c r="T540" s="194" t="str">
        <f t="array" ref="T540">IFERROR(IF(INDEX('Disaggregation Records'!$H$69:$H$152,MATCH(RIGHT(Q540,255),RIGHT('Disaggregation Records'!$D$69:$D$152,255),0))="","",INDEX('Disaggregation Records'!$H$69:$H$152,MATCH(RIGHT(Q540,255),RIGHT('Disaggregation Records'!$D$69:$D$152,255),0))),"")</f>
        <v/>
      </c>
      <c r="U540" s="194">
        <f>U538+1</f>
        <v>1779</v>
      </c>
      <c r="V540" s="194" t="str">
        <f t="array" ref="V540">IFERROR(IF(INDEX('Disaggregation Records'!$I$69:$I$152,MATCH(RIGHT(Q540,255),RIGHT('Disaggregation Records'!$D$69:$D$152,255),0))="","",INDEX('Disaggregation Records'!$I$69:$I$152,MATCH(RIGHT(Q540,255),RIGHT('Disaggregation Records'!$D$69:$D$152,255),0))),"")</f>
        <v/>
      </c>
      <c r="W540" s="194" t="str">
        <f>IFERROR(INDEX('Reference Records'!P$23:P$74,MATCH(LEFT(C540,255),'Reference Records'!J$23:J$74,0)),"")</f>
        <v/>
      </c>
    </row>
    <row r="541" spans="1:23" s="194" customFormat="1" ht="40.4" customHeight="1" x14ac:dyDescent="0.35">
      <c r="A541" s="770"/>
      <c r="B541" s="767"/>
      <c r="C541" s="761"/>
      <c r="D541" s="769"/>
      <c r="E541" s="769"/>
      <c r="F541" s="208"/>
      <c r="G541" s="763"/>
      <c r="H541" s="744"/>
      <c r="I541" s="765"/>
      <c r="J541" s="730"/>
      <c r="K541" s="761"/>
      <c r="L541" s="761"/>
      <c r="M541" s="730"/>
      <c r="N541" s="730"/>
      <c r="V541" s="194" t="str">
        <f t="array" ref="V541">IFERROR(IF(INDEX('Disaggregation Records'!$I$69:$I$152,MATCH(RIGHT(Q541,255),RIGHT('Disaggregation Records'!$D$69:$D$152,255),0))="","",INDEX('Disaggregation Records'!$I$69:$I$152,MATCH(RIGHT(Q541,255),RIGHT('Disaggregation Records'!$D$69:$D$152,255),0))),"")</f>
        <v/>
      </c>
    </row>
    <row r="542" spans="1:23" s="194" customFormat="1" ht="40.4" customHeight="1" x14ac:dyDescent="0.35">
      <c r="A542" s="770" t="str">
        <f ca="1">INDIRECT("'update Helper'!C"&amp;U542)</f>
        <v>a1V3p000006jwBjEAI</v>
      </c>
      <c r="B542" s="766">
        <v>12</v>
      </c>
      <c r="C542" s="760" t="str">
        <f>IFERROR(VLOOKUP(B542,'Outcome Indicators - Section C '!$A$9:$AF$70,32,FALSE),"")</f>
        <v/>
      </c>
      <c r="D542" s="768" t="str">
        <f>R542</f>
        <v/>
      </c>
      <c r="E542" s="768" t="str">
        <f>S542</f>
        <v/>
      </c>
      <c r="F542" s="413"/>
      <c r="G542" s="762" t="str">
        <f ca="1">IF(OR(INDIRECT("'update Helper'!E"&amp;U542)="",F542&lt;&gt;0,F543&lt;&gt;0),IF(IFERROR((F542/F543),"")="","",(F542/F543)),INDIRECT("'update Helper'!E"&amp;U542)/100)</f>
        <v/>
      </c>
      <c r="H542" s="743"/>
      <c r="I542" s="764"/>
      <c r="J542" s="729"/>
      <c r="K542" s="760" t="str">
        <f>W542</f>
        <v/>
      </c>
      <c r="L542" s="760" t="str">
        <f>V542</f>
        <v/>
      </c>
      <c r="M542" s="729"/>
      <c r="N542" s="729"/>
      <c r="P542" s="194">
        <f>IF(AND(EXACT(C542,C540),C540&lt;&gt;0),P540+1,0)</f>
        <v>63</v>
      </c>
      <c r="Q542" s="194" t="str">
        <f>IF(C542&lt;&gt;"",C542&amp;"-"&amp;P542,"")</f>
        <v/>
      </c>
      <c r="R542" s="194" t="str">
        <f t="array" ref="R542">IFERROR(IF(INDEX('Disaggregation Records'!$E$69:$E$152,MATCH(RIGHT(Q542,255),RIGHT('Disaggregation Records'!$D$69:$D$152,255),0))="","",INDEX('Disaggregation Records'!$E$69:$E$152,MATCH(RIGHT(Q542,255),RIGHT('Disaggregation Records'!$D$69:$D$152,255),0))),"")</f>
        <v/>
      </c>
      <c r="S542" s="194" t="str">
        <f t="array" ref="S542">IFERROR(IF(INDEX('Disaggregation Records'!$F$69:$F$152,MATCH(RIGHT(Q542,255),RIGHT('Disaggregation Records'!$D$69:$D$152,255),0))="","",INDEX('Disaggregation Records'!$F$69:$F$152,MATCH(RIGHT(Q542,255),RIGHT('Disaggregation Records'!$D$69:$D$152,255),0))),"")</f>
        <v/>
      </c>
      <c r="T542" s="194" t="str">
        <f t="array" ref="T542">IFERROR(IF(INDEX('Disaggregation Records'!$H$69:$H$152,MATCH(RIGHT(Q542,255),RIGHT('Disaggregation Records'!$D$69:$D$152,255),0))="","",INDEX('Disaggregation Records'!$H$69:$H$152,MATCH(RIGHT(Q542,255),RIGHT('Disaggregation Records'!$D$69:$D$152,255),0))),"")</f>
        <v/>
      </c>
      <c r="U542" s="194">
        <f>U540+1</f>
        <v>1780</v>
      </c>
      <c r="V542" s="194" t="str">
        <f t="array" ref="V542">IFERROR(IF(INDEX('Disaggregation Records'!$I$69:$I$152,MATCH(RIGHT(Q542,255),RIGHT('Disaggregation Records'!$D$69:$D$152,255),0))="","",INDEX('Disaggregation Records'!$I$69:$I$152,MATCH(RIGHT(Q542,255),RIGHT('Disaggregation Records'!$D$69:$D$152,255),0))),"")</f>
        <v/>
      </c>
      <c r="W542" s="194" t="str">
        <f>IFERROR(INDEX('Reference Records'!P$23:P$74,MATCH(LEFT(C542,255),'Reference Records'!J$23:J$74,0)),"")</f>
        <v/>
      </c>
    </row>
    <row r="543" spans="1:23" s="194" customFormat="1" ht="40.4" customHeight="1" x14ac:dyDescent="0.35">
      <c r="A543" s="770"/>
      <c r="B543" s="767"/>
      <c r="C543" s="761"/>
      <c r="D543" s="769"/>
      <c r="E543" s="769"/>
      <c r="F543" s="208"/>
      <c r="G543" s="763"/>
      <c r="H543" s="744"/>
      <c r="I543" s="765"/>
      <c r="J543" s="730"/>
      <c r="K543" s="761"/>
      <c r="L543" s="761"/>
      <c r="M543" s="730"/>
      <c r="N543" s="730"/>
      <c r="V543" s="194" t="str">
        <f t="array" ref="V543">IFERROR(IF(INDEX('Disaggregation Records'!$I$69:$I$152,MATCH(RIGHT(Q543,255),RIGHT('Disaggregation Records'!$D$69:$D$152,255),0))="","",INDEX('Disaggregation Records'!$I$69:$I$152,MATCH(RIGHT(Q543,255),RIGHT('Disaggregation Records'!$D$69:$D$152,255),0))),"")</f>
        <v/>
      </c>
    </row>
    <row r="544" spans="1:23" s="194" customFormat="1" ht="40.4" customHeight="1" x14ac:dyDescent="0.35">
      <c r="A544" s="770" t="str">
        <f ca="1">INDIRECT("'update Helper'!C"&amp;U544)</f>
        <v>a1V3p000006jwBkEAI</v>
      </c>
      <c r="B544" s="766">
        <v>12</v>
      </c>
      <c r="C544" s="760" t="str">
        <f>IFERROR(VLOOKUP(B544,'Outcome Indicators - Section C '!$A$9:$AF$70,32,FALSE),"")</f>
        <v/>
      </c>
      <c r="D544" s="768" t="str">
        <f>R544</f>
        <v/>
      </c>
      <c r="E544" s="768" t="str">
        <f>S544</f>
        <v/>
      </c>
      <c r="F544" s="413"/>
      <c r="G544" s="762" t="str">
        <f ca="1">IF(OR(INDIRECT("'update Helper'!E"&amp;U544)="",F544&lt;&gt;0,F545&lt;&gt;0),IF(IFERROR((F544/F545),"")="","",(F544/F545)),INDIRECT("'update Helper'!E"&amp;U544)/100)</f>
        <v/>
      </c>
      <c r="H544" s="743"/>
      <c r="I544" s="764"/>
      <c r="J544" s="729"/>
      <c r="K544" s="760" t="str">
        <f>W544</f>
        <v/>
      </c>
      <c r="L544" s="760" t="str">
        <f>V544</f>
        <v/>
      </c>
      <c r="M544" s="729"/>
      <c r="N544" s="729"/>
      <c r="P544" s="194">
        <f>IF(AND(EXACT(C544,C542),C542&lt;&gt;0),P542+1,0)</f>
        <v>64</v>
      </c>
      <c r="Q544" s="194" t="str">
        <f>IF(C544&lt;&gt;"",C544&amp;"-"&amp;P544,"")</f>
        <v/>
      </c>
      <c r="R544" s="194" t="str">
        <f t="array" ref="R544">IFERROR(IF(INDEX('Disaggregation Records'!$E$69:$E$152,MATCH(RIGHT(Q544,255),RIGHT('Disaggregation Records'!$D$69:$D$152,255),0))="","",INDEX('Disaggregation Records'!$E$69:$E$152,MATCH(RIGHT(Q544,255),RIGHT('Disaggregation Records'!$D$69:$D$152,255),0))),"")</f>
        <v/>
      </c>
      <c r="S544" s="194" t="str">
        <f t="array" ref="S544">IFERROR(IF(INDEX('Disaggregation Records'!$F$69:$F$152,MATCH(RIGHT(Q544,255),RIGHT('Disaggregation Records'!$D$69:$D$152,255),0))="","",INDEX('Disaggregation Records'!$F$69:$F$152,MATCH(RIGHT(Q544,255),RIGHT('Disaggregation Records'!$D$69:$D$152,255),0))),"")</f>
        <v/>
      </c>
      <c r="T544" s="194" t="str">
        <f t="array" ref="T544">IFERROR(IF(INDEX('Disaggregation Records'!$H$69:$H$152,MATCH(RIGHT(Q544,255),RIGHT('Disaggregation Records'!$D$69:$D$152,255),0))="","",INDEX('Disaggregation Records'!$H$69:$H$152,MATCH(RIGHT(Q544,255),RIGHT('Disaggregation Records'!$D$69:$D$152,255),0))),"")</f>
        <v/>
      </c>
      <c r="U544" s="194">
        <f>U542+1</f>
        <v>1781</v>
      </c>
      <c r="V544" s="194" t="str">
        <f t="array" ref="V544">IFERROR(IF(INDEX('Disaggregation Records'!$I$69:$I$152,MATCH(RIGHT(Q544,255),RIGHT('Disaggregation Records'!$D$69:$D$152,255),0))="","",INDEX('Disaggregation Records'!$I$69:$I$152,MATCH(RIGHT(Q544,255),RIGHT('Disaggregation Records'!$D$69:$D$152,255),0))),"")</f>
        <v/>
      </c>
      <c r="W544" s="194" t="str">
        <f>IFERROR(INDEX('Reference Records'!P$23:P$74,MATCH(LEFT(C544,255),'Reference Records'!J$23:J$74,0)),"")</f>
        <v/>
      </c>
    </row>
    <row r="545" spans="1:23" s="194" customFormat="1" ht="40.4" customHeight="1" x14ac:dyDescent="0.35">
      <c r="A545" s="770"/>
      <c r="B545" s="767"/>
      <c r="C545" s="761"/>
      <c r="D545" s="769"/>
      <c r="E545" s="769"/>
      <c r="F545" s="208"/>
      <c r="G545" s="763"/>
      <c r="H545" s="744"/>
      <c r="I545" s="765"/>
      <c r="J545" s="730"/>
      <c r="K545" s="761"/>
      <c r="L545" s="761"/>
      <c r="M545" s="730"/>
      <c r="N545" s="730"/>
      <c r="V545" s="194" t="str">
        <f t="array" ref="V545">IFERROR(IF(INDEX('Disaggregation Records'!$I$69:$I$152,MATCH(RIGHT(Q545,255),RIGHT('Disaggregation Records'!$D$69:$D$152,255),0))="","",INDEX('Disaggregation Records'!$I$69:$I$152,MATCH(RIGHT(Q545,255),RIGHT('Disaggregation Records'!$D$69:$D$152,255),0))),"")</f>
        <v/>
      </c>
    </row>
    <row r="546" spans="1:23" s="194" customFormat="1" ht="40.4" customHeight="1" x14ac:dyDescent="0.35">
      <c r="A546" s="770" t="str">
        <f ca="1">INDIRECT("'update Helper'!C"&amp;U546)</f>
        <v>a1V3p000006jwBlEAI</v>
      </c>
      <c r="B546" s="766">
        <v>12</v>
      </c>
      <c r="C546" s="760" t="str">
        <f>IFERROR(VLOOKUP(B546,'Outcome Indicators - Section C '!$A$9:$AF$70,32,FALSE),"")</f>
        <v/>
      </c>
      <c r="D546" s="768" t="str">
        <f>R546</f>
        <v/>
      </c>
      <c r="E546" s="768" t="str">
        <f>S546</f>
        <v/>
      </c>
      <c r="F546" s="413"/>
      <c r="G546" s="762" t="str">
        <f ca="1">IF(OR(INDIRECT("'update Helper'!E"&amp;U546)="",F546&lt;&gt;0,F547&lt;&gt;0),IF(IFERROR((F546/F547),"")="","",(F546/F547)),INDIRECT("'update Helper'!E"&amp;U546)/100)</f>
        <v/>
      </c>
      <c r="H546" s="743"/>
      <c r="I546" s="764"/>
      <c r="J546" s="729"/>
      <c r="K546" s="760" t="str">
        <f>W546</f>
        <v/>
      </c>
      <c r="L546" s="760" t="str">
        <f>V546</f>
        <v/>
      </c>
      <c r="M546" s="729"/>
      <c r="N546" s="729"/>
      <c r="P546" s="194">
        <f>IF(AND(EXACT(C546,C544),C544&lt;&gt;0),P544+1,0)</f>
        <v>65</v>
      </c>
      <c r="Q546" s="194" t="str">
        <f>IF(C546&lt;&gt;"",C546&amp;"-"&amp;P546,"")</f>
        <v/>
      </c>
      <c r="R546" s="194" t="str">
        <f t="array" ref="R546">IFERROR(IF(INDEX('Disaggregation Records'!$E$69:$E$152,MATCH(RIGHT(Q546,255),RIGHT('Disaggregation Records'!$D$69:$D$152,255),0))="","",INDEX('Disaggregation Records'!$E$69:$E$152,MATCH(RIGHT(Q546,255),RIGHT('Disaggregation Records'!$D$69:$D$152,255),0))),"")</f>
        <v/>
      </c>
      <c r="S546" s="194" t="str">
        <f t="array" ref="S546">IFERROR(IF(INDEX('Disaggregation Records'!$F$69:$F$152,MATCH(RIGHT(Q546,255),RIGHT('Disaggregation Records'!$D$69:$D$152,255),0))="","",INDEX('Disaggregation Records'!$F$69:$F$152,MATCH(RIGHT(Q546,255),RIGHT('Disaggregation Records'!$D$69:$D$152,255),0))),"")</f>
        <v/>
      </c>
      <c r="T546" s="194" t="str">
        <f t="array" ref="T546">IFERROR(IF(INDEX('Disaggregation Records'!$H$69:$H$152,MATCH(RIGHT(Q546,255),RIGHT('Disaggregation Records'!$D$69:$D$152,255),0))="","",INDEX('Disaggregation Records'!$H$69:$H$152,MATCH(RIGHT(Q546,255),RIGHT('Disaggregation Records'!$D$69:$D$152,255),0))),"")</f>
        <v/>
      </c>
      <c r="U546" s="194">
        <f>U544+1</f>
        <v>1782</v>
      </c>
      <c r="V546" s="194" t="str">
        <f t="array" ref="V546">IFERROR(IF(INDEX('Disaggregation Records'!$I$69:$I$152,MATCH(RIGHT(Q546,255),RIGHT('Disaggregation Records'!$D$69:$D$152,255),0))="","",INDEX('Disaggregation Records'!$I$69:$I$152,MATCH(RIGHT(Q546,255),RIGHT('Disaggregation Records'!$D$69:$D$152,255),0))),"")</f>
        <v/>
      </c>
      <c r="W546" s="194" t="str">
        <f>IFERROR(INDEX('Reference Records'!P$23:P$74,MATCH(LEFT(C546,255),'Reference Records'!J$23:J$74,0)),"")</f>
        <v/>
      </c>
    </row>
    <row r="547" spans="1:23" s="194" customFormat="1" ht="40.4" customHeight="1" x14ac:dyDescent="0.35">
      <c r="A547" s="770"/>
      <c r="B547" s="767"/>
      <c r="C547" s="761"/>
      <c r="D547" s="769"/>
      <c r="E547" s="769"/>
      <c r="F547" s="208"/>
      <c r="G547" s="763"/>
      <c r="H547" s="744"/>
      <c r="I547" s="765"/>
      <c r="J547" s="730"/>
      <c r="K547" s="761"/>
      <c r="L547" s="761"/>
      <c r="M547" s="730"/>
      <c r="N547" s="730"/>
      <c r="V547" s="194" t="str">
        <f t="array" ref="V547">IFERROR(IF(INDEX('Disaggregation Records'!$I$69:$I$152,MATCH(RIGHT(Q547,255),RIGHT('Disaggregation Records'!$D$69:$D$152,255),0))="","",INDEX('Disaggregation Records'!$I$69:$I$152,MATCH(RIGHT(Q547,255),RIGHT('Disaggregation Records'!$D$69:$D$152,255),0))),"")</f>
        <v/>
      </c>
    </row>
    <row r="548" spans="1:23" s="194" customFormat="1" ht="40.4" customHeight="1" x14ac:dyDescent="0.35">
      <c r="A548" s="770" t="str">
        <f ca="1">INDIRECT("'update Helper'!C"&amp;U548)</f>
        <v>a1V3p000006jwBmEAI</v>
      </c>
      <c r="B548" s="766">
        <v>12</v>
      </c>
      <c r="C548" s="760" t="str">
        <f>IFERROR(VLOOKUP(B548,'Outcome Indicators - Section C '!$A$9:$AF$70,32,FALSE),"")</f>
        <v/>
      </c>
      <c r="D548" s="768" t="str">
        <f>R548</f>
        <v/>
      </c>
      <c r="E548" s="768" t="str">
        <f>S548</f>
        <v/>
      </c>
      <c r="F548" s="413"/>
      <c r="G548" s="762" t="str">
        <f ca="1">IF(OR(INDIRECT("'update Helper'!E"&amp;U548)="",F548&lt;&gt;0,F549&lt;&gt;0),IF(IFERROR((F548/F549),"")="","",(F548/F549)),INDIRECT("'update Helper'!E"&amp;U548)/100)</f>
        <v/>
      </c>
      <c r="H548" s="743"/>
      <c r="I548" s="764"/>
      <c r="J548" s="729"/>
      <c r="K548" s="760" t="str">
        <f>W548</f>
        <v/>
      </c>
      <c r="L548" s="760" t="str">
        <f>V548</f>
        <v/>
      </c>
      <c r="M548" s="729"/>
      <c r="N548" s="729"/>
      <c r="P548" s="194">
        <f>IF(AND(EXACT(C548,C546),C546&lt;&gt;0),P546+1,0)</f>
        <v>66</v>
      </c>
      <c r="Q548" s="194" t="str">
        <f>IF(C548&lt;&gt;"",C548&amp;"-"&amp;P548,"")</f>
        <v/>
      </c>
      <c r="R548" s="194" t="str">
        <f t="array" ref="R548">IFERROR(IF(INDEX('Disaggregation Records'!$E$69:$E$152,MATCH(RIGHT(Q548,255),RIGHT('Disaggregation Records'!$D$69:$D$152,255),0))="","",INDEX('Disaggregation Records'!$E$69:$E$152,MATCH(RIGHT(Q548,255),RIGHT('Disaggregation Records'!$D$69:$D$152,255),0))),"")</f>
        <v/>
      </c>
      <c r="S548" s="194" t="str">
        <f t="array" ref="S548">IFERROR(IF(INDEX('Disaggregation Records'!$F$69:$F$152,MATCH(RIGHT(Q548,255),RIGHT('Disaggregation Records'!$D$69:$D$152,255),0))="","",INDEX('Disaggregation Records'!$F$69:$F$152,MATCH(RIGHT(Q548,255),RIGHT('Disaggregation Records'!$D$69:$D$152,255),0))),"")</f>
        <v/>
      </c>
      <c r="T548" s="194" t="str">
        <f t="array" ref="T548">IFERROR(IF(INDEX('Disaggregation Records'!$H$69:$H$152,MATCH(RIGHT(Q548,255),RIGHT('Disaggregation Records'!$D$69:$D$152,255),0))="","",INDEX('Disaggregation Records'!$H$69:$H$152,MATCH(RIGHT(Q548,255),RIGHT('Disaggregation Records'!$D$69:$D$152,255),0))),"")</f>
        <v/>
      </c>
      <c r="U548" s="194">
        <f>U546+1</f>
        <v>1783</v>
      </c>
      <c r="V548" s="194" t="str">
        <f t="array" ref="V548">IFERROR(IF(INDEX('Disaggregation Records'!$I$69:$I$152,MATCH(RIGHT(Q548,255),RIGHT('Disaggregation Records'!$D$69:$D$152,255),0))="","",INDEX('Disaggregation Records'!$I$69:$I$152,MATCH(RIGHT(Q548,255),RIGHT('Disaggregation Records'!$D$69:$D$152,255),0))),"")</f>
        <v/>
      </c>
      <c r="W548" s="194" t="str">
        <f>IFERROR(INDEX('Reference Records'!P$23:P$74,MATCH(LEFT(C548,255),'Reference Records'!J$23:J$74,0)),"")</f>
        <v/>
      </c>
    </row>
    <row r="549" spans="1:23" s="194" customFormat="1" ht="40.4" customHeight="1" x14ac:dyDescent="0.35">
      <c r="A549" s="770"/>
      <c r="B549" s="767"/>
      <c r="C549" s="761"/>
      <c r="D549" s="769"/>
      <c r="E549" s="769"/>
      <c r="F549" s="208"/>
      <c r="G549" s="763"/>
      <c r="H549" s="744"/>
      <c r="I549" s="765"/>
      <c r="J549" s="730"/>
      <c r="K549" s="761"/>
      <c r="L549" s="761"/>
      <c r="M549" s="730"/>
      <c r="N549" s="730"/>
      <c r="V549" s="194" t="str">
        <f t="array" ref="V549">IFERROR(IF(INDEX('Disaggregation Records'!$I$69:$I$152,MATCH(RIGHT(Q549,255),RIGHT('Disaggregation Records'!$D$69:$D$152,255),0))="","",INDEX('Disaggregation Records'!$I$69:$I$152,MATCH(RIGHT(Q549,255),RIGHT('Disaggregation Records'!$D$69:$D$152,255),0))),"")</f>
        <v/>
      </c>
    </row>
    <row r="550" spans="1:23" s="194" customFormat="1" ht="40.4" customHeight="1" x14ac:dyDescent="0.35">
      <c r="A550" s="770" t="str">
        <f ca="1">INDIRECT("'update Helper'!C"&amp;U550)</f>
        <v>a1V3p000006jwBnEAI</v>
      </c>
      <c r="B550" s="766">
        <v>12</v>
      </c>
      <c r="C550" s="760" t="str">
        <f>IFERROR(VLOOKUP(B550,'Outcome Indicators - Section C '!$A$9:$AF$70,32,FALSE),"")</f>
        <v/>
      </c>
      <c r="D550" s="768" t="str">
        <f>R550</f>
        <v/>
      </c>
      <c r="E550" s="768" t="str">
        <f>S550</f>
        <v/>
      </c>
      <c r="F550" s="413"/>
      <c r="G550" s="762" t="str">
        <f ca="1">IF(OR(INDIRECT("'update Helper'!E"&amp;U550)="",F550&lt;&gt;0,F551&lt;&gt;0),IF(IFERROR((F550/F551),"")="","",(F550/F551)),INDIRECT("'update Helper'!E"&amp;U550)/100)</f>
        <v/>
      </c>
      <c r="H550" s="743"/>
      <c r="I550" s="764"/>
      <c r="J550" s="729"/>
      <c r="K550" s="760" t="str">
        <f>W550</f>
        <v/>
      </c>
      <c r="L550" s="760" t="str">
        <f>V550</f>
        <v/>
      </c>
      <c r="M550" s="729"/>
      <c r="N550" s="729"/>
      <c r="P550" s="194">
        <f>IF(AND(EXACT(C550,C548),C548&lt;&gt;0),P548+1,0)</f>
        <v>67</v>
      </c>
      <c r="Q550" s="194" t="str">
        <f>IF(C550&lt;&gt;"",C550&amp;"-"&amp;P550,"")</f>
        <v/>
      </c>
      <c r="R550" s="194" t="str">
        <f t="array" ref="R550">IFERROR(IF(INDEX('Disaggregation Records'!$E$69:$E$152,MATCH(RIGHT(Q550,255),RIGHT('Disaggregation Records'!$D$69:$D$152,255),0))="","",INDEX('Disaggregation Records'!$E$69:$E$152,MATCH(RIGHT(Q550,255),RIGHT('Disaggregation Records'!$D$69:$D$152,255),0))),"")</f>
        <v/>
      </c>
      <c r="S550" s="194" t="str">
        <f t="array" ref="S550">IFERROR(IF(INDEX('Disaggregation Records'!$F$69:$F$152,MATCH(RIGHT(Q550,255),RIGHT('Disaggregation Records'!$D$69:$D$152,255),0))="","",INDEX('Disaggregation Records'!$F$69:$F$152,MATCH(RIGHT(Q550,255),RIGHT('Disaggregation Records'!$D$69:$D$152,255),0))),"")</f>
        <v/>
      </c>
      <c r="T550" s="194" t="str">
        <f t="array" ref="T550">IFERROR(IF(INDEX('Disaggregation Records'!$H$69:$H$152,MATCH(RIGHT(Q550,255),RIGHT('Disaggregation Records'!$D$69:$D$152,255),0))="","",INDEX('Disaggregation Records'!$H$69:$H$152,MATCH(RIGHT(Q550,255),RIGHT('Disaggregation Records'!$D$69:$D$152,255),0))),"")</f>
        <v/>
      </c>
      <c r="U550" s="194">
        <f>U548+1</f>
        <v>1784</v>
      </c>
      <c r="V550" s="194" t="str">
        <f t="array" ref="V550">IFERROR(IF(INDEX('Disaggregation Records'!$I$69:$I$152,MATCH(RIGHT(Q550,255),RIGHT('Disaggregation Records'!$D$69:$D$152,255),0))="","",INDEX('Disaggregation Records'!$I$69:$I$152,MATCH(RIGHT(Q550,255),RIGHT('Disaggregation Records'!$D$69:$D$152,255),0))),"")</f>
        <v/>
      </c>
      <c r="W550" s="194" t="str">
        <f>IFERROR(INDEX('Reference Records'!P$23:P$74,MATCH(LEFT(C550,255),'Reference Records'!J$23:J$74,0)),"")</f>
        <v/>
      </c>
    </row>
    <row r="551" spans="1:23" s="194" customFormat="1" ht="40.4" customHeight="1" x14ac:dyDescent="0.35">
      <c r="A551" s="770"/>
      <c r="B551" s="767"/>
      <c r="C551" s="761"/>
      <c r="D551" s="769"/>
      <c r="E551" s="769"/>
      <c r="F551" s="208"/>
      <c r="G551" s="763"/>
      <c r="H551" s="744"/>
      <c r="I551" s="765"/>
      <c r="J551" s="730"/>
      <c r="K551" s="761"/>
      <c r="L551" s="761"/>
      <c r="M551" s="730"/>
      <c r="N551" s="730"/>
      <c r="V551" s="194" t="str">
        <f t="array" ref="V551">IFERROR(IF(INDEX('Disaggregation Records'!$I$69:$I$152,MATCH(RIGHT(Q551,255),RIGHT('Disaggregation Records'!$D$69:$D$152,255),0))="","",INDEX('Disaggregation Records'!$I$69:$I$152,MATCH(RIGHT(Q551,255),RIGHT('Disaggregation Records'!$D$69:$D$152,255),0))),"")</f>
        <v/>
      </c>
    </row>
    <row r="552" spans="1:23" s="194" customFormat="1" ht="40.4" customHeight="1" x14ac:dyDescent="0.35">
      <c r="A552" s="770" t="str">
        <f ca="1">INDIRECT("'update Helper'!C"&amp;U552)</f>
        <v>a1V3p000006jwBoEAI</v>
      </c>
      <c r="B552" s="766">
        <v>12</v>
      </c>
      <c r="C552" s="760" t="str">
        <f>IFERROR(VLOOKUP(B552,'Outcome Indicators - Section C '!$A$9:$AF$70,32,FALSE),"")</f>
        <v/>
      </c>
      <c r="D552" s="768" t="str">
        <f>R552</f>
        <v/>
      </c>
      <c r="E552" s="768" t="str">
        <f>S552</f>
        <v/>
      </c>
      <c r="F552" s="413"/>
      <c r="G552" s="762" t="str">
        <f ca="1">IF(OR(INDIRECT("'update Helper'!E"&amp;U552)="",F552&lt;&gt;0,F553&lt;&gt;0),IF(IFERROR((F552/F553),"")="","",(F552/F553)),INDIRECT("'update Helper'!E"&amp;U552)/100)</f>
        <v/>
      </c>
      <c r="H552" s="743"/>
      <c r="I552" s="764"/>
      <c r="J552" s="729"/>
      <c r="K552" s="760" t="str">
        <f>W552</f>
        <v/>
      </c>
      <c r="L552" s="760" t="str">
        <f>V552</f>
        <v/>
      </c>
      <c r="M552" s="729"/>
      <c r="N552" s="729"/>
      <c r="P552" s="194">
        <f>IF(AND(EXACT(C552,C550),C550&lt;&gt;0),P550+1,0)</f>
        <v>68</v>
      </c>
      <c r="Q552" s="194" t="str">
        <f>IF(C552&lt;&gt;"",C552&amp;"-"&amp;P552,"")</f>
        <v/>
      </c>
      <c r="R552" s="194" t="str">
        <f t="array" ref="R552">IFERROR(IF(INDEX('Disaggregation Records'!$E$69:$E$152,MATCH(RIGHT(Q552,255),RIGHT('Disaggregation Records'!$D$69:$D$152,255),0))="","",INDEX('Disaggregation Records'!$E$69:$E$152,MATCH(RIGHT(Q552,255),RIGHT('Disaggregation Records'!$D$69:$D$152,255),0))),"")</f>
        <v/>
      </c>
      <c r="S552" s="194" t="str">
        <f t="array" ref="S552">IFERROR(IF(INDEX('Disaggregation Records'!$F$69:$F$152,MATCH(RIGHT(Q552,255),RIGHT('Disaggregation Records'!$D$69:$D$152,255),0))="","",INDEX('Disaggregation Records'!$F$69:$F$152,MATCH(RIGHT(Q552,255),RIGHT('Disaggregation Records'!$D$69:$D$152,255),0))),"")</f>
        <v/>
      </c>
      <c r="T552" s="194" t="str">
        <f t="array" ref="T552">IFERROR(IF(INDEX('Disaggregation Records'!$H$69:$H$152,MATCH(RIGHT(Q552,255),RIGHT('Disaggregation Records'!$D$69:$D$152,255),0))="","",INDEX('Disaggregation Records'!$H$69:$H$152,MATCH(RIGHT(Q552,255),RIGHT('Disaggregation Records'!$D$69:$D$152,255),0))),"")</f>
        <v/>
      </c>
      <c r="U552" s="194">
        <f>U550+1</f>
        <v>1785</v>
      </c>
      <c r="V552" s="194" t="str">
        <f t="array" ref="V552">IFERROR(IF(INDEX('Disaggregation Records'!$I$69:$I$152,MATCH(RIGHT(Q552,255),RIGHT('Disaggregation Records'!$D$69:$D$152,255),0))="","",INDEX('Disaggregation Records'!$I$69:$I$152,MATCH(RIGHT(Q552,255),RIGHT('Disaggregation Records'!$D$69:$D$152,255),0))),"")</f>
        <v/>
      </c>
      <c r="W552" s="194" t="str">
        <f>IFERROR(INDEX('Reference Records'!P$23:P$74,MATCH(LEFT(C552,255),'Reference Records'!J$23:J$74,0)),"")</f>
        <v/>
      </c>
    </row>
    <row r="553" spans="1:23" s="194" customFormat="1" ht="40.4" customHeight="1" x14ac:dyDescent="0.35">
      <c r="A553" s="770"/>
      <c r="B553" s="767"/>
      <c r="C553" s="761"/>
      <c r="D553" s="769"/>
      <c r="E553" s="769"/>
      <c r="F553" s="208"/>
      <c r="G553" s="763"/>
      <c r="H553" s="744"/>
      <c r="I553" s="765"/>
      <c r="J553" s="730"/>
      <c r="K553" s="761"/>
      <c r="L553" s="761"/>
      <c r="M553" s="730"/>
      <c r="N553" s="730"/>
      <c r="V553" s="194" t="str">
        <f t="array" ref="V553">IFERROR(IF(INDEX('Disaggregation Records'!$I$69:$I$152,MATCH(RIGHT(Q553,255),RIGHT('Disaggregation Records'!$D$69:$D$152,255),0))="","",INDEX('Disaggregation Records'!$I$69:$I$152,MATCH(RIGHT(Q553,255),RIGHT('Disaggregation Records'!$D$69:$D$152,255),0))),"")</f>
        <v/>
      </c>
    </row>
    <row r="554" spans="1:23" s="194" customFormat="1" ht="40.4" customHeight="1" x14ac:dyDescent="0.35">
      <c r="A554" s="770" t="str">
        <f ca="1">INDIRECT("'update Helper'!C"&amp;U554)</f>
        <v>a1V3p000006jwBpEAI</v>
      </c>
      <c r="B554" s="766">
        <v>12</v>
      </c>
      <c r="C554" s="760" t="str">
        <f>IFERROR(VLOOKUP(B554,'Outcome Indicators - Section C '!$A$9:$AF$70,32,FALSE),"")</f>
        <v/>
      </c>
      <c r="D554" s="768" t="str">
        <f>R554</f>
        <v/>
      </c>
      <c r="E554" s="768" t="str">
        <f>S554</f>
        <v/>
      </c>
      <c r="F554" s="413"/>
      <c r="G554" s="762" t="str">
        <f ca="1">IF(OR(INDIRECT("'update Helper'!E"&amp;U554)="",F554&lt;&gt;0,F555&lt;&gt;0),IF(IFERROR((F554/F555),"")="","",(F554/F555)),INDIRECT("'update Helper'!E"&amp;U554)/100)</f>
        <v/>
      </c>
      <c r="H554" s="743"/>
      <c r="I554" s="764"/>
      <c r="J554" s="729"/>
      <c r="K554" s="760" t="str">
        <f>W554</f>
        <v/>
      </c>
      <c r="L554" s="760" t="str">
        <f>V554</f>
        <v/>
      </c>
      <c r="M554" s="729"/>
      <c r="N554" s="729"/>
      <c r="P554" s="194">
        <f>IF(AND(EXACT(C554,C552),C552&lt;&gt;0),P552+1,0)</f>
        <v>69</v>
      </c>
      <c r="Q554" s="194" t="str">
        <f>IF(C554&lt;&gt;"",C554&amp;"-"&amp;P554,"")</f>
        <v/>
      </c>
      <c r="R554" s="194" t="str">
        <f t="array" ref="R554">IFERROR(IF(INDEX('Disaggregation Records'!$E$69:$E$152,MATCH(RIGHT(Q554,255),RIGHT('Disaggregation Records'!$D$69:$D$152,255),0))="","",INDEX('Disaggregation Records'!$E$69:$E$152,MATCH(RIGHT(Q554,255),RIGHT('Disaggregation Records'!$D$69:$D$152,255),0))),"")</f>
        <v/>
      </c>
      <c r="S554" s="194" t="str">
        <f t="array" ref="S554">IFERROR(IF(INDEX('Disaggregation Records'!$F$69:$F$152,MATCH(RIGHT(Q554,255),RIGHT('Disaggregation Records'!$D$69:$D$152,255),0))="","",INDEX('Disaggregation Records'!$F$69:$F$152,MATCH(RIGHT(Q554,255),RIGHT('Disaggregation Records'!$D$69:$D$152,255),0))),"")</f>
        <v/>
      </c>
      <c r="T554" s="194" t="str">
        <f t="array" ref="T554">IFERROR(IF(INDEX('Disaggregation Records'!$H$69:$H$152,MATCH(RIGHT(Q554,255),RIGHT('Disaggregation Records'!$D$69:$D$152,255),0))="","",INDEX('Disaggregation Records'!$H$69:$H$152,MATCH(RIGHT(Q554,255),RIGHT('Disaggregation Records'!$D$69:$D$152,255),0))),"")</f>
        <v/>
      </c>
      <c r="U554" s="194">
        <f>U552+1</f>
        <v>1786</v>
      </c>
      <c r="V554" s="194" t="str">
        <f t="array" ref="V554">IFERROR(IF(INDEX('Disaggregation Records'!$I$69:$I$152,MATCH(RIGHT(Q554,255),RIGHT('Disaggregation Records'!$D$69:$D$152,255),0))="","",INDEX('Disaggregation Records'!$I$69:$I$152,MATCH(RIGHT(Q554,255),RIGHT('Disaggregation Records'!$D$69:$D$152,255),0))),"")</f>
        <v/>
      </c>
      <c r="W554" s="194" t="str">
        <f>IFERROR(INDEX('Reference Records'!P$23:P$74,MATCH(LEFT(C554,255),'Reference Records'!J$23:J$74,0)),"")</f>
        <v/>
      </c>
    </row>
    <row r="555" spans="1:23" s="194" customFormat="1" ht="40.4" customHeight="1" x14ac:dyDescent="0.35">
      <c r="A555" s="770"/>
      <c r="B555" s="767"/>
      <c r="C555" s="761"/>
      <c r="D555" s="769"/>
      <c r="E555" s="769"/>
      <c r="F555" s="208"/>
      <c r="G555" s="763"/>
      <c r="H555" s="744"/>
      <c r="I555" s="765"/>
      <c r="J555" s="730"/>
      <c r="K555" s="761"/>
      <c r="L555" s="761"/>
      <c r="M555" s="730"/>
      <c r="N555" s="730"/>
      <c r="V555" s="194" t="str">
        <f t="array" ref="V555">IFERROR(IF(INDEX('Disaggregation Records'!$I$69:$I$152,MATCH(RIGHT(Q555,255),RIGHT('Disaggregation Records'!$D$69:$D$152,255),0))="","",INDEX('Disaggregation Records'!$I$69:$I$152,MATCH(RIGHT(Q555,255),RIGHT('Disaggregation Records'!$D$69:$D$152,255),0))),"")</f>
        <v/>
      </c>
    </row>
    <row r="556" spans="1:23" s="194" customFormat="1" ht="40.4" customHeight="1" x14ac:dyDescent="0.35">
      <c r="A556" s="770" t="str">
        <f ca="1">INDIRECT("'update Helper'!C"&amp;U556)</f>
        <v>a1V3p000006jw9QEAQ</v>
      </c>
      <c r="B556" s="766">
        <v>13</v>
      </c>
      <c r="C556" s="760" t="str">
        <f>IFERROR(VLOOKUP(B556,'Outcome Indicators - Section C '!$A$9:$AF$70,32,FALSE),"")</f>
        <v/>
      </c>
      <c r="D556" s="768" t="str">
        <f>R556</f>
        <v/>
      </c>
      <c r="E556" s="768" t="str">
        <f>S556</f>
        <v/>
      </c>
      <c r="F556" s="413"/>
      <c r="G556" s="762" t="str">
        <f ca="1">IF(OR(INDIRECT("'update Helper'!E"&amp;U556)="",F556&lt;&gt;0,F557&lt;&gt;0),IF(IFERROR((F556/F557),"")="","",(F556/F557)),INDIRECT("'update Helper'!E"&amp;U556)/100)</f>
        <v/>
      </c>
      <c r="H556" s="743"/>
      <c r="I556" s="764"/>
      <c r="J556" s="729"/>
      <c r="K556" s="760" t="str">
        <f>W556</f>
        <v/>
      </c>
      <c r="L556" s="760" t="str">
        <f>V556</f>
        <v/>
      </c>
      <c r="M556" s="729"/>
      <c r="N556" s="729"/>
      <c r="P556" s="194">
        <f>IF(AND(EXACT(C556,C554),C554&lt;&gt;0),P554+1,0)</f>
        <v>70</v>
      </c>
      <c r="Q556" s="194" t="str">
        <f>IF(C556&lt;&gt;"",C556&amp;"-"&amp;P556,"")</f>
        <v/>
      </c>
      <c r="R556" s="194" t="str">
        <f t="array" ref="R556">IFERROR(IF(INDEX('Disaggregation Records'!$E$69:$E$152,MATCH(RIGHT(Q556,255),RIGHT('Disaggregation Records'!$D$69:$D$152,255),0))="","",INDEX('Disaggregation Records'!$E$69:$E$152,MATCH(RIGHT(Q556,255),RIGHT('Disaggregation Records'!$D$69:$D$152,255),0))),"")</f>
        <v/>
      </c>
      <c r="S556" s="194" t="str">
        <f t="array" ref="S556">IFERROR(IF(INDEX('Disaggregation Records'!$F$69:$F$152,MATCH(RIGHT(Q556,255),RIGHT('Disaggregation Records'!$D$69:$D$152,255),0))="","",INDEX('Disaggregation Records'!$F$69:$F$152,MATCH(RIGHT(Q556,255),RIGHT('Disaggregation Records'!$D$69:$D$152,255),0))),"")</f>
        <v/>
      </c>
      <c r="T556" s="194" t="str">
        <f t="array" ref="T556">IFERROR(IF(INDEX('Disaggregation Records'!$H$69:$H$152,MATCH(RIGHT(Q556,255),RIGHT('Disaggregation Records'!$D$69:$D$152,255),0))="","",INDEX('Disaggregation Records'!$H$69:$H$152,MATCH(RIGHT(Q556,255),RIGHT('Disaggregation Records'!$D$69:$D$152,255),0))),"")</f>
        <v/>
      </c>
      <c r="U556" s="194">
        <f>U554+1</f>
        <v>1787</v>
      </c>
      <c r="V556" s="194" t="str">
        <f t="array" ref="V556">IFERROR(IF(INDEX('Disaggregation Records'!$I$69:$I$152,MATCH(RIGHT(Q556,255),RIGHT('Disaggregation Records'!$D$69:$D$152,255),0))="","",INDEX('Disaggregation Records'!$I$69:$I$152,MATCH(RIGHT(Q556,255),RIGHT('Disaggregation Records'!$D$69:$D$152,255),0))),"")</f>
        <v/>
      </c>
      <c r="W556" s="194" t="str">
        <f>IFERROR(INDEX('Reference Records'!P$23:P$74,MATCH(LEFT(C556,255),'Reference Records'!J$23:J$74,0)),"")</f>
        <v/>
      </c>
    </row>
    <row r="557" spans="1:23" s="194" customFormat="1" ht="40.4" customHeight="1" x14ac:dyDescent="0.35">
      <c r="A557" s="770"/>
      <c r="B557" s="767"/>
      <c r="C557" s="761"/>
      <c r="D557" s="769"/>
      <c r="E557" s="769"/>
      <c r="F557" s="208"/>
      <c r="G557" s="763"/>
      <c r="H557" s="744"/>
      <c r="I557" s="765"/>
      <c r="J557" s="730"/>
      <c r="K557" s="761"/>
      <c r="L557" s="761"/>
      <c r="M557" s="730"/>
      <c r="N557" s="730"/>
      <c r="V557" s="194" t="str">
        <f t="array" ref="V557">IFERROR(IF(INDEX('Disaggregation Records'!$I$69:$I$152,MATCH(RIGHT(Q557,255),RIGHT('Disaggregation Records'!$D$69:$D$152,255),0))="","",INDEX('Disaggregation Records'!$I$69:$I$152,MATCH(RIGHT(Q557,255),RIGHT('Disaggregation Records'!$D$69:$D$152,255),0))),"")</f>
        <v/>
      </c>
    </row>
    <row r="558" spans="1:23" s="194" customFormat="1" ht="40.4" customHeight="1" x14ac:dyDescent="0.35">
      <c r="A558" s="770" t="str">
        <f ca="1">INDIRECT("'update Helper'!C"&amp;U558)</f>
        <v>a1V3p000006jw9REAQ</v>
      </c>
      <c r="B558" s="766">
        <v>13</v>
      </c>
      <c r="C558" s="760" t="str">
        <f>IFERROR(VLOOKUP(B558,'Outcome Indicators - Section C '!$A$9:$AF$70,32,FALSE),"")</f>
        <v/>
      </c>
      <c r="D558" s="768" t="str">
        <f>R558</f>
        <v/>
      </c>
      <c r="E558" s="768" t="str">
        <f>S558</f>
        <v/>
      </c>
      <c r="F558" s="413"/>
      <c r="G558" s="762" t="str">
        <f ca="1">IF(OR(INDIRECT("'update Helper'!E"&amp;U558)="",F558&lt;&gt;0,F559&lt;&gt;0),IF(IFERROR((F558/F559),"")="","",(F558/F559)),INDIRECT("'update Helper'!E"&amp;U558)/100)</f>
        <v/>
      </c>
      <c r="H558" s="743"/>
      <c r="I558" s="764"/>
      <c r="J558" s="729"/>
      <c r="K558" s="760" t="str">
        <f>W558</f>
        <v/>
      </c>
      <c r="L558" s="760" t="str">
        <f>V558</f>
        <v/>
      </c>
      <c r="M558" s="729"/>
      <c r="N558" s="729"/>
      <c r="P558" s="194">
        <f>IF(AND(EXACT(C558,C556),C556&lt;&gt;0),P556+1,0)</f>
        <v>71</v>
      </c>
      <c r="Q558" s="194" t="str">
        <f>IF(C558&lt;&gt;"",C558&amp;"-"&amp;P558,"")</f>
        <v/>
      </c>
      <c r="R558" s="194" t="str">
        <f t="array" ref="R558">IFERROR(IF(INDEX('Disaggregation Records'!$E$69:$E$152,MATCH(RIGHT(Q558,255),RIGHT('Disaggregation Records'!$D$69:$D$152,255),0))="","",INDEX('Disaggregation Records'!$E$69:$E$152,MATCH(RIGHT(Q558,255),RIGHT('Disaggregation Records'!$D$69:$D$152,255),0))),"")</f>
        <v/>
      </c>
      <c r="S558" s="194" t="str">
        <f t="array" ref="S558">IFERROR(IF(INDEX('Disaggregation Records'!$F$69:$F$152,MATCH(RIGHT(Q558,255),RIGHT('Disaggregation Records'!$D$69:$D$152,255),0))="","",INDEX('Disaggregation Records'!$F$69:$F$152,MATCH(RIGHT(Q558,255),RIGHT('Disaggregation Records'!$D$69:$D$152,255),0))),"")</f>
        <v/>
      </c>
      <c r="T558" s="194" t="str">
        <f t="array" ref="T558">IFERROR(IF(INDEX('Disaggregation Records'!$H$69:$H$152,MATCH(RIGHT(Q558,255),RIGHT('Disaggregation Records'!$D$69:$D$152,255),0))="","",INDEX('Disaggregation Records'!$H$69:$H$152,MATCH(RIGHT(Q558,255),RIGHT('Disaggregation Records'!$D$69:$D$152,255),0))),"")</f>
        <v/>
      </c>
      <c r="U558" s="194">
        <f>U556+1</f>
        <v>1788</v>
      </c>
      <c r="V558" s="194" t="str">
        <f t="array" ref="V558">IFERROR(IF(INDEX('Disaggregation Records'!$I$69:$I$152,MATCH(RIGHT(Q558,255),RIGHT('Disaggregation Records'!$D$69:$D$152,255),0))="","",INDEX('Disaggregation Records'!$I$69:$I$152,MATCH(RIGHT(Q558,255),RIGHT('Disaggregation Records'!$D$69:$D$152,255),0))),"")</f>
        <v/>
      </c>
      <c r="W558" s="194" t="str">
        <f>IFERROR(INDEX('Reference Records'!P$23:P$74,MATCH(LEFT(C558,255),'Reference Records'!J$23:J$74,0)),"")</f>
        <v/>
      </c>
    </row>
    <row r="559" spans="1:23" s="194" customFormat="1" ht="40.4" customHeight="1" x14ac:dyDescent="0.35">
      <c r="A559" s="770"/>
      <c r="B559" s="767"/>
      <c r="C559" s="761"/>
      <c r="D559" s="769"/>
      <c r="E559" s="769"/>
      <c r="F559" s="208"/>
      <c r="G559" s="763"/>
      <c r="H559" s="744"/>
      <c r="I559" s="765"/>
      <c r="J559" s="730"/>
      <c r="K559" s="761"/>
      <c r="L559" s="761"/>
      <c r="M559" s="730"/>
      <c r="N559" s="730"/>
      <c r="V559" s="194" t="str">
        <f t="array" ref="V559">IFERROR(IF(INDEX('Disaggregation Records'!$I$69:$I$152,MATCH(RIGHT(Q559,255),RIGHT('Disaggregation Records'!$D$69:$D$152,255),0))="","",INDEX('Disaggregation Records'!$I$69:$I$152,MATCH(RIGHT(Q559,255),RIGHT('Disaggregation Records'!$D$69:$D$152,255),0))),"")</f>
        <v/>
      </c>
    </row>
    <row r="560" spans="1:23" s="194" customFormat="1" ht="40.4" customHeight="1" x14ac:dyDescent="0.35">
      <c r="A560" s="770" t="str">
        <f ca="1">INDIRECT("'update Helper'!C"&amp;U560)</f>
        <v>a1V3p000006jw9SEAQ</v>
      </c>
      <c r="B560" s="766">
        <v>13</v>
      </c>
      <c r="C560" s="760" t="str">
        <f>IFERROR(VLOOKUP(B560,'Outcome Indicators - Section C '!$A$9:$AF$70,32,FALSE),"")</f>
        <v/>
      </c>
      <c r="D560" s="768" t="str">
        <f>R560</f>
        <v/>
      </c>
      <c r="E560" s="768" t="str">
        <f>S560</f>
        <v/>
      </c>
      <c r="F560" s="413"/>
      <c r="G560" s="762" t="str">
        <f ca="1">IF(OR(INDIRECT("'update Helper'!E"&amp;U560)="",F560&lt;&gt;0,F561&lt;&gt;0),IF(IFERROR((F560/F561),"")="","",(F560/F561)),INDIRECT("'update Helper'!E"&amp;U560)/100)</f>
        <v/>
      </c>
      <c r="H560" s="743"/>
      <c r="I560" s="764"/>
      <c r="J560" s="729"/>
      <c r="K560" s="760" t="str">
        <f>W560</f>
        <v/>
      </c>
      <c r="L560" s="760" t="str">
        <f>V560</f>
        <v/>
      </c>
      <c r="M560" s="729"/>
      <c r="N560" s="729"/>
      <c r="P560" s="194">
        <f>IF(AND(EXACT(C560,C558),C558&lt;&gt;0),P558+1,0)</f>
        <v>72</v>
      </c>
      <c r="Q560" s="194" t="str">
        <f>IF(C560&lt;&gt;"",C560&amp;"-"&amp;P560,"")</f>
        <v/>
      </c>
      <c r="R560" s="194" t="str">
        <f t="array" ref="R560">IFERROR(IF(INDEX('Disaggregation Records'!$E$69:$E$152,MATCH(RIGHT(Q560,255),RIGHT('Disaggregation Records'!$D$69:$D$152,255),0))="","",INDEX('Disaggregation Records'!$E$69:$E$152,MATCH(RIGHT(Q560,255),RIGHT('Disaggregation Records'!$D$69:$D$152,255),0))),"")</f>
        <v/>
      </c>
      <c r="S560" s="194" t="str">
        <f t="array" ref="S560">IFERROR(IF(INDEX('Disaggregation Records'!$F$69:$F$152,MATCH(RIGHT(Q560,255),RIGHT('Disaggregation Records'!$D$69:$D$152,255),0))="","",INDEX('Disaggregation Records'!$F$69:$F$152,MATCH(RIGHT(Q560,255),RIGHT('Disaggregation Records'!$D$69:$D$152,255),0))),"")</f>
        <v/>
      </c>
      <c r="T560" s="194" t="str">
        <f t="array" ref="T560">IFERROR(IF(INDEX('Disaggregation Records'!$H$69:$H$152,MATCH(RIGHT(Q560,255),RIGHT('Disaggregation Records'!$D$69:$D$152,255),0))="","",INDEX('Disaggregation Records'!$H$69:$H$152,MATCH(RIGHT(Q560,255),RIGHT('Disaggregation Records'!$D$69:$D$152,255),0))),"")</f>
        <v/>
      </c>
      <c r="U560" s="194">
        <f>U558+1</f>
        <v>1789</v>
      </c>
      <c r="V560" s="194" t="str">
        <f t="array" ref="V560">IFERROR(IF(INDEX('Disaggregation Records'!$I$69:$I$152,MATCH(RIGHT(Q560,255),RIGHT('Disaggregation Records'!$D$69:$D$152,255),0))="","",INDEX('Disaggregation Records'!$I$69:$I$152,MATCH(RIGHT(Q560,255),RIGHT('Disaggregation Records'!$D$69:$D$152,255),0))),"")</f>
        <v/>
      </c>
      <c r="W560" s="194" t="str">
        <f>IFERROR(INDEX('Reference Records'!P$23:P$74,MATCH(LEFT(C560,255),'Reference Records'!J$23:J$74,0)),"")</f>
        <v/>
      </c>
    </row>
    <row r="561" spans="1:23" s="194" customFormat="1" ht="40.4" customHeight="1" x14ac:dyDescent="0.35">
      <c r="A561" s="770"/>
      <c r="B561" s="767"/>
      <c r="C561" s="761"/>
      <c r="D561" s="769"/>
      <c r="E561" s="769"/>
      <c r="F561" s="208"/>
      <c r="G561" s="763"/>
      <c r="H561" s="744"/>
      <c r="I561" s="765"/>
      <c r="J561" s="730"/>
      <c r="K561" s="761"/>
      <c r="L561" s="761"/>
      <c r="M561" s="730"/>
      <c r="N561" s="730"/>
      <c r="V561" s="194" t="str">
        <f t="array" ref="V561">IFERROR(IF(INDEX('Disaggregation Records'!$I$69:$I$152,MATCH(RIGHT(Q561,255),RIGHT('Disaggregation Records'!$D$69:$D$152,255),0))="","",INDEX('Disaggregation Records'!$I$69:$I$152,MATCH(RIGHT(Q561,255),RIGHT('Disaggregation Records'!$D$69:$D$152,255),0))),"")</f>
        <v/>
      </c>
    </row>
    <row r="562" spans="1:23" s="194" customFormat="1" ht="40.4" customHeight="1" x14ac:dyDescent="0.35">
      <c r="A562" s="770" t="str">
        <f ca="1">INDIRECT("'update Helper'!C"&amp;U562)</f>
        <v>a1V3p000006jw9TEAQ</v>
      </c>
      <c r="B562" s="766">
        <v>13</v>
      </c>
      <c r="C562" s="760" t="str">
        <f>IFERROR(VLOOKUP(B562,'Outcome Indicators - Section C '!$A$9:$AF$70,32,FALSE),"")</f>
        <v/>
      </c>
      <c r="D562" s="768" t="str">
        <f>R562</f>
        <v/>
      </c>
      <c r="E562" s="768" t="str">
        <f>S562</f>
        <v/>
      </c>
      <c r="F562" s="413"/>
      <c r="G562" s="762" t="str">
        <f ca="1">IF(OR(INDIRECT("'update Helper'!E"&amp;U562)="",F562&lt;&gt;0,F563&lt;&gt;0),IF(IFERROR((F562/F563),"")="","",(F562/F563)),INDIRECT("'update Helper'!E"&amp;U562)/100)</f>
        <v/>
      </c>
      <c r="H562" s="743"/>
      <c r="I562" s="764"/>
      <c r="J562" s="729"/>
      <c r="K562" s="760" t="str">
        <f>W562</f>
        <v/>
      </c>
      <c r="L562" s="760" t="str">
        <f>V562</f>
        <v/>
      </c>
      <c r="M562" s="729"/>
      <c r="N562" s="729"/>
      <c r="P562" s="194">
        <f>IF(AND(EXACT(C562,C560),C560&lt;&gt;0),P560+1,0)</f>
        <v>73</v>
      </c>
      <c r="Q562" s="194" t="str">
        <f>IF(C562&lt;&gt;"",C562&amp;"-"&amp;P562,"")</f>
        <v/>
      </c>
      <c r="R562" s="194" t="str">
        <f t="array" ref="R562">IFERROR(IF(INDEX('Disaggregation Records'!$E$69:$E$152,MATCH(RIGHT(Q562,255),RIGHT('Disaggregation Records'!$D$69:$D$152,255),0))="","",INDEX('Disaggregation Records'!$E$69:$E$152,MATCH(RIGHT(Q562,255),RIGHT('Disaggregation Records'!$D$69:$D$152,255),0))),"")</f>
        <v/>
      </c>
      <c r="S562" s="194" t="str">
        <f t="array" ref="S562">IFERROR(IF(INDEX('Disaggregation Records'!$F$69:$F$152,MATCH(RIGHT(Q562,255),RIGHT('Disaggregation Records'!$D$69:$D$152,255),0))="","",INDEX('Disaggregation Records'!$F$69:$F$152,MATCH(RIGHT(Q562,255),RIGHT('Disaggregation Records'!$D$69:$D$152,255),0))),"")</f>
        <v/>
      </c>
      <c r="T562" s="194" t="str">
        <f t="array" ref="T562">IFERROR(IF(INDEX('Disaggregation Records'!$H$69:$H$152,MATCH(RIGHT(Q562,255),RIGHT('Disaggregation Records'!$D$69:$D$152,255),0))="","",INDEX('Disaggregation Records'!$H$69:$H$152,MATCH(RIGHT(Q562,255),RIGHT('Disaggregation Records'!$D$69:$D$152,255),0))),"")</f>
        <v/>
      </c>
      <c r="U562" s="194">
        <f>U560+1</f>
        <v>1790</v>
      </c>
      <c r="V562" s="194" t="str">
        <f t="array" ref="V562">IFERROR(IF(INDEX('Disaggregation Records'!$I$69:$I$152,MATCH(RIGHT(Q562,255),RIGHT('Disaggregation Records'!$D$69:$D$152,255),0))="","",INDEX('Disaggregation Records'!$I$69:$I$152,MATCH(RIGHT(Q562,255),RIGHT('Disaggregation Records'!$D$69:$D$152,255),0))),"")</f>
        <v/>
      </c>
      <c r="W562" s="194" t="str">
        <f>IFERROR(INDEX('Reference Records'!P$23:P$74,MATCH(LEFT(C562,255),'Reference Records'!J$23:J$74,0)),"")</f>
        <v/>
      </c>
    </row>
    <row r="563" spans="1:23" s="194" customFormat="1" ht="40.4" customHeight="1" x14ac:dyDescent="0.35">
      <c r="A563" s="770"/>
      <c r="B563" s="767"/>
      <c r="C563" s="761"/>
      <c r="D563" s="769"/>
      <c r="E563" s="769"/>
      <c r="F563" s="208"/>
      <c r="G563" s="763"/>
      <c r="H563" s="744"/>
      <c r="I563" s="765"/>
      <c r="J563" s="730"/>
      <c r="K563" s="761"/>
      <c r="L563" s="761"/>
      <c r="M563" s="730"/>
      <c r="N563" s="730"/>
      <c r="V563" s="194" t="str">
        <f t="array" ref="V563">IFERROR(IF(INDEX('Disaggregation Records'!$I$69:$I$152,MATCH(RIGHT(Q563,255),RIGHT('Disaggregation Records'!$D$69:$D$152,255),0))="","",INDEX('Disaggregation Records'!$I$69:$I$152,MATCH(RIGHT(Q563,255),RIGHT('Disaggregation Records'!$D$69:$D$152,255),0))),"")</f>
        <v/>
      </c>
    </row>
    <row r="564" spans="1:23" s="194" customFormat="1" ht="40.4" customHeight="1" x14ac:dyDescent="0.35">
      <c r="A564" s="770" t="str">
        <f ca="1">INDIRECT("'update Helper'!C"&amp;U564)</f>
        <v>a1V3p000006jw9UEAQ</v>
      </c>
      <c r="B564" s="766">
        <v>13</v>
      </c>
      <c r="C564" s="760" t="str">
        <f>IFERROR(VLOOKUP(B564,'Outcome Indicators - Section C '!$A$9:$AF$70,32,FALSE),"")</f>
        <v/>
      </c>
      <c r="D564" s="768" t="str">
        <f>R564</f>
        <v/>
      </c>
      <c r="E564" s="768" t="str">
        <f>S564</f>
        <v/>
      </c>
      <c r="F564" s="413"/>
      <c r="G564" s="762" t="str">
        <f ca="1">IF(OR(INDIRECT("'update Helper'!E"&amp;U564)="",F564&lt;&gt;0,F565&lt;&gt;0),IF(IFERROR((F564/F565),"")="","",(F564/F565)),INDIRECT("'update Helper'!E"&amp;U564)/100)</f>
        <v/>
      </c>
      <c r="H564" s="743"/>
      <c r="I564" s="764"/>
      <c r="J564" s="729"/>
      <c r="K564" s="760" t="str">
        <f>W564</f>
        <v/>
      </c>
      <c r="L564" s="760" t="str">
        <f>V564</f>
        <v/>
      </c>
      <c r="M564" s="729"/>
      <c r="N564" s="729"/>
      <c r="P564" s="194">
        <f>IF(AND(EXACT(C564,C562),C562&lt;&gt;0),P562+1,0)</f>
        <v>74</v>
      </c>
      <c r="Q564" s="194" t="str">
        <f>IF(C564&lt;&gt;"",C564&amp;"-"&amp;P564,"")</f>
        <v/>
      </c>
      <c r="R564" s="194" t="str">
        <f t="array" ref="R564">IFERROR(IF(INDEX('Disaggregation Records'!$E$69:$E$152,MATCH(RIGHT(Q564,255),RIGHT('Disaggregation Records'!$D$69:$D$152,255),0))="","",INDEX('Disaggregation Records'!$E$69:$E$152,MATCH(RIGHT(Q564,255),RIGHT('Disaggregation Records'!$D$69:$D$152,255),0))),"")</f>
        <v/>
      </c>
      <c r="S564" s="194" t="str">
        <f t="array" ref="S564">IFERROR(IF(INDEX('Disaggregation Records'!$F$69:$F$152,MATCH(RIGHT(Q564,255),RIGHT('Disaggregation Records'!$D$69:$D$152,255),0))="","",INDEX('Disaggregation Records'!$F$69:$F$152,MATCH(RIGHT(Q564,255),RIGHT('Disaggregation Records'!$D$69:$D$152,255),0))),"")</f>
        <v/>
      </c>
      <c r="T564" s="194" t="str">
        <f t="array" ref="T564">IFERROR(IF(INDEX('Disaggregation Records'!$H$69:$H$152,MATCH(RIGHT(Q564,255),RIGHT('Disaggregation Records'!$D$69:$D$152,255),0))="","",INDEX('Disaggregation Records'!$H$69:$H$152,MATCH(RIGHT(Q564,255),RIGHT('Disaggregation Records'!$D$69:$D$152,255),0))),"")</f>
        <v/>
      </c>
      <c r="U564" s="194">
        <f>U562+1</f>
        <v>1791</v>
      </c>
      <c r="V564" s="194" t="str">
        <f t="array" ref="V564">IFERROR(IF(INDEX('Disaggregation Records'!$I$69:$I$152,MATCH(RIGHT(Q564,255),RIGHT('Disaggregation Records'!$D$69:$D$152,255),0))="","",INDEX('Disaggregation Records'!$I$69:$I$152,MATCH(RIGHT(Q564,255),RIGHT('Disaggregation Records'!$D$69:$D$152,255),0))),"")</f>
        <v/>
      </c>
      <c r="W564" s="194" t="str">
        <f>IFERROR(INDEX('Reference Records'!P$23:P$74,MATCH(LEFT(C564,255),'Reference Records'!J$23:J$74,0)),"")</f>
        <v/>
      </c>
    </row>
    <row r="565" spans="1:23" s="194" customFormat="1" ht="40.4" customHeight="1" x14ac:dyDescent="0.35">
      <c r="A565" s="770"/>
      <c r="B565" s="767"/>
      <c r="C565" s="761"/>
      <c r="D565" s="769"/>
      <c r="E565" s="769"/>
      <c r="F565" s="208"/>
      <c r="G565" s="763"/>
      <c r="H565" s="744"/>
      <c r="I565" s="765"/>
      <c r="J565" s="730"/>
      <c r="K565" s="761"/>
      <c r="L565" s="761"/>
      <c r="M565" s="730"/>
      <c r="N565" s="730"/>
      <c r="V565" s="194" t="str">
        <f t="array" ref="V565">IFERROR(IF(INDEX('Disaggregation Records'!$I$69:$I$152,MATCH(RIGHT(Q565,255),RIGHT('Disaggregation Records'!$D$69:$D$152,255),0))="","",INDEX('Disaggregation Records'!$I$69:$I$152,MATCH(RIGHT(Q565,255),RIGHT('Disaggregation Records'!$D$69:$D$152,255),0))),"")</f>
        <v/>
      </c>
    </row>
    <row r="566" spans="1:23" s="194" customFormat="1" ht="40.4" customHeight="1" x14ac:dyDescent="0.35">
      <c r="A566" s="770" t="str">
        <f ca="1">INDIRECT("'update Helper'!C"&amp;U566)</f>
        <v>a1V3p000006jw9VEAQ</v>
      </c>
      <c r="B566" s="766">
        <v>13</v>
      </c>
      <c r="C566" s="760" t="str">
        <f>IFERROR(VLOOKUP(B566,'Outcome Indicators - Section C '!$A$9:$AF$70,32,FALSE),"")</f>
        <v/>
      </c>
      <c r="D566" s="768" t="str">
        <f>R566</f>
        <v/>
      </c>
      <c r="E566" s="768" t="str">
        <f>S566</f>
        <v/>
      </c>
      <c r="F566" s="413"/>
      <c r="G566" s="762" t="str">
        <f ca="1">IF(OR(INDIRECT("'update Helper'!E"&amp;U566)="",F566&lt;&gt;0,F567&lt;&gt;0),IF(IFERROR((F566/F567),"")="","",(F566/F567)),INDIRECT("'update Helper'!E"&amp;U566)/100)</f>
        <v/>
      </c>
      <c r="H566" s="743"/>
      <c r="I566" s="764"/>
      <c r="J566" s="729"/>
      <c r="K566" s="760" t="str">
        <f>W566</f>
        <v/>
      </c>
      <c r="L566" s="760" t="str">
        <f>V566</f>
        <v/>
      </c>
      <c r="M566" s="729"/>
      <c r="N566" s="729"/>
      <c r="P566" s="194">
        <f>IF(AND(EXACT(C566,C564),C564&lt;&gt;0),P564+1,0)</f>
        <v>75</v>
      </c>
      <c r="Q566" s="194" t="str">
        <f>IF(C566&lt;&gt;"",C566&amp;"-"&amp;P566,"")</f>
        <v/>
      </c>
      <c r="R566" s="194" t="str">
        <f t="array" ref="R566">IFERROR(IF(INDEX('Disaggregation Records'!$E$69:$E$152,MATCH(RIGHT(Q566,255),RIGHT('Disaggregation Records'!$D$69:$D$152,255),0))="","",INDEX('Disaggregation Records'!$E$69:$E$152,MATCH(RIGHT(Q566,255),RIGHT('Disaggregation Records'!$D$69:$D$152,255),0))),"")</f>
        <v/>
      </c>
      <c r="S566" s="194" t="str">
        <f t="array" ref="S566">IFERROR(IF(INDEX('Disaggregation Records'!$F$69:$F$152,MATCH(RIGHT(Q566,255),RIGHT('Disaggregation Records'!$D$69:$D$152,255),0))="","",INDEX('Disaggregation Records'!$F$69:$F$152,MATCH(RIGHT(Q566,255),RIGHT('Disaggregation Records'!$D$69:$D$152,255),0))),"")</f>
        <v/>
      </c>
      <c r="T566" s="194" t="str">
        <f t="array" ref="T566">IFERROR(IF(INDEX('Disaggregation Records'!$H$69:$H$152,MATCH(RIGHT(Q566,255),RIGHT('Disaggregation Records'!$D$69:$D$152,255),0))="","",INDEX('Disaggregation Records'!$H$69:$H$152,MATCH(RIGHT(Q566,255),RIGHT('Disaggregation Records'!$D$69:$D$152,255),0))),"")</f>
        <v/>
      </c>
      <c r="U566" s="194">
        <f>U564+1</f>
        <v>1792</v>
      </c>
      <c r="V566" s="194" t="str">
        <f t="array" ref="V566">IFERROR(IF(INDEX('Disaggregation Records'!$I$69:$I$152,MATCH(RIGHT(Q566,255),RIGHT('Disaggregation Records'!$D$69:$D$152,255),0))="","",INDEX('Disaggregation Records'!$I$69:$I$152,MATCH(RIGHT(Q566,255),RIGHT('Disaggregation Records'!$D$69:$D$152,255),0))),"")</f>
        <v/>
      </c>
      <c r="W566" s="194" t="str">
        <f>IFERROR(INDEX('Reference Records'!P$23:P$74,MATCH(LEFT(C566,255),'Reference Records'!J$23:J$74,0)),"")</f>
        <v/>
      </c>
    </row>
    <row r="567" spans="1:23" s="194" customFormat="1" ht="40.4" customHeight="1" x14ac:dyDescent="0.35">
      <c r="A567" s="770"/>
      <c r="B567" s="767"/>
      <c r="C567" s="761"/>
      <c r="D567" s="769"/>
      <c r="E567" s="769"/>
      <c r="F567" s="208"/>
      <c r="G567" s="763"/>
      <c r="H567" s="744"/>
      <c r="I567" s="765"/>
      <c r="J567" s="730"/>
      <c r="K567" s="761"/>
      <c r="L567" s="761"/>
      <c r="M567" s="730"/>
      <c r="N567" s="730"/>
      <c r="V567" s="194" t="str">
        <f t="array" ref="V567">IFERROR(IF(INDEX('Disaggregation Records'!$I$69:$I$152,MATCH(RIGHT(Q567,255),RIGHT('Disaggregation Records'!$D$69:$D$152,255),0))="","",INDEX('Disaggregation Records'!$I$69:$I$152,MATCH(RIGHT(Q567,255),RIGHT('Disaggregation Records'!$D$69:$D$152,255),0))),"")</f>
        <v/>
      </c>
    </row>
    <row r="568" spans="1:23" s="194" customFormat="1" ht="40.4" customHeight="1" x14ac:dyDescent="0.35">
      <c r="A568" s="770" t="str">
        <f ca="1">INDIRECT("'update Helper'!C"&amp;U568)</f>
        <v>a1V3p000006jw9WEAQ</v>
      </c>
      <c r="B568" s="766">
        <v>13</v>
      </c>
      <c r="C568" s="760" t="str">
        <f>IFERROR(VLOOKUP(B568,'Outcome Indicators - Section C '!$A$9:$AF$70,32,FALSE),"")</f>
        <v/>
      </c>
      <c r="D568" s="768" t="str">
        <f>R568</f>
        <v/>
      </c>
      <c r="E568" s="768" t="str">
        <f>S568</f>
        <v/>
      </c>
      <c r="F568" s="413"/>
      <c r="G568" s="762" t="str">
        <f ca="1">IF(OR(INDIRECT("'update Helper'!E"&amp;U568)="",F568&lt;&gt;0,F569&lt;&gt;0),IF(IFERROR((F568/F569),"")="","",(F568/F569)),INDIRECT("'update Helper'!E"&amp;U568)/100)</f>
        <v/>
      </c>
      <c r="H568" s="743"/>
      <c r="I568" s="764"/>
      <c r="J568" s="729"/>
      <c r="K568" s="760" t="str">
        <f>W568</f>
        <v/>
      </c>
      <c r="L568" s="760" t="str">
        <f>V568</f>
        <v/>
      </c>
      <c r="M568" s="729"/>
      <c r="N568" s="729"/>
      <c r="P568" s="194">
        <f>IF(AND(EXACT(C568,C566),C566&lt;&gt;0),P566+1,0)</f>
        <v>76</v>
      </c>
      <c r="Q568" s="194" t="str">
        <f>IF(C568&lt;&gt;"",C568&amp;"-"&amp;P568,"")</f>
        <v/>
      </c>
      <c r="R568" s="194" t="str">
        <f t="array" ref="R568">IFERROR(IF(INDEX('Disaggregation Records'!$E$69:$E$152,MATCH(RIGHT(Q568,255),RIGHT('Disaggregation Records'!$D$69:$D$152,255),0))="","",INDEX('Disaggregation Records'!$E$69:$E$152,MATCH(RIGHT(Q568,255),RIGHT('Disaggregation Records'!$D$69:$D$152,255),0))),"")</f>
        <v/>
      </c>
      <c r="S568" s="194" t="str">
        <f t="array" ref="S568">IFERROR(IF(INDEX('Disaggregation Records'!$F$69:$F$152,MATCH(RIGHT(Q568,255),RIGHT('Disaggregation Records'!$D$69:$D$152,255),0))="","",INDEX('Disaggregation Records'!$F$69:$F$152,MATCH(RIGHT(Q568,255),RIGHT('Disaggregation Records'!$D$69:$D$152,255),0))),"")</f>
        <v/>
      </c>
      <c r="T568" s="194" t="str">
        <f t="array" ref="T568">IFERROR(IF(INDEX('Disaggregation Records'!$H$69:$H$152,MATCH(RIGHT(Q568,255),RIGHT('Disaggregation Records'!$D$69:$D$152,255),0))="","",INDEX('Disaggregation Records'!$H$69:$H$152,MATCH(RIGHT(Q568,255),RIGHT('Disaggregation Records'!$D$69:$D$152,255),0))),"")</f>
        <v/>
      </c>
      <c r="U568" s="194">
        <f>U566+1</f>
        <v>1793</v>
      </c>
      <c r="V568" s="194" t="str">
        <f t="array" ref="V568">IFERROR(IF(INDEX('Disaggregation Records'!$I$69:$I$152,MATCH(RIGHT(Q568,255),RIGHT('Disaggregation Records'!$D$69:$D$152,255),0))="","",INDEX('Disaggregation Records'!$I$69:$I$152,MATCH(RIGHT(Q568,255),RIGHT('Disaggregation Records'!$D$69:$D$152,255),0))),"")</f>
        <v/>
      </c>
      <c r="W568" s="194" t="str">
        <f>IFERROR(INDEX('Reference Records'!P$23:P$74,MATCH(LEFT(C568,255),'Reference Records'!J$23:J$74,0)),"")</f>
        <v/>
      </c>
    </row>
    <row r="569" spans="1:23" s="194" customFormat="1" ht="40.4" customHeight="1" x14ac:dyDescent="0.35">
      <c r="A569" s="770"/>
      <c r="B569" s="767"/>
      <c r="C569" s="761"/>
      <c r="D569" s="769"/>
      <c r="E569" s="769"/>
      <c r="F569" s="208"/>
      <c r="G569" s="763"/>
      <c r="H569" s="744"/>
      <c r="I569" s="765"/>
      <c r="J569" s="730"/>
      <c r="K569" s="761"/>
      <c r="L569" s="761"/>
      <c r="M569" s="730"/>
      <c r="N569" s="730"/>
      <c r="V569" s="194" t="str">
        <f t="array" ref="V569">IFERROR(IF(INDEX('Disaggregation Records'!$I$69:$I$152,MATCH(RIGHT(Q569,255),RIGHT('Disaggregation Records'!$D$69:$D$152,255),0))="","",INDEX('Disaggregation Records'!$I$69:$I$152,MATCH(RIGHT(Q569,255),RIGHT('Disaggregation Records'!$D$69:$D$152,255),0))),"")</f>
        <v/>
      </c>
    </row>
    <row r="570" spans="1:23" s="194" customFormat="1" ht="40.4" customHeight="1" x14ac:dyDescent="0.35">
      <c r="A570" s="770" t="str">
        <f ca="1">INDIRECT("'update Helper'!C"&amp;U570)</f>
        <v>a1V3p000006jw9XEAQ</v>
      </c>
      <c r="B570" s="766">
        <v>13</v>
      </c>
      <c r="C570" s="760" t="str">
        <f>IFERROR(VLOOKUP(B570,'Outcome Indicators - Section C '!$A$9:$AF$70,32,FALSE),"")</f>
        <v/>
      </c>
      <c r="D570" s="768" t="str">
        <f>R570</f>
        <v/>
      </c>
      <c r="E570" s="768" t="str">
        <f>S570</f>
        <v/>
      </c>
      <c r="F570" s="413"/>
      <c r="G570" s="762" t="str">
        <f ca="1">IF(OR(INDIRECT("'update Helper'!E"&amp;U570)="",F570&lt;&gt;0,F571&lt;&gt;0),IF(IFERROR((F570/F571),"")="","",(F570/F571)),INDIRECT("'update Helper'!E"&amp;U570)/100)</f>
        <v/>
      </c>
      <c r="H570" s="743"/>
      <c r="I570" s="764"/>
      <c r="J570" s="729"/>
      <c r="K570" s="760" t="str">
        <f>W570</f>
        <v/>
      </c>
      <c r="L570" s="760" t="str">
        <f>V570</f>
        <v/>
      </c>
      <c r="M570" s="729"/>
      <c r="N570" s="729"/>
      <c r="P570" s="194">
        <f>IF(AND(EXACT(C570,C568),C568&lt;&gt;0),P568+1,0)</f>
        <v>77</v>
      </c>
      <c r="Q570" s="194" t="str">
        <f>IF(C570&lt;&gt;"",C570&amp;"-"&amp;P570,"")</f>
        <v/>
      </c>
      <c r="R570" s="194" t="str">
        <f t="array" ref="R570">IFERROR(IF(INDEX('Disaggregation Records'!$E$69:$E$152,MATCH(RIGHT(Q570,255),RIGHT('Disaggregation Records'!$D$69:$D$152,255),0))="","",INDEX('Disaggregation Records'!$E$69:$E$152,MATCH(RIGHT(Q570,255),RIGHT('Disaggregation Records'!$D$69:$D$152,255),0))),"")</f>
        <v/>
      </c>
      <c r="S570" s="194" t="str">
        <f t="array" ref="S570">IFERROR(IF(INDEX('Disaggregation Records'!$F$69:$F$152,MATCH(RIGHT(Q570,255),RIGHT('Disaggregation Records'!$D$69:$D$152,255),0))="","",INDEX('Disaggregation Records'!$F$69:$F$152,MATCH(RIGHT(Q570,255),RIGHT('Disaggregation Records'!$D$69:$D$152,255),0))),"")</f>
        <v/>
      </c>
      <c r="T570" s="194" t="str">
        <f t="array" ref="T570">IFERROR(IF(INDEX('Disaggregation Records'!$H$69:$H$152,MATCH(RIGHT(Q570,255),RIGHT('Disaggregation Records'!$D$69:$D$152,255),0))="","",INDEX('Disaggregation Records'!$H$69:$H$152,MATCH(RIGHT(Q570,255),RIGHT('Disaggregation Records'!$D$69:$D$152,255),0))),"")</f>
        <v/>
      </c>
      <c r="U570" s="194">
        <f>U568+1</f>
        <v>1794</v>
      </c>
      <c r="V570" s="194" t="str">
        <f t="array" ref="V570">IFERROR(IF(INDEX('Disaggregation Records'!$I$69:$I$152,MATCH(RIGHT(Q570,255),RIGHT('Disaggregation Records'!$D$69:$D$152,255),0))="","",INDEX('Disaggregation Records'!$I$69:$I$152,MATCH(RIGHT(Q570,255),RIGHT('Disaggregation Records'!$D$69:$D$152,255),0))),"")</f>
        <v/>
      </c>
      <c r="W570" s="194" t="str">
        <f>IFERROR(INDEX('Reference Records'!P$23:P$74,MATCH(LEFT(C570,255),'Reference Records'!J$23:J$74,0)),"")</f>
        <v/>
      </c>
    </row>
    <row r="571" spans="1:23" s="194" customFormat="1" ht="40.4" customHeight="1" x14ac:dyDescent="0.35">
      <c r="A571" s="770"/>
      <c r="B571" s="767"/>
      <c r="C571" s="761"/>
      <c r="D571" s="769"/>
      <c r="E571" s="769"/>
      <c r="F571" s="208"/>
      <c r="G571" s="763"/>
      <c r="H571" s="744"/>
      <c r="I571" s="765"/>
      <c r="J571" s="730"/>
      <c r="K571" s="761"/>
      <c r="L571" s="761"/>
      <c r="M571" s="730"/>
      <c r="N571" s="730"/>
      <c r="V571" s="194" t="str">
        <f t="array" ref="V571">IFERROR(IF(INDEX('Disaggregation Records'!$I$69:$I$152,MATCH(RIGHT(Q571,255),RIGHT('Disaggregation Records'!$D$69:$D$152,255),0))="","",INDEX('Disaggregation Records'!$I$69:$I$152,MATCH(RIGHT(Q571,255),RIGHT('Disaggregation Records'!$D$69:$D$152,255),0))),"")</f>
        <v/>
      </c>
    </row>
    <row r="572" spans="1:23" s="194" customFormat="1" ht="40.4" customHeight="1" x14ac:dyDescent="0.35">
      <c r="A572" s="770" t="str">
        <f ca="1">INDIRECT("'update Helper'!C"&amp;U572)</f>
        <v>a1V3p000006jw9YEAQ</v>
      </c>
      <c r="B572" s="766">
        <v>13</v>
      </c>
      <c r="C572" s="760" t="str">
        <f>IFERROR(VLOOKUP(B572,'Outcome Indicators - Section C '!$A$9:$AF$70,32,FALSE),"")</f>
        <v/>
      </c>
      <c r="D572" s="768" t="str">
        <f>R572</f>
        <v/>
      </c>
      <c r="E572" s="768" t="str">
        <f>S572</f>
        <v/>
      </c>
      <c r="F572" s="413"/>
      <c r="G572" s="762" t="str">
        <f ca="1">IF(OR(INDIRECT("'update Helper'!E"&amp;U572)="",F572&lt;&gt;0,F573&lt;&gt;0),IF(IFERROR((F572/F573),"")="","",(F572/F573)),INDIRECT("'update Helper'!E"&amp;U572)/100)</f>
        <v/>
      </c>
      <c r="H572" s="743"/>
      <c r="I572" s="764"/>
      <c r="J572" s="729"/>
      <c r="K572" s="760" t="str">
        <f>W572</f>
        <v/>
      </c>
      <c r="L572" s="760" t="str">
        <f>V572</f>
        <v/>
      </c>
      <c r="M572" s="729"/>
      <c r="N572" s="729"/>
      <c r="P572" s="194">
        <f>IF(AND(EXACT(C572,C570),C570&lt;&gt;0),P570+1,0)</f>
        <v>78</v>
      </c>
      <c r="Q572" s="194" t="str">
        <f>IF(C572&lt;&gt;"",C572&amp;"-"&amp;P572,"")</f>
        <v/>
      </c>
      <c r="R572" s="194" t="str">
        <f t="array" ref="R572">IFERROR(IF(INDEX('Disaggregation Records'!$E$69:$E$152,MATCH(RIGHT(Q572,255),RIGHT('Disaggregation Records'!$D$69:$D$152,255),0))="","",INDEX('Disaggregation Records'!$E$69:$E$152,MATCH(RIGHT(Q572,255),RIGHT('Disaggregation Records'!$D$69:$D$152,255),0))),"")</f>
        <v/>
      </c>
      <c r="S572" s="194" t="str">
        <f t="array" ref="S572">IFERROR(IF(INDEX('Disaggregation Records'!$F$69:$F$152,MATCH(RIGHT(Q572,255),RIGHT('Disaggregation Records'!$D$69:$D$152,255),0))="","",INDEX('Disaggregation Records'!$F$69:$F$152,MATCH(RIGHT(Q572,255),RIGHT('Disaggregation Records'!$D$69:$D$152,255),0))),"")</f>
        <v/>
      </c>
      <c r="T572" s="194" t="str">
        <f t="array" ref="T572">IFERROR(IF(INDEX('Disaggregation Records'!$H$69:$H$152,MATCH(RIGHT(Q572,255),RIGHT('Disaggregation Records'!$D$69:$D$152,255),0))="","",INDEX('Disaggregation Records'!$H$69:$H$152,MATCH(RIGHT(Q572,255),RIGHT('Disaggregation Records'!$D$69:$D$152,255),0))),"")</f>
        <v/>
      </c>
      <c r="U572" s="194">
        <f>U570+1</f>
        <v>1795</v>
      </c>
      <c r="V572" s="194" t="str">
        <f t="array" ref="V572">IFERROR(IF(INDEX('Disaggregation Records'!$I$69:$I$152,MATCH(RIGHT(Q572,255),RIGHT('Disaggregation Records'!$D$69:$D$152,255),0))="","",INDEX('Disaggregation Records'!$I$69:$I$152,MATCH(RIGHT(Q572,255),RIGHT('Disaggregation Records'!$D$69:$D$152,255),0))),"")</f>
        <v/>
      </c>
      <c r="W572" s="194" t="str">
        <f>IFERROR(INDEX('Reference Records'!P$23:P$74,MATCH(LEFT(C572,255),'Reference Records'!J$23:J$74,0)),"")</f>
        <v/>
      </c>
    </row>
    <row r="573" spans="1:23" s="194" customFormat="1" ht="40.4" customHeight="1" x14ac:dyDescent="0.35">
      <c r="A573" s="770"/>
      <c r="B573" s="767"/>
      <c r="C573" s="761"/>
      <c r="D573" s="769"/>
      <c r="E573" s="769"/>
      <c r="F573" s="208"/>
      <c r="G573" s="763"/>
      <c r="H573" s="744"/>
      <c r="I573" s="765"/>
      <c r="J573" s="730"/>
      <c r="K573" s="761"/>
      <c r="L573" s="761"/>
      <c r="M573" s="730"/>
      <c r="N573" s="730"/>
      <c r="V573" s="194" t="str">
        <f t="array" ref="V573">IFERROR(IF(INDEX('Disaggregation Records'!$I$69:$I$152,MATCH(RIGHT(Q573,255),RIGHT('Disaggregation Records'!$D$69:$D$152,255),0))="","",INDEX('Disaggregation Records'!$I$69:$I$152,MATCH(RIGHT(Q573,255),RIGHT('Disaggregation Records'!$D$69:$D$152,255),0))),"")</f>
        <v/>
      </c>
    </row>
    <row r="574" spans="1:23" s="194" customFormat="1" ht="40.4" customHeight="1" x14ac:dyDescent="0.35">
      <c r="A574" s="770" t="str">
        <f ca="1">INDIRECT("'update Helper'!C"&amp;U574)</f>
        <v>a1V3p000006jw9ZEAQ</v>
      </c>
      <c r="B574" s="766">
        <v>13</v>
      </c>
      <c r="C574" s="760" t="str">
        <f>IFERROR(VLOOKUP(B574,'Outcome Indicators - Section C '!$A$9:$AF$70,32,FALSE),"")</f>
        <v/>
      </c>
      <c r="D574" s="768" t="str">
        <f>R574</f>
        <v/>
      </c>
      <c r="E574" s="768" t="str">
        <f>S574</f>
        <v/>
      </c>
      <c r="F574" s="413"/>
      <c r="G574" s="762" t="str">
        <f ca="1">IF(OR(INDIRECT("'update Helper'!E"&amp;U574)="",F574&lt;&gt;0,F575&lt;&gt;0),IF(IFERROR((F574/F575),"")="","",(F574/F575)),INDIRECT("'update Helper'!E"&amp;U574)/100)</f>
        <v/>
      </c>
      <c r="H574" s="743"/>
      <c r="I574" s="764"/>
      <c r="J574" s="729"/>
      <c r="K574" s="760" t="str">
        <f>W574</f>
        <v/>
      </c>
      <c r="L574" s="760" t="str">
        <f>V574</f>
        <v/>
      </c>
      <c r="M574" s="729"/>
      <c r="N574" s="729"/>
      <c r="P574" s="194">
        <f>IF(AND(EXACT(C574,C572),C572&lt;&gt;0),P572+1,0)</f>
        <v>79</v>
      </c>
      <c r="Q574" s="194" t="str">
        <f>IF(C574&lt;&gt;"",C574&amp;"-"&amp;P574,"")</f>
        <v/>
      </c>
      <c r="R574" s="194" t="str">
        <f t="array" ref="R574">IFERROR(IF(INDEX('Disaggregation Records'!$E$69:$E$152,MATCH(RIGHT(Q574,255),RIGHT('Disaggregation Records'!$D$69:$D$152,255),0))="","",INDEX('Disaggregation Records'!$E$69:$E$152,MATCH(RIGHT(Q574,255),RIGHT('Disaggregation Records'!$D$69:$D$152,255),0))),"")</f>
        <v/>
      </c>
      <c r="S574" s="194" t="str">
        <f t="array" ref="S574">IFERROR(IF(INDEX('Disaggregation Records'!$F$69:$F$152,MATCH(RIGHT(Q574,255),RIGHT('Disaggregation Records'!$D$69:$D$152,255),0))="","",INDEX('Disaggregation Records'!$F$69:$F$152,MATCH(RIGHT(Q574,255),RIGHT('Disaggregation Records'!$D$69:$D$152,255),0))),"")</f>
        <v/>
      </c>
      <c r="T574" s="194" t="str">
        <f t="array" ref="T574">IFERROR(IF(INDEX('Disaggregation Records'!$H$69:$H$152,MATCH(RIGHT(Q574,255),RIGHT('Disaggregation Records'!$D$69:$D$152,255),0))="","",INDEX('Disaggregation Records'!$H$69:$H$152,MATCH(RIGHT(Q574,255),RIGHT('Disaggregation Records'!$D$69:$D$152,255),0))),"")</f>
        <v/>
      </c>
      <c r="U574" s="194">
        <f>U572+1</f>
        <v>1796</v>
      </c>
      <c r="V574" s="194" t="str">
        <f t="array" ref="V574">IFERROR(IF(INDEX('Disaggregation Records'!$I$69:$I$152,MATCH(RIGHT(Q574,255),RIGHT('Disaggregation Records'!$D$69:$D$152,255),0))="","",INDEX('Disaggregation Records'!$I$69:$I$152,MATCH(RIGHT(Q574,255),RIGHT('Disaggregation Records'!$D$69:$D$152,255),0))),"")</f>
        <v/>
      </c>
      <c r="W574" s="194" t="str">
        <f>IFERROR(INDEX('Reference Records'!P$23:P$74,MATCH(LEFT(C574,255),'Reference Records'!J$23:J$74,0)),"")</f>
        <v/>
      </c>
    </row>
    <row r="575" spans="1:23" s="194" customFormat="1" ht="40.4" customHeight="1" x14ac:dyDescent="0.35">
      <c r="A575" s="770"/>
      <c r="B575" s="767"/>
      <c r="C575" s="761"/>
      <c r="D575" s="769"/>
      <c r="E575" s="769"/>
      <c r="F575" s="208"/>
      <c r="G575" s="763"/>
      <c r="H575" s="744"/>
      <c r="I575" s="765"/>
      <c r="J575" s="730"/>
      <c r="K575" s="761"/>
      <c r="L575" s="761"/>
      <c r="M575" s="730"/>
      <c r="N575" s="730"/>
      <c r="V575" s="194" t="str">
        <f t="array" ref="V575">IFERROR(IF(INDEX('Disaggregation Records'!$I$69:$I$152,MATCH(RIGHT(Q575,255),RIGHT('Disaggregation Records'!$D$69:$D$152,255),0))="","",INDEX('Disaggregation Records'!$I$69:$I$152,MATCH(RIGHT(Q575,255),RIGHT('Disaggregation Records'!$D$69:$D$152,255),0))),"")</f>
        <v/>
      </c>
    </row>
    <row r="576" spans="1:23" s="194" customFormat="1" ht="40.4" customHeight="1" x14ac:dyDescent="0.35">
      <c r="A576" s="770" t="str">
        <f ca="1">INDIRECT("'update Helper'!C"&amp;U576)</f>
        <v>a1V3p000006jwBqEAI</v>
      </c>
      <c r="B576" s="766">
        <v>14</v>
      </c>
      <c r="C576" s="760" t="str">
        <f>IFERROR(VLOOKUP(B576,'Outcome Indicators - Section C '!$A$9:$AF$70,32,FALSE),"")</f>
        <v/>
      </c>
      <c r="D576" s="768" t="str">
        <f>R576</f>
        <v/>
      </c>
      <c r="E576" s="768" t="str">
        <f>S576</f>
        <v/>
      </c>
      <c r="F576" s="413"/>
      <c r="G576" s="762" t="str">
        <f ca="1">IF(OR(INDIRECT("'update Helper'!E"&amp;U576)="",F576&lt;&gt;0,F577&lt;&gt;0),IF(IFERROR((F576/F577),"")="","",(F576/F577)),INDIRECT("'update Helper'!E"&amp;U576)/100)</f>
        <v/>
      </c>
      <c r="H576" s="743"/>
      <c r="I576" s="764"/>
      <c r="J576" s="729"/>
      <c r="K576" s="760" t="str">
        <f>W576</f>
        <v/>
      </c>
      <c r="L576" s="760" t="str">
        <f>V576</f>
        <v/>
      </c>
      <c r="M576" s="729"/>
      <c r="N576" s="729"/>
      <c r="P576" s="194">
        <f>IF(AND(EXACT(C576,C574),C574&lt;&gt;0),P574+1,0)</f>
        <v>80</v>
      </c>
      <c r="Q576" s="194" t="str">
        <f>IF(C576&lt;&gt;"",C576&amp;"-"&amp;P576,"")</f>
        <v/>
      </c>
      <c r="R576" s="194" t="str">
        <f t="array" ref="R576">IFERROR(IF(INDEX('Disaggregation Records'!$E$69:$E$152,MATCH(RIGHT(Q576,255),RIGHT('Disaggregation Records'!$D$69:$D$152,255),0))="","",INDEX('Disaggregation Records'!$E$69:$E$152,MATCH(RIGHT(Q576,255),RIGHT('Disaggregation Records'!$D$69:$D$152,255),0))),"")</f>
        <v/>
      </c>
      <c r="S576" s="194" t="str">
        <f t="array" ref="S576">IFERROR(IF(INDEX('Disaggregation Records'!$F$69:$F$152,MATCH(RIGHT(Q576,255),RIGHT('Disaggregation Records'!$D$69:$D$152,255),0))="","",INDEX('Disaggregation Records'!$F$69:$F$152,MATCH(RIGHT(Q576,255),RIGHT('Disaggregation Records'!$D$69:$D$152,255),0))),"")</f>
        <v/>
      </c>
      <c r="T576" s="194" t="str">
        <f t="array" ref="T576">IFERROR(IF(INDEX('Disaggregation Records'!$H$69:$H$152,MATCH(RIGHT(Q576,255),RIGHT('Disaggregation Records'!$D$69:$D$152,255),0))="","",INDEX('Disaggregation Records'!$H$69:$H$152,MATCH(RIGHT(Q576,255),RIGHT('Disaggregation Records'!$D$69:$D$152,255),0))),"")</f>
        <v/>
      </c>
      <c r="U576" s="194">
        <f>U574+1</f>
        <v>1797</v>
      </c>
      <c r="V576" s="194" t="str">
        <f t="array" ref="V576">IFERROR(IF(INDEX('Disaggregation Records'!$I$69:$I$152,MATCH(RIGHT(Q576,255),RIGHT('Disaggregation Records'!$D$69:$D$152,255),0))="","",INDEX('Disaggregation Records'!$I$69:$I$152,MATCH(RIGHT(Q576,255),RIGHT('Disaggregation Records'!$D$69:$D$152,255),0))),"")</f>
        <v/>
      </c>
      <c r="W576" s="194" t="str">
        <f>IFERROR(INDEX('Reference Records'!P$23:P$74,MATCH(LEFT(C576,255),'Reference Records'!J$23:J$74,0)),"")</f>
        <v/>
      </c>
    </row>
    <row r="577" spans="1:23" s="194" customFormat="1" ht="40.4" customHeight="1" x14ac:dyDescent="0.35">
      <c r="A577" s="770"/>
      <c r="B577" s="767"/>
      <c r="C577" s="761"/>
      <c r="D577" s="769"/>
      <c r="E577" s="769"/>
      <c r="F577" s="208"/>
      <c r="G577" s="763"/>
      <c r="H577" s="744"/>
      <c r="I577" s="765"/>
      <c r="J577" s="730"/>
      <c r="K577" s="761"/>
      <c r="L577" s="761"/>
      <c r="M577" s="730"/>
      <c r="N577" s="730"/>
      <c r="V577" s="194" t="str">
        <f t="array" ref="V577">IFERROR(IF(INDEX('Disaggregation Records'!$I$69:$I$152,MATCH(RIGHT(Q577,255),RIGHT('Disaggregation Records'!$D$69:$D$152,255),0))="","",INDEX('Disaggregation Records'!$I$69:$I$152,MATCH(RIGHT(Q577,255),RIGHT('Disaggregation Records'!$D$69:$D$152,255),0))),"")</f>
        <v/>
      </c>
    </row>
    <row r="578" spans="1:23" s="194" customFormat="1" ht="40.4" customHeight="1" x14ac:dyDescent="0.35">
      <c r="A578" s="770" t="str">
        <f ca="1">INDIRECT("'update Helper'!C"&amp;U578)</f>
        <v>a1V3p000006jwBrEAI</v>
      </c>
      <c r="B578" s="766">
        <v>14</v>
      </c>
      <c r="C578" s="760" t="str">
        <f>IFERROR(VLOOKUP(B578,'Outcome Indicators - Section C '!$A$9:$AF$70,32,FALSE),"")</f>
        <v/>
      </c>
      <c r="D578" s="768" t="str">
        <f>R578</f>
        <v/>
      </c>
      <c r="E578" s="768" t="str">
        <f>S578</f>
        <v/>
      </c>
      <c r="F578" s="413"/>
      <c r="G578" s="762" t="str">
        <f ca="1">IF(OR(INDIRECT("'update Helper'!E"&amp;U578)="",F578&lt;&gt;0,F579&lt;&gt;0),IF(IFERROR((F578/F579),"")="","",(F578/F579)),INDIRECT("'update Helper'!E"&amp;U578)/100)</f>
        <v/>
      </c>
      <c r="H578" s="743"/>
      <c r="I578" s="764"/>
      <c r="J578" s="729"/>
      <c r="K578" s="760" t="str">
        <f>W578</f>
        <v/>
      </c>
      <c r="L578" s="760" t="str">
        <f>V578</f>
        <v/>
      </c>
      <c r="M578" s="729"/>
      <c r="N578" s="729"/>
      <c r="P578" s="194">
        <f>IF(AND(EXACT(C578,C576),C576&lt;&gt;0),P576+1,0)</f>
        <v>81</v>
      </c>
      <c r="Q578" s="194" t="str">
        <f>IF(C578&lt;&gt;"",C578&amp;"-"&amp;P578,"")</f>
        <v/>
      </c>
      <c r="R578" s="194" t="str">
        <f t="array" ref="R578">IFERROR(IF(INDEX('Disaggregation Records'!$E$69:$E$152,MATCH(RIGHT(Q578,255),RIGHT('Disaggregation Records'!$D$69:$D$152,255),0))="","",INDEX('Disaggregation Records'!$E$69:$E$152,MATCH(RIGHT(Q578,255),RIGHT('Disaggregation Records'!$D$69:$D$152,255),0))),"")</f>
        <v/>
      </c>
      <c r="S578" s="194" t="str">
        <f t="array" ref="S578">IFERROR(IF(INDEX('Disaggregation Records'!$F$69:$F$152,MATCH(RIGHT(Q578,255),RIGHT('Disaggregation Records'!$D$69:$D$152,255),0))="","",INDEX('Disaggregation Records'!$F$69:$F$152,MATCH(RIGHT(Q578,255),RIGHT('Disaggregation Records'!$D$69:$D$152,255),0))),"")</f>
        <v/>
      </c>
      <c r="T578" s="194" t="str">
        <f t="array" ref="T578">IFERROR(IF(INDEX('Disaggregation Records'!$H$69:$H$152,MATCH(RIGHT(Q578,255),RIGHT('Disaggregation Records'!$D$69:$D$152,255),0))="","",INDEX('Disaggregation Records'!$H$69:$H$152,MATCH(RIGHT(Q578,255),RIGHT('Disaggregation Records'!$D$69:$D$152,255),0))),"")</f>
        <v/>
      </c>
      <c r="U578" s="194">
        <f>U576+1</f>
        <v>1798</v>
      </c>
      <c r="V578" s="194" t="str">
        <f t="array" ref="V578">IFERROR(IF(INDEX('Disaggregation Records'!$I$69:$I$152,MATCH(RIGHT(Q578,255),RIGHT('Disaggregation Records'!$D$69:$D$152,255),0))="","",INDEX('Disaggregation Records'!$I$69:$I$152,MATCH(RIGHT(Q578,255),RIGHT('Disaggregation Records'!$D$69:$D$152,255),0))),"")</f>
        <v/>
      </c>
      <c r="W578" s="194" t="str">
        <f>IFERROR(INDEX('Reference Records'!P$23:P$74,MATCH(LEFT(C578,255),'Reference Records'!J$23:J$74,0)),"")</f>
        <v/>
      </c>
    </row>
    <row r="579" spans="1:23" s="194" customFormat="1" ht="40.4" customHeight="1" x14ac:dyDescent="0.35">
      <c r="A579" s="770"/>
      <c r="B579" s="767"/>
      <c r="C579" s="761"/>
      <c r="D579" s="769"/>
      <c r="E579" s="769"/>
      <c r="F579" s="208"/>
      <c r="G579" s="763"/>
      <c r="H579" s="744"/>
      <c r="I579" s="765"/>
      <c r="J579" s="730"/>
      <c r="K579" s="761"/>
      <c r="L579" s="761"/>
      <c r="M579" s="730"/>
      <c r="N579" s="730"/>
      <c r="V579" s="194" t="str">
        <f t="array" ref="V579">IFERROR(IF(INDEX('Disaggregation Records'!$I$69:$I$152,MATCH(RIGHT(Q579,255),RIGHT('Disaggregation Records'!$D$69:$D$152,255),0))="","",INDEX('Disaggregation Records'!$I$69:$I$152,MATCH(RIGHT(Q579,255),RIGHT('Disaggregation Records'!$D$69:$D$152,255),0))),"")</f>
        <v/>
      </c>
    </row>
    <row r="580" spans="1:23" s="194" customFormat="1" ht="40.4" customHeight="1" x14ac:dyDescent="0.35">
      <c r="A580" s="770" t="str">
        <f ca="1">INDIRECT("'update Helper'!C"&amp;U580)</f>
        <v>a1V3p000006jwBsEAI</v>
      </c>
      <c r="B580" s="766">
        <v>14</v>
      </c>
      <c r="C580" s="760" t="str">
        <f>IFERROR(VLOOKUP(B580,'Outcome Indicators - Section C '!$A$9:$AF$70,32,FALSE),"")</f>
        <v/>
      </c>
      <c r="D580" s="768" t="str">
        <f>R580</f>
        <v/>
      </c>
      <c r="E580" s="768" t="str">
        <f>S580</f>
        <v/>
      </c>
      <c r="F580" s="413"/>
      <c r="G580" s="762" t="str">
        <f ca="1">IF(OR(INDIRECT("'update Helper'!E"&amp;U580)="",F580&lt;&gt;0,F581&lt;&gt;0),IF(IFERROR((F580/F581),"")="","",(F580/F581)),INDIRECT("'update Helper'!E"&amp;U580)/100)</f>
        <v/>
      </c>
      <c r="H580" s="743"/>
      <c r="I580" s="764"/>
      <c r="J580" s="729"/>
      <c r="K580" s="760" t="str">
        <f>W580</f>
        <v/>
      </c>
      <c r="L580" s="760" t="str">
        <f>V580</f>
        <v/>
      </c>
      <c r="M580" s="729"/>
      <c r="N580" s="729"/>
      <c r="P580" s="194">
        <f>IF(AND(EXACT(C580,C578),C578&lt;&gt;0),P578+1,0)</f>
        <v>82</v>
      </c>
      <c r="Q580" s="194" t="str">
        <f>IF(C580&lt;&gt;"",C580&amp;"-"&amp;P580,"")</f>
        <v/>
      </c>
      <c r="R580" s="194" t="str">
        <f t="array" ref="R580">IFERROR(IF(INDEX('Disaggregation Records'!$E$69:$E$152,MATCH(RIGHT(Q580,255),RIGHT('Disaggregation Records'!$D$69:$D$152,255),0))="","",INDEX('Disaggregation Records'!$E$69:$E$152,MATCH(RIGHT(Q580,255),RIGHT('Disaggregation Records'!$D$69:$D$152,255),0))),"")</f>
        <v/>
      </c>
      <c r="S580" s="194" t="str">
        <f t="array" ref="S580">IFERROR(IF(INDEX('Disaggregation Records'!$F$69:$F$152,MATCH(RIGHT(Q580,255),RIGHT('Disaggregation Records'!$D$69:$D$152,255),0))="","",INDEX('Disaggregation Records'!$F$69:$F$152,MATCH(RIGHT(Q580,255),RIGHT('Disaggregation Records'!$D$69:$D$152,255),0))),"")</f>
        <v/>
      </c>
      <c r="T580" s="194" t="str">
        <f t="array" ref="T580">IFERROR(IF(INDEX('Disaggregation Records'!$H$69:$H$152,MATCH(RIGHT(Q580,255),RIGHT('Disaggregation Records'!$D$69:$D$152,255),0))="","",INDEX('Disaggregation Records'!$H$69:$H$152,MATCH(RIGHT(Q580,255),RIGHT('Disaggregation Records'!$D$69:$D$152,255),0))),"")</f>
        <v/>
      </c>
      <c r="U580" s="194">
        <f>U578+1</f>
        <v>1799</v>
      </c>
      <c r="V580" s="194" t="str">
        <f t="array" ref="V580">IFERROR(IF(INDEX('Disaggregation Records'!$I$69:$I$152,MATCH(RIGHT(Q580,255),RIGHT('Disaggregation Records'!$D$69:$D$152,255),0))="","",INDEX('Disaggregation Records'!$I$69:$I$152,MATCH(RIGHT(Q580,255),RIGHT('Disaggregation Records'!$D$69:$D$152,255),0))),"")</f>
        <v/>
      </c>
      <c r="W580" s="194" t="str">
        <f>IFERROR(INDEX('Reference Records'!P$23:P$74,MATCH(LEFT(C580,255),'Reference Records'!J$23:J$74,0)),"")</f>
        <v/>
      </c>
    </row>
    <row r="581" spans="1:23" s="194" customFormat="1" ht="40.4" customHeight="1" x14ac:dyDescent="0.35">
      <c r="A581" s="770"/>
      <c r="B581" s="767"/>
      <c r="C581" s="761"/>
      <c r="D581" s="769"/>
      <c r="E581" s="769"/>
      <c r="F581" s="208"/>
      <c r="G581" s="763"/>
      <c r="H581" s="744"/>
      <c r="I581" s="765"/>
      <c r="J581" s="730"/>
      <c r="K581" s="761"/>
      <c r="L581" s="761"/>
      <c r="M581" s="730"/>
      <c r="N581" s="730"/>
      <c r="V581" s="194" t="str">
        <f t="array" ref="V581">IFERROR(IF(INDEX('Disaggregation Records'!$I$69:$I$152,MATCH(RIGHT(Q581,255),RIGHT('Disaggregation Records'!$D$69:$D$152,255),0))="","",INDEX('Disaggregation Records'!$I$69:$I$152,MATCH(RIGHT(Q581,255),RIGHT('Disaggregation Records'!$D$69:$D$152,255),0))),"")</f>
        <v/>
      </c>
    </row>
    <row r="582" spans="1:23" s="194" customFormat="1" ht="40.4" customHeight="1" x14ac:dyDescent="0.35">
      <c r="A582" s="770" t="str">
        <f ca="1">INDIRECT("'update Helper'!C"&amp;U582)</f>
        <v>a1V3p000006jwBtEAI</v>
      </c>
      <c r="B582" s="766">
        <v>14</v>
      </c>
      <c r="C582" s="760" t="str">
        <f>IFERROR(VLOOKUP(B582,'Outcome Indicators - Section C '!$A$9:$AF$70,32,FALSE),"")</f>
        <v/>
      </c>
      <c r="D582" s="768" t="str">
        <f>R582</f>
        <v/>
      </c>
      <c r="E582" s="768" t="str">
        <f>S582</f>
        <v/>
      </c>
      <c r="F582" s="413"/>
      <c r="G582" s="762" t="str">
        <f ca="1">IF(OR(INDIRECT("'update Helper'!E"&amp;U582)="",F582&lt;&gt;0,F583&lt;&gt;0),IF(IFERROR((F582/F583),"")="","",(F582/F583)),INDIRECT("'update Helper'!E"&amp;U582)/100)</f>
        <v/>
      </c>
      <c r="H582" s="743"/>
      <c r="I582" s="764"/>
      <c r="J582" s="729"/>
      <c r="K582" s="760" t="str">
        <f>W582</f>
        <v/>
      </c>
      <c r="L582" s="760" t="str">
        <f>V582</f>
        <v/>
      </c>
      <c r="M582" s="729"/>
      <c r="N582" s="729"/>
      <c r="P582" s="194">
        <f>IF(AND(EXACT(C582,C580),C580&lt;&gt;0),P580+1,0)</f>
        <v>83</v>
      </c>
      <c r="Q582" s="194" t="str">
        <f>IF(C582&lt;&gt;"",C582&amp;"-"&amp;P582,"")</f>
        <v/>
      </c>
      <c r="R582" s="194" t="str">
        <f t="array" ref="R582">IFERROR(IF(INDEX('Disaggregation Records'!$E$69:$E$152,MATCH(RIGHT(Q582,255),RIGHT('Disaggregation Records'!$D$69:$D$152,255),0))="","",INDEX('Disaggregation Records'!$E$69:$E$152,MATCH(RIGHT(Q582,255),RIGHT('Disaggregation Records'!$D$69:$D$152,255),0))),"")</f>
        <v/>
      </c>
      <c r="S582" s="194" t="str">
        <f t="array" ref="S582">IFERROR(IF(INDEX('Disaggregation Records'!$F$69:$F$152,MATCH(RIGHT(Q582,255),RIGHT('Disaggregation Records'!$D$69:$D$152,255),0))="","",INDEX('Disaggregation Records'!$F$69:$F$152,MATCH(RIGHT(Q582,255),RIGHT('Disaggregation Records'!$D$69:$D$152,255),0))),"")</f>
        <v/>
      </c>
      <c r="T582" s="194" t="str">
        <f t="array" ref="T582">IFERROR(IF(INDEX('Disaggregation Records'!$H$69:$H$152,MATCH(RIGHT(Q582,255),RIGHT('Disaggregation Records'!$D$69:$D$152,255),0))="","",INDEX('Disaggregation Records'!$H$69:$H$152,MATCH(RIGHT(Q582,255),RIGHT('Disaggregation Records'!$D$69:$D$152,255),0))),"")</f>
        <v/>
      </c>
      <c r="U582" s="194">
        <f>U580+1</f>
        <v>1800</v>
      </c>
      <c r="V582" s="194" t="str">
        <f t="array" ref="V582">IFERROR(IF(INDEX('Disaggregation Records'!$I$69:$I$152,MATCH(RIGHT(Q582,255),RIGHT('Disaggregation Records'!$D$69:$D$152,255),0))="","",INDEX('Disaggregation Records'!$I$69:$I$152,MATCH(RIGHT(Q582,255),RIGHT('Disaggregation Records'!$D$69:$D$152,255),0))),"")</f>
        <v/>
      </c>
      <c r="W582" s="194" t="str">
        <f>IFERROR(INDEX('Reference Records'!P$23:P$74,MATCH(LEFT(C582,255),'Reference Records'!J$23:J$74,0)),"")</f>
        <v/>
      </c>
    </row>
    <row r="583" spans="1:23" s="194" customFormat="1" ht="40.4" customHeight="1" x14ac:dyDescent="0.35">
      <c r="A583" s="770"/>
      <c r="B583" s="767"/>
      <c r="C583" s="761"/>
      <c r="D583" s="769"/>
      <c r="E583" s="769"/>
      <c r="F583" s="208"/>
      <c r="G583" s="763"/>
      <c r="H583" s="744"/>
      <c r="I583" s="765"/>
      <c r="J583" s="730"/>
      <c r="K583" s="761"/>
      <c r="L583" s="761"/>
      <c r="M583" s="730"/>
      <c r="N583" s="730"/>
      <c r="V583" s="194" t="str">
        <f t="array" ref="V583">IFERROR(IF(INDEX('Disaggregation Records'!$I$69:$I$152,MATCH(RIGHT(Q583,255),RIGHT('Disaggregation Records'!$D$69:$D$152,255),0))="","",INDEX('Disaggregation Records'!$I$69:$I$152,MATCH(RIGHT(Q583,255),RIGHT('Disaggregation Records'!$D$69:$D$152,255),0))),"")</f>
        <v/>
      </c>
    </row>
    <row r="584" spans="1:23" s="194" customFormat="1" ht="40.4" customHeight="1" x14ac:dyDescent="0.35">
      <c r="A584" s="770" t="str">
        <f ca="1">INDIRECT("'update Helper'!C"&amp;U584)</f>
        <v>a1V3p000006jwBuEAI</v>
      </c>
      <c r="B584" s="766">
        <v>14</v>
      </c>
      <c r="C584" s="760" t="str">
        <f>IFERROR(VLOOKUP(B584,'Outcome Indicators - Section C '!$A$9:$AF$70,32,FALSE),"")</f>
        <v/>
      </c>
      <c r="D584" s="768" t="str">
        <f>R584</f>
        <v/>
      </c>
      <c r="E584" s="768" t="str">
        <f>S584</f>
        <v/>
      </c>
      <c r="F584" s="413"/>
      <c r="G584" s="762" t="str">
        <f ca="1">IF(OR(INDIRECT("'update Helper'!E"&amp;U584)="",F584&lt;&gt;0,F585&lt;&gt;0),IF(IFERROR((F584/F585),"")="","",(F584/F585)),INDIRECT("'update Helper'!E"&amp;U584)/100)</f>
        <v/>
      </c>
      <c r="H584" s="743"/>
      <c r="I584" s="764"/>
      <c r="J584" s="729"/>
      <c r="K584" s="760" t="str">
        <f>W584</f>
        <v/>
      </c>
      <c r="L584" s="760" t="str">
        <f>V584</f>
        <v/>
      </c>
      <c r="M584" s="729"/>
      <c r="N584" s="729"/>
      <c r="P584" s="194">
        <f>IF(AND(EXACT(C584,C582),C582&lt;&gt;0),P582+1,0)</f>
        <v>84</v>
      </c>
      <c r="Q584" s="194" t="str">
        <f>IF(C584&lt;&gt;"",C584&amp;"-"&amp;P584,"")</f>
        <v/>
      </c>
      <c r="R584" s="194" t="str">
        <f t="array" ref="R584">IFERROR(IF(INDEX('Disaggregation Records'!$E$69:$E$152,MATCH(RIGHT(Q584,255),RIGHT('Disaggregation Records'!$D$69:$D$152,255),0))="","",INDEX('Disaggregation Records'!$E$69:$E$152,MATCH(RIGHT(Q584,255),RIGHT('Disaggregation Records'!$D$69:$D$152,255),0))),"")</f>
        <v/>
      </c>
      <c r="S584" s="194" t="str">
        <f t="array" ref="S584">IFERROR(IF(INDEX('Disaggregation Records'!$F$69:$F$152,MATCH(RIGHT(Q584,255),RIGHT('Disaggregation Records'!$D$69:$D$152,255),0))="","",INDEX('Disaggregation Records'!$F$69:$F$152,MATCH(RIGHT(Q584,255),RIGHT('Disaggregation Records'!$D$69:$D$152,255),0))),"")</f>
        <v/>
      </c>
      <c r="T584" s="194" t="str">
        <f t="array" ref="T584">IFERROR(IF(INDEX('Disaggregation Records'!$H$69:$H$152,MATCH(RIGHT(Q584,255),RIGHT('Disaggregation Records'!$D$69:$D$152,255),0))="","",INDEX('Disaggregation Records'!$H$69:$H$152,MATCH(RIGHT(Q584,255),RIGHT('Disaggregation Records'!$D$69:$D$152,255),0))),"")</f>
        <v/>
      </c>
      <c r="U584" s="194">
        <f>U582+1</f>
        <v>1801</v>
      </c>
      <c r="V584" s="194" t="str">
        <f t="array" ref="V584">IFERROR(IF(INDEX('Disaggregation Records'!$I$69:$I$152,MATCH(RIGHT(Q584,255),RIGHT('Disaggregation Records'!$D$69:$D$152,255),0))="","",INDEX('Disaggregation Records'!$I$69:$I$152,MATCH(RIGHT(Q584,255),RIGHT('Disaggregation Records'!$D$69:$D$152,255),0))),"")</f>
        <v/>
      </c>
      <c r="W584" s="194" t="str">
        <f>IFERROR(INDEX('Reference Records'!P$23:P$74,MATCH(LEFT(C584,255),'Reference Records'!J$23:J$74,0)),"")</f>
        <v/>
      </c>
    </row>
    <row r="585" spans="1:23" s="194" customFormat="1" ht="40.4" customHeight="1" x14ac:dyDescent="0.35">
      <c r="A585" s="770"/>
      <c r="B585" s="767"/>
      <c r="C585" s="761"/>
      <c r="D585" s="769"/>
      <c r="E585" s="769"/>
      <c r="F585" s="208"/>
      <c r="G585" s="763"/>
      <c r="H585" s="744"/>
      <c r="I585" s="765"/>
      <c r="J585" s="730"/>
      <c r="K585" s="761"/>
      <c r="L585" s="761"/>
      <c r="M585" s="730"/>
      <c r="N585" s="730"/>
      <c r="V585" s="194" t="str">
        <f t="array" ref="V585">IFERROR(IF(INDEX('Disaggregation Records'!$I$69:$I$152,MATCH(RIGHT(Q585,255),RIGHT('Disaggregation Records'!$D$69:$D$152,255),0))="","",INDEX('Disaggregation Records'!$I$69:$I$152,MATCH(RIGHT(Q585,255),RIGHT('Disaggregation Records'!$D$69:$D$152,255),0))),"")</f>
        <v/>
      </c>
    </row>
    <row r="586" spans="1:23" s="194" customFormat="1" ht="40.4" customHeight="1" x14ac:dyDescent="0.35">
      <c r="A586" s="770" t="str">
        <f ca="1">INDIRECT("'update Helper'!C"&amp;U586)</f>
        <v>a1V3p000006jwBvEAI</v>
      </c>
      <c r="B586" s="766">
        <v>14</v>
      </c>
      <c r="C586" s="760" t="str">
        <f>IFERROR(VLOOKUP(B586,'Outcome Indicators - Section C '!$A$9:$AF$70,32,FALSE),"")</f>
        <v/>
      </c>
      <c r="D586" s="768" t="str">
        <f>R586</f>
        <v/>
      </c>
      <c r="E586" s="768" t="str">
        <f>S586</f>
        <v/>
      </c>
      <c r="F586" s="413"/>
      <c r="G586" s="762" t="str">
        <f ca="1">IF(OR(INDIRECT("'update Helper'!E"&amp;U586)="",F586&lt;&gt;0,F587&lt;&gt;0),IF(IFERROR((F586/F587),"")="","",(F586/F587)),INDIRECT("'update Helper'!E"&amp;U586)/100)</f>
        <v/>
      </c>
      <c r="H586" s="743"/>
      <c r="I586" s="764"/>
      <c r="J586" s="729"/>
      <c r="K586" s="760" t="str">
        <f>W586</f>
        <v/>
      </c>
      <c r="L586" s="760" t="str">
        <f>V586</f>
        <v/>
      </c>
      <c r="M586" s="729"/>
      <c r="N586" s="729"/>
      <c r="P586" s="194">
        <f>IF(AND(EXACT(C586,C584),C584&lt;&gt;0),P584+1,0)</f>
        <v>85</v>
      </c>
      <c r="Q586" s="194" t="str">
        <f>IF(C586&lt;&gt;"",C586&amp;"-"&amp;P586,"")</f>
        <v/>
      </c>
      <c r="R586" s="194" t="str">
        <f t="array" ref="R586">IFERROR(IF(INDEX('Disaggregation Records'!$E$69:$E$152,MATCH(RIGHT(Q586,255),RIGHT('Disaggregation Records'!$D$69:$D$152,255),0))="","",INDEX('Disaggregation Records'!$E$69:$E$152,MATCH(RIGHT(Q586,255),RIGHT('Disaggregation Records'!$D$69:$D$152,255),0))),"")</f>
        <v/>
      </c>
      <c r="S586" s="194" t="str">
        <f t="array" ref="S586">IFERROR(IF(INDEX('Disaggregation Records'!$F$69:$F$152,MATCH(RIGHT(Q586,255),RIGHT('Disaggregation Records'!$D$69:$D$152,255),0))="","",INDEX('Disaggregation Records'!$F$69:$F$152,MATCH(RIGHT(Q586,255),RIGHT('Disaggregation Records'!$D$69:$D$152,255),0))),"")</f>
        <v/>
      </c>
      <c r="T586" s="194" t="str">
        <f t="array" ref="T586">IFERROR(IF(INDEX('Disaggregation Records'!$H$69:$H$152,MATCH(RIGHT(Q586,255),RIGHT('Disaggregation Records'!$D$69:$D$152,255),0))="","",INDEX('Disaggregation Records'!$H$69:$H$152,MATCH(RIGHT(Q586,255),RIGHT('Disaggregation Records'!$D$69:$D$152,255),0))),"")</f>
        <v/>
      </c>
      <c r="U586" s="194">
        <f>U584+1</f>
        <v>1802</v>
      </c>
      <c r="V586" s="194" t="str">
        <f t="array" ref="V586">IFERROR(IF(INDEX('Disaggregation Records'!$I$69:$I$152,MATCH(RIGHT(Q586,255),RIGHT('Disaggregation Records'!$D$69:$D$152,255),0))="","",INDEX('Disaggregation Records'!$I$69:$I$152,MATCH(RIGHT(Q586,255),RIGHT('Disaggregation Records'!$D$69:$D$152,255),0))),"")</f>
        <v/>
      </c>
      <c r="W586" s="194" t="str">
        <f>IFERROR(INDEX('Reference Records'!P$23:P$74,MATCH(LEFT(C586,255),'Reference Records'!J$23:J$74,0)),"")</f>
        <v/>
      </c>
    </row>
    <row r="587" spans="1:23" s="194" customFormat="1" ht="40.4" customHeight="1" x14ac:dyDescent="0.35">
      <c r="A587" s="770"/>
      <c r="B587" s="767"/>
      <c r="C587" s="761"/>
      <c r="D587" s="769"/>
      <c r="E587" s="769"/>
      <c r="F587" s="208"/>
      <c r="G587" s="763"/>
      <c r="H587" s="744"/>
      <c r="I587" s="765"/>
      <c r="J587" s="730"/>
      <c r="K587" s="761"/>
      <c r="L587" s="761"/>
      <c r="M587" s="730"/>
      <c r="N587" s="730"/>
      <c r="V587" s="194" t="str">
        <f t="array" ref="V587">IFERROR(IF(INDEX('Disaggregation Records'!$I$69:$I$152,MATCH(RIGHT(Q587,255),RIGHT('Disaggregation Records'!$D$69:$D$152,255),0))="","",INDEX('Disaggregation Records'!$I$69:$I$152,MATCH(RIGHT(Q587,255),RIGHT('Disaggregation Records'!$D$69:$D$152,255),0))),"")</f>
        <v/>
      </c>
    </row>
    <row r="588" spans="1:23" s="194" customFormat="1" ht="40.4" customHeight="1" x14ac:dyDescent="0.35">
      <c r="A588" s="770" t="str">
        <f ca="1">INDIRECT("'update Helper'!C"&amp;U588)</f>
        <v>a1V3p000006jwBwEAI</v>
      </c>
      <c r="B588" s="766">
        <v>14</v>
      </c>
      <c r="C588" s="760" t="str">
        <f>IFERROR(VLOOKUP(B588,'Outcome Indicators - Section C '!$A$9:$AF$70,32,FALSE),"")</f>
        <v/>
      </c>
      <c r="D588" s="768" t="str">
        <f>R588</f>
        <v/>
      </c>
      <c r="E588" s="768" t="str">
        <f>S588</f>
        <v/>
      </c>
      <c r="F588" s="413"/>
      <c r="G588" s="762" t="str">
        <f ca="1">IF(OR(INDIRECT("'update Helper'!E"&amp;U588)="",F588&lt;&gt;0,F589&lt;&gt;0),IF(IFERROR((F588/F589),"")="","",(F588/F589)),INDIRECT("'update Helper'!E"&amp;U588)/100)</f>
        <v/>
      </c>
      <c r="H588" s="743"/>
      <c r="I588" s="764"/>
      <c r="J588" s="729"/>
      <c r="K588" s="760" t="str">
        <f>W588</f>
        <v/>
      </c>
      <c r="L588" s="760" t="str">
        <f>V588</f>
        <v/>
      </c>
      <c r="M588" s="729"/>
      <c r="N588" s="729"/>
      <c r="P588" s="194">
        <f>IF(AND(EXACT(C588,C586),C586&lt;&gt;0),P586+1,0)</f>
        <v>86</v>
      </c>
      <c r="Q588" s="194" t="str">
        <f>IF(C588&lt;&gt;"",C588&amp;"-"&amp;P588,"")</f>
        <v/>
      </c>
      <c r="R588" s="194" t="str">
        <f t="array" ref="R588">IFERROR(IF(INDEX('Disaggregation Records'!$E$69:$E$152,MATCH(RIGHT(Q588,255),RIGHT('Disaggregation Records'!$D$69:$D$152,255),0))="","",INDEX('Disaggregation Records'!$E$69:$E$152,MATCH(RIGHT(Q588,255),RIGHT('Disaggregation Records'!$D$69:$D$152,255),0))),"")</f>
        <v/>
      </c>
      <c r="S588" s="194" t="str">
        <f t="array" ref="S588">IFERROR(IF(INDEX('Disaggregation Records'!$F$69:$F$152,MATCH(RIGHT(Q588,255),RIGHT('Disaggregation Records'!$D$69:$D$152,255),0))="","",INDEX('Disaggregation Records'!$F$69:$F$152,MATCH(RIGHT(Q588,255),RIGHT('Disaggregation Records'!$D$69:$D$152,255),0))),"")</f>
        <v/>
      </c>
      <c r="T588" s="194" t="str">
        <f t="array" ref="T588">IFERROR(IF(INDEX('Disaggregation Records'!$H$69:$H$152,MATCH(RIGHT(Q588,255),RIGHT('Disaggregation Records'!$D$69:$D$152,255),0))="","",INDEX('Disaggregation Records'!$H$69:$H$152,MATCH(RIGHT(Q588,255),RIGHT('Disaggregation Records'!$D$69:$D$152,255),0))),"")</f>
        <v/>
      </c>
      <c r="U588" s="194">
        <f>U586+1</f>
        <v>1803</v>
      </c>
      <c r="V588" s="194" t="str">
        <f t="array" ref="V588">IFERROR(IF(INDEX('Disaggregation Records'!$I$69:$I$152,MATCH(RIGHT(Q588,255),RIGHT('Disaggregation Records'!$D$69:$D$152,255),0))="","",INDEX('Disaggregation Records'!$I$69:$I$152,MATCH(RIGHT(Q588,255),RIGHT('Disaggregation Records'!$D$69:$D$152,255),0))),"")</f>
        <v/>
      </c>
      <c r="W588" s="194" t="str">
        <f>IFERROR(INDEX('Reference Records'!P$23:P$74,MATCH(LEFT(C588,255),'Reference Records'!J$23:J$74,0)),"")</f>
        <v/>
      </c>
    </row>
    <row r="589" spans="1:23" s="194" customFormat="1" ht="40.4" customHeight="1" x14ac:dyDescent="0.35">
      <c r="A589" s="770"/>
      <c r="B589" s="767"/>
      <c r="C589" s="761"/>
      <c r="D589" s="769"/>
      <c r="E589" s="769"/>
      <c r="F589" s="208"/>
      <c r="G589" s="763"/>
      <c r="H589" s="744"/>
      <c r="I589" s="765"/>
      <c r="J589" s="730"/>
      <c r="K589" s="761"/>
      <c r="L589" s="761"/>
      <c r="M589" s="730"/>
      <c r="N589" s="730"/>
      <c r="V589" s="194" t="str">
        <f t="array" ref="V589">IFERROR(IF(INDEX('Disaggregation Records'!$I$69:$I$152,MATCH(RIGHT(Q589,255),RIGHT('Disaggregation Records'!$D$69:$D$152,255),0))="","",INDEX('Disaggregation Records'!$I$69:$I$152,MATCH(RIGHT(Q589,255),RIGHT('Disaggregation Records'!$D$69:$D$152,255),0))),"")</f>
        <v/>
      </c>
    </row>
    <row r="590" spans="1:23" s="194" customFormat="1" ht="40.4" customHeight="1" x14ac:dyDescent="0.35">
      <c r="A590" s="770" t="str">
        <f ca="1">INDIRECT("'update Helper'!C"&amp;U590)</f>
        <v>a1V3p000006jwBxEAI</v>
      </c>
      <c r="B590" s="766">
        <v>14</v>
      </c>
      <c r="C590" s="760" t="str">
        <f>IFERROR(VLOOKUP(B590,'Outcome Indicators - Section C '!$A$9:$AF$70,32,FALSE),"")</f>
        <v/>
      </c>
      <c r="D590" s="768" t="str">
        <f>R590</f>
        <v/>
      </c>
      <c r="E590" s="768" t="str">
        <f>S590</f>
        <v/>
      </c>
      <c r="F590" s="413"/>
      <c r="G590" s="762" t="str">
        <f ca="1">IF(OR(INDIRECT("'update Helper'!E"&amp;U590)="",F590&lt;&gt;0,F591&lt;&gt;0),IF(IFERROR((F590/F591),"")="","",(F590/F591)),INDIRECT("'update Helper'!E"&amp;U590)/100)</f>
        <v/>
      </c>
      <c r="H590" s="743"/>
      <c r="I590" s="764"/>
      <c r="J590" s="729"/>
      <c r="K590" s="760" t="str">
        <f>W590</f>
        <v/>
      </c>
      <c r="L590" s="760" t="str">
        <f>V590</f>
        <v/>
      </c>
      <c r="M590" s="729"/>
      <c r="N590" s="729"/>
      <c r="P590" s="194">
        <f>IF(AND(EXACT(C590,C588),C588&lt;&gt;0),P588+1,0)</f>
        <v>87</v>
      </c>
      <c r="Q590" s="194" t="str">
        <f>IF(C590&lt;&gt;"",C590&amp;"-"&amp;P590,"")</f>
        <v/>
      </c>
      <c r="R590" s="194" t="str">
        <f t="array" ref="R590">IFERROR(IF(INDEX('Disaggregation Records'!$E$69:$E$152,MATCH(RIGHT(Q590,255),RIGHT('Disaggregation Records'!$D$69:$D$152,255),0))="","",INDEX('Disaggregation Records'!$E$69:$E$152,MATCH(RIGHT(Q590,255),RIGHT('Disaggregation Records'!$D$69:$D$152,255),0))),"")</f>
        <v/>
      </c>
      <c r="S590" s="194" t="str">
        <f t="array" ref="S590">IFERROR(IF(INDEX('Disaggregation Records'!$F$69:$F$152,MATCH(RIGHT(Q590,255),RIGHT('Disaggregation Records'!$D$69:$D$152,255),0))="","",INDEX('Disaggregation Records'!$F$69:$F$152,MATCH(RIGHT(Q590,255),RIGHT('Disaggregation Records'!$D$69:$D$152,255),0))),"")</f>
        <v/>
      </c>
      <c r="T590" s="194" t="str">
        <f t="array" ref="T590">IFERROR(IF(INDEX('Disaggregation Records'!$H$69:$H$152,MATCH(RIGHT(Q590,255),RIGHT('Disaggregation Records'!$D$69:$D$152,255),0))="","",INDEX('Disaggregation Records'!$H$69:$H$152,MATCH(RIGHT(Q590,255),RIGHT('Disaggregation Records'!$D$69:$D$152,255),0))),"")</f>
        <v/>
      </c>
      <c r="U590" s="194">
        <f>U588+1</f>
        <v>1804</v>
      </c>
      <c r="V590" s="194" t="str">
        <f t="array" ref="V590">IFERROR(IF(INDEX('Disaggregation Records'!$I$69:$I$152,MATCH(RIGHT(Q590,255),RIGHT('Disaggregation Records'!$D$69:$D$152,255),0))="","",INDEX('Disaggregation Records'!$I$69:$I$152,MATCH(RIGHT(Q590,255),RIGHT('Disaggregation Records'!$D$69:$D$152,255),0))),"")</f>
        <v/>
      </c>
      <c r="W590" s="194" t="str">
        <f>IFERROR(INDEX('Reference Records'!P$23:P$74,MATCH(LEFT(C590,255),'Reference Records'!J$23:J$74,0)),"")</f>
        <v/>
      </c>
    </row>
    <row r="591" spans="1:23" s="194" customFormat="1" ht="40.4" customHeight="1" x14ac:dyDescent="0.35">
      <c r="A591" s="770"/>
      <c r="B591" s="767"/>
      <c r="C591" s="761"/>
      <c r="D591" s="769"/>
      <c r="E591" s="769"/>
      <c r="F591" s="208"/>
      <c r="G591" s="763"/>
      <c r="H591" s="744"/>
      <c r="I591" s="765"/>
      <c r="J591" s="730"/>
      <c r="K591" s="761"/>
      <c r="L591" s="761"/>
      <c r="M591" s="730"/>
      <c r="N591" s="730"/>
      <c r="V591" s="194" t="str">
        <f t="array" ref="V591">IFERROR(IF(INDEX('Disaggregation Records'!$I$69:$I$152,MATCH(RIGHT(Q591,255),RIGHT('Disaggregation Records'!$D$69:$D$152,255),0))="","",INDEX('Disaggregation Records'!$I$69:$I$152,MATCH(RIGHT(Q591,255),RIGHT('Disaggregation Records'!$D$69:$D$152,255),0))),"")</f>
        <v/>
      </c>
    </row>
    <row r="592" spans="1:23" s="194" customFormat="1" ht="40.4" customHeight="1" x14ac:dyDescent="0.35">
      <c r="A592" s="770" t="str">
        <f ca="1">INDIRECT("'update Helper'!C"&amp;U592)</f>
        <v>a1V3p000006jwByEAI</v>
      </c>
      <c r="B592" s="766">
        <v>14</v>
      </c>
      <c r="C592" s="760" t="str">
        <f>IFERROR(VLOOKUP(B592,'Outcome Indicators - Section C '!$A$9:$AF$70,32,FALSE),"")</f>
        <v/>
      </c>
      <c r="D592" s="768" t="str">
        <f>R592</f>
        <v/>
      </c>
      <c r="E592" s="768" t="str">
        <f>S592</f>
        <v/>
      </c>
      <c r="F592" s="413"/>
      <c r="G592" s="762" t="str">
        <f ca="1">IF(OR(INDIRECT("'update Helper'!E"&amp;U592)="",F592&lt;&gt;0,F593&lt;&gt;0),IF(IFERROR((F592/F593),"")="","",(F592/F593)),INDIRECT("'update Helper'!E"&amp;U592)/100)</f>
        <v/>
      </c>
      <c r="H592" s="743"/>
      <c r="I592" s="764"/>
      <c r="J592" s="729"/>
      <c r="K592" s="760" t="str">
        <f>W592</f>
        <v/>
      </c>
      <c r="L592" s="760" t="str">
        <f>V592</f>
        <v/>
      </c>
      <c r="M592" s="729"/>
      <c r="N592" s="729"/>
      <c r="P592" s="194">
        <f>IF(AND(EXACT(C592,C590),C590&lt;&gt;0),P590+1,0)</f>
        <v>88</v>
      </c>
      <c r="Q592" s="194" t="str">
        <f>IF(C592&lt;&gt;"",C592&amp;"-"&amp;P592,"")</f>
        <v/>
      </c>
      <c r="R592" s="194" t="str">
        <f t="array" ref="R592">IFERROR(IF(INDEX('Disaggregation Records'!$E$69:$E$152,MATCH(RIGHT(Q592,255),RIGHT('Disaggregation Records'!$D$69:$D$152,255),0))="","",INDEX('Disaggregation Records'!$E$69:$E$152,MATCH(RIGHT(Q592,255),RIGHT('Disaggregation Records'!$D$69:$D$152,255),0))),"")</f>
        <v/>
      </c>
      <c r="S592" s="194" t="str">
        <f t="array" ref="S592">IFERROR(IF(INDEX('Disaggregation Records'!$F$69:$F$152,MATCH(RIGHT(Q592,255),RIGHT('Disaggregation Records'!$D$69:$D$152,255),0))="","",INDEX('Disaggregation Records'!$F$69:$F$152,MATCH(RIGHT(Q592,255),RIGHT('Disaggregation Records'!$D$69:$D$152,255),0))),"")</f>
        <v/>
      </c>
      <c r="T592" s="194" t="str">
        <f t="array" ref="T592">IFERROR(IF(INDEX('Disaggregation Records'!$H$69:$H$152,MATCH(RIGHT(Q592,255),RIGHT('Disaggregation Records'!$D$69:$D$152,255),0))="","",INDEX('Disaggregation Records'!$H$69:$H$152,MATCH(RIGHT(Q592,255),RIGHT('Disaggregation Records'!$D$69:$D$152,255),0))),"")</f>
        <v/>
      </c>
      <c r="U592" s="194">
        <f>U590+1</f>
        <v>1805</v>
      </c>
      <c r="V592" s="194" t="str">
        <f t="array" ref="V592">IFERROR(IF(INDEX('Disaggregation Records'!$I$69:$I$152,MATCH(RIGHT(Q592,255),RIGHT('Disaggregation Records'!$D$69:$D$152,255),0))="","",INDEX('Disaggregation Records'!$I$69:$I$152,MATCH(RIGHT(Q592,255),RIGHT('Disaggregation Records'!$D$69:$D$152,255),0))),"")</f>
        <v/>
      </c>
      <c r="W592" s="194" t="str">
        <f>IFERROR(INDEX('Reference Records'!P$23:P$74,MATCH(LEFT(C592,255),'Reference Records'!J$23:J$74,0)),"")</f>
        <v/>
      </c>
    </row>
    <row r="593" spans="1:23" s="194" customFormat="1" ht="40.4" customHeight="1" x14ac:dyDescent="0.35">
      <c r="A593" s="770"/>
      <c r="B593" s="767"/>
      <c r="C593" s="761"/>
      <c r="D593" s="769"/>
      <c r="E593" s="769"/>
      <c r="F593" s="208"/>
      <c r="G593" s="763"/>
      <c r="H593" s="744"/>
      <c r="I593" s="765"/>
      <c r="J593" s="730"/>
      <c r="K593" s="761"/>
      <c r="L593" s="761"/>
      <c r="M593" s="730"/>
      <c r="N593" s="730"/>
      <c r="V593" s="194" t="str">
        <f t="array" ref="V593">IFERROR(IF(INDEX('Disaggregation Records'!$I$69:$I$152,MATCH(RIGHT(Q593,255),RIGHT('Disaggregation Records'!$D$69:$D$152,255),0))="","",INDEX('Disaggregation Records'!$I$69:$I$152,MATCH(RIGHT(Q593,255),RIGHT('Disaggregation Records'!$D$69:$D$152,255),0))),"")</f>
        <v/>
      </c>
    </row>
    <row r="594" spans="1:23" s="194" customFormat="1" ht="40.4" customHeight="1" x14ac:dyDescent="0.35">
      <c r="A594" s="770" t="str">
        <f ca="1">INDIRECT("'update Helper'!C"&amp;U594)</f>
        <v>a1V3p000006jwBzEAI</v>
      </c>
      <c r="B594" s="766">
        <v>14</v>
      </c>
      <c r="C594" s="760" t="str">
        <f>IFERROR(VLOOKUP(B594,'Outcome Indicators - Section C '!$A$9:$AF$70,32,FALSE),"")</f>
        <v/>
      </c>
      <c r="D594" s="768" t="str">
        <f>R594</f>
        <v/>
      </c>
      <c r="E594" s="768" t="str">
        <f>S594</f>
        <v/>
      </c>
      <c r="F594" s="413"/>
      <c r="G594" s="762" t="str">
        <f ca="1">IF(OR(INDIRECT("'update Helper'!E"&amp;U594)="",F594&lt;&gt;0,F595&lt;&gt;0),IF(IFERROR((F594/F595),"")="","",(F594/F595)),INDIRECT("'update Helper'!E"&amp;U594)/100)</f>
        <v/>
      </c>
      <c r="H594" s="743"/>
      <c r="I594" s="764"/>
      <c r="J594" s="729"/>
      <c r="K594" s="760" t="str">
        <f>W594</f>
        <v/>
      </c>
      <c r="L594" s="760" t="str">
        <f>V594</f>
        <v/>
      </c>
      <c r="M594" s="729"/>
      <c r="N594" s="729"/>
      <c r="P594" s="194">
        <f>IF(AND(EXACT(C594,C592),C592&lt;&gt;0),P592+1,0)</f>
        <v>89</v>
      </c>
      <c r="Q594" s="194" t="str">
        <f>IF(C594&lt;&gt;"",C594&amp;"-"&amp;P594,"")</f>
        <v/>
      </c>
      <c r="R594" s="194" t="str">
        <f t="array" ref="R594">IFERROR(IF(INDEX('Disaggregation Records'!$E$69:$E$152,MATCH(RIGHT(Q594,255),RIGHT('Disaggregation Records'!$D$69:$D$152,255),0))="","",INDEX('Disaggregation Records'!$E$69:$E$152,MATCH(RIGHT(Q594,255),RIGHT('Disaggregation Records'!$D$69:$D$152,255),0))),"")</f>
        <v/>
      </c>
      <c r="S594" s="194" t="str">
        <f t="array" ref="S594">IFERROR(IF(INDEX('Disaggregation Records'!$F$69:$F$152,MATCH(RIGHT(Q594,255),RIGHT('Disaggregation Records'!$D$69:$D$152,255),0))="","",INDEX('Disaggregation Records'!$F$69:$F$152,MATCH(RIGHT(Q594,255),RIGHT('Disaggregation Records'!$D$69:$D$152,255),0))),"")</f>
        <v/>
      </c>
      <c r="T594" s="194" t="str">
        <f t="array" ref="T594">IFERROR(IF(INDEX('Disaggregation Records'!$H$69:$H$152,MATCH(RIGHT(Q594,255),RIGHT('Disaggregation Records'!$D$69:$D$152,255),0))="","",INDEX('Disaggregation Records'!$H$69:$H$152,MATCH(RIGHT(Q594,255),RIGHT('Disaggregation Records'!$D$69:$D$152,255),0))),"")</f>
        <v/>
      </c>
      <c r="U594" s="194">
        <f>U592+1</f>
        <v>1806</v>
      </c>
      <c r="V594" s="194" t="str">
        <f t="array" ref="V594">IFERROR(IF(INDEX('Disaggregation Records'!$I$69:$I$152,MATCH(RIGHT(Q594,255),RIGHT('Disaggregation Records'!$D$69:$D$152,255),0))="","",INDEX('Disaggregation Records'!$I$69:$I$152,MATCH(RIGHT(Q594,255),RIGHT('Disaggregation Records'!$D$69:$D$152,255),0))),"")</f>
        <v/>
      </c>
      <c r="W594" s="194" t="str">
        <f>IFERROR(INDEX('Reference Records'!P$23:P$74,MATCH(LEFT(C594,255),'Reference Records'!J$23:J$74,0)),"")</f>
        <v/>
      </c>
    </row>
    <row r="595" spans="1:23" s="194" customFormat="1" ht="40.4" customHeight="1" x14ac:dyDescent="0.35">
      <c r="A595" s="770"/>
      <c r="B595" s="767"/>
      <c r="C595" s="761"/>
      <c r="D595" s="769"/>
      <c r="E595" s="769"/>
      <c r="F595" s="208"/>
      <c r="G595" s="763"/>
      <c r="H595" s="744"/>
      <c r="I595" s="765"/>
      <c r="J595" s="730"/>
      <c r="K595" s="761"/>
      <c r="L595" s="761"/>
      <c r="M595" s="730"/>
      <c r="N595" s="730"/>
      <c r="V595" s="194" t="str">
        <f t="array" ref="V595">IFERROR(IF(INDEX('Disaggregation Records'!$I$69:$I$152,MATCH(RIGHT(Q595,255),RIGHT('Disaggregation Records'!$D$69:$D$152,255),0))="","",INDEX('Disaggregation Records'!$I$69:$I$152,MATCH(RIGHT(Q595,255),RIGHT('Disaggregation Records'!$D$69:$D$152,255),0))),"")</f>
        <v/>
      </c>
    </row>
    <row r="596" spans="1:23" s="194" customFormat="1" ht="40.4" customHeight="1" x14ac:dyDescent="0.35">
      <c r="A596" s="770" t="str">
        <f ca="1">INDIRECT("'update Helper'!C"&amp;U596)</f>
        <v>a1V3p000006jw9aEAA</v>
      </c>
      <c r="B596" s="766">
        <v>15</v>
      </c>
      <c r="C596" s="760" t="str">
        <f>IFERROR(VLOOKUP(B596,'Outcome Indicators - Section C '!$A$9:$AF$70,32,FALSE),"")</f>
        <v/>
      </c>
      <c r="D596" s="768" t="str">
        <f>R596</f>
        <v/>
      </c>
      <c r="E596" s="768" t="str">
        <f>S596</f>
        <v/>
      </c>
      <c r="F596" s="413"/>
      <c r="G596" s="762" t="str">
        <f ca="1">IF(OR(INDIRECT("'update Helper'!E"&amp;U596)="",F596&lt;&gt;0,F597&lt;&gt;0),IF(IFERROR((F596/F597),"")="","",(F596/F597)),INDIRECT("'update Helper'!E"&amp;U596)/100)</f>
        <v/>
      </c>
      <c r="H596" s="743"/>
      <c r="I596" s="764"/>
      <c r="J596" s="729"/>
      <c r="K596" s="760" t="str">
        <f>W596</f>
        <v/>
      </c>
      <c r="L596" s="760" t="str">
        <f>V596</f>
        <v/>
      </c>
      <c r="M596" s="729"/>
      <c r="N596" s="729"/>
      <c r="P596" s="194">
        <f>IF(AND(EXACT(C596,C594),C594&lt;&gt;0),P594+1,0)</f>
        <v>90</v>
      </c>
      <c r="Q596" s="194" t="str">
        <f>IF(C596&lt;&gt;"",C596&amp;"-"&amp;P596,"")</f>
        <v/>
      </c>
      <c r="R596" s="194" t="str">
        <f t="array" ref="R596">IFERROR(IF(INDEX('Disaggregation Records'!$E$69:$E$152,MATCH(RIGHT(Q596,255),RIGHT('Disaggregation Records'!$D$69:$D$152,255),0))="","",INDEX('Disaggregation Records'!$E$69:$E$152,MATCH(RIGHT(Q596,255),RIGHT('Disaggregation Records'!$D$69:$D$152,255),0))),"")</f>
        <v/>
      </c>
      <c r="S596" s="194" t="str">
        <f t="array" ref="S596">IFERROR(IF(INDEX('Disaggregation Records'!$F$69:$F$152,MATCH(RIGHT(Q596,255),RIGHT('Disaggregation Records'!$D$69:$D$152,255),0))="","",INDEX('Disaggregation Records'!$F$69:$F$152,MATCH(RIGHT(Q596,255),RIGHT('Disaggregation Records'!$D$69:$D$152,255),0))),"")</f>
        <v/>
      </c>
      <c r="T596" s="194" t="str">
        <f t="array" ref="T596">IFERROR(IF(INDEX('Disaggregation Records'!$H$69:$H$152,MATCH(RIGHT(Q596,255),RIGHT('Disaggregation Records'!$D$69:$D$152,255),0))="","",INDEX('Disaggregation Records'!$H$69:$H$152,MATCH(RIGHT(Q596,255),RIGHT('Disaggregation Records'!$D$69:$D$152,255),0))),"")</f>
        <v/>
      </c>
      <c r="U596" s="194">
        <f>U594+1</f>
        <v>1807</v>
      </c>
      <c r="V596" s="194" t="str">
        <f t="array" ref="V596">IFERROR(IF(INDEX('Disaggregation Records'!$I$69:$I$152,MATCH(RIGHT(Q596,255),RIGHT('Disaggregation Records'!$D$69:$D$152,255),0))="","",INDEX('Disaggregation Records'!$I$69:$I$152,MATCH(RIGHT(Q596,255),RIGHT('Disaggregation Records'!$D$69:$D$152,255),0))),"")</f>
        <v/>
      </c>
      <c r="W596" s="194" t="str">
        <f>IFERROR(INDEX('Reference Records'!P$23:P$74,MATCH(LEFT(C596,255),'Reference Records'!J$23:J$74,0)),"")</f>
        <v/>
      </c>
    </row>
    <row r="597" spans="1:23" s="194" customFormat="1" ht="40.4" customHeight="1" x14ac:dyDescent="0.35">
      <c r="A597" s="770"/>
      <c r="B597" s="767"/>
      <c r="C597" s="761"/>
      <c r="D597" s="769"/>
      <c r="E597" s="769"/>
      <c r="F597" s="208"/>
      <c r="G597" s="763"/>
      <c r="H597" s="744"/>
      <c r="I597" s="765"/>
      <c r="J597" s="730"/>
      <c r="K597" s="761"/>
      <c r="L597" s="761"/>
      <c r="M597" s="730"/>
      <c r="N597" s="730"/>
      <c r="V597" s="194" t="str">
        <f t="array" ref="V597">IFERROR(IF(INDEX('Disaggregation Records'!$I$69:$I$152,MATCH(RIGHT(Q597,255),RIGHT('Disaggregation Records'!$D$69:$D$152,255),0))="","",INDEX('Disaggregation Records'!$I$69:$I$152,MATCH(RIGHT(Q597,255),RIGHT('Disaggregation Records'!$D$69:$D$152,255),0))),"")</f>
        <v/>
      </c>
    </row>
    <row r="598" spans="1:23" s="194" customFormat="1" ht="40.4" customHeight="1" x14ac:dyDescent="0.35">
      <c r="A598" s="770" t="str">
        <f ca="1">INDIRECT("'update Helper'!C"&amp;U598)</f>
        <v>a1V3p000006jw9bEAA</v>
      </c>
      <c r="B598" s="766">
        <v>15</v>
      </c>
      <c r="C598" s="760" t="str">
        <f>IFERROR(VLOOKUP(B598,'Outcome Indicators - Section C '!$A$9:$AF$70,32,FALSE),"")</f>
        <v/>
      </c>
      <c r="D598" s="768" t="str">
        <f>R598</f>
        <v/>
      </c>
      <c r="E598" s="768" t="str">
        <f>S598</f>
        <v/>
      </c>
      <c r="F598" s="413"/>
      <c r="G598" s="762" t="str">
        <f ca="1">IF(OR(INDIRECT("'update Helper'!E"&amp;U598)="",F598&lt;&gt;0,F599&lt;&gt;0),IF(IFERROR((F598/F599),"")="","",(F598/F599)),INDIRECT("'update Helper'!E"&amp;U598)/100)</f>
        <v/>
      </c>
      <c r="H598" s="743"/>
      <c r="I598" s="764"/>
      <c r="J598" s="729"/>
      <c r="K598" s="760" t="str">
        <f>W598</f>
        <v/>
      </c>
      <c r="L598" s="760" t="str">
        <f>V598</f>
        <v/>
      </c>
      <c r="M598" s="729"/>
      <c r="N598" s="729"/>
      <c r="P598" s="194">
        <f>IF(AND(EXACT(C598,C596),C596&lt;&gt;0),P596+1,0)</f>
        <v>91</v>
      </c>
      <c r="Q598" s="194" t="str">
        <f>IF(C598&lt;&gt;"",C598&amp;"-"&amp;P598,"")</f>
        <v/>
      </c>
      <c r="R598" s="194" t="str">
        <f t="array" ref="R598">IFERROR(IF(INDEX('Disaggregation Records'!$E$69:$E$152,MATCH(RIGHT(Q598,255),RIGHT('Disaggregation Records'!$D$69:$D$152,255),0))="","",INDEX('Disaggregation Records'!$E$69:$E$152,MATCH(RIGHT(Q598,255),RIGHT('Disaggregation Records'!$D$69:$D$152,255),0))),"")</f>
        <v/>
      </c>
      <c r="S598" s="194" t="str">
        <f t="array" ref="S598">IFERROR(IF(INDEX('Disaggregation Records'!$F$69:$F$152,MATCH(RIGHT(Q598,255),RIGHT('Disaggregation Records'!$D$69:$D$152,255),0))="","",INDEX('Disaggregation Records'!$F$69:$F$152,MATCH(RIGHT(Q598,255),RIGHT('Disaggregation Records'!$D$69:$D$152,255),0))),"")</f>
        <v/>
      </c>
      <c r="T598" s="194" t="str">
        <f t="array" ref="T598">IFERROR(IF(INDEX('Disaggregation Records'!$H$69:$H$152,MATCH(RIGHT(Q598,255),RIGHT('Disaggregation Records'!$D$69:$D$152,255),0))="","",INDEX('Disaggregation Records'!$H$69:$H$152,MATCH(RIGHT(Q598,255),RIGHT('Disaggregation Records'!$D$69:$D$152,255),0))),"")</f>
        <v/>
      </c>
      <c r="U598" s="194">
        <f>U596+1</f>
        <v>1808</v>
      </c>
      <c r="V598" s="194" t="str">
        <f t="array" ref="V598">IFERROR(IF(INDEX('Disaggregation Records'!$I$69:$I$152,MATCH(RIGHT(Q598,255),RIGHT('Disaggregation Records'!$D$69:$D$152,255),0))="","",INDEX('Disaggregation Records'!$I$69:$I$152,MATCH(RIGHT(Q598,255),RIGHT('Disaggregation Records'!$D$69:$D$152,255),0))),"")</f>
        <v/>
      </c>
      <c r="W598" s="194" t="str">
        <f>IFERROR(INDEX('Reference Records'!P$23:P$74,MATCH(LEFT(C598,255),'Reference Records'!J$23:J$74,0)),"")</f>
        <v/>
      </c>
    </row>
    <row r="599" spans="1:23" s="194" customFormat="1" ht="40.4" customHeight="1" x14ac:dyDescent="0.35">
      <c r="A599" s="770"/>
      <c r="B599" s="767"/>
      <c r="C599" s="761"/>
      <c r="D599" s="769"/>
      <c r="E599" s="769"/>
      <c r="F599" s="208"/>
      <c r="G599" s="763"/>
      <c r="H599" s="744"/>
      <c r="I599" s="765"/>
      <c r="J599" s="730"/>
      <c r="K599" s="761"/>
      <c r="L599" s="761"/>
      <c r="M599" s="730"/>
      <c r="N599" s="730"/>
      <c r="V599" s="194" t="str">
        <f t="array" ref="V599">IFERROR(IF(INDEX('Disaggregation Records'!$I$69:$I$152,MATCH(RIGHT(Q599,255),RIGHT('Disaggregation Records'!$D$69:$D$152,255),0))="","",INDEX('Disaggregation Records'!$I$69:$I$152,MATCH(RIGHT(Q599,255),RIGHT('Disaggregation Records'!$D$69:$D$152,255),0))),"")</f>
        <v/>
      </c>
    </row>
    <row r="600" spans="1:23" s="194" customFormat="1" ht="40.4" customHeight="1" x14ac:dyDescent="0.35">
      <c r="A600" s="770" t="str">
        <f ca="1">INDIRECT("'update Helper'!C"&amp;U600)</f>
        <v>a1V3p000006jw9cEAA</v>
      </c>
      <c r="B600" s="766">
        <v>15</v>
      </c>
      <c r="C600" s="760" t="str">
        <f>IFERROR(VLOOKUP(B600,'Outcome Indicators - Section C '!$A$9:$AF$70,32,FALSE),"")</f>
        <v/>
      </c>
      <c r="D600" s="768" t="str">
        <f>R600</f>
        <v/>
      </c>
      <c r="E600" s="768" t="str">
        <f>S600</f>
        <v/>
      </c>
      <c r="F600" s="413"/>
      <c r="G600" s="762" t="str">
        <f ca="1">IF(OR(INDIRECT("'update Helper'!E"&amp;U600)="",F600&lt;&gt;0,F601&lt;&gt;0),IF(IFERROR((F600/F601),"")="","",(F600/F601)),INDIRECT("'update Helper'!E"&amp;U600)/100)</f>
        <v/>
      </c>
      <c r="H600" s="743"/>
      <c r="I600" s="764"/>
      <c r="J600" s="729"/>
      <c r="K600" s="760" t="str">
        <f>W600</f>
        <v/>
      </c>
      <c r="L600" s="760" t="str">
        <f>V600</f>
        <v/>
      </c>
      <c r="M600" s="729"/>
      <c r="N600" s="729"/>
      <c r="P600" s="194">
        <f>IF(AND(EXACT(C600,C598),C598&lt;&gt;0),P598+1,0)</f>
        <v>92</v>
      </c>
      <c r="Q600" s="194" t="str">
        <f>IF(C600&lt;&gt;"",C600&amp;"-"&amp;P600,"")</f>
        <v/>
      </c>
      <c r="R600" s="194" t="str">
        <f t="array" ref="R600">IFERROR(IF(INDEX('Disaggregation Records'!$E$69:$E$152,MATCH(RIGHT(Q600,255),RIGHT('Disaggregation Records'!$D$69:$D$152,255),0))="","",INDEX('Disaggregation Records'!$E$69:$E$152,MATCH(RIGHT(Q600,255),RIGHT('Disaggregation Records'!$D$69:$D$152,255),0))),"")</f>
        <v/>
      </c>
      <c r="S600" s="194" t="str">
        <f t="array" ref="S600">IFERROR(IF(INDEX('Disaggregation Records'!$F$69:$F$152,MATCH(RIGHT(Q600,255),RIGHT('Disaggregation Records'!$D$69:$D$152,255),0))="","",INDEX('Disaggregation Records'!$F$69:$F$152,MATCH(RIGHT(Q600,255),RIGHT('Disaggregation Records'!$D$69:$D$152,255),0))),"")</f>
        <v/>
      </c>
      <c r="T600" s="194" t="str">
        <f t="array" ref="T600">IFERROR(IF(INDEX('Disaggregation Records'!$H$69:$H$152,MATCH(RIGHT(Q600,255),RIGHT('Disaggregation Records'!$D$69:$D$152,255),0))="","",INDEX('Disaggregation Records'!$H$69:$H$152,MATCH(RIGHT(Q600,255),RIGHT('Disaggregation Records'!$D$69:$D$152,255),0))),"")</f>
        <v/>
      </c>
      <c r="U600" s="194">
        <f>U598+1</f>
        <v>1809</v>
      </c>
      <c r="V600" s="194" t="str">
        <f t="array" ref="V600">IFERROR(IF(INDEX('Disaggregation Records'!$I$69:$I$152,MATCH(RIGHT(Q600,255),RIGHT('Disaggregation Records'!$D$69:$D$152,255),0))="","",INDEX('Disaggregation Records'!$I$69:$I$152,MATCH(RIGHT(Q600,255),RIGHT('Disaggregation Records'!$D$69:$D$152,255),0))),"")</f>
        <v/>
      </c>
      <c r="W600" s="194" t="str">
        <f>IFERROR(INDEX('Reference Records'!P$23:P$74,MATCH(LEFT(C600,255),'Reference Records'!J$23:J$74,0)),"")</f>
        <v/>
      </c>
    </row>
    <row r="601" spans="1:23" s="194" customFormat="1" ht="40.4" customHeight="1" x14ac:dyDescent="0.35">
      <c r="A601" s="770"/>
      <c r="B601" s="767"/>
      <c r="C601" s="761"/>
      <c r="D601" s="769"/>
      <c r="E601" s="769"/>
      <c r="F601" s="208"/>
      <c r="G601" s="763"/>
      <c r="H601" s="744"/>
      <c r="I601" s="765"/>
      <c r="J601" s="730"/>
      <c r="K601" s="761"/>
      <c r="L601" s="761"/>
      <c r="M601" s="730"/>
      <c r="N601" s="730"/>
      <c r="V601" s="194" t="str">
        <f t="array" ref="V601">IFERROR(IF(INDEX('Disaggregation Records'!$I$69:$I$152,MATCH(RIGHT(Q601,255),RIGHT('Disaggregation Records'!$D$69:$D$152,255),0))="","",INDEX('Disaggregation Records'!$I$69:$I$152,MATCH(RIGHT(Q601,255),RIGHT('Disaggregation Records'!$D$69:$D$152,255),0))),"")</f>
        <v/>
      </c>
    </row>
    <row r="602" spans="1:23" s="194" customFormat="1" ht="40.4" customHeight="1" x14ac:dyDescent="0.35">
      <c r="A602" s="770" t="str">
        <f ca="1">INDIRECT("'update Helper'!C"&amp;U602)</f>
        <v>a1V3p000006jw9dEAA</v>
      </c>
      <c r="B602" s="766">
        <v>15</v>
      </c>
      <c r="C602" s="760" t="str">
        <f>IFERROR(VLOOKUP(B602,'Outcome Indicators - Section C '!$A$9:$AF$70,32,FALSE),"")</f>
        <v/>
      </c>
      <c r="D602" s="768" t="str">
        <f>R602</f>
        <v/>
      </c>
      <c r="E602" s="768" t="str">
        <f>S602</f>
        <v/>
      </c>
      <c r="F602" s="413"/>
      <c r="G602" s="762" t="str">
        <f ca="1">IF(OR(INDIRECT("'update Helper'!E"&amp;U602)="",F602&lt;&gt;0,F603&lt;&gt;0),IF(IFERROR((F602/F603),"")="","",(F602/F603)),INDIRECT("'update Helper'!E"&amp;U602)/100)</f>
        <v/>
      </c>
      <c r="H602" s="743"/>
      <c r="I602" s="764"/>
      <c r="J602" s="729"/>
      <c r="K602" s="760" t="str">
        <f>W602</f>
        <v/>
      </c>
      <c r="L602" s="760" t="str">
        <f>V602</f>
        <v/>
      </c>
      <c r="M602" s="729"/>
      <c r="N602" s="729"/>
      <c r="P602" s="194">
        <f>IF(AND(EXACT(C602,C600),C600&lt;&gt;0),P600+1,0)</f>
        <v>93</v>
      </c>
      <c r="Q602" s="194" t="str">
        <f>IF(C602&lt;&gt;"",C602&amp;"-"&amp;P602,"")</f>
        <v/>
      </c>
      <c r="R602" s="194" t="str">
        <f t="array" ref="R602">IFERROR(IF(INDEX('Disaggregation Records'!$E$69:$E$152,MATCH(RIGHT(Q602,255),RIGHT('Disaggregation Records'!$D$69:$D$152,255),0))="","",INDEX('Disaggregation Records'!$E$69:$E$152,MATCH(RIGHT(Q602,255),RIGHT('Disaggregation Records'!$D$69:$D$152,255),0))),"")</f>
        <v/>
      </c>
      <c r="S602" s="194" t="str">
        <f t="array" ref="S602">IFERROR(IF(INDEX('Disaggregation Records'!$F$69:$F$152,MATCH(RIGHT(Q602,255),RIGHT('Disaggregation Records'!$D$69:$D$152,255),0))="","",INDEX('Disaggregation Records'!$F$69:$F$152,MATCH(RIGHT(Q602,255),RIGHT('Disaggregation Records'!$D$69:$D$152,255),0))),"")</f>
        <v/>
      </c>
      <c r="T602" s="194" t="str">
        <f t="array" ref="T602">IFERROR(IF(INDEX('Disaggregation Records'!$H$69:$H$152,MATCH(RIGHT(Q602,255),RIGHT('Disaggregation Records'!$D$69:$D$152,255),0))="","",INDEX('Disaggregation Records'!$H$69:$H$152,MATCH(RIGHT(Q602,255),RIGHT('Disaggregation Records'!$D$69:$D$152,255),0))),"")</f>
        <v/>
      </c>
      <c r="U602" s="194">
        <f>U600+1</f>
        <v>1810</v>
      </c>
      <c r="V602" s="194" t="str">
        <f t="array" ref="V602">IFERROR(IF(INDEX('Disaggregation Records'!$I$69:$I$152,MATCH(RIGHT(Q602,255),RIGHT('Disaggregation Records'!$D$69:$D$152,255),0))="","",INDEX('Disaggregation Records'!$I$69:$I$152,MATCH(RIGHT(Q602,255),RIGHT('Disaggregation Records'!$D$69:$D$152,255),0))),"")</f>
        <v/>
      </c>
      <c r="W602" s="194" t="str">
        <f>IFERROR(INDEX('Reference Records'!P$23:P$74,MATCH(LEFT(C602,255),'Reference Records'!J$23:J$74,0)),"")</f>
        <v/>
      </c>
    </row>
    <row r="603" spans="1:23" s="194" customFormat="1" ht="40.4" customHeight="1" x14ac:dyDescent="0.35">
      <c r="A603" s="770"/>
      <c r="B603" s="767"/>
      <c r="C603" s="761"/>
      <c r="D603" s="769"/>
      <c r="E603" s="769"/>
      <c r="F603" s="208"/>
      <c r="G603" s="763"/>
      <c r="H603" s="744"/>
      <c r="I603" s="765"/>
      <c r="J603" s="730"/>
      <c r="K603" s="761"/>
      <c r="L603" s="761"/>
      <c r="M603" s="730"/>
      <c r="N603" s="730"/>
      <c r="V603" s="194" t="str">
        <f t="array" ref="V603">IFERROR(IF(INDEX('Disaggregation Records'!$I$69:$I$152,MATCH(RIGHT(Q603,255),RIGHT('Disaggregation Records'!$D$69:$D$152,255),0))="","",INDEX('Disaggregation Records'!$I$69:$I$152,MATCH(RIGHT(Q603,255),RIGHT('Disaggregation Records'!$D$69:$D$152,255),0))),"")</f>
        <v/>
      </c>
    </row>
    <row r="604" spans="1:23" s="194" customFormat="1" ht="40.4" customHeight="1" x14ac:dyDescent="0.35">
      <c r="A604" s="770" t="str">
        <f ca="1">INDIRECT("'update Helper'!C"&amp;U604)</f>
        <v>a1V3p000006jw9eEAA</v>
      </c>
      <c r="B604" s="766">
        <v>15</v>
      </c>
      <c r="C604" s="760" t="str">
        <f>IFERROR(VLOOKUP(B604,'Outcome Indicators - Section C '!$A$9:$AF$70,32,FALSE),"")</f>
        <v/>
      </c>
      <c r="D604" s="768" t="str">
        <f>R604</f>
        <v/>
      </c>
      <c r="E604" s="768" t="str">
        <f>S604</f>
        <v/>
      </c>
      <c r="F604" s="413"/>
      <c r="G604" s="762" t="str">
        <f ca="1">IF(OR(INDIRECT("'update Helper'!E"&amp;U604)="",F604&lt;&gt;0,F605&lt;&gt;0),IF(IFERROR((F604/F605),"")="","",(F604/F605)),INDIRECT("'update Helper'!E"&amp;U604)/100)</f>
        <v/>
      </c>
      <c r="H604" s="743"/>
      <c r="I604" s="764"/>
      <c r="J604" s="729"/>
      <c r="K604" s="760" t="str">
        <f>W604</f>
        <v/>
      </c>
      <c r="L604" s="760" t="str">
        <f>V604</f>
        <v/>
      </c>
      <c r="M604" s="729"/>
      <c r="N604" s="729"/>
      <c r="P604" s="194">
        <f>IF(AND(EXACT(C604,C602),C602&lt;&gt;0),P602+1,0)</f>
        <v>94</v>
      </c>
      <c r="Q604" s="194" t="str">
        <f>IF(C604&lt;&gt;"",C604&amp;"-"&amp;P604,"")</f>
        <v/>
      </c>
      <c r="R604" s="194" t="str">
        <f t="array" ref="R604">IFERROR(IF(INDEX('Disaggregation Records'!$E$69:$E$152,MATCH(RIGHT(Q604,255),RIGHT('Disaggregation Records'!$D$69:$D$152,255),0))="","",INDEX('Disaggregation Records'!$E$69:$E$152,MATCH(RIGHT(Q604,255),RIGHT('Disaggregation Records'!$D$69:$D$152,255),0))),"")</f>
        <v/>
      </c>
      <c r="S604" s="194" t="str">
        <f t="array" ref="S604">IFERROR(IF(INDEX('Disaggregation Records'!$F$69:$F$152,MATCH(RIGHT(Q604,255),RIGHT('Disaggregation Records'!$D$69:$D$152,255),0))="","",INDEX('Disaggregation Records'!$F$69:$F$152,MATCH(RIGHT(Q604,255),RIGHT('Disaggregation Records'!$D$69:$D$152,255),0))),"")</f>
        <v/>
      </c>
      <c r="T604" s="194" t="str">
        <f t="array" ref="T604">IFERROR(IF(INDEX('Disaggregation Records'!$H$69:$H$152,MATCH(RIGHT(Q604,255),RIGHT('Disaggregation Records'!$D$69:$D$152,255),0))="","",INDEX('Disaggregation Records'!$H$69:$H$152,MATCH(RIGHT(Q604,255),RIGHT('Disaggregation Records'!$D$69:$D$152,255),0))),"")</f>
        <v/>
      </c>
      <c r="U604" s="194">
        <f>U602+1</f>
        <v>1811</v>
      </c>
      <c r="V604" s="194" t="str">
        <f t="array" ref="V604">IFERROR(IF(INDEX('Disaggregation Records'!$I$69:$I$152,MATCH(RIGHT(Q604,255),RIGHT('Disaggregation Records'!$D$69:$D$152,255),0))="","",INDEX('Disaggregation Records'!$I$69:$I$152,MATCH(RIGHT(Q604,255),RIGHT('Disaggregation Records'!$D$69:$D$152,255),0))),"")</f>
        <v/>
      </c>
      <c r="W604" s="194" t="str">
        <f>IFERROR(INDEX('Reference Records'!P$23:P$74,MATCH(LEFT(C604,255),'Reference Records'!J$23:J$74,0)),"")</f>
        <v/>
      </c>
    </row>
    <row r="605" spans="1:23" s="194" customFormat="1" ht="40.4" customHeight="1" x14ac:dyDescent="0.35">
      <c r="A605" s="770"/>
      <c r="B605" s="767"/>
      <c r="C605" s="761"/>
      <c r="D605" s="769"/>
      <c r="E605" s="769"/>
      <c r="F605" s="208"/>
      <c r="G605" s="763"/>
      <c r="H605" s="744"/>
      <c r="I605" s="765"/>
      <c r="J605" s="730"/>
      <c r="K605" s="761"/>
      <c r="L605" s="761"/>
      <c r="M605" s="730"/>
      <c r="N605" s="730"/>
      <c r="V605" s="194" t="str">
        <f t="array" ref="V605">IFERROR(IF(INDEX('Disaggregation Records'!$I$69:$I$152,MATCH(RIGHT(Q605,255),RIGHT('Disaggregation Records'!$D$69:$D$152,255),0))="","",INDEX('Disaggregation Records'!$I$69:$I$152,MATCH(RIGHT(Q605,255),RIGHT('Disaggregation Records'!$D$69:$D$152,255),0))),"")</f>
        <v/>
      </c>
    </row>
    <row r="606" spans="1:23" s="194" customFormat="1" ht="40.4" customHeight="1" x14ac:dyDescent="0.35">
      <c r="A606" s="770" t="str">
        <f ca="1">INDIRECT("'update Helper'!C"&amp;U606)</f>
        <v>a1V3p000006jw9fEAA</v>
      </c>
      <c r="B606" s="766">
        <v>15</v>
      </c>
      <c r="C606" s="760" t="str">
        <f>IFERROR(VLOOKUP(B606,'Outcome Indicators - Section C '!$A$9:$AF$70,32,FALSE),"")</f>
        <v/>
      </c>
      <c r="D606" s="768" t="str">
        <f>R606</f>
        <v/>
      </c>
      <c r="E606" s="768" t="str">
        <f>S606</f>
        <v/>
      </c>
      <c r="F606" s="413"/>
      <c r="G606" s="762" t="str">
        <f ca="1">IF(OR(INDIRECT("'update Helper'!E"&amp;U606)="",F606&lt;&gt;0,F607&lt;&gt;0),IF(IFERROR((F606/F607),"")="","",(F606/F607)),INDIRECT("'update Helper'!E"&amp;U606)/100)</f>
        <v/>
      </c>
      <c r="H606" s="743"/>
      <c r="I606" s="764"/>
      <c r="J606" s="729"/>
      <c r="K606" s="760" t="str">
        <f>W606</f>
        <v/>
      </c>
      <c r="L606" s="760" t="str">
        <f>V606</f>
        <v/>
      </c>
      <c r="M606" s="729"/>
      <c r="N606" s="729"/>
      <c r="P606" s="194">
        <f>IF(AND(EXACT(C606,C604),C604&lt;&gt;0),P604+1,0)</f>
        <v>95</v>
      </c>
      <c r="Q606" s="194" t="str">
        <f>IF(C606&lt;&gt;"",C606&amp;"-"&amp;P606,"")</f>
        <v/>
      </c>
      <c r="R606" s="194" t="str">
        <f t="array" ref="R606">IFERROR(IF(INDEX('Disaggregation Records'!$E$69:$E$152,MATCH(RIGHT(Q606,255),RIGHT('Disaggregation Records'!$D$69:$D$152,255),0))="","",INDEX('Disaggregation Records'!$E$69:$E$152,MATCH(RIGHT(Q606,255),RIGHT('Disaggregation Records'!$D$69:$D$152,255),0))),"")</f>
        <v/>
      </c>
      <c r="S606" s="194" t="str">
        <f t="array" ref="S606">IFERROR(IF(INDEX('Disaggregation Records'!$F$69:$F$152,MATCH(RIGHT(Q606,255),RIGHT('Disaggregation Records'!$D$69:$D$152,255),0))="","",INDEX('Disaggregation Records'!$F$69:$F$152,MATCH(RIGHT(Q606,255),RIGHT('Disaggregation Records'!$D$69:$D$152,255),0))),"")</f>
        <v/>
      </c>
      <c r="T606" s="194" t="str">
        <f t="array" ref="T606">IFERROR(IF(INDEX('Disaggregation Records'!$H$69:$H$152,MATCH(RIGHT(Q606,255),RIGHT('Disaggregation Records'!$D$69:$D$152,255),0))="","",INDEX('Disaggregation Records'!$H$69:$H$152,MATCH(RIGHT(Q606,255),RIGHT('Disaggregation Records'!$D$69:$D$152,255),0))),"")</f>
        <v/>
      </c>
      <c r="U606" s="194">
        <f>U604+1</f>
        <v>1812</v>
      </c>
      <c r="V606" s="194" t="str">
        <f t="array" ref="V606">IFERROR(IF(INDEX('Disaggregation Records'!$I$69:$I$152,MATCH(RIGHT(Q606,255),RIGHT('Disaggregation Records'!$D$69:$D$152,255),0))="","",INDEX('Disaggregation Records'!$I$69:$I$152,MATCH(RIGHT(Q606,255),RIGHT('Disaggregation Records'!$D$69:$D$152,255),0))),"")</f>
        <v/>
      </c>
      <c r="W606" s="194" t="str">
        <f>IFERROR(INDEX('Reference Records'!P$23:P$74,MATCH(LEFT(C606,255),'Reference Records'!J$23:J$74,0)),"")</f>
        <v/>
      </c>
    </row>
    <row r="607" spans="1:23" s="194" customFormat="1" ht="40.4" customHeight="1" x14ac:dyDescent="0.35">
      <c r="A607" s="770"/>
      <c r="B607" s="767"/>
      <c r="C607" s="761"/>
      <c r="D607" s="769"/>
      <c r="E607" s="769"/>
      <c r="F607" s="208"/>
      <c r="G607" s="763"/>
      <c r="H607" s="744"/>
      <c r="I607" s="765"/>
      <c r="J607" s="730"/>
      <c r="K607" s="761"/>
      <c r="L607" s="761"/>
      <c r="M607" s="730"/>
      <c r="N607" s="730"/>
      <c r="V607" s="194" t="str">
        <f t="array" ref="V607">IFERROR(IF(INDEX('Disaggregation Records'!$I$69:$I$152,MATCH(RIGHT(Q607,255),RIGHT('Disaggregation Records'!$D$69:$D$152,255),0))="","",INDEX('Disaggregation Records'!$I$69:$I$152,MATCH(RIGHT(Q607,255),RIGHT('Disaggregation Records'!$D$69:$D$152,255),0))),"")</f>
        <v/>
      </c>
    </row>
    <row r="608" spans="1:23" s="194" customFormat="1" ht="40.4" customHeight="1" x14ac:dyDescent="0.35">
      <c r="A608" s="770" t="str">
        <f ca="1">INDIRECT("'update Helper'!C"&amp;U608)</f>
        <v>a1V3p000006jw9gEAA</v>
      </c>
      <c r="B608" s="766">
        <v>15</v>
      </c>
      <c r="C608" s="760" t="str">
        <f>IFERROR(VLOOKUP(B608,'Outcome Indicators - Section C '!$A$9:$AF$70,32,FALSE),"")</f>
        <v/>
      </c>
      <c r="D608" s="768" t="str">
        <f>R608</f>
        <v/>
      </c>
      <c r="E608" s="768" t="str">
        <f>S608</f>
        <v/>
      </c>
      <c r="F608" s="413"/>
      <c r="G608" s="762" t="str">
        <f ca="1">IF(OR(INDIRECT("'update Helper'!E"&amp;U608)="",F608&lt;&gt;0,F609&lt;&gt;0),IF(IFERROR((F608/F609),"")="","",(F608/F609)),INDIRECT("'update Helper'!E"&amp;U608)/100)</f>
        <v/>
      </c>
      <c r="H608" s="743"/>
      <c r="I608" s="764"/>
      <c r="J608" s="729"/>
      <c r="K608" s="760" t="str">
        <f>W608</f>
        <v/>
      </c>
      <c r="L608" s="760" t="str">
        <f>V608</f>
        <v/>
      </c>
      <c r="M608" s="729"/>
      <c r="N608" s="729"/>
      <c r="P608" s="194">
        <f>IF(AND(EXACT(C608,C606),C606&lt;&gt;0),P606+1,0)</f>
        <v>96</v>
      </c>
      <c r="Q608" s="194" t="str">
        <f>IF(C608&lt;&gt;"",C608&amp;"-"&amp;P608,"")</f>
        <v/>
      </c>
      <c r="R608" s="194" t="str">
        <f t="array" ref="R608">IFERROR(IF(INDEX('Disaggregation Records'!$E$69:$E$152,MATCH(RIGHT(Q608,255),RIGHT('Disaggregation Records'!$D$69:$D$152,255),0))="","",INDEX('Disaggregation Records'!$E$69:$E$152,MATCH(RIGHT(Q608,255),RIGHT('Disaggregation Records'!$D$69:$D$152,255),0))),"")</f>
        <v/>
      </c>
      <c r="S608" s="194" t="str">
        <f t="array" ref="S608">IFERROR(IF(INDEX('Disaggregation Records'!$F$69:$F$152,MATCH(RIGHT(Q608,255),RIGHT('Disaggregation Records'!$D$69:$D$152,255),0))="","",INDEX('Disaggregation Records'!$F$69:$F$152,MATCH(RIGHT(Q608,255),RIGHT('Disaggregation Records'!$D$69:$D$152,255),0))),"")</f>
        <v/>
      </c>
      <c r="T608" s="194" t="str">
        <f t="array" ref="T608">IFERROR(IF(INDEX('Disaggregation Records'!$H$69:$H$152,MATCH(RIGHT(Q608,255),RIGHT('Disaggregation Records'!$D$69:$D$152,255),0))="","",INDEX('Disaggregation Records'!$H$69:$H$152,MATCH(RIGHT(Q608,255),RIGHT('Disaggregation Records'!$D$69:$D$152,255),0))),"")</f>
        <v/>
      </c>
      <c r="U608" s="194">
        <f>U606+1</f>
        <v>1813</v>
      </c>
      <c r="V608" s="194" t="str">
        <f t="array" ref="V608">IFERROR(IF(INDEX('Disaggregation Records'!$I$69:$I$152,MATCH(RIGHT(Q608,255),RIGHT('Disaggregation Records'!$D$69:$D$152,255),0))="","",INDEX('Disaggregation Records'!$I$69:$I$152,MATCH(RIGHT(Q608,255),RIGHT('Disaggregation Records'!$D$69:$D$152,255),0))),"")</f>
        <v/>
      </c>
      <c r="W608" s="194" t="str">
        <f>IFERROR(INDEX('Reference Records'!P$23:P$74,MATCH(LEFT(C608,255),'Reference Records'!J$23:J$74,0)),"")</f>
        <v/>
      </c>
    </row>
    <row r="609" spans="1:23" s="194" customFormat="1" ht="40.4" customHeight="1" x14ac:dyDescent="0.35">
      <c r="A609" s="770"/>
      <c r="B609" s="767"/>
      <c r="C609" s="761"/>
      <c r="D609" s="769"/>
      <c r="E609" s="769"/>
      <c r="F609" s="208"/>
      <c r="G609" s="763"/>
      <c r="H609" s="744"/>
      <c r="I609" s="765"/>
      <c r="J609" s="730"/>
      <c r="K609" s="761"/>
      <c r="L609" s="761"/>
      <c r="M609" s="730"/>
      <c r="N609" s="730"/>
      <c r="V609" s="194" t="str">
        <f t="array" ref="V609">IFERROR(IF(INDEX('Disaggregation Records'!$I$69:$I$152,MATCH(RIGHT(Q609,255),RIGHT('Disaggregation Records'!$D$69:$D$152,255),0))="","",INDEX('Disaggregation Records'!$I$69:$I$152,MATCH(RIGHT(Q609,255),RIGHT('Disaggregation Records'!$D$69:$D$152,255),0))),"")</f>
        <v/>
      </c>
    </row>
    <row r="610" spans="1:23" s="194" customFormat="1" ht="40.4" customHeight="1" x14ac:dyDescent="0.35">
      <c r="A610" s="770" t="str">
        <f ca="1">INDIRECT("'update Helper'!C"&amp;U610)</f>
        <v>a1V3p000006jw9hEAA</v>
      </c>
      <c r="B610" s="766">
        <v>15</v>
      </c>
      <c r="C610" s="760" t="str">
        <f>IFERROR(VLOOKUP(B610,'Outcome Indicators - Section C '!$A$9:$AF$70,32,FALSE),"")</f>
        <v/>
      </c>
      <c r="D610" s="768" t="str">
        <f>R610</f>
        <v/>
      </c>
      <c r="E610" s="768" t="str">
        <f>S610</f>
        <v/>
      </c>
      <c r="F610" s="413"/>
      <c r="G610" s="762" t="str">
        <f ca="1">IF(OR(INDIRECT("'update Helper'!E"&amp;U610)="",F610&lt;&gt;0,F611&lt;&gt;0),IF(IFERROR((F610/F611),"")="","",(F610/F611)),INDIRECT("'update Helper'!E"&amp;U610)/100)</f>
        <v/>
      </c>
      <c r="H610" s="743"/>
      <c r="I610" s="764"/>
      <c r="J610" s="729"/>
      <c r="K610" s="760" t="str">
        <f>W610</f>
        <v/>
      </c>
      <c r="L610" s="760" t="str">
        <f>V610</f>
        <v/>
      </c>
      <c r="M610" s="729"/>
      <c r="N610" s="729"/>
      <c r="P610" s="194">
        <f>IF(AND(EXACT(C610,C608),C608&lt;&gt;0),P608+1,0)</f>
        <v>97</v>
      </c>
      <c r="Q610" s="194" t="str">
        <f>IF(C610&lt;&gt;"",C610&amp;"-"&amp;P610,"")</f>
        <v/>
      </c>
      <c r="R610" s="194" t="str">
        <f t="array" ref="R610">IFERROR(IF(INDEX('Disaggregation Records'!$E$69:$E$152,MATCH(RIGHT(Q610,255),RIGHT('Disaggregation Records'!$D$69:$D$152,255),0))="","",INDEX('Disaggregation Records'!$E$69:$E$152,MATCH(RIGHT(Q610,255),RIGHT('Disaggregation Records'!$D$69:$D$152,255),0))),"")</f>
        <v/>
      </c>
      <c r="S610" s="194" t="str">
        <f t="array" ref="S610">IFERROR(IF(INDEX('Disaggregation Records'!$F$69:$F$152,MATCH(RIGHT(Q610,255),RIGHT('Disaggregation Records'!$D$69:$D$152,255),0))="","",INDEX('Disaggregation Records'!$F$69:$F$152,MATCH(RIGHT(Q610,255),RIGHT('Disaggregation Records'!$D$69:$D$152,255),0))),"")</f>
        <v/>
      </c>
      <c r="T610" s="194" t="str">
        <f t="array" ref="T610">IFERROR(IF(INDEX('Disaggregation Records'!$H$69:$H$152,MATCH(RIGHT(Q610,255),RIGHT('Disaggregation Records'!$D$69:$D$152,255),0))="","",INDEX('Disaggregation Records'!$H$69:$H$152,MATCH(RIGHT(Q610,255),RIGHT('Disaggregation Records'!$D$69:$D$152,255),0))),"")</f>
        <v/>
      </c>
      <c r="U610" s="194">
        <f>U608+1</f>
        <v>1814</v>
      </c>
      <c r="V610" s="194" t="str">
        <f t="array" ref="V610">IFERROR(IF(INDEX('Disaggregation Records'!$I$69:$I$152,MATCH(RIGHT(Q610,255),RIGHT('Disaggregation Records'!$D$69:$D$152,255),0))="","",INDEX('Disaggregation Records'!$I$69:$I$152,MATCH(RIGHT(Q610,255),RIGHT('Disaggregation Records'!$D$69:$D$152,255),0))),"")</f>
        <v/>
      </c>
      <c r="W610" s="194" t="str">
        <f>IFERROR(INDEX('Reference Records'!P$23:P$74,MATCH(LEFT(C610,255),'Reference Records'!J$23:J$74,0)),"")</f>
        <v/>
      </c>
    </row>
    <row r="611" spans="1:23" s="194" customFormat="1" ht="40.4" customHeight="1" x14ac:dyDescent="0.35">
      <c r="A611" s="770"/>
      <c r="B611" s="767"/>
      <c r="C611" s="761"/>
      <c r="D611" s="769"/>
      <c r="E611" s="769"/>
      <c r="F611" s="208"/>
      <c r="G611" s="763"/>
      <c r="H611" s="744"/>
      <c r="I611" s="765"/>
      <c r="J611" s="730"/>
      <c r="K611" s="761"/>
      <c r="L611" s="761"/>
      <c r="M611" s="730"/>
      <c r="N611" s="730"/>
      <c r="V611" s="194" t="str">
        <f t="array" ref="V611">IFERROR(IF(INDEX('Disaggregation Records'!$I$69:$I$152,MATCH(RIGHT(Q611,255),RIGHT('Disaggregation Records'!$D$69:$D$152,255),0))="","",INDEX('Disaggregation Records'!$I$69:$I$152,MATCH(RIGHT(Q611,255),RIGHT('Disaggregation Records'!$D$69:$D$152,255),0))),"")</f>
        <v/>
      </c>
    </row>
    <row r="612" spans="1:23" s="194" customFormat="1" ht="40.4" customHeight="1" x14ac:dyDescent="0.35">
      <c r="A612" s="770" t="str">
        <f ca="1">INDIRECT("'update Helper'!C"&amp;U612)</f>
        <v>a1V3p000006jw9iEAA</v>
      </c>
      <c r="B612" s="766">
        <v>15</v>
      </c>
      <c r="C612" s="760" t="str">
        <f>IFERROR(VLOOKUP(B612,'Outcome Indicators - Section C '!$A$9:$AF$70,32,FALSE),"")</f>
        <v/>
      </c>
      <c r="D612" s="768" t="str">
        <f>R612</f>
        <v/>
      </c>
      <c r="E612" s="768" t="str">
        <f>S612</f>
        <v/>
      </c>
      <c r="F612" s="413"/>
      <c r="G612" s="762" t="str">
        <f ca="1">IF(OR(INDIRECT("'update Helper'!E"&amp;U612)="",F612&lt;&gt;0,F613&lt;&gt;0),IF(IFERROR((F612/F613),"")="","",(F612/F613)),INDIRECT("'update Helper'!E"&amp;U612)/100)</f>
        <v/>
      </c>
      <c r="H612" s="743"/>
      <c r="I612" s="764"/>
      <c r="J612" s="729"/>
      <c r="K612" s="760" t="str">
        <f>W612</f>
        <v/>
      </c>
      <c r="L612" s="760" t="str">
        <f>V612</f>
        <v/>
      </c>
      <c r="M612" s="729"/>
      <c r="N612" s="729"/>
      <c r="P612" s="194">
        <f>IF(AND(EXACT(C612,C610),C610&lt;&gt;0),P610+1,0)</f>
        <v>98</v>
      </c>
      <c r="Q612" s="194" t="str">
        <f>IF(C612&lt;&gt;"",C612&amp;"-"&amp;P612,"")</f>
        <v/>
      </c>
      <c r="R612" s="194" t="str">
        <f t="array" ref="R612">IFERROR(IF(INDEX('Disaggregation Records'!$E$69:$E$152,MATCH(RIGHT(Q612,255),RIGHT('Disaggregation Records'!$D$69:$D$152,255),0))="","",INDEX('Disaggregation Records'!$E$69:$E$152,MATCH(RIGHT(Q612,255),RIGHT('Disaggregation Records'!$D$69:$D$152,255),0))),"")</f>
        <v/>
      </c>
      <c r="S612" s="194" t="str">
        <f t="array" ref="S612">IFERROR(IF(INDEX('Disaggregation Records'!$F$69:$F$152,MATCH(RIGHT(Q612,255),RIGHT('Disaggregation Records'!$D$69:$D$152,255),0))="","",INDEX('Disaggregation Records'!$F$69:$F$152,MATCH(RIGHT(Q612,255),RIGHT('Disaggregation Records'!$D$69:$D$152,255),0))),"")</f>
        <v/>
      </c>
      <c r="T612" s="194" t="str">
        <f t="array" ref="T612">IFERROR(IF(INDEX('Disaggregation Records'!$H$69:$H$152,MATCH(RIGHT(Q612,255),RIGHT('Disaggregation Records'!$D$69:$D$152,255),0))="","",INDEX('Disaggregation Records'!$H$69:$H$152,MATCH(RIGHT(Q612,255),RIGHT('Disaggregation Records'!$D$69:$D$152,255),0))),"")</f>
        <v/>
      </c>
      <c r="U612" s="194">
        <f>U610+1</f>
        <v>1815</v>
      </c>
      <c r="V612" s="194" t="str">
        <f t="array" ref="V612">IFERROR(IF(INDEX('Disaggregation Records'!$I$69:$I$152,MATCH(RIGHT(Q612,255),RIGHT('Disaggregation Records'!$D$69:$D$152,255),0))="","",INDEX('Disaggregation Records'!$I$69:$I$152,MATCH(RIGHT(Q612,255),RIGHT('Disaggregation Records'!$D$69:$D$152,255),0))),"")</f>
        <v/>
      </c>
      <c r="W612" s="194" t="str">
        <f>IFERROR(INDEX('Reference Records'!P$23:P$74,MATCH(LEFT(C612,255),'Reference Records'!J$23:J$74,0)),"")</f>
        <v/>
      </c>
    </row>
    <row r="613" spans="1:23" s="194" customFormat="1" ht="40.4" customHeight="1" x14ac:dyDescent="0.35">
      <c r="A613" s="770"/>
      <c r="B613" s="767"/>
      <c r="C613" s="761"/>
      <c r="D613" s="769"/>
      <c r="E613" s="769"/>
      <c r="F613" s="208"/>
      <c r="G613" s="763"/>
      <c r="H613" s="744"/>
      <c r="I613" s="765"/>
      <c r="J613" s="730"/>
      <c r="K613" s="761"/>
      <c r="L613" s="761"/>
      <c r="M613" s="730"/>
      <c r="N613" s="730"/>
      <c r="V613" s="194" t="str">
        <f t="array" ref="V613">IFERROR(IF(INDEX('Disaggregation Records'!$I$69:$I$152,MATCH(RIGHT(Q613,255),RIGHT('Disaggregation Records'!$D$69:$D$152,255),0))="","",INDEX('Disaggregation Records'!$I$69:$I$152,MATCH(RIGHT(Q613,255),RIGHT('Disaggregation Records'!$D$69:$D$152,255),0))),"")</f>
        <v/>
      </c>
    </row>
    <row r="614" spans="1:23" s="194" customFormat="1" ht="40.4" customHeight="1" x14ac:dyDescent="0.35">
      <c r="A614" s="770" t="str">
        <f ca="1">INDIRECT("'update Helper'!C"&amp;U614)</f>
        <v>a1V3p000006jw9jEAA</v>
      </c>
      <c r="B614" s="766">
        <v>15</v>
      </c>
      <c r="C614" s="760" t="str">
        <f>IFERROR(VLOOKUP(B614,'Outcome Indicators - Section C '!$A$9:$AF$70,32,FALSE),"")</f>
        <v/>
      </c>
      <c r="D614" s="768" t="str">
        <f>R614</f>
        <v/>
      </c>
      <c r="E614" s="768" t="str">
        <f>S614</f>
        <v/>
      </c>
      <c r="F614" s="413"/>
      <c r="G614" s="762" t="str">
        <f ca="1">IF(OR(INDIRECT("'update Helper'!E"&amp;U614)="",F614&lt;&gt;0,F615&lt;&gt;0),IF(IFERROR((F614/F615),"")="","",(F614/F615)),INDIRECT("'update Helper'!E"&amp;U614)/100)</f>
        <v/>
      </c>
      <c r="H614" s="743"/>
      <c r="I614" s="764"/>
      <c r="J614" s="729"/>
      <c r="K614" s="760" t="str">
        <f>W614</f>
        <v/>
      </c>
      <c r="L614" s="760" t="str">
        <f>V614</f>
        <v/>
      </c>
      <c r="M614" s="729"/>
      <c r="N614" s="729"/>
      <c r="P614" s="194">
        <f>IF(AND(EXACT(C614,C612),C612&lt;&gt;0),P612+1,0)</f>
        <v>99</v>
      </c>
      <c r="Q614" s="194" t="str">
        <f>IF(C614&lt;&gt;"",C614&amp;"-"&amp;P614,"")</f>
        <v/>
      </c>
      <c r="R614" s="194" t="str">
        <f t="array" ref="R614">IFERROR(IF(INDEX('Disaggregation Records'!$E$69:$E$152,MATCH(RIGHT(Q614,255),RIGHT('Disaggregation Records'!$D$69:$D$152,255),0))="","",INDEX('Disaggregation Records'!$E$69:$E$152,MATCH(RIGHT(Q614,255),RIGHT('Disaggregation Records'!$D$69:$D$152,255),0))),"")</f>
        <v/>
      </c>
      <c r="S614" s="194" t="str">
        <f t="array" ref="S614">IFERROR(IF(INDEX('Disaggregation Records'!$F$69:$F$152,MATCH(RIGHT(Q614,255),RIGHT('Disaggregation Records'!$D$69:$D$152,255),0))="","",INDEX('Disaggregation Records'!$F$69:$F$152,MATCH(RIGHT(Q614,255),RIGHT('Disaggregation Records'!$D$69:$D$152,255),0))),"")</f>
        <v/>
      </c>
      <c r="T614" s="194" t="str">
        <f t="array" ref="T614">IFERROR(IF(INDEX('Disaggregation Records'!$H$69:$H$152,MATCH(RIGHT(Q614,255),RIGHT('Disaggregation Records'!$D$69:$D$152,255),0))="","",INDEX('Disaggregation Records'!$H$69:$H$152,MATCH(RIGHT(Q614,255),RIGHT('Disaggregation Records'!$D$69:$D$152,255),0))),"")</f>
        <v/>
      </c>
      <c r="U614" s="194">
        <f>U612+1</f>
        <v>1816</v>
      </c>
      <c r="V614" s="194" t="str">
        <f t="array" ref="V614">IFERROR(IF(INDEX('Disaggregation Records'!$I$69:$I$152,MATCH(RIGHT(Q614,255),RIGHT('Disaggregation Records'!$D$69:$D$152,255),0))="","",INDEX('Disaggregation Records'!$I$69:$I$152,MATCH(RIGHT(Q614,255),RIGHT('Disaggregation Records'!$D$69:$D$152,255),0))),"")</f>
        <v/>
      </c>
      <c r="W614" s="194" t="str">
        <f>IFERROR(INDEX('Reference Records'!P$23:P$74,MATCH(LEFT(C614,255),'Reference Records'!J$23:J$74,0)),"")</f>
        <v/>
      </c>
    </row>
    <row r="615" spans="1:23" s="194" customFormat="1" ht="40.4" customHeight="1" x14ac:dyDescent="0.35">
      <c r="A615" s="770"/>
      <c r="B615" s="767"/>
      <c r="C615" s="761"/>
      <c r="D615" s="769"/>
      <c r="E615" s="769"/>
      <c r="F615" s="208"/>
      <c r="G615" s="763"/>
      <c r="H615" s="744"/>
      <c r="I615" s="765"/>
      <c r="J615" s="730"/>
      <c r="K615" s="761"/>
      <c r="L615" s="761"/>
      <c r="M615" s="730"/>
      <c r="N615" s="730"/>
      <c r="V615" s="194" t="str">
        <f t="array" ref="V615">IFERROR(IF(INDEX('Disaggregation Records'!$I$69:$I$152,MATCH(RIGHT(Q615,255),RIGHT('Disaggregation Records'!$D$69:$D$152,255),0))="","",INDEX('Disaggregation Records'!$I$69:$I$152,MATCH(RIGHT(Q615,255),RIGHT('Disaggregation Records'!$D$69:$D$152,255),0))),"")</f>
        <v/>
      </c>
    </row>
    <row r="616" spans="1:23" x14ac:dyDescent="0.35">
      <c r="Q616" s="194"/>
      <c r="R616" s="194"/>
      <c r="S616" s="194"/>
      <c r="T616" s="194"/>
      <c r="U616" s="194"/>
    </row>
    <row r="617" spans="1:23" s="253" customFormat="1" x14ac:dyDescent="0.35">
      <c r="Q617" s="194"/>
      <c r="R617" s="194"/>
      <c r="S617" s="194"/>
      <c r="T617" s="194"/>
      <c r="U617" s="194"/>
    </row>
    <row r="619" spans="1:23" s="253" customFormat="1" ht="16.399999999999999" customHeight="1" x14ac:dyDescent="0.35">
      <c r="B619" s="773" t="str">
        <f ca="1">Translations!A80</f>
        <v>Desagregación del indicador de cobertura</v>
      </c>
      <c r="C619" s="774"/>
      <c r="D619" s="774"/>
      <c r="E619" s="774"/>
      <c r="F619" s="774"/>
      <c r="G619" s="774"/>
      <c r="H619" s="774"/>
      <c r="I619" s="774"/>
      <c r="J619" s="777"/>
      <c r="K619" s="773"/>
      <c r="L619" s="774"/>
      <c r="M619" s="774"/>
      <c r="N619" s="774"/>
    </row>
    <row r="620" spans="1:23" s="253" customFormat="1" ht="45" customHeight="1" x14ac:dyDescent="0.35">
      <c r="A620" s="253" t="s">
        <v>341</v>
      </c>
      <c r="B620" s="254" t="str">
        <f ca="1">Translations!A81</f>
        <v>Número del indicador de cobertura</v>
      </c>
      <c r="C620" s="254" t="str">
        <f ca="1">Translations!A82</f>
        <v>Nombre del indicador de cobertura</v>
      </c>
      <c r="D620" s="254" t="str">
        <f ca="1">Translations!$A$74</f>
        <v>Categoría</v>
      </c>
      <c r="E620" s="254" t="str">
        <f ca="1">Translations!$A$75</f>
        <v>Desagregación</v>
      </c>
      <c r="F620" s="254" t="s">
        <v>546</v>
      </c>
      <c r="G620" s="254" t="str">
        <f ca="1">Translations!$A$41</f>
        <v>Línea de base %</v>
      </c>
      <c r="H620" s="254" t="s">
        <v>436</v>
      </c>
      <c r="I620" s="254" t="s">
        <v>438</v>
      </c>
      <c r="J620" s="254" t="s">
        <v>407</v>
      </c>
      <c r="K620" s="271" t="str">
        <f ca="1">Translations!A82 &amp; " (EN) "</f>
        <v xml:space="preserve">Nombre del indicador de cobertura (EN) </v>
      </c>
      <c r="L620" s="271" t="str">
        <f ca="1">Translations!$A$74 &amp; " (EN)"</f>
        <v>Categoría (EN)</v>
      </c>
      <c r="M620" s="271" t="s">
        <v>11197</v>
      </c>
      <c r="N620" s="271" t="s">
        <v>11198</v>
      </c>
      <c r="R620" s="362"/>
      <c r="S620" s="362"/>
      <c r="T620" s="194"/>
    </row>
    <row r="621" spans="1:23" s="194" customFormat="1" ht="40.4" customHeight="1" x14ac:dyDescent="0.35">
      <c r="A621" s="770" t="str">
        <f ca="1">INDIRECT("'update Helper'!C"&amp;U621)</f>
        <v>a163p000004NtLaAAK</v>
      </c>
      <c r="B621" s="766">
        <v>1</v>
      </c>
      <c r="C621" s="760" t="str">
        <f>VLOOKUP(B621,'Coverage Indicators - Section D'!$A$9:$AU$70,47,FALSE)</f>
        <v>HTS-Other 1 Porcentaje de resultados de VIH positivos entre el total de pruebas de VIH realizadas en HSH</v>
      </c>
      <c r="D621" s="768" t="str">
        <f>R621</f>
        <v/>
      </c>
      <c r="E621" s="768" t="str">
        <f>S621</f>
        <v/>
      </c>
      <c r="F621" s="413"/>
      <c r="G621" s="762" t="str">
        <f ca="1">IF(OR(INDIRECT("'update Helper'!E"&amp;U621)="",F621&lt;&gt;0,F622&lt;&gt;0),IF(IFERROR((F621/F622),"")="","",(F621/F622)),INDIRECT("'update Helper'!E"&amp;U621)/100)</f>
        <v/>
      </c>
      <c r="H621" s="743"/>
      <c r="I621" s="764"/>
      <c r="J621" s="729"/>
      <c r="K621" s="760" t="str">
        <f>W621</f>
        <v/>
      </c>
      <c r="L621" s="760" t="str">
        <f>V621</f>
        <v/>
      </c>
      <c r="M621" s="729"/>
      <c r="N621" s="729"/>
      <c r="P621" s="194">
        <f>IF(AND(EXACT(C621,C619),C619&lt;&gt;0),P619+1,0)</f>
        <v>0</v>
      </c>
      <c r="Q621" s="194" t="str">
        <f>IF(C621&lt;&gt;"",C621&amp;"-"&amp;P621,"")</f>
        <v>HTS-Other 1 Porcentaje de resultados de VIH positivos entre el total de pruebas de VIH realizadas en HSH-0</v>
      </c>
      <c r="R621" s="194" t="str">
        <f t="array" ref="R621">IFERROR(IF(INDEX('Disaggregation Records'!$E$155:$E$385,MATCH(RIGHT(Q621,255),RIGHT('Disaggregation Records'!$D$155:$D$385,255),0))="","",INDEX('Disaggregation Records'!$E$155:$E$385,MATCH(RIGHT(Q621,255),RIGHT('Disaggregation Records'!$D$155:$D$385,255),0))),"")</f>
        <v/>
      </c>
      <c r="S621" s="194" t="str">
        <f t="array" ref="S621">IFERROR(IF(INDEX('Disaggregation Records'!$F$155:$F$385,MATCH(RIGHT(Q621,255),RIGHT('Disaggregation Records'!$D$155:$D$385,255),0))="","",INDEX('Disaggregation Records'!$F$155:$F$385,MATCH(RIGHT(Q621,255),RIGHT('Disaggregation Records'!$D$155:$D$385,255),0))),"")</f>
        <v/>
      </c>
      <c r="T621" s="194" t="str">
        <f t="array" ref="T621">IFERROR(IF(INDEX('Disaggregation Records'!$H$155:$H$385,MATCH(RIGHT(Q621,255),RIGHT('Disaggregation Records'!$D$155:$D$385,255),0))="","",INDEX('Disaggregation Records'!$H$155:$H$385,MATCH(RIGHT(Q621,255),RIGHT('Disaggregation Records'!$D$155:$D$385,255),0))),"")</f>
        <v/>
      </c>
      <c r="U621" s="194">
        <f>ROW(Coverage_Indicator_Disaggregation)+3</f>
        <v>2500</v>
      </c>
      <c r="V621" s="194" t="str">
        <f t="array" ref="V621">IFERROR(IF(INDEX('Disaggregation Records'!$I$155:$I$385,MATCH(RIGHT(Q621,255),RIGHT('Disaggregation Records'!$D$155:$D$385,255),0))="","",INDEX('Disaggregation Records'!$I$155:$I$385,MATCH(RIGHT(Q621,255),RIGHT('Disaggregation Records'!$D$155:$D$385,255),0))),"")</f>
        <v/>
      </c>
      <c r="W621" s="194" t="str">
        <f>IFERROR(INDEX('Reference Records'!L$77:L$157,MATCH(LEFT(C621,255),'Reference Records'!E$77:E$157,0)),"")</f>
        <v/>
      </c>
    </row>
    <row r="622" spans="1:23" s="194" customFormat="1" ht="40.4" customHeight="1" x14ac:dyDescent="0.35">
      <c r="A622" s="770"/>
      <c r="B622" s="767"/>
      <c r="C622" s="761"/>
      <c r="D622" s="769"/>
      <c r="E622" s="769"/>
      <c r="F622" s="208"/>
      <c r="G622" s="763"/>
      <c r="H622" s="744"/>
      <c r="I622" s="765"/>
      <c r="J622" s="730"/>
      <c r="K622" s="761"/>
      <c r="L622" s="761"/>
      <c r="M622" s="730"/>
      <c r="N622" s="730"/>
    </row>
    <row r="623" spans="1:23" s="194" customFormat="1" ht="40.4" customHeight="1" x14ac:dyDescent="0.35">
      <c r="A623" s="770" t="str">
        <f ca="1">INDIRECT("'update Helper'!C"&amp;U623)</f>
        <v>a163p000004NtLbAAK</v>
      </c>
      <c r="B623" s="766">
        <v>1</v>
      </c>
      <c r="C623" s="760" t="str">
        <f>VLOOKUP(B623,'Coverage Indicators - Section D'!$A$9:$AU$70,47,FALSE)</f>
        <v>HTS-Other 1 Porcentaje de resultados de VIH positivos entre el total de pruebas de VIH realizadas en HSH</v>
      </c>
      <c r="D623" s="768" t="str">
        <f>R623</f>
        <v/>
      </c>
      <c r="E623" s="768" t="str">
        <f>S623</f>
        <v/>
      </c>
      <c r="F623" s="413"/>
      <c r="G623" s="762" t="str">
        <f ca="1">IF(OR(INDIRECT("'update Helper'!E"&amp;U623)="",F623&lt;&gt;0,F624&lt;&gt;0),IF(IFERROR((F623/F624),"")="","",(F623/F624)),INDIRECT("'update Helper'!E"&amp;U623)/100)</f>
        <v/>
      </c>
      <c r="H623" s="743"/>
      <c r="I623" s="764"/>
      <c r="J623" s="729"/>
      <c r="K623" s="760" t="str">
        <f>W623</f>
        <v/>
      </c>
      <c r="L623" s="760" t="str">
        <f>V623</f>
        <v/>
      </c>
      <c r="M623" s="729"/>
      <c r="N623" s="729"/>
      <c r="P623" s="194">
        <f>IF(AND(EXACT(C623,C621),C621&lt;&gt;0),P621+1,0)</f>
        <v>1</v>
      </c>
      <c r="Q623" s="194" t="str">
        <f>IF(C623&lt;&gt;"",C623&amp;"-"&amp;P623,"")</f>
        <v>HTS-Other 1 Porcentaje de resultados de VIH positivos entre el total de pruebas de VIH realizadas en HSH-1</v>
      </c>
      <c r="R623" s="194" t="str">
        <f t="array" ref="R623">IFERROR(IF(INDEX('Disaggregation Records'!$E$155:$E$385,MATCH(RIGHT(Q623,255),RIGHT('Disaggregation Records'!$D$155:$D$385,255),0))="","",INDEX('Disaggregation Records'!$E$155:$E$385,MATCH(RIGHT(Q623,255),RIGHT('Disaggregation Records'!$D$155:$D$385,255),0))),"")</f>
        <v/>
      </c>
      <c r="S623" s="194" t="str">
        <f t="array" ref="S623">IFERROR(IF(INDEX('Disaggregation Records'!$F$155:$F$385,MATCH(RIGHT(Q623,255),RIGHT('Disaggregation Records'!$D$155:$D$385,255),0))="","",INDEX('Disaggregation Records'!$F$155:$F$385,MATCH(RIGHT(Q623,255),RIGHT('Disaggregation Records'!$D$155:$D$385,255),0))),"")</f>
        <v/>
      </c>
      <c r="T623" s="194" t="str">
        <f t="array" ref="T623">IFERROR(IF(INDEX('Disaggregation Records'!$H$155:$H$385,MATCH(RIGHT(Q623,255),RIGHT('Disaggregation Records'!$D$155:$D$385,255),0))="","",INDEX('Disaggregation Records'!$H$155:$H$385,MATCH(RIGHT(Q623,255),RIGHT('Disaggregation Records'!$D$155:$D$385,255),0))),"")</f>
        <v/>
      </c>
      <c r="U623" s="194">
        <f>U621+1</f>
        <v>2501</v>
      </c>
      <c r="V623" s="194" t="str">
        <f t="array" ref="V623">IFERROR(IF(INDEX('Disaggregation Records'!$I$155:$I$385,MATCH(RIGHT(Q623,255),RIGHT('Disaggregation Records'!$D$155:$D$385,255),0))="","",INDEX('Disaggregation Records'!$I$155:$I$385,MATCH(RIGHT(Q623,255),RIGHT('Disaggregation Records'!$D$155:$D$385,255),0))),"")</f>
        <v/>
      </c>
      <c r="W623" s="194" t="str">
        <f>IFERROR(INDEX('Reference Records'!L$77:L$157,MATCH(LEFT(C623,255),'Reference Records'!E$77:E$157,0)),"")</f>
        <v/>
      </c>
    </row>
    <row r="624" spans="1:23" s="194" customFormat="1" ht="40.4" customHeight="1" x14ac:dyDescent="0.35">
      <c r="A624" s="770"/>
      <c r="B624" s="767"/>
      <c r="C624" s="761"/>
      <c r="D624" s="769"/>
      <c r="E624" s="769"/>
      <c r="F624" s="208"/>
      <c r="G624" s="763"/>
      <c r="H624" s="744"/>
      <c r="I624" s="765"/>
      <c r="J624" s="730"/>
      <c r="K624" s="761"/>
      <c r="L624" s="761"/>
      <c r="M624" s="730"/>
      <c r="N624" s="730"/>
    </row>
    <row r="625" spans="1:23" s="194" customFormat="1" ht="40.4" customHeight="1" x14ac:dyDescent="0.35">
      <c r="A625" s="770" t="str">
        <f ca="1">INDIRECT("'update Helper'!C"&amp;U625)</f>
        <v>a163p000004NtLcAAK</v>
      </c>
      <c r="B625" s="766">
        <v>1</v>
      </c>
      <c r="C625" s="760" t="str">
        <f>VLOOKUP(B625,'Coverage Indicators - Section D'!$A$9:$AU$70,47,FALSE)</f>
        <v>HTS-Other 1 Porcentaje de resultados de VIH positivos entre el total de pruebas de VIH realizadas en HSH</v>
      </c>
      <c r="D625" s="768" t="str">
        <f>R625</f>
        <v/>
      </c>
      <c r="E625" s="768" t="str">
        <f>S625</f>
        <v/>
      </c>
      <c r="F625" s="413"/>
      <c r="G625" s="762" t="str">
        <f ca="1">IF(OR(INDIRECT("'update Helper'!E"&amp;U625)="",F625&lt;&gt;0,F626&lt;&gt;0),IF(IFERROR((F625/F626),"")="","",(F625/F626)),INDIRECT("'update Helper'!E"&amp;U625)/100)</f>
        <v/>
      </c>
      <c r="H625" s="743"/>
      <c r="I625" s="764"/>
      <c r="J625" s="729"/>
      <c r="K625" s="760" t="str">
        <f>W625</f>
        <v/>
      </c>
      <c r="L625" s="760" t="str">
        <f>V625</f>
        <v/>
      </c>
      <c r="M625" s="729"/>
      <c r="N625" s="729"/>
      <c r="P625" s="194">
        <f>IF(AND(EXACT(C625,C623),C623&lt;&gt;0),P623+1,0)</f>
        <v>2</v>
      </c>
      <c r="Q625" s="194" t="str">
        <f>IF(C625&lt;&gt;"",C625&amp;"-"&amp;P625,"")</f>
        <v>HTS-Other 1 Porcentaje de resultados de VIH positivos entre el total de pruebas de VIH realizadas en HSH-2</v>
      </c>
      <c r="R625" s="194" t="str">
        <f t="array" ref="R625">IFERROR(IF(INDEX('Disaggregation Records'!$E$155:$E$385,MATCH(RIGHT(Q625,255),RIGHT('Disaggregation Records'!$D$155:$D$385,255),0))="","",INDEX('Disaggregation Records'!$E$155:$E$385,MATCH(RIGHT(Q625,255),RIGHT('Disaggregation Records'!$D$155:$D$385,255),0))),"")</f>
        <v/>
      </c>
      <c r="S625" s="194" t="str">
        <f t="array" ref="S625">IFERROR(IF(INDEX('Disaggregation Records'!$F$155:$F$385,MATCH(RIGHT(Q625,255),RIGHT('Disaggregation Records'!$D$155:$D$385,255),0))="","",INDEX('Disaggregation Records'!$F$155:$F$385,MATCH(RIGHT(Q625,255),RIGHT('Disaggregation Records'!$D$155:$D$385,255),0))),"")</f>
        <v/>
      </c>
      <c r="T625" s="194" t="str">
        <f t="array" ref="T625">IFERROR(IF(INDEX('Disaggregation Records'!$H$155:$H$385,MATCH(RIGHT(Q625,255),RIGHT('Disaggregation Records'!$D$155:$D$385,255),0))="","",INDEX('Disaggregation Records'!$H$155:$H$385,MATCH(RIGHT(Q625,255),RIGHT('Disaggregation Records'!$D$155:$D$385,255),0))),"")</f>
        <v/>
      </c>
      <c r="U625" s="194">
        <f>U623+1</f>
        <v>2502</v>
      </c>
      <c r="V625" s="194" t="str">
        <f t="array" ref="V625">IFERROR(IF(INDEX('Disaggregation Records'!$I$155:$I$385,MATCH(RIGHT(Q625,255),RIGHT('Disaggregation Records'!$D$155:$D$385,255),0))="","",INDEX('Disaggregation Records'!$I$155:$I$385,MATCH(RIGHT(Q625,255),RIGHT('Disaggregation Records'!$D$155:$D$385,255),0))),"")</f>
        <v/>
      </c>
      <c r="W625" s="194" t="str">
        <f>IFERROR(INDEX('Reference Records'!L$77:L$157,MATCH(LEFT(C625,255),'Reference Records'!E$77:E$157,0)),"")</f>
        <v/>
      </c>
    </row>
    <row r="626" spans="1:23" s="194" customFormat="1" ht="40.4" customHeight="1" x14ac:dyDescent="0.35">
      <c r="A626" s="770"/>
      <c r="B626" s="767"/>
      <c r="C626" s="761"/>
      <c r="D626" s="769"/>
      <c r="E626" s="769"/>
      <c r="F626" s="208"/>
      <c r="G626" s="763"/>
      <c r="H626" s="744"/>
      <c r="I626" s="765"/>
      <c r="J626" s="730"/>
      <c r="K626" s="761"/>
      <c r="L626" s="761"/>
      <c r="M626" s="730"/>
      <c r="N626" s="730"/>
    </row>
    <row r="627" spans="1:23" s="194" customFormat="1" ht="40.4" customHeight="1" x14ac:dyDescent="0.35">
      <c r="A627" s="770" t="str">
        <f ca="1">INDIRECT("'update Helper'!C"&amp;U627)</f>
        <v>a163p000004NtLdAAK</v>
      </c>
      <c r="B627" s="766">
        <v>1</v>
      </c>
      <c r="C627" s="760" t="str">
        <f>VLOOKUP(B627,'Coverage Indicators - Section D'!$A$9:$AU$70,47,FALSE)</f>
        <v>HTS-Other 1 Porcentaje de resultados de VIH positivos entre el total de pruebas de VIH realizadas en HSH</v>
      </c>
      <c r="D627" s="768" t="str">
        <f>R627</f>
        <v/>
      </c>
      <c r="E627" s="768" t="str">
        <f>S627</f>
        <v/>
      </c>
      <c r="F627" s="413"/>
      <c r="G627" s="762" t="str">
        <f ca="1">IF(OR(INDIRECT("'update Helper'!E"&amp;U627)="",F627&lt;&gt;0,F628&lt;&gt;0),IF(IFERROR((F627/F628),"")="","",(F627/F628)),INDIRECT("'update Helper'!E"&amp;U627)/100)</f>
        <v/>
      </c>
      <c r="H627" s="743"/>
      <c r="I627" s="764"/>
      <c r="J627" s="729"/>
      <c r="K627" s="760" t="str">
        <f>W627</f>
        <v/>
      </c>
      <c r="L627" s="760" t="str">
        <f>V627</f>
        <v/>
      </c>
      <c r="M627" s="729"/>
      <c r="N627" s="729"/>
      <c r="P627" s="194">
        <f>IF(AND(EXACT(C627,C625),C625&lt;&gt;0),P625+1,0)</f>
        <v>3</v>
      </c>
      <c r="Q627" s="194" t="str">
        <f>IF(C627&lt;&gt;"",C627&amp;"-"&amp;P627,"")</f>
        <v>HTS-Other 1 Porcentaje de resultados de VIH positivos entre el total de pruebas de VIH realizadas en HSH-3</v>
      </c>
      <c r="R627" s="194" t="str">
        <f t="array" ref="R627">IFERROR(IF(INDEX('Disaggregation Records'!$E$155:$E$385,MATCH(RIGHT(Q627,255),RIGHT('Disaggregation Records'!$D$155:$D$385,255),0))="","",INDEX('Disaggregation Records'!$E$155:$E$385,MATCH(RIGHT(Q627,255),RIGHT('Disaggregation Records'!$D$155:$D$385,255),0))),"")</f>
        <v/>
      </c>
      <c r="S627" s="194" t="str">
        <f t="array" ref="S627">IFERROR(IF(INDEX('Disaggregation Records'!$F$155:$F$385,MATCH(RIGHT(Q627,255),RIGHT('Disaggregation Records'!$D$155:$D$385,255),0))="","",INDEX('Disaggregation Records'!$F$155:$F$385,MATCH(RIGHT(Q627,255),RIGHT('Disaggregation Records'!$D$155:$D$385,255),0))),"")</f>
        <v/>
      </c>
      <c r="T627" s="194" t="str">
        <f t="array" ref="T627">IFERROR(IF(INDEX('Disaggregation Records'!$H$155:$H$385,MATCH(RIGHT(Q627,255),RIGHT('Disaggregation Records'!$D$155:$D$385,255),0))="","",INDEX('Disaggregation Records'!$H$155:$H$385,MATCH(RIGHT(Q627,255),RIGHT('Disaggregation Records'!$D$155:$D$385,255),0))),"")</f>
        <v/>
      </c>
      <c r="U627" s="194">
        <f>U625+1</f>
        <v>2503</v>
      </c>
      <c r="V627" s="194" t="str">
        <f t="array" ref="V627">IFERROR(IF(INDEX('Disaggregation Records'!$I$155:$I$385,MATCH(RIGHT(Q627,255),RIGHT('Disaggregation Records'!$D$155:$D$385,255),0))="","",INDEX('Disaggregation Records'!$I$155:$I$385,MATCH(RIGHT(Q627,255),RIGHT('Disaggregation Records'!$D$155:$D$385,255),0))),"")</f>
        <v/>
      </c>
      <c r="W627" s="194" t="str">
        <f>IFERROR(INDEX('Reference Records'!L$77:L$157,MATCH(LEFT(C627,255),'Reference Records'!E$77:E$157,0)),"")</f>
        <v/>
      </c>
    </row>
    <row r="628" spans="1:23" s="194" customFormat="1" ht="40.4" customHeight="1" x14ac:dyDescent="0.35">
      <c r="A628" s="770"/>
      <c r="B628" s="767"/>
      <c r="C628" s="761"/>
      <c r="D628" s="769"/>
      <c r="E628" s="769"/>
      <c r="F628" s="208"/>
      <c r="G628" s="763"/>
      <c r="H628" s="744"/>
      <c r="I628" s="765"/>
      <c r="J628" s="730"/>
      <c r="K628" s="761"/>
      <c r="L628" s="761"/>
      <c r="M628" s="730"/>
      <c r="N628" s="730"/>
    </row>
    <row r="629" spans="1:23" s="194" customFormat="1" ht="40.4" customHeight="1" x14ac:dyDescent="0.35">
      <c r="A629" s="770" t="str">
        <f ca="1">INDIRECT("'update Helper'!C"&amp;U629)</f>
        <v>a163p000004NtLeAAK</v>
      </c>
      <c r="B629" s="766">
        <v>1</v>
      </c>
      <c r="C629" s="760" t="str">
        <f>VLOOKUP(B629,'Coverage Indicators - Section D'!$A$9:$AU$70,47,FALSE)</f>
        <v>HTS-Other 1 Porcentaje de resultados de VIH positivos entre el total de pruebas de VIH realizadas en HSH</v>
      </c>
      <c r="D629" s="768" t="str">
        <f>R629</f>
        <v/>
      </c>
      <c r="E629" s="768" t="str">
        <f>S629</f>
        <v/>
      </c>
      <c r="F629" s="413"/>
      <c r="G629" s="762" t="str">
        <f ca="1">IF(OR(INDIRECT("'update Helper'!E"&amp;U629)="",F629&lt;&gt;0,F630&lt;&gt;0),IF(IFERROR((F629/F630),"")="","",(F629/F630)),INDIRECT("'update Helper'!E"&amp;U629)/100)</f>
        <v/>
      </c>
      <c r="H629" s="743"/>
      <c r="I629" s="764"/>
      <c r="J629" s="729"/>
      <c r="K629" s="760" t="str">
        <f>W629</f>
        <v/>
      </c>
      <c r="L629" s="760" t="str">
        <f>V629</f>
        <v/>
      </c>
      <c r="M629" s="729"/>
      <c r="N629" s="729"/>
      <c r="P629" s="194">
        <f>IF(AND(EXACT(C629,C627),C627&lt;&gt;0),P627+1,0)</f>
        <v>4</v>
      </c>
      <c r="Q629" s="194" t="str">
        <f>IF(C629&lt;&gt;"",C629&amp;"-"&amp;P629,"")</f>
        <v>HTS-Other 1 Porcentaje de resultados de VIH positivos entre el total de pruebas de VIH realizadas en HSH-4</v>
      </c>
      <c r="R629" s="194" t="str">
        <f t="array" ref="R629">IFERROR(IF(INDEX('Disaggregation Records'!$E$155:$E$385,MATCH(RIGHT(Q629,255),RIGHT('Disaggregation Records'!$D$155:$D$385,255),0))="","",INDEX('Disaggregation Records'!$E$155:$E$385,MATCH(RIGHT(Q629,255),RIGHT('Disaggregation Records'!$D$155:$D$385,255),0))),"")</f>
        <v/>
      </c>
      <c r="S629" s="194" t="str">
        <f t="array" ref="S629">IFERROR(IF(INDEX('Disaggregation Records'!$F$155:$F$385,MATCH(RIGHT(Q629,255),RIGHT('Disaggregation Records'!$D$155:$D$385,255),0))="","",INDEX('Disaggregation Records'!$F$155:$F$385,MATCH(RIGHT(Q629,255),RIGHT('Disaggregation Records'!$D$155:$D$385,255),0))),"")</f>
        <v/>
      </c>
      <c r="T629" s="194" t="str">
        <f t="array" ref="T629">IFERROR(IF(INDEX('Disaggregation Records'!$H$155:$H$385,MATCH(RIGHT(Q629,255),RIGHT('Disaggregation Records'!$D$155:$D$385,255),0))="","",INDEX('Disaggregation Records'!$H$155:$H$385,MATCH(RIGHT(Q629,255),RIGHT('Disaggregation Records'!$D$155:$D$385,255),0))),"")</f>
        <v/>
      </c>
      <c r="U629" s="194">
        <f>U627+1</f>
        <v>2504</v>
      </c>
      <c r="V629" s="194" t="str">
        <f t="array" ref="V629">IFERROR(IF(INDEX('Disaggregation Records'!$I$155:$I$385,MATCH(RIGHT(Q629,255),RIGHT('Disaggregation Records'!$D$155:$D$385,255),0))="","",INDEX('Disaggregation Records'!$I$155:$I$385,MATCH(RIGHT(Q629,255),RIGHT('Disaggregation Records'!$D$155:$D$385,255),0))),"")</f>
        <v/>
      </c>
      <c r="W629" s="194" t="str">
        <f>IFERROR(INDEX('Reference Records'!L$77:L$157,MATCH(LEFT(C629,255),'Reference Records'!E$77:E$157,0)),"")</f>
        <v/>
      </c>
    </row>
    <row r="630" spans="1:23" s="194" customFormat="1" ht="40.4" customHeight="1" x14ac:dyDescent="0.35">
      <c r="A630" s="770"/>
      <c r="B630" s="767"/>
      <c r="C630" s="761"/>
      <c r="D630" s="769"/>
      <c r="E630" s="769"/>
      <c r="F630" s="208"/>
      <c r="G630" s="763"/>
      <c r="H630" s="744"/>
      <c r="I630" s="765"/>
      <c r="J630" s="730"/>
      <c r="K630" s="761"/>
      <c r="L630" s="761"/>
      <c r="M630" s="730"/>
      <c r="N630" s="730"/>
    </row>
    <row r="631" spans="1:23" s="194" customFormat="1" ht="40.4" customHeight="1" x14ac:dyDescent="0.35">
      <c r="A631" s="770" t="str">
        <f ca="1">INDIRECT("'update Helper'!C"&amp;U631)</f>
        <v>a163p000004NtLfAAK</v>
      </c>
      <c r="B631" s="766">
        <v>1</v>
      </c>
      <c r="C631" s="760" t="str">
        <f>VLOOKUP(B631,'Coverage Indicators - Section D'!$A$9:$AU$70,47,FALSE)</f>
        <v>HTS-Other 1 Porcentaje de resultados de VIH positivos entre el total de pruebas de VIH realizadas en HSH</v>
      </c>
      <c r="D631" s="768" t="str">
        <f>R631</f>
        <v/>
      </c>
      <c r="E631" s="768" t="str">
        <f>S631</f>
        <v/>
      </c>
      <c r="F631" s="413"/>
      <c r="G631" s="762" t="str">
        <f ca="1">IF(OR(INDIRECT("'update Helper'!E"&amp;U631)="",F631&lt;&gt;0,F632&lt;&gt;0),IF(IFERROR((F631/F632),"")="","",(F631/F632)),INDIRECT("'update Helper'!E"&amp;U631)/100)</f>
        <v/>
      </c>
      <c r="H631" s="743"/>
      <c r="I631" s="764"/>
      <c r="J631" s="729"/>
      <c r="K631" s="760" t="str">
        <f>W631</f>
        <v/>
      </c>
      <c r="L631" s="760" t="str">
        <f>V631</f>
        <v/>
      </c>
      <c r="M631" s="729"/>
      <c r="N631" s="729"/>
      <c r="P631" s="194">
        <f>IF(AND(EXACT(C631,C629),C629&lt;&gt;0),P629+1,0)</f>
        <v>5</v>
      </c>
      <c r="Q631" s="194" t="str">
        <f>IF(C631&lt;&gt;"",C631&amp;"-"&amp;P631,"")</f>
        <v>HTS-Other 1 Porcentaje de resultados de VIH positivos entre el total de pruebas de VIH realizadas en HSH-5</v>
      </c>
      <c r="R631" s="194" t="str">
        <f t="array" ref="R631">IFERROR(IF(INDEX('Disaggregation Records'!$E$155:$E$385,MATCH(RIGHT(Q631,255),RIGHT('Disaggregation Records'!$D$155:$D$385,255),0))="","",INDEX('Disaggregation Records'!$E$155:$E$385,MATCH(RIGHT(Q631,255),RIGHT('Disaggregation Records'!$D$155:$D$385,255),0))),"")</f>
        <v/>
      </c>
      <c r="S631" s="194" t="str">
        <f t="array" ref="S631">IFERROR(IF(INDEX('Disaggregation Records'!$F$155:$F$385,MATCH(RIGHT(Q631,255),RIGHT('Disaggregation Records'!$D$155:$D$385,255),0))="","",INDEX('Disaggregation Records'!$F$155:$F$385,MATCH(RIGHT(Q631,255),RIGHT('Disaggregation Records'!$D$155:$D$385,255),0))),"")</f>
        <v/>
      </c>
      <c r="T631" s="194" t="str">
        <f t="array" ref="T631">IFERROR(IF(INDEX('Disaggregation Records'!$H$155:$H$385,MATCH(RIGHT(Q631,255),RIGHT('Disaggregation Records'!$D$155:$D$385,255),0))="","",INDEX('Disaggregation Records'!$H$155:$H$385,MATCH(RIGHT(Q631,255),RIGHT('Disaggregation Records'!$D$155:$D$385,255),0))),"")</f>
        <v/>
      </c>
      <c r="U631" s="194">
        <f>U629+1</f>
        <v>2505</v>
      </c>
      <c r="V631" s="194" t="str">
        <f t="array" ref="V631">IFERROR(IF(INDEX('Disaggregation Records'!$I$155:$I$385,MATCH(RIGHT(Q631,255),RIGHT('Disaggregation Records'!$D$155:$D$385,255),0))="","",INDEX('Disaggregation Records'!$I$155:$I$385,MATCH(RIGHT(Q631,255),RIGHT('Disaggregation Records'!$D$155:$D$385,255),0))),"")</f>
        <v/>
      </c>
      <c r="W631" s="194" t="str">
        <f>IFERROR(INDEX('Reference Records'!L$77:L$157,MATCH(LEFT(C631,255),'Reference Records'!E$77:E$157,0)),"")</f>
        <v/>
      </c>
    </row>
    <row r="632" spans="1:23" s="194" customFormat="1" ht="40.4" customHeight="1" x14ac:dyDescent="0.35">
      <c r="A632" s="770"/>
      <c r="B632" s="767"/>
      <c r="C632" s="761"/>
      <c r="D632" s="769"/>
      <c r="E632" s="769"/>
      <c r="F632" s="208"/>
      <c r="G632" s="763"/>
      <c r="H632" s="744"/>
      <c r="I632" s="765"/>
      <c r="J632" s="730"/>
      <c r="K632" s="761"/>
      <c r="L632" s="761"/>
      <c r="M632" s="730"/>
      <c r="N632" s="730"/>
    </row>
    <row r="633" spans="1:23" s="194" customFormat="1" ht="40.4" customHeight="1" x14ac:dyDescent="0.35">
      <c r="A633" s="770" t="str">
        <f ca="1">INDIRECT("'update Helper'!C"&amp;U633)</f>
        <v>a163p000004NtLgAAK</v>
      </c>
      <c r="B633" s="766">
        <v>1</v>
      </c>
      <c r="C633" s="760" t="str">
        <f>VLOOKUP(B633,'Coverage Indicators - Section D'!$A$9:$AU$70,47,FALSE)</f>
        <v>HTS-Other 1 Porcentaje de resultados de VIH positivos entre el total de pruebas de VIH realizadas en HSH</v>
      </c>
      <c r="D633" s="768" t="str">
        <f>R633</f>
        <v/>
      </c>
      <c r="E633" s="768" t="str">
        <f>S633</f>
        <v/>
      </c>
      <c r="F633" s="413"/>
      <c r="G633" s="762" t="str">
        <f ca="1">IF(OR(INDIRECT("'update Helper'!E"&amp;U633)="",F633&lt;&gt;0,F634&lt;&gt;0),IF(IFERROR((F633/F634),"")="","",(F633/F634)),INDIRECT("'update Helper'!E"&amp;U633)/100)</f>
        <v/>
      </c>
      <c r="H633" s="743"/>
      <c r="I633" s="764"/>
      <c r="J633" s="729"/>
      <c r="K633" s="760" t="str">
        <f>W633</f>
        <v/>
      </c>
      <c r="L633" s="760" t="str">
        <f>V633</f>
        <v/>
      </c>
      <c r="M633" s="729"/>
      <c r="N633" s="729"/>
      <c r="P633" s="194">
        <f>IF(AND(EXACT(C633,C631),C631&lt;&gt;0),P631+1,0)</f>
        <v>6</v>
      </c>
      <c r="Q633" s="194" t="str">
        <f>IF(C633&lt;&gt;"",C633&amp;"-"&amp;P633,"")</f>
        <v>HTS-Other 1 Porcentaje de resultados de VIH positivos entre el total de pruebas de VIH realizadas en HSH-6</v>
      </c>
      <c r="R633" s="194" t="str">
        <f t="array" ref="R633">IFERROR(IF(INDEX('Disaggregation Records'!$E$155:$E$385,MATCH(RIGHT(Q633,255),RIGHT('Disaggregation Records'!$D$155:$D$385,255),0))="","",INDEX('Disaggregation Records'!$E$155:$E$385,MATCH(RIGHT(Q633,255),RIGHT('Disaggregation Records'!$D$155:$D$385,255),0))),"")</f>
        <v/>
      </c>
      <c r="S633" s="194" t="str">
        <f t="array" ref="S633">IFERROR(IF(INDEX('Disaggregation Records'!$F$155:$F$385,MATCH(RIGHT(Q633,255),RIGHT('Disaggregation Records'!$D$155:$D$385,255),0))="","",INDEX('Disaggregation Records'!$F$155:$F$385,MATCH(RIGHT(Q633,255),RIGHT('Disaggregation Records'!$D$155:$D$385,255),0))),"")</f>
        <v/>
      </c>
      <c r="T633" s="194" t="str">
        <f t="array" ref="T633">IFERROR(IF(INDEX('Disaggregation Records'!$H$155:$H$385,MATCH(RIGHT(Q633,255),RIGHT('Disaggregation Records'!$D$155:$D$385,255),0))="","",INDEX('Disaggregation Records'!$H$155:$H$385,MATCH(RIGHT(Q633,255),RIGHT('Disaggregation Records'!$D$155:$D$385,255),0))),"")</f>
        <v/>
      </c>
      <c r="U633" s="194">
        <f>U631+1</f>
        <v>2506</v>
      </c>
      <c r="V633" s="194" t="str">
        <f t="array" ref="V633">IFERROR(IF(INDEX('Disaggregation Records'!$I$155:$I$385,MATCH(RIGHT(Q633,255),RIGHT('Disaggregation Records'!$D$155:$D$385,255),0))="","",INDEX('Disaggregation Records'!$I$155:$I$385,MATCH(RIGHT(Q633,255),RIGHT('Disaggregation Records'!$D$155:$D$385,255),0))),"")</f>
        <v/>
      </c>
      <c r="W633" s="194" t="str">
        <f>IFERROR(INDEX('Reference Records'!L$77:L$157,MATCH(LEFT(C633,255),'Reference Records'!E$77:E$157,0)),"")</f>
        <v/>
      </c>
    </row>
    <row r="634" spans="1:23" s="194" customFormat="1" ht="40.4" customHeight="1" x14ac:dyDescent="0.35">
      <c r="A634" s="770"/>
      <c r="B634" s="767"/>
      <c r="C634" s="761"/>
      <c r="D634" s="769"/>
      <c r="E634" s="769"/>
      <c r="F634" s="208"/>
      <c r="G634" s="763"/>
      <c r="H634" s="744"/>
      <c r="I634" s="765"/>
      <c r="J634" s="730"/>
      <c r="K634" s="761"/>
      <c r="L634" s="761"/>
      <c r="M634" s="730"/>
      <c r="N634" s="730"/>
    </row>
    <row r="635" spans="1:23" s="194" customFormat="1" ht="40.4" customHeight="1" x14ac:dyDescent="0.35">
      <c r="A635" s="770" t="str">
        <f ca="1">INDIRECT("'update Helper'!C"&amp;U635)</f>
        <v>a163p000004NtLhAAK</v>
      </c>
      <c r="B635" s="766">
        <v>1</v>
      </c>
      <c r="C635" s="760" t="str">
        <f>VLOOKUP(B635,'Coverage Indicators - Section D'!$A$9:$AU$70,47,FALSE)</f>
        <v>HTS-Other 1 Porcentaje de resultados de VIH positivos entre el total de pruebas de VIH realizadas en HSH</v>
      </c>
      <c r="D635" s="768" t="str">
        <f>R635</f>
        <v/>
      </c>
      <c r="E635" s="768" t="str">
        <f>S635</f>
        <v/>
      </c>
      <c r="F635" s="413"/>
      <c r="G635" s="762" t="str">
        <f ca="1">IF(OR(INDIRECT("'update Helper'!E"&amp;U635)="",F635&lt;&gt;0,F636&lt;&gt;0),IF(IFERROR((F635/F636),"")="","",(F635/F636)),INDIRECT("'update Helper'!E"&amp;U635)/100)</f>
        <v/>
      </c>
      <c r="H635" s="743"/>
      <c r="I635" s="764"/>
      <c r="J635" s="729"/>
      <c r="K635" s="760" t="str">
        <f>W635</f>
        <v/>
      </c>
      <c r="L635" s="760" t="str">
        <f>V635</f>
        <v/>
      </c>
      <c r="M635" s="729"/>
      <c r="N635" s="729"/>
      <c r="P635" s="194">
        <f>IF(AND(EXACT(C635,C633),C633&lt;&gt;0),P633+1,0)</f>
        <v>7</v>
      </c>
      <c r="Q635" s="194" t="str">
        <f>IF(C635&lt;&gt;"",C635&amp;"-"&amp;P635,"")</f>
        <v>HTS-Other 1 Porcentaje de resultados de VIH positivos entre el total de pruebas de VIH realizadas en HSH-7</v>
      </c>
      <c r="R635" s="194" t="str">
        <f t="array" ref="R635">IFERROR(IF(INDEX('Disaggregation Records'!$E$155:$E$385,MATCH(RIGHT(Q635,255),RIGHT('Disaggregation Records'!$D$155:$D$385,255),0))="","",INDEX('Disaggregation Records'!$E$155:$E$385,MATCH(RIGHT(Q635,255),RIGHT('Disaggregation Records'!$D$155:$D$385,255),0))),"")</f>
        <v/>
      </c>
      <c r="S635" s="194" t="str">
        <f t="array" ref="S635">IFERROR(IF(INDEX('Disaggregation Records'!$F$155:$F$385,MATCH(RIGHT(Q635,255),RIGHT('Disaggregation Records'!$D$155:$D$385,255),0))="","",INDEX('Disaggregation Records'!$F$155:$F$385,MATCH(RIGHT(Q635,255),RIGHT('Disaggregation Records'!$D$155:$D$385,255),0))),"")</f>
        <v/>
      </c>
      <c r="T635" s="194" t="str">
        <f t="array" ref="T635">IFERROR(IF(INDEX('Disaggregation Records'!$H$155:$H$385,MATCH(RIGHT(Q635,255),RIGHT('Disaggregation Records'!$D$155:$D$385,255),0))="","",INDEX('Disaggregation Records'!$H$155:$H$385,MATCH(RIGHT(Q635,255),RIGHT('Disaggregation Records'!$D$155:$D$385,255),0))),"")</f>
        <v/>
      </c>
      <c r="U635" s="194">
        <f>U633+1</f>
        <v>2507</v>
      </c>
      <c r="V635" s="194" t="str">
        <f t="array" ref="V635">IFERROR(IF(INDEX('Disaggregation Records'!$I$155:$I$385,MATCH(RIGHT(Q635,255),RIGHT('Disaggregation Records'!$D$155:$D$385,255),0))="","",INDEX('Disaggregation Records'!$I$155:$I$385,MATCH(RIGHT(Q635,255),RIGHT('Disaggregation Records'!$D$155:$D$385,255),0))),"")</f>
        <v/>
      </c>
      <c r="W635" s="194" t="str">
        <f>IFERROR(INDEX('Reference Records'!L$77:L$157,MATCH(LEFT(C635,255),'Reference Records'!E$77:E$157,0)),"")</f>
        <v/>
      </c>
    </row>
    <row r="636" spans="1:23" s="194" customFormat="1" ht="40.4" customHeight="1" x14ac:dyDescent="0.35">
      <c r="A636" s="770"/>
      <c r="B636" s="767"/>
      <c r="C636" s="761"/>
      <c r="D636" s="769"/>
      <c r="E636" s="769"/>
      <c r="F636" s="208"/>
      <c r="G636" s="763"/>
      <c r="H636" s="744"/>
      <c r="I636" s="765"/>
      <c r="J636" s="730"/>
      <c r="K636" s="761"/>
      <c r="L636" s="761"/>
      <c r="M636" s="730"/>
      <c r="N636" s="730"/>
    </row>
    <row r="637" spans="1:23" s="194" customFormat="1" ht="40.4" customHeight="1" x14ac:dyDescent="0.35">
      <c r="A637" s="770" t="str">
        <f ca="1">INDIRECT("'update Helper'!C"&amp;U637)</f>
        <v>a163p000004NtLiAAK</v>
      </c>
      <c r="B637" s="766">
        <v>1</v>
      </c>
      <c r="C637" s="760" t="str">
        <f>VLOOKUP(B637,'Coverage Indicators - Section D'!$A$9:$AU$70,47,FALSE)</f>
        <v>HTS-Other 1 Porcentaje de resultados de VIH positivos entre el total de pruebas de VIH realizadas en HSH</v>
      </c>
      <c r="D637" s="768" t="str">
        <f>R637</f>
        <v/>
      </c>
      <c r="E637" s="768" t="str">
        <f>S637</f>
        <v/>
      </c>
      <c r="F637" s="413"/>
      <c r="G637" s="762" t="str">
        <f ca="1">IF(OR(INDIRECT("'update Helper'!E"&amp;U637)="",F637&lt;&gt;0,F638&lt;&gt;0),IF(IFERROR((F637/F638),"")="","",(F637/F638)),INDIRECT("'update Helper'!E"&amp;U637)/100)</f>
        <v/>
      </c>
      <c r="H637" s="743"/>
      <c r="I637" s="764"/>
      <c r="J637" s="729"/>
      <c r="K637" s="760" t="str">
        <f>W637</f>
        <v/>
      </c>
      <c r="L637" s="760" t="str">
        <f>V637</f>
        <v/>
      </c>
      <c r="M637" s="729"/>
      <c r="N637" s="729"/>
      <c r="P637" s="194">
        <f>IF(AND(EXACT(C637,C635),C635&lt;&gt;0),P635+1,0)</f>
        <v>8</v>
      </c>
      <c r="Q637" s="194" t="str">
        <f>IF(C637&lt;&gt;"",C637&amp;"-"&amp;P637,"")</f>
        <v>HTS-Other 1 Porcentaje de resultados de VIH positivos entre el total de pruebas de VIH realizadas en HSH-8</v>
      </c>
      <c r="R637" s="194" t="str">
        <f t="array" ref="R637">IFERROR(IF(INDEX('Disaggregation Records'!$E$155:$E$385,MATCH(RIGHT(Q637,255),RIGHT('Disaggregation Records'!$D$155:$D$385,255),0))="","",INDEX('Disaggregation Records'!$E$155:$E$385,MATCH(RIGHT(Q637,255),RIGHT('Disaggregation Records'!$D$155:$D$385,255),0))),"")</f>
        <v/>
      </c>
      <c r="S637" s="194" t="str">
        <f t="array" ref="S637">IFERROR(IF(INDEX('Disaggregation Records'!$F$155:$F$385,MATCH(RIGHT(Q637,255),RIGHT('Disaggregation Records'!$D$155:$D$385,255),0))="","",INDEX('Disaggregation Records'!$F$155:$F$385,MATCH(RIGHT(Q637,255),RIGHT('Disaggregation Records'!$D$155:$D$385,255),0))),"")</f>
        <v/>
      </c>
      <c r="T637" s="194" t="str">
        <f t="array" ref="T637">IFERROR(IF(INDEX('Disaggregation Records'!$H$155:$H$385,MATCH(RIGHT(Q637,255),RIGHT('Disaggregation Records'!$D$155:$D$385,255),0))="","",INDEX('Disaggregation Records'!$H$155:$H$385,MATCH(RIGHT(Q637,255),RIGHT('Disaggregation Records'!$D$155:$D$385,255),0))),"")</f>
        <v/>
      </c>
      <c r="U637" s="194">
        <f>U635+1</f>
        <v>2508</v>
      </c>
      <c r="V637" s="194" t="str">
        <f t="array" ref="V637">IFERROR(IF(INDEX('Disaggregation Records'!$I$155:$I$385,MATCH(RIGHT(Q637,255),RIGHT('Disaggregation Records'!$D$155:$D$385,255),0))="","",INDEX('Disaggregation Records'!$I$155:$I$385,MATCH(RIGHT(Q637,255),RIGHT('Disaggregation Records'!$D$155:$D$385,255),0))),"")</f>
        <v/>
      </c>
      <c r="W637" s="194" t="str">
        <f>IFERROR(INDEX('Reference Records'!L$77:L$157,MATCH(LEFT(C637,255),'Reference Records'!E$77:E$157,0)),"")</f>
        <v/>
      </c>
    </row>
    <row r="638" spans="1:23" s="194" customFormat="1" ht="40.4" customHeight="1" x14ac:dyDescent="0.35">
      <c r="A638" s="770"/>
      <c r="B638" s="767"/>
      <c r="C638" s="761"/>
      <c r="D638" s="769"/>
      <c r="E638" s="769"/>
      <c r="F638" s="208"/>
      <c r="G638" s="763"/>
      <c r="H638" s="744"/>
      <c r="I638" s="765"/>
      <c r="J638" s="730"/>
      <c r="K638" s="761"/>
      <c r="L638" s="761"/>
      <c r="M638" s="730"/>
      <c r="N638" s="730"/>
    </row>
    <row r="639" spans="1:23" s="194" customFormat="1" ht="40.4" customHeight="1" x14ac:dyDescent="0.35">
      <c r="A639" s="770" t="str">
        <f ca="1">INDIRECT("'update Helper'!C"&amp;U639)</f>
        <v>a163p000004NtLjAAK</v>
      </c>
      <c r="B639" s="766">
        <v>1</v>
      </c>
      <c r="C639" s="760" t="str">
        <f>VLOOKUP(B639,'Coverage Indicators - Section D'!$A$9:$AU$70,47,FALSE)</f>
        <v>HTS-Other 1 Porcentaje de resultados de VIH positivos entre el total de pruebas de VIH realizadas en HSH</v>
      </c>
      <c r="D639" s="768" t="str">
        <f>R639</f>
        <v/>
      </c>
      <c r="E639" s="768" t="str">
        <f>S639</f>
        <v/>
      </c>
      <c r="F639" s="413"/>
      <c r="G639" s="762" t="str">
        <f ca="1">IF(OR(INDIRECT("'update Helper'!E"&amp;U639)="",F639&lt;&gt;0,F640&lt;&gt;0),IF(IFERROR((F639/F640),"")="","",(F639/F640)),INDIRECT("'update Helper'!E"&amp;U639)/100)</f>
        <v/>
      </c>
      <c r="H639" s="743"/>
      <c r="I639" s="764"/>
      <c r="J639" s="729"/>
      <c r="K639" s="760" t="str">
        <f>W639</f>
        <v/>
      </c>
      <c r="L639" s="760" t="str">
        <f>V639</f>
        <v/>
      </c>
      <c r="M639" s="729"/>
      <c r="N639" s="729"/>
      <c r="P639" s="194">
        <f>IF(AND(EXACT(C639,C637),C637&lt;&gt;0),P637+1,0)</f>
        <v>9</v>
      </c>
      <c r="Q639" s="194" t="str">
        <f>IF(C639&lt;&gt;"",C639&amp;"-"&amp;P639,"")</f>
        <v>HTS-Other 1 Porcentaje de resultados de VIH positivos entre el total de pruebas de VIH realizadas en HSH-9</v>
      </c>
      <c r="R639" s="194" t="str">
        <f t="array" ref="R639">IFERROR(IF(INDEX('Disaggregation Records'!$E$155:$E$385,MATCH(RIGHT(Q639,255),RIGHT('Disaggregation Records'!$D$155:$D$385,255),0))="","",INDEX('Disaggregation Records'!$E$155:$E$385,MATCH(RIGHT(Q639,255),RIGHT('Disaggregation Records'!$D$155:$D$385,255),0))),"")</f>
        <v/>
      </c>
      <c r="S639" s="194" t="str">
        <f t="array" ref="S639">IFERROR(IF(INDEX('Disaggregation Records'!$F$155:$F$385,MATCH(RIGHT(Q639,255),RIGHT('Disaggregation Records'!$D$155:$D$385,255),0))="","",INDEX('Disaggregation Records'!$F$155:$F$385,MATCH(RIGHT(Q639,255),RIGHT('Disaggregation Records'!$D$155:$D$385,255),0))),"")</f>
        <v/>
      </c>
      <c r="T639" s="194" t="str">
        <f t="array" ref="T639">IFERROR(IF(INDEX('Disaggregation Records'!$H$155:$H$385,MATCH(RIGHT(Q639,255),RIGHT('Disaggregation Records'!$D$155:$D$385,255),0))="","",INDEX('Disaggregation Records'!$H$155:$H$385,MATCH(RIGHT(Q639,255),RIGHT('Disaggregation Records'!$D$155:$D$385,255),0))),"")</f>
        <v/>
      </c>
      <c r="U639" s="194">
        <f>U637+1</f>
        <v>2509</v>
      </c>
      <c r="V639" s="194" t="str">
        <f t="array" ref="V639">IFERROR(IF(INDEX('Disaggregation Records'!$I$155:$I$385,MATCH(RIGHT(Q639,255),RIGHT('Disaggregation Records'!$D$155:$D$385,255),0))="","",INDEX('Disaggregation Records'!$I$155:$I$385,MATCH(RIGHT(Q639,255),RIGHT('Disaggregation Records'!$D$155:$D$385,255),0))),"")</f>
        <v/>
      </c>
      <c r="W639" s="194" t="str">
        <f>IFERROR(INDEX('Reference Records'!L$77:L$157,MATCH(LEFT(C639,255),'Reference Records'!E$77:E$157,0)),"")</f>
        <v/>
      </c>
    </row>
    <row r="640" spans="1:23" s="194" customFormat="1" ht="40.4" customHeight="1" x14ac:dyDescent="0.35">
      <c r="A640" s="770"/>
      <c r="B640" s="767"/>
      <c r="C640" s="761"/>
      <c r="D640" s="769"/>
      <c r="E640" s="769"/>
      <c r="F640" s="208"/>
      <c r="G640" s="763"/>
      <c r="H640" s="744"/>
      <c r="I640" s="765"/>
      <c r="J640" s="730"/>
      <c r="K640" s="761"/>
      <c r="L640" s="761"/>
      <c r="M640" s="730"/>
      <c r="N640" s="730"/>
    </row>
    <row r="641" spans="1:23" s="194" customFormat="1" ht="40.4" customHeight="1" x14ac:dyDescent="0.35">
      <c r="A641" s="770" t="str">
        <f ca="1">INDIRECT("'update Helper'!C"&amp;U641)</f>
        <v>a163p000004NtLkAAK</v>
      </c>
      <c r="B641" s="766">
        <v>1</v>
      </c>
      <c r="C641" s="760" t="str">
        <f>VLOOKUP(B641,'Coverage Indicators - Section D'!$A$9:$AU$70,47,FALSE)</f>
        <v>HTS-Other 1 Porcentaje de resultados de VIH positivos entre el total de pruebas de VIH realizadas en HSH</v>
      </c>
      <c r="D641" s="768" t="str">
        <f>R641</f>
        <v/>
      </c>
      <c r="E641" s="768" t="str">
        <f>S641</f>
        <v/>
      </c>
      <c r="F641" s="413"/>
      <c r="G641" s="762" t="str">
        <f ca="1">IF(OR(INDIRECT("'update Helper'!E"&amp;U641)="",F641&lt;&gt;0,F642&lt;&gt;0),IF(IFERROR((F641/F642),"")="","",(F641/F642)),INDIRECT("'update Helper'!E"&amp;U641)/100)</f>
        <v/>
      </c>
      <c r="H641" s="743"/>
      <c r="I641" s="764"/>
      <c r="J641" s="729"/>
      <c r="K641" s="760" t="str">
        <f>W641</f>
        <v/>
      </c>
      <c r="L641" s="760" t="str">
        <f>V641</f>
        <v/>
      </c>
      <c r="M641" s="729"/>
      <c r="N641" s="729"/>
      <c r="P641" s="194">
        <f>IF(AND(EXACT(C641,C639),C639&lt;&gt;0),P639+1,0)</f>
        <v>10</v>
      </c>
      <c r="Q641" s="194" t="str">
        <f>IF(C641&lt;&gt;"",C641&amp;"-"&amp;P641,"")</f>
        <v>HTS-Other 1 Porcentaje de resultados de VIH positivos entre el total de pruebas de VIH realizadas en HSH-10</v>
      </c>
      <c r="R641" s="194" t="str">
        <f t="array" ref="R641">IFERROR(IF(INDEX('Disaggregation Records'!$E$155:$E$385,MATCH(RIGHT(Q641,255),RIGHT('Disaggregation Records'!$D$155:$D$385,255),0))="","",INDEX('Disaggregation Records'!$E$155:$E$385,MATCH(RIGHT(Q641,255),RIGHT('Disaggregation Records'!$D$155:$D$385,255),0))),"")</f>
        <v/>
      </c>
      <c r="S641" s="194" t="str">
        <f t="array" ref="S641">IFERROR(IF(INDEX('Disaggregation Records'!$F$155:$F$385,MATCH(RIGHT(Q641,255),RIGHT('Disaggregation Records'!$D$155:$D$385,255),0))="","",INDEX('Disaggregation Records'!$F$155:$F$385,MATCH(RIGHT(Q641,255),RIGHT('Disaggregation Records'!$D$155:$D$385,255),0))),"")</f>
        <v/>
      </c>
      <c r="T641" s="194" t="str">
        <f t="array" ref="T641">IFERROR(IF(INDEX('Disaggregation Records'!$H$155:$H$385,MATCH(RIGHT(Q641,255),RIGHT('Disaggregation Records'!$D$155:$D$385,255),0))="","",INDEX('Disaggregation Records'!$H$155:$H$385,MATCH(RIGHT(Q641,255),RIGHT('Disaggregation Records'!$D$155:$D$385,255),0))),"")</f>
        <v/>
      </c>
      <c r="U641" s="194">
        <f>U639+1</f>
        <v>2510</v>
      </c>
      <c r="V641" s="194" t="str">
        <f t="array" ref="V641">IFERROR(IF(INDEX('Disaggregation Records'!$I$155:$I$385,MATCH(RIGHT(Q641,255),RIGHT('Disaggregation Records'!$D$155:$D$385,255),0))="","",INDEX('Disaggregation Records'!$I$155:$I$385,MATCH(RIGHT(Q641,255),RIGHT('Disaggregation Records'!$D$155:$D$385,255),0))),"")</f>
        <v/>
      </c>
      <c r="W641" s="194" t="str">
        <f>IFERROR(INDEX('Reference Records'!L$77:L$157,MATCH(LEFT(C641,255),'Reference Records'!E$77:E$157,0)),"")</f>
        <v/>
      </c>
    </row>
    <row r="642" spans="1:23" s="194" customFormat="1" ht="40.4" customHeight="1" x14ac:dyDescent="0.35">
      <c r="A642" s="770"/>
      <c r="B642" s="767"/>
      <c r="C642" s="761"/>
      <c r="D642" s="769"/>
      <c r="E642" s="769"/>
      <c r="F642" s="208"/>
      <c r="G642" s="763"/>
      <c r="H642" s="744"/>
      <c r="I642" s="765"/>
      <c r="J642" s="730"/>
      <c r="K642" s="761"/>
      <c r="L642" s="761"/>
      <c r="M642" s="730"/>
      <c r="N642" s="730"/>
    </row>
    <row r="643" spans="1:23" s="194" customFormat="1" ht="40.4" customHeight="1" x14ac:dyDescent="0.35">
      <c r="A643" s="770" t="str">
        <f ca="1">INDIRECT("'update Helper'!C"&amp;U643)</f>
        <v>a163p000004NtLlAAK</v>
      </c>
      <c r="B643" s="766">
        <v>1</v>
      </c>
      <c r="C643" s="760" t="str">
        <f>VLOOKUP(B643,'Coverage Indicators - Section D'!$A$9:$AU$70,47,FALSE)</f>
        <v>HTS-Other 1 Porcentaje de resultados de VIH positivos entre el total de pruebas de VIH realizadas en HSH</v>
      </c>
      <c r="D643" s="768" t="str">
        <f>R643</f>
        <v/>
      </c>
      <c r="E643" s="768" t="str">
        <f>S643</f>
        <v/>
      </c>
      <c r="F643" s="413"/>
      <c r="G643" s="762" t="str">
        <f ca="1">IF(OR(INDIRECT("'update Helper'!E"&amp;U643)="",F643&lt;&gt;0,F644&lt;&gt;0),IF(IFERROR((F643/F644),"")="","",(F643/F644)),INDIRECT("'update Helper'!E"&amp;U643)/100)</f>
        <v/>
      </c>
      <c r="H643" s="743"/>
      <c r="I643" s="764"/>
      <c r="J643" s="729"/>
      <c r="K643" s="760" t="str">
        <f>W643</f>
        <v/>
      </c>
      <c r="L643" s="760" t="str">
        <f>V643</f>
        <v/>
      </c>
      <c r="M643" s="729"/>
      <c r="N643" s="729"/>
      <c r="P643" s="194">
        <f>IF(AND(EXACT(C643,C641),C641&lt;&gt;0),P641+1,0)</f>
        <v>11</v>
      </c>
      <c r="Q643" s="194" t="str">
        <f>IF(C643&lt;&gt;"",C643&amp;"-"&amp;P643,"")</f>
        <v>HTS-Other 1 Porcentaje de resultados de VIH positivos entre el total de pruebas de VIH realizadas en HSH-11</v>
      </c>
      <c r="R643" s="194" t="str">
        <f t="array" ref="R643">IFERROR(IF(INDEX('Disaggregation Records'!$E$155:$E$385,MATCH(RIGHT(Q643,255),RIGHT('Disaggregation Records'!$D$155:$D$385,255),0))="","",INDEX('Disaggregation Records'!$E$155:$E$385,MATCH(RIGHT(Q643,255),RIGHT('Disaggregation Records'!$D$155:$D$385,255),0))),"")</f>
        <v/>
      </c>
      <c r="S643" s="194" t="str">
        <f t="array" ref="S643">IFERROR(IF(INDEX('Disaggregation Records'!$F$155:$F$385,MATCH(RIGHT(Q643,255),RIGHT('Disaggregation Records'!$D$155:$D$385,255),0))="","",INDEX('Disaggregation Records'!$F$155:$F$385,MATCH(RIGHT(Q643,255),RIGHT('Disaggregation Records'!$D$155:$D$385,255),0))),"")</f>
        <v/>
      </c>
      <c r="T643" s="194" t="str">
        <f t="array" ref="T643">IFERROR(IF(INDEX('Disaggregation Records'!$H$155:$H$385,MATCH(RIGHT(Q643,255),RIGHT('Disaggregation Records'!$D$155:$D$385,255),0))="","",INDEX('Disaggregation Records'!$H$155:$H$385,MATCH(RIGHT(Q643,255),RIGHT('Disaggregation Records'!$D$155:$D$385,255),0))),"")</f>
        <v/>
      </c>
      <c r="U643" s="194">
        <f>U641+1</f>
        <v>2511</v>
      </c>
      <c r="V643" s="194" t="str">
        <f t="array" ref="V643">IFERROR(IF(INDEX('Disaggregation Records'!$I$155:$I$385,MATCH(RIGHT(Q643,255),RIGHT('Disaggregation Records'!$D$155:$D$385,255),0))="","",INDEX('Disaggregation Records'!$I$155:$I$385,MATCH(RIGHT(Q643,255),RIGHT('Disaggregation Records'!$D$155:$D$385,255),0))),"")</f>
        <v/>
      </c>
      <c r="W643" s="194" t="str">
        <f>IFERROR(INDEX('Reference Records'!L$77:L$157,MATCH(LEFT(C643,255),'Reference Records'!E$77:E$157,0)),"")</f>
        <v/>
      </c>
    </row>
    <row r="644" spans="1:23" s="194" customFormat="1" ht="40.4" customHeight="1" x14ac:dyDescent="0.35">
      <c r="A644" s="770"/>
      <c r="B644" s="767"/>
      <c r="C644" s="761"/>
      <c r="D644" s="769"/>
      <c r="E644" s="769"/>
      <c r="F644" s="208"/>
      <c r="G644" s="763"/>
      <c r="H644" s="744"/>
      <c r="I644" s="765"/>
      <c r="J644" s="730"/>
      <c r="K644" s="761"/>
      <c r="L644" s="761"/>
      <c r="M644" s="730"/>
      <c r="N644" s="730"/>
    </row>
    <row r="645" spans="1:23" s="194" customFormat="1" ht="40.4" customHeight="1" x14ac:dyDescent="0.35">
      <c r="A645" s="770" t="str">
        <f ca="1">INDIRECT("'update Helper'!C"&amp;U645)</f>
        <v>a163p000004NtLmAAK</v>
      </c>
      <c r="B645" s="766">
        <v>1</v>
      </c>
      <c r="C645" s="760" t="str">
        <f>VLOOKUP(B645,'Coverage Indicators - Section D'!$A$9:$AU$70,47,FALSE)</f>
        <v>HTS-Other 1 Porcentaje de resultados de VIH positivos entre el total de pruebas de VIH realizadas en HSH</v>
      </c>
      <c r="D645" s="768" t="str">
        <f>R645</f>
        <v/>
      </c>
      <c r="E645" s="768" t="str">
        <f>S645</f>
        <v/>
      </c>
      <c r="F645" s="413"/>
      <c r="G645" s="762" t="str">
        <f ca="1">IF(OR(INDIRECT("'update Helper'!E"&amp;U645)="",F645&lt;&gt;0,F646&lt;&gt;0),IF(IFERROR((F645/F646),"")="","",(F645/F646)),INDIRECT("'update Helper'!E"&amp;U645)/100)</f>
        <v/>
      </c>
      <c r="H645" s="743"/>
      <c r="I645" s="764"/>
      <c r="J645" s="729"/>
      <c r="K645" s="760" t="str">
        <f>W645</f>
        <v/>
      </c>
      <c r="L645" s="760" t="str">
        <f>V645</f>
        <v/>
      </c>
      <c r="M645" s="729"/>
      <c r="N645" s="729"/>
      <c r="P645" s="194">
        <f>IF(AND(EXACT(C645,C643),C643&lt;&gt;0),P643+1,0)</f>
        <v>12</v>
      </c>
      <c r="Q645" s="194" t="str">
        <f>IF(C645&lt;&gt;"",C645&amp;"-"&amp;P645,"")</f>
        <v>HTS-Other 1 Porcentaje de resultados de VIH positivos entre el total de pruebas de VIH realizadas en HSH-12</v>
      </c>
      <c r="R645" s="194" t="str">
        <f t="array" ref="R645">IFERROR(IF(INDEX('Disaggregation Records'!$E$155:$E$385,MATCH(RIGHT(Q645,255),RIGHT('Disaggregation Records'!$D$155:$D$385,255),0))="","",INDEX('Disaggregation Records'!$E$155:$E$385,MATCH(RIGHT(Q645,255),RIGHT('Disaggregation Records'!$D$155:$D$385,255),0))),"")</f>
        <v/>
      </c>
      <c r="S645" s="194" t="str">
        <f t="array" ref="S645">IFERROR(IF(INDEX('Disaggregation Records'!$F$155:$F$385,MATCH(RIGHT(Q645,255),RIGHT('Disaggregation Records'!$D$155:$D$385,255),0))="","",INDEX('Disaggregation Records'!$F$155:$F$385,MATCH(RIGHT(Q645,255),RIGHT('Disaggregation Records'!$D$155:$D$385,255),0))),"")</f>
        <v/>
      </c>
      <c r="T645" s="194" t="str">
        <f t="array" ref="T645">IFERROR(IF(INDEX('Disaggregation Records'!$H$155:$H$385,MATCH(RIGHT(Q645,255),RIGHT('Disaggregation Records'!$D$155:$D$385,255),0))="","",INDEX('Disaggregation Records'!$H$155:$H$385,MATCH(RIGHT(Q645,255),RIGHT('Disaggregation Records'!$D$155:$D$385,255),0))),"")</f>
        <v/>
      </c>
      <c r="U645" s="194">
        <f>U643+1</f>
        <v>2512</v>
      </c>
      <c r="V645" s="194" t="str">
        <f t="array" ref="V645">IFERROR(IF(INDEX('Disaggregation Records'!$I$155:$I$385,MATCH(RIGHT(Q645,255),RIGHT('Disaggregation Records'!$D$155:$D$385,255),0))="","",INDEX('Disaggregation Records'!$I$155:$I$385,MATCH(RIGHT(Q645,255),RIGHT('Disaggregation Records'!$D$155:$D$385,255),0))),"")</f>
        <v/>
      </c>
      <c r="W645" s="194" t="str">
        <f>IFERROR(INDEX('Reference Records'!L$77:L$157,MATCH(LEFT(C645,255),'Reference Records'!E$77:E$157,0)),"")</f>
        <v/>
      </c>
    </row>
    <row r="646" spans="1:23" s="194" customFormat="1" ht="40.4" customHeight="1" x14ac:dyDescent="0.35">
      <c r="A646" s="770"/>
      <c r="B646" s="767"/>
      <c r="C646" s="761"/>
      <c r="D646" s="769"/>
      <c r="E646" s="769"/>
      <c r="F646" s="208"/>
      <c r="G646" s="763"/>
      <c r="H646" s="744"/>
      <c r="I646" s="765"/>
      <c r="J646" s="730"/>
      <c r="K646" s="761"/>
      <c r="L646" s="761"/>
      <c r="M646" s="730"/>
      <c r="N646" s="730"/>
    </row>
    <row r="647" spans="1:23" s="194" customFormat="1" ht="40.4" customHeight="1" x14ac:dyDescent="0.35">
      <c r="A647" s="770" t="str">
        <f ca="1">INDIRECT("'update Helper'!C"&amp;U647)</f>
        <v>a163p000004NtLnAAK</v>
      </c>
      <c r="B647" s="766">
        <v>1</v>
      </c>
      <c r="C647" s="760" t="str">
        <f>VLOOKUP(B647,'Coverage Indicators - Section D'!$A$9:$AU$70,47,FALSE)</f>
        <v>HTS-Other 1 Porcentaje de resultados de VIH positivos entre el total de pruebas de VIH realizadas en HSH</v>
      </c>
      <c r="D647" s="768" t="str">
        <f>R647</f>
        <v/>
      </c>
      <c r="E647" s="768" t="str">
        <f>S647</f>
        <v/>
      </c>
      <c r="F647" s="413"/>
      <c r="G647" s="762" t="str">
        <f ca="1">IF(OR(INDIRECT("'update Helper'!E"&amp;U647)="",F647&lt;&gt;0,F648&lt;&gt;0),IF(IFERROR((F647/F648),"")="","",(F647/F648)),INDIRECT("'update Helper'!E"&amp;U647)/100)</f>
        <v/>
      </c>
      <c r="H647" s="743"/>
      <c r="I647" s="764"/>
      <c r="J647" s="729"/>
      <c r="K647" s="760" t="str">
        <f>W647</f>
        <v/>
      </c>
      <c r="L647" s="760" t="str">
        <f>V647</f>
        <v/>
      </c>
      <c r="M647" s="729"/>
      <c r="N647" s="729"/>
      <c r="P647" s="194">
        <f>IF(AND(EXACT(C647,C645),C645&lt;&gt;0),P645+1,0)</f>
        <v>13</v>
      </c>
      <c r="Q647" s="194" t="str">
        <f>IF(C647&lt;&gt;"",C647&amp;"-"&amp;P647,"")</f>
        <v>HTS-Other 1 Porcentaje de resultados de VIH positivos entre el total de pruebas de VIH realizadas en HSH-13</v>
      </c>
      <c r="R647" s="194" t="str">
        <f t="array" ref="R647">IFERROR(IF(INDEX('Disaggregation Records'!$E$155:$E$385,MATCH(RIGHT(Q647,255),RIGHT('Disaggregation Records'!$D$155:$D$385,255),0))="","",INDEX('Disaggregation Records'!$E$155:$E$385,MATCH(RIGHT(Q647,255),RIGHT('Disaggregation Records'!$D$155:$D$385,255),0))),"")</f>
        <v/>
      </c>
      <c r="S647" s="194" t="str">
        <f t="array" ref="S647">IFERROR(IF(INDEX('Disaggregation Records'!$F$155:$F$385,MATCH(RIGHT(Q647,255),RIGHT('Disaggregation Records'!$D$155:$D$385,255),0))="","",INDEX('Disaggregation Records'!$F$155:$F$385,MATCH(RIGHT(Q647,255),RIGHT('Disaggregation Records'!$D$155:$D$385,255),0))),"")</f>
        <v/>
      </c>
      <c r="T647" s="194" t="str">
        <f t="array" ref="T647">IFERROR(IF(INDEX('Disaggregation Records'!$H$155:$H$385,MATCH(RIGHT(Q647,255),RIGHT('Disaggregation Records'!$D$155:$D$385,255),0))="","",INDEX('Disaggregation Records'!$H$155:$H$385,MATCH(RIGHT(Q647,255),RIGHT('Disaggregation Records'!$D$155:$D$385,255),0))),"")</f>
        <v/>
      </c>
      <c r="U647" s="194">
        <f>U645+1</f>
        <v>2513</v>
      </c>
      <c r="V647" s="194" t="str">
        <f t="array" ref="V647">IFERROR(IF(INDEX('Disaggregation Records'!$I$155:$I$385,MATCH(RIGHT(Q647,255),RIGHT('Disaggregation Records'!$D$155:$D$385,255),0))="","",INDEX('Disaggregation Records'!$I$155:$I$385,MATCH(RIGHT(Q647,255),RIGHT('Disaggregation Records'!$D$155:$D$385,255),0))),"")</f>
        <v/>
      </c>
      <c r="W647" s="194" t="str">
        <f>IFERROR(INDEX('Reference Records'!L$77:L$157,MATCH(LEFT(C647,255),'Reference Records'!E$77:E$157,0)),"")</f>
        <v/>
      </c>
    </row>
    <row r="648" spans="1:23" s="194" customFormat="1" ht="40.4" customHeight="1" x14ac:dyDescent="0.35">
      <c r="A648" s="770"/>
      <c r="B648" s="767"/>
      <c r="C648" s="761"/>
      <c r="D648" s="769"/>
      <c r="E648" s="769"/>
      <c r="F648" s="208"/>
      <c r="G648" s="763"/>
      <c r="H648" s="744"/>
      <c r="I648" s="765"/>
      <c r="J648" s="730"/>
      <c r="K648" s="761"/>
      <c r="L648" s="761"/>
      <c r="M648" s="730"/>
      <c r="N648" s="730"/>
    </row>
    <row r="649" spans="1:23" s="194" customFormat="1" ht="40.4" customHeight="1" x14ac:dyDescent="0.35">
      <c r="A649" s="770" t="str">
        <f ca="1">INDIRECT("'update Helper'!C"&amp;U649)</f>
        <v>a163p000004NtLoAAK</v>
      </c>
      <c r="B649" s="766">
        <v>1</v>
      </c>
      <c r="C649" s="760" t="str">
        <f>VLOOKUP(B649,'Coverage Indicators - Section D'!$A$9:$AU$70,47,FALSE)</f>
        <v>HTS-Other 1 Porcentaje de resultados de VIH positivos entre el total de pruebas de VIH realizadas en HSH</v>
      </c>
      <c r="D649" s="768" t="str">
        <f>R649</f>
        <v/>
      </c>
      <c r="E649" s="768" t="str">
        <f>S649</f>
        <v/>
      </c>
      <c r="F649" s="413"/>
      <c r="G649" s="762" t="str">
        <f ca="1">IF(OR(INDIRECT("'update Helper'!E"&amp;U649)="",F649&lt;&gt;0,F650&lt;&gt;0),IF(IFERROR((F649/F650),"")="","",(F649/F650)),INDIRECT("'update Helper'!E"&amp;U649)/100)</f>
        <v/>
      </c>
      <c r="H649" s="743"/>
      <c r="I649" s="764"/>
      <c r="J649" s="729"/>
      <c r="K649" s="760" t="str">
        <f>W649</f>
        <v/>
      </c>
      <c r="L649" s="760" t="str">
        <f>V649</f>
        <v/>
      </c>
      <c r="M649" s="729"/>
      <c r="N649" s="729"/>
      <c r="P649" s="194">
        <f>IF(AND(EXACT(C649,C647),C647&lt;&gt;0),P647+1,0)</f>
        <v>14</v>
      </c>
      <c r="Q649" s="194" t="str">
        <f>IF(C649&lt;&gt;"",C649&amp;"-"&amp;P649,"")</f>
        <v>HTS-Other 1 Porcentaje de resultados de VIH positivos entre el total de pruebas de VIH realizadas en HSH-14</v>
      </c>
      <c r="R649" s="194" t="str">
        <f t="array" ref="R649">IFERROR(IF(INDEX('Disaggregation Records'!$E$155:$E$385,MATCH(RIGHT(Q649,255),RIGHT('Disaggregation Records'!$D$155:$D$385,255),0))="","",INDEX('Disaggregation Records'!$E$155:$E$385,MATCH(RIGHT(Q649,255),RIGHT('Disaggregation Records'!$D$155:$D$385,255),0))),"")</f>
        <v/>
      </c>
      <c r="S649" s="194" t="str">
        <f t="array" ref="S649">IFERROR(IF(INDEX('Disaggregation Records'!$F$155:$F$385,MATCH(RIGHT(Q649,255),RIGHT('Disaggregation Records'!$D$155:$D$385,255),0))="","",INDEX('Disaggregation Records'!$F$155:$F$385,MATCH(RIGHT(Q649,255),RIGHT('Disaggregation Records'!$D$155:$D$385,255),0))),"")</f>
        <v/>
      </c>
      <c r="T649" s="194" t="str">
        <f t="array" ref="T649">IFERROR(IF(INDEX('Disaggregation Records'!$H$155:$H$385,MATCH(RIGHT(Q649,255),RIGHT('Disaggregation Records'!$D$155:$D$385,255),0))="","",INDEX('Disaggregation Records'!$H$155:$H$385,MATCH(RIGHT(Q649,255),RIGHT('Disaggregation Records'!$D$155:$D$385,255),0))),"")</f>
        <v/>
      </c>
      <c r="U649" s="194">
        <f>U647+1</f>
        <v>2514</v>
      </c>
      <c r="V649" s="194" t="str">
        <f t="array" ref="V649">IFERROR(IF(INDEX('Disaggregation Records'!$I$155:$I$385,MATCH(RIGHT(Q649,255),RIGHT('Disaggregation Records'!$D$155:$D$385,255),0))="","",INDEX('Disaggregation Records'!$I$155:$I$385,MATCH(RIGHT(Q649,255),RIGHT('Disaggregation Records'!$D$155:$D$385,255),0))),"")</f>
        <v/>
      </c>
      <c r="W649" s="194" t="str">
        <f>IFERROR(INDEX('Reference Records'!L$77:L$157,MATCH(LEFT(C649,255),'Reference Records'!E$77:E$157,0)),"")</f>
        <v/>
      </c>
    </row>
    <row r="650" spans="1:23" s="194" customFormat="1" ht="40.4" customHeight="1" x14ac:dyDescent="0.35">
      <c r="A650" s="770"/>
      <c r="B650" s="767"/>
      <c r="C650" s="761"/>
      <c r="D650" s="769"/>
      <c r="E650" s="769"/>
      <c r="F650" s="208"/>
      <c r="G650" s="763"/>
      <c r="H650" s="744"/>
      <c r="I650" s="765"/>
      <c r="J650" s="730"/>
      <c r="K650" s="761"/>
      <c r="L650" s="761"/>
      <c r="M650" s="730"/>
      <c r="N650" s="730"/>
    </row>
    <row r="651" spans="1:23" s="194" customFormat="1" ht="40.4" customHeight="1" x14ac:dyDescent="0.35">
      <c r="A651" s="770" t="str">
        <f ca="1">INDIRECT("'update Helper'!C"&amp;U651)</f>
        <v>a163p000004NtLpAAK</v>
      </c>
      <c r="B651" s="766">
        <v>1</v>
      </c>
      <c r="C651" s="760" t="str">
        <f>VLOOKUP(B651,'Coverage Indicators - Section D'!$A$9:$AU$70,47,FALSE)</f>
        <v>HTS-Other 1 Porcentaje de resultados de VIH positivos entre el total de pruebas de VIH realizadas en HSH</v>
      </c>
      <c r="D651" s="768" t="str">
        <f>R651</f>
        <v/>
      </c>
      <c r="E651" s="768" t="str">
        <f>S651</f>
        <v/>
      </c>
      <c r="F651" s="413"/>
      <c r="G651" s="762" t="str">
        <f ca="1">IF(OR(INDIRECT("'update Helper'!E"&amp;U651)="",F651&lt;&gt;0,F652&lt;&gt;0),IF(IFERROR((F651/F652),"")="","",(F651/F652)),INDIRECT("'update Helper'!E"&amp;U651)/100)</f>
        <v/>
      </c>
      <c r="H651" s="743"/>
      <c r="I651" s="764"/>
      <c r="J651" s="729"/>
      <c r="K651" s="760" t="str">
        <f>W651</f>
        <v/>
      </c>
      <c r="L651" s="760" t="str">
        <f>V651</f>
        <v/>
      </c>
      <c r="M651" s="729"/>
      <c r="N651" s="729"/>
      <c r="P651" s="194">
        <f>IF(AND(EXACT(C651,C649),C649&lt;&gt;0),P649+1,0)</f>
        <v>15</v>
      </c>
      <c r="Q651" s="194" t="str">
        <f>IF(C651&lt;&gt;"",C651&amp;"-"&amp;P651,"")</f>
        <v>HTS-Other 1 Porcentaje de resultados de VIH positivos entre el total de pruebas de VIH realizadas en HSH-15</v>
      </c>
      <c r="R651" s="194" t="str">
        <f t="array" ref="R651">IFERROR(IF(INDEX('Disaggregation Records'!$E$155:$E$385,MATCH(RIGHT(Q651,255),RIGHT('Disaggregation Records'!$D$155:$D$385,255),0))="","",INDEX('Disaggregation Records'!$E$155:$E$385,MATCH(RIGHT(Q651,255),RIGHT('Disaggregation Records'!$D$155:$D$385,255),0))),"")</f>
        <v/>
      </c>
      <c r="S651" s="194" t="str">
        <f t="array" ref="S651">IFERROR(IF(INDEX('Disaggregation Records'!$F$155:$F$385,MATCH(RIGHT(Q651,255),RIGHT('Disaggregation Records'!$D$155:$D$385,255),0))="","",INDEX('Disaggregation Records'!$F$155:$F$385,MATCH(RIGHT(Q651,255),RIGHT('Disaggregation Records'!$D$155:$D$385,255),0))),"")</f>
        <v/>
      </c>
      <c r="T651" s="194" t="str">
        <f t="array" ref="T651">IFERROR(IF(INDEX('Disaggregation Records'!$H$155:$H$385,MATCH(RIGHT(Q651,255),RIGHT('Disaggregation Records'!$D$155:$D$385,255),0))="","",INDEX('Disaggregation Records'!$H$155:$H$385,MATCH(RIGHT(Q651,255),RIGHT('Disaggregation Records'!$D$155:$D$385,255),0))),"")</f>
        <v/>
      </c>
      <c r="U651" s="194">
        <f>U649+1</f>
        <v>2515</v>
      </c>
      <c r="V651" s="194" t="str">
        <f t="array" ref="V651">IFERROR(IF(INDEX('Disaggregation Records'!$I$155:$I$385,MATCH(RIGHT(Q651,255),RIGHT('Disaggregation Records'!$D$155:$D$385,255),0))="","",INDEX('Disaggregation Records'!$I$155:$I$385,MATCH(RIGHT(Q651,255),RIGHT('Disaggregation Records'!$D$155:$D$385,255),0))),"")</f>
        <v/>
      </c>
      <c r="W651" s="194" t="str">
        <f>IFERROR(INDEX('Reference Records'!L$77:L$157,MATCH(LEFT(C651,255),'Reference Records'!E$77:E$157,0)),"")</f>
        <v/>
      </c>
    </row>
    <row r="652" spans="1:23" s="194" customFormat="1" ht="40.4" customHeight="1" x14ac:dyDescent="0.35">
      <c r="A652" s="770"/>
      <c r="B652" s="767"/>
      <c r="C652" s="761"/>
      <c r="D652" s="769"/>
      <c r="E652" s="769"/>
      <c r="F652" s="208"/>
      <c r="G652" s="763"/>
      <c r="H652" s="744"/>
      <c r="I652" s="765"/>
      <c r="J652" s="730"/>
      <c r="K652" s="761"/>
      <c r="L652" s="761"/>
      <c r="M652" s="730"/>
      <c r="N652" s="730"/>
    </row>
    <row r="653" spans="1:23" s="194" customFormat="1" ht="40.4" customHeight="1" x14ac:dyDescent="0.35">
      <c r="A653" s="770" t="str">
        <f ca="1">INDIRECT("'update Helper'!C"&amp;U653)</f>
        <v>a163p000004NtLqAAK</v>
      </c>
      <c r="B653" s="766">
        <v>1</v>
      </c>
      <c r="C653" s="760" t="str">
        <f>VLOOKUP(B653,'Coverage Indicators - Section D'!$A$9:$AU$70,47,FALSE)</f>
        <v>HTS-Other 1 Porcentaje de resultados de VIH positivos entre el total de pruebas de VIH realizadas en HSH</v>
      </c>
      <c r="D653" s="768" t="str">
        <f>R653</f>
        <v/>
      </c>
      <c r="E653" s="768" t="str">
        <f>S653</f>
        <v/>
      </c>
      <c r="F653" s="413"/>
      <c r="G653" s="762" t="str">
        <f ca="1">IF(OR(INDIRECT("'update Helper'!E"&amp;U653)="",F653&lt;&gt;0,F654&lt;&gt;0),IF(IFERROR((F653/F654),"")="","",(F653/F654)),INDIRECT("'update Helper'!E"&amp;U653)/100)</f>
        <v/>
      </c>
      <c r="H653" s="743"/>
      <c r="I653" s="764"/>
      <c r="J653" s="729"/>
      <c r="K653" s="760" t="str">
        <f>W653</f>
        <v/>
      </c>
      <c r="L653" s="760" t="str">
        <f>V653</f>
        <v/>
      </c>
      <c r="M653" s="729"/>
      <c r="N653" s="729"/>
      <c r="P653" s="194">
        <f>IF(AND(EXACT(C653,C651),C651&lt;&gt;0),P651+1,0)</f>
        <v>16</v>
      </c>
      <c r="Q653" s="194" t="str">
        <f>IF(C653&lt;&gt;"",C653&amp;"-"&amp;P653,"")</f>
        <v>HTS-Other 1 Porcentaje de resultados de VIH positivos entre el total de pruebas de VIH realizadas en HSH-16</v>
      </c>
      <c r="R653" s="194" t="str">
        <f t="array" ref="R653">IFERROR(IF(INDEX('Disaggregation Records'!$E$155:$E$385,MATCH(RIGHT(Q653,255),RIGHT('Disaggregation Records'!$D$155:$D$385,255),0))="","",INDEX('Disaggregation Records'!$E$155:$E$385,MATCH(RIGHT(Q653,255),RIGHT('Disaggregation Records'!$D$155:$D$385,255),0))),"")</f>
        <v/>
      </c>
      <c r="S653" s="194" t="str">
        <f t="array" ref="S653">IFERROR(IF(INDEX('Disaggregation Records'!$F$155:$F$385,MATCH(RIGHT(Q653,255),RIGHT('Disaggregation Records'!$D$155:$D$385,255),0))="","",INDEX('Disaggregation Records'!$F$155:$F$385,MATCH(RIGHT(Q653,255),RIGHT('Disaggregation Records'!$D$155:$D$385,255),0))),"")</f>
        <v/>
      </c>
      <c r="T653" s="194" t="str">
        <f t="array" ref="T653">IFERROR(IF(INDEX('Disaggregation Records'!$H$155:$H$385,MATCH(RIGHT(Q653,255),RIGHT('Disaggregation Records'!$D$155:$D$385,255),0))="","",INDEX('Disaggregation Records'!$H$155:$H$385,MATCH(RIGHT(Q653,255),RIGHT('Disaggregation Records'!$D$155:$D$385,255),0))),"")</f>
        <v/>
      </c>
      <c r="U653" s="194">
        <f>U651+1</f>
        <v>2516</v>
      </c>
      <c r="V653" s="194" t="str">
        <f t="array" ref="V653">IFERROR(IF(INDEX('Disaggregation Records'!$I$155:$I$385,MATCH(RIGHT(Q653,255),RIGHT('Disaggregation Records'!$D$155:$D$385,255),0))="","",INDEX('Disaggregation Records'!$I$155:$I$385,MATCH(RIGHT(Q653,255),RIGHT('Disaggregation Records'!$D$155:$D$385,255),0))),"")</f>
        <v/>
      </c>
      <c r="W653" s="194" t="str">
        <f>IFERROR(INDEX('Reference Records'!L$77:L$157,MATCH(LEFT(C653,255),'Reference Records'!E$77:E$157,0)),"")</f>
        <v/>
      </c>
    </row>
    <row r="654" spans="1:23" s="194" customFormat="1" ht="40.4" customHeight="1" x14ac:dyDescent="0.35">
      <c r="A654" s="770"/>
      <c r="B654" s="767"/>
      <c r="C654" s="761"/>
      <c r="D654" s="769"/>
      <c r="E654" s="769"/>
      <c r="F654" s="208"/>
      <c r="G654" s="763"/>
      <c r="H654" s="744"/>
      <c r="I654" s="765"/>
      <c r="J654" s="730"/>
      <c r="K654" s="761"/>
      <c r="L654" s="761"/>
      <c r="M654" s="730"/>
      <c r="N654" s="730"/>
    </row>
    <row r="655" spans="1:23" s="194" customFormat="1" ht="40.4" customHeight="1" x14ac:dyDescent="0.35">
      <c r="A655" s="770" t="str">
        <f ca="1">INDIRECT("'update Helper'!C"&amp;U655)</f>
        <v>a163p000004NtLrAAK</v>
      </c>
      <c r="B655" s="766">
        <v>1</v>
      </c>
      <c r="C655" s="760" t="str">
        <f>VLOOKUP(B655,'Coverage Indicators - Section D'!$A$9:$AU$70,47,FALSE)</f>
        <v>HTS-Other 1 Porcentaje de resultados de VIH positivos entre el total de pruebas de VIH realizadas en HSH</v>
      </c>
      <c r="D655" s="768" t="str">
        <f>R655</f>
        <v/>
      </c>
      <c r="E655" s="768" t="str">
        <f>S655</f>
        <v/>
      </c>
      <c r="F655" s="413"/>
      <c r="G655" s="762" t="str">
        <f ca="1">IF(OR(INDIRECT("'update Helper'!E"&amp;U655)="",F655&lt;&gt;0,F656&lt;&gt;0),IF(IFERROR((F655/F656),"")="","",(F655/F656)),INDIRECT("'update Helper'!E"&amp;U655)/100)</f>
        <v/>
      </c>
      <c r="H655" s="743"/>
      <c r="I655" s="764"/>
      <c r="J655" s="729"/>
      <c r="K655" s="760" t="str">
        <f>W655</f>
        <v/>
      </c>
      <c r="L655" s="760" t="str">
        <f>V655</f>
        <v/>
      </c>
      <c r="M655" s="729"/>
      <c r="N655" s="729"/>
      <c r="P655" s="194">
        <f>IF(AND(EXACT(C655,C653),C653&lt;&gt;0),P653+1,0)</f>
        <v>17</v>
      </c>
      <c r="Q655" s="194" t="str">
        <f>IF(C655&lt;&gt;"",C655&amp;"-"&amp;P655,"")</f>
        <v>HTS-Other 1 Porcentaje de resultados de VIH positivos entre el total de pruebas de VIH realizadas en HSH-17</v>
      </c>
      <c r="R655" s="194" t="str">
        <f t="array" ref="R655">IFERROR(IF(INDEX('Disaggregation Records'!$E$155:$E$385,MATCH(RIGHT(Q655,255),RIGHT('Disaggregation Records'!$D$155:$D$385,255),0))="","",INDEX('Disaggregation Records'!$E$155:$E$385,MATCH(RIGHT(Q655,255),RIGHT('Disaggregation Records'!$D$155:$D$385,255),0))),"")</f>
        <v/>
      </c>
      <c r="S655" s="194" t="str">
        <f t="array" ref="S655">IFERROR(IF(INDEX('Disaggregation Records'!$F$155:$F$385,MATCH(RIGHT(Q655,255),RIGHT('Disaggregation Records'!$D$155:$D$385,255),0))="","",INDEX('Disaggregation Records'!$F$155:$F$385,MATCH(RIGHT(Q655,255),RIGHT('Disaggregation Records'!$D$155:$D$385,255),0))),"")</f>
        <v/>
      </c>
      <c r="T655" s="194" t="str">
        <f t="array" ref="T655">IFERROR(IF(INDEX('Disaggregation Records'!$H$155:$H$385,MATCH(RIGHT(Q655,255),RIGHT('Disaggregation Records'!$D$155:$D$385,255),0))="","",INDEX('Disaggregation Records'!$H$155:$H$385,MATCH(RIGHT(Q655,255),RIGHT('Disaggregation Records'!$D$155:$D$385,255),0))),"")</f>
        <v/>
      </c>
      <c r="U655" s="194">
        <f>U653+1</f>
        <v>2517</v>
      </c>
      <c r="V655" s="194" t="str">
        <f t="array" ref="V655">IFERROR(IF(INDEX('Disaggregation Records'!$I$155:$I$385,MATCH(RIGHT(Q655,255),RIGHT('Disaggregation Records'!$D$155:$D$385,255),0))="","",INDEX('Disaggregation Records'!$I$155:$I$385,MATCH(RIGHT(Q655,255),RIGHT('Disaggregation Records'!$D$155:$D$385,255),0))),"")</f>
        <v/>
      </c>
      <c r="W655" s="194" t="str">
        <f>IFERROR(INDEX('Reference Records'!L$77:L$157,MATCH(LEFT(C655,255),'Reference Records'!E$77:E$157,0)),"")</f>
        <v/>
      </c>
    </row>
    <row r="656" spans="1:23" s="194" customFormat="1" ht="40.4" customHeight="1" x14ac:dyDescent="0.35">
      <c r="A656" s="770"/>
      <c r="B656" s="767"/>
      <c r="C656" s="761"/>
      <c r="D656" s="769"/>
      <c r="E656" s="769"/>
      <c r="F656" s="208"/>
      <c r="G656" s="763"/>
      <c r="H656" s="744"/>
      <c r="I656" s="765"/>
      <c r="J656" s="730"/>
      <c r="K656" s="761"/>
      <c r="L656" s="761"/>
      <c r="M656" s="730"/>
      <c r="N656" s="730"/>
    </row>
    <row r="657" spans="1:23" s="194" customFormat="1" ht="40.4" customHeight="1" x14ac:dyDescent="0.35">
      <c r="A657" s="770" t="str">
        <f ca="1">INDIRECT("'update Helper'!C"&amp;U657)</f>
        <v>a163p000004NtLsAAK</v>
      </c>
      <c r="B657" s="766">
        <v>1</v>
      </c>
      <c r="C657" s="760" t="str">
        <f>VLOOKUP(B657,'Coverage Indicators - Section D'!$A$9:$AU$70,47,FALSE)</f>
        <v>HTS-Other 1 Porcentaje de resultados de VIH positivos entre el total de pruebas de VIH realizadas en HSH</v>
      </c>
      <c r="D657" s="768" t="str">
        <f>R657</f>
        <v/>
      </c>
      <c r="E657" s="768" t="str">
        <f>S657</f>
        <v/>
      </c>
      <c r="F657" s="413"/>
      <c r="G657" s="762" t="str">
        <f ca="1">IF(OR(INDIRECT("'update Helper'!E"&amp;U657)="",F657&lt;&gt;0,F658&lt;&gt;0),IF(IFERROR((F657/F658),"")="","",(F657/F658)),INDIRECT("'update Helper'!E"&amp;U657)/100)</f>
        <v/>
      </c>
      <c r="H657" s="743"/>
      <c r="I657" s="764"/>
      <c r="J657" s="729"/>
      <c r="K657" s="760" t="str">
        <f>W657</f>
        <v/>
      </c>
      <c r="L657" s="760" t="str">
        <f>V657</f>
        <v/>
      </c>
      <c r="M657" s="729"/>
      <c r="N657" s="729"/>
      <c r="P657" s="194">
        <f>IF(AND(EXACT(C657,C655),C655&lt;&gt;0),P655+1,0)</f>
        <v>18</v>
      </c>
      <c r="Q657" s="194" t="str">
        <f>IF(C657&lt;&gt;"",C657&amp;"-"&amp;P657,"")</f>
        <v>HTS-Other 1 Porcentaje de resultados de VIH positivos entre el total de pruebas de VIH realizadas en HSH-18</v>
      </c>
      <c r="R657" s="194" t="str">
        <f t="array" ref="R657">IFERROR(IF(INDEX('Disaggregation Records'!$E$155:$E$385,MATCH(RIGHT(Q657,255),RIGHT('Disaggregation Records'!$D$155:$D$385,255),0))="","",INDEX('Disaggregation Records'!$E$155:$E$385,MATCH(RIGHT(Q657,255),RIGHT('Disaggregation Records'!$D$155:$D$385,255),0))),"")</f>
        <v/>
      </c>
      <c r="S657" s="194" t="str">
        <f t="array" ref="S657">IFERROR(IF(INDEX('Disaggregation Records'!$F$155:$F$385,MATCH(RIGHT(Q657,255),RIGHT('Disaggregation Records'!$D$155:$D$385,255),0))="","",INDEX('Disaggregation Records'!$F$155:$F$385,MATCH(RIGHT(Q657,255),RIGHT('Disaggregation Records'!$D$155:$D$385,255),0))),"")</f>
        <v/>
      </c>
      <c r="T657" s="194" t="str">
        <f t="array" ref="T657">IFERROR(IF(INDEX('Disaggregation Records'!$H$155:$H$385,MATCH(RIGHT(Q657,255),RIGHT('Disaggregation Records'!$D$155:$D$385,255),0))="","",INDEX('Disaggregation Records'!$H$155:$H$385,MATCH(RIGHT(Q657,255),RIGHT('Disaggregation Records'!$D$155:$D$385,255),0))),"")</f>
        <v/>
      </c>
      <c r="U657" s="194">
        <f>U655+1</f>
        <v>2518</v>
      </c>
      <c r="V657" s="194" t="str">
        <f t="array" ref="V657">IFERROR(IF(INDEX('Disaggregation Records'!$I$155:$I$385,MATCH(RIGHT(Q657,255),RIGHT('Disaggregation Records'!$D$155:$D$385,255),0))="","",INDEX('Disaggregation Records'!$I$155:$I$385,MATCH(RIGHT(Q657,255),RIGHT('Disaggregation Records'!$D$155:$D$385,255),0))),"")</f>
        <v/>
      </c>
      <c r="W657" s="194" t="str">
        <f>IFERROR(INDEX('Reference Records'!L$77:L$157,MATCH(LEFT(C657,255),'Reference Records'!E$77:E$157,0)),"")</f>
        <v/>
      </c>
    </row>
    <row r="658" spans="1:23" s="194" customFormat="1" ht="40.4" customHeight="1" x14ac:dyDescent="0.35">
      <c r="A658" s="770"/>
      <c r="B658" s="767"/>
      <c r="C658" s="761"/>
      <c r="D658" s="769"/>
      <c r="E658" s="769"/>
      <c r="F658" s="208"/>
      <c r="G658" s="763"/>
      <c r="H658" s="744"/>
      <c r="I658" s="765"/>
      <c r="J658" s="730"/>
      <c r="K658" s="761"/>
      <c r="L658" s="761"/>
      <c r="M658" s="730"/>
      <c r="N658" s="730"/>
    </row>
    <row r="659" spans="1:23" s="194" customFormat="1" ht="40.4" customHeight="1" x14ac:dyDescent="0.35">
      <c r="A659" s="770" t="str">
        <f ca="1">INDIRECT("'update Helper'!C"&amp;U659)</f>
        <v>a163p000004NtLtAAK</v>
      </c>
      <c r="B659" s="766">
        <v>1</v>
      </c>
      <c r="C659" s="760" t="str">
        <f>VLOOKUP(B659,'Coverage Indicators - Section D'!$A$9:$AU$70,47,FALSE)</f>
        <v>HTS-Other 1 Porcentaje de resultados de VIH positivos entre el total de pruebas de VIH realizadas en HSH</v>
      </c>
      <c r="D659" s="768" t="str">
        <f>R659</f>
        <v/>
      </c>
      <c r="E659" s="768" t="str">
        <f>S659</f>
        <v/>
      </c>
      <c r="F659" s="413"/>
      <c r="G659" s="762" t="str">
        <f ca="1">IF(OR(INDIRECT("'update Helper'!E"&amp;U659)="",F659&lt;&gt;0,F660&lt;&gt;0),IF(IFERROR((F659/F660),"")="","",(F659/F660)),INDIRECT("'update Helper'!E"&amp;U659)/100)</f>
        <v/>
      </c>
      <c r="H659" s="743"/>
      <c r="I659" s="764"/>
      <c r="J659" s="729"/>
      <c r="K659" s="760" t="str">
        <f>W659</f>
        <v/>
      </c>
      <c r="L659" s="760" t="str">
        <f>V659</f>
        <v/>
      </c>
      <c r="M659" s="729"/>
      <c r="N659" s="729"/>
      <c r="P659" s="194">
        <f>IF(AND(EXACT(C659,C657),C657&lt;&gt;0),P657+1,0)</f>
        <v>19</v>
      </c>
      <c r="Q659" s="194" t="str">
        <f>IF(C659&lt;&gt;"",C659&amp;"-"&amp;P659,"")</f>
        <v>HTS-Other 1 Porcentaje de resultados de VIH positivos entre el total de pruebas de VIH realizadas en HSH-19</v>
      </c>
      <c r="R659" s="194" t="str">
        <f t="array" ref="R659">IFERROR(IF(INDEX('Disaggregation Records'!$E$155:$E$385,MATCH(RIGHT(Q659,255),RIGHT('Disaggregation Records'!$D$155:$D$385,255),0))="","",INDEX('Disaggregation Records'!$E$155:$E$385,MATCH(RIGHT(Q659,255),RIGHT('Disaggregation Records'!$D$155:$D$385,255),0))),"")</f>
        <v/>
      </c>
      <c r="S659" s="194" t="str">
        <f t="array" ref="S659">IFERROR(IF(INDEX('Disaggregation Records'!$F$155:$F$385,MATCH(RIGHT(Q659,255),RIGHT('Disaggregation Records'!$D$155:$D$385,255),0))="","",INDEX('Disaggregation Records'!$F$155:$F$385,MATCH(RIGHT(Q659,255),RIGHT('Disaggregation Records'!$D$155:$D$385,255),0))),"")</f>
        <v/>
      </c>
      <c r="T659" s="194" t="str">
        <f t="array" ref="T659">IFERROR(IF(INDEX('Disaggregation Records'!$H$155:$H$385,MATCH(RIGHT(Q659,255),RIGHT('Disaggregation Records'!$D$155:$D$385,255),0))="","",INDEX('Disaggregation Records'!$H$155:$H$385,MATCH(RIGHT(Q659,255),RIGHT('Disaggregation Records'!$D$155:$D$385,255),0))),"")</f>
        <v/>
      </c>
      <c r="U659" s="194">
        <f>U657+1</f>
        <v>2519</v>
      </c>
      <c r="V659" s="194" t="str">
        <f t="array" ref="V659">IFERROR(IF(INDEX('Disaggregation Records'!$I$155:$I$385,MATCH(RIGHT(Q659,255),RIGHT('Disaggregation Records'!$D$155:$D$385,255),0))="","",INDEX('Disaggregation Records'!$I$155:$I$385,MATCH(RIGHT(Q659,255),RIGHT('Disaggregation Records'!$D$155:$D$385,255),0))),"")</f>
        <v/>
      </c>
      <c r="W659" s="194" t="str">
        <f>IFERROR(INDEX('Reference Records'!L$77:L$157,MATCH(LEFT(C659,255),'Reference Records'!E$77:E$157,0)),"")</f>
        <v/>
      </c>
    </row>
    <row r="660" spans="1:23" s="194" customFormat="1" ht="40.4" customHeight="1" x14ac:dyDescent="0.35">
      <c r="A660" s="770"/>
      <c r="B660" s="767"/>
      <c r="C660" s="761"/>
      <c r="D660" s="769"/>
      <c r="E660" s="769"/>
      <c r="F660" s="208"/>
      <c r="G660" s="763"/>
      <c r="H660" s="744"/>
      <c r="I660" s="765"/>
      <c r="J660" s="730"/>
      <c r="K660" s="761"/>
      <c r="L660" s="761"/>
      <c r="M660" s="730"/>
      <c r="N660" s="730"/>
    </row>
    <row r="661" spans="1:23" s="194" customFormat="1" ht="40.4" customHeight="1" x14ac:dyDescent="0.35">
      <c r="A661" s="770" t="str">
        <f ca="1">INDIRECT("'update Helper'!C"&amp;U661)</f>
        <v>a163p000004NtVGAA0</v>
      </c>
      <c r="B661" s="766">
        <v>2</v>
      </c>
      <c r="C661" s="760" t="str">
        <f>VLOOKUP(B661,'Coverage Indicators - Section D'!$A$9:$AU$70,47,FALSE)</f>
        <v>MDR TB-6 Porcentaje de pacientes con tuberculosis y resultados de sensibilidad a los fármacos al menos con respecto a la rifampicina entre el número total de casos notificados (nuevos y vueltos a tratar) en el mismo año.</v>
      </c>
      <c r="D661" s="768" t="str">
        <f>R661</f>
        <v/>
      </c>
      <c r="E661" s="768" t="str">
        <f>S661</f>
        <v/>
      </c>
      <c r="F661" s="413"/>
      <c r="G661" s="762" t="str">
        <f ca="1">IF(OR(INDIRECT("'update Helper'!E"&amp;U661)="",F661&lt;&gt;0,F662&lt;&gt;0),IF(IFERROR((F661/F662),"")="","",(F661/F662)),INDIRECT("'update Helper'!E"&amp;U661)/100)</f>
        <v/>
      </c>
      <c r="H661" s="743"/>
      <c r="I661" s="764"/>
      <c r="J661" s="729"/>
      <c r="K661" s="760" t="str">
        <f>W661</f>
        <v>MDR TB-6 Percentage of TB patients with DST result for at least Rifampicin among the total number of notified (new and retreatment) cases in the same year</v>
      </c>
      <c r="L661" s="760" t="str">
        <f>V661</f>
        <v/>
      </c>
      <c r="M661" s="729"/>
      <c r="N661" s="729"/>
      <c r="P661" s="194">
        <f>IF(AND(EXACT(C661,C659),C659&lt;&gt;0),P659+1,0)</f>
        <v>0</v>
      </c>
      <c r="Q661" s="194" t="str">
        <f>IF(C661&lt;&gt;"",C661&amp;"-"&amp;P661,"")</f>
        <v>MDR TB-6 Porcentaje de pacientes con tuberculosis y resultados de sensibilidad a los fármacos al menos con respecto a la rifampicina entre el número total de casos notificados (nuevos y vueltos a tratar) en el mismo año.-0</v>
      </c>
      <c r="R661" s="194" t="str">
        <f t="array" ref="R661">IFERROR(IF(INDEX('Disaggregation Records'!$E$155:$E$385,MATCH(RIGHT(Q661,255),RIGHT('Disaggregation Records'!$D$155:$D$385,255),0))="","",INDEX('Disaggregation Records'!$E$155:$E$385,MATCH(RIGHT(Q661,255),RIGHT('Disaggregation Records'!$D$155:$D$385,255),0))),"")</f>
        <v/>
      </c>
      <c r="S661" s="194" t="str">
        <f t="array" ref="S661">IFERROR(IF(INDEX('Disaggregation Records'!$F$155:$F$385,MATCH(RIGHT(Q661,255),RIGHT('Disaggregation Records'!$D$155:$D$385,255),0))="","",INDEX('Disaggregation Records'!$F$155:$F$385,MATCH(RIGHT(Q661,255),RIGHT('Disaggregation Records'!$D$155:$D$385,255),0))),"")</f>
        <v/>
      </c>
      <c r="T661" s="194" t="str">
        <f t="array" ref="T661">IFERROR(IF(INDEX('Disaggregation Records'!$H$155:$H$385,MATCH(RIGHT(Q661,255),RIGHT('Disaggregation Records'!$D$155:$D$385,255),0))="","",INDEX('Disaggregation Records'!$H$155:$H$385,MATCH(RIGHT(Q661,255),RIGHT('Disaggregation Records'!$D$155:$D$385,255),0))),"")</f>
        <v/>
      </c>
      <c r="U661" s="194">
        <f>U659+1</f>
        <v>2520</v>
      </c>
      <c r="V661" s="194" t="str">
        <f t="array" ref="V661">IFERROR(IF(INDEX('Disaggregation Records'!$I$155:$I$385,MATCH(RIGHT(Q661,255),RIGHT('Disaggregation Records'!$D$155:$D$385,255),0))="","",INDEX('Disaggregation Records'!$I$155:$I$385,MATCH(RIGHT(Q661,255),RIGHT('Disaggregation Records'!$D$155:$D$385,255),0))),"")</f>
        <v/>
      </c>
      <c r="W661" s="194" t="str">
        <f>IFERROR(INDEX('Reference Records'!L$77:L$157,MATCH(LEFT(C661,255),'Reference Records'!E$77:E$157,0)),"")</f>
        <v>MDR TB-6 Percentage of TB patients with DST result for at least Rifampicin among the total number of notified (new and retreatment) cases in the same year</v>
      </c>
    </row>
    <row r="662" spans="1:23" s="194" customFormat="1" ht="40.4" customHeight="1" x14ac:dyDescent="0.35">
      <c r="A662" s="770"/>
      <c r="B662" s="767"/>
      <c r="C662" s="761"/>
      <c r="D662" s="769"/>
      <c r="E662" s="769"/>
      <c r="F662" s="208"/>
      <c r="G662" s="763"/>
      <c r="H662" s="744"/>
      <c r="I662" s="765"/>
      <c r="J662" s="730"/>
      <c r="K662" s="761"/>
      <c r="L662" s="761"/>
      <c r="M662" s="730"/>
      <c r="N662" s="730"/>
    </row>
    <row r="663" spans="1:23" s="194" customFormat="1" ht="40.4" customHeight="1" x14ac:dyDescent="0.35">
      <c r="A663" s="770" t="str">
        <f ca="1">INDIRECT("'update Helper'!C"&amp;U663)</f>
        <v>a163p000004NtVHAA0</v>
      </c>
      <c r="B663" s="766">
        <v>2</v>
      </c>
      <c r="C663" s="760" t="str">
        <f>VLOOKUP(B663,'Coverage Indicators - Section D'!$A$9:$AU$70,47,FALSE)</f>
        <v>MDR TB-6 Porcentaje de pacientes con tuberculosis y resultados de sensibilidad a los fármacos al menos con respecto a la rifampicina entre el número total de casos notificados (nuevos y vueltos a tratar) en el mismo año.</v>
      </c>
      <c r="D663" s="768" t="str">
        <f>R663</f>
        <v/>
      </c>
      <c r="E663" s="768" t="str">
        <f>S663</f>
        <v/>
      </c>
      <c r="F663" s="413"/>
      <c r="G663" s="762" t="str">
        <f ca="1">IF(OR(INDIRECT("'update Helper'!E"&amp;U663)="",F663&lt;&gt;0,F664&lt;&gt;0),IF(IFERROR((F663/F664),"")="","",(F663/F664)),INDIRECT("'update Helper'!E"&amp;U663)/100)</f>
        <v/>
      </c>
      <c r="H663" s="743"/>
      <c r="I663" s="764"/>
      <c r="J663" s="729"/>
      <c r="K663" s="760" t="str">
        <f>W663</f>
        <v>MDR TB-6 Percentage of TB patients with DST result for at least Rifampicin among the total number of notified (new and retreatment) cases in the same year</v>
      </c>
      <c r="L663" s="760" t="str">
        <f>V663</f>
        <v/>
      </c>
      <c r="M663" s="729"/>
      <c r="N663" s="729"/>
      <c r="P663" s="194">
        <f>IF(AND(EXACT(C663,C661),C661&lt;&gt;0),P661+1,0)</f>
        <v>1</v>
      </c>
      <c r="Q663" s="194" t="str">
        <f>IF(C663&lt;&gt;"",C663&amp;"-"&amp;P663,"")</f>
        <v>MDR TB-6 Porcentaje de pacientes con tuberculosis y resultados de sensibilidad a los fármacos al menos con respecto a la rifampicina entre el número total de casos notificados (nuevos y vueltos a tratar) en el mismo año.-1</v>
      </c>
      <c r="R663" s="194" t="str">
        <f t="array" ref="R663">IFERROR(IF(INDEX('Disaggregation Records'!$E$155:$E$385,MATCH(RIGHT(Q663,255),RIGHT('Disaggregation Records'!$D$155:$D$385,255),0))="","",INDEX('Disaggregation Records'!$E$155:$E$385,MATCH(RIGHT(Q663,255),RIGHT('Disaggregation Records'!$D$155:$D$385,255),0))),"")</f>
        <v/>
      </c>
      <c r="S663" s="194" t="str">
        <f t="array" ref="S663">IFERROR(IF(INDEX('Disaggregation Records'!$F$155:$F$385,MATCH(RIGHT(Q663,255),RIGHT('Disaggregation Records'!$D$155:$D$385,255),0))="","",INDEX('Disaggregation Records'!$F$155:$F$385,MATCH(RIGHT(Q663,255),RIGHT('Disaggregation Records'!$D$155:$D$385,255),0))),"")</f>
        <v/>
      </c>
      <c r="T663" s="194" t="str">
        <f t="array" ref="T663">IFERROR(IF(INDEX('Disaggregation Records'!$H$155:$H$385,MATCH(RIGHT(Q663,255),RIGHT('Disaggregation Records'!$D$155:$D$385,255),0))="","",INDEX('Disaggregation Records'!$H$155:$H$385,MATCH(RIGHT(Q663,255),RIGHT('Disaggregation Records'!$D$155:$D$385,255),0))),"")</f>
        <v/>
      </c>
      <c r="U663" s="194">
        <f>U661+1</f>
        <v>2521</v>
      </c>
      <c r="V663" s="194" t="str">
        <f t="array" ref="V663">IFERROR(IF(INDEX('Disaggregation Records'!$I$155:$I$385,MATCH(RIGHT(Q663,255),RIGHT('Disaggregation Records'!$D$155:$D$385,255),0))="","",INDEX('Disaggregation Records'!$I$155:$I$385,MATCH(RIGHT(Q663,255),RIGHT('Disaggregation Records'!$D$155:$D$385,255),0))),"")</f>
        <v/>
      </c>
      <c r="W663" s="194" t="str">
        <f>IFERROR(INDEX('Reference Records'!L$77:L$157,MATCH(LEFT(C663,255),'Reference Records'!E$77:E$157,0)),"")</f>
        <v>MDR TB-6 Percentage of TB patients with DST result for at least Rifampicin among the total number of notified (new and retreatment) cases in the same year</v>
      </c>
    </row>
    <row r="664" spans="1:23" s="194" customFormat="1" ht="40.4" customHeight="1" x14ac:dyDescent="0.35">
      <c r="A664" s="770"/>
      <c r="B664" s="767"/>
      <c r="C664" s="761"/>
      <c r="D664" s="769"/>
      <c r="E664" s="769"/>
      <c r="F664" s="208"/>
      <c r="G664" s="763"/>
      <c r="H664" s="744"/>
      <c r="I664" s="765"/>
      <c r="J664" s="730"/>
      <c r="K664" s="761"/>
      <c r="L664" s="761"/>
      <c r="M664" s="730"/>
      <c r="N664" s="730"/>
    </row>
    <row r="665" spans="1:23" s="194" customFormat="1" ht="40.4" customHeight="1" x14ac:dyDescent="0.35">
      <c r="A665" s="770" t="str">
        <f ca="1">INDIRECT("'update Helper'!C"&amp;U665)</f>
        <v>a163p000004NtVIAA0</v>
      </c>
      <c r="B665" s="766">
        <v>2</v>
      </c>
      <c r="C665" s="760" t="str">
        <f>VLOOKUP(B665,'Coverage Indicators - Section D'!$A$9:$AU$70,47,FALSE)</f>
        <v>MDR TB-6 Porcentaje de pacientes con tuberculosis y resultados de sensibilidad a los fármacos al menos con respecto a la rifampicina entre el número total de casos notificados (nuevos y vueltos a tratar) en el mismo año.</v>
      </c>
      <c r="D665" s="768" t="str">
        <f>R665</f>
        <v/>
      </c>
      <c r="E665" s="768" t="str">
        <f>S665</f>
        <v/>
      </c>
      <c r="F665" s="413"/>
      <c r="G665" s="762" t="str">
        <f ca="1">IF(OR(INDIRECT("'update Helper'!E"&amp;U665)="",F665&lt;&gt;0,F666&lt;&gt;0),IF(IFERROR((F665/F666),"")="","",(F665/F666)),INDIRECT("'update Helper'!E"&amp;U665)/100)</f>
        <v/>
      </c>
      <c r="H665" s="743"/>
      <c r="I665" s="764"/>
      <c r="J665" s="729"/>
      <c r="K665" s="760" t="str">
        <f>W665</f>
        <v>MDR TB-6 Percentage of TB patients with DST result for at least Rifampicin among the total number of notified (new and retreatment) cases in the same year</v>
      </c>
      <c r="L665" s="760" t="str">
        <f>V665</f>
        <v/>
      </c>
      <c r="M665" s="729"/>
      <c r="N665" s="729"/>
      <c r="P665" s="194">
        <f>IF(AND(EXACT(C665,C663),C663&lt;&gt;0),P663+1,0)</f>
        <v>2</v>
      </c>
      <c r="Q665" s="194" t="str">
        <f>IF(C665&lt;&gt;"",C665&amp;"-"&amp;P665,"")</f>
        <v>MDR TB-6 Porcentaje de pacientes con tuberculosis y resultados de sensibilidad a los fármacos al menos con respecto a la rifampicina entre el número total de casos notificados (nuevos y vueltos a tratar) en el mismo año.-2</v>
      </c>
      <c r="R665" s="194" t="str">
        <f t="array" ref="R665">IFERROR(IF(INDEX('Disaggregation Records'!$E$155:$E$385,MATCH(RIGHT(Q665,255),RIGHT('Disaggregation Records'!$D$155:$D$385,255),0))="","",INDEX('Disaggregation Records'!$E$155:$E$385,MATCH(RIGHT(Q665,255),RIGHT('Disaggregation Records'!$D$155:$D$385,255),0))),"")</f>
        <v/>
      </c>
      <c r="S665" s="194" t="str">
        <f t="array" ref="S665">IFERROR(IF(INDEX('Disaggregation Records'!$F$155:$F$385,MATCH(RIGHT(Q665,255),RIGHT('Disaggregation Records'!$D$155:$D$385,255),0))="","",INDEX('Disaggregation Records'!$F$155:$F$385,MATCH(RIGHT(Q665,255),RIGHT('Disaggregation Records'!$D$155:$D$385,255),0))),"")</f>
        <v/>
      </c>
      <c r="T665" s="194" t="str">
        <f t="array" ref="T665">IFERROR(IF(INDEX('Disaggregation Records'!$H$155:$H$385,MATCH(RIGHT(Q665,255),RIGHT('Disaggregation Records'!$D$155:$D$385,255),0))="","",INDEX('Disaggregation Records'!$H$155:$H$385,MATCH(RIGHT(Q665,255),RIGHT('Disaggregation Records'!$D$155:$D$385,255),0))),"")</f>
        <v/>
      </c>
      <c r="U665" s="194">
        <f>U663+1</f>
        <v>2522</v>
      </c>
      <c r="V665" s="194" t="str">
        <f t="array" ref="V665">IFERROR(IF(INDEX('Disaggregation Records'!$I$155:$I$385,MATCH(RIGHT(Q665,255),RIGHT('Disaggregation Records'!$D$155:$D$385,255),0))="","",INDEX('Disaggregation Records'!$I$155:$I$385,MATCH(RIGHT(Q665,255),RIGHT('Disaggregation Records'!$D$155:$D$385,255),0))),"")</f>
        <v/>
      </c>
      <c r="W665" s="194" t="str">
        <f>IFERROR(INDEX('Reference Records'!L$77:L$157,MATCH(LEFT(C665,255),'Reference Records'!E$77:E$157,0)),"")</f>
        <v>MDR TB-6 Percentage of TB patients with DST result for at least Rifampicin among the total number of notified (new and retreatment) cases in the same year</v>
      </c>
    </row>
    <row r="666" spans="1:23" s="194" customFormat="1" ht="40.4" customHeight="1" x14ac:dyDescent="0.35">
      <c r="A666" s="770"/>
      <c r="B666" s="767"/>
      <c r="C666" s="761"/>
      <c r="D666" s="769"/>
      <c r="E666" s="769"/>
      <c r="F666" s="208"/>
      <c r="G666" s="763"/>
      <c r="H666" s="744"/>
      <c r="I666" s="765"/>
      <c r="J666" s="730"/>
      <c r="K666" s="761"/>
      <c r="L666" s="761"/>
      <c r="M666" s="730"/>
      <c r="N666" s="730"/>
    </row>
    <row r="667" spans="1:23" s="194" customFormat="1" ht="40.4" customHeight="1" x14ac:dyDescent="0.35">
      <c r="A667" s="770" t="str">
        <f ca="1">INDIRECT("'update Helper'!C"&amp;U667)</f>
        <v>a163p000004NtVJAA0</v>
      </c>
      <c r="B667" s="766">
        <v>2</v>
      </c>
      <c r="C667" s="760" t="str">
        <f>VLOOKUP(B667,'Coverage Indicators - Section D'!$A$9:$AU$70,47,FALSE)</f>
        <v>MDR TB-6 Porcentaje de pacientes con tuberculosis y resultados de sensibilidad a los fármacos al menos con respecto a la rifampicina entre el número total de casos notificados (nuevos y vueltos a tratar) en el mismo año.</v>
      </c>
      <c r="D667" s="768" t="str">
        <f>R667</f>
        <v/>
      </c>
      <c r="E667" s="768" t="str">
        <f>S667</f>
        <v/>
      </c>
      <c r="F667" s="413"/>
      <c r="G667" s="762" t="str">
        <f ca="1">IF(OR(INDIRECT("'update Helper'!E"&amp;U667)="",F667&lt;&gt;0,F668&lt;&gt;0),IF(IFERROR((F667/F668),"")="","",(F667/F668)),INDIRECT("'update Helper'!E"&amp;U667)/100)</f>
        <v/>
      </c>
      <c r="H667" s="743"/>
      <c r="I667" s="764"/>
      <c r="J667" s="729"/>
      <c r="K667" s="760" t="str">
        <f>W667</f>
        <v>MDR TB-6 Percentage of TB patients with DST result for at least Rifampicin among the total number of notified (new and retreatment) cases in the same year</v>
      </c>
      <c r="L667" s="760" t="str">
        <f>V667</f>
        <v/>
      </c>
      <c r="M667" s="729"/>
      <c r="N667" s="729"/>
      <c r="P667" s="194">
        <f>IF(AND(EXACT(C667,C665),C665&lt;&gt;0),P665+1,0)</f>
        <v>3</v>
      </c>
      <c r="Q667" s="194" t="str">
        <f>IF(C667&lt;&gt;"",C667&amp;"-"&amp;P667,"")</f>
        <v>MDR TB-6 Porcentaje de pacientes con tuberculosis y resultados de sensibilidad a los fármacos al menos con respecto a la rifampicina entre el número total de casos notificados (nuevos y vueltos a tratar) en el mismo año.-3</v>
      </c>
      <c r="R667" s="194" t="str">
        <f t="array" ref="R667">IFERROR(IF(INDEX('Disaggregation Records'!$E$155:$E$385,MATCH(RIGHT(Q667,255),RIGHT('Disaggregation Records'!$D$155:$D$385,255),0))="","",INDEX('Disaggregation Records'!$E$155:$E$385,MATCH(RIGHT(Q667,255),RIGHT('Disaggregation Records'!$D$155:$D$385,255),0))),"")</f>
        <v/>
      </c>
      <c r="S667" s="194" t="str">
        <f t="array" ref="S667">IFERROR(IF(INDEX('Disaggregation Records'!$F$155:$F$385,MATCH(RIGHT(Q667,255),RIGHT('Disaggregation Records'!$D$155:$D$385,255),0))="","",INDEX('Disaggregation Records'!$F$155:$F$385,MATCH(RIGHT(Q667,255),RIGHT('Disaggregation Records'!$D$155:$D$385,255),0))),"")</f>
        <v/>
      </c>
      <c r="T667" s="194" t="str">
        <f t="array" ref="T667">IFERROR(IF(INDEX('Disaggregation Records'!$H$155:$H$385,MATCH(RIGHT(Q667,255),RIGHT('Disaggregation Records'!$D$155:$D$385,255),0))="","",INDEX('Disaggregation Records'!$H$155:$H$385,MATCH(RIGHT(Q667,255),RIGHT('Disaggregation Records'!$D$155:$D$385,255),0))),"")</f>
        <v/>
      </c>
      <c r="U667" s="194">
        <f>U665+1</f>
        <v>2523</v>
      </c>
      <c r="V667" s="194" t="str">
        <f t="array" ref="V667">IFERROR(IF(INDEX('Disaggregation Records'!$I$155:$I$385,MATCH(RIGHT(Q667,255),RIGHT('Disaggregation Records'!$D$155:$D$385,255),0))="","",INDEX('Disaggregation Records'!$I$155:$I$385,MATCH(RIGHT(Q667,255),RIGHT('Disaggregation Records'!$D$155:$D$385,255),0))),"")</f>
        <v/>
      </c>
      <c r="W667" s="194" t="str">
        <f>IFERROR(INDEX('Reference Records'!L$77:L$157,MATCH(LEFT(C667,255),'Reference Records'!E$77:E$157,0)),"")</f>
        <v>MDR TB-6 Percentage of TB patients with DST result for at least Rifampicin among the total number of notified (new and retreatment) cases in the same year</v>
      </c>
    </row>
    <row r="668" spans="1:23" s="194" customFormat="1" ht="40.4" customHeight="1" x14ac:dyDescent="0.35">
      <c r="A668" s="770"/>
      <c r="B668" s="767"/>
      <c r="C668" s="761"/>
      <c r="D668" s="769"/>
      <c r="E668" s="769"/>
      <c r="F668" s="208"/>
      <c r="G668" s="763"/>
      <c r="H668" s="744"/>
      <c r="I668" s="765"/>
      <c r="J668" s="730"/>
      <c r="K668" s="761"/>
      <c r="L668" s="761"/>
      <c r="M668" s="730"/>
      <c r="N668" s="730"/>
    </row>
    <row r="669" spans="1:23" s="194" customFormat="1" ht="40.4" customHeight="1" x14ac:dyDescent="0.35">
      <c r="A669" s="770" t="str">
        <f ca="1">INDIRECT("'update Helper'!C"&amp;U669)</f>
        <v>a163p000004NtVKAA0</v>
      </c>
      <c r="B669" s="766">
        <v>2</v>
      </c>
      <c r="C669" s="760" t="str">
        <f>VLOOKUP(B669,'Coverage Indicators - Section D'!$A$9:$AU$70,47,FALSE)</f>
        <v>MDR TB-6 Porcentaje de pacientes con tuberculosis y resultados de sensibilidad a los fármacos al menos con respecto a la rifampicina entre el número total de casos notificados (nuevos y vueltos a tratar) en el mismo año.</v>
      </c>
      <c r="D669" s="768" t="str">
        <f>R669</f>
        <v/>
      </c>
      <c r="E669" s="768" t="str">
        <f>S669</f>
        <v/>
      </c>
      <c r="F669" s="413"/>
      <c r="G669" s="762" t="str">
        <f ca="1">IF(OR(INDIRECT("'update Helper'!E"&amp;U669)="",F669&lt;&gt;0,F670&lt;&gt;0),IF(IFERROR((F669/F670),"")="","",(F669/F670)),INDIRECT("'update Helper'!E"&amp;U669)/100)</f>
        <v/>
      </c>
      <c r="H669" s="743"/>
      <c r="I669" s="764"/>
      <c r="J669" s="729"/>
      <c r="K669" s="760" t="str">
        <f>W669</f>
        <v>MDR TB-6 Percentage of TB patients with DST result for at least Rifampicin among the total number of notified (new and retreatment) cases in the same year</v>
      </c>
      <c r="L669" s="760" t="str">
        <f>V669</f>
        <v/>
      </c>
      <c r="M669" s="729"/>
      <c r="N669" s="729"/>
      <c r="P669" s="194">
        <f>IF(AND(EXACT(C669,C667),C667&lt;&gt;0),P667+1,0)</f>
        <v>4</v>
      </c>
      <c r="Q669" s="194" t="str">
        <f>IF(C669&lt;&gt;"",C669&amp;"-"&amp;P669,"")</f>
        <v>MDR TB-6 Porcentaje de pacientes con tuberculosis y resultados de sensibilidad a los fármacos al menos con respecto a la rifampicina entre el número total de casos notificados (nuevos y vueltos a tratar) en el mismo año.-4</v>
      </c>
      <c r="R669" s="194" t="str">
        <f t="array" ref="R669">IFERROR(IF(INDEX('Disaggregation Records'!$E$155:$E$385,MATCH(RIGHT(Q669,255),RIGHT('Disaggregation Records'!$D$155:$D$385,255),0))="","",INDEX('Disaggregation Records'!$E$155:$E$385,MATCH(RIGHT(Q669,255),RIGHT('Disaggregation Records'!$D$155:$D$385,255),0))),"")</f>
        <v/>
      </c>
      <c r="S669" s="194" t="str">
        <f t="array" ref="S669">IFERROR(IF(INDEX('Disaggregation Records'!$F$155:$F$385,MATCH(RIGHT(Q669,255),RIGHT('Disaggregation Records'!$D$155:$D$385,255),0))="","",INDEX('Disaggregation Records'!$F$155:$F$385,MATCH(RIGHT(Q669,255),RIGHT('Disaggregation Records'!$D$155:$D$385,255),0))),"")</f>
        <v/>
      </c>
      <c r="T669" s="194" t="str">
        <f t="array" ref="T669">IFERROR(IF(INDEX('Disaggregation Records'!$H$155:$H$385,MATCH(RIGHT(Q669,255),RIGHT('Disaggregation Records'!$D$155:$D$385,255),0))="","",INDEX('Disaggregation Records'!$H$155:$H$385,MATCH(RIGHT(Q669,255),RIGHT('Disaggregation Records'!$D$155:$D$385,255),0))),"")</f>
        <v/>
      </c>
      <c r="U669" s="194">
        <f>U667+1</f>
        <v>2524</v>
      </c>
      <c r="V669" s="194" t="str">
        <f t="array" ref="V669">IFERROR(IF(INDEX('Disaggregation Records'!$I$155:$I$385,MATCH(RIGHT(Q669,255),RIGHT('Disaggregation Records'!$D$155:$D$385,255),0))="","",INDEX('Disaggregation Records'!$I$155:$I$385,MATCH(RIGHT(Q669,255),RIGHT('Disaggregation Records'!$D$155:$D$385,255),0))),"")</f>
        <v/>
      </c>
      <c r="W669" s="194" t="str">
        <f>IFERROR(INDEX('Reference Records'!L$77:L$157,MATCH(LEFT(C669,255),'Reference Records'!E$77:E$157,0)),"")</f>
        <v>MDR TB-6 Percentage of TB patients with DST result for at least Rifampicin among the total number of notified (new and retreatment) cases in the same year</v>
      </c>
    </row>
    <row r="670" spans="1:23" s="194" customFormat="1" ht="40.4" customHeight="1" x14ac:dyDescent="0.35">
      <c r="A670" s="770"/>
      <c r="B670" s="767"/>
      <c r="C670" s="761"/>
      <c r="D670" s="769"/>
      <c r="E670" s="769"/>
      <c r="F670" s="208"/>
      <c r="G670" s="763"/>
      <c r="H670" s="744"/>
      <c r="I670" s="765"/>
      <c r="J670" s="730"/>
      <c r="K670" s="761"/>
      <c r="L670" s="761"/>
      <c r="M670" s="730"/>
      <c r="N670" s="730"/>
    </row>
    <row r="671" spans="1:23" s="194" customFormat="1" ht="40.4" customHeight="1" x14ac:dyDescent="0.35">
      <c r="A671" s="770" t="str">
        <f ca="1">INDIRECT("'update Helper'!C"&amp;U671)</f>
        <v>a163p000004NtVLAA0</v>
      </c>
      <c r="B671" s="766">
        <v>2</v>
      </c>
      <c r="C671" s="760" t="str">
        <f>VLOOKUP(B671,'Coverage Indicators - Section D'!$A$9:$AU$70,47,FALSE)</f>
        <v>MDR TB-6 Porcentaje de pacientes con tuberculosis y resultados de sensibilidad a los fármacos al menos con respecto a la rifampicina entre el número total de casos notificados (nuevos y vueltos a tratar) en el mismo año.</v>
      </c>
      <c r="D671" s="768" t="str">
        <f>R671</f>
        <v/>
      </c>
      <c r="E671" s="768" t="str">
        <f>S671</f>
        <v/>
      </c>
      <c r="F671" s="413"/>
      <c r="G671" s="762" t="str">
        <f ca="1">IF(OR(INDIRECT("'update Helper'!E"&amp;U671)="",F671&lt;&gt;0,F672&lt;&gt;0),IF(IFERROR((F671/F672),"")="","",(F671/F672)),INDIRECT("'update Helper'!E"&amp;U671)/100)</f>
        <v/>
      </c>
      <c r="H671" s="743"/>
      <c r="I671" s="764"/>
      <c r="J671" s="729"/>
      <c r="K671" s="760" t="str">
        <f>W671</f>
        <v>MDR TB-6 Percentage of TB patients with DST result for at least Rifampicin among the total number of notified (new and retreatment) cases in the same year</v>
      </c>
      <c r="L671" s="760" t="str">
        <f>V671</f>
        <v/>
      </c>
      <c r="M671" s="729"/>
      <c r="N671" s="729"/>
      <c r="P671" s="194">
        <f>IF(AND(EXACT(C671,C669),C669&lt;&gt;0),P669+1,0)</f>
        <v>5</v>
      </c>
      <c r="Q671" s="194" t="str">
        <f>IF(C671&lt;&gt;"",C671&amp;"-"&amp;P671,"")</f>
        <v>MDR TB-6 Porcentaje de pacientes con tuberculosis y resultados de sensibilidad a los fármacos al menos con respecto a la rifampicina entre el número total de casos notificados (nuevos y vueltos a tratar) en el mismo año.-5</v>
      </c>
      <c r="R671" s="194" t="str">
        <f t="array" ref="R671">IFERROR(IF(INDEX('Disaggregation Records'!$E$155:$E$385,MATCH(RIGHT(Q671,255),RIGHT('Disaggregation Records'!$D$155:$D$385,255),0))="","",INDEX('Disaggregation Records'!$E$155:$E$385,MATCH(RIGHT(Q671,255),RIGHT('Disaggregation Records'!$D$155:$D$385,255),0))),"")</f>
        <v/>
      </c>
      <c r="S671" s="194" t="str">
        <f t="array" ref="S671">IFERROR(IF(INDEX('Disaggregation Records'!$F$155:$F$385,MATCH(RIGHT(Q671,255),RIGHT('Disaggregation Records'!$D$155:$D$385,255),0))="","",INDEX('Disaggregation Records'!$F$155:$F$385,MATCH(RIGHT(Q671,255),RIGHT('Disaggregation Records'!$D$155:$D$385,255),0))),"")</f>
        <v/>
      </c>
      <c r="T671" s="194" t="str">
        <f t="array" ref="T671">IFERROR(IF(INDEX('Disaggregation Records'!$H$155:$H$385,MATCH(RIGHT(Q671,255),RIGHT('Disaggregation Records'!$D$155:$D$385,255),0))="","",INDEX('Disaggregation Records'!$H$155:$H$385,MATCH(RIGHT(Q671,255),RIGHT('Disaggregation Records'!$D$155:$D$385,255),0))),"")</f>
        <v/>
      </c>
      <c r="U671" s="194">
        <f>U669+1</f>
        <v>2525</v>
      </c>
      <c r="V671" s="194" t="str">
        <f t="array" ref="V671">IFERROR(IF(INDEX('Disaggregation Records'!$I$155:$I$385,MATCH(RIGHT(Q671,255),RIGHT('Disaggregation Records'!$D$155:$D$385,255),0))="","",INDEX('Disaggregation Records'!$I$155:$I$385,MATCH(RIGHT(Q671,255),RIGHT('Disaggregation Records'!$D$155:$D$385,255),0))),"")</f>
        <v/>
      </c>
      <c r="W671" s="194" t="str">
        <f>IFERROR(INDEX('Reference Records'!L$77:L$157,MATCH(LEFT(C671,255),'Reference Records'!E$77:E$157,0)),"")</f>
        <v>MDR TB-6 Percentage of TB patients with DST result for at least Rifampicin among the total number of notified (new and retreatment) cases in the same year</v>
      </c>
    </row>
    <row r="672" spans="1:23" s="194" customFormat="1" ht="40.4" customHeight="1" x14ac:dyDescent="0.35">
      <c r="A672" s="770"/>
      <c r="B672" s="767"/>
      <c r="C672" s="761"/>
      <c r="D672" s="769"/>
      <c r="E672" s="769"/>
      <c r="F672" s="208"/>
      <c r="G672" s="763"/>
      <c r="H672" s="744"/>
      <c r="I672" s="765"/>
      <c r="J672" s="730"/>
      <c r="K672" s="761"/>
      <c r="L672" s="761"/>
      <c r="M672" s="730"/>
      <c r="N672" s="730"/>
    </row>
    <row r="673" spans="1:23" s="194" customFormat="1" ht="40.4" customHeight="1" x14ac:dyDescent="0.35">
      <c r="A673" s="770" t="str">
        <f ca="1">INDIRECT("'update Helper'!C"&amp;U673)</f>
        <v>a163p000004NtVMAA0</v>
      </c>
      <c r="B673" s="766">
        <v>2</v>
      </c>
      <c r="C673" s="760" t="str">
        <f>VLOOKUP(B673,'Coverage Indicators - Section D'!$A$9:$AU$70,47,FALSE)</f>
        <v>MDR TB-6 Porcentaje de pacientes con tuberculosis y resultados de sensibilidad a los fármacos al menos con respecto a la rifampicina entre el número total de casos notificados (nuevos y vueltos a tratar) en el mismo año.</v>
      </c>
      <c r="D673" s="768" t="str">
        <f>R673</f>
        <v/>
      </c>
      <c r="E673" s="768" t="str">
        <f>S673</f>
        <v/>
      </c>
      <c r="F673" s="413"/>
      <c r="G673" s="762" t="str">
        <f ca="1">IF(OR(INDIRECT("'update Helper'!E"&amp;U673)="",F673&lt;&gt;0,F674&lt;&gt;0),IF(IFERROR((F673/F674),"")="","",(F673/F674)),INDIRECT("'update Helper'!E"&amp;U673)/100)</f>
        <v/>
      </c>
      <c r="H673" s="743"/>
      <c r="I673" s="764"/>
      <c r="J673" s="729"/>
      <c r="K673" s="760" t="str">
        <f>W673</f>
        <v>MDR TB-6 Percentage of TB patients with DST result for at least Rifampicin among the total number of notified (new and retreatment) cases in the same year</v>
      </c>
      <c r="L673" s="760" t="str">
        <f>V673</f>
        <v/>
      </c>
      <c r="M673" s="729"/>
      <c r="N673" s="729"/>
      <c r="P673" s="194">
        <f>IF(AND(EXACT(C673,C671),C671&lt;&gt;0),P671+1,0)</f>
        <v>6</v>
      </c>
      <c r="Q673" s="194" t="str">
        <f>IF(C673&lt;&gt;"",C673&amp;"-"&amp;P673,"")</f>
        <v>MDR TB-6 Porcentaje de pacientes con tuberculosis y resultados de sensibilidad a los fármacos al menos con respecto a la rifampicina entre el número total de casos notificados (nuevos y vueltos a tratar) en el mismo año.-6</v>
      </c>
      <c r="R673" s="194" t="str">
        <f t="array" ref="R673">IFERROR(IF(INDEX('Disaggregation Records'!$E$155:$E$385,MATCH(RIGHT(Q673,255),RIGHT('Disaggregation Records'!$D$155:$D$385,255),0))="","",INDEX('Disaggregation Records'!$E$155:$E$385,MATCH(RIGHT(Q673,255),RIGHT('Disaggregation Records'!$D$155:$D$385,255),0))),"")</f>
        <v/>
      </c>
      <c r="S673" s="194" t="str">
        <f t="array" ref="S673">IFERROR(IF(INDEX('Disaggregation Records'!$F$155:$F$385,MATCH(RIGHT(Q673,255),RIGHT('Disaggregation Records'!$D$155:$D$385,255),0))="","",INDEX('Disaggregation Records'!$F$155:$F$385,MATCH(RIGHT(Q673,255),RIGHT('Disaggregation Records'!$D$155:$D$385,255),0))),"")</f>
        <v/>
      </c>
      <c r="T673" s="194" t="str">
        <f t="array" ref="T673">IFERROR(IF(INDEX('Disaggregation Records'!$H$155:$H$385,MATCH(RIGHT(Q673,255),RIGHT('Disaggregation Records'!$D$155:$D$385,255),0))="","",INDEX('Disaggregation Records'!$H$155:$H$385,MATCH(RIGHT(Q673,255),RIGHT('Disaggregation Records'!$D$155:$D$385,255),0))),"")</f>
        <v/>
      </c>
      <c r="U673" s="194">
        <f>U671+1</f>
        <v>2526</v>
      </c>
      <c r="V673" s="194" t="str">
        <f t="array" ref="V673">IFERROR(IF(INDEX('Disaggregation Records'!$I$155:$I$385,MATCH(RIGHT(Q673,255),RIGHT('Disaggregation Records'!$D$155:$D$385,255),0))="","",INDEX('Disaggregation Records'!$I$155:$I$385,MATCH(RIGHT(Q673,255),RIGHT('Disaggregation Records'!$D$155:$D$385,255),0))),"")</f>
        <v/>
      </c>
      <c r="W673" s="194" t="str">
        <f>IFERROR(INDEX('Reference Records'!L$77:L$157,MATCH(LEFT(C673,255),'Reference Records'!E$77:E$157,0)),"")</f>
        <v>MDR TB-6 Percentage of TB patients with DST result for at least Rifampicin among the total number of notified (new and retreatment) cases in the same year</v>
      </c>
    </row>
    <row r="674" spans="1:23" s="194" customFormat="1" ht="40.4" customHeight="1" x14ac:dyDescent="0.35">
      <c r="A674" s="770"/>
      <c r="B674" s="767"/>
      <c r="C674" s="761"/>
      <c r="D674" s="769"/>
      <c r="E674" s="769"/>
      <c r="F674" s="208"/>
      <c r="G674" s="763"/>
      <c r="H674" s="744"/>
      <c r="I674" s="765"/>
      <c r="J674" s="730"/>
      <c r="K674" s="761"/>
      <c r="L674" s="761"/>
      <c r="M674" s="730"/>
      <c r="N674" s="730"/>
    </row>
    <row r="675" spans="1:23" s="194" customFormat="1" ht="40.4" customHeight="1" x14ac:dyDescent="0.35">
      <c r="A675" s="770" t="str">
        <f ca="1">INDIRECT("'update Helper'!C"&amp;U675)</f>
        <v>a163p000004NtVNAA0</v>
      </c>
      <c r="B675" s="766">
        <v>2</v>
      </c>
      <c r="C675" s="760" t="str">
        <f>VLOOKUP(B675,'Coverage Indicators - Section D'!$A$9:$AU$70,47,FALSE)</f>
        <v>MDR TB-6 Porcentaje de pacientes con tuberculosis y resultados de sensibilidad a los fármacos al menos con respecto a la rifampicina entre el número total de casos notificados (nuevos y vueltos a tratar) en el mismo año.</v>
      </c>
      <c r="D675" s="768" t="str">
        <f>R675</f>
        <v/>
      </c>
      <c r="E675" s="768" t="str">
        <f>S675</f>
        <v/>
      </c>
      <c r="F675" s="413"/>
      <c r="G675" s="762" t="str">
        <f ca="1">IF(OR(INDIRECT("'update Helper'!E"&amp;U675)="",F675&lt;&gt;0,F676&lt;&gt;0),IF(IFERROR((F675/F676),"")="","",(F675/F676)),INDIRECT("'update Helper'!E"&amp;U675)/100)</f>
        <v/>
      </c>
      <c r="H675" s="743"/>
      <c r="I675" s="764"/>
      <c r="J675" s="729"/>
      <c r="K675" s="760" t="str">
        <f>W675</f>
        <v>MDR TB-6 Percentage of TB patients with DST result for at least Rifampicin among the total number of notified (new and retreatment) cases in the same year</v>
      </c>
      <c r="L675" s="760" t="str">
        <f>V675</f>
        <v/>
      </c>
      <c r="M675" s="729"/>
      <c r="N675" s="729"/>
      <c r="P675" s="194">
        <f>IF(AND(EXACT(C675,C673),C673&lt;&gt;0),P673+1,0)</f>
        <v>7</v>
      </c>
      <c r="Q675" s="194" t="str">
        <f>IF(C675&lt;&gt;"",C675&amp;"-"&amp;P675,"")</f>
        <v>MDR TB-6 Porcentaje de pacientes con tuberculosis y resultados de sensibilidad a los fármacos al menos con respecto a la rifampicina entre el número total de casos notificados (nuevos y vueltos a tratar) en el mismo año.-7</v>
      </c>
      <c r="R675" s="194" t="str">
        <f t="array" ref="R675">IFERROR(IF(INDEX('Disaggregation Records'!$E$155:$E$385,MATCH(RIGHT(Q675,255),RIGHT('Disaggregation Records'!$D$155:$D$385,255),0))="","",INDEX('Disaggregation Records'!$E$155:$E$385,MATCH(RIGHT(Q675,255),RIGHT('Disaggregation Records'!$D$155:$D$385,255),0))),"")</f>
        <v/>
      </c>
      <c r="S675" s="194" t="str">
        <f t="array" ref="S675">IFERROR(IF(INDEX('Disaggregation Records'!$F$155:$F$385,MATCH(RIGHT(Q675,255),RIGHT('Disaggregation Records'!$D$155:$D$385,255),0))="","",INDEX('Disaggregation Records'!$F$155:$F$385,MATCH(RIGHT(Q675,255),RIGHT('Disaggregation Records'!$D$155:$D$385,255),0))),"")</f>
        <v/>
      </c>
      <c r="T675" s="194" t="str">
        <f t="array" ref="T675">IFERROR(IF(INDEX('Disaggregation Records'!$H$155:$H$385,MATCH(RIGHT(Q675,255),RIGHT('Disaggregation Records'!$D$155:$D$385,255),0))="","",INDEX('Disaggregation Records'!$H$155:$H$385,MATCH(RIGHT(Q675,255),RIGHT('Disaggregation Records'!$D$155:$D$385,255),0))),"")</f>
        <v/>
      </c>
      <c r="U675" s="194">
        <f>U673+1</f>
        <v>2527</v>
      </c>
      <c r="V675" s="194" t="str">
        <f t="array" ref="V675">IFERROR(IF(INDEX('Disaggregation Records'!$I$155:$I$385,MATCH(RIGHT(Q675,255),RIGHT('Disaggregation Records'!$D$155:$D$385,255),0))="","",INDEX('Disaggregation Records'!$I$155:$I$385,MATCH(RIGHT(Q675,255),RIGHT('Disaggregation Records'!$D$155:$D$385,255),0))),"")</f>
        <v/>
      </c>
      <c r="W675" s="194" t="str">
        <f>IFERROR(INDEX('Reference Records'!L$77:L$157,MATCH(LEFT(C675,255),'Reference Records'!E$77:E$157,0)),"")</f>
        <v>MDR TB-6 Percentage of TB patients with DST result for at least Rifampicin among the total number of notified (new and retreatment) cases in the same year</v>
      </c>
    </row>
    <row r="676" spans="1:23" s="194" customFormat="1" ht="40.4" customHeight="1" x14ac:dyDescent="0.35">
      <c r="A676" s="770"/>
      <c r="B676" s="767"/>
      <c r="C676" s="761"/>
      <c r="D676" s="769"/>
      <c r="E676" s="769"/>
      <c r="F676" s="208"/>
      <c r="G676" s="763"/>
      <c r="H676" s="744"/>
      <c r="I676" s="765"/>
      <c r="J676" s="730"/>
      <c r="K676" s="761"/>
      <c r="L676" s="761"/>
      <c r="M676" s="730"/>
      <c r="N676" s="730"/>
    </row>
    <row r="677" spans="1:23" s="194" customFormat="1" ht="40.4" customHeight="1" x14ac:dyDescent="0.35">
      <c r="A677" s="770" t="str">
        <f ca="1">INDIRECT("'update Helper'!C"&amp;U677)</f>
        <v>a163p000004NtVOAA0</v>
      </c>
      <c r="B677" s="766">
        <v>2</v>
      </c>
      <c r="C677" s="760" t="str">
        <f>VLOOKUP(B677,'Coverage Indicators - Section D'!$A$9:$AU$70,47,FALSE)</f>
        <v>MDR TB-6 Porcentaje de pacientes con tuberculosis y resultados de sensibilidad a los fármacos al menos con respecto a la rifampicina entre el número total de casos notificados (nuevos y vueltos a tratar) en el mismo año.</v>
      </c>
      <c r="D677" s="768" t="str">
        <f>R677</f>
        <v/>
      </c>
      <c r="E677" s="768" t="str">
        <f>S677</f>
        <v/>
      </c>
      <c r="F677" s="413"/>
      <c r="G677" s="762" t="str">
        <f ca="1">IF(OR(INDIRECT("'update Helper'!E"&amp;U677)="",F677&lt;&gt;0,F678&lt;&gt;0),IF(IFERROR((F677/F678),"")="","",(F677/F678)),INDIRECT("'update Helper'!E"&amp;U677)/100)</f>
        <v/>
      </c>
      <c r="H677" s="743"/>
      <c r="I677" s="764"/>
      <c r="J677" s="729"/>
      <c r="K677" s="760" t="str">
        <f>W677</f>
        <v>MDR TB-6 Percentage of TB patients with DST result for at least Rifampicin among the total number of notified (new and retreatment) cases in the same year</v>
      </c>
      <c r="L677" s="760" t="str">
        <f>V677</f>
        <v/>
      </c>
      <c r="M677" s="729"/>
      <c r="N677" s="729"/>
      <c r="P677" s="194">
        <f>IF(AND(EXACT(C677,C675),C675&lt;&gt;0),P675+1,0)</f>
        <v>8</v>
      </c>
      <c r="Q677" s="194" t="str">
        <f>IF(C677&lt;&gt;"",C677&amp;"-"&amp;P677,"")</f>
        <v>MDR TB-6 Porcentaje de pacientes con tuberculosis y resultados de sensibilidad a los fármacos al menos con respecto a la rifampicina entre el número total de casos notificados (nuevos y vueltos a tratar) en el mismo año.-8</v>
      </c>
      <c r="R677" s="194" t="str">
        <f t="array" ref="R677">IFERROR(IF(INDEX('Disaggregation Records'!$E$155:$E$385,MATCH(RIGHT(Q677,255),RIGHT('Disaggregation Records'!$D$155:$D$385,255),0))="","",INDEX('Disaggregation Records'!$E$155:$E$385,MATCH(RIGHT(Q677,255),RIGHT('Disaggregation Records'!$D$155:$D$385,255),0))),"")</f>
        <v/>
      </c>
      <c r="S677" s="194" t="str">
        <f t="array" ref="S677">IFERROR(IF(INDEX('Disaggregation Records'!$F$155:$F$385,MATCH(RIGHT(Q677,255),RIGHT('Disaggregation Records'!$D$155:$D$385,255),0))="","",INDEX('Disaggregation Records'!$F$155:$F$385,MATCH(RIGHT(Q677,255),RIGHT('Disaggregation Records'!$D$155:$D$385,255),0))),"")</f>
        <v/>
      </c>
      <c r="T677" s="194" t="str">
        <f t="array" ref="T677">IFERROR(IF(INDEX('Disaggregation Records'!$H$155:$H$385,MATCH(RIGHT(Q677,255),RIGHT('Disaggregation Records'!$D$155:$D$385,255),0))="","",INDEX('Disaggregation Records'!$H$155:$H$385,MATCH(RIGHT(Q677,255),RIGHT('Disaggregation Records'!$D$155:$D$385,255),0))),"")</f>
        <v/>
      </c>
      <c r="U677" s="194">
        <f>U675+1</f>
        <v>2528</v>
      </c>
      <c r="V677" s="194" t="str">
        <f t="array" ref="V677">IFERROR(IF(INDEX('Disaggregation Records'!$I$155:$I$385,MATCH(RIGHT(Q677,255),RIGHT('Disaggregation Records'!$D$155:$D$385,255),0))="","",INDEX('Disaggregation Records'!$I$155:$I$385,MATCH(RIGHT(Q677,255),RIGHT('Disaggregation Records'!$D$155:$D$385,255),0))),"")</f>
        <v/>
      </c>
      <c r="W677" s="194" t="str">
        <f>IFERROR(INDEX('Reference Records'!L$77:L$157,MATCH(LEFT(C677,255),'Reference Records'!E$77:E$157,0)),"")</f>
        <v>MDR TB-6 Percentage of TB patients with DST result for at least Rifampicin among the total number of notified (new and retreatment) cases in the same year</v>
      </c>
    </row>
    <row r="678" spans="1:23" s="194" customFormat="1" ht="40.4" customHeight="1" x14ac:dyDescent="0.35">
      <c r="A678" s="770"/>
      <c r="B678" s="767"/>
      <c r="C678" s="761"/>
      <c r="D678" s="769"/>
      <c r="E678" s="769"/>
      <c r="F678" s="208"/>
      <c r="G678" s="763"/>
      <c r="H678" s="744"/>
      <c r="I678" s="765"/>
      <c r="J678" s="730"/>
      <c r="K678" s="761"/>
      <c r="L678" s="761"/>
      <c r="M678" s="730"/>
      <c r="N678" s="730"/>
    </row>
    <row r="679" spans="1:23" s="194" customFormat="1" ht="40.4" customHeight="1" x14ac:dyDescent="0.35">
      <c r="A679" s="770" t="str">
        <f ca="1">INDIRECT("'update Helper'!C"&amp;U679)</f>
        <v>a163p000004NtVPAA0</v>
      </c>
      <c r="B679" s="766">
        <v>2</v>
      </c>
      <c r="C679" s="760" t="str">
        <f>VLOOKUP(B679,'Coverage Indicators - Section D'!$A$9:$AU$70,47,FALSE)</f>
        <v>MDR TB-6 Porcentaje de pacientes con tuberculosis y resultados de sensibilidad a los fármacos al menos con respecto a la rifampicina entre el número total de casos notificados (nuevos y vueltos a tratar) en el mismo año.</v>
      </c>
      <c r="D679" s="768" t="str">
        <f>R679</f>
        <v/>
      </c>
      <c r="E679" s="768" t="str">
        <f>S679</f>
        <v/>
      </c>
      <c r="F679" s="413"/>
      <c r="G679" s="762" t="str">
        <f ca="1">IF(OR(INDIRECT("'update Helper'!E"&amp;U679)="",F679&lt;&gt;0,F680&lt;&gt;0),IF(IFERROR((F679/F680),"")="","",(F679/F680)),INDIRECT("'update Helper'!E"&amp;U679)/100)</f>
        <v/>
      </c>
      <c r="H679" s="743"/>
      <c r="I679" s="764"/>
      <c r="J679" s="729"/>
      <c r="K679" s="760" t="str">
        <f>W679</f>
        <v>MDR TB-6 Percentage of TB patients with DST result for at least Rifampicin among the total number of notified (new and retreatment) cases in the same year</v>
      </c>
      <c r="L679" s="760" t="str">
        <f>V679</f>
        <v/>
      </c>
      <c r="M679" s="729"/>
      <c r="N679" s="729"/>
      <c r="P679" s="194">
        <f>IF(AND(EXACT(C679,C677),C677&lt;&gt;0),P677+1,0)</f>
        <v>9</v>
      </c>
      <c r="Q679" s="194" t="str">
        <f>IF(C679&lt;&gt;"",C679&amp;"-"&amp;P679,"")</f>
        <v>MDR TB-6 Porcentaje de pacientes con tuberculosis y resultados de sensibilidad a los fármacos al menos con respecto a la rifampicina entre el número total de casos notificados (nuevos y vueltos a tratar) en el mismo año.-9</v>
      </c>
      <c r="R679" s="194" t="str">
        <f t="array" ref="R679">IFERROR(IF(INDEX('Disaggregation Records'!$E$155:$E$385,MATCH(RIGHT(Q679,255),RIGHT('Disaggregation Records'!$D$155:$D$385,255),0))="","",INDEX('Disaggregation Records'!$E$155:$E$385,MATCH(RIGHT(Q679,255),RIGHT('Disaggregation Records'!$D$155:$D$385,255),0))),"")</f>
        <v/>
      </c>
      <c r="S679" s="194" t="str">
        <f t="array" ref="S679">IFERROR(IF(INDEX('Disaggregation Records'!$F$155:$F$385,MATCH(RIGHT(Q679,255),RIGHT('Disaggregation Records'!$D$155:$D$385,255),0))="","",INDEX('Disaggregation Records'!$F$155:$F$385,MATCH(RIGHT(Q679,255),RIGHT('Disaggregation Records'!$D$155:$D$385,255),0))),"")</f>
        <v/>
      </c>
      <c r="T679" s="194" t="str">
        <f t="array" ref="T679">IFERROR(IF(INDEX('Disaggregation Records'!$H$155:$H$385,MATCH(RIGHT(Q679,255),RIGHT('Disaggregation Records'!$D$155:$D$385,255),0))="","",INDEX('Disaggregation Records'!$H$155:$H$385,MATCH(RIGHT(Q679,255),RIGHT('Disaggregation Records'!$D$155:$D$385,255),0))),"")</f>
        <v/>
      </c>
      <c r="U679" s="194">
        <f>U677+1</f>
        <v>2529</v>
      </c>
      <c r="V679" s="194" t="str">
        <f t="array" ref="V679">IFERROR(IF(INDEX('Disaggregation Records'!$I$155:$I$385,MATCH(RIGHT(Q679,255),RIGHT('Disaggregation Records'!$D$155:$D$385,255),0))="","",INDEX('Disaggregation Records'!$I$155:$I$385,MATCH(RIGHT(Q679,255),RIGHT('Disaggregation Records'!$D$155:$D$385,255),0))),"")</f>
        <v/>
      </c>
      <c r="W679" s="194" t="str">
        <f>IFERROR(INDEX('Reference Records'!L$77:L$157,MATCH(LEFT(C679,255),'Reference Records'!E$77:E$157,0)),"")</f>
        <v>MDR TB-6 Percentage of TB patients with DST result for at least Rifampicin among the total number of notified (new and retreatment) cases in the same year</v>
      </c>
    </row>
    <row r="680" spans="1:23" s="194" customFormat="1" ht="40.4" customHeight="1" x14ac:dyDescent="0.35">
      <c r="A680" s="770"/>
      <c r="B680" s="767"/>
      <c r="C680" s="761"/>
      <c r="D680" s="769"/>
      <c r="E680" s="769"/>
      <c r="F680" s="208"/>
      <c r="G680" s="763"/>
      <c r="H680" s="744"/>
      <c r="I680" s="765"/>
      <c r="J680" s="730"/>
      <c r="K680" s="761"/>
      <c r="L680" s="761"/>
      <c r="M680" s="730"/>
      <c r="N680" s="730"/>
    </row>
    <row r="681" spans="1:23" s="194" customFormat="1" ht="40.4" customHeight="1" x14ac:dyDescent="0.35">
      <c r="A681" s="770" t="str">
        <f ca="1">INDIRECT("'update Helper'!C"&amp;U681)</f>
        <v>a163p000004NtVQAA0</v>
      </c>
      <c r="B681" s="766">
        <v>2</v>
      </c>
      <c r="C681" s="760" t="str">
        <f>VLOOKUP(B681,'Coverage Indicators - Section D'!$A$9:$AU$70,47,FALSE)</f>
        <v>MDR TB-6 Porcentaje de pacientes con tuberculosis y resultados de sensibilidad a los fármacos al menos con respecto a la rifampicina entre el número total de casos notificados (nuevos y vueltos a tratar) en el mismo año.</v>
      </c>
      <c r="D681" s="768" t="str">
        <f>R681</f>
        <v/>
      </c>
      <c r="E681" s="768" t="str">
        <f>S681</f>
        <v/>
      </c>
      <c r="F681" s="413"/>
      <c r="G681" s="762" t="str">
        <f ca="1">IF(OR(INDIRECT("'update Helper'!E"&amp;U681)="",F681&lt;&gt;0,F682&lt;&gt;0),IF(IFERROR((F681/F682),"")="","",(F681/F682)),INDIRECT("'update Helper'!E"&amp;U681)/100)</f>
        <v/>
      </c>
      <c r="H681" s="743"/>
      <c r="I681" s="764"/>
      <c r="J681" s="729"/>
      <c r="K681" s="760" t="str">
        <f>W681</f>
        <v>MDR TB-6 Percentage of TB patients with DST result for at least Rifampicin among the total number of notified (new and retreatment) cases in the same year</v>
      </c>
      <c r="L681" s="760" t="str">
        <f>V681</f>
        <v/>
      </c>
      <c r="M681" s="729"/>
      <c r="N681" s="729"/>
      <c r="P681" s="194">
        <f>IF(AND(EXACT(C681,C679),C679&lt;&gt;0),P679+1,0)</f>
        <v>10</v>
      </c>
      <c r="Q681" s="194" t="str">
        <f>IF(C681&lt;&gt;"",C681&amp;"-"&amp;P681,"")</f>
        <v>MDR TB-6 Porcentaje de pacientes con tuberculosis y resultados de sensibilidad a los fármacos al menos con respecto a la rifampicina entre el número total de casos notificados (nuevos y vueltos a tratar) en el mismo año.-10</v>
      </c>
      <c r="R681" s="194" t="str">
        <f t="array" ref="R681">IFERROR(IF(INDEX('Disaggregation Records'!$E$155:$E$385,MATCH(RIGHT(Q681,255),RIGHT('Disaggregation Records'!$D$155:$D$385,255),0))="","",INDEX('Disaggregation Records'!$E$155:$E$385,MATCH(RIGHT(Q681,255),RIGHT('Disaggregation Records'!$D$155:$D$385,255),0))),"")</f>
        <v/>
      </c>
      <c r="S681" s="194" t="str">
        <f t="array" ref="S681">IFERROR(IF(INDEX('Disaggregation Records'!$F$155:$F$385,MATCH(RIGHT(Q681,255),RIGHT('Disaggregation Records'!$D$155:$D$385,255),0))="","",INDEX('Disaggregation Records'!$F$155:$F$385,MATCH(RIGHT(Q681,255),RIGHT('Disaggregation Records'!$D$155:$D$385,255),0))),"")</f>
        <v/>
      </c>
      <c r="T681" s="194" t="str">
        <f t="array" ref="T681">IFERROR(IF(INDEX('Disaggregation Records'!$H$155:$H$385,MATCH(RIGHT(Q681,255),RIGHT('Disaggregation Records'!$D$155:$D$385,255),0))="","",INDEX('Disaggregation Records'!$H$155:$H$385,MATCH(RIGHT(Q681,255),RIGHT('Disaggregation Records'!$D$155:$D$385,255),0))),"")</f>
        <v/>
      </c>
      <c r="U681" s="194">
        <f>U679+1</f>
        <v>2530</v>
      </c>
      <c r="V681" s="194" t="str">
        <f t="array" ref="V681">IFERROR(IF(INDEX('Disaggregation Records'!$I$155:$I$385,MATCH(RIGHT(Q681,255),RIGHT('Disaggregation Records'!$D$155:$D$385,255),0))="","",INDEX('Disaggregation Records'!$I$155:$I$385,MATCH(RIGHT(Q681,255),RIGHT('Disaggregation Records'!$D$155:$D$385,255),0))),"")</f>
        <v/>
      </c>
      <c r="W681" s="194" t="str">
        <f>IFERROR(INDEX('Reference Records'!L$77:L$157,MATCH(LEFT(C681,255),'Reference Records'!E$77:E$157,0)),"")</f>
        <v>MDR TB-6 Percentage of TB patients with DST result for at least Rifampicin among the total number of notified (new and retreatment) cases in the same year</v>
      </c>
    </row>
    <row r="682" spans="1:23" s="194" customFormat="1" ht="40.4" customHeight="1" x14ac:dyDescent="0.35">
      <c r="A682" s="770"/>
      <c r="B682" s="767"/>
      <c r="C682" s="761"/>
      <c r="D682" s="769"/>
      <c r="E682" s="769"/>
      <c r="F682" s="208"/>
      <c r="G682" s="763"/>
      <c r="H682" s="744"/>
      <c r="I682" s="765"/>
      <c r="J682" s="730"/>
      <c r="K682" s="761"/>
      <c r="L682" s="761"/>
      <c r="M682" s="730"/>
      <c r="N682" s="730"/>
    </row>
    <row r="683" spans="1:23" s="194" customFormat="1" ht="40.4" customHeight="1" x14ac:dyDescent="0.35">
      <c r="A683" s="770" t="str">
        <f ca="1">INDIRECT("'update Helper'!C"&amp;U683)</f>
        <v>a163p000004NtVRAA0</v>
      </c>
      <c r="B683" s="766">
        <v>2</v>
      </c>
      <c r="C683" s="760" t="str">
        <f>VLOOKUP(B683,'Coverage Indicators - Section D'!$A$9:$AU$70,47,FALSE)</f>
        <v>MDR TB-6 Porcentaje de pacientes con tuberculosis y resultados de sensibilidad a los fármacos al menos con respecto a la rifampicina entre el número total de casos notificados (nuevos y vueltos a tratar) en el mismo año.</v>
      </c>
      <c r="D683" s="768" t="str">
        <f>R683</f>
        <v/>
      </c>
      <c r="E683" s="768" t="str">
        <f>S683</f>
        <v/>
      </c>
      <c r="F683" s="413"/>
      <c r="G683" s="762" t="str">
        <f ca="1">IF(OR(INDIRECT("'update Helper'!E"&amp;U683)="",F683&lt;&gt;0,F684&lt;&gt;0),IF(IFERROR((F683/F684),"")="","",(F683/F684)),INDIRECT("'update Helper'!E"&amp;U683)/100)</f>
        <v/>
      </c>
      <c r="H683" s="743"/>
      <c r="I683" s="764"/>
      <c r="J683" s="729"/>
      <c r="K683" s="760" t="str">
        <f>W683</f>
        <v>MDR TB-6 Percentage of TB patients with DST result for at least Rifampicin among the total number of notified (new and retreatment) cases in the same year</v>
      </c>
      <c r="L683" s="760" t="str">
        <f>V683</f>
        <v/>
      </c>
      <c r="M683" s="729"/>
      <c r="N683" s="729"/>
      <c r="P683" s="194">
        <f>IF(AND(EXACT(C683,C681),C681&lt;&gt;0),P681+1,0)</f>
        <v>11</v>
      </c>
      <c r="Q683" s="194" t="str">
        <f>IF(C683&lt;&gt;"",C683&amp;"-"&amp;P683,"")</f>
        <v>MDR TB-6 Porcentaje de pacientes con tuberculosis y resultados de sensibilidad a los fármacos al menos con respecto a la rifampicina entre el número total de casos notificados (nuevos y vueltos a tratar) en el mismo año.-11</v>
      </c>
      <c r="R683" s="194" t="str">
        <f t="array" ref="R683">IFERROR(IF(INDEX('Disaggregation Records'!$E$155:$E$385,MATCH(RIGHT(Q683,255),RIGHT('Disaggregation Records'!$D$155:$D$385,255),0))="","",INDEX('Disaggregation Records'!$E$155:$E$385,MATCH(RIGHT(Q683,255),RIGHT('Disaggregation Records'!$D$155:$D$385,255),0))),"")</f>
        <v/>
      </c>
      <c r="S683" s="194" t="str">
        <f t="array" ref="S683">IFERROR(IF(INDEX('Disaggregation Records'!$F$155:$F$385,MATCH(RIGHT(Q683,255),RIGHT('Disaggregation Records'!$D$155:$D$385,255),0))="","",INDEX('Disaggregation Records'!$F$155:$F$385,MATCH(RIGHT(Q683,255),RIGHT('Disaggregation Records'!$D$155:$D$385,255),0))),"")</f>
        <v/>
      </c>
      <c r="T683" s="194" t="str">
        <f t="array" ref="T683">IFERROR(IF(INDEX('Disaggregation Records'!$H$155:$H$385,MATCH(RIGHT(Q683,255),RIGHT('Disaggregation Records'!$D$155:$D$385,255),0))="","",INDEX('Disaggregation Records'!$H$155:$H$385,MATCH(RIGHT(Q683,255),RIGHT('Disaggregation Records'!$D$155:$D$385,255),0))),"")</f>
        <v/>
      </c>
      <c r="U683" s="194">
        <f>U681+1</f>
        <v>2531</v>
      </c>
      <c r="V683" s="194" t="str">
        <f t="array" ref="V683">IFERROR(IF(INDEX('Disaggregation Records'!$I$155:$I$385,MATCH(RIGHT(Q683,255),RIGHT('Disaggregation Records'!$D$155:$D$385,255),0))="","",INDEX('Disaggregation Records'!$I$155:$I$385,MATCH(RIGHT(Q683,255),RIGHT('Disaggregation Records'!$D$155:$D$385,255),0))),"")</f>
        <v/>
      </c>
      <c r="W683" s="194" t="str">
        <f>IFERROR(INDEX('Reference Records'!L$77:L$157,MATCH(LEFT(C683,255),'Reference Records'!E$77:E$157,0)),"")</f>
        <v>MDR TB-6 Percentage of TB patients with DST result for at least Rifampicin among the total number of notified (new and retreatment) cases in the same year</v>
      </c>
    </row>
    <row r="684" spans="1:23" s="194" customFormat="1" ht="40.4" customHeight="1" x14ac:dyDescent="0.35">
      <c r="A684" s="770"/>
      <c r="B684" s="767"/>
      <c r="C684" s="761"/>
      <c r="D684" s="769"/>
      <c r="E684" s="769"/>
      <c r="F684" s="208"/>
      <c r="G684" s="763"/>
      <c r="H684" s="744"/>
      <c r="I684" s="765"/>
      <c r="J684" s="730"/>
      <c r="K684" s="761"/>
      <c r="L684" s="761"/>
      <c r="M684" s="730"/>
      <c r="N684" s="730"/>
    </row>
    <row r="685" spans="1:23" s="194" customFormat="1" ht="40.4" customHeight="1" x14ac:dyDescent="0.35">
      <c r="A685" s="770" t="str">
        <f ca="1">INDIRECT("'update Helper'!C"&amp;U685)</f>
        <v>a163p000004NtVSAA0</v>
      </c>
      <c r="B685" s="766">
        <v>2</v>
      </c>
      <c r="C685" s="760" t="str">
        <f>VLOOKUP(B685,'Coverage Indicators - Section D'!$A$9:$AU$70,47,FALSE)</f>
        <v>MDR TB-6 Porcentaje de pacientes con tuberculosis y resultados de sensibilidad a los fármacos al menos con respecto a la rifampicina entre el número total de casos notificados (nuevos y vueltos a tratar) en el mismo año.</v>
      </c>
      <c r="D685" s="768" t="str">
        <f>R685</f>
        <v/>
      </c>
      <c r="E685" s="768" t="str">
        <f>S685</f>
        <v/>
      </c>
      <c r="F685" s="413"/>
      <c r="G685" s="762" t="str">
        <f ca="1">IF(OR(INDIRECT("'update Helper'!E"&amp;U685)="",F685&lt;&gt;0,F686&lt;&gt;0),IF(IFERROR((F685/F686),"")="","",(F685/F686)),INDIRECT("'update Helper'!E"&amp;U685)/100)</f>
        <v/>
      </c>
      <c r="H685" s="743"/>
      <c r="I685" s="764"/>
      <c r="J685" s="729"/>
      <c r="K685" s="760" t="str">
        <f>W685</f>
        <v>MDR TB-6 Percentage of TB patients with DST result for at least Rifampicin among the total number of notified (new and retreatment) cases in the same year</v>
      </c>
      <c r="L685" s="760" t="str">
        <f>V685</f>
        <v/>
      </c>
      <c r="M685" s="729"/>
      <c r="N685" s="729"/>
      <c r="P685" s="194">
        <f>IF(AND(EXACT(C685,C683),C683&lt;&gt;0),P683+1,0)</f>
        <v>12</v>
      </c>
      <c r="Q685" s="194" t="str">
        <f>IF(C685&lt;&gt;"",C685&amp;"-"&amp;P685,"")</f>
        <v>MDR TB-6 Porcentaje de pacientes con tuberculosis y resultados de sensibilidad a los fármacos al menos con respecto a la rifampicina entre el número total de casos notificados (nuevos y vueltos a tratar) en el mismo año.-12</v>
      </c>
      <c r="R685" s="194" t="str">
        <f t="array" ref="R685">IFERROR(IF(INDEX('Disaggregation Records'!$E$155:$E$385,MATCH(RIGHT(Q685,255),RIGHT('Disaggregation Records'!$D$155:$D$385,255),0))="","",INDEX('Disaggregation Records'!$E$155:$E$385,MATCH(RIGHT(Q685,255),RIGHT('Disaggregation Records'!$D$155:$D$385,255),0))),"")</f>
        <v/>
      </c>
      <c r="S685" s="194" t="str">
        <f t="array" ref="S685">IFERROR(IF(INDEX('Disaggregation Records'!$F$155:$F$385,MATCH(RIGHT(Q685,255),RIGHT('Disaggregation Records'!$D$155:$D$385,255),0))="","",INDEX('Disaggregation Records'!$F$155:$F$385,MATCH(RIGHT(Q685,255),RIGHT('Disaggregation Records'!$D$155:$D$385,255),0))),"")</f>
        <v/>
      </c>
      <c r="T685" s="194" t="str">
        <f t="array" ref="T685">IFERROR(IF(INDEX('Disaggregation Records'!$H$155:$H$385,MATCH(RIGHT(Q685,255),RIGHT('Disaggregation Records'!$D$155:$D$385,255),0))="","",INDEX('Disaggregation Records'!$H$155:$H$385,MATCH(RIGHT(Q685,255),RIGHT('Disaggregation Records'!$D$155:$D$385,255),0))),"")</f>
        <v/>
      </c>
      <c r="U685" s="194">
        <f>U683+1</f>
        <v>2532</v>
      </c>
      <c r="V685" s="194" t="str">
        <f t="array" ref="V685">IFERROR(IF(INDEX('Disaggregation Records'!$I$155:$I$385,MATCH(RIGHT(Q685,255),RIGHT('Disaggregation Records'!$D$155:$D$385,255),0))="","",INDEX('Disaggregation Records'!$I$155:$I$385,MATCH(RIGHT(Q685,255),RIGHT('Disaggregation Records'!$D$155:$D$385,255),0))),"")</f>
        <v/>
      </c>
      <c r="W685" s="194" t="str">
        <f>IFERROR(INDEX('Reference Records'!L$77:L$157,MATCH(LEFT(C685,255),'Reference Records'!E$77:E$157,0)),"")</f>
        <v>MDR TB-6 Percentage of TB patients with DST result for at least Rifampicin among the total number of notified (new and retreatment) cases in the same year</v>
      </c>
    </row>
    <row r="686" spans="1:23" s="194" customFormat="1" ht="40.4" customHeight="1" x14ac:dyDescent="0.35">
      <c r="A686" s="770"/>
      <c r="B686" s="767"/>
      <c r="C686" s="761"/>
      <c r="D686" s="769"/>
      <c r="E686" s="769"/>
      <c r="F686" s="208"/>
      <c r="G686" s="763"/>
      <c r="H686" s="744"/>
      <c r="I686" s="765"/>
      <c r="J686" s="730"/>
      <c r="K686" s="761"/>
      <c r="L686" s="761"/>
      <c r="M686" s="730"/>
      <c r="N686" s="730"/>
    </row>
    <row r="687" spans="1:23" s="194" customFormat="1" ht="40.4" customHeight="1" x14ac:dyDescent="0.35">
      <c r="A687" s="770" t="str">
        <f ca="1">INDIRECT("'update Helper'!C"&amp;U687)</f>
        <v>a163p000004NtVTAA0</v>
      </c>
      <c r="B687" s="766">
        <v>2</v>
      </c>
      <c r="C687" s="760" t="str">
        <f>VLOOKUP(B687,'Coverage Indicators - Section D'!$A$9:$AU$70,47,FALSE)</f>
        <v>MDR TB-6 Porcentaje de pacientes con tuberculosis y resultados de sensibilidad a los fármacos al menos con respecto a la rifampicina entre el número total de casos notificados (nuevos y vueltos a tratar) en el mismo año.</v>
      </c>
      <c r="D687" s="768" t="str">
        <f>R687</f>
        <v/>
      </c>
      <c r="E687" s="768" t="str">
        <f>S687</f>
        <v/>
      </c>
      <c r="F687" s="413"/>
      <c r="G687" s="762" t="str">
        <f ca="1">IF(OR(INDIRECT("'update Helper'!E"&amp;U687)="",F687&lt;&gt;0,F688&lt;&gt;0),IF(IFERROR((F687/F688),"")="","",(F687/F688)),INDIRECT("'update Helper'!E"&amp;U687)/100)</f>
        <v/>
      </c>
      <c r="H687" s="743"/>
      <c r="I687" s="764"/>
      <c r="J687" s="729"/>
      <c r="K687" s="760" t="str">
        <f>W687</f>
        <v>MDR TB-6 Percentage of TB patients with DST result for at least Rifampicin among the total number of notified (new and retreatment) cases in the same year</v>
      </c>
      <c r="L687" s="760" t="str">
        <f>V687</f>
        <v/>
      </c>
      <c r="M687" s="729"/>
      <c r="N687" s="729"/>
      <c r="P687" s="194">
        <f>IF(AND(EXACT(C687,C685),C685&lt;&gt;0),P685+1,0)</f>
        <v>13</v>
      </c>
      <c r="Q687" s="194" t="str">
        <f>IF(C687&lt;&gt;"",C687&amp;"-"&amp;P687,"")</f>
        <v>MDR TB-6 Porcentaje de pacientes con tuberculosis y resultados de sensibilidad a los fármacos al menos con respecto a la rifampicina entre el número total de casos notificados (nuevos y vueltos a tratar) en el mismo año.-13</v>
      </c>
      <c r="R687" s="194" t="str">
        <f t="array" ref="R687">IFERROR(IF(INDEX('Disaggregation Records'!$E$155:$E$385,MATCH(RIGHT(Q687,255),RIGHT('Disaggregation Records'!$D$155:$D$385,255),0))="","",INDEX('Disaggregation Records'!$E$155:$E$385,MATCH(RIGHT(Q687,255),RIGHT('Disaggregation Records'!$D$155:$D$385,255),0))),"")</f>
        <v/>
      </c>
      <c r="S687" s="194" t="str">
        <f t="array" ref="S687">IFERROR(IF(INDEX('Disaggregation Records'!$F$155:$F$385,MATCH(RIGHT(Q687,255),RIGHT('Disaggregation Records'!$D$155:$D$385,255),0))="","",INDEX('Disaggregation Records'!$F$155:$F$385,MATCH(RIGHT(Q687,255),RIGHT('Disaggregation Records'!$D$155:$D$385,255),0))),"")</f>
        <v/>
      </c>
      <c r="T687" s="194" t="str">
        <f t="array" ref="T687">IFERROR(IF(INDEX('Disaggregation Records'!$H$155:$H$385,MATCH(RIGHT(Q687,255),RIGHT('Disaggregation Records'!$D$155:$D$385,255),0))="","",INDEX('Disaggregation Records'!$H$155:$H$385,MATCH(RIGHT(Q687,255),RIGHT('Disaggregation Records'!$D$155:$D$385,255),0))),"")</f>
        <v/>
      </c>
      <c r="U687" s="194">
        <f>U685+1</f>
        <v>2533</v>
      </c>
      <c r="V687" s="194" t="str">
        <f t="array" ref="V687">IFERROR(IF(INDEX('Disaggregation Records'!$I$155:$I$385,MATCH(RIGHT(Q687,255),RIGHT('Disaggregation Records'!$D$155:$D$385,255),0))="","",INDEX('Disaggregation Records'!$I$155:$I$385,MATCH(RIGHT(Q687,255),RIGHT('Disaggregation Records'!$D$155:$D$385,255),0))),"")</f>
        <v/>
      </c>
      <c r="W687" s="194" t="str">
        <f>IFERROR(INDEX('Reference Records'!L$77:L$157,MATCH(LEFT(C687,255),'Reference Records'!E$77:E$157,0)),"")</f>
        <v>MDR TB-6 Percentage of TB patients with DST result for at least Rifampicin among the total number of notified (new and retreatment) cases in the same year</v>
      </c>
    </row>
    <row r="688" spans="1:23" s="194" customFormat="1" ht="40.4" customHeight="1" x14ac:dyDescent="0.35">
      <c r="A688" s="770"/>
      <c r="B688" s="767"/>
      <c r="C688" s="761"/>
      <c r="D688" s="769"/>
      <c r="E688" s="769"/>
      <c r="F688" s="208"/>
      <c r="G688" s="763"/>
      <c r="H688" s="744"/>
      <c r="I688" s="765"/>
      <c r="J688" s="730"/>
      <c r="K688" s="761"/>
      <c r="L688" s="761"/>
      <c r="M688" s="730"/>
      <c r="N688" s="730"/>
    </row>
    <row r="689" spans="1:23" s="194" customFormat="1" ht="40.4" customHeight="1" x14ac:dyDescent="0.35">
      <c r="A689" s="770" t="str">
        <f ca="1">INDIRECT("'update Helper'!C"&amp;U689)</f>
        <v>a163p000004NtVUAA0</v>
      </c>
      <c r="B689" s="766">
        <v>2</v>
      </c>
      <c r="C689" s="760" t="str">
        <f>VLOOKUP(B689,'Coverage Indicators - Section D'!$A$9:$AU$70,47,FALSE)</f>
        <v>MDR TB-6 Porcentaje de pacientes con tuberculosis y resultados de sensibilidad a los fármacos al menos con respecto a la rifampicina entre el número total de casos notificados (nuevos y vueltos a tratar) en el mismo año.</v>
      </c>
      <c r="D689" s="768" t="str">
        <f>R689</f>
        <v/>
      </c>
      <c r="E689" s="768" t="str">
        <f>S689</f>
        <v/>
      </c>
      <c r="F689" s="413"/>
      <c r="G689" s="762" t="str">
        <f ca="1">IF(OR(INDIRECT("'update Helper'!E"&amp;U689)="",F689&lt;&gt;0,F690&lt;&gt;0),IF(IFERROR((F689/F690),"")="","",(F689/F690)),INDIRECT("'update Helper'!E"&amp;U689)/100)</f>
        <v/>
      </c>
      <c r="H689" s="743"/>
      <c r="I689" s="764"/>
      <c r="J689" s="729"/>
      <c r="K689" s="760" t="str">
        <f>W689</f>
        <v>MDR TB-6 Percentage of TB patients with DST result for at least Rifampicin among the total number of notified (new and retreatment) cases in the same year</v>
      </c>
      <c r="L689" s="760" t="str">
        <f>V689</f>
        <v/>
      </c>
      <c r="M689" s="729"/>
      <c r="N689" s="729"/>
      <c r="P689" s="194">
        <f>IF(AND(EXACT(C689,C687),C687&lt;&gt;0),P687+1,0)</f>
        <v>14</v>
      </c>
      <c r="Q689" s="194" t="str">
        <f>IF(C689&lt;&gt;"",C689&amp;"-"&amp;P689,"")</f>
        <v>MDR TB-6 Porcentaje de pacientes con tuberculosis y resultados de sensibilidad a los fármacos al menos con respecto a la rifampicina entre el número total de casos notificados (nuevos y vueltos a tratar) en el mismo año.-14</v>
      </c>
      <c r="R689" s="194" t="str">
        <f t="array" ref="R689">IFERROR(IF(INDEX('Disaggregation Records'!$E$155:$E$385,MATCH(RIGHT(Q689,255),RIGHT('Disaggregation Records'!$D$155:$D$385,255),0))="","",INDEX('Disaggregation Records'!$E$155:$E$385,MATCH(RIGHT(Q689,255),RIGHT('Disaggregation Records'!$D$155:$D$385,255),0))),"")</f>
        <v/>
      </c>
      <c r="S689" s="194" t="str">
        <f t="array" ref="S689">IFERROR(IF(INDEX('Disaggregation Records'!$F$155:$F$385,MATCH(RIGHT(Q689,255),RIGHT('Disaggregation Records'!$D$155:$D$385,255),0))="","",INDEX('Disaggregation Records'!$F$155:$F$385,MATCH(RIGHT(Q689,255),RIGHT('Disaggregation Records'!$D$155:$D$385,255),0))),"")</f>
        <v/>
      </c>
      <c r="T689" s="194" t="str">
        <f t="array" ref="T689">IFERROR(IF(INDEX('Disaggregation Records'!$H$155:$H$385,MATCH(RIGHT(Q689,255),RIGHT('Disaggregation Records'!$D$155:$D$385,255),0))="","",INDEX('Disaggregation Records'!$H$155:$H$385,MATCH(RIGHT(Q689,255),RIGHT('Disaggregation Records'!$D$155:$D$385,255),0))),"")</f>
        <v/>
      </c>
      <c r="U689" s="194">
        <f>U687+1</f>
        <v>2534</v>
      </c>
      <c r="V689" s="194" t="str">
        <f t="array" ref="V689">IFERROR(IF(INDEX('Disaggregation Records'!$I$155:$I$385,MATCH(RIGHT(Q689,255),RIGHT('Disaggregation Records'!$D$155:$D$385,255),0))="","",INDEX('Disaggregation Records'!$I$155:$I$385,MATCH(RIGHT(Q689,255),RIGHT('Disaggregation Records'!$D$155:$D$385,255),0))),"")</f>
        <v/>
      </c>
      <c r="W689" s="194" t="str">
        <f>IFERROR(INDEX('Reference Records'!L$77:L$157,MATCH(LEFT(C689,255),'Reference Records'!E$77:E$157,0)),"")</f>
        <v>MDR TB-6 Percentage of TB patients with DST result for at least Rifampicin among the total number of notified (new and retreatment) cases in the same year</v>
      </c>
    </row>
    <row r="690" spans="1:23" s="194" customFormat="1" ht="40.4" customHeight="1" x14ac:dyDescent="0.35">
      <c r="A690" s="770"/>
      <c r="B690" s="767"/>
      <c r="C690" s="761"/>
      <c r="D690" s="769"/>
      <c r="E690" s="769"/>
      <c r="F690" s="208"/>
      <c r="G690" s="763"/>
      <c r="H690" s="744"/>
      <c r="I690" s="765"/>
      <c r="J690" s="730"/>
      <c r="K690" s="761"/>
      <c r="L690" s="761"/>
      <c r="M690" s="730"/>
      <c r="N690" s="730"/>
    </row>
    <row r="691" spans="1:23" s="194" customFormat="1" ht="40.4" customHeight="1" x14ac:dyDescent="0.35">
      <c r="A691" s="770" t="str">
        <f ca="1">INDIRECT("'update Helper'!C"&amp;U691)</f>
        <v>a163p000004NtVVAA0</v>
      </c>
      <c r="B691" s="766">
        <v>2</v>
      </c>
      <c r="C691" s="760" t="str">
        <f>VLOOKUP(B691,'Coverage Indicators - Section D'!$A$9:$AU$70,47,FALSE)</f>
        <v>MDR TB-6 Porcentaje de pacientes con tuberculosis y resultados de sensibilidad a los fármacos al menos con respecto a la rifampicina entre el número total de casos notificados (nuevos y vueltos a tratar) en el mismo año.</v>
      </c>
      <c r="D691" s="768" t="str">
        <f>R691</f>
        <v/>
      </c>
      <c r="E691" s="768" t="str">
        <f>S691</f>
        <v/>
      </c>
      <c r="F691" s="413"/>
      <c r="G691" s="762" t="str">
        <f ca="1">IF(OR(INDIRECT("'update Helper'!E"&amp;U691)="",F691&lt;&gt;0,F692&lt;&gt;0),IF(IFERROR((F691/F692),"")="","",(F691/F692)),INDIRECT("'update Helper'!E"&amp;U691)/100)</f>
        <v/>
      </c>
      <c r="H691" s="743"/>
      <c r="I691" s="764"/>
      <c r="J691" s="729"/>
      <c r="K691" s="760" t="str">
        <f>W691</f>
        <v>MDR TB-6 Percentage of TB patients with DST result for at least Rifampicin among the total number of notified (new and retreatment) cases in the same year</v>
      </c>
      <c r="L691" s="760" t="str">
        <f>V691</f>
        <v/>
      </c>
      <c r="M691" s="729"/>
      <c r="N691" s="729"/>
      <c r="P691" s="194">
        <f>IF(AND(EXACT(C691,C689),C689&lt;&gt;0),P689+1,0)</f>
        <v>15</v>
      </c>
      <c r="Q691" s="194" t="str">
        <f>IF(C691&lt;&gt;"",C691&amp;"-"&amp;P691,"")</f>
        <v>MDR TB-6 Porcentaje de pacientes con tuberculosis y resultados de sensibilidad a los fármacos al menos con respecto a la rifampicina entre el número total de casos notificados (nuevos y vueltos a tratar) en el mismo año.-15</v>
      </c>
      <c r="R691" s="194" t="str">
        <f t="array" ref="R691">IFERROR(IF(INDEX('Disaggregation Records'!$E$155:$E$385,MATCH(RIGHT(Q691,255),RIGHT('Disaggregation Records'!$D$155:$D$385,255),0))="","",INDEX('Disaggregation Records'!$E$155:$E$385,MATCH(RIGHT(Q691,255),RIGHT('Disaggregation Records'!$D$155:$D$385,255),0))),"")</f>
        <v/>
      </c>
      <c r="S691" s="194" t="str">
        <f t="array" ref="S691">IFERROR(IF(INDEX('Disaggregation Records'!$F$155:$F$385,MATCH(RIGHT(Q691,255),RIGHT('Disaggregation Records'!$D$155:$D$385,255),0))="","",INDEX('Disaggregation Records'!$F$155:$F$385,MATCH(RIGHT(Q691,255),RIGHT('Disaggregation Records'!$D$155:$D$385,255),0))),"")</f>
        <v/>
      </c>
      <c r="T691" s="194" t="str">
        <f t="array" ref="T691">IFERROR(IF(INDEX('Disaggregation Records'!$H$155:$H$385,MATCH(RIGHT(Q691,255),RIGHT('Disaggregation Records'!$D$155:$D$385,255),0))="","",INDEX('Disaggregation Records'!$H$155:$H$385,MATCH(RIGHT(Q691,255),RIGHT('Disaggregation Records'!$D$155:$D$385,255),0))),"")</f>
        <v/>
      </c>
      <c r="U691" s="194">
        <f>U689+1</f>
        <v>2535</v>
      </c>
      <c r="V691" s="194" t="str">
        <f t="array" ref="V691">IFERROR(IF(INDEX('Disaggregation Records'!$I$155:$I$385,MATCH(RIGHT(Q691,255),RIGHT('Disaggregation Records'!$D$155:$D$385,255),0))="","",INDEX('Disaggregation Records'!$I$155:$I$385,MATCH(RIGHT(Q691,255),RIGHT('Disaggregation Records'!$D$155:$D$385,255),0))),"")</f>
        <v/>
      </c>
      <c r="W691" s="194" t="str">
        <f>IFERROR(INDEX('Reference Records'!L$77:L$157,MATCH(LEFT(C691,255),'Reference Records'!E$77:E$157,0)),"")</f>
        <v>MDR TB-6 Percentage of TB patients with DST result for at least Rifampicin among the total number of notified (new and retreatment) cases in the same year</v>
      </c>
    </row>
    <row r="692" spans="1:23" s="194" customFormat="1" ht="40.4" customHeight="1" x14ac:dyDescent="0.35">
      <c r="A692" s="770"/>
      <c r="B692" s="767"/>
      <c r="C692" s="761"/>
      <c r="D692" s="769"/>
      <c r="E692" s="769"/>
      <c r="F692" s="208"/>
      <c r="G692" s="763"/>
      <c r="H692" s="744"/>
      <c r="I692" s="765"/>
      <c r="J692" s="730"/>
      <c r="K692" s="761"/>
      <c r="L692" s="761"/>
      <c r="M692" s="730"/>
      <c r="N692" s="730"/>
    </row>
    <row r="693" spans="1:23" s="194" customFormat="1" ht="40.4" customHeight="1" x14ac:dyDescent="0.35">
      <c r="A693" s="770" t="str">
        <f ca="1">INDIRECT("'update Helper'!C"&amp;U693)</f>
        <v>a163p000004NtVWAA0</v>
      </c>
      <c r="B693" s="766">
        <v>2</v>
      </c>
      <c r="C693" s="760" t="str">
        <f>VLOOKUP(B693,'Coverage Indicators - Section D'!$A$9:$AU$70,47,FALSE)</f>
        <v>MDR TB-6 Porcentaje de pacientes con tuberculosis y resultados de sensibilidad a los fármacos al menos con respecto a la rifampicina entre el número total de casos notificados (nuevos y vueltos a tratar) en el mismo año.</v>
      </c>
      <c r="D693" s="768" t="str">
        <f>R693</f>
        <v/>
      </c>
      <c r="E693" s="768" t="str">
        <f>S693</f>
        <v/>
      </c>
      <c r="F693" s="413"/>
      <c r="G693" s="762" t="str">
        <f ca="1">IF(OR(INDIRECT("'update Helper'!E"&amp;U693)="",F693&lt;&gt;0,F694&lt;&gt;0),IF(IFERROR((F693/F694),"")="","",(F693/F694)),INDIRECT("'update Helper'!E"&amp;U693)/100)</f>
        <v/>
      </c>
      <c r="H693" s="743"/>
      <c r="I693" s="764"/>
      <c r="J693" s="729"/>
      <c r="K693" s="760" t="str">
        <f>W693</f>
        <v>MDR TB-6 Percentage of TB patients with DST result for at least Rifampicin among the total number of notified (new and retreatment) cases in the same year</v>
      </c>
      <c r="L693" s="760" t="str">
        <f>V693</f>
        <v/>
      </c>
      <c r="M693" s="729"/>
      <c r="N693" s="729"/>
      <c r="P693" s="194">
        <f>IF(AND(EXACT(C693,C691),C691&lt;&gt;0),P691+1,0)</f>
        <v>16</v>
      </c>
      <c r="Q693" s="194" t="str">
        <f>IF(C693&lt;&gt;"",C693&amp;"-"&amp;P693,"")</f>
        <v>MDR TB-6 Porcentaje de pacientes con tuberculosis y resultados de sensibilidad a los fármacos al menos con respecto a la rifampicina entre el número total de casos notificados (nuevos y vueltos a tratar) en el mismo año.-16</v>
      </c>
      <c r="R693" s="194" t="str">
        <f t="array" ref="R693">IFERROR(IF(INDEX('Disaggregation Records'!$E$155:$E$385,MATCH(RIGHT(Q693,255),RIGHT('Disaggregation Records'!$D$155:$D$385,255),0))="","",INDEX('Disaggregation Records'!$E$155:$E$385,MATCH(RIGHT(Q693,255),RIGHT('Disaggregation Records'!$D$155:$D$385,255),0))),"")</f>
        <v/>
      </c>
      <c r="S693" s="194" t="str">
        <f t="array" ref="S693">IFERROR(IF(INDEX('Disaggregation Records'!$F$155:$F$385,MATCH(RIGHT(Q693,255),RIGHT('Disaggregation Records'!$D$155:$D$385,255),0))="","",INDEX('Disaggregation Records'!$F$155:$F$385,MATCH(RIGHT(Q693,255),RIGHT('Disaggregation Records'!$D$155:$D$385,255),0))),"")</f>
        <v/>
      </c>
      <c r="T693" s="194" t="str">
        <f t="array" ref="T693">IFERROR(IF(INDEX('Disaggregation Records'!$H$155:$H$385,MATCH(RIGHT(Q693,255),RIGHT('Disaggregation Records'!$D$155:$D$385,255),0))="","",INDEX('Disaggregation Records'!$H$155:$H$385,MATCH(RIGHT(Q693,255),RIGHT('Disaggregation Records'!$D$155:$D$385,255),0))),"")</f>
        <v/>
      </c>
      <c r="U693" s="194">
        <f>U691+1</f>
        <v>2536</v>
      </c>
      <c r="V693" s="194" t="str">
        <f t="array" ref="V693">IFERROR(IF(INDEX('Disaggregation Records'!$I$155:$I$385,MATCH(RIGHT(Q693,255),RIGHT('Disaggregation Records'!$D$155:$D$385,255),0))="","",INDEX('Disaggregation Records'!$I$155:$I$385,MATCH(RIGHT(Q693,255),RIGHT('Disaggregation Records'!$D$155:$D$385,255),0))),"")</f>
        <v/>
      </c>
      <c r="W693" s="194" t="str">
        <f>IFERROR(INDEX('Reference Records'!L$77:L$157,MATCH(LEFT(C693,255),'Reference Records'!E$77:E$157,0)),"")</f>
        <v>MDR TB-6 Percentage of TB patients with DST result for at least Rifampicin among the total number of notified (new and retreatment) cases in the same year</v>
      </c>
    </row>
    <row r="694" spans="1:23" s="194" customFormat="1" ht="40.4" customHeight="1" x14ac:dyDescent="0.35">
      <c r="A694" s="770"/>
      <c r="B694" s="767"/>
      <c r="C694" s="761"/>
      <c r="D694" s="769"/>
      <c r="E694" s="769"/>
      <c r="F694" s="208"/>
      <c r="G694" s="763"/>
      <c r="H694" s="744"/>
      <c r="I694" s="765"/>
      <c r="J694" s="730"/>
      <c r="K694" s="761"/>
      <c r="L694" s="761"/>
      <c r="M694" s="730"/>
      <c r="N694" s="730"/>
    </row>
    <row r="695" spans="1:23" s="194" customFormat="1" ht="40.4" customHeight="1" x14ac:dyDescent="0.35">
      <c r="A695" s="770" t="str">
        <f ca="1">INDIRECT("'update Helper'!C"&amp;U695)</f>
        <v>a163p000004NtVXAA0</v>
      </c>
      <c r="B695" s="766">
        <v>2</v>
      </c>
      <c r="C695" s="760" t="str">
        <f>VLOOKUP(B695,'Coverage Indicators - Section D'!$A$9:$AU$70,47,FALSE)</f>
        <v>MDR TB-6 Porcentaje de pacientes con tuberculosis y resultados de sensibilidad a los fármacos al menos con respecto a la rifampicina entre el número total de casos notificados (nuevos y vueltos a tratar) en el mismo año.</v>
      </c>
      <c r="D695" s="768" t="str">
        <f>R695</f>
        <v/>
      </c>
      <c r="E695" s="768" t="str">
        <f>S695</f>
        <v/>
      </c>
      <c r="F695" s="413"/>
      <c r="G695" s="762" t="str">
        <f ca="1">IF(OR(INDIRECT("'update Helper'!E"&amp;U695)="",F695&lt;&gt;0,F696&lt;&gt;0),IF(IFERROR((F695/F696),"")="","",(F695/F696)),INDIRECT("'update Helper'!E"&amp;U695)/100)</f>
        <v/>
      </c>
      <c r="H695" s="743"/>
      <c r="I695" s="764"/>
      <c r="J695" s="729"/>
      <c r="K695" s="760" t="str">
        <f>W695</f>
        <v>MDR TB-6 Percentage of TB patients with DST result for at least Rifampicin among the total number of notified (new and retreatment) cases in the same year</v>
      </c>
      <c r="L695" s="760" t="str">
        <f>V695</f>
        <v/>
      </c>
      <c r="M695" s="729"/>
      <c r="N695" s="729"/>
      <c r="P695" s="194">
        <f>IF(AND(EXACT(C695,C693),C693&lt;&gt;0),P693+1,0)</f>
        <v>17</v>
      </c>
      <c r="Q695" s="194" t="str">
        <f>IF(C695&lt;&gt;"",C695&amp;"-"&amp;P695,"")</f>
        <v>MDR TB-6 Porcentaje de pacientes con tuberculosis y resultados de sensibilidad a los fármacos al menos con respecto a la rifampicina entre el número total de casos notificados (nuevos y vueltos a tratar) en el mismo año.-17</v>
      </c>
      <c r="R695" s="194" t="str">
        <f t="array" ref="R695">IFERROR(IF(INDEX('Disaggregation Records'!$E$155:$E$385,MATCH(RIGHT(Q695,255),RIGHT('Disaggregation Records'!$D$155:$D$385,255),0))="","",INDEX('Disaggregation Records'!$E$155:$E$385,MATCH(RIGHT(Q695,255),RIGHT('Disaggregation Records'!$D$155:$D$385,255),0))),"")</f>
        <v/>
      </c>
      <c r="S695" s="194" t="str">
        <f t="array" ref="S695">IFERROR(IF(INDEX('Disaggregation Records'!$F$155:$F$385,MATCH(RIGHT(Q695,255),RIGHT('Disaggregation Records'!$D$155:$D$385,255),0))="","",INDEX('Disaggregation Records'!$F$155:$F$385,MATCH(RIGHT(Q695,255),RIGHT('Disaggregation Records'!$D$155:$D$385,255),0))),"")</f>
        <v/>
      </c>
      <c r="T695" s="194" t="str">
        <f t="array" ref="T695">IFERROR(IF(INDEX('Disaggregation Records'!$H$155:$H$385,MATCH(RIGHT(Q695,255),RIGHT('Disaggregation Records'!$D$155:$D$385,255),0))="","",INDEX('Disaggregation Records'!$H$155:$H$385,MATCH(RIGHT(Q695,255),RIGHT('Disaggregation Records'!$D$155:$D$385,255),0))),"")</f>
        <v/>
      </c>
      <c r="U695" s="194">
        <f>U693+1</f>
        <v>2537</v>
      </c>
      <c r="V695" s="194" t="str">
        <f t="array" ref="V695">IFERROR(IF(INDEX('Disaggregation Records'!$I$155:$I$385,MATCH(RIGHT(Q695,255),RIGHT('Disaggregation Records'!$D$155:$D$385,255),0))="","",INDEX('Disaggregation Records'!$I$155:$I$385,MATCH(RIGHT(Q695,255),RIGHT('Disaggregation Records'!$D$155:$D$385,255),0))),"")</f>
        <v/>
      </c>
      <c r="W695" s="194" t="str">
        <f>IFERROR(INDEX('Reference Records'!L$77:L$157,MATCH(LEFT(C695,255),'Reference Records'!E$77:E$157,0)),"")</f>
        <v>MDR TB-6 Percentage of TB patients with DST result for at least Rifampicin among the total number of notified (new and retreatment) cases in the same year</v>
      </c>
    </row>
    <row r="696" spans="1:23" s="194" customFormat="1" ht="40.4" customHeight="1" x14ac:dyDescent="0.35">
      <c r="A696" s="770"/>
      <c r="B696" s="767"/>
      <c r="C696" s="761"/>
      <c r="D696" s="769"/>
      <c r="E696" s="769"/>
      <c r="F696" s="208"/>
      <c r="G696" s="763"/>
      <c r="H696" s="744"/>
      <c r="I696" s="765"/>
      <c r="J696" s="730"/>
      <c r="K696" s="761"/>
      <c r="L696" s="761"/>
      <c r="M696" s="730"/>
      <c r="N696" s="730"/>
    </row>
    <row r="697" spans="1:23" s="194" customFormat="1" ht="40.4" customHeight="1" x14ac:dyDescent="0.35">
      <c r="A697" s="770" t="str">
        <f ca="1">INDIRECT("'update Helper'!C"&amp;U697)</f>
        <v>a163p000004NtVYAA0</v>
      </c>
      <c r="B697" s="766">
        <v>2</v>
      </c>
      <c r="C697" s="760" t="str">
        <f>VLOOKUP(B697,'Coverage Indicators - Section D'!$A$9:$AU$70,47,FALSE)</f>
        <v>MDR TB-6 Porcentaje de pacientes con tuberculosis y resultados de sensibilidad a los fármacos al menos con respecto a la rifampicina entre el número total de casos notificados (nuevos y vueltos a tratar) en el mismo año.</v>
      </c>
      <c r="D697" s="768" t="str">
        <f>R697</f>
        <v/>
      </c>
      <c r="E697" s="768" t="str">
        <f>S697</f>
        <v/>
      </c>
      <c r="F697" s="413"/>
      <c r="G697" s="762" t="str">
        <f ca="1">IF(OR(INDIRECT("'update Helper'!E"&amp;U697)="",F697&lt;&gt;0,F698&lt;&gt;0),IF(IFERROR((F697/F698),"")="","",(F697/F698)),INDIRECT("'update Helper'!E"&amp;U697)/100)</f>
        <v/>
      </c>
      <c r="H697" s="743"/>
      <c r="I697" s="764"/>
      <c r="J697" s="729"/>
      <c r="K697" s="760" t="str">
        <f>W697</f>
        <v>MDR TB-6 Percentage of TB patients with DST result for at least Rifampicin among the total number of notified (new and retreatment) cases in the same year</v>
      </c>
      <c r="L697" s="760" t="str">
        <f>V697</f>
        <v/>
      </c>
      <c r="M697" s="729"/>
      <c r="N697" s="729"/>
      <c r="P697" s="194">
        <f>IF(AND(EXACT(C697,C695),C695&lt;&gt;0),P695+1,0)</f>
        <v>18</v>
      </c>
      <c r="Q697" s="194" t="str">
        <f>IF(C697&lt;&gt;"",C697&amp;"-"&amp;P697,"")</f>
        <v>MDR TB-6 Porcentaje de pacientes con tuberculosis y resultados de sensibilidad a los fármacos al menos con respecto a la rifampicina entre el número total de casos notificados (nuevos y vueltos a tratar) en el mismo año.-18</v>
      </c>
      <c r="R697" s="194" t="str">
        <f t="array" ref="R697">IFERROR(IF(INDEX('Disaggregation Records'!$E$155:$E$385,MATCH(RIGHT(Q697,255),RIGHT('Disaggregation Records'!$D$155:$D$385,255),0))="","",INDEX('Disaggregation Records'!$E$155:$E$385,MATCH(RIGHT(Q697,255),RIGHT('Disaggregation Records'!$D$155:$D$385,255),0))),"")</f>
        <v/>
      </c>
      <c r="S697" s="194" t="str">
        <f t="array" ref="S697">IFERROR(IF(INDEX('Disaggregation Records'!$F$155:$F$385,MATCH(RIGHT(Q697,255),RIGHT('Disaggregation Records'!$D$155:$D$385,255),0))="","",INDEX('Disaggregation Records'!$F$155:$F$385,MATCH(RIGHT(Q697,255),RIGHT('Disaggregation Records'!$D$155:$D$385,255),0))),"")</f>
        <v/>
      </c>
      <c r="T697" s="194" t="str">
        <f t="array" ref="T697">IFERROR(IF(INDEX('Disaggregation Records'!$H$155:$H$385,MATCH(RIGHT(Q697,255),RIGHT('Disaggregation Records'!$D$155:$D$385,255),0))="","",INDEX('Disaggregation Records'!$H$155:$H$385,MATCH(RIGHT(Q697,255),RIGHT('Disaggregation Records'!$D$155:$D$385,255),0))),"")</f>
        <v/>
      </c>
      <c r="U697" s="194">
        <f>U695+1</f>
        <v>2538</v>
      </c>
      <c r="V697" s="194" t="str">
        <f t="array" ref="V697">IFERROR(IF(INDEX('Disaggregation Records'!$I$155:$I$385,MATCH(RIGHT(Q697,255),RIGHT('Disaggregation Records'!$D$155:$D$385,255),0))="","",INDEX('Disaggregation Records'!$I$155:$I$385,MATCH(RIGHT(Q697,255),RIGHT('Disaggregation Records'!$D$155:$D$385,255),0))),"")</f>
        <v/>
      </c>
      <c r="W697" s="194" t="str">
        <f>IFERROR(INDEX('Reference Records'!L$77:L$157,MATCH(LEFT(C697,255),'Reference Records'!E$77:E$157,0)),"")</f>
        <v>MDR TB-6 Percentage of TB patients with DST result for at least Rifampicin among the total number of notified (new and retreatment) cases in the same year</v>
      </c>
    </row>
    <row r="698" spans="1:23" s="194" customFormat="1" ht="40.4" customHeight="1" x14ac:dyDescent="0.35">
      <c r="A698" s="770"/>
      <c r="B698" s="767"/>
      <c r="C698" s="761"/>
      <c r="D698" s="769"/>
      <c r="E698" s="769"/>
      <c r="F698" s="208"/>
      <c r="G698" s="763"/>
      <c r="H698" s="744"/>
      <c r="I698" s="765"/>
      <c r="J698" s="730"/>
      <c r="K698" s="761"/>
      <c r="L698" s="761"/>
      <c r="M698" s="730"/>
      <c r="N698" s="730"/>
    </row>
    <row r="699" spans="1:23" s="194" customFormat="1" ht="40.4" customHeight="1" x14ac:dyDescent="0.35">
      <c r="A699" s="770" t="str">
        <f ca="1">INDIRECT("'update Helper'!C"&amp;U699)</f>
        <v>a163p000004NtVZAA0</v>
      </c>
      <c r="B699" s="766">
        <v>2</v>
      </c>
      <c r="C699" s="760" t="str">
        <f>VLOOKUP(B699,'Coverage Indicators - Section D'!$A$9:$AU$70,47,FALSE)</f>
        <v>MDR TB-6 Porcentaje de pacientes con tuberculosis y resultados de sensibilidad a los fármacos al menos con respecto a la rifampicina entre el número total de casos notificados (nuevos y vueltos a tratar) en el mismo año.</v>
      </c>
      <c r="D699" s="768" t="str">
        <f>R699</f>
        <v/>
      </c>
      <c r="E699" s="768" t="str">
        <f>S699</f>
        <v/>
      </c>
      <c r="F699" s="413"/>
      <c r="G699" s="762" t="str">
        <f ca="1">IF(OR(INDIRECT("'update Helper'!E"&amp;U699)="",F699&lt;&gt;0,F700&lt;&gt;0),IF(IFERROR((F699/F700),"")="","",(F699/F700)),INDIRECT("'update Helper'!E"&amp;U699)/100)</f>
        <v/>
      </c>
      <c r="H699" s="743"/>
      <c r="I699" s="764"/>
      <c r="J699" s="729"/>
      <c r="K699" s="760" t="str">
        <f>W699</f>
        <v>MDR TB-6 Percentage of TB patients with DST result for at least Rifampicin among the total number of notified (new and retreatment) cases in the same year</v>
      </c>
      <c r="L699" s="760" t="str">
        <f>V699</f>
        <v/>
      </c>
      <c r="M699" s="729"/>
      <c r="N699" s="729"/>
      <c r="P699" s="194">
        <f>IF(AND(EXACT(C699,C697),C697&lt;&gt;0),P697+1,0)</f>
        <v>19</v>
      </c>
      <c r="Q699" s="194" t="str">
        <f>IF(C699&lt;&gt;"",C699&amp;"-"&amp;P699,"")</f>
        <v>MDR TB-6 Porcentaje de pacientes con tuberculosis y resultados de sensibilidad a los fármacos al menos con respecto a la rifampicina entre el número total de casos notificados (nuevos y vueltos a tratar) en el mismo año.-19</v>
      </c>
      <c r="R699" s="194" t="str">
        <f t="array" ref="R699">IFERROR(IF(INDEX('Disaggregation Records'!$E$155:$E$385,MATCH(RIGHT(Q699,255),RIGHT('Disaggregation Records'!$D$155:$D$385,255),0))="","",INDEX('Disaggregation Records'!$E$155:$E$385,MATCH(RIGHT(Q699,255),RIGHT('Disaggregation Records'!$D$155:$D$385,255),0))),"")</f>
        <v/>
      </c>
      <c r="S699" s="194" t="str">
        <f t="array" ref="S699">IFERROR(IF(INDEX('Disaggregation Records'!$F$155:$F$385,MATCH(RIGHT(Q699,255),RIGHT('Disaggregation Records'!$D$155:$D$385,255),0))="","",INDEX('Disaggregation Records'!$F$155:$F$385,MATCH(RIGHT(Q699,255),RIGHT('Disaggregation Records'!$D$155:$D$385,255),0))),"")</f>
        <v/>
      </c>
      <c r="T699" s="194" t="str">
        <f t="array" ref="T699">IFERROR(IF(INDEX('Disaggregation Records'!$H$155:$H$385,MATCH(RIGHT(Q699,255),RIGHT('Disaggregation Records'!$D$155:$D$385,255),0))="","",INDEX('Disaggregation Records'!$H$155:$H$385,MATCH(RIGHT(Q699,255),RIGHT('Disaggregation Records'!$D$155:$D$385,255),0))),"")</f>
        <v/>
      </c>
      <c r="U699" s="194">
        <f>U697+1</f>
        <v>2539</v>
      </c>
      <c r="V699" s="194" t="str">
        <f t="array" ref="V699">IFERROR(IF(INDEX('Disaggregation Records'!$I$155:$I$385,MATCH(RIGHT(Q699,255),RIGHT('Disaggregation Records'!$D$155:$D$385,255),0))="","",INDEX('Disaggregation Records'!$I$155:$I$385,MATCH(RIGHT(Q699,255),RIGHT('Disaggregation Records'!$D$155:$D$385,255),0))),"")</f>
        <v/>
      </c>
      <c r="W699" s="194" t="str">
        <f>IFERROR(INDEX('Reference Records'!L$77:L$157,MATCH(LEFT(C699,255),'Reference Records'!E$77:E$157,0)),"")</f>
        <v>MDR TB-6 Percentage of TB patients with DST result for at least Rifampicin among the total number of notified (new and retreatment) cases in the same year</v>
      </c>
    </row>
    <row r="700" spans="1:23" s="194" customFormat="1" ht="40.4" customHeight="1" x14ac:dyDescent="0.35">
      <c r="A700" s="770"/>
      <c r="B700" s="767"/>
      <c r="C700" s="761"/>
      <c r="D700" s="769"/>
      <c r="E700" s="769"/>
      <c r="F700" s="208"/>
      <c r="G700" s="763"/>
      <c r="H700" s="744"/>
      <c r="I700" s="765"/>
      <c r="J700" s="730"/>
      <c r="K700" s="761"/>
      <c r="L700" s="761"/>
      <c r="M700" s="730"/>
      <c r="N700" s="730"/>
    </row>
    <row r="701" spans="1:23" s="194" customFormat="1" ht="40.4" customHeight="1" x14ac:dyDescent="0.35">
      <c r="A701" s="770" t="str">
        <f ca="1">INDIRECT("'update Helper'!C"&amp;U701)</f>
        <v>a163p000004NtLuAAK</v>
      </c>
      <c r="B701" s="766">
        <v>3</v>
      </c>
      <c r="C701" s="760" t="str">
        <f>VLOOKUP(B701,'Coverage Indicators - Section D'!$A$9:$AU$70,47,FALSE)</f>
        <v>HTS-Other 2 Porcentaje de resultados de VIH positivos entre el total de pruebas de VIH realizadas en personas Trans</v>
      </c>
      <c r="D701" s="768" t="str">
        <f>R701</f>
        <v/>
      </c>
      <c r="E701" s="768" t="str">
        <f>S701</f>
        <v/>
      </c>
      <c r="F701" s="413"/>
      <c r="G701" s="762" t="str">
        <f ca="1">IF(OR(INDIRECT("'update Helper'!E"&amp;U701)="",F701&lt;&gt;0,F702&lt;&gt;0),IF(IFERROR((F701/F702),"")="","",(F701/F702)),INDIRECT("'update Helper'!E"&amp;U701)/100)</f>
        <v/>
      </c>
      <c r="H701" s="743"/>
      <c r="I701" s="764"/>
      <c r="J701" s="729"/>
      <c r="K701" s="760" t="str">
        <f>W701</f>
        <v/>
      </c>
      <c r="L701" s="760" t="str">
        <f>V701</f>
        <v/>
      </c>
      <c r="M701" s="729"/>
      <c r="N701" s="729"/>
      <c r="P701" s="194">
        <f>IF(AND(EXACT(C701,C699),C699&lt;&gt;0),P699+1,0)</f>
        <v>0</v>
      </c>
      <c r="Q701" s="194" t="str">
        <f>IF(C701&lt;&gt;"",C701&amp;"-"&amp;P701,"")</f>
        <v>HTS-Other 2 Porcentaje de resultados de VIH positivos entre el total de pruebas de VIH realizadas en personas Trans-0</v>
      </c>
      <c r="R701" s="194" t="str">
        <f t="array" ref="R701">IFERROR(IF(INDEX('Disaggregation Records'!$E$155:$E$385,MATCH(RIGHT(Q701,255),RIGHT('Disaggregation Records'!$D$155:$D$385,255),0))="","",INDEX('Disaggregation Records'!$E$155:$E$385,MATCH(RIGHT(Q701,255),RIGHT('Disaggregation Records'!$D$155:$D$385,255),0))),"")</f>
        <v/>
      </c>
      <c r="S701" s="194" t="str">
        <f t="array" ref="S701">IFERROR(IF(INDEX('Disaggregation Records'!$F$155:$F$385,MATCH(RIGHT(Q701,255),RIGHT('Disaggregation Records'!$D$155:$D$385,255),0))="","",INDEX('Disaggregation Records'!$F$155:$F$385,MATCH(RIGHT(Q701,255),RIGHT('Disaggregation Records'!$D$155:$D$385,255),0))),"")</f>
        <v/>
      </c>
      <c r="T701" s="194" t="str">
        <f t="array" ref="T701">IFERROR(IF(INDEX('Disaggregation Records'!$H$155:$H$385,MATCH(RIGHT(Q701,255),RIGHT('Disaggregation Records'!$D$155:$D$385,255),0))="","",INDEX('Disaggregation Records'!$H$155:$H$385,MATCH(RIGHT(Q701,255),RIGHT('Disaggregation Records'!$D$155:$D$385,255),0))),"")</f>
        <v/>
      </c>
      <c r="U701" s="194">
        <f>U699+1</f>
        <v>2540</v>
      </c>
      <c r="V701" s="194" t="str">
        <f t="array" ref="V701">IFERROR(IF(INDEX('Disaggregation Records'!$I$155:$I$385,MATCH(RIGHT(Q701,255),RIGHT('Disaggregation Records'!$D$155:$D$385,255),0))="","",INDEX('Disaggregation Records'!$I$155:$I$385,MATCH(RIGHT(Q701,255),RIGHT('Disaggregation Records'!$D$155:$D$385,255),0))),"")</f>
        <v/>
      </c>
      <c r="W701" s="194" t="str">
        <f>IFERROR(INDEX('Reference Records'!L$77:L$157,MATCH(LEFT(C701,255),'Reference Records'!E$77:E$157,0)),"")</f>
        <v/>
      </c>
    </row>
    <row r="702" spans="1:23" s="194" customFormat="1" ht="40.4" customHeight="1" x14ac:dyDescent="0.35">
      <c r="A702" s="770"/>
      <c r="B702" s="767"/>
      <c r="C702" s="761"/>
      <c r="D702" s="769"/>
      <c r="E702" s="769"/>
      <c r="F702" s="208"/>
      <c r="G702" s="763"/>
      <c r="H702" s="744"/>
      <c r="I702" s="765"/>
      <c r="J702" s="730"/>
      <c r="K702" s="761"/>
      <c r="L702" s="761"/>
      <c r="M702" s="730"/>
      <c r="N702" s="730"/>
    </row>
    <row r="703" spans="1:23" s="194" customFormat="1" ht="40.4" customHeight="1" x14ac:dyDescent="0.35">
      <c r="A703" s="770" t="str">
        <f ca="1">INDIRECT("'update Helper'!C"&amp;U703)</f>
        <v>a163p000004NtLvAAK</v>
      </c>
      <c r="B703" s="766">
        <v>3</v>
      </c>
      <c r="C703" s="760" t="str">
        <f>VLOOKUP(B703,'Coverage Indicators - Section D'!$A$9:$AU$70,47,FALSE)</f>
        <v>HTS-Other 2 Porcentaje de resultados de VIH positivos entre el total de pruebas de VIH realizadas en personas Trans</v>
      </c>
      <c r="D703" s="768" t="str">
        <f>R703</f>
        <v/>
      </c>
      <c r="E703" s="768" t="str">
        <f>S703</f>
        <v/>
      </c>
      <c r="F703" s="413"/>
      <c r="G703" s="762" t="str">
        <f ca="1">IF(OR(INDIRECT("'update Helper'!E"&amp;U703)="",F703&lt;&gt;0,F704&lt;&gt;0),IF(IFERROR((F703/F704),"")="","",(F703/F704)),INDIRECT("'update Helper'!E"&amp;U703)/100)</f>
        <v/>
      </c>
      <c r="H703" s="743"/>
      <c r="I703" s="764"/>
      <c r="J703" s="729"/>
      <c r="K703" s="760" t="str">
        <f>W703</f>
        <v/>
      </c>
      <c r="L703" s="760" t="str">
        <f>V703</f>
        <v/>
      </c>
      <c r="M703" s="729"/>
      <c r="N703" s="729"/>
      <c r="P703" s="194">
        <f>IF(AND(EXACT(C703,C701),C701&lt;&gt;0),P701+1,0)</f>
        <v>1</v>
      </c>
      <c r="Q703" s="194" t="str">
        <f>IF(C703&lt;&gt;"",C703&amp;"-"&amp;P703,"")</f>
        <v>HTS-Other 2 Porcentaje de resultados de VIH positivos entre el total de pruebas de VIH realizadas en personas Trans-1</v>
      </c>
      <c r="R703" s="194" t="str">
        <f t="array" ref="R703">IFERROR(IF(INDEX('Disaggregation Records'!$E$155:$E$385,MATCH(RIGHT(Q703,255),RIGHT('Disaggregation Records'!$D$155:$D$385,255),0))="","",INDEX('Disaggregation Records'!$E$155:$E$385,MATCH(RIGHT(Q703,255),RIGHT('Disaggregation Records'!$D$155:$D$385,255),0))),"")</f>
        <v/>
      </c>
      <c r="S703" s="194" t="str">
        <f t="array" ref="S703">IFERROR(IF(INDEX('Disaggregation Records'!$F$155:$F$385,MATCH(RIGHT(Q703,255),RIGHT('Disaggregation Records'!$D$155:$D$385,255),0))="","",INDEX('Disaggregation Records'!$F$155:$F$385,MATCH(RIGHT(Q703,255),RIGHT('Disaggregation Records'!$D$155:$D$385,255),0))),"")</f>
        <v/>
      </c>
      <c r="T703" s="194" t="str">
        <f t="array" ref="T703">IFERROR(IF(INDEX('Disaggregation Records'!$H$155:$H$385,MATCH(RIGHT(Q703,255),RIGHT('Disaggregation Records'!$D$155:$D$385,255),0))="","",INDEX('Disaggregation Records'!$H$155:$H$385,MATCH(RIGHT(Q703,255),RIGHT('Disaggregation Records'!$D$155:$D$385,255),0))),"")</f>
        <v/>
      </c>
      <c r="U703" s="194">
        <f>U701+1</f>
        <v>2541</v>
      </c>
      <c r="V703" s="194" t="str">
        <f t="array" ref="V703">IFERROR(IF(INDEX('Disaggregation Records'!$I$155:$I$385,MATCH(RIGHT(Q703,255),RIGHT('Disaggregation Records'!$D$155:$D$385,255),0))="","",INDEX('Disaggregation Records'!$I$155:$I$385,MATCH(RIGHT(Q703,255),RIGHT('Disaggregation Records'!$D$155:$D$385,255),0))),"")</f>
        <v/>
      </c>
      <c r="W703" s="194" t="str">
        <f>IFERROR(INDEX('Reference Records'!L$77:L$157,MATCH(LEFT(C703,255),'Reference Records'!E$77:E$157,0)),"")</f>
        <v/>
      </c>
    </row>
    <row r="704" spans="1:23" s="194" customFormat="1" ht="40.4" customHeight="1" x14ac:dyDescent="0.35">
      <c r="A704" s="770"/>
      <c r="B704" s="767"/>
      <c r="C704" s="761"/>
      <c r="D704" s="769"/>
      <c r="E704" s="769"/>
      <c r="F704" s="208"/>
      <c r="G704" s="763"/>
      <c r="H704" s="744"/>
      <c r="I704" s="765"/>
      <c r="J704" s="730"/>
      <c r="K704" s="761"/>
      <c r="L704" s="761"/>
      <c r="M704" s="730"/>
      <c r="N704" s="730"/>
    </row>
    <row r="705" spans="1:23" s="194" customFormat="1" ht="40.4" customHeight="1" x14ac:dyDescent="0.35">
      <c r="A705" s="770" t="str">
        <f ca="1">INDIRECT("'update Helper'!C"&amp;U705)</f>
        <v>a163p000004NtLwAAK</v>
      </c>
      <c r="B705" s="766">
        <v>3</v>
      </c>
      <c r="C705" s="760" t="str">
        <f>VLOOKUP(B705,'Coverage Indicators - Section D'!$A$9:$AU$70,47,FALSE)</f>
        <v>HTS-Other 2 Porcentaje de resultados de VIH positivos entre el total de pruebas de VIH realizadas en personas Trans</v>
      </c>
      <c r="D705" s="768" t="str">
        <f>R705</f>
        <v/>
      </c>
      <c r="E705" s="768" t="str">
        <f>S705</f>
        <v/>
      </c>
      <c r="F705" s="413"/>
      <c r="G705" s="762" t="str">
        <f ca="1">IF(OR(INDIRECT("'update Helper'!E"&amp;U705)="",F705&lt;&gt;0,F706&lt;&gt;0),IF(IFERROR((F705/F706),"")="","",(F705/F706)),INDIRECT("'update Helper'!E"&amp;U705)/100)</f>
        <v/>
      </c>
      <c r="H705" s="743"/>
      <c r="I705" s="764"/>
      <c r="J705" s="729"/>
      <c r="K705" s="760" t="str">
        <f>W705</f>
        <v/>
      </c>
      <c r="L705" s="760" t="str">
        <f>V705</f>
        <v/>
      </c>
      <c r="M705" s="729"/>
      <c r="N705" s="729"/>
      <c r="P705" s="194">
        <f>IF(AND(EXACT(C705,C703),C703&lt;&gt;0),P703+1,0)</f>
        <v>2</v>
      </c>
      <c r="Q705" s="194" t="str">
        <f>IF(C705&lt;&gt;"",C705&amp;"-"&amp;P705,"")</f>
        <v>HTS-Other 2 Porcentaje de resultados de VIH positivos entre el total de pruebas de VIH realizadas en personas Trans-2</v>
      </c>
      <c r="R705" s="194" t="str">
        <f t="array" ref="R705">IFERROR(IF(INDEX('Disaggregation Records'!$E$155:$E$385,MATCH(RIGHT(Q705,255),RIGHT('Disaggregation Records'!$D$155:$D$385,255),0))="","",INDEX('Disaggregation Records'!$E$155:$E$385,MATCH(RIGHT(Q705,255),RIGHT('Disaggregation Records'!$D$155:$D$385,255),0))),"")</f>
        <v/>
      </c>
      <c r="S705" s="194" t="str">
        <f t="array" ref="S705">IFERROR(IF(INDEX('Disaggregation Records'!$F$155:$F$385,MATCH(RIGHT(Q705,255),RIGHT('Disaggregation Records'!$D$155:$D$385,255),0))="","",INDEX('Disaggregation Records'!$F$155:$F$385,MATCH(RIGHT(Q705,255),RIGHT('Disaggregation Records'!$D$155:$D$385,255),0))),"")</f>
        <v/>
      </c>
      <c r="T705" s="194" t="str">
        <f t="array" ref="T705">IFERROR(IF(INDEX('Disaggregation Records'!$H$155:$H$385,MATCH(RIGHT(Q705,255),RIGHT('Disaggregation Records'!$D$155:$D$385,255),0))="","",INDEX('Disaggregation Records'!$H$155:$H$385,MATCH(RIGHT(Q705,255),RIGHT('Disaggregation Records'!$D$155:$D$385,255),0))),"")</f>
        <v/>
      </c>
      <c r="U705" s="194">
        <f>U703+1</f>
        <v>2542</v>
      </c>
      <c r="V705" s="194" t="str">
        <f t="array" ref="V705">IFERROR(IF(INDEX('Disaggregation Records'!$I$155:$I$385,MATCH(RIGHT(Q705,255),RIGHT('Disaggregation Records'!$D$155:$D$385,255),0))="","",INDEX('Disaggregation Records'!$I$155:$I$385,MATCH(RIGHT(Q705,255),RIGHT('Disaggregation Records'!$D$155:$D$385,255),0))),"")</f>
        <v/>
      </c>
      <c r="W705" s="194" t="str">
        <f>IFERROR(INDEX('Reference Records'!L$77:L$157,MATCH(LEFT(C705,255),'Reference Records'!E$77:E$157,0)),"")</f>
        <v/>
      </c>
    </row>
    <row r="706" spans="1:23" s="194" customFormat="1" ht="40.4" customHeight="1" x14ac:dyDescent="0.35">
      <c r="A706" s="770"/>
      <c r="B706" s="767"/>
      <c r="C706" s="761"/>
      <c r="D706" s="769"/>
      <c r="E706" s="769"/>
      <c r="F706" s="208"/>
      <c r="G706" s="763"/>
      <c r="H706" s="744"/>
      <c r="I706" s="765"/>
      <c r="J706" s="730"/>
      <c r="K706" s="761"/>
      <c r="L706" s="761"/>
      <c r="M706" s="730"/>
      <c r="N706" s="730"/>
    </row>
    <row r="707" spans="1:23" s="194" customFormat="1" ht="40.4" customHeight="1" x14ac:dyDescent="0.35">
      <c r="A707" s="770" t="str">
        <f ca="1">INDIRECT("'update Helper'!C"&amp;U707)</f>
        <v>a163p000004NtLxAAK</v>
      </c>
      <c r="B707" s="766">
        <v>3</v>
      </c>
      <c r="C707" s="760" t="str">
        <f>VLOOKUP(B707,'Coverage Indicators - Section D'!$A$9:$AU$70,47,FALSE)</f>
        <v>HTS-Other 2 Porcentaje de resultados de VIH positivos entre el total de pruebas de VIH realizadas en personas Trans</v>
      </c>
      <c r="D707" s="768" t="str">
        <f>R707</f>
        <v/>
      </c>
      <c r="E707" s="768" t="str">
        <f>S707</f>
        <v/>
      </c>
      <c r="F707" s="413"/>
      <c r="G707" s="762" t="str">
        <f ca="1">IF(OR(INDIRECT("'update Helper'!E"&amp;U707)="",F707&lt;&gt;0,F708&lt;&gt;0),IF(IFERROR((F707/F708),"")="","",(F707/F708)),INDIRECT("'update Helper'!E"&amp;U707)/100)</f>
        <v/>
      </c>
      <c r="H707" s="743"/>
      <c r="I707" s="764"/>
      <c r="J707" s="729"/>
      <c r="K707" s="760" t="str">
        <f>W707</f>
        <v/>
      </c>
      <c r="L707" s="760" t="str">
        <f>V707</f>
        <v/>
      </c>
      <c r="M707" s="729"/>
      <c r="N707" s="729"/>
      <c r="P707" s="194">
        <f>IF(AND(EXACT(C707,C705),C705&lt;&gt;0),P705+1,0)</f>
        <v>3</v>
      </c>
      <c r="Q707" s="194" t="str">
        <f>IF(C707&lt;&gt;"",C707&amp;"-"&amp;P707,"")</f>
        <v>HTS-Other 2 Porcentaje de resultados de VIH positivos entre el total de pruebas de VIH realizadas en personas Trans-3</v>
      </c>
      <c r="R707" s="194" t="str">
        <f t="array" ref="R707">IFERROR(IF(INDEX('Disaggregation Records'!$E$155:$E$385,MATCH(RIGHT(Q707,255),RIGHT('Disaggregation Records'!$D$155:$D$385,255),0))="","",INDEX('Disaggregation Records'!$E$155:$E$385,MATCH(RIGHT(Q707,255),RIGHT('Disaggregation Records'!$D$155:$D$385,255),0))),"")</f>
        <v/>
      </c>
      <c r="S707" s="194" t="str">
        <f t="array" ref="S707">IFERROR(IF(INDEX('Disaggregation Records'!$F$155:$F$385,MATCH(RIGHT(Q707,255),RIGHT('Disaggregation Records'!$D$155:$D$385,255),0))="","",INDEX('Disaggregation Records'!$F$155:$F$385,MATCH(RIGHT(Q707,255),RIGHT('Disaggregation Records'!$D$155:$D$385,255),0))),"")</f>
        <v/>
      </c>
      <c r="T707" s="194" t="str">
        <f t="array" ref="T707">IFERROR(IF(INDEX('Disaggregation Records'!$H$155:$H$385,MATCH(RIGHT(Q707,255),RIGHT('Disaggregation Records'!$D$155:$D$385,255),0))="","",INDEX('Disaggregation Records'!$H$155:$H$385,MATCH(RIGHT(Q707,255),RIGHT('Disaggregation Records'!$D$155:$D$385,255),0))),"")</f>
        <v/>
      </c>
      <c r="U707" s="194">
        <f>U705+1</f>
        <v>2543</v>
      </c>
      <c r="V707" s="194" t="str">
        <f t="array" ref="V707">IFERROR(IF(INDEX('Disaggregation Records'!$I$155:$I$385,MATCH(RIGHT(Q707,255),RIGHT('Disaggregation Records'!$D$155:$D$385,255),0))="","",INDEX('Disaggregation Records'!$I$155:$I$385,MATCH(RIGHT(Q707,255),RIGHT('Disaggregation Records'!$D$155:$D$385,255),0))),"")</f>
        <v/>
      </c>
      <c r="W707" s="194" t="str">
        <f>IFERROR(INDEX('Reference Records'!L$77:L$157,MATCH(LEFT(C707,255),'Reference Records'!E$77:E$157,0)),"")</f>
        <v/>
      </c>
    </row>
    <row r="708" spans="1:23" s="194" customFormat="1" ht="40.4" customHeight="1" x14ac:dyDescent="0.35">
      <c r="A708" s="770"/>
      <c r="B708" s="767"/>
      <c r="C708" s="761"/>
      <c r="D708" s="769"/>
      <c r="E708" s="769"/>
      <c r="F708" s="208"/>
      <c r="G708" s="763"/>
      <c r="H708" s="744"/>
      <c r="I708" s="765"/>
      <c r="J708" s="730"/>
      <c r="K708" s="761"/>
      <c r="L708" s="761"/>
      <c r="M708" s="730"/>
      <c r="N708" s="730"/>
    </row>
    <row r="709" spans="1:23" s="194" customFormat="1" ht="40.4" customHeight="1" x14ac:dyDescent="0.35">
      <c r="A709" s="770" t="str">
        <f ca="1">INDIRECT("'update Helper'!C"&amp;U709)</f>
        <v>a163p000004NtLyAAK</v>
      </c>
      <c r="B709" s="766">
        <v>3</v>
      </c>
      <c r="C709" s="760" t="str">
        <f>VLOOKUP(B709,'Coverage Indicators - Section D'!$A$9:$AU$70,47,FALSE)</f>
        <v>HTS-Other 2 Porcentaje de resultados de VIH positivos entre el total de pruebas de VIH realizadas en personas Trans</v>
      </c>
      <c r="D709" s="768" t="str">
        <f>R709</f>
        <v/>
      </c>
      <c r="E709" s="768" t="str">
        <f>S709</f>
        <v/>
      </c>
      <c r="F709" s="413"/>
      <c r="G709" s="762" t="str">
        <f ca="1">IF(OR(INDIRECT("'update Helper'!E"&amp;U709)="",F709&lt;&gt;0,F710&lt;&gt;0),IF(IFERROR((F709/F710),"")="","",(F709/F710)),INDIRECT("'update Helper'!E"&amp;U709)/100)</f>
        <v/>
      </c>
      <c r="H709" s="743"/>
      <c r="I709" s="764"/>
      <c r="J709" s="729"/>
      <c r="K709" s="760" t="str">
        <f>W709</f>
        <v/>
      </c>
      <c r="L709" s="760" t="str">
        <f>V709</f>
        <v/>
      </c>
      <c r="M709" s="729"/>
      <c r="N709" s="729"/>
      <c r="P709" s="194">
        <f>IF(AND(EXACT(C709,C707),C707&lt;&gt;0),P707+1,0)</f>
        <v>4</v>
      </c>
      <c r="Q709" s="194" t="str">
        <f>IF(C709&lt;&gt;"",C709&amp;"-"&amp;P709,"")</f>
        <v>HTS-Other 2 Porcentaje de resultados de VIH positivos entre el total de pruebas de VIH realizadas en personas Trans-4</v>
      </c>
      <c r="R709" s="194" t="str">
        <f t="array" ref="R709">IFERROR(IF(INDEX('Disaggregation Records'!$E$155:$E$385,MATCH(RIGHT(Q709,255),RIGHT('Disaggregation Records'!$D$155:$D$385,255),0))="","",INDEX('Disaggregation Records'!$E$155:$E$385,MATCH(RIGHT(Q709,255),RIGHT('Disaggregation Records'!$D$155:$D$385,255),0))),"")</f>
        <v/>
      </c>
      <c r="S709" s="194" t="str">
        <f t="array" ref="S709">IFERROR(IF(INDEX('Disaggregation Records'!$F$155:$F$385,MATCH(RIGHT(Q709,255),RIGHT('Disaggregation Records'!$D$155:$D$385,255),0))="","",INDEX('Disaggregation Records'!$F$155:$F$385,MATCH(RIGHT(Q709,255),RIGHT('Disaggregation Records'!$D$155:$D$385,255),0))),"")</f>
        <v/>
      </c>
      <c r="T709" s="194" t="str">
        <f t="array" ref="T709">IFERROR(IF(INDEX('Disaggregation Records'!$H$155:$H$385,MATCH(RIGHT(Q709,255),RIGHT('Disaggregation Records'!$D$155:$D$385,255),0))="","",INDEX('Disaggregation Records'!$H$155:$H$385,MATCH(RIGHT(Q709,255),RIGHT('Disaggregation Records'!$D$155:$D$385,255),0))),"")</f>
        <v/>
      </c>
      <c r="U709" s="194">
        <f>U707+1</f>
        <v>2544</v>
      </c>
      <c r="V709" s="194" t="str">
        <f t="array" ref="V709">IFERROR(IF(INDEX('Disaggregation Records'!$I$155:$I$385,MATCH(RIGHT(Q709,255),RIGHT('Disaggregation Records'!$D$155:$D$385,255),0))="","",INDEX('Disaggregation Records'!$I$155:$I$385,MATCH(RIGHT(Q709,255),RIGHT('Disaggregation Records'!$D$155:$D$385,255),0))),"")</f>
        <v/>
      </c>
      <c r="W709" s="194" t="str">
        <f>IFERROR(INDEX('Reference Records'!L$77:L$157,MATCH(LEFT(C709,255),'Reference Records'!E$77:E$157,0)),"")</f>
        <v/>
      </c>
    </row>
    <row r="710" spans="1:23" s="194" customFormat="1" ht="40.4" customHeight="1" x14ac:dyDescent="0.35">
      <c r="A710" s="770"/>
      <c r="B710" s="767"/>
      <c r="C710" s="761"/>
      <c r="D710" s="769"/>
      <c r="E710" s="769"/>
      <c r="F710" s="208"/>
      <c r="G710" s="763"/>
      <c r="H710" s="744"/>
      <c r="I710" s="765"/>
      <c r="J710" s="730"/>
      <c r="K710" s="761"/>
      <c r="L710" s="761"/>
      <c r="M710" s="730"/>
      <c r="N710" s="730"/>
    </row>
    <row r="711" spans="1:23" s="194" customFormat="1" ht="40.4" customHeight="1" x14ac:dyDescent="0.35">
      <c r="A711" s="770" t="str">
        <f ca="1">INDIRECT("'update Helper'!C"&amp;U711)</f>
        <v>a163p000004NtLzAAK</v>
      </c>
      <c r="B711" s="766">
        <v>3</v>
      </c>
      <c r="C711" s="760" t="str">
        <f>VLOOKUP(B711,'Coverage Indicators - Section D'!$A$9:$AU$70,47,FALSE)</f>
        <v>HTS-Other 2 Porcentaje de resultados de VIH positivos entre el total de pruebas de VIH realizadas en personas Trans</v>
      </c>
      <c r="D711" s="768" t="str">
        <f>R711</f>
        <v/>
      </c>
      <c r="E711" s="768" t="str">
        <f>S711</f>
        <v/>
      </c>
      <c r="F711" s="413"/>
      <c r="G711" s="762" t="str">
        <f ca="1">IF(OR(INDIRECT("'update Helper'!E"&amp;U711)="",F711&lt;&gt;0,F712&lt;&gt;0),IF(IFERROR((F711/F712),"")="","",(F711/F712)),INDIRECT("'update Helper'!E"&amp;U711)/100)</f>
        <v/>
      </c>
      <c r="H711" s="743"/>
      <c r="I711" s="764"/>
      <c r="J711" s="729"/>
      <c r="K711" s="760" t="str">
        <f>W711</f>
        <v/>
      </c>
      <c r="L711" s="760" t="str">
        <f>V711</f>
        <v/>
      </c>
      <c r="M711" s="729"/>
      <c r="N711" s="729"/>
      <c r="P711" s="194">
        <f>IF(AND(EXACT(C711,C709),C709&lt;&gt;0),P709+1,0)</f>
        <v>5</v>
      </c>
      <c r="Q711" s="194" t="str">
        <f>IF(C711&lt;&gt;"",C711&amp;"-"&amp;P711,"")</f>
        <v>HTS-Other 2 Porcentaje de resultados de VIH positivos entre el total de pruebas de VIH realizadas en personas Trans-5</v>
      </c>
      <c r="R711" s="194" t="str">
        <f t="array" ref="R711">IFERROR(IF(INDEX('Disaggregation Records'!$E$155:$E$385,MATCH(RIGHT(Q711,255),RIGHT('Disaggregation Records'!$D$155:$D$385,255),0))="","",INDEX('Disaggregation Records'!$E$155:$E$385,MATCH(RIGHT(Q711,255),RIGHT('Disaggregation Records'!$D$155:$D$385,255),0))),"")</f>
        <v/>
      </c>
      <c r="S711" s="194" t="str">
        <f t="array" ref="S711">IFERROR(IF(INDEX('Disaggregation Records'!$F$155:$F$385,MATCH(RIGHT(Q711,255),RIGHT('Disaggregation Records'!$D$155:$D$385,255),0))="","",INDEX('Disaggregation Records'!$F$155:$F$385,MATCH(RIGHT(Q711,255),RIGHT('Disaggregation Records'!$D$155:$D$385,255),0))),"")</f>
        <v/>
      </c>
      <c r="T711" s="194" t="str">
        <f t="array" ref="T711">IFERROR(IF(INDEX('Disaggregation Records'!$H$155:$H$385,MATCH(RIGHT(Q711,255),RIGHT('Disaggregation Records'!$D$155:$D$385,255),0))="","",INDEX('Disaggregation Records'!$H$155:$H$385,MATCH(RIGHT(Q711,255),RIGHT('Disaggregation Records'!$D$155:$D$385,255),0))),"")</f>
        <v/>
      </c>
      <c r="U711" s="194">
        <f>U709+1</f>
        <v>2545</v>
      </c>
      <c r="V711" s="194" t="str">
        <f t="array" ref="V711">IFERROR(IF(INDEX('Disaggregation Records'!$I$155:$I$385,MATCH(RIGHT(Q711,255),RIGHT('Disaggregation Records'!$D$155:$D$385,255),0))="","",INDEX('Disaggregation Records'!$I$155:$I$385,MATCH(RIGHT(Q711,255),RIGHT('Disaggregation Records'!$D$155:$D$385,255),0))),"")</f>
        <v/>
      </c>
      <c r="W711" s="194" t="str">
        <f>IFERROR(INDEX('Reference Records'!L$77:L$157,MATCH(LEFT(C711,255),'Reference Records'!E$77:E$157,0)),"")</f>
        <v/>
      </c>
    </row>
    <row r="712" spans="1:23" s="194" customFormat="1" ht="40.4" customHeight="1" x14ac:dyDescent="0.35">
      <c r="A712" s="770"/>
      <c r="B712" s="767"/>
      <c r="C712" s="761"/>
      <c r="D712" s="769"/>
      <c r="E712" s="769"/>
      <c r="F712" s="208"/>
      <c r="G712" s="763"/>
      <c r="H712" s="744"/>
      <c r="I712" s="765"/>
      <c r="J712" s="730"/>
      <c r="K712" s="761"/>
      <c r="L712" s="761"/>
      <c r="M712" s="730"/>
      <c r="N712" s="730"/>
    </row>
    <row r="713" spans="1:23" s="194" customFormat="1" ht="40.4" customHeight="1" x14ac:dyDescent="0.35">
      <c r="A713" s="770" t="str">
        <f ca="1">INDIRECT("'update Helper'!C"&amp;U713)</f>
        <v>a163p000004NtM0AAK</v>
      </c>
      <c r="B713" s="766">
        <v>3</v>
      </c>
      <c r="C713" s="760" t="str">
        <f>VLOOKUP(B713,'Coverage Indicators - Section D'!$A$9:$AU$70,47,FALSE)</f>
        <v>HTS-Other 2 Porcentaje de resultados de VIH positivos entre el total de pruebas de VIH realizadas en personas Trans</v>
      </c>
      <c r="D713" s="768" t="str">
        <f>R713</f>
        <v/>
      </c>
      <c r="E713" s="768" t="str">
        <f>S713</f>
        <v/>
      </c>
      <c r="F713" s="413"/>
      <c r="G713" s="762" t="str">
        <f ca="1">IF(OR(INDIRECT("'update Helper'!E"&amp;U713)="",F713&lt;&gt;0,F714&lt;&gt;0),IF(IFERROR((F713/F714),"")="","",(F713/F714)),INDIRECT("'update Helper'!E"&amp;U713)/100)</f>
        <v/>
      </c>
      <c r="H713" s="743"/>
      <c r="I713" s="764"/>
      <c r="J713" s="729"/>
      <c r="K713" s="760" t="str">
        <f>W713</f>
        <v/>
      </c>
      <c r="L713" s="760" t="str">
        <f>V713</f>
        <v/>
      </c>
      <c r="M713" s="729"/>
      <c r="N713" s="729"/>
      <c r="P713" s="194">
        <f>IF(AND(EXACT(C713,C711),C711&lt;&gt;0),P711+1,0)</f>
        <v>6</v>
      </c>
      <c r="Q713" s="194" t="str">
        <f>IF(C713&lt;&gt;"",C713&amp;"-"&amp;P713,"")</f>
        <v>HTS-Other 2 Porcentaje de resultados de VIH positivos entre el total de pruebas de VIH realizadas en personas Trans-6</v>
      </c>
      <c r="R713" s="194" t="str">
        <f t="array" ref="R713">IFERROR(IF(INDEX('Disaggregation Records'!$E$155:$E$385,MATCH(RIGHT(Q713,255),RIGHT('Disaggregation Records'!$D$155:$D$385,255),0))="","",INDEX('Disaggregation Records'!$E$155:$E$385,MATCH(RIGHT(Q713,255),RIGHT('Disaggregation Records'!$D$155:$D$385,255),0))),"")</f>
        <v/>
      </c>
      <c r="S713" s="194" t="str">
        <f t="array" ref="S713">IFERROR(IF(INDEX('Disaggregation Records'!$F$155:$F$385,MATCH(RIGHT(Q713,255),RIGHT('Disaggregation Records'!$D$155:$D$385,255),0))="","",INDEX('Disaggregation Records'!$F$155:$F$385,MATCH(RIGHT(Q713,255),RIGHT('Disaggregation Records'!$D$155:$D$385,255),0))),"")</f>
        <v/>
      </c>
      <c r="T713" s="194" t="str">
        <f t="array" ref="T713">IFERROR(IF(INDEX('Disaggregation Records'!$H$155:$H$385,MATCH(RIGHT(Q713,255),RIGHT('Disaggregation Records'!$D$155:$D$385,255),0))="","",INDEX('Disaggregation Records'!$H$155:$H$385,MATCH(RIGHT(Q713,255),RIGHT('Disaggregation Records'!$D$155:$D$385,255),0))),"")</f>
        <v/>
      </c>
      <c r="U713" s="194">
        <f>U711+1</f>
        <v>2546</v>
      </c>
      <c r="V713" s="194" t="str">
        <f t="array" ref="V713">IFERROR(IF(INDEX('Disaggregation Records'!$I$155:$I$385,MATCH(RIGHT(Q713,255),RIGHT('Disaggregation Records'!$D$155:$D$385,255),0))="","",INDEX('Disaggregation Records'!$I$155:$I$385,MATCH(RIGHT(Q713,255),RIGHT('Disaggregation Records'!$D$155:$D$385,255),0))),"")</f>
        <v/>
      </c>
      <c r="W713" s="194" t="str">
        <f>IFERROR(INDEX('Reference Records'!L$77:L$157,MATCH(LEFT(C713,255),'Reference Records'!E$77:E$157,0)),"")</f>
        <v/>
      </c>
    </row>
    <row r="714" spans="1:23" s="194" customFormat="1" ht="40.4" customHeight="1" x14ac:dyDescent="0.35">
      <c r="A714" s="770"/>
      <c r="B714" s="767"/>
      <c r="C714" s="761"/>
      <c r="D714" s="769"/>
      <c r="E714" s="769"/>
      <c r="F714" s="208"/>
      <c r="G714" s="763"/>
      <c r="H714" s="744"/>
      <c r="I714" s="765"/>
      <c r="J714" s="730"/>
      <c r="K714" s="761"/>
      <c r="L714" s="761"/>
      <c r="M714" s="730"/>
      <c r="N714" s="730"/>
    </row>
    <row r="715" spans="1:23" s="194" customFormat="1" ht="40.4" customHeight="1" x14ac:dyDescent="0.35">
      <c r="A715" s="770" t="str">
        <f ca="1">INDIRECT("'update Helper'!C"&amp;U715)</f>
        <v>a163p000004NtM1AAK</v>
      </c>
      <c r="B715" s="766">
        <v>3</v>
      </c>
      <c r="C715" s="760" t="str">
        <f>VLOOKUP(B715,'Coverage Indicators - Section D'!$A$9:$AU$70,47,FALSE)</f>
        <v>HTS-Other 2 Porcentaje de resultados de VIH positivos entre el total de pruebas de VIH realizadas en personas Trans</v>
      </c>
      <c r="D715" s="768" t="str">
        <f>R715</f>
        <v/>
      </c>
      <c r="E715" s="768" t="str">
        <f>S715</f>
        <v/>
      </c>
      <c r="F715" s="413"/>
      <c r="G715" s="762" t="str">
        <f ca="1">IF(OR(INDIRECT("'update Helper'!E"&amp;U715)="",F715&lt;&gt;0,F716&lt;&gt;0),IF(IFERROR((F715/F716),"")="","",(F715/F716)),INDIRECT("'update Helper'!E"&amp;U715)/100)</f>
        <v/>
      </c>
      <c r="H715" s="743"/>
      <c r="I715" s="764"/>
      <c r="J715" s="729"/>
      <c r="K715" s="760" t="str">
        <f>W715</f>
        <v/>
      </c>
      <c r="L715" s="760" t="str">
        <f>V715</f>
        <v/>
      </c>
      <c r="M715" s="729"/>
      <c r="N715" s="729"/>
      <c r="P715" s="194">
        <f>IF(AND(EXACT(C715,C713),C713&lt;&gt;0),P713+1,0)</f>
        <v>7</v>
      </c>
      <c r="Q715" s="194" t="str">
        <f>IF(C715&lt;&gt;"",C715&amp;"-"&amp;P715,"")</f>
        <v>HTS-Other 2 Porcentaje de resultados de VIH positivos entre el total de pruebas de VIH realizadas en personas Trans-7</v>
      </c>
      <c r="R715" s="194" t="str">
        <f t="array" ref="R715">IFERROR(IF(INDEX('Disaggregation Records'!$E$155:$E$385,MATCH(RIGHT(Q715,255),RIGHT('Disaggregation Records'!$D$155:$D$385,255),0))="","",INDEX('Disaggregation Records'!$E$155:$E$385,MATCH(RIGHT(Q715,255),RIGHT('Disaggregation Records'!$D$155:$D$385,255),0))),"")</f>
        <v/>
      </c>
      <c r="S715" s="194" t="str">
        <f t="array" ref="S715">IFERROR(IF(INDEX('Disaggregation Records'!$F$155:$F$385,MATCH(RIGHT(Q715,255),RIGHT('Disaggregation Records'!$D$155:$D$385,255),0))="","",INDEX('Disaggregation Records'!$F$155:$F$385,MATCH(RIGHT(Q715,255),RIGHT('Disaggregation Records'!$D$155:$D$385,255),0))),"")</f>
        <v/>
      </c>
      <c r="T715" s="194" t="str">
        <f t="array" ref="T715">IFERROR(IF(INDEX('Disaggregation Records'!$H$155:$H$385,MATCH(RIGHT(Q715,255),RIGHT('Disaggregation Records'!$D$155:$D$385,255),0))="","",INDEX('Disaggregation Records'!$H$155:$H$385,MATCH(RIGHT(Q715,255),RIGHT('Disaggregation Records'!$D$155:$D$385,255),0))),"")</f>
        <v/>
      </c>
      <c r="U715" s="194">
        <f>U713+1</f>
        <v>2547</v>
      </c>
      <c r="V715" s="194" t="str">
        <f t="array" ref="V715">IFERROR(IF(INDEX('Disaggregation Records'!$I$155:$I$385,MATCH(RIGHT(Q715,255),RIGHT('Disaggregation Records'!$D$155:$D$385,255),0))="","",INDEX('Disaggregation Records'!$I$155:$I$385,MATCH(RIGHT(Q715,255),RIGHT('Disaggregation Records'!$D$155:$D$385,255),0))),"")</f>
        <v/>
      </c>
      <c r="W715" s="194" t="str">
        <f>IFERROR(INDEX('Reference Records'!L$77:L$157,MATCH(LEFT(C715,255),'Reference Records'!E$77:E$157,0)),"")</f>
        <v/>
      </c>
    </row>
    <row r="716" spans="1:23" s="194" customFormat="1" ht="40.4" customHeight="1" x14ac:dyDescent="0.35">
      <c r="A716" s="770"/>
      <c r="B716" s="767"/>
      <c r="C716" s="761"/>
      <c r="D716" s="769"/>
      <c r="E716" s="769"/>
      <c r="F716" s="208"/>
      <c r="G716" s="763"/>
      <c r="H716" s="744"/>
      <c r="I716" s="765"/>
      <c r="J716" s="730"/>
      <c r="K716" s="761"/>
      <c r="L716" s="761"/>
      <c r="M716" s="730"/>
      <c r="N716" s="730"/>
    </row>
    <row r="717" spans="1:23" s="194" customFormat="1" ht="40.4" customHeight="1" x14ac:dyDescent="0.35">
      <c r="A717" s="770" t="str">
        <f ca="1">INDIRECT("'update Helper'!C"&amp;U717)</f>
        <v>a163p000004NtM2AAK</v>
      </c>
      <c r="B717" s="766">
        <v>3</v>
      </c>
      <c r="C717" s="760" t="str">
        <f>VLOOKUP(B717,'Coverage Indicators - Section D'!$A$9:$AU$70,47,FALSE)</f>
        <v>HTS-Other 2 Porcentaje de resultados de VIH positivos entre el total de pruebas de VIH realizadas en personas Trans</v>
      </c>
      <c r="D717" s="768" t="str">
        <f>R717</f>
        <v/>
      </c>
      <c r="E717" s="768" t="str">
        <f>S717</f>
        <v/>
      </c>
      <c r="F717" s="413"/>
      <c r="G717" s="762" t="str">
        <f ca="1">IF(OR(INDIRECT("'update Helper'!E"&amp;U717)="",F717&lt;&gt;0,F718&lt;&gt;0),IF(IFERROR((F717/F718),"")="","",(F717/F718)),INDIRECT("'update Helper'!E"&amp;U717)/100)</f>
        <v/>
      </c>
      <c r="H717" s="743"/>
      <c r="I717" s="764"/>
      <c r="J717" s="729"/>
      <c r="K717" s="760" t="str">
        <f>W717</f>
        <v/>
      </c>
      <c r="L717" s="760" t="str">
        <f>V717</f>
        <v/>
      </c>
      <c r="M717" s="729"/>
      <c r="N717" s="729"/>
      <c r="P717" s="194">
        <f>IF(AND(EXACT(C717,C715),C715&lt;&gt;0),P715+1,0)</f>
        <v>8</v>
      </c>
      <c r="Q717" s="194" t="str">
        <f>IF(C717&lt;&gt;"",C717&amp;"-"&amp;P717,"")</f>
        <v>HTS-Other 2 Porcentaje de resultados de VIH positivos entre el total de pruebas de VIH realizadas en personas Trans-8</v>
      </c>
      <c r="R717" s="194" t="str">
        <f t="array" ref="R717">IFERROR(IF(INDEX('Disaggregation Records'!$E$155:$E$385,MATCH(RIGHT(Q717,255),RIGHT('Disaggregation Records'!$D$155:$D$385,255),0))="","",INDEX('Disaggregation Records'!$E$155:$E$385,MATCH(RIGHT(Q717,255),RIGHT('Disaggregation Records'!$D$155:$D$385,255),0))),"")</f>
        <v/>
      </c>
      <c r="S717" s="194" t="str">
        <f t="array" ref="S717">IFERROR(IF(INDEX('Disaggregation Records'!$F$155:$F$385,MATCH(RIGHT(Q717,255),RIGHT('Disaggregation Records'!$D$155:$D$385,255),0))="","",INDEX('Disaggregation Records'!$F$155:$F$385,MATCH(RIGHT(Q717,255),RIGHT('Disaggregation Records'!$D$155:$D$385,255),0))),"")</f>
        <v/>
      </c>
      <c r="T717" s="194" t="str">
        <f t="array" ref="T717">IFERROR(IF(INDEX('Disaggregation Records'!$H$155:$H$385,MATCH(RIGHT(Q717,255),RIGHT('Disaggregation Records'!$D$155:$D$385,255),0))="","",INDEX('Disaggregation Records'!$H$155:$H$385,MATCH(RIGHT(Q717,255),RIGHT('Disaggregation Records'!$D$155:$D$385,255),0))),"")</f>
        <v/>
      </c>
      <c r="U717" s="194">
        <f>U715+1</f>
        <v>2548</v>
      </c>
      <c r="V717" s="194" t="str">
        <f t="array" ref="V717">IFERROR(IF(INDEX('Disaggregation Records'!$I$155:$I$385,MATCH(RIGHT(Q717,255),RIGHT('Disaggregation Records'!$D$155:$D$385,255),0))="","",INDEX('Disaggregation Records'!$I$155:$I$385,MATCH(RIGHT(Q717,255),RIGHT('Disaggregation Records'!$D$155:$D$385,255),0))),"")</f>
        <v/>
      </c>
      <c r="W717" s="194" t="str">
        <f>IFERROR(INDEX('Reference Records'!L$77:L$157,MATCH(LEFT(C717,255),'Reference Records'!E$77:E$157,0)),"")</f>
        <v/>
      </c>
    </row>
    <row r="718" spans="1:23" s="194" customFormat="1" ht="40.4" customHeight="1" x14ac:dyDescent="0.35">
      <c r="A718" s="770"/>
      <c r="B718" s="767"/>
      <c r="C718" s="761"/>
      <c r="D718" s="769"/>
      <c r="E718" s="769"/>
      <c r="F718" s="208"/>
      <c r="G718" s="763"/>
      <c r="H718" s="744"/>
      <c r="I718" s="765"/>
      <c r="J718" s="730"/>
      <c r="K718" s="761"/>
      <c r="L718" s="761"/>
      <c r="M718" s="730"/>
      <c r="N718" s="730"/>
    </row>
    <row r="719" spans="1:23" s="194" customFormat="1" ht="40.4" customHeight="1" x14ac:dyDescent="0.35">
      <c r="A719" s="770" t="str">
        <f ca="1">INDIRECT("'update Helper'!C"&amp;U719)</f>
        <v>a163p000004NtM3AAK</v>
      </c>
      <c r="B719" s="766">
        <v>3</v>
      </c>
      <c r="C719" s="760" t="str">
        <f>VLOOKUP(B719,'Coverage Indicators - Section D'!$A$9:$AU$70,47,FALSE)</f>
        <v>HTS-Other 2 Porcentaje de resultados de VIH positivos entre el total de pruebas de VIH realizadas en personas Trans</v>
      </c>
      <c r="D719" s="768" t="str">
        <f>R719</f>
        <v/>
      </c>
      <c r="E719" s="768" t="str">
        <f>S719</f>
        <v/>
      </c>
      <c r="F719" s="413"/>
      <c r="G719" s="762" t="str">
        <f ca="1">IF(OR(INDIRECT("'update Helper'!E"&amp;U719)="",F719&lt;&gt;0,F720&lt;&gt;0),IF(IFERROR((F719/F720),"")="","",(F719/F720)),INDIRECT("'update Helper'!E"&amp;U719)/100)</f>
        <v/>
      </c>
      <c r="H719" s="743"/>
      <c r="I719" s="764"/>
      <c r="J719" s="729"/>
      <c r="K719" s="760" t="str">
        <f>W719</f>
        <v/>
      </c>
      <c r="L719" s="760" t="str">
        <f>V719</f>
        <v/>
      </c>
      <c r="M719" s="729"/>
      <c r="N719" s="729"/>
      <c r="P719" s="194">
        <f>IF(AND(EXACT(C719,C717),C717&lt;&gt;0),P717+1,0)</f>
        <v>9</v>
      </c>
      <c r="Q719" s="194" t="str">
        <f>IF(C719&lt;&gt;"",C719&amp;"-"&amp;P719,"")</f>
        <v>HTS-Other 2 Porcentaje de resultados de VIH positivos entre el total de pruebas de VIH realizadas en personas Trans-9</v>
      </c>
      <c r="R719" s="194" t="str">
        <f t="array" ref="R719">IFERROR(IF(INDEX('Disaggregation Records'!$E$155:$E$385,MATCH(RIGHT(Q719,255),RIGHT('Disaggregation Records'!$D$155:$D$385,255),0))="","",INDEX('Disaggregation Records'!$E$155:$E$385,MATCH(RIGHT(Q719,255),RIGHT('Disaggregation Records'!$D$155:$D$385,255),0))),"")</f>
        <v/>
      </c>
      <c r="S719" s="194" t="str">
        <f t="array" ref="S719">IFERROR(IF(INDEX('Disaggregation Records'!$F$155:$F$385,MATCH(RIGHT(Q719,255),RIGHT('Disaggregation Records'!$D$155:$D$385,255),0))="","",INDEX('Disaggregation Records'!$F$155:$F$385,MATCH(RIGHT(Q719,255),RIGHT('Disaggregation Records'!$D$155:$D$385,255),0))),"")</f>
        <v/>
      </c>
      <c r="T719" s="194" t="str">
        <f t="array" ref="T719">IFERROR(IF(INDEX('Disaggregation Records'!$H$155:$H$385,MATCH(RIGHT(Q719,255),RIGHT('Disaggregation Records'!$D$155:$D$385,255),0))="","",INDEX('Disaggregation Records'!$H$155:$H$385,MATCH(RIGHT(Q719,255),RIGHT('Disaggregation Records'!$D$155:$D$385,255),0))),"")</f>
        <v/>
      </c>
      <c r="U719" s="194">
        <f>U717+1</f>
        <v>2549</v>
      </c>
      <c r="V719" s="194" t="str">
        <f t="array" ref="V719">IFERROR(IF(INDEX('Disaggregation Records'!$I$155:$I$385,MATCH(RIGHT(Q719,255),RIGHT('Disaggregation Records'!$D$155:$D$385,255),0))="","",INDEX('Disaggregation Records'!$I$155:$I$385,MATCH(RIGHT(Q719,255),RIGHT('Disaggregation Records'!$D$155:$D$385,255),0))),"")</f>
        <v/>
      </c>
      <c r="W719" s="194" t="str">
        <f>IFERROR(INDEX('Reference Records'!L$77:L$157,MATCH(LEFT(C719,255),'Reference Records'!E$77:E$157,0)),"")</f>
        <v/>
      </c>
    </row>
    <row r="720" spans="1:23" s="194" customFormat="1" ht="40.4" customHeight="1" x14ac:dyDescent="0.35">
      <c r="A720" s="770"/>
      <c r="B720" s="767"/>
      <c r="C720" s="761"/>
      <c r="D720" s="769"/>
      <c r="E720" s="769"/>
      <c r="F720" s="208"/>
      <c r="G720" s="763"/>
      <c r="H720" s="744"/>
      <c r="I720" s="765"/>
      <c r="J720" s="730"/>
      <c r="K720" s="761"/>
      <c r="L720" s="761"/>
      <c r="M720" s="730"/>
      <c r="N720" s="730"/>
    </row>
    <row r="721" spans="1:23" s="194" customFormat="1" ht="40.4" customHeight="1" x14ac:dyDescent="0.35">
      <c r="A721" s="770" t="str">
        <f ca="1">INDIRECT("'update Helper'!C"&amp;U721)</f>
        <v>a163p000004NtM4AAK</v>
      </c>
      <c r="B721" s="766">
        <v>3</v>
      </c>
      <c r="C721" s="760" t="str">
        <f>VLOOKUP(B721,'Coverage Indicators - Section D'!$A$9:$AU$70,47,FALSE)</f>
        <v>HTS-Other 2 Porcentaje de resultados de VIH positivos entre el total de pruebas de VIH realizadas en personas Trans</v>
      </c>
      <c r="D721" s="768" t="str">
        <f>R721</f>
        <v/>
      </c>
      <c r="E721" s="768" t="str">
        <f>S721</f>
        <v/>
      </c>
      <c r="F721" s="413"/>
      <c r="G721" s="762" t="str">
        <f ca="1">IF(OR(INDIRECT("'update Helper'!E"&amp;U721)="",F721&lt;&gt;0,F722&lt;&gt;0),IF(IFERROR((F721/F722),"")="","",(F721/F722)),INDIRECT("'update Helper'!E"&amp;U721)/100)</f>
        <v/>
      </c>
      <c r="H721" s="743"/>
      <c r="I721" s="764"/>
      <c r="J721" s="729"/>
      <c r="K721" s="760" t="str">
        <f>W721</f>
        <v/>
      </c>
      <c r="L721" s="760" t="str">
        <f>V721</f>
        <v/>
      </c>
      <c r="M721" s="729"/>
      <c r="N721" s="729"/>
      <c r="P721" s="194">
        <f>IF(AND(EXACT(C721,C719),C719&lt;&gt;0),P719+1,0)</f>
        <v>10</v>
      </c>
      <c r="Q721" s="194" t="str">
        <f>IF(C721&lt;&gt;"",C721&amp;"-"&amp;P721,"")</f>
        <v>HTS-Other 2 Porcentaje de resultados de VIH positivos entre el total de pruebas de VIH realizadas en personas Trans-10</v>
      </c>
      <c r="R721" s="194" t="str">
        <f t="array" ref="R721">IFERROR(IF(INDEX('Disaggregation Records'!$E$155:$E$385,MATCH(RIGHT(Q721,255),RIGHT('Disaggregation Records'!$D$155:$D$385,255),0))="","",INDEX('Disaggregation Records'!$E$155:$E$385,MATCH(RIGHT(Q721,255),RIGHT('Disaggregation Records'!$D$155:$D$385,255),0))),"")</f>
        <v/>
      </c>
      <c r="S721" s="194" t="str">
        <f t="array" ref="S721">IFERROR(IF(INDEX('Disaggregation Records'!$F$155:$F$385,MATCH(RIGHT(Q721,255),RIGHT('Disaggregation Records'!$D$155:$D$385,255),0))="","",INDEX('Disaggregation Records'!$F$155:$F$385,MATCH(RIGHT(Q721,255),RIGHT('Disaggregation Records'!$D$155:$D$385,255),0))),"")</f>
        <v/>
      </c>
      <c r="T721" s="194" t="str">
        <f t="array" ref="T721">IFERROR(IF(INDEX('Disaggregation Records'!$H$155:$H$385,MATCH(RIGHT(Q721,255),RIGHT('Disaggregation Records'!$D$155:$D$385,255),0))="","",INDEX('Disaggregation Records'!$H$155:$H$385,MATCH(RIGHT(Q721,255),RIGHT('Disaggregation Records'!$D$155:$D$385,255),0))),"")</f>
        <v/>
      </c>
      <c r="U721" s="194">
        <f>U719+1</f>
        <v>2550</v>
      </c>
      <c r="V721" s="194" t="str">
        <f t="array" ref="V721">IFERROR(IF(INDEX('Disaggregation Records'!$I$155:$I$385,MATCH(RIGHT(Q721,255),RIGHT('Disaggregation Records'!$D$155:$D$385,255),0))="","",INDEX('Disaggregation Records'!$I$155:$I$385,MATCH(RIGHT(Q721,255),RIGHT('Disaggregation Records'!$D$155:$D$385,255),0))),"")</f>
        <v/>
      </c>
      <c r="W721" s="194" t="str">
        <f>IFERROR(INDEX('Reference Records'!L$77:L$157,MATCH(LEFT(C721,255),'Reference Records'!E$77:E$157,0)),"")</f>
        <v/>
      </c>
    </row>
    <row r="722" spans="1:23" s="194" customFormat="1" ht="40.4" customHeight="1" x14ac:dyDescent="0.35">
      <c r="A722" s="770"/>
      <c r="B722" s="767"/>
      <c r="C722" s="761"/>
      <c r="D722" s="769"/>
      <c r="E722" s="769"/>
      <c r="F722" s="208"/>
      <c r="G722" s="763"/>
      <c r="H722" s="744"/>
      <c r="I722" s="765"/>
      <c r="J722" s="730"/>
      <c r="K722" s="761"/>
      <c r="L722" s="761"/>
      <c r="M722" s="730"/>
      <c r="N722" s="730"/>
    </row>
    <row r="723" spans="1:23" s="194" customFormat="1" ht="40.4" customHeight="1" x14ac:dyDescent="0.35">
      <c r="A723" s="770" t="str">
        <f ca="1">INDIRECT("'update Helper'!C"&amp;U723)</f>
        <v>a163p000004NtM5AAK</v>
      </c>
      <c r="B723" s="766">
        <v>3</v>
      </c>
      <c r="C723" s="760" t="str">
        <f>VLOOKUP(B723,'Coverage Indicators - Section D'!$A$9:$AU$70,47,FALSE)</f>
        <v>HTS-Other 2 Porcentaje de resultados de VIH positivos entre el total de pruebas de VIH realizadas en personas Trans</v>
      </c>
      <c r="D723" s="768" t="str">
        <f>R723</f>
        <v/>
      </c>
      <c r="E723" s="768" t="str">
        <f>S723</f>
        <v/>
      </c>
      <c r="F723" s="413"/>
      <c r="G723" s="762" t="str">
        <f ca="1">IF(OR(INDIRECT("'update Helper'!E"&amp;U723)="",F723&lt;&gt;0,F724&lt;&gt;0),IF(IFERROR((F723/F724),"")="","",(F723/F724)),INDIRECT("'update Helper'!E"&amp;U723)/100)</f>
        <v/>
      </c>
      <c r="H723" s="743"/>
      <c r="I723" s="764"/>
      <c r="J723" s="729"/>
      <c r="K723" s="760" t="str">
        <f>W723</f>
        <v/>
      </c>
      <c r="L723" s="760" t="str">
        <f>V723</f>
        <v/>
      </c>
      <c r="M723" s="729"/>
      <c r="N723" s="729"/>
      <c r="P723" s="194">
        <f>IF(AND(EXACT(C723,C721),C721&lt;&gt;0),P721+1,0)</f>
        <v>11</v>
      </c>
      <c r="Q723" s="194" t="str">
        <f>IF(C723&lt;&gt;"",C723&amp;"-"&amp;P723,"")</f>
        <v>HTS-Other 2 Porcentaje de resultados de VIH positivos entre el total de pruebas de VIH realizadas en personas Trans-11</v>
      </c>
      <c r="R723" s="194" t="str">
        <f t="array" ref="R723">IFERROR(IF(INDEX('Disaggregation Records'!$E$155:$E$385,MATCH(RIGHT(Q723,255),RIGHT('Disaggregation Records'!$D$155:$D$385,255),0))="","",INDEX('Disaggregation Records'!$E$155:$E$385,MATCH(RIGHT(Q723,255),RIGHT('Disaggregation Records'!$D$155:$D$385,255),0))),"")</f>
        <v/>
      </c>
      <c r="S723" s="194" t="str">
        <f t="array" ref="S723">IFERROR(IF(INDEX('Disaggregation Records'!$F$155:$F$385,MATCH(RIGHT(Q723,255),RIGHT('Disaggregation Records'!$D$155:$D$385,255),0))="","",INDEX('Disaggregation Records'!$F$155:$F$385,MATCH(RIGHT(Q723,255),RIGHT('Disaggregation Records'!$D$155:$D$385,255),0))),"")</f>
        <v/>
      </c>
      <c r="T723" s="194" t="str">
        <f t="array" ref="T723">IFERROR(IF(INDEX('Disaggregation Records'!$H$155:$H$385,MATCH(RIGHT(Q723,255),RIGHT('Disaggregation Records'!$D$155:$D$385,255),0))="","",INDEX('Disaggregation Records'!$H$155:$H$385,MATCH(RIGHT(Q723,255),RIGHT('Disaggregation Records'!$D$155:$D$385,255),0))),"")</f>
        <v/>
      </c>
      <c r="U723" s="194">
        <f>U721+1</f>
        <v>2551</v>
      </c>
      <c r="V723" s="194" t="str">
        <f t="array" ref="V723">IFERROR(IF(INDEX('Disaggregation Records'!$I$155:$I$385,MATCH(RIGHT(Q723,255),RIGHT('Disaggregation Records'!$D$155:$D$385,255),0))="","",INDEX('Disaggregation Records'!$I$155:$I$385,MATCH(RIGHT(Q723,255),RIGHT('Disaggregation Records'!$D$155:$D$385,255),0))),"")</f>
        <v/>
      </c>
      <c r="W723" s="194" t="str">
        <f>IFERROR(INDEX('Reference Records'!L$77:L$157,MATCH(LEFT(C723,255),'Reference Records'!E$77:E$157,0)),"")</f>
        <v/>
      </c>
    </row>
    <row r="724" spans="1:23" s="194" customFormat="1" ht="40.4" customHeight="1" x14ac:dyDescent="0.35">
      <c r="A724" s="770"/>
      <c r="B724" s="767"/>
      <c r="C724" s="761"/>
      <c r="D724" s="769"/>
      <c r="E724" s="769"/>
      <c r="F724" s="208"/>
      <c r="G724" s="763"/>
      <c r="H724" s="744"/>
      <c r="I724" s="765"/>
      <c r="J724" s="730"/>
      <c r="K724" s="761"/>
      <c r="L724" s="761"/>
      <c r="M724" s="730"/>
      <c r="N724" s="730"/>
    </row>
    <row r="725" spans="1:23" s="194" customFormat="1" ht="40.4" customHeight="1" x14ac:dyDescent="0.35">
      <c r="A725" s="770" t="str">
        <f ca="1">INDIRECT("'update Helper'!C"&amp;U725)</f>
        <v>a163p000004NtM6AAK</v>
      </c>
      <c r="B725" s="766">
        <v>3</v>
      </c>
      <c r="C725" s="760" t="str">
        <f>VLOOKUP(B725,'Coverage Indicators - Section D'!$A$9:$AU$70,47,FALSE)</f>
        <v>HTS-Other 2 Porcentaje de resultados de VIH positivos entre el total de pruebas de VIH realizadas en personas Trans</v>
      </c>
      <c r="D725" s="768" t="str">
        <f>R725</f>
        <v/>
      </c>
      <c r="E725" s="768" t="str">
        <f>S725</f>
        <v/>
      </c>
      <c r="F725" s="413"/>
      <c r="G725" s="762" t="str">
        <f ca="1">IF(OR(INDIRECT("'update Helper'!E"&amp;U725)="",F725&lt;&gt;0,F726&lt;&gt;0),IF(IFERROR((F725/F726),"")="","",(F725/F726)),INDIRECT("'update Helper'!E"&amp;U725)/100)</f>
        <v/>
      </c>
      <c r="H725" s="743"/>
      <c r="I725" s="764"/>
      <c r="J725" s="729"/>
      <c r="K725" s="760" t="str">
        <f>W725</f>
        <v/>
      </c>
      <c r="L725" s="760" t="str">
        <f>V725</f>
        <v/>
      </c>
      <c r="M725" s="729"/>
      <c r="N725" s="729"/>
      <c r="P725" s="194">
        <f>IF(AND(EXACT(C725,C723),C723&lt;&gt;0),P723+1,0)</f>
        <v>12</v>
      </c>
      <c r="Q725" s="194" t="str">
        <f>IF(C725&lt;&gt;"",C725&amp;"-"&amp;P725,"")</f>
        <v>HTS-Other 2 Porcentaje de resultados de VIH positivos entre el total de pruebas de VIH realizadas en personas Trans-12</v>
      </c>
      <c r="R725" s="194" t="str">
        <f t="array" ref="R725">IFERROR(IF(INDEX('Disaggregation Records'!$E$155:$E$385,MATCH(RIGHT(Q725,255),RIGHT('Disaggregation Records'!$D$155:$D$385,255),0))="","",INDEX('Disaggregation Records'!$E$155:$E$385,MATCH(RIGHT(Q725,255),RIGHT('Disaggregation Records'!$D$155:$D$385,255),0))),"")</f>
        <v/>
      </c>
      <c r="S725" s="194" t="str">
        <f t="array" ref="S725">IFERROR(IF(INDEX('Disaggregation Records'!$F$155:$F$385,MATCH(RIGHT(Q725,255),RIGHT('Disaggregation Records'!$D$155:$D$385,255),0))="","",INDEX('Disaggregation Records'!$F$155:$F$385,MATCH(RIGHT(Q725,255),RIGHT('Disaggregation Records'!$D$155:$D$385,255),0))),"")</f>
        <v/>
      </c>
      <c r="T725" s="194" t="str">
        <f t="array" ref="T725">IFERROR(IF(INDEX('Disaggregation Records'!$H$155:$H$385,MATCH(RIGHT(Q725,255),RIGHT('Disaggregation Records'!$D$155:$D$385,255),0))="","",INDEX('Disaggregation Records'!$H$155:$H$385,MATCH(RIGHT(Q725,255),RIGHT('Disaggregation Records'!$D$155:$D$385,255),0))),"")</f>
        <v/>
      </c>
      <c r="U725" s="194">
        <f>U723+1</f>
        <v>2552</v>
      </c>
      <c r="V725" s="194" t="str">
        <f t="array" ref="V725">IFERROR(IF(INDEX('Disaggregation Records'!$I$155:$I$385,MATCH(RIGHT(Q725,255),RIGHT('Disaggregation Records'!$D$155:$D$385,255),0))="","",INDEX('Disaggregation Records'!$I$155:$I$385,MATCH(RIGHT(Q725,255),RIGHT('Disaggregation Records'!$D$155:$D$385,255),0))),"")</f>
        <v/>
      </c>
      <c r="W725" s="194" t="str">
        <f>IFERROR(INDEX('Reference Records'!L$77:L$157,MATCH(LEFT(C725,255),'Reference Records'!E$77:E$157,0)),"")</f>
        <v/>
      </c>
    </row>
    <row r="726" spans="1:23" s="194" customFormat="1" ht="40.4" customHeight="1" x14ac:dyDescent="0.35">
      <c r="A726" s="770"/>
      <c r="B726" s="767"/>
      <c r="C726" s="761"/>
      <c r="D726" s="769"/>
      <c r="E726" s="769"/>
      <c r="F726" s="208"/>
      <c r="G726" s="763"/>
      <c r="H726" s="744"/>
      <c r="I726" s="765"/>
      <c r="J726" s="730"/>
      <c r="K726" s="761"/>
      <c r="L726" s="761"/>
      <c r="M726" s="730"/>
      <c r="N726" s="730"/>
    </row>
    <row r="727" spans="1:23" s="194" customFormat="1" ht="40.4" customHeight="1" x14ac:dyDescent="0.35">
      <c r="A727" s="770" t="str">
        <f ca="1">INDIRECT("'update Helper'!C"&amp;U727)</f>
        <v>a163p000004NtM7AAK</v>
      </c>
      <c r="B727" s="766">
        <v>3</v>
      </c>
      <c r="C727" s="760" t="str">
        <f>VLOOKUP(B727,'Coverage Indicators - Section D'!$A$9:$AU$70,47,FALSE)</f>
        <v>HTS-Other 2 Porcentaje de resultados de VIH positivos entre el total de pruebas de VIH realizadas en personas Trans</v>
      </c>
      <c r="D727" s="768" t="str">
        <f>R727</f>
        <v/>
      </c>
      <c r="E727" s="768" t="str">
        <f>S727</f>
        <v/>
      </c>
      <c r="F727" s="413"/>
      <c r="G727" s="762" t="str">
        <f ca="1">IF(OR(INDIRECT("'update Helper'!E"&amp;U727)="",F727&lt;&gt;0,F728&lt;&gt;0),IF(IFERROR((F727/F728),"")="","",(F727/F728)),INDIRECT("'update Helper'!E"&amp;U727)/100)</f>
        <v/>
      </c>
      <c r="H727" s="743"/>
      <c r="I727" s="764"/>
      <c r="J727" s="729"/>
      <c r="K727" s="760" t="str">
        <f>W727</f>
        <v/>
      </c>
      <c r="L727" s="760" t="str">
        <f>V727</f>
        <v/>
      </c>
      <c r="M727" s="729"/>
      <c r="N727" s="729"/>
      <c r="P727" s="194">
        <f>IF(AND(EXACT(C727,C725),C725&lt;&gt;0),P725+1,0)</f>
        <v>13</v>
      </c>
      <c r="Q727" s="194" t="str">
        <f>IF(C727&lt;&gt;"",C727&amp;"-"&amp;P727,"")</f>
        <v>HTS-Other 2 Porcentaje de resultados de VIH positivos entre el total de pruebas de VIH realizadas en personas Trans-13</v>
      </c>
      <c r="R727" s="194" t="str">
        <f t="array" ref="R727">IFERROR(IF(INDEX('Disaggregation Records'!$E$155:$E$385,MATCH(RIGHT(Q727,255),RIGHT('Disaggregation Records'!$D$155:$D$385,255),0))="","",INDEX('Disaggregation Records'!$E$155:$E$385,MATCH(RIGHT(Q727,255),RIGHT('Disaggregation Records'!$D$155:$D$385,255),0))),"")</f>
        <v/>
      </c>
      <c r="S727" s="194" t="str">
        <f t="array" ref="S727">IFERROR(IF(INDEX('Disaggregation Records'!$F$155:$F$385,MATCH(RIGHT(Q727,255),RIGHT('Disaggregation Records'!$D$155:$D$385,255),0))="","",INDEX('Disaggregation Records'!$F$155:$F$385,MATCH(RIGHT(Q727,255),RIGHT('Disaggregation Records'!$D$155:$D$385,255),0))),"")</f>
        <v/>
      </c>
      <c r="T727" s="194" t="str">
        <f t="array" ref="T727">IFERROR(IF(INDEX('Disaggregation Records'!$H$155:$H$385,MATCH(RIGHT(Q727,255),RIGHT('Disaggregation Records'!$D$155:$D$385,255),0))="","",INDEX('Disaggregation Records'!$H$155:$H$385,MATCH(RIGHT(Q727,255),RIGHT('Disaggregation Records'!$D$155:$D$385,255),0))),"")</f>
        <v/>
      </c>
      <c r="U727" s="194">
        <f>U725+1</f>
        <v>2553</v>
      </c>
      <c r="V727" s="194" t="str">
        <f t="array" ref="V727">IFERROR(IF(INDEX('Disaggregation Records'!$I$155:$I$385,MATCH(RIGHT(Q727,255),RIGHT('Disaggregation Records'!$D$155:$D$385,255),0))="","",INDEX('Disaggregation Records'!$I$155:$I$385,MATCH(RIGHT(Q727,255),RIGHT('Disaggregation Records'!$D$155:$D$385,255),0))),"")</f>
        <v/>
      </c>
      <c r="W727" s="194" t="str">
        <f>IFERROR(INDEX('Reference Records'!L$77:L$157,MATCH(LEFT(C727,255),'Reference Records'!E$77:E$157,0)),"")</f>
        <v/>
      </c>
    </row>
    <row r="728" spans="1:23" s="194" customFormat="1" ht="40.4" customHeight="1" x14ac:dyDescent="0.35">
      <c r="A728" s="770"/>
      <c r="B728" s="767"/>
      <c r="C728" s="761"/>
      <c r="D728" s="769"/>
      <c r="E728" s="769"/>
      <c r="F728" s="208"/>
      <c r="G728" s="763"/>
      <c r="H728" s="744"/>
      <c r="I728" s="765"/>
      <c r="J728" s="730"/>
      <c r="K728" s="761"/>
      <c r="L728" s="761"/>
      <c r="M728" s="730"/>
      <c r="N728" s="730"/>
    </row>
    <row r="729" spans="1:23" s="194" customFormat="1" ht="40.4" customHeight="1" x14ac:dyDescent="0.35">
      <c r="A729" s="770" t="str">
        <f ca="1">INDIRECT("'update Helper'!C"&amp;U729)</f>
        <v>a163p000004NtM8AAK</v>
      </c>
      <c r="B729" s="766">
        <v>3</v>
      </c>
      <c r="C729" s="760" t="str">
        <f>VLOOKUP(B729,'Coverage Indicators - Section D'!$A$9:$AU$70,47,FALSE)</f>
        <v>HTS-Other 2 Porcentaje de resultados de VIH positivos entre el total de pruebas de VIH realizadas en personas Trans</v>
      </c>
      <c r="D729" s="768" t="str">
        <f>R729</f>
        <v/>
      </c>
      <c r="E729" s="768" t="str">
        <f>S729</f>
        <v/>
      </c>
      <c r="F729" s="413"/>
      <c r="G729" s="762" t="str">
        <f ca="1">IF(OR(INDIRECT("'update Helper'!E"&amp;U729)="",F729&lt;&gt;0,F730&lt;&gt;0),IF(IFERROR((F729/F730),"")="","",(F729/F730)),INDIRECT("'update Helper'!E"&amp;U729)/100)</f>
        <v/>
      </c>
      <c r="H729" s="743"/>
      <c r="I729" s="764"/>
      <c r="J729" s="729"/>
      <c r="K729" s="760" t="str">
        <f>W729</f>
        <v/>
      </c>
      <c r="L729" s="760" t="str">
        <f>V729</f>
        <v/>
      </c>
      <c r="M729" s="729"/>
      <c r="N729" s="729"/>
      <c r="P729" s="194">
        <f>IF(AND(EXACT(C729,C727),C727&lt;&gt;0),P727+1,0)</f>
        <v>14</v>
      </c>
      <c r="Q729" s="194" t="str">
        <f>IF(C729&lt;&gt;"",C729&amp;"-"&amp;P729,"")</f>
        <v>HTS-Other 2 Porcentaje de resultados de VIH positivos entre el total de pruebas de VIH realizadas en personas Trans-14</v>
      </c>
      <c r="R729" s="194" t="str">
        <f t="array" ref="R729">IFERROR(IF(INDEX('Disaggregation Records'!$E$155:$E$385,MATCH(RIGHT(Q729,255),RIGHT('Disaggregation Records'!$D$155:$D$385,255),0))="","",INDEX('Disaggregation Records'!$E$155:$E$385,MATCH(RIGHT(Q729,255),RIGHT('Disaggregation Records'!$D$155:$D$385,255),0))),"")</f>
        <v/>
      </c>
      <c r="S729" s="194" t="str">
        <f t="array" ref="S729">IFERROR(IF(INDEX('Disaggregation Records'!$F$155:$F$385,MATCH(RIGHT(Q729,255),RIGHT('Disaggregation Records'!$D$155:$D$385,255),0))="","",INDEX('Disaggregation Records'!$F$155:$F$385,MATCH(RIGHT(Q729,255),RIGHT('Disaggregation Records'!$D$155:$D$385,255),0))),"")</f>
        <v/>
      </c>
      <c r="T729" s="194" t="str">
        <f t="array" ref="T729">IFERROR(IF(INDEX('Disaggregation Records'!$H$155:$H$385,MATCH(RIGHT(Q729,255),RIGHT('Disaggregation Records'!$D$155:$D$385,255),0))="","",INDEX('Disaggregation Records'!$H$155:$H$385,MATCH(RIGHT(Q729,255),RIGHT('Disaggregation Records'!$D$155:$D$385,255),0))),"")</f>
        <v/>
      </c>
      <c r="U729" s="194">
        <f>U727+1</f>
        <v>2554</v>
      </c>
      <c r="V729" s="194" t="str">
        <f t="array" ref="V729">IFERROR(IF(INDEX('Disaggregation Records'!$I$155:$I$385,MATCH(RIGHT(Q729,255),RIGHT('Disaggregation Records'!$D$155:$D$385,255),0))="","",INDEX('Disaggregation Records'!$I$155:$I$385,MATCH(RIGHT(Q729,255),RIGHT('Disaggregation Records'!$D$155:$D$385,255),0))),"")</f>
        <v/>
      </c>
      <c r="W729" s="194" t="str">
        <f>IFERROR(INDEX('Reference Records'!L$77:L$157,MATCH(LEFT(C729,255),'Reference Records'!E$77:E$157,0)),"")</f>
        <v/>
      </c>
    </row>
    <row r="730" spans="1:23" s="194" customFormat="1" ht="40.4" customHeight="1" x14ac:dyDescent="0.35">
      <c r="A730" s="770"/>
      <c r="B730" s="767"/>
      <c r="C730" s="761"/>
      <c r="D730" s="769"/>
      <c r="E730" s="769"/>
      <c r="F730" s="208"/>
      <c r="G730" s="763"/>
      <c r="H730" s="744"/>
      <c r="I730" s="765"/>
      <c r="J730" s="730"/>
      <c r="K730" s="761"/>
      <c r="L730" s="761"/>
      <c r="M730" s="730"/>
      <c r="N730" s="730"/>
    </row>
    <row r="731" spans="1:23" s="194" customFormat="1" ht="40.4" customHeight="1" x14ac:dyDescent="0.35">
      <c r="A731" s="770" t="str">
        <f ca="1">INDIRECT("'update Helper'!C"&amp;U731)</f>
        <v>a163p000004NtM9AAK</v>
      </c>
      <c r="B731" s="766">
        <v>3</v>
      </c>
      <c r="C731" s="760" t="str">
        <f>VLOOKUP(B731,'Coverage Indicators - Section D'!$A$9:$AU$70,47,FALSE)</f>
        <v>HTS-Other 2 Porcentaje de resultados de VIH positivos entre el total de pruebas de VIH realizadas en personas Trans</v>
      </c>
      <c r="D731" s="768" t="str">
        <f>R731</f>
        <v/>
      </c>
      <c r="E731" s="768" t="str">
        <f>S731</f>
        <v/>
      </c>
      <c r="F731" s="413"/>
      <c r="G731" s="762" t="str">
        <f ca="1">IF(OR(INDIRECT("'update Helper'!E"&amp;U731)="",F731&lt;&gt;0,F732&lt;&gt;0),IF(IFERROR((F731/F732),"")="","",(F731/F732)),INDIRECT("'update Helper'!E"&amp;U731)/100)</f>
        <v/>
      </c>
      <c r="H731" s="743"/>
      <c r="I731" s="764"/>
      <c r="J731" s="729"/>
      <c r="K731" s="760" t="str">
        <f>W731</f>
        <v/>
      </c>
      <c r="L731" s="760" t="str">
        <f>V731</f>
        <v/>
      </c>
      <c r="M731" s="729"/>
      <c r="N731" s="729"/>
      <c r="P731" s="194">
        <f>IF(AND(EXACT(C731,C729),C729&lt;&gt;0),P729+1,0)</f>
        <v>15</v>
      </c>
      <c r="Q731" s="194" t="str">
        <f>IF(C731&lt;&gt;"",C731&amp;"-"&amp;P731,"")</f>
        <v>HTS-Other 2 Porcentaje de resultados de VIH positivos entre el total de pruebas de VIH realizadas en personas Trans-15</v>
      </c>
      <c r="R731" s="194" t="str">
        <f t="array" ref="R731">IFERROR(IF(INDEX('Disaggregation Records'!$E$155:$E$385,MATCH(RIGHT(Q731,255),RIGHT('Disaggregation Records'!$D$155:$D$385,255),0))="","",INDEX('Disaggregation Records'!$E$155:$E$385,MATCH(RIGHT(Q731,255),RIGHT('Disaggregation Records'!$D$155:$D$385,255),0))),"")</f>
        <v/>
      </c>
      <c r="S731" s="194" t="str">
        <f t="array" ref="S731">IFERROR(IF(INDEX('Disaggregation Records'!$F$155:$F$385,MATCH(RIGHT(Q731,255),RIGHT('Disaggregation Records'!$D$155:$D$385,255),0))="","",INDEX('Disaggregation Records'!$F$155:$F$385,MATCH(RIGHT(Q731,255),RIGHT('Disaggregation Records'!$D$155:$D$385,255),0))),"")</f>
        <v/>
      </c>
      <c r="T731" s="194" t="str">
        <f t="array" ref="T731">IFERROR(IF(INDEX('Disaggregation Records'!$H$155:$H$385,MATCH(RIGHT(Q731,255),RIGHT('Disaggregation Records'!$D$155:$D$385,255),0))="","",INDEX('Disaggregation Records'!$H$155:$H$385,MATCH(RIGHT(Q731,255),RIGHT('Disaggregation Records'!$D$155:$D$385,255),0))),"")</f>
        <v/>
      </c>
      <c r="U731" s="194">
        <f>U729+1</f>
        <v>2555</v>
      </c>
      <c r="V731" s="194" t="str">
        <f t="array" ref="V731">IFERROR(IF(INDEX('Disaggregation Records'!$I$155:$I$385,MATCH(RIGHT(Q731,255),RIGHT('Disaggregation Records'!$D$155:$D$385,255),0))="","",INDEX('Disaggregation Records'!$I$155:$I$385,MATCH(RIGHT(Q731,255),RIGHT('Disaggregation Records'!$D$155:$D$385,255),0))),"")</f>
        <v/>
      </c>
      <c r="W731" s="194" t="str">
        <f>IFERROR(INDEX('Reference Records'!L$77:L$157,MATCH(LEFT(C731,255),'Reference Records'!E$77:E$157,0)),"")</f>
        <v/>
      </c>
    </row>
    <row r="732" spans="1:23" s="194" customFormat="1" ht="40.4" customHeight="1" x14ac:dyDescent="0.35">
      <c r="A732" s="770"/>
      <c r="B732" s="767"/>
      <c r="C732" s="761"/>
      <c r="D732" s="769"/>
      <c r="E732" s="769"/>
      <c r="F732" s="208"/>
      <c r="G732" s="763"/>
      <c r="H732" s="744"/>
      <c r="I732" s="765"/>
      <c r="J732" s="730"/>
      <c r="K732" s="761"/>
      <c r="L732" s="761"/>
      <c r="M732" s="730"/>
      <c r="N732" s="730"/>
    </row>
    <row r="733" spans="1:23" s="194" customFormat="1" ht="40.4" customHeight="1" x14ac:dyDescent="0.35">
      <c r="A733" s="770" t="str">
        <f ca="1">INDIRECT("'update Helper'!C"&amp;U733)</f>
        <v>a163p000004NtMAAA0</v>
      </c>
      <c r="B733" s="766">
        <v>3</v>
      </c>
      <c r="C733" s="760" t="str">
        <f>VLOOKUP(B733,'Coverage Indicators - Section D'!$A$9:$AU$70,47,FALSE)</f>
        <v>HTS-Other 2 Porcentaje de resultados de VIH positivos entre el total de pruebas de VIH realizadas en personas Trans</v>
      </c>
      <c r="D733" s="768" t="str">
        <f>R733</f>
        <v/>
      </c>
      <c r="E733" s="768" t="str">
        <f>S733</f>
        <v/>
      </c>
      <c r="F733" s="413"/>
      <c r="G733" s="762" t="str">
        <f ca="1">IF(OR(INDIRECT("'update Helper'!E"&amp;U733)="",F733&lt;&gt;0,F734&lt;&gt;0),IF(IFERROR((F733/F734),"")="","",(F733/F734)),INDIRECT("'update Helper'!E"&amp;U733)/100)</f>
        <v/>
      </c>
      <c r="H733" s="743"/>
      <c r="I733" s="764"/>
      <c r="J733" s="729"/>
      <c r="K733" s="760" t="str">
        <f>W733</f>
        <v/>
      </c>
      <c r="L733" s="760" t="str">
        <f>V733</f>
        <v/>
      </c>
      <c r="M733" s="729"/>
      <c r="N733" s="729"/>
      <c r="P733" s="194">
        <f>IF(AND(EXACT(C733,C731),C731&lt;&gt;0),P731+1,0)</f>
        <v>16</v>
      </c>
      <c r="Q733" s="194" t="str">
        <f>IF(C733&lt;&gt;"",C733&amp;"-"&amp;P733,"")</f>
        <v>HTS-Other 2 Porcentaje de resultados de VIH positivos entre el total de pruebas de VIH realizadas en personas Trans-16</v>
      </c>
      <c r="R733" s="194" t="str">
        <f t="array" ref="R733">IFERROR(IF(INDEX('Disaggregation Records'!$E$155:$E$385,MATCH(RIGHT(Q733,255),RIGHT('Disaggregation Records'!$D$155:$D$385,255),0))="","",INDEX('Disaggregation Records'!$E$155:$E$385,MATCH(RIGHT(Q733,255),RIGHT('Disaggregation Records'!$D$155:$D$385,255),0))),"")</f>
        <v/>
      </c>
      <c r="S733" s="194" t="str">
        <f t="array" ref="S733">IFERROR(IF(INDEX('Disaggregation Records'!$F$155:$F$385,MATCH(RIGHT(Q733,255),RIGHT('Disaggregation Records'!$D$155:$D$385,255),0))="","",INDEX('Disaggregation Records'!$F$155:$F$385,MATCH(RIGHT(Q733,255),RIGHT('Disaggregation Records'!$D$155:$D$385,255),0))),"")</f>
        <v/>
      </c>
      <c r="T733" s="194" t="str">
        <f t="array" ref="T733">IFERROR(IF(INDEX('Disaggregation Records'!$H$155:$H$385,MATCH(RIGHT(Q733,255),RIGHT('Disaggregation Records'!$D$155:$D$385,255),0))="","",INDEX('Disaggregation Records'!$H$155:$H$385,MATCH(RIGHT(Q733,255),RIGHT('Disaggregation Records'!$D$155:$D$385,255),0))),"")</f>
        <v/>
      </c>
      <c r="U733" s="194">
        <f>U731+1</f>
        <v>2556</v>
      </c>
      <c r="V733" s="194" t="str">
        <f t="array" ref="V733">IFERROR(IF(INDEX('Disaggregation Records'!$I$155:$I$385,MATCH(RIGHT(Q733,255),RIGHT('Disaggregation Records'!$D$155:$D$385,255),0))="","",INDEX('Disaggregation Records'!$I$155:$I$385,MATCH(RIGHT(Q733,255),RIGHT('Disaggregation Records'!$D$155:$D$385,255),0))),"")</f>
        <v/>
      </c>
      <c r="W733" s="194" t="str">
        <f>IFERROR(INDEX('Reference Records'!L$77:L$157,MATCH(LEFT(C733,255),'Reference Records'!E$77:E$157,0)),"")</f>
        <v/>
      </c>
    </row>
    <row r="734" spans="1:23" s="194" customFormat="1" ht="40.4" customHeight="1" x14ac:dyDescent="0.35">
      <c r="A734" s="770"/>
      <c r="B734" s="767"/>
      <c r="C734" s="761"/>
      <c r="D734" s="769"/>
      <c r="E734" s="769"/>
      <c r="F734" s="208"/>
      <c r="G734" s="763"/>
      <c r="H734" s="744"/>
      <c r="I734" s="765"/>
      <c r="J734" s="730"/>
      <c r="K734" s="761"/>
      <c r="L734" s="761"/>
      <c r="M734" s="730"/>
      <c r="N734" s="730"/>
    </row>
    <row r="735" spans="1:23" s="194" customFormat="1" ht="40.4" customHeight="1" x14ac:dyDescent="0.35">
      <c r="A735" s="770" t="str">
        <f ca="1">INDIRECT("'update Helper'!C"&amp;U735)</f>
        <v>a163p000004NtMBAA0</v>
      </c>
      <c r="B735" s="766">
        <v>3</v>
      </c>
      <c r="C735" s="760" t="str">
        <f>VLOOKUP(B735,'Coverage Indicators - Section D'!$A$9:$AU$70,47,FALSE)</f>
        <v>HTS-Other 2 Porcentaje de resultados de VIH positivos entre el total de pruebas de VIH realizadas en personas Trans</v>
      </c>
      <c r="D735" s="768" t="str">
        <f>R735</f>
        <v/>
      </c>
      <c r="E735" s="768" t="str">
        <f>S735</f>
        <v/>
      </c>
      <c r="F735" s="413"/>
      <c r="G735" s="762" t="str">
        <f ca="1">IF(OR(INDIRECT("'update Helper'!E"&amp;U735)="",F735&lt;&gt;0,F736&lt;&gt;0),IF(IFERROR((F735/F736),"")="","",(F735/F736)),INDIRECT("'update Helper'!E"&amp;U735)/100)</f>
        <v/>
      </c>
      <c r="H735" s="743"/>
      <c r="I735" s="764"/>
      <c r="J735" s="729"/>
      <c r="K735" s="760" t="str">
        <f>W735</f>
        <v/>
      </c>
      <c r="L735" s="760" t="str">
        <f>V735</f>
        <v/>
      </c>
      <c r="M735" s="729"/>
      <c r="N735" s="729"/>
      <c r="P735" s="194">
        <f>IF(AND(EXACT(C735,C733),C733&lt;&gt;0),P733+1,0)</f>
        <v>17</v>
      </c>
      <c r="Q735" s="194" t="str">
        <f>IF(C735&lt;&gt;"",C735&amp;"-"&amp;P735,"")</f>
        <v>HTS-Other 2 Porcentaje de resultados de VIH positivos entre el total de pruebas de VIH realizadas en personas Trans-17</v>
      </c>
      <c r="R735" s="194" t="str">
        <f t="array" ref="R735">IFERROR(IF(INDEX('Disaggregation Records'!$E$155:$E$385,MATCH(RIGHT(Q735,255),RIGHT('Disaggregation Records'!$D$155:$D$385,255),0))="","",INDEX('Disaggregation Records'!$E$155:$E$385,MATCH(RIGHT(Q735,255),RIGHT('Disaggregation Records'!$D$155:$D$385,255),0))),"")</f>
        <v/>
      </c>
      <c r="S735" s="194" t="str">
        <f t="array" ref="S735">IFERROR(IF(INDEX('Disaggregation Records'!$F$155:$F$385,MATCH(RIGHT(Q735,255),RIGHT('Disaggregation Records'!$D$155:$D$385,255),0))="","",INDEX('Disaggregation Records'!$F$155:$F$385,MATCH(RIGHT(Q735,255),RIGHT('Disaggregation Records'!$D$155:$D$385,255),0))),"")</f>
        <v/>
      </c>
      <c r="T735" s="194" t="str">
        <f t="array" ref="T735">IFERROR(IF(INDEX('Disaggregation Records'!$H$155:$H$385,MATCH(RIGHT(Q735,255),RIGHT('Disaggregation Records'!$D$155:$D$385,255),0))="","",INDEX('Disaggregation Records'!$H$155:$H$385,MATCH(RIGHT(Q735,255),RIGHT('Disaggregation Records'!$D$155:$D$385,255),0))),"")</f>
        <v/>
      </c>
      <c r="U735" s="194">
        <f>U733+1</f>
        <v>2557</v>
      </c>
      <c r="V735" s="194" t="str">
        <f t="array" ref="V735">IFERROR(IF(INDEX('Disaggregation Records'!$I$155:$I$385,MATCH(RIGHT(Q735,255),RIGHT('Disaggregation Records'!$D$155:$D$385,255),0))="","",INDEX('Disaggregation Records'!$I$155:$I$385,MATCH(RIGHT(Q735,255),RIGHT('Disaggregation Records'!$D$155:$D$385,255),0))),"")</f>
        <v/>
      </c>
      <c r="W735" s="194" t="str">
        <f>IFERROR(INDEX('Reference Records'!L$77:L$157,MATCH(LEFT(C735,255),'Reference Records'!E$77:E$157,0)),"")</f>
        <v/>
      </c>
    </row>
    <row r="736" spans="1:23" s="194" customFormat="1" ht="40.4" customHeight="1" x14ac:dyDescent="0.35">
      <c r="A736" s="770"/>
      <c r="B736" s="767"/>
      <c r="C736" s="761"/>
      <c r="D736" s="769"/>
      <c r="E736" s="769"/>
      <c r="F736" s="208"/>
      <c r="G736" s="763"/>
      <c r="H736" s="744"/>
      <c r="I736" s="765"/>
      <c r="J736" s="730"/>
      <c r="K736" s="761"/>
      <c r="L736" s="761"/>
      <c r="M736" s="730"/>
      <c r="N736" s="730"/>
    </row>
    <row r="737" spans="1:23" s="194" customFormat="1" ht="40.4" customHeight="1" x14ac:dyDescent="0.35">
      <c r="A737" s="770" t="str">
        <f ca="1">INDIRECT("'update Helper'!C"&amp;U737)</f>
        <v>a163p000004NtMCAA0</v>
      </c>
      <c r="B737" s="766">
        <v>3</v>
      </c>
      <c r="C737" s="760" t="str">
        <f>VLOOKUP(B737,'Coverage Indicators - Section D'!$A$9:$AU$70,47,FALSE)</f>
        <v>HTS-Other 2 Porcentaje de resultados de VIH positivos entre el total de pruebas de VIH realizadas en personas Trans</v>
      </c>
      <c r="D737" s="768" t="str">
        <f>R737</f>
        <v/>
      </c>
      <c r="E737" s="768" t="str">
        <f>S737</f>
        <v/>
      </c>
      <c r="F737" s="413"/>
      <c r="G737" s="762" t="str">
        <f ca="1">IF(OR(INDIRECT("'update Helper'!E"&amp;U737)="",F737&lt;&gt;0,F738&lt;&gt;0),IF(IFERROR((F737/F738),"")="","",(F737/F738)),INDIRECT("'update Helper'!E"&amp;U737)/100)</f>
        <v/>
      </c>
      <c r="H737" s="743"/>
      <c r="I737" s="764"/>
      <c r="J737" s="729"/>
      <c r="K737" s="760" t="str">
        <f>W737</f>
        <v/>
      </c>
      <c r="L737" s="760" t="str">
        <f>V737</f>
        <v/>
      </c>
      <c r="M737" s="729"/>
      <c r="N737" s="729"/>
      <c r="P737" s="194">
        <f>IF(AND(EXACT(C737,C735),C735&lt;&gt;0),P735+1,0)</f>
        <v>18</v>
      </c>
      <c r="Q737" s="194" t="str">
        <f>IF(C737&lt;&gt;"",C737&amp;"-"&amp;P737,"")</f>
        <v>HTS-Other 2 Porcentaje de resultados de VIH positivos entre el total de pruebas de VIH realizadas en personas Trans-18</v>
      </c>
      <c r="R737" s="194" t="str">
        <f t="array" ref="R737">IFERROR(IF(INDEX('Disaggregation Records'!$E$155:$E$385,MATCH(RIGHT(Q737,255),RIGHT('Disaggregation Records'!$D$155:$D$385,255),0))="","",INDEX('Disaggregation Records'!$E$155:$E$385,MATCH(RIGHT(Q737,255),RIGHT('Disaggregation Records'!$D$155:$D$385,255),0))),"")</f>
        <v/>
      </c>
      <c r="S737" s="194" t="str">
        <f t="array" ref="S737">IFERROR(IF(INDEX('Disaggregation Records'!$F$155:$F$385,MATCH(RIGHT(Q737,255),RIGHT('Disaggregation Records'!$D$155:$D$385,255),0))="","",INDEX('Disaggregation Records'!$F$155:$F$385,MATCH(RIGHT(Q737,255),RIGHT('Disaggregation Records'!$D$155:$D$385,255),0))),"")</f>
        <v/>
      </c>
      <c r="T737" s="194" t="str">
        <f t="array" ref="T737">IFERROR(IF(INDEX('Disaggregation Records'!$H$155:$H$385,MATCH(RIGHT(Q737,255),RIGHT('Disaggregation Records'!$D$155:$D$385,255),0))="","",INDEX('Disaggregation Records'!$H$155:$H$385,MATCH(RIGHT(Q737,255),RIGHT('Disaggregation Records'!$D$155:$D$385,255),0))),"")</f>
        <v/>
      </c>
      <c r="U737" s="194">
        <f>U735+1</f>
        <v>2558</v>
      </c>
      <c r="V737" s="194" t="str">
        <f t="array" ref="V737">IFERROR(IF(INDEX('Disaggregation Records'!$I$155:$I$385,MATCH(RIGHT(Q737,255),RIGHT('Disaggregation Records'!$D$155:$D$385,255),0))="","",INDEX('Disaggregation Records'!$I$155:$I$385,MATCH(RIGHT(Q737,255),RIGHT('Disaggregation Records'!$D$155:$D$385,255),0))),"")</f>
        <v/>
      </c>
      <c r="W737" s="194" t="str">
        <f>IFERROR(INDEX('Reference Records'!L$77:L$157,MATCH(LEFT(C737,255),'Reference Records'!E$77:E$157,0)),"")</f>
        <v/>
      </c>
    </row>
    <row r="738" spans="1:23" s="194" customFormat="1" ht="40.4" customHeight="1" x14ac:dyDescent="0.35">
      <c r="A738" s="770"/>
      <c r="B738" s="767"/>
      <c r="C738" s="761"/>
      <c r="D738" s="769"/>
      <c r="E738" s="769"/>
      <c r="F738" s="208"/>
      <c r="G738" s="763"/>
      <c r="H738" s="744"/>
      <c r="I738" s="765"/>
      <c r="J738" s="730"/>
      <c r="K738" s="761"/>
      <c r="L738" s="761"/>
      <c r="M738" s="730"/>
      <c r="N738" s="730"/>
    </row>
    <row r="739" spans="1:23" s="194" customFormat="1" ht="40.4" customHeight="1" x14ac:dyDescent="0.35">
      <c r="A739" s="770" t="str">
        <f ca="1">INDIRECT("'update Helper'!C"&amp;U739)</f>
        <v>a163p000004NtMDAA0</v>
      </c>
      <c r="B739" s="766">
        <v>3</v>
      </c>
      <c r="C739" s="760" t="str">
        <f>VLOOKUP(B739,'Coverage Indicators - Section D'!$A$9:$AU$70,47,FALSE)</f>
        <v>HTS-Other 2 Porcentaje de resultados de VIH positivos entre el total de pruebas de VIH realizadas en personas Trans</v>
      </c>
      <c r="D739" s="768" t="str">
        <f>R739</f>
        <v/>
      </c>
      <c r="E739" s="768" t="str">
        <f>S739</f>
        <v/>
      </c>
      <c r="F739" s="413"/>
      <c r="G739" s="762" t="str">
        <f ca="1">IF(OR(INDIRECT("'update Helper'!E"&amp;U739)="",F739&lt;&gt;0,F740&lt;&gt;0),IF(IFERROR((F739/F740),"")="","",(F739/F740)),INDIRECT("'update Helper'!E"&amp;U739)/100)</f>
        <v/>
      </c>
      <c r="H739" s="743"/>
      <c r="I739" s="764"/>
      <c r="J739" s="729"/>
      <c r="K739" s="760" t="str">
        <f>W739</f>
        <v/>
      </c>
      <c r="L739" s="760" t="str">
        <f>V739</f>
        <v/>
      </c>
      <c r="M739" s="729"/>
      <c r="N739" s="729"/>
      <c r="P739" s="194">
        <f>IF(AND(EXACT(C739,C737),C737&lt;&gt;0),P737+1,0)</f>
        <v>19</v>
      </c>
      <c r="Q739" s="194" t="str">
        <f>IF(C739&lt;&gt;"",C739&amp;"-"&amp;P739,"")</f>
        <v>HTS-Other 2 Porcentaje de resultados de VIH positivos entre el total de pruebas de VIH realizadas en personas Trans-19</v>
      </c>
      <c r="R739" s="194" t="str">
        <f t="array" ref="R739">IFERROR(IF(INDEX('Disaggregation Records'!$E$155:$E$385,MATCH(RIGHT(Q739,255),RIGHT('Disaggregation Records'!$D$155:$D$385,255),0))="","",INDEX('Disaggregation Records'!$E$155:$E$385,MATCH(RIGHT(Q739,255),RIGHT('Disaggregation Records'!$D$155:$D$385,255),0))),"")</f>
        <v/>
      </c>
      <c r="S739" s="194" t="str">
        <f t="array" ref="S739">IFERROR(IF(INDEX('Disaggregation Records'!$F$155:$F$385,MATCH(RIGHT(Q739,255),RIGHT('Disaggregation Records'!$D$155:$D$385,255),0))="","",INDEX('Disaggregation Records'!$F$155:$F$385,MATCH(RIGHT(Q739,255),RIGHT('Disaggregation Records'!$D$155:$D$385,255),0))),"")</f>
        <v/>
      </c>
      <c r="T739" s="194" t="str">
        <f t="array" ref="T739">IFERROR(IF(INDEX('Disaggregation Records'!$H$155:$H$385,MATCH(RIGHT(Q739,255),RIGHT('Disaggregation Records'!$D$155:$D$385,255),0))="","",INDEX('Disaggregation Records'!$H$155:$H$385,MATCH(RIGHT(Q739,255),RIGHT('Disaggregation Records'!$D$155:$D$385,255),0))),"")</f>
        <v/>
      </c>
      <c r="U739" s="194">
        <f>U737+1</f>
        <v>2559</v>
      </c>
      <c r="V739" s="194" t="str">
        <f t="array" ref="V739">IFERROR(IF(INDEX('Disaggregation Records'!$I$155:$I$385,MATCH(RIGHT(Q739,255),RIGHT('Disaggregation Records'!$D$155:$D$385,255),0))="","",INDEX('Disaggregation Records'!$I$155:$I$385,MATCH(RIGHT(Q739,255),RIGHT('Disaggregation Records'!$D$155:$D$385,255),0))),"")</f>
        <v/>
      </c>
      <c r="W739" s="194" t="str">
        <f>IFERROR(INDEX('Reference Records'!L$77:L$157,MATCH(LEFT(C739,255),'Reference Records'!E$77:E$157,0)),"")</f>
        <v/>
      </c>
    </row>
    <row r="740" spans="1:23" s="194" customFormat="1" ht="40.4" customHeight="1" x14ac:dyDescent="0.35">
      <c r="A740" s="770"/>
      <c r="B740" s="767"/>
      <c r="C740" s="761"/>
      <c r="D740" s="769"/>
      <c r="E740" s="769"/>
      <c r="F740" s="208"/>
      <c r="G740" s="763"/>
      <c r="H740" s="744"/>
      <c r="I740" s="765"/>
      <c r="J740" s="730"/>
      <c r="K740" s="761"/>
      <c r="L740" s="761"/>
      <c r="M740" s="730"/>
      <c r="N740" s="730"/>
    </row>
    <row r="741" spans="1:23" s="194" customFormat="1" ht="40.4" customHeight="1" x14ac:dyDescent="0.35">
      <c r="A741" s="770" t="str">
        <f ca="1">INDIRECT("'update Helper'!C"&amp;U741)</f>
        <v>a163p000004NtVaAAK</v>
      </c>
      <c r="B741" s="766">
        <v>4</v>
      </c>
      <c r="C741" s="760" t="str">
        <f>VLOOKUP(B741,'Coverage Indicators - Section D'!$A$9:$AU$70,47,FALSE)</f>
        <v>MDR TB-3⁽ᴹ⁾ Número de casos de tuberculosis resistente a la rifampicina y/o multirresistente que empezaron a recibir tratamiento de segunda línea.</v>
      </c>
      <c r="D741" s="768" t="str">
        <f>R741</f>
        <v>Tipo de tratamiento</v>
      </c>
      <c r="E741" s="768" t="str">
        <f>S741</f>
        <v>Regimenes acortados</v>
      </c>
      <c r="F741" s="413"/>
      <c r="G741" s="762" t="str">
        <f ca="1">IF(OR(INDIRECT("'update Helper'!E"&amp;U741)="",F741&lt;&gt;0,F742&lt;&gt;0),IF(IFERROR((F741/F742),"")="","",(F741/F742)),INDIRECT("'update Helper'!E"&amp;U741)/100)</f>
        <v/>
      </c>
      <c r="H741" s="743"/>
      <c r="I741" s="764"/>
      <c r="J741" s="729" t="s">
        <v>10234</v>
      </c>
      <c r="K741" s="760" t="str">
        <f>W741</f>
        <v>MDR TB-3⁽ᴹ⁾ Number of cases with RR-TB and/or MDR-TB that began second-line treatment</v>
      </c>
      <c r="L741" s="760" t="str">
        <f>V741</f>
        <v>TB regimen</v>
      </c>
      <c r="M741" s="729"/>
      <c r="N741" s="729" t="s">
        <v>6612</v>
      </c>
      <c r="P741" s="194">
        <f>IF(AND(EXACT(C741,C739),C739&lt;&gt;0),P739+1,0)</f>
        <v>0</v>
      </c>
      <c r="Q741" s="194" t="str">
        <f>IF(C741&lt;&gt;"",C741&amp;"-"&amp;P741,"")</f>
        <v>MDR TB-3⁽ᴹ⁾ Número de casos de tuberculosis resistente a la rifampicina y/o multirresistente que empezaron a recibir tratamiento de segunda línea.-0</v>
      </c>
      <c r="R741" s="194" t="str">
        <f t="array" ref="R741">IFERROR(IF(INDEX('Disaggregation Records'!$E$155:$E$385,MATCH(RIGHT(Q741,255),RIGHT('Disaggregation Records'!$D$155:$D$385,255),0))="","",INDEX('Disaggregation Records'!$E$155:$E$385,MATCH(RIGHT(Q741,255),RIGHT('Disaggregation Records'!$D$155:$D$385,255),0))),"")</f>
        <v>Tipo de tratamiento</v>
      </c>
      <c r="S741" s="194" t="str">
        <f t="array" ref="S741">IFERROR(IF(INDEX('Disaggregation Records'!$F$155:$F$385,MATCH(RIGHT(Q741,255),RIGHT('Disaggregation Records'!$D$155:$D$385,255),0))="","",INDEX('Disaggregation Records'!$F$155:$F$385,MATCH(RIGHT(Q741,255),RIGHT('Disaggregation Records'!$D$155:$D$385,255),0))),"")</f>
        <v>Regimenes acortados</v>
      </c>
      <c r="T741" s="194" t="str">
        <f t="array" ref="T741">IFERROR(IF(INDEX('Disaggregation Records'!$H$155:$H$385,MATCH(RIGHT(Q741,255),RIGHT('Disaggregation Records'!$D$155:$D$385,255),0))="","",INDEX('Disaggregation Records'!$H$155:$H$385,MATCH(RIGHT(Q741,255),RIGHT('Disaggregation Records'!$D$155:$D$385,255),0))),"")</f>
        <v>IDR-00997</v>
      </c>
      <c r="U741" s="194">
        <f>U739+1</f>
        <v>2560</v>
      </c>
      <c r="V741" s="194" t="str">
        <f t="array" ref="V741">IFERROR(IF(INDEX('Disaggregation Records'!$I$155:$I$385,MATCH(RIGHT(Q741,255),RIGHT('Disaggregation Records'!$D$155:$D$385,255),0))="","",INDEX('Disaggregation Records'!$I$155:$I$385,MATCH(RIGHT(Q741,255),RIGHT('Disaggregation Records'!$D$155:$D$385,255),0))),"")</f>
        <v>TB regimen</v>
      </c>
      <c r="W741" s="194" t="str">
        <f>IFERROR(INDEX('Reference Records'!L$77:L$157,MATCH(LEFT(C741,255),'Reference Records'!E$77:E$157,0)),"")</f>
        <v>MDR TB-3⁽ᴹ⁾ Number of cases with RR-TB and/or MDR-TB that began second-line treatment</v>
      </c>
    </row>
    <row r="742" spans="1:23" s="194" customFormat="1" ht="40.4" customHeight="1" x14ac:dyDescent="0.35">
      <c r="A742" s="770"/>
      <c r="B742" s="767"/>
      <c r="C742" s="761"/>
      <c r="D742" s="769"/>
      <c r="E742" s="769"/>
      <c r="F742" s="208"/>
      <c r="G742" s="763"/>
      <c r="H742" s="744"/>
      <c r="I742" s="765"/>
      <c r="J742" s="730"/>
      <c r="K742" s="761"/>
      <c r="L742" s="761"/>
      <c r="M742" s="730"/>
      <c r="N742" s="730"/>
    </row>
    <row r="743" spans="1:23" s="194" customFormat="1" ht="40.4" customHeight="1" x14ac:dyDescent="0.35">
      <c r="A743" s="770" t="str">
        <f ca="1">INDIRECT("'update Helper'!C"&amp;U743)</f>
        <v>a163p000004NtVbAAK</v>
      </c>
      <c r="B743" s="766">
        <v>4</v>
      </c>
      <c r="C743" s="760" t="str">
        <f>VLOOKUP(B743,'Coverage Indicators - Section D'!$A$9:$AU$70,47,FALSE)</f>
        <v>MDR TB-3⁽ᴹ⁾ Número de casos de tuberculosis resistente a la rifampicina y/o multirresistente que empezaron a recibir tratamiento de segunda línea.</v>
      </c>
      <c r="D743" s="768" t="str">
        <f>R743</f>
        <v>Tipo de tratamiento</v>
      </c>
      <c r="E743" s="768" t="str">
        <f>S743</f>
        <v>Nuevas drogas anti tuberculosis</v>
      </c>
      <c r="F743" s="413"/>
      <c r="G743" s="762" t="str">
        <f ca="1">IF(OR(INDIRECT("'update Helper'!E"&amp;U743)="",F743&lt;&gt;0,F744&lt;&gt;0),IF(IFERROR((F743/F744),"")="","",(F743/F744)),INDIRECT("'update Helper'!E"&amp;U743)/100)</f>
        <v/>
      </c>
      <c r="H743" s="743"/>
      <c r="I743" s="764"/>
      <c r="J743" s="729" t="s">
        <v>10234</v>
      </c>
      <c r="K743" s="760" t="str">
        <f>W743</f>
        <v>MDR TB-3⁽ᴹ⁾ Number of cases with RR-TB and/or MDR-TB that began second-line treatment</v>
      </c>
      <c r="L743" s="760" t="str">
        <f>V743</f>
        <v>TB regimen</v>
      </c>
      <c r="M743" s="729"/>
      <c r="N743" s="729" t="s">
        <v>6612</v>
      </c>
      <c r="P743" s="194">
        <f>IF(AND(EXACT(C743,C741),C741&lt;&gt;0),P741+1,0)</f>
        <v>1</v>
      </c>
      <c r="Q743" s="194" t="str">
        <f>IF(C743&lt;&gt;"",C743&amp;"-"&amp;P743,"")</f>
        <v>MDR TB-3⁽ᴹ⁾ Número de casos de tuberculosis resistente a la rifampicina y/o multirresistente que empezaron a recibir tratamiento de segunda línea.-1</v>
      </c>
      <c r="R743" s="194" t="str">
        <f t="array" ref="R743">IFERROR(IF(INDEX('Disaggregation Records'!$E$155:$E$385,MATCH(RIGHT(Q743,255),RIGHT('Disaggregation Records'!$D$155:$D$385,255),0))="","",INDEX('Disaggregation Records'!$E$155:$E$385,MATCH(RIGHT(Q743,255),RIGHT('Disaggregation Records'!$D$155:$D$385,255),0))),"")</f>
        <v>Tipo de tratamiento</v>
      </c>
      <c r="S743" s="194" t="str">
        <f t="array" ref="S743">IFERROR(IF(INDEX('Disaggregation Records'!$F$155:$F$385,MATCH(RIGHT(Q743,255),RIGHT('Disaggregation Records'!$D$155:$D$385,255),0))="","",INDEX('Disaggregation Records'!$F$155:$F$385,MATCH(RIGHT(Q743,255),RIGHT('Disaggregation Records'!$D$155:$D$385,255),0))),"")</f>
        <v>Nuevas drogas anti tuberculosis</v>
      </c>
      <c r="T743" s="194" t="str">
        <f t="array" ref="T743">IFERROR(IF(INDEX('Disaggregation Records'!$H$155:$H$385,MATCH(RIGHT(Q743,255),RIGHT('Disaggregation Records'!$D$155:$D$385,255),0))="","",INDEX('Disaggregation Records'!$H$155:$H$385,MATCH(RIGHT(Q743,255),RIGHT('Disaggregation Records'!$D$155:$D$385,255),0))),"")</f>
        <v>IDR-00996</v>
      </c>
      <c r="U743" s="194">
        <f>U741+1</f>
        <v>2561</v>
      </c>
      <c r="V743" s="194" t="str">
        <f t="array" ref="V743">IFERROR(IF(INDEX('Disaggregation Records'!$I$155:$I$385,MATCH(RIGHT(Q743,255),RIGHT('Disaggregation Records'!$D$155:$D$385,255),0))="","",INDEX('Disaggregation Records'!$I$155:$I$385,MATCH(RIGHT(Q743,255),RIGHT('Disaggregation Records'!$D$155:$D$385,255),0))),"")</f>
        <v>TB regimen</v>
      </c>
      <c r="W743" s="194" t="str">
        <f>IFERROR(INDEX('Reference Records'!L$77:L$157,MATCH(LEFT(C743,255),'Reference Records'!E$77:E$157,0)),"")</f>
        <v>MDR TB-3⁽ᴹ⁾ Number of cases with RR-TB and/or MDR-TB that began second-line treatment</v>
      </c>
    </row>
    <row r="744" spans="1:23" s="194" customFormat="1" ht="40.4" customHeight="1" x14ac:dyDescent="0.35">
      <c r="A744" s="770"/>
      <c r="B744" s="767"/>
      <c r="C744" s="761"/>
      <c r="D744" s="769"/>
      <c r="E744" s="769"/>
      <c r="F744" s="208"/>
      <c r="G744" s="763"/>
      <c r="H744" s="744"/>
      <c r="I744" s="765"/>
      <c r="J744" s="730"/>
      <c r="K744" s="761"/>
      <c r="L744" s="761"/>
      <c r="M744" s="730"/>
      <c r="N744" s="730"/>
    </row>
    <row r="745" spans="1:23" s="194" customFormat="1" ht="40.4" customHeight="1" x14ac:dyDescent="0.35">
      <c r="A745" s="770" t="str">
        <f ca="1">INDIRECT("'update Helper'!C"&amp;U745)</f>
        <v>a163p000004NtVcAAK</v>
      </c>
      <c r="B745" s="766">
        <v>4</v>
      </c>
      <c r="C745" s="760" t="str">
        <f>VLOOKUP(B745,'Coverage Indicators - Section D'!$A$9:$AU$70,47,FALSE)</f>
        <v>MDR TB-3⁽ᴹ⁾ Número de casos de tuberculosis resistente a la rifampicina y/o multirresistente que empezaron a recibir tratamiento de segunda línea.</v>
      </c>
      <c r="D745" s="768" t="str">
        <f>R745</f>
        <v>Género</v>
      </c>
      <c r="E745" s="768" t="str">
        <f>S745</f>
        <v>Mujeres</v>
      </c>
      <c r="F745" s="413"/>
      <c r="G745" s="762" t="str">
        <f ca="1">IF(OR(INDIRECT("'update Helper'!E"&amp;U745)="",F745&lt;&gt;0,F746&lt;&gt;0),IF(IFERROR((F745/F746),"")="","",(F745/F746)),INDIRECT("'update Helper'!E"&amp;U745)/100)</f>
        <v/>
      </c>
      <c r="H745" s="743"/>
      <c r="I745" s="764"/>
      <c r="J745" s="729" t="s">
        <v>10234</v>
      </c>
      <c r="K745" s="760" t="str">
        <f>W745</f>
        <v>MDR TB-3⁽ᴹ⁾ Number of cases with RR-TB and/or MDR-TB that began second-line treatment</v>
      </c>
      <c r="L745" s="760" t="str">
        <f>V745</f>
        <v>Gender</v>
      </c>
      <c r="M745" s="729"/>
      <c r="N745" s="729" t="s">
        <v>6612</v>
      </c>
      <c r="P745" s="194">
        <f>IF(AND(EXACT(C745,C743),C743&lt;&gt;0),P743+1,0)</f>
        <v>2</v>
      </c>
      <c r="Q745" s="194" t="str">
        <f>IF(C745&lt;&gt;"",C745&amp;"-"&amp;P745,"")</f>
        <v>MDR TB-3⁽ᴹ⁾ Número de casos de tuberculosis resistente a la rifampicina y/o multirresistente que empezaron a recibir tratamiento de segunda línea.-2</v>
      </c>
      <c r="R745" s="194" t="str">
        <f t="array" ref="R745">IFERROR(IF(INDEX('Disaggregation Records'!$E$155:$E$385,MATCH(RIGHT(Q745,255),RIGHT('Disaggregation Records'!$D$155:$D$385,255),0))="","",INDEX('Disaggregation Records'!$E$155:$E$385,MATCH(RIGHT(Q745,255),RIGHT('Disaggregation Records'!$D$155:$D$385,255),0))),"")</f>
        <v>Género</v>
      </c>
      <c r="S745" s="194" t="str">
        <f t="array" ref="S745">IFERROR(IF(INDEX('Disaggregation Records'!$F$155:$F$385,MATCH(RIGHT(Q745,255),RIGHT('Disaggregation Records'!$D$155:$D$385,255),0))="","",INDEX('Disaggregation Records'!$F$155:$F$385,MATCH(RIGHT(Q745,255),RIGHT('Disaggregation Records'!$D$155:$D$385,255),0))),"")</f>
        <v>Mujeres</v>
      </c>
      <c r="T745" s="194" t="str">
        <f t="array" ref="T745">IFERROR(IF(INDEX('Disaggregation Records'!$H$155:$H$385,MATCH(RIGHT(Q745,255),RIGHT('Disaggregation Records'!$D$155:$D$385,255),0))="","",INDEX('Disaggregation Records'!$H$155:$H$385,MATCH(RIGHT(Q745,255),RIGHT('Disaggregation Records'!$D$155:$D$385,255),0))),"")</f>
        <v>IDR-00867</v>
      </c>
      <c r="U745" s="194">
        <f>U743+1</f>
        <v>2562</v>
      </c>
      <c r="V745" s="194" t="str">
        <f t="array" ref="V745">IFERROR(IF(INDEX('Disaggregation Records'!$I$155:$I$385,MATCH(RIGHT(Q745,255),RIGHT('Disaggregation Records'!$D$155:$D$385,255),0))="","",INDEX('Disaggregation Records'!$I$155:$I$385,MATCH(RIGHT(Q745,255),RIGHT('Disaggregation Records'!$D$155:$D$385,255),0))),"")</f>
        <v>Gender</v>
      </c>
      <c r="W745" s="194" t="str">
        <f>IFERROR(INDEX('Reference Records'!L$77:L$157,MATCH(LEFT(C745,255),'Reference Records'!E$77:E$157,0)),"")</f>
        <v>MDR TB-3⁽ᴹ⁾ Number of cases with RR-TB and/or MDR-TB that began second-line treatment</v>
      </c>
    </row>
    <row r="746" spans="1:23" s="194" customFormat="1" ht="40.4" customHeight="1" x14ac:dyDescent="0.35">
      <c r="A746" s="770"/>
      <c r="B746" s="767"/>
      <c r="C746" s="761"/>
      <c r="D746" s="769"/>
      <c r="E746" s="769"/>
      <c r="F746" s="208"/>
      <c r="G746" s="763"/>
      <c r="H746" s="744"/>
      <c r="I746" s="765"/>
      <c r="J746" s="730"/>
      <c r="K746" s="761"/>
      <c r="L746" s="761"/>
      <c r="M746" s="730"/>
      <c r="N746" s="730"/>
    </row>
    <row r="747" spans="1:23" s="194" customFormat="1" ht="40.4" customHeight="1" x14ac:dyDescent="0.35">
      <c r="A747" s="770" t="str">
        <f ca="1">INDIRECT("'update Helper'!C"&amp;U747)</f>
        <v>a163p000004NtVdAAK</v>
      </c>
      <c r="B747" s="766">
        <v>4</v>
      </c>
      <c r="C747" s="760" t="str">
        <f>VLOOKUP(B747,'Coverage Indicators - Section D'!$A$9:$AU$70,47,FALSE)</f>
        <v>MDR TB-3⁽ᴹ⁾ Número de casos de tuberculosis resistente a la rifampicina y/o multirresistente que empezaron a recibir tratamiento de segunda línea.</v>
      </c>
      <c r="D747" s="768" t="str">
        <f>R747</f>
        <v>Género</v>
      </c>
      <c r="E747" s="768" t="str">
        <f>S747</f>
        <v>Hombres</v>
      </c>
      <c r="F747" s="413"/>
      <c r="G747" s="762" t="str">
        <f ca="1">IF(OR(INDIRECT("'update Helper'!E"&amp;U747)="",F747&lt;&gt;0,F748&lt;&gt;0),IF(IFERROR((F747/F748),"")="","",(F747/F748)),INDIRECT("'update Helper'!E"&amp;U747)/100)</f>
        <v/>
      </c>
      <c r="H747" s="743"/>
      <c r="I747" s="764"/>
      <c r="J747" s="729" t="s">
        <v>10234</v>
      </c>
      <c r="K747" s="760" t="str">
        <f>W747</f>
        <v>MDR TB-3⁽ᴹ⁾ Number of cases with RR-TB and/or MDR-TB that began second-line treatment</v>
      </c>
      <c r="L747" s="760" t="str">
        <f>V747</f>
        <v>Gender</v>
      </c>
      <c r="M747" s="729"/>
      <c r="N747" s="729" t="s">
        <v>6612</v>
      </c>
      <c r="P747" s="194">
        <f>IF(AND(EXACT(C747,C745),C745&lt;&gt;0),P745+1,0)</f>
        <v>3</v>
      </c>
      <c r="Q747" s="194" t="str">
        <f>IF(C747&lt;&gt;"",C747&amp;"-"&amp;P747,"")</f>
        <v>MDR TB-3⁽ᴹ⁾ Número de casos de tuberculosis resistente a la rifampicina y/o multirresistente que empezaron a recibir tratamiento de segunda línea.-3</v>
      </c>
      <c r="R747" s="194" t="str">
        <f t="array" ref="R747">IFERROR(IF(INDEX('Disaggregation Records'!$E$155:$E$385,MATCH(RIGHT(Q747,255),RIGHT('Disaggregation Records'!$D$155:$D$385,255),0))="","",INDEX('Disaggregation Records'!$E$155:$E$385,MATCH(RIGHT(Q747,255),RIGHT('Disaggregation Records'!$D$155:$D$385,255),0))),"")</f>
        <v>Género</v>
      </c>
      <c r="S747" s="194" t="str">
        <f t="array" ref="S747">IFERROR(IF(INDEX('Disaggregation Records'!$F$155:$F$385,MATCH(RIGHT(Q747,255),RIGHT('Disaggregation Records'!$D$155:$D$385,255),0))="","",INDEX('Disaggregation Records'!$F$155:$F$385,MATCH(RIGHT(Q747,255),RIGHT('Disaggregation Records'!$D$155:$D$385,255),0))),"")</f>
        <v>Hombres</v>
      </c>
      <c r="T747" s="194" t="str">
        <f t="array" ref="T747">IFERROR(IF(INDEX('Disaggregation Records'!$H$155:$H$385,MATCH(RIGHT(Q747,255),RIGHT('Disaggregation Records'!$D$155:$D$385,255),0))="","",INDEX('Disaggregation Records'!$H$155:$H$385,MATCH(RIGHT(Q747,255),RIGHT('Disaggregation Records'!$D$155:$D$385,255),0))),"")</f>
        <v>IDR-00866</v>
      </c>
      <c r="U747" s="194">
        <f>U745+1</f>
        <v>2563</v>
      </c>
      <c r="V747" s="194" t="str">
        <f t="array" ref="V747">IFERROR(IF(INDEX('Disaggregation Records'!$I$155:$I$385,MATCH(RIGHT(Q747,255),RIGHT('Disaggregation Records'!$D$155:$D$385,255),0))="","",INDEX('Disaggregation Records'!$I$155:$I$385,MATCH(RIGHT(Q747,255),RIGHT('Disaggregation Records'!$D$155:$D$385,255),0))),"")</f>
        <v>Gender</v>
      </c>
      <c r="W747" s="194" t="str">
        <f>IFERROR(INDEX('Reference Records'!L$77:L$157,MATCH(LEFT(C747,255),'Reference Records'!E$77:E$157,0)),"")</f>
        <v>MDR TB-3⁽ᴹ⁾ Number of cases with RR-TB and/or MDR-TB that began second-line treatment</v>
      </c>
    </row>
    <row r="748" spans="1:23" s="194" customFormat="1" ht="40.4" customHeight="1" x14ac:dyDescent="0.35">
      <c r="A748" s="770"/>
      <c r="B748" s="767"/>
      <c r="C748" s="761"/>
      <c r="D748" s="769"/>
      <c r="E748" s="769"/>
      <c r="F748" s="208"/>
      <c r="G748" s="763"/>
      <c r="H748" s="744"/>
      <c r="I748" s="765"/>
      <c r="J748" s="730"/>
      <c r="K748" s="761"/>
      <c r="L748" s="761"/>
      <c r="M748" s="730"/>
      <c r="N748" s="730"/>
    </row>
    <row r="749" spans="1:23" s="194" customFormat="1" ht="40.4" customHeight="1" x14ac:dyDescent="0.35">
      <c r="A749" s="770" t="str">
        <f ca="1">INDIRECT("'update Helper'!C"&amp;U749)</f>
        <v>a163p000004NtVeAAK</v>
      </c>
      <c r="B749" s="766">
        <v>4</v>
      </c>
      <c r="C749" s="760" t="str">
        <f>VLOOKUP(B749,'Coverage Indicators - Section D'!$A$9:$AU$70,47,FALSE)</f>
        <v>MDR TB-3⁽ᴹ⁾ Número de casos de tuberculosis resistente a la rifampicina y/o multirresistente que empezaron a recibir tratamiento de segunda línea.</v>
      </c>
      <c r="D749" s="768" t="str">
        <f>R749</f>
        <v>Edad</v>
      </c>
      <c r="E749" s="768" t="str">
        <f>S749</f>
        <v>15+</v>
      </c>
      <c r="F749" s="413"/>
      <c r="G749" s="762" t="str">
        <f ca="1">IF(OR(INDIRECT("'update Helper'!E"&amp;U749)="",F749&lt;&gt;0,F750&lt;&gt;0),IF(IFERROR((F749/F750),"")="","",(F749/F750)),INDIRECT("'update Helper'!E"&amp;U749)/100)</f>
        <v/>
      </c>
      <c r="H749" s="743"/>
      <c r="I749" s="764"/>
      <c r="J749" s="729" t="s">
        <v>10234</v>
      </c>
      <c r="K749" s="760" t="str">
        <f>W749</f>
        <v>MDR TB-3⁽ᴹ⁾ Number of cases with RR-TB and/or MDR-TB that began second-line treatment</v>
      </c>
      <c r="L749" s="760" t="str">
        <f>V749</f>
        <v>Age</v>
      </c>
      <c r="M749" s="729"/>
      <c r="N749" s="729" t="s">
        <v>6612</v>
      </c>
      <c r="P749" s="194">
        <f>IF(AND(EXACT(C749,C747),C747&lt;&gt;0),P747+1,0)</f>
        <v>4</v>
      </c>
      <c r="Q749" s="194" t="str">
        <f>IF(C749&lt;&gt;"",C749&amp;"-"&amp;P749,"")</f>
        <v>MDR TB-3⁽ᴹ⁾ Número de casos de tuberculosis resistente a la rifampicina y/o multirresistente que empezaron a recibir tratamiento de segunda línea.-4</v>
      </c>
      <c r="R749" s="194" t="str">
        <f t="array" ref="R749">IFERROR(IF(INDEX('Disaggregation Records'!$E$155:$E$385,MATCH(RIGHT(Q749,255),RIGHT('Disaggregation Records'!$D$155:$D$385,255),0))="","",INDEX('Disaggregation Records'!$E$155:$E$385,MATCH(RIGHT(Q749,255),RIGHT('Disaggregation Records'!$D$155:$D$385,255),0))),"")</f>
        <v>Edad</v>
      </c>
      <c r="S749" s="194" t="str">
        <f t="array" ref="S749">IFERROR(IF(INDEX('Disaggregation Records'!$F$155:$F$385,MATCH(RIGHT(Q749,255),RIGHT('Disaggregation Records'!$D$155:$D$385,255),0))="","",INDEX('Disaggregation Records'!$F$155:$F$385,MATCH(RIGHT(Q749,255),RIGHT('Disaggregation Records'!$D$155:$D$385,255),0))),"")</f>
        <v>15+</v>
      </c>
      <c r="T749" s="194" t="str">
        <f t="array" ref="T749">IFERROR(IF(INDEX('Disaggregation Records'!$H$155:$H$385,MATCH(RIGHT(Q749,255),RIGHT('Disaggregation Records'!$D$155:$D$385,255),0))="","",INDEX('Disaggregation Records'!$H$155:$H$385,MATCH(RIGHT(Q749,255),RIGHT('Disaggregation Records'!$D$155:$D$385,255),0))),"")</f>
        <v>IDR-00747</v>
      </c>
      <c r="U749" s="194">
        <f>U747+1</f>
        <v>2564</v>
      </c>
      <c r="V749" s="194" t="str">
        <f t="array" ref="V749">IFERROR(IF(INDEX('Disaggregation Records'!$I$155:$I$385,MATCH(RIGHT(Q749,255),RIGHT('Disaggregation Records'!$D$155:$D$385,255),0))="","",INDEX('Disaggregation Records'!$I$155:$I$385,MATCH(RIGHT(Q749,255),RIGHT('Disaggregation Records'!$D$155:$D$385,255),0))),"")</f>
        <v>Age</v>
      </c>
      <c r="W749" s="194" t="str">
        <f>IFERROR(INDEX('Reference Records'!L$77:L$157,MATCH(LEFT(C749,255),'Reference Records'!E$77:E$157,0)),"")</f>
        <v>MDR TB-3⁽ᴹ⁾ Number of cases with RR-TB and/or MDR-TB that began second-line treatment</v>
      </c>
    </row>
    <row r="750" spans="1:23" s="194" customFormat="1" ht="40.4" customHeight="1" x14ac:dyDescent="0.35">
      <c r="A750" s="770"/>
      <c r="B750" s="767"/>
      <c r="C750" s="761"/>
      <c r="D750" s="769"/>
      <c r="E750" s="769"/>
      <c r="F750" s="208"/>
      <c r="G750" s="763"/>
      <c r="H750" s="744"/>
      <c r="I750" s="765"/>
      <c r="J750" s="730"/>
      <c r="K750" s="761"/>
      <c r="L750" s="761"/>
      <c r="M750" s="730"/>
      <c r="N750" s="730"/>
    </row>
    <row r="751" spans="1:23" s="194" customFormat="1" ht="40.4" customHeight="1" x14ac:dyDescent="0.35">
      <c r="A751" s="770" t="str">
        <f ca="1">INDIRECT("'update Helper'!C"&amp;U751)</f>
        <v>a163p000004NtVfAAK</v>
      </c>
      <c r="B751" s="766">
        <v>4</v>
      </c>
      <c r="C751" s="760" t="str">
        <f>VLOOKUP(B751,'Coverage Indicators - Section D'!$A$9:$AU$70,47,FALSE)</f>
        <v>MDR TB-3⁽ᴹ⁾ Número de casos de tuberculosis resistente a la rifampicina y/o multirresistente que empezaron a recibir tratamiento de segunda línea.</v>
      </c>
      <c r="D751" s="768" t="str">
        <f>R751</f>
        <v>Edad</v>
      </c>
      <c r="E751" s="768" t="str">
        <f>S751</f>
        <v>&lt;15</v>
      </c>
      <c r="F751" s="413"/>
      <c r="G751" s="762" t="str">
        <f ca="1">IF(OR(INDIRECT("'update Helper'!E"&amp;U751)="",F751&lt;&gt;0,F752&lt;&gt;0),IF(IFERROR((F751/F752),"")="","",(F751/F752)),INDIRECT("'update Helper'!E"&amp;U751)/100)</f>
        <v/>
      </c>
      <c r="H751" s="743"/>
      <c r="I751" s="764"/>
      <c r="J751" s="729" t="s">
        <v>10234</v>
      </c>
      <c r="K751" s="760" t="str">
        <f>W751</f>
        <v>MDR TB-3⁽ᴹ⁾ Number of cases with RR-TB and/or MDR-TB that began second-line treatment</v>
      </c>
      <c r="L751" s="760" t="str">
        <f>V751</f>
        <v>Age</v>
      </c>
      <c r="M751" s="729"/>
      <c r="N751" s="729" t="s">
        <v>6612</v>
      </c>
      <c r="P751" s="194">
        <f>IF(AND(EXACT(C751,C749),C749&lt;&gt;0),P749+1,0)</f>
        <v>5</v>
      </c>
      <c r="Q751" s="194" t="str">
        <f>IF(C751&lt;&gt;"",C751&amp;"-"&amp;P751,"")</f>
        <v>MDR TB-3⁽ᴹ⁾ Número de casos de tuberculosis resistente a la rifampicina y/o multirresistente que empezaron a recibir tratamiento de segunda línea.-5</v>
      </c>
      <c r="R751" s="194" t="str">
        <f t="array" ref="R751">IFERROR(IF(INDEX('Disaggregation Records'!$E$155:$E$385,MATCH(RIGHT(Q751,255),RIGHT('Disaggregation Records'!$D$155:$D$385,255),0))="","",INDEX('Disaggregation Records'!$E$155:$E$385,MATCH(RIGHT(Q751,255),RIGHT('Disaggregation Records'!$D$155:$D$385,255),0))),"")</f>
        <v>Edad</v>
      </c>
      <c r="S751" s="194" t="str">
        <f t="array" ref="S751">IFERROR(IF(INDEX('Disaggregation Records'!$F$155:$F$385,MATCH(RIGHT(Q751,255),RIGHT('Disaggregation Records'!$D$155:$D$385,255),0))="","",INDEX('Disaggregation Records'!$F$155:$F$385,MATCH(RIGHT(Q751,255),RIGHT('Disaggregation Records'!$D$155:$D$385,255),0))),"")</f>
        <v>&lt;15</v>
      </c>
      <c r="T751" s="194" t="str">
        <f t="array" ref="T751">IFERROR(IF(INDEX('Disaggregation Records'!$H$155:$H$385,MATCH(RIGHT(Q751,255),RIGHT('Disaggregation Records'!$D$155:$D$385,255),0))="","",INDEX('Disaggregation Records'!$H$155:$H$385,MATCH(RIGHT(Q751,255),RIGHT('Disaggregation Records'!$D$155:$D$385,255),0))),"")</f>
        <v>IDR-00746</v>
      </c>
      <c r="U751" s="194">
        <f>U749+1</f>
        <v>2565</v>
      </c>
      <c r="V751" s="194" t="str">
        <f t="array" ref="V751">IFERROR(IF(INDEX('Disaggregation Records'!$I$155:$I$385,MATCH(RIGHT(Q751,255),RIGHT('Disaggregation Records'!$D$155:$D$385,255),0))="","",INDEX('Disaggregation Records'!$I$155:$I$385,MATCH(RIGHT(Q751,255),RIGHT('Disaggregation Records'!$D$155:$D$385,255),0))),"")</f>
        <v>Age</v>
      </c>
      <c r="W751" s="194" t="str">
        <f>IFERROR(INDEX('Reference Records'!L$77:L$157,MATCH(LEFT(C751,255),'Reference Records'!E$77:E$157,0)),"")</f>
        <v>MDR TB-3⁽ᴹ⁾ Number of cases with RR-TB and/or MDR-TB that began second-line treatment</v>
      </c>
    </row>
    <row r="752" spans="1:23" s="194" customFormat="1" ht="40.4" customHeight="1" x14ac:dyDescent="0.35">
      <c r="A752" s="770"/>
      <c r="B752" s="767"/>
      <c r="C752" s="761"/>
      <c r="D752" s="769"/>
      <c r="E752" s="769"/>
      <c r="F752" s="208"/>
      <c r="G752" s="763"/>
      <c r="H752" s="744"/>
      <c r="I752" s="765"/>
      <c r="J752" s="730"/>
      <c r="K752" s="761"/>
      <c r="L752" s="761"/>
      <c r="M752" s="730"/>
      <c r="N752" s="730"/>
    </row>
    <row r="753" spans="1:23" s="194" customFormat="1" ht="40.4" customHeight="1" x14ac:dyDescent="0.35">
      <c r="A753" s="770" t="str">
        <f ca="1">INDIRECT("'update Helper'!C"&amp;U753)</f>
        <v>a163p000004NtVgAAK</v>
      </c>
      <c r="B753" s="766">
        <v>4</v>
      </c>
      <c r="C753" s="760" t="str">
        <f>VLOOKUP(B753,'Coverage Indicators - Section D'!$A$9:$AU$70,47,FALSE)</f>
        <v>MDR TB-3⁽ᴹ⁾ Número de casos de tuberculosis resistente a la rifampicina y/o multirresistente que empezaron a recibir tratamiento de segunda línea.</v>
      </c>
      <c r="D753" s="768" t="str">
        <f>R753</f>
        <v/>
      </c>
      <c r="E753" s="768" t="str">
        <f>S753</f>
        <v/>
      </c>
      <c r="F753" s="413"/>
      <c r="G753" s="762" t="str">
        <f ca="1">IF(OR(INDIRECT("'update Helper'!E"&amp;U753)="",F753&lt;&gt;0,F754&lt;&gt;0),IF(IFERROR((F753/F754),"")="","",(F753/F754)),INDIRECT("'update Helper'!E"&amp;U753)/100)</f>
        <v/>
      </c>
      <c r="H753" s="743"/>
      <c r="I753" s="764"/>
      <c r="J753" s="729"/>
      <c r="K753" s="760" t="str">
        <f>W753</f>
        <v>MDR TB-3⁽ᴹ⁾ Number of cases with RR-TB and/or MDR-TB that began second-line treatment</v>
      </c>
      <c r="L753" s="760" t="str">
        <f>V753</f>
        <v/>
      </c>
      <c r="M753" s="729"/>
      <c r="N753" s="729"/>
      <c r="P753" s="194">
        <f>IF(AND(EXACT(C753,C751),C751&lt;&gt;0),P751+1,0)</f>
        <v>6</v>
      </c>
      <c r="Q753" s="194" t="str">
        <f>IF(C753&lt;&gt;"",C753&amp;"-"&amp;P753,"")</f>
        <v>MDR TB-3⁽ᴹ⁾ Número de casos de tuberculosis resistente a la rifampicina y/o multirresistente que empezaron a recibir tratamiento de segunda línea.-6</v>
      </c>
      <c r="R753" s="194" t="str">
        <f t="array" ref="R753">IFERROR(IF(INDEX('Disaggregation Records'!$E$155:$E$385,MATCH(RIGHT(Q753,255),RIGHT('Disaggregation Records'!$D$155:$D$385,255),0))="","",INDEX('Disaggregation Records'!$E$155:$E$385,MATCH(RIGHT(Q753,255),RIGHT('Disaggregation Records'!$D$155:$D$385,255),0))),"")</f>
        <v/>
      </c>
      <c r="S753" s="194" t="str">
        <f t="array" ref="S753">IFERROR(IF(INDEX('Disaggregation Records'!$F$155:$F$385,MATCH(RIGHT(Q753,255),RIGHT('Disaggregation Records'!$D$155:$D$385,255),0))="","",INDEX('Disaggregation Records'!$F$155:$F$385,MATCH(RIGHT(Q753,255),RIGHT('Disaggregation Records'!$D$155:$D$385,255),0))),"")</f>
        <v/>
      </c>
      <c r="T753" s="194" t="str">
        <f t="array" ref="T753">IFERROR(IF(INDEX('Disaggregation Records'!$H$155:$H$385,MATCH(RIGHT(Q753,255),RIGHT('Disaggregation Records'!$D$155:$D$385,255),0))="","",INDEX('Disaggregation Records'!$H$155:$H$385,MATCH(RIGHT(Q753,255),RIGHT('Disaggregation Records'!$D$155:$D$385,255),0))),"")</f>
        <v/>
      </c>
      <c r="U753" s="194">
        <f>U751+1</f>
        <v>2566</v>
      </c>
      <c r="V753" s="194" t="str">
        <f t="array" ref="V753">IFERROR(IF(INDEX('Disaggregation Records'!$I$155:$I$385,MATCH(RIGHT(Q753,255),RIGHT('Disaggregation Records'!$D$155:$D$385,255),0))="","",INDEX('Disaggregation Records'!$I$155:$I$385,MATCH(RIGHT(Q753,255),RIGHT('Disaggregation Records'!$D$155:$D$385,255),0))),"")</f>
        <v/>
      </c>
      <c r="W753" s="194" t="str">
        <f>IFERROR(INDEX('Reference Records'!L$77:L$157,MATCH(LEFT(C753,255),'Reference Records'!E$77:E$157,0)),"")</f>
        <v>MDR TB-3⁽ᴹ⁾ Number of cases with RR-TB and/or MDR-TB that began second-line treatment</v>
      </c>
    </row>
    <row r="754" spans="1:23" s="194" customFormat="1" ht="40.4" customHeight="1" x14ac:dyDescent="0.35">
      <c r="A754" s="770"/>
      <c r="B754" s="767"/>
      <c r="C754" s="761"/>
      <c r="D754" s="769"/>
      <c r="E754" s="769"/>
      <c r="F754" s="208"/>
      <c r="G754" s="763"/>
      <c r="H754" s="744"/>
      <c r="I754" s="765"/>
      <c r="J754" s="730"/>
      <c r="K754" s="761"/>
      <c r="L754" s="761"/>
      <c r="M754" s="730"/>
      <c r="N754" s="730"/>
    </row>
    <row r="755" spans="1:23" s="194" customFormat="1" ht="40.4" customHeight="1" x14ac:dyDescent="0.35">
      <c r="A755" s="770" t="str">
        <f ca="1">INDIRECT("'update Helper'!C"&amp;U755)</f>
        <v>a163p000004NtVhAAK</v>
      </c>
      <c r="B755" s="766">
        <v>4</v>
      </c>
      <c r="C755" s="760" t="str">
        <f>VLOOKUP(B755,'Coverage Indicators - Section D'!$A$9:$AU$70,47,FALSE)</f>
        <v>MDR TB-3⁽ᴹ⁾ Número de casos de tuberculosis resistente a la rifampicina y/o multirresistente que empezaron a recibir tratamiento de segunda línea.</v>
      </c>
      <c r="D755" s="768" t="str">
        <f>R755</f>
        <v/>
      </c>
      <c r="E755" s="768" t="str">
        <f>S755</f>
        <v/>
      </c>
      <c r="F755" s="413"/>
      <c r="G755" s="762" t="str">
        <f ca="1">IF(OR(INDIRECT("'update Helper'!E"&amp;U755)="",F755&lt;&gt;0,F756&lt;&gt;0),IF(IFERROR((F755/F756),"")="","",(F755/F756)),INDIRECT("'update Helper'!E"&amp;U755)/100)</f>
        <v/>
      </c>
      <c r="H755" s="743"/>
      <c r="I755" s="764"/>
      <c r="J755" s="729"/>
      <c r="K755" s="760" t="str">
        <f>W755</f>
        <v>MDR TB-3⁽ᴹ⁾ Number of cases with RR-TB and/or MDR-TB that began second-line treatment</v>
      </c>
      <c r="L755" s="760" t="str">
        <f>V755</f>
        <v/>
      </c>
      <c r="M755" s="729"/>
      <c r="N755" s="729"/>
      <c r="P755" s="194">
        <f>IF(AND(EXACT(C755,C753),C753&lt;&gt;0),P753+1,0)</f>
        <v>7</v>
      </c>
      <c r="Q755" s="194" t="str">
        <f>IF(C755&lt;&gt;"",C755&amp;"-"&amp;P755,"")</f>
        <v>MDR TB-3⁽ᴹ⁾ Número de casos de tuberculosis resistente a la rifampicina y/o multirresistente que empezaron a recibir tratamiento de segunda línea.-7</v>
      </c>
      <c r="R755" s="194" t="str">
        <f t="array" ref="R755">IFERROR(IF(INDEX('Disaggregation Records'!$E$155:$E$385,MATCH(RIGHT(Q755,255),RIGHT('Disaggregation Records'!$D$155:$D$385,255),0))="","",INDEX('Disaggregation Records'!$E$155:$E$385,MATCH(RIGHT(Q755,255),RIGHT('Disaggregation Records'!$D$155:$D$385,255),0))),"")</f>
        <v/>
      </c>
      <c r="S755" s="194" t="str">
        <f t="array" ref="S755">IFERROR(IF(INDEX('Disaggregation Records'!$F$155:$F$385,MATCH(RIGHT(Q755,255),RIGHT('Disaggregation Records'!$D$155:$D$385,255),0))="","",INDEX('Disaggregation Records'!$F$155:$F$385,MATCH(RIGHT(Q755,255),RIGHT('Disaggregation Records'!$D$155:$D$385,255),0))),"")</f>
        <v/>
      </c>
      <c r="T755" s="194" t="str">
        <f t="array" ref="T755">IFERROR(IF(INDEX('Disaggregation Records'!$H$155:$H$385,MATCH(RIGHT(Q755,255),RIGHT('Disaggregation Records'!$D$155:$D$385,255),0))="","",INDEX('Disaggregation Records'!$H$155:$H$385,MATCH(RIGHT(Q755,255),RIGHT('Disaggregation Records'!$D$155:$D$385,255),0))),"")</f>
        <v/>
      </c>
      <c r="U755" s="194">
        <f>U753+1</f>
        <v>2567</v>
      </c>
      <c r="V755" s="194" t="str">
        <f t="array" ref="V755">IFERROR(IF(INDEX('Disaggregation Records'!$I$155:$I$385,MATCH(RIGHT(Q755,255),RIGHT('Disaggregation Records'!$D$155:$D$385,255),0))="","",INDEX('Disaggregation Records'!$I$155:$I$385,MATCH(RIGHT(Q755,255),RIGHT('Disaggregation Records'!$D$155:$D$385,255),0))),"")</f>
        <v/>
      </c>
      <c r="W755" s="194" t="str">
        <f>IFERROR(INDEX('Reference Records'!L$77:L$157,MATCH(LEFT(C755,255),'Reference Records'!E$77:E$157,0)),"")</f>
        <v>MDR TB-3⁽ᴹ⁾ Number of cases with RR-TB and/or MDR-TB that began second-line treatment</v>
      </c>
    </row>
    <row r="756" spans="1:23" s="194" customFormat="1" ht="40.4" customHeight="1" x14ac:dyDescent="0.35">
      <c r="A756" s="770"/>
      <c r="B756" s="767"/>
      <c r="C756" s="761"/>
      <c r="D756" s="769"/>
      <c r="E756" s="769"/>
      <c r="F756" s="208"/>
      <c r="G756" s="763"/>
      <c r="H756" s="744"/>
      <c r="I756" s="765"/>
      <c r="J756" s="730"/>
      <c r="K756" s="761"/>
      <c r="L756" s="761"/>
      <c r="M756" s="730"/>
      <c r="N756" s="730"/>
    </row>
    <row r="757" spans="1:23" s="194" customFormat="1" ht="40.4" customHeight="1" x14ac:dyDescent="0.35">
      <c r="A757" s="770" t="str">
        <f ca="1">INDIRECT("'update Helper'!C"&amp;U757)</f>
        <v>a163p000004NtViAAK</v>
      </c>
      <c r="B757" s="766">
        <v>4</v>
      </c>
      <c r="C757" s="760" t="str">
        <f>VLOOKUP(B757,'Coverage Indicators - Section D'!$A$9:$AU$70,47,FALSE)</f>
        <v>MDR TB-3⁽ᴹ⁾ Número de casos de tuberculosis resistente a la rifampicina y/o multirresistente que empezaron a recibir tratamiento de segunda línea.</v>
      </c>
      <c r="D757" s="768" t="str">
        <f>R757</f>
        <v/>
      </c>
      <c r="E757" s="768" t="str">
        <f>S757</f>
        <v/>
      </c>
      <c r="F757" s="413"/>
      <c r="G757" s="762" t="str">
        <f ca="1">IF(OR(INDIRECT("'update Helper'!E"&amp;U757)="",F757&lt;&gt;0,F758&lt;&gt;0),IF(IFERROR((F757/F758),"")="","",(F757/F758)),INDIRECT("'update Helper'!E"&amp;U757)/100)</f>
        <v/>
      </c>
      <c r="H757" s="743"/>
      <c r="I757" s="764"/>
      <c r="J757" s="729"/>
      <c r="K757" s="760" t="str">
        <f>W757</f>
        <v>MDR TB-3⁽ᴹ⁾ Number of cases with RR-TB and/or MDR-TB that began second-line treatment</v>
      </c>
      <c r="L757" s="760" t="str">
        <f>V757</f>
        <v/>
      </c>
      <c r="M757" s="729"/>
      <c r="N757" s="729"/>
      <c r="P757" s="194">
        <f>IF(AND(EXACT(C757,C755),C755&lt;&gt;0),P755+1,0)</f>
        <v>8</v>
      </c>
      <c r="Q757" s="194" t="str">
        <f>IF(C757&lt;&gt;"",C757&amp;"-"&amp;P757,"")</f>
        <v>MDR TB-3⁽ᴹ⁾ Número de casos de tuberculosis resistente a la rifampicina y/o multirresistente que empezaron a recibir tratamiento de segunda línea.-8</v>
      </c>
      <c r="R757" s="194" t="str">
        <f t="array" ref="R757">IFERROR(IF(INDEX('Disaggregation Records'!$E$155:$E$385,MATCH(RIGHT(Q757,255),RIGHT('Disaggregation Records'!$D$155:$D$385,255),0))="","",INDEX('Disaggregation Records'!$E$155:$E$385,MATCH(RIGHT(Q757,255),RIGHT('Disaggregation Records'!$D$155:$D$385,255),0))),"")</f>
        <v/>
      </c>
      <c r="S757" s="194" t="str">
        <f t="array" ref="S757">IFERROR(IF(INDEX('Disaggregation Records'!$F$155:$F$385,MATCH(RIGHT(Q757,255),RIGHT('Disaggregation Records'!$D$155:$D$385,255),0))="","",INDEX('Disaggregation Records'!$F$155:$F$385,MATCH(RIGHT(Q757,255),RIGHT('Disaggregation Records'!$D$155:$D$385,255),0))),"")</f>
        <v/>
      </c>
      <c r="T757" s="194" t="str">
        <f t="array" ref="T757">IFERROR(IF(INDEX('Disaggregation Records'!$H$155:$H$385,MATCH(RIGHT(Q757,255),RIGHT('Disaggregation Records'!$D$155:$D$385,255),0))="","",INDEX('Disaggregation Records'!$H$155:$H$385,MATCH(RIGHT(Q757,255),RIGHT('Disaggregation Records'!$D$155:$D$385,255),0))),"")</f>
        <v/>
      </c>
      <c r="U757" s="194">
        <f>U755+1</f>
        <v>2568</v>
      </c>
      <c r="V757" s="194" t="str">
        <f t="array" ref="V757">IFERROR(IF(INDEX('Disaggregation Records'!$I$155:$I$385,MATCH(RIGHT(Q757,255),RIGHT('Disaggregation Records'!$D$155:$D$385,255),0))="","",INDEX('Disaggregation Records'!$I$155:$I$385,MATCH(RIGHT(Q757,255),RIGHT('Disaggregation Records'!$D$155:$D$385,255),0))),"")</f>
        <v/>
      </c>
      <c r="W757" s="194" t="str">
        <f>IFERROR(INDEX('Reference Records'!L$77:L$157,MATCH(LEFT(C757,255),'Reference Records'!E$77:E$157,0)),"")</f>
        <v>MDR TB-3⁽ᴹ⁾ Number of cases with RR-TB and/or MDR-TB that began second-line treatment</v>
      </c>
    </row>
    <row r="758" spans="1:23" s="194" customFormat="1" ht="40.4" customHeight="1" x14ac:dyDescent="0.35">
      <c r="A758" s="770"/>
      <c r="B758" s="767"/>
      <c r="C758" s="761"/>
      <c r="D758" s="769"/>
      <c r="E758" s="769"/>
      <c r="F758" s="208"/>
      <c r="G758" s="763"/>
      <c r="H758" s="744"/>
      <c r="I758" s="765"/>
      <c r="J758" s="730"/>
      <c r="K758" s="761"/>
      <c r="L758" s="761"/>
      <c r="M758" s="730"/>
      <c r="N758" s="730"/>
    </row>
    <row r="759" spans="1:23" s="194" customFormat="1" ht="40.4" customHeight="1" x14ac:dyDescent="0.35">
      <c r="A759" s="770" t="str">
        <f ca="1">INDIRECT("'update Helper'!C"&amp;U759)</f>
        <v>a163p000004NtVjAAK</v>
      </c>
      <c r="B759" s="766">
        <v>4</v>
      </c>
      <c r="C759" s="760" t="str">
        <f>VLOOKUP(B759,'Coverage Indicators - Section D'!$A$9:$AU$70,47,FALSE)</f>
        <v>MDR TB-3⁽ᴹ⁾ Número de casos de tuberculosis resistente a la rifampicina y/o multirresistente que empezaron a recibir tratamiento de segunda línea.</v>
      </c>
      <c r="D759" s="768" t="str">
        <f>R759</f>
        <v/>
      </c>
      <c r="E759" s="768" t="str">
        <f>S759</f>
        <v/>
      </c>
      <c r="F759" s="413"/>
      <c r="G759" s="762" t="str">
        <f ca="1">IF(OR(INDIRECT("'update Helper'!E"&amp;U759)="",F759&lt;&gt;0,F760&lt;&gt;0),IF(IFERROR((F759/F760),"")="","",(F759/F760)),INDIRECT("'update Helper'!E"&amp;U759)/100)</f>
        <v/>
      </c>
      <c r="H759" s="743"/>
      <c r="I759" s="764"/>
      <c r="J759" s="729"/>
      <c r="K759" s="760" t="str">
        <f>W759</f>
        <v>MDR TB-3⁽ᴹ⁾ Number of cases with RR-TB and/or MDR-TB that began second-line treatment</v>
      </c>
      <c r="L759" s="760" t="str">
        <f>V759</f>
        <v/>
      </c>
      <c r="M759" s="729"/>
      <c r="N759" s="729"/>
      <c r="P759" s="194">
        <f>IF(AND(EXACT(C759,C757),C757&lt;&gt;0),P757+1,0)</f>
        <v>9</v>
      </c>
      <c r="Q759" s="194" t="str">
        <f>IF(C759&lt;&gt;"",C759&amp;"-"&amp;P759,"")</f>
        <v>MDR TB-3⁽ᴹ⁾ Número de casos de tuberculosis resistente a la rifampicina y/o multirresistente que empezaron a recibir tratamiento de segunda línea.-9</v>
      </c>
      <c r="R759" s="194" t="str">
        <f t="array" ref="R759">IFERROR(IF(INDEX('Disaggregation Records'!$E$155:$E$385,MATCH(RIGHT(Q759,255),RIGHT('Disaggregation Records'!$D$155:$D$385,255),0))="","",INDEX('Disaggregation Records'!$E$155:$E$385,MATCH(RIGHT(Q759,255),RIGHT('Disaggregation Records'!$D$155:$D$385,255),0))),"")</f>
        <v/>
      </c>
      <c r="S759" s="194" t="str">
        <f t="array" ref="S759">IFERROR(IF(INDEX('Disaggregation Records'!$F$155:$F$385,MATCH(RIGHT(Q759,255),RIGHT('Disaggregation Records'!$D$155:$D$385,255),0))="","",INDEX('Disaggregation Records'!$F$155:$F$385,MATCH(RIGHT(Q759,255),RIGHT('Disaggregation Records'!$D$155:$D$385,255),0))),"")</f>
        <v/>
      </c>
      <c r="T759" s="194" t="str">
        <f t="array" ref="T759">IFERROR(IF(INDEX('Disaggregation Records'!$H$155:$H$385,MATCH(RIGHT(Q759,255),RIGHT('Disaggregation Records'!$D$155:$D$385,255),0))="","",INDEX('Disaggregation Records'!$H$155:$H$385,MATCH(RIGHT(Q759,255),RIGHT('Disaggregation Records'!$D$155:$D$385,255),0))),"")</f>
        <v/>
      </c>
      <c r="U759" s="194">
        <f>U757+1</f>
        <v>2569</v>
      </c>
      <c r="V759" s="194" t="str">
        <f t="array" ref="V759">IFERROR(IF(INDEX('Disaggregation Records'!$I$155:$I$385,MATCH(RIGHT(Q759,255),RIGHT('Disaggregation Records'!$D$155:$D$385,255),0))="","",INDEX('Disaggregation Records'!$I$155:$I$385,MATCH(RIGHT(Q759,255),RIGHT('Disaggregation Records'!$D$155:$D$385,255),0))),"")</f>
        <v/>
      </c>
      <c r="W759" s="194" t="str">
        <f>IFERROR(INDEX('Reference Records'!L$77:L$157,MATCH(LEFT(C759,255),'Reference Records'!E$77:E$157,0)),"")</f>
        <v>MDR TB-3⁽ᴹ⁾ Number of cases with RR-TB and/or MDR-TB that began second-line treatment</v>
      </c>
    </row>
    <row r="760" spans="1:23" s="194" customFormat="1" ht="40.4" customHeight="1" x14ac:dyDescent="0.35">
      <c r="A760" s="770"/>
      <c r="B760" s="767"/>
      <c r="C760" s="761"/>
      <c r="D760" s="769"/>
      <c r="E760" s="769"/>
      <c r="F760" s="208"/>
      <c r="G760" s="763"/>
      <c r="H760" s="744"/>
      <c r="I760" s="765"/>
      <c r="J760" s="730"/>
      <c r="K760" s="761"/>
      <c r="L760" s="761"/>
      <c r="M760" s="730"/>
      <c r="N760" s="730"/>
    </row>
    <row r="761" spans="1:23" s="194" customFormat="1" ht="40.4" customHeight="1" x14ac:dyDescent="0.35">
      <c r="A761" s="770" t="str">
        <f ca="1">INDIRECT("'update Helper'!C"&amp;U761)</f>
        <v>a163p000004NtVkAAK</v>
      </c>
      <c r="B761" s="766">
        <v>4</v>
      </c>
      <c r="C761" s="760" t="str">
        <f>VLOOKUP(B761,'Coverage Indicators - Section D'!$A$9:$AU$70,47,FALSE)</f>
        <v>MDR TB-3⁽ᴹ⁾ Número de casos de tuberculosis resistente a la rifampicina y/o multirresistente que empezaron a recibir tratamiento de segunda línea.</v>
      </c>
      <c r="D761" s="768" t="str">
        <f>R761</f>
        <v/>
      </c>
      <c r="E761" s="768" t="str">
        <f>S761</f>
        <v/>
      </c>
      <c r="F761" s="413"/>
      <c r="G761" s="762" t="str">
        <f ca="1">IF(OR(INDIRECT("'update Helper'!E"&amp;U761)="",F761&lt;&gt;0,F762&lt;&gt;0),IF(IFERROR((F761/F762),"")="","",(F761/F762)),INDIRECT("'update Helper'!E"&amp;U761)/100)</f>
        <v/>
      </c>
      <c r="H761" s="743"/>
      <c r="I761" s="764"/>
      <c r="J761" s="729"/>
      <c r="K761" s="760" t="str">
        <f>W761</f>
        <v>MDR TB-3⁽ᴹ⁾ Number of cases with RR-TB and/or MDR-TB that began second-line treatment</v>
      </c>
      <c r="L761" s="760" t="str">
        <f>V761</f>
        <v/>
      </c>
      <c r="M761" s="729"/>
      <c r="N761" s="729"/>
      <c r="P761" s="194">
        <f>IF(AND(EXACT(C761,C759),C759&lt;&gt;0),P759+1,0)</f>
        <v>10</v>
      </c>
      <c r="Q761" s="194" t="str">
        <f>IF(C761&lt;&gt;"",C761&amp;"-"&amp;P761,"")</f>
        <v>MDR TB-3⁽ᴹ⁾ Número de casos de tuberculosis resistente a la rifampicina y/o multirresistente que empezaron a recibir tratamiento de segunda línea.-10</v>
      </c>
      <c r="R761" s="194" t="str">
        <f t="array" ref="R761">IFERROR(IF(INDEX('Disaggregation Records'!$E$155:$E$385,MATCH(RIGHT(Q761,255),RIGHT('Disaggregation Records'!$D$155:$D$385,255),0))="","",INDEX('Disaggregation Records'!$E$155:$E$385,MATCH(RIGHT(Q761,255),RIGHT('Disaggregation Records'!$D$155:$D$385,255),0))),"")</f>
        <v/>
      </c>
      <c r="S761" s="194" t="str">
        <f t="array" ref="S761">IFERROR(IF(INDEX('Disaggregation Records'!$F$155:$F$385,MATCH(RIGHT(Q761,255),RIGHT('Disaggregation Records'!$D$155:$D$385,255),0))="","",INDEX('Disaggregation Records'!$F$155:$F$385,MATCH(RIGHT(Q761,255),RIGHT('Disaggregation Records'!$D$155:$D$385,255),0))),"")</f>
        <v/>
      </c>
      <c r="T761" s="194" t="str">
        <f t="array" ref="T761">IFERROR(IF(INDEX('Disaggregation Records'!$H$155:$H$385,MATCH(RIGHT(Q761,255),RIGHT('Disaggregation Records'!$D$155:$D$385,255),0))="","",INDEX('Disaggregation Records'!$H$155:$H$385,MATCH(RIGHT(Q761,255),RIGHT('Disaggregation Records'!$D$155:$D$385,255),0))),"")</f>
        <v/>
      </c>
      <c r="U761" s="194">
        <f>U759+1</f>
        <v>2570</v>
      </c>
      <c r="V761" s="194" t="str">
        <f t="array" ref="V761">IFERROR(IF(INDEX('Disaggregation Records'!$I$155:$I$385,MATCH(RIGHT(Q761,255),RIGHT('Disaggregation Records'!$D$155:$D$385,255),0))="","",INDEX('Disaggregation Records'!$I$155:$I$385,MATCH(RIGHT(Q761,255),RIGHT('Disaggregation Records'!$D$155:$D$385,255),0))),"")</f>
        <v/>
      </c>
      <c r="W761" s="194" t="str">
        <f>IFERROR(INDEX('Reference Records'!L$77:L$157,MATCH(LEFT(C761,255),'Reference Records'!E$77:E$157,0)),"")</f>
        <v>MDR TB-3⁽ᴹ⁾ Number of cases with RR-TB and/or MDR-TB that began second-line treatment</v>
      </c>
    </row>
    <row r="762" spans="1:23" s="194" customFormat="1" ht="40.4" customHeight="1" x14ac:dyDescent="0.35">
      <c r="A762" s="770"/>
      <c r="B762" s="767"/>
      <c r="C762" s="761"/>
      <c r="D762" s="769"/>
      <c r="E762" s="769"/>
      <c r="F762" s="208"/>
      <c r="G762" s="763"/>
      <c r="H762" s="744"/>
      <c r="I762" s="765"/>
      <c r="J762" s="730"/>
      <c r="K762" s="761"/>
      <c r="L762" s="761"/>
      <c r="M762" s="730"/>
      <c r="N762" s="730"/>
    </row>
    <row r="763" spans="1:23" s="194" customFormat="1" ht="40.4" customHeight="1" x14ac:dyDescent="0.35">
      <c r="A763" s="770" t="str">
        <f ca="1">INDIRECT("'update Helper'!C"&amp;U763)</f>
        <v>a163p000004NtVlAAK</v>
      </c>
      <c r="B763" s="766">
        <v>4</v>
      </c>
      <c r="C763" s="760" t="str">
        <f>VLOOKUP(B763,'Coverage Indicators - Section D'!$A$9:$AU$70,47,FALSE)</f>
        <v>MDR TB-3⁽ᴹ⁾ Número de casos de tuberculosis resistente a la rifampicina y/o multirresistente que empezaron a recibir tratamiento de segunda línea.</v>
      </c>
      <c r="D763" s="768" t="str">
        <f>R763</f>
        <v/>
      </c>
      <c r="E763" s="768" t="str">
        <f>S763</f>
        <v/>
      </c>
      <c r="F763" s="413"/>
      <c r="G763" s="762" t="str">
        <f ca="1">IF(OR(INDIRECT("'update Helper'!E"&amp;U763)="",F763&lt;&gt;0,F764&lt;&gt;0),IF(IFERROR((F763/F764),"")="","",(F763/F764)),INDIRECT("'update Helper'!E"&amp;U763)/100)</f>
        <v/>
      </c>
      <c r="H763" s="743"/>
      <c r="I763" s="764"/>
      <c r="J763" s="729"/>
      <c r="K763" s="760" t="str">
        <f>W763</f>
        <v>MDR TB-3⁽ᴹ⁾ Number of cases with RR-TB and/or MDR-TB that began second-line treatment</v>
      </c>
      <c r="L763" s="760" t="str">
        <f>V763</f>
        <v/>
      </c>
      <c r="M763" s="729"/>
      <c r="N763" s="729"/>
      <c r="P763" s="194">
        <f>IF(AND(EXACT(C763,C761),C761&lt;&gt;0),P761+1,0)</f>
        <v>11</v>
      </c>
      <c r="Q763" s="194" t="str">
        <f>IF(C763&lt;&gt;"",C763&amp;"-"&amp;P763,"")</f>
        <v>MDR TB-3⁽ᴹ⁾ Número de casos de tuberculosis resistente a la rifampicina y/o multirresistente que empezaron a recibir tratamiento de segunda línea.-11</v>
      </c>
      <c r="R763" s="194" t="str">
        <f t="array" ref="R763">IFERROR(IF(INDEX('Disaggregation Records'!$E$155:$E$385,MATCH(RIGHT(Q763,255),RIGHT('Disaggregation Records'!$D$155:$D$385,255),0))="","",INDEX('Disaggregation Records'!$E$155:$E$385,MATCH(RIGHT(Q763,255),RIGHT('Disaggregation Records'!$D$155:$D$385,255),0))),"")</f>
        <v/>
      </c>
      <c r="S763" s="194" t="str">
        <f t="array" ref="S763">IFERROR(IF(INDEX('Disaggregation Records'!$F$155:$F$385,MATCH(RIGHT(Q763,255),RIGHT('Disaggregation Records'!$D$155:$D$385,255),0))="","",INDEX('Disaggregation Records'!$F$155:$F$385,MATCH(RIGHT(Q763,255),RIGHT('Disaggregation Records'!$D$155:$D$385,255),0))),"")</f>
        <v/>
      </c>
      <c r="T763" s="194" t="str">
        <f t="array" ref="T763">IFERROR(IF(INDEX('Disaggregation Records'!$H$155:$H$385,MATCH(RIGHT(Q763,255),RIGHT('Disaggregation Records'!$D$155:$D$385,255),0))="","",INDEX('Disaggregation Records'!$H$155:$H$385,MATCH(RIGHT(Q763,255),RIGHT('Disaggregation Records'!$D$155:$D$385,255),0))),"")</f>
        <v/>
      </c>
      <c r="U763" s="194">
        <f>U761+1</f>
        <v>2571</v>
      </c>
      <c r="V763" s="194" t="str">
        <f t="array" ref="V763">IFERROR(IF(INDEX('Disaggregation Records'!$I$155:$I$385,MATCH(RIGHT(Q763,255),RIGHT('Disaggregation Records'!$D$155:$D$385,255),0))="","",INDEX('Disaggregation Records'!$I$155:$I$385,MATCH(RIGHT(Q763,255),RIGHT('Disaggregation Records'!$D$155:$D$385,255),0))),"")</f>
        <v/>
      </c>
      <c r="W763" s="194" t="str">
        <f>IFERROR(INDEX('Reference Records'!L$77:L$157,MATCH(LEFT(C763,255),'Reference Records'!E$77:E$157,0)),"")</f>
        <v>MDR TB-3⁽ᴹ⁾ Number of cases with RR-TB and/or MDR-TB that began second-line treatment</v>
      </c>
    </row>
    <row r="764" spans="1:23" s="194" customFormat="1" ht="40.4" customHeight="1" x14ac:dyDescent="0.35">
      <c r="A764" s="770"/>
      <c r="B764" s="767"/>
      <c r="C764" s="761"/>
      <c r="D764" s="769"/>
      <c r="E764" s="769"/>
      <c r="F764" s="208"/>
      <c r="G764" s="763"/>
      <c r="H764" s="744"/>
      <c r="I764" s="765"/>
      <c r="J764" s="730"/>
      <c r="K764" s="761"/>
      <c r="L764" s="761"/>
      <c r="M764" s="730"/>
      <c r="N764" s="730"/>
    </row>
    <row r="765" spans="1:23" s="194" customFormat="1" ht="40.4" customHeight="1" x14ac:dyDescent="0.35">
      <c r="A765" s="770" t="str">
        <f ca="1">INDIRECT("'update Helper'!C"&amp;U765)</f>
        <v>a163p000004NtVmAAK</v>
      </c>
      <c r="B765" s="766">
        <v>4</v>
      </c>
      <c r="C765" s="760" t="str">
        <f>VLOOKUP(B765,'Coverage Indicators - Section D'!$A$9:$AU$70,47,FALSE)</f>
        <v>MDR TB-3⁽ᴹ⁾ Número de casos de tuberculosis resistente a la rifampicina y/o multirresistente que empezaron a recibir tratamiento de segunda línea.</v>
      </c>
      <c r="D765" s="768" t="str">
        <f>R765</f>
        <v/>
      </c>
      <c r="E765" s="768" t="str">
        <f>S765</f>
        <v/>
      </c>
      <c r="F765" s="413"/>
      <c r="G765" s="762" t="str">
        <f ca="1">IF(OR(INDIRECT("'update Helper'!E"&amp;U765)="",F765&lt;&gt;0,F766&lt;&gt;0),IF(IFERROR((F765/F766),"")="","",(F765/F766)),INDIRECT("'update Helper'!E"&amp;U765)/100)</f>
        <v/>
      </c>
      <c r="H765" s="743"/>
      <c r="I765" s="764"/>
      <c r="J765" s="729"/>
      <c r="K765" s="760" t="str">
        <f>W765</f>
        <v>MDR TB-3⁽ᴹ⁾ Number of cases with RR-TB and/or MDR-TB that began second-line treatment</v>
      </c>
      <c r="L765" s="760" t="str">
        <f>V765</f>
        <v/>
      </c>
      <c r="M765" s="729"/>
      <c r="N765" s="729"/>
      <c r="P765" s="194">
        <f>IF(AND(EXACT(C765,C763),C763&lt;&gt;0),P763+1,0)</f>
        <v>12</v>
      </c>
      <c r="Q765" s="194" t="str">
        <f>IF(C765&lt;&gt;"",C765&amp;"-"&amp;P765,"")</f>
        <v>MDR TB-3⁽ᴹ⁾ Número de casos de tuberculosis resistente a la rifampicina y/o multirresistente que empezaron a recibir tratamiento de segunda línea.-12</v>
      </c>
      <c r="R765" s="194" t="str">
        <f t="array" ref="R765">IFERROR(IF(INDEX('Disaggregation Records'!$E$155:$E$385,MATCH(RIGHT(Q765,255),RIGHT('Disaggregation Records'!$D$155:$D$385,255),0))="","",INDEX('Disaggregation Records'!$E$155:$E$385,MATCH(RIGHT(Q765,255),RIGHT('Disaggregation Records'!$D$155:$D$385,255),0))),"")</f>
        <v/>
      </c>
      <c r="S765" s="194" t="str">
        <f t="array" ref="S765">IFERROR(IF(INDEX('Disaggregation Records'!$F$155:$F$385,MATCH(RIGHT(Q765,255),RIGHT('Disaggregation Records'!$D$155:$D$385,255),0))="","",INDEX('Disaggregation Records'!$F$155:$F$385,MATCH(RIGHT(Q765,255),RIGHT('Disaggregation Records'!$D$155:$D$385,255),0))),"")</f>
        <v/>
      </c>
      <c r="T765" s="194" t="str">
        <f t="array" ref="T765">IFERROR(IF(INDEX('Disaggregation Records'!$H$155:$H$385,MATCH(RIGHT(Q765,255),RIGHT('Disaggregation Records'!$D$155:$D$385,255),0))="","",INDEX('Disaggregation Records'!$H$155:$H$385,MATCH(RIGHT(Q765,255),RIGHT('Disaggregation Records'!$D$155:$D$385,255),0))),"")</f>
        <v/>
      </c>
      <c r="U765" s="194">
        <f>U763+1</f>
        <v>2572</v>
      </c>
      <c r="V765" s="194" t="str">
        <f t="array" ref="V765">IFERROR(IF(INDEX('Disaggregation Records'!$I$155:$I$385,MATCH(RIGHT(Q765,255),RIGHT('Disaggregation Records'!$D$155:$D$385,255),0))="","",INDEX('Disaggregation Records'!$I$155:$I$385,MATCH(RIGHT(Q765,255),RIGHT('Disaggregation Records'!$D$155:$D$385,255),0))),"")</f>
        <v/>
      </c>
      <c r="W765" s="194" t="str">
        <f>IFERROR(INDEX('Reference Records'!L$77:L$157,MATCH(LEFT(C765,255),'Reference Records'!E$77:E$157,0)),"")</f>
        <v>MDR TB-3⁽ᴹ⁾ Number of cases with RR-TB and/or MDR-TB that began second-line treatment</v>
      </c>
    </row>
    <row r="766" spans="1:23" s="194" customFormat="1" ht="40.4" customHeight="1" x14ac:dyDescent="0.35">
      <c r="A766" s="770"/>
      <c r="B766" s="767"/>
      <c r="C766" s="761"/>
      <c r="D766" s="769"/>
      <c r="E766" s="769"/>
      <c r="F766" s="208"/>
      <c r="G766" s="763"/>
      <c r="H766" s="744"/>
      <c r="I766" s="765"/>
      <c r="J766" s="730"/>
      <c r="K766" s="761"/>
      <c r="L766" s="761"/>
      <c r="M766" s="730"/>
      <c r="N766" s="730"/>
    </row>
    <row r="767" spans="1:23" s="194" customFormat="1" ht="40.4" customHeight="1" x14ac:dyDescent="0.35">
      <c r="A767" s="770" t="str">
        <f ca="1">INDIRECT("'update Helper'!C"&amp;U767)</f>
        <v>a163p000004NtVnAAK</v>
      </c>
      <c r="B767" s="766">
        <v>4</v>
      </c>
      <c r="C767" s="760" t="str">
        <f>VLOOKUP(B767,'Coverage Indicators - Section D'!$A$9:$AU$70,47,FALSE)</f>
        <v>MDR TB-3⁽ᴹ⁾ Número de casos de tuberculosis resistente a la rifampicina y/o multirresistente que empezaron a recibir tratamiento de segunda línea.</v>
      </c>
      <c r="D767" s="768" t="str">
        <f>R767</f>
        <v/>
      </c>
      <c r="E767" s="768" t="str">
        <f>S767</f>
        <v/>
      </c>
      <c r="F767" s="413"/>
      <c r="G767" s="762" t="str">
        <f ca="1">IF(OR(INDIRECT("'update Helper'!E"&amp;U767)="",F767&lt;&gt;0,F768&lt;&gt;0),IF(IFERROR((F767/F768),"")="","",(F767/F768)),INDIRECT("'update Helper'!E"&amp;U767)/100)</f>
        <v/>
      </c>
      <c r="H767" s="743"/>
      <c r="I767" s="764"/>
      <c r="J767" s="729"/>
      <c r="K767" s="760" t="str">
        <f>W767</f>
        <v>MDR TB-3⁽ᴹ⁾ Number of cases with RR-TB and/or MDR-TB that began second-line treatment</v>
      </c>
      <c r="L767" s="760" t="str">
        <f>V767</f>
        <v/>
      </c>
      <c r="M767" s="729"/>
      <c r="N767" s="729"/>
      <c r="P767" s="194">
        <f>IF(AND(EXACT(C767,C765),C765&lt;&gt;0),P765+1,0)</f>
        <v>13</v>
      </c>
      <c r="Q767" s="194" t="str">
        <f>IF(C767&lt;&gt;"",C767&amp;"-"&amp;P767,"")</f>
        <v>MDR TB-3⁽ᴹ⁾ Número de casos de tuberculosis resistente a la rifampicina y/o multirresistente que empezaron a recibir tratamiento de segunda línea.-13</v>
      </c>
      <c r="R767" s="194" t="str">
        <f t="array" ref="R767">IFERROR(IF(INDEX('Disaggregation Records'!$E$155:$E$385,MATCH(RIGHT(Q767,255),RIGHT('Disaggregation Records'!$D$155:$D$385,255),0))="","",INDEX('Disaggregation Records'!$E$155:$E$385,MATCH(RIGHT(Q767,255),RIGHT('Disaggregation Records'!$D$155:$D$385,255),0))),"")</f>
        <v/>
      </c>
      <c r="S767" s="194" t="str">
        <f t="array" ref="S767">IFERROR(IF(INDEX('Disaggregation Records'!$F$155:$F$385,MATCH(RIGHT(Q767,255),RIGHT('Disaggregation Records'!$D$155:$D$385,255),0))="","",INDEX('Disaggregation Records'!$F$155:$F$385,MATCH(RIGHT(Q767,255),RIGHT('Disaggregation Records'!$D$155:$D$385,255),0))),"")</f>
        <v/>
      </c>
      <c r="T767" s="194" t="str">
        <f t="array" ref="T767">IFERROR(IF(INDEX('Disaggregation Records'!$H$155:$H$385,MATCH(RIGHT(Q767,255),RIGHT('Disaggregation Records'!$D$155:$D$385,255),0))="","",INDEX('Disaggregation Records'!$H$155:$H$385,MATCH(RIGHT(Q767,255),RIGHT('Disaggregation Records'!$D$155:$D$385,255),0))),"")</f>
        <v/>
      </c>
      <c r="U767" s="194">
        <f>U765+1</f>
        <v>2573</v>
      </c>
      <c r="V767" s="194" t="str">
        <f t="array" ref="V767">IFERROR(IF(INDEX('Disaggregation Records'!$I$155:$I$385,MATCH(RIGHT(Q767,255),RIGHT('Disaggregation Records'!$D$155:$D$385,255),0))="","",INDEX('Disaggregation Records'!$I$155:$I$385,MATCH(RIGHT(Q767,255),RIGHT('Disaggregation Records'!$D$155:$D$385,255),0))),"")</f>
        <v/>
      </c>
      <c r="W767" s="194" t="str">
        <f>IFERROR(INDEX('Reference Records'!L$77:L$157,MATCH(LEFT(C767,255),'Reference Records'!E$77:E$157,0)),"")</f>
        <v>MDR TB-3⁽ᴹ⁾ Number of cases with RR-TB and/or MDR-TB that began second-line treatment</v>
      </c>
    </row>
    <row r="768" spans="1:23" s="194" customFormat="1" ht="40.4" customHeight="1" x14ac:dyDescent="0.35">
      <c r="A768" s="770"/>
      <c r="B768" s="767"/>
      <c r="C768" s="761"/>
      <c r="D768" s="769"/>
      <c r="E768" s="769"/>
      <c r="F768" s="208"/>
      <c r="G768" s="763"/>
      <c r="H768" s="744"/>
      <c r="I768" s="765"/>
      <c r="J768" s="730"/>
      <c r="K768" s="761"/>
      <c r="L768" s="761"/>
      <c r="M768" s="730"/>
      <c r="N768" s="730"/>
    </row>
    <row r="769" spans="1:23" s="194" customFormat="1" ht="40.4" customHeight="1" x14ac:dyDescent="0.35">
      <c r="A769" s="770" t="str">
        <f ca="1">INDIRECT("'update Helper'!C"&amp;U769)</f>
        <v>a163p000004NtVoAAK</v>
      </c>
      <c r="B769" s="766">
        <v>4</v>
      </c>
      <c r="C769" s="760" t="str">
        <f>VLOOKUP(B769,'Coverage Indicators - Section D'!$A$9:$AU$70,47,FALSE)</f>
        <v>MDR TB-3⁽ᴹ⁾ Número de casos de tuberculosis resistente a la rifampicina y/o multirresistente que empezaron a recibir tratamiento de segunda línea.</v>
      </c>
      <c r="D769" s="768" t="str">
        <f>R769</f>
        <v/>
      </c>
      <c r="E769" s="768" t="str">
        <f>S769</f>
        <v/>
      </c>
      <c r="F769" s="413"/>
      <c r="G769" s="762" t="str">
        <f ca="1">IF(OR(INDIRECT("'update Helper'!E"&amp;U769)="",F769&lt;&gt;0,F770&lt;&gt;0),IF(IFERROR((F769/F770),"")="","",(F769/F770)),INDIRECT("'update Helper'!E"&amp;U769)/100)</f>
        <v/>
      </c>
      <c r="H769" s="743"/>
      <c r="I769" s="764"/>
      <c r="J769" s="729"/>
      <c r="K769" s="760" t="str">
        <f>W769</f>
        <v>MDR TB-3⁽ᴹ⁾ Number of cases with RR-TB and/or MDR-TB that began second-line treatment</v>
      </c>
      <c r="L769" s="760" t="str">
        <f>V769</f>
        <v/>
      </c>
      <c r="M769" s="729"/>
      <c r="N769" s="729"/>
      <c r="P769" s="194">
        <f>IF(AND(EXACT(C769,C767),C767&lt;&gt;0),P767+1,0)</f>
        <v>14</v>
      </c>
      <c r="Q769" s="194" t="str">
        <f>IF(C769&lt;&gt;"",C769&amp;"-"&amp;P769,"")</f>
        <v>MDR TB-3⁽ᴹ⁾ Número de casos de tuberculosis resistente a la rifampicina y/o multirresistente que empezaron a recibir tratamiento de segunda línea.-14</v>
      </c>
      <c r="R769" s="194" t="str">
        <f t="array" ref="R769">IFERROR(IF(INDEX('Disaggregation Records'!$E$155:$E$385,MATCH(RIGHT(Q769,255),RIGHT('Disaggregation Records'!$D$155:$D$385,255),0))="","",INDEX('Disaggregation Records'!$E$155:$E$385,MATCH(RIGHT(Q769,255),RIGHT('Disaggregation Records'!$D$155:$D$385,255),0))),"")</f>
        <v/>
      </c>
      <c r="S769" s="194" t="str">
        <f t="array" ref="S769">IFERROR(IF(INDEX('Disaggregation Records'!$F$155:$F$385,MATCH(RIGHT(Q769,255),RIGHT('Disaggregation Records'!$D$155:$D$385,255),0))="","",INDEX('Disaggregation Records'!$F$155:$F$385,MATCH(RIGHT(Q769,255),RIGHT('Disaggregation Records'!$D$155:$D$385,255),0))),"")</f>
        <v/>
      </c>
      <c r="T769" s="194" t="str">
        <f t="array" ref="T769">IFERROR(IF(INDEX('Disaggregation Records'!$H$155:$H$385,MATCH(RIGHT(Q769,255),RIGHT('Disaggregation Records'!$D$155:$D$385,255),0))="","",INDEX('Disaggregation Records'!$H$155:$H$385,MATCH(RIGHT(Q769,255),RIGHT('Disaggregation Records'!$D$155:$D$385,255),0))),"")</f>
        <v/>
      </c>
      <c r="U769" s="194">
        <f>U767+1</f>
        <v>2574</v>
      </c>
      <c r="V769" s="194" t="str">
        <f t="array" ref="V769">IFERROR(IF(INDEX('Disaggregation Records'!$I$155:$I$385,MATCH(RIGHT(Q769,255),RIGHT('Disaggregation Records'!$D$155:$D$385,255),0))="","",INDEX('Disaggregation Records'!$I$155:$I$385,MATCH(RIGHT(Q769,255),RIGHT('Disaggregation Records'!$D$155:$D$385,255),0))),"")</f>
        <v/>
      </c>
      <c r="W769" s="194" t="str">
        <f>IFERROR(INDEX('Reference Records'!L$77:L$157,MATCH(LEFT(C769,255),'Reference Records'!E$77:E$157,0)),"")</f>
        <v>MDR TB-3⁽ᴹ⁾ Number of cases with RR-TB and/or MDR-TB that began second-line treatment</v>
      </c>
    </row>
    <row r="770" spans="1:23" s="194" customFormat="1" ht="40.4" customHeight="1" x14ac:dyDescent="0.35">
      <c r="A770" s="770"/>
      <c r="B770" s="767"/>
      <c r="C770" s="761"/>
      <c r="D770" s="769"/>
      <c r="E770" s="769"/>
      <c r="F770" s="208"/>
      <c r="G770" s="763"/>
      <c r="H770" s="744"/>
      <c r="I770" s="765"/>
      <c r="J770" s="730"/>
      <c r="K770" s="761"/>
      <c r="L770" s="761"/>
      <c r="M770" s="730"/>
      <c r="N770" s="730"/>
    </row>
    <row r="771" spans="1:23" s="194" customFormat="1" ht="40.4" customHeight="1" x14ac:dyDescent="0.35">
      <c r="A771" s="770" t="str">
        <f ca="1">INDIRECT("'update Helper'!C"&amp;U771)</f>
        <v>a163p000004NtVpAAK</v>
      </c>
      <c r="B771" s="766">
        <v>4</v>
      </c>
      <c r="C771" s="760" t="str">
        <f>VLOOKUP(B771,'Coverage Indicators - Section D'!$A$9:$AU$70,47,FALSE)</f>
        <v>MDR TB-3⁽ᴹ⁾ Número de casos de tuberculosis resistente a la rifampicina y/o multirresistente que empezaron a recibir tratamiento de segunda línea.</v>
      </c>
      <c r="D771" s="768" t="str">
        <f>R771</f>
        <v/>
      </c>
      <c r="E771" s="768" t="str">
        <f>S771</f>
        <v/>
      </c>
      <c r="F771" s="413"/>
      <c r="G771" s="762" t="str">
        <f ca="1">IF(OR(INDIRECT("'update Helper'!E"&amp;U771)="",F771&lt;&gt;0,F772&lt;&gt;0),IF(IFERROR((F771/F772),"")="","",(F771/F772)),INDIRECT("'update Helper'!E"&amp;U771)/100)</f>
        <v/>
      </c>
      <c r="H771" s="743"/>
      <c r="I771" s="764"/>
      <c r="J771" s="729"/>
      <c r="K771" s="760" t="str">
        <f>W771</f>
        <v>MDR TB-3⁽ᴹ⁾ Number of cases with RR-TB and/or MDR-TB that began second-line treatment</v>
      </c>
      <c r="L771" s="760" t="str">
        <f>V771</f>
        <v/>
      </c>
      <c r="M771" s="729"/>
      <c r="N771" s="729"/>
      <c r="P771" s="194">
        <f>IF(AND(EXACT(C771,C769),C769&lt;&gt;0),P769+1,0)</f>
        <v>15</v>
      </c>
      <c r="Q771" s="194" t="str">
        <f>IF(C771&lt;&gt;"",C771&amp;"-"&amp;P771,"")</f>
        <v>MDR TB-3⁽ᴹ⁾ Número de casos de tuberculosis resistente a la rifampicina y/o multirresistente que empezaron a recibir tratamiento de segunda línea.-15</v>
      </c>
      <c r="R771" s="194" t="str">
        <f t="array" ref="R771">IFERROR(IF(INDEX('Disaggregation Records'!$E$155:$E$385,MATCH(RIGHT(Q771,255),RIGHT('Disaggregation Records'!$D$155:$D$385,255),0))="","",INDEX('Disaggregation Records'!$E$155:$E$385,MATCH(RIGHT(Q771,255),RIGHT('Disaggregation Records'!$D$155:$D$385,255),0))),"")</f>
        <v/>
      </c>
      <c r="S771" s="194" t="str">
        <f t="array" ref="S771">IFERROR(IF(INDEX('Disaggregation Records'!$F$155:$F$385,MATCH(RIGHT(Q771,255),RIGHT('Disaggregation Records'!$D$155:$D$385,255),0))="","",INDEX('Disaggregation Records'!$F$155:$F$385,MATCH(RIGHT(Q771,255),RIGHT('Disaggregation Records'!$D$155:$D$385,255),0))),"")</f>
        <v/>
      </c>
      <c r="T771" s="194" t="str">
        <f t="array" ref="T771">IFERROR(IF(INDEX('Disaggregation Records'!$H$155:$H$385,MATCH(RIGHT(Q771,255),RIGHT('Disaggregation Records'!$D$155:$D$385,255),0))="","",INDEX('Disaggregation Records'!$H$155:$H$385,MATCH(RIGHT(Q771,255),RIGHT('Disaggregation Records'!$D$155:$D$385,255),0))),"")</f>
        <v/>
      </c>
      <c r="U771" s="194">
        <f>U769+1</f>
        <v>2575</v>
      </c>
      <c r="V771" s="194" t="str">
        <f t="array" ref="V771">IFERROR(IF(INDEX('Disaggregation Records'!$I$155:$I$385,MATCH(RIGHT(Q771,255),RIGHT('Disaggregation Records'!$D$155:$D$385,255),0))="","",INDEX('Disaggregation Records'!$I$155:$I$385,MATCH(RIGHT(Q771,255),RIGHT('Disaggregation Records'!$D$155:$D$385,255),0))),"")</f>
        <v/>
      </c>
      <c r="W771" s="194" t="str">
        <f>IFERROR(INDEX('Reference Records'!L$77:L$157,MATCH(LEFT(C771,255),'Reference Records'!E$77:E$157,0)),"")</f>
        <v>MDR TB-3⁽ᴹ⁾ Number of cases with RR-TB and/or MDR-TB that began second-line treatment</v>
      </c>
    </row>
    <row r="772" spans="1:23" s="194" customFormat="1" ht="40.4" customHeight="1" x14ac:dyDescent="0.35">
      <c r="A772" s="770"/>
      <c r="B772" s="767"/>
      <c r="C772" s="761"/>
      <c r="D772" s="769"/>
      <c r="E772" s="769"/>
      <c r="F772" s="208"/>
      <c r="G772" s="763"/>
      <c r="H772" s="744"/>
      <c r="I772" s="765"/>
      <c r="J772" s="730"/>
      <c r="K772" s="761"/>
      <c r="L772" s="761"/>
      <c r="M772" s="730"/>
      <c r="N772" s="730"/>
    </row>
    <row r="773" spans="1:23" s="194" customFormat="1" ht="40.4" customHeight="1" x14ac:dyDescent="0.35">
      <c r="A773" s="770" t="str">
        <f ca="1">INDIRECT("'update Helper'!C"&amp;U773)</f>
        <v>a163p000004NtVqAAK</v>
      </c>
      <c r="B773" s="766">
        <v>4</v>
      </c>
      <c r="C773" s="760" t="str">
        <f>VLOOKUP(B773,'Coverage Indicators - Section D'!$A$9:$AU$70,47,FALSE)</f>
        <v>MDR TB-3⁽ᴹ⁾ Número de casos de tuberculosis resistente a la rifampicina y/o multirresistente que empezaron a recibir tratamiento de segunda línea.</v>
      </c>
      <c r="D773" s="768" t="str">
        <f>R773</f>
        <v/>
      </c>
      <c r="E773" s="768" t="str">
        <f>S773</f>
        <v/>
      </c>
      <c r="F773" s="413"/>
      <c r="G773" s="762" t="str">
        <f ca="1">IF(OR(INDIRECT("'update Helper'!E"&amp;U773)="",F773&lt;&gt;0,F774&lt;&gt;0),IF(IFERROR((F773/F774),"")="","",(F773/F774)),INDIRECT("'update Helper'!E"&amp;U773)/100)</f>
        <v/>
      </c>
      <c r="H773" s="743"/>
      <c r="I773" s="764"/>
      <c r="J773" s="729"/>
      <c r="K773" s="760" t="str">
        <f>W773</f>
        <v>MDR TB-3⁽ᴹ⁾ Number of cases with RR-TB and/or MDR-TB that began second-line treatment</v>
      </c>
      <c r="L773" s="760" t="str">
        <f>V773</f>
        <v/>
      </c>
      <c r="M773" s="729"/>
      <c r="N773" s="729"/>
      <c r="P773" s="194">
        <f>IF(AND(EXACT(C773,C771),C771&lt;&gt;0),P771+1,0)</f>
        <v>16</v>
      </c>
      <c r="Q773" s="194" t="str">
        <f>IF(C773&lt;&gt;"",C773&amp;"-"&amp;P773,"")</f>
        <v>MDR TB-3⁽ᴹ⁾ Número de casos de tuberculosis resistente a la rifampicina y/o multirresistente que empezaron a recibir tratamiento de segunda línea.-16</v>
      </c>
      <c r="R773" s="194" t="str">
        <f t="array" ref="R773">IFERROR(IF(INDEX('Disaggregation Records'!$E$155:$E$385,MATCH(RIGHT(Q773,255),RIGHT('Disaggregation Records'!$D$155:$D$385,255),0))="","",INDEX('Disaggregation Records'!$E$155:$E$385,MATCH(RIGHT(Q773,255),RIGHT('Disaggregation Records'!$D$155:$D$385,255),0))),"")</f>
        <v/>
      </c>
      <c r="S773" s="194" t="str">
        <f t="array" ref="S773">IFERROR(IF(INDEX('Disaggregation Records'!$F$155:$F$385,MATCH(RIGHT(Q773,255),RIGHT('Disaggregation Records'!$D$155:$D$385,255),0))="","",INDEX('Disaggregation Records'!$F$155:$F$385,MATCH(RIGHT(Q773,255),RIGHT('Disaggregation Records'!$D$155:$D$385,255),0))),"")</f>
        <v/>
      </c>
      <c r="T773" s="194" t="str">
        <f t="array" ref="T773">IFERROR(IF(INDEX('Disaggregation Records'!$H$155:$H$385,MATCH(RIGHT(Q773,255),RIGHT('Disaggregation Records'!$D$155:$D$385,255),0))="","",INDEX('Disaggregation Records'!$H$155:$H$385,MATCH(RIGHT(Q773,255),RIGHT('Disaggregation Records'!$D$155:$D$385,255),0))),"")</f>
        <v/>
      </c>
      <c r="U773" s="194">
        <f>U771+1</f>
        <v>2576</v>
      </c>
      <c r="V773" s="194" t="str">
        <f t="array" ref="V773">IFERROR(IF(INDEX('Disaggregation Records'!$I$155:$I$385,MATCH(RIGHT(Q773,255),RIGHT('Disaggregation Records'!$D$155:$D$385,255),0))="","",INDEX('Disaggregation Records'!$I$155:$I$385,MATCH(RIGHT(Q773,255),RIGHT('Disaggregation Records'!$D$155:$D$385,255),0))),"")</f>
        <v/>
      </c>
      <c r="W773" s="194" t="str">
        <f>IFERROR(INDEX('Reference Records'!L$77:L$157,MATCH(LEFT(C773,255),'Reference Records'!E$77:E$157,0)),"")</f>
        <v>MDR TB-3⁽ᴹ⁾ Number of cases with RR-TB and/or MDR-TB that began second-line treatment</v>
      </c>
    </row>
    <row r="774" spans="1:23" s="194" customFormat="1" ht="40.4" customHeight="1" x14ac:dyDescent="0.35">
      <c r="A774" s="770"/>
      <c r="B774" s="767"/>
      <c r="C774" s="761"/>
      <c r="D774" s="769"/>
      <c r="E774" s="769"/>
      <c r="F774" s="208"/>
      <c r="G774" s="763"/>
      <c r="H774" s="744"/>
      <c r="I774" s="765"/>
      <c r="J774" s="730"/>
      <c r="K774" s="761"/>
      <c r="L774" s="761"/>
      <c r="M774" s="730"/>
      <c r="N774" s="730"/>
    </row>
    <row r="775" spans="1:23" s="194" customFormat="1" ht="40.4" customHeight="1" x14ac:dyDescent="0.35">
      <c r="A775" s="770" t="str">
        <f ca="1">INDIRECT("'update Helper'!C"&amp;U775)</f>
        <v>a163p000004NtVrAAK</v>
      </c>
      <c r="B775" s="766">
        <v>4</v>
      </c>
      <c r="C775" s="760" t="str">
        <f>VLOOKUP(B775,'Coverage Indicators - Section D'!$A$9:$AU$70,47,FALSE)</f>
        <v>MDR TB-3⁽ᴹ⁾ Número de casos de tuberculosis resistente a la rifampicina y/o multirresistente que empezaron a recibir tratamiento de segunda línea.</v>
      </c>
      <c r="D775" s="768" t="str">
        <f>R775</f>
        <v/>
      </c>
      <c r="E775" s="768" t="str">
        <f>S775</f>
        <v/>
      </c>
      <c r="F775" s="413"/>
      <c r="G775" s="762" t="str">
        <f ca="1">IF(OR(INDIRECT("'update Helper'!E"&amp;U775)="",F775&lt;&gt;0,F776&lt;&gt;0),IF(IFERROR((F775/F776),"")="","",(F775/F776)),INDIRECT("'update Helper'!E"&amp;U775)/100)</f>
        <v/>
      </c>
      <c r="H775" s="743"/>
      <c r="I775" s="764"/>
      <c r="J775" s="729"/>
      <c r="K775" s="760" t="str">
        <f>W775</f>
        <v>MDR TB-3⁽ᴹ⁾ Number of cases with RR-TB and/or MDR-TB that began second-line treatment</v>
      </c>
      <c r="L775" s="760" t="str">
        <f>V775</f>
        <v/>
      </c>
      <c r="M775" s="729"/>
      <c r="N775" s="729"/>
      <c r="P775" s="194">
        <f>IF(AND(EXACT(C775,C773),C773&lt;&gt;0),P773+1,0)</f>
        <v>17</v>
      </c>
      <c r="Q775" s="194" t="str">
        <f>IF(C775&lt;&gt;"",C775&amp;"-"&amp;P775,"")</f>
        <v>MDR TB-3⁽ᴹ⁾ Número de casos de tuberculosis resistente a la rifampicina y/o multirresistente que empezaron a recibir tratamiento de segunda línea.-17</v>
      </c>
      <c r="R775" s="194" t="str">
        <f t="array" ref="R775">IFERROR(IF(INDEX('Disaggregation Records'!$E$155:$E$385,MATCH(RIGHT(Q775,255),RIGHT('Disaggregation Records'!$D$155:$D$385,255),0))="","",INDEX('Disaggregation Records'!$E$155:$E$385,MATCH(RIGHT(Q775,255),RIGHT('Disaggregation Records'!$D$155:$D$385,255),0))),"")</f>
        <v/>
      </c>
      <c r="S775" s="194" t="str">
        <f t="array" ref="S775">IFERROR(IF(INDEX('Disaggregation Records'!$F$155:$F$385,MATCH(RIGHT(Q775,255),RIGHT('Disaggregation Records'!$D$155:$D$385,255),0))="","",INDEX('Disaggregation Records'!$F$155:$F$385,MATCH(RIGHT(Q775,255),RIGHT('Disaggregation Records'!$D$155:$D$385,255),0))),"")</f>
        <v/>
      </c>
      <c r="T775" s="194" t="str">
        <f t="array" ref="T775">IFERROR(IF(INDEX('Disaggregation Records'!$H$155:$H$385,MATCH(RIGHT(Q775,255),RIGHT('Disaggregation Records'!$D$155:$D$385,255),0))="","",INDEX('Disaggregation Records'!$H$155:$H$385,MATCH(RIGHT(Q775,255),RIGHT('Disaggregation Records'!$D$155:$D$385,255),0))),"")</f>
        <v/>
      </c>
      <c r="U775" s="194">
        <f>U773+1</f>
        <v>2577</v>
      </c>
      <c r="V775" s="194" t="str">
        <f t="array" ref="V775">IFERROR(IF(INDEX('Disaggregation Records'!$I$155:$I$385,MATCH(RIGHT(Q775,255),RIGHT('Disaggregation Records'!$D$155:$D$385,255),0))="","",INDEX('Disaggregation Records'!$I$155:$I$385,MATCH(RIGHT(Q775,255),RIGHT('Disaggregation Records'!$D$155:$D$385,255),0))),"")</f>
        <v/>
      </c>
      <c r="W775" s="194" t="str">
        <f>IFERROR(INDEX('Reference Records'!L$77:L$157,MATCH(LEFT(C775,255),'Reference Records'!E$77:E$157,0)),"")</f>
        <v>MDR TB-3⁽ᴹ⁾ Number of cases with RR-TB and/or MDR-TB that began second-line treatment</v>
      </c>
    </row>
    <row r="776" spans="1:23" s="194" customFormat="1" ht="40.4" customHeight="1" x14ac:dyDescent="0.35">
      <c r="A776" s="770"/>
      <c r="B776" s="767"/>
      <c r="C776" s="761"/>
      <c r="D776" s="769"/>
      <c r="E776" s="769"/>
      <c r="F776" s="208"/>
      <c r="G776" s="763"/>
      <c r="H776" s="744"/>
      <c r="I776" s="765"/>
      <c r="J776" s="730"/>
      <c r="K776" s="761"/>
      <c r="L776" s="761"/>
      <c r="M776" s="730"/>
      <c r="N776" s="730"/>
    </row>
    <row r="777" spans="1:23" s="194" customFormat="1" ht="40.4" customHeight="1" x14ac:dyDescent="0.35">
      <c r="A777" s="770" t="str">
        <f ca="1">INDIRECT("'update Helper'!C"&amp;U777)</f>
        <v>a163p000004NtVsAAK</v>
      </c>
      <c r="B777" s="766">
        <v>4</v>
      </c>
      <c r="C777" s="760" t="str">
        <f>VLOOKUP(B777,'Coverage Indicators - Section D'!$A$9:$AU$70,47,FALSE)</f>
        <v>MDR TB-3⁽ᴹ⁾ Número de casos de tuberculosis resistente a la rifampicina y/o multirresistente que empezaron a recibir tratamiento de segunda línea.</v>
      </c>
      <c r="D777" s="768" t="str">
        <f>R777</f>
        <v/>
      </c>
      <c r="E777" s="768" t="str">
        <f>S777</f>
        <v/>
      </c>
      <c r="F777" s="413"/>
      <c r="G777" s="762" t="str">
        <f ca="1">IF(OR(INDIRECT("'update Helper'!E"&amp;U777)="",F777&lt;&gt;0,F778&lt;&gt;0),IF(IFERROR((F777/F778),"")="","",(F777/F778)),INDIRECT("'update Helper'!E"&amp;U777)/100)</f>
        <v/>
      </c>
      <c r="H777" s="743"/>
      <c r="I777" s="764"/>
      <c r="J777" s="729"/>
      <c r="K777" s="760" t="str">
        <f>W777</f>
        <v>MDR TB-3⁽ᴹ⁾ Number of cases with RR-TB and/or MDR-TB that began second-line treatment</v>
      </c>
      <c r="L777" s="760" t="str">
        <f>V777</f>
        <v/>
      </c>
      <c r="M777" s="729"/>
      <c r="N777" s="729"/>
      <c r="P777" s="194">
        <f>IF(AND(EXACT(C777,C775),C775&lt;&gt;0),P775+1,0)</f>
        <v>18</v>
      </c>
      <c r="Q777" s="194" t="str">
        <f>IF(C777&lt;&gt;"",C777&amp;"-"&amp;P777,"")</f>
        <v>MDR TB-3⁽ᴹ⁾ Número de casos de tuberculosis resistente a la rifampicina y/o multirresistente que empezaron a recibir tratamiento de segunda línea.-18</v>
      </c>
      <c r="R777" s="194" t="str">
        <f t="array" ref="R777">IFERROR(IF(INDEX('Disaggregation Records'!$E$155:$E$385,MATCH(RIGHT(Q777,255),RIGHT('Disaggregation Records'!$D$155:$D$385,255),0))="","",INDEX('Disaggregation Records'!$E$155:$E$385,MATCH(RIGHT(Q777,255),RIGHT('Disaggregation Records'!$D$155:$D$385,255),0))),"")</f>
        <v/>
      </c>
      <c r="S777" s="194" t="str">
        <f t="array" ref="S777">IFERROR(IF(INDEX('Disaggregation Records'!$F$155:$F$385,MATCH(RIGHT(Q777,255),RIGHT('Disaggregation Records'!$D$155:$D$385,255),0))="","",INDEX('Disaggregation Records'!$F$155:$F$385,MATCH(RIGHT(Q777,255),RIGHT('Disaggregation Records'!$D$155:$D$385,255),0))),"")</f>
        <v/>
      </c>
      <c r="T777" s="194" t="str">
        <f t="array" ref="T777">IFERROR(IF(INDEX('Disaggregation Records'!$H$155:$H$385,MATCH(RIGHT(Q777,255),RIGHT('Disaggregation Records'!$D$155:$D$385,255),0))="","",INDEX('Disaggregation Records'!$H$155:$H$385,MATCH(RIGHT(Q777,255),RIGHT('Disaggregation Records'!$D$155:$D$385,255),0))),"")</f>
        <v/>
      </c>
      <c r="U777" s="194">
        <f>U775+1</f>
        <v>2578</v>
      </c>
      <c r="V777" s="194" t="str">
        <f t="array" ref="V777">IFERROR(IF(INDEX('Disaggregation Records'!$I$155:$I$385,MATCH(RIGHT(Q777,255),RIGHT('Disaggregation Records'!$D$155:$D$385,255),0))="","",INDEX('Disaggregation Records'!$I$155:$I$385,MATCH(RIGHT(Q777,255),RIGHT('Disaggregation Records'!$D$155:$D$385,255),0))),"")</f>
        <v/>
      </c>
      <c r="W777" s="194" t="str">
        <f>IFERROR(INDEX('Reference Records'!L$77:L$157,MATCH(LEFT(C777,255),'Reference Records'!E$77:E$157,0)),"")</f>
        <v>MDR TB-3⁽ᴹ⁾ Number of cases with RR-TB and/or MDR-TB that began second-line treatment</v>
      </c>
    </row>
    <row r="778" spans="1:23" s="194" customFormat="1" ht="40.4" customHeight="1" x14ac:dyDescent="0.35">
      <c r="A778" s="770"/>
      <c r="B778" s="767"/>
      <c r="C778" s="761"/>
      <c r="D778" s="769"/>
      <c r="E778" s="769"/>
      <c r="F778" s="208"/>
      <c r="G778" s="763"/>
      <c r="H778" s="744"/>
      <c r="I778" s="765"/>
      <c r="J778" s="730"/>
      <c r="K778" s="761"/>
      <c r="L778" s="761"/>
      <c r="M778" s="730"/>
      <c r="N778" s="730"/>
    </row>
    <row r="779" spans="1:23" s="194" customFormat="1" ht="40.4" customHeight="1" x14ac:dyDescent="0.35">
      <c r="A779" s="770" t="str">
        <f ca="1">INDIRECT("'update Helper'!C"&amp;U779)</f>
        <v>a163p000004NtVtAAK</v>
      </c>
      <c r="B779" s="766">
        <v>4</v>
      </c>
      <c r="C779" s="760" t="str">
        <f>VLOOKUP(B779,'Coverage Indicators - Section D'!$A$9:$AU$70,47,FALSE)</f>
        <v>MDR TB-3⁽ᴹ⁾ Número de casos de tuberculosis resistente a la rifampicina y/o multirresistente que empezaron a recibir tratamiento de segunda línea.</v>
      </c>
      <c r="D779" s="768" t="str">
        <f>R779</f>
        <v/>
      </c>
      <c r="E779" s="768" t="str">
        <f>S779</f>
        <v/>
      </c>
      <c r="F779" s="413"/>
      <c r="G779" s="762" t="str">
        <f ca="1">IF(OR(INDIRECT("'update Helper'!E"&amp;U779)="",F779&lt;&gt;0,F780&lt;&gt;0),IF(IFERROR((F779/F780),"")="","",(F779/F780)),INDIRECT("'update Helper'!E"&amp;U779)/100)</f>
        <v/>
      </c>
      <c r="H779" s="743"/>
      <c r="I779" s="764"/>
      <c r="J779" s="729"/>
      <c r="K779" s="760" t="str">
        <f>W779</f>
        <v>MDR TB-3⁽ᴹ⁾ Number of cases with RR-TB and/or MDR-TB that began second-line treatment</v>
      </c>
      <c r="L779" s="760" t="str">
        <f>V779</f>
        <v/>
      </c>
      <c r="M779" s="729"/>
      <c r="N779" s="729"/>
      <c r="P779" s="194">
        <f>IF(AND(EXACT(C779,C777),C777&lt;&gt;0),P777+1,0)</f>
        <v>19</v>
      </c>
      <c r="Q779" s="194" t="str">
        <f>IF(C779&lt;&gt;"",C779&amp;"-"&amp;P779,"")</f>
        <v>MDR TB-3⁽ᴹ⁾ Número de casos de tuberculosis resistente a la rifampicina y/o multirresistente que empezaron a recibir tratamiento de segunda línea.-19</v>
      </c>
      <c r="R779" s="194" t="str">
        <f t="array" ref="R779">IFERROR(IF(INDEX('Disaggregation Records'!$E$155:$E$385,MATCH(RIGHT(Q779,255),RIGHT('Disaggregation Records'!$D$155:$D$385,255),0))="","",INDEX('Disaggregation Records'!$E$155:$E$385,MATCH(RIGHT(Q779,255),RIGHT('Disaggregation Records'!$D$155:$D$385,255),0))),"")</f>
        <v/>
      </c>
      <c r="S779" s="194" t="str">
        <f t="array" ref="S779">IFERROR(IF(INDEX('Disaggregation Records'!$F$155:$F$385,MATCH(RIGHT(Q779,255),RIGHT('Disaggregation Records'!$D$155:$D$385,255),0))="","",INDEX('Disaggregation Records'!$F$155:$F$385,MATCH(RIGHT(Q779,255),RIGHT('Disaggregation Records'!$D$155:$D$385,255),0))),"")</f>
        <v/>
      </c>
      <c r="T779" s="194" t="str">
        <f t="array" ref="T779">IFERROR(IF(INDEX('Disaggregation Records'!$H$155:$H$385,MATCH(RIGHT(Q779,255),RIGHT('Disaggregation Records'!$D$155:$D$385,255),0))="","",INDEX('Disaggregation Records'!$H$155:$H$385,MATCH(RIGHT(Q779,255),RIGHT('Disaggregation Records'!$D$155:$D$385,255),0))),"")</f>
        <v/>
      </c>
      <c r="U779" s="194">
        <f>U777+1</f>
        <v>2579</v>
      </c>
      <c r="V779" s="194" t="str">
        <f t="array" ref="V779">IFERROR(IF(INDEX('Disaggregation Records'!$I$155:$I$385,MATCH(RIGHT(Q779,255),RIGHT('Disaggregation Records'!$D$155:$D$385,255),0))="","",INDEX('Disaggregation Records'!$I$155:$I$385,MATCH(RIGHT(Q779,255),RIGHT('Disaggregation Records'!$D$155:$D$385,255),0))),"")</f>
        <v/>
      </c>
      <c r="W779" s="194" t="str">
        <f>IFERROR(INDEX('Reference Records'!L$77:L$157,MATCH(LEFT(C779,255),'Reference Records'!E$77:E$157,0)),"")</f>
        <v>MDR TB-3⁽ᴹ⁾ Number of cases with RR-TB and/or MDR-TB that began second-line treatment</v>
      </c>
    </row>
    <row r="780" spans="1:23" s="194" customFormat="1" ht="40.4" customHeight="1" x14ac:dyDescent="0.35">
      <c r="A780" s="770"/>
      <c r="B780" s="767"/>
      <c r="C780" s="761"/>
      <c r="D780" s="769"/>
      <c r="E780" s="769"/>
      <c r="F780" s="208"/>
      <c r="G780" s="763"/>
      <c r="H780" s="744"/>
      <c r="I780" s="765"/>
      <c r="J780" s="730"/>
      <c r="K780" s="761"/>
      <c r="L780" s="761"/>
      <c r="M780" s="730"/>
      <c r="N780" s="730"/>
    </row>
    <row r="781" spans="1:23" s="194" customFormat="1" ht="40.4" customHeight="1" x14ac:dyDescent="0.35">
      <c r="A781" s="770" t="str">
        <f ca="1">INDIRECT("'update Helper'!C"&amp;U781)</f>
        <v>a163p000004NtMEAA0</v>
      </c>
      <c r="B781" s="766">
        <v>5</v>
      </c>
      <c r="C781" s="760" t="str">
        <f>VLOOKUP(B781,'Coverage Indicators - Section D'!$A$9:$AU$70,47,FALSE)</f>
        <v>HTS-Other 3 Porcentaje de resultados de VIH positivos entre el total de pruebas de VIH realizadas en trabajadoras sexuales</v>
      </c>
      <c r="D781" s="768" t="str">
        <f>R781</f>
        <v/>
      </c>
      <c r="E781" s="768" t="str">
        <f>S781</f>
        <v/>
      </c>
      <c r="F781" s="413"/>
      <c r="G781" s="762" t="str">
        <f ca="1">IF(OR(INDIRECT("'update Helper'!E"&amp;U781)="",F781&lt;&gt;0,F782&lt;&gt;0),IF(IFERROR((F781/F782),"")="","",(F781/F782)),INDIRECT("'update Helper'!E"&amp;U781)/100)</f>
        <v/>
      </c>
      <c r="H781" s="743"/>
      <c r="I781" s="764"/>
      <c r="J781" s="729"/>
      <c r="K781" s="760" t="str">
        <f>W781</f>
        <v/>
      </c>
      <c r="L781" s="760" t="str">
        <f>V781</f>
        <v/>
      </c>
      <c r="M781" s="729"/>
      <c r="N781" s="729"/>
      <c r="P781" s="194">
        <f>IF(AND(EXACT(C781,C779),C779&lt;&gt;0),P779+1,0)</f>
        <v>0</v>
      </c>
      <c r="Q781" s="194" t="str">
        <f>IF(C781&lt;&gt;"",C781&amp;"-"&amp;P781,"")</f>
        <v>HTS-Other 3 Porcentaje de resultados de VIH positivos entre el total de pruebas de VIH realizadas en trabajadoras sexuales-0</v>
      </c>
      <c r="R781" s="194" t="str">
        <f t="array" ref="R781">IFERROR(IF(INDEX('Disaggregation Records'!$E$155:$E$385,MATCH(RIGHT(Q781,255),RIGHT('Disaggregation Records'!$D$155:$D$385,255),0))="","",INDEX('Disaggregation Records'!$E$155:$E$385,MATCH(RIGHT(Q781,255),RIGHT('Disaggregation Records'!$D$155:$D$385,255),0))),"")</f>
        <v/>
      </c>
      <c r="S781" s="194" t="str">
        <f t="array" ref="S781">IFERROR(IF(INDEX('Disaggregation Records'!$F$155:$F$385,MATCH(RIGHT(Q781,255),RIGHT('Disaggregation Records'!$D$155:$D$385,255),0))="","",INDEX('Disaggregation Records'!$F$155:$F$385,MATCH(RIGHT(Q781,255),RIGHT('Disaggregation Records'!$D$155:$D$385,255),0))),"")</f>
        <v/>
      </c>
      <c r="T781" s="194" t="str">
        <f t="array" ref="T781">IFERROR(IF(INDEX('Disaggregation Records'!$H$155:$H$385,MATCH(RIGHT(Q781,255),RIGHT('Disaggregation Records'!$D$155:$D$385,255),0))="","",INDEX('Disaggregation Records'!$H$155:$H$385,MATCH(RIGHT(Q781,255),RIGHT('Disaggregation Records'!$D$155:$D$385,255),0))),"")</f>
        <v/>
      </c>
      <c r="U781" s="194">
        <f>U779+1</f>
        <v>2580</v>
      </c>
      <c r="V781" s="194" t="str">
        <f t="array" ref="V781">IFERROR(IF(INDEX('Disaggregation Records'!$I$155:$I$385,MATCH(RIGHT(Q781,255),RIGHT('Disaggregation Records'!$D$155:$D$385,255),0))="","",INDEX('Disaggregation Records'!$I$155:$I$385,MATCH(RIGHT(Q781,255),RIGHT('Disaggregation Records'!$D$155:$D$385,255),0))),"")</f>
        <v/>
      </c>
      <c r="W781" s="194" t="str">
        <f>IFERROR(INDEX('Reference Records'!L$77:L$157,MATCH(LEFT(C781,255),'Reference Records'!E$77:E$157,0)),"")</f>
        <v/>
      </c>
    </row>
    <row r="782" spans="1:23" s="194" customFormat="1" ht="40.4" customHeight="1" x14ac:dyDescent="0.35">
      <c r="A782" s="770"/>
      <c r="B782" s="767"/>
      <c r="C782" s="761"/>
      <c r="D782" s="769"/>
      <c r="E782" s="769"/>
      <c r="F782" s="208"/>
      <c r="G782" s="763"/>
      <c r="H782" s="744"/>
      <c r="I782" s="765"/>
      <c r="J782" s="730"/>
      <c r="K782" s="761"/>
      <c r="L782" s="761"/>
      <c r="M782" s="730"/>
      <c r="N782" s="730"/>
    </row>
    <row r="783" spans="1:23" s="194" customFormat="1" ht="40.4" customHeight="1" x14ac:dyDescent="0.35">
      <c r="A783" s="770" t="str">
        <f ca="1">INDIRECT("'update Helper'!C"&amp;U783)</f>
        <v>a163p000004NtMFAA0</v>
      </c>
      <c r="B783" s="766">
        <v>5</v>
      </c>
      <c r="C783" s="760" t="str">
        <f>VLOOKUP(B783,'Coverage Indicators - Section D'!$A$9:$AU$70,47,FALSE)</f>
        <v>HTS-Other 3 Porcentaje de resultados de VIH positivos entre el total de pruebas de VIH realizadas en trabajadoras sexuales</v>
      </c>
      <c r="D783" s="768" t="str">
        <f>R783</f>
        <v/>
      </c>
      <c r="E783" s="768" t="str">
        <f>S783</f>
        <v/>
      </c>
      <c r="F783" s="413"/>
      <c r="G783" s="762" t="str">
        <f ca="1">IF(OR(INDIRECT("'update Helper'!E"&amp;U783)="",F783&lt;&gt;0,F784&lt;&gt;0),IF(IFERROR((F783/F784),"")="","",(F783/F784)),INDIRECT("'update Helper'!E"&amp;U783)/100)</f>
        <v/>
      </c>
      <c r="H783" s="743"/>
      <c r="I783" s="764"/>
      <c r="J783" s="729"/>
      <c r="K783" s="760" t="str">
        <f>W783</f>
        <v/>
      </c>
      <c r="L783" s="760" t="str">
        <f>V783</f>
        <v/>
      </c>
      <c r="M783" s="729"/>
      <c r="N783" s="729"/>
      <c r="P783" s="194">
        <f>IF(AND(EXACT(C783,C781),C781&lt;&gt;0),P781+1,0)</f>
        <v>1</v>
      </c>
      <c r="Q783" s="194" t="str">
        <f>IF(C783&lt;&gt;"",C783&amp;"-"&amp;P783,"")</f>
        <v>HTS-Other 3 Porcentaje de resultados de VIH positivos entre el total de pruebas de VIH realizadas en trabajadoras sexuales-1</v>
      </c>
      <c r="R783" s="194" t="str">
        <f t="array" ref="R783">IFERROR(IF(INDEX('Disaggregation Records'!$E$155:$E$385,MATCH(RIGHT(Q783,255),RIGHT('Disaggregation Records'!$D$155:$D$385,255),0))="","",INDEX('Disaggregation Records'!$E$155:$E$385,MATCH(RIGHT(Q783,255),RIGHT('Disaggregation Records'!$D$155:$D$385,255),0))),"")</f>
        <v/>
      </c>
      <c r="S783" s="194" t="str">
        <f t="array" ref="S783">IFERROR(IF(INDEX('Disaggregation Records'!$F$155:$F$385,MATCH(RIGHT(Q783,255),RIGHT('Disaggregation Records'!$D$155:$D$385,255),0))="","",INDEX('Disaggregation Records'!$F$155:$F$385,MATCH(RIGHT(Q783,255),RIGHT('Disaggregation Records'!$D$155:$D$385,255),0))),"")</f>
        <v/>
      </c>
      <c r="T783" s="194" t="str">
        <f t="array" ref="T783">IFERROR(IF(INDEX('Disaggregation Records'!$H$155:$H$385,MATCH(RIGHT(Q783,255),RIGHT('Disaggregation Records'!$D$155:$D$385,255),0))="","",INDEX('Disaggregation Records'!$H$155:$H$385,MATCH(RIGHT(Q783,255),RIGHT('Disaggregation Records'!$D$155:$D$385,255),0))),"")</f>
        <v/>
      </c>
      <c r="U783" s="194">
        <f>U781+1</f>
        <v>2581</v>
      </c>
      <c r="V783" s="194" t="str">
        <f t="array" ref="V783">IFERROR(IF(INDEX('Disaggregation Records'!$I$155:$I$385,MATCH(RIGHT(Q783,255),RIGHT('Disaggregation Records'!$D$155:$D$385,255),0))="","",INDEX('Disaggregation Records'!$I$155:$I$385,MATCH(RIGHT(Q783,255),RIGHT('Disaggregation Records'!$D$155:$D$385,255),0))),"")</f>
        <v/>
      </c>
      <c r="W783" s="194" t="str">
        <f>IFERROR(INDEX('Reference Records'!L$77:L$157,MATCH(LEFT(C783,255),'Reference Records'!E$77:E$157,0)),"")</f>
        <v/>
      </c>
    </row>
    <row r="784" spans="1:23" s="194" customFormat="1" ht="40.4" customHeight="1" x14ac:dyDescent="0.35">
      <c r="A784" s="770"/>
      <c r="B784" s="767"/>
      <c r="C784" s="761"/>
      <c r="D784" s="769"/>
      <c r="E784" s="769"/>
      <c r="F784" s="208"/>
      <c r="G784" s="763"/>
      <c r="H784" s="744"/>
      <c r="I784" s="765"/>
      <c r="J784" s="730"/>
      <c r="K784" s="761"/>
      <c r="L784" s="761"/>
      <c r="M784" s="730"/>
      <c r="N784" s="730"/>
    </row>
    <row r="785" spans="1:23" s="194" customFormat="1" ht="40.4" customHeight="1" x14ac:dyDescent="0.35">
      <c r="A785" s="770" t="str">
        <f ca="1">INDIRECT("'update Helper'!C"&amp;U785)</f>
        <v>a163p000004NtMGAA0</v>
      </c>
      <c r="B785" s="766">
        <v>5</v>
      </c>
      <c r="C785" s="760" t="str">
        <f>VLOOKUP(B785,'Coverage Indicators - Section D'!$A$9:$AU$70,47,FALSE)</f>
        <v>HTS-Other 3 Porcentaje de resultados de VIH positivos entre el total de pruebas de VIH realizadas en trabajadoras sexuales</v>
      </c>
      <c r="D785" s="768" t="str">
        <f>R785</f>
        <v/>
      </c>
      <c r="E785" s="768" t="str">
        <f>S785</f>
        <v/>
      </c>
      <c r="F785" s="413"/>
      <c r="G785" s="762" t="str">
        <f ca="1">IF(OR(INDIRECT("'update Helper'!E"&amp;U785)="",F785&lt;&gt;0,F786&lt;&gt;0),IF(IFERROR((F785/F786),"")="","",(F785/F786)),INDIRECT("'update Helper'!E"&amp;U785)/100)</f>
        <v/>
      </c>
      <c r="H785" s="743"/>
      <c r="I785" s="764"/>
      <c r="J785" s="729"/>
      <c r="K785" s="760" t="str">
        <f>W785</f>
        <v/>
      </c>
      <c r="L785" s="760" t="str">
        <f>V785</f>
        <v/>
      </c>
      <c r="M785" s="729"/>
      <c r="N785" s="729"/>
      <c r="P785" s="194">
        <f>IF(AND(EXACT(C785,C783),C783&lt;&gt;0),P783+1,0)</f>
        <v>2</v>
      </c>
      <c r="Q785" s="194" t="str">
        <f>IF(C785&lt;&gt;"",C785&amp;"-"&amp;P785,"")</f>
        <v>HTS-Other 3 Porcentaje de resultados de VIH positivos entre el total de pruebas de VIH realizadas en trabajadoras sexuales-2</v>
      </c>
      <c r="R785" s="194" t="str">
        <f t="array" ref="R785">IFERROR(IF(INDEX('Disaggregation Records'!$E$155:$E$385,MATCH(RIGHT(Q785,255),RIGHT('Disaggregation Records'!$D$155:$D$385,255),0))="","",INDEX('Disaggregation Records'!$E$155:$E$385,MATCH(RIGHT(Q785,255),RIGHT('Disaggregation Records'!$D$155:$D$385,255),0))),"")</f>
        <v/>
      </c>
      <c r="S785" s="194" t="str">
        <f t="array" ref="S785">IFERROR(IF(INDEX('Disaggregation Records'!$F$155:$F$385,MATCH(RIGHT(Q785,255),RIGHT('Disaggregation Records'!$D$155:$D$385,255),0))="","",INDEX('Disaggregation Records'!$F$155:$F$385,MATCH(RIGHT(Q785,255),RIGHT('Disaggregation Records'!$D$155:$D$385,255),0))),"")</f>
        <v/>
      </c>
      <c r="T785" s="194" t="str">
        <f t="array" ref="T785">IFERROR(IF(INDEX('Disaggregation Records'!$H$155:$H$385,MATCH(RIGHT(Q785,255),RIGHT('Disaggregation Records'!$D$155:$D$385,255),0))="","",INDEX('Disaggregation Records'!$H$155:$H$385,MATCH(RIGHT(Q785,255),RIGHT('Disaggregation Records'!$D$155:$D$385,255),0))),"")</f>
        <v/>
      </c>
      <c r="U785" s="194">
        <f>U783+1</f>
        <v>2582</v>
      </c>
      <c r="V785" s="194" t="str">
        <f t="array" ref="V785">IFERROR(IF(INDEX('Disaggregation Records'!$I$155:$I$385,MATCH(RIGHT(Q785,255),RIGHT('Disaggregation Records'!$D$155:$D$385,255),0))="","",INDEX('Disaggregation Records'!$I$155:$I$385,MATCH(RIGHT(Q785,255),RIGHT('Disaggregation Records'!$D$155:$D$385,255),0))),"")</f>
        <v/>
      </c>
      <c r="W785" s="194" t="str">
        <f>IFERROR(INDEX('Reference Records'!L$77:L$157,MATCH(LEFT(C785,255),'Reference Records'!E$77:E$157,0)),"")</f>
        <v/>
      </c>
    </row>
    <row r="786" spans="1:23" s="194" customFormat="1" ht="40.4" customHeight="1" x14ac:dyDescent="0.35">
      <c r="A786" s="770"/>
      <c r="B786" s="767"/>
      <c r="C786" s="761"/>
      <c r="D786" s="769"/>
      <c r="E786" s="769"/>
      <c r="F786" s="208"/>
      <c r="G786" s="763"/>
      <c r="H786" s="744"/>
      <c r="I786" s="765"/>
      <c r="J786" s="730"/>
      <c r="K786" s="761"/>
      <c r="L786" s="761"/>
      <c r="M786" s="730"/>
      <c r="N786" s="730"/>
    </row>
    <row r="787" spans="1:23" s="194" customFormat="1" ht="40.4" customHeight="1" x14ac:dyDescent="0.35">
      <c r="A787" s="770" t="str">
        <f ca="1">INDIRECT("'update Helper'!C"&amp;U787)</f>
        <v>a163p000004NtMHAA0</v>
      </c>
      <c r="B787" s="766">
        <v>5</v>
      </c>
      <c r="C787" s="760" t="str">
        <f>VLOOKUP(B787,'Coverage Indicators - Section D'!$A$9:$AU$70,47,FALSE)</f>
        <v>HTS-Other 3 Porcentaje de resultados de VIH positivos entre el total de pruebas de VIH realizadas en trabajadoras sexuales</v>
      </c>
      <c r="D787" s="768" t="str">
        <f>R787</f>
        <v/>
      </c>
      <c r="E787" s="768" t="str">
        <f>S787</f>
        <v/>
      </c>
      <c r="F787" s="413"/>
      <c r="G787" s="762" t="str">
        <f ca="1">IF(OR(INDIRECT("'update Helper'!E"&amp;U787)="",F787&lt;&gt;0,F788&lt;&gt;0),IF(IFERROR((F787/F788),"")="","",(F787/F788)),INDIRECT("'update Helper'!E"&amp;U787)/100)</f>
        <v/>
      </c>
      <c r="H787" s="743"/>
      <c r="I787" s="764"/>
      <c r="J787" s="729"/>
      <c r="K787" s="760" t="str">
        <f>W787</f>
        <v/>
      </c>
      <c r="L787" s="760" t="str">
        <f>V787</f>
        <v/>
      </c>
      <c r="M787" s="729"/>
      <c r="N787" s="729"/>
      <c r="P787" s="194">
        <f>IF(AND(EXACT(C787,C785),C785&lt;&gt;0),P785+1,0)</f>
        <v>3</v>
      </c>
      <c r="Q787" s="194" t="str">
        <f>IF(C787&lt;&gt;"",C787&amp;"-"&amp;P787,"")</f>
        <v>HTS-Other 3 Porcentaje de resultados de VIH positivos entre el total de pruebas de VIH realizadas en trabajadoras sexuales-3</v>
      </c>
      <c r="R787" s="194" t="str">
        <f t="array" ref="R787">IFERROR(IF(INDEX('Disaggregation Records'!$E$155:$E$385,MATCH(RIGHT(Q787,255),RIGHT('Disaggregation Records'!$D$155:$D$385,255),0))="","",INDEX('Disaggregation Records'!$E$155:$E$385,MATCH(RIGHT(Q787,255),RIGHT('Disaggregation Records'!$D$155:$D$385,255),0))),"")</f>
        <v/>
      </c>
      <c r="S787" s="194" t="str">
        <f t="array" ref="S787">IFERROR(IF(INDEX('Disaggregation Records'!$F$155:$F$385,MATCH(RIGHT(Q787,255),RIGHT('Disaggregation Records'!$D$155:$D$385,255),0))="","",INDEX('Disaggregation Records'!$F$155:$F$385,MATCH(RIGHT(Q787,255),RIGHT('Disaggregation Records'!$D$155:$D$385,255),0))),"")</f>
        <v/>
      </c>
      <c r="T787" s="194" t="str">
        <f t="array" ref="T787">IFERROR(IF(INDEX('Disaggregation Records'!$H$155:$H$385,MATCH(RIGHT(Q787,255),RIGHT('Disaggregation Records'!$D$155:$D$385,255),0))="","",INDEX('Disaggregation Records'!$H$155:$H$385,MATCH(RIGHT(Q787,255),RIGHT('Disaggregation Records'!$D$155:$D$385,255),0))),"")</f>
        <v/>
      </c>
      <c r="U787" s="194">
        <f>U785+1</f>
        <v>2583</v>
      </c>
      <c r="V787" s="194" t="str">
        <f t="array" ref="V787">IFERROR(IF(INDEX('Disaggregation Records'!$I$155:$I$385,MATCH(RIGHT(Q787,255),RIGHT('Disaggregation Records'!$D$155:$D$385,255),0))="","",INDEX('Disaggregation Records'!$I$155:$I$385,MATCH(RIGHT(Q787,255),RIGHT('Disaggregation Records'!$D$155:$D$385,255),0))),"")</f>
        <v/>
      </c>
      <c r="W787" s="194" t="str">
        <f>IFERROR(INDEX('Reference Records'!L$77:L$157,MATCH(LEFT(C787,255),'Reference Records'!E$77:E$157,0)),"")</f>
        <v/>
      </c>
    </row>
    <row r="788" spans="1:23" s="194" customFormat="1" ht="40.4" customHeight="1" x14ac:dyDescent="0.35">
      <c r="A788" s="770"/>
      <c r="B788" s="767"/>
      <c r="C788" s="761"/>
      <c r="D788" s="769"/>
      <c r="E788" s="769"/>
      <c r="F788" s="208"/>
      <c r="G788" s="763"/>
      <c r="H788" s="744"/>
      <c r="I788" s="765"/>
      <c r="J788" s="730"/>
      <c r="K788" s="761"/>
      <c r="L788" s="761"/>
      <c r="M788" s="730"/>
      <c r="N788" s="730"/>
    </row>
    <row r="789" spans="1:23" s="194" customFormat="1" ht="40.4" customHeight="1" x14ac:dyDescent="0.35">
      <c r="A789" s="770" t="str">
        <f ca="1">INDIRECT("'update Helper'!C"&amp;U789)</f>
        <v>a163p000004NtMIAA0</v>
      </c>
      <c r="B789" s="766">
        <v>5</v>
      </c>
      <c r="C789" s="760" t="str">
        <f>VLOOKUP(B789,'Coverage Indicators - Section D'!$A$9:$AU$70,47,FALSE)</f>
        <v>HTS-Other 3 Porcentaje de resultados de VIH positivos entre el total de pruebas de VIH realizadas en trabajadoras sexuales</v>
      </c>
      <c r="D789" s="768" t="str">
        <f>R789</f>
        <v/>
      </c>
      <c r="E789" s="768" t="str">
        <f>S789</f>
        <v/>
      </c>
      <c r="F789" s="413"/>
      <c r="G789" s="762" t="str">
        <f ca="1">IF(OR(INDIRECT("'update Helper'!E"&amp;U789)="",F789&lt;&gt;0,F790&lt;&gt;0),IF(IFERROR((F789/F790),"")="","",(F789/F790)),INDIRECT("'update Helper'!E"&amp;U789)/100)</f>
        <v/>
      </c>
      <c r="H789" s="743"/>
      <c r="I789" s="764"/>
      <c r="J789" s="729"/>
      <c r="K789" s="760" t="str">
        <f>W789</f>
        <v/>
      </c>
      <c r="L789" s="760" t="str">
        <f>V789</f>
        <v/>
      </c>
      <c r="M789" s="729"/>
      <c r="N789" s="729"/>
      <c r="P789" s="194">
        <f>IF(AND(EXACT(C789,C787),C787&lt;&gt;0),P787+1,0)</f>
        <v>4</v>
      </c>
      <c r="Q789" s="194" t="str">
        <f>IF(C789&lt;&gt;"",C789&amp;"-"&amp;P789,"")</f>
        <v>HTS-Other 3 Porcentaje de resultados de VIH positivos entre el total de pruebas de VIH realizadas en trabajadoras sexuales-4</v>
      </c>
      <c r="R789" s="194" t="str">
        <f t="array" ref="R789">IFERROR(IF(INDEX('Disaggregation Records'!$E$155:$E$385,MATCH(RIGHT(Q789,255),RIGHT('Disaggregation Records'!$D$155:$D$385,255),0))="","",INDEX('Disaggregation Records'!$E$155:$E$385,MATCH(RIGHT(Q789,255),RIGHT('Disaggregation Records'!$D$155:$D$385,255),0))),"")</f>
        <v/>
      </c>
      <c r="S789" s="194" t="str">
        <f t="array" ref="S789">IFERROR(IF(INDEX('Disaggregation Records'!$F$155:$F$385,MATCH(RIGHT(Q789,255),RIGHT('Disaggregation Records'!$D$155:$D$385,255),0))="","",INDEX('Disaggregation Records'!$F$155:$F$385,MATCH(RIGHT(Q789,255),RIGHT('Disaggregation Records'!$D$155:$D$385,255),0))),"")</f>
        <v/>
      </c>
      <c r="T789" s="194" t="str">
        <f t="array" ref="T789">IFERROR(IF(INDEX('Disaggregation Records'!$H$155:$H$385,MATCH(RIGHT(Q789,255),RIGHT('Disaggregation Records'!$D$155:$D$385,255),0))="","",INDEX('Disaggregation Records'!$H$155:$H$385,MATCH(RIGHT(Q789,255),RIGHT('Disaggregation Records'!$D$155:$D$385,255),0))),"")</f>
        <v/>
      </c>
      <c r="U789" s="194">
        <f>U787+1</f>
        <v>2584</v>
      </c>
      <c r="V789" s="194" t="str">
        <f t="array" ref="V789">IFERROR(IF(INDEX('Disaggregation Records'!$I$155:$I$385,MATCH(RIGHT(Q789,255),RIGHT('Disaggregation Records'!$D$155:$D$385,255),0))="","",INDEX('Disaggregation Records'!$I$155:$I$385,MATCH(RIGHT(Q789,255),RIGHT('Disaggregation Records'!$D$155:$D$385,255),0))),"")</f>
        <v/>
      </c>
      <c r="W789" s="194" t="str">
        <f>IFERROR(INDEX('Reference Records'!L$77:L$157,MATCH(LEFT(C789,255),'Reference Records'!E$77:E$157,0)),"")</f>
        <v/>
      </c>
    </row>
    <row r="790" spans="1:23" s="194" customFormat="1" ht="40.4" customHeight="1" x14ac:dyDescent="0.35">
      <c r="A790" s="770"/>
      <c r="B790" s="767"/>
      <c r="C790" s="761"/>
      <c r="D790" s="769"/>
      <c r="E790" s="769"/>
      <c r="F790" s="208"/>
      <c r="G790" s="763"/>
      <c r="H790" s="744"/>
      <c r="I790" s="765"/>
      <c r="J790" s="730"/>
      <c r="K790" s="761"/>
      <c r="L790" s="761"/>
      <c r="M790" s="730"/>
      <c r="N790" s="730"/>
    </row>
    <row r="791" spans="1:23" s="194" customFormat="1" ht="40.4" customHeight="1" x14ac:dyDescent="0.35">
      <c r="A791" s="770" t="str">
        <f ca="1">INDIRECT("'update Helper'!C"&amp;U791)</f>
        <v>a163p000004NtMJAA0</v>
      </c>
      <c r="B791" s="766">
        <v>5</v>
      </c>
      <c r="C791" s="760" t="str">
        <f>VLOOKUP(B791,'Coverage Indicators - Section D'!$A$9:$AU$70,47,FALSE)</f>
        <v>HTS-Other 3 Porcentaje de resultados de VIH positivos entre el total de pruebas de VIH realizadas en trabajadoras sexuales</v>
      </c>
      <c r="D791" s="768" t="str">
        <f>R791</f>
        <v/>
      </c>
      <c r="E791" s="768" t="str">
        <f>S791</f>
        <v/>
      </c>
      <c r="F791" s="413"/>
      <c r="G791" s="762" t="str">
        <f ca="1">IF(OR(INDIRECT("'update Helper'!E"&amp;U791)="",F791&lt;&gt;0,F792&lt;&gt;0),IF(IFERROR((F791/F792),"")="","",(F791/F792)),INDIRECT("'update Helper'!E"&amp;U791)/100)</f>
        <v/>
      </c>
      <c r="H791" s="743"/>
      <c r="I791" s="764"/>
      <c r="J791" s="729"/>
      <c r="K791" s="760" t="str">
        <f>W791</f>
        <v/>
      </c>
      <c r="L791" s="760" t="str">
        <f>V791</f>
        <v/>
      </c>
      <c r="M791" s="729"/>
      <c r="N791" s="729"/>
      <c r="P791" s="194">
        <f>IF(AND(EXACT(C791,C789),C789&lt;&gt;0),P789+1,0)</f>
        <v>5</v>
      </c>
      <c r="Q791" s="194" t="str">
        <f>IF(C791&lt;&gt;"",C791&amp;"-"&amp;P791,"")</f>
        <v>HTS-Other 3 Porcentaje de resultados de VIH positivos entre el total de pruebas de VIH realizadas en trabajadoras sexuales-5</v>
      </c>
      <c r="R791" s="194" t="str">
        <f t="array" ref="R791">IFERROR(IF(INDEX('Disaggregation Records'!$E$155:$E$385,MATCH(RIGHT(Q791,255),RIGHT('Disaggregation Records'!$D$155:$D$385,255),0))="","",INDEX('Disaggregation Records'!$E$155:$E$385,MATCH(RIGHT(Q791,255),RIGHT('Disaggregation Records'!$D$155:$D$385,255),0))),"")</f>
        <v/>
      </c>
      <c r="S791" s="194" t="str">
        <f t="array" ref="S791">IFERROR(IF(INDEX('Disaggregation Records'!$F$155:$F$385,MATCH(RIGHT(Q791,255),RIGHT('Disaggregation Records'!$D$155:$D$385,255),0))="","",INDEX('Disaggregation Records'!$F$155:$F$385,MATCH(RIGHT(Q791,255),RIGHT('Disaggregation Records'!$D$155:$D$385,255),0))),"")</f>
        <v/>
      </c>
      <c r="T791" s="194" t="str">
        <f t="array" ref="T791">IFERROR(IF(INDEX('Disaggregation Records'!$H$155:$H$385,MATCH(RIGHT(Q791,255),RIGHT('Disaggregation Records'!$D$155:$D$385,255),0))="","",INDEX('Disaggregation Records'!$H$155:$H$385,MATCH(RIGHT(Q791,255),RIGHT('Disaggregation Records'!$D$155:$D$385,255),0))),"")</f>
        <v/>
      </c>
      <c r="U791" s="194">
        <f>U789+1</f>
        <v>2585</v>
      </c>
      <c r="V791" s="194" t="str">
        <f t="array" ref="V791">IFERROR(IF(INDEX('Disaggregation Records'!$I$155:$I$385,MATCH(RIGHT(Q791,255),RIGHT('Disaggregation Records'!$D$155:$D$385,255),0))="","",INDEX('Disaggregation Records'!$I$155:$I$385,MATCH(RIGHT(Q791,255),RIGHT('Disaggregation Records'!$D$155:$D$385,255),0))),"")</f>
        <v/>
      </c>
      <c r="W791" s="194" t="str">
        <f>IFERROR(INDEX('Reference Records'!L$77:L$157,MATCH(LEFT(C791,255),'Reference Records'!E$77:E$157,0)),"")</f>
        <v/>
      </c>
    </row>
    <row r="792" spans="1:23" s="194" customFormat="1" ht="40.4" customHeight="1" x14ac:dyDescent="0.35">
      <c r="A792" s="770"/>
      <c r="B792" s="767"/>
      <c r="C792" s="761"/>
      <c r="D792" s="769"/>
      <c r="E792" s="769"/>
      <c r="F792" s="208"/>
      <c r="G792" s="763"/>
      <c r="H792" s="744"/>
      <c r="I792" s="765"/>
      <c r="J792" s="730"/>
      <c r="K792" s="761"/>
      <c r="L792" s="761"/>
      <c r="M792" s="730"/>
      <c r="N792" s="730"/>
    </row>
    <row r="793" spans="1:23" s="194" customFormat="1" ht="40.4" customHeight="1" x14ac:dyDescent="0.35">
      <c r="A793" s="770" t="str">
        <f ca="1">INDIRECT("'update Helper'!C"&amp;U793)</f>
        <v>a163p000004NtMKAA0</v>
      </c>
      <c r="B793" s="766">
        <v>5</v>
      </c>
      <c r="C793" s="760" t="str">
        <f>VLOOKUP(B793,'Coverage Indicators - Section D'!$A$9:$AU$70,47,FALSE)</f>
        <v>HTS-Other 3 Porcentaje de resultados de VIH positivos entre el total de pruebas de VIH realizadas en trabajadoras sexuales</v>
      </c>
      <c r="D793" s="768" t="str">
        <f>R793</f>
        <v/>
      </c>
      <c r="E793" s="768" t="str">
        <f>S793</f>
        <v/>
      </c>
      <c r="F793" s="413"/>
      <c r="G793" s="762" t="str">
        <f ca="1">IF(OR(INDIRECT("'update Helper'!E"&amp;U793)="",F793&lt;&gt;0,F794&lt;&gt;0),IF(IFERROR((F793/F794),"")="","",(F793/F794)),INDIRECT("'update Helper'!E"&amp;U793)/100)</f>
        <v/>
      </c>
      <c r="H793" s="743"/>
      <c r="I793" s="764"/>
      <c r="J793" s="729"/>
      <c r="K793" s="760" t="str">
        <f>W793</f>
        <v/>
      </c>
      <c r="L793" s="760" t="str">
        <f>V793</f>
        <v/>
      </c>
      <c r="M793" s="729"/>
      <c r="N793" s="729"/>
      <c r="P793" s="194">
        <f>IF(AND(EXACT(C793,C791),C791&lt;&gt;0),P791+1,0)</f>
        <v>6</v>
      </c>
      <c r="Q793" s="194" t="str">
        <f>IF(C793&lt;&gt;"",C793&amp;"-"&amp;P793,"")</f>
        <v>HTS-Other 3 Porcentaje de resultados de VIH positivos entre el total de pruebas de VIH realizadas en trabajadoras sexuales-6</v>
      </c>
      <c r="R793" s="194" t="str">
        <f t="array" ref="R793">IFERROR(IF(INDEX('Disaggregation Records'!$E$155:$E$385,MATCH(RIGHT(Q793,255),RIGHT('Disaggregation Records'!$D$155:$D$385,255),0))="","",INDEX('Disaggregation Records'!$E$155:$E$385,MATCH(RIGHT(Q793,255),RIGHT('Disaggregation Records'!$D$155:$D$385,255),0))),"")</f>
        <v/>
      </c>
      <c r="S793" s="194" t="str">
        <f t="array" ref="S793">IFERROR(IF(INDEX('Disaggregation Records'!$F$155:$F$385,MATCH(RIGHT(Q793,255),RIGHT('Disaggregation Records'!$D$155:$D$385,255),0))="","",INDEX('Disaggregation Records'!$F$155:$F$385,MATCH(RIGHT(Q793,255),RIGHT('Disaggregation Records'!$D$155:$D$385,255),0))),"")</f>
        <v/>
      </c>
      <c r="T793" s="194" t="str">
        <f t="array" ref="T793">IFERROR(IF(INDEX('Disaggregation Records'!$H$155:$H$385,MATCH(RIGHT(Q793,255),RIGHT('Disaggregation Records'!$D$155:$D$385,255),0))="","",INDEX('Disaggregation Records'!$H$155:$H$385,MATCH(RIGHT(Q793,255),RIGHT('Disaggregation Records'!$D$155:$D$385,255),0))),"")</f>
        <v/>
      </c>
      <c r="U793" s="194">
        <f>U791+1</f>
        <v>2586</v>
      </c>
      <c r="V793" s="194" t="str">
        <f t="array" ref="V793">IFERROR(IF(INDEX('Disaggregation Records'!$I$155:$I$385,MATCH(RIGHT(Q793,255),RIGHT('Disaggregation Records'!$D$155:$D$385,255),0))="","",INDEX('Disaggregation Records'!$I$155:$I$385,MATCH(RIGHT(Q793,255),RIGHT('Disaggregation Records'!$D$155:$D$385,255),0))),"")</f>
        <v/>
      </c>
      <c r="W793" s="194" t="str">
        <f>IFERROR(INDEX('Reference Records'!L$77:L$157,MATCH(LEFT(C793,255),'Reference Records'!E$77:E$157,0)),"")</f>
        <v/>
      </c>
    </row>
    <row r="794" spans="1:23" s="194" customFormat="1" ht="40.4" customHeight="1" x14ac:dyDescent="0.35">
      <c r="A794" s="770"/>
      <c r="B794" s="767"/>
      <c r="C794" s="761"/>
      <c r="D794" s="769"/>
      <c r="E794" s="769"/>
      <c r="F794" s="208"/>
      <c r="G794" s="763"/>
      <c r="H794" s="744"/>
      <c r="I794" s="765"/>
      <c r="J794" s="730"/>
      <c r="K794" s="761"/>
      <c r="L794" s="761"/>
      <c r="M794" s="730"/>
      <c r="N794" s="730"/>
    </row>
    <row r="795" spans="1:23" s="194" customFormat="1" ht="40.4" customHeight="1" x14ac:dyDescent="0.35">
      <c r="A795" s="770" t="str">
        <f ca="1">INDIRECT("'update Helper'!C"&amp;U795)</f>
        <v>a163p000004NtMLAA0</v>
      </c>
      <c r="B795" s="766">
        <v>5</v>
      </c>
      <c r="C795" s="760" t="str">
        <f>VLOOKUP(B795,'Coverage Indicators - Section D'!$A$9:$AU$70,47,FALSE)</f>
        <v>HTS-Other 3 Porcentaje de resultados de VIH positivos entre el total de pruebas de VIH realizadas en trabajadoras sexuales</v>
      </c>
      <c r="D795" s="768" t="str">
        <f>R795</f>
        <v/>
      </c>
      <c r="E795" s="768" t="str">
        <f>S795</f>
        <v/>
      </c>
      <c r="F795" s="413"/>
      <c r="G795" s="762" t="str">
        <f ca="1">IF(OR(INDIRECT("'update Helper'!E"&amp;U795)="",F795&lt;&gt;0,F796&lt;&gt;0),IF(IFERROR((F795/F796),"")="","",(F795/F796)),INDIRECT("'update Helper'!E"&amp;U795)/100)</f>
        <v/>
      </c>
      <c r="H795" s="743"/>
      <c r="I795" s="764"/>
      <c r="J795" s="729"/>
      <c r="K795" s="760" t="str">
        <f>W795</f>
        <v/>
      </c>
      <c r="L795" s="760" t="str">
        <f>V795</f>
        <v/>
      </c>
      <c r="M795" s="729"/>
      <c r="N795" s="729"/>
      <c r="P795" s="194">
        <f>IF(AND(EXACT(C795,C793),C793&lt;&gt;0),P793+1,0)</f>
        <v>7</v>
      </c>
      <c r="Q795" s="194" t="str">
        <f>IF(C795&lt;&gt;"",C795&amp;"-"&amp;P795,"")</f>
        <v>HTS-Other 3 Porcentaje de resultados de VIH positivos entre el total de pruebas de VIH realizadas en trabajadoras sexuales-7</v>
      </c>
      <c r="R795" s="194" t="str">
        <f t="array" ref="R795">IFERROR(IF(INDEX('Disaggregation Records'!$E$155:$E$385,MATCH(RIGHT(Q795,255),RIGHT('Disaggregation Records'!$D$155:$D$385,255),0))="","",INDEX('Disaggregation Records'!$E$155:$E$385,MATCH(RIGHT(Q795,255),RIGHT('Disaggregation Records'!$D$155:$D$385,255),0))),"")</f>
        <v/>
      </c>
      <c r="S795" s="194" t="str">
        <f t="array" ref="S795">IFERROR(IF(INDEX('Disaggregation Records'!$F$155:$F$385,MATCH(RIGHT(Q795,255),RIGHT('Disaggregation Records'!$D$155:$D$385,255),0))="","",INDEX('Disaggregation Records'!$F$155:$F$385,MATCH(RIGHT(Q795,255),RIGHT('Disaggregation Records'!$D$155:$D$385,255),0))),"")</f>
        <v/>
      </c>
      <c r="T795" s="194" t="str">
        <f t="array" ref="T795">IFERROR(IF(INDEX('Disaggregation Records'!$H$155:$H$385,MATCH(RIGHT(Q795,255),RIGHT('Disaggregation Records'!$D$155:$D$385,255),0))="","",INDEX('Disaggregation Records'!$H$155:$H$385,MATCH(RIGHT(Q795,255),RIGHT('Disaggregation Records'!$D$155:$D$385,255),0))),"")</f>
        <v/>
      </c>
      <c r="U795" s="194">
        <f>U793+1</f>
        <v>2587</v>
      </c>
      <c r="V795" s="194" t="str">
        <f t="array" ref="V795">IFERROR(IF(INDEX('Disaggregation Records'!$I$155:$I$385,MATCH(RIGHT(Q795,255),RIGHT('Disaggregation Records'!$D$155:$D$385,255),0))="","",INDEX('Disaggregation Records'!$I$155:$I$385,MATCH(RIGHT(Q795,255),RIGHT('Disaggregation Records'!$D$155:$D$385,255),0))),"")</f>
        <v/>
      </c>
      <c r="W795" s="194" t="str">
        <f>IFERROR(INDEX('Reference Records'!L$77:L$157,MATCH(LEFT(C795,255),'Reference Records'!E$77:E$157,0)),"")</f>
        <v/>
      </c>
    </row>
    <row r="796" spans="1:23" s="194" customFormat="1" ht="40.4" customHeight="1" x14ac:dyDescent="0.35">
      <c r="A796" s="770"/>
      <c r="B796" s="767"/>
      <c r="C796" s="761"/>
      <c r="D796" s="769"/>
      <c r="E796" s="769"/>
      <c r="F796" s="208"/>
      <c r="G796" s="763"/>
      <c r="H796" s="744"/>
      <c r="I796" s="765"/>
      <c r="J796" s="730"/>
      <c r="K796" s="761"/>
      <c r="L796" s="761"/>
      <c r="M796" s="730"/>
      <c r="N796" s="730"/>
    </row>
    <row r="797" spans="1:23" s="194" customFormat="1" ht="40.4" customHeight="1" x14ac:dyDescent="0.35">
      <c r="A797" s="770" t="str">
        <f ca="1">INDIRECT("'update Helper'!C"&amp;U797)</f>
        <v>a163p000004NtMMAA0</v>
      </c>
      <c r="B797" s="766">
        <v>5</v>
      </c>
      <c r="C797" s="760" t="str">
        <f>VLOOKUP(B797,'Coverage Indicators - Section D'!$A$9:$AU$70,47,FALSE)</f>
        <v>HTS-Other 3 Porcentaje de resultados de VIH positivos entre el total de pruebas de VIH realizadas en trabajadoras sexuales</v>
      </c>
      <c r="D797" s="768" t="str">
        <f>R797</f>
        <v/>
      </c>
      <c r="E797" s="768" t="str">
        <f>S797</f>
        <v/>
      </c>
      <c r="F797" s="413"/>
      <c r="G797" s="762" t="str">
        <f ca="1">IF(OR(INDIRECT("'update Helper'!E"&amp;U797)="",F797&lt;&gt;0,F798&lt;&gt;0),IF(IFERROR((F797/F798),"")="","",(F797/F798)),INDIRECT("'update Helper'!E"&amp;U797)/100)</f>
        <v/>
      </c>
      <c r="H797" s="743"/>
      <c r="I797" s="764"/>
      <c r="J797" s="729"/>
      <c r="K797" s="760" t="str">
        <f>W797</f>
        <v/>
      </c>
      <c r="L797" s="760" t="str">
        <f>V797</f>
        <v/>
      </c>
      <c r="M797" s="729"/>
      <c r="N797" s="729"/>
      <c r="P797" s="194">
        <f>IF(AND(EXACT(C797,C795),C795&lt;&gt;0),P795+1,0)</f>
        <v>8</v>
      </c>
      <c r="Q797" s="194" t="str">
        <f>IF(C797&lt;&gt;"",C797&amp;"-"&amp;P797,"")</f>
        <v>HTS-Other 3 Porcentaje de resultados de VIH positivos entre el total de pruebas de VIH realizadas en trabajadoras sexuales-8</v>
      </c>
      <c r="R797" s="194" t="str">
        <f t="array" ref="R797">IFERROR(IF(INDEX('Disaggregation Records'!$E$155:$E$385,MATCH(RIGHT(Q797,255),RIGHT('Disaggregation Records'!$D$155:$D$385,255),0))="","",INDEX('Disaggregation Records'!$E$155:$E$385,MATCH(RIGHT(Q797,255),RIGHT('Disaggregation Records'!$D$155:$D$385,255),0))),"")</f>
        <v/>
      </c>
      <c r="S797" s="194" t="str">
        <f t="array" ref="S797">IFERROR(IF(INDEX('Disaggregation Records'!$F$155:$F$385,MATCH(RIGHT(Q797,255),RIGHT('Disaggregation Records'!$D$155:$D$385,255),0))="","",INDEX('Disaggregation Records'!$F$155:$F$385,MATCH(RIGHT(Q797,255),RIGHT('Disaggregation Records'!$D$155:$D$385,255),0))),"")</f>
        <v/>
      </c>
      <c r="T797" s="194" t="str">
        <f t="array" ref="T797">IFERROR(IF(INDEX('Disaggregation Records'!$H$155:$H$385,MATCH(RIGHT(Q797,255),RIGHT('Disaggregation Records'!$D$155:$D$385,255),0))="","",INDEX('Disaggregation Records'!$H$155:$H$385,MATCH(RIGHT(Q797,255),RIGHT('Disaggregation Records'!$D$155:$D$385,255),0))),"")</f>
        <v/>
      </c>
      <c r="U797" s="194">
        <f>U795+1</f>
        <v>2588</v>
      </c>
      <c r="V797" s="194" t="str">
        <f t="array" ref="V797">IFERROR(IF(INDEX('Disaggregation Records'!$I$155:$I$385,MATCH(RIGHT(Q797,255),RIGHT('Disaggregation Records'!$D$155:$D$385,255),0))="","",INDEX('Disaggregation Records'!$I$155:$I$385,MATCH(RIGHT(Q797,255),RIGHT('Disaggregation Records'!$D$155:$D$385,255),0))),"")</f>
        <v/>
      </c>
      <c r="W797" s="194" t="str">
        <f>IFERROR(INDEX('Reference Records'!L$77:L$157,MATCH(LEFT(C797,255),'Reference Records'!E$77:E$157,0)),"")</f>
        <v/>
      </c>
    </row>
    <row r="798" spans="1:23" s="194" customFormat="1" ht="40.4" customHeight="1" x14ac:dyDescent="0.35">
      <c r="A798" s="770"/>
      <c r="B798" s="767"/>
      <c r="C798" s="761"/>
      <c r="D798" s="769"/>
      <c r="E798" s="769"/>
      <c r="F798" s="208"/>
      <c r="G798" s="763"/>
      <c r="H798" s="744"/>
      <c r="I798" s="765"/>
      <c r="J798" s="730"/>
      <c r="K798" s="761"/>
      <c r="L798" s="761"/>
      <c r="M798" s="730"/>
      <c r="N798" s="730"/>
    </row>
    <row r="799" spans="1:23" s="194" customFormat="1" ht="40.4" customHeight="1" x14ac:dyDescent="0.35">
      <c r="A799" s="770" t="str">
        <f ca="1">INDIRECT("'update Helper'!C"&amp;U799)</f>
        <v>a163p000004NtMNAA0</v>
      </c>
      <c r="B799" s="766">
        <v>5</v>
      </c>
      <c r="C799" s="760" t="str">
        <f>VLOOKUP(B799,'Coverage Indicators - Section D'!$A$9:$AU$70,47,FALSE)</f>
        <v>HTS-Other 3 Porcentaje de resultados de VIH positivos entre el total de pruebas de VIH realizadas en trabajadoras sexuales</v>
      </c>
      <c r="D799" s="768" t="str">
        <f>R799</f>
        <v/>
      </c>
      <c r="E799" s="768" t="str">
        <f>S799</f>
        <v/>
      </c>
      <c r="F799" s="413"/>
      <c r="G799" s="762" t="str">
        <f ca="1">IF(OR(INDIRECT("'update Helper'!E"&amp;U799)="",F799&lt;&gt;0,F800&lt;&gt;0),IF(IFERROR((F799/F800),"")="","",(F799/F800)),INDIRECT("'update Helper'!E"&amp;U799)/100)</f>
        <v/>
      </c>
      <c r="H799" s="743"/>
      <c r="I799" s="764"/>
      <c r="J799" s="729"/>
      <c r="K799" s="760" t="str">
        <f>W799</f>
        <v/>
      </c>
      <c r="L799" s="760" t="str">
        <f>V799</f>
        <v/>
      </c>
      <c r="M799" s="729"/>
      <c r="N799" s="729"/>
      <c r="P799" s="194">
        <f>IF(AND(EXACT(C799,C797),C797&lt;&gt;0),P797+1,0)</f>
        <v>9</v>
      </c>
      <c r="Q799" s="194" t="str">
        <f>IF(C799&lt;&gt;"",C799&amp;"-"&amp;P799,"")</f>
        <v>HTS-Other 3 Porcentaje de resultados de VIH positivos entre el total de pruebas de VIH realizadas en trabajadoras sexuales-9</v>
      </c>
      <c r="R799" s="194" t="str">
        <f t="array" ref="R799">IFERROR(IF(INDEX('Disaggregation Records'!$E$155:$E$385,MATCH(RIGHT(Q799,255),RIGHT('Disaggregation Records'!$D$155:$D$385,255),0))="","",INDEX('Disaggregation Records'!$E$155:$E$385,MATCH(RIGHT(Q799,255),RIGHT('Disaggregation Records'!$D$155:$D$385,255),0))),"")</f>
        <v/>
      </c>
      <c r="S799" s="194" t="str">
        <f t="array" ref="S799">IFERROR(IF(INDEX('Disaggregation Records'!$F$155:$F$385,MATCH(RIGHT(Q799,255),RIGHT('Disaggregation Records'!$D$155:$D$385,255),0))="","",INDEX('Disaggregation Records'!$F$155:$F$385,MATCH(RIGHT(Q799,255),RIGHT('Disaggregation Records'!$D$155:$D$385,255),0))),"")</f>
        <v/>
      </c>
      <c r="T799" s="194" t="str">
        <f t="array" ref="T799">IFERROR(IF(INDEX('Disaggregation Records'!$H$155:$H$385,MATCH(RIGHT(Q799,255),RIGHT('Disaggregation Records'!$D$155:$D$385,255),0))="","",INDEX('Disaggregation Records'!$H$155:$H$385,MATCH(RIGHT(Q799,255),RIGHT('Disaggregation Records'!$D$155:$D$385,255),0))),"")</f>
        <v/>
      </c>
      <c r="U799" s="194">
        <f>U797+1</f>
        <v>2589</v>
      </c>
      <c r="V799" s="194" t="str">
        <f t="array" ref="V799">IFERROR(IF(INDEX('Disaggregation Records'!$I$155:$I$385,MATCH(RIGHT(Q799,255),RIGHT('Disaggregation Records'!$D$155:$D$385,255),0))="","",INDEX('Disaggregation Records'!$I$155:$I$385,MATCH(RIGHT(Q799,255),RIGHT('Disaggregation Records'!$D$155:$D$385,255),0))),"")</f>
        <v/>
      </c>
      <c r="W799" s="194" t="str">
        <f>IFERROR(INDEX('Reference Records'!L$77:L$157,MATCH(LEFT(C799,255),'Reference Records'!E$77:E$157,0)),"")</f>
        <v/>
      </c>
    </row>
    <row r="800" spans="1:23" s="194" customFormat="1" ht="40.4" customHeight="1" x14ac:dyDescent="0.35">
      <c r="A800" s="770"/>
      <c r="B800" s="767"/>
      <c r="C800" s="761"/>
      <c r="D800" s="769"/>
      <c r="E800" s="769"/>
      <c r="F800" s="208"/>
      <c r="G800" s="763"/>
      <c r="H800" s="744"/>
      <c r="I800" s="765"/>
      <c r="J800" s="730"/>
      <c r="K800" s="761"/>
      <c r="L800" s="761"/>
      <c r="M800" s="730"/>
      <c r="N800" s="730"/>
    </row>
    <row r="801" spans="1:23" s="194" customFormat="1" ht="40.4" customHeight="1" x14ac:dyDescent="0.35">
      <c r="A801" s="770" t="str">
        <f ca="1">INDIRECT("'update Helper'!C"&amp;U801)</f>
        <v>a163p000004NtMOAA0</v>
      </c>
      <c r="B801" s="766">
        <v>5</v>
      </c>
      <c r="C801" s="760" t="str">
        <f>VLOOKUP(B801,'Coverage Indicators - Section D'!$A$9:$AU$70,47,FALSE)</f>
        <v>HTS-Other 3 Porcentaje de resultados de VIH positivos entre el total de pruebas de VIH realizadas en trabajadoras sexuales</v>
      </c>
      <c r="D801" s="768" t="str">
        <f>R801</f>
        <v/>
      </c>
      <c r="E801" s="768" t="str">
        <f>S801</f>
        <v/>
      </c>
      <c r="F801" s="413"/>
      <c r="G801" s="762" t="str">
        <f ca="1">IF(OR(INDIRECT("'update Helper'!E"&amp;U801)="",F801&lt;&gt;0,F802&lt;&gt;0),IF(IFERROR((F801/F802),"")="","",(F801/F802)),INDIRECT("'update Helper'!E"&amp;U801)/100)</f>
        <v/>
      </c>
      <c r="H801" s="743"/>
      <c r="I801" s="764"/>
      <c r="J801" s="729"/>
      <c r="K801" s="760" t="str">
        <f>W801</f>
        <v/>
      </c>
      <c r="L801" s="760" t="str">
        <f>V801</f>
        <v/>
      </c>
      <c r="M801" s="729"/>
      <c r="N801" s="729"/>
      <c r="P801" s="194">
        <f>IF(AND(EXACT(C801,C799),C799&lt;&gt;0),P799+1,0)</f>
        <v>10</v>
      </c>
      <c r="Q801" s="194" t="str">
        <f>IF(C801&lt;&gt;"",C801&amp;"-"&amp;P801,"")</f>
        <v>HTS-Other 3 Porcentaje de resultados de VIH positivos entre el total de pruebas de VIH realizadas en trabajadoras sexuales-10</v>
      </c>
      <c r="R801" s="194" t="str">
        <f t="array" ref="R801">IFERROR(IF(INDEX('Disaggregation Records'!$E$155:$E$385,MATCH(RIGHT(Q801,255),RIGHT('Disaggregation Records'!$D$155:$D$385,255),0))="","",INDEX('Disaggregation Records'!$E$155:$E$385,MATCH(RIGHT(Q801,255),RIGHT('Disaggregation Records'!$D$155:$D$385,255),0))),"")</f>
        <v/>
      </c>
      <c r="S801" s="194" t="str">
        <f t="array" ref="S801">IFERROR(IF(INDEX('Disaggregation Records'!$F$155:$F$385,MATCH(RIGHT(Q801,255),RIGHT('Disaggregation Records'!$D$155:$D$385,255),0))="","",INDEX('Disaggregation Records'!$F$155:$F$385,MATCH(RIGHT(Q801,255),RIGHT('Disaggregation Records'!$D$155:$D$385,255),0))),"")</f>
        <v/>
      </c>
      <c r="T801" s="194" t="str">
        <f t="array" ref="T801">IFERROR(IF(INDEX('Disaggregation Records'!$H$155:$H$385,MATCH(RIGHT(Q801,255),RIGHT('Disaggregation Records'!$D$155:$D$385,255),0))="","",INDEX('Disaggregation Records'!$H$155:$H$385,MATCH(RIGHT(Q801,255),RIGHT('Disaggregation Records'!$D$155:$D$385,255),0))),"")</f>
        <v/>
      </c>
      <c r="U801" s="194">
        <f>U799+1</f>
        <v>2590</v>
      </c>
      <c r="V801" s="194" t="str">
        <f t="array" ref="V801">IFERROR(IF(INDEX('Disaggregation Records'!$I$155:$I$385,MATCH(RIGHT(Q801,255),RIGHT('Disaggregation Records'!$D$155:$D$385,255),0))="","",INDEX('Disaggregation Records'!$I$155:$I$385,MATCH(RIGHT(Q801,255),RIGHT('Disaggregation Records'!$D$155:$D$385,255),0))),"")</f>
        <v/>
      </c>
      <c r="W801" s="194" t="str">
        <f>IFERROR(INDEX('Reference Records'!L$77:L$157,MATCH(LEFT(C801,255),'Reference Records'!E$77:E$157,0)),"")</f>
        <v/>
      </c>
    </row>
    <row r="802" spans="1:23" s="194" customFormat="1" ht="40.4" customHeight="1" x14ac:dyDescent="0.35">
      <c r="A802" s="770"/>
      <c r="B802" s="767"/>
      <c r="C802" s="761"/>
      <c r="D802" s="769"/>
      <c r="E802" s="769"/>
      <c r="F802" s="208"/>
      <c r="G802" s="763"/>
      <c r="H802" s="744"/>
      <c r="I802" s="765"/>
      <c r="J802" s="730"/>
      <c r="K802" s="761"/>
      <c r="L802" s="761"/>
      <c r="M802" s="730"/>
      <c r="N802" s="730"/>
    </row>
    <row r="803" spans="1:23" s="194" customFormat="1" ht="40.4" customHeight="1" x14ac:dyDescent="0.35">
      <c r="A803" s="770" t="str">
        <f ca="1">INDIRECT("'update Helper'!C"&amp;U803)</f>
        <v>a163p000004NtMPAA0</v>
      </c>
      <c r="B803" s="766">
        <v>5</v>
      </c>
      <c r="C803" s="760" t="str">
        <f>VLOOKUP(B803,'Coverage Indicators - Section D'!$A$9:$AU$70,47,FALSE)</f>
        <v>HTS-Other 3 Porcentaje de resultados de VIH positivos entre el total de pruebas de VIH realizadas en trabajadoras sexuales</v>
      </c>
      <c r="D803" s="768" t="str">
        <f>R803</f>
        <v/>
      </c>
      <c r="E803" s="768" t="str">
        <f>S803</f>
        <v/>
      </c>
      <c r="F803" s="413"/>
      <c r="G803" s="762" t="str">
        <f ca="1">IF(OR(INDIRECT("'update Helper'!E"&amp;U803)="",F803&lt;&gt;0,F804&lt;&gt;0),IF(IFERROR((F803/F804),"")="","",(F803/F804)),INDIRECT("'update Helper'!E"&amp;U803)/100)</f>
        <v/>
      </c>
      <c r="H803" s="743"/>
      <c r="I803" s="764"/>
      <c r="J803" s="729"/>
      <c r="K803" s="760" t="str">
        <f>W803</f>
        <v/>
      </c>
      <c r="L803" s="760" t="str">
        <f>V803</f>
        <v/>
      </c>
      <c r="M803" s="729"/>
      <c r="N803" s="729"/>
      <c r="P803" s="194">
        <f>IF(AND(EXACT(C803,C801),C801&lt;&gt;0),P801+1,0)</f>
        <v>11</v>
      </c>
      <c r="Q803" s="194" t="str">
        <f>IF(C803&lt;&gt;"",C803&amp;"-"&amp;P803,"")</f>
        <v>HTS-Other 3 Porcentaje de resultados de VIH positivos entre el total de pruebas de VIH realizadas en trabajadoras sexuales-11</v>
      </c>
      <c r="R803" s="194" t="str">
        <f t="array" ref="R803">IFERROR(IF(INDEX('Disaggregation Records'!$E$155:$E$385,MATCH(RIGHT(Q803,255),RIGHT('Disaggregation Records'!$D$155:$D$385,255),0))="","",INDEX('Disaggregation Records'!$E$155:$E$385,MATCH(RIGHT(Q803,255),RIGHT('Disaggregation Records'!$D$155:$D$385,255),0))),"")</f>
        <v/>
      </c>
      <c r="S803" s="194" t="str">
        <f t="array" ref="S803">IFERROR(IF(INDEX('Disaggregation Records'!$F$155:$F$385,MATCH(RIGHT(Q803,255),RIGHT('Disaggregation Records'!$D$155:$D$385,255),0))="","",INDEX('Disaggregation Records'!$F$155:$F$385,MATCH(RIGHT(Q803,255),RIGHT('Disaggregation Records'!$D$155:$D$385,255),0))),"")</f>
        <v/>
      </c>
      <c r="T803" s="194" t="str">
        <f t="array" ref="T803">IFERROR(IF(INDEX('Disaggregation Records'!$H$155:$H$385,MATCH(RIGHT(Q803,255),RIGHT('Disaggregation Records'!$D$155:$D$385,255),0))="","",INDEX('Disaggregation Records'!$H$155:$H$385,MATCH(RIGHT(Q803,255),RIGHT('Disaggregation Records'!$D$155:$D$385,255),0))),"")</f>
        <v/>
      </c>
      <c r="U803" s="194">
        <f>U801+1</f>
        <v>2591</v>
      </c>
      <c r="V803" s="194" t="str">
        <f t="array" ref="V803">IFERROR(IF(INDEX('Disaggregation Records'!$I$155:$I$385,MATCH(RIGHT(Q803,255),RIGHT('Disaggregation Records'!$D$155:$D$385,255),0))="","",INDEX('Disaggregation Records'!$I$155:$I$385,MATCH(RIGHT(Q803,255),RIGHT('Disaggregation Records'!$D$155:$D$385,255),0))),"")</f>
        <v/>
      </c>
      <c r="W803" s="194" t="str">
        <f>IFERROR(INDEX('Reference Records'!L$77:L$157,MATCH(LEFT(C803,255),'Reference Records'!E$77:E$157,0)),"")</f>
        <v/>
      </c>
    </row>
    <row r="804" spans="1:23" s="194" customFormat="1" ht="40.4" customHeight="1" x14ac:dyDescent="0.35">
      <c r="A804" s="770"/>
      <c r="B804" s="767"/>
      <c r="C804" s="761"/>
      <c r="D804" s="769"/>
      <c r="E804" s="769"/>
      <c r="F804" s="208"/>
      <c r="G804" s="763"/>
      <c r="H804" s="744"/>
      <c r="I804" s="765"/>
      <c r="J804" s="730"/>
      <c r="K804" s="761"/>
      <c r="L804" s="761"/>
      <c r="M804" s="730"/>
      <c r="N804" s="730"/>
    </row>
    <row r="805" spans="1:23" s="194" customFormat="1" ht="40.4" customHeight="1" x14ac:dyDescent="0.35">
      <c r="A805" s="770" t="str">
        <f ca="1">INDIRECT("'update Helper'!C"&amp;U805)</f>
        <v>a163p000004NtMQAA0</v>
      </c>
      <c r="B805" s="766">
        <v>5</v>
      </c>
      <c r="C805" s="760" t="str">
        <f>VLOOKUP(B805,'Coverage Indicators - Section D'!$A$9:$AU$70,47,FALSE)</f>
        <v>HTS-Other 3 Porcentaje de resultados de VIH positivos entre el total de pruebas de VIH realizadas en trabajadoras sexuales</v>
      </c>
      <c r="D805" s="768" t="str">
        <f>R805</f>
        <v/>
      </c>
      <c r="E805" s="768" t="str">
        <f>S805</f>
        <v/>
      </c>
      <c r="F805" s="413"/>
      <c r="G805" s="762" t="str">
        <f ca="1">IF(OR(INDIRECT("'update Helper'!E"&amp;U805)="",F805&lt;&gt;0,F806&lt;&gt;0),IF(IFERROR((F805/F806),"")="","",(F805/F806)),INDIRECT("'update Helper'!E"&amp;U805)/100)</f>
        <v/>
      </c>
      <c r="H805" s="743"/>
      <c r="I805" s="764"/>
      <c r="J805" s="729"/>
      <c r="K805" s="760" t="str">
        <f>W805</f>
        <v/>
      </c>
      <c r="L805" s="760" t="str">
        <f>V805</f>
        <v/>
      </c>
      <c r="M805" s="729"/>
      <c r="N805" s="729"/>
      <c r="P805" s="194">
        <f>IF(AND(EXACT(C805,C803),C803&lt;&gt;0),P803+1,0)</f>
        <v>12</v>
      </c>
      <c r="Q805" s="194" t="str">
        <f>IF(C805&lt;&gt;"",C805&amp;"-"&amp;P805,"")</f>
        <v>HTS-Other 3 Porcentaje de resultados de VIH positivos entre el total de pruebas de VIH realizadas en trabajadoras sexuales-12</v>
      </c>
      <c r="R805" s="194" t="str">
        <f t="array" ref="R805">IFERROR(IF(INDEX('Disaggregation Records'!$E$155:$E$385,MATCH(RIGHT(Q805,255),RIGHT('Disaggregation Records'!$D$155:$D$385,255),0))="","",INDEX('Disaggregation Records'!$E$155:$E$385,MATCH(RIGHT(Q805,255),RIGHT('Disaggregation Records'!$D$155:$D$385,255),0))),"")</f>
        <v/>
      </c>
      <c r="S805" s="194" t="str">
        <f t="array" ref="S805">IFERROR(IF(INDEX('Disaggregation Records'!$F$155:$F$385,MATCH(RIGHT(Q805,255),RIGHT('Disaggregation Records'!$D$155:$D$385,255),0))="","",INDEX('Disaggregation Records'!$F$155:$F$385,MATCH(RIGHT(Q805,255),RIGHT('Disaggregation Records'!$D$155:$D$385,255),0))),"")</f>
        <v/>
      </c>
      <c r="T805" s="194" t="str">
        <f t="array" ref="T805">IFERROR(IF(INDEX('Disaggregation Records'!$H$155:$H$385,MATCH(RIGHT(Q805,255),RIGHT('Disaggregation Records'!$D$155:$D$385,255),0))="","",INDEX('Disaggregation Records'!$H$155:$H$385,MATCH(RIGHT(Q805,255),RIGHT('Disaggregation Records'!$D$155:$D$385,255),0))),"")</f>
        <v/>
      </c>
      <c r="U805" s="194">
        <f>U803+1</f>
        <v>2592</v>
      </c>
      <c r="V805" s="194" t="str">
        <f t="array" ref="V805">IFERROR(IF(INDEX('Disaggregation Records'!$I$155:$I$385,MATCH(RIGHT(Q805,255),RIGHT('Disaggregation Records'!$D$155:$D$385,255),0))="","",INDEX('Disaggregation Records'!$I$155:$I$385,MATCH(RIGHT(Q805,255),RIGHT('Disaggregation Records'!$D$155:$D$385,255),0))),"")</f>
        <v/>
      </c>
      <c r="W805" s="194" t="str">
        <f>IFERROR(INDEX('Reference Records'!L$77:L$157,MATCH(LEFT(C805,255),'Reference Records'!E$77:E$157,0)),"")</f>
        <v/>
      </c>
    </row>
    <row r="806" spans="1:23" s="194" customFormat="1" ht="40.4" customHeight="1" x14ac:dyDescent="0.35">
      <c r="A806" s="770"/>
      <c r="B806" s="767"/>
      <c r="C806" s="761"/>
      <c r="D806" s="769"/>
      <c r="E806" s="769"/>
      <c r="F806" s="208"/>
      <c r="G806" s="763"/>
      <c r="H806" s="744"/>
      <c r="I806" s="765"/>
      <c r="J806" s="730"/>
      <c r="K806" s="761"/>
      <c r="L806" s="761"/>
      <c r="M806" s="730"/>
      <c r="N806" s="730"/>
    </row>
    <row r="807" spans="1:23" s="194" customFormat="1" ht="40.4" customHeight="1" x14ac:dyDescent="0.35">
      <c r="A807" s="770" t="str">
        <f ca="1">INDIRECT("'update Helper'!C"&amp;U807)</f>
        <v>a163p000004NtMRAA0</v>
      </c>
      <c r="B807" s="766">
        <v>5</v>
      </c>
      <c r="C807" s="760" t="str">
        <f>VLOOKUP(B807,'Coverage Indicators - Section D'!$A$9:$AU$70,47,FALSE)</f>
        <v>HTS-Other 3 Porcentaje de resultados de VIH positivos entre el total de pruebas de VIH realizadas en trabajadoras sexuales</v>
      </c>
      <c r="D807" s="768" t="str">
        <f>R807</f>
        <v/>
      </c>
      <c r="E807" s="768" t="str">
        <f>S807</f>
        <v/>
      </c>
      <c r="F807" s="413"/>
      <c r="G807" s="762" t="str">
        <f ca="1">IF(OR(INDIRECT("'update Helper'!E"&amp;U807)="",F807&lt;&gt;0,F808&lt;&gt;0),IF(IFERROR((F807/F808),"")="","",(F807/F808)),INDIRECT("'update Helper'!E"&amp;U807)/100)</f>
        <v/>
      </c>
      <c r="H807" s="743"/>
      <c r="I807" s="764"/>
      <c r="J807" s="729"/>
      <c r="K807" s="760" t="str">
        <f>W807</f>
        <v/>
      </c>
      <c r="L807" s="760" t="str">
        <f>V807</f>
        <v/>
      </c>
      <c r="M807" s="729"/>
      <c r="N807" s="729"/>
      <c r="P807" s="194">
        <f>IF(AND(EXACT(C807,C805),C805&lt;&gt;0),P805+1,0)</f>
        <v>13</v>
      </c>
      <c r="Q807" s="194" t="str">
        <f>IF(C807&lt;&gt;"",C807&amp;"-"&amp;P807,"")</f>
        <v>HTS-Other 3 Porcentaje de resultados de VIH positivos entre el total de pruebas de VIH realizadas en trabajadoras sexuales-13</v>
      </c>
      <c r="R807" s="194" t="str">
        <f t="array" ref="R807">IFERROR(IF(INDEX('Disaggregation Records'!$E$155:$E$385,MATCH(RIGHT(Q807,255),RIGHT('Disaggregation Records'!$D$155:$D$385,255),0))="","",INDEX('Disaggregation Records'!$E$155:$E$385,MATCH(RIGHT(Q807,255),RIGHT('Disaggregation Records'!$D$155:$D$385,255),0))),"")</f>
        <v/>
      </c>
      <c r="S807" s="194" t="str">
        <f t="array" ref="S807">IFERROR(IF(INDEX('Disaggregation Records'!$F$155:$F$385,MATCH(RIGHT(Q807,255),RIGHT('Disaggregation Records'!$D$155:$D$385,255),0))="","",INDEX('Disaggregation Records'!$F$155:$F$385,MATCH(RIGHT(Q807,255),RIGHT('Disaggregation Records'!$D$155:$D$385,255),0))),"")</f>
        <v/>
      </c>
      <c r="T807" s="194" t="str">
        <f t="array" ref="T807">IFERROR(IF(INDEX('Disaggregation Records'!$H$155:$H$385,MATCH(RIGHT(Q807,255),RIGHT('Disaggregation Records'!$D$155:$D$385,255),0))="","",INDEX('Disaggregation Records'!$H$155:$H$385,MATCH(RIGHT(Q807,255),RIGHT('Disaggregation Records'!$D$155:$D$385,255),0))),"")</f>
        <v/>
      </c>
      <c r="U807" s="194">
        <f>U805+1</f>
        <v>2593</v>
      </c>
      <c r="V807" s="194" t="str">
        <f t="array" ref="V807">IFERROR(IF(INDEX('Disaggregation Records'!$I$155:$I$385,MATCH(RIGHT(Q807,255),RIGHT('Disaggregation Records'!$D$155:$D$385,255),0))="","",INDEX('Disaggregation Records'!$I$155:$I$385,MATCH(RIGHT(Q807,255),RIGHT('Disaggregation Records'!$D$155:$D$385,255),0))),"")</f>
        <v/>
      </c>
      <c r="W807" s="194" t="str">
        <f>IFERROR(INDEX('Reference Records'!L$77:L$157,MATCH(LEFT(C807,255),'Reference Records'!E$77:E$157,0)),"")</f>
        <v/>
      </c>
    </row>
    <row r="808" spans="1:23" s="194" customFormat="1" ht="40.4" customHeight="1" x14ac:dyDescent="0.35">
      <c r="A808" s="770"/>
      <c r="B808" s="767"/>
      <c r="C808" s="761"/>
      <c r="D808" s="769"/>
      <c r="E808" s="769"/>
      <c r="F808" s="208"/>
      <c r="G808" s="763"/>
      <c r="H808" s="744"/>
      <c r="I808" s="765"/>
      <c r="J808" s="730"/>
      <c r="K808" s="761"/>
      <c r="L808" s="761"/>
      <c r="M808" s="730"/>
      <c r="N808" s="730"/>
    </row>
    <row r="809" spans="1:23" s="194" customFormat="1" ht="40.4" customHeight="1" x14ac:dyDescent="0.35">
      <c r="A809" s="770" t="str">
        <f ca="1">INDIRECT("'update Helper'!C"&amp;U809)</f>
        <v>a163p000004NtMSAA0</v>
      </c>
      <c r="B809" s="766">
        <v>5</v>
      </c>
      <c r="C809" s="760" t="str">
        <f>VLOOKUP(B809,'Coverage Indicators - Section D'!$A$9:$AU$70,47,FALSE)</f>
        <v>HTS-Other 3 Porcentaje de resultados de VIH positivos entre el total de pruebas de VIH realizadas en trabajadoras sexuales</v>
      </c>
      <c r="D809" s="768" t="str">
        <f>R809</f>
        <v/>
      </c>
      <c r="E809" s="768" t="str">
        <f>S809</f>
        <v/>
      </c>
      <c r="F809" s="413"/>
      <c r="G809" s="762" t="str">
        <f ca="1">IF(OR(INDIRECT("'update Helper'!E"&amp;U809)="",F809&lt;&gt;0,F810&lt;&gt;0),IF(IFERROR((F809/F810),"")="","",(F809/F810)),INDIRECT("'update Helper'!E"&amp;U809)/100)</f>
        <v/>
      </c>
      <c r="H809" s="743"/>
      <c r="I809" s="764"/>
      <c r="J809" s="729"/>
      <c r="K809" s="760" t="str">
        <f>W809</f>
        <v/>
      </c>
      <c r="L809" s="760" t="str">
        <f>V809</f>
        <v/>
      </c>
      <c r="M809" s="729"/>
      <c r="N809" s="729"/>
      <c r="P809" s="194">
        <f>IF(AND(EXACT(C809,C807),C807&lt;&gt;0),P807+1,0)</f>
        <v>14</v>
      </c>
      <c r="Q809" s="194" t="str">
        <f>IF(C809&lt;&gt;"",C809&amp;"-"&amp;P809,"")</f>
        <v>HTS-Other 3 Porcentaje de resultados de VIH positivos entre el total de pruebas de VIH realizadas en trabajadoras sexuales-14</v>
      </c>
      <c r="R809" s="194" t="str">
        <f t="array" ref="R809">IFERROR(IF(INDEX('Disaggregation Records'!$E$155:$E$385,MATCH(RIGHT(Q809,255),RIGHT('Disaggregation Records'!$D$155:$D$385,255),0))="","",INDEX('Disaggregation Records'!$E$155:$E$385,MATCH(RIGHT(Q809,255),RIGHT('Disaggregation Records'!$D$155:$D$385,255),0))),"")</f>
        <v/>
      </c>
      <c r="S809" s="194" t="str">
        <f t="array" ref="S809">IFERROR(IF(INDEX('Disaggregation Records'!$F$155:$F$385,MATCH(RIGHT(Q809,255),RIGHT('Disaggregation Records'!$D$155:$D$385,255),0))="","",INDEX('Disaggregation Records'!$F$155:$F$385,MATCH(RIGHT(Q809,255),RIGHT('Disaggregation Records'!$D$155:$D$385,255),0))),"")</f>
        <v/>
      </c>
      <c r="T809" s="194" t="str">
        <f t="array" ref="T809">IFERROR(IF(INDEX('Disaggregation Records'!$H$155:$H$385,MATCH(RIGHT(Q809,255),RIGHT('Disaggregation Records'!$D$155:$D$385,255),0))="","",INDEX('Disaggregation Records'!$H$155:$H$385,MATCH(RIGHT(Q809,255),RIGHT('Disaggregation Records'!$D$155:$D$385,255),0))),"")</f>
        <v/>
      </c>
      <c r="U809" s="194">
        <f>U807+1</f>
        <v>2594</v>
      </c>
      <c r="V809" s="194" t="str">
        <f t="array" ref="V809">IFERROR(IF(INDEX('Disaggregation Records'!$I$155:$I$385,MATCH(RIGHT(Q809,255),RIGHT('Disaggregation Records'!$D$155:$D$385,255),0))="","",INDEX('Disaggregation Records'!$I$155:$I$385,MATCH(RIGHT(Q809,255),RIGHT('Disaggregation Records'!$D$155:$D$385,255),0))),"")</f>
        <v/>
      </c>
      <c r="W809" s="194" t="str">
        <f>IFERROR(INDEX('Reference Records'!L$77:L$157,MATCH(LEFT(C809,255),'Reference Records'!E$77:E$157,0)),"")</f>
        <v/>
      </c>
    </row>
    <row r="810" spans="1:23" s="194" customFormat="1" ht="40.4" customHeight="1" x14ac:dyDescent="0.35">
      <c r="A810" s="770"/>
      <c r="B810" s="767"/>
      <c r="C810" s="761"/>
      <c r="D810" s="769"/>
      <c r="E810" s="769"/>
      <c r="F810" s="208"/>
      <c r="G810" s="763"/>
      <c r="H810" s="744"/>
      <c r="I810" s="765"/>
      <c r="J810" s="730"/>
      <c r="K810" s="761"/>
      <c r="L810" s="761"/>
      <c r="M810" s="730"/>
      <c r="N810" s="730"/>
    </row>
    <row r="811" spans="1:23" s="194" customFormat="1" ht="40.4" customHeight="1" x14ac:dyDescent="0.35">
      <c r="A811" s="770" t="str">
        <f ca="1">INDIRECT("'update Helper'!C"&amp;U811)</f>
        <v>a163p000004NtMTAA0</v>
      </c>
      <c r="B811" s="766">
        <v>5</v>
      </c>
      <c r="C811" s="760" t="str">
        <f>VLOOKUP(B811,'Coverage Indicators - Section D'!$A$9:$AU$70,47,FALSE)</f>
        <v>HTS-Other 3 Porcentaje de resultados de VIH positivos entre el total de pruebas de VIH realizadas en trabajadoras sexuales</v>
      </c>
      <c r="D811" s="768" t="str">
        <f>R811</f>
        <v/>
      </c>
      <c r="E811" s="768" t="str">
        <f>S811</f>
        <v/>
      </c>
      <c r="F811" s="413"/>
      <c r="G811" s="762" t="str">
        <f ca="1">IF(OR(INDIRECT("'update Helper'!E"&amp;U811)="",F811&lt;&gt;0,F812&lt;&gt;0),IF(IFERROR((F811/F812),"")="","",(F811/F812)),INDIRECT("'update Helper'!E"&amp;U811)/100)</f>
        <v/>
      </c>
      <c r="H811" s="743"/>
      <c r="I811" s="764"/>
      <c r="J811" s="729"/>
      <c r="K811" s="760" t="str">
        <f>W811</f>
        <v/>
      </c>
      <c r="L811" s="760" t="str">
        <f>V811</f>
        <v/>
      </c>
      <c r="M811" s="729"/>
      <c r="N811" s="729"/>
      <c r="P811" s="194">
        <f>IF(AND(EXACT(C811,C809),C809&lt;&gt;0),P809+1,0)</f>
        <v>15</v>
      </c>
      <c r="Q811" s="194" t="str">
        <f>IF(C811&lt;&gt;"",C811&amp;"-"&amp;P811,"")</f>
        <v>HTS-Other 3 Porcentaje de resultados de VIH positivos entre el total de pruebas de VIH realizadas en trabajadoras sexuales-15</v>
      </c>
      <c r="R811" s="194" t="str">
        <f t="array" ref="R811">IFERROR(IF(INDEX('Disaggregation Records'!$E$155:$E$385,MATCH(RIGHT(Q811,255),RIGHT('Disaggregation Records'!$D$155:$D$385,255),0))="","",INDEX('Disaggregation Records'!$E$155:$E$385,MATCH(RIGHT(Q811,255),RIGHT('Disaggregation Records'!$D$155:$D$385,255),0))),"")</f>
        <v/>
      </c>
      <c r="S811" s="194" t="str">
        <f t="array" ref="S811">IFERROR(IF(INDEX('Disaggregation Records'!$F$155:$F$385,MATCH(RIGHT(Q811,255),RIGHT('Disaggregation Records'!$D$155:$D$385,255),0))="","",INDEX('Disaggregation Records'!$F$155:$F$385,MATCH(RIGHT(Q811,255),RIGHT('Disaggregation Records'!$D$155:$D$385,255),0))),"")</f>
        <v/>
      </c>
      <c r="T811" s="194" t="str">
        <f t="array" ref="T811">IFERROR(IF(INDEX('Disaggregation Records'!$H$155:$H$385,MATCH(RIGHT(Q811,255),RIGHT('Disaggregation Records'!$D$155:$D$385,255),0))="","",INDEX('Disaggregation Records'!$H$155:$H$385,MATCH(RIGHT(Q811,255),RIGHT('Disaggregation Records'!$D$155:$D$385,255),0))),"")</f>
        <v/>
      </c>
      <c r="U811" s="194">
        <f>U809+1</f>
        <v>2595</v>
      </c>
      <c r="V811" s="194" t="str">
        <f t="array" ref="V811">IFERROR(IF(INDEX('Disaggregation Records'!$I$155:$I$385,MATCH(RIGHT(Q811,255),RIGHT('Disaggregation Records'!$D$155:$D$385,255),0))="","",INDEX('Disaggregation Records'!$I$155:$I$385,MATCH(RIGHT(Q811,255),RIGHT('Disaggregation Records'!$D$155:$D$385,255),0))),"")</f>
        <v/>
      </c>
      <c r="W811" s="194" t="str">
        <f>IFERROR(INDEX('Reference Records'!L$77:L$157,MATCH(LEFT(C811,255),'Reference Records'!E$77:E$157,0)),"")</f>
        <v/>
      </c>
    </row>
    <row r="812" spans="1:23" s="194" customFormat="1" ht="40.4" customHeight="1" x14ac:dyDescent="0.35">
      <c r="A812" s="770"/>
      <c r="B812" s="767"/>
      <c r="C812" s="761"/>
      <c r="D812" s="769"/>
      <c r="E812" s="769"/>
      <c r="F812" s="208"/>
      <c r="G812" s="763"/>
      <c r="H812" s="744"/>
      <c r="I812" s="765"/>
      <c r="J812" s="730"/>
      <c r="K812" s="761"/>
      <c r="L812" s="761"/>
      <c r="M812" s="730"/>
      <c r="N812" s="730"/>
    </row>
    <row r="813" spans="1:23" s="194" customFormat="1" ht="40.4" customHeight="1" x14ac:dyDescent="0.35">
      <c r="A813" s="770" t="str">
        <f ca="1">INDIRECT("'update Helper'!C"&amp;U813)</f>
        <v>a163p000004NtMUAA0</v>
      </c>
      <c r="B813" s="766">
        <v>5</v>
      </c>
      <c r="C813" s="760" t="str">
        <f>VLOOKUP(B813,'Coverage Indicators - Section D'!$A$9:$AU$70,47,FALSE)</f>
        <v>HTS-Other 3 Porcentaje de resultados de VIH positivos entre el total de pruebas de VIH realizadas en trabajadoras sexuales</v>
      </c>
      <c r="D813" s="768" t="str">
        <f>R813</f>
        <v/>
      </c>
      <c r="E813" s="768" t="str">
        <f>S813</f>
        <v/>
      </c>
      <c r="F813" s="413"/>
      <c r="G813" s="762" t="str">
        <f ca="1">IF(OR(INDIRECT("'update Helper'!E"&amp;U813)="",F813&lt;&gt;0,F814&lt;&gt;0),IF(IFERROR((F813/F814),"")="","",(F813/F814)),INDIRECT("'update Helper'!E"&amp;U813)/100)</f>
        <v/>
      </c>
      <c r="H813" s="743"/>
      <c r="I813" s="764"/>
      <c r="J813" s="729"/>
      <c r="K813" s="760" t="str">
        <f>W813</f>
        <v/>
      </c>
      <c r="L813" s="760" t="str">
        <f>V813</f>
        <v/>
      </c>
      <c r="M813" s="729"/>
      <c r="N813" s="729"/>
      <c r="P813" s="194">
        <f>IF(AND(EXACT(C813,C811),C811&lt;&gt;0),P811+1,0)</f>
        <v>16</v>
      </c>
      <c r="Q813" s="194" t="str">
        <f>IF(C813&lt;&gt;"",C813&amp;"-"&amp;P813,"")</f>
        <v>HTS-Other 3 Porcentaje de resultados de VIH positivos entre el total de pruebas de VIH realizadas en trabajadoras sexuales-16</v>
      </c>
      <c r="R813" s="194" t="str">
        <f t="array" ref="R813">IFERROR(IF(INDEX('Disaggregation Records'!$E$155:$E$385,MATCH(RIGHT(Q813,255),RIGHT('Disaggregation Records'!$D$155:$D$385,255),0))="","",INDEX('Disaggregation Records'!$E$155:$E$385,MATCH(RIGHT(Q813,255),RIGHT('Disaggregation Records'!$D$155:$D$385,255),0))),"")</f>
        <v/>
      </c>
      <c r="S813" s="194" t="str">
        <f t="array" ref="S813">IFERROR(IF(INDEX('Disaggregation Records'!$F$155:$F$385,MATCH(RIGHT(Q813,255),RIGHT('Disaggregation Records'!$D$155:$D$385,255),0))="","",INDEX('Disaggregation Records'!$F$155:$F$385,MATCH(RIGHT(Q813,255),RIGHT('Disaggregation Records'!$D$155:$D$385,255),0))),"")</f>
        <v/>
      </c>
      <c r="T813" s="194" t="str">
        <f t="array" ref="T813">IFERROR(IF(INDEX('Disaggregation Records'!$H$155:$H$385,MATCH(RIGHT(Q813,255),RIGHT('Disaggregation Records'!$D$155:$D$385,255),0))="","",INDEX('Disaggregation Records'!$H$155:$H$385,MATCH(RIGHT(Q813,255),RIGHT('Disaggregation Records'!$D$155:$D$385,255),0))),"")</f>
        <v/>
      </c>
      <c r="U813" s="194">
        <f>U811+1</f>
        <v>2596</v>
      </c>
      <c r="V813" s="194" t="str">
        <f t="array" ref="V813">IFERROR(IF(INDEX('Disaggregation Records'!$I$155:$I$385,MATCH(RIGHT(Q813,255),RIGHT('Disaggregation Records'!$D$155:$D$385,255),0))="","",INDEX('Disaggregation Records'!$I$155:$I$385,MATCH(RIGHT(Q813,255),RIGHT('Disaggregation Records'!$D$155:$D$385,255),0))),"")</f>
        <v/>
      </c>
      <c r="W813" s="194" t="str">
        <f>IFERROR(INDEX('Reference Records'!L$77:L$157,MATCH(LEFT(C813,255),'Reference Records'!E$77:E$157,0)),"")</f>
        <v/>
      </c>
    </row>
    <row r="814" spans="1:23" s="194" customFormat="1" ht="40.4" customHeight="1" x14ac:dyDescent="0.35">
      <c r="A814" s="770"/>
      <c r="B814" s="767"/>
      <c r="C814" s="761"/>
      <c r="D814" s="769"/>
      <c r="E814" s="769"/>
      <c r="F814" s="208"/>
      <c r="G814" s="763"/>
      <c r="H814" s="744"/>
      <c r="I814" s="765"/>
      <c r="J814" s="730"/>
      <c r="K814" s="761"/>
      <c r="L814" s="761"/>
      <c r="M814" s="730"/>
      <c r="N814" s="730"/>
    </row>
    <row r="815" spans="1:23" s="194" customFormat="1" ht="40.4" customHeight="1" x14ac:dyDescent="0.35">
      <c r="A815" s="770" t="str">
        <f ca="1">INDIRECT("'update Helper'!C"&amp;U815)</f>
        <v>a163p000004NtMVAA0</v>
      </c>
      <c r="B815" s="766">
        <v>5</v>
      </c>
      <c r="C815" s="760" t="str">
        <f>VLOOKUP(B815,'Coverage Indicators - Section D'!$A$9:$AU$70,47,FALSE)</f>
        <v>HTS-Other 3 Porcentaje de resultados de VIH positivos entre el total de pruebas de VIH realizadas en trabajadoras sexuales</v>
      </c>
      <c r="D815" s="768" t="str">
        <f>R815</f>
        <v/>
      </c>
      <c r="E815" s="768" t="str">
        <f>S815</f>
        <v/>
      </c>
      <c r="F815" s="413"/>
      <c r="G815" s="762" t="str">
        <f ca="1">IF(OR(INDIRECT("'update Helper'!E"&amp;U815)="",F815&lt;&gt;0,F816&lt;&gt;0),IF(IFERROR((F815/F816),"")="","",(F815/F816)),INDIRECT("'update Helper'!E"&amp;U815)/100)</f>
        <v/>
      </c>
      <c r="H815" s="743"/>
      <c r="I815" s="764"/>
      <c r="J815" s="729"/>
      <c r="K815" s="760" t="str">
        <f>W815</f>
        <v/>
      </c>
      <c r="L815" s="760" t="str">
        <f>V815</f>
        <v/>
      </c>
      <c r="M815" s="729"/>
      <c r="N815" s="729"/>
      <c r="P815" s="194">
        <f>IF(AND(EXACT(C815,C813),C813&lt;&gt;0),P813+1,0)</f>
        <v>17</v>
      </c>
      <c r="Q815" s="194" t="str">
        <f>IF(C815&lt;&gt;"",C815&amp;"-"&amp;P815,"")</f>
        <v>HTS-Other 3 Porcentaje de resultados de VIH positivos entre el total de pruebas de VIH realizadas en trabajadoras sexuales-17</v>
      </c>
      <c r="R815" s="194" t="str">
        <f t="array" ref="R815">IFERROR(IF(INDEX('Disaggregation Records'!$E$155:$E$385,MATCH(RIGHT(Q815,255),RIGHT('Disaggregation Records'!$D$155:$D$385,255),0))="","",INDEX('Disaggregation Records'!$E$155:$E$385,MATCH(RIGHT(Q815,255),RIGHT('Disaggregation Records'!$D$155:$D$385,255),0))),"")</f>
        <v/>
      </c>
      <c r="S815" s="194" t="str">
        <f t="array" ref="S815">IFERROR(IF(INDEX('Disaggregation Records'!$F$155:$F$385,MATCH(RIGHT(Q815,255),RIGHT('Disaggregation Records'!$D$155:$D$385,255),0))="","",INDEX('Disaggregation Records'!$F$155:$F$385,MATCH(RIGHT(Q815,255),RIGHT('Disaggregation Records'!$D$155:$D$385,255),0))),"")</f>
        <v/>
      </c>
      <c r="T815" s="194" t="str">
        <f t="array" ref="T815">IFERROR(IF(INDEX('Disaggregation Records'!$H$155:$H$385,MATCH(RIGHT(Q815,255),RIGHT('Disaggregation Records'!$D$155:$D$385,255),0))="","",INDEX('Disaggregation Records'!$H$155:$H$385,MATCH(RIGHT(Q815,255),RIGHT('Disaggregation Records'!$D$155:$D$385,255),0))),"")</f>
        <v/>
      </c>
      <c r="U815" s="194">
        <f>U813+1</f>
        <v>2597</v>
      </c>
      <c r="V815" s="194" t="str">
        <f t="array" ref="V815">IFERROR(IF(INDEX('Disaggregation Records'!$I$155:$I$385,MATCH(RIGHT(Q815,255),RIGHT('Disaggregation Records'!$D$155:$D$385,255),0))="","",INDEX('Disaggregation Records'!$I$155:$I$385,MATCH(RIGHT(Q815,255),RIGHT('Disaggregation Records'!$D$155:$D$385,255),0))),"")</f>
        <v/>
      </c>
      <c r="W815" s="194" t="str">
        <f>IFERROR(INDEX('Reference Records'!L$77:L$157,MATCH(LEFT(C815,255),'Reference Records'!E$77:E$157,0)),"")</f>
        <v/>
      </c>
    </row>
    <row r="816" spans="1:23" s="194" customFormat="1" ht="40.4" customHeight="1" x14ac:dyDescent="0.35">
      <c r="A816" s="770"/>
      <c r="B816" s="767"/>
      <c r="C816" s="761"/>
      <c r="D816" s="769"/>
      <c r="E816" s="769"/>
      <c r="F816" s="208"/>
      <c r="G816" s="763"/>
      <c r="H816" s="744"/>
      <c r="I816" s="765"/>
      <c r="J816" s="730"/>
      <c r="K816" s="761"/>
      <c r="L816" s="761"/>
      <c r="M816" s="730"/>
      <c r="N816" s="730"/>
    </row>
    <row r="817" spans="1:23" s="194" customFormat="1" ht="40.4" customHeight="1" x14ac:dyDescent="0.35">
      <c r="A817" s="770" t="str">
        <f ca="1">INDIRECT("'update Helper'!C"&amp;U817)</f>
        <v>a163p000004NtMWAA0</v>
      </c>
      <c r="B817" s="766">
        <v>5</v>
      </c>
      <c r="C817" s="760" t="str">
        <f>VLOOKUP(B817,'Coverage Indicators - Section D'!$A$9:$AU$70,47,FALSE)</f>
        <v>HTS-Other 3 Porcentaje de resultados de VIH positivos entre el total de pruebas de VIH realizadas en trabajadoras sexuales</v>
      </c>
      <c r="D817" s="768" t="str">
        <f>R817</f>
        <v/>
      </c>
      <c r="E817" s="768" t="str">
        <f>S817</f>
        <v/>
      </c>
      <c r="F817" s="413"/>
      <c r="G817" s="762" t="str">
        <f ca="1">IF(OR(INDIRECT("'update Helper'!E"&amp;U817)="",F817&lt;&gt;0,F818&lt;&gt;0),IF(IFERROR((F817/F818),"")="","",(F817/F818)),INDIRECT("'update Helper'!E"&amp;U817)/100)</f>
        <v/>
      </c>
      <c r="H817" s="743"/>
      <c r="I817" s="764"/>
      <c r="J817" s="729"/>
      <c r="K817" s="760" t="str">
        <f>W817</f>
        <v/>
      </c>
      <c r="L817" s="760" t="str">
        <f>V817</f>
        <v/>
      </c>
      <c r="M817" s="729"/>
      <c r="N817" s="729"/>
      <c r="P817" s="194">
        <f>IF(AND(EXACT(C817,C815),C815&lt;&gt;0),P815+1,0)</f>
        <v>18</v>
      </c>
      <c r="Q817" s="194" t="str">
        <f>IF(C817&lt;&gt;"",C817&amp;"-"&amp;P817,"")</f>
        <v>HTS-Other 3 Porcentaje de resultados de VIH positivos entre el total de pruebas de VIH realizadas en trabajadoras sexuales-18</v>
      </c>
      <c r="R817" s="194" t="str">
        <f t="array" ref="R817">IFERROR(IF(INDEX('Disaggregation Records'!$E$155:$E$385,MATCH(RIGHT(Q817,255),RIGHT('Disaggregation Records'!$D$155:$D$385,255),0))="","",INDEX('Disaggregation Records'!$E$155:$E$385,MATCH(RIGHT(Q817,255),RIGHT('Disaggregation Records'!$D$155:$D$385,255),0))),"")</f>
        <v/>
      </c>
      <c r="S817" s="194" t="str">
        <f t="array" ref="S817">IFERROR(IF(INDEX('Disaggregation Records'!$F$155:$F$385,MATCH(RIGHT(Q817,255),RIGHT('Disaggregation Records'!$D$155:$D$385,255),0))="","",INDEX('Disaggregation Records'!$F$155:$F$385,MATCH(RIGHT(Q817,255),RIGHT('Disaggregation Records'!$D$155:$D$385,255),0))),"")</f>
        <v/>
      </c>
      <c r="T817" s="194" t="str">
        <f t="array" ref="T817">IFERROR(IF(INDEX('Disaggregation Records'!$H$155:$H$385,MATCH(RIGHT(Q817,255),RIGHT('Disaggregation Records'!$D$155:$D$385,255),0))="","",INDEX('Disaggregation Records'!$H$155:$H$385,MATCH(RIGHT(Q817,255),RIGHT('Disaggregation Records'!$D$155:$D$385,255),0))),"")</f>
        <v/>
      </c>
      <c r="U817" s="194">
        <f>U815+1</f>
        <v>2598</v>
      </c>
      <c r="V817" s="194" t="str">
        <f t="array" ref="V817">IFERROR(IF(INDEX('Disaggregation Records'!$I$155:$I$385,MATCH(RIGHT(Q817,255),RIGHT('Disaggregation Records'!$D$155:$D$385,255),0))="","",INDEX('Disaggregation Records'!$I$155:$I$385,MATCH(RIGHT(Q817,255),RIGHT('Disaggregation Records'!$D$155:$D$385,255),0))),"")</f>
        <v/>
      </c>
      <c r="W817" s="194" t="str">
        <f>IFERROR(INDEX('Reference Records'!L$77:L$157,MATCH(LEFT(C817,255),'Reference Records'!E$77:E$157,0)),"")</f>
        <v/>
      </c>
    </row>
    <row r="818" spans="1:23" s="194" customFormat="1" ht="40.4" customHeight="1" x14ac:dyDescent="0.35">
      <c r="A818" s="770"/>
      <c r="B818" s="767"/>
      <c r="C818" s="761"/>
      <c r="D818" s="769"/>
      <c r="E818" s="769"/>
      <c r="F818" s="208"/>
      <c r="G818" s="763"/>
      <c r="H818" s="744"/>
      <c r="I818" s="765"/>
      <c r="J818" s="730"/>
      <c r="K818" s="761"/>
      <c r="L818" s="761"/>
      <c r="M818" s="730"/>
      <c r="N818" s="730"/>
    </row>
    <row r="819" spans="1:23" s="194" customFormat="1" ht="40.4" customHeight="1" x14ac:dyDescent="0.35">
      <c r="A819" s="770" t="str">
        <f ca="1">INDIRECT("'update Helper'!C"&amp;U819)</f>
        <v>a163p000004NtMXAA0</v>
      </c>
      <c r="B819" s="766">
        <v>5</v>
      </c>
      <c r="C819" s="760" t="str">
        <f>VLOOKUP(B819,'Coverage Indicators - Section D'!$A$9:$AU$70,47,FALSE)</f>
        <v>HTS-Other 3 Porcentaje de resultados de VIH positivos entre el total de pruebas de VIH realizadas en trabajadoras sexuales</v>
      </c>
      <c r="D819" s="768" t="str">
        <f>R819</f>
        <v/>
      </c>
      <c r="E819" s="768" t="str">
        <f>S819</f>
        <v/>
      </c>
      <c r="F819" s="413"/>
      <c r="G819" s="762" t="str">
        <f ca="1">IF(OR(INDIRECT("'update Helper'!E"&amp;U819)="",F819&lt;&gt;0,F820&lt;&gt;0),IF(IFERROR((F819/F820),"")="","",(F819/F820)),INDIRECT("'update Helper'!E"&amp;U819)/100)</f>
        <v/>
      </c>
      <c r="H819" s="743"/>
      <c r="I819" s="764"/>
      <c r="J819" s="729"/>
      <c r="K819" s="760" t="str">
        <f>W819</f>
        <v/>
      </c>
      <c r="L819" s="760" t="str">
        <f>V819</f>
        <v/>
      </c>
      <c r="M819" s="729"/>
      <c r="N819" s="729"/>
      <c r="P819" s="194">
        <f>IF(AND(EXACT(C819,C817),C817&lt;&gt;0),P817+1,0)</f>
        <v>19</v>
      </c>
      <c r="Q819" s="194" t="str">
        <f>IF(C819&lt;&gt;"",C819&amp;"-"&amp;P819,"")</f>
        <v>HTS-Other 3 Porcentaje de resultados de VIH positivos entre el total de pruebas de VIH realizadas en trabajadoras sexuales-19</v>
      </c>
      <c r="R819" s="194" t="str">
        <f t="array" ref="R819">IFERROR(IF(INDEX('Disaggregation Records'!$E$155:$E$385,MATCH(RIGHT(Q819,255),RIGHT('Disaggregation Records'!$D$155:$D$385,255),0))="","",INDEX('Disaggregation Records'!$E$155:$E$385,MATCH(RIGHT(Q819,255),RIGHT('Disaggregation Records'!$D$155:$D$385,255),0))),"")</f>
        <v/>
      </c>
      <c r="S819" s="194" t="str">
        <f t="array" ref="S819">IFERROR(IF(INDEX('Disaggregation Records'!$F$155:$F$385,MATCH(RIGHT(Q819,255),RIGHT('Disaggregation Records'!$D$155:$D$385,255),0))="","",INDEX('Disaggregation Records'!$F$155:$F$385,MATCH(RIGHT(Q819,255),RIGHT('Disaggregation Records'!$D$155:$D$385,255),0))),"")</f>
        <v/>
      </c>
      <c r="T819" s="194" t="str">
        <f t="array" ref="T819">IFERROR(IF(INDEX('Disaggregation Records'!$H$155:$H$385,MATCH(RIGHT(Q819,255),RIGHT('Disaggregation Records'!$D$155:$D$385,255),0))="","",INDEX('Disaggregation Records'!$H$155:$H$385,MATCH(RIGHT(Q819,255),RIGHT('Disaggregation Records'!$D$155:$D$385,255),0))),"")</f>
        <v/>
      </c>
      <c r="U819" s="194">
        <f>U817+1</f>
        <v>2599</v>
      </c>
      <c r="V819" s="194" t="str">
        <f t="array" ref="V819">IFERROR(IF(INDEX('Disaggregation Records'!$I$155:$I$385,MATCH(RIGHT(Q819,255),RIGHT('Disaggregation Records'!$D$155:$D$385,255),0))="","",INDEX('Disaggregation Records'!$I$155:$I$385,MATCH(RIGHT(Q819,255),RIGHT('Disaggregation Records'!$D$155:$D$385,255),0))),"")</f>
        <v/>
      </c>
      <c r="W819" s="194" t="str">
        <f>IFERROR(INDEX('Reference Records'!L$77:L$157,MATCH(LEFT(C819,255),'Reference Records'!E$77:E$157,0)),"")</f>
        <v/>
      </c>
    </row>
    <row r="820" spans="1:23" s="194" customFormat="1" ht="40.4" customHeight="1" x14ac:dyDescent="0.35">
      <c r="A820" s="770"/>
      <c r="B820" s="767"/>
      <c r="C820" s="761"/>
      <c r="D820" s="769"/>
      <c r="E820" s="769"/>
      <c r="F820" s="208"/>
      <c r="G820" s="763"/>
      <c r="H820" s="744"/>
      <c r="I820" s="765"/>
      <c r="J820" s="730"/>
      <c r="K820" s="761"/>
      <c r="L820" s="761"/>
      <c r="M820" s="730"/>
      <c r="N820" s="730"/>
    </row>
    <row r="821" spans="1:23" s="194" customFormat="1" ht="40.4" customHeight="1" x14ac:dyDescent="0.35">
      <c r="A821" s="770" t="str">
        <f ca="1">INDIRECT("'update Helper'!C"&amp;U821)</f>
        <v>a163p000004NtVuAAK</v>
      </c>
      <c r="B821" s="766">
        <v>6</v>
      </c>
      <c r="C821" s="760" t="str">
        <f>VLOOKUP(B821,'Coverage Indicators - Section D'!$A$9:$AU$70,47,FALSE)</f>
        <v>TCP-6a Número de casos de tuberculosis (en todas sus formas) notificados entre reclusos.</v>
      </c>
      <c r="D821" s="768" t="str">
        <f>R821</f>
        <v/>
      </c>
      <c r="E821" s="768" t="str">
        <f>S821</f>
        <v/>
      </c>
      <c r="F821" s="413"/>
      <c r="G821" s="762" t="str">
        <f ca="1">IF(OR(INDIRECT("'update Helper'!E"&amp;U821)="",F821&lt;&gt;0,F822&lt;&gt;0),IF(IFERROR((F821/F822),"")="","",(F821/F822)),INDIRECT("'update Helper'!E"&amp;U821)/100)</f>
        <v/>
      </c>
      <c r="H821" s="743"/>
      <c r="I821" s="764"/>
      <c r="J821" s="729"/>
      <c r="K821" s="760" t="str">
        <f>W821</f>
        <v>TCP-6a Number of TB cases (all forms) notified among prisoners</v>
      </c>
      <c r="L821" s="760" t="str">
        <f>V821</f>
        <v/>
      </c>
      <c r="M821" s="729"/>
      <c r="N821" s="729"/>
      <c r="P821" s="194">
        <f>IF(AND(EXACT(C821,C819),C819&lt;&gt;0),P819+1,0)</f>
        <v>0</v>
      </c>
      <c r="Q821" s="194" t="str">
        <f>IF(C821&lt;&gt;"",C821&amp;"-"&amp;P821,"")</f>
        <v>TCP-6a Número de casos de tuberculosis (en todas sus formas) notificados entre reclusos.-0</v>
      </c>
      <c r="R821" s="194" t="str">
        <f t="array" ref="R821">IFERROR(IF(INDEX('Disaggregation Records'!$E$155:$E$385,MATCH(RIGHT(Q821,255),RIGHT('Disaggregation Records'!$D$155:$D$385,255),0))="","",INDEX('Disaggregation Records'!$E$155:$E$385,MATCH(RIGHT(Q821,255),RIGHT('Disaggregation Records'!$D$155:$D$385,255),0))),"")</f>
        <v/>
      </c>
      <c r="S821" s="194" t="str">
        <f t="array" ref="S821">IFERROR(IF(INDEX('Disaggregation Records'!$F$155:$F$385,MATCH(RIGHT(Q821,255),RIGHT('Disaggregation Records'!$D$155:$D$385,255),0))="","",INDEX('Disaggregation Records'!$F$155:$F$385,MATCH(RIGHT(Q821,255),RIGHT('Disaggregation Records'!$D$155:$D$385,255),0))),"")</f>
        <v/>
      </c>
      <c r="T821" s="194" t="str">
        <f t="array" ref="T821">IFERROR(IF(INDEX('Disaggregation Records'!$H$155:$H$385,MATCH(RIGHT(Q821,255),RIGHT('Disaggregation Records'!$D$155:$D$385,255),0))="","",INDEX('Disaggregation Records'!$H$155:$H$385,MATCH(RIGHT(Q821,255),RIGHT('Disaggregation Records'!$D$155:$D$385,255),0))),"")</f>
        <v/>
      </c>
      <c r="U821" s="194">
        <f>U819+1</f>
        <v>2600</v>
      </c>
      <c r="V821" s="194" t="str">
        <f t="array" ref="V821">IFERROR(IF(INDEX('Disaggregation Records'!$I$155:$I$385,MATCH(RIGHT(Q821,255),RIGHT('Disaggregation Records'!$D$155:$D$385,255),0))="","",INDEX('Disaggregation Records'!$I$155:$I$385,MATCH(RIGHT(Q821,255),RIGHT('Disaggregation Records'!$D$155:$D$385,255),0))),"")</f>
        <v/>
      </c>
      <c r="W821" s="194" t="str">
        <f>IFERROR(INDEX('Reference Records'!L$77:L$157,MATCH(LEFT(C821,255),'Reference Records'!E$77:E$157,0)),"")</f>
        <v>TCP-6a Number of TB cases (all forms) notified among prisoners</v>
      </c>
    </row>
    <row r="822" spans="1:23" s="194" customFormat="1" ht="40.4" customHeight="1" x14ac:dyDescent="0.35">
      <c r="A822" s="770"/>
      <c r="B822" s="767"/>
      <c r="C822" s="761"/>
      <c r="D822" s="769"/>
      <c r="E822" s="769"/>
      <c r="F822" s="208"/>
      <c r="G822" s="763"/>
      <c r="H822" s="744"/>
      <c r="I822" s="765"/>
      <c r="J822" s="730"/>
      <c r="K822" s="761"/>
      <c r="L822" s="761"/>
      <c r="M822" s="730"/>
      <c r="N822" s="730"/>
    </row>
    <row r="823" spans="1:23" s="194" customFormat="1" ht="40.4" customHeight="1" x14ac:dyDescent="0.35">
      <c r="A823" s="770" t="str">
        <f ca="1">INDIRECT("'update Helper'!C"&amp;U823)</f>
        <v>a163p000004NtVvAAK</v>
      </c>
      <c r="B823" s="766">
        <v>6</v>
      </c>
      <c r="C823" s="760" t="str">
        <f>VLOOKUP(B823,'Coverage Indicators - Section D'!$A$9:$AU$70,47,FALSE)</f>
        <v>TCP-6a Número de casos de tuberculosis (en todas sus formas) notificados entre reclusos.</v>
      </c>
      <c r="D823" s="768" t="str">
        <f>R823</f>
        <v/>
      </c>
      <c r="E823" s="768" t="str">
        <f>S823</f>
        <v/>
      </c>
      <c r="F823" s="413"/>
      <c r="G823" s="762" t="str">
        <f ca="1">IF(OR(INDIRECT("'update Helper'!E"&amp;U823)="",F823&lt;&gt;0,F824&lt;&gt;0),IF(IFERROR((F823/F824),"")="","",(F823/F824)),INDIRECT("'update Helper'!E"&amp;U823)/100)</f>
        <v/>
      </c>
      <c r="H823" s="743"/>
      <c r="I823" s="764"/>
      <c r="J823" s="729"/>
      <c r="K823" s="760" t="str">
        <f>W823</f>
        <v>TCP-6a Number of TB cases (all forms) notified among prisoners</v>
      </c>
      <c r="L823" s="760" t="str">
        <f>V823</f>
        <v/>
      </c>
      <c r="M823" s="729"/>
      <c r="N823" s="729"/>
      <c r="P823" s="194">
        <f>IF(AND(EXACT(C823,C821),C821&lt;&gt;0),P821+1,0)</f>
        <v>1</v>
      </c>
      <c r="Q823" s="194" t="str">
        <f>IF(C823&lt;&gt;"",C823&amp;"-"&amp;P823,"")</f>
        <v>TCP-6a Número de casos de tuberculosis (en todas sus formas) notificados entre reclusos.-1</v>
      </c>
      <c r="R823" s="194" t="str">
        <f t="array" ref="R823">IFERROR(IF(INDEX('Disaggregation Records'!$E$155:$E$385,MATCH(RIGHT(Q823,255),RIGHT('Disaggregation Records'!$D$155:$D$385,255),0))="","",INDEX('Disaggregation Records'!$E$155:$E$385,MATCH(RIGHT(Q823,255),RIGHT('Disaggregation Records'!$D$155:$D$385,255),0))),"")</f>
        <v/>
      </c>
      <c r="S823" s="194" t="str">
        <f t="array" ref="S823">IFERROR(IF(INDEX('Disaggregation Records'!$F$155:$F$385,MATCH(RIGHT(Q823,255),RIGHT('Disaggregation Records'!$D$155:$D$385,255),0))="","",INDEX('Disaggregation Records'!$F$155:$F$385,MATCH(RIGHT(Q823,255),RIGHT('Disaggregation Records'!$D$155:$D$385,255),0))),"")</f>
        <v/>
      </c>
      <c r="T823" s="194" t="str">
        <f t="array" ref="T823">IFERROR(IF(INDEX('Disaggregation Records'!$H$155:$H$385,MATCH(RIGHT(Q823,255),RIGHT('Disaggregation Records'!$D$155:$D$385,255),0))="","",INDEX('Disaggregation Records'!$H$155:$H$385,MATCH(RIGHT(Q823,255),RIGHT('Disaggregation Records'!$D$155:$D$385,255),0))),"")</f>
        <v/>
      </c>
      <c r="U823" s="194">
        <f>U821+1</f>
        <v>2601</v>
      </c>
      <c r="V823" s="194" t="str">
        <f t="array" ref="V823">IFERROR(IF(INDEX('Disaggregation Records'!$I$155:$I$385,MATCH(RIGHT(Q823,255),RIGHT('Disaggregation Records'!$D$155:$D$385,255),0))="","",INDEX('Disaggregation Records'!$I$155:$I$385,MATCH(RIGHT(Q823,255),RIGHT('Disaggregation Records'!$D$155:$D$385,255),0))),"")</f>
        <v/>
      </c>
      <c r="W823" s="194" t="str">
        <f>IFERROR(INDEX('Reference Records'!L$77:L$157,MATCH(LEFT(C823,255),'Reference Records'!E$77:E$157,0)),"")</f>
        <v>TCP-6a Number of TB cases (all forms) notified among prisoners</v>
      </c>
    </row>
    <row r="824" spans="1:23" s="194" customFormat="1" ht="40.4" customHeight="1" x14ac:dyDescent="0.35">
      <c r="A824" s="770"/>
      <c r="B824" s="767"/>
      <c r="C824" s="761"/>
      <c r="D824" s="769"/>
      <c r="E824" s="769"/>
      <c r="F824" s="208"/>
      <c r="G824" s="763"/>
      <c r="H824" s="744"/>
      <c r="I824" s="765"/>
      <c r="J824" s="730"/>
      <c r="K824" s="761"/>
      <c r="L824" s="761"/>
      <c r="M824" s="730"/>
      <c r="N824" s="730"/>
    </row>
    <row r="825" spans="1:23" s="194" customFormat="1" ht="40.4" customHeight="1" x14ac:dyDescent="0.35">
      <c r="A825" s="770" t="str">
        <f ca="1">INDIRECT("'update Helper'!C"&amp;U825)</f>
        <v>a163p000004NtVwAAK</v>
      </c>
      <c r="B825" s="766">
        <v>6</v>
      </c>
      <c r="C825" s="760" t="str">
        <f>VLOOKUP(B825,'Coverage Indicators - Section D'!$A$9:$AU$70,47,FALSE)</f>
        <v>TCP-6a Número de casos de tuberculosis (en todas sus formas) notificados entre reclusos.</v>
      </c>
      <c r="D825" s="768" t="str">
        <f>R825</f>
        <v/>
      </c>
      <c r="E825" s="768" t="str">
        <f>S825</f>
        <v/>
      </c>
      <c r="F825" s="413"/>
      <c r="G825" s="762" t="str">
        <f ca="1">IF(OR(INDIRECT("'update Helper'!E"&amp;U825)="",F825&lt;&gt;0,F826&lt;&gt;0),IF(IFERROR((F825/F826),"")="","",(F825/F826)),INDIRECT("'update Helper'!E"&amp;U825)/100)</f>
        <v/>
      </c>
      <c r="H825" s="743"/>
      <c r="I825" s="764"/>
      <c r="J825" s="729"/>
      <c r="K825" s="760" t="str">
        <f>W825</f>
        <v>TCP-6a Number of TB cases (all forms) notified among prisoners</v>
      </c>
      <c r="L825" s="760" t="str">
        <f>V825</f>
        <v/>
      </c>
      <c r="M825" s="729"/>
      <c r="N825" s="729"/>
      <c r="P825" s="194">
        <f>IF(AND(EXACT(C825,C823),C823&lt;&gt;0),P823+1,0)</f>
        <v>2</v>
      </c>
      <c r="Q825" s="194" t="str">
        <f>IF(C825&lt;&gt;"",C825&amp;"-"&amp;P825,"")</f>
        <v>TCP-6a Número de casos de tuberculosis (en todas sus formas) notificados entre reclusos.-2</v>
      </c>
      <c r="R825" s="194" t="str">
        <f t="array" ref="R825">IFERROR(IF(INDEX('Disaggregation Records'!$E$155:$E$385,MATCH(RIGHT(Q825,255),RIGHT('Disaggregation Records'!$D$155:$D$385,255),0))="","",INDEX('Disaggregation Records'!$E$155:$E$385,MATCH(RIGHT(Q825,255),RIGHT('Disaggregation Records'!$D$155:$D$385,255),0))),"")</f>
        <v/>
      </c>
      <c r="S825" s="194" t="str">
        <f t="array" ref="S825">IFERROR(IF(INDEX('Disaggregation Records'!$F$155:$F$385,MATCH(RIGHT(Q825,255),RIGHT('Disaggregation Records'!$D$155:$D$385,255),0))="","",INDEX('Disaggregation Records'!$F$155:$F$385,MATCH(RIGHT(Q825,255),RIGHT('Disaggregation Records'!$D$155:$D$385,255),0))),"")</f>
        <v/>
      </c>
      <c r="T825" s="194" t="str">
        <f t="array" ref="T825">IFERROR(IF(INDEX('Disaggregation Records'!$H$155:$H$385,MATCH(RIGHT(Q825,255),RIGHT('Disaggregation Records'!$D$155:$D$385,255),0))="","",INDEX('Disaggregation Records'!$H$155:$H$385,MATCH(RIGHT(Q825,255),RIGHT('Disaggregation Records'!$D$155:$D$385,255),0))),"")</f>
        <v/>
      </c>
      <c r="U825" s="194">
        <f>U823+1</f>
        <v>2602</v>
      </c>
      <c r="V825" s="194" t="str">
        <f t="array" ref="V825">IFERROR(IF(INDEX('Disaggregation Records'!$I$155:$I$385,MATCH(RIGHT(Q825,255),RIGHT('Disaggregation Records'!$D$155:$D$385,255),0))="","",INDEX('Disaggregation Records'!$I$155:$I$385,MATCH(RIGHT(Q825,255),RIGHT('Disaggregation Records'!$D$155:$D$385,255),0))),"")</f>
        <v/>
      </c>
      <c r="W825" s="194" t="str">
        <f>IFERROR(INDEX('Reference Records'!L$77:L$157,MATCH(LEFT(C825,255),'Reference Records'!E$77:E$157,0)),"")</f>
        <v>TCP-6a Number of TB cases (all forms) notified among prisoners</v>
      </c>
    </row>
    <row r="826" spans="1:23" s="194" customFormat="1" ht="40.4" customHeight="1" x14ac:dyDescent="0.35">
      <c r="A826" s="770"/>
      <c r="B826" s="767"/>
      <c r="C826" s="761"/>
      <c r="D826" s="769"/>
      <c r="E826" s="769"/>
      <c r="F826" s="208"/>
      <c r="G826" s="763"/>
      <c r="H826" s="744"/>
      <c r="I826" s="765"/>
      <c r="J826" s="730"/>
      <c r="K826" s="761"/>
      <c r="L826" s="761"/>
      <c r="M826" s="730"/>
      <c r="N826" s="730"/>
    </row>
    <row r="827" spans="1:23" s="194" customFormat="1" ht="40.4" customHeight="1" x14ac:dyDescent="0.35">
      <c r="A827" s="770" t="str">
        <f ca="1">INDIRECT("'update Helper'!C"&amp;U827)</f>
        <v>a163p000004NtVxAAK</v>
      </c>
      <c r="B827" s="766">
        <v>6</v>
      </c>
      <c r="C827" s="760" t="str">
        <f>VLOOKUP(B827,'Coverage Indicators - Section D'!$A$9:$AU$70,47,FALSE)</f>
        <v>TCP-6a Número de casos de tuberculosis (en todas sus formas) notificados entre reclusos.</v>
      </c>
      <c r="D827" s="768" t="str">
        <f>R827</f>
        <v/>
      </c>
      <c r="E827" s="768" t="str">
        <f>S827</f>
        <v/>
      </c>
      <c r="F827" s="413"/>
      <c r="G827" s="762" t="str">
        <f ca="1">IF(OR(INDIRECT("'update Helper'!E"&amp;U827)="",F827&lt;&gt;0,F828&lt;&gt;0),IF(IFERROR((F827/F828),"")="","",(F827/F828)),INDIRECT("'update Helper'!E"&amp;U827)/100)</f>
        <v/>
      </c>
      <c r="H827" s="743"/>
      <c r="I827" s="764"/>
      <c r="J827" s="729"/>
      <c r="K827" s="760" t="str">
        <f>W827</f>
        <v>TCP-6a Number of TB cases (all forms) notified among prisoners</v>
      </c>
      <c r="L827" s="760" t="str">
        <f>V827</f>
        <v/>
      </c>
      <c r="M827" s="729"/>
      <c r="N827" s="729"/>
      <c r="P827" s="194">
        <f>IF(AND(EXACT(C827,C825),C825&lt;&gt;0),P825+1,0)</f>
        <v>3</v>
      </c>
      <c r="Q827" s="194" t="str">
        <f>IF(C827&lt;&gt;"",C827&amp;"-"&amp;P827,"")</f>
        <v>TCP-6a Número de casos de tuberculosis (en todas sus formas) notificados entre reclusos.-3</v>
      </c>
      <c r="R827" s="194" t="str">
        <f t="array" ref="R827">IFERROR(IF(INDEX('Disaggregation Records'!$E$155:$E$385,MATCH(RIGHT(Q827,255),RIGHT('Disaggregation Records'!$D$155:$D$385,255),0))="","",INDEX('Disaggregation Records'!$E$155:$E$385,MATCH(RIGHT(Q827,255),RIGHT('Disaggregation Records'!$D$155:$D$385,255),0))),"")</f>
        <v/>
      </c>
      <c r="S827" s="194" t="str">
        <f t="array" ref="S827">IFERROR(IF(INDEX('Disaggregation Records'!$F$155:$F$385,MATCH(RIGHT(Q827,255),RIGHT('Disaggregation Records'!$D$155:$D$385,255),0))="","",INDEX('Disaggregation Records'!$F$155:$F$385,MATCH(RIGHT(Q827,255),RIGHT('Disaggregation Records'!$D$155:$D$385,255),0))),"")</f>
        <v/>
      </c>
      <c r="T827" s="194" t="str">
        <f t="array" ref="T827">IFERROR(IF(INDEX('Disaggregation Records'!$H$155:$H$385,MATCH(RIGHT(Q827,255),RIGHT('Disaggregation Records'!$D$155:$D$385,255),0))="","",INDEX('Disaggregation Records'!$H$155:$H$385,MATCH(RIGHT(Q827,255),RIGHT('Disaggregation Records'!$D$155:$D$385,255),0))),"")</f>
        <v/>
      </c>
      <c r="U827" s="194">
        <f>U825+1</f>
        <v>2603</v>
      </c>
      <c r="V827" s="194" t="str">
        <f t="array" ref="V827">IFERROR(IF(INDEX('Disaggregation Records'!$I$155:$I$385,MATCH(RIGHT(Q827,255),RIGHT('Disaggregation Records'!$D$155:$D$385,255),0))="","",INDEX('Disaggregation Records'!$I$155:$I$385,MATCH(RIGHT(Q827,255),RIGHT('Disaggregation Records'!$D$155:$D$385,255),0))),"")</f>
        <v/>
      </c>
      <c r="W827" s="194" t="str">
        <f>IFERROR(INDEX('Reference Records'!L$77:L$157,MATCH(LEFT(C827,255),'Reference Records'!E$77:E$157,0)),"")</f>
        <v>TCP-6a Number of TB cases (all forms) notified among prisoners</v>
      </c>
    </row>
    <row r="828" spans="1:23" s="194" customFormat="1" ht="40.4" customHeight="1" x14ac:dyDescent="0.35">
      <c r="A828" s="770"/>
      <c r="B828" s="767"/>
      <c r="C828" s="761"/>
      <c r="D828" s="769"/>
      <c r="E828" s="769"/>
      <c r="F828" s="208"/>
      <c r="G828" s="763"/>
      <c r="H828" s="744"/>
      <c r="I828" s="765"/>
      <c r="J828" s="730"/>
      <c r="K828" s="761"/>
      <c r="L828" s="761"/>
      <c r="M828" s="730"/>
      <c r="N828" s="730"/>
    </row>
    <row r="829" spans="1:23" s="194" customFormat="1" ht="40.4" customHeight="1" x14ac:dyDescent="0.35">
      <c r="A829" s="770" t="str">
        <f ca="1">INDIRECT("'update Helper'!C"&amp;U829)</f>
        <v>a163p000004NtVyAAK</v>
      </c>
      <c r="B829" s="766">
        <v>6</v>
      </c>
      <c r="C829" s="760" t="str">
        <f>VLOOKUP(B829,'Coverage Indicators - Section D'!$A$9:$AU$70,47,FALSE)</f>
        <v>TCP-6a Número de casos de tuberculosis (en todas sus formas) notificados entre reclusos.</v>
      </c>
      <c r="D829" s="768" t="str">
        <f>R829</f>
        <v/>
      </c>
      <c r="E829" s="768" t="str">
        <f>S829</f>
        <v/>
      </c>
      <c r="F829" s="413"/>
      <c r="G829" s="762" t="str">
        <f ca="1">IF(OR(INDIRECT("'update Helper'!E"&amp;U829)="",F829&lt;&gt;0,F830&lt;&gt;0),IF(IFERROR((F829/F830),"")="","",(F829/F830)),INDIRECT("'update Helper'!E"&amp;U829)/100)</f>
        <v/>
      </c>
      <c r="H829" s="743"/>
      <c r="I829" s="764"/>
      <c r="J829" s="729"/>
      <c r="K829" s="760" t="str">
        <f>W829</f>
        <v>TCP-6a Number of TB cases (all forms) notified among prisoners</v>
      </c>
      <c r="L829" s="760" t="str">
        <f>V829</f>
        <v/>
      </c>
      <c r="M829" s="729"/>
      <c r="N829" s="729"/>
      <c r="P829" s="194">
        <f>IF(AND(EXACT(C829,C827),C827&lt;&gt;0),P827+1,0)</f>
        <v>4</v>
      </c>
      <c r="Q829" s="194" t="str">
        <f>IF(C829&lt;&gt;"",C829&amp;"-"&amp;P829,"")</f>
        <v>TCP-6a Número de casos de tuberculosis (en todas sus formas) notificados entre reclusos.-4</v>
      </c>
      <c r="R829" s="194" t="str">
        <f t="array" ref="R829">IFERROR(IF(INDEX('Disaggregation Records'!$E$155:$E$385,MATCH(RIGHT(Q829,255),RIGHT('Disaggregation Records'!$D$155:$D$385,255),0))="","",INDEX('Disaggregation Records'!$E$155:$E$385,MATCH(RIGHT(Q829,255),RIGHT('Disaggregation Records'!$D$155:$D$385,255),0))),"")</f>
        <v/>
      </c>
      <c r="S829" s="194" t="str">
        <f t="array" ref="S829">IFERROR(IF(INDEX('Disaggregation Records'!$F$155:$F$385,MATCH(RIGHT(Q829,255),RIGHT('Disaggregation Records'!$D$155:$D$385,255),0))="","",INDEX('Disaggregation Records'!$F$155:$F$385,MATCH(RIGHT(Q829,255),RIGHT('Disaggregation Records'!$D$155:$D$385,255),0))),"")</f>
        <v/>
      </c>
      <c r="T829" s="194" t="str">
        <f t="array" ref="T829">IFERROR(IF(INDEX('Disaggregation Records'!$H$155:$H$385,MATCH(RIGHT(Q829,255),RIGHT('Disaggregation Records'!$D$155:$D$385,255),0))="","",INDEX('Disaggregation Records'!$H$155:$H$385,MATCH(RIGHT(Q829,255),RIGHT('Disaggregation Records'!$D$155:$D$385,255),0))),"")</f>
        <v/>
      </c>
      <c r="U829" s="194">
        <f>U827+1</f>
        <v>2604</v>
      </c>
      <c r="V829" s="194" t="str">
        <f t="array" ref="V829">IFERROR(IF(INDEX('Disaggregation Records'!$I$155:$I$385,MATCH(RIGHT(Q829,255),RIGHT('Disaggregation Records'!$D$155:$D$385,255),0))="","",INDEX('Disaggregation Records'!$I$155:$I$385,MATCH(RIGHT(Q829,255),RIGHT('Disaggregation Records'!$D$155:$D$385,255),0))),"")</f>
        <v/>
      </c>
      <c r="W829" s="194" t="str">
        <f>IFERROR(INDEX('Reference Records'!L$77:L$157,MATCH(LEFT(C829,255),'Reference Records'!E$77:E$157,0)),"")</f>
        <v>TCP-6a Number of TB cases (all forms) notified among prisoners</v>
      </c>
    </row>
    <row r="830" spans="1:23" s="194" customFormat="1" ht="40.4" customHeight="1" x14ac:dyDescent="0.35">
      <c r="A830" s="770"/>
      <c r="B830" s="767"/>
      <c r="C830" s="761"/>
      <c r="D830" s="769"/>
      <c r="E830" s="769"/>
      <c r="F830" s="208"/>
      <c r="G830" s="763"/>
      <c r="H830" s="744"/>
      <c r="I830" s="765"/>
      <c r="J830" s="730"/>
      <c r="K830" s="761"/>
      <c r="L830" s="761"/>
      <c r="M830" s="730"/>
      <c r="N830" s="730"/>
    </row>
    <row r="831" spans="1:23" s="194" customFormat="1" ht="40.4" customHeight="1" x14ac:dyDescent="0.35">
      <c r="A831" s="770" t="str">
        <f ca="1">INDIRECT("'update Helper'!C"&amp;U831)</f>
        <v>a163p000004NtVzAAK</v>
      </c>
      <c r="B831" s="766">
        <v>6</v>
      </c>
      <c r="C831" s="760" t="str">
        <f>VLOOKUP(B831,'Coverage Indicators - Section D'!$A$9:$AU$70,47,FALSE)</f>
        <v>TCP-6a Número de casos de tuberculosis (en todas sus formas) notificados entre reclusos.</v>
      </c>
      <c r="D831" s="768" t="str">
        <f>R831</f>
        <v/>
      </c>
      <c r="E831" s="768" t="str">
        <f>S831</f>
        <v/>
      </c>
      <c r="F831" s="413"/>
      <c r="G831" s="762" t="str">
        <f ca="1">IF(OR(INDIRECT("'update Helper'!E"&amp;U831)="",F831&lt;&gt;0,F832&lt;&gt;0),IF(IFERROR((F831/F832),"")="","",(F831/F832)),INDIRECT("'update Helper'!E"&amp;U831)/100)</f>
        <v/>
      </c>
      <c r="H831" s="743"/>
      <c r="I831" s="764"/>
      <c r="J831" s="729"/>
      <c r="K831" s="760" t="str">
        <f>W831</f>
        <v>TCP-6a Number of TB cases (all forms) notified among prisoners</v>
      </c>
      <c r="L831" s="760" t="str">
        <f>V831</f>
        <v/>
      </c>
      <c r="M831" s="729"/>
      <c r="N831" s="729"/>
      <c r="P831" s="194">
        <f>IF(AND(EXACT(C831,C829),C829&lt;&gt;0),P829+1,0)</f>
        <v>5</v>
      </c>
      <c r="Q831" s="194" t="str">
        <f>IF(C831&lt;&gt;"",C831&amp;"-"&amp;P831,"")</f>
        <v>TCP-6a Número de casos de tuberculosis (en todas sus formas) notificados entre reclusos.-5</v>
      </c>
      <c r="R831" s="194" t="str">
        <f t="array" ref="R831">IFERROR(IF(INDEX('Disaggregation Records'!$E$155:$E$385,MATCH(RIGHT(Q831,255),RIGHT('Disaggregation Records'!$D$155:$D$385,255),0))="","",INDEX('Disaggregation Records'!$E$155:$E$385,MATCH(RIGHT(Q831,255),RIGHT('Disaggregation Records'!$D$155:$D$385,255),0))),"")</f>
        <v/>
      </c>
      <c r="S831" s="194" t="str">
        <f t="array" ref="S831">IFERROR(IF(INDEX('Disaggregation Records'!$F$155:$F$385,MATCH(RIGHT(Q831,255),RIGHT('Disaggregation Records'!$D$155:$D$385,255),0))="","",INDEX('Disaggregation Records'!$F$155:$F$385,MATCH(RIGHT(Q831,255),RIGHT('Disaggregation Records'!$D$155:$D$385,255),0))),"")</f>
        <v/>
      </c>
      <c r="T831" s="194" t="str">
        <f t="array" ref="T831">IFERROR(IF(INDEX('Disaggregation Records'!$H$155:$H$385,MATCH(RIGHT(Q831,255),RIGHT('Disaggregation Records'!$D$155:$D$385,255),0))="","",INDEX('Disaggregation Records'!$H$155:$H$385,MATCH(RIGHT(Q831,255),RIGHT('Disaggregation Records'!$D$155:$D$385,255),0))),"")</f>
        <v/>
      </c>
      <c r="U831" s="194">
        <f>U829+1</f>
        <v>2605</v>
      </c>
      <c r="V831" s="194" t="str">
        <f t="array" ref="V831">IFERROR(IF(INDEX('Disaggregation Records'!$I$155:$I$385,MATCH(RIGHT(Q831,255),RIGHT('Disaggregation Records'!$D$155:$D$385,255),0))="","",INDEX('Disaggregation Records'!$I$155:$I$385,MATCH(RIGHT(Q831,255),RIGHT('Disaggregation Records'!$D$155:$D$385,255),0))),"")</f>
        <v/>
      </c>
      <c r="W831" s="194" t="str">
        <f>IFERROR(INDEX('Reference Records'!L$77:L$157,MATCH(LEFT(C831,255),'Reference Records'!E$77:E$157,0)),"")</f>
        <v>TCP-6a Number of TB cases (all forms) notified among prisoners</v>
      </c>
    </row>
    <row r="832" spans="1:23" s="194" customFormat="1" ht="40.4" customHeight="1" x14ac:dyDescent="0.35">
      <c r="A832" s="770"/>
      <c r="B832" s="767"/>
      <c r="C832" s="761"/>
      <c r="D832" s="769"/>
      <c r="E832" s="769"/>
      <c r="F832" s="208"/>
      <c r="G832" s="763"/>
      <c r="H832" s="744"/>
      <c r="I832" s="765"/>
      <c r="J832" s="730"/>
      <c r="K832" s="761"/>
      <c r="L832" s="761"/>
      <c r="M832" s="730"/>
      <c r="N832" s="730"/>
    </row>
    <row r="833" spans="1:23" s="194" customFormat="1" ht="40.4" customHeight="1" x14ac:dyDescent="0.35">
      <c r="A833" s="770" t="str">
        <f ca="1">INDIRECT("'update Helper'!C"&amp;U833)</f>
        <v>a163p000004NtW0AAK</v>
      </c>
      <c r="B833" s="766">
        <v>6</v>
      </c>
      <c r="C833" s="760" t="str">
        <f>VLOOKUP(B833,'Coverage Indicators - Section D'!$A$9:$AU$70,47,FALSE)</f>
        <v>TCP-6a Número de casos de tuberculosis (en todas sus formas) notificados entre reclusos.</v>
      </c>
      <c r="D833" s="768" t="str">
        <f>R833</f>
        <v/>
      </c>
      <c r="E833" s="768" t="str">
        <f>S833</f>
        <v/>
      </c>
      <c r="F833" s="413"/>
      <c r="G833" s="762" t="str">
        <f ca="1">IF(OR(INDIRECT("'update Helper'!E"&amp;U833)="",F833&lt;&gt;0,F834&lt;&gt;0),IF(IFERROR((F833/F834),"")="","",(F833/F834)),INDIRECT("'update Helper'!E"&amp;U833)/100)</f>
        <v/>
      </c>
      <c r="H833" s="743"/>
      <c r="I833" s="764"/>
      <c r="J833" s="729"/>
      <c r="K833" s="760" t="str">
        <f>W833</f>
        <v>TCP-6a Number of TB cases (all forms) notified among prisoners</v>
      </c>
      <c r="L833" s="760" t="str">
        <f>V833</f>
        <v/>
      </c>
      <c r="M833" s="729"/>
      <c r="N833" s="729"/>
      <c r="P833" s="194">
        <f>IF(AND(EXACT(C833,C831),C831&lt;&gt;0),P831+1,0)</f>
        <v>6</v>
      </c>
      <c r="Q833" s="194" t="str">
        <f>IF(C833&lt;&gt;"",C833&amp;"-"&amp;P833,"")</f>
        <v>TCP-6a Número de casos de tuberculosis (en todas sus formas) notificados entre reclusos.-6</v>
      </c>
      <c r="R833" s="194" t="str">
        <f t="array" ref="R833">IFERROR(IF(INDEX('Disaggregation Records'!$E$155:$E$385,MATCH(RIGHT(Q833,255),RIGHT('Disaggregation Records'!$D$155:$D$385,255),0))="","",INDEX('Disaggregation Records'!$E$155:$E$385,MATCH(RIGHT(Q833,255),RIGHT('Disaggregation Records'!$D$155:$D$385,255),0))),"")</f>
        <v/>
      </c>
      <c r="S833" s="194" t="str">
        <f t="array" ref="S833">IFERROR(IF(INDEX('Disaggregation Records'!$F$155:$F$385,MATCH(RIGHT(Q833,255),RIGHT('Disaggregation Records'!$D$155:$D$385,255),0))="","",INDEX('Disaggregation Records'!$F$155:$F$385,MATCH(RIGHT(Q833,255),RIGHT('Disaggregation Records'!$D$155:$D$385,255),0))),"")</f>
        <v/>
      </c>
      <c r="T833" s="194" t="str">
        <f t="array" ref="T833">IFERROR(IF(INDEX('Disaggregation Records'!$H$155:$H$385,MATCH(RIGHT(Q833,255),RIGHT('Disaggregation Records'!$D$155:$D$385,255),0))="","",INDEX('Disaggregation Records'!$H$155:$H$385,MATCH(RIGHT(Q833,255),RIGHT('Disaggregation Records'!$D$155:$D$385,255),0))),"")</f>
        <v/>
      </c>
      <c r="U833" s="194">
        <f>U831+1</f>
        <v>2606</v>
      </c>
      <c r="V833" s="194" t="str">
        <f t="array" ref="V833">IFERROR(IF(INDEX('Disaggregation Records'!$I$155:$I$385,MATCH(RIGHT(Q833,255),RIGHT('Disaggregation Records'!$D$155:$D$385,255),0))="","",INDEX('Disaggregation Records'!$I$155:$I$385,MATCH(RIGHT(Q833,255),RIGHT('Disaggregation Records'!$D$155:$D$385,255),0))),"")</f>
        <v/>
      </c>
      <c r="W833" s="194" t="str">
        <f>IFERROR(INDEX('Reference Records'!L$77:L$157,MATCH(LEFT(C833,255),'Reference Records'!E$77:E$157,0)),"")</f>
        <v>TCP-6a Number of TB cases (all forms) notified among prisoners</v>
      </c>
    </row>
    <row r="834" spans="1:23" s="194" customFormat="1" ht="40.4" customHeight="1" x14ac:dyDescent="0.35">
      <c r="A834" s="770"/>
      <c r="B834" s="767"/>
      <c r="C834" s="761"/>
      <c r="D834" s="769"/>
      <c r="E834" s="769"/>
      <c r="F834" s="208"/>
      <c r="G834" s="763"/>
      <c r="H834" s="744"/>
      <c r="I834" s="765"/>
      <c r="J834" s="730"/>
      <c r="K834" s="761"/>
      <c r="L834" s="761"/>
      <c r="M834" s="730"/>
      <c r="N834" s="730"/>
    </row>
    <row r="835" spans="1:23" s="194" customFormat="1" ht="40.4" customHeight="1" x14ac:dyDescent="0.35">
      <c r="A835" s="770" t="str">
        <f ca="1">INDIRECT("'update Helper'!C"&amp;U835)</f>
        <v>a163p000004NtW1AAK</v>
      </c>
      <c r="B835" s="766">
        <v>6</v>
      </c>
      <c r="C835" s="760" t="str">
        <f>VLOOKUP(B835,'Coverage Indicators - Section D'!$A$9:$AU$70,47,FALSE)</f>
        <v>TCP-6a Número de casos de tuberculosis (en todas sus formas) notificados entre reclusos.</v>
      </c>
      <c r="D835" s="768" t="str">
        <f>R835</f>
        <v/>
      </c>
      <c r="E835" s="768" t="str">
        <f>S835</f>
        <v/>
      </c>
      <c r="F835" s="413"/>
      <c r="G835" s="762" t="str">
        <f ca="1">IF(OR(INDIRECT("'update Helper'!E"&amp;U835)="",F835&lt;&gt;0,F836&lt;&gt;0),IF(IFERROR((F835/F836),"")="","",(F835/F836)),INDIRECT("'update Helper'!E"&amp;U835)/100)</f>
        <v/>
      </c>
      <c r="H835" s="743"/>
      <c r="I835" s="764"/>
      <c r="J835" s="729"/>
      <c r="K835" s="760" t="str">
        <f>W835</f>
        <v>TCP-6a Number of TB cases (all forms) notified among prisoners</v>
      </c>
      <c r="L835" s="760" t="str">
        <f>V835</f>
        <v/>
      </c>
      <c r="M835" s="729"/>
      <c r="N835" s="729"/>
      <c r="P835" s="194">
        <f>IF(AND(EXACT(C835,C833),C833&lt;&gt;0),P833+1,0)</f>
        <v>7</v>
      </c>
      <c r="Q835" s="194" t="str">
        <f>IF(C835&lt;&gt;"",C835&amp;"-"&amp;P835,"")</f>
        <v>TCP-6a Número de casos de tuberculosis (en todas sus formas) notificados entre reclusos.-7</v>
      </c>
      <c r="R835" s="194" t="str">
        <f t="array" ref="R835">IFERROR(IF(INDEX('Disaggregation Records'!$E$155:$E$385,MATCH(RIGHT(Q835,255),RIGHT('Disaggregation Records'!$D$155:$D$385,255),0))="","",INDEX('Disaggregation Records'!$E$155:$E$385,MATCH(RIGHT(Q835,255),RIGHT('Disaggregation Records'!$D$155:$D$385,255),0))),"")</f>
        <v/>
      </c>
      <c r="S835" s="194" t="str">
        <f t="array" ref="S835">IFERROR(IF(INDEX('Disaggregation Records'!$F$155:$F$385,MATCH(RIGHT(Q835,255),RIGHT('Disaggregation Records'!$D$155:$D$385,255),0))="","",INDEX('Disaggregation Records'!$F$155:$F$385,MATCH(RIGHT(Q835,255),RIGHT('Disaggregation Records'!$D$155:$D$385,255),0))),"")</f>
        <v/>
      </c>
      <c r="T835" s="194" t="str">
        <f t="array" ref="T835">IFERROR(IF(INDEX('Disaggregation Records'!$H$155:$H$385,MATCH(RIGHT(Q835,255),RIGHT('Disaggregation Records'!$D$155:$D$385,255),0))="","",INDEX('Disaggregation Records'!$H$155:$H$385,MATCH(RIGHT(Q835,255),RIGHT('Disaggregation Records'!$D$155:$D$385,255),0))),"")</f>
        <v/>
      </c>
      <c r="U835" s="194">
        <f>U833+1</f>
        <v>2607</v>
      </c>
      <c r="V835" s="194" t="str">
        <f t="array" ref="V835">IFERROR(IF(INDEX('Disaggregation Records'!$I$155:$I$385,MATCH(RIGHT(Q835,255),RIGHT('Disaggregation Records'!$D$155:$D$385,255),0))="","",INDEX('Disaggregation Records'!$I$155:$I$385,MATCH(RIGHT(Q835,255),RIGHT('Disaggregation Records'!$D$155:$D$385,255),0))),"")</f>
        <v/>
      </c>
      <c r="W835" s="194" t="str">
        <f>IFERROR(INDEX('Reference Records'!L$77:L$157,MATCH(LEFT(C835,255),'Reference Records'!E$77:E$157,0)),"")</f>
        <v>TCP-6a Number of TB cases (all forms) notified among prisoners</v>
      </c>
    </row>
    <row r="836" spans="1:23" s="194" customFormat="1" ht="40.4" customHeight="1" x14ac:dyDescent="0.35">
      <c r="A836" s="770"/>
      <c r="B836" s="767"/>
      <c r="C836" s="761"/>
      <c r="D836" s="769"/>
      <c r="E836" s="769"/>
      <c r="F836" s="208"/>
      <c r="G836" s="763"/>
      <c r="H836" s="744"/>
      <c r="I836" s="765"/>
      <c r="J836" s="730"/>
      <c r="K836" s="761"/>
      <c r="L836" s="761"/>
      <c r="M836" s="730"/>
      <c r="N836" s="730"/>
    </row>
    <row r="837" spans="1:23" s="194" customFormat="1" ht="40.4" customHeight="1" x14ac:dyDescent="0.35">
      <c r="A837" s="770" t="str">
        <f ca="1">INDIRECT("'update Helper'!C"&amp;U837)</f>
        <v>a163p000004NtW2AAK</v>
      </c>
      <c r="B837" s="766">
        <v>6</v>
      </c>
      <c r="C837" s="760" t="str">
        <f>VLOOKUP(B837,'Coverage Indicators - Section D'!$A$9:$AU$70,47,FALSE)</f>
        <v>TCP-6a Número de casos de tuberculosis (en todas sus formas) notificados entre reclusos.</v>
      </c>
      <c r="D837" s="768" t="str">
        <f>R837</f>
        <v/>
      </c>
      <c r="E837" s="768" t="str">
        <f>S837</f>
        <v/>
      </c>
      <c r="F837" s="413"/>
      <c r="G837" s="762" t="str">
        <f ca="1">IF(OR(INDIRECT("'update Helper'!E"&amp;U837)="",F837&lt;&gt;0,F838&lt;&gt;0),IF(IFERROR((F837/F838),"")="","",(F837/F838)),INDIRECT("'update Helper'!E"&amp;U837)/100)</f>
        <v/>
      </c>
      <c r="H837" s="743"/>
      <c r="I837" s="764"/>
      <c r="J837" s="729"/>
      <c r="K837" s="760" t="str">
        <f>W837</f>
        <v>TCP-6a Number of TB cases (all forms) notified among prisoners</v>
      </c>
      <c r="L837" s="760" t="str">
        <f>V837</f>
        <v/>
      </c>
      <c r="M837" s="729"/>
      <c r="N837" s="729"/>
      <c r="P837" s="194">
        <f>IF(AND(EXACT(C837,C835),C835&lt;&gt;0),P835+1,0)</f>
        <v>8</v>
      </c>
      <c r="Q837" s="194" t="str">
        <f>IF(C837&lt;&gt;"",C837&amp;"-"&amp;P837,"")</f>
        <v>TCP-6a Número de casos de tuberculosis (en todas sus formas) notificados entre reclusos.-8</v>
      </c>
      <c r="R837" s="194" t="str">
        <f t="array" ref="R837">IFERROR(IF(INDEX('Disaggregation Records'!$E$155:$E$385,MATCH(RIGHT(Q837,255),RIGHT('Disaggregation Records'!$D$155:$D$385,255),0))="","",INDEX('Disaggregation Records'!$E$155:$E$385,MATCH(RIGHT(Q837,255),RIGHT('Disaggregation Records'!$D$155:$D$385,255),0))),"")</f>
        <v/>
      </c>
      <c r="S837" s="194" t="str">
        <f t="array" ref="S837">IFERROR(IF(INDEX('Disaggregation Records'!$F$155:$F$385,MATCH(RIGHT(Q837,255),RIGHT('Disaggregation Records'!$D$155:$D$385,255),0))="","",INDEX('Disaggregation Records'!$F$155:$F$385,MATCH(RIGHT(Q837,255),RIGHT('Disaggregation Records'!$D$155:$D$385,255),0))),"")</f>
        <v/>
      </c>
      <c r="T837" s="194" t="str">
        <f t="array" ref="T837">IFERROR(IF(INDEX('Disaggregation Records'!$H$155:$H$385,MATCH(RIGHT(Q837,255),RIGHT('Disaggregation Records'!$D$155:$D$385,255),0))="","",INDEX('Disaggregation Records'!$H$155:$H$385,MATCH(RIGHT(Q837,255),RIGHT('Disaggregation Records'!$D$155:$D$385,255),0))),"")</f>
        <v/>
      </c>
      <c r="U837" s="194">
        <f>U835+1</f>
        <v>2608</v>
      </c>
      <c r="V837" s="194" t="str">
        <f t="array" ref="V837">IFERROR(IF(INDEX('Disaggregation Records'!$I$155:$I$385,MATCH(RIGHT(Q837,255),RIGHT('Disaggregation Records'!$D$155:$D$385,255),0))="","",INDEX('Disaggregation Records'!$I$155:$I$385,MATCH(RIGHT(Q837,255),RIGHT('Disaggregation Records'!$D$155:$D$385,255),0))),"")</f>
        <v/>
      </c>
      <c r="W837" s="194" t="str">
        <f>IFERROR(INDEX('Reference Records'!L$77:L$157,MATCH(LEFT(C837,255),'Reference Records'!E$77:E$157,0)),"")</f>
        <v>TCP-6a Number of TB cases (all forms) notified among prisoners</v>
      </c>
    </row>
    <row r="838" spans="1:23" s="194" customFormat="1" ht="40.4" customHeight="1" x14ac:dyDescent="0.35">
      <c r="A838" s="770"/>
      <c r="B838" s="767"/>
      <c r="C838" s="761"/>
      <c r="D838" s="769"/>
      <c r="E838" s="769"/>
      <c r="F838" s="208"/>
      <c r="G838" s="763"/>
      <c r="H838" s="744"/>
      <c r="I838" s="765"/>
      <c r="J838" s="730"/>
      <c r="K838" s="761"/>
      <c r="L838" s="761"/>
      <c r="M838" s="730"/>
      <c r="N838" s="730"/>
    </row>
    <row r="839" spans="1:23" s="194" customFormat="1" ht="40.4" customHeight="1" x14ac:dyDescent="0.35">
      <c r="A839" s="770" t="str">
        <f ca="1">INDIRECT("'update Helper'!C"&amp;U839)</f>
        <v>a163p000004NtW3AAK</v>
      </c>
      <c r="B839" s="766">
        <v>6</v>
      </c>
      <c r="C839" s="760" t="str">
        <f>VLOOKUP(B839,'Coverage Indicators - Section D'!$A$9:$AU$70,47,FALSE)</f>
        <v>TCP-6a Número de casos de tuberculosis (en todas sus formas) notificados entre reclusos.</v>
      </c>
      <c r="D839" s="768" t="str">
        <f>R839</f>
        <v/>
      </c>
      <c r="E839" s="768" t="str">
        <f>S839</f>
        <v/>
      </c>
      <c r="F839" s="413"/>
      <c r="G839" s="762" t="str">
        <f ca="1">IF(OR(INDIRECT("'update Helper'!E"&amp;U839)="",F839&lt;&gt;0,F840&lt;&gt;0),IF(IFERROR((F839/F840),"")="","",(F839/F840)),INDIRECT("'update Helper'!E"&amp;U839)/100)</f>
        <v/>
      </c>
      <c r="H839" s="743"/>
      <c r="I839" s="764"/>
      <c r="J839" s="729"/>
      <c r="K839" s="760" t="str">
        <f>W839</f>
        <v>TCP-6a Number of TB cases (all forms) notified among prisoners</v>
      </c>
      <c r="L839" s="760" t="str">
        <f>V839</f>
        <v/>
      </c>
      <c r="M839" s="729"/>
      <c r="N839" s="729"/>
      <c r="P839" s="194">
        <f>IF(AND(EXACT(C839,C837),C837&lt;&gt;0),P837+1,0)</f>
        <v>9</v>
      </c>
      <c r="Q839" s="194" t="str">
        <f>IF(C839&lt;&gt;"",C839&amp;"-"&amp;P839,"")</f>
        <v>TCP-6a Número de casos de tuberculosis (en todas sus formas) notificados entre reclusos.-9</v>
      </c>
      <c r="R839" s="194" t="str">
        <f t="array" ref="R839">IFERROR(IF(INDEX('Disaggregation Records'!$E$155:$E$385,MATCH(RIGHT(Q839,255),RIGHT('Disaggregation Records'!$D$155:$D$385,255),0))="","",INDEX('Disaggregation Records'!$E$155:$E$385,MATCH(RIGHT(Q839,255),RIGHT('Disaggregation Records'!$D$155:$D$385,255),0))),"")</f>
        <v/>
      </c>
      <c r="S839" s="194" t="str">
        <f t="array" ref="S839">IFERROR(IF(INDEX('Disaggregation Records'!$F$155:$F$385,MATCH(RIGHT(Q839,255),RIGHT('Disaggregation Records'!$D$155:$D$385,255),0))="","",INDEX('Disaggregation Records'!$F$155:$F$385,MATCH(RIGHT(Q839,255),RIGHT('Disaggregation Records'!$D$155:$D$385,255),0))),"")</f>
        <v/>
      </c>
      <c r="T839" s="194" t="str">
        <f t="array" ref="T839">IFERROR(IF(INDEX('Disaggregation Records'!$H$155:$H$385,MATCH(RIGHT(Q839,255),RIGHT('Disaggregation Records'!$D$155:$D$385,255),0))="","",INDEX('Disaggregation Records'!$H$155:$H$385,MATCH(RIGHT(Q839,255),RIGHT('Disaggregation Records'!$D$155:$D$385,255),0))),"")</f>
        <v/>
      </c>
      <c r="U839" s="194">
        <f>U837+1</f>
        <v>2609</v>
      </c>
      <c r="V839" s="194" t="str">
        <f t="array" ref="V839">IFERROR(IF(INDEX('Disaggregation Records'!$I$155:$I$385,MATCH(RIGHT(Q839,255),RIGHT('Disaggregation Records'!$D$155:$D$385,255),0))="","",INDEX('Disaggregation Records'!$I$155:$I$385,MATCH(RIGHT(Q839,255),RIGHT('Disaggregation Records'!$D$155:$D$385,255),0))),"")</f>
        <v/>
      </c>
      <c r="W839" s="194" t="str">
        <f>IFERROR(INDEX('Reference Records'!L$77:L$157,MATCH(LEFT(C839,255),'Reference Records'!E$77:E$157,0)),"")</f>
        <v>TCP-6a Number of TB cases (all forms) notified among prisoners</v>
      </c>
    </row>
    <row r="840" spans="1:23" s="194" customFormat="1" ht="40.4" customHeight="1" x14ac:dyDescent="0.35">
      <c r="A840" s="770"/>
      <c r="B840" s="767"/>
      <c r="C840" s="761"/>
      <c r="D840" s="769"/>
      <c r="E840" s="769"/>
      <c r="F840" s="208"/>
      <c r="G840" s="763"/>
      <c r="H840" s="744"/>
      <c r="I840" s="765"/>
      <c r="J840" s="730"/>
      <c r="K840" s="761"/>
      <c r="L840" s="761"/>
      <c r="M840" s="730"/>
      <c r="N840" s="730"/>
    </row>
    <row r="841" spans="1:23" s="194" customFormat="1" ht="40.4" customHeight="1" x14ac:dyDescent="0.35">
      <c r="A841" s="770" t="str">
        <f ca="1">INDIRECT("'update Helper'!C"&amp;U841)</f>
        <v>a163p000004NtW4AAK</v>
      </c>
      <c r="B841" s="766">
        <v>6</v>
      </c>
      <c r="C841" s="760" t="str">
        <f>VLOOKUP(B841,'Coverage Indicators - Section D'!$A$9:$AU$70,47,FALSE)</f>
        <v>TCP-6a Número de casos de tuberculosis (en todas sus formas) notificados entre reclusos.</v>
      </c>
      <c r="D841" s="768" t="str">
        <f>R841</f>
        <v/>
      </c>
      <c r="E841" s="768" t="str">
        <f>S841</f>
        <v/>
      </c>
      <c r="F841" s="413"/>
      <c r="G841" s="762" t="str">
        <f ca="1">IF(OR(INDIRECT("'update Helper'!E"&amp;U841)="",F841&lt;&gt;0,F842&lt;&gt;0),IF(IFERROR((F841/F842),"")="","",(F841/F842)),INDIRECT("'update Helper'!E"&amp;U841)/100)</f>
        <v/>
      </c>
      <c r="H841" s="743"/>
      <c r="I841" s="764"/>
      <c r="J841" s="729"/>
      <c r="K841" s="760" t="str">
        <f>W841</f>
        <v>TCP-6a Number of TB cases (all forms) notified among prisoners</v>
      </c>
      <c r="L841" s="760" t="str">
        <f>V841</f>
        <v/>
      </c>
      <c r="M841" s="729"/>
      <c r="N841" s="729"/>
      <c r="P841" s="194">
        <f>IF(AND(EXACT(C841,C839),C839&lt;&gt;0),P839+1,0)</f>
        <v>10</v>
      </c>
      <c r="Q841" s="194" t="str">
        <f>IF(C841&lt;&gt;"",C841&amp;"-"&amp;P841,"")</f>
        <v>TCP-6a Número de casos de tuberculosis (en todas sus formas) notificados entre reclusos.-10</v>
      </c>
      <c r="R841" s="194" t="str">
        <f t="array" ref="R841">IFERROR(IF(INDEX('Disaggregation Records'!$E$155:$E$385,MATCH(RIGHT(Q841,255),RIGHT('Disaggregation Records'!$D$155:$D$385,255),0))="","",INDEX('Disaggregation Records'!$E$155:$E$385,MATCH(RIGHT(Q841,255),RIGHT('Disaggregation Records'!$D$155:$D$385,255),0))),"")</f>
        <v/>
      </c>
      <c r="S841" s="194" t="str">
        <f t="array" ref="S841">IFERROR(IF(INDEX('Disaggregation Records'!$F$155:$F$385,MATCH(RIGHT(Q841,255),RIGHT('Disaggregation Records'!$D$155:$D$385,255),0))="","",INDEX('Disaggregation Records'!$F$155:$F$385,MATCH(RIGHT(Q841,255),RIGHT('Disaggregation Records'!$D$155:$D$385,255),0))),"")</f>
        <v/>
      </c>
      <c r="T841" s="194" t="str">
        <f t="array" ref="T841">IFERROR(IF(INDEX('Disaggregation Records'!$H$155:$H$385,MATCH(RIGHT(Q841,255),RIGHT('Disaggregation Records'!$D$155:$D$385,255),0))="","",INDEX('Disaggregation Records'!$H$155:$H$385,MATCH(RIGHT(Q841,255),RIGHT('Disaggregation Records'!$D$155:$D$385,255),0))),"")</f>
        <v/>
      </c>
      <c r="U841" s="194">
        <f>U839+1</f>
        <v>2610</v>
      </c>
      <c r="V841" s="194" t="str">
        <f t="array" ref="V841">IFERROR(IF(INDEX('Disaggregation Records'!$I$155:$I$385,MATCH(RIGHT(Q841,255),RIGHT('Disaggregation Records'!$D$155:$D$385,255),0))="","",INDEX('Disaggregation Records'!$I$155:$I$385,MATCH(RIGHT(Q841,255),RIGHT('Disaggregation Records'!$D$155:$D$385,255),0))),"")</f>
        <v/>
      </c>
      <c r="W841" s="194" t="str">
        <f>IFERROR(INDEX('Reference Records'!L$77:L$157,MATCH(LEFT(C841,255),'Reference Records'!E$77:E$157,0)),"")</f>
        <v>TCP-6a Number of TB cases (all forms) notified among prisoners</v>
      </c>
    </row>
    <row r="842" spans="1:23" s="194" customFormat="1" ht="40.4" customHeight="1" x14ac:dyDescent="0.35">
      <c r="A842" s="770"/>
      <c r="B842" s="767"/>
      <c r="C842" s="761"/>
      <c r="D842" s="769"/>
      <c r="E842" s="769"/>
      <c r="F842" s="208"/>
      <c r="G842" s="763"/>
      <c r="H842" s="744"/>
      <c r="I842" s="765"/>
      <c r="J842" s="730"/>
      <c r="K842" s="761"/>
      <c r="L842" s="761"/>
      <c r="M842" s="730"/>
      <c r="N842" s="730"/>
    </row>
    <row r="843" spans="1:23" s="194" customFormat="1" ht="40.4" customHeight="1" x14ac:dyDescent="0.35">
      <c r="A843" s="770" t="str">
        <f ca="1">INDIRECT("'update Helper'!C"&amp;U843)</f>
        <v>a163p000004NtW5AAK</v>
      </c>
      <c r="B843" s="766">
        <v>6</v>
      </c>
      <c r="C843" s="760" t="str">
        <f>VLOOKUP(B843,'Coverage Indicators - Section D'!$A$9:$AU$70,47,FALSE)</f>
        <v>TCP-6a Número de casos de tuberculosis (en todas sus formas) notificados entre reclusos.</v>
      </c>
      <c r="D843" s="768" t="str">
        <f>R843</f>
        <v/>
      </c>
      <c r="E843" s="768" t="str">
        <f>S843</f>
        <v/>
      </c>
      <c r="F843" s="413"/>
      <c r="G843" s="762" t="str">
        <f ca="1">IF(OR(INDIRECT("'update Helper'!E"&amp;U843)="",F843&lt;&gt;0,F844&lt;&gt;0),IF(IFERROR((F843/F844),"")="","",(F843/F844)),INDIRECT("'update Helper'!E"&amp;U843)/100)</f>
        <v/>
      </c>
      <c r="H843" s="743"/>
      <c r="I843" s="764"/>
      <c r="J843" s="729"/>
      <c r="K843" s="760" t="str">
        <f>W843</f>
        <v>TCP-6a Number of TB cases (all forms) notified among prisoners</v>
      </c>
      <c r="L843" s="760" t="str">
        <f>V843</f>
        <v/>
      </c>
      <c r="M843" s="729"/>
      <c r="N843" s="729"/>
      <c r="P843" s="194">
        <f>IF(AND(EXACT(C843,C841),C841&lt;&gt;0),P841+1,0)</f>
        <v>11</v>
      </c>
      <c r="Q843" s="194" t="str">
        <f>IF(C843&lt;&gt;"",C843&amp;"-"&amp;P843,"")</f>
        <v>TCP-6a Número de casos de tuberculosis (en todas sus formas) notificados entre reclusos.-11</v>
      </c>
      <c r="R843" s="194" t="str">
        <f t="array" ref="R843">IFERROR(IF(INDEX('Disaggregation Records'!$E$155:$E$385,MATCH(RIGHT(Q843,255),RIGHT('Disaggregation Records'!$D$155:$D$385,255),0))="","",INDEX('Disaggregation Records'!$E$155:$E$385,MATCH(RIGHT(Q843,255),RIGHT('Disaggregation Records'!$D$155:$D$385,255),0))),"")</f>
        <v/>
      </c>
      <c r="S843" s="194" t="str">
        <f t="array" ref="S843">IFERROR(IF(INDEX('Disaggregation Records'!$F$155:$F$385,MATCH(RIGHT(Q843,255),RIGHT('Disaggregation Records'!$D$155:$D$385,255),0))="","",INDEX('Disaggregation Records'!$F$155:$F$385,MATCH(RIGHT(Q843,255),RIGHT('Disaggregation Records'!$D$155:$D$385,255),0))),"")</f>
        <v/>
      </c>
      <c r="T843" s="194" t="str">
        <f t="array" ref="T843">IFERROR(IF(INDEX('Disaggregation Records'!$H$155:$H$385,MATCH(RIGHT(Q843,255),RIGHT('Disaggregation Records'!$D$155:$D$385,255),0))="","",INDEX('Disaggregation Records'!$H$155:$H$385,MATCH(RIGHT(Q843,255),RIGHT('Disaggregation Records'!$D$155:$D$385,255),0))),"")</f>
        <v/>
      </c>
      <c r="U843" s="194">
        <f>U841+1</f>
        <v>2611</v>
      </c>
      <c r="V843" s="194" t="str">
        <f t="array" ref="V843">IFERROR(IF(INDEX('Disaggregation Records'!$I$155:$I$385,MATCH(RIGHT(Q843,255),RIGHT('Disaggregation Records'!$D$155:$D$385,255),0))="","",INDEX('Disaggregation Records'!$I$155:$I$385,MATCH(RIGHT(Q843,255),RIGHT('Disaggregation Records'!$D$155:$D$385,255),0))),"")</f>
        <v/>
      </c>
      <c r="W843" s="194" t="str">
        <f>IFERROR(INDEX('Reference Records'!L$77:L$157,MATCH(LEFT(C843,255),'Reference Records'!E$77:E$157,0)),"")</f>
        <v>TCP-6a Number of TB cases (all forms) notified among prisoners</v>
      </c>
    </row>
    <row r="844" spans="1:23" s="194" customFormat="1" ht="40.4" customHeight="1" x14ac:dyDescent="0.35">
      <c r="A844" s="770"/>
      <c r="B844" s="767"/>
      <c r="C844" s="761"/>
      <c r="D844" s="769"/>
      <c r="E844" s="769"/>
      <c r="F844" s="208"/>
      <c r="G844" s="763"/>
      <c r="H844" s="744"/>
      <c r="I844" s="765"/>
      <c r="J844" s="730"/>
      <c r="K844" s="761"/>
      <c r="L844" s="761"/>
      <c r="M844" s="730"/>
      <c r="N844" s="730"/>
    </row>
    <row r="845" spans="1:23" s="194" customFormat="1" ht="40.4" customHeight="1" x14ac:dyDescent="0.35">
      <c r="A845" s="770" t="str">
        <f ca="1">INDIRECT("'update Helper'!C"&amp;U845)</f>
        <v>a163p000004NtW6AAK</v>
      </c>
      <c r="B845" s="766">
        <v>6</v>
      </c>
      <c r="C845" s="760" t="str">
        <f>VLOOKUP(B845,'Coverage Indicators - Section D'!$A$9:$AU$70,47,FALSE)</f>
        <v>TCP-6a Número de casos de tuberculosis (en todas sus formas) notificados entre reclusos.</v>
      </c>
      <c r="D845" s="768" t="str">
        <f>R845</f>
        <v/>
      </c>
      <c r="E845" s="768" t="str">
        <f>S845</f>
        <v/>
      </c>
      <c r="F845" s="413"/>
      <c r="G845" s="762" t="str">
        <f ca="1">IF(OR(INDIRECT("'update Helper'!E"&amp;U845)="",F845&lt;&gt;0,F846&lt;&gt;0),IF(IFERROR((F845/F846),"")="","",(F845/F846)),INDIRECT("'update Helper'!E"&amp;U845)/100)</f>
        <v/>
      </c>
      <c r="H845" s="743"/>
      <c r="I845" s="764"/>
      <c r="J845" s="729"/>
      <c r="K845" s="760" t="str">
        <f>W845</f>
        <v>TCP-6a Number of TB cases (all forms) notified among prisoners</v>
      </c>
      <c r="L845" s="760" t="str">
        <f>V845</f>
        <v/>
      </c>
      <c r="M845" s="729"/>
      <c r="N845" s="729"/>
      <c r="P845" s="194">
        <f>IF(AND(EXACT(C845,C843),C843&lt;&gt;0),P843+1,0)</f>
        <v>12</v>
      </c>
      <c r="Q845" s="194" t="str">
        <f>IF(C845&lt;&gt;"",C845&amp;"-"&amp;P845,"")</f>
        <v>TCP-6a Número de casos de tuberculosis (en todas sus formas) notificados entre reclusos.-12</v>
      </c>
      <c r="R845" s="194" t="str">
        <f t="array" ref="R845">IFERROR(IF(INDEX('Disaggregation Records'!$E$155:$E$385,MATCH(RIGHT(Q845,255),RIGHT('Disaggregation Records'!$D$155:$D$385,255),0))="","",INDEX('Disaggregation Records'!$E$155:$E$385,MATCH(RIGHT(Q845,255),RIGHT('Disaggregation Records'!$D$155:$D$385,255),0))),"")</f>
        <v/>
      </c>
      <c r="S845" s="194" t="str">
        <f t="array" ref="S845">IFERROR(IF(INDEX('Disaggregation Records'!$F$155:$F$385,MATCH(RIGHT(Q845,255),RIGHT('Disaggregation Records'!$D$155:$D$385,255),0))="","",INDEX('Disaggregation Records'!$F$155:$F$385,MATCH(RIGHT(Q845,255),RIGHT('Disaggregation Records'!$D$155:$D$385,255),0))),"")</f>
        <v/>
      </c>
      <c r="T845" s="194" t="str">
        <f t="array" ref="T845">IFERROR(IF(INDEX('Disaggregation Records'!$H$155:$H$385,MATCH(RIGHT(Q845,255),RIGHT('Disaggregation Records'!$D$155:$D$385,255),0))="","",INDEX('Disaggregation Records'!$H$155:$H$385,MATCH(RIGHT(Q845,255),RIGHT('Disaggregation Records'!$D$155:$D$385,255),0))),"")</f>
        <v/>
      </c>
      <c r="U845" s="194">
        <f>U843+1</f>
        <v>2612</v>
      </c>
      <c r="V845" s="194" t="str">
        <f t="array" ref="V845">IFERROR(IF(INDEX('Disaggregation Records'!$I$155:$I$385,MATCH(RIGHT(Q845,255),RIGHT('Disaggregation Records'!$D$155:$D$385,255),0))="","",INDEX('Disaggregation Records'!$I$155:$I$385,MATCH(RIGHT(Q845,255),RIGHT('Disaggregation Records'!$D$155:$D$385,255),0))),"")</f>
        <v/>
      </c>
      <c r="W845" s="194" t="str">
        <f>IFERROR(INDEX('Reference Records'!L$77:L$157,MATCH(LEFT(C845,255),'Reference Records'!E$77:E$157,0)),"")</f>
        <v>TCP-6a Number of TB cases (all forms) notified among prisoners</v>
      </c>
    </row>
    <row r="846" spans="1:23" s="194" customFormat="1" ht="40.4" customHeight="1" x14ac:dyDescent="0.35">
      <c r="A846" s="770"/>
      <c r="B846" s="767"/>
      <c r="C846" s="761"/>
      <c r="D846" s="769"/>
      <c r="E846" s="769"/>
      <c r="F846" s="208"/>
      <c r="G846" s="763"/>
      <c r="H846" s="744"/>
      <c r="I846" s="765"/>
      <c r="J846" s="730"/>
      <c r="K846" s="761"/>
      <c r="L846" s="761"/>
      <c r="M846" s="730"/>
      <c r="N846" s="730"/>
    </row>
    <row r="847" spans="1:23" s="194" customFormat="1" ht="40.4" customHeight="1" x14ac:dyDescent="0.35">
      <c r="A847" s="770" t="str">
        <f ca="1">INDIRECT("'update Helper'!C"&amp;U847)</f>
        <v>a163p000004NtW7AAK</v>
      </c>
      <c r="B847" s="766">
        <v>6</v>
      </c>
      <c r="C847" s="760" t="str">
        <f>VLOOKUP(B847,'Coverage Indicators - Section D'!$A$9:$AU$70,47,FALSE)</f>
        <v>TCP-6a Número de casos de tuberculosis (en todas sus formas) notificados entre reclusos.</v>
      </c>
      <c r="D847" s="768" t="str">
        <f>R847</f>
        <v/>
      </c>
      <c r="E847" s="768" t="str">
        <f>S847</f>
        <v/>
      </c>
      <c r="F847" s="413"/>
      <c r="G847" s="762" t="str">
        <f ca="1">IF(OR(INDIRECT("'update Helper'!E"&amp;U847)="",F847&lt;&gt;0,F848&lt;&gt;0),IF(IFERROR((F847/F848),"")="","",(F847/F848)),INDIRECT("'update Helper'!E"&amp;U847)/100)</f>
        <v/>
      </c>
      <c r="H847" s="743"/>
      <c r="I847" s="764"/>
      <c r="J847" s="729"/>
      <c r="K847" s="760" t="str">
        <f>W847</f>
        <v>TCP-6a Number of TB cases (all forms) notified among prisoners</v>
      </c>
      <c r="L847" s="760" t="str">
        <f>V847</f>
        <v/>
      </c>
      <c r="M847" s="729"/>
      <c r="N847" s="729"/>
      <c r="P847" s="194">
        <f>IF(AND(EXACT(C847,C845),C845&lt;&gt;0),P845+1,0)</f>
        <v>13</v>
      </c>
      <c r="Q847" s="194" t="str">
        <f>IF(C847&lt;&gt;"",C847&amp;"-"&amp;P847,"")</f>
        <v>TCP-6a Número de casos de tuberculosis (en todas sus formas) notificados entre reclusos.-13</v>
      </c>
      <c r="R847" s="194" t="str">
        <f t="array" ref="R847">IFERROR(IF(INDEX('Disaggregation Records'!$E$155:$E$385,MATCH(RIGHT(Q847,255),RIGHT('Disaggregation Records'!$D$155:$D$385,255),0))="","",INDEX('Disaggregation Records'!$E$155:$E$385,MATCH(RIGHT(Q847,255),RIGHT('Disaggregation Records'!$D$155:$D$385,255),0))),"")</f>
        <v/>
      </c>
      <c r="S847" s="194" t="str">
        <f t="array" ref="S847">IFERROR(IF(INDEX('Disaggregation Records'!$F$155:$F$385,MATCH(RIGHT(Q847,255),RIGHT('Disaggregation Records'!$D$155:$D$385,255),0))="","",INDEX('Disaggregation Records'!$F$155:$F$385,MATCH(RIGHT(Q847,255),RIGHT('Disaggregation Records'!$D$155:$D$385,255),0))),"")</f>
        <v/>
      </c>
      <c r="T847" s="194" t="str">
        <f t="array" ref="T847">IFERROR(IF(INDEX('Disaggregation Records'!$H$155:$H$385,MATCH(RIGHT(Q847,255),RIGHT('Disaggregation Records'!$D$155:$D$385,255),0))="","",INDEX('Disaggregation Records'!$H$155:$H$385,MATCH(RIGHT(Q847,255),RIGHT('Disaggregation Records'!$D$155:$D$385,255),0))),"")</f>
        <v/>
      </c>
      <c r="U847" s="194">
        <f>U845+1</f>
        <v>2613</v>
      </c>
      <c r="V847" s="194" t="str">
        <f t="array" ref="V847">IFERROR(IF(INDEX('Disaggregation Records'!$I$155:$I$385,MATCH(RIGHT(Q847,255),RIGHT('Disaggregation Records'!$D$155:$D$385,255),0))="","",INDEX('Disaggregation Records'!$I$155:$I$385,MATCH(RIGHT(Q847,255),RIGHT('Disaggregation Records'!$D$155:$D$385,255),0))),"")</f>
        <v/>
      </c>
      <c r="W847" s="194" t="str">
        <f>IFERROR(INDEX('Reference Records'!L$77:L$157,MATCH(LEFT(C847,255),'Reference Records'!E$77:E$157,0)),"")</f>
        <v>TCP-6a Number of TB cases (all forms) notified among prisoners</v>
      </c>
    </row>
    <row r="848" spans="1:23" s="194" customFormat="1" ht="40.4" customHeight="1" x14ac:dyDescent="0.35">
      <c r="A848" s="770"/>
      <c r="B848" s="767"/>
      <c r="C848" s="761"/>
      <c r="D848" s="769"/>
      <c r="E848" s="769"/>
      <c r="F848" s="208"/>
      <c r="G848" s="763"/>
      <c r="H848" s="744"/>
      <c r="I848" s="765"/>
      <c r="J848" s="730"/>
      <c r="K848" s="761"/>
      <c r="L848" s="761"/>
      <c r="M848" s="730"/>
      <c r="N848" s="730"/>
    </row>
    <row r="849" spans="1:23" s="194" customFormat="1" ht="40.4" customHeight="1" x14ac:dyDescent="0.35">
      <c r="A849" s="770" t="str">
        <f ca="1">INDIRECT("'update Helper'!C"&amp;U849)</f>
        <v>a163p000004NtW8AAK</v>
      </c>
      <c r="B849" s="766">
        <v>6</v>
      </c>
      <c r="C849" s="760" t="str">
        <f>VLOOKUP(B849,'Coverage Indicators - Section D'!$A$9:$AU$70,47,FALSE)</f>
        <v>TCP-6a Número de casos de tuberculosis (en todas sus formas) notificados entre reclusos.</v>
      </c>
      <c r="D849" s="768" t="str">
        <f>R849</f>
        <v/>
      </c>
      <c r="E849" s="768" t="str">
        <f>S849</f>
        <v/>
      </c>
      <c r="F849" s="413"/>
      <c r="G849" s="762" t="str">
        <f ca="1">IF(OR(INDIRECT("'update Helper'!E"&amp;U849)="",F849&lt;&gt;0,F850&lt;&gt;0),IF(IFERROR((F849/F850),"")="","",(F849/F850)),INDIRECT("'update Helper'!E"&amp;U849)/100)</f>
        <v/>
      </c>
      <c r="H849" s="743"/>
      <c r="I849" s="764"/>
      <c r="J849" s="729"/>
      <c r="K849" s="760" t="str">
        <f>W849</f>
        <v>TCP-6a Number of TB cases (all forms) notified among prisoners</v>
      </c>
      <c r="L849" s="760" t="str">
        <f>V849</f>
        <v/>
      </c>
      <c r="M849" s="729"/>
      <c r="N849" s="729"/>
      <c r="P849" s="194">
        <f>IF(AND(EXACT(C849,C847),C847&lt;&gt;0),P847+1,0)</f>
        <v>14</v>
      </c>
      <c r="Q849" s="194" t="str">
        <f>IF(C849&lt;&gt;"",C849&amp;"-"&amp;P849,"")</f>
        <v>TCP-6a Número de casos de tuberculosis (en todas sus formas) notificados entre reclusos.-14</v>
      </c>
      <c r="R849" s="194" t="str">
        <f t="array" ref="R849">IFERROR(IF(INDEX('Disaggregation Records'!$E$155:$E$385,MATCH(RIGHT(Q849,255),RIGHT('Disaggregation Records'!$D$155:$D$385,255),0))="","",INDEX('Disaggregation Records'!$E$155:$E$385,MATCH(RIGHT(Q849,255),RIGHT('Disaggregation Records'!$D$155:$D$385,255),0))),"")</f>
        <v/>
      </c>
      <c r="S849" s="194" t="str">
        <f t="array" ref="S849">IFERROR(IF(INDEX('Disaggregation Records'!$F$155:$F$385,MATCH(RIGHT(Q849,255),RIGHT('Disaggregation Records'!$D$155:$D$385,255),0))="","",INDEX('Disaggregation Records'!$F$155:$F$385,MATCH(RIGHT(Q849,255),RIGHT('Disaggregation Records'!$D$155:$D$385,255),0))),"")</f>
        <v/>
      </c>
      <c r="T849" s="194" t="str">
        <f t="array" ref="T849">IFERROR(IF(INDEX('Disaggregation Records'!$H$155:$H$385,MATCH(RIGHT(Q849,255),RIGHT('Disaggregation Records'!$D$155:$D$385,255),0))="","",INDEX('Disaggregation Records'!$H$155:$H$385,MATCH(RIGHT(Q849,255),RIGHT('Disaggregation Records'!$D$155:$D$385,255),0))),"")</f>
        <v/>
      </c>
      <c r="U849" s="194">
        <f>U847+1</f>
        <v>2614</v>
      </c>
      <c r="V849" s="194" t="str">
        <f t="array" ref="V849">IFERROR(IF(INDEX('Disaggregation Records'!$I$155:$I$385,MATCH(RIGHT(Q849,255),RIGHT('Disaggregation Records'!$D$155:$D$385,255),0))="","",INDEX('Disaggregation Records'!$I$155:$I$385,MATCH(RIGHT(Q849,255),RIGHT('Disaggregation Records'!$D$155:$D$385,255),0))),"")</f>
        <v/>
      </c>
      <c r="W849" s="194" t="str">
        <f>IFERROR(INDEX('Reference Records'!L$77:L$157,MATCH(LEFT(C849,255),'Reference Records'!E$77:E$157,0)),"")</f>
        <v>TCP-6a Number of TB cases (all forms) notified among prisoners</v>
      </c>
    </row>
    <row r="850" spans="1:23" s="194" customFormat="1" ht="40.4" customHeight="1" x14ac:dyDescent="0.35">
      <c r="A850" s="770"/>
      <c r="B850" s="767"/>
      <c r="C850" s="761"/>
      <c r="D850" s="769"/>
      <c r="E850" s="769"/>
      <c r="F850" s="208"/>
      <c r="G850" s="763"/>
      <c r="H850" s="744"/>
      <c r="I850" s="765"/>
      <c r="J850" s="730"/>
      <c r="K850" s="761"/>
      <c r="L850" s="761"/>
      <c r="M850" s="730"/>
      <c r="N850" s="730"/>
    </row>
    <row r="851" spans="1:23" s="194" customFormat="1" ht="40.4" customHeight="1" x14ac:dyDescent="0.35">
      <c r="A851" s="770" t="str">
        <f ca="1">INDIRECT("'update Helper'!C"&amp;U851)</f>
        <v>a163p000004NtW9AAK</v>
      </c>
      <c r="B851" s="766">
        <v>6</v>
      </c>
      <c r="C851" s="760" t="str">
        <f>VLOOKUP(B851,'Coverage Indicators - Section D'!$A$9:$AU$70,47,FALSE)</f>
        <v>TCP-6a Número de casos de tuberculosis (en todas sus formas) notificados entre reclusos.</v>
      </c>
      <c r="D851" s="768" t="str">
        <f>R851</f>
        <v/>
      </c>
      <c r="E851" s="768" t="str">
        <f>S851</f>
        <v/>
      </c>
      <c r="F851" s="413"/>
      <c r="G851" s="762" t="str">
        <f ca="1">IF(OR(INDIRECT("'update Helper'!E"&amp;U851)="",F851&lt;&gt;0,F852&lt;&gt;0),IF(IFERROR((F851/F852),"")="","",(F851/F852)),INDIRECT("'update Helper'!E"&amp;U851)/100)</f>
        <v/>
      </c>
      <c r="H851" s="743"/>
      <c r="I851" s="764"/>
      <c r="J851" s="729"/>
      <c r="K851" s="760" t="str">
        <f>W851</f>
        <v>TCP-6a Number of TB cases (all forms) notified among prisoners</v>
      </c>
      <c r="L851" s="760" t="str">
        <f>V851</f>
        <v/>
      </c>
      <c r="M851" s="729"/>
      <c r="N851" s="729"/>
      <c r="P851" s="194">
        <f>IF(AND(EXACT(C851,C849),C849&lt;&gt;0),P849+1,0)</f>
        <v>15</v>
      </c>
      <c r="Q851" s="194" t="str">
        <f>IF(C851&lt;&gt;"",C851&amp;"-"&amp;P851,"")</f>
        <v>TCP-6a Número de casos de tuberculosis (en todas sus formas) notificados entre reclusos.-15</v>
      </c>
      <c r="R851" s="194" t="str">
        <f t="array" ref="R851">IFERROR(IF(INDEX('Disaggregation Records'!$E$155:$E$385,MATCH(RIGHT(Q851,255),RIGHT('Disaggregation Records'!$D$155:$D$385,255),0))="","",INDEX('Disaggregation Records'!$E$155:$E$385,MATCH(RIGHT(Q851,255),RIGHT('Disaggregation Records'!$D$155:$D$385,255),0))),"")</f>
        <v/>
      </c>
      <c r="S851" s="194" t="str">
        <f t="array" ref="S851">IFERROR(IF(INDEX('Disaggregation Records'!$F$155:$F$385,MATCH(RIGHT(Q851,255),RIGHT('Disaggregation Records'!$D$155:$D$385,255),0))="","",INDEX('Disaggregation Records'!$F$155:$F$385,MATCH(RIGHT(Q851,255),RIGHT('Disaggregation Records'!$D$155:$D$385,255),0))),"")</f>
        <v/>
      </c>
      <c r="T851" s="194" t="str">
        <f t="array" ref="T851">IFERROR(IF(INDEX('Disaggregation Records'!$H$155:$H$385,MATCH(RIGHT(Q851,255),RIGHT('Disaggregation Records'!$D$155:$D$385,255),0))="","",INDEX('Disaggregation Records'!$H$155:$H$385,MATCH(RIGHT(Q851,255),RIGHT('Disaggregation Records'!$D$155:$D$385,255),0))),"")</f>
        <v/>
      </c>
      <c r="U851" s="194">
        <f>U849+1</f>
        <v>2615</v>
      </c>
      <c r="V851" s="194" t="str">
        <f t="array" ref="V851">IFERROR(IF(INDEX('Disaggregation Records'!$I$155:$I$385,MATCH(RIGHT(Q851,255),RIGHT('Disaggregation Records'!$D$155:$D$385,255),0))="","",INDEX('Disaggregation Records'!$I$155:$I$385,MATCH(RIGHT(Q851,255),RIGHT('Disaggregation Records'!$D$155:$D$385,255),0))),"")</f>
        <v/>
      </c>
      <c r="W851" s="194" t="str">
        <f>IFERROR(INDEX('Reference Records'!L$77:L$157,MATCH(LEFT(C851,255),'Reference Records'!E$77:E$157,0)),"")</f>
        <v>TCP-6a Number of TB cases (all forms) notified among prisoners</v>
      </c>
    </row>
    <row r="852" spans="1:23" s="194" customFormat="1" ht="40.4" customHeight="1" x14ac:dyDescent="0.35">
      <c r="A852" s="770"/>
      <c r="B852" s="767"/>
      <c r="C852" s="761"/>
      <c r="D852" s="769"/>
      <c r="E852" s="769"/>
      <c r="F852" s="208"/>
      <c r="G852" s="763"/>
      <c r="H852" s="744"/>
      <c r="I852" s="765"/>
      <c r="J852" s="730"/>
      <c r="K852" s="761"/>
      <c r="L852" s="761"/>
      <c r="M852" s="730"/>
      <c r="N852" s="730"/>
    </row>
    <row r="853" spans="1:23" s="194" customFormat="1" ht="40.4" customHeight="1" x14ac:dyDescent="0.35">
      <c r="A853" s="770" t="str">
        <f ca="1">INDIRECT("'update Helper'!C"&amp;U853)</f>
        <v>a163p000004NtWAAA0</v>
      </c>
      <c r="B853" s="766">
        <v>6</v>
      </c>
      <c r="C853" s="760" t="str">
        <f>VLOOKUP(B853,'Coverage Indicators - Section D'!$A$9:$AU$70,47,FALSE)</f>
        <v>TCP-6a Número de casos de tuberculosis (en todas sus formas) notificados entre reclusos.</v>
      </c>
      <c r="D853" s="768" t="str">
        <f>R853</f>
        <v/>
      </c>
      <c r="E853" s="768" t="str">
        <f>S853</f>
        <v/>
      </c>
      <c r="F853" s="413"/>
      <c r="G853" s="762" t="str">
        <f ca="1">IF(OR(INDIRECT("'update Helper'!E"&amp;U853)="",F853&lt;&gt;0,F854&lt;&gt;0),IF(IFERROR((F853/F854),"")="","",(F853/F854)),INDIRECT("'update Helper'!E"&amp;U853)/100)</f>
        <v/>
      </c>
      <c r="H853" s="743"/>
      <c r="I853" s="764"/>
      <c r="J853" s="729"/>
      <c r="K853" s="760" t="str">
        <f>W853</f>
        <v>TCP-6a Number of TB cases (all forms) notified among prisoners</v>
      </c>
      <c r="L853" s="760" t="str">
        <f>V853</f>
        <v/>
      </c>
      <c r="M853" s="729"/>
      <c r="N853" s="729"/>
      <c r="P853" s="194">
        <f>IF(AND(EXACT(C853,C851),C851&lt;&gt;0),P851+1,0)</f>
        <v>16</v>
      </c>
      <c r="Q853" s="194" t="str">
        <f>IF(C853&lt;&gt;"",C853&amp;"-"&amp;P853,"")</f>
        <v>TCP-6a Número de casos de tuberculosis (en todas sus formas) notificados entre reclusos.-16</v>
      </c>
      <c r="R853" s="194" t="str">
        <f t="array" ref="R853">IFERROR(IF(INDEX('Disaggregation Records'!$E$155:$E$385,MATCH(RIGHT(Q853,255),RIGHT('Disaggregation Records'!$D$155:$D$385,255),0))="","",INDEX('Disaggregation Records'!$E$155:$E$385,MATCH(RIGHT(Q853,255),RIGHT('Disaggregation Records'!$D$155:$D$385,255),0))),"")</f>
        <v/>
      </c>
      <c r="S853" s="194" t="str">
        <f t="array" ref="S853">IFERROR(IF(INDEX('Disaggregation Records'!$F$155:$F$385,MATCH(RIGHT(Q853,255),RIGHT('Disaggregation Records'!$D$155:$D$385,255),0))="","",INDEX('Disaggregation Records'!$F$155:$F$385,MATCH(RIGHT(Q853,255),RIGHT('Disaggregation Records'!$D$155:$D$385,255),0))),"")</f>
        <v/>
      </c>
      <c r="T853" s="194" t="str">
        <f t="array" ref="T853">IFERROR(IF(INDEX('Disaggregation Records'!$H$155:$H$385,MATCH(RIGHT(Q853,255),RIGHT('Disaggregation Records'!$D$155:$D$385,255),0))="","",INDEX('Disaggregation Records'!$H$155:$H$385,MATCH(RIGHT(Q853,255),RIGHT('Disaggregation Records'!$D$155:$D$385,255),0))),"")</f>
        <v/>
      </c>
      <c r="U853" s="194">
        <f>U851+1</f>
        <v>2616</v>
      </c>
      <c r="V853" s="194" t="str">
        <f t="array" ref="V853">IFERROR(IF(INDEX('Disaggregation Records'!$I$155:$I$385,MATCH(RIGHT(Q853,255),RIGHT('Disaggregation Records'!$D$155:$D$385,255),0))="","",INDEX('Disaggregation Records'!$I$155:$I$385,MATCH(RIGHT(Q853,255),RIGHT('Disaggregation Records'!$D$155:$D$385,255),0))),"")</f>
        <v/>
      </c>
      <c r="W853" s="194" t="str">
        <f>IFERROR(INDEX('Reference Records'!L$77:L$157,MATCH(LEFT(C853,255),'Reference Records'!E$77:E$157,0)),"")</f>
        <v>TCP-6a Number of TB cases (all forms) notified among prisoners</v>
      </c>
    </row>
    <row r="854" spans="1:23" s="194" customFormat="1" ht="40.4" customHeight="1" x14ac:dyDescent="0.35">
      <c r="A854" s="770"/>
      <c r="B854" s="767"/>
      <c r="C854" s="761"/>
      <c r="D854" s="769"/>
      <c r="E854" s="769"/>
      <c r="F854" s="208"/>
      <c r="G854" s="763"/>
      <c r="H854" s="744"/>
      <c r="I854" s="765"/>
      <c r="J854" s="730"/>
      <c r="K854" s="761"/>
      <c r="L854" s="761"/>
      <c r="M854" s="730"/>
      <c r="N854" s="730"/>
    </row>
    <row r="855" spans="1:23" s="194" customFormat="1" ht="40.4" customHeight="1" x14ac:dyDescent="0.35">
      <c r="A855" s="770" t="str">
        <f ca="1">INDIRECT("'update Helper'!C"&amp;U855)</f>
        <v>a163p000004NtWBAA0</v>
      </c>
      <c r="B855" s="766">
        <v>6</v>
      </c>
      <c r="C855" s="760" t="str">
        <f>VLOOKUP(B855,'Coverage Indicators - Section D'!$A$9:$AU$70,47,FALSE)</f>
        <v>TCP-6a Número de casos de tuberculosis (en todas sus formas) notificados entre reclusos.</v>
      </c>
      <c r="D855" s="768" t="str">
        <f>R855</f>
        <v/>
      </c>
      <c r="E855" s="768" t="str">
        <f>S855</f>
        <v/>
      </c>
      <c r="F855" s="413"/>
      <c r="G855" s="762" t="str">
        <f ca="1">IF(OR(INDIRECT("'update Helper'!E"&amp;U855)="",F855&lt;&gt;0,F856&lt;&gt;0),IF(IFERROR((F855/F856),"")="","",(F855/F856)),INDIRECT("'update Helper'!E"&amp;U855)/100)</f>
        <v/>
      </c>
      <c r="H855" s="743"/>
      <c r="I855" s="764"/>
      <c r="J855" s="729"/>
      <c r="K855" s="760" t="str">
        <f>W855</f>
        <v>TCP-6a Number of TB cases (all forms) notified among prisoners</v>
      </c>
      <c r="L855" s="760" t="str">
        <f>V855</f>
        <v/>
      </c>
      <c r="M855" s="729"/>
      <c r="N855" s="729"/>
      <c r="P855" s="194">
        <f>IF(AND(EXACT(C855,C853),C853&lt;&gt;0),P853+1,0)</f>
        <v>17</v>
      </c>
      <c r="Q855" s="194" t="str">
        <f>IF(C855&lt;&gt;"",C855&amp;"-"&amp;P855,"")</f>
        <v>TCP-6a Número de casos de tuberculosis (en todas sus formas) notificados entre reclusos.-17</v>
      </c>
      <c r="R855" s="194" t="str">
        <f t="array" ref="R855">IFERROR(IF(INDEX('Disaggregation Records'!$E$155:$E$385,MATCH(RIGHT(Q855,255),RIGHT('Disaggregation Records'!$D$155:$D$385,255),0))="","",INDEX('Disaggregation Records'!$E$155:$E$385,MATCH(RIGHT(Q855,255),RIGHT('Disaggregation Records'!$D$155:$D$385,255),0))),"")</f>
        <v/>
      </c>
      <c r="S855" s="194" t="str">
        <f t="array" ref="S855">IFERROR(IF(INDEX('Disaggregation Records'!$F$155:$F$385,MATCH(RIGHT(Q855,255),RIGHT('Disaggregation Records'!$D$155:$D$385,255),0))="","",INDEX('Disaggregation Records'!$F$155:$F$385,MATCH(RIGHT(Q855,255),RIGHT('Disaggregation Records'!$D$155:$D$385,255),0))),"")</f>
        <v/>
      </c>
      <c r="T855" s="194" t="str">
        <f t="array" ref="T855">IFERROR(IF(INDEX('Disaggregation Records'!$H$155:$H$385,MATCH(RIGHT(Q855,255),RIGHT('Disaggregation Records'!$D$155:$D$385,255),0))="","",INDEX('Disaggregation Records'!$H$155:$H$385,MATCH(RIGHT(Q855,255),RIGHT('Disaggregation Records'!$D$155:$D$385,255),0))),"")</f>
        <v/>
      </c>
      <c r="U855" s="194">
        <f>U853+1</f>
        <v>2617</v>
      </c>
      <c r="V855" s="194" t="str">
        <f t="array" ref="V855">IFERROR(IF(INDEX('Disaggregation Records'!$I$155:$I$385,MATCH(RIGHT(Q855,255),RIGHT('Disaggregation Records'!$D$155:$D$385,255),0))="","",INDEX('Disaggregation Records'!$I$155:$I$385,MATCH(RIGHT(Q855,255),RIGHT('Disaggregation Records'!$D$155:$D$385,255),0))),"")</f>
        <v/>
      </c>
      <c r="W855" s="194" t="str">
        <f>IFERROR(INDEX('Reference Records'!L$77:L$157,MATCH(LEFT(C855,255),'Reference Records'!E$77:E$157,0)),"")</f>
        <v>TCP-6a Number of TB cases (all forms) notified among prisoners</v>
      </c>
    </row>
    <row r="856" spans="1:23" s="194" customFormat="1" ht="40.4" customHeight="1" x14ac:dyDescent="0.35">
      <c r="A856" s="770"/>
      <c r="B856" s="767"/>
      <c r="C856" s="761"/>
      <c r="D856" s="769"/>
      <c r="E856" s="769"/>
      <c r="F856" s="208"/>
      <c r="G856" s="763"/>
      <c r="H856" s="744"/>
      <c r="I856" s="765"/>
      <c r="J856" s="730"/>
      <c r="K856" s="761"/>
      <c r="L856" s="761"/>
      <c r="M856" s="730"/>
      <c r="N856" s="730"/>
    </row>
    <row r="857" spans="1:23" s="194" customFormat="1" ht="40.4" customHeight="1" x14ac:dyDescent="0.35">
      <c r="A857" s="770" t="str">
        <f ca="1">INDIRECT("'update Helper'!C"&amp;U857)</f>
        <v>a163p000004NtWCAA0</v>
      </c>
      <c r="B857" s="766">
        <v>6</v>
      </c>
      <c r="C857" s="760" t="str">
        <f>VLOOKUP(B857,'Coverage Indicators - Section D'!$A$9:$AU$70,47,FALSE)</f>
        <v>TCP-6a Número de casos de tuberculosis (en todas sus formas) notificados entre reclusos.</v>
      </c>
      <c r="D857" s="768" t="str">
        <f>R857</f>
        <v/>
      </c>
      <c r="E857" s="768" t="str">
        <f>S857</f>
        <v/>
      </c>
      <c r="F857" s="413"/>
      <c r="G857" s="762" t="str">
        <f ca="1">IF(OR(INDIRECT("'update Helper'!E"&amp;U857)="",F857&lt;&gt;0,F858&lt;&gt;0),IF(IFERROR((F857/F858),"")="","",(F857/F858)),INDIRECT("'update Helper'!E"&amp;U857)/100)</f>
        <v/>
      </c>
      <c r="H857" s="743"/>
      <c r="I857" s="764"/>
      <c r="J857" s="729"/>
      <c r="K857" s="760" t="str">
        <f>W857</f>
        <v>TCP-6a Number of TB cases (all forms) notified among prisoners</v>
      </c>
      <c r="L857" s="760" t="str">
        <f>V857</f>
        <v/>
      </c>
      <c r="M857" s="729"/>
      <c r="N857" s="729"/>
      <c r="P857" s="194">
        <f>IF(AND(EXACT(C857,C855),C855&lt;&gt;0),P855+1,0)</f>
        <v>18</v>
      </c>
      <c r="Q857" s="194" t="str">
        <f>IF(C857&lt;&gt;"",C857&amp;"-"&amp;P857,"")</f>
        <v>TCP-6a Número de casos de tuberculosis (en todas sus formas) notificados entre reclusos.-18</v>
      </c>
      <c r="R857" s="194" t="str">
        <f t="array" ref="R857">IFERROR(IF(INDEX('Disaggregation Records'!$E$155:$E$385,MATCH(RIGHT(Q857,255),RIGHT('Disaggregation Records'!$D$155:$D$385,255),0))="","",INDEX('Disaggregation Records'!$E$155:$E$385,MATCH(RIGHT(Q857,255),RIGHT('Disaggregation Records'!$D$155:$D$385,255),0))),"")</f>
        <v/>
      </c>
      <c r="S857" s="194" t="str">
        <f t="array" ref="S857">IFERROR(IF(INDEX('Disaggregation Records'!$F$155:$F$385,MATCH(RIGHT(Q857,255),RIGHT('Disaggregation Records'!$D$155:$D$385,255),0))="","",INDEX('Disaggregation Records'!$F$155:$F$385,MATCH(RIGHT(Q857,255),RIGHT('Disaggregation Records'!$D$155:$D$385,255),0))),"")</f>
        <v/>
      </c>
      <c r="T857" s="194" t="str">
        <f t="array" ref="T857">IFERROR(IF(INDEX('Disaggregation Records'!$H$155:$H$385,MATCH(RIGHT(Q857,255),RIGHT('Disaggregation Records'!$D$155:$D$385,255),0))="","",INDEX('Disaggregation Records'!$H$155:$H$385,MATCH(RIGHT(Q857,255),RIGHT('Disaggregation Records'!$D$155:$D$385,255),0))),"")</f>
        <v/>
      </c>
      <c r="U857" s="194">
        <f>U855+1</f>
        <v>2618</v>
      </c>
      <c r="V857" s="194" t="str">
        <f t="array" ref="V857">IFERROR(IF(INDEX('Disaggregation Records'!$I$155:$I$385,MATCH(RIGHT(Q857,255),RIGHT('Disaggregation Records'!$D$155:$D$385,255),0))="","",INDEX('Disaggregation Records'!$I$155:$I$385,MATCH(RIGHT(Q857,255),RIGHT('Disaggregation Records'!$D$155:$D$385,255),0))),"")</f>
        <v/>
      </c>
      <c r="W857" s="194" t="str">
        <f>IFERROR(INDEX('Reference Records'!L$77:L$157,MATCH(LEFT(C857,255),'Reference Records'!E$77:E$157,0)),"")</f>
        <v>TCP-6a Number of TB cases (all forms) notified among prisoners</v>
      </c>
    </row>
    <row r="858" spans="1:23" s="194" customFormat="1" ht="40.4" customHeight="1" x14ac:dyDescent="0.35">
      <c r="A858" s="770"/>
      <c r="B858" s="767"/>
      <c r="C858" s="761"/>
      <c r="D858" s="769"/>
      <c r="E858" s="769"/>
      <c r="F858" s="208"/>
      <c r="G858" s="763"/>
      <c r="H858" s="744"/>
      <c r="I858" s="765"/>
      <c r="J858" s="730"/>
      <c r="K858" s="761"/>
      <c r="L858" s="761"/>
      <c r="M858" s="730"/>
      <c r="N858" s="730"/>
    </row>
    <row r="859" spans="1:23" s="194" customFormat="1" ht="40.4" customHeight="1" x14ac:dyDescent="0.35">
      <c r="A859" s="770" t="str">
        <f ca="1">INDIRECT("'update Helper'!C"&amp;U859)</f>
        <v>a163p000004NtWDAA0</v>
      </c>
      <c r="B859" s="766">
        <v>6</v>
      </c>
      <c r="C859" s="760" t="str">
        <f>VLOOKUP(B859,'Coverage Indicators - Section D'!$A$9:$AU$70,47,FALSE)</f>
        <v>TCP-6a Número de casos de tuberculosis (en todas sus formas) notificados entre reclusos.</v>
      </c>
      <c r="D859" s="768" t="str">
        <f>R859</f>
        <v/>
      </c>
      <c r="E859" s="768" t="str">
        <f>S859</f>
        <v/>
      </c>
      <c r="F859" s="413"/>
      <c r="G859" s="762" t="str">
        <f ca="1">IF(OR(INDIRECT("'update Helper'!E"&amp;U859)="",F859&lt;&gt;0,F860&lt;&gt;0),IF(IFERROR((F859/F860),"")="","",(F859/F860)),INDIRECT("'update Helper'!E"&amp;U859)/100)</f>
        <v/>
      </c>
      <c r="H859" s="743"/>
      <c r="I859" s="764"/>
      <c r="J859" s="729"/>
      <c r="K859" s="760" t="str">
        <f>W859</f>
        <v>TCP-6a Number of TB cases (all forms) notified among prisoners</v>
      </c>
      <c r="L859" s="760" t="str">
        <f>V859</f>
        <v/>
      </c>
      <c r="M859" s="729"/>
      <c r="N859" s="729"/>
      <c r="P859" s="194">
        <f>IF(AND(EXACT(C859,C857),C857&lt;&gt;0),P857+1,0)</f>
        <v>19</v>
      </c>
      <c r="Q859" s="194" t="str">
        <f>IF(C859&lt;&gt;"",C859&amp;"-"&amp;P859,"")</f>
        <v>TCP-6a Número de casos de tuberculosis (en todas sus formas) notificados entre reclusos.-19</v>
      </c>
      <c r="R859" s="194" t="str">
        <f t="array" ref="R859">IFERROR(IF(INDEX('Disaggregation Records'!$E$155:$E$385,MATCH(RIGHT(Q859,255),RIGHT('Disaggregation Records'!$D$155:$D$385,255),0))="","",INDEX('Disaggregation Records'!$E$155:$E$385,MATCH(RIGHT(Q859,255),RIGHT('Disaggregation Records'!$D$155:$D$385,255),0))),"")</f>
        <v/>
      </c>
      <c r="S859" s="194" t="str">
        <f t="array" ref="S859">IFERROR(IF(INDEX('Disaggregation Records'!$F$155:$F$385,MATCH(RIGHT(Q859,255),RIGHT('Disaggregation Records'!$D$155:$D$385,255),0))="","",INDEX('Disaggregation Records'!$F$155:$F$385,MATCH(RIGHT(Q859,255),RIGHT('Disaggregation Records'!$D$155:$D$385,255),0))),"")</f>
        <v/>
      </c>
      <c r="T859" s="194" t="str">
        <f t="array" ref="T859">IFERROR(IF(INDEX('Disaggregation Records'!$H$155:$H$385,MATCH(RIGHT(Q859,255),RIGHT('Disaggregation Records'!$D$155:$D$385,255),0))="","",INDEX('Disaggregation Records'!$H$155:$H$385,MATCH(RIGHT(Q859,255),RIGHT('Disaggregation Records'!$D$155:$D$385,255),0))),"")</f>
        <v/>
      </c>
      <c r="U859" s="194">
        <f>U857+1</f>
        <v>2619</v>
      </c>
      <c r="V859" s="194" t="str">
        <f t="array" ref="V859">IFERROR(IF(INDEX('Disaggregation Records'!$I$155:$I$385,MATCH(RIGHT(Q859,255),RIGHT('Disaggregation Records'!$D$155:$D$385,255),0))="","",INDEX('Disaggregation Records'!$I$155:$I$385,MATCH(RIGHT(Q859,255),RIGHT('Disaggregation Records'!$D$155:$D$385,255),0))),"")</f>
        <v/>
      </c>
      <c r="W859" s="194" t="str">
        <f>IFERROR(INDEX('Reference Records'!L$77:L$157,MATCH(LEFT(C859,255),'Reference Records'!E$77:E$157,0)),"")</f>
        <v>TCP-6a Number of TB cases (all forms) notified among prisoners</v>
      </c>
    </row>
    <row r="860" spans="1:23" s="194" customFormat="1" ht="40.4" customHeight="1" x14ac:dyDescent="0.35">
      <c r="A860" s="770"/>
      <c r="B860" s="767"/>
      <c r="C860" s="761"/>
      <c r="D860" s="769"/>
      <c r="E860" s="769"/>
      <c r="F860" s="208"/>
      <c r="G860" s="763"/>
      <c r="H860" s="744"/>
      <c r="I860" s="765"/>
      <c r="J860" s="730"/>
      <c r="K860" s="761"/>
      <c r="L860" s="761"/>
      <c r="M860" s="730"/>
      <c r="N860" s="730"/>
    </row>
    <row r="861" spans="1:23" s="194" customFormat="1" ht="40.4" customHeight="1" x14ac:dyDescent="0.35">
      <c r="A861" s="770" t="str">
        <f ca="1">INDIRECT("'update Helper'!C"&amp;U861)</f>
        <v>a163p000004NtMYAA0</v>
      </c>
      <c r="B861" s="766">
        <v>7</v>
      </c>
      <c r="C861" s="760" t="str">
        <f>VLOOKUP(B861,'Coverage Indicators - Section D'!$A$9:$AU$70,47,FALSE)</f>
        <v>KP-1a⁽ᴹ⁾ Porcentaje de HSH alcanzados por programas de prevención del VIH - paquete definido de servicios</v>
      </c>
      <c r="D861" s="768" t="str">
        <f>R861</f>
        <v>Edad</v>
      </c>
      <c r="E861" s="768" t="str">
        <f>S861</f>
        <v>25+</v>
      </c>
      <c r="F861" s="413"/>
      <c r="G861" s="762" t="str">
        <f ca="1">IF(OR(INDIRECT("'update Helper'!E"&amp;U861)="",F861&lt;&gt;0,F862&lt;&gt;0),IF(IFERROR((F861/F862),"")="","",(F861/F862)),INDIRECT("'update Helper'!E"&amp;U861)/100)</f>
        <v/>
      </c>
      <c r="H861" s="743"/>
      <c r="I861" s="764"/>
      <c r="J861" s="729" t="s">
        <v>9912</v>
      </c>
      <c r="K861" s="760" t="str">
        <f>W861</f>
        <v>KP-1a⁽ᴹ⁾ Percentage of men who have sex with men reached with HIV prevention programs - defined package of services</v>
      </c>
      <c r="L861" s="760" t="str">
        <f>V861</f>
        <v>Age</v>
      </c>
      <c r="M861" s="729"/>
      <c r="N861" s="729" t="s">
        <v>4037</v>
      </c>
      <c r="P861" s="194">
        <f>IF(AND(EXACT(C861,C859),C859&lt;&gt;0),P859+1,0)</f>
        <v>0</v>
      </c>
      <c r="Q861" s="194" t="str">
        <f>IF(C861&lt;&gt;"",C861&amp;"-"&amp;P861,"")</f>
        <v>KP-1a⁽ᴹ⁾ Porcentaje de HSH alcanzados por programas de prevención del VIH - paquete definido de servicios-0</v>
      </c>
      <c r="R861" s="194" t="str">
        <f t="array" ref="R861">IFERROR(IF(INDEX('Disaggregation Records'!$E$155:$E$385,MATCH(RIGHT(Q861,255),RIGHT('Disaggregation Records'!$D$155:$D$385,255),0))="","",INDEX('Disaggregation Records'!$E$155:$E$385,MATCH(RIGHT(Q861,255),RIGHT('Disaggregation Records'!$D$155:$D$385,255),0))),"")</f>
        <v>Edad</v>
      </c>
      <c r="S861" s="194" t="str">
        <f t="array" ref="S861">IFERROR(IF(INDEX('Disaggregation Records'!$F$155:$F$385,MATCH(RIGHT(Q861,255),RIGHT('Disaggregation Records'!$D$155:$D$385,255),0))="","",INDEX('Disaggregation Records'!$F$155:$F$385,MATCH(RIGHT(Q861,255),RIGHT('Disaggregation Records'!$D$155:$D$385,255),0))),"")</f>
        <v>25+</v>
      </c>
      <c r="T861" s="194" t="str">
        <f t="array" ref="T861">IFERROR(IF(INDEX('Disaggregation Records'!$H$155:$H$385,MATCH(RIGHT(Q861,255),RIGHT('Disaggregation Records'!$D$155:$D$385,255),0))="","",INDEX('Disaggregation Records'!$H$155:$H$385,MATCH(RIGHT(Q861,255),RIGHT('Disaggregation Records'!$D$155:$D$385,255),0))),"")</f>
        <v>IDR-00700</v>
      </c>
      <c r="U861" s="194">
        <f>U859+1</f>
        <v>2620</v>
      </c>
      <c r="V861" s="194" t="str">
        <f t="array" ref="V861">IFERROR(IF(INDEX('Disaggregation Records'!$I$155:$I$385,MATCH(RIGHT(Q861,255),RIGHT('Disaggregation Records'!$D$155:$D$385,255),0))="","",INDEX('Disaggregation Records'!$I$155:$I$385,MATCH(RIGHT(Q861,255),RIGHT('Disaggregation Records'!$D$155:$D$385,255),0))),"")</f>
        <v>Age</v>
      </c>
      <c r="W861" s="194" t="str">
        <f>IFERROR(INDEX('Reference Records'!L$77:L$157,MATCH(LEFT(C861,255),'Reference Records'!E$77:E$157,0)),"")</f>
        <v>KP-1a⁽ᴹ⁾ Percentage of men who have sex with men reached with HIV prevention programs - defined package of services</v>
      </c>
    </row>
    <row r="862" spans="1:23" s="194" customFormat="1" ht="40.4" customHeight="1" x14ac:dyDescent="0.35">
      <c r="A862" s="770"/>
      <c r="B862" s="767"/>
      <c r="C862" s="761"/>
      <c r="D862" s="769"/>
      <c r="E862" s="769"/>
      <c r="F862" s="208"/>
      <c r="G862" s="763"/>
      <c r="H862" s="744"/>
      <c r="I862" s="765"/>
      <c r="J862" s="730"/>
      <c r="K862" s="761"/>
      <c r="L862" s="761"/>
      <c r="M862" s="730"/>
      <c r="N862" s="730"/>
    </row>
    <row r="863" spans="1:23" s="194" customFormat="1" ht="40.4" customHeight="1" x14ac:dyDescent="0.35">
      <c r="A863" s="770" t="str">
        <f ca="1">INDIRECT("'update Helper'!C"&amp;U863)</f>
        <v>a163p000004NtMZAA0</v>
      </c>
      <c r="B863" s="766">
        <v>7</v>
      </c>
      <c r="C863" s="760" t="str">
        <f>VLOOKUP(B863,'Coverage Indicators - Section D'!$A$9:$AU$70,47,FALSE)</f>
        <v>KP-1a⁽ᴹ⁾ Porcentaje de HSH alcanzados por programas de prevención del VIH - paquete definido de servicios</v>
      </c>
      <c r="D863" s="768" t="str">
        <f>R863</f>
        <v>Edad</v>
      </c>
      <c r="E863" s="768" t="str">
        <f>S863</f>
        <v>&lt;25</v>
      </c>
      <c r="F863" s="413"/>
      <c r="G863" s="762" t="str">
        <f ca="1">IF(OR(INDIRECT("'update Helper'!E"&amp;U863)="",F863&lt;&gt;0,F864&lt;&gt;0),IF(IFERROR((F863/F864),"")="","",(F863/F864)),INDIRECT("'update Helper'!E"&amp;U863)/100)</f>
        <v/>
      </c>
      <c r="H863" s="743"/>
      <c r="I863" s="764"/>
      <c r="J863" s="729" t="s">
        <v>9912</v>
      </c>
      <c r="K863" s="760" t="str">
        <f>W863</f>
        <v>KP-1a⁽ᴹ⁾ Percentage of men who have sex with men reached with HIV prevention programs - defined package of services</v>
      </c>
      <c r="L863" s="760" t="str">
        <f>V863</f>
        <v>Age</v>
      </c>
      <c r="M863" s="729"/>
      <c r="N863" s="729" t="s">
        <v>4037</v>
      </c>
      <c r="P863" s="194">
        <f>IF(AND(EXACT(C863,C861),C861&lt;&gt;0),P861+1,0)</f>
        <v>1</v>
      </c>
      <c r="Q863" s="194" t="str">
        <f>IF(C863&lt;&gt;"",C863&amp;"-"&amp;P863,"")</f>
        <v>KP-1a⁽ᴹ⁾ Porcentaje de HSH alcanzados por programas de prevención del VIH - paquete definido de servicios-1</v>
      </c>
      <c r="R863" s="194" t="str">
        <f t="array" ref="R863">IFERROR(IF(INDEX('Disaggregation Records'!$E$155:$E$385,MATCH(RIGHT(Q863,255),RIGHT('Disaggregation Records'!$D$155:$D$385,255),0))="","",INDEX('Disaggregation Records'!$E$155:$E$385,MATCH(RIGHT(Q863,255),RIGHT('Disaggregation Records'!$D$155:$D$385,255),0))),"")</f>
        <v>Edad</v>
      </c>
      <c r="S863" s="194" t="str">
        <f t="array" ref="S863">IFERROR(IF(INDEX('Disaggregation Records'!$F$155:$F$385,MATCH(RIGHT(Q863,255),RIGHT('Disaggregation Records'!$D$155:$D$385,255),0))="","",INDEX('Disaggregation Records'!$F$155:$F$385,MATCH(RIGHT(Q863,255),RIGHT('Disaggregation Records'!$D$155:$D$385,255),0))),"")</f>
        <v>&lt;25</v>
      </c>
      <c r="T863" s="194" t="str">
        <f t="array" ref="T863">IFERROR(IF(INDEX('Disaggregation Records'!$H$155:$H$385,MATCH(RIGHT(Q863,255),RIGHT('Disaggregation Records'!$D$155:$D$385,255),0))="","",INDEX('Disaggregation Records'!$H$155:$H$385,MATCH(RIGHT(Q863,255),RIGHT('Disaggregation Records'!$D$155:$D$385,255),0))),"")</f>
        <v>IDR-00699</v>
      </c>
      <c r="U863" s="194">
        <f>U861+1</f>
        <v>2621</v>
      </c>
      <c r="V863" s="194" t="str">
        <f t="array" ref="V863">IFERROR(IF(INDEX('Disaggregation Records'!$I$155:$I$385,MATCH(RIGHT(Q863,255),RIGHT('Disaggregation Records'!$D$155:$D$385,255),0))="","",INDEX('Disaggregation Records'!$I$155:$I$385,MATCH(RIGHT(Q863,255),RIGHT('Disaggregation Records'!$D$155:$D$385,255),0))),"")</f>
        <v>Age</v>
      </c>
      <c r="W863" s="194" t="str">
        <f>IFERROR(INDEX('Reference Records'!L$77:L$157,MATCH(LEFT(C863,255),'Reference Records'!E$77:E$157,0)),"")</f>
        <v>KP-1a⁽ᴹ⁾ Percentage of men who have sex with men reached with HIV prevention programs - defined package of services</v>
      </c>
    </row>
    <row r="864" spans="1:23" s="194" customFormat="1" ht="40.4" customHeight="1" x14ac:dyDescent="0.35">
      <c r="A864" s="770"/>
      <c r="B864" s="767"/>
      <c r="C864" s="761"/>
      <c r="D864" s="769"/>
      <c r="E864" s="769"/>
      <c r="F864" s="208"/>
      <c r="G864" s="763"/>
      <c r="H864" s="744"/>
      <c r="I864" s="765"/>
      <c r="J864" s="730"/>
      <c r="K864" s="761"/>
      <c r="L864" s="761"/>
      <c r="M864" s="730"/>
      <c r="N864" s="730"/>
    </row>
    <row r="865" spans="1:23" s="194" customFormat="1" ht="40.4" customHeight="1" x14ac:dyDescent="0.35">
      <c r="A865" s="770" t="str">
        <f ca="1">INDIRECT("'update Helper'!C"&amp;U865)</f>
        <v>a163p000004NtMaAAK</v>
      </c>
      <c r="B865" s="766">
        <v>7</v>
      </c>
      <c r="C865" s="760" t="str">
        <f>VLOOKUP(B865,'Coverage Indicators - Section D'!$A$9:$AU$70,47,FALSE)</f>
        <v>KP-1a⁽ᴹ⁾ Porcentaje de HSH alcanzados por programas de prevención del VIH - paquete definido de servicios</v>
      </c>
      <c r="D865" s="768" t="str">
        <f>R865</f>
        <v/>
      </c>
      <c r="E865" s="768" t="str">
        <f>S865</f>
        <v/>
      </c>
      <c r="F865" s="413"/>
      <c r="G865" s="762" t="str">
        <f ca="1">IF(OR(INDIRECT("'update Helper'!E"&amp;U865)="",F865&lt;&gt;0,F866&lt;&gt;0),IF(IFERROR((F865/F866),"")="","",(F865/F866)),INDIRECT("'update Helper'!E"&amp;U865)/100)</f>
        <v/>
      </c>
      <c r="H865" s="743"/>
      <c r="I865" s="764"/>
      <c r="J865" s="729"/>
      <c r="K865" s="760" t="str">
        <f>W865</f>
        <v>KP-1a⁽ᴹ⁾ Percentage of men who have sex with men reached with HIV prevention programs - defined package of services</v>
      </c>
      <c r="L865" s="760" t="str">
        <f>V865</f>
        <v/>
      </c>
      <c r="M865" s="729"/>
      <c r="N865" s="729"/>
      <c r="P865" s="194">
        <f>IF(AND(EXACT(C865,C863),C863&lt;&gt;0),P863+1,0)</f>
        <v>2</v>
      </c>
      <c r="Q865" s="194" t="str">
        <f>IF(C865&lt;&gt;"",C865&amp;"-"&amp;P865,"")</f>
        <v>KP-1a⁽ᴹ⁾ Porcentaje de HSH alcanzados por programas de prevención del VIH - paquete definido de servicios-2</v>
      </c>
      <c r="R865" s="194" t="str">
        <f t="array" ref="R865">IFERROR(IF(INDEX('Disaggregation Records'!$E$155:$E$385,MATCH(RIGHT(Q865,255),RIGHT('Disaggregation Records'!$D$155:$D$385,255),0))="","",INDEX('Disaggregation Records'!$E$155:$E$385,MATCH(RIGHT(Q865,255),RIGHT('Disaggregation Records'!$D$155:$D$385,255),0))),"")</f>
        <v/>
      </c>
      <c r="S865" s="194" t="str">
        <f t="array" ref="S865">IFERROR(IF(INDEX('Disaggregation Records'!$F$155:$F$385,MATCH(RIGHT(Q865,255),RIGHT('Disaggregation Records'!$D$155:$D$385,255),0))="","",INDEX('Disaggregation Records'!$F$155:$F$385,MATCH(RIGHT(Q865,255),RIGHT('Disaggregation Records'!$D$155:$D$385,255),0))),"")</f>
        <v/>
      </c>
      <c r="T865" s="194" t="str">
        <f t="array" ref="T865">IFERROR(IF(INDEX('Disaggregation Records'!$H$155:$H$385,MATCH(RIGHT(Q865,255),RIGHT('Disaggregation Records'!$D$155:$D$385,255),0))="","",INDEX('Disaggregation Records'!$H$155:$H$385,MATCH(RIGHT(Q865,255),RIGHT('Disaggregation Records'!$D$155:$D$385,255),0))),"")</f>
        <v/>
      </c>
      <c r="U865" s="194">
        <f>U863+1</f>
        <v>2622</v>
      </c>
      <c r="V865" s="194" t="str">
        <f t="array" ref="V865">IFERROR(IF(INDEX('Disaggregation Records'!$I$155:$I$385,MATCH(RIGHT(Q865,255),RIGHT('Disaggregation Records'!$D$155:$D$385,255),0))="","",INDEX('Disaggregation Records'!$I$155:$I$385,MATCH(RIGHT(Q865,255),RIGHT('Disaggregation Records'!$D$155:$D$385,255),0))),"")</f>
        <v/>
      </c>
      <c r="W865" s="194" t="str">
        <f>IFERROR(INDEX('Reference Records'!L$77:L$157,MATCH(LEFT(C865,255),'Reference Records'!E$77:E$157,0)),"")</f>
        <v>KP-1a⁽ᴹ⁾ Percentage of men who have sex with men reached with HIV prevention programs - defined package of services</v>
      </c>
    </row>
    <row r="866" spans="1:23" s="194" customFormat="1" ht="40.4" customHeight="1" x14ac:dyDescent="0.35">
      <c r="A866" s="770"/>
      <c r="B866" s="767"/>
      <c r="C866" s="761"/>
      <c r="D866" s="769"/>
      <c r="E866" s="769"/>
      <c r="F866" s="208"/>
      <c r="G866" s="763"/>
      <c r="H866" s="744"/>
      <c r="I866" s="765"/>
      <c r="J866" s="730"/>
      <c r="K866" s="761"/>
      <c r="L866" s="761"/>
      <c r="M866" s="730"/>
      <c r="N866" s="730"/>
    </row>
    <row r="867" spans="1:23" s="194" customFormat="1" ht="40.4" customHeight="1" x14ac:dyDescent="0.35">
      <c r="A867" s="770" t="str">
        <f ca="1">INDIRECT("'update Helper'!C"&amp;U867)</f>
        <v>a163p000004NtMbAAK</v>
      </c>
      <c r="B867" s="766">
        <v>7</v>
      </c>
      <c r="C867" s="760" t="str">
        <f>VLOOKUP(B867,'Coverage Indicators - Section D'!$A$9:$AU$70,47,FALSE)</f>
        <v>KP-1a⁽ᴹ⁾ Porcentaje de HSH alcanzados por programas de prevención del VIH - paquete definido de servicios</v>
      </c>
      <c r="D867" s="768" t="str">
        <f>R867</f>
        <v/>
      </c>
      <c r="E867" s="768" t="str">
        <f>S867</f>
        <v/>
      </c>
      <c r="F867" s="413"/>
      <c r="G867" s="762" t="str">
        <f ca="1">IF(OR(INDIRECT("'update Helper'!E"&amp;U867)="",F867&lt;&gt;0,F868&lt;&gt;0),IF(IFERROR((F867/F868),"")="","",(F867/F868)),INDIRECT("'update Helper'!E"&amp;U867)/100)</f>
        <v/>
      </c>
      <c r="H867" s="743"/>
      <c r="I867" s="764"/>
      <c r="J867" s="729"/>
      <c r="K867" s="760" t="str">
        <f>W867</f>
        <v>KP-1a⁽ᴹ⁾ Percentage of men who have sex with men reached with HIV prevention programs - defined package of services</v>
      </c>
      <c r="L867" s="760" t="str">
        <f>V867</f>
        <v/>
      </c>
      <c r="M867" s="729"/>
      <c r="N867" s="729"/>
      <c r="P867" s="194">
        <f>IF(AND(EXACT(C867,C865),C865&lt;&gt;0),P865+1,0)</f>
        <v>3</v>
      </c>
      <c r="Q867" s="194" t="str">
        <f>IF(C867&lt;&gt;"",C867&amp;"-"&amp;P867,"")</f>
        <v>KP-1a⁽ᴹ⁾ Porcentaje de HSH alcanzados por programas de prevención del VIH - paquete definido de servicios-3</v>
      </c>
      <c r="R867" s="194" t="str">
        <f t="array" ref="R867">IFERROR(IF(INDEX('Disaggregation Records'!$E$155:$E$385,MATCH(RIGHT(Q867,255),RIGHT('Disaggregation Records'!$D$155:$D$385,255),0))="","",INDEX('Disaggregation Records'!$E$155:$E$385,MATCH(RIGHT(Q867,255),RIGHT('Disaggregation Records'!$D$155:$D$385,255),0))),"")</f>
        <v/>
      </c>
      <c r="S867" s="194" t="str">
        <f t="array" ref="S867">IFERROR(IF(INDEX('Disaggregation Records'!$F$155:$F$385,MATCH(RIGHT(Q867,255),RIGHT('Disaggregation Records'!$D$155:$D$385,255),0))="","",INDEX('Disaggregation Records'!$F$155:$F$385,MATCH(RIGHT(Q867,255),RIGHT('Disaggregation Records'!$D$155:$D$385,255),0))),"")</f>
        <v/>
      </c>
      <c r="T867" s="194" t="str">
        <f t="array" ref="T867">IFERROR(IF(INDEX('Disaggregation Records'!$H$155:$H$385,MATCH(RIGHT(Q867,255),RIGHT('Disaggregation Records'!$D$155:$D$385,255),0))="","",INDEX('Disaggregation Records'!$H$155:$H$385,MATCH(RIGHT(Q867,255),RIGHT('Disaggregation Records'!$D$155:$D$385,255),0))),"")</f>
        <v/>
      </c>
      <c r="U867" s="194">
        <f>U865+1</f>
        <v>2623</v>
      </c>
      <c r="V867" s="194" t="str">
        <f t="array" ref="V867">IFERROR(IF(INDEX('Disaggregation Records'!$I$155:$I$385,MATCH(RIGHT(Q867,255),RIGHT('Disaggregation Records'!$D$155:$D$385,255),0))="","",INDEX('Disaggregation Records'!$I$155:$I$385,MATCH(RIGHT(Q867,255),RIGHT('Disaggregation Records'!$D$155:$D$385,255),0))),"")</f>
        <v/>
      </c>
      <c r="W867" s="194" t="str">
        <f>IFERROR(INDEX('Reference Records'!L$77:L$157,MATCH(LEFT(C867,255),'Reference Records'!E$77:E$157,0)),"")</f>
        <v>KP-1a⁽ᴹ⁾ Percentage of men who have sex with men reached with HIV prevention programs - defined package of services</v>
      </c>
    </row>
    <row r="868" spans="1:23" s="194" customFormat="1" ht="40.4" customHeight="1" x14ac:dyDescent="0.35">
      <c r="A868" s="770"/>
      <c r="B868" s="767"/>
      <c r="C868" s="761"/>
      <c r="D868" s="769"/>
      <c r="E868" s="769"/>
      <c r="F868" s="208"/>
      <c r="G868" s="763"/>
      <c r="H868" s="744"/>
      <c r="I868" s="765"/>
      <c r="J868" s="730"/>
      <c r="K868" s="761"/>
      <c r="L868" s="761"/>
      <c r="M868" s="730"/>
      <c r="N868" s="730"/>
    </row>
    <row r="869" spans="1:23" s="194" customFormat="1" ht="40.4" customHeight="1" x14ac:dyDescent="0.35">
      <c r="A869" s="770" t="str">
        <f ca="1">INDIRECT("'update Helper'!C"&amp;U869)</f>
        <v>a163p000004NtMcAAK</v>
      </c>
      <c r="B869" s="766">
        <v>7</v>
      </c>
      <c r="C869" s="760" t="str">
        <f>VLOOKUP(B869,'Coverage Indicators - Section D'!$A$9:$AU$70,47,FALSE)</f>
        <v>KP-1a⁽ᴹ⁾ Porcentaje de HSH alcanzados por programas de prevención del VIH - paquete definido de servicios</v>
      </c>
      <c r="D869" s="768" t="str">
        <f>R869</f>
        <v/>
      </c>
      <c r="E869" s="768" t="str">
        <f>S869</f>
        <v/>
      </c>
      <c r="F869" s="413"/>
      <c r="G869" s="762" t="str">
        <f ca="1">IF(OR(INDIRECT("'update Helper'!E"&amp;U869)="",F869&lt;&gt;0,F870&lt;&gt;0),IF(IFERROR((F869/F870),"")="","",(F869/F870)),INDIRECT("'update Helper'!E"&amp;U869)/100)</f>
        <v/>
      </c>
      <c r="H869" s="743"/>
      <c r="I869" s="764"/>
      <c r="J869" s="729"/>
      <c r="K869" s="760" t="str">
        <f>W869</f>
        <v>KP-1a⁽ᴹ⁾ Percentage of men who have sex with men reached with HIV prevention programs - defined package of services</v>
      </c>
      <c r="L869" s="760" t="str">
        <f>V869</f>
        <v/>
      </c>
      <c r="M869" s="729"/>
      <c r="N869" s="729"/>
      <c r="P869" s="194">
        <f>IF(AND(EXACT(C869,C867),C867&lt;&gt;0),P867+1,0)</f>
        <v>4</v>
      </c>
      <c r="Q869" s="194" t="str">
        <f>IF(C869&lt;&gt;"",C869&amp;"-"&amp;P869,"")</f>
        <v>KP-1a⁽ᴹ⁾ Porcentaje de HSH alcanzados por programas de prevención del VIH - paquete definido de servicios-4</v>
      </c>
      <c r="R869" s="194" t="str">
        <f t="array" ref="R869">IFERROR(IF(INDEX('Disaggregation Records'!$E$155:$E$385,MATCH(RIGHT(Q869,255),RIGHT('Disaggregation Records'!$D$155:$D$385,255),0))="","",INDEX('Disaggregation Records'!$E$155:$E$385,MATCH(RIGHT(Q869,255),RIGHT('Disaggregation Records'!$D$155:$D$385,255),0))),"")</f>
        <v/>
      </c>
      <c r="S869" s="194" t="str">
        <f t="array" ref="S869">IFERROR(IF(INDEX('Disaggregation Records'!$F$155:$F$385,MATCH(RIGHT(Q869,255),RIGHT('Disaggregation Records'!$D$155:$D$385,255),0))="","",INDEX('Disaggregation Records'!$F$155:$F$385,MATCH(RIGHT(Q869,255),RIGHT('Disaggregation Records'!$D$155:$D$385,255),0))),"")</f>
        <v/>
      </c>
      <c r="T869" s="194" t="str">
        <f t="array" ref="T869">IFERROR(IF(INDEX('Disaggregation Records'!$H$155:$H$385,MATCH(RIGHT(Q869,255),RIGHT('Disaggregation Records'!$D$155:$D$385,255),0))="","",INDEX('Disaggregation Records'!$H$155:$H$385,MATCH(RIGHT(Q869,255),RIGHT('Disaggregation Records'!$D$155:$D$385,255),0))),"")</f>
        <v/>
      </c>
      <c r="U869" s="194">
        <f>U867+1</f>
        <v>2624</v>
      </c>
      <c r="V869" s="194" t="str">
        <f t="array" ref="V869">IFERROR(IF(INDEX('Disaggregation Records'!$I$155:$I$385,MATCH(RIGHT(Q869,255),RIGHT('Disaggregation Records'!$D$155:$D$385,255),0))="","",INDEX('Disaggregation Records'!$I$155:$I$385,MATCH(RIGHT(Q869,255),RIGHT('Disaggregation Records'!$D$155:$D$385,255),0))),"")</f>
        <v/>
      </c>
      <c r="W869" s="194" t="str">
        <f>IFERROR(INDEX('Reference Records'!L$77:L$157,MATCH(LEFT(C869,255),'Reference Records'!E$77:E$157,0)),"")</f>
        <v>KP-1a⁽ᴹ⁾ Percentage of men who have sex with men reached with HIV prevention programs - defined package of services</v>
      </c>
    </row>
    <row r="870" spans="1:23" s="194" customFormat="1" ht="40.4" customHeight="1" x14ac:dyDescent="0.35">
      <c r="A870" s="770"/>
      <c r="B870" s="767"/>
      <c r="C870" s="761"/>
      <c r="D870" s="769"/>
      <c r="E870" s="769"/>
      <c r="F870" s="208"/>
      <c r="G870" s="763"/>
      <c r="H870" s="744"/>
      <c r="I870" s="765"/>
      <c r="J870" s="730"/>
      <c r="K870" s="761"/>
      <c r="L870" s="761"/>
      <c r="M870" s="730"/>
      <c r="N870" s="730"/>
    </row>
    <row r="871" spans="1:23" s="194" customFormat="1" ht="40.4" customHeight="1" x14ac:dyDescent="0.35">
      <c r="A871" s="770" t="str">
        <f ca="1">INDIRECT("'update Helper'!C"&amp;U871)</f>
        <v>a163p000004NtMdAAK</v>
      </c>
      <c r="B871" s="766">
        <v>7</v>
      </c>
      <c r="C871" s="760" t="str">
        <f>VLOOKUP(B871,'Coverage Indicators - Section D'!$A$9:$AU$70,47,FALSE)</f>
        <v>KP-1a⁽ᴹ⁾ Porcentaje de HSH alcanzados por programas de prevención del VIH - paquete definido de servicios</v>
      </c>
      <c r="D871" s="768" t="str">
        <f>R871</f>
        <v/>
      </c>
      <c r="E871" s="768" t="str">
        <f>S871</f>
        <v/>
      </c>
      <c r="F871" s="413"/>
      <c r="G871" s="762" t="str">
        <f ca="1">IF(OR(INDIRECT("'update Helper'!E"&amp;U871)="",F871&lt;&gt;0,F872&lt;&gt;0),IF(IFERROR((F871/F872),"")="","",(F871/F872)),INDIRECT("'update Helper'!E"&amp;U871)/100)</f>
        <v/>
      </c>
      <c r="H871" s="743"/>
      <c r="I871" s="764"/>
      <c r="J871" s="729"/>
      <c r="K871" s="760" t="str">
        <f>W871</f>
        <v>KP-1a⁽ᴹ⁾ Percentage of men who have sex with men reached with HIV prevention programs - defined package of services</v>
      </c>
      <c r="L871" s="760" t="str">
        <f>V871</f>
        <v/>
      </c>
      <c r="M871" s="729"/>
      <c r="N871" s="729"/>
      <c r="P871" s="194">
        <f>IF(AND(EXACT(C871,C869),C869&lt;&gt;0),P869+1,0)</f>
        <v>5</v>
      </c>
      <c r="Q871" s="194" t="str">
        <f>IF(C871&lt;&gt;"",C871&amp;"-"&amp;P871,"")</f>
        <v>KP-1a⁽ᴹ⁾ Porcentaje de HSH alcanzados por programas de prevención del VIH - paquete definido de servicios-5</v>
      </c>
      <c r="R871" s="194" t="str">
        <f t="array" ref="R871">IFERROR(IF(INDEX('Disaggregation Records'!$E$155:$E$385,MATCH(RIGHT(Q871,255),RIGHT('Disaggregation Records'!$D$155:$D$385,255),0))="","",INDEX('Disaggregation Records'!$E$155:$E$385,MATCH(RIGHT(Q871,255),RIGHT('Disaggregation Records'!$D$155:$D$385,255),0))),"")</f>
        <v/>
      </c>
      <c r="S871" s="194" t="str">
        <f t="array" ref="S871">IFERROR(IF(INDEX('Disaggregation Records'!$F$155:$F$385,MATCH(RIGHT(Q871,255),RIGHT('Disaggregation Records'!$D$155:$D$385,255),0))="","",INDEX('Disaggregation Records'!$F$155:$F$385,MATCH(RIGHT(Q871,255),RIGHT('Disaggregation Records'!$D$155:$D$385,255),0))),"")</f>
        <v/>
      </c>
      <c r="T871" s="194" t="str">
        <f t="array" ref="T871">IFERROR(IF(INDEX('Disaggregation Records'!$H$155:$H$385,MATCH(RIGHT(Q871,255),RIGHT('Disaggregation Records'!$D$155:$D$385,255),0))="","",INDEX('Disaggregation Records'!$H$155:$H$385,MATCH(RIGHT(Q871,255),RIGHT('Disaggregation Records'!$D$155:$D$385,255),0))),"")</f>
        <v/>
      </c>
      <c r="U871" s="194">
        <f>U869+1</f>
        <v>2625</v>
      </c>
      <c r="V871" s="194" t="str">
        <f t="array" ref="V871">IFERROR(IF(INDEX('Disaggregation Records'!$I$155:$I$385,MATCH(RIGHT(Q871,255),RIGHT('Disaggregation Records'!$D$155:$D$385,255),0))="","",INDEX('Disaggregation Records'!$I$155:$I$385,MATCH(RIGHT(Q871,255),RIGHT('Disaggregation Records'!$D$155:$D$385,255),0))),"")</f>
        <v/>
      </c>
      <c r="W871" s="194" t="str">
        <f>IFERROR(INDEX('Reference Records'!L$77:L$157,MATCH(LEFT(C871,255),'Reference Records'!E$77:E$157,0)),"")</f>
        <v>KP-1a⁽ᴹ⁾ Percentage of men who have sex with men reached with HIV prevention programs - defined package of services</v>
      </c>
    </row>
    <row r="872" spans="1:23" s="194" customFormat="1" ht="40.4" customHeight="1" x14ac:dyDescent="0.35">
      <c r="A872" s="770"/>
      <c r="B872" s="767"/>
      <c r="C872" s="761"/>
      <c r="D872" s="769"/>
      <c r="E872" s="769"/>
      <c r="F872" s="208"/>
      <c r="G872" s="763"/>
      <c r="H872" s="744"/>
      <c r="I872" s="765"/>
      <c r="J872" s="730"/>
      <c r="K872" s="761"/>
      <c r="L872" s="761"/>
      <c r="M872" s="730"/>
      <c r="N872" s="730"/>
    </row>
    <row r="873" spans="1:23" s="194" customFormat="1" ht="40.4" customHeight="1" x14ac:dyDescent="0.35">
      <c r="A873" s="770" t="str">
        <f ca="1">INDIRECT("'update Helper'!C"&amp;U873)</f>
        <v>a163p000004NtMeAAK</v>
      </c>
      <c r="B873" s="766">
        <v>7</v>
      </c>
      <c r="C873" s="760" t="str">
        <f>VLOOKUP(B873,'Coverage Indicators - Section D'!$A$9:$AU$70,47,FALSE)</f>
        <v>KP-1a⁽ᴹ⁾ Porcentaje de HSH alcanzados por programas de prevención del VIH - paquete definido de servicios</v>
      </c>
      <c r="D873" s="768" t="str">
        <f>R873</f>
        <v/>
      </c>
      <c r="E873" s="768" t="str">
        <f>S873</f>
        <v/>
      </c>
      <c r="F873" s="413"/>
      <c r="G873" s="762" t="str">
        <f ca="1">IF(OR(INDIRECT("'update Helper'!E"&amp;U873)="",F873&lt;&gt;0,F874&lt;&gt;0),IF(IFERROR((F873/F874),"")="","",(F873/F874)),INDIRECT("'update Helper'!E"&amp;U873)/100)</f>
        <v/>
      </c>
      <c r="H873" s="743"/>
      <c r="I873" s="764"/>
      <c r="J873" s="729"/>
      <c r="K873" s="760" t="str">
        <f>W873</f>
        <v>KP-1a⁽ᴹ⁾ Percentage of men who have sex with men reached with HIV prevention programs - defined package of services</v>
      </c>
      <c r="L873" s="760" t="str">
        <f>V873</f>
        <v/>
      </c>
      <c r="M873" s="729"/>
      <c r="N873" s="729"/>
      <c r="P873" s="194">
        <f>IF(AND(EXACT(C873,C871),C871&lt;&gt;0),P871+1,0)</f>
        <v>6</v>
      </c>
      <c r="Q873" s="194" t="str">
        <f>IF(C873&lt;&gt;"",C873&amp;"-"&amp;P873,"")</f>
        <v>KP-1a⁽ᴹ⁾ Porcentaje de HSH alcanzados por programas de prevención del VIH - paquete definido de servicios-6</v>
      </c>
      <c r="R873" s="194" t="str">
        <f t="array" ref="R873">IFERROR(IF(INDEX('Disaggregation Records'!$E$155:$E$385,MATCH(RIGHT(Q873,255),RIGHT('Disaggregation Records'!$D$155:$D$385,255),0))="","",INDEX('Disaggregation Records'!$E$155:$E$385,MATCH(RIGHT(Q873,255),RIGHT('Disaggregation Records'!$D$155:$D$385,255),0))),"")</f>
        <v/>
      </c>
      <c r="S873" s="194" t="str">
        <f t="array" ref="S873">IFERROR(IF(INDEX('Disaggregation Records'!$F$155:$F$385,MATCH(RIGHT(Q873,255),RIGHT('Disaggregation Records'!$D$155:$D$385,255),0))="","",INDEX('Disaggregation Records'!$F$155:$F$385,MATCH(RIGHT(Q873,255),RIGHT('Disaggregation Records'!$D$155:$D$385,255),0))),"")</f>
        <v/>
      </c>
      <c r="T873" s="194" t="str">
        <f t="array" ref="T873">IFERROR(IF(INDEX('Disaggregation Records'!$H$155:$H$385,MATCH(RIGHT(Q873,255),RIGHT('Disaggregation Records'!$D$155:$D$385,255),0))="","",INDEX('Disaggregation Records'!$H$155:$H$385,MATCH(RIGHT(Q873,255),RIGHT('Disaggregation Records'!$D$155:$D$385,255),0))),"")</f>
        <v/>
      </c>
      <c r="U873" s="194">
        <f>U871+1</f>
        <v>2626</v>
      </c>
      <c r="V873" s="194" t="str">
        <f t="array" ref="V873">IFERROR(IF(INDEX('Disaggregation Records'!$I$155:$I$385,MATCH(RIGHT(Q873,255),RIGHT('Disaggregation Records'!$D$155:$D$385,255),0))="","",INDEX('Disaggregation Records'!$I$155:$I$385,MATCH(RIGHT(Q873,255),RIGHT('Disaggregation Records'!$D$155:$D$385,255),0))),"")</f>
        <v/>
      </c>
      <c r="W873" s="194" t="str">
        <f>IFERROR(INDEX('Reference Records'!L$77:L$157,MATCH(LEFT(C873,255),'Reference Records'!E$77:E$157,0)),"")</f>
        <v>KP-1a⁽ᴹ⁾ Percentage of men who have sex with men reached with HIV prevention programs - defined package of services</v>
      </c>
    </row>
    <row r="874" spans="1:23" s="194" customFormat="1" ht="40.4" customHeight="1" x14ac:dyDescent="0.35">
      <c r="A874" s="770"/>
      <c r="B874" s="767"/>
      <c r="C874" s="761"/>
      <c r="D874" s="769"/>
      <c r="E874" s="769"/>
      <c r="F874" s="208"/>
      <c r="G874" s="763"/>
      <c r="H874" s="744"/>
      <c r="I874" s="765"/>
      <c r="J874" s="730"/>
      <c r="K874" s="761"/>
      <c r="L874" s="761"/>
      <c r="M874" s="730"/>
      <c r="N874" s="730"/>
    </row>
    <row r="875" spans="1:23" s="194" customFormat="1" ht="40.4" customHeight="1" x14ac:dyDescent="0.35">
      <c r="A875" s="770" t="str">
        <f ca="1">INDIRECT("'update Helper'!C"&amp;U875)</f>
        <v>a163p000004NtMfAAK</v>
      </c>
      <c r="B875" s="766">
        <v>7</v>
      </c>
      <c r="C875" s="760" t="str">
        <f>VLOOKUP(B875,'Coverage Indicators - Section D'!$A$9:$AU$70,47,FALSE)</f>
        <v>KP-1a⁽ᴹ⁾ Porcentaje de HSH alcanzados por programas de prevención del VIH - paquete definido de servicios</v>
      </c>
      <c r="D875" s="768" t="str">
        <f>R875</f>
        <v/>
      </c>
      <c r="E875" s="768" t="str">
        <f>S875</f>
        <v/>
      </c>
      <c r="F875" s="413"/>
      <c r="G875" s="762" t="str">
        <f ca="1">IF(OR(INDIRECT("'update Helper'!E"&amp;U875)="",F875&lt;&gt;0,F876&lt;&gt;0),IF(IFERROR((F875/F876),"")="","",(F875/F876)),INDIRECT("'update Helper'!E"&amp;U875)/100)</f>
        <v/>
      </c>
      <c r="H875" s="743"/>
      <c r="I875" s="764"/>
      <c r="J875" s="729"/>
      <c r="K875" s="760" t="str">
        <f>W875</f>
        <v>KP-1a⁽ᴹ⁾ Percentage of men who have sex with men reached with HIV prevention programs - defined package of services</v>
      </c>
      <c r="L875" s="760" t="str">
        <f>V875</f>
        <v/>
      </c>
      <c r="M875" s="729"/>
      <c r="N875" s="729"/>
      <c r="P875" s="194">
        <f>IF(AND(EXACT(C875,C873),C873&lt;&gt;0),P873+1,0)</f>
        <v>7</v>
      </c>
      <c r="Q875" s="194" t="str">
        <f>IF(C875&lt;&gt;"",C875&amp;"-"&amp;P875,"")</f>
        <v>KP-1a⁽ᴹ⁾ Porcentaje de HSH alcanzados por programas de prevención del VIH - paquete definido de servicios-7</v>
      </c>
      <c r="R875" s="194" t="str">
        <f t="array" ref="R875">IFERROR(IF(INDEX('Disaggregation Records'!$E$155:$E$385,MATCH(RIGHT(Q875,255),RIGHT('Disaggregation Records'!$D$155:$D$385,255),0))="","",INDEX('Disaggregation Records'!$E$155:$E$385,MATCH(RIGHT(Q875,255),RIGHT('Disaggregation Records'!$D$155:$D$385,255),0))),"")</f>
        <v/>
      </c>
      <c r="S875" s="194" t="str">
        <f t="array" ref="S875">IFERROR(IF(INDEX('Disaggregation Records'!$F$155:$F$385,MATCH(RIGHT(Q875,255),RIGHT('Disaggregation Records'!$D$155:$D$385,255),0))="","",INDEX('Disaggregation Records'!$F$155:$F$385,MATCH(RIGHT(Q875,255),RIGHT('Disaggregation Records'!$D$155:$D$385,255),0))),"")</f>
        <v/>
      </c>
      <c r="T875" s="194" t="str">
        <f t="array" ref="T875">IFERROR(IF(INDEX('Disaggregation Records'!$H$155:$H$385,MATCH(RIGHT(Q875,255),RIGHT('Disaggregation Records'!$D$155:$D$385,255),0))="","",INDEX('Disaggregation Records'!$H$155:$H$385,MATCH(RIGHT(Q875,255),RIGHT('Disaggregation Records'!$D$155:$D$385,255),0))),"")</f>
        <v/>
      </c>
      <c r="U875" s="194">
        <f>U873+1</f>
        <v>2627</v>
      </c>
      <c r="V875" s="194" t="str">
        <f t="array" ref="V875">IFERROR(IF(INDEX('Disaggregation Records'!$I$155:$I$385,MATCH(RIGHT(Q875,255),RIGHT('Disaggregation Records'!$D$155:$D$385,255),0))="","",INDEX('Disaggregation Records'!$I$155:$I$385,MATCH(RIGHT(Q875,255),RIGHT('Disaggregation Records'!$D$155:$D$385,255),0))),"")</f>
        <v/>
      </c>
      <c r="W875" s="194" t="str">
        <f>IFERROR(INDEX('Reference Records'!L$77:L$157,MATCH(LEFT(C875,255),'Reference Records'!E$77:E$157,0)),"")</f>
        <v>KP-1a⁽ᴹ⁾ Percentage of men who have sex with men reached with HIV prevention programs - defined package of services</v>
      </c>
    </row>
    <row r="876" spans="1:23" s="194" customFormat="1" ht="40.4" customHeight="1" x14ac:dyDescent="0.35">
      <c r="A876" s="770"/>
      <c r="B876" s="767"/>
      <c r="C876" s="761"/>
      <c r="D876" s="769"/>
      <c r="E876" s="769"/>
      <c r="F876" s="208"/>
      <c r="G876" s="763"/>
      <c r="H876" s="744"/>
      <c r="I876" s="765"/>
      <c r="J876" s="730"/>
      <c r="K876" s="761"/>
      <c r="L876" s="761"/>
      <c r="M876" s="730"/>
      <c r="N876" s="730"/>
    </row>
    <row r="877" spans="1:23" s="194" customFormat="1" ht="40.4" customHeight="1" x14ac:dyDescent="0.35">
      <c r="A877" s="770" t="str">
        <f ca="1">INDIRECT("'update Helper'!C"&amp;U877)</f>
        <v>a163p000004NtMgAAK</v>
      </c>
      <c r="B877" s="766">
        <v>7</v>
      </c>
      <c r="C877" s="760" t="str">
        <f>VLOOKUP(B877,'Coverage Indicators - Section D'!$A$9:$AU$70,47,FALSE)</f>
        <v>KP-1a⁽ᴹ⁾ Porcentaje de HSH alcanzados por programas de prevención del VIH - paquete definido de servicios</v>
      </c>
      <c r="D877" s="768" t="str">
        <f>R877</f>
        <v/>
      </c>
      <c r="E877" s="768" t="str">
        <f>S877</f>
        <v/>
      </c>
      <c r="F877" s="413"/>
      <c r="G877" s="762" t="str">
        <f ca="1">IF(OR(INDIRECT("'update Helper'!E"&amp;U877)="",F877&lt;&gt;0,F878&lt;&gt;0),IF(IFERROR((F877/F878),"")="","",(F877/F878)),INDIRECT("'update Helper'!E"&amp;U877)/100)</f>
        <v/>
      </c>
      <c r="H877" s="743"/>
      <c r="I877" s="764"/>
      <c r="J877" s="729"/>
      <c r="K877" s="760" t="str">
        <f>W877</f>
        <v>KP-1a⁽ᴹ⁾ Percentage of men who have sex with men reached with HIV prevention programs - defined package of services</v>
      </c>
      <c r="L877" s="760" t="str">
        <f>V877</f>
        <v/>
      </c>
      <c r="M877" s="729"/>
      <c r="N877" s="729"/>
      <c r="P877" s="194">
        <f>IF(AND(EXACT(C877,C875),C875&lt;&gt;0),P875+1,0)</f>
        <v>8</v>
      </c>
      <c r="Q877" s="194" t="str">
        <f>IF(C877&lt;&gt;"",C877&amp;"-"&amp;P877,"")</f>
        <v>KP-1a⁽ᴹ⁾ Porcentaje de HSH alcanzados por programas de prevención del VIH - paquete definido de servicios-8</v>
      </c>
      <c r="R877" s="194" t="str">
        <f t="array" ref="R877">IFERROR(IF(INDEX('Disaggregation Records'!$E$155:$E$385,MATCH(RIGHT(Q877,255),RIGHT('Disaggregation Records'!$D$155:$D$385,255),0))="","",INDEX('Disaggregation Records'!$E$155:$E$385,MATCH(RIGHT(Q877,255),RIGHT('Disaggregation Records'!$D$155:$D$385,255),0))),"")</f>
        <v/>
      </c>
      <c r="S877" s="194" t="str">
        <f t="array" ref="S877">IFERROR(IF(INDEX('Disaggregation Records'!$F$155:$F$385,MATCH(RIGHT(Q877,255),RIGHT('Disaggregation Records'!$D$155:$D$385,255),0))="","",INDEX('Disaggregation Records'!$F$155:$F$385,MATCH(RIGHT(Q877,255),RIGHT('Disaggregation Records'!$D$155:$D$385,255),0))),"")</f>
        <v/>
      </c>
      <c r="T877" s="194" t="str">
        <f t="array" ref="T877">IFERROR(IF(INDEX('Disaggregation Records'!$H$155:$H$385,MATCH(RIGHT(Q877,255),RIGHT('Disaggregation Records'!$D$155:$D$385,255),0))="","",INDEX('Disaggregation Records'!$H$155:$H$385,MATCH(RIGHT(Q877,255),RIGHT('Disaggregation Records'!$D$155:$D$385,255),0))),"")</f>
        <v/>
      </c>
      <c r="U877" s="194">
        <f>U875+1</f>
        <v>2628</v>
      </c>
      <c r="V877" s="194" t="str">
        <f t="array" ref="V877">IFERROR(IF(INDEX('Disaggregation Records'!$I$155:$I$385,MATCH(RIGHT(Q877,255),RIGHT('Disaggregation Records'!$D$155:$D$385,255),0))="","",INDEX('Disaggregation Records'!$I$155:$I$385,MATCH(RIGHT(Q877,255),RIGHT('Disaggregation Records'!$D$155:$D$385,255),0))),"")</f>
        <v/>
      </c>
      <c r="W877" s="194" t="str">
        <f>IFERROR(INDEX('Reference Records'!L$77:L$157,MATCH(LEFT(C877,255),'Reference Records'!E$77:E$157,0)),"")</f>
        <v>KP-1a⁽ᴹ⁾ Percentage of men who have sex with men reached with HIV prevention programs - defined package of services</v>
      </c>
    </row>
    <row r="878" spans="1:23" s="194" customFormat="1" ht="40.4" customHeight="1" x14ac:dyDescent="0.35">
      <c r="A878" s="770"/>
      <c r="B878" s="767"/>
      <c r="C878" s="761"/>
      <c r="D878" s="769"/>
      <c r="E878" s="769"/>
      <c r="F878" s="208"/>
      <c r="G878" s="763"/>
      <c r="H878" s="744"/>
      <c r="I878" s="765"/>
      <c r="J878" s="730"/>
      <c r="K878" s="761"/>
      <c r="L878" s="761"/>
      <c r="M878" s="730"/>
      <c r="N878" s="730"/>
    </row>
    <row r="879" spans="1:23" s="194" customFormat="1" ht="40.4" customHeight="1" x14ac:dyDescent="0.35">
      <c r="A879" s="770" t="str">
        <f ca="1">INDIRECT("'update Helper'!C"&amp;U879)</f>
        <v>a163p000004NtMhAAK</v>
      </c>
      <c r="B879" s="766">
        <v>7</v>
      </c>
      <c r="C879" s="760" t="str">
        <f>VLOOKUP(B879,'Coverage Indicators - Section D'!$A$9:$AU$70,47,FALSE)</f>
        <v>KP-1a⁽ᴹ⁾ Porcentaje de HSH alcanzados por programas de prevención del VIH - paquete definido de servicios</v>
      </c>
      <c r="D879" s="768" t="str">
        <f>R879</f>
        <v/>
      </c>
      <c r="E879" s="768" t="str">
        <f>S879</f>
        <v/>
      </c>
      <c r="F879" s="413"/>
      <c r="G879" s="762" t="str">
        <f ca="1">IF(OR(INDIRECT("'update Helper'!E"&amp;U879)="",F879&lt;&gt;0,F880&lt;&gt;0),IF(IFERROR((F879/F880),"")="","",(F879/F880)),INDIRECT("'update Helper'!E"&amp;U879)/100)</f>
        <v/>
      </c>
      <c r="H879" s="743"/>
      <c r="I879" s="764"/>
      <c r="J879" s="729"/>
      <c r="K879" s="760" t="str">
        <f>W879</f>
        <v>KP-1a⁽ᴹ⁾ Percentage of men who have sex with men reached with HIV prevention programs - defined package of services</v>
      </c>
      <c r="L879" s="760" t="str">
        <f>V879</f>
        <v/>
      </c>
      <c r="M879" s="729"/>
      <c r="N879" s="729"/>
      <c r="P879" s="194">
        <f>IF(AND(EXACT(C879,C877),C877&lt;&gt;0),P877+1,0)</f>
        <v>9</v>
      </c>
      <c r="Q879" s="194" t="str">
        <f>IF(C879&lt;&gt;"",C879&amp;"-"&amp;P879,"")</f>
        <v>KP-1a⁽ᴹ⁾ Porcentaje de HSH alcanzados por programas de prevención del VIH - paquete definido de servicios-9</v>
      </c>
      <c r="R879" s="194" t="str">
        <f t="array" ref="R879">IFERROR(IF(INDEX('Disaggregation Records'!$E$155:$E$385,MATCH(RIGHT(Q879,255),RIGHT('Disaggregation Records'!$D$155:$D$385,255),0))="","",INDEX('Disaggregation Records'!$E$155:$E$385,MATCH(RIGHT(Q879,255),RIGHT('Disaggregation Records'!$D$155:$D$385,255),0))),"")</f>
        <v/>
      </c>
      <c r="S879" s="194" t="str">
        <f t="array" ref="S879">IFERROR(IF(INDEX('Disaggregation Records'!$F$155:$F$385,MATCH(RIGHT(Q879,255),RIGHT('Disaggregation Records'!$D$155:$D$385,255),0))="","",INDEX('Disaggregation Records'!$F$155:$F$385,MATCH(RIGHT(Q879,255),RIGHT('Disaggregation Records'!$D$155:$D$385,255),0))),"")</f>
        <v/>
      </c>
      <c r="T879" s="194" t="str">
        <f t="array" ref="T879">IFERROR(IF(INDEX('Disaggregation Records'!$H$155:$H$385,MATCH(RIGHT(Q879,255),RIGHT('Disaggregation Records'!$D$155:$D$385,255),0))="","",INDEX('Disaggregation Records'!$H$155:$H$385,MATCH(RIGHT(Q879,255),RIGHT('Disaggregation Records'!$D$155:$D$385,255),0))),"")</f>
        <v/>
      </c>
      <c r="U879" s="194">
        <f>U877+1</f>
        <v>2629</v>
      </c>
      <c r="V879" s="194" t="str">
        <f t="array" ref="V879">IFERROR(IF(INDEX('Disaggregation Records'!$I$155:$I$385,MATCH(RIGHT(Q879,255),RIGHT('Disaggregation Records'!$D$155:$D$385,255),0))="","",INDEX('Disaggregation Records'!$I$155:$I$385,MATCH(RIGHT(Q879,255),RIGHT('Disaggregation Records'!$D$155:$D$385,255),0))),"")</f>
        <v/>
      </c>
      <c r="W879" s="194" t="str">
        <f>IFERROR(INDEX('Reference Records'!L$77:L$157,MATCH(LEFT(C879,255),'Reference Records'!E$77:E$157,0)),"")</f>
        <v>KP-1a⁽ᴹ⁾ Percentage of men who have sex with men reached with HIV prevention programs - defined package of services</v>
      </c>
    </row>
    <row r="880" spans="1:23" s="194" customFormat="1" ht="40.4" customHeight="1" x14ac:dyDescent="0.35">
      <c r="A880" s="770"/>
      <c r="B880" s="767"/>
      <c r="C880" s="761"/>
      <c r="D880" s="769"/>
      <c r="E880" s="769"/>
      <c r="F880" s="208"/>
      <c r="G880" s="763"/>
      <c r="H880" s="744"/>
      <c r="I880" s="765"/>
      <c r="J880" s="730"/>
      <c r="K880" s="761"/>
      <c r="L880" s="761"/>
      <c r="M880" s="730"/>
      <c r="N880" s="730"/>
    </row>
    <row r="881" spans="1:23" s="194" customFormat="1" ht="40.4" customHeight="1" x14ac:dyDescent="0.35">
      <c r="A881" s="770" t="str">
        <f ca="1">INDIRECT("'update Helper'!C"&amp;U881)</f>
        <v>a163p000004NtMiAAK</v>
      </c>
      <c r="B881" s="766">
        <v>7</v>
      </c>
      <c r="C881" s="760" t="str">
        <f>VLOOKUP(B881,'Coverage Indicators - Section D'!$A$9:$AU$70,47,FALSE)</f>
        <v>KP-1a⁽ᴹ⁾ Porcentaje de HSH alcanzados por programas de prevención del VIH - paquete definido de servicios</v>
      </c>
      <c r="D881" s="768" t="str">
        <f>R881</f>
        <v/>
      </c>
      <c r="E881" s="768" t="str">
        <f>S881</f>
        <v/>
      </c>
      <c r="F881" s="413"/>
      <c r="G881" s="762" t="str">
        <f ca="1">IF(OR(INDIRECT("'update Helper'!E"&amp;U881)="",F881&lt;&gt;0,F882&lt;&gt;0),IF(IFERROR((F881/F882),"")="","",(F881/F882)),INDIRECT("'update Helper'!E"&amp;U881)/100)</f>
        <v/>
      </c>
      <c r="H881" s="743"/>
      <c r="I881" s="764"/>
      <c r="J881" s="729"/>
      <c r="K881" s="760" t="str">
        <f>W881</f>
        <v>KP-1a⁽ᴹ⁾ Percentage of men who have sex with men reached with HIV prevention programs - defined package of services</v>
      </c>
      <c r="L881" s="760" t="str">
        <f>V881</f>
        <v/>
      </c>
      <c r="M881" s="729"/>
      <c r="N881" s="729"/>
      <c r="P881" s="194">
        <f>IF(AND(EXACT(C881,C879),C879&lt;&gt;0),P879+1,0)</f>
        <v>10</v>
      </c>
      <c r="Q881" s="194" t="str">
        <f>IF(C881&lt;&gt;"",C881&amp;"-"&amp;P881,"")</f>
        <v>KP-1a⁽ᴹ⁾ Porcentaje de HSH alcanzados por programas de prevención del VIH - paquete definido de servicios-10</v>
      </c>
      <c r="R881" s="194" t="str">
        <f t="array" ref="R881">IFERROR(IF(INDEX('Disaggregation Records'!$E$155:$E$385,MATCH(RIGHT(Q881,255),RIGHT('Disaggregation Records'!$D$155:$D$385,255),0))="","",INDEX('Disaggregation Records'!$E$155:$E$385,MATCH(RIGHT(Q881,255),RIGHT('Disaggregation Records'!$D$155:$D$385,255),0))),"")</f>
        <v/>
      </c>
      <c r="S881" s="194" t="str">
        <f t="array" ref="S881">IFERROR(IF(INDEX('Disaggregation Records'!$F$155:$F$385,MATCH(RIGHT(Q881,255),RIGHT('Disaggregation Records'!$D$155:$D$385,255),0))="","",INDEX('Disaggregation Records'!$F$155:$F$385,MATCH(RIGHT(Q881,255),RIGHT('Disaggregation Records'!$D$155:$D$385,255),0))),"")</f>
        <v/>
      </c>
      <c r="T881" s="194" t="str">
        <f t="array" ref="T881">IFERROR(IF(INDEX('Disaggregation Records'!$H$155:$H$385,MATCH(RIGHT(Q881,255),RIGHT('Disaggregation Records'!$D$155:$D$385,255),0))="","",INDEX('Disaggregation Records'!$H$155:$H$385,MATCH(RIGHT(Q881,255),RIGHT('Disaggregation Records'!$D$155:$D$385,255),0))),"")</f>
        <v/>
      </c>
      <c r="U881" s="194">
        <f>U879+1</f>
        <v>2630</v>
      </c>
      <c r="V881" s="194" t="str">
        <f t="array" ref="V881">IFERROR(IF(INDEX('Disaggregation Records'!$I$155:$I$385,MATCH(RIGHT(Q881,255),RIGHT('Disaggregation Records'!$D$155:$D$385,255),0))="","",INDEX('Disaggregation Records'!$I$155:$I$385,MATCH(RIGHT(Q881,255),RIGHT('Disaggregation Records'!$D$155:$D$385,255),0))),"")</f>
        <v/>
      </c>
      <c r="W881" s="194" t="str">
        <f>IFERROR(INDEX('Reference Records'!L$77:L$157,MATCH(LEFT(C881,255),'Reference Records'!E$77:E$157,0)),"")</f>
        <v>KP-1a⁽ᴹ⁾ Percentage of men who have sex with men reached with HIV prevention programs - defined package of services</v>
      </c>
    </row>
    <row r="882" spans="1:23" s="194" customFormat="1" ht="40.4" customHeight="1" x14ac:dyDescent="0.35">
      <c r="A882" s="770"/>
      <c r="B882" s="767"/>
      <c r="C882" s="761"/>
      <c r="D882" s="769"/>
      <c r="E882" s="769"/>
      <c r="F882" s="208"/>
      <c r="G882" s="763"/>
      <c r="H882" s="744"/>
      <c r="I882" s="765"/>
      <c r="J882" s="730"/>
      <c r="K882" s="761"/>
      <c r="L882" s="761"/>
      <c r="M882" s="730"/>
      <c r="N882" s="730"/>
    </row>
    <row r="883" spans="1:23" s="194" customFormat="1" ht="40.4" customHeight="1" x14ac:dyDescent="0.35">
      <c r="A883" s="770" t="str">
        <f ca="1">INDIRECT("'update Helper'!C"&amp;U883)</f>
        <v>a163p000004NtMjAAK</v>
      </c>
      <c r="B883" s="766">
        <v>7</v>
      </c>
      <c r="C883" s="760" t="str">
        <f>VLOOKUP(B883,'Coverage Indicators - Section D'!$A$9:$AU$70,47,FALSE)</f>
        <v>KP-1a⁽ᴹ⁾ Porcentaje de HSH alcanzados por programas de prevención del VIH - paquete definido de servicios</v>
      </c>
      <c r="D883" s="768" t="str">
        <f>R883</f>
        <v/>
      </c>
      <c r="E883" s="768" t="str">
        <f>S883</f>
        <v/>
      </c>
      <c r="F883" s="413"/>
      <c r="G883" s="762" t="str">
        <f ca="1">IF(OR(INDIRECT("'update Helper'!E"&amp;U883)="",F883&lt;&gt;0,F884&lt;&gt;0),IF(IFERROR((F883/F884),"")="","",(F883/F884)),INDIRECT("'update Helper'!E"&amp;U883)/100)</f>
        <v/>
      </c>
      <c r="H883" s="743"/>
      <c r="I883" s="764"/>
      <c r="J883" s="729"/>
      <c r="K883" s="760" t="str">
        <f>W883</f>
        <v>KP-1a⁽ᴹ⁾ Percentage of men who have sex with men reached with HIV prevention programs - defined package of services</v>
      </c>
      <c r="L883" s="760" t="str">
        <f>V883</f>
        <v/>
      </c>
      <c r="M883" s="729"/>
      <c r="N883" s="729"/>
      <c r="P883" s="194">
        <f>IF(AND(EXACT(C883,C881),C881&lt;&gt;0),P881+1,0)</f>
        <v>11</v>
      </c>
      <c r="Q883" s="194" t="str">
        <f>IF(C883&lt;&gt;"",C883&amp;"-"&amp;P883,"")</f>
        <v>KP-1a⁽ᴹ⁾ Porcentaje de HSH alcanzados por programas de prevención del VIH - paquete definido de servicios-11</v>
      </c>
      <c r="R883" s="194" t="str">
        <f t="array" ref="R883">IFERROR(IF(INDEX('Disaggregation Records'!$E$155:$E$385,MATCH(RIGHT(Q883,255),RIGHT('Disaggregation Records'!$D$155:$D$385,255),0))="","",INDEX('Disaggregation Records'!$E$155:$E$385,MATCH(RIGHT(Q883,255),RIGHT('Disaggregation Records'!$D$155:$D$385,255),0))),"")</f>
        <v/>
      </c>
      <c r="S883" s="194" t="str">
        <f t="array" ref="S883">IFERROR(IF(INDEX('Disaggregation Records'!$F$155:$F$385,MATCH(RIGHT(Q883,255),RIGHT('Disaggregation Records'!$D$155:$D$385,255),0))="","",INDEX('Disaggregation Records'!$F$155:$F$385,MATCH(RIGHT(Q883,255),RIGHT('Disaggregation Records'!$D$155:$D$385,255),0))),"")</f>
        <v/>
      </c>
      <c r="T883" s="194" t="str">
        <f t="array" ref="T883">IFERROR(IF(INDEX('Disaggregation Records'!$H$155:$H$385,MATCH(RIGHT(Q883,255),RIGHT('Disaggregation Records'!$D$155:$D$385,255),0))="","",INDEX('Disaggregation Records'!$H$155:$H$385,MATCH(RIGHT(Q883,255),RIGHT('Disaggregation Records'!$D$155:$D$385,255),0))),"")</f>
        <v/>
      </c>
      <c r="U883" s="194">
        <f>U881+1</f>
        <v>2631</v>
      </c>
      <c r="V883" s="194" t="str">
        <f t="array" ref="V883">IFERROR(IF(INDEX('Disaggregation Records'!$I$155:$I$385,MATCH(RIGHT(Q883,255),RIGHT('Disaggregation Records'!$D$155:$D$385,255),0))="","",INDEX('Disaggregation Records'!$I$155:$I$385,MATCH(RIGHT(Q883,255),RIGHT('Disaggregation Records'!$D$155:$D$385,255),0))),"")</f>
        <v/>
      </c>
      <c r="W883" s="194" t="str">
        <f>IFERROR(INDEX('Reference Records'!L$77:L$157,MATCH(LEFT(C883,255),'Reference Records'!E$77:E$157,0)),"")</f>
        <v>KP-1a⁽ᴹ⁾ Percentage of men who have sex with men reached with HIV prevention programs - defined package of services</v>
      </c>
    </row>
    <row r="884" spans="1:23" s="194" customFormat="1" ht="40.4" customHeight="1" x14ac:dyDescent="0.35">
      <c r="A884" s="770"/>
      <c r="B884" s="767"/>
      <c r="C884" s="761"/>
      <c r="D884" s="769"/>
      <c r="E884" s="769"/>
      <c r="F884" s="208"/>
      <c r="G884" s="763"/>
      <c r="H884" s="744"/>
      <c r="I884" s="765"/>
      <c r="J884" s="730"/>
      <c r="K884" s="761"/>
      <c r="L884" s="761"/>
      <c r="M884" s="730"/>
      <c r="N884" s="730"/>
    </row>
    <row r="885" spans="1:23" s="194" customFormat="1" ht="40.4" customHeight="1" x14ac:dyDescent="0.35">
      <c r="A885" s="770" t="str">
        <f ca="1">INDIRECT("'update Helper'!C"&amp;U885)</f>
        <v>a163p000004NtMkAAK</v>
      </c>
      <c r="B885" s="766">
        <v>7</v>
      </c>
      <c r="C885" s="760" t="str">
        <f>VLOOKUP(B885,'Coverage Indicators - Section D'!$A$9:$AU$70,47,FALSE)</f>
        <v>KP-1a⁽ᴹ⁾ Porcentaje de HSH alcanzados por programas de prevención del VIH - paquete definido de servicios</v>
      </c>
      <c r="D885" s="768" t="str">
        <f>R885</f>
        <v/>
      </c>
      <c r="E885" s="768" t="str">
        <f>S885</f>
        <v/>
      </c>
      <c r="F885" s="413"/>
      <c r="G885" s="762" t="str">
        <f ca="1">IF(OR(INDIRECT("'update Helper'!E"&amp;U885)="",F885&lt;&gt;0,F886&lt;&gt;0),IF(IFERROR((F885/F886),"")="","",(F885/F886)),INDIRECT("'update Helper'!E"&amp;U885)/100)</f>
        <v/>
      </c>
      <c r="H885" s="743"/>
      <c r="I885" s="764"/>
      <c r="J885" s="729"/>
      <c r="K885" s="760" t="str">
        <f>W885</f>
        <v>KP-1a⁽ᴹ⁾ Percentage of men who have sex with men reached with HIV prevention programs - defined package of services</v>
      </c>
      <c r="L885" s="760" t="str">
        <f>V885</f>
        <v/>
      </c>
      <c r="M885" s="729"/>
      <c r="N885" s="729"/>
      <c r="P885" s="194">
        <f>IF(AND(EXACT(C885,C883),C883&lt;&gt;0),P883+1,0)</f>
        <v>12</v>
      </c>
      <c r="Q885" s="194" t="str">
        <f>IF(C885&lt;&gt;"",C885&amp;"-"&amp;P885,"")</f>
        <v>KP-1a⁽ᴹ⁾ Porcentaje de HSH alcanzados por programas de prevención del VIH - paquete definido de servicios-12</v>
      </c>
      <c r="R885" s="194" t="str">
        <f t="array" ref="R885">IFERROR(IF(INDEX('Disaggregation Records'!$E$155:$E$385,MATCH(RIGHT(Q885,255),RIGHT('Disaggregation Records'!$D$155:$D$385,255),0))="","",INDEX('Disaggregation Records'!$E$155:$E$385,MATCH(RIGHT(Q885,255),RIGHT('Disaggregation Records'!$D$155:$D$385,255),0))),"")</f>
        <v/>
      </c>
      <c r="S885" s="194" t="str">
        <f t="array" ref="S885">IFERROR(IF(INDEX('Disaggregation Records'!$F$155:$F$385,MATCH(RIGHT(Q885,255),RIGHT('Disaggregation Records'!$D$155:$D$385,255),0))="","",INDEX('Disaggregation Records'!$F$155:$F$385,MATCH(RIGHT(Q885,255),RIGHT('Disaggregation Records'!$D$155:$D$385,255),0))),"")</f>
        <v/>
      </c>
      <c r="T885" s="194" t="str">
        <f t="array" ref="T885">IFERROR(IF(INDEX('Disaggregation Records'!$H$155:$H$385,MATCH(RIGHT(Q885,255),RIGHT('Disaggregation Records'!$D$155:$D$385,255),0))="","",INDEX('Disaggregation Records'!$H$155:$H$385,MATCH(RIGHT(Q885,255),RIGHT('Disaggregation Records'!$D$155:$D$385,255),0))),"")</f>
        <v/>
      </c>
      <c r="U885" s="194">
        <f>U883+1</f>
        <v>2632</v>
      </c>
      <c r="V885" s="194" t="str">
        <f t="array" ref="V885">IFERROR(IF(INDEX('Disaggregation Records'!$I$155:$I$385,MATCH(RIGHT(Q885,255),RIGHT('Disaggregation Records'!$D$155:$D$385,255),0))="","",INDEX('Disaggregation Records'!$I$155:$I$385,MATCH(RIGHT(Q885,255),RIGHT('Disaggregation Records'!$D$155:$D$385,255),0))),"")</f>
        <v/>
      </c>
      <c r="W885" s="194" t="str">
        <f>IFERROR(INDEX('Reference Records'!L$77:L$157,MATCH(LEFT(C885,255),'Reference Records'!E$77:E$157,0)),"")</f>
        <v>KP-1a⁽ᴹ⁾ Percentage of men who have sex with men reached with HIV prevention programs - defined package of services</v>
      </c>
    </row>
    <row r="886" spans="1:23" s="194" customFormat="1" ht="40.4" customHeight="1" x14ac:dyDescent="0.35">
      <c r="A886" s="770"/>
      <c r="B886" s="767"/>
      <c r="C886" s="761"/>
      <c r="D886" s="769"/>
      <c r="E886" s="769"/>
      <c r="F886" s="208"/>
      <c r="G886" s="763"/>
      <c r="H886" s="744"/>
      <c r="I886" s="765"/>
      <c r="J886" s="730"/>
      <c r="K886" s="761"/>
      <c r="L886" s="761"/>
      <c r="M886" s="730"/>
      <c r="N886" s="730"/>
    </row>
    <row r="887" spans="1:23" s="194" customFormat="1" ht="40.4" customHeight="1" x14ac:dyDescent="0.35">
      <c r="A887" s="770" t="str">
        <f ca="1">INDIRECT("'update Helper'!C"&amp;U887)</f>
        <v>a163p000004NtMlAAK</v>
      </c>
      <c r="B887" s="766">
        <v>7</v>
      </c>
      <c r="C887" s="760" t="str">
        <f>VLOOKUP(B887,'Coverage Indicators - Section D'!$A$9:$AU$70,47,FALSE)</f>
        <v>KP-1a⁽ᴹ⁾ Porcentaje de HSH alcanzados por programas de prevención del VIH - paquete definido de servicios</v>
      </c>
      <c r="D887" s="768" t="str">
        <f>R887</f>
        <v/>
      </c>
      <c r="E887" s="768" t="str">
        <f>S887</f>
        <v/>
      </c>
      <c r="F887" s="413"/>
      <c r="G887" s="762" t="str">
        <f ca="1">IF(OR(INDIRECT("'update Helper'!E"&amp;U887)="",F887&lt;&gt;0,F888&lt;&gt;0),IF(IFERROR((F887/F888),"")="","",(F887/F888)),INDIRECT("'update Helper'!E"&amp;U887)/100)</f>
        <v/>
      </c>
      <c r="H887" s="743"/>
      <c r="I887" s="764"/>
      <c r="J887" s="729"/>
      <c r="K887" s="760" t="str">
        <f>W887</f>
        <v>KP-1a⁽ᴹ⁾ Percentage of men who have sex with men reached with HIV prevention programs - defined package of services</v>
      </c>
      <c r="L887" s="760" t="str">
        <f>V887</f>
        <v/>
      </c>
      <c r="M887" s="729"/>
      <c r="N887" s="729"/>
      <c r="P887" s="194">
        <f>IF(AND(EXACT(C887,C885),C885&lt;&gt;0),P885+1,0)</f>
        <v>13</v>
      </c>
      <c r="Q887" s="194" t="str">
        <f>IF(C887&lt;&gt;"",C887&amp;"-"&amp;P887,"")</f>
        <v>KP-1a⁽ᴹ⁾ Porcentaje de HSH alcanzados por programas de prevención del VIH - paquete definido de servicios-13</v>
      </c>
      <c r="R887" s="194" t="str">
        <f t="array" ref="R887">IFERROR(IF(INDEX('Disaggregation Records'!$E$155:$E$385,MATCH(RIGHT(Q887,255),RIGHT('Disaggregation Records'!$D$155:$D$385,255),0))="","",INDEX('Disaggregation Records'!$E$155:$E$385,MATCH(RIGHT(Q887,255),RIGHT('Disaggregation Records'!$D$155:$D$385,255),0))),"")</f>
        <v/>
      </c>
      <c r="S887" s="194" t="str">
        <f t="array" ref="S887">IFERROR(IF(INDEX('Disaggregation Records'!$F$155:$F$385,MATCH(RIGHT(Q887,255),RIGHT('Disaggregation Records'!$D$155:$D$385,255),0))="","",INDEX('Disaggregation Records'!$F$155:$F$385,MATCH(RIGHT(Q887,255),RIGHT('Disaggregation Records'!$D$155:$D$385,255),0))),"")</f>
        <v/>
      </c>
      <c r="T887" s="194" t="str">
        <f t="array" ref="T887">IFERROR(IF(INDEX('Disaggregation Records'!$H$155:$H$385,MATCH(RIGHT(Q887,255),RIGHT('Disaggregation Records'!$D$155:$D$385,255),0))="","",INDEX('Disaggregation Records'!$H$155:$H$385,MATCH(RIGHT(Q887,255),RIGHT('Disaggregation Records'!$D$155:$D$385,255),0))),"")</f>
        <v/>
      </c>
      <c r="U887" s="194">
        <f>U885+1</f>
        <v>2633</v>
      </c>
      <c r="V887" s="194" t="str">
        <f t="array" ref="V887">IFERROR(IF(INDEX('Disaggregation Records'!$I$155:$I$385,MATCH(RIGHT(Q887,255),RIGHT('Disaggregation Records'!$D$155:$D$385,255),0))="","",INDEX('Disaggregation Records'!$I$155:$I$385,MATCH(RIGHT(Q887,255),RIGHT('Disaggregation Records'!$D$155:$D$385,255),0))),"")</f>
        <v/>
      </c>
      <c r="W887" s="194" t="str">
        <f>IFERROR(INDEX('Reference Records'!L$77:L$157,MATCH(LEFT(C887,255),'Reference Records'!E$77:E$157,0)),"")</f>
        <v>KP-1a⁽ᴹ⁾ Percentage of men who have sex with men reached with HIV prevention programs - defined package of services</v>
      </c>
    </row>
    <row r="888" spans="1:23" s="194" customFormat="1" ht="40.4" customHeight="1" x14ac:dyDescent="0.35">
      <c r="A888" s="770"/>
      <c r="B888" s="767"/>
      <c r="C888" s="761"/>
      <c r="D888" s="769"/>
      <c r="E888" s="769"/>
      <c r="F888" s="208"/>
      <c r="G888" s="763"/>
      <c r="H888" s="744"/>
      <c r="I888" s="765"/>
      <c r="J888" s="730"/>
      <c r="K888" s="761"/>
      <c r="L888" s="761"/>
      <c r="M888" s="730"/>
      <c r="N888" s="730"/>
    </row>
    <row r="889" spans="1:23" s="194" customFormat="1" ht="40.4" customHeight="1" x14ac:dyDescent="0.35">
      <c r="A889" s="770" t="str">
        <f ca="1">INDIRECT("'update Helper'!C"&amp;U889)</f>
        <v>a163p000004NtMmAAK</v>
      </c>
      <c r="B889" s="766">
        <v>7</v>
      </c>
      <c r="C889" s="760" t="str">
        <f>VLOOKUP(B889,'Coverage Indicators - Section D'!$A$9:$AU$70,47,FALSE)</f>
        <v>KP-1a⁽ᴹ⁾ Porcentaje de HSH alcanzados por programas de prevención del VIH - paquete definido de servicios</v>
      </c>
      <c r="D889" s="768" t="str">
        <f>R889</f>
        <v/>
      </c>
      <c r="E889" s="768" t="str">
        <f>S889</f>
        <v/>
      </c>
      <c r="F889" s="413"/>
      <c r="G889" s="762" t="str">
        <f ca="1">IF(OR(INDIRECT("'update Helper'!E"&amp;U889)="",F889&lt;&gt;0,F890&lt;&gt;0),IF(IFERROR((F889/F890),"")="","",(F889/F890)),INDIRECT("'update Helper'!E"&amp;U889)/100)</f>
        <v/>
      </c>
      <c r="H889" s="743"/>
      <c r="I889" s="764"/>
      <c r="J889" s="729"/>
      <c r="K889" s="760" t="str">
        <f>W889</f>
        <v>KP-1a⁽ᴹ⁾ Percentage of men who have sex with men reached with HIV prevention programs - defined package of services</v>
      </c>
      <c r="L889" s="760" t="str">
        <f>V889</f>
        <v/>
      </c>
      <c r="M889" s="729"/>
      <c r="N889" s="729"/>
      <c r="P889" s="194">
        <f>IF(AND(EXACT(C889,C887),C887&lt;&gt;0),P887+1,0)</f>
        <v>14</v>
      </c>
      <c r="Q889" s="194" t="str">
        <f>IF(C889&lt;&gt;"",C889&amp;"-"&amp;P889,"")</f>
        <v>KP-1a⁽ᴹ⁾ Porcentaje de HSH alcanzados por programas de prevención del VIH - paquete definido de servicios-14</v>
      </c>
      <c r="R889" s="194" t="str">
        <f t="array" ref="R889">IFERROR(IF(INDEX('Disaggregation Records'!$E$155:$E$385,MATCH(RIGHT(Q889,255),RIGHT('Disaggregation Records'!$D$155:$D$385,255),0))="","",INDEX('Disaggregation Records'!$E$155:$E$385,MATCH(RIGHT(Q889,255),RIGHT('Disaggregation Records'!$D$155:$D$385,255),0))),"")</f>
        <v/>
      </c>
      <c r="S889" s="194" t="str">
        <f t="array" ref="S889">IFERROR(IF(INDEX('Disaggregation Records'!$F$155:$F$385,MATCH(RIGHT(Q889,255),RIGHT('Disaggregation Records'!$D$155:$D$385,255),0))="","",INDEX('Disaggregation Records'!$F$155:$F$385,MATCH(RIGHT(Q889,255),RIGHT('Disaggregation Records'!$D$155:$D$385,255),0))),"")</f>
        <v/>
      </c>
      <c r="T889" s="194" t="str">
        <f t="array" ref="T889">IFERROR(IF(INDEX('Disaggregation Records'!$H$155:$H$385,MATCH(RIGHT(Q889,255),RIGHT('Disaggregation Records'!$D$155:$D$385,255),0))="","",INDEX('Disaggregation Records'!$H$155:$H$385,MATCH(RIGHT(Q889,255),RIGHT('Disaggregation Records'!$D$155:$D$385,255),0))),"")</f>
        <v/>
      </c>
      <c r="U889" s="194">
        <f>U887+1</f>
        <v>2634</v>
      </c>
      <c r="V889" s="194" t="str">
        <f t="array" ref="V889">IFERROR(IF(INDEX('Disaggregation Records'!$I$155:$I$385,MATCH(RIGHT(Q889,255),RIGHT('Disaggregation Records'!$D$155:$D$385,255),0))="","",INDEX('Disaggregation Records'!$I$155:$I$385,MATCH(RIGHT(Q889,255),RIGHT('Disaggregation Records'!$D$155:$D$385,255),0))),"")</f>
        <v/>
      </c>
      <c r="W889" s="194" t="str">
        <f>IFERROR(INDEX('Reference Records'!L$77:L$157,MATCH(LEFT(C889,255),'Reference Records'!E$77:E$157,0)),"")</f>
        <v>KP-1a⁽ᴹ⁾ Percentage of men who have sex with men reached with HIV prevention programs - defined package of services</v>
      </c>
    </row>
    <row r="890" spans="1:23" s="194" customFormat="1" ht="40.4" customHeight="1" x14ac:dyDescent="0.35">
      <c r="A890" s="770"/>
      <c r="B890" s="767"/>
      <c r="C890" s="761"/>
      <c r="D890" s="769"/>
      <c r="E890" s="769"/>
      <c r="F890" s="208"/>
      <c r="G890" s="763"/>
      <c r="H890" s="744"/>
      <c r="I890" s="765"/>
      <c r="J890" s="730"/>
      <c r="K890" s="761"/>
      <c r="L890" s="761"/>
      <c r="M890" s="730"/>
      <c r="N890" s="730"/>
    </row>
    <row r="891" spans="1:23" s="194" customFormat="1" ht="40.4" customHeight="1" x14ac:dyDescent="0.35">
      <c r="A891" s="770" t="str">
        <f ca="1">INDIRECT("'update Helper'!C"&amp;U891)</f>
        <v>a163p000004NtMnAAK</v>
      </c>
      <c r="B891" s="766">
        <v>7</v>
      </c>
      <c r="C891" s="760" t="str">
        <f>VLOOKUP(B891,'Coverage Indicators - Section D'!$A$9:$AU$70,47,FALSE)</f>
        <v>KP-1a⁽ᴹ⁾ Porcentaje de HSH alcanzados por programas de prevención del VIH - paquete definido de servicios</v>
      </c>
      <c r="D891" s="768" t="str">
        <f>R891</f>
        <v/>
      </c>
      <c r="E891" s="768" t="str">
        <f>S891</f>
        <v/>
      </c>
      <c r="F891" s="413"/>
      <c r="G891" s="762" t="str">
        <f ca="1">IF(OR(INDIRECT("'update Helper'!E"&amp;U891)="",F891&lt;&gt;0,F892&lt;&gt;0),IF(IFERROR((F891/F892),"")="","",(F891/F892)),INDIRECT("'update Helper'!E"&amp;U891)/100)</f>
        <v/>
      </c>
      <c r="H891" s="743"/>
      <c r="I891" s="764"/>
      <c r="J891" s="729"/>
      <c r="K891" s="760" t="str">
        <f>W891</f>
        <v>KP-1a⁽ᴹ⁾ Percentage of men who have sex with men reached with HIV prevention programs - defined package of services</v>
      </c>
      <c r="L891" s="760" t="str">
        <f>V891</f>
        <v/>
      </c>
      <c r="M891" s="729"/>
      <c r="N891" s="729"/>
      <c r="P891" s="194">
        <f>IF(AND(EXACT(C891,C889),C889&lt;&gt;0),P889+1,0)</f>
        <v>15</v>
      </c>
      <c r="Q891" s="194" t="str">
        <f>IF(C891&lt;&gt;"",C891&amp;"-"&amp;P891,"")</f>
        <v>KP-1a⁽ᴹ⁾ Porcentaje de HSH alcanzados por programas de prevención del VIH - paquete definido de servicios-15</v>
      </c>
      <c r="R891" s="194" t="str">
        <f t="array" ref="R891">IFERROR(IF(INDEX('Disaggregation Records'!$E$155:$E$385,MATCH(RIGHT(Q891,255),RIGHT('Disaggregation Records'!$D$155:$D$385,255),0))="","",INDEX('Disaggregation Records'!$E$155:$E$385,MATCH(RIGHT(Q891,255),RIGHT('Disaggregation Records'!$D$155:$D$385,255),0))),"")</f>
        <v/>
      </c>
      <c r="S891" s="194" t="str">
        <f t="array" ref="S891">IFERROR(IF(INDEX('Disaggregation Records'!$F$155:$F$385,MATCH(RIGHT(Q891,255),RIGHT('Disaggregation Records'!$D$155:$D$385,255),0))="","",INDEX('Disaggregation Records'!$F$155:$F$385,MATCH(RIGHT(Q891,255),RIGHT('Disaggregation Records'!$D$155:$D$385,255),0))),"")</f>
        <v/>
      </c>
      <c r="T891" s="194" t="str">
        <f t="array" ref="T891">IFERROR(IF(INDEX('Disaggregation Records'!$H$155:$H$385,MATCH(RIGHT(Q891,255),RIGHT('Disaggregation Records'!$D$155:$D$385,255),0))="","",INDEX('Disaggregation Records'!$H$155:$H$385,MATCH(RIGHT(Q891,255),RIGHT('Disaggregation Records'!$D$155:$D$385,255),0))),"")</f>
        <v/>
      </c>
      <c r="U891" s="194">
        <f>U889+1</f>
        <v>2635</v>
      </c>
      <c r="V891" s="194" t="str">
        <f t="array" ref="V891">IFERROR(IF(INDEX('Disaggregation Records'!$I$155:$I$385,MATCH(RIGHT(Q891,255),RIGHT('Disaggregation Records'!$D$155:$D$385,255),0))="","",INDEX('Disaggregation Records'!$I$155:$I$385,MATCH(RIGHT(Q891,255),RIGHT('Disaggregation Records'!$D$155:$D$385,255),0))),"")</f>
        <v/>
      </c>
      <c r="W891" s="194" t="str">
        <f>IFERROR(INDEX('Reference Records'!L$77:L$157,MATCH(LEFT(C891,255),'Reference Records'!E$77:E$157,0)),"")</f>
        <v>KP-1a⁽ᴹ⁾ Percentage of men who have sex with men reached with HIV prevention programs - defined package of services</v>
      </c>
    </row>
    <row r="892" spans="1:23" s="194" customFormat="1" ht="40.4" customHeight="1" x14ac:dyDescent="0.35">
      <c r="A892" s="770"/>
      <c r="B892" s="767"/>
      <c r="C892" s="761"/>
      <c r="D892" s="769"/>
      <c r="E892" s="769"/>
      <c r="F892" s="208"/>
      <c r="G892" s="763"/>
      <c r="H892" s="744"/>
      <c r="I892" s="765"/>
      <c r="J892" s="730"/>
      <c r="K892" s="761"/>
      <c r="L892" s="761"/>
      <c r="M892" s="730"/>
      <c r="N892" s="730"/>
    </row>
    <row r="893" spans="1:23" s="194" customFormat="1" ht="40.4" customHeight="1" x14ac:dyDescent="0.35">
      <c r="A893" s="770" t="str">
        <f ca="1">INDIRECT("'update Helper'!C"&amp;U893)</f>
        <v>a163p000004NtMoAAK</v>
      </c>
      <c r="B893" s="766">
        <v>7</v>
      </c>
      <c r="C893" s="760" t="str">
        <f>VLOOKUP(B893,'Coverage Indicators - Section D'!$A$9:$AU$70,47,FALSE)</f>
        <v>KP-1a⁽ᴹ⁾ Porcentaje de HSH alcanzados por programas de prevención del VIH - paquete definido de servicios</v>
      </c>
      <c r="D893" s="768" t="str">
        <f>R893</f>
        <v/>
      </c>
      <c r="E893" s="768" t="str">
        <f>S893</f>
        <v/>
      </c>
      <c r="F893" s="413"/>
      <c r="G893" s="762" t="str">
        <f ca="1">IF(OR(INDIRECT("'update Helper'!E"&amp;U893)="",F893&lt;&gt;0,F894&lt;&gt;0),IF(IFERROR((F893/F894),"")="","",(F893/F894)),INDIRECT("'update Helper'!E"&amp;U893)/100)</f>
        <v/>
      </c>
      <c r="H893" s="743"/>
      <c r="I893" s="764"/>
      <c r="J893" s="729"/>
      <c r="K893" s="760" t="str">
        <f>W893</f>
        <v>KP-1a⁽ᴹ⁾ Percentage of men who have sex with men reached with HIV prevention programs - defined package of services</v>
      </c>
      <c r="L893" s="760" t="str">
        <f>V893</f>
        <v/>
      </c>
      <c r="M893" s="729"/>
      <c r="N893" s="729"/>
      <c r="P893" s="194">
        <f>IF(AND(EXACT(C893,C891),C891&lt;&gt;0),P891+1,0)</f>
        <v>16</v>
      </c>
      <c r="Q893" s="194" t="str">
        <f>IF(C893&lt;&gt;"",C893&amp;"-"&amp;P893,"")</f>
        <v>KP-1a⁽ᴹ⁾ Porcentaje de HSH alcanzados por programas de prevención del VIH - paquete definido de servicios-16</v>
      </c>
      <c r="R893" s="194" t="str">
        <f t="array" ref="R893">IFERROR(IF(INDEX('Disaggregation Records'!$E$155:$E$385,MATCH(RIGHT(Q893,255),RIGHT('Disaggregation Records'!$D$155:$D$385,255),0))="","",INDEX('Disaggregation Records'!$E$155:$E$385,MATCH(RIGHT(Q893,255),RIGHT('Disaggregation Records'!$D$155:$D$385,255),0))),"")</f>
        <v/>
      </c>
      <c r="S893" s="194" t="str">
        <f t="array" ref="S893">IFERROR(IF(INDEX('Disaggregation Records'!$F$155:$F$385,MATCH(RIGHT(Q893,255),RIGHT('Disaggregation Records'!$D$155:$D$385,255),0))="","",INDEX('Disaggregation Records'!$F$155:$F$385,MATCH(RIGHT(Q893,255),RIGHT('Disaggregation Records'!$D$155:$D$385,255),0))),"")</f>
        <v/>
      </c>
      <c r="T893" s="194" t="str">
        <f t="array" ref="T893">IFERROR(IF(INDEX('Disaggregation Records'!$H$155:$H$385,MATCH(RIGHT(Q893,255),RIGHT('Disaggregation Records'!$D$155:$D$385,255),0))="","",INDEX('Disaggregation Records'!$H$155:$H$385,MATCH(RIGHT(Q893,255),RIGHT('Disaggregation Records'!$D$155:$D$385,255),0))),"")</f>
        <v/>
      </c>
      <c r="U893" s="194">
        <f>U891+1</f>
        <v>2636</v>
      </c>
      <c r="V893" s="194" t="str">
        <f t="array" ref="V893">IFERROR(IF(INDEX('Disaggregation Records'!$I$155:$I$385,MATCH(RIGHT(Q893,255),RIGHT('Disaggregation Records'!$D$155:$D$385,255),0))="","",INDEX('Disaggregation Records'!$I$155:$I$385,MATCH(RIGHT(Q893,255),RIGHT('Disaggregation Records'!$D$155:$D$385,255),0))),"")</f>
        <v/>
      </c>
      <c r="W893" s="194" t="str">
        <f>IFERROR(INDEX('Reference Records'!L$77:L$157,MATCH(LEFT(C893,255),'Reference Records'!E$77:E$157,0)),"")</f>
        <v>KP-1a⁽ᴹ⁾ Percentage of men who have sex with men reached with HIV prevention programs - defined package of services</v>
      </c>
    </row>
    <row r="894" spans="1:23" s="194" customFormat="1" ht="40.4" customHeight="1" x14ac:dyDescent="0.35">
      <c r="A894" s="770"/>
      <c r="B894" s="767"/>
      <c r="C894" s="761"/>
      <c r="D894" s="769"/>
      <c r="E894" s="769"/>
      <c r="F894" s="208"/>
      <c r="G894" s="763"/>
      <c r="H894" s="744"/>
      <c r="I894" s="765"/>
      <c r="J894" s="730"/>
      <c r="K894" s="761"/>
      <c r="L894" s="761"/>
      <c r="M894" s="730"/>
      <c r="N894" s="730"/>
    </row>
    <row r="895" spans="1:23" s="194" customFormat="1" ht="40.4" customHeight="1" x14ac:dyDescent="0.35">
      <c r="A895" s="770" t="str">
        <f ca="1">INDIRECT("'update Helper'!C"&amp;U895)</f>
        <v>a163p000004NtMpAAK</v>
      </c>
      <c r="B895" s="766">
        <v>7</v>
      </c>
      <c r="C895" s="760" t="str">
        <f>VLOOKUP(B895,'Coverage Indicators - Section D'!$A$9:$AU$70,47,FALSE)</f>
        <v>KP-1a⁽ᴹ⁾ Porcentaje de HSH alcanzados por programas de prevención del VIH - paquete definido de servicios</v>
      </c>
      <c r="D895" s="768" t="str">
        <f>R895</f>
        <v/>
      </c>
      <c r="E895" s="768" t="str">
        <f>S895</f>
        <v/>
      </c>
      <c r="F895" s="413"/>
      <c r="G895" s="762" t="str">
        <f ca="1">IF(OR(INDIRECT("'update Helper'!E"&amp;U895)="",F895&lt;&gt;0,F896&lt;&gt;0),IF(IFERROR((F895/F896),"")="","",(F895/F896)),INDIRECT("'update Helper'!E"&amp;U895)/100)</f>
        <v/>
      </c>
      <c r="H895" s="743"/>
      <c r="I895" s="764"/>
      <c r="J895" s="729"/>
      <c r="K895" s="760" t="str">
        <f>W895</f>
        <v>KP-1a⁽ᴹ⁾ Percentage of men who have sex with men reached with HIV prevention programs - defined package of services</v>
      </c>
      <c r="L895" s="760" t="str">
        <f>V895</f>
        <v/>
      </c>
      <c r="M895" s="729"/>
      <c r="N895" s="729"/>
      <c r="P895" s="194">
        <f>IF(AND(EXACT(C895,C893),C893&lt;&gt;0),P893+1,0)</f>
        <v>17</v>
      </c>
      <c r="Q895" s="194" t="str">
        <f>IF(C895&lt;&gt;"",C895&amp;"-"&amp;P895,"")</f>
        <v>KP-1a⁽ᴹ⁾ Porcentaje de HSH alcanzados por programas de prevención del VIH - paquete definido de servicios-17</v>
      </c>
      <c r="R895" s="194" t="str">
        <f t="array" ref="R895">IFERROR(IF(INDEX('Disaggregation Records'!$E$155:$E$385,MATCH(RIGHT(Q895,255),RIGHT('Disaggregation Records'!$D$155:$D$385,255),0))="","",INDEX('Disaggregation Records'!$E$155:$E$385,MATCH(RIGHT(Q895,255),RIGHT('Disaggregation Records'!$D$155:$D$385,255),0))),"")</f>
        <v/>
      </c>
      <c r="S895" s="194" t="str">
        <f t="array" ref="S895">IFERROR(IF(INDEX('Disaggregation Records'!$F$155:$F$385,MATCH(RIGHT(Q895,255),RIGHT('Disaggregation Records'!$D$155:$D$385,255),0))="","",INDEX('Disaggregation Records'!$F$155:$F$385,MATCH(RIGHT(Q895,255),RIGHT('Disaggregation Records'!$D$155:$D$385,255),0))),"")</f>
        <v/>
      </c>
      <c r="T895" s="194" t="str">
        <f t="array" ref="T895">IFERROR(IF(INDEX('Disaggregation Records'!$H$155:$H$385,MATCH(RIGHT(Q895,255),RIGHT('Disaggregation Records'!$D$155:$D$385,255),0))="","",INDEX('Disaggregation Records'!$H$155:$H$385,MATCH(RIGHT(Q895,255),RIGHT('Disaggregation Records'!$D$155:$D$385,255),0))),"")</f>
        <v/>
      </c>
      <c r="U895" s="194">
        <f>U893+1</f>
        <v>2637</v>
      </c>
      <c r="V895" s="194" t="str">
        <f t="array" ref="V895">IFERROR(IF(INDEX('Disaggregation Records'!$I$155:$I$385,MATCH(RIGHT(Q895,255),RIGHT('Disaggregation Records'!$D$155:$D$385,255),0))="","",INDEX('Disaggregation Records'!$I$155:$I$385,MATCH(RIGHT(Q895,255),RIGHT('Disaggregation Records'!$D$155:$D$385,255),0))),"")</f>
        <v/>
      </c>
      <c r="W895" s="194" t="str">
        <f>IFERROR(INDEX('Reference Records'!L$77:L$157,MATCH(LEFT(C895,255),'Reference Records'!E$77:E$157,0)),"")</f>
        <v>KP-1a⁽ᴹ⁾ Percentage of men who have sex with men reached with HIV prevention programs - defined package of services</v>
      </c>
    </row>
    <row r="896" spans="1:23" s="194" customFormat="1" ht="40.4" customHeight="1" x14ac:dyDescent="0.35">
      <c r="A896" s="770"/>
      <c r="B896" s="767"/>
      <c r="C896" s="761"/>
      <c r="D896" s="769"/>
      <c r="E896" s="769"/>
      <c r="F896" s="208"/>
      <c r="G896" s="763"/>
      <c r="H896" s="744"/>
      <c r="I896" s="765"/>
      <c r="J896" s="730"/>
      <c r="K896" s="761"/>
      <c r="L896" s="761"/>
      <c r="M896" s="730"/>
      <c r="N896" s="730"/>
    </row>
    <row r="897" spans="1:23" s="194" customFormat="1" ht="40.4" customHeight="1" x14ac:dyDescent="0.35">
      <c r="A897" s="770" t="str">
        <f ca="1">INDIRECT("'update Helper'!C"&amp;U897)</f>
        <v>a163p000004NtMqAAK</v>
      </c>
      <c r="B897" s="766">
        <v>7</v>
      </c>
      <c r="C897" s="760" t="str">
        <f>VLOOKUP(B897,'Coverage Indicators - Section D'!$A$9:$AU$70,47,FALSE)</f>
        <v>KP-1a⁽ᴹ⁾ Porcentaje de HSH alcanzados por programas de prevención del VIH - paquete definido de servicios</v>
      </c>
      <c r="D897" s="768" t="str">
        <f>R897</f>
        <v/>
      </c>
      <c r="E897" s="768" t="str">
        <f>S897</f>
        <v/>
      </c>
      <c r="F897" s="413"/>
      <c r="G897" s="762" t="str">
        <f ca="1">IF(OR(INDIRECT("'update Helper'!E"&amp;U897)="",F897&lt;&gt;0,F898&lt;&gt;0),IF(IFERROR((F897/F898),"")="","",(F897/F898)),INDIRECT("'update Helper'!E"&amp;U897)/100)</f>
        <v/>
      </c>
      <c r="H897" s="743"/>
      <c r="I897" s="764"/>
      <c r="J897" s="729"/>
      <c r="K897" s="760" t="str">
        <f>W897</f>
        <v>KP-1a⁽ᴹ⁾ Percentage of men who have sex with men reached with HIV prevention programs - defined package of services</v>
      </c>
      <c r="L897" s="760" t="str">
        <f>V897</f>
        <v/>
      </c>
      <c r="M897" s="729"/>
      <c r="N897" s="729"/>
      <c r="P897" s="194">
        <f>IF(AND(EXACT(C897,C895),C895&lt;&gt;0),P895+1,0)</f>
        <v>18</v>
      </c>
      <c r="Q897" s="194" t="str">
        <f>IF(C897&lt;&gt;"",C897&amp;"-"&amp;P897,"")</f>
        <v>KP-1a⁽ᴹ⁾ Porcentaje de HSH alcanzados por programas de prevención del VIH - paquete definido de servicios-18</v>
      </c>
      <c r="R897" s="194" t="str">
        <f t="array" ref="R897">IFERROR(IF(INDEX('Disaggregation Records'!$E$155:$E$385,MATCH(RIGHT(Q897,255),RIGHT('Disaggregation Records'!$D$155:$D$385,255),0))="","",INDEX('Disaggregation Records'!$E$155:$E$385,MATCH(RIGHT(Q897,255),RIGHT('Disaggregation Records'!$D$155:$D$385,255),0))),"")</f>
        <v/>
      </c>
      <c r="S897" s="194" t="str">
        <f t="array" ref="S897">IFERROR(IF(INDEX('Disaggregation Records'!$F$155:$F$385,MATCH(RIGHT(Q897,255),RIGHT('Disaggregation Records'!$D$155:$D$385,255),0))="","",INDEX('Disaggregation Records'!$F$155:$F$385,MATCH(RIGHT(Q897,255),RIGHT('Disaggregation Records'!$D$155:$D$385,255),0))),"")</f>
        <v/>
      </c>
      <c r="T897" s="194" t="str">
        <f t="array" ref="T897">IFERROR(IF(INDEX('Disaggregation Records'!$H$155:$H$385,MATCH(RIGHT(Q897,255),RIGHT('Disaggregation Records'!$D$155:$D$385,255),0))="","",INDEX('Disaggregation Records'!$H$155:$H$385,MATCH(RIGHT(Q897,255),RIGHT('Disaggregation Records'!$D$155:$D$385,255),0))),"")</f>
        <v/>
      </c>
      <c r="U897" s="194">
        <f>U895+1</f>
        <v>2638</v>
      </c>
      <c r="V897" s="194" t="str">
        <f t="array" ref="V897">IFERROR(IF(INDEX('Disaggregation Records'!$I$155:$I$385,MATCH(RIGHT(Q897,255),RIGHT('Disaggregation Records'!$D$155:$D$385,255),0))="","",INDEX('Disaggregation Records'!$I$155:$I$385,MATCH(RIGHT(Q897,255),RIGHT('Disaggregation Records'!$D$155:$D$385,255),0))),"")</f>
        <v/>
      </c>
      <c r="W897" s="194" t="str">
        <f>IFERROR(INDEX('Reference Records'!L$77:L$157,MATCH(LEFT(C897,255),'Reference Records'!E$77:E$157,0)),"")</f>
        <v>KP-1a⁽ᴹ⁾ Percentage of men who have sex with men reached with HIV prevention programs - defined package of services</v>
      </c>
    </row>
    <row r="898" spans="1:23" s="194" customFormat="1" ht="40.4" customHeight="1" x14ac:dyDescent="0.35">
      <c r="A898" s="770"/>
      <c r="B898" s="767"/>
      <c r="C898" s="761"/>
      <c r="D898" s="769"/>
      <c r="E898" s="769"/>
      <c r="F898" s="208"/>
      <c r="G898" s="763"/>
      <c r="H898" s="744"/>
      <c r="I898" s="765"/>
      <c r="J898" s="730"/>
      <c r="K898" s="761"/>
      <c r="L898" s="761"/>
      <c r="M898" s="730"/>
      <c r="N898" s="730"/>
    </row>
    <row r="899" spans="1:23" s="194" customFormat="1" ht="40.4" customHeight="1" x14ac:dyDescent="0.35">
      <c r="A899" s="770" t="str">
        <f ca="1">INDIRECT("'update Helper'!C"&amp;U899)</f>
        <v>a163p000004NtMrAAK</v>
      </c>
      <c r="B899" s="766">
        <v>7</v>
      </c>
      <c r="C899" s="760" t="str">
        <f>VLOOKUP(B899,'Coverage Indicators - Section D'!$A$9:$AU$70,47,FALSE)</f>
        <v>KP-1a⁽ᴹ⁾ Porcentaje de HSH alcanzados por programas de prevención del VIH - paquete definido de servicios</v>
      </c>
      <c r="D899" s="768" t="str">
        <f>R899</f>
        <v/>
      </c>
      <c r="E899" s="768" t="str">
        <f>S899</f>
        <v/>
      </c>
      <c r="F899" s="413"/>
      <c r="G899" s="762" t="str">
        <f ca="1">IF(OR(INDIRECT("'update Helper'!E"&amp;U899)="",F899&lt;&gt;0,F900&lt;&gt;0),IF(IFERROR((F899/F900),"")="","",(F899/F900)),INDIRECT("'update Helper'!E"&amp;U899)/100)</f>
        <v/>
      </c>
      <c r="H899" s="743"/>
      <c r="I899" s="764"/>
      <c r="J899" s="729"/>
      <c r="K899" s="760" t="str">
        <f>W899</f>
        <v>KP-1a⁽ᴹ⁾ Percentage of men who have sex with men reached with HIV prevention programs - defined package of services</v>
      </c>
      <c r="L899" s="760" t="str">
        <f>V899</f>
        <v/>
      </c>
      <c r="M899" s="729"/>
      <c r="N899" s="729"/>
      <c r="P899" s="194">
        <f>IF(AND(EXACT(C899,C897),C897&lt;&gt;0),P897+1,0)</f>
        <v>19</v>
      </c>
      <c r="Q899" s="194" t="str">
        <f>IF(C899&lt;&gt;"",C899&amp;"-"&amp;P899,"")</f>
        <v>KP-1a⁽ᴹ⁾ Porcentaje de HSH alcanzados por programas de prevención del VIH - paquete definido de servicios-19</v>
      </c>
      <c r="R899" s="194" t="str">
        <f t="array" ref="R899">IFERROR(IF(INDEX('Disaggregation Records'!$E$155:$E$385,MATCH(RIGHT(Q899,255),RIGHT('Disaggregation Records'!$D$155:$D$385,255),0))="","",INDEX('Disaggregation Records'!$E$155:$E$385,MATCH(RIGHT(Q899,255),RIGHT('Disaggregation Records'!$D$155:$D$385,255),0))),"")</f>
        <v/>
      </c>
      <c r="S899" s="194" t="str">
        <f t="array" ref="S899">IFERROR(IF(INDEX('Disaggregation Records'!$F$155:$F$385,MATCH(RIGHT(Q899,255),RIGHT('Disaggregation Records'!$D$155:$D$385,255),0))="","",INDEX('Disaggregation Records'!$F$155:$F$385,MATCH(RIGHT(Q899,255),RIGHT('Disaggregation Records'!$D$155:$D$385,255),0))),"")</f>
        <v/>
      </c>
      <c r="T899" s="194" t="str">
        <f t="array" ref="T899">IFERROR(IF(INDEX('Disaggregation Records'!$H$155:$H$385,MATCH(RIGHT(Q899,255),RIGHT('Disaggregation Records'!$D$155:$D$385,255),0))="","",INDEX('Disaggregation Records'!$H$155:$H$385,MATCH(RIGHT(Q899,255),RIGHT('Disaggregation Records'!$D$155:$D$385,255),0))),"")</f>
        <v/>
      </c>
      <c r="U899" s="194">
        <f>U897+1</f>
        <v>2639</v>
      </c>
      <c r="V899" s="194" t="str">
        <f t="array" ref="V899">IFERROR(IF(INDEX('Disaggregation Records'!$I$155:$I$385,MATCH(RIGHT(Q899,255),RIGHT('Disaggregation Records'!$D$155:$D$385,255),0))="","",INDEX('Disaggregation Records'!$I$155:$I$385,MATCH(RIGHT(Q899,255),RIGHT('Disaggregation Records'!$D$155:$D$385,255),0))),"")</f>
        <v/>
      </c>
      <c r="W899" s="194" t="str">
        <f>IFERROR(INDEX('Reference Records'!L$77:L$157,MATCH(LEFT(C899,255),'Reference Records'!E$77:E$157,0)),"")</f>
        <v>KP-1a⁽ᴹ⁾ Percentage of men who have sex with men reached with HIV prevention programs - defined package of services</v>
      </c>
    </row>
    <row r="900" spans="1:23" s="194" customFormat="1" ht="40.4" customHeight="1" x14ac:dyDescent="0.35">
      <c r="A900" s="770"/>
      <c r="B900" s="767"/>
      <c r="C900" s="761"/>
      <c r="D900" s="769"/>
      <c r="E900" s="769"/>
      <c r="F900" s="208"/>
      <c r="G900" s="763"/>
      <c r="H900" s="744"/>
      <c r="I900" s="765"/>
      <c r="J900" s="730"/>
      <c r="K900" s="761"/>
      <c r="L900" s="761"/>
      <c r="M900" s="730"/>
      <c r="N900" s="730"/>
    </row>
    <row r="901" spans="1:23" s="194" customFormat="1" ht="40.4" customHeight="1" x14ac:dyDescent="0.35">
      <c r="A901" s="770" t="str">
        <f ca="1">INDIRECT("'update Helper'!C"&amp;U901)</f>
        <v>a163p000004NtWEAA0</v>
      </c>
      <c r="B901" s="766">
        <v>8</v>
      </c>
      <c r="C901" s="760" t="str">
        <f>VLOOKUP(B901,'Coverage Indicators - Section D'!$A$9:$AU$70,47,FALSE)</f>
        <v>TCP - other -1: Porcentaje de casos todas las formas de TB entre PPL tratados exitosamente entre el total de casos todas las formas notificados</v>
      </c>
      <c r="D901" s="768" t="str">
        <f>R901</f>
        <v/>
      </c>
      <c r="E901" s="768" t="str">
        <f>S901</f>
        <v/>
      </c>
      <c r="F901" s="413"/>
      <c r="G901" s="762" t="str">
        <f ca="1">IF(OR(INDIRECT("'update Helper'!E"&amp;U901)="",F901&lt;&gt;0,F902&lt;&gt;0),IF(IFERROR((F901/F902),"")="","",(F901/F902)),INDIRECT("'update Helper'!E"&amp;U901)/100)</f>
        <v/>
      </c>
      <c r="H901" s="743"/>
      <c r="I901" s="764"/>
      <c r="J901" s="729"/>
      <c r="K901" s="760" t="str">
        <f>W901</f>
        <v/>
      </c>
      <c r="L901" s="760" t="str">
        <f>V901</f>
        <v/>
      </c>
      <c r="M901" s="729"/>
      <c r="N901" s="729"/>
      <c r="P901" s="194">
        <f>IF(AND(EXACT(C901,C899),C899&lt;&gt;0),P899+1,0)</f>
        <v>0</v>
      </c>
      <c r="Q901" s="194" t="str">
        <f>IF(C901&lt;&gt;"",C901&amp;"-"&amp;P901,"")</f>
        <v>TCP - other -1: Porcentaje de casos todas las formas de TB entre PPL tratados exitosamente entre el total de casos todas las formas notificados-0</v>
      </c>
      <c r="R901" s="194" t="str">
        <f t="array" ref="R901">IFERROR(IF(INDEX('Disaggregation Records'!$E$155:$E$385,MATCH(RIGHT(Q901,255),RIGHT('Disaggregation Records'!$D$155:$D$385,255),0))="","",INDEX('Disaggregation Records'!$E$155:$E$385,MATCH(RIGHT(Q901,255),RIGHT('Disaggregation Records'!$D$155:$D$385,255),0))),"")</f>
        <v/>
      </c>
      <c r="S901" s="194" t="str">
        <f t="array" ref="S901">IFERROR(IF(INDEX('Disaggregation Records'!$F$155:$F$385,MATCH(RIGHT(Q901,255),RIGHT('Disaggregation Records'!$D$155:$D$385,255),0))="","",INDEX('Disaggregation Records'!$F$155:$F$385,MATCH(RIGHT(Q901,255),RIGHT('Disaggregation Records'!$D$155:$D$385,255),0))),"")</f>
        <v/>
      </c>
      <c r="T901" s="194" t="str">
        <f t="array" ref="T901">IFERROR(IF(INDEX('Disaggregation Records'!$H$155:$H$385,MATCH(RIGHT(Q901,255),RIGHT('Disaggregation Records'!$D$155:$D$385,255),0))="","",INDEX('Disaggregation Records'!$H$155:$H$385,MATCH(RIGHT(Q901,255),RIGHT('Disaggregation Records'!$D$155:$D$385,255),0))),"")</f>
        <v/>
      </c>
      <c r="U901" s="194">
        <f>U899+1</f>
        <v>2640</v>
      </c>
      <c r="V901" s="194" t="str">
        <f t="array" ref="V901">IFERROR(IF(INDEX('Disaggregation Records'!$I$155:$I$385,MATCH(RIGHT(Q901,255),RIGHT('Disaggregation Records'!$D$155:$D$385,255),0))="","",INDEX('Disaggregation Records'!$I$155:$I$385,MATCH(RIGHT(Q901,255),RIGHT('Disaggregation Records'!$D$155:$D$385,255),0))),"")</f>
        <v/>
      </c>
      <c r="W901" s="194" t="str">
        <f>IFERROR(INDEX('Reference Records'!L$77:L$157,MATCH(LEFT(C901,255),'Reference Records'!E$77:E$157,0)),"")</f>
        <v/>
      </c>
    </row>
    <row r="902" spans="1:23" s="194" customFormat="1" ht="40.4" customHeight="1" x14ac:dyDescent="0.35">
      <c r="A902" s="770"/>
      <c r="B902" s="767"/>
      <c r="C902" s="761"/>
      <c r="D902" s="769"/>
      <c r="E902" s="769"/>
      <c r="F902" s="208"/>
      <c r="G902" s="763"/>
      <c r="H902" s="744"/>
      <c r="I902" s="765"/>
      <c r="J902" s="730"/>
      <c r="K902" s="761"/>
      <c r="L902" s="761"/>
      <c r="M902" s="730"/>
      <c r="N902" s="730"/>
    </row>
    <row r="903" spans="1:23" s="194" customFormat="1" ht="40.4" customHeight="1" x14ac:dyDescent="0.35">
      <c r="A903" s="770" t="str">
        <f ca="1">INDIRECT("'update Helper'!C"&amp;U903)</f>
        <v>a163p000004NtWFAA0</v>
      </c>
      <c r="B903" s="766">
        <v>8</v>
      </c>
      <c r="C903" s="760" t="str">
        <f>VLOOKUP(B903,'Coverage Indicators - Section D'!$A$9:$AU$70,47,FALSE)</f>
        <v>TCP - other -1: Porcentaje de casos todas las formas de TB entre PPL tratados exitosamente entre el total de casos todas las formas notificados</v>
      </c>
      <c r="D903" s="768" t="str">
        <f>R903</f>
        <v/>
      </c>
      <c r="E903" s="768" t="str">
        <f>S903</f>
        <v/>
      </c>
      <c r="F903" s="413"/>
      <c r="G903" s="762" t="str">
        <f ca="1">IF(OR(INDIRECT("'update Helper'!E"&amp;U903)="",F903&lt;&gt;0,F904&lt;&gt;0),IF(IFERROR((F903/F904),"")="","",(F903/F904)),INDIRECT("'update Helper'!E"&amp;U903)/100)</f>
        <v/>
      </c>
      <c r="H903" s="743"/>
      <c r="I903" s="764"/>
      <c r="J903" s="729"/>
      <c r="K903" s="760" t="str">
        <f>W903</f>
        <v/>
      </c>
      <c r="L903" s="760" t="str">
        <f>V903</f>
        <v/>
      </c>
      <c r="M903" s="729"/>
      <c r="N903" s="729"/>
      <c r="P903" s="194">
        <f>IF(AND(EXACT(C903,C901),C901&lt;&gt;0),P901+1,0)</f>
        <v>1</v>
      </c>
      <c r="Q903" s="194" t="str">
        <f>IF(C903&lt;&gt;"",C903&amp;"-"&amp;P903,"")</f>
        <v>TCP - other -1: Porcentaje de casos todas las formas de TB entre PPL tratados exitosamente entre el total de casos todas las formas notificados-1</v>
      </c>
      <c r="R903" s="194" t="str">
        <f t="array" ref="R903">IFERROR(IF(INDEX('Disaggregation Records'!$E$155:$E$385,MATCH(RIGHT(Q903,255),RIGHT('Disaggregation Records'!$D$155:$D$385,255),0))="","",INDEX('Disaggregation Records'!$E$155:$E$385,MATCH(RIGHT(Q903,255),RIGHT('Disaggregation Records'!$D$155:$D$385,255),0))),"")</f>
        <v/>
      </c>
      <c r="S903" s="194" t="str">
        <f t="array" ref="S903">IFERROR(IF(INDEX('Disaggregation Records'!$F$155:$F$385,MATCH(RIGHT(Q903,255),RIGHT('Disaggregation Records'!$D$155:$D$385,255),0))="","",INDEX('Disaggregation Records'!$F$155:$F$385,MATCH(RIGHT(Q903,255),RIGHT('Disaggregation Records'!$D$155:$D$385,255),0))),"")</f>
        <v/>
      </c>
      <c r="T903" s="194" t="str">
        <f t="array" ref="T903">IFERROR(IF(INDEX('Disaggregation Records'!$H$155:$H$385,MATCH(RIGHT(Q903,255),RIGHT('Disaggregation Records'!$D$155:$D$385,255),0))="","",INDEX('Disaggregation Records'!$H$155:$H$385,MATCH(RIGHT(Q903,255),RIGHT('Disaggregation Records'!$D$155:$D$385,255),0))),"")</f>
        <v/>
      </c>
      <c r="U903" s="194">
        <f>U901+1</f>
        <v>2641</v>
      </c>
      <c r="V903" s="194" t="str">
        <f t="array" ref="V903">IFERROR(IF(INDEX('Disaggregation Records'!$I$155:$I$385,MATCH(RIGHT(Q903,255),RIGHT('Disaggregation Records'!$D$155:$D$385,255),0))="","",INDEX('Disaggregation Records'!$I$155:$I$385,MATCH(RIGHT(Q903,255),RIGHT('Disaggregation Records'!$D$155:$D$385,255),0))),"")</f>
        <v/>
      </c>
      <c r="W903" s="194" t="str">
        <f>IFERROR(INDEX('Reference Records'!L$77:L$157,MATCH(LEFT(C903,255),'Reference Records'!E$77:E$157,0)),"")</f>
        <v/>
      </c>
    </row>
    <row r="904" spans="1:23" s="194" customFormat="1" ht="40.4" customHeight="1" x14ac:dyDescent="0.35">
      <c r="A904" s="770"/>
      <c r="B904" s="767"/>
      <c r="C904" s="761"/>
      <c r="D904" s="769"/>
      <c r="E904" s="769"/>
      <c r="F904" s="208"/>
      <c r="G904" s="763"/>
      <c r="H904" s="744"/>
      <c r="I904" s="765"/>
      <c r="J904" s="730"/>
      <c r="K904" s="761"/>
      <c r="L904" s="761"/>
      <c r="M904" s="730"/>
      <c r="N904" s="730"/>
    </row>
    <row r="905" spans="1:23" s="194" customFormat="1" ht="40.4" customHeight="1" x14ac:dyDescent="0.35">
      <c r="A905" s="770" t="str">
        <f ca="1">INDIRECT("'update Helper'!C"&amp;U905)</f>
        <v>a163p000004NtWGAA0</v>
      </c>
      <c r="B905" s="766">
        <v>8</v>
      </c>
      <c r="C905" s="760" t="str">
        <f>VLOOKUP(B905,'Coverage Indicators - Section D'!$A$9:$AU$70,47,FALSE)</f>
        <v>TCP - other -1: Porcentaje de casos todas las formas de TB entre PPL tratados exitosamente entre el total de casos todas las formas notificados</v>
      </c>
      <c r="D905" s="768" t="str">
        <f>R905</f>
        <v/>
      </c>
      <c r="E905" s="768" t="str">
        <f>S905</f>
        <v/>
      </c>
      <c r="F905" s="413"/>
      <c r="G905" s="762" t="str">
        <f ca="1">IF(OR(INDIRECT("'update Helper'!E"&amp;U905)="",F905&lt;&gt;0,F906&lt;&gt;0),IF(IFERROR((F905/F906),"")="","",(F905/F906)),INDIRECT("'update Helper'!E"&amp;U905)/100)</f>
        <v/>
      </c>
      <c r="H905" s="743"/>
      <c r="I905" s="764"/>
      <c r="J905" s="729"/>
      <c r="K905" s="760" t="str">
        <f>W905</f>
        <v/>
      </c>
      <c r="L905" s="760" t="str">
        <f>V905</f>
        <v/>
      </c>
      <c r="M905" s="729"/>
      <c r="N905" s="729"/>
      <c r="P905" s="194">
        <f>IF(AND(EXACT(C905,C903),C903&lt;&gt;0),P903+1,0)</f>
        <v>2</v>
      </c>
      <c r="Q905" s="194" t="str">
        <f>IF(C905&lt;&gt;"",C905&amp;"-"&amp;P905,"")</f>
        <v>TCP - other -1: Porcentaje de casos todas las formas de TB entre PPL tratados exitosamente entre el total de casos todas las formas notificados-2</v>
      </c>
      <c r="R905" s="194" t="str">
        <f t="array" ref="R905">IFERROR(IF(INDEX('Disaggregation Records'!$E$155:$E$385,MATCH(RIGHT(Q905,255),RIGHT('Disaggregation Records'!$D$155:$D$385,255),0))="","",INDEX('Disaggregation Records'!$E$155:$E$385,MATCH(RIGHT(Q905,255),RIGHT('Disaggregation Records'!$D$155:$D$385,255),0))),"")</f>
        <v/>
      </c>
      <c r="S905" s="194" t="str">
        <f t="array" ref="S905">IFERROR(IF(INDEX('Disaggregation Records'!$F$155:$F$385,MATCH(RIGHT(Q905,255),RIGHT('Disaggregation Records'!$D$155:$D$385,255),0))="","",INDEX('Disaggregation Records'!$F$155:$F$385,MATCH(RIGHT(Q905,255),RIGHT('Disaggregation Records'!$D$155:$D$385,255),0))),"")</f>
        <v/>
      </c>
      <c r="T905" s="194" t="str">
        <f t="array" ref="T905">IFERROR(IF(INDEX('Disaggregation Records'!$H$155:$H$385,MATCH(RIGHT(Q905,255),RIGHT('Disaggregation Records'!$D$155:$D$385,255),0))="","",INDEX('Disaggregation Records'!$H$155:$H$385,MATCH(RIGHT(Q905,255),RIGHT('Disaggregation Records'!$D$155:$D$385,255),0))),"")</f>
        <v/>
      </c>
      <c r="U905" s="194">
        <f>U903+1</f>
        <v>2642</v>
      </c>
      <c r="V905" s="194" t="str">
        <f t="array" ref="V905">IFERROR(IF(INDEX('Disaggregation Records'!$I$155:$I$385,MATCH(RIGHT(Q905,255),RIGHT('Disaggregation Records'!$D$155:$D$385,255),0))="","",INDEX('Disaggregation Records'!$I$155:$I$385,MATCH(RIGHT(Q905,255),RIGHT('Disaggregation Records'!$D$155:$D$385,255),0))),"")</f>
        <v/>
      </c>
      <c r="W905" s="194" t="str">
        <f>IFERROR(INDEX('Reference Records'!L$77:L$157,MATCH(LEFT(C905,255),'Reference Records'!E$77:E$157,0)),"")</f>
        <v/>
      </c>
    </row>
    <row r="906" spans="1:23" s="194" customFormat="1" ht="40.4" customHeight="1" x14ac:dyDescent="0.35">
      <c r="A906" s="770"/>
      <c r="B906" s="767"/>
      <c r="C906" s="761"/>
      <c r="D906" s="769"/>
      <c r="E906" s="769"/>
      <c r="F906" s="208"/>
      <c r="G906" s="763"/>
      <c r="H906" s="744"/>
      <c r="I906" s="765"/>
      <c r="J906" s="730"/>
      <c r="K906" s="761"/>
      <c r="L906" s="761"/>
      <c r="M906" s="730"/>
      <c r="N906" s="730"/>
    </row>
    <row r="907" spans="1:23" s="194" customFormat="1" ht="40.4" customHeight="1" x14ac:dyDescent="0.35">
      <c r="A907" s="770" t="str">
        <f ca="1">INDIRECT("'update Helper'!C"&amp;U907)</f>
        <v>a163p000004NtWHAA0</v>
      </c>
      <c r="B907" s="766">
        <v>8</v>
      </c>
      <c r="C907" s="760" t="str">
        <f>VLOOKUP(B907,'Coverage Indicators - Section D'!$A$9:$AU$70,47,FALSE)</f>
        <v>TCP - other -1: Porcentaje de casos todas las formas de TB entre PPL tratados exitosamente entre el total de casos todas las formas notificados</v>
      </c>
      <c r="D907" s="768" t="str">
        <f>R907</f>
        <v/>
      </c>
      <c r="E907" s="768" t="str">
        <f>S907</f>
        <v/>
      </c>
      <c r="F907" s="413"/>
      <c r="G907" s="762" t="str">
        <f ca="1">IF(OR(INDIRECT("'update Helper'!E"&amp;U907)="",F907&lt;&gt;0,F908&lt;&gt;0),IF(IFERROR((F907/F908),"")="","",(F907/F908)),INDIRECT("'update Helper'!E"&amp;U907)/100)</f>
        <v/>
      </c>
      <c r="H907" s="743"/>
      <c r="I907" s="764"/>
      <c r="J907" s="729"/>
      <c r="K907" s="760" t="str">
        <f>W907</f>
        <v/>
      </c>
      <c r="L907" s="760" t="str">
        <f>V907</f>
        <v/>
      </c>
      <c r="M907" s="729"/>
      <c r="N907" s="729"/>
      <c r="P907" s="194">
        <f>IF(AND(EXACT(C907,C905),C905&lt;&gt;0),P905+1,0)</f>
        <v>3</v>
      </c>
      <c r="Q907" s="194" t="str">
        <f>IF(C907&lt;&gt;"",C907&amp;"-"&amp;P907,"")</f>
        <v>TCP - other -1: Porcentaje de casos todas las formas de TB entre PPL tratados exitosamente entre el total de casos todas las formas notificados-3</v>
      </c>
      <c r="R907" s="194" t="str">
        <f t="array" ref="R907">IFERROR(IF(INDEX('Disaggregation Records'!$E$155:$E$385,MATCH(RIGHT(Q907,255),RIGHT('Disaggregation Records'!$D$155:$D$385,255),0))="","",INDEX('Disaggregation Records'!$E$155:$E$385,MATCH(RIGHT(Q907,255),RIGHT('Disaggregation Records'!$D$155:$D$385,255),0))),"")</f>
        <v/>
      </c>
      <c r="S907" s="194" t="str">
        <f t="array" ref="S907">IFERROR(IF(INDEX('Disaggregation Records'!$F$155:$F$385,MATCH(RIGHT(Q907,255),RIGHT('Disaggregation Records'!$D$155:$D$385,255),0))="","",INDEX('Disaggregation Records'!$F$155:$F$385,MATCH(RIGHT(Q907,255),RIGHT('Disaggregation Records'!$D$155:$D$385,255),0))),"")</f>
        <v/>
      </c>
      <c r="T907" s="194" t="str">
        <f t="array" ref="T907">IFERROR(IF(INDEX('Disaggregation Records'!$H$155:$H$385,MATCH(RIGHT(Q907,255),RIGHT('Disaggregation Records'!$D$155:$D$385,255),0))="","",INDEX('Disaggregation Records'!$H$155:$H$385,MATCH(RIGHT(Q907,255),RIGHT('Disaggregation Records'!$D$155:$D$385,255),0))),"")</f>
        <v/>
      </c>
      <c r="U907" s="194">
        <f>U905+1</f>
        <v>2643</v>
      </c>
      <c r="V907" s="194" t="str">
        <f t="array" ref="V907">IFERROR(IF(INDEX('Disaggregation Records'!$I$155:$I$385,MATCH(RIGHT(Q907,255),RIGHT('Disaggregation Records'!$D$155:$D$385,255),0))="","",INDEX('Disaggregation Records'!$I$155:$I$385,MATCH(RIGHT(Q907,255),RIGHT('Disaggregation Records'!$D$155:$D$385,255),0))),"")</f>
        <v/>
      </c>
      <c r="W907" s="194" t="str">
        <f>IFERROR(INDEX('Reference Records'!L$77:L$157,MATCH(LEFT(C907,255),'Reference Records'!E$77:E$157,0)),"")</f>
        <v/>
      </c>
    </row>
    <row r="908" spans="1:23" s="194" customFormat="1" ht="40.4" customHeight="1" x14ac:dyDescent="0.35">
      <c r="A908" s="770"/>
      <c r="B908" s="767"/>
      <c r="C908" s="761"/>
      <c r="D908" s="769"/>
      <c r="E908" s="769"/>
      <c r="F908" s="208"/>
      <c r="G908" s="763"/>
      <c r="H908" s="744"/>
      <c r="I908" s="765"/>
      <c r="J908" s="730"/>
      <c r="K908" s="761"/>
      <c r="L908" s="761"/>
      <c r="M908" s="730"/>
      <c r="N908" s="730"/>
    </row>
    <row r="909" spans="1:23" s="194" customFormat="1" ht="40.4" customHeight="1" x14ac:dyDescent="0.35">
      <c r="A909" s="770" t="str">
        <f ca="1">INDIRECT("'update Helper'!C"&amp;U909)</f>
        <v>a163p000004NtWIAA0</v>
      </c>
      <c r="B909" s="766">
        <v>8</v>
      </c>
      <c r="C909" s="760" t="str">
        <f>VLOOKUP(B909,'Coverage Indicators - Section D'!$A$9:$AU$70,47,FALSE)</f>
        <v>TCP - other -1: Porcentaje de casos todas las formas de TB entre PPL tratados exitosamente entre el total de casos todas las formas notificados</v>
      </c>
      <c r="D909" s="768" t="str">
        <f>R909</f>
        <v/>
      </c>
      <c r="E909" s="768" t="str">
        <f>S909</f>
        <v/>
      </c>
      <c r="F909" s="413"/>
      <c r="G909" s="762" t="str">
        <f ca="1">IF(OR(INDIRECT("'update Helper'!E"&amp;U909)="",F909&lt;&gt;0,F910&lt;&gt;0),IF(IFERROR((F909/F910),"")="","",(F909/F910)),INDIRECT("'update Helper'!E"&amp;U909)/100)</f>
        <v/>
      </c>
      <c r="H909" s="743"/>
      <c r="I909" s="764"/>
      <c r="J909" s="729"/>
      <c r="K909" s="760" t="str">
        <f>W909</f>
        <v/>
      </c>
      <c r="L909" s="760" t="str">
        <f>V909</f>
        <v/>
      </c>
      <c r="M909" s="729"/>
      <c r="N909" s="729"/>
      <c r="P909" s="194">
        <f>IF(AND(EXACT(C909,C907),C907&lt;&gt;0),P907+1,0)</f>
        <v>4</v>
      </c>
      <c r="Q909" s="194" t="str">
        <f>IF(C909&lt;&gt;"",C909&amp;"-"&amp;P909,"")</f>
        <v>TCP - other -1: Porcentaje de casos todas las formas de TB entre PPL tratados exitosamente entre el total de casos todas las formas notificados-4</v>
      </c>
      <c r="R909" s="194" t="str">
        <f t="array" ref="R909">IFERROR(IF(INDEX('Disaggregation Records'!$E$155:$E$385,MATCH(RIGHT(Q909,255),RIGHT('Disaggregation Records'!$D$155:$D$385,255),0))="","",INDEX('Disaggregation Records'!$E$155:$E$385,MATCH(RIGHT(Q909,255),RIGHT('Disaggregation Records'!$D$155:$D$385,255),0))),"")</f>
        <v/>
      </c>
      <c r="S909" s="194" t="str">
        <f t="array" ref="S909">IFERROR(IF(INDEX('Disaggregation Records'!$F$155:$F$385,MATCH(RIGHT(Q909,255),RIGHT('Disaggregation Records'!$D$155:$D$385,255),0))="","",INDEX('Disaggregation Records'!$F$155:$F$385,MATCH(RIGHT(Q909,255),RIGHT('Disaggregation Records'!$D$155:$D$385,255),0))),"")</f>
        <v/>
      </c>
      <c r="T909" s="194" t="str">
        <f t="array" ref="T909">IFERROR(IF(INDEX('Disaggregation Records'!$H$155:$H$385,MATCH(RIGHT(Q909,255),RIGHT('Disaggregation Records'!$D$155:$D$385,255),0))="","",INDEX('Disaggregation Records'!$H$155:$H$385,MATCH(RIGHT(Q909,255),RIGHT('Disaggregation Records'!$D$155:$D$385,255),0))),"")</f>
        <v/>
      </c>
      <c r="U909" s="194">
        <f>U907+1</f>
        <v>2644</v>
      </c>
      <c r="V909" s="194" t="str">
        <f t="array" ref="V909">IFERROR(IF(INDEX('Disaggregation Records'!$I$155:$I$385,MATCH(RIGHT(Q909,255),RIGHT('Disaggregation Records'!$D$155:$D$385,255),0))="","",INDEX('Disaggregation Records'!$I$155:$I$385,MATCH(RIGHT(Q909,255),RIGHT('Disaggregation Records'!$D$155:$D$385,255),0))),"")</f>
        <v/>
      </c>
      <c r="W909" s="194" t="str">
        <f>IFERROR(INDEX('Reference Records'!L$77:L$157,MATCH(LEFT(C909,255),'Reference Records'!E$77:E$157,0)),"")</f>
        <v/>
      </c>
    </row>
    <row r="910" spans="1:23" s="194" customFormat="1" ht="40.4" customHeight="1" x14ac:dyDescent="0.35">
      <c r="A910" s="770"/>
      <c r="B910" s="767"/>
      <c r="C910" s="761"/>
      <c r="D910" s="769"/>
      <c r="E910" s="769"/>
      <c r="F910" s="208"/>
      <c r="G910" s="763"/>
      <c r="H910" s="744"/>
      <c r="I910" s="765"/>
      <c r="J910" s="730"/>
      <c r="K910" s="761"/>
      <c r="L910" s="761"/>
      <c r="M910" s="730"/>
      <c r="N910" s="730"/>
    </row>
    <row r="911" spans="1:23" s="194" customFormat="1" ht="40.4" customHeight="1" x14ac:dyDescent="0.35">
      <c r="A911" s="770" t="str">
        <f ca="1">INDIRECT("'update Helper'!C"&amp;U911)</f>
        <v>a163p000004NtWJAA0</v>
      </c>
      <c r="B911" s="766">
        <v>8</v>
      </c>
      <c r="C911" s="760" t="str">
        <f>VLOOKUP(B911,'Coverage Indicators - Section D'!$A$9:$AU$70,47,FALSE)</f>
        <v>TCP - other -1: Porcentaje de casos todas las formas de TB entre PPL tratados exitosamente entre el total de casos todas las formas notificados</v>
      </c>
      <c r="D911" s="768" t="str">
        <f>R911</f>
        <v/>
      </c>
      <c r="E911" s="768" t="str">
        <f>S911</f>
        <v/>
      </c>
      <c r="F911" s="413"/>
      <c r="G911" s="762" t="str">
        <f ca="1">IF(OR(INDIRECT("'update Helper'!E"&amp;U911)="",F911&lt;&gt;0,F912&lt;&gt;0),IF(IFERROR((F911/F912),"")="","",(F911/F912)),INDIRECT("'update Helper'!E"&amp;U911)/100)</f>
        <v/>
      </c>
      <c r="H911" s="743"/>
      <c r="I911" s="764"/>
      <c r="J911" s="729"/>
      <c r="K911" s="760" t="str">
        <f>W911</f>
        <v/>
      </c>
      <c r="L911" s="760" t="str">
        <f>V911</f>
        <v/>
      </c>
      <c r="M911" s="729"/>
      <c r="N911" s="729"/>
      <c r="P911" s="194">
        <f>IF(AND(EXACT(C911,C909),C909&lt;&gt;0),P909+1,0)</f>
        <v>5</v>
      </c>
      <c r="Q911" s="194" t="str">
        <f>IF(C911&lt;&gt;"",C911&amp;"-"&amp;P911,"")</f>
        <v>TCP - other -1: Porcentaje de casos todas las formas de TB entre PPL tratados exitosamente entre el total de casos todas las formas notificados-5</v>
      </c>
      <c r="R911" s="194" t="str">
        <f t="array" ref="R911">IFERROR(IF(INDEX('Disaggregation Records'!$E$155:$E$385,MATCH(RIGHT(Q911,255),RIGHT('Disaggregation Records'!$D$155:$D$385,255),0))="","",INDEX('Disaggregation Records'!$E$155:$E$385,MATCH(RIGHT(Q911,255),RIGHT('Disaggregation Records'!$D$155:$D$385,255),0))),"")</f>
        <v/>
      </c>
      <c r="S911" s="194" t="str">
        <f t="array" ref="S911">IFERROR(IF(INDEX('Disaggregation Records'!$F$155:$F$385,MATCH(RIGHT(Q911,255),RIGHT('Disaggregation Records'!$D$155:$D$385,255),0))="","",INDEX('Disaggregation Records'!$F$155:$F$385,MATCH(RIGHT(Q911,255),RIGHT('Disaggregation Records'!$D$155:$D$385,255),0))),"")</f>
        <v/>
      </c>
      <c r="T911" s="194" t="str">
        <f t="array" ref="T911">IFERROR(IF(INDEX('Disaggregation Records'!$H$155:$H$385,MATCH(RIGHT(Q911,255),RIGHT('Disaggregation Records'!$D$155:$D$385,255),0))="","",INDEX('Disaggregation Records'!$H$155:$H$385,MATCH(RIGHT(Q911,255),RIGHT('Disaggregation Records'!$D$155:$D$385,255),0))),"")</f>
        <v/>
      </c>
      <c r="U911" s="194">
        <f>U909+1</f>
        <v>2645</v>
      </c>
      <c r="V911" s="194" t="str">
        <f t="array" ref="V911">IFERROR(IF(INDEX('Disaggregation Records'!$I$155:$I$385,MATCH(RIGHT(Q911,255),RIGHT('Disaggregation Records'!$D$155:$D$385,255),0))="","",INDEX('Disaggregation Records'!$I$155:$I$385,MATCH(RIGHT(Q911,255),RIGHT('Disaggregation Records'!$D$155:$D$385,255),0))),"")</f>
        <v/>
      </c>
      <c r="W911" s="194" t="str">
        <f>IFERROR(INDEX('Reference Records'!L$77:L$157,MATCH(LEFT(C911,255),'Reference Records'!E$77:E$157,0)),"")</f>
        <v/>
      </c>
    </row>
    <row r="912" spans="1:23" s="194" customFormat="1" ht="40.4" customHeight="1" x14ac:dyDescent="0.35">
      <c r="A912" s="770"/>
      <c r="B912" s="767"/>
      <c r="C912" s="761"/>
      <c r="D912" s="769"/>
      <c r="E912" s="769"/>
      <c r="F912" s="208"/>
      <c r="G912" s="763"/>
      <c r="H912" s="744"/>
      <c r="I912" s="765"/>
      <c r="J912" s="730"/>
      <c r="K912" s="761"/>
      <c r="L912" s="761"/>
      <c r="M912" s="730"/>
      <c r="N912" s="730"/>
    </row>
    <row r="913" spans="1:23" s="194" customFormat="1" ht="40.4" customHeight="1" x14ac:dyDescent="0.35">
      <c r="A913" s="770" t="str">
        <f ca="1">INDIRECT("'update Helper'!C"&amp;U913)</f>
        <v>a163p000004NtWKAA0</v>
      </c>
      <c r="B913" s="766">
        <v>8</v>
      </c>
      <c r="C913" s="760" t="str">
        <f>VLOOKUP(B913,'Coverage Indicators - Section D'!$A$9:$AU$70,47,FALSE)</f>
        <v>TCP - other -1: Porcentaje de casos todas las formas de TB entre PPL tratados exitosamente entre el total de casos todas las formas notificados</v>
      </c>
      <c r="D913" s="768" t="str">
        <f>R913</f>
        <v/>
      </c>
      <c r="E913" s="768" t="str">
        <f>S913</f>
        <v/>
      </c>
      <c r="F913" s="413"/>
      <c r="G913" s="762" t="str">
        <f ca="1">IF(OR(INDIRECT("'update Helper'!E"&amp;U913)="",F913&lt;&gt;0,F914&lt;&gt;0),IF(IFERROR((F913/F914),"")="","",(F913/F914)),INDIRECT("'update Helper'!E"&amp;U913)/100)</f>
        <v/>
      </c>
      <c r="H913" s="743"/>
      <c r="I913" s="764"/>
      <c r="J913" s="729"/>
      <c r="K913" s="760" t="str">
        <f>W913</f>
        <v/>
      </c>
      <c r="L913" s="760" t="str">
        <f>V913</f>
        <v/>
      </c>
      <c r="M913" s="729"/>
      <c r="N913" s="729"/>
      <c r="P913" s="194">
        <f>IF(AND(EXACT(C913,C911),C911&lt;&gt;0),P911+1,0)</f>
        <v>6</v>
      </c>
      <c r="Q913" s="194" t="str">
        <f>IF(C913&lt;&gt;"",C913&amp;"-"&amp;P913,"")</f>
        <v>TCP - other -1: Porcentaje de casos todas las formas de TB entre PPL tratados exitosamente entre el total de casos todas las formas notificados-6</v>
      </c>
      <c r="R913" s="194" t="str">
        <f t="array" ref="R913">IFERROR(IF(INDEX('Disaggregation Records'!$E$155:$E$385,MATCH(RIGHT(Q913,255),RIGHT('Disaggregation Records'!$D$155:$D$385,255),0))="","",INDEX('Disaggregation Records'!$E$155:$E$385,MATCH(RIGHT(Q913,255),RIGHT('Disaggregation Records'!$D$155:$D$385,255),0))),"")</f>
        <v/>
      </c>
      <c r="S913" s="194" t="str">
        <f t="array" ref="S913">IFERROR(IF(INDEX('Disaggregation Records'!$F$155:$F$385,MATCH(RIGHT(Q913,255),RIGHT('Disaggregation Records'!$D$155:$D$385,255),0))="","",INDEX('Disaggregation Records'!$F$155:$F$385,MATCH(RIGHT(Q913,255),RIGHT('Disaggregation Records'!$D$155:$D$385,255),0))),"")</f>
        <v/>
      </c>
      <c r="T913" s="194" t="str">
        <f t="array" ref="T913">IFERROR(IF(INDEX('Disaggregation Records'!$H$155:$H$385,MATCH(RIGHT(Q913,255),RIGHT('Disaggregation Records'!$D$155:$D$385,255),0))="","",INDEX('Disaggregation Records'!$H$155:$H$385,MATCH(RIGHT(Q913,255),RIGHT('Disaggregation Records'!$D$155:$D$385,255),0))),"")</f>
        <v/>
      </c>
      <c r="U913" s="194">
        <f>U911+1</f>
        <v>2646</v>
      </c>
      <c r="V913" s="194" t="str">
        <f t="array" ref="V913">IFERROR(IF(INDEX('Disaggregation Records'!$I$155:$I$385,MATCH(RIGHT(Q913,255),RIGHT('Disaggregation Records'!$D$155:$D$385,255),0))="","",INDEX('Disaggregation Records'!$I$155:$I$385,MATCH(RIGHT(Q913,255),RIGHT('Disaggregation Records'!$D$155:$D$385,255),0))),"")</f>
        <v/>
      </c>
      <c r="W913" s="194" t="str">
        <f>IFERROR(INDEX('Reference Records'!L$77:L$157,MATCH(LEFT(C913,255),'Reference Records'!E$77:E$157,0)),"")</f>
        <v/>
      </c>
    </row>
    <row r="914" spans="1:23" s="194" customFormat="1" ht="40.4" customHeight="1" x14ac:dyDescent="0.35">
      <c r="A914" s="770"/>
      <c r="B914" s="767"/>
      <c r="C914" s="761"/>
      <c r="D914" s="769"/>
      <c r="E914" s="769"/>
      <c r="F914" s="208"/>
      <c r="G914" s="763"/>
      <c r="H914" s="744"/>
      <c r="I914" s="765"/>
      <c r="J914" s="730"/>
      <c r="K914" s="761"/>
      <c r="L914" s="761"/>
      <c r="M914" s="730"/>
      <c r="N914" s="730"/>
    </row>
    <row r="915" spans="1:23" s="194" customFormat="1" ht="40.4" customHeight="1" x14ac:dyDescent="0.35">
      <c r="A915" s="770" t="str">
        <f ca="1">INDIRECT("'update Helper'!C"&amp;U915)</f>
        <v>a163p000004NtWLAA0</v>
      </c>
      <c r="B915" s="766">
        <v>8</v>
      </c>
      <c r="C915" s="760" t="str">
        <f>VLOOKUP(B915,'Coverage Indicators - Section D'!$A$9:$AU$70,47,FALSE)</f>
        <v>TCP - other -1: Porcentaje de casos todas las formas de TB entre PPL tratados exitosamente entre el total de casos todas las formas notificados</v>
      </c>
      <c r="D915" s="768" t="str">
        <f>R915</f>
        <v/>
      </c>
      <c r="E915" s="768" t="str">
        <f>S915</f>
        <v/>
      </c>
      <c r="F915" s="413"/>
      <c r="G915" s="762" t="str">
        <f ca="1">IF(OR(INDIRECT("'update Helper'!E"&amp;U915)="",F915&lt;&gt;0,F916&lt;&gt;0),IF(IFERROR((F915/F916),"")="","",(F915/F916)),INDIRECT("'update Helper'!E"&amp;U915)/100)</f>
        <v/>
      </c>
      <c r="H915" s="743"/>
      <c r="I915" s="764"/>
      <c r="J915" s="729"/>
      <c r="K915" s="760" t="str">
        <f>W915</f>
        <v/>
      </c>
      <c r="L915" s="760" t="str">
        <f>V915</f>
        <v/>
      </c>
      <c r="M915" s="729"/>
      <c r="N915" s="729"/>
      <c r="P915" s="194">
        <f>IF(AND(EXACT(C915,C913),C913&lt;&gt;0),P913+1,0)</f>
        <v>7</v>
      </c>
      <c r="Q915" s="194" t="str">
        <f>IF(C915&lt;&gt;"",C915&amp;"-"&amp;P915,"")</f>
        <v>TCP - other -1: Porcentaje de casos todas las formas de TB entre PPL tratados exitosamente entre el total de casos todas las formas notificados-7</v>
      </c>
      <c r="R915" s="194" t="str">
        <f t="array" ref="R915">IFERROR(IF(INDEX('Disaggregation Records'!$E$155:$E$385,MATCH(RIGHT(Q915,255),RIGHT('Disaggregation Records'!$D$155:$D$385,255),0))="","",INDEX('Disaggregation Records'!$E$155:$E$385,MATCH(RIGHT(Q915,255),RIGHT('Disaggregation Records'!$D$155:$D$385,255),0))),"")</f>
        <v/>
      </c>
      <c r="S915" s="194" t="str">
        <f t="array" ref="S915">IFERROR(IF(INDEX('Disaggregation Records'!$F$155:$F$385,MATCH(RIGHT(Q915,255),RIGHT('Disaggregation Records'!$D$155:$D$385,255),0))="","",INDEX('Disaggregation Records'!$F$155:$F$385,MATCH(RIGHT(Q915,255),RIGHT('Disaggregation Records'!$D$155:$D$385,255),0))),"")</f>
        <v/>
      </c>
      <c r="T915" s="194" t="str">
        <f t="array" ref="T915">IFERROR(IF(INDEX('Disaggregation Records'!$H$155:$H$385,MATCH(RIGHT(Q915,255),RIGHT('Disaggregation Records'!$D$155:$D$385,255),0))="","",INDEX('Disaggregation Records'!$H$155:$H$385,MATCH(RIGHT(Q915,255),RIGHT('Disaggregation Records'!$D$155:$D$385,255),0))),"")</f>
        <v/>
      </c>
      <c r="U915" s="194">
        <f>U913+1</f>
        <v>2647</v>
      </c>
      <c r="V915" s="194" t="str">
        <f t="array" ref="V915">IFERROR(IF(INDEX('Disaggregation Records'!$I$155:$I$385,MATCH(RIGHT(Q915,255),RIGHT('Disaggregation Records'!$D$155:$D$385,255),0))="","",INDEX('Disaggregation Records'!$I$155:$I$385,MATCH(RIGHT(Q915,255),RIGHT('Disaggregation Records'!$D$155:$D$385,255),0))),"")</f>
        <v/>
      </c>
      <c r="W915" s="194" t="str">
        <f>IFERROR(INDEX('Reference Records'!L$77:L$157,MATCH(LEFT(C915,255),'Reference Records'!E$77:E$157,0)),"")</f>
        <v/>
      </c>
    </row>
    <row r="916" spans="1:23" s="194" customFormat="1" ht="40.4" customHeight="1" x14ac:dyDescent="0.35">
      <c r="A916" s="770"/>
      <c r="B916" s="767"/>
      <c r="C916" s="761"/>
      <c r="D916" s="769"/>
      <c r="E916" s="769"/>
      <c r="F916" s="208"/>
      <c r="G916" s="763"/>
      <c r="H916" s="744"/>
      <c r="I916" s="765"/>
      <c r="J916" s="730"/>
      <c r="K916" s="761"/>
      <c r="L916" s="761"/>
      <c r="M916" s="730"/>
      <c r="N916" s="730"/>
    </row>
    <row r="917" spans="1:23" s="194" customFormat="1" ht="40.4" customHeight="1" x14ac:dyDescent="0.35">
      <c r="A917" s="770" t="str">
        <f ca="1">INDIRECT("'update Helper'!C"&amp;U917)</f>
        <v>a163p000004NtWMAA0</v>
      </c>
      <c r="B917" s="766">
        <v>8</v>
      </c>
      <c r="C917" s="760" t="str">
        <f>VLOOKUP(B917,'Coverage Indicators - Section D'!$A$9:$AU$70,47,FALSE)</f>
        <v>TCP - other -1: Porcentaje de casos todas las formas de TB entre PPL tratados exitosamente entre el total de casos todas las formas notificados</v>
      </c>
      <c r="D917" s="768" t="str">
        <f>R917</f>
        <v/>
      </c>
      <c r="E917" s="768" t="str">
        <f>S917</f>
        <v/>
      </c>
      <c r="F917" s="413"/>
      <c r="G917" s="762" t="str">
        <f ca="1">IF(OR(INDIRECT("'update Helper'!E"&amp;U917)="",F917&lt;&gt;0,F918&lt;&gt;0),IF(IFERROR((F917/F918),"")="","",(F917/F918)),INDIRECT("'update Helper'!E"&amp;U917)/100)</f>
        <v/>
      </c>
      <c r="H917" s="743"/>
      <c r="I917" s="764"/>
      <c r="J917" s="729"/>
      <c r="K917" s="760" t="str">
        <f>W917</f>
        <v/>
      </c>
      <c r="L917" s="760" t="str">
        <f>V917</f>
        <v/>
      </c>
      <c r="M917" s="729"/>
      <c r="N917" s="729"/>
      <c r="P917" s="194">
        <f>IF(AND(EXACT(C917,C915),C915&lt;&gt;0),P915+1,0)</f>
        <v>8</v>
      </c>
      <c r="Q917" s="194" t="str">
        <f>IF(C917&lt;&gt;"",C917&amp;"-"&amp;P917,"")</f>
        <v>TCP - other -1: Porcentaje de casos todas las formas de TB entre PPL tratados exitosamente entre el total de casos todas las formas notificados-8</v>
      </c>
      <c r="R917" s="194" t="str">
        <f t="array" ref="R917">IFERROR(IF(INDEX('Disaggregation Records'!$E$155:$E$385,MATCH(RIGHT(Q917,255),RIGHT('Disaggregation Records'!$D$155:$D$385,255),0))="","",INDEX('Disaggregation Records'!$E$155:$E$385,MATCH(RIGHT(Q917,255),RIGHT('Disaggregation Records'!$D$155:$D$385,255),0))),"")</f>
        <v/>
      </c>
      <c r="S917" s="194" t="str">
        <f t="array" ref="S917">IFERROR(IF(INDEX('Disaggregation Records'!$F$155:$F$385,MATCH(RIGHT(Q917,255),RIGHT('Disaggregation Records'!$D$155:$D$385,255),0))="","",INDEX('Disaggregation Records'!$F$155:$F$385,MATCH(RIGHT(Q917,255),RIGHT('Disaggregation Records'!$D$155:$D$385,255),0))),"")</f>
        <v/>
      </c>
      <c r="T917" s="194" t="str">
        <f t="array" ref="T917">IFERROR(IF(INDEX('Disaggregation Records'!$H$155:$H$385,MATCH(RIGHT(Q917,255),RIGHT('Disaggregation Records'!$D$155:$D$385,255),0))="","",INDEX('Disaggregation Records'!$H$155:$H$385,MATCH(RIGHT(Q917,255),RIGHT('Disaggregation Records'!$D$155:$D$385,255),0))),"")</f>
        <v/>
      </c>
      <c r="U917" s="194">
        <f>U915+1</f>
        <v>2648</v>
      </c>
      <c r="V917" s="194" t="str">
        <f t="array" ref="V917">IFERROR(IF(INDEX('Disaggregation Records'!$I$155:$I$385,MATCH(RIGHT(Q917,255),RIGHT('Disaggregation Records'!$D$155:$D$385,255),0))="","",INDEX('Disaggregation Records'!$I$155:$I$385,MATCH(RIGHT(Q917,255),RIGHT('Disaggregation Records'!$D$155:$D$385,255),0))),"")</f>
        <v/>
      </c>
      <c r="W917" s="194" t="str">
        <f>IFERROR(INDEX('Reference Records'!L$77:L$157,MATCH(LEFT(C917,255),'Reference Records'!E$77:E$157,0)),"")</f>
        <v/>
      </c>
    </row>
    <row r="918" spans="1:23" s="194" customFormat="1" ht="40.4" customHeight="1" x14ac:dyDescent="0.35">
      <c r="A918" s="770"/>
      <c r="B918" s="767"/>
      <c r="C918" s="761"/>
      <c r="D918" s="769"/>
      <c r="E918" s="769"/>
      <c r="F918" s="208"/>
      <c r="G918" s="763"/>
      <c r="H918" s="744"/>
      <c r="I918" s="765"/>
      <c r="J918" s="730"/>
      <c r="K918" s="761"/>
      <c r="L918" s="761"/>
      <c r="M918" s="730"/>
      <c r="N918" s="730"/>
    </row>
    <row r="919" spans="1:23" s="194" customFormat="1" ht="40.4" customHeight="1" x14ac:dyDescent="0.35">
      <c r="A919" s="770" t="str">
        <f ca="1">INDIRECT("'update Helper'!C"&amp;U919)</f>
        <v>a163p000004NtWNAA0</v>
      </c>
      <c r="B919" s="766">
        <v>8</v>
      </c>
      <c r="C919" s="760" t="str">
        <f>VLOOKUP(B919,'Coverage Indicators - Section D'!$A$9:$AU$70,47,FALSE)</f>
        <v>TCP - other -1: Porcentaje de casos todas las formas de TB entre PPL tratados exitosamente entre el total de casos todas las formas notificados</v>
      </c>
      <c r="D919" s="768" t="str">
        <f>R919</f>
        <v/>
      </c>
      <c r="E919" s="768" t="str">
        <f>S919</f>
        <v/>
      </c>
      <c r="F919" s="413"/>
      <c r="G919" s="762" t="str">
        <f ca="1">IF(OR(INDIRECT("'update Helper'!E"&amp;U919)="",F919&lt;&gt;0,F920&lt;&gt;0),IF(IFERROR((F919/F920),"")="","",(F919/F920)),INDIRECT("'update Helper'!E"&amp;U919)/100)</f>
        <v/>
      </c>
      <c r="H919" s="743"/>
      <c r="I919" s="764"/>
      <c r="J919" s="729"/>
      <c r="K919" s="760" t="str">
        <f>W919</f>
        <v/>
      </c>
      <c r="L919" s="760" t="str">
        <f>V919</f>
        <v/>
      </c>
      <c r="M919" s="729"/>
      <c r="N919" s="729"/>
      <c r="P919" s="194">
        <f>IF(AND(EXACT(C919,C917),C917&lt;&gt;0),P917+1,0)</f>
        <v>9</v>
      </c>
      <c r="Q919" s="194" t="str">
        <f>IF(C919&lt;&gt;"",C919&amp;"-"&amp;P919,"")</f>
        <v>TCP - other -1: Porcentaje de casos todas las formas de TB entre PPL tratados exitosamente entre el total de casos todas las formas notificados-9</v>
      </c>
      <c r="R919" s="194" t="str">
        <f t="array" ref="R919">IFERROR(IF(INDEX('Disaggregation Records'!$E$155:$E$385,MATCH(RIGHT(Q919,255),RIGHT('Disaggregation Records'!$D$155:$D$385,255),0))="","",INDEX('Disaggregation Records'!$E$155:$E$385,MATCH(RIGHT(Q919,255),RIGHT('Disaggregation Records'!$D$155:$D$385,255),0))),"")</f>
        <v/>
      </c>
      <c r="S919" s="194" t="str">
        <f t="array" ref="S919">IFERROR(IF(INDEX('Disaggregation Records'!$F$155:$F$385,MATCH(RIGHT(Q919,255),RIGHT('Disaggregation Records'!$D$155:$D$385,255),0))="","",INDEX('Disaggregation Records'!$F$155:$F$385,MATCH(RIGHT(Q919,255),RIGHT('Disaggregation Records'!$D$155:$D$385,255),0))),"")</f>
        <v/>
      </c>
      <c r="T919" s="194" t="str">
        <f t="array" ref="T919">IFERROR(IF(INDEX('Disaggregation Records'!$H$155:$H$385,MATCH(RIGHT(Q919,255),RIGHT('Disaggregation Records'!$D$155:$D$385,255),0))="","",INDEX('Disaggregation Records'!$H$155:$H$385,MATCH(RIGHT(Q919,255),RIGHT('Disaggregation Records'!$D$155:$D$385,255),0))),"")</f>
        <v/>
      </c>
      <c r="U919" s="194">
        <f>U917+1</f>
        <v>2649</v>
      </c>
      <c r="V919" s="194" t="str">
        <f t="array" ref="V919">IFERROR(IF(INDEX('Disaggregation Records'!$I$155:$I$385,MATCH(RIGHT(Q919,255),RIGHT('Disaggregation Records'!$D$155:$D$385,255),0))="","",INDEX('Disaggregation Records'!$I$155:$I$385,MATCH(RIGHT(Q919,255),RIGHT('Disaggregation Records'!$D$155:$D$385,255),0))),"")</f>
        <v/>
      </c>
      <c r="W919" s="194" t="str">
        <f>IFERROR(INDEX('Reference Records'!L$77:L$157,MATCH(LEFT(C919,255),'Reference Records'!E$77:E$157,0)),"")</f>
        <v/>
      </c>
    </row>
    <row r="920" spans="1:23" s="194" customFormat="1" ht="40.4" customHeight="1" x14ac:dyDescent="0.35">
      <c r="A920" s="770"/>
      <c r="B920" s="767"/>
      <c r="C920" s="761"/>
      <c r="D920" s="769"/>
      <c r="E920" s="769"/>
      <c r="F920" s="208"/>
      <c r="G920" s="763"/>
      <c r="H920" s="744"/>
      <c r="I920" s="765"/>
      <c r="J920" s="730"/>
      <c r="K920" s="761"/>
      <c r="L920" s="761"/>
      <c r="M920" s="730"/>
      <c r="N920" s="730"/>
    </row>
    <row r="921" spans="1:23" s="194" customFormat="1" ht="40.4" customHeight="1" x14ac:dyDescent="0.35">
      <c r="A921" s="770" t="str">
        <f ca="1">INDIRECT("'update Helper'!C"&amp;U921)</f>
        <v>a163p000004NtWOAA0</v>
      </c>
      <c r="B921" s="766">
        <v>8</v>
      </c>
      <c r="C921" s="760" t="str">
        <f>VLOOKUP(B921,'Coverage Indicators - Section D'!$A$9:$AU$70,47,FALSE)</f>
        <v>TCP - other -1: Porcentaje de casos todas las formas de TB entre PPL tratados exitosamente entre el total de casos todas las formas notificados</v>
      </c>
      <c r="D921" s="768" t="str">
        <f>R921</f>
        <v/>
      </c>
      <c r="E921" s="768" t="str">
        <f>S921</f>
        <v/>
      </c>
      <c r="F921" s="413"/>
      <c r="G921" s="762" t="str">
        <f ca="1">IF(OR(INDIRECT("'update Helper'!E"&amp;U921)="",F921&lt;&gt;0,F922&lt;&gt;0),IF(IFERROR((F921/F922),"")="","",(F921/F922)),INDIRECT("'update Helper'!E"&amp;U921)/100)</f>
        <v/>
      </c>
      <c r="H921" s="743"/>
      <c r="I921" s="764"/>
      <c r="J921" s="729"/>
      <c r="K921" s="760" t="str">
        <f>W921</f>
        <v/>
      </c>
      <c r="L921" s="760" t="str">
        <f>V921</f>
        <v/>
      </c>
      <c r="M921" s="729"/>
      <c r="N921" s="729"/>
      <c r="P921" s="194">
        <f>IF(AND(EXACT(C921,C919),C919&lt;&gt;0),P919+1,0)</f>
        <v>10</v>
      </c>
      <c r="Q921" s="194" t="str">
        <f>IF(C921&lt;&gt;"",C921&amp;"-"&amp;P921,"")</f>
        <v>TCP - other -1: Porcentaje de casos todas las formas de TB entre PPL tratados exitosamente entre el total de casos todas las formas notificados-10</v>
      </c>
      <c r="R921" s="194" t="str">
        <f t="array" ref="R921">IFERROR(IF(INDEX('Disaggregation Records'!$E$155:$E$385,MATCH(RIGHT(Q921,255),RIGHT('Disaggregation Records'!$D$155:$D$385,255),0))="","",INDEX('Disaggregation Records'!$E$155:$E$385,MATCH(RIGHT(Q921,255),RIGHT('Disaggregation Records'!$D$155:$D$385,255),0))),"")</f>
        <v/>
      </c>
      <c r="S921" s="194" t="str">
        <f t="array" ref="S921">IFERROR(IF(INDEX('Disaggregation Records'!$F$155:$F$385,MATCH(RIGHT(Q921,255),RIGHT('Disaggregation Records'!$D$155:$D$385,255),0))="","",INDEX('Disaggregation Records'!$F$155:$F$385,MATCH(RIGHT(Q921,255),RIGHT('Disaggregation Records'!$D$155:$D$385,255),0))),"")</f>
        <v/>
      </c>
      <c r="T921" s="194" t="str">
        <f t="array" ref="T921">IFERROR(IF(INDEX('Disaggregation Records'!$H$155:$H$385,MATCH(RIGHT(Q921,255),RIGHT('Disaggregation Records'!$D$155:$D$385,255),0))="","",INDEX('Disaggregation Records'!$H$155:$H$385,MATCH(RIGHT(Q921,255),RIGHT('Disaggregation Records'!$D$155:$D$385,255),0))),"")</f>
        <v/>
      </c>
      <c r="U921" s="194">
        <f>U919+1</f>
        <v>2650</v>
      </c>
      <c r="V921" s="194" t="str">
        <f t="array" ref="V921">IFERROR(IF(INDEX('Disaggregation Records'!$I$155:$I$385,MATCH(RIGHT(Q921,255),RIGHT('Disaggregation Records'!$D$155:$D$385,255),0))="","",INDEX('Disaggregation Records'!$I$155:$I$385,MATCH(RIGHT(Q921,255),RIGHT('Disaggregation Records'!$D$155:$D$385,255),0))),"")</f>
        <v/>
      </c>
      <c r="W921" s="194" t="str">
        <f>IFERROR(INDEX('Reference Records'!L$77:L$157,MATCH(LEFT(C921,255),'Reference Records'!E$77:E$157,0)),"")</f>
        <v/>
      </c>
    </row>
    <row r="922" spans="1:23" s="194" customFormat="1" ht="40.4" customHeight="1" x14ac:dyDescent="0.35">
      <c r="A922" s="770"/>
      <c r="B922" s="767"/>
      <c r="C922" s="761"/>
      <c r="D922" s="769"/>
      <c r="E922" s="769"/>
      <c r="F922" s="208"/>
      <c r="G922" s="763"/>
      <c r="H922" s="744"/>
      <c r="I922" s="765"/>
      <c r="J922" s="730"/>
      <c r="K922" s="761"/>
      <c r="L922" s="761"/>
      <c r="M922" s="730"/>
      <c r="N922" s="730"/>
    </row>
    <row r="923" spans="1:23" s="194" customFormat="1" ht="40.4" customHeight="1" x14ac:dyDescent="0.35">
      <c r="A923" s="770" t="str">
        <f ca="1">INDIRECT("'update Helper'!C"&amp;U923)</f>
        <v>a163p000004NtWPAA0</v>
      </c>
      <c r="B923" s="766">
        <v>8</v>
      </c>
      <c r="C923" s="760" t="str">
        <f>VLOOKUP(B923,'Coverage Indicators - Section D'!$A$9:$AU$70,47,FALSE)</f>
        <v>TCP - other -1: Porcentaje de casos todas las formas de TB entre PPL tratados exitosamente entre el total de casos todas las formas notificados</v>
      </c>
      <c r="D923" s="768" t="str">
        <f>R923</f>
        <v/>
      </c>
      <c r="E923" s="768" t="str">
        <f>S923</f>
        <v/>
      </c>
      <c r="F923" s="413"/>
      <c r="G923" s="762" t="str">
        <f ca="1">IF(OR(INDIRECT("'update Helper'!E"&amp;U923)="",F923&lt;&gt;0,F924&lt;&gt;0),IF(IFERROR((F923/F924),"")="","",(F923/F924)),INDIRECT("'update Helper'!E"&amp;U923)/100)</f>
        <v/>
      </c>
      <c r="H923" s="743"/>
      <c r="I923" s="764"/>
      <c r="J923" s="729"/>
      <c r="K923" s="760" t="str">
        <f>W923</f>
        <v/>
      </c>
      <c r="L923" s="760" t="str">
        <f>V923</f>
        <v/>
      </c>
      <c r="M923" s="729"/>
      <c r="N923" s="729"/>
      <c r="P923" s="194">
        <f>IF(AND(EXACT(C923,C921),C921&lt;&gt;0),P921+1,0)</f>
        <v>11</v>
      </c>
      <c r="Q923" s="194" t="str">
        <f>IF(C923&lt;&gt;"",C923&amp;"-"&amp;P923,"")</f>
        <v>TCP - other -1: Porcentaje de casos todas las formas de TB entre PPL tratados exitosamente entre el total de casos todas las formas notificados-11</v>
      </c>
      <c r="R923" s="194" t="str">
        <f t="array" ref="R923">IFERROR(IF(INDEX('Disaggregation Records'!$E$155:$E$385,MATCH(RIGHT(Q923,255),RIGHT('Disaggregation Records'!$D$155:$D$385,255),0))="","",INDEX('Disaggregation Records'!$E$155:$E$385,MATCH(RIGHT(Q923,255),RIGHT('Disaggregation Records'!$D$155:$D$385,255),0))),"")</f>
        <v/>
      </c>
      <c r="S923" s="194" t="str">
        <f t="array" ref="S923">IFERROR(IF(INDEX('Disaggregation Records'!$F$155:$F$385,MATCH(RIGHT(Q923,255),RIGHT('Disaggregation Records'!$D$155:$D$385,255),0))="","",INDEX('Disaggregation Records'!$F$155:$F$385,MATCH(RIGHT(Q923,255),RIGHT('Disaggregation Records'!$D$155:$D$385,255),0))),"")</f>
        <v/>
      </c>
      <c r="T923" s="194" t="str">
        <f t="array" ref="T923">IFERROR(IF(INDEX('Disaggregation Records'!$H$155:$H$385,MATCH(RIGHT(Q923,255),RIGHT('Disaggregation Records'!$D$155:$D$385,255),0))="","",INDEX('Disaggregation Records'!$H$155:$H$385,MATCH(RIGHT(Q923,255),RIGHT('Disaggregation Records'!$D$155:$D$385,255),0))),"")</f>
        <v/>
      </c>
      <c r="U923" s="194">
        <f>U921+1</f>
        <v>2651</v>
      </c>
      <c r="V923" s="194" t="str">
        <f t="array" ref="V923">IFERROR(IF(INDEX('Disaggregation Records'!$I$155:$I$385,MATCH(RIGHT(Q923,255),RIGHT('Disaggregation Records'!$D$155:$D$385,255),0))="","",INDEX('Disaggregation Records'!$I$155:$I$385,MATCH(RIGHT(Q923,255),RIGHT('Disaggregation Records'!$D$155:$D$385,255),0))),"")</f>
        <v/>
      </c>
      <c r="W923" s="194" t="str">
        <f>IFERROR(INDEX('Reference Records'!L$77:L$157,MATCH(LEFT(C923,255),'Reference Records'!E$77:E$157,0)),"")</f>
        <v/>
      </c>
    </row>
    <row r="924" spans="1:23" s="194" customFormat="1" ht="40.4" customHeight="1" x14ac:dyDescent="0.35">
      <c r="A924" s="770"/>
      <c r="B924" s="767"/>
      <c r="C924" s="761"/>
      <c r="D924" s="769"/>
      <c r="E924" s="769"/>
      <c r="F924" s="208"/>
      <c r="G924" s="763"/>
      <c r="H924" s="744"/>
      <c r="I924" s="765"/>
      <c r="J924" s="730"/>
      <c r="K924" s="761"/>
      <c r="L924" s="761"/>
      <c r="M924" s="730"/>
      <c r="N924" s="730"/>
    </row>
    <row r="925" spans="1:23" s="194" customFormat="1" ht="40.4" customHeight="1" x14ac:dyDescent="0.35">
      <c r="A925" s="770" t="str">
        <f ca="1">INDIRECT("'update Helper'!C"&amp;U925)</f>
        <v>a163p000004NtWQAA0</v>
      </c>
      <c r="B925" s="766">
        <v>8</v>
      </c>
      <c r="C925" s="760" t="str">
        <f>VLOOKUP(B925,'Coverage Indicators - Section D'!$A$9:$AU$70,47,FALSE)</f>
        <v>TCP - other -1: Porcentaje de casos todas las formas de TB entre PPL tratados exitosamente entre el total de casos todas las formas notificados</v>
      </c>
      <c r="D925" s="768" t="str">
        <f>R925</f>
        <v/>
      </c>
      <c r="E925" s="768" t="str">
        <f>S925</f>
        <v/>
      </c>
      <c r="F925" s="413"/>
      <c r="G925" s="762" t="str">
        <f ca="1">IF(OR(INDIRECT("'update Helper'!E"&amp;U925)="",F925&lt;&gt;0,F926&lt;&gt;0),IF(IFERROR((F925/F926),"")="","",(F925/F926)),INDIRECT("'update Helper'!E"&amp;U925)/100)</f>
        <v/>
      </c>
      <c r="H925" s="743"/>
      <c r="I925" s="764"/>
      <c r="J925" s="729"/>
      <c r="K925" s="760" t="str">
        <f>W925</f>
        <v/>
      </c>
      <c r="L925" s="760" t="str">
        <f>V925</f>
        <v/>
      </c>
      <c r="M925" s="729"/>
      <c r="N925" s="729"/>
      <c r="P925" s="194">
        <f>IF(AND(EXACT(C925,C923),C923&lt;&gt;0),P923+1,0)</f>
        <v>12</v>
      </c>
      <c r="Q925" s="194" t="str">
        <f>IF(C925&lt;&gt;"",C925&amp;"-"&amp;P925,"")</f>
        <v>TCP - other -1: Porcentaje de casos todas las formas de TB entre PPL tratados exitosamente entre el total de casos todas las formas notificados-12</v>
      </c>
      <c r="R925" s="194" t="str">
        <f t="array" ref="R925">IFERROR(IF(INDEX('Disaggregation Records'!$E$155:$E$385,MATCH(RIGHT(Q925,255),RIGHT('Disaggregation Records'!$D$155:$D$385,255),0))="","",INDEX('Disaggregation Records'!$E$155:$E$385,MATCH(RIGHT(Q925,255),RIGHT('Disaggregation Records'!$D$155:$D$385,255),0))),"")</f>
        <v/>
      </c>
      <c r="S925" s="194" t="str">
        <f t="array" ref="S925">IFERROR(IF(INDEX('Disaggregation Records'!$F$155:$F$385,MATCH(RIGHT(Q925,255),RIGHT('Disaggregation Records'!$D$155:$D$385,255),0))="","",INDEX('Disaggregation Records'!$F$155:$F$385,MATCH(RIGHT(Q925,255),RIGHT('Disaggregation Records'!$D$155:$D$385,255),0))),"")</f>
        <v/>
      </c>
      <c r="T925" s="194" t="str">
        <f t="array" ref="T925">IFERROR(IF(INDEX('Disaggregation Records'!$H$155:$H$385,MATCH(RIGHT(Q925,255),RIGHT('Disaggregation Records'!$D$155:$D$385,255),0))="","",INDEX('Disaggregation Records'!$H$155:$H$385,MATCH(RIGHT(Q925,255),RIGHT('Disaggregation Records'!$D$155:$D$385,255),0))),"")</f>
        <v/>
      </c>
      <c r="U925" s="194">
        <f>U923+1</f>
        <v>2652</v>
      </c>
      <c r="V925" s="194" t="str">
        <f t="array" ref="V925">IFERROR(IF(INDEX('Disaggregation Records'!$I$155:$I$385,MATCH(RIGHT(Q925,255),RIGHT('Disaggregation Records'!$D$155:$D$385,255),0))="","",INDEX('Disaggregation Records'!$I$155:$I$385,MATCH(RIGHT(Q925,255),RIGHT('Disaggregation Records'!$D$155:$D$385,255),0))),"")</f>
        <v/>
      </c>
      <c r="W925" s="194" t="str">
        <f>IFERROR(INDEX('Reference Records'!L$77:L$157,MATCH(LEFT(C925,255),'Reference Records'!E$77:E$157,0)),"")</f>
        <v/>
      </c>
    </row>
    <row r="926" spans="1:23" s="194" customFormat="1" ht="40.4" customHeight="1" x14ac:dyDescent="0.35">
      <c r="A926" s="770"/>
      <c r="B926" s="767"/>
      <c r="C926" s="761"/>
      <c r="D926" s="769"/>
      <c r="E926" s="769"/>
      <c r="F926" s="208"/>
      <c r="G926" s="763"/>
      <c r="H926" s="744"/>
      <c r="I926" s="765"/>
      <c r="J926" s="730"/>
      <c r="K926" s="761"/>
      <c r="L926" s="761"/>
      <c r="M926" s="730"/>
      <c r="N926" s="730"/>
    </row>
    <row r="927" spans="1:23" s="194" customFormat="1" ht="40.4" customHeight="1" x14ac:dyDescent="0.35">
      <c r="A927" s="770" t="str">
        <f ca="1">INDIRECT("'update Helper'!C"&amp;U927)</f>
        <v>a163p000004NtWRAA0</v>
      </c>
      <c r="B927" s="766">
        <v>8</v>
      </c>
      <c r="C927" s="760" t="str">
        <f>VLOOKUP(B927,'Coverage Indicators - Section D'!$A$9:$AU$70,47,FALSE)</f>
        <v>TCP - other -1: Porcentaje de casos todas las formas de TB entre PPL tratados exitosamente entre el total de casos todas las formas notificados</v>
      </c>
      <c r="D927" s="768" t="str">
        <f>R927</f>
        <v/>
      </c>
      <c r="E927" s="768" t="str">
        <f>S927</f>
        <v/>
      </c>
      <c r="F927" s="413"/>
      <c r="G927" s="762" t="str">
        <f ca="1">IF(OR(INDIRECT("'update Helper'!E"&amp;U927)="",F927&lt;&gt;0,F928&lt;&gt;0),IF(IFERROR((F927/F928),"")="","",(F927/F928)),INDIRECT("'update Helper'!E"&amp;U927)/100)</f>
        <v/>
      </c>
      <c r="H927" s="743"/>
      <c r="I927" s="764"/>
      <c r="J927" s="729"/>
      <c r="K927" s="760" t="str">
        <f>W927</f>
        <v/>
      </c>
      <c r="L927" s="760" t="str">
        <f>V927</f>
        <v/>
      </c>
      <c r="M927" s="729"/>
      <c r="N927" s="729"/>
      <c r="P927" s="194">
        <f>IF(AND(EXACT(C927,C925),C925&lt;&gt;0),P925+1,0)</f>
        <v>13</v>
      </c>
      <c r="Q927" s="194" t="str">
        <f>IF(C927&lt;&gt;"",C927&amp;"-"&amp;P927,"")</f>
        <v>TCP - other -1: Porcentaje de casos todas las formas de TB entre PPL tratados exitosamente entre el total de casos todas las formas notificados-13</v>
      </c>
      <c r="R927" s="194" t="str">
        <f t="array" ref="R927">IFERROR(IF(INDEX('Disaggregation Records'!$E$155:$E$385,MATCH(RIGHT(Q927,255),RIGHT('Disaggregation Records'!$D$155:$D$385,255),0))="","",INDEX('Disaggregation Records'!$E$155:$E$385,MATCH(RIGHT(Q927,255),RIGHT('Disaggregation Records'!$D$155:$D$385,255),0))),"")</f>
        <v/>
      </c>
      <c r="S927" s="194" t="str">
        <f t="array" ref="S927">IFERROR(IF(INDEX('Disaggregation Records'!$F$155:$F$385,MATCH(RIGHT(Q927,255),RIGHT('Disaggregation Records'!$D$155:$D$385,255),0))="","",INDEX('Disaggregation Records'!$F$155:$F$385,MATCH(RIGHT(Q927,255),RIGHT('Disaggregation Records'!$D$155:$D$385,255),0))),"")</f>
        <v/>
      </c>
      <c r="T927" s="194" t="str">
        <f t="array" ref="T927">IFERROR(IF(INDEX('Disaggregation Records'!$H$155:$H$385,MATCH(RIGHT(Q927,255),RIGHT('Disaggregation Records'!$D$155:$D$385,255),0))="","",INDEX('Disaggregation Records'!$H$155:$H$385,MATCH(RIGHT(Q927,255),RIGHT('Disaggregation Records'!$D$155:$D$385,255),0))),"")</f>
        <v/>
      </c>
      <c r="U927" s="194">
        <f>U925+1</f>
        <v>2653</v>
      </c>
      <c r="V927" s="194" t="str">
        <f t="array" ref="V927">IFERROR(IF(INDEX('Disaggregation Records'!$I$155:$I$385,MATCH(RIGHT(Q927,255),RIGHT('Disaggregation Records'!$D$155:$D$385,255),0))="","",INDEX('Disaggregation Records'!$I$155:$I$385,MATCH(RIGHT(Q927,255),RIGHT('Disaggregation Records'!$D$155:$D$385,255),0))),"")</f>
        <v/>
      </c>
      <c r="W927" s="194" t="str">
        <f>IFERROR(INDEX('Reference Records'!L$77:L$157,MATCH(LEFT(C927,255),'Reference Records'!E$77:E$157,0)),"")</f>
        <v/>
      </c>
    </row>
    <row r="928" spans="1:23" s="194" customFormat="1" ht="40.4" customHeight="1" x14ac:dyDescent="0.35">
      <c r="A928" s="770"/>
      <c r="B928" s="767"/>
      <c r="C928" s="761"/>
      <c r="D928" s="769"/>
      <c r="E928" s="769"/>
      <c r="F928" s="208"/>
      <c r="G928" s="763"/>
      <c r="H928" s="744"/>
      <c r="I928" s="765"/>
      <c r="J928" s="730"/>
      <c r="K928" s="761"/>
      <c r="L928" s="761"/>
      <c r="M928" s="730"/>
      <c r="N928" s="730"/>
    </row>
    <row r="929" spans="1:23" s="194" customFormat="1" ht="40.4" customHeight="1" x14ac:dyDescent="0.35">
      <c r="A929" s="770" t="str">
        <f ca="1">INDIRECT("'update Helper'!C"&amp;U929)</f>
        <v>a163p000004NtWSAA0</v>
      </c>
      <c r="B929" s="766">
        <v>8</v>
      </c>
      <c r="C929" s="760" t="str">
        <f>VLOOKUP(B929,'Coverage Indicators - Section D'!$A$9:$AU$70,47,FALSE)</f>
        <v>TCP - other -1: Porcentaje de casos todas las formas de TB entre PPL tratados exitosamente entre el total de casos todas las formas notificados</v>
      </c>
      <c r="D929" s="768" t="str">
        <f>R929</f>
        <v/>
      </c>
      <c r="E929" s="768" t="str">
        <f>S929</f>
        <v/>
      </c>
      <c r="F929" s="413"/>
      <c r="G929" s="762" t="str">
        <f ca="1">IF(OR(INDIRECT("'update Helper'!E"&amp;U929)="",F929&lt;&gt;0,F930&lt;&gt;0),IF(IFERROR((F929/F930),"")="","",(F929/F930)),INDIRECT("'update Helper'!E"&amp;U929)/100)</f>
        <v/>
      </c>
      <c r="H929" s="743"/>
      <c r="I929" s="764"/>
      <c r="J929" s="729"/>
      <c r="K929" s="760" t="str">
        <f>W929</f>
        <v/>
      </c>
      <c r="L929" s="760" t="str">
        <f>V929</f>
        <v/>
      </c>
      <c r="M929" s="729"/>
      <c r="N929" s="729"/>
      <c r="P929" s="194">
        <f>IF(AND(EXACT(C929,C927),C927&lt;&gt;0),P927+1,0)</f>
        <v>14</v>
      </c>
      <c r="Q929" s="194" t="str">
        <f>IF(C929&lt;&gt;"",C929&amp;"-"&amp;P929,"")</f>
        <v>TCP - other -1: Porcentaje de casos todas las formas de TB entre PPL tratados exitosamente entre el total de casos todas las formas notificados-14</v>
      </c>
      <c r="R929" s="194" t="str">
        <f t="array" ref="R929">IFERROR(IF(INDEX('Disaggregation Records'!$E$155:$E$385,MATCH(RIGHT(Q929,255),RIGHT('Disaggregation Records'!$D$155:$D$385,255),0))="","",INDEX('Disaggregation Records'!$E$155:$E$385,MATCH(RIGHT(Q929,255),RIGHT('Disaggregation Records'!$D$155:$D$385,255),0))),"")</f>
        <v/>
      </c>
      <c r="S929" s="194" t="str">
        <f t="array" ref="S929">IFERROR(IF(INDEX('Disaggregation Records'!$F$155:$F$385,MATCH(RIGHT(Q929,255),RIGHT('Disaggregation Records'!$D$155:$D$385,255),0))="","",INDEX('Disaggregation Records'!$F$155:$F$385,MATCH(RIGHT(Q929,255),RIGHT('Disaggregation Records'!$D$155:$D$385,255),0))),"")</f>
        <v/>
      </c>
      <c r="T929" s="194" t="str">
        <f t="array" ref="T929">IFERROR(IF(INDEX('Disaggregation Records'!$H$155:$H$385,MATCH(RIGHT(Q929,255),RIGHT('Disaggregation Records'!$D$155:$D$385,255),0))="","",INDEX('Disaggregation Records'!$H$155:$H$385,MATCH(RIGHT(Q929,255),RIGHT('Disaggregation Records'!$D$155:$D$385,255),0))),"")</f>
        <v/>
      </c>
      <c r="U929" s="194">
        <f>U927+1</f>
        <v>2654</v>
      </c>
      <c r="V929" s="194" t="str">
        <f t="array" ref="V929">IFERROR(IF(INDEX('Disaggregation Records'!$I$155:$I$385,MATCH(RIGHT(Q929,255),RIGHT('Disaggregation Records'!$D$155:$D$385,255),0))="","",INDEX('Disaggregation Records'!$I$155:$I$385,MATCH(RIGHT(Q929,255),RIGHT('Disaggregation Records'!$D$155:$D$385,255),0))),"")</f>
        <v/>
      </c>
      <c r="W929" s="194" t="str">
        <f>IFERROR(INDEX('Reference Records'!L$77:L$157,MATCH(LEFT(C929,255),'Reference Records'!E$77:E$157,0)),"")</f>
        <v/>
      </c>
    </row>
    <row r="930" spans="1:23" s="194" customFormat="1" ht="40.4" customHeight="1" x14ac:dyDescent="0.35">
      <c r="A930" s="770"/>
      <c r="B930" s="767"/>
      <c r="C930" s="761"/>
      <c r="D930" s="769"/>
      <c r="E930" s="769"/>
      <c r="F930" s="208"/>
      <c r="G930" s="763"/>
      <c r="H930" s="744"/>
      <c r="I930" s="765"/>
      <c r="J930" s="730"/>
      <c r="K930" s="761"/>
      <c r="L930" s="761"/>
      <c r="M930" s="730"/>
      <c r="N930" s="730"/>
    </row>
    <row r="931" spans="1:23" s="194" customFormat="1" ht="40.4" customHeight="1" x14ac:dyDescent="0.35">
      <c r="A931" s="770" t="str">
        <f ca="1">INDIRECT("'update Helper'!C"&amp;U931)</f>
        <v>a163p000004NtWTAA0</v>
      </c>
      <c r="B931" s="766">
        <v>8</v>
      </c>
      <c r="C931" s="760" t="str">
        <f>VLOOKUP(B931,'Coverage Indicators - Section D'!$A$9:$AU$70,47,FALSE)</f>
        <v>TCP - other -1: Porcentaje de casos todas las formas de TB entre PPL tratados exitosamente entre el total de casos todas las formas notificados</v>
      </c>
      <c r="D931" s="768" t="str">
        <f>R931</f>
        <v/>
      </c>
      <c r="E931" s="768" t="str">
        <f>S931</f>
        <v/>
      </c>
      <c r="F931" s="413"/>
      <c r="G931" s="762" t="str">
        <f ca="1">IF(OR(INDIRECT("'update Helper'!E"&amp;U931)="",F931&lt;&gt;0,F932&lt;&gt;0),IF(IFERROR((F931/F932),"")="","",(F931/F932)),INDIRECT("'update Helper'!E"&amp;U931)/100)</f>
        <v/>
      </c>
      <c r="H931" s="743"/>
      <c r="I931" s="764"/>
      <c r="J931" s="729"/>
      <c r="K931" s="760" t="str">
        <f>W931</f>
        <v/>
      </c>
      <c r="L931" s="760" t="str">
        <f>V931</f>
        <v/>
      </c>
      <c r="M931" s="729"/>
      <c r="N931" s="729"/>
      <c r="P931" s="194">
        <f>IF(AND(EXACT(C931,C929),C929&lt;&gt;0),P929+1,0)</f>
        <v>15</v>
      </c>
      <c r="Q931" s="194" t="str">
        <f>IF(C931&lt;&gt;"",C931&amp;"-"&amp;P931,"")</f>
        <v>TCP - other -1: Porcentaje de casos todas las formas de TB entre PPL tratados exitosamente entre el total de casos todas las formas notificados-15</v>
      </c>
      <c r="R931" s="194" t="str">
        <f t="array" ref="R931">IFERROR(IF(INDEX('Disaggregation Records'!$E$155:$E$385,MATCH(RIGHT(Q931,255),RIGHT('Disaggregation Records'!$D$155:$D$385,255),0))="","",INDEX('Disaggregation Records'!$E$155:$E$385,MATCH(RIGHT(Q931,255),RIGHT('Disaggregation Records'!$D$155:$D$385,255),0))),"")</f>
        <v/>
      </c>
      <c r="S931" s="194" t="str">
        <f t="array" ref="S931">IFERROR(IF(INDEX('Disaggregation Records'!$F$155:$F$385,MATCH(RIGHT(Q931,255),RIGHT('Disaggregation Records'!$D$155:$D$385,255),0))="","",INDEX('Disaggregation Records'!$F$155:$F$385,MATCH(RIGHT(Q931,255),RIGHT('Disaggregation Records'!$D$155:$D$385,255),0))),"")</f>
        <v/>
      </c>
      <c r="T931" s="194" t="str">
        <f t="array" ref="T931">IFERROR(IF(INDEX('Disaggregation Records'!$H$155:$H$385,MATCH(RIGHT(Q931,255),RIGHT('Disaggregation Records'!$D$155:$D$385,255),0))="","",INDEX('Disaggregation Records'!$H$155:$H$385,MATCH(RIGHT(Q931,255),RIGHT('Disaggregation Records'!$D$155:$D$385,255),0))),"")</f>
        <v/>
      </c>
      <c r="U931" s="194">
        <f>U929+1</f>
        <v>2655</v>
      </c>
      <c r="V931" s="194" t="str">
        <f t="array" ref="V931">IFERROR(IF(INDEX('Disaggregation Records'!$I$155:$I$385,MATCH(RIGHT(Q931,255),RIGHT('Disaggregation Records'!$D$155:$D$385,255),0))="","",INDEX('Disaggregation Records'!$I$155:$I$385,MATCH(RIGHT(Q931,255),RIGHT('Disaggregation Records'!$D$155:$D$385,255),0))),"")</f>
        <v/>
      </c>
      <c r="W931" s="194" t="str">
        <f>IFERROR(INDEX('Reference Records'!L$77:L$157,MATCH(LEFT(C931,255),'Reference Records'!E$77:E$157,0)),"")</f>
        <v/>
      </c>
    </row>
    <row r="932" spans="1:23" s="194" customFormat="1" ht="40.4" customHeight="1" x14ac:dyDescent="0.35">
      <c r="A932" s="770"/>
      <c r="B932" s="767"/>
      <c r="C932" s="761"/>
      <c r="D932" s="769"/>
      <c r="E932" s="769"/>
      <c r="F932" s="208"/>
      <c r="G932" s="763"/>
      <c r="H932" s="744"/>
      <c r="I932" s="765"/>
      <c r="J932" s="730"/>
      <c r="K932" s="761"/>
      <c r="L932" s="761"/>
      <c r="M932" s="730"/>
      <c r="N932" s="730"/>
    </row>
    <row r="933" spans="1:23" s="194" customFormat="1" ht="40.4" customHeight="1" x14ac:dyDescent="0.35">
      <c r="A933" s="770" t="str">
        <f ca="1">INDIRECT("'update Helper'!C"&amp;U933)</f>
        <v>a163p000004NtWUAA0</v>
      </c>
      <c r="B933" s="766">
        <v>8</v>
      </c>
      <c r="C933" s="760" t="str">
        <f>VLOOKUP(B933,'Coverage Indicators - Section D'!$A$9:$AU$70,47,FALSE)</f>
        <v>TCP - other -1: Porcentaje de casos todas las formas de TB entre PPL tratados exitosamente entre el total de casos todas las formas notificados</v>
      </c>
      <c r="D933" s="768" t="str">
        <f>R933</f>
        <v/>
      </c>
      <c r="E933" s="768" t="str">
        <f>S933</f>
        <v/>
      </c>
      <c r="F933" s="413"/>
      <c r="G933" s="762" t="str">
        <f ca="1">IF(OR(INDIRECT("'update Helper'!E"&amp;U933)="",F933&lt;&gt;0,F934&lt;&gt;0),IF(IFERROR((F933/F934),"")="","",(F933/F934)),INDIRECT("'update Helper'!E"&amp;U933)/100)</f>
        <v/>
      </c>
      <c r="H933" s="743"/>
      <c r="I933" s="764"/>
      <c r="J933" s="729"/>
      <c r="K933" s="760" t="str">
        <f>W933</f>
        <v/>
      </c>
      <c r="L933" s="760" t="str">
        <f>V933</f>
        <v/>
      </c>
      <c r="M933" s="729"/>
      <c r="N933" s="729"/>
      <c r="P933" s="194">
        <f>IF(AND(EXACT(C933,C931),C931&lt;&gt;0),P931+1,0)</f>
        <v>16</v>
      </c>
      <c r="Q933" s="194" t="str">
        <f>IF(C933&lt;&gt;"",C933&amp;"-"&amp;P933,"")</f>
        <v>TCP - other -1: Porcentaje de casos todas las formas de TB entre PPL tratados exitosamente entre el total de casos todas las formas notificados-16</v>
      </c>
      <c r="R933" s="194" t="str">
        <f t="array" ref="R933">IFERROR(IF(INDEX('Disaggregation Records'!$E$155:$E$385,MATCH(RIGHT(Q933,255),RIGHT('Disaggregation Records'!$D$155:$D$385,255),0))="","",INDEX('Disaggregation Records'!$E$155:$E$385,MATCH(RIGHT(Q933,255),RIGHT('Disaggregation Records'!$D$155:$D$385,255),0))),"")</f>
        <v/>
      </c>
      <c r="S933" s="194" t="str">
        <f t="array" ref="S933">IFERROR(IF(INDEX('Disaggregation Records'!$F$155:$F$385,MATCH(RIGHT(Q933,255),RIGHT('Disaggregation Records'!$D$155:$D$385,255),0))="","",INDEX('Disaggregation Records'!$F$155:$F$385,MATCH(RIGHT(Q933,255),RIGHT('Disaggregation Records'!$D$155:$D$385,255),0))),"")</f>
        <v/>
      </c>
      <c r="T933" s="194" t="str">
        <f t="array" ref="T933">IFERROR(IF(INDEX('Disaggregation Records'!$H$155:$H$385,MATCH(RIGHT(Q933,255),RIGHT('Disaggregation Records'!$D$155:$D$385,255),0))="","",INDEX('Disaggregation Records'!$H$155:$H$385,MATCH(RIGHT(Q933,255),RIGHT('Disaggregation Records'!$D$155:$D$385,255),0))),"")</f>
        <v/>
      </c>
      <c r="U933" s="194">
        <f>U931+1</f>
        <v>2656</v>
      </c>
      <c r="V933" s="194" t="str">
        <f t="array" ref="V933">IFERROR(IF(INDEX('Disaggregation Records'!$I$155:$I$385,MATCH(RIGHT(Q933,255),RIGHT('Disaggregation Records'!$D$155:$D$385,255),0))="","",INDEX('Disaggregation Records'!$I$155:$I$385,MATCH(RIGHT(Q933,255),RIGHT('Disaggregation Records'!$D$155:$D$385,255),0))),"")</f>
        <v/>
      </c>
      <c r="W933" s="194" t="str">
        <f>IFERROR(INDEX('Reference Records'!L$77:L$157,MATCH(LEFT(C933,255),'Reference Records'!E$77:E$157,0)),"")</f>
        <v/>
      </c>
    </row>
    <row r="934" spans="1:23" s="194" customFormat="1" ht="40.4" customHeight="1" x14ac:dyDescent="0.35">
      <c r="A934" s="770"/>
      <c r="B934" s="767"/>
      <c r="C934" s="761"/>
      <c r="D934" s="769"/>
      <c r="E934" s="769"/>
      <c r="F934" s="208"/>
      <c r="G934" s="763"/>
      <c r="H934" s="744"/>
      <c r="I934" s="765"/>
      <c r="J934" s="730"/>
      <c r="K934" s="761"/>
      <c r="L934" s="761"/>
      <c r="M934" s="730"/>
      <c r="N934" s="730"/>
    </row>
    <row r="935" spans="1:23" s="194" customFormat="1" ht="40.4" customHeight="1" x14ac:dyDescent="0.35">
      <c r="A935" s="770" t="str">
        <f ca="1">INDIRECT("'update Helper'!C"&amp;U935)</f>
        <v>a163p000004NtWVAA0</v>
      </c>
      <c r="B935" s="766">
        <v>8</v>
      </c>
      <c r="C935" s="760" t="str">
        <f>VLOOKUP(B935,'Coverage Indicators - Section D'!$A$9:$AU$70,47,FALSE)</f>
        <v>TCP - other -1: Porcentaje de casos todas las formas de TB entre PPL tratados exitosamente entre el total de casos todas las formas notificados</v>
      </c>
      <c r="D935" s="768" t="str">
        <f>R935</f>
        <v/>
      </c>
      <c r="E935" s="768" t="str">
        <f>S935</f>
        <v/>
      </c>
      <c r="F935" s="413"/>
      <c r="G935" s="762" t="str">
        <f ca="1">IF(OR(INDIRECT("'update Helper'!E"&amp;U935)="",F935&lt;&gt;0,F936&lt;&gt;0),IF(IFERROR((F935/F936),"")="","",(F935/F936)),INDIRECT("'update Helper'!E"&amp;U935)/100)</f>
        <v/>
      </c>
      <c r="H935" s="743"/>
      <c r="I935" s="764"/>
      <c r="J935" s="729"/>
      <c r="K935" s="760" t="str">
        <f>W935</f>
        <v/>
      </c>
      <c r="L935" s="760" t="str">
        <f>V935</f>
        <v/>
      </c>
      <c r="M935" s="729"/>
      <c r="N935" s="729"/>
      <c r="P935" s="194">
        <f>IF(AND(EXACT(C935,C933),C933&lt;&gt;0),P933+1,0)</f>
        <v>17</v>
      </c>
      <c r="Q935" s="194" t="str">
        <f>IF(C935&lt;&gt;"",C935&amp;"-"&amp;P935,"")</f>
        <v>TCP - other -1: Porcentaje de casos todas las formas de TB entre PPL tratados exitosamente entre el total de casos todas las formas notificados-17</v>
      </c>
      <c r="R935" s="194" t="str">
        <f t="array" ref="R935">IFERROR(IF(INDEX('Disaggregation Records'!$E$155:$E$385,MATCH(RIGHT(Q935,255),RIGHT('Disaggregation Records'!$D$155:$D$385,255),0))="","",INDEX('Disaggregation Records'!$E$155:$E$385,MATCH(RIGHT(Q935,255),RIGHT('Disaggregation Records'!$D$155:$D$385,255),0))),"")</f>
        <v/>
      </c>
      <c r="S935" s="194" t="str">
        <f t="array" ref="S935">IFERROR(IF(INDEX('Disaggregation Records'!$F$155:$F$385,MATCH(RIGHT(Q935,255),RIGHT('Disaggregation Records'!$D$155:$D$385,255),0))="","",INDEX('Disaggregation Records'!$F$155:$F$385,MATCH(RIGHT(Q935,255),RIGHT('Disaggregation Records'!$D$155:$D$385,255),0))),"")</f>
        <v/>
      </c>
      <c r="T935" s="194" t="str">
        <f t="array" ref="T935">IFERROR(IF(INDEX('Disaggregation Records'!$H$155:$H$385,MATCH(RIGHT(Q935,255),RIGHT('Disaggregation Records'!$D$155:$D$385,255),0))="","",INDEX('Disaggregation Records'!$H$155:$H$385,MATCH(RIGHT(Q935,255),RIGHT('Disaggregation Records'!$D$155:$D$385,255),0))),"")</f>
        <v/>
      </c>
      <c r="U935" s="194">
        <f>U933+1</f>
        <v>2657</v>
      </c>
      <c r="V935" s="194" t="str">
        <f t="array" ref="V935">IFERROR(IF(INDEX('Disaggregation Records'!$I$155:$I$385,MATCH(RIGHT(Q935,255),RIGHT('Disaggregation Records'!$D$155:$D$385,255),0))="","",INDEX('Disaggregation Records'!$I$155:$I$385,MATCH(RIGHT(Q935,255),RIGHT('Disaggregation Records'!$D$155:$D$385,255),0))),"")</f>
        <v/>
      </c>
      <c r="W935" s="194" t="str">
        <f>IFERROR(INDEX('Reference Records'!L$77:L$157,MATCH(LEFT(C935,255),'Reference Records'!E$77:E$157,0)),"")</f>
        <v/>
      </c>
    </row>
    <row r="936" spans="1:23" s="194" customFormat="1" ht="40.4" customHeight="1" x14ac:dyDescent="0.35">
      <c r="A936" s="770"/>
      <c r="B936" s="767"/>
      <c r="C936" s="761"/>
      <c r="D936" s="769"/>
      <c r="E936" s="769"/>
      <c r="F936" s="208"/>
      <c r="G936" s="763"/>
      <c r="H936" s="744"/>
      <c r="I936" s="765"/>
      <c r="J936" s="730"/>
      <c r="K936" s="761"/>
      <c r="L936" s="761"/>
      <c r="M936" s="730"/>
      <c r="N936" s="730"/>
    </row>
    <row r="937" spans="1:23" s="194" customFormat="1" ht="40.4" customHeight="1" x14ac:dyDescent="0.35">
      <c r="A937" s="770" t="str">
        <f ca="1">INDIRECT("'update Helper'!C"&amp;U937)</f>
        <v>a163p000004NtWWAA0</v>
      </c>
      <c r="B937" s="766">
        <v>8</v>
      </c>
      <c r="C937" s="760" t="str">
        <f>VLOOKUP(B937,'Coverage Indicators - Section D'!$A$9:$AU$70,47,FALSE)</f>
        <v>TCP - other -1: Porcentaje de casos todas las formas de TB entre PPL tratados exitosamente entre el total de casos todas las formas notificados</v>
      </c>
      <c r="D937" s="768" t="str">
        <f>R937</f>
        <v/>
      </c>
      <c r="E937" s="768" t="str">
        <f>S937</f>
        <v/>
      </c>
      <c r="F937" s="413"/>
      <c r="G937" s="762" t="str">
        <f ca="1">IF(OR(INDIRECT("'update Helper'!E"&amp;U937)="",F937&lt;&gt;0,F938&lt;&gt;0),IF(IFERROR((F937/F938),"")="","",(F937/F938)),INDIRECT("'update Helper'!E"&amp;U937)/100)</f>
        <v/>
      </c>
      <c r="H937" s="743"/>
      <c r="I937" s="764"/>
      <c r="J937" s="729"/>
      <c r="K937" s="760" t="str">
        <f>W937</f>
        <v/>
      </c>
      <c r="L937" s="760" t="str">
        <f>V937</f>
        <v/>
      </c>
      <c r="M937" s="729"/>
      <c r="N937" s="729"/>
      <c r="P937" s="194">
        <f>IF(AND(EXACT(C937,C935),C935&lt;&gt;0),P935+1,0)</f>
        <v>18</v>
      </c>
      <c r="Q937" s="194" t="str">
        <f>IF(C937&lt;&gt;"",C937&amp;"-"&amp;P937,"")</f>
        <v>TCP - other -1: Porcentaje de casos todas las formas de TB entre PPL tratados exitosamente entre el total de casos todas las formas notificados-18</v>
      </c>
      <c r="R937" s="194" t="str">
        <f t="array" ref="R937">IFERROR(IF(INDEX('Disaggregation Records'!$E$155:$E$385,MATCH(RIGHT(Q937,255),RIGHT('Disaggregation Records'!$D$155:$D$385,255),0))="","",INDEX('Disaggregation Records'!$E$155:$E$385,MATCH(RIGHT(Q937,255),RIGHT('Disaggregation Records'!$D$155:$D$385,255),0))),"")</f>
        <v/>
      </c>
      <c r="S937" s="194" t="str">
        <f t="array" ref="S937">IFERROR(IF(INDEX('Disaggregation Records'!$F$155:$F$385,MATCH(RIGHT(Q937,255),RIGHT('Disaggregation Records'!$D$155:$D$385,255),0))="","",INDEX('Disaggregation Records'!$F$155:$F$385,MATCH(RIGHT(Q937,255),RIGHT('Disaggregation Records'!$D$155:$D$385,255),0))),"")</f>
        <v/>
      </c>
      <c r="T937" s="194" t="str">
        <f t="array" ref="T937">IFERROR(IF(INDEX('Disaggregation Records'!$H$155:$H$385,MATCH(RIGHT(Q937,255),RIGHT('Disaggregation Records'!$D$155:$D$385,255),0))="","",INDEX('Disaggregation Records'!$H$155:$H$385,MATCH(RIGHT(Q937,255),RIGHT('Disaggregation Records'!$D$155:$D$385,255),0))),"")</f>
        <v/>
      </c>
      <c r="U937" s="194">
        <f>U935+1</f>
        <v>2658</v>
      </c>
      <c r="V937" s="194" t="str">
        <f t="array" ref="V937">IFERROR(IF(INDEX('Disaggregation Records'!$I$155:$I$385,MATCH(RIGHT(Q937,255),RIGHT('Disaggregation Records'!$D$155:$D$385,255),0))="","",INDEX('Disaggregation Records'!$I$155:$I$385,MATCH(RIGHT(Q937,255),RIGHT('Disaggregation Records'!$D$155:$D$385,255),0))),"")</f>
        <v/>
      </c>
      <c r="W937" s="194" t="str">
        <f>IFERROR(INDEX('Reference Records'!L$77:L$157,MATCH(LEFT(C937,255),'Reference Records'!E$77:E$157,0)),"")</f>
        <v/>
      </c>
    </row>
    <row r="938" spans="1:23" s="194" customFormat="1" ht="40.4" customHeight="1" x14ac:dyDescent="0.35">
      <c r="A938" s="770"/>
      <c r="B938" s="767"/>
      <c r="C938" s="761"/>
      <c r="D938" s="769"/>
      <c r="E938" s="769"/>
      <c r="F938" s="208"/>
      <c r="G938" s="763"/>
      <c r="H938" s="744"/>
      <c r="I938" s="765"/>
      <c r="J938" s="730"/>
      <c r="K938" s="761"/>
      <c r="L938" s="761"/>
      <c r="M938" s="730"/>
      <c r="N938" s="730"/>
    </row>
    <row r="939" spans="1:23" s="194" customFormat="1" ht="40.4" customHeight="1" x14ac:dyDescent="0.35">
      <c r="A939" s="770" t="str">
        <f ca="1">INDIRECT("'update Helper'!C"&amp;U939)</f>
        <v>a163p000004NtWXAA0</v>
      </c>
      <c r="B939" s="766">
        <v>8</v>
      </c>
      <c r="C939" s="760" t="str">
        <f>VLOOKUP(B939,'Coverage Indicators - Section D'!$A$9:$AU$70,47,FALSE)</f>
        <v>TCP - other -1: Porcentaje de casos todas las formas de TB entre PPL tratados exitosamente entre el total de casos todas las formas notificados</v>
      </c>
      <c r="D939" s="768" t="str">
        <f>R939</f>
        <v/>
      </c>
      <c r="E939" s="768" t="str">
        <f>S939</f>
        <v/>
      </c>
      <c r="F939" s="413"/>
      <c r="G939" s="762" t="str">
        <f ca="1">IF(OR(INDIRECT("'update Helper'!E"&amp;U939)="",F939&lt;&gt;0,F940&lt;&gt;0),IF(IFERROR((F939/F940),"")="","",(F939/F940)),INDIRECT("'update Helper'!E"&amp;U939)/100)</f>
        <v/>
      </c>
      <c r="H939" s="743"/>
      <c r="I939" s="764"/>
      <c r="J939" s="729"/>
      <c r="K939" s="760" t="str">
        <f>W939</f>
        <v/>
      </c>
      <c r="L939" s="760" t="str">
        <f>V939</f>
        <v/>
      </c>
      <c r="M939" s="729"/>
      <c r="N939" s="729"/>
      <c r="P939" s="194">
        <f>IF(AND(EXACT(C939,C937),C937&lt;&gt;0),P937+1,0)</f>
        <v>19</v>
      </c>
      <c r="Q939" s="194" t="str">
        <f>IF(C939&lt;&gt;"",C939&amp;"-"&amp;P939,"")</f>
        <v>TCP - other -1: Porcentaje de casos todas las formas de TB entre PPL tratados exitosamente entre el total de casos todas las formas notificados-19</v>
      </c>
      <c r="R939" s="194" t="str">
        <f t="array" ref="R939">IFERROR(IF(INDEX('Disaggregation Records'!$E$155:$E$385,MATCH(RIGHT(Q939,255),RIGHT('Disaggregation Records'!$D$155:$D$385,255),0))="","",INDEX('Disaggregation Records'!$E$155:$E$385,MATCH(RIGHT(Q939,255),RIGHT('Disaggregation Records'!$D$155:$D$385,255),0))),"")</f>
        <v/>
      </c>
      <c r="S939" s="194" t="str">
        <f t="array" ref="S939">IFERROR(IF(INDEX('Disaggregation Records'!$F$155:$F$385,MATCH(RIGHT(Q939,255),RIGHT('Disaggregation Records'!$D$155:$D$385,255),0))="","",INDEX('Disaggregation Records'!$F$155:$F$385,MATCH(RIGHT(Q939,255),RIGHT('Disaggregation Records'!$D$155:$D$385,255),0))),"")</f>
        <v/>
      </c>
      <c r="T939" s="194" t="str">
        <f t="array" ref="T939">IFERROR(IF(INDEX('Disaggregation Records'!$H$155:$H$385,MATCH(RIGHT(Q939,255),RIGHT('Disaggregation Records'!$D$155:$D$385,255),0))="","",INDEX('Disaggregation Records'!$H$155:$H$385,MATCH(RIGHT(Q939,255),RIGHT('Disaggregation Records'!$D$155:$D$385,255),0))),"")</f>
        <v/>
      </c>
      <c r="U939" s="194">
        <f>U937+1</f>
        <v>2659</v>
      </c>
      <c r="V939" s="194" t="str">
        <f t="array" ref="V939">IFERROR(IF(INDEX('Disaggregation Records'!$I$155:$I$385,MATCH(RIGHT(Q939,255),RIGHT('Disaggregation Records'!$D$155:$D$385,255),0))="","",INDEX('Disaggregation Records'!$I$155:$I$385,MATCH(RIGHT(Q939,255),RIGHT('Disaggregation Records'!$D$155:$D$385,255),0))),"")</f>
        <v/>
      </c>
      <c r="W939" s="194" t="str">
        <f>IFERROR(INDEX('Reference Records'!L$77:L$157,MATCH(LEFT(C939,255),'Reference Records'!E$77:E$157,0)),"")</f>
        <v/>
      </c>
    </row>
    <row r="940" spans="1:23" s="194" customFormat="1" ht="40.4" customHeight="1" x14ac:dyDescent="0.35">
      <c r="A940" s="770"/>
      <c r="B940" s="767"/>
      <c r="C940" s="761"/>
      <c r="D940" s="769"/>
      <c r="E940" s="769"/>
      <c r="F940" s="208"/>
      <c r="G940" s="763"/>
      <c r="H940" s="744"/>
      <c r="I940" s="765"/>
      <c r="J940" s="730"/>
      <c r="K940" s="761"/>
      <c r="L940" s="761"/>
      <c r="M940" s="730"/>
      <c r="N940" s="730"/>
    </row>
    <row r="941" spans="1:23" s="194" customFormat="1" ht="40.4" customHeight="1" x14ac:dyDescent="0.35">
      <c r="A941" s="770" t="str">
        <f ca="1">INDIRECT("'update Helper'!C"&amp;U941)</f>
        <v>a163p000004NtMsAAK</v>
      </c>
      <c r="B941" s="766">
        <v>9</v>
      </c>
      <c r="C941" s="760" t="str">
        <f>VLOOKUP(B941,'Coverage Indicators - Section D'!$A$9:$AU$70,47,FALSE)</f>
        <v>KP-1b⁽ᴹ⁾ Porcentaje de personas transgénero alcanzados por programas de prevención del VIH - paquete definido de servicios</v>
      </c>
      <c r="D941" s="768" t="str">
        <f>R941</f>
        <v>Edad</v>
      </c>
      <c r="E941" s="768" t="str">
        <f>S941</f>
        <v>25+</v>
      </c>
      <c r="F941" s="413"/>
      <c r="G941" s="762" t="str">
        <f ca="1">IF(OR(INDIRECT("'update Helper'!E"&amp;U941)="",F941&lt;&gt;0,F942&lt;&gt;0),IF(IFERROR((F941/F942),"")="","",(F941/F942)),INDIRECT("'update Helper'!E"&amp;U941)/100)</f>
        <v/>
      </c>
      <c r="H941" s="743"/>
      <c r="I941" s="764"/>
      <c r="J941" s="729" t="s">
        <v>9912</v>
      </c>
      <c r="K941" s="760" t="str">
        <f>W941</f>
        <v>KP-1b⁽ᴹ⁾ Percentage of transgender people reached with HIV prevention programs - defined package of services</v>
      </c>
      <c r="L941" s="760" t="str">
        <f>V941</f>
        <v>Age</v>
      </c>
      <c r="M941" s="729"/>
      <c r="N941" s="729" t="s">
        <v>4037</v>
      </c>
      <c r="P941" s="194">
        <f>IF(AND(EXACT(C941,C939),C939&lt;&gt;0),P939+1,0)</f>
        <v>0</v>
      </c>
      <c r="Q941" s="194" t="str">
        <f>IF(C941&lt;&gt;"",C941&amp;"-"&amp;P941,"")</f>
        <v>KP-1b⁽ᴹ⁾ Porcentaje de personas transgénero alcanzados por programas de prevención del VIH - paquete definido de servicios-0</v>
      </c>
      <c r="R941" s="194" t="str">
        <f t="array" ref="R941">IFERROR(IF(INDEX('Disaggregation Records'!$E$155:$E$385,MATCH(RIGHT(Q941,255),RIGHT('Disaggregation Records'!$D$155:$D$385,255),0))="","",INDEX('Disaggregation Records'!$E$155:$E$385,MATCH(RIGHT(Q941,255),RIGHT('Disaggregation Records'!$D$155:$D$385,255),0))),"")</f>
        <v>Edad</v>
      </c>
      <c r="S941" s="194" t="str">
        <f t="array" ref="S941">IFERROR(IF(INDEX('Disaggregation Records'!$F$155:$F$385,MATCH(RIGHT(Q941,255),RIGHT('Disaggregation Records'!$D$155:$D$385,255),0))="","",INDEX('Disaggregation Records'!$F$155:$F$385,MATCH(RIGHT(Q941,255),RIGHT('Disaggregation Records'!$D$155:$D$385,255),0))),"")</f>
        <v>25+</v>
      </c>
      <c r="T941" s="194" t="str">
        <f t="array" ref="T941">IFERROR(IF(INDEX('Disaggregation Records'!$H$155:$H$385,MATCH(RIGHT(Q941,255),RIGHT('Disaggregation Records'!$D$155:$D$385,255),0))="","",INDEX('Disaggregation Records'!$H$155:$H$385,MATCH(RIGHT(Q941,255),RIGHT('Disaggregation Records'!$D$155:$D$385,255),0))),"")</f>
        <v>IDR-00702</v>
      </c>
      <c r="U941" s="194">
        <f>U939+1</f>
        <v>2660</v>
      </c>
      <c r="V941" s="194" t="str">
        <f t="array" ref="V941">IFERROR(IF(INDEX('Disaggregation Records'!$I$155:$I$385,MATCH(RIGHT(Q941,255),RIGHT('Disaggregation Records'!$D$155:$D$385,255),0))="","",INDEX('Disaggregation Records'!$I$155:$I$385,MATCH(RIGHT(Q941,255),RIGHT('Disaggregation Records'!$D$155:$D$385,255),0))),"")</f>
        <v>Age</v>
      </c>
      <c r="W941" s="194" t="str">
        <f>IFERROR(INDEX('Reference Records'!L$77:L$157,MATCH(LEFT(C941,255),'Reference Records'!E$77:E$157,0)),"")</f>
        <v>KP-1b⁽ᴹ⁾ Percentage of transgender people reached with HIV prevention programs - defined package of services</v>
      </c>
    </row>
    <row r="942" spans="1:23" s="194" customFormat="1" ht="40.4" customHeight="1" x14ac:dyDescent="0.35">
      <c r="A942" s="770"/>
      <c r="B942" s="767"/>
      <c r="C942" s="761"/>
      <c r="D942" s="769"/>
      <c r="E942" s="769"/>
      <c r="F942" s="208"/>
      <c r="G942" s="763"/>
      <c r="H942" s="744"/>
      <c r="I942" s="765"/>
      <c r="J942" s="730"/>
      <c r="K942" s="761"/>
      <c r="L942" s="761"/>
      <c r="M942" s="730"/>
      <c r="N942" s="730"/>
    </row>
    <row r="943" spans="1:23" s="194" customFormat="1" ht="40.4" customHeight="1" x14ac:dyDescent="0.35">
      <c r="A943" s="770" t="str">
        <f ca="1">INDIRECT("'update Helper'!C"&amp;U943)</f>
        <v>a163p000004NtMtAAK</v>
      </c>
      <c r="B943" s="766">
        <v>9</v>
      </c>
      <c r="C943" s="760" t="str">
        <f>VLOOKUP(B943,'Coverage Indicators - Section D'!$A$9:$AU$70,47,FALSE)</f>
        <v>KP-1b⁽ᴹ⁾ Porcentaje de personas transgénero alcanzados por programas de prevención del VIH - paquete definido de servicios</v>
      </c>
      <c r="D943" s="768" t="str">
        <f>R943</f>
        <v>Edad</v>
      </c>
      <c r="E943" s="768" t="str">
        <f>S943</f>
        <v>&lt;25</v>
      </c>
      <c r="F943" s="413"/>
      <c r="G943" s="762" t="str">
        <f ca="1">IF(OR(INDIRECT("'update Helper'!E"&amp;U943)="",F943&lt;&gt;0,F944&lt;&gt;0),IF(IFERROR((F943/F944),"")="","",(F943/F944)),INDIRECT("'update Helper'!E"&amp;U943)/100)</f>
        <v/>
      </c>
      <c r="H943" s="743"/>
      <c r="I943" s="764"/>
      <c r="J943" s="729" t="s">
        <v>9912</v>
      </c>
      <c r="K943" s="760" t="str">
        <f>W943</f>
        <v>KP-1b⁽ᴹ⁾ Percentage of transgender people reached with HIV prevention programs - defined package of services</v>
      </c>
      <c r="L943" s="760" t="str">
        <f>V943</f>
        <v>Age</v>
      </c>
      <c r="M943" s="729"/>
      <c r="N943" s="729" t="s">
        <v>4037</v>
      </c>
      <c r="P943" s="194">
        <f>IF(AND(EXACT(C943,C941),C941&lt;&gt;0),P941+1,0)</f>
        <v>1</v>
      </c>
      <c r="Q943" s="194" t="str">
        <f>IF(C943&lt;&gt;"",C943&amp;"-"&amp;P943,"")</f>
        <v>KP-1b⁽ᴹ⁾ Porcentaje de personas transgénero alcanzados por programas de prevención del VIH - paquete definido de servicios-1</v>
      </c>
      <c r="R943" s="194" t="str">
        <f t="array" ref="R943">IFERROR(IF(INDEX('Disaggregation Records'!$E$155:$E$385,MATCH(RIGHT(Q943,255),RIGHT('Disaggregation Records'!$D$155:$D$385,255),0))="","",INDEX('Disaggregation Records'!$E$155:$E$385,MATCH(RIGHT(Q943,255),RIGHT('Disaggregation Records'!$D$155:$D$385,255),0))),"")</f>
        <v>Edad</v>
      </c>
      <c r="S943" s="194" t="str">
        <f t="array" ref="S943">IFERROR(IF(INDEX('Disaggregation Records'!$F$155:$F$385,MATCH(RIGHT(Q943,255),RIGHT('Disaggregation Records'!$D$155:$D$385,255),0))="","",INDEX('Disaggregation Records'!$F$155:$F$385,MATCH(RIGHT(Q943,255),RIGHT('Disaggregation Records'!$D$155:$D$385,255),0))),"")</f>
        <v>&lt;25</v>
      </c>
      <c r="T943" s="194" t="str">
        <f t="array" ref="T943">IFERROR(IF(INDEX('Disaggregation Records'!$H$155:$H$385,MATCH(RIGHT(Q943,255),RIGHT('Disaggregation Records'!$D$155:$D$385,255),0))="","",INDEX('Disaggregation Records'!$H$155:$H$385,MATCH(RIGHT(Q943,255),RIGHT('Disaggregation Records'!$D$155:$D$385,255),0))),"")</f>
        <v>IDR-00701</v>
      </c>
      <c r="U943" s="194">
        <f>U941+1</f>
        <v>2661</v>
      </c>
      <c r="V943" s="194" t="str">
        <f t="array" ref="V943">IFERROR(IF(INDEX('Disaggregation Records'!$I$155:$I$385,MATCH(RIGHT(Q943,255),RIGHT('Disaggregation Records'!$D$155:$D$385,255),0))="","",INDEX('Disaggregation Records'!$I$155:$I$385,MATCH(RIGHT(Q943,255),RIGHT('Disaggregation Records'!$D$155:$D$385,255),0))),"")</f>
        <v>Age</v>
      </c>
      <c r="W943" s="194" t="str">
        <f>IFERROR(INDEX('Reference Records'!L$77:L$157,MATCH(LEFT(C943,255),'Reference Records'!E$77:E$157,0)),"")</f>
        <v>KP-1b⁽ᴹ⁾ Percentage of transgender people reached with HIV prevention programs - defined package of services</v>
      </c>
    </row>
    <row r="944" spans="1:23" s="194" customFormat="1" ht="40.4" customHeight="1" x14ac:dyDescent="0.35">
      <c r="A944" s="770"/>
      <c r="B944" s="767"/>
      <c r="C944" s="761"/>
      <c r="D944" s="769"/>
      <c r="E944" s="769"/>
      <c r="F944" s="208"/>
      <c r="G944" s="763"/>
      <c r="H944" s="744"/>
      <c r="I944" s="765"/>
      <c r="J944" s="730"/>
      <c r="K944" s="761"/>
      <c r="L944" s="761"/>
      <c r="M944" s="730"/>
      <c r="N944" s="730"/>
    </row>
    <row r="945" spans="1:23" s="194" customFormat="1" ht="40.4" customHeight="1" x14ac:dyDescent="0.35">
      <c r="A945" s="770" t="str">
        <f ca="1">INDIRECT("'update Helper'!C"&amp;U945)</f>
        <v>a163p000004NtMuAAK</v>
      </c>
      <c r="B945" s="766">
        <v>9</v>
      </c>
      <c r="C945" s="760" t="str">
        <f>VLOOKUP(B945,'Coverage Indicators - Section D'!$A$9:$AU$70,47,FALSE)</f>
        <v>KP-1b⁽ᴹ⁾ Porcentaje de personas transgénero alcanzados por programas de prevención del VIH - paquete definido de servicios</v>
      </c>
      <c r="D945" s="768" t="str">
        <f>R945</f>
        <v/>
      </c>
      <c r="E945" s="768" t="str">
        <f>S945</f>
        <v/>
      </c>
      <c r="F945" s="413"/>
      <c r="G945" s="762" t="str">
        <f ca="1">IF(OR(INDIRECT("'update Helper'!E"&amp;U945)="",F945&lt;&gt;0,F946&lt;&gt;0),IF(IFERROR((F945/F946),"")="","",(F945/F946)),INDIRECT("'update Helper'!E"&amp;U945)/100)</f>
        <v/>
      </c>
      <c r="H945" s="743"/>
      <c r="I945" s="764"/>
      <c r="J945" s="729"/>
      <c r="K945" s="760" t="str">
        <f>W945</f>
        <v>KP-1b⁽ᴹ⁾ Percentage of transgender people reached with HIV prevention programs - defined package of services</v>
      </c>
      <c r="L945" s="760" t="str">
        <f>V945</f>
        <v/>
      </c>
      <c r="M945" s="729"/>
      <c r="N945" s="729"/>
      <c r="P945" s="194">
        <f>IF(AND(EXACT(C945,C943),C943&lt;&gt;0),P943+1,0)</f>
        <v>2</v>
      </c>
      <c r="Q945" s="194" t="str">
        <f>IF(C945&lt;&gt;"",C945&amp;"-"&amp;P945,"")</f>
        <v>KP-1b⁽ᴹ⁾ Porcentaje de personas transgénero alcanzados por programas de prevención del VIH - paquete definido de servicios-2</v>
      </c>
      <c r="R945" s="194" t="str">
        <f t="array" ref="R945">IFERROR(IF(INDEX('Disaggregation Records'!$E$155:$E$385,MATCH(RIGHT(Q945,255),RIGHT('Disaggregation Records'!$D$155:$D$385,255),0))="","",INDEX('Disaggregation Records'!$E$155:$E$385,MATCH(RIGHT(Q945,255),RIGHT('Disaggregation Records'!$D$155:$D$385,255),0))),"")</f>
        <v/>
      </c>
      <c r="S945" s="194" t="str">
        <f t="array" ref="S945">IFERROR(IF(INDEX('Disaggregation Records'!$F$155:$F$385,MATCH(RIGHT(Q945,255),RIGHT('Disaggregation Records'!$D$155:$D$385,255),0))="","",INDEX('Disaggregation Records'!$F$155:$F$385,MATCH(RIGHT(Q945,255),RIGHT('Disaggregation Records'!$D$155:$D$385,255),0))),"")</f>
        <v/>
      </c>
      <c r="T945" s="194" t="str">
        <f t="array" ref="T945">IFERROR(IF(INDEX('Disaggregation Records'!$H$155:$H$385,MATCH(RIGHT(Q945,255),RIGHT('Disaggregation Records'!$D$155:$D$385,255),0))="","",INDEX('Disaggregation Records'!$H$155:$H$385,MATCH(RIGHT(Q945,255),RIGHT('Disaggregation Records'!$D$155:$D$385,255),0))),"")</f>
        <v/>
      </c>
      <c r="U945" s="194">
        <f>U943+1</f>
        <v>2662</v>
      </c>
      <c r="V945" s="194" t="str">
        <f t="array" ref="V945">IFERROR(IF(INDEX('Disaggregation Records'!$I$155:$I$385,MATCH(RIGHT(Q945,255),RIGHT('Disaggregation Records'!$D$155:$D$385,255),0))="","",INDEX('Disaggregation Records'!$I$155:$I$385,MATCH(RIGHT(Q945,255),RIGHT('Disaggregation Records'!$D$155:$D$385,255),0))),"")</f>
        <v/>
      </c>
      <c r="W945" s="194" t="str">
        <f>IFERROR(INDEX('Reference Records'!L$77:L$157,MATCH(LEFT(C945,255),'Reference Records'!E$77:E$157,0)),"")</f>
        <v>KP-1b⁽ᴹ⁾ Percentage of transgender people reached with HIV prevention programs - defined package of services</v>
      </c>
    </row>
    <row r="946" spans="1:23" s="194" customFormat="1" ht="40.4" customHeight="1" x14ac:dyDescent="0.35">
      <c r="A946" s="770"/>
      <c r="B946" s="767"/>
      <c r="C946" s="761"/>
      <c r="D946" s="769"/>
      <c r="E946" s="769"/>
      <c r="F946" s="208"/>
      <c r="G946" s="763"/>
      <c r="H946" s="744"/>
      <c r="I946" s="765"/>
      <c r="J946" s="730"/>
      <c r="K946" s="761"/>
      <c r="L946" s="761"/>
      <c r="M946" s="730"/>
      <c r="N946" s="730"/>
    </row>
    <row r="947" spans="1:23" s="194" customFormat="1" ht="40.4" customHeight="1" x14ac:dyDescent="0.35">
      <c r="A947" s="770" t="str">
        <f ca="1">INDIRECT("'update Helper'!C"&amp;U947)</f>
        <v>a163p000004NtMvAAK</v>
      </c>
      <c r="B947" s="766">
        <v>9</v>
      </c>
      <c r="C947" s="760" t="str">
        <f>VLOOKUP(B947,'Coverage Indicators - Section D'!$A$9:$AU$70,47,FALSE)</f>
        <v>KP-1b⁽ᴹ⁾ Porcentaje de personas transgénero alcanzados por programas de prevención del VIH - paquete definido de servicios</v>
      </c>
      <c r="D947" s="768" t="str">
        <f>R947</f>
        <v/>
      </c>
      <c r="E947" s="768" t="str">
        <f>S947</f>
        <v/>
      </c>
      <c r="F947" s="413"/>
      <c r="G947" s="762" t="str">
        <f ca="1">IF(OR(INDIRECT("'update Helper'!E"&amp;U947)="",F947&lt;&gt;0,F948&lt;&gt;0),IF(IFERROR((F947/F948),"")="","",(F947/F948)),INDIRECT("'update Helper'!E"&amp;U947)/100)</f>
        <v/>
      </c>
      <c r="H947" s="743"/>
      <c r="I947" s="764"/>
      <c r="J947" s="729"/>
      <c r="K947" s="760" t="str">
        <f>W947</f>
        <v>KP-1b⁽ᴹ⁾ Percentage of transgender people reached with HIV prevention programs - defined package of services</v>
      </c>
      <c r="L947" s="760" t="str">
        <f>V947</f>
        <v/>
      </c>
      <c r="M947" s="729"/>
      <c r="N947" s="729"/>
      <c r="P947" s="194">
        <f>IF(AND(EXACT(C947,C945),C945&lt;&gt;0),P945+1,0)</f>
        <v>3</v>
      </c>
      <c r="Q947" s="194" t="str">
        <f>IF(C947&lt;&gt;"",C947&amp;"-"&amp;P947,"")</f>
        <v>KP-1b⁽ᴹ⁾ Porcentaje de personas transgénero alcanzados por programas de prevención del VIH - paquete definido de servicios-3</v>
      </c>
      <c r="R947" s="194" t="str">
        <f t="array" ref="R947">IFERROR(IF(INDEX('Disaggregation Records'!$E$155:$E$385,MATCH(RIGHT(Q947,255),RIGHT('Disaggregation Records'!$D$155:$D$385,255),0))="","",INDEX('Disaggregation Records'!$E$155:$E$385,MATCH(RIGHT(Q947,255),RIGHT('Disaggregation Records'!$D$155:$D$385,255),0))),"")</f>
        <v/>
      </c>
      <c r="S947" s="194" t="str">
        <f t="array" ref="S947">IFERROR(IF(INDEX('Disaggregation Records'!$F$155:$F$385,MATCH(RIGHT(Q947,255),RIGHT('Disaggregation Records'!$D$155:$D$385,255),0))="","",INDEX('Disaggregation Records'!$F$155:$F$385,MATCH(RIGHT(Q947,255),RIGHT('Disaggregation Records'!$D$155:$D$385,255),0))),"")</f>
        <v/>
      </c>
      <c r="T947" s="194" t="str">
        <f t="array" ref="T947">IFERROR(IF(INDEX('Disaggregation Records'!$H$155:$H$385,MATCH(RIGHT(Q947,255),RIGHT('Disaggregation Records'!$D$155:$D$385,255),0))="","",INDEX('Disaggregation Records'!$H$155:$H$385,MATCH(RIGHT(Q947,255),RIGHT('Disaggregation Records'!$D$155:$D$385,255),0))),"")</f>
        <v/>
      </c>
      <c r="U947" s="194">
        <f>U945+1</f>
        <v>2663</v>
      </c>
      <c r="V947" s="194" t="str">
        <f t="array" ref="V947">IFERROR(IF(INDEX('Disaggregation Records'!$I$155:$I$385,MATCH(RIGHT(Q947,255),RIGHT('Disaggregation Records'!$D$155:$D$385,255),0))="","",INDEX('Disaggregation Records'!$I$155:$I$385,MATCH(RIGHT(Q947,255),RIGHT('Disaggregation Records'!$D$155:$D$385,255),0))),"")</f>
        <v/>
      </c>
      <c r="W947" s="194" t="str">
        <f>IFERROR(INDEX('Reference Records'!L$77:L$157,MATCH(LEFT(C947,255),'Reference Records'!E$77:E$157,0)),"")</f>
        <v>KP-1b⁽ᴹ⁾ Percentage of transgender people reached with HIV prevention programs - defined package of services</v>
      </c>
    </row>
    <row r="948" spans="1:23" s="194" customFormat="1" ht="40.4" customHeight="1" x14ac:dyDescent="0.35">
      <c r="A948" s="770"/>
      <c r="B948" s="767"/>
      <c r="C948" s="761"/>
      <c r="D948" s="769"/>
      <c r="E948" s="769"/>
      <c r="F948" s="208"/>
      <c r="G948" s="763"/>
      <c r="H948" s="744"/>
      <c r="I948" s="765"/>
      <c r="J948" s="730"/>
      <c r="K948" s="761"/>
      <c r="L948" s="761"/>
      <c r="M948" s="730"/>
      <c r="N948" s="730"/>
    </row>
    <row r="949" spans="1:23" s="194" customFormat="1" ht="40.4" customHeight="1" x14ac:dyDescent="0.35">
      <c r="A949" s="770" t="str">
        <f ca="1">INDIRECT("'update Helper'!C"&amp;U949)</f>
        <v>a163p000004NtMwAAK</v>
      </c>
      <c r="B949" s="766">
        <v>9</v>
      </c>
      <c r="C949" s="760" t="str">
        <f>VLOOKUP(B949,'Coverage Indicators - Section D'!$A$9:$AU$70,47,FALSE)</f>
        <v>KP-1b⁽ᴹ⁾ Porcentaje de personas transgénero alcanzados por programas de prevención del VIH - paquete definido de servicios</v>
      </c>
      <c r="D949" s="768" t="str">
        <f>R949</f>
        <v/>
      </c>
      <c r="E949" s="768" t="str">
        <f>S949</f>
        <v/>
      </c>
      <c r="F949" s="413"/>
      <c r="G949" s="762" t="str">
        <f ca="1">IF(OR(INDIRECT("'update Helper'!E"&amp;U949)="",F949&lt;&gt;0,F950&lt;&gt;0),IF(IFERROR((F949/F950),"")="","",(F949/F950)),INDIRECT("'update Helper'!E"&amp;U949)/100)</f>
        <v/>
      </c>
      <c r="H949" s="743"/>
      <c r="I949" s="764"/>
      <c r="J949" s="729"/>
      <c r="K949" s="760" t="str">
        <f>W949</f>
        <v>KP-1b⁽ᴹ⁾ Percentage of transgender people reached with HIV prevention programs - defined package of services</v>
      </c>
      <c r="L949" s="760" t="str">
        <f>V949</f>
        <v/>
      </c>
      <c r="M949" s="729"/>
      <c r="N949" s="729"/>
      <c r="P949" s="194">
        <f>IF(AND(EXACT(C949,C947),C947&lt;&gt;0),P947+1,0)</f>
        <v>4</v>
      </c>
      <c r="Q949" s="194" t="str">
        <f>IF(C949&lt;&gt;"",C949&amp;"-"&amp;P949,"")</f>
        <v>KP-1b⁽ᴹ⁾ Porcentaje de personas transgénero alcanzados por programas de prevención del VIH - paquete definido de servicios-4</v>
      </c>
      <c r="R949" s="194" t="str">
        <f t="array" ref="R949">IFERROR(IF(INDEX('Disaggregation Records'!$E$155:$E$385,MATCH(RIGHT(Q949,255),RIGHT('Disaggregation Records'!$D$155:$D$385,255),0))="","",INDEX('Disaggregation Records'!$E$155:$E$385,MATCH(RIGHT(Q949,255),RIGHT('Disaggregation Records'!$D$155:$D$385,255),0))),"")</f>
        <v/>
      </c>
      <c r="S949" s="194" t="str">
        <f t="array" ref="S949">IFERROR(IF(INDEX('Disaggregation Records'!$F$155:$F$385,MATCH(RIGHT(Q949,255),RIGHT('Disaggregation Records'!$D$155:$D$385,255),0))="","",INDEX('Disaggregation Records'!$F$155:$F$385,MATCH(RIGHT(Q949,255),RIGHT('Disaggregation Records'!$D$155:$D$385,255),0))),"")</f>
        <v/>
      </c>
      <c r="T949" s="194" t="str">
        <f t="array" ref="T949">IFERROR(IF(INDEX('Disaggregation Records'!$H$155:$H$385,MATCH(RIGHT(Q949,255),RIGHT('Disaggregation Records'!$D$155:$D$385,255),0))="","",INDEX('Disaggregation Records'!$H$155:$H$385,MATCH(RIGHT(Q949,255),RIGHT('Disaggregation Records'!$D$155:$D$385,255),0))),"")</f>
        <v/>
      </c>
      <c r="U949" s="194">
        <f>U947+1</f>
        <v>2664</v>
      </c>
      <c r="V949" s="194" t="str">
        <f t="array" ref="V949">IFERROR(IF(INDEX('Disaggregation Records'!$I$155:$I$385,MATCH(RIGHT(Q949,255),RIGHT('Disaggregation Records'!$D$155:$D$385,255),0))="","",INDEX('Disaggregation Records'!$I$155:$I$385,MATCH(RIGHT(Q949,255),RIGHT('Disaggregation Records'!$D$155:$D$385,255),0))),"")</f>
        <v/>
      </c>
      <c r="W949" s="194" t="str">
        <f>IFERROR(INDEX('Reference Records'!L$77:L$157,MATCH(LEFT(C949,255),'Reference Records'!E$77:E$157,0)),"")</f>
        <v>KP-1b⁽ᴹ⁾ Percentage of transgender people reached with HIV prevention programs - defined package of services</v>
      </c>
    </row>
    <row r="950" spans="1:23" s="194" customFormat="1" ht="40.4" customHeight="1" x14ac:dyDescent="0.35">
      <c r="A950" s="770"/>
      <c r="B950" s="767"/>
      <c r="C950" s="761"/>
      <c r="D950" s="769"/>
      <c r="E950" s="769"/>
      <c r="F950" s="208"/>
      <c r="G950" s="763"/>
      <c r="H950" s="744"/>
      <c r="I950" s="765"/>
      <c r="J950" s="730"/>
      <c r="K950" s="761"/>
      <c r="L950" s="761"/>
      <c r="M950" s="730"/>
      <c r="N950" s="730"/>
    </row>
    <row r="951" spans="1:23" s="194" customFormat="1" ht="40.4" customHeight="1" x14ac:dyDescent="0.35">
      <c r="A951" s="770" t="str">
        <f ca="1">INDIRECT("'update Helper'!C"&amp;U951)</f>
        <v>a163p000004NtMxAAK</v>
      </c>
      <c r="B951" s="766">
        <v>9</v>
      </c>
      <c r="C951" s="760" t="str">
        <f>VLOOKUP(B951,'Coverage Indicators - Section D'!$A$9:$AU$70,47,FALSE)</f>
        <v>KP-1b⁽ᴹ⁾ Porcentaje de personas transgénero alcanzados por programas de prevención del VIH - paquete definido de servicios</v>
      </c>
      <c r="D951" s="768" t="str">
        <f>R951</f>
        <v/>
      </c>
      <c r="E951" s="768" t="str">
        <f>S951</f>
        <v/>
      </c>
      <c r="F951" s="413"/>
      <c r="G951" s="762" t="str">
        <f ca="1">IF(OR(INDIRECT("'update Helper'!E"&amp;U951)="",F951&lt;&gt;0,F952&lt;&gt;0),IF(IFERROR((F951/F952),"")="","",(F951/F952)),INDIRECT("'update Helper'!E"&amp;U951)/100)</f>
        <v/>
      </c>
      <c r="H951" s="743"/>
      <c r="I951" s="764"/>
      <c r="J951" s="729"/>
      <c r="K951" s="760" t="str">
        <f>W951</f>
        <v>KP-1b⁽ᴹ⁾ Percentage of transgender people reached with HIV prevention programs - defined package of services</v>
      </c>
      <c r="L951" s="760" t="str">
        <f>V951</f>
        <v/>
      </c>
      <c r="M951" s="729"/>
      <c r="N951" s="729"/>
      <c r="P951" s="194">
        <f>IF(AND(EXACT(C951,C949),C949&lt;&gt;0),P949+1,0)</f>
        <v>5</v>
      </c>
      <c r="Q951" s="194" t="str">
        <f>IF(C951&lt;&gt;"",C951&amp;"-"&amp;P951,"")</f>
        <v>KP-1b⁽ᴹ⁾ Porcentaje de personas transgénero alcanzados por programas de prevención del VIH - paquete definido de servicios-5</v>
      </c>
      <c r="R951" s="194" t="str">
        <f t="array" ref="R951">IFERROR(IF(INDEX('Disaggregation Records'!$E$155:$E$385,MATCH(RIGHT(Q951,255),RIGHT('Disaggregation Records'!$D$155:$D$385,255),0))="","",INDEX('Disaggregation Records'!$E$155:$E$385,MATCH(RIGHT(Q951,255),RIGHT('Disaggregation Records'!$D$155:$D$385,255),0))),"")</f>
        <v/>
      </c>
      <c r="S951" s="194" t="str">
        <f t="array" ref="S951">IFERROR(IF(INDEX('Disaggregation Records'!$F$155:$F$385,MATCH(RIGHT(Q951,255),RIGHT('Disaggregation Records'!$D$155:$D$385,255),0))="","",INDEX('Disaggregation Records'!$F$155:$F$385,MATCH(RIGHT(Q951,255),RIGHT('Disaggregation Records'!$D$155:$D$385,255),0))),"")</f>
        <v/>
      </c>
      <c r="T951" s="194" t="str">
        <f t="array" ref="T951">IFERROR(IF(INDEX('Disaggregation Records'!$H$155:$H$385,MATCH(RIGHT(Q951,255),RIGHT('Disaggregation Records'!$D$155:$D$385,255),0))="","",INDEX('Disaggregation Records'!$H$155:$H$385,MATCH(RIGHT(Q951,255),RIGHT('Disaggregation Records'!$D$155:$D$385,255),0))),"")</f>
        <v/>
      </c>
      <c r="U951" s="194">
        <f>U949+1</f>
        <v>2665</v>
      </c>
      <c r="V951" s="194" t="str">
        <f t="array" ref="V951">IFERROR(IF(INDEX('Disaggregation Records'!$I$155:$I$385,MATCH(RIGHT(Q951,255),RIGHT('Disaggregation Records'!$D$155:$D$385,255),0))="","",INDEX('Disaggregation Records'!$I$155:$I$385,MATCH(RIGHT(Q951,255),RIGHT('Disaggregation Records'!$D$155:$D$385,255),0))),"")</f>
        <v/>
      </c>
      <c r="W951" s="194" t="str">
        <f>IFERROR(INDEX('Reference Records'!L$77:L$157,MATCH(LEFT(C951,255),'Reference Records'!E$77:E$157,0)),"")</f>
        <v>KP-1b⁽ᴹ⁾ Percentage of transgender people reached with HIV prevention programs - defined package of services</v>
      </c>
    </row>
    <row r="952" spans="1:23" s="194" customFormat="1" ht="40.4" customHeight="1" x14ac:dyDescent="0.35">
      <c r="A952" s="770"/>
      <c r="B952" s="767"/>
      <c r="C952" s="761"/>
      <c r="D952" s="769"/>
      <c r="E952" s="769"/>
      <c r="F952" s="208"/>
      <c r="G952" s="763"/>
      <c r="H952" s="744"/>
      <c r="I952" s="765"/>
      <c r="J952" s="730"/>
      <c r="K952" s="761"/>
      <c r="L952" s="761"/>
      <c r="M952" s="730"/>
      <c r="N952" s="730"/>
    </row>
    <row r="953" spans="1:23" s="194" customFormat="1" ht="40.4" customHeight="1" x14ac:dyDescent="0.35">
      <c r="A953" s="770" t="str">
        <f ca="1">INDIRECT("'update Helper'!C"&amp;U953)</f>
        <v>a163p000004NtMyAAK</v>
      </c>
      <c r="B953" s="766">
        <v>9</v>
      </c>
      <c r="C953" s="760" t="str">
        <f>VLOOKUP(B953,'Coverage Indicators - Section D'!$A$9:$AU$70,47,FALSE)</f>
        <v>KP-1b⁽ᴹ⁾ Porcentaje de personas transgénero alcanzados por programas de prevención del VIH - paquete definido de servicios</v>
      </c>
      <c r="D953" s="768" t="str">
        <f>R953</f>
        <v/>
      </c>
      <c r="E953" s="768" t="str">
        <f>S953</f>
        <v/>
      </c>
      <c r="F953" s="413"/>
      <c r="G953" s="762" t="str">
        <f ca="1">IF(OR(INDIRECT("'update Helper'!E"&amp;U953)="",F953&lt;&gt;0,F954&lt;&gt;0),IF(IFERROR((F953/F954),"")="","",(F953/F954)),INDIRECT("'update Helper'!E"&amp;U953)/100)</f>
        <v/>
      </c>
      <c r="H953" s="743"/>
      <c r="I953" s="764"/>
      <c r="J953" s="729"/>
      <c r="K953" s="760" t="str">
        <f>W953</f>
        <v>KP-1b⁽ᴹ⁾ Percentage of transgender people reached with HIV prevention programs - defined package of services</v>
      </c>
      <c r="L953" s="760" t="str">
        <f>V953</f>
        <v/>
      </c>
      <c r="M953" s="729"/>
      <c r="N953" s="729"/>
      <c r="P953" s="194">
        <f>IF(AND(EXACT(C953,C951),C951&lt;&gt;0),P951+1,0)</f>
        <v>6</v>
      </c>
      <c r="Q953" s="194" t="str">
        <f>IF(C953&lt;&gt;"",C953&amp;"-"&amp;P953,"")</f>
        <v>KP-1b⁽ᴹ⁾ Porcentaje de personas transgénero alcanzados por programas de prevención del VIH - paquete definido de servicios-6</v>
      </c>
      <c r="R953" s="194" t="str">
        <f t="array" ref="R953">IFERROR(IF(INDEX('Disaggregation Records'!$E$155:$E$385,MATCH(RIGHT(Q953,255),RIGHT('Disaggregation Records'!$D$155:$D$385,255),0))="","",INDEX('Disaggregation Records'!$E$155:$E$385,MATCH(RIGHT(Q953,255),RIGHT('Disaggregation Records'!$D$155:$D$385,255),0))),"")</f>
        <v/>
      </c>
      <c r="S953" s="194" t="str">
        <f t="array" ref="S953">IFERROR(IF(INDEX('Disaggregation Records'!$F$155:$F$385,MATCH(RIGHT(Q953,255),RIGHT('Disaggregation Records'!$D$155:$D$385,255),0))="","",INDEX('Disaggregation Records'!$F$155:$F$385,MATCH(RIGHT(Q953,255),RIGHT('Disaggregation Records'!$D$155:$D$385,255),0))),"")</f>
        <v/>
      </c>
      <c r="T953" s="194" t="str">
        <f t="array" ref="T953">IFERROR(IF(INDEX('Disaggregation Records'!$H$155:$H$385,MATCH(RIGHT(Q953,255),RIGHT('Disaggregation Records'!$D$155:$D$385,255),0))="","",INDEX('Disaggregation Records'!$H$155:$H$385,MATCH(RIGHT(Q953,255),RIGHT('Disaggregation Records'!$D$155:$D$385,255),0))),"")</f>
        <v/>
      </c>
      <c r="U953" s="194">
        <f>U951+1</f>
        <v>2666</v>
      </c>
      <c r="V953" s="194" t="str">
        <f t="array" ref="V953">IFERROR(IF(INDEX('Disaggregation Records'!$I$155:$I$385,MATCH(RIGHT(Q953,255),RIGHT('Disaggregation Records'!$D$155:$D$385,255),0))="","",INDEX('Disaggregation Records'!$I$155:$I$385,MATCH(RIGHT(Q953,255),RIGHT('Disaggregation Records'!$D$155:$D$385,255),0))),"")</f>
        <v/>
      </c>
      <c r="W953" s="194" t="str">
        <f>IFERROR(INDEX('Reference Records'!L$77:L$157,MATCH(LEFT(C953,255),'Reference Records'!E$77:E$157,0)),"")</f>
        <v>KP-1b⁽ᴹ⁾ Percentage of transgender people reached with HIV prevention programs - defined package of services</v>
      </c>
    </row>
    <row r="954" spans="1:23" s="194" customFormat="1" ht="40.4" customHeight="1" x14ac:dyDescent="0.35">
      <c r="A954" s="770"/>
      <c r="B954" s="767"/>
      <c r="C954" s="761"/>
      <c r="D954" s="769"/>
      <c r="E954" s="769"/>
      <c r="F954" s="208"/>
      <c r="G954" s="763"/>
      <c r="H954" s="744"/>
      <c r="I954" s="765"/>
      <c r="J954" s="730"/>
      <c r="K954" s="761"/>
      <c r="L954" s="761"/>
      <c r="M954" s="730"/>
      <c r="N954" s="730"/>
    </row>
    <row r="955" spans="1:23" s="194" customFormat="1" ht="40.4" customHeight="1" x14ac:dyDescent="0.35">
      <c r="A955" s="770" t="str">
        <f ca="1">INDIRECT("'update Helper'!C"&amp;U955)</f>
        <v>a163p000004NtMzAAK</v>
      </c>
      <c r="B955" s="766">
        <v>9</v>
      </c>
      <c r="C955" s="760" t="str">
        <f>VLOOKUP(B955,'Coverage Indicators - Section D'!$A$9:$AU$70,47,FALSE)</f>
        <v>KP-1b⁽ᴹ⁾ Porcentaje de personas transgénero alcanzados por programas de prevención del VIH - paquete definido de servicios</v>
      </c>
      <c r="D955" s="768" t="str">
        <f>R955</f>
        <v/>
      </c>
      <c r="E955" s="768" t="str">
        <f>S955</f>
        <v/>
      </c>
      <c r="F955" s="413"/>
      <c r="G955" s="762" t="str">
        <f ca="1">IF(OR(INDIRECT("'update Helper'!E"&amp;U955)="",F955&lt;&gt;0,F956&lt;&gt;0),IF(IFERROR((F955/F956),"")="","",(F955/F956)),INDIRECT("'update Helper'!E"&amp;U955)/100)</f>
        <v/>
      </c>
      <c r="H955" s="743"/>
      <c r="I955" s="764"/>
      <c r="J955" s="729"/>
      <c r="K955" s="760" t="str">
        <f>W955</f>
        <v>KP-1b⁽ᴹ⁾ Percentage of transgender people reached with HIV prevention programs - defined package of services</v>
      </c>
      <c r="L955" s="760" t="str">
        <f>V955</f>
        <v/>
      </c>
      <c r="M955" s="729"/>
      <c r="N955" s="729"/>
      <c r="P955" s="194">
        <f>IF(AND(EXACT(C955,C953),C953&lt;&gt;0),P953+1,0)</f>
        <v>7</v>
      </c>
      <c r="Q955" s="194" t="str">
        <f>IF(C955&lt;&gt;"",C955&amp;"-"&amp;P955,"")</f>
        <v>KP-1b⁽ᴹ⁾ Porcentaje de personas transgénero alcanzados por programas de prevención del VIH - paquete definido de servicios-7</v>
      </c>
      <c r="R955" s="194" t="str">
        <f t="array" ref="R955">IFERROR(IF(INDEX('Disaggregation Records'!$E$155:$E$385,MATCH(RIGHT(Q955,255),RIGHT('Disaggregation Records'!$D$155:$D$385,255),0))="","",INDEX('Disaggregation Records'!$E$155:$E$385,MATCH(RIGHT(Q955,255),RIGHT('Disaggregation Records'!$D$155:$D$385,255),0))),"")</f>
        <v/>
      </c>
      <c r="S955" s="194" t="str">
        <f t="array" ref="S955">IFERROR(IF(INDEX('Disaggregation Records'!$F$155:$F$385,MATCH(RIGHT(Q955,255),RIGHT('Disaggregation Records'!$D$155:$D$385,255),0))="","",INDEX('Disaggregation Records'!$F$155:$F$385,MATCH(RIGHT(Q955,255),RIGHT('Disaggregation Records'!$D$155:$D$385,255),0))),"")</f>
        <v/>
      </c>
      <c r="T955" s="194" t="str">
        <f t="array" ref="T955">IFERROR(IF(INDEX('Disaggregation Records'!$H$155:$H$385,MATCH(RIGHT(Q955,255),RIGHT('Disaggregation Records'!$D$155:$D$385,255),0))="","",INDEX('Disaggregation Records'!$H$155:$H$385,MATCH(RIGHT(Q955,255),RIGHT('Disaggregation Records'!$D$155:$D$385,255),0))),"")</f>
        <v/>
      </c>
      <c r="U955" s="194">
        <f>U953+1</f>
        <v>2667</v>
      </c>
      <c r="V955" s="194" t="str">
        <f t="array" ref="V955">IFERROR(IF(INDEX('Disaggregation Records'!$I$155:$I$385,MATCH(RIGHT(Q955,255),RIGHT('Disaggregation Records'!$D$155:$D$385,255),0))="","",INDEX('Disaggregation Records'!$I$155:$I$385,MATCH(RIGHT(Q955,255),RIGHT('Disaggregation Records'!$D$155:$D$385,255),0))),"")</f>
        <v/>
      </c>
      <c r="W955" s="194" t="str">
        <f>IFERROR(INDEX('Reference Records'!L$77:L$157,MATCH(LEFT(C955,255),'Reference Records'!E$77:E$157,0)),"")</f>
        <v>KP-1b⁽ᴹ⁾ Percentage of transgender people reached with HIV prevention programs - defined package of services</v>
      </c>
    </row>
    <row r="956" spans="1:23" s="194" customFormat="1" ht="40.4" customHeight="1" x14ac:dyDescent="0.35">
      <c r="A956" s="770"/>
      <c r="B956" s="767"/>
      <c r="C956" s="761"/>
      <c r="D956" s="769"/>
      <c r="E956" s="769"/>
      <c r="F956" s="208"/>
      <c r="G956" s="763"/>
      <c r="H956" s="744"/>
      <c r="I956" s="765"/>
      <c r="J956" s="730"/>
      <c r="K956" s="761"/>
      <c r="L956" s="761"/>
      <c r="M956" s="730"/>
      <c r="N956" s="730"/>
    </row>
    <row r="957" spans="1:23" s="194" customFormat="1" ht="40.4" customHeight="1" x14ac:dyDescent="0.35">
      <c r="A957" s="770" t="str">
        <f ca="1">INDIRECT("'update Helper'!C"&amp;U957)</f>
        <v>a163p000004NtN0AAK</v>
      </c>
      <c r="B957" s="766">
        <v>9</v>
      </c>
      <c r="C957" s="760" t="str">
        <f>VLOOKUP(B957,'Coverage Indicators - Section D'!$A$9:$AU$70,47,FALSE)</f>
        <v>KP-1b⁽ᴹ⁾ Porcentaje de personas transgénero alcanzados por programas de prevención del VIH - paquete definido de servicios</v>
      </c>
      <c r="D957" s="768" t="str">
        <f>R957</f>
        <v/>
      </c>
      <c r="E957" s="768" t="str">
        <f>S957</f>
        <v/>
      </c>
      <c r="F957" s="413"/>
      <c r="G957" s="762" t="str">
        <f ca="1">IF(OR(INDIRECT("'update Helper'!E"&amp;U957)="",F957&lt;&gt;0,F958&lt;&gt;0),IF(IFERROR((F957/F958),"")="","",(F957/F958)),INDIRECT("'update Helper'!E"&amp;U957)/100)</f>
        <v/>
      </c>
      <c r="H957" s="743"/>
      <c r="I957" s="764"/>
      <c r="J957" s="729"/>
      <c r="K957" s="760" t="str">
        <f>W957</f>
        <v>KP-1b⁽ᴹ⁾ Percentage of transgender people reached with HIV prevention programs - defined package of services</v>
      </c>
      <c r="L957" s="760" t="str">
        <f>V957</f>
        <v/>
      </c>
      <c r="M957" s="729"/>
      <c r="N957" s="729"/>
      <c r="P957" s="194">
        <f>IF(AND(EXACT(C957,C955),C955&lt;&gt;0),P955+1,0)</f>
        <v>8</v>
      </c>
      <c r="Q957" s="194" t="str">
        <f>IF(C957&lt;&gt;"",C957&amp;"-"&amp;P957,"")</f>
        <v>KP-1b⁽ᴹ⁾ Porcentaje de personas transgénero alcanzados por programas de prevención del VIH - paquete definido de servicios-8</v>
      </c>
      <c r="R957" s="194" t="str">
        <f t="array" ref="R957">IFERROR(IF(INDEX('Disaggregation Records'!$E$155:$E$385,MATCH(RIGHT(Q957,255),RIGHT('Disaggregation Records'!$D$155:$D$385,255),0))="","",INDEX('Disaggregation Records'!$E$155:$E$385,MATCH(RIGHT(Q957,255),RIGHT('Disaggregation Records'!$D$155:$D$385,255),0))),"")</f>
        <v/>
      </c>
      <c r="S957" s="194" t="str">
        <f t="array" ref="S957">IFERROR(IF(INDEX('Disaggregation Records'!$F$155:$F$385,MATCH(RIGHT(Q957,255),RIGHT('Disaggregation Records'!$D$155:$D$385,255),0))="","",INDEX('Disaggregation Records'!$F$155:$F$385,MATCH(RIGHT(Q957,255),RIGHT('Disaggregation Records'!$D$155:$D$385,255),0))),"")</f>
        <v/>
      </c>
      <c r="T957" s="194" t="str">
        <f t="array" ref="T957">IFERROR(IF(INDEX('Disaggregation Records'!$H$155:$H$385,MATCH(RIGHT(Q957,255),RIGHT('Disaggregation Records'!$D$155:$D$385,255),0))="","",INDEX('Disaggregation Records'!$H$155:$H$385,MATCH(RIGHT(Q957,255),RIGHT('Disaggregation Records'!$D$155:$D$385,255),0))),"")</f>
        <v/>
      </c>
      <c r="U957" s="194">
        <f>U955+1</f>
        <v>2668</v>
      </c>
      <c r="V957" s="194" t="str">
        <f t="array" ref="V957">IFERROR(IF(INDEX('Disaggregation Records'!$I$155:$I$385,MATCH(RIGHT(Q957,255),RIGHT('Disaggregation Records'!$D$155:$D$385,255),0))="","",INDEX('Disaggregation Records'!$I$155:$I$385,MATCH(RIGHT(Q957,255),RIGHT('Disaggregation Records'!$D$155:$D$385,255),0))),"")</f>
        <v/>
      </c>
      <c r="W957" s="194" t="str">
        <f>IFERROR(INDEX('Reference Records'!L$77:L$157,MATCH(LEFT(C957,255),'Reference Records'!E$77:E$157,0)),"")</f>
        <v>KP-1b⁽ᴹ⁾ Percentage of transgender people reached with HIV prevention programs - defined package of services</v>
      </c>
    </row>
    <row r="958" spans="1:23" s="194" customFormat="1" ht="40.4" customHeight="1" x14ac:dyDescent="0.35">
      <c r="A958" s="770"/>
      <c r="B958" s="767"/>
      <c r="C958" s="761"/>
      <c r="D958" s="769"/>
      <c r="E958" s="769"/>
      <c r="F958" s="208"/>
      <c r="G958" s="763"/>
      <c r="H958" s="744"/>
      <c r="I958" s="765"/>
      <c r="J958" s="730"/>
      <c r="K958" s="761"/>
      <c r="L958" s="761"/>
      <c r="M958" s="730"/>
      <c r="N958" s="730"/>
    </row>
    <row r="959" spans="1:23" s="194" customFormat="1" ht="40.4" customHeight="1" x14ac:dyDescent="0.35">
      <c r="A959" s="770" t="str">
        <f ca="1">INDIRECT("'update Helper'!C"&amp;U959)</f>
        <v>a163p000004NtN1AAK</v>
      </c>
      <c r="B959" s="766">
        <v>9</v>
      </c>
      <c r="C959" s="760" t="str">
        <f>VLOOKUP(B959,'Coverage Indicators - Section D'!$A$9:$AU$70,47,FALSE)</f>
        <v>KP-1b⁽ᴹ⁾ Porcentaje de personas transgénero alcanzados por programas de prevención del VIH - paquete definido de servicios</v>
      </c>
      <c r="D959" s="768" t="str">
        <f>R959</f>
        <v/>
      </c>
      <c r="E959" s="768" t="str">
        <f>S959</f>
        <v/>
      </c>
      <c r="F959" s="413"/>
      <c r="G959" s="762" t="str">
        <f ca="1">IF(OR(INDIRECT("'update Helper'!E"&amp;U959)="",F959&lt;&gt;0,F960&lt;&gt;0),IF(IFERROR((F959/F960),"")="","",(F959/F960)),INDIRECT("'update Helper'!E"&amp;U959)/100)</f>
        <v/>
      </c>
      <c r="H959" s="743"/>
      <c r="I959" s="764"/>
      <c r="J959" s="729"/>
      <c r="K959" s="760" t="str">
        <f>W959</f>
        <v>KP-1b⁽ᴹ⁾ Percentage of transgender people reached with HIV prevention programs - defined package of services</v>
      </c>
      <c r="L959" s="760" t="str">
        <f>V959</f>
        <v/>
      </c>
      <c r="M959" s="729"/>
      <c r="N959" s="729"/>
      <c r="P959" s="194">
        <f>IF(AND(EXACT(C959,C957),C957&lt;&gt;0),P957+1,0)</f>
        <v>9</v>
      </c>
      <c r="Q959" s="194" t="str">
        <f>IF(C959&lt;&gt;"",C959&amp;"-"&amp;P959,"")</f>
        <v>KP-1b⁽ᴹ⁾ Porcentaje de personas transgénero alcanzados por programas de prevención del VIH - paquete definido de servicios-9</v>
      </c>
      <c r="R959" s="194" t="str">
        <f t="array" ref="R959">IFERROR(IF(INDEX('Disaggregation Records'!$E$155:$E$385,MATCH(RIGHT(Q959,255),RIGHT('Disaggregation Records'!$D$155:$D$385,255),0))="","",INDEX('Disaggregation Records'!$E$155:$E$385,MATCH(RIGHT(Q959,255),RIGHT('Disaggregation Records'!$D$155:$D$385,255),0))),"")</f>
        <v/>
      </c>
      <c r="S959" s="194" t="str">
        <f t="array" ref="S959">IFERROR(IF(INDEX('Disaggregation Records'!$F$155:$F$385,MATCH(RIGHT(Q959,255),RIGHT('Disaggregation Records'!$D$155:$D$385,255),0))="","",INDEX('Disaggregation Records'!$F$155:$F$385,MATCH(RIGHT(Q959,255),RIGHT('Disaggregation Records'!$D$155:$D$385,255),0))),"")</f>
        <v/>
      </c>
      <c r="T959" s="194" t="str">
        <f t="array" ref="T959">IFERROR(IF(INDEX('Disaggregation Records'!$H$155:$H$385,MATCH(RIGHT(Q959,255),RIGHT('Disaggregation Records'!$D$155:$D$385,255),0))="","",INDEX('Disaggregation Records'!$H$155:$H$385,MATCH(RIGHT(Q959,255),RIGHT('Disaggregation Records'!$D$155:$D$385,255),0))),"")</f>
        <v/>
      </c>
      <c r="U959" s="194">
        <f>U957+1</f>
        <v>2669</v>
      </c>
      <c r="V959" s="194" t="str">
        <f t="array" ref="V959">IFERROR(IF(INDEX('Disaggregation Records'!$I$155:$I$385,MATCH(RIGHT(Q959,255),RIGHT('Disaggregation Records'!$D$155:$D$385,255),0))="","",INDEX('Disaggregation Records'!$I$155:$I$385,MATCH(RIGHT(Q959,255),RIGHT('Disaggregation Records'!$D$155:$D$385,255),0))),"")</f>
        <v/>
      </c>
      <c r="W959" s="194" t="str">
        <f>IFERROR(INDEX('Reference Records'!L$77:L$157,MATCH(LEFT(C959,255),'Reference Records'!E$77:E$157,0)),"")</f>
        <v>KP-1b⁽ᴹ⁾ Percentage of transgender people reached with HIV prevention programs - defined package of services</v>
      </c>
    </row>
    <row r="960" spans="1:23" s="194" customFormat="1" ht="40.4" customHeight="1" x14ac:dyDescent="0.35">
      <c r="A960" s="770"/>
      <c r="B960" s="767"/>
      <c r="C960" s="761"/>
      <c r="D960" s="769"/>
      <c r="E960" s="769"/>
      <c r="F960" s="208"/>
      <c r="G960" s="763"/>
      <c r="H960" s="744"/>
      <c r="I960" s="765"/>
      <c r="J960" s="730"/>
      <c r="K960" s="761"/>
      <c r="L960" s="761"/>
      <c r="M960" s="730"/>
      <c r="N960" s="730"/>
    </row>
    <row r="961" spans="1:23" s="194" customFormat="1" ht="40.4" customHeight="1" x14ac:dyDescent="0.35">
      <c r="A961" s="770" t="str">
        <f ca="1">INDIRECT("'update Helper'!C"&amp;U961)</f>
        <v>a163p000004NtN2AAK</v>
      </c>
      <c r="B961" s="766">
        <v>9</v>
      </c>
      <c r="C961" s="760" t="str">
        <f>VLOOKUP(B961,'Coverage Indicators - Section D'!$A$9:$AU$70,47,FALSE)</f>
        <v>KP-1b⁽ᴹ⁾ Porcentaje de personas transgénero alcanzados por programas de prevención del VIH - paquete definido de servicios</v>
      </c>
      <c r="D961" s="768" t="str">
        <f>R961</f>
        <v/>
      </c>
      <c r="E961" s="768" t="str">
        <f>S961</f>
        <v/>
      </c>
      <c r="F961" s="413"/>
      <c r="G961" s="762" t="str">
        <f ca="1">IF(OR(INDIRECT("'update Helper'!E"&amp;U961)="",F961&lt;&gt;0,F962&lt;&gt;0),IF(IFERROR((F961/F962),"")="","",(F961/F962)),INDIRECT("'update Helper'!E"&amp;U961)/100)</f>
        <v/>
      </c>
      <c r="H961" s="743"/>
      <c r="I961" s="764"/>
      <c r="J961" s="729"/>
      <c r="K961" s="760" t="str">
        <f>W961</f>
        <v>KP-1b⁽ᴹ⁾ Percentage of transgender people reached with HIV prevention programs - defined package of services</v>
      </c>
      <c r="L961" s="760" t="str">
        <f>V961</f>
        <v/>
      </c>
      <c r="M961" s="729"/>
      <c r="N961" s="729"/>
      <c r="P961" s="194">
        <f>IF(AND(EXACT(C961,C959),C959&lt;&gt;0),P959+1,0)</f>
        <v>10</v>
      </c>
      <c r="Q961" s="194" t="str">
        <f>IF(C961&lt;&gt;"",C961&amp;"-"&amp;P961,"")</f>
        <v>KP-1b⁽ᴹ⁾ Porcentaje de personas transgénero alcanzados por programas de prevención del VIH - paquete definido de servicios-10</v>
      </c>
      <c r="R961" s="194" t="str">
        <f t="array" ref="R961">IFERROR(IF(INDEX('Disaggregation Records'!$E$155:$E$385,MATCH(RIGHT(Q961,255),RIGHT('Disaggregation Records'!$D$155:$D$385,255),0))="","",INDEX('Disaggregation Records'!$E$155:$E$385,MATCH(RIGHT(Q961,255),RIGHT('Disaggregation Records'!$D$155:$D$385,255),0))),"")</f>
        <v/>
      </c>
      <c r="S961" s="194" t="str">
        <f t="array" ref="S961">IFERROR(IF(INDEX('Disaggregation Records'!$F$155:$F$385,MATCH(RIGHT(Q961,255),RIGHT('Disaggregation Records'!$D$155:$D$385,255),0))="","",INDEX('Disaggregation Records'!$F$155:$F$385,MATCH(RIGHT(Q961,255),RIGHT('Disaggregation Records'!$D$155:$D$385,255),0))),"")</f>
        <v/>
      </c>
      <c r="T961" s="194" t="str">
        <f t="array" ref="T961">IFERROR(IF(INDEX('Disaggregation Records'!$H$155:$H$385,MATCH(RIGHT(Q961,255),RIGHT('Disaggregation Records'!$D$155:$D$385,255),0))="","",INDEX('Disaggregation Records'!$H$155:$H$385,MATCH(RIGHT(Q961,255),RIGHT('Disaggregation Records'!$D$155:$D$385,255),0))),"")</f>
        <v/>
      </c>
      <c r="U961" s="194">
        <f>U959+1</f>
        <v>2670</v>
      </c>
      <c r="V961" s="194" t="str">
        <f t="array" ref="V961">IFERROR(IF(INDEX('Disaggregation Records'!$I$155:$I$385,MATCH(RIGHT(Q961,255),RIGHT('Disaggregation Records'!$D$155:$D$385,255),0))="","",INDEX('Disaggregation Records'!$I$155:$I$385,MATCH(RIGHT(Q961,255),RIGHT('Disaggregation Records'!$D$155:$D$385,255),0))),"")</f>
        <v/>
      </c>
      <c r="W961" s="194" t="str">
        <f>IFERROR(INDEX('Reference Records'!L$77:L$157,MATCH(LEFT(C961,255),'Reference Records'!E$77:E$157,0)),"")</f>
        <v>KP-1b⁽ᴹ⁾ Percentage of transgender people reached with HIV prevention programs - defined package of services</v>
      </c>
    </row>
    <row r="962" spans="1:23" s="194" customFormat="1" ht="40.4" customHeight="1" x14ac:dyDescent="0.35">
      <c r="A962" s="770"/>
      <c r="B962" s="767"/>
      <c r="C962" s="761"/>
      <c r="D962" s="769"/>
      <c r="E962" s="769"/>
      <c r="F962" s="208"/>
      <c r="G962" s="763"/>
      <c r="H962" s="744"/>
      <c r="I962" s="765"/>
      <c r="J962" s="730"/>
      <c r="K962" s="761"/>
      <c r="L962" s="761"/>
      <c r="M962" s="730"/>
      <c r="N962" s="730"/>
    </row>
    <row r="963" spans="1:23" s="194" customFormat="1" ht="40.4" customHeight="1" x14ac:dyDescent="0.35">
      <c r="A963" s="770" t="str">
        <f ca="1">INDIRECT("'update Helper'!C"&amp;U963)</f>
        <v>a163p000004NtN3AAK</v>
      </c>
      <c r="B963" s="766">
        <v>9</v>
      </c>
      <c r="C963" s="760" t="str">
        <f>VLOOKUP(B963,'Coverage Indicators - Section D'!$A$9:$AU$70,47,FALSE)</f>
        <v>KP-1b⁽ᴹ⁾ Porcentaje de personas transgénero alcanzados por programas de prevención del VIH - paquete definido de servicios</v>
      </c>
      <c r="D963" s="768" t="str">
        <f>R963</f>
        <v/>
      </c>
      <c r="E963" s="768" t="str">
        <f>S963</f>
        <v/>
      </c>
      <c r="F963" s="413"/>
      <c r="G963" s="762" t="str">
        <f ca="1">IF(OR(INDIRECT("'update Helper'!E"&amp;U963)="",F963&lt;&gt;0,F964&lt;&gt;0),IF(IFERROR((F963/F964),"")="","",(F963/F964)),INDIRECT("'update Helper'!E"&amp;U963)/100)</f>
        <v/>
      </c>
      <c r="H963" s="743"/>
      <c r="I963" s="764"/>
      <c r="J963" s="729"/>
      <c r="K963" s="760" t="str">
        <f>W963</f>
        <v>KP-1b⁽ᴹ⁾ Percentage of transgender people reached with HIV prevention programs - defined package of services</v>
      </c>
      <c r="L963" s="760" t="str">
        <f>V963</f>
        <v/>
      </c>
      <c r="M963" s="729"/>
      <c r="N963" s="729"/>
      <c r="P963" s="194">
        <f>IF(AND(EXACT(C963,C961),C961&lt;&gt;0),P961+1,0)</f>
        <v>11</v>
      </c>
      <c r="Q963" s="194" t="str">
        <f>IF(C963&lt;&gt;"",C963&amp;"-"&amp;P963,"")</f>
        <v>KP-1b⁽ᴹ⁾ Porcentaje de personas transgénero alcanzados por programas de prevención del VIH - paquete definido de servicios-11</v>
      </c>
      <c r="R963" s="194" t="str">
        <f t="array" ref="R963">IFERROR(IF(INDEX('Disaggregation Records'!$E$155:$E$385,MATCH(RIGHT(Q963,255),RIGHT('Disaggregation Records'!$D$155:$D$385,255),0))="","",INDEX('Disaggregation Records'!$E$155:$E$385,MATCH(RIGHT(Q963,255),RIGHT('Disaggregation Records'!$D$155:$D$385,255),0))),"")</f>
        <v/>
      </c>
      <c r="S963" s="194" t="str">
        <f t="array" ref="S963">IFERROR(IF(INDEX('Disaggregation Records'!$F$155:$F$385,MATCH(RIGHT(Q963,255),RIGHT('Disaggregation Records'!$D$155:$D$385,255),0))="","",INDEX('Disaggregation Records'!$F$155:$F$385,MATCH(RIGHT(Q963,255),RIGHT('Disaggregation Records'!$D$155:$D$385,255),0))),"")</f>
        <v/>
      </c>
      <c r="T963" s="194" t="str">
        <f t="array" ref="T963">IFERROR(IF(INDEX('Disaggregation Records'!$H$155:$H$385,MATCH(RIGHT(Q963,255),RIGHT('Disaggregation Records'!$D$155:$D$385,255),0))="","",INDEX('Disaggregation Records'!$H$155:$H$385,MATCH(RIGHT(Q963,255),RIGHT('Disaggregation Records'!$D$155:$D$385,255),0))),"")</f>
        <v/>
      </c>
      <c r="U963" s="194">
        <f>U961+1</f>
        <v>2671</v>
      </c>
      <c r="V963" s="194" t="str">
        <f t="array" ref="V963">IFERROR(IF(INDEX('Disaggregation Records'!$I$155:$I$385,MATCH(RIGHT(Q963,255),RIGHT('Disaggregation Records'!$D$155:$D$385,255),0))="","",INDEX('Disaggregation Records'!$I$155:$I$385,MATCH(RIGHT(Q963,255),RIGHT('Disaggregation Records'!$D$155:$D$385,255),0))),"")</f>
        <v/>
      </c>
      <c r="W963" s="194" t="str">
        <f>IFERROR(INDEX('Reference Records'!L$77:L$157,MATCH(LEFT(C963,255),'Reference Records'!E$77:E$157,0)),"")</f>
        <v>KP-1b⁽ᴹ⁾ Percentage of transgender people reached with HIV prevention programs - defined package of services</v>
      </c>
    </row>
    <row r="964" spans="1:23" s="194" customFormat="1" ht="40.4" customHeight="1" x14ac:dyDescent="0.35">
      <c r="A964" s="770"/>
      <c r="B964" s="767"/>
      <c r="C964" s="761"/>
      <c r="D964" s="769"/>
      <c r="E964" s="769"/>
      <c r="F964" s="208"/>
      <c r="G964" s="763"/>
      <c r="H964" s="744"/>
      <c r="I964" s="765"/>
      <c r="J964" s="730"/>
      <c r="K964" s="761"/>
      <c r="L964" s="761"/>
      <c r="M964" s="730"/>
      <c r="N964" s="730"/>
    </row>
    <row r="965" spans="1:23" s="194" customFormat="1" ht="40.4" customHeight="1" x14ac:dyDescent="0.35">
      <c r="A965" s="770" t="str">
        <f ca="1">INDIRECT("'update Helper'!C"&amp;U965)</f>
        <v>a163p000004NtN4AAK</v>
      </c>
      <c r="B965" s="766">
        <v>9</v>
      </c>
      <c r="C965" s="760" t="str">
        <f>VLOOKUP(B965,'Coverage Indicators - Section D'!$A$9:$AU$70,47,FALSE)</f>
        <v>KP-1b⁽ᴹ⁾ Porcentaje de personas transgénero alcanzados por programas de prevención del VIH - paquete definido de servicios</v>
      </c>
      <c r="D965" s="768" t="str">
        <f>R965</f>
        <v/>
      </c>
      <c r="E965" s="768" t="str">
        <f>S965</f>
        <v/>
      </c>
      <c r="F965" s="413"/>
      <c r="G965" s="762" t="str">
        <f ca="1">IF(OR(INDIRECT("'update Helper'!E"&amp;U965)="",F965&lt;&gt;0,F966&lt;&gt;0),IF(IFERROR((F965/F966),"")="","",(F965/F966)),INDIRECT("'update Helper'!E"&amp;U965)/100)</f>
        <v/>
      </c>
      <c r="H965" s="743"/>
      <c r="I965" s="764"/>
      <c r="J965" s="729"/>
      <c r="K965" s="760" t="str">
        <f>W965</f>
        <v>KP-1b⁽ᴹ⁾ Percentage of transgender people reached with HIV prevention programs - defined package of services</v>
      </c>
      <c r="L965" s="760" t="str">
        <f>V965</f>
        <v/>
      </c>
      <c r="M965" s="729"/>
      <c r="N965" s="729"/>
      <c r="P965" s="194">
        <f>IF(AND(EXACT(C965,C963),C963&lt;&gt;0),P963+1,0)</f>
        <v>12</v>
      </c>
      <c r="Q965" s="194" t="str">
        <f>IF(C965&lt;&gt;"",C965&amp;"-"&amp;P965,"")</f>
        <v>KP-1b⁽ᴹ⁾ Porcentaje de personas transgénero alcanzados por programas de prevención del VIH - paquete definido de servicios-12</v>
      </c>
      <c r="R965" s="194" t="str">
        <f t="array" ref="R965">IFERROR(IF(INDEX('Disaggregation Records'!$E$155:$E$385,MATCH(RIGHT(Q965,255),RIGHT('Disaggregation Records'!$D$155:$D$385,255),0))="","",INDEX('Disaggregation Records'!$E$155:$E$385,MATCH(RIGHT(Q965,255),RIGHT('Disaggregation Records'!$D$155:$D$385,255),0))),"")</f>
        <v/>
      </c>
      <c r="S965" s="194" t="str">
        <f t="array" ref="S965">IFERROR(IF(INDEX('Disaggregation Records'!$F$155:$F$385,MATCH(RIGHT(Q965,255),RIGHT('Disaggregation Records'!$D$155:$D$385,255),0))="","",INDEX('Disaggregation Records'!$F$155:$F$385,MATCH(RIGHT(Q965,255),RIGHT('Disaggregation Records'!$D$155:$D$385,255),0))),"")</f>
        <v/>
      </c>
      <c r="T965" s="194" t="str">
        <f t="array" ref="T965">IFERROR(IF(INDEX('Disaggregation Records'!$H$155:$H$385,MATCH(RIGHT(Q965,255),RIGHT('Disaggregation Records'!$D$155:$D$385,255),0))="","",INDEX('Disaggregation Records'!$H$155:$H$385,MATCH(RIGHT(Q965,255),RIGHT('Disaggregation Records'!$D$155:$D$385,255),0))),"")</f>
        <v/>
      </c>
      <c r="U965" s="194">
        <f>U963+1</f>
        <v>2672</v>
      </c>
      <c r="V965" s="194" t="str">
        <f t="array" ref="V965">IFERROR(IF(INDEX('Disaggregation Records'!$I$155:$I$385,MATCH(RIGHT(Q965,255),RIGHT('Disaggregation Records'!$D$155:$D$385,255),0))="","",INDEX('Disaggregation Records'!$I$155:$I$385,MATCH(RIGHT(Q965,255),RIGHT('Disaggregation Records'!$D$155:$D$385,255),0))),"")</f>
        <v/>
      </c>
      <c r="W965" s="194" t="str">
        <f>IFERROR(INDEX('Reference Records'!L$77:L$157,MATCH(LEFT(C965,255),'Reference Records'!E$77:E$157,0)),"")</f>
        <v>KP-1b⁽ᴹ⁾ Percentage of transgender people reached with HIV prevention programs - defined package of services</v>
      </c>
    </row>
    <row r="966" spans="1:23" s="194" customFormat="1" ht="40.4" customHeight="1" x14ac:dyDescent="0.35">
      <c r="A966" s="770"/>
      <c r="B966" s="767"/>
      <c r="C966" s="761"/>
      <c r="D966" s="769"/>
      <c r="E966" s="769"/>
      <c r="F966" s="208"/>
      <c r="G966" s="763"/>
      <c r="H966" s="744"/>
      <c r="I966" s="765"/>
      <c r="J966" s="730"/>
      <c r="K966" s="761"/>
      <c r="L966" s="761"/>
      <c r="M966" s="730"/>
      <c r="N966" s="730"/>
    </row>
    <row r="967" spans="1:23" s="194" customFormat="1" ht="40.4" customHeight="1" x14ac:dyDescent="0.35">
      <c r="A967" s="770" t="str">
        <f ca="1">INDIRECT("'update Helper'!C"&amp;U967)</f>
        <v>a163p000004NtN5AAK</v>
      </c>
      <c r="B967" s="766">
        <v>9</v>
      </c>
      <c r="C967" s="760" t="str">
        <f>VLOOKUP(B967,'Coverage Indicators - Section D'!$A$9:$AU$70,47,FALSE)</f>
        <v>KP-1b⁽ᴹ⁾ Porcentaje de personas transgénero alcanzados por programas de prevención del VIH - paquete definido de servicios</v>
      </c>
      <c r="D967" s="768" t="str">
        <f>R967</f>
        <v/>
      </c>
      <c r="E967" s="768" t="str">
        <f>S967</f>
        <v/>
      </c>
      <c r="F967" s="413"/>
      <c r="G967" s="762" t="str">
        <f ca="1">IF(OR(INDIRECT("'update Helper'!E"&amp;U967)="",F967&lt;&gt;0,F968&lt;&gt;0),IF(IFERROR((F967/F968),"")="","",(F967/F968)),INDIRECT("'update Helper'!E"&amp;U967)/100)</f>
        <v/>
      </c>
      <c r="H967" s="743"/>
      <c r="I967" s="764"/>
      <c r="J967" s="729"/>
      <c r="K967" s="760" t="str">
        <f>W967</f>
        <v>KP-1b⁽ᴹ⁾ Percentage of transgender people reached with HIV prevention programs - defined package of services</v>
      </c>
      <c r="L967" s="760" t="str">
        <f>V967</f>
        <v/>
      </c>
      <c r="M967" s="729"/>
      <c r="N967" s="729"/>
      <c r="P967" s="194">
        <f>IF(AND(EXACT(C967,C965),C965&lt;&gt;0),P965+1,0)</f>
        <v>13</v>
      </c>
      <c r="Q967" s="194" t="str">
        <f>IF(C967&lt;&gt;"",C967&amp;"-"&amp;P967,"")</f>
        <v>KP-1b⁽ᴹ⁾ Porcentaje de personas transgénero alcanzados por programas de prevención del VIH - paquete definido de servicios-13</v>
      </c>
      <c r="R967" s="194" t="str">
        <f t="array" ref="R967">IFERROR(IF(INDEX('Disaggregation Records'!$E$155:$E$385,MATCH(RIGHT(Q967,255),RIGHT('Disaggregation Records'!$D$155:$D$385,255),0))="","",INDEX('Disaggregation Records'!$E$155:$E$385,MATCH(RIGHT(Q967,255),RIGHT('Disaggregation Records'!$D$155:$D$385,255),0))),"")</f>
        <v/>
      </c>
      <c r="S967" s="194" t="str">
        <f t="array" ref="S967">IFERROR(IF(INDEX('Disaggregation Records'!$F$155:$F$385,MATCH(RIGHT(Q967,255),RIGHT('Disaggregation Records'!$D$155:$D$385,255),0))="","",INDEX('Disaggregation Records'!$F$155:$F$385,MATCH(RIGHT(Q967,255),RIGHT('Disaggregation Records'!$D$155:$D$385,255),0))),"")</f>
        <v/>
      </c>
      <c r="T967" s="194" t="str">
        <f t="array" ref="T967">IFERROR(IF(INDEX('Disaggregation Records'!$H$155:$H$385,MATCH(RIGHT(Q967,255),RIGHT('Disaggregation Records'!$D$155:$D$385,255),0))="","",INDEX('Disaggregation Records'!$H$155:$H$385,MATCH(RIGHT(Q967,255),RIGHT('Disaggregation Records'!$D$155:$D$385,255),0))),"")</f>
        <v/>
      </c>
      <c r="U967" s="194">
        <f>U965+1</f>
        <v>2673</v>
      </c>
      <c r="V967" s="194" t="str">
        <f t="array" ref="V967">IFERROR(IF(INDEX('Disaggregation Records'!$I$155:$I$385,MATCH(RIGHT(Q967,255),RIGHT('Disaggregation Records'!$D$155:$D$385,255),0))="","",INDEX('Disaggregation Records'!$I$155:$I$385,MATCH(RIGHT(Q967,255),RIGHT('Disaggregation Records'!$D$155:$D$385,255),0))),"")</f>
        <v/>
      </c>
      <c r="W967" s="194" t="str">
        <f>IFERROR(INDEX('Reference Records'!L$77:L$157,MATCH(LEFT(C967,255),'Reference Records'!E$77:E$157,0)),"")</f>
        <v>KP-1b⁽ᴹ⁾ Percentage of transgender people reached with HIV prevention programs - defined package of services</v>
      </c>
    </row>
    <row r="968" spans="1:23" s="194" customFormat="1" ht="40.4" customHeight="1" x14ac:dyDescent="0.35">
      <c r="A968" s="770"/>
      <c r="B968" s="767"/>
      <c r="C968" s="761"/>
      <c r="D968" s="769"/>
      <c r="E968" s="769"/>
      <c r="F968" s="208"/>
      <c r="G968" s="763"/>
      <c r="H968" s="744"/>
      <c r="I968" s="765"/>
      <c r="J968" s="730"/>
      <c r="K968" s="761"/>
      <c r="L968" s="761"/>
      <c r="M968" s="730"/>
      <c r="N968" s="730"/>
    </row>
    <row r="969" spans="1:23" s="194" customFormat="1" ht="40.4" customHeight="1" x14ac:dyDescent="0.35">
      <c r="A969" s="770" t="str">
        <f ca="1">INDIRECT("'update Helper'!C"&amp;U969)</f>
        <v>a163p000004NtN6AAK</v>
      </c>
      <c r="B969" s="766">
        <v>9</v>
      </c>
      <c r="C969" s="760" t="str">
        <f>VLOOKUP(B969,'Coverage Indicators - Section D'!$A$9:$AU$70,47,FALSE)</f>
        <v>KP-1b⁽ᴹ⁾ Porcentaje de personas transgénero alcanzados por programas de prevención del VIH - paquete definido de servicios</v>
      </c>
      <c r="D969" s="768" t="str">
        <f>R969</f>
        <v/>
      </c>
      <c r="E969" s="768" t="str">
        <f>S969</f>
        <v/>
      </c>
      <c r="F969" s="413"/>
      <c r="G969" s="762" t="str">
        <f ca="1">IF(OR(INDIRECT("'update Helper'!E"&amp;U969)="",F969&lt;&gt;0,F970&lt;&gt;0),IF(IFERROR((F969/F970),"")="","",(F969/F970)),INDIRECT("'update Helper'!E"&amp;U969)/100)</f>
        <v/>
      </c>
      <c r="H969" s="743"/>
      <c r="I969" s="764"/>
      <c r="J969" s="729"/>
      <c r="K969" s="760" t="str">
        <f>W969</f>
        <v>KP-1b⁽ᴹ⁾ Percentage of transgender people reached with HIV prevention programs - defined package of services</v>
      </c>
      <c r="L969" s="760" t="str">
        <f>V969</f>
        <v/>
      </c>
      <c r="M969" s="729"/>
      <c r="N969" s="729"/>
      <c r="P969" s="194">
        <f>IF(AND(EXACT(C969,C967),C967&lt;&gt;0),P967+1,0)</f>
        <v>14</v>
      </c>
      <c r="Q969" s="194" t="str">
        <f>IF(C969&lt;&gt;"",C969&amp;"-"&amp;P969,"")</f>
        <v>KP-1b⁽ᴹ⁾ Porcentaje de personas transgénero alcanzados por programas de prevención del VIH - paquete definido de servicios-14</v>
      </c>
      <c r="R969" s="194" t="str">
        <f t="array" ref="R969">IFERROR(IF(INDEX('Disaggregation Records'!$E$155:$E$385,MATCH(RIGHT(Q969,255),RIGHT('Disaggregation Records'!$D$155:$D$385,255),0))="","",INDEX('Disaggregation Records'!$E$155:$E$385,MATCH(RIGHT(Q969,255),RIGHT('Disaggregation Records'!$D$155:$D$385,255),0))),"")</f>
        <v/>
      </c>
      <c r="S969" s="194" t="str">
        <f t="array" ref="S969">IFERROR(IF(INDEX('Disaggregation Records'!$F$155:$F$385,MATCH(RIGHT(Q969,255),RIGHT('Disaggregation Records'!$D$155:$D$385,255),0))="","",INDEX('Disaggregation Records'!$F$155:$F$385,MATCH(RIGHT(Q969,255),RIGHT('Disaggregation Records'!$D$155:$D$385,255),0))),"")</f>
        <v/>
      </c>
      <c r="T969" s="194" t="str">
        <f t="array" ref="T969">IFERROR(IF(INDEX('Disaggregation Records'!$H$155:$H$385,MATCH(RIGHT(Q969,255),RIGHT('Disaggregation Records'!$D$155:$D$385,255),0))="","",INDEX('Disaggregation Records'!$H$155:$H$385,MATCH(RIGHT(Q969,255),RIGHT('Disaggregation Records'!$D$155:$D$385,255),0))),"")</f>
        <v/>
      </c>
      <c r="U969" s="194">
        <f>U967+1</f>
        <v>2674</v>
      </c>
      <c r="V969" s="194" t="str">
        <f t="array" ref="V969">IFERROR(IF(INDEX('Disaggregation Records'!$I$155:$I$385,MATCH(RIGHT(Q969,255),RIGHT('Disaggregation Records'!$D$155:$D$385,255),0))="","",INDEX('Disaggregation Records'!$I$155:$I$385,MATCH(RIGHT(Q969,255),RIGHT('Disaggregation Records'!$D$155:$D$385,255),0))),"")</f>
        <v/>
      </c>
      <c r="W969" s="194" t="str">
        <f>IFERROR(INDEX('Reference Records'!L$77:L$157,MATCH(LEFT(C969,255),'Reference Records'!E$77:E$157,0)),"")</f>
        <v>KP-1b⁽ᴹ⁾ Percentage of transgender people reached with HIV prevention programs - defined package of services</v>
      </c>
    </row>
    <row r="970" spans="1:23" s="194" customFormat="1" ht="40.4" customHeight="1" x14ac:dyDescent="0.35">
      <c r="A970" s="770"/>
      <c r="B970" s="767"/>
      <c r="C970" s="761"/>
      <c r="D970" s="769"/>
      <c r="E970" s="769"/>
      <c r="F970" s="208"/>
      <c r="G970" s="763"/>
      <c r="H970" s="744"/>
      <c r="I970" s="765"/>
      <c r="J970" s="730"/>
      <c r="K970" s="761"/>
      <c r="L970" s="761"/>
      <c r="M970" s="730"/>
      <c r="N970" s="730"/>
    </row>
    <row r="971" spans="1:23" s="194" customFormat="1" ht="40.4" customHeight="1" x14ac:dyDescent="0.35">
      <c r="A971" s="770" t="str">
        <f ca="1">INDIRECT("'update Helper'!C"&amp;U971)</f>
        <v>a163p000004NtN7AAK</v>
      </c>
      <c r="B971" s="766">
        <v>9</v>
      </c>
      <c r="C971" s="760" t="str">
        <f>VLOOKUP(B971,'Coverage Indicators - Section D'!$A$9:$AU$70,47,FALSE)</f>
        <v>KP-1b⁽ᴹ⁾ Porcentaje de personas transgénero alcanzados por programas de prevención del VIH - paquete definido de servicios</v>
      </c>
      <c r="D971" s="768" t="str">
        <f>R971</f>
        <v/>
      </c>
      <c r="E971" s="768" t="str">
        <f>S971</f>
        <v/>
      </c>
      <c r="F971" s="413"/>
      <c r="G971" s="762" t="str">
        <f ca="1">IF(OR(INDIRECT("'update Helper'!E"&amp;U971)="",F971&lt;&gt;0,F972&lt;&gt;0),IF(IFERROR((F971/F972),"")="","",(F971/F972)),INDIRECT("'update Helper'!E"&amp;U971)/100)</f>
        <v/>
      </c>
      <c r="H971" s="743"/>
      <c r="I971" s="764"/>
      <c r="J971" s="729"/>
      <c r="K971" s="760" t="str">
        <f>W971</f>
        <v>KP-1b⁽ᴹ⁾ Percentage of transgender people reached with HIV prevention programs - defined package of services</v>
      </c>
      <c r="L971" s="760" t="str">
        <f>V971</f>
        <v/>
      </c>
      <c r="M971" s="729"/>
      <c r="N971" s="729"/>
      <c r="P971" s="194">
        <f>IF(AND(EXACT(C971,C969),C969&lt;&gt;0),P969+1,0)</f>
        <v>15</v>
      </c>
      <c r="Q971" s="194" t="str">
        <f>IF(C971&lt;&gt;"",C971&amp;"-"&amp;P971,"")</f>
        <v>KP-1b⁽ᴹ⁾ Porcentaje de personas transgénero alcanzados por programas de prevención del VIH - paquete definido de servicios-15</v>
      </c>
      <c r="R971" s="194" t="str">
        <f t="array" ref="R971">IFERROR(IF(INDEX('Disaggregation Records'!$E$155:$E$385,MATCH(RIGHT(Q971,255),RIGHT('Disaggregation Records'!$D$155:$D$385,255),0))="","",INDEX('Disaggregation Records'!$E$155:$E$385,MATCH(RIGHT(Q971,255),RIGHT('Disaggregation Records'!$D$155:$D$385,255),0))),"")</f>
        <v/>
      </c>
      <c r="S971" s="194" t="str">
        <f t="array" ref="S971">IFERROR(IF(INDEX('Disaggregation Records'!$F$155:$F$385,MATCH(RIGHT(Q971,255),RIGHT('Disaggregation Records'!$D$155:$D$385,255),0))="","",INDEX('Disaggregation Records'!$F$155:$F$385,MATCH(RIGHT(Q971,255),RIGHT('Disaggregation Records'!$D$155:$D$385,255),0))),"")</f>
        <v/>
      </c>
      <c r="T971" s="194" t="str">
        <f t="array" ref="T971">IFERROR(IF(INDEX('Disaggregation Records'!$H$155:$H$385,MATCH(RIGHT(Q971,255),RIGHT('Disaggregation Records'!$D$155:$D$385,255),0))="","",INDEX('Disaggregation Records'!$H$155:$H$385,MATCH(RIGHT(Q971,255),RIGHT('Disaggregation Records'!$D$155:$D$385,255),0))),"")</f>
        <v/>
      </c>
      <c r="U971" s="194">
        <f>U969+1</f>
        <v>2675</v>
      </c>
      <c r="V971" s="194" t="str">
        <f t="array" ref="V971">IFERROR(IF(INDEX('Disaggregation Records'!$I$155:$I$385,MATCH(RIGHT(Q971,255),RIGHT('Disaggregation Records'!$D$155:$D$385,255),0))="","",INDEX('Disaggregation Records'!$I$155:$I$385,MATCH(RIGHT(Q971,255),RIGHT('Disaggregation Records'!$D$155:$D$385,255),0))),"")</f>
        <v/>
      </c>
      <c r="W971" s="194" t="str">
        <f>IFERROR(INDEX('Reference Records'!L$77:L$157,MATCH(LEFT(C971,255),'Reference Records'!E$77:E$157,0)),"")</f>
        <v>KP-1b⁽ᴹ⁾ Percentage of transgender people reached with HIV prevention programs - defined package of services</v>
      </c>
    </row>
    <row r="972" spans="1:23" s="194" customFormat="1" ht="40.4" customHeight="1" x14ac:dyDescent="0.35">
      <c r="A972" s="770"/>
      <c r="B972" s="767"/>
      <c r="C972" s="761"/>
      <c r="D972" s="769"/>
      <c r="E972" s="769"/>
      <c r="F972" s="208"/>
      <c r="G972" s="763"/>
      <c r="H972" s="744"/>
      <c r="I972" s="765"/>
      <c r="J972" s="730"/>
      <c r="K972" s="761"/>
      <c r="L972" s="761"/>
      <c r="M972" s="730"/>
      <c r="N972" s="730"/>
    </row>
    <row r="973" spans="1:23" s="194" customFormat="1" ht="40.4" customHeight="1" x14ac:dyDescent="0.35">
      <c r="A973" s="770" t="str">
        <f ca="1">INDIRECT("'update Helper'!C"&amp;U973)</f>
        <v>a163p000004NtN8AAK</v>
      </c>
      <c r="B973" s="766">
        <v>9</v>
      </c>
      <c r="C973" s="760" t="str">
        <f>VLOOKUP(B973,'Coverage Indicators - Section D'!$A$9:$AU$70,47,FALSE)</f>
        <v>KP-1b⁽ᴹ⁾ Porcentaje de personas transgénero alcanzados por programas de prevención del VIH - paquete definido de servicios</v>
      </c>
      <c r="D973" s="768" t="str">
        <f>R973</f>
        <v/>
      </c>
      <c r="E973" s="768" t="str">
        <f>S973</f>
        <v/>
      </c>
      <c r="F973" s="413"/>
      <c r="G973" s="762" t="str">
        <f ca="1">IF(OR(INDIRECT("'update Helper'!E"&amp;U973)="",F973&lt;&gt;0,F974&lt;&gt;0),IF(IFERROR((F973/F974),"")="","",(F973/F974)),INDIRECT("'update Helper'!E"&amp;U973)/100)</f>
        <v/>
      </c>
      <c r="H973" s="743"/>
      <c r="I973" s="764"/>
      <c r="J973" s="729"/>
      <c r="K973" s="760" t="str">
        <f>W973</f>
        <v>KP-1b⁽ᴹ⁾ Percentage of transgender people reached with HIV prevention programs - defined package of services</v>
      </c>
      <c r="L973" s="760" t="str">
        <f>V973</f>
        <v/>
      </c>
      <c r="M973" s="729"/>
      <c r="N973" s="729"/>
      <c r="P973" s="194">
        <f>IF(AND(EXACT(C973,C971),C971&lt;&gt;0),P971+1,0)</f>
        <v>16</v>
      </c>
      <c r="Q973" s="194" t="str">
        <f>IF(C973&lt;&gt;"",C973&amp;"-"&amp;P973,"")</f>
        <v>KP-1b⁽ᴹ⁾ Porcentaje de personas transgénero alcanzados por programas de prevención del VIH - paquete definido de servicios-16</v>
      </c>
      <c r="R973" s="194" t="str">
        <f t="array" ref="R973">IFERROR(IF(INDEX('Disaggregation Records'!$E$155:$E$385,MATCH(RIGHT(Q973,255),RIGHT('Disaggregation Records'!$D$155:$D$385,255),0))="","",INDEX('Disaggregation Records'!$E$155:$E$385,MATCH(RIGHT(Q973,255),RIGHT('Disaggregation Records'!$D$155:$D$385,255),0))),"")</f>
        <v/>
      </c>
      <c r="S973" s="194" t="str">
        <f t="array" ref="S973">IFERROR(IF(INDEX('Disaggregation Records'!$F$155:$F$385,MATCH(RIGHT(Q973,255),RIGHT('Disaggregation Records'!$D$155:$D$385,255),0))="","",INDEX('Disaggregation Records'!$F$155:$F$385,MATCH(RIGHT(Q973,255),RIGHT('Disaggregation Records'!$D$155:$D$385,255),0))),"")</f>
        <v/>
      </c>
      <c r="T973" s="194" t="str">
        <f t="array" ref="T973">IFERROR(IF(INDEX('Disaggregation Records'!$H$155:$H$385,MATCH(RIGHT(Q973,255),RIGHT('Disaggregation Records'!$D$155:$D$385,255),0))="","",INDEX('Disaggregation Records'!$H$155:$H$385,MATCH(RIGHT(Q973,255),RIGHT('Disaggregation Records'!$D$155:$D$385,255),0))),"")</f>
        <v/>
      </c>
      <c r="U973" s="194">
        <f>U971+1</f>
        <v>2676</v>
      </c>
      <c r="V973" s="194" t="str">
        <f t="array" ref="V973">IFERROR(IF(INDEX('Disaggregation Records'!$I$155:$I$385,MATCH(RIGHT(Q973,255),RIGHT('Disaggregation Records'!$D$155:$D$385,255),0))="","",INDEX('Disaggregation Records'!$I$155:$I$385,MATCH(RIGHT(Q973,255),RIGHT('Disaggregation Records'!$D$155:$D$385,255),0))),"")</f>
        <v/>
      </c>
      <c r="W973" s="194" t="str">
        <f>IFERROR(INDEX('Reference Records'!L$77:L$157,MATCH(LEFT(C973,255),'Reference Records'!E$77:E$157,0)),"")</f>
        <v>KP-1b⁽ᴹ⁾ Percentage of transgender people reached with HIV prevention programs - defined package of services</v>
      </c>
    </row>
    <row r="974" spans="1:23" s="194" customFormat="1" ht="40.4" customHeight="1" x14ac:dyDescent="0.35">
      <c r="A974" s="770"/>
      <c r="B974" s="767"/>
      <c r="C974" s="761"/>
      <c r="D974" s="769"/>
      <c r="E974" s="769"/>
      <c r="F974" s="208"/>
      <c r="G974" s="763"/>
      <c r="H974" s="744"/>
      <c r="I974" s="765"/>
      <c r="J974" s="730"/>
      <c r="K974" s="761"/>
      <c r="L974" s="761"/>
      <c r="M974" s="730"/>
      <c r="N974" s="730"/>
    </row>
    <row r="975" spans="1:23" s="194" customFormat="1" ht="40.4" customHeight="1" x14ac:dyDescent="0.35">
      <c r="A975" s="770" t="str">
        <f ca="1">INDIRECT("'update Helper'!C"&amp;U975)</f>
        <v>a163p000004NtN9AAK</v>
      </c>
      <c r="B975" s="766">
        <v>9</v>
      </c>
      <c r="C975" s="760" t="str">
        <f>VLOOKUP(B975,'Coverage Indicators - Section D'!$A$9:$AU$70,47,FALSE)</f>
        <v>KP-1b⁽ᴹ⁾ Porcentaje de personas transgénero alcanzados por programas de prevención del VIH - paquete definido de servicios</v>
      </c>
      <c r="D975" s="768" t="str">
        <f>R975</f>
        <v/>
      </c>
      <c r="E975" s="768" t="str">
        <f>S975</f>
        <v/>
      </c>
      <c r="F975" s="413"/>
      <c r="G975" s="762" t="str">
        <f ca="1">IF(OR(INDIRECT("'update Helper'!E"&amp;U975)="",F975&lt;&gt;0,F976&lt;&gt;0),IF(IFERROR((F975/F976),"")="","",(F975/F976)),INDIRECT("'update Helper'!E"&amp;U975)/100)</f>
        <v/>
      </c>
      <c r="H975" s="743"/>
      <c r="I975" s="764"/>
      <c r="J975" s="729"/>
      <c r="K975" s="760" t="str">
        <f>W975</f>
        <v>KP-1b⁽ᴹ⁾ Percentage of transgender people reached with HIV prevention programs - defined package of services</v>
      </c>
      <c r="L975" s="760" t="str">
        <f>V975</f>
        <v/>
      </c>
      <c r="M975" s="729"/>
      <c r="N975" s="729"/>
      <c r="P975" s="194">
        <f>IF(AND(EXACT(C975,C973),C973&lt;&gt;0),P973+1,0)</f>
        <v>17</v>
      </c>
      <c r="Q975" s="194" t="str">
        <f>IF(C975&lt;&gt;"",C975&amp;"-"&amp;P975,"")</f>
        <v>KP-1b⁽ᴹ⁾ Porcentaje de personas transgénero alcanzados por programas de prevención del VIH - paquete definido de servicios-17</v>
      </c>
      <c r="R975" s="194" t="str">
        <f t="array" ref="R975">IFERROR(IF(INDEX('Disaggregation Records'!$E$155:$E$385,MATCH(RIGHT(Q975,255),RIGHT('Disaggregation Records'!$D$155:$D$385,255),0))="","",INDEX('Disaggregation Records'!$E$155:$E$385,MATCH(RIGHT(Q975,255),RIGHT('Disaggregation Records'!$D$155:$D$385,255),0))),"")</f>
        <v/>
      </c>
      <c r="S975" s="194" t="str">
        <f t="array" ref="S975">IFERROR(IF(INDEX('Disaggregation Records'!$F$155:$F$385,MATCH(RIGHT(Q975,255),RIGHT('Disaggregation Records'!$D$155:$D$385,255),0))="","",INDEX('Disaggregation Records'!$F$155:$F$385,MATCH(RIGHT(Q975,255),RIGHT('Disaggregation Records'!$D$155:$D$385,255),0))),"")</f>
        <v/>
      </c>
      <c r="T975" s="194" t="str">
        <f t="array" ref="T975">IFERROR(IF(INDEX('Disaggregation Records'!$H$155:$H$385,MATCH(RIGHT(Q975,255),RIGHT('Disaggregation Records'!$D$155:$D$385,255),0))="","",INDEX('Disaggregation Records'!$H$155:$H$385,MATCH(RIGHT(Q975,255),RIGHT('Disaggregation Records'!$D$155:$D$385,255),0))),"")</f>
        <v/>
      </c>
      <c r="U975" s="194">
        <f>U973+1</f>
        <v>2677</v>
      </c>
      <c r="V975" s="194" t="str">
        <f t="array" ref="V975">IFERROR(IF(INDEX('Disaggregation Records'!$I$155:$I$385,MATCH(RIGHT(Q975,255),RIGHT('Disaggregation Records'!$D$155:$D$385,255),0))="","",INDEX('Disaggregation Records'!$I$155:$I$385,MATCH(RIGHT(Q975,255),RIGHT('Disaggregation Records'!$D$155:$D$385,255),0))),"")</f>
        <v/>
      </c>
      <c r="W975" s="194" t="str">
        <f>IFERROR(INDEX('Reference Records'!L$77:L$157,MATCH(LEFT(C975,255),'Reference Records'!E$77:E$157,0)),"")</f>
        <v>KP-1b⁽ᴹ⁾ Percentage of transgender people reached with HIV prevention programs - defined package of services</v>
      </c>
    </row>
    <row r="976" spans="1:23" s="194" customFormat="1" ht="40.4" customHeight="1" x14ac:dyDescent="0.35">
      <c r="A976" s="770"/>
      <c r="B976" s="767"/>
      <c r="C976" s="761"/>
      <c r="D976" s="769"/>
      <c r="E976" s="769"/>
      <c r="F976" s="208"/>
      <c r="G976" s="763"/>
      <c r="H976" s="744"/>
      <c r="I976" s="765"/>
      <c r="J976" s="730"/>
      <c r="K976" s="761"/>
      <c r="L976" s="761"/>
      <c r="M976" s="730"/>
      <c r="N976" s="730"/>
    </row>
    <row r="977" spans="1:23" s="194" customFormat="1" ht="40.4" customHeight="1" x14ac:dyDescent="0.35">
      <c r="A977" s="770" t="str">
        <f ca="1">INDIRECT("'update Helper'!C"&amp;U977)</f>
        <v>a163p000004NtNAAA0</v>
      </c>
      <c r="B977" s="766">
        <v>9</v>
      </c>
      <c r="C977" s="760" t="str">
        <f>VLOOKUP(B977,'Coverage Indicators - Section D'!$A$9:$AU$70,47,FALSE)</f>
        <v>KP-1b⁽ᴹ⁾ Porcentaje de personas transgénero alcanzados por programas de prevención del VIH - paquete definido de servicios</v>
      </c>
      <c r="D977" s="768" t="str">
        <f>R977</f>
        <v/>
      </c>
      <c r="E977" s="768" t="str">
        <f>S977</f>
        <v/>
      </c>
      <c r="F977" s="413"/>
      <c r="G977" s="762" t="str">
        <f ca="1">IF(OR(INDIRECT("'update Helper'!E"&amp;U977)="",F977&lt;&gt;0,F978&lt;&gt;0),IF(IFERROR((F977/F978),"")="","",(F977/F978)),INDIRECT("'update Helper'!E"&amp;U977)/100)</f>
        <v/>
      </c>
      <c r="H977" s="743"/>
      <c r="I977" s="764"/>
      <c r="J977" s="729"/>
      <c r="K977" s="760" t="str">
        <f>W977</f>
        <v>KP-1b⁽ᴹ⁾ Percentage of transgender people reached with HIV prevention programs - defined package of services</v>
      </c>
      <c r="L977" s="760" t="str">
        <f>V977</f>
        <v/>
      </c>
      <c r="M977" s="729"/>
      <c r="N977" s="729"/>
      <c r="P977" s="194">
        <f>IF(AND(EXACT(C977,C975),C975&lt;&gt;0),P975+1,0)</f>
        <v>18</v>
      </c>
      <c r="Q977" s="194" t="str">
        <f>IF(C977&lt;&gt;"",C977&amp;"-"&amp;P977,"")</f>
        <v>KP-1b⁽ᴹ⁾ Porcentaje de personas transgénero alcanzados por programas de prevención del VIH - paquete definido de servicios-18</v>
      </c>
      <c r="R977" s="194" t="str">
        <f t="array" ref="R977">IFERROR(IF(INDEX('Disaggregation Records'!$E$155:$E$385,MATCH(RIGHT(Q977,255),RIGHT('Disaggregation Records'!$D$155:$D$385,255),0))="","",INDEX('Disaggregation Records'!$E$155:$E$385,MATCH(RIGHT(Q977,255),RIGHT('Disaggregation Records'!$D$155:$D$385,255),0))),"")</f>
        <v/>
      </c>
      <c r="S977" s="194" t="str">
        <f t="array" ref="S977">IFERROR(IF(INDEX('Disaggregation Records'!$F$155:$F$385,MATCH(RIGHT(Q977,255),RIGHT('Disaggregation Records'!$D$155:$D$385,255),0))="","",INDEX('Disaggregation Records'!$F$155:$F$385,MATCH(RIGHT(Q977,255),RIGHT('Disaggregation Records'!$D$155:$D$385,255),0))),"")</f>
        <v/>
      </c>
      <c r="T977" s="194" t="str">
        <f t="array" ref="T977">IFERROR(IF(INDEX('Disaggregation Records'!$H$155:$H$385,MATCH(RIGHT(Q977,255),RIGHT('Disaggregation Records'!$D$155:$D$385,255),0))="","",INDEX('Disaggregation Records'!$H$155:$H$385,MATCH(RIGHT(Q977,255),RIGHT('Disaggregation Records'!$D$155:$D$385,255),0))),"")</f>
        <v/>
      </c>
      <c r="U977" s="194">
        <f>U975+1</f>
        <v>2678</v>
      </c>
      <c r="V977" s="194" t="str">
        <f t="array" ref="V977">IFERROR(IF(INDEX('Disaggregation Records'!$I$155:$I$385,MATCH(RIGHT(Q977,255),RIGHT('Disaggregation Records'!$D$155:$D$385,255),0))="","",INDEX('Disaggregation Records'!$I$155:$I$385,MATCH(RIGHT(Q977,255),RIGHT('Disaggregation Records'!$D$155:$D$385,255),0))),"")</f>
        <v/>
      </c>
      <c r="W977" s="194" t="str">
        <f>IFERROR(INDEX('Reference Records'!L$77:L$157,MATCH(LEFT(C977,255),'Reference Records'!E$77:E$157,0)),"")</f>
        <v>KP-1b⁽ᴹ⁾ Percentage of transgender people reached with HIV prevention programs - defined package of services</v>
      </c>
    </row>
    <row r="978" spans="1:23" s="194" customFormat="1" ht="40.4" customHeight="1" x14ac:dyDescent="0.35">
      <c r="A978" s="770"/>
      <c r="B978" s="767"/>
      <c r="C978" s="761"/>
      <c r="D978" s="769"/>
      <c r="E978" s="769"/>
      <c r="F978" s="208"/>
      <c r="G978" s="763"/>
      <c r="H978" s="744"/>
      <c r="I978" s="765"/>
      <c r="J978" s="730"/>
      <c r="K978" s="761"/>
      <c r="L978" s="761"/>
      <c r="M978" s="730"/>
      <c r="N978" s="730"/>
    </row>
    <row r="979" spans="1:23" s="194" customFormat="1" ht="40.4" customHeight="1" x14ac:dyDescent="0.35">
      <c r="A979" s="770" t="str">
        <f ca="1">INDIRECT("'update Helper'!C"&amp;U979)</f>
        <v>a163p000004NtNBAA0</v>
      </c>
      <c r="B979" s="766">
        <v>9</v>
      </c>
      <c r="C979" s="760" t="str">
        <f>VLOOKUP(B979,'Coverage Indicators - Section D'!$A$9:$AU$70,47,FALSE)</f>
        <v>KP-1b⁽ᴹ⁾ Porcentaje de personas transgénero alcanzados por programas de prevención del VIH - paquete definido de servicios</v>
      </c>
      <c r="D979" s="768" t="str">
        <f>R979</f>
        <v/>
      </c>
      <c r="E979" s="768" t="str">
        <f>S979</f>
        <v/>
      </c>
      <c r="F979" s="413"/>
      <c r="G979" s="762" t="str">
        <f ca="1">IF(OR(INDIRECT("'update Helper'!E"&amp;U979)="",F979&lt;&gt;0,F980&lt;&gt;0),IF(IFERROR((F979/F980),"")="","",(F979/F980)),INDIRECT("'update Helper'!E"&amp;U979)/100)</f>
        <v/>
      </c>
      <c r="H979" s="743"/>
      <c r="I979" s="764"/>
      <c r="J979" s="729"/>
      <c r="K979" s="760" t="str">
        <f>W979</f>
        <v>KP-1b⁽ᴹ⁾ Percentage of transgender people reached with HIV prevention programs - defined package of services</v>
      </c>
      <c r="L979" s="760" t="str">
        <f>V979</f>
        <v/>
      </c>
      <c r="M979" s="729"/>
      <c r="N979" s="729"/>
      <c r="P979" s="194">
        <f>IF(AND(EXACT(C979,C977),C977&lt;&gt;0),P977+1,0)</f>
        <v>19</v>
      </c>
      <c r="Q979" s="194" t="str">
        <f>IF(C979&lt;&gt;"",C979&amp;"-"&amp;P979,"")</f>
        <v>KP-1b⁽ᴹ⁾ Porcentaje de personas transgénero alcanzados por programas de prevención del VIH - paquete definido de servicios-19</v>
      </c>
      <c r="R979" s="194" t="str">
        <f t="array" ref="R979">IFERROR(IF(INDEX('Disaggregation Records'!$E$155:$E$385,MATCH(RIGHT(Q979,255),RIGHT('Disaggregation Records'!$D$155:$D$385,255),0))="","",INDEX('Disaggregation Records'!$E$155:$E$385,MATCH(RIGHT(Q979,255),RIGHT('Disaggregation Records'!$D$155:$D$385,255),0))),"")</f>
        <v/>
      </c>
      <c r="S979" s="194" t="str">
        <f t="array" ref="S979">IFERROR(IF(INDEX('Disaggregation Records'!$F$155:$F$385,MATCH(RIGHT(Q979,255),RIGHT('Disaggregation Records'!$D$155:$D$385,255),0))="","",INDEX('Disaggregation Records'!$F$155:$F$385,MATCH(RIGHT(Q979,255),RIGHT('Disaggregation Records'!$D$155:$D$385,255),0))),"")</f>
        <v/>
      </c>
      <c r="T979" s="194" t="str">
        <f t="array" ref="T979">IFERROR(IF(INDEX('Disaggregation Records'!$H$155:$H$385,MATCH(RIGHT(Q979,255),RIGHT('Disaggregation Records'!$D$155:$D$385,255),0))="","",INDEX('Disaggregation Records'!$H$155:$H$385,MATCH(RIGHT(Q979,255),RIGHT('Disaggregation Records'!$D$155:$D$385,255),0))),"")</f>
        <v/>
      </c>
      <c r="U979" s="194">
        <f>U977+1</f>
        <v>2679</v>
      </c>
      <c r="V979" s="194" t="str">
        <f t="array" ref="V979">IFERROR(IF(INDEX('Disaggregation Records'!$I$155:$I$385,MATCH(RIGHT(Q979,255),RIGHT('Disaggregation Records'!$D$155:$D$385,255),0))="","",INDEX('Disaggregation Records'!$I$155:$I$385,MATCH(RIGHT(Q979,255),RIGHT('Disaggregation Records'!$D$155:$D$385,255),0))),"")</f>
        <v/>
      </c>
      <c r="W979" s="194" t="str">
        <f>IFERROR(INDEX('Reference Records'!L$77:L$157,MATCH(LEFT(C979,255),'Reference Records'!E$77:E$157,0)),"")</f>
        <v>KP-1b⁽ᴹ⁾ Percentage of transgender people reached with HIV prevention programs - defined package of services</v>
      </c>
    </row>
    <row r="980" spans="1:23" s="194" customFormat="1" ht="40.4" customHeight="1" x14ac:dyDescent="0.35">
      <c r="A980" s="770"/>
      <c r="B980" s="767"/>
      <c r="C980" s="761"/>
      <c r="D980" s="769"/>
      <c r="E980" s="769"/>
      <c r="F980" s="208"/>
      <c r="G980" s="763"/>
      <c r="H980" s="744"/>
      <c r="I980" s="765"/>
      <c r="J980" s="730"/>
      <c r="K980" s="761"/>
      <c r="L980" s="761"/>
      <c r="M980" s="730"/>
      <c r="N980" s="730"/>
    </row>
    <row r="981" spans="1:23" s="194" customFormat="1" ht="40.4" customHeight="1" x14ac:dyDescent="0.35">
      <c r="A981" s="770" t="str">
        <f ca="1">INDIRECT("'update Helper'!C"&amp;U981)</f>
        <v>a163p000004NtWYAA0</v>
      </c>
      <c r="B981" s="766">
        <v>10</v>
      </c>
      <c r="C981" s="760" t="str">
        <f>VLOOKUP(B981,'Coverage Indicators - Section D'!$A$9:$AU$70,47,FALSE)</f>
        <v>TCP-1⁽ᴹ⁾ Número de casos notificados de todas las formas de tuberculosis (esto es, confirmados bacteriológicamente y con diagnóstico clínico), casos nuevos y recaídas.</v>
      </c>
      <c r="D981" s="768" t="str">
        <f>R981</f>
        <v>Definición de caso</v>
      </c>
      <c r="E981" s="768" t="str">
        <f>S981</f>
        <v>Confirmado bacteriológicamente</v>
      </c>
      <c r="F981" s="413"/>
      <c r="G981" s="762" t="str">
        <f ca="1">IF(OR(INDIRECT("'update Helper'!E"&amp;U981)="",F981&lt;&gt;0,F982&lt;&gt;0),IF(IFERROR((F981/F982),"")="","",(F981/F982)),INDIRECT("'update Helper'!E"&amp;U981)/100)</f>
        <v/>
      </c>
      <c r="H981" s="743"/>
      <c r="I981" s="764"/>
      <c r="J981" s="729" t="s">
        <v>10234</v>
      </c>
      <c r="K981" s="760" t="str">
        <f>W981</f>
        <v>TCP-1⁽ᴹ⁾ Number of notified cases of all forms of TB (i.e. bacteriologically confirmed + clinically diagnosed), new and relapse cases</v>
      </c>
      <c r="L981" s="760" t="str">
        <f>V981</f>
        <v>TB case definition</v>
      </c>
      <c r="M981" s="729"/>
      <c r="N981" s="729" t="s">
        <v>6612</v>
      </c>
      <c r="P981" s="194">
        <f>IF(AND(EXACT(C981,C979),C979&lt;&gt;0),P979+1,0)</f>
        <v>0</v>
      </c>
      <c r="Q981" s="194" t="str">
        <f>IF(C981&lt;&gt;"",C981&amp;"-"&amp;P981,"")</f>
        <v>TCP-1⁽ᴹ⁾ Número de casos notificados de todas las formas de tuberculosis (esto es, confirmados bacteriológicamente y con diagnóstico clínico), casos nuevos y recaídas.-0</v>
      </c>
      <c r="R981" s="194" t="str">
        <f t="array" ref="R981">IFERROR(IF(INDEX('Disaggregation Records'!$E$155:$E$385,MATCH(RIGHT(Q981,255),RIGHT('Disaggregation Records'!$D$155:$D$385,255),0))="","",INDEX('Disaggregation Records'!$E$155:$E$385,MATCH(RIGHT(Q981,255),RIGHT('Disaggregation Records'!$D$155:$D$385,255),0))),"")</f>
        <v>Definición de caso</v>
      </c>
      <c r="S981" s="194" t="str">
        <f t="array" ref="S981">IFERROR(IF(INDEX('Disaggregation Records'!$F$155:$F$385,MATCH(RIGHT(Q981,255),RIGHT('Disaggregation Records'!$D$155:$D$385,255),0))="","",INDEX('Disaggregation Records'!$F$155:$F$385,MATCH(RIGHT(Q981,255),RIGHT('Disaggregation Records'!$D$155:$D$385,255),0))),"")</f>
        <v>Confirmado bacteriológicamente</v>
      </c>
      <c r="T981" s="194" t="str">
        <f t="array" ref="T981">IFERROR(IF(INDEX('Disaggregation Records'!$H$155:$H$385,MATCH(RIGHT(Q981,255),RIGHT('Disaggregation Records'!$D$155:$D$385,255),0))="","",INDEX('Disaggregation Records'!$H$155:$H$385,MATCH(RIGHT(Q981,255),RIGHT('Disaggregation Records'!$D$155:$D$385,255),0))),"")</f>
        <v>IDR-00994</v>
      </c>
      <c r="U981" s="194">
        <f>U979+1</f>
        <v>2680</v>
      </c>
      <c r="V981" s="194" t="str">
        <f t="array" ref="V981">IFERROR(IF(INDEX('Disaggregation Records'!$I$155:$I$385,MATCH(RIGHT(Q981,255),RIGHT('Disaggregation Records'!$D$155:$D$385,255),0))="","",INDEX('Disaggregation Records'!$I$155:$I$385,MATCH(RIGHT(Q981,255),RIGHT('Disaggregation Records'!$D$155:$D$385,255),0))),"")</f>
        <v>TB case definition</v>
      </c>
      <c r="W981" s="194" t="str">
        <f>IFERROR(INDEX('Reference Records'!L$77:L$157,MATCH(LEFT(C981,255),'Reference Records'!E$77:E$157,0)),"")</f>
        <v>TCP-1⁽ᴹ⁾ Number of notified cases of all forms of TB (i.e. bacteriologically confirmed + clinically diagnosed), new and relapse cases</v>
      </c>
    </row>
    <row r="982" spans="1:23" s="194" customFormat="1" ht="40.4" customHeight="1" x14ac:dyDescent="0.35">
      <c r="A982" s="770"/>
      <c r="B982" s="767"/>
      <c r="C982" s="761"/>
      <c r="D982" s="769"/>
      <c r="E982" s="769"/>
      <c r="F982" s="208"/>
      <c r="G982" s="763"/>
      <c r="H982" s="744"/>
      <c r="I982" s="765"/>
      <c r="J982" s="730"/>
      <c r="K982" s="761"/>
      <c r="L982" s="761"/>
      <c r="M982" s="730"/>
      <c r="N982" s="730"/>
    </row>
    <row r="983" spans="1:23" s="194" customFormat="1" ht="40.4" customHeight="1" x14ac:dyDescent="0.35">
      <c r="A983" s="770" t="str">
        <f ca="1">INDIRECT("'update Helper'!C"&amp;U983)</f>
        <v>a163p000004NtWZAA0</v>
      </c>
      <c r="B983" s="766">
        <v>10</v>
      </c>
      <c r="C983" s="760" t="str">
        <f>VLOOKUP(B983,'Coverage Indicators - Section D'!$A$9:$AU$70,47,FALSE)</f>
        <v>TCP-1⁽ᴹ⁾ Número de casos notificados de todas las formas de tuberculosis (esto es, confirmados bacteriológicamente y con diagnóstico clínico), casos nuevos y recaídas.</v>
      </c>
      <c r="D983" s="768" t="str">
        <f>R983</f>
        <v>Resultado de prueba del VIH</v>
      </c>
      <c r="E983" s="768" t="str">
        <f>S983</f>
        <v>No documentado</v>
      </c>
      <c r="F983" s="413"/>
      <c r="G983" s="762" t="str">
        <f ca="1">IF(OR(INDIRECT("'update Helper'!E"&amp;U983)="",F983&lt;&gt;0,F984&lt;&gt;0),IF(IFERROR((F983/F984),"")="","",(F983/F984)),INDIRECT("'update Helper'!E"&amp;U983)/100)</f>
        <v/>
      </c>
      <c r="H983" s="743"/>
      <c r="I983" s="764"/>
      <c r="J983" s="729" t="s">
        <v>10234</v>
      </c>
      <c r="K983" s="760" t="str">
        <f>W983</f>
        <v>TCP-1⁽ᴹ⁾ Number of notified cases of all forms of TB (i.e. bacteriologically confirmed + clinically diagnosed), new and relapse cases</v>
      </c>
      <c r="L983" s="760" t="str">
        <f>V983</f>
        <v>HIV test status</v>
      </c>
      <c r="M983" s="729"/>
      <c r="N983" s="729" t="s">
        <v>6612</v>
      </c>
      <c r="P983" s="194">
        <f>IF(AND(EXACT(C983,C981),C981&lt;&gt;0),P981+1,0)</f>
        <v>1</v>
      </c>
      <c r="Q983" s="194" t="str">
        <f>IF(C983&lt;&gt;"",C983&amp;"-"&amp;P983,"")</f>
        <v>TCP-1⁽ᴹ⁾ Número de casos notificados de todas las formas de tuberculosis (esto es, confirmados bacteriológicamente y con diagnóstico clínico), casos nuevos y recaídas.-1</v>
      </c>
      <c r="R983" s="194" t="str">
        <f t="array" ref="R983">IFERROR(IF(INDEX('Disaggregation Records'!$E$155:$E$385,MATCH(RIGHT(Q983,255),RIGHT('Disaggregation Records'!$D$155:$D$385,255),0))="","",INDEX('Disaggregation Records'!$E$155:$E$385,MATCH(RIGHT(Q983,255),RIGHT('Disaggregation Records'!$D$155:$D$385,255),0))),"")</f>
        <v>Resultado de prueba del VIH</v>
      </c>
      <c r="S983" s="194" t="str">
        <f t="array" ref="S983">IFERROR(IF(INDEX('Disaggregation Records'!$F$155:$F$385,MATCH(RIGHT(Q983,255),RIGHT('Disaggregation Records'!$D$155:$D$385,255),0))="","",INDEX('Disaggregation Records'!$F$155:$F$385,MATCH(RIGHT(Q983,255),RIGHT('Disaggregation Records'!$D$155:$D$385,255),0))),"")</f>
        <v>No documentado</v>
      </c>
      <c r="T983" s="194" t="str">
        <f t="array" ref="T983">IFERROR(IF(INDEX('Disaggregation Records'!$H$155:$H$385,MATCH(RIGHT(Q983,255),RIGHT('Disaggregation Records'!$D$155:$D$385,255),0))="","",INDEX('Disaggregation Records'!$H$155:$H$385,MATCH(RIGHT(Q983,255),RIGHT('Disaggregation Records'!$D$155:$D$385,255),0))),"")</f>
        <v>IDR-00933</v>
      </c>
      <c r="U983" s="194">
        <f>U981+1</f>
        <v>2681</v>
      </c>
      <c r="V983" s="194" t="str">
        <f t="array" ref="V983">IFERROR(IF(INDEX('Disaggregation Records'!$I$155:$I$385,MATCH(RIGHT(Q983,255),RIGHT('Disaggregation Records'!$D$155:$D$385,255),0))="","",INDEX('Disaggregation Records'!$I$155:$I$385,MATCH(RIGHT(Q983,255),RIGHT('Disaggregation Records'!$D$155:$D$385,255),0))),"")</f>
        <v>HIV test status</v>
      </c>
      <c r="W983" s="194" t="str">
        <f>IFERROR(INDEX('Reference Records'!L$77:L$157,MATCH(LEFT(C983,255),'Reference Records'!E$77:E$157,0)),"")</f>
        <v>TCP-1⁽ᴹ⁾ Number of notified cases of all forms of TB (i.e. bacteriologically confirmed + clinically diagnosed), new and relapse cases</v>
      </c>
    </row>
    <row r="984" spans="1:23" s="194" customFormat="1" ht="40.4" customHeight="1" x14ac:dyDescent="0.35">
      <c r="A984" s="770"/>
      <c r="B984" s="767"/>
      <c r="C984" s="761"/>
      <c r="D984" s="769"/>
      <c r="E984" s="769"/>
      <c r="F984" s="208"/>
      <c r="G984" s="763"/>
      <c r="H984" s="744"/>
      <c r="I984" s="765"/>
      <c r="J984" s="730"/>
      <c r="K984" s="761"/>
      <c r="L984" s="761"/>
      <c r="M984" s="730"/>
      <c r="N984" s="730"/>
    </row>
    <row r="985" spans="1:23" s="194" customFormat="1" ht="40.4" customHeight="1" x14ac:dyDescent="0.35">
      <c r="A985" s="770" t="str">
        <f ca="1">INDIRECT("'update Helper'!C"&amp;U985)</f>
        <v>a163p000004NtWaAAK</v>
      </c>
      <c r="B985" s="766">
        <v>10</v>
      </c>
      <c r="C985" s="760" t="str">
        <f>VLOOKUP(B985,'Coverage Indicators - Section D'!$A$9:$AU$70,47,FALSE)</f>
        <v>TCP-1⁽ᴹ⁾ Número de casos notificados de todas las formas de tuberculosis (esto es, confirmados bacteriológicamente y con diagnóstico clínico), casos nuevos y recaídas.</v>
      </c>
      <c r="D985" s="768" t="str">
        <f>R985</f>
        <v>Resultado de prueba del VIH</v>
      </c>
      <c r="E985" s="768" t="str">
        <f>S985</f>
        <v>Negativo</v>
      </c>
      <c r="F985" s="413"/>
      <c r="G985" s="762" t="str">
        <f ca="1">IF(OR(INDIRECT("'update Helper'!E"&amp;U985)="",F985&lt;&gt;0,F986&lt;&gt;0),IF(IFERROR((F985/F986),"")="","",(F985/F986)),INDIRECT("'update Helper'!E"&amp;U985)/100)</f>
        <v/>
      </c>
      <c r="H985" s="743"/>
      <c r="I985" s="764"/>
      <c r="J985" s="729" t="s">
        <v>10234</v>
      </c>
      <c r="K985" s="760" t="str">
        <f>W985</f>
        <v>TCP-1⁽ᴹ⁾ Number of notified cases of all forms of TB (i.e. bacteriologically confirmed + clinically diagnosed), new and relapse cases</v>
      </c>
      <c r="L985" s="760" t="str">
        <f>V985</f>
        <v>HIV test status</v>
      </c>
      <c r="M985" s="729"/>
      <c r="N985" s="729" t="s">
        <v>6612</v>
      </c>
      <c r="P985" s="194">
        <f>IF(AND(EXACT(C985,C983),C983&lt;&gt;0),P983+1,0)</f>
        <v>2</v>
      </c>
      <c r="Q985" s="194" t="str">
        <f>IF(C985&lt;&gt;"",C985&amp;"-"&amp;P985,"")</f>
        <v>TCP-1⁽ᴹ⁾ Número de casos notificados de todas las formas de tuberculosis (esto es, confirmados bacteriológicamente y con diagnóstico clínico), casos nuevos y recaídas.-2</v>
      </c>
      <c r="R985" s="194" t="str">
        <f t="array" ref="R985">IFERROR(IF(INDEX('Disaggregation Records'!$E$155:$E$385,MATCH(RIGHT(Q985,255),RIGHT('Disaggregation Records'!$D$155:$D$385,255),0))="","",INDEX('Disaggregation Records'!$E$155:$E$385,MATCH(RIGHT(Q985,255),RIGHT('Disaggregation Records'!$D$155:$D$385,255),0))),"")</f>
        <v>Resultado de prueba del VIH</v>
      </c>
      <c r="S985" s="194" t="str">
        <f t="array" ref="S985">IFERROR(IF(INDEX('Disaggregation Records'!$F$155:$F$385,MATCH(RIGHT(Q985,255),RIGHT('Disaggregation Records'!$D$155:$D$385,255),0))="","",INDEX('Disaggregation Records'!$F$155:$F$385,MATCH(RIGHT(Q985,255),RIGHT('Disaggregation Records'!$D$155:$D$385,255),0))),"")</f>
        <v>Negativo</v>
      </c>
      <c r="T985" s="194" t="str">
        <f t="array" ref="T985">IFERROR(IF(INDEX('Disaggregation Records'!$H$155:$H$385,MATCH(RIGHT(Q985,255),RIGHT('Disaggregation Records'!$D$155:$D$385,255),0))="","",INDEX('Disaggregation Records'!$H$155:$H$385,MATCH(RIGHT(Q985,255),RIGHT('Disaggregation Records'!$D$155:$D$385,255),0))),"")</f>
        <v>IDR-00932</v>
      </c>
      <c r="U985" s="194">
        <f>U983+1</f>
        <v>2682</v>
      </c>
      <c r="V985" s="194" t="str">
        <f t="array" ref="V985">IFERROR(IF(INDEX('Disaggregation Records'!$I$155:$I$385,MATCH(RIGHT(Q985,255),RIGHT('Disaggregation Records'!$D$155:$D$385,255),0))="","",INDEX('Disaggregation Records'!$I$155:$I$385,MATCH(RIGHT(Q985,255),RIGHT('Disaggregation Records'!$D$155:$D$385,255),0))),"")</f>
        <v>HIV test status</v>
      </c>
      <c r="W985" s="194" t="str">
        <f>IFERROR(INDEX('Reference Records'!L$77:L$157,MATCH(LEFT(C985,255),'Reference Records'!E$77:E$157,0)),"")</f>
        <v>TCP-1⁽ᴹ⁾ Number of notified cases of all forms of TB (i.e. bacteriologically confirmed + clinically diagnosed), new and relapse cases</v>
      </c>
    </row>
    <row r="986" spans="1:23" s="194" customFormat="1" ht="40.4" customHeight="1" x14ac:dyDescent="0.35">
      <c r="A986" s="770"/>
      <c r="B986" s="767"/>
      <c r="C986" s="761"/>
      <c r="D986" s="769"/>
      <c r="E986" s="769"/>
      <c r="F986" s="208"/>
      <c r="G986" s="763"/>
      <c r="H986" s="744"/>
      <c r="I986" s="765"/>
      <c r="J986" s="730"/>
      <c r="K986" s="761"/>
      <c r="L986" s="761"/>
      <c r="M986" s="730"/>
      <c r="N986" s="730"/>
    </row>
    <row r="987" spans="1:23" s="194" customFormat="1" ht="40.4" customHeight="1" x14ac:dyDescent="0.35">
      <c r="A987" s="770" t="str">
        <f ca="1">INDIRECT("'update Helper'!C"&amp;U987)</f>
        <v>a163p000004NtWbAAK</v>
      </c>
      <c r="B987" s="766">
        <v>10</v>
      </c>
      <c r="C987" s="760" t="str">
        <f>VLOOKUP(B987,'Coverage Indicators - Section D'!$A$9:$AU$70,47,FALSE)</f>
        <v>TCP-1⁽ᴹ⁾ Número de casos notificados de todas las formas de tuberculosis (esto es, confirmados bacteriológicamente y con diagnóstico clínico), casos nuevos y recaídas.</v>
      </c>
      <c r="D987" s="768" t="str">
        <f>R987</f>
        <v>Resultado de prueba del VIH</v>
      </c>
      <c r="E987" s="768" t="str">
        <f>S987</f>
        <v>Positivo</v>
      </c>
      <c r="F987" s="413"/>
      <c r="G987" s="762" t="str">
        <f ca="1">IF(OR(INDIRECT("'update Helper'!E"&amp;U987)="",F987&lt;&gt;0,F988&lt;&gt;0),IF(IFERROR((F987/F988),"")="","",(F987/F988)),INDIRECT("'update Helper'!E"&amp;U987)/100)</f>
        <v/>
      </c>
      <c r="H987" s="743"/>
      <c r="I987" s="764"/>
      <c r="J987" s="729" t="s">
        <v>10234</v>
      </c>
      <c r="K987" s="760" t="str">
        <f>W987</f>
        <v>TCP-1⁽ᴹ⁾ Number of notified cases of all forms of TB (i.e. bacteriologically confirmed + clinically diagnosed), new and relapse cases</v>
      </c>
      <c r="L987" s="760" t="str">
        <f>V987</f>
        <v>HIV test status</v>
      </c>
      <c r="M987" s="729"/>
      <c r="N987" s="729" t="s">
        <v>6612</v>
      </c>
      <c r="P987" s="194">
        <f>IF(AND(EXACT(C987,C985),C985&lt;&gt;0),P985+1,0)</f>
        <v>3</v>
      </c>
      <c r="Q987" s="194" t="str">
        <f>IF(C987&lt;&gt;"",C987&amp;"-"&amp;P987,"")</f>
        <v>TCP-1⁽ᴹ⁾ Número de casos notificados de todas las formas de tuberculosis (esto es, confirmados bacteriológicamente y con diagnóstico clínico), casos nuevos y recaídas.-3</v>
      </c>
      <c r="R987" s="194" t="str">
        <f t="array" ref="R987">IFERROR(IF(INDEX('Disaggregation Records'!$E$155:$E$385,MATCH(RIGHT(Q987,255),RIGHT('Disaggregation Records'!$D$155:$D$385,255),0))="","",INDEX('Disaggregation Records'!$E$155:$E$385,MATCH(RIGHT(Q987,255),RIGHT('Disaggregation Records'!$D$155:$D$385,255),0))),"")</f>
        <v>Resultado de prueba del VIH</v>
      </c>
      <c r="S987" s="194" t="str">
        <f t="array" ref="S987">IFERROR(IF(INDEX('Disaggregation Records'!$F$155:$F$385,MATCH(RIGHT(Q987,255),RIGHT('Disaggregation Records'!$D$155:$D$385,255),0))="","",INDEX('Disaggregation Records'!$F$155:$F$385,MATCH(RIGHT(Q987,255),RIGHT('Disaggregation Records'!$D$155:$D$385,255),0))),"")</f>
        <v>Positivo</v>
      </c>
      <c r="T987" s="194" t="str">
        <f t="array" ref="T987">IFERROR(IF(INDEX('Disaggregation Records'!$H$155:$H$385,MATCH(RIGHT(Q987,255),RIGHT('Disaggregation Records'!$D$155:$D$385,255),0))="","",INDEX('Disaggregation Records'!$H$155:$H$385,MATCH(RIGHT(Q987,255),RIGHT('Disaggregation Records'!$D$155:$D$385,255),0))),"")</f>
        <v>IDR-00931</v>
      </c>
      <c r="U987" s="194">
        <f>U985+1</f>
        <v>2683</v>
      </c>
      <c r="V987" s="194" t="str">
        <f t="array" ref="V987">IFERROR(IF(INDEX('Disaggregation Records'!$I$155:$I$385,MATCH(RIGHT(Q987,255),RIGHT('Disaggregation Records'!$D$155:$D$385,255),0))="","",INDEX('Disaggregation Records'!$I$155:$I$385,MATCH(RIGHT(Q987,255),RIGHT('Disaggregation Records'!$D$155:$D$385,255),0))),"")</f>
        <v>HIV test status</v>
      </c>
      <c r="W987" s="194" t="str">
        <f>IFERROR(INDEX('Reference Records'!L$77:L$157,MATCH(LEFT(C987,255),'Reference Records'!E$77:E$157,0)),"")</f>
        <v>TCP-1⁽ᴹ⁾ Number of notified cases of all forms of TB (i.e. bacteriologically confirmed + clinically diagnosed), new and relapse cases</v>
      </c>
    </row>
    <row r="988" spans="1:23" s="194" customFormat="1" ht="40.4" customHeight="1" x14ac:dyDescent="0.35">
      <c r="A988" s="770"/>
      <c r="B988" s="767"/>
      <c r="C988" s="761"/>
      <c r="D988" s="769"/>
      <c r="E988" s="769"/>
      <c r="F988" s="208"/>
      <c r="G988" s="763"/>
      <c r="H988" s="744"/>
      <c r="I988" s="765"/>
      <c r="J988" s="730"/>
      <c r="K988" s="761"/>
      <c r="L988" s="761"/>
      <c r="M988" s="730"/>
      <c r="N988" s="730"/>
    </row>
    <row r="989" spans="1:23" s="194" customFormat="1" ht="40.4" customHeight="1" x14ac:dyDescent="0.35">
      <c r="A989" s="770" t="str">
        <f ca="1">INDIRECT("'update Helper'!C"&amp;U989)</f>
        <v>a163p000004NtWcAAK</v>
      </c>
      <c r="B989" s="766">
        <v>10</v>
      </c>
      <c r="C989" s="760" t="str">
        <f>VLOOKUP(B989,'Coverage Indicators - Section D'!$A$9:$AU$70,47,FALSE)</f>
        <v>TCP-1⁽ᴹ⁾ Número de casos notificados de todas las formas de tuberculosis (esto es, confirmados bacteriológicamente y con diagnóstico clínico), casos nuevos y recaídas.</v>
      </c>
      <c r="D989" s="768" t="str">
        <f>R989</f>
        <v>Género</v>
      </c>
      <c r="E989" s="768" t="str">
        <f>S989</f>
        <v>Mujeres</v>
      </c>
      <c r="F989" s="413"/>
      <c r="G989" s="762" t="str">
        <f ca="1">IF(OR(INDIRECT("'update Helper'!E"&amp;U989)="",F989&lt;&gt;0,F990&lt;&gt;0),IF(IFERROR((F989/F990),"")="","",(F989/F990)),INDIRECT("'update Helper'!E"&amp;U989)/100)</f>
        <v/>
      </c>
      <c r="H989" s="743"/>
      <c r="I989" s="764"/>
      <c r="J989" s="729" t="s">
        <v>10234</v>
      </c>
      <c r="K989" s="760" t="str">
        <f>W989</f>
        <v>TCP-1⁽ᴹ⁾ Number of notified cases of all forms of TB (i.e. bacteriologically confirmed + clinically diagnosed), new and relapse cases</v>
      </c>
      <c r="L989" s="760" t="str">
        <f>V989</f>
        <v>Gender</v>
      </c>
      <c r="M989" s="729"/>
      <c r="N989" s="729" t="s">
        <v>6612</v>
      </c>
      <c r="P989" s="194">
        <f>IF(AND(EXACT(C989,C987),C987&lt;&gt;0),P987+1,0)</f>
        <v>4</v>
      </c>
      <c r="Q989" s="194" t="str">
        <f>IF(C989&lt;&gt;"",C989&amp;"-"&amp;P989,"")</f>
        <v>TCP-1⁽ᴹ⁾ Número de casos notificados de todas las formas de tuberculosis (esto es, confirmados bacteriológicamente y con diagnóstico clínico), casos nuevos y recaídas.-4</v>
      </c>
      <c r="R989" s="194" t="str">
        <f t="array" ref="R989">IFERROR(IF(INDEX('Disaggregation Records'!$E$155:$E$385,MATCH(RIGHT(Q989,255),RIGHT('Disaggregation Records'!$D$155:$D$385,255),0))="","",INDEX('Disaggregation Records'!$E$155:$E$385,MATCH(RIGHT(Q989,255),RIGHT('Disaggregation Records'!$D$155:$D$385,255),0))),"")</f>
        <v>Género</v>
      </c>
      <c r="S989" s="194" t="str">
        <f t="array" ref="S989">IFERROR(IF(INDEX('Disaggregation Records'!$F$155:$F$385,MATCH(RIGHT(Q989,255),RIGHT('Disaggregation Records'!$D$155:$D$385,255),0))="","",INDEX('Disaggregation Records'!$F$155:$F$385,MATCH(RIGHT(Q989,255),RIGHT('Disaggregation Records'!$D$155:$D$385,255),0))),"")</f>
        <v>Mujeres</v>
      </c>
      <c r="T989" s="194" t="str">
        <f t="array" ref="T989">IFERROR(IF(INDEX('Disaggregation Records'!$H$155:$H$385,MATCH(RIGHT(Q989,255),RIGHT('Disaggregation Records'!$D$155:$D$385,255),0))="","",INDEX('Disaggregation Records'!$H$155:$H$385,MATCH(RIGHT(Q989,255),RIGHT('Disaggregation Records'!$D$155:$D$385,255),0))),"")</f>
        <v>IDR-00853</v>
      </c>
      <c r="U989" s="194">
        <f>U987+1</f>
        <v>2684</v>
      </c>
      <c r="V989" s="194" t="str">
        <f t="array" ref="V989">IFERROR(IF(INDEX('Disaggregation Records'!$I$155:$I$385,MATCH(RIGHT(Q989,255),RIGHT('Disaggregation Records'!$D$155:$D$385,255),0))="","",INDEX('Disaggregation Records'!$I$155:$I$385,MATCH(RIGHT(Q989,255),RIGHT('Disaggregation Records'!$D$155:$D$385,255),0))),"")</f>
        <v>Gender</v>
      </c>
      <c r="W989" s="194" t="str">
        <f>IFERROR(INDEX('Reference Records'!L$77:L$157,MATCH(LEFT(C989,255),'Reference Records'!E$77:E$157,0)),"")</f>
        <v>TCP-1⁽ᴹ⁾ Number of notified cases of all forms of TB (i.e. bacteriologically confirmed + clinically diagnosed), new and relapse cases</v>
      </c>
    </row>
    <row r="990" spans="1:23" s="194" customFormat="1" ht="40.4" customHeight="1" x14ac:dyDescent="0.35">
      <c r="A990" s="770"/>
      <c r="B990" s="767"/>
      <c r="C990" s="761"/>
      <c r="D990" s="769"/>
      <c r="E990" s="769"/>
      <c r="F990" s="208"/>
      <c r="G990" s="763"/>
      <c r="H990" s="744"/>
      <c r="I990" s="765"/>
      <c r="J990" s="730"/>
      <c r="K990" s="761"/>
      <c r="L990" s="761"/>
      <c r="M990" s="730"/>
      <c r="N990" s="730"/>
    </row>
    <row r="991" spans="1:23" s="194" customFormat="1" ht="40.4" customHeight="1" x14ac:dyDescent="0.35">
      <c r="A991" s="770" t="str">
        <f ca="1">INDIRECT("'update Helper'!C"&amp;U991)</f>
        <v>a163p000004NtWdAAK</v>
      </c>
      <c r="B991" s="766">
        <v>10</v>
      </c>
      <c r="C991" s="760" t="str">
        <f>VLOOKUP(B991,'Coverage Indicators - Section D'!$A$9:$AU$70,47,FALSE)</f>
        <v>TCP-1⁽ᴹ⁾ Número de casos notificados de todas las formas de tuberculosis (esto es, confirmados bacteriológicamente y con diagnóstico clínico), casos nuevos y recaídas.</v>
      </c>
      <c r="D991" s="768" t="str">
        <f>R991</f>
        <v>Género</v>
      </c>
      <c r="E991" s="768" t="str">
        <f>S991</f>
        <v>Hombres</v>
      </c>
      <c r="F991" s="413"/>
      <c r="G991" s="762" t="str">
        <f ca="1">IF(OR(INDIRECT("'update Helper'!E"&amp;U991)="",F991&lt;&gt;0,F992&lt;&gt;0),IF(IFERROR((F991/F992),"")="","",(F991/F992)),INDIRECT("'update Helper'!E"&amp;U991)/100)</f>
        <v/>
      </c>
      <c r="H991" s="743"/>
      <c r="I991" s="764"/>
      <c r="J991" s="729" t="s">
        <v>10234</v>
      </c>
      <c r="K991" s="760" t="str">
        <f>W991</f>
        <v>TCP-1⁽ᴹ⁾ Number of notified cases of all forms of TB (i.e. bacteriologically confirmed + clinically diagnosed), new and relapse cases</v>
      </c>
      <c r="L991" s="760" t="str">
        <f>V991</f>
        <v>Gender</v>
      </c>
      <c r="M991" s="729"/>
      <c r="N991" s="729" t="s">
        <v>6612</v>
      </c>
      <c r="P991" s="194">
        <f>IF(AND(EXACT(C991,C989),C989&lt;&gt;0),P989+1,0)</f>
        <v>5</v>
      </c>
      <c r="Q991" s="194" t="str">
        <f>IF(C991&lt;&gt;"",C991&amp;"-"&amp;P991,"")</f>
        <v>TCP-1⁽ᴹ⁾ Número de casos notificados de todas las formas de tuberculosis (esto es, confirmados bacteriológicamente y con diagnóstico clínico), casos nuevos y recaídas.-5</v>
      </c>
      <c r="R991" s="194" t="str">
        <f t="array" ref="R991">IFERROR(IF(INDEX('Disaggregation Records'!$E$155:$E$385,MATCH(RIGHT(Q991,255),RIGHT('Disaggregation Records'!$D$155:$D$385,255),0))="","",INDEX('Disaggregation Records'!$E$155:$E$385,MATCH(RIGHT(Q991,255),RIGHT('Disaggregation Records'!$D$155:$D$385,255),0))),"")</f>
        <v>Género</v>
      </c>
      <c r="S991" s="194" t="str">
        <f t="array" ref="S991">IFERROR(IF(INDEX('Disaggregation Records'!$F$155:$F$385,MATCH(RIGHT(Q991,255),RIGHT('Disaggregation Records'!$D$155:$D$385,255),0))="","",INDEX('Disaggregation Records'!$F$155:$F$385,MATCH(RIGHT(Q991,255),RIGHT('Disaggregation Records'!$D$155:$D$385,255),0))),"")</f>
        <v>Hombres</v>
      </c>
      <c r="T991" s="194" t="str">
        <f t="array" ref="T991">IFERROR(IF(INDEX('Disaggregation Records'!$H$155:$H$385,MATCH(RIGHT(Q991,255),RIGHT('Disaggregation Records'!$D$155:$D$385,255),0))="","",INDEX('Disaggregation Records'!$H$155:$H$385,MATCH(RIGHT(Q991,255),RIGHT('Disaggregation Records'!$D$155:$D$385,255),0))),"")</f>
        <v>IDR-00852</v>
      </c>
      <c r="U991" s="194">
        <f>U989+1</f>
        <v>2685</v>
      </c>
      <c r="V991" s="194" t="str">
        <f t="array" ref="V991">IFERROR(IF(INDEX('Disaggregation Records'!$I$155:$I$385,MATCH(RIGHT(Q991,255),RIGHT('Disaggregation Records'!$D$155:$D$385,255),0))="","",INDEX('Disaggregation Records'!$I$155:$I$385,MATCH(RIGHT(Q991,255),RIGHT('Disaggregation Records'!$D$155:$D$385,255),0))),"")</f>
        <v>Gender</v>
      </c>
      <c r="W991" s="194" t="str">
        <f>IFERROR(INDEX('Reference Records'!L$77:L$157,MATCH(LEFT(C991,255),'Reference Records'!E$77:E$157,0)),"")</f>
        <v>TCP-1⁽ᴹ⁾ Number of notified cases of all forms of TB (i.e. bacteriologically confirmed + clinically diagnosed), new and relapse cases</v>
      </c>
    </row>
    <row r="992" spans="1:23" s="194" customFormat="1" ht="40.4" customHeight="1" x14ac:dyDescent="0.35">
      <c r="A992" s="770"/>
      <c r="B992" s="767"/>
      <c r="C992" s="761"/>
      <c r="D992" s="769"/>
      <c r="E992" s="769"/>
      <c r="F992" s="208"/>
      <c r="G992" s="763"/>
      <c r="H992" s="744"/>
      <c r="I992" s="765"/>
      <c r="J992" s="730"/>
      <c r="K992" s="761"/>
      <c r="L992" s="761"/>
      <c r="M992" s="730"/>
      <c r="N992" s="730"/>
    </row>
    <row r="993" spans="1:23" s="194" customFormat="1" ht="40.4" customHeight="1" x14ac:dyDescent="0.35">
      <c r="A993" s="770" t="str">
        <f ca="1">INDIRECT("'update Helper'!C"&amp;U993)</f>
        <v>a163p000004NtWeAAK</v>
      </c>
      <c r="B993" s="766">
        <v>10</v>
      </c>
      <c r="C993" s="760" t="str">
        <f>VLOOKUP(B993,'Coverage Indicators - Section D'!$A$9:$AU$70,47,FALSE)</f>
        <v>TCP-1⁽ᴹ⁾ Número de casos notificados de todas las formas de tuberculosis (esto es, confirmados bacteriológicamente y con diagnóstico clínico), casos nuevos y recaídas.</v>
      </c>
      <c r="D993" s="768" t="str">
        <f>R993</f>
        <v>Edad</v>
      </c>
      <c r="E993" s="768" t="str">
        <f>S993</f>
        <v>15+</v>
      </c>
      <c r="F993" s="413"/>
      <c r="G993" s="762" t="str">
        <f ca="1">IF(OR(INDIRECT("'update Helper'!E"&amp;U993)="",F993&lt;&gt;0,F994&lt;&gt;0),IF(IFERROR((F993/F994),"")="","",(F993/F994)),INDIRECT("'update Helper'!E"&amp;U993)/100)</f>
        <v/>
      </c>
      <c r="H993" s="743"/>
      <c r="I993" s="764"/>
      <c r="J993" s="729" t="s">
        <v>10234</v>
      </c>
      <c r="K993" s="760" t="str">
        <f>W993</f>
        <v>TCP-1⁽ᴹ⁾ Number of notified cases of all forms of TB (i.e. bacteriologically confirmed + clinically diagnosed), new and relapse cases</v>
      </c>
      <c r="L993" s="760" t="str">
        <f>V993</f>
        <v>Age</v>
      </c>
      <c r="M993" s="729"/>
      <c r="N993" s="729" t="s">
        <v>6612</v>
      </c>
      <c r="P993" s="194">
        <f>IF(AND(EXACT(C993,C991),C991&lt;&gt;0),P991+1,0)</f>
        <v>6</v>
      </c>
      <c r="Q993" s="194" t="str">
        <f>IF(C993&lt;&gt;"",C993&amp;"-"&amp;P993,"")</f>
        <v>TCP-1⁽ᴹ⁾ Número de casos notificados de todas las formas de tuberculosis (esto es, confirmados bacteriológicamente y con diagnóstico clínico), casos nuevos y recaídas.-6</v>
      </c>
      <c r="R993" s="194" t="str">
        <f t="array" ref="R993">IFERROR(IF(INDEX('Disaggregation Records'!$E$155:$E$385,MATCH(RIGHT(Q993,255),RIGHT('Disaggregation Records'!$D$155:$D$385,255),0))="","",INDEX('Disaggregation Records'!$E$155:$E$385,MATCH(RIGHT(Q993,255),RIGHT('Disaggregation Records'!$D$155:$D$385,255),0))),"")</f>
        <v>Edad</v>
      </c>
      <c r="S993" s="194" t="str">
        <f t="array" ref="S993">IFERROR(IF(INDEX('Disaggregation Records'!$F$155:$F$385,MATCH(RIGHT(Q993,255),RIGHT('Disaggregation Records'!$D$155:$D$385,255),0))="","",INDEX('Disaggregation Records'!$F$155:$F$385,MATCH(RIGHT(Q993,255),RIGHT('Disaggregation Records'!$D$155:$D$385,255),0))),"")</f>
        <v>15+</v>
      </c>
      <c r="T993" s="194" t="str">
        <f t="array" ref="T993">IFERROR(IF(INDEX('Disaggregation Records'!$H$155:$H$385,MATCH(RIGHT(Q993,255),RIGHT('Disaggregation Records'!$D$155:$D$385,255),0))="","",INDEX('Disaggregation Records'!$H$155:$H$385,MATCH(RIGHT(Q993,255),RIGHT('Disaggregation Records'!$D$155:$D$385,255),0))),"")</f>
        <v>IDR-00726</v>
      </c>
      <c r="U993" s="194">
        <f>U991+1</f>
        <v>2686</v>
      </c>
      <c r="V993" s="194" t="str">
        <f t="array" ref="V993">IFERROR(IF(INDEX('Disaggregation Records'!$I$155:$I$385,MATCH(RIGHT(Q993,255),RIGHT('Disaggregation Records'!$D$155:$D$385,255),0))="","",INDEX('Disaggregation Records'!$I$155:$I$385,MATCH(RIGHT(Q993,255),RIGHT('Disaggregation Records'!$D$155:$D$385,255),0))),"")</f>
        <v>Age</v>
      </c>
      <c r="W993" s="194" t="str">
        <f>IFERROR(INDEX('Reference Records'!L$77:L$157,MATCH(LEFT(C993,255),'Reference Records'!E$77:E$157,0)),"")</f>
        <v>TCP-1⁽ᴹ⁾ Number of notified cases of all forms of TB (i.e. bacteriologically confirmed + clinically diagnosed), new and relapse cases</v>
      </c>
    </row>
    <row r="994" spans="1:23" s="194" customFormat="1" ht="40.4" customHeight="1" x14ac:dyDescent="0.35">
      <c r="A994" s="770"/>
      <c r="B994" s="767"/>
      <c r="C994" s="761"/>
      <c r="D994" s="769"/>
      <c r="E994" s="769"/>
      <c r="F994" s="208"/>
      <c r="G994" s="763"/>
      <c r="H994" s="744"/>
      <c r="I994" s="765"/>
      <c r="J994" s="730"/>
      <c r="K994" s="761"/>
      <c r="L994" s="761"/>
      <c r="M994" s="730"/>
      <c r="N994" s="730"/>
    </row>
    <row r="995" spans="1:23" s="194" customFormat="1" ht="40.4" customHeight="1" x14ac:dyDescent="0.35">
      <c r="A995" s="770" t="str">
        <f ca="1">INDIRECT("'update Helper'!C"&amp;U995)</f>
        <v>a163p000004NtWfAAK</v>
      </c>
      <c r="B995" s="766">
        <v>10</v>
      </c>
      <c r="C995" s="760" t="str">
        <f>VLOOKUP(B995,'Coverage Indicators - Section D'!$A$9:$AU$70,47,FALSE)</f>
        <v>TCP-1⁽ᴹ⁾ Número de casos notificados de todas las formas de tuberculosis (esto es, confirmados bacteriológicamente y con diagnóstico clínico), casos nuevos y recaídas.</v>
      </c>
      <c r="D995" s="768" t="str">
        <f>R995</f>
        <v>Edad</v>
      </c>
      <c r="E995" s="768" t="str">
        <f>S995</f>
        <v>&lt;15</v>
      </c>
      <c r="F995" s="413"/>
      <c r="G995" s="762" t="str">
        <f ca="1">IF(OR(INDIRECT("'update Helper'!E"&amp;U995)="",F995&lt;&gt;0,F996&lt;&gt;0),IF(IFERROR((F995/F996),"")="","",(F995/F996)),INDIRECT("'update Helper'!E"&amp;U995)/100)</f>
        <v/>
      </c>
      <c r="H995" s="743"/>
      <c r="I995" s="764"/>
      <c r="J995" s="729" t="s">
        <v>10234</v>
      </c>
      <c r="K995" s="760" t="str">
        <f>W995</f>
        <v>TCP-1⁽ᴹ⁾ Number of notified cases of all forms of TB (i.e. bacteriologically confirmed + clinically diagnosed), new and relapse cases</v>
      </c>
      <c r="L995" s="760" t="str">
        <f>V995</f>
        <v>Age</v>
      </c>
      <c r="M995" s="729"/>
      <c r="N995" s="729" t="s">
        <v>6612</v>
      </c>
      <c r="P995" s="194">
        <f>IF(AND(EXACT(C995,C993),C993&lt;&gt;0),P993+1,0)</f>
        <v>7</v>
      </c>
      <c r="Q995" s="194" t="str">
        <f>IF(C995&lt;&gt;"",C995&amp;"-"&amp;P995,"")</f>
        <v>TCP-1⁽ᴹ⁾ Número de casos notificados de todas las formas de tuberculosis (esto es, confirmados bacteriológicamente y con diagnóstico clínico), casos nuevos y recaídas.-7</v>
      </c>
      <c r="R995" s="194" t="str">
        <f t="array" ref="R995">IFERROR(IF(INDEX('Disaggregation Records'!$E$155:$E$385,MATCH(RIGHT(Q995,255),RIGHT('Disaggregation Records'!$D$155:$D$385,255),0))="","",INDEX('Disaggregation Records'!$E$155:$E$385,MATCH(RIGHT(Q995,255),RIGHT('Disaggregation Records'!$D$155:$D$385,255),0))),"")</f>
        <v>Edad</v>
      </c>
      <c r="S995" s="194" t="str">
        <f t="array" ref="S995">IFERROR(IF(INDEX('Disaggregation Records'!$F$155:$F$385,MATCH(RIGHT(Q995,255),RIGHT('Disaggregation Records'!$D$155:$D$385,255),0))="","",INDEX('Disaggregation Records'!$F$155:$F$385,MATCH(RIGHT(Q995,255),RIGHT('Disaggregation Records'!$D$155:$D$385,255),0))),"")</f>
        <v>&lt;15</v>
      </c>
      <c r="T995" s="194" t="str">
        <f t="array" ref="T995">IFERROR(IF(INDEX('Disaggregation Records'!$H$155:$H$385,MATCH(RIGHT(Q995,255),RIGHT('Disaggregation Records'!$D$155:$D$385,255),0))="","",INDEX('Disaggregation Records'!$H$155:$H$385,MATCH(RIGHT(Q995,255),RIGHT('Disaggregation Records'!$D$155:$D$385,255),0))),"")</f>
        <v>IDR-00725</v>
      </c>
      <c r="U995" s="194">
        <f>U993+1</f>
        <v>2687</v>
      </c>
      <c r="V995" s="194" t="str">
        <f t="array" ref="V995">IFERROR(IF(INDEX('Disaggregation Records'!$I$155:$I$385,MATCH(RIGHT(Q995,255),RIGHT('Disaggregation Records'!$D$155:$D$385,255),0))="","",INDEX('Disaggregation Records'!$I$155:$I$385,MATCH(RIGHT(Q995,255),RIGHT('Disaggregation Records'!$D$155:$D$385,255),0))),"")</f>
        <v>Age</v>
      </c>
      <c r="W995" s="194" t="str">
        <f>IFERROR(INDEX('Reference Records'!L$77:L$157,MATCH(LEFT(C995,255),'Reference Records'!E$77:E$157,0)),"")</f>
        <v>TCP-1⁽ᴹ⁾ Number of notified cases of all forms of TB (i.e. bacteriologically confirmed + clinically diagnosed), new and relapse cases</v>
      </c>
    </row>
    <row r="996" spans="1:23" s="194" customFormat="1" ht="40.4" customHeight="1" x14ac:dyDescent="0.35">
      <c r="A996" s="770"/>
      <c r="B996" s="767"/>
      <c r="C996" s="761"/>
      <c r="D996" s="769"/>
      <c r="E996" s="769"/>
      <c r="F996" s="208"/>
      <c r="G996" s="763"/>
      <c r="H996" s="744"/>
      <c r="I996" s="765"/>
      <c r="J996" s="730"/>
      <c r="K996" s="761"/>
      <c r="L996" s="761"/>
      <c r="M996" s="730"/>
      <c r="N996" s="730"/>
    </row>
    <row r="997" spans="1:23" s="194" customFormat="1" ht="40.4" customHeight="1" x14ac:dyDescent="0.35">
      <c r="A997" s="770" t="str">
        <f ca="1">INDIRECT("'update Helper'!C"&amp;U997)</f>
        <v>a163p000004NtWgAAK</v>
      </c>
      <c r="B997" s="766">
        <v>10</v>
      </c>
      <c r="C997" s="760" t="str">
        <f>VLOOKUP(B997,'Coverage Indicators - Section D'!$A$9:$AU$70,47,FALSE)</f>
        <v>TCP-1⁽ᴹ⁾ Número de casos notificados de todas las formas de tuberculosis (esto es, confirmados bacteriológicamente y con diagnóstico clínico), casos nuevos y recaídas.</v>
      </c>
      <c r="D997" s="768" t="str">
        <f>R997</f>
        <v/>
      </c>
      <c r="E997" s="768" t="str">
        <f>S997</f>
        <v/>
      </c>
      <c r="F997" s="413"/>
      <c r="G997" s="762" t="str">
        <f ca="1">IF(OR(INDIRECT("'update Helper'!E"&amp;U997)="",F997&lt;&gt;0,F998&lt;&gt;0),IF(IFERROR((F997/F998),"")="","",(F997/F998)),INDIRECT("'update Helper'!E"&amp;U997)/100)</f>
        <v/>
      </c>
      <c r="H997" s="743"/>
      <c r="I997" s="764"/>
      <c r="J997" s="729"/>
      <c r="K997" s="760" t="str">
        <f>W997</f>
        <v>TCP-1⁽ᴹ⁾ Number of notified cases of all forms of TB (i.e. bacteriologically confirmed + clinically diagnosed), new and relapse cases</v>
      </c>
      <c r="L997" s="760" t="str">
        <f>V997</f>
        <v/>
      </c>
      <c r="M997" s="729"/>
      <c r="N997" s="729"/>
      <c r="P997" s="194">
        <f>IF(AND(EXACT(C997,C995),C995&lt;&gt;0),P995+1,0)</f>
        <v>8</v>
      </c>
      <c r="Q997" s="194" t="str">
        <f>IF(C997&lt;&gt;"",C997&amp;"-"&amp;P997,"")</f>
        <v>TCP-1⁽ᴹ⁾ Número de casos notificados de todas las formas de tuberculosis (esto es, confirmados bacteriológicamente y con diagnóstico clínico), casos nuevos y recaídas.-8</v>
      </c>
      <c r="R997" s="194" t="str">
        <f t="array" ref="R997">IFERROR(IF(INDEX('Disaggregation Records'!$E$155:$E$385,MATCH(RIGHT(Q997,255),RIGHT('Disaggregation Records'!$D$155:$D$385,255),0))="","",INDEX('Disaggregation Records'!$E$155:$E$385,MATCH(RIGHT(Q997,255),RIGHT('Disaggregation Records'!$D$155:$D$385,255),0))),"")</f>
        <v/>
      </c>
      <c r="S997" s="194" t="str">
        <f t="array" ref="S997">IFERROR(IF(INDEX('Disaggregation Records'!$F$155:$F$385,MATCH(RIGHT(Q997,255),RIGHT('Disaggregation Records'!$D$155:$D$385,255),0))="","",INDEX('Disaggregation Records'!$F$155:$F$385,MATCH(RIGHT(Q997,255),RIGHT('Disaggregation Records'!$D$155:$D$385,255),0))),"")</f>
        <v/>
      </c>
      <c r="T997" s="194" t="str">
        <f t="array" ref="T997">IFERROR(IF(INDEX('Disaggregation Records'!$H$155:$H$385,MATCH(RIGHT(Q997,255),RIGHT('Disaggregation Records'!$D$155:$D$385,255),0))="","",INDEX('Disaggregation Records'!$H$155:$H$385,MATCH(RIGHT(Q997,255),RIGHT('Disaggregation Records'!$D$155:$D$385,255),0))),"")</f>
        <v/>
      </c>
      <c r="U997" s="194">
        <f>U995+1</f>
        <v>2688</v>
      </c>
      <c r="V997" s="194" t="str">
        <f t="array" ref="V997">IFERROR(IF(INDEX('Disaggregation Records'!$I$155:$I$385,MATCH(RIGHT(Q997,255),RIGHT('Disaggregation Records'!$D$155:$D$385,255),0))="","",INDEX('Disaggregation Records'!$I$155:$I$385,MATCH(RIGHT(Q997,255),RIGHT('Disaggregation Records'!$D$155:$D$385,255),0))),"")</f>
        <v/>
      </c>
      <c r="W997" s="194" t="str">
        <f>IFERROR(INDEX('Reference Records'!L$77:L$157,MATCH(LEFT(C997,255),'Reference Records'!E$77:E$157,0)),"")</f>
        <v>TCP-1⁽ᴹ⁾ Number of notified cases of all forms of TB (i.e. bacteriologically confirmed + clinically diagnosed), new and relapse cases</v>
      </c>
    </row>
    <row r="998" spans="1:23" s="194" customFormat="1" ht="40.4" customHeight="1" x14ac:dyDescent="0.35">
      <c r="A998" s="770"/>
      <c r="B998" s="767"/>
      <c r="C998" s="761"/>
      <c r="D998" s="769"/>
      <c r="E998" s="769"/>
      <c r="F998" s="208"/>
      <c r="G998" s="763"/>
      <c r="H998" s="744"/>
      <c r="I998" s="765"/>
      <c r="J998" s="730"/>
      <c r="K998" s="761"/>
      <c r="L998" s="761"/>
      <c r="M998" s="730"/>
      <c r="N998" s="730"/>
    </row>
    <row r="999" spans="1:23" s="194" customFormat="1" ht="40.4" customHeight="1" x14ac:dyDescent="0.35">
      <c r="A999" s="770" t="str">
        <f ca="1">INDIRECT("'update Helper'!C"&amp;U999)</f>
        <v>a163p000004NtWhAAK</v>
      </c>
      <c r="B999" s="766">
        <v>10</v>
      </c>
      <c r="C999" s="760" t="str">
        <f>VLOOKUP(B999,'Coverage Indicators - Section D'!$A$9:$AU$70,47,FALSE)</f>
        <v>TCP-1⁽ᴹ⁾ Número de casos notificados de todas las formas de tuberculosis (esto es, confirmados bacteriológicamente y con diagnóstico clínico), casos nuevos y recaídas.</v>
      </c>
      <c r="D999" s="768" t="str">
        <f>R999</f>
        <v/>
      </c>
      <c r="E999" s="768" t="str">
        <f>S999</f>
        <v/>
      </c>
      <c r="F999" s="413"/>
      <c r="G999" s="762" t="str">
        <f ca="1">IF(OR(INDIRECT("'update Helper'!E"&amp;U999)="",F999&lt;&gt;0,F1000&lt;&gt;0),IF(IFERROR((F999/F1000),"")="","",(F999/F1000)),INDIRECT("'update Helper'!E"&amp;U999)/100)</f>
        <v/>
      </c>
      <c r="H999" s="743"/>
      <c r="I999" s="764"/>
      <c r="J999" s="729"/>
      <c r="K999" s="760" t="str">
        <f>W999</f>
        <v>TCP-1⁽ᴹ⁾ Number of notified cases of all forms of TB (i.e. bacteriologically confirmed + clinically diagnosed), new and relapse cases</v>
      </c>
      <c r="L999" s="760" t="str">
        <f>V999</f>
        <v/>
      </c>
      <c r="M999" s="729"/>
      <c r="N999" s="729"/>
      <c r="P999" s="194">
        <f>IF(AND(EXACT(C999,C997),C997&lt;&gt;0),P997+1,0)</f>
        <v>9</v>
      </c>
      <c r="Q999" s="194" t="str">
        <f>IF(C999&lt;&gt;"",C999&amp;"-"&amp;P999,"")</f>
        <v>TCP-1⁽ᴹ⁾ Número de casos notificados de todas las formas de tuberculosis (esto es, confirmados bacteriológicamente y con diagnóstico clínico), casos nuevos y recaídas.-9</v>
      </c>
      <c r="R999" s="194" t="str">
        <f t="array" ref="R999">IFERROR(IF(INDEX('Disaggregation Records'!$E$155:$E$385,MATCH(RIGHT(Q999,255),RIGHT('Disaggregation Records'!$D$155:$D$385,255),0))="","",INDEX('Disaggregation Records'!$E$155:$E$385,MATCH(RIGHT(Q999,255),RIGHT('Disaggregation Records'!$D$155:$D$385,255),0))),"")</f>
        <v/>
      </c>
      <c r="S999" s="194" t="str">
        <f t="array" ref="S999">IFERROR(IF(INDEX('Disaggregation Records'!$F$155:$F$385,MATCH(RIGHT(Q999,255),RIGHT('Disaggregation Records'!$D$155:$D$385,255),0))="","",INDEX('Disaggregation Records'!$F$155:$F$385,MATCH(RIGHT(Q999,255),RIGHT('Disaggregation Records'!$D$155:$D$385,255),0))),"")</f>
        <v/>
      </c>
      <c r="T999" s="194" t="str">
        <f t="array" ref="T999">IFERROR(IF(INDEX('Disaggregation Records'!$H$155:$H$385,MATCH(RIGHT(Q999,255),RIGHT('Disaggregation Records'!$D$155:$D$385,255),0))="","",INDEX('Disaggregation Records'!$H$155:$H$385,MATCH(RIGHT(Q999,255),RIGHT('Disaggregation Records'!$D$155:$D$385,255),0))),"")</f>
        <v/>
      </c>
      <c r="U999" s="194">
        <f>U997+1</f>
        <v>2689</v>
      </c>
      <c r="V999" s="194" t="str">
        <f t="array" ref="V999">IFERROR(IF(INDEX('Disaggregation Records'!$I$155:$I$385,MATCH(RIGHT(Q999,255),RIGHT('Disaggregation Records'!$D$155:$D$385,255),0))="","",INDEX('Disaggregation Records'!$I$155:$I$385,MATCH(RIGHT(Q999,255),RIGHT('Disaggregation Records'!$D$155:$D$385,255),0))),"")</f>
        <v/>
      </c>
      <c r="W999" s="194" t="str">
        <f>IFERROR(INDEX('Reference Records'!L$77:L$157,MATCH(LEFT(C999,255),'Reference Records'!E$77:E$157,0)),"")</f>
        <v>TCP-1⁽ᴹ⁾ Number of notified cases of all forms of TB (i.e. bacteriologically confirmed + clinically diagnosed), new and relapse cases</v>
      </c>
    </row>
    <row r="1000" spans="1:23" s="194" customFormat="1" ht="40.4" customHeight="1" x14ac:dyDescent="0.35">
      <c r="A1000" s="770"/>
      <c r="B1000" s="767"/>
      <c r="C1000" s="761"/>
      <c r="D1000" s="769"/>
      <c r="E1000" s="769"/>
      <c r="F1000" s="208"/>
      <c r="G1000" s="763"/>
      <c r="H1000" s="744"/>
      <c r="I1000" s="765"/>
      <c r="J1000" s="730"/>
      <c r="K1000" s="761"/>
      <c r="L1000" s="761"/>
      <c r="M1000" s="730"/>
      <c r="N1000" s="730"/>
    </row>
    <row r="1001" spans="1:23" s="194" customFormat="1" ht="40.4" customHeight="1" x14ac:dyDescent="0.35">
      <c r="A1001" s="770" t="str">
        <f ca="1">INDIRECT("'update Helper'!C"&amp;U1001)</f>
        <v>a163p000004NtWiAAK</v>
      </c>
      <c r="B1001" s="766">
        <v>10</v>
      </c>
      <c r="C1001" s="760" t="str">
        <f>VLOOKUP(B1001,'Coverage Indicators - Section D'!$A$9:$AU$70,47,FALSE)</f>
        <v>TCP-1⁽ᴹ⁾ Número de casos notificados de todas las formas de tuberculosis (esto es, confirmados bacteriológicamente y con diagnóstico clínico), casos nuevos y recaídas.</v>
      </c>
      <c r="D1001" s="768" t="str">
        <f>R1001</f>
        <v/>
      </c>
      <c r="E1001" s="768" t="str">
        <f>S1001</f>
        <v/>
      </c>
      <c r="F1001" s="413"/>
      <c r="G1001" s="762" t="str">
        <f ca="1">IF(OR(INDIRECT("'update Helper'!E"&amp;U1001)="",F1001&lt;&gt;0,F1002&lt;&gt;0),IF(IFERROR((F1001/F1002),"")="","",(F1001/F1002)),INDIRECT("'update Helper'!E"&amp;U1001)/100)</f>
        <v/>
      </c>
      <c r="H1001" s="743"/>
      <c r="I1001" s="764"/>
      <c r="J1001" s="729"/>
      <c r="K1001" s="760" t="str">
        <f>W1001</f>
        <v>TCP-1⁽ᴹ⁾ Number of notified cases of all forms of TB (i.e. bacteriologically confirmed + clinically diagnosed), new and relapse cases</v>
      </c>
      <c r="L1001" s="760" t="str">
        <f>V1001</f>
        <v/>
      </c>
      <c r="M1001" s="729"/>
      <c r="N1001" s="729"/>
      <c r="P1001" s="194">
        <f>IF(AND(EXACT(C1001,C999),C999&lt;&gt;0),P999+1,0)</f>
        <v>10</v>
      </c>
      <c r="Q1001" s="194" t="str">
        <f>IF(C1001&lt;&gt;"",C1001&amp;"-"&amp;P1001,"")</f>
        <v>TCP-1⁽ᴹ⁾ Número de casos notificados de todas las formas de tuberculosis (esto es, confirmados bacteriológicamente y con diagnóstico clínico), casos nuevos y recaídas.-10</v>
      </c>
      <c r="R1001" s="194" t="str">
        <f t="array" ref="R1001">IFERROR(IF(INDEX('Disaggregation Records'!$E$155:$E$385,MATCH(RIGHT(Q1001,255),RIGHT('Disaggregation Records'!$D$155:$D$385,255),0))="","",INDEX('Disaggregation Records'!$E$155:$E$385,MATCH(RIGHT(Q1001,255),RIGHT('Disaggregation Records'!$D$155:$D$385,255),0))),"")</f>
        <v/>
      </c>
      <c r="S1001" s="194" t="str">
        <f t="array" ref="S1001">IFERROR(IF(INDEX('Disaggregation Records'!$F$155:$F$385,MATCH(RIGHT(Q1001,255),RIGHT('Disaggregation Records'!$D$155:$D$385,255),0))="","",INDEX('Disaggregation Records'!$F$155:$F$385,MATCH(RIGHT(Q1001,255),RIGHT('Disaggregation Records'!$D$155:$D$385,255),0))),"")</f>
        <v/>
      </c>
      <c r="T1001" s="194" t="str">
        <f t="array" ref="T1001">IFERROR(IF(INDEX('Disaggregation Records'!$H$155:$H$385,MATCH(RIGHT(Q1001,255),RIGHT('Disaggregation Records'!$D$155:$D$385,255),0))="","",INDEX('Disaggregation Records'!$H$155:$H$385,MATCH(RIGHT(Q1001,255),RIGHT('Disaggregation Records'!$D$155:$D$385,255),0))),"")</f>
        <v/>
      </c>
      <c r="U1001" s="194">
        <f>U999+1</f>
        <v>2690</v>
      </c>
      <c r="V1001" s="194" t="str">
        <f t="array" ref="V1001">IFERROR(IF(INDEX('Disaggregation Records'!$I$155:$I$385,MATCH(RIGHT(Q1001,255),RIGHT('Disaggregation Records'!$D$155:$D$385,255),0))="","",INDEX('Disaggregation Records'!$I$155:$I$385,MATCH(RIGHT(Q1001,255),RIGHT('Disaggregation Records'!$D$155:$D$385,255),0))),"")</f>
        <v/>
      </c>
      <c r="W1001" s="194" t="str">
        <f>IFERROR(INDEX('Reference Records'!L$77:L$157,MATCH(LEFT(C1001,255),'Reference Records'!E$77:E$157,0)),"")</f>
        <v>TCP-1⁽ᴹ⁾ Number of notified cases of all forms of TB (i.e. bacteriologically confirmed + clinically diagnosed), new and relapse cases</v>
      </c>
    </row>
    <row r="1002" spans="1:23" s="194" customFormat="1" ht="40.4" customHeight="1" x14ac:dyDescent="0.35">
      <c r="A1002" s="770"/>
      <c r="B1002" s="767"/>
      <c r="C1002" s="761"/>
      <c r="D1002" s="769"/>
      <c r="E1002" s="769"/>
      <c r="F1002" s="208"/>
      <c r="G1002" s="763"/>
      <c r="H1002" s="744"/>
      <c r="I1002" s="765"/>
      <c r="J1002" s="730"/>
      <c r="K1002" s="761"/>
      <c r="L1002" s="761"/>
      <c r="M1002" s="730"/>
      <c r="N1002" s="730"/>
    </row>
    <row r="1003" spans="1:23" s="194" customFormat="1" ht="40.4" customHeight="1" x14ac:dyDescent="0.35">
      <c r="A1003" s="770" t="str">
        <f ca="1">INDIRECT("'update Helper'!C"&amp;U1003)</f>
        <v>a163p000004NtWjAAK</v>
      </c>
      <c r="B1003" s="766">
        <v>10</v>
      </c>
      <c r="C1003" s="760" t="str">
        <f>VLOOKUP(B1003,'Coverage Indicators - Section D'!$A$9:$AU$70,47,FALSE)</f>
        <v>TCP-1⁽ᴹ⁾ Número de casos notificados de todas las formas de tuberculosis (esto es, confirmados bacteriológicamente y con diagnóstico clínico), casos nuevos y recaídas.</v>
      </c>
      <c r="D1003" s="768" t="str">
        <f>R1003</f>
        <v/>
      </c>
      <c r="E1003" s="768" t="str">
        <f>S1003</f>
        <v/>
      </c>
      <c r="F1003" s="413"/>
      <c r="G1003" s="762" t="str">
        <f ca="1">IF(OR(INDIRECT("'update Helper'!E"&amp;U1003)="",F1003&lt;&gt;0,F1004&lt;&gt;0),IF(IFERROR((F1003/F1004),"")="","",(F1003/F1004)),INDIRECT("'update Helper'!E"&amp;U1003)/100)</f>
        <v/>
      </c>
      <c r="H1003" s="743"/>
      <c r="I1003" s="764"/>
      <c r="J1003" s="729"/>
      <c r="K1003" s="760" t="str">
        <f>W1003</f>
        <v>TCP-1⁽ᴹ⁾ Number of notified cases of all forms of TB (i.e. bacteriologically confirmed + clinically diagnosed), new and relapse cases</v>
      </c>
      <c r="L1003" s="760" t="str">
        <f>V1003</f>
        <v/>
      </c>
      <c r="M1003" s="729"/>
      <c r="N1003" s="729"/>
      <c r="P1003" s="194">
        <f>IF(AND(EXACT(C1003,C1001),C1001&lt;&gt;0),P1001+1,0)</f>
        <v>11</v>
      </c>
      <c r="Q1003" s="194" t="str">
        <f>IF(C1003&lt;&gt;"",C1003&amp;"-"&amp;P1003,"")</f>
        <v>TCP-1⁽ᴹ⁾ Número de casos notificados de todas las formas de tuberculosis (esto es, confirmados bacteriológicamente y con diagnóstico clínico), casos nuevos y recaídas.-11</v>
      </c>
      <c r="R1003" s="194" t="str">
        <f t="array" ref="R1003">IFERROR(IF(INDEX('Disaggregation Records'!$E$155:$E$385,MATCH(RIGHT(Q1003,255),RIGHT('Disaggregation Records'!$D$155:$D$385,255),0))="","",INDEX('Disaggregation Records'!$E$155:$E$385,MATCH(RIGHT(Q1003,255),RIGHT('Disaggregation Records'!$D$155:$D$385,255),0))),"")</f>
        <v/>
      </c>
      <c r="S1003" s="194" t="str">
        <f t="array" ref="S1003">IFERROR(IF(INDEX('Disaggregation Records'!$F$155:$F$385,MATCH(RIGHT(Q1003,255),RIGHT('Disaggregation Records'!$D$155:$D$385,255),0))="","",INDEX('Disaggregation Records'!$F$155:$F$385,MATCH(RIGHT(Q1003,255),RIGHT('Disaggregation Records'!$D$155:$D$385,255),0))),"")</f>
        <v/>
      </c>
      <c r="T1003" s="194" t="str">
        <f t="array" ref="T1003">IFERROR(IF(INDEX('Disaggregation Records'!$H$155:$H$385,MATCH(RIGHT(Q1003,255),RIGHT('Disaggregation Records'!$D$155:$D$385,255),0))="","",INDEX('Disaggregation Records'!$H$155:$H$385,MATCH(RIGHT(Q1003,255),RIGHT('Disaggregation Records'!$D$155:$D$385,255),0))),"")</f>
        <v/>
      </c>
      <c r="U1003" s="194">
        <f>U1001+1</f>
        <v>2691</v>
      </c>
      <c r="V1003" s="194" t="str">
        <f t="array" ref="V1003">IFERROR(IF(INDEX('Disaggregation Records'!$I$155:$I$385,MATCH(RIGHT(Q1003,255),RIGHT('Disaggregation Records'!$D$155:$D$385,255),0))="","",INDEX('Disaggregation Records'!$I$155:$I$385,MATCH(RIGHT(Q1003,255),RIGHT('Disaggregation Records'!$D$155:$D$385,255),0))),"")</f>
        <v/>
      </c>
      <c r="W1003" s="194" t="str">
        <f>IFERROR(INDEX('Reference Records'!L$77:L$157,MATCH(LEFT(C1003,255),'Reference Records'!E$77:E$157,0)),"")</f>
        <v>TCP-1⁽ᴹ⁾ Number of notified cases of all forms of TB (i.e. bacteriologically confirmed + clinically diagnosed), new and relapse cases</v>
      </c>
    </row>
    <row r="1004" spans="1:23" s="194" customFormat="1" ht="40.4" customHeight="1" x14ac:dyDescent="0.35">
      <c r="A1004" s="770"/>
      <c r="B1004" s="767"/>
      <c r="C1004" s="761"/>
      <c r="D1004" s="769"/>
      <c r="E1004" s="769"/>
      <c r="F1004" s="208"/>
      <c r="G1004" s="763"/>
      <c r="H1004" s="744"/>
      <c r="I1004" s="765"/>
      <c r="J1004" s="730"/>
      <c r="K1004" s="761"/>
      <c r="L1004" s="761"/>
      <c r="M1004" s="730"/>
      <c r="N1004" s="730"/>
    </row>
    <row r="1005" spans="1:23" s="194" customFormat="1" ht="40.4" customHeight="1" x14ac:dyDescent="0.35">
      <c r="A1005" s="770" t="str">
        <f ca="1">INDIRECT("'update Helper'!C"&amp;U1005)</f>
        <v>a163p000004NtWkAAK</v>
      </c>
      <c r="B1005" s="766">
        <v>10</v>
      </c>
      <c r="C1005" s="760" t="str">
        <f>VLOOKUP(B1005,'Coverage Indicators - Section D'!$A$9:$AU$70,47,FALSE)</f>
        <v>TCP-1⁽ᴹ⁾ Número de casos notificados de todas las formas de tuberculosis (esto es, confirmados bacteriológicamente y con diagnóstico clínico), casos nuevos y recaídas.</v>
      </c>
      <c r="D1005" s="768" t="str">
        <f>R1005</f>
        <v/>
      </c>
      <c r="E1005" s="768" t="str">
        <f>S1005</f>
        <v/>
      </c>
      <c r="F1005" s="413"/>
      <c r="G1005" s="762" t="str">
        <f ca="1">IF(OR(INDIRECT("'update Helper'!E"&amp;U1005)="",F1005&lt;&gt;0,F1006&lt;&gt;0),IF(IFERROR((F1005/F1006),"")="","",(F1005/F1006)),INDIRECT("'update Helper'!E"&amp;U1005)/100)</f>
        <v/>
      </c>
      <c r="H1005" s="743"/>
      <c r="I1005" s="764"/>
      <c r="J1005" s="729"/>
      <c r="K1005" s="760" t="str">
        <f>W1005</f>
        <v>TCP-1⁽ᴹ⁾ Number of notified cases of all forms of TB (i.e. bacteriologically confirmed + clinically diagnosed), new and relapse cases</v>
      </c>
      <c r="L1005" s="760" t="str">
        <f>V1005</f>
        <v/>
      </c>
      <c r="M1005" s="729"/>
      <c r="N1005" s="729"/>
      <c r="P1005" s="194">
        <f>IF(AND(EXACT(C1005,C1003),C1003&lt;&gt;0),P1003+1,0)</f>
        <v>12</v>
      </c>
      <c r="Q1005" s="194" t="str">
        <f>IF(C1005&lt;&gt;"",C1005&amp;"-"&amp;P1005,"")</f>
        <v>TCP-1⁽ᴹ⁾ Número de casos notificados de todas las formas de tuberculosis (esto es, confirmados bacteriológicamente y con diagnóstico clínico), casos nuevos y recaídas.-12</v>
      </c>
      <c r="R1005" s="194" t="str">
        <f t="array" ref="R1005">IFERROR(IF(INDEX('Disaggregation Records'!$E$155:$E$385,MATCH(RIGHT(Q1005,255),RIGHT('Disaggregation Records'!$D$155:$D$385,255),0))="","",INDEX('Disaggregation Records'!$E$155:$E$385,MATCH(RIGHT(Q1005,255),RIGHT('Disaggregation Records'!$D$155:$D$385,255),0))),"")</f>
        <v/>
      </c>
      <c r="S1005" s="194" t="str">
        <f t="array" ref="S1005">IFERROR(IF(INDEX('Disaggregation Records'!$F$155:$F$385,MATCH(RIGHT(Q1005,255),RIGHT('Disaggregation Records'!$D$155:$D$385,255),0))="","",INDEX('Disaggregation Records'!$F$155:$F$385,MATCH(RIGHT(Q1005,255),RIGHT('Disaggregation Records'!$D$155:$D$385,255),0))),"")</f>
        <v/>
      </c>
      <c r="T1005" s="194" t="str">
        <f t="array" ref="T1005">IFERROR(IF(INDEX('Disaggregation Records'!$H$155:$H$385,MATCH(RIGHT(Q1005,255),RIGHT('Disaggregation Records'!$D$155:$D$385,255),0))="","",INDEX('Disaggregation Records'!$H$155:$H$385,MATCH(RIGHT(Q1005,255),RIGHT('Disaggregation Records'!$D$155:$D$385,255),0))),"")</f>
        <v/>
      </c>
      <c r="U1005" s="194">
        <f>U1003+1</f>
        <v>2692</v>
      </c>
      <c r="V1005" s="194" t="str">
        <f t="array" ref="V1005">IFERROR(IF(INDEX('Disaggregation Records'!$I$155:$I$385,MATCH(RIGHT(Q1005,255),RIGHT('Disaggregation Records'!$D$155:$D$385,255),0))="","",INDEX('Disaggregation Records'!$I$155:$I$385,MATCH(RIGHT(Q1005,255),RIGHT('Disaggregation Records'!$D$155:$D$385,255),0))),"")</f>
        <v/>
      </c>
      <c r="W1005" s="194" t="str">
        <f>IFERROR(INDEX('Reference Records'!L$77:L$157,MATCH(LEFT(C1005,255),'Reference Records'!E$77:E$157,0)),"")</f>
        <v>TCP-1⁽ᴹ⁾ Number of notified cases of all forms of TB (i.e. bacteriologically confirmed + clinically diagnosed), new and relapse cases</v>
      </c>
    </row>
    <row r="1006" spans="1:23" s="194" customFormat="1" ht="40.4" customHeight="1" x14ac:dyDescent="0.35">
      <c r="A1006" s="770"/>
      <c r="B1006" s="767"/>
      <c r="C1006" s="761"/>
      <c r="D1006" s="769"/>
      <c r="E1006" s="769"/>
      <c r="F1006" s="208"/>
      <c r="G1006" s="763"/>
      <c r="H1006" s="744"/>
      <c r="I1006" s="765"/>
      <c r="J1006" s="730"/>
      <c r="K1006" s="761"/>
      <c r="L1006" s="761"/>
      <c r="M1006" s="730"/>
      <c r="N1006" s="730"/>
    </row>
    <row r="1007" spans="1:23" s="194" customFormat="1" ht="40.4" customHeight="1" x14ac:dyDescent="0.35">
      <c r="A1007" s="770" t="str">
        <f ca="1">INDIRECT("'update Helper'!C"&amp;U1007)</f>
        <v>a163p000004NtWlAAK</v>
      </c>
      <c r="B1007" s="766">
        <v>10</v>
      </c>
      <c r="C1007" s="760" t="str">
        <f>VLOOKUP(B1007,'Coverage Indicators - Section D'!$A$9:$AU$70,47,FALSE)</f>
        <v>TCP-1⁽ᴹ⁾ Número de casos notificados de todas las formas de tuberculosis (esto es, confirmados bacteriológicamente y con diagnóstico clínico), casos nuevos y recaídas.</v>
      </c>
      <c r="D1007" s="768" t="str">
        <f>R1007</f>
        <v/>
      </c>
      <c r="E1007" s="768" t="str">
        <f>S1007</f>
        <v/>
      </c>
      <c r="F1007" s="413"/>
      <c r="G1007" s="762" t="str">
        <f ca="1">IF(OR(INDIRECT("'update Helper'!E"&amp;U1007)="",F1007&lt;&gt;0,F1008&lt;&gt;0),IF(IFERROR((F1007/F1008),"")="","",(F1007/F1008)),INDIRECT("'update Helper'!E"&amp;U1007)/100)</f>
        <v/>
      </c>
      <c r="H1007" s="743"/>
      <c r="I1007" s="764"/>
      <c r="J1007" s="729"/>
      <c r="K1007" s="760" t="str">
        <f>W1007</f>
        <v>TCP-1⁽ᴹ⁾ Number of notified cases of all forms of TB (i.e. bacteriologically confirmed + clinically diagnosed), new and relapse cases</v>
      </c>
      <c r="L1007" s="760" t="str">
        <f>V1007</f>
        <v/>
      </c>
      <c r="M1007" s="729"/>
      <c r="N1007" s="729"/>
      <c r="P1007" s="194">
        <f>IF(AND(EXACT(C1007,C1005),C1005&lt;&gt;0),P1005+1,0)</f>
        <v>13</v>
      </c>
      <c r="Q1007" s="194" t="str">
        <f>IF(C1007&lt;&gt;"",C1007&amp;"-"&amp;P1007,"")</f>
        <v>TCP-1⁽ᴹ⁾ Número de casos notificados de todas las formas de tuberculosis (esto es, confirmados bacteriológicamente y con diagnóstico clínico), casos nuevos y recaídas.-13</v>
      </c>
      <c r="R1007" s="194" t="str">
        <f t="array" ref="R1007">IFERROR(IF(INDEX('Disaggregation Records'!$E$155:$E$385,MATCH(RIGHT(Q1007,255),RIGHT('Disaggregation Records'!$D$155:$D$385,255),0))="","",INDEX('Disaggregation Records'!$E$155:$E$385,MATCH(RIGHT(Q1007,255),RIGHT('Disaggregation Records'!$D$155:$D$385,255),0))),"")</f>
        <v/>
      </c>
      <c r="S1007" s="194" t="str">
        <f t="array" ref="S1007">IFERROR(IF(INDEX('Disaggregation Records'!$F$155:$F$385,MATCH(RIGHT(Q1007,255),RIGHT('Disaggregation Records'!$D$155:$D$385,255),0))="","",INDEX('Disaggregation Records'!$F$155:$F$385,MATCH(RIGHT(Q1007,255),RIGHT('Disaggregation Records'!$D$155:$D$385,255),0))),"")</f>
        <v/>
      </c>
      <c r="T1007" s="194" t="str">
        <f t="array" ref="T1007">IFERROR(IF(INDEX('Disaggregation Records'!$H$155:$H$385,MATCH(RIGHT(Q1007,255),RIGHT('Disaggregation Records'!$D$155:$D$385,255),0))="","",INDEX('Disaggregation Records'!$H$155:$H$385,MATCH(RIGHT(Q1007,255),RIGHT('Disaggregation Records'!$D$155:$D$385,255),0))),"")</f>
        <v/>
      </c>
      <c r="U1007" s="194">
        <f>U1005+1</f>
        <v>2693</v>
      </c>
      <c r="V1007" s="194" t="str">
        <f t="array" ref="V1007">IFERROR(IF(INDEX('Disaggregation Records'!$I$155:$I$385,MATCH(RIGHT(Q1007,255),RIGHT('Disaggregation Records'!$D$155:$D$385,255),0))="","",INDEX('Disaggregation Records'!$I$155:$I$385,MATCH(RIGHT(Q1007,255),RIGHT('Disaggregation Records'!$D$155:$D$385,255),0))),"")</f>
        <v/>
      </c>
      <c r="W1007" s="194" t="str">
        <f>IFERROR(INDEX('Reference Records'!L$77:L$157,MATCH(LEFT(C1007,255),'Reference Records'!E$77:E$157,0)),"")</f>
        <v>TCP-1⁽ᴹ⁾ Number of notified cases of all forms of TB (i.e. bacteriologically confirmed + clinically diagnosed), new and relapse cases</v>
      </c>
    </row>
    <row r="1008" spans="1:23" s="194" customFormat="1" ht="40.4" customHeight="1" x14ac:dyDescent="0.35">
      <c r="A1008" s="770"/>
      <c r="B1008" s="767"/>
      <c r="C1008" s="761"/>
      <c r="D1008" s="769"/>
      <c r="E1008" s="769"/>
      <c r="F1008" s="208"/>
      <c r="G1008" s="763"/>
      <c r="H1008" s="744"/>
      <c r="I1008" s="765"/>
      <c r="J1008" s="730"/>
      <c r="K1008" s="761"/>
      <c r="L1008" s="761"/>
      <c r="M1008" s="730"/>
      <c r="N1008" s="730"/>
    </row>
    <row r="1009" spans="1:23" s="194" customFormat="1" ht="40.4" customHeight="1" x14ac:dyDescent="0.35">
      <c r="A1009" s="770" t="str">
        <f ca="1">INDIRECT("'update Helper'!C"&amp;U1009)</f>
        <v>a163p000004NtWmAAK</v>
      </c>
      <c r="B1009" s="766">
        <v>10</v>
      </c>
      <c r="C1009" s="760" t="str">
        <f>VLOOKUP(B1009,'Coverage Indicators - Section D'!$A$9:$AU$70,47,FALSE)</f>
        <v>TCP-1⁽ᴹ⁾ Número de casos notificados de todas las formas de tuberculosis (esto es, confirmados bacteriológicamente y con diagnóstico clínico), casos nuevos y recaídas.</v>
      </c>
      <c r="D1009" s="768" t="str">
        <f>R1009</f>
        <v/>
      </c>
      <c r="E1009" s="768" t="str">
        <f>S1009</f>
        <v/>
      </c>
      <c r="F1009" s="413"/>
      <c r="G1009" s="762" t="str">
        <f ca="1">IF(OR(INDIRECT("'update Helper'!E"&amp;U1009)="",F1009&lt;&gt;0,F1010&lt;&gt;0),IF(IFERROR((F1009/F1010),"")="","",(F1009/F1010)),INDIRECT("'update Helper'!E"&amp;U1009)/100)</f>
        <v/>
      </c>
      <c r="H1009" s="743"/>
      <c r="I1009" s="764"/>
      <c r="J1009" s="729"/>
      <c r="K1009" s="760" t="str">
        <f>W1009</f>
        <v>TCP-1⁽ᴹ⁾ Number of notified cases of all forms of TB (i.e. bacteriologically confirmed + clinically diagnosed), new and relapse cases</v>
      </c>
      <c r="L1009" s="760" t="str">
        <f>V1009</f>
        <v/>
      </c>
      <c r="M1009" s="729"/>
      <c r="N1009" s="729"/>
      <c r="P1009" s="194">
        <f>IF(AND(EXACT(C1009,C1007),C1007&lt;&gt;0),P1007+1,0)</f>
        <v>14</v>
      </c>
      <c r="Q1009" s="194" t="str">
        <f>IF(C1009&lt;&gt;"",C1009&amp;"-"&amp;P1009,"")</f>
        <v>TCP-1⁽ᴹ⁾ Número de casos notificados de todas las formas de tuberculosis (esto es, confirmados bacteriológicamente y con diagnóstico clínico), casos nuevos y recaídas.-14</v>
      </c>
      <c r="R1009" s="194" t="str">
        <f t="array" ref="R1009">IFERROR(IF(INDEX('Disaggregation Records'!$E$155:$E$385,MATCH(RIGHT(Q1009,255),RIGHT('Disaggregation Records'!$D$155:$D$385,255),0))="","",INDEX('Disaggregation Records'!$E$155:$E$385,MATCH(RIGHT(Q1009,255),RIGHT('Disaggregation Records'!$D$155:$D$385,255),0))),"")</f>
        <v/>
      </c>
      <c r="S1009" s="194" t="str">
        <f t="array" ref="S1009">IFERROR(IF(INDEX('Disaggregation Records'!$F$155:$F$385,MATCH(RIGHT(Q1009,255),RIGHT('Disaggregation Records'!$D$155:$D$385,255),0))="","",INDEX('Disaggregation Records'!$F$155:$F$385,MATCH(RIGHT(Q1009,255),RIGHT('Disaggregation Records'!$D$155:$D$385,255),0))),"")</f>
        <v/>
      </c>
      <c r="T1009" s="194" t="str">
        <f t="array" ref="T1009">IFERROR(IF(INDEX('Disaggregation Records'!$H$155:$H$385,MATCH(RIGHT(Q1009,255),RIGHT('Disaggregation Records'!$D$155:$D$385,255),0))="","",INDEX('Disaggregation Records'!$H$155:$H$385,MATCH(RIGHT(Q1009,255),RIGHT('Disaggregation Records'!$D$155:$D$385,255),0))),"")</f>
        <v/>
      </c>
      <c r="U1009" s="194">
        <f>U1007+1</f>
        <v>2694</v>
      </c>
      <c r="V1009" s="194" t="str">
        <f t="array" ref="V1009">IFERROR(IF(INDEX('Disaggregation Records'!$I$155:$I$385,MATCH(RIGHT(Q1009,255),RIGHT('Disaggregation Records'!$D$155:$D$385,255),0))="","",INDEX('Disaggregation Records'!$I$155:$I$385,MATCH(RIGHT(Q1009,255),RIGHT('Disaggregation Records'!$D$155:$D$385,255),0))),"")</f>
        <v/>
      </c>
      <c r="W1009" s="194" t="str">
        <f>IFERROR(INDEX('Reference Records'!L$77:L$157,MATCH(LEFT(C1009,255),'Reference Records'!E$77:E$157,0)),"")</f>
        <v>TCP-1⁽ᴹ⁾ Number of notified cases of all forms of TB (i.e. bacteriologically confirmed + clinically diagnosed), new and relapse cases</v>
      </c>
    </row>
    <row r="1010" spans="1:23" s="194" customFormat="1" ht="40.4" customHeight="1" x14ac:dyDescent="0.35">
      <c r="A1010" s="770"/>
      <c r="B1010" s="767"/>
      <c r="C1010" s="761"/>
      <c r="D1010" s="769"/>
      <c r="E1010" s="769"/>
      <c r="F1010" s="208"/>
      <c r="G1010" s="763"/>
      <c r="H1010" s="744"/>
      <c r="I1010" s="765"/>
      <c r="J1010" s="730"/>
      <c r="K1010" s="761"/>
      <c r="L1010" s="761"/>
      <c r="M1010" s="730"/>
      <c r="N1010" s="730"/>
    </row>
    <row r="1011" spans="1:23" s="194" customFormat="1" ht="40.4" customHeight="1" x14ac:dyDescent="0.35">
      <c r="A1011" s="770" t="str">
        <f ca="1">INDIRECT("'update Helper'!C"&amp;U1011)</f>
        <v>a163p000004NtWnAAK</v>
      </c>
      <c r="B1011" s="766">
        <v>10</v>
      </c>
      <c r="C1011" s="760" t="str">
        <f>VLOOKUP(B1011,'Coverage Indicators - Section D'!$A$9:$AU$70,47,FALSE)</f>
        <v>TCP-1⁽ᴹ⁾ Número de casos notificados de todas las formas de tuberculosis (esto es, confirmados bacteriológicamente y con diagnóstico clínico), casos nuevos y recaídas.</v>
      </c>
      <c r="D1011" s="768" t="str">
        <f>R1011</f>
        <v/>
      </c>
      <c r="E1011" s="768" t="str">
        <f>S1011</f>
        <v/>
      </c>
      <c r="F1011" s="413"/>
      <c r="G1011" s="762" t="str">
        <f ca="1">IF(OR(INDIRECT("'update Helper'!E"&amp;U1011)="",F1011&lt;&gt;0,F1012&lt;&gt;0),IF(IFERROR((F1011/F1012),"")="","",(F1011/F1012)),INDIRECT("'update Helper'!E"&amp;U1011)/100)</f>
        <v/>
      </c>
      <c r="H1011" s="743"/>
      <c r="I1011" s="764"/>
      <c r="J1011" s="729"/>
      <c r="K1011" s="760" t="str">
        <f>W1011</f>
        <v>TCP-1⁽ᴹ⁾ Number of notified cases of all forms of TB (i.e. bacteriologically confirmed + clinically diagnosed), new and relapse cases</v>
      </c>
      <c r="L1011" s="760" t="str">
        <f>V1011</f>
        <v/>
      </c>
      <c r="M1011" s="729"/>
      <c r="N1011" s="729"/>
      <c r="P1011" s="194">
        <f>IF(AND(EXACT(C1011,C1009),C1009&lt;&gt;0),P1009+1,0)</f>
        <v>15</v>
      </c>
      <c r="Q1011" s="194" t="str">
        <f>IF(C1011&lt;&gt;"",C1011&amp;"-"&amp;P1011,"")</f>
        <v>TCP-1⁽ᴹ⁾ Número de casos notificados de todas las formas de tuberculosis (esto es, confirmados bacteriológicamente y con diagnóstico clínico), casos nuevos y recaídas.-15</v>
      </c>
      <c r="R1011" s="194" t="str">
        <f t="array" ref="R1011">IFERROR(IF(INDEX('Disaggregation Records'!$E$155:$E$385,MATCH(RIGHT(Q1011,255),RIGHT('Disaggregation Records'!$D$155:$D$385,255),0))="","",INDEX('Disaggregation Records'!$E$155:$E$385,MATCH(RIGHT(Q1011,255),RIGHT('Disaggregation Records'!$D$155:$D$385,255),0))),"")</f>
        <v/>
      </c>
      <c r="S1011" s="194" t="str">
        <f t="array" ref="S1011">IFERROR(IF(INDEX('Disaggregation Records'!$F$155:$F$385,MATCH(RIGHT(Q1011,255),RIGHT('Disaggregation Records'!$D$155:$D$385,255),0))="","",INDEX('Disaggregation Records'!$F$155:$F$385,MATCH(RIGHT(Q1011,255),RIGHT('Disaggregation Records'!$D$155:$D$385,255),0))),"")</f>
        <v/>
      </c>
      <c r="T1011" s="194" t="str">
        <f t="array" ref="T1011">IFERROR(IF(INDEX('Disaggregation Records'!$H$155:$H$385,MATCH(RIGHT(Q1011,255),RIGHT('Disaggregation Records'!$D$155:$D$385,255),0))="","",INDEX('Disaggregation Records'!$H$155:$H$385,MATCH(RIGHT(Q1011,255),RIGHT('Disaggregation Records'!$D$155:$D$385,255),0))),"")</f>
        <v/>
      </c>
      <c r="U1011" s="194">
        <f>U1009+1</f>
        <v>2695</v>
      </c>
      <c r="V1011" s="194" t="str">
        <f t="array" ref="V1011">IFERROR(IF(INDEX('Disaggregation Records'!$I$155:$I$385,MATCH(RIGHT(Q1011,255),RIGHT('Disaggregation Records'!$D$155:$D$385,255),0))="","",INDEX('Disaggregation Records'!$I$155:$I$385,MATCH(RIGHT(Q1011,255),RIGHT('Disaggregation Records'!$D$155:$D$385,255),0))),"")</f>
        <v/>
      </c>
      <c r="W1011" s="194" t="str">
        <f>IFERROR(INDEX('Reference Records'!L$77:L$157,MATCH(LEFT(C1011,255),'Reference Records'!E$77:E$157,0)),"")</f>
        <v>TCP-1⁽ᴹ⁾ Number of notified cases of all forms of TB (i.e. bacteriologically confirmed + clinically diagnosed), new and relapse cases</v>
      </c>
    </row>
    <row r="1012" spans="1:23" s="194" customFormat="1" ht="40.4" customHeight="1" x14ac:dyDescent="0.35">
      <c r="A1012" s="770"/>
      <c r="B1012" s="767"/>
      <c r="C1012" s="761"/>
      <c r="D1012" s="769"/>
      <c r="E1012" s="769"/>
      <c r="F1012" s="208"/>
      <c r="G1012" s="763"/>
      <c r="H1012" s="744"/>
      <c r="I1012" s="765"/>
      <c r="J1012" s="730"/>
      <c r="K1012" s="761"/>
      <c r="L1012" s="761"/>
      <c r="M1012" s="730"/>
      <c r="N1012" s="730"/>
    </row>
    <row r="1013" spans="1:23" s="194" customFormat="1" ht="40.4" customHeight="1" x14ac:dyDescent="0.35">
      <c r="A1013" s="770" t="str">
        <f ca="1">INDIRECT("'update Helper'!C"&amp;U1013)</f>
        <v>a163p000004NtWoAAK</v>
      </c>
      <c r="B1013" s="766">
        <v>10</v>
      </c>
      <c r="C1013" s="760" t="str">
        <f>VLOOKUP(B1013,'Coverage Indicators - Section D'!$A$9:$AU$70,47,FALSE)</f>
        <v>TCP-1⁽ᴹ⁾ Número de casos notificados de todas las formas de tuberculosis (esto es, confirmados bacteriológicamente y con diagnóstico clínico), casos nuevos y recaídas.</v>
      </c>
      <c r="D1013" s="768" t="str">
        <f>R1013</f>
        <v/>
      </c>
      <c r="E1013" s="768" t="str">
        <f>S1013</f>
        <v/>
      </c>
      <c r="F1013" s="413"/>
      <c r="G1013" s="762" t="str">
        <f ca="1">IF(OR(INDIRECT("'update Helper'!E"&amp;U1013)="",F1013&lt;&gt;0,F1014&lt;&gt;0),IF(IFERROR((F1013/F1014),"")="","",(F1013/F1014)),INDIRECT("'update Helper'!E"&amp;U1013)/100)</f>
        <v/>
      </c>
      <c r="H1013" s="743"/>
      <c r="I1013" s="764"/>
      <c r="J1013" s="729"/>
      <c r="K1013" s="760" t="str">
        <f>W1013</f>
        <v>TCP-1⁽ᴹ⁾ Number of notified cases of all forms of TB (i.e. bacteriologically confirmed + clinically diagnosed), new and relapse cases</v>
      </c>
      <c r="L1013" s="760" t="str">
        <f>V1013</f>
        <v/>
      </c>
      <c r="M1013" s="729"/>
      <c r="N1013" s="729"/>
      <c r="P1013" s="194">
        <f>IF(AND(EXACT(C1013,C1011),C1011&lt;&gt;0),P1011+1,0)</f>
        <v>16</v>
      </c>
      <c r="Q1013" s="194" t="str">
        <f>IF(C1013&lt;&gt;"",C1013&amp;"-"&amp;P1013,"")</f>
        <v>TCP-1⁽ᴹ⁾ Número de casos notificados de todas las formas de tuberculosis (esto es, confirmados bacteriológicamente y con diagnóstico clínico), casos nuevos y recaídas.-16</v>
      </c>
      <c r="R1013" s="194" t="str">
        <f t="array" ref="R1013">IFERROR(IF(INDEX('Disaggregation Records'!$E$155:$E$385,MATCH(RIGHT(Q1013,255),RIGHT('Disaggregation Records'!$D$155:$D$385,255),0))="","",INDEX('Disaggregation Records'!$E$155:$E$385,MATCH(RIGHT(Q1013,255),RIGHT('Disaggregation Records'!$D$155:$D$385,255),0))),"")</f>
        <v/>
      </c>
      <c r="S1013" s="194" t="str">
        <f t="array" ref="S1013">IFERROR(IF(INDEX('Disaggregation Records'!$F$155:$F$385,MATCH(RIGHT(Q1013,255),RIGHT('Disaggregation Records'!$D$155:$D$385,255),0))="","",INDEX('Disaggregation Records'!$F$155:$F$385,MATCH(RIGHT(Q1013,255),RIGHT('Disaggregation Records'!$D$155:$D$385,255),0))),"")</f>
        <v/>
      </c>
      <c r="T1013" s="194" t="str">
        <f t="array" ref="T1013">IFERROR(IF(INDEX('Disaggregation Records'!$H$155:$H$385,MATCH(RIGHT(Q1013,255),RIGHT('Disaggregation Records'!$D$155:$D$385,255),0))="","",INDEX('Disaggregation Records'!$H$155:$H$385,MATCH(RIGHT(Q1013,255),RIGHT('Disaggregation Records'!$D$155:$D$385,255),0))),"")</f>
        <v/>
      </c>
      <c r="U1013" s="194">
        <f>U1011+1</f>
        <v>2696</v>
      </c>
      <c r="V1013" s="194" t="str">
        <f t="array" ref="V1013">IFERROR(IF(INDEX('Disaggregation Records'!$I$155:$I$385,MATCH(RIGHT(Q1013,255),RIGHT('Disaggregation Records'!$D$155:$D$385,255),0))="","",INDEX('Disaggregation Records'!$I$155:$I$385,MATCH(RIGHT(Q1013,255),RIGHT('Disaggregation Records'!$D$155:$D$385,255),0))),"")</f>
        <v/>
      </c>
      <c r="W1013" s="194" t="str">
        <f>IFERROR(INDEX('Reference Records'!L$77:L$157,MATCH(LEFT(C1013,255),'Reference Records'!E$77:E$157,0)),"")</f>
        <v>TCP-1⁽ᴹ⁾ Number of notified cases of all forms of TB (i.e. bacteriologically confirmed + clinically diagnosed), new and relapse cases</v>
      </c>
    </row>
    <row r="1014" spans="1:23" s="194" customFormat="1" ht="40.4" customHeight="1" x14ac:dyDescent="0.35">
      <c r="A1014" s="770"/>
      <c r="B1014" s="767"/>
      <c r="C1014" s="761"/>
      <c r="D1014" s="769"/>
      <c r="E1014" s="769"/>
      <c r="F1014" s="208"/>
      <c r="G1014" s="763"/>
      <c r="H1014" s="744"/>
      <c r="I1014" s="765"/>
      <c r="J1014" s="730"/>
      <c r="K1014" s="761"/>
      <c r="L1014" s="761"/>
      <c r="M1014" s="730"/>
      <c r="N1014" s="730"/>
    </row>
    <row r="1015" spans="1:23" s="194" customFormat="1" ht="40.4" customHeight="1" x14ac:dyDescent="0.35">
      <c r="A1015" s="770" t="str">
        <f ca="1">INDIRECT("'update Helper'!C"&amp;U1015)</f>
        <v>a163p000004NtWpAAK</v>
      </c>
      <c r="B1015" s="766">
        <v>10</v>
      </c>
      <c r="C1015" s="760" t="str">
        <f>VLOOKUP(B1015,'Coverage Indicators - Section D'!$A$9:$AU$70,47,FALSE)</f>
        <v>TCP-1⁽ᴹ⁾ Número de casos notificados de todas las formas de tuberculosis (esto es, confirmados bacteriológicamente y con diagnóstico clínico), casos nuevos y recaídas.</v>
      </c>
      <c r="D1015" s="768" t="str">
        <f>R1015</f>
        <v/>
      </c>
      <c r="E1015" s="768" t="str">
        <f>S1015</f>
        <v/>
      </c>
      <c r="F1015" s="413"/>
      <c r="G1015" s="762" t="str">
        <f ca="1">IF(OR(INDIRECT("'update Helper'!E"&amp;U1015)="",F1015&lt;&gt;0,F1016&lt;&gt;0),IF(IFERROR((F1015/F1016),"")="","",(F1015/F1016)),INDIRECT("'update Helper'!E"&amp;U1015)/100)</f>
        <v/>
      </c>
      <c r="H1015" s="743"/>
      <c r="I1015" s="764"/>
      <c r="J1015" s="729"/>
      <c r="K1015" s="760" t="str">
        <f>W1015</f>
        <v>TCP-1⁽ᴹ⁾ Number of notified cases of all forms of TB (i.e. bacteriologically confirmed + clinically diagnosed), new and relapse cases</v>
      </c>
      <c r="L1015" s="760" t="str">
        <f>V1015</f>
        <v/>
      </c>
      <c r="M1015" s="729"/>
      <c r="N1015" s="729"/>
      <c r="P1015" s="194">
        <f>IF(AND(EXACT(C1015,C1013),C1013&lt;&gt;0),P1013+1,0)</f>
        <v>17</v>
      </c>
      <c r="Q1015" s="194" t="str">
        <f>IF(C1015&lt;&gt;"",C1015&amp;"-"&amp;P1015,"")</f>
        <v>TCP-1⁽ᴹ⁾ Número de casos notificados de todas las formas de tuberculosis (esto es, confirmados bacteriológicamente y con diagnóstico clínico), casos nuevos y recaídas.-17</v>
      </c>
      <c r="R1015" s="194" t="str">
        <f t="array" ref="R1015">IFERROR(IF(INDEX('Disaggregation Records'!$E$155:$E$385,MATCH(RIGHT(Q1015,255),RIGHT('Disaggregation Records'!$D$155:$D$385,255),0))="","",INDEX('Disaggregation Records'!$E$155:$E$385,MATCH(RIGHT(Q1015,255),RIGHT('Disaggregation Records'!$D$155:$D$385,255),0))),"")</f>
        <v/>
      </c>
      <c r="S1015" s="194" t="str">
        <f t="array" ref="S1015">IFERROR(IF(INDEX('Disaggregation Records'!$F$155:$F$385,MATCH(RIGHT(Q1015,255),RIGHT('Disaggregation Records'!$D$155:$D$385,255),0))="","",INDEX('Disaggregation Records'!$F$155:$F$385,MATCH(RIGHT(Q1015,255),RIGHT('Disaggregation Records'!$D$155:$D$385,255),0))),"")</f>
        <v/>
      </c>
      <c r="T1015" s="194" t="str">
        <f t="array" ref="T1015">IFERROR(IF(INDEX('Disaggregation Records'!$H$155:$H$385,MATCH(RIGHT(Q1015,255),RIGHT('Disaggregation Records'!$D$155:$D$385,255),0))="","",INDEX('Disaggregation Records'!$H$155:$H$385,MATCH(RIGHT(Q1015,255),RIGHT('Disaggregation Records'!$D$155:$D$385,255),0))),"")</f>
        <v/>
      </c>
      <c r="U1015" s="194">
        <f>U1013+1</f>
        <v>2697</v>
      </c>
      <c r="V1015" s="194" t="str">
        <f t="array" ref="V1015">IFERROR(IF(INDEX('Disaggregation Records'!$I$155:$I$385,MATCH(RIGHT(Q1015,255),RIGHT('Disaggregation Records'!$D$155:$D$385,255),0))="","",INDEX('Disaggregation Records'!$I$155:$I$385,MATCH(RIGHT(Q1015,255),RIGHT('Disaggregation Records'!$D$155:$D$385,255),0))),"")</f>
        <v/>
      </c>
      <c r="W1015" s="194" t="str">
        <f>IFERROR(INDEX('Reference Records'!L$77:L$157,MATCH(LEFT(C1015,255),'Reference Records'!E$77:E$157,0)),"")</f>
        <v>TCP-1⁽ᴹ⁾ Number of notified cases of all forms of TB (i.e. bacteriologically confirmed + clinically diagnosed), new and relapse cases</v>
      </c>
    </row>
    <row r="1016" spans="1:23" s="194" customFormat="1" ht="40.4" customHeight="1" x14ac:dyDescent="0.35">
      <c r="A1016" s="770"/>
      <c r="B1016" s="767"/>
      <c r="C1016" s="761"/>
      <c r="D1016" s="769"/>
      <c r="E1016" s="769"/>
      <c r="F1016" s="208"/>
      <c r="G1016" s="763"/>
      <c r="H1016" s="744"/>
      <c r="I1016" s="765"/>
      <c r="J1016" s="730"/>
      <c r="K1016" s="761"/>
      <c r="L1016" s="761"/>
      <c r="M1016" s="730"/>
      <c r="N1016" s="730"/>
    </row>
    <row r="1017" spans="1:23" s="194" customFormat="1" ht="40.4" customHeight="1" x14ac:dyDescent="0.35">
      <c r="A1017" s="770" t="str">
        <f ca="1">INDIRECT("'update Helper'!C"&amp;U1017)</f>
        <v>a163p000004NtWqAAK</v>
      </c>
      <c r="B1017" s="766">
        <v>10</v>
      </c>
      <c r="C1017" s="760" t="str">
        <f>VLOOKUP(B1017,'Coverage Indicators - Section D'!$A$9:$AU$70,47,FALSE)</f>
        <v>TCP-1⁽ᴹ⁾ Número de casos notificados de todas las formas de tuberculosis (esto es, confirmados bacteriológicamente y con diagnóstico clínico), casos nuevos y recaídas.</v>
      </c>
      <c r="D1017" s="768" t="str">
        <f>R1017</f>
        <v/>
      </c>
      <c r="E1017" s="768" t="str">
        <f>S1017</f>
        <v/>
      </c>
      <c r="F1017" s="413"/>
      <c r="G1017" s="762" t="str">
        <f ca="1">IF(OR(INDIRECT("'update Helper'!E"&amp;U1017)="",F1017&lt;&gt;0,F1018&lt;&gt;0),IF(IFERROR((F1017/F1018),"")="","",(F1017/F1018)),INDIRECT("'update Helper'!E"&amp;U1017)/100)</f>
        <v/>
      </c>
      <c r="H1017" s="743"/>
      <c r="I1017" s="764"/>
      <c r="J1017" s="729"/>
      <c r="K1017" s="760" t="str">
        <f>W1017</f>
        <v>TCP-1⁽ᴹ⁾ Number of notified cases of all forms of TB (i.e. bacteriologically confirmed + clinically diagnosed), new and relapse cases</v>
      </c>
      <c r="L1017" s="760" t="str">
        <f>V1017</f>
        <v/>
      </c>
      <c r="M1017" s="729"/>
      <c r="N1017" s="729"/>
      <c r="P1017" s="194">
        <f>IF(AND(EXACT(C1017,C1015),C1015&lt;&gt;0),P1015+1,0)</f>
        <v>18</v>
      </c>
      <c r="Q1017" s="194" t="str">
        <f>IF(C1017&lt;&gt;"",C1017&amp;"-"&amp;P1017,"")</f>
        <v>TCP-1⁽ᴹ⁾ Número de casos notificados de todas las formas de tuberculosis (esto es, confirmados bacteriológicamente y con diagnóstico clínico), casos nuevos y recaídas.-18</v>
      </c>
      <c r="R1017" s="194" t="str">
        <f t="array" ref="R1017">IFERROR(IF(INDEX('Disaggregation Records'!$E$155:$E$385,MATCH(RIGHT(Q1017,255),RIGHT('Disaggregation Records'!$D$155:$D$385,255),0))="","",INDEX('Disaggregation Records'!$E$155:$E$385,MATCH(RIGHT(Q1017,255),RIGHT('Disaggregation Records'!$D$155:$D$385,255),0))),"")</f>
        <v/>
      </c>
      <c r="S1017" s="194" t="str">
        <f t="array" ref="S1017">IFERROR(IF(INDEX('Disaggregation Records'!$F$155:$F$385,MATCH(RIGHT(Q1017,255),RIGHT('Disaggregation Records'!$D$155:$D$385,255),0))="","",INDEX('Disaggregation Records'!$F$155:$F$385,MATCH(RIGHT(Q1017,255),RIGHT('Disaggregation Records'!$D$155:$D$385,255),0))),"")</f>
        <v/>
      </c>
      <c r="T1017" s="194" t="str">
        <f t="array" ref="T1017">IFERROR(IF(INDEX('Disaggregation Records'!$H$155:$H$385,MATCH(RIGHT(Q1017,255),RIGHT('Disaggregation Records'!$D$155:$D$385,255),0))="","",INDEX('Disaggregation Records'!$H$155:$H$385,MATCH(RIGHT(Q1017,255),RIGHT('Disaggregation Records'!$D$155:$D$385,255),0))),"")</f>
        <v/>
      </c>
      <c r="U1017" s="194">
        <f>U1015+1</f>
        <v>2698</v>
      </c>
      <c r="V1017" s="194" t="str">
        <f t="array" ref="V1017">IFERROR(IF(INDEX('Disaggregation Records'!$I$155:$I$385,MATCH(RIGHT(Q1017,255),RIGHT('Disaggregation Records'!$D$155:$D$385,255),0))="","",INDEX('Disaggregation Records'!$I$155:$I$385,MATCH(RIGHT(Q1017,255),RIGHT('Disaggregation Records'!$D$155:$D$385,255),0))),"")</f>
        <v/>
      </c>
      <c r="W1017" s="194" t="str">
        <f>IFERROR(INDEX('Reference Records'!L$77:L$157,MATCH(LEFT(C1017,255),'Reference Records'!E$77:E$157,0)),"")</f>
        <v>TCP-1⁽ᴹ⁾ Number of notified cases of all forms of TB (i.e. bacteriologically confirmed + clinically diagnosed), new and relapse cases</v>
      </c>
    </row>
    <row r="1018" spans="1:23" s="194" customFormat="1" ht="40.4" customHeight="1" x14ac:dyDescent="0.35">
      <c r="A1018" s="770"/>
      <c r="B1018" s="767"/>
      <c r="C1018" s="761"/>
      <c r="D1018" s="769"/>
      <c r="E1018" s="769"/>
      <c r="F1018" s="208"/>
      <c r="G1018" s="763"/>
      <c r="H1018" s="744"/>
      <c r="I1018" s="765"/>
      <c r="J1018" s="730"/>
      <c r="K1018" s="761"/>
      <c r="L1018" s="761"/>
      <c r="M1018" s="730"/>
      <c r="N1018" s="730"/>
    </row>
    <row r="1019" spans="1:23" s="194" customFormat="1" ht="40.4" customHeight="1" x14ac:dyDescent="0.35">
      <c r="A1019" s="770" t="str">
        <f ca="1">INDIRECT("'update Helper'!C"&amp;U1019)</f>
        <v>a163p000004NtWrAAK</v>
      </c>
      <c r="B1019" s="766">
        <v>10</v>
      </c>
      <c r="C1019" s="760" t="str">
        <f>VLOOKUP(B1019,'Coverage Indicators - Section D'!$A$9:$AU$70,47,FALSE)</f>
        <v>TCP-1⁽ᴹ⁾ Número de casos notificados de todas las formas de tuberculosis (esto es, confirmados bacteriológicamente y con diagnóstico clínico), casos nuevos y recaídas.</v>
      </c>
      <c r="D1019" s="768" t="str">
        <f>R1019</f>
        <v/>
      </c>
      <c r="E1019" s="768" t="str">
        <f>S1019</f>
        <v/>
      </c>
      <c r="F1019" s="413"/>
      <c r="G1019" s="762" t="str">
        <f ca="1">IF(OR(INDIRECT("'update Helper'!E"&amp;U1019)="",F1019&lt;&gt;0,F1020&lt;&gt;0),IF(IFERROR((F1019/F1020),"")="","",(F1019/F1020)),INDIRECT("'update Helper'!E"&amp;U1019)/100)</f>
        <v/>
      </c>
      <c r="H1019" s="743"/>
      <c r="I1019" s="764"/>
      <c r="J1019" s="729"/>
      <c r="K1019" s="760" t="str">
        <f>W1019</f>
        <v>TCP-1⁽ᴹ⁾ Number of notified cases of all forms of TB (i.e. bacteriologically confirmed + clinically diagnosed), new and relapse cases</v>
      </c>
      <c r="L1019" s="760" t="str">
        <f>V1019</f>
        <v/>
      </c>
      <c r="M1019" s="729"/>
      <c r="N1019" s="729"/>
      <c r="P1019" s="194">
        <f>IF(AND(EXACT(C1019,C1017),C1017&lt;&gt;0),P1017+1,0)</f>
        <v>19</v>
      </c>
      <c r="Q1019" s="194" t="str">
        <f>IF(C1019&lt;&gt;"",C1019&amp;"-"&amp;P1019,"")</f>
        <v>TCP-1⁽ᴹ⁾ Número de casos notificados de todas las formas de tuberculosis (esto es, confirmados bacteriológicamente y con diagnóstico clínico), casos nuevos y recaídas.-19</v>
      </c>
      <c r="R1019" s="194" t="str">
        <f t="array" ref="R1019">IFERROR(IF(INDEX('Disaggregation Records'!$E$155:$E$385,MATCH(RIGHT(Q1019,255),RIGHT('Disaggregation Records'!$D$155:$D$385,255),0))="","",INDEX('Disaggregation Records'!$E$155:$E$385,MATCH(RIGHT(Q1019,255),RIGHT('Disaggregation Records'!$D$155:$D$385,255),0))),"")</f>
        <v/>
      </c>
      <c r="S1019" s="194" t="str">
        <f t="array" ref="S1019">IFERROR(IF(INDEX('Disaggregation Records'!$F$155:$F$385,MATCH(RIGHT(Q1019,255),RIGHT('Disaggregation Records'!$D$155:$D$385,255),0))="","",INDEX('Disaggregation Records'!$F$155:$F$385,MATCH(RIGHT(Q1019,255),RIGHT('Disaggregation Records'!$D$155:$D$385,255),0))),"")</f>
        <v/>
      </c>
      <c r="T1019" s="194" t="str">
        <f t="array" ref="T1019">IFERROR(IF(INDEX('Disaggregation Records'!$H$155:$H$385,MATCH(RIGHT(Q1019,255),RIGHT('Disaggregation Records'!$D$155:$D$385,255),0))="","",INDEX('Disaggregation Records'!$H$155:$H$385,MATCH(RIGHT(Q1019,255),RIGHT('Disaggregation Records'!$D$155:$D$385,255),0))),"")</f>
        <v/>
      </c>
      <c r="U1019" s="194">
        <f>U1017+1</f>
        <v>2699</v>
      </c>
      <c r="V1019" s="194" t="str">
        <f t="array" ref="V1019">IFERROR(IF(INDEX('Disaggregation Records'!$I$155:$I$385,MATCH(RIGHT(Q1019,255),RIGHT('Disaggregation Records'!$D$155:$D$385,255),0))="","",INDEX('Disaggregation Records'!$I$155:$I$385,MATCH(RIGHT(Q1019,255),RIGHT('Disaggregation Records'!$D$155:$D$385,255),0))),"")</f>
        <v/>
      </c>
      <c r="W1019" s="194" t="str">
        <f>IFERROR(INDEX('Reference Records'!L$77:L$157,MATCH(LEFT(C1019,255),'Reference Records'!E$77:E$157,0)),"")</f>
        <v>TCP-1⁽ᴹ⁾ Number of notified cases of all forms of TB (i.e. bacteriologically confirmed + clinically diagnosed), new and relapse cases</v>
      </c>
    </row>
    <row r="1020" spans="1:23" s="194" customFormat="1" ht="40.4" customHeight="1" x14ac:dyDescent="0.35">
      <c r="A1020" s="770"/>
      <c r="B1020" s="767"/>
      <c r="C1020" s="761"/>
      <c r="D1020" s="769"/>
      <c r="E1020" s="769"/>
      <c r="F1020" s="208"/>
      <c r="G1020" s="763"/>
      <c r="H1020" s="744"/>
      <c r="I1020" s="765"/>
      <c r="J1020" s="730"/>
      <c r="K1020" s="761"/>
      <c r="L1020" s="761"/>
      <c r="M1020" s="730"/>
      <c r="N1020" s="730"/>
    </row>
    <row r="1021" spans="1:23" s="194" customFormat="1" ht="40.4" customHeight="1" x14ac:dyDescent="0.35">
      <c r="A1021" s="770" t="str">
        <f ca="1">INDIRECT("'update Helper'!C"&amp;U1021)</f>
        <v>a163p000004NtNCAA0</v>
      </c>
      <c r="B1021" s="766">
        <v>11</v>
      </c>
      <c r="C1021" s="760" t="str">
        <f>VLOOKUP(B1021,'Coverage Indicators - Section D'!$A$9:$AU$70,47,FALSE)</f>
        <v>KP-1c⁽ᴹ⁾ Porcentaje de trabajadores sexuales alcanzados por programas de prevención del VIH - paquete definido de servicios</v>
      </c>
      <c r="D1021" s="768" t="str">
        <f>R1021</f>
        <v>Género</v>
      </c>
      <c r="E1021" s="768" t="str">
        <f>S1021</f>
        <v>Transgénero</v>
      </c>
      <c r="F1021" s="413"/>
      <c r="G1021" s="762" t="str">
        <f ca="1">IF(OR(INDIRECT("'update Helper'!E"&amp;U1021)="",F1021&lt;&gt;0,F1022&lt;&gt;0),IF(IFERROR((F1021/F1022),"")="","",(F1021/F1022)),INDIRECT("'update Helper'!E"&amp;U1021)/100)</f>
        <v/>
      </c>
      <c r="H1021" s="743"/>
      <c r="I1021" s="764"/>
      <c r="J1021" s="729" t="s">
        <v>9912</v>
      </c>
      <c r="K1021" s="760" t="str">
        <f>W1021</f>
        <v>KP-1c⁽ᴹ⁾ Percentage of sex workers reached with HIV prevention programs - defined package of services</v>
      </c>
      <c r="L1021" s="760" t="str">
        <f>V1021</f>
        <v>Gender</v>
      </c>
      <c r="M1021" s="729"/>
      <c r="N1021" s="729" t="s">
        <v>4037</v>
      </c>
      <c r="P1021" s="194">
        <f>IF(AND(EXACT(C1021,C1019),C1019&lt;&gt;0),P1019+1,0)</f>
        <v>0</v>
      </c>
      <c r="Q1021" s="194" t="str">
        <f>IF(C1021&lt;&gt;"",C1021&amp;"-"&amp;P1021,"")</f>
        <v>KP-1c⁽ᴹ⁾ Porcentaje de trabajadores sexuales alcanzados por programas de prevención del VIH - paquete definido de servicios-0</v>
      </c>
      <c r="R1021" s="194" t="str">
        <f t="array" ref="R1021">IFERROR(IF(INDEX('Disaggregation Records'!$E$155:$E$385,MATCH(RIGHT(Q1021,255),RIGHT('Disaggregation Records'!$D$155:$D$385,255),0))="","",INDEX('Disaggregation Records'!$E$155:$E$385,MATCH(RIGHT(Q1021,255),RIGHT('Disaggregation Records'!$D$155:$D$385,255),0))),"")</f>
        <v>Género</v>
      </c>
      <c r="S1021" s="194" t="str">
        <f t="array" ref="S1021">IFERROR(IF(INDEX('Disaggregation Records'!$F$155:$F$385,MATCH(RIGHT(Q1021,255),RIGHT('Disaggregation Records'!$D$155:$D$385,255),0))="","",INDEX('Disaggregation Records'!$F$155:$F$385,MATCH(RIGHT(Q1021,255),RIGHT('Disaggregation Records'!$D$155:$D$385,255),0))),"")</f>
        <v>Transgénero</v>
      </c>
      <c r="T1021" s="194" t="str">
        <f t="array" ref="T1021">IFERROR(IF(INDEX('Disaggregation Records'!$H$155:$H$385,MATCH(RIGHT(Q1021,255),RIGHT('Disaggregation Records'!$D$155:$D$385,255),0))="","",INDEX('Disaggregation Records'!$H$155:$H$385,MATCH(RIGHT(Q1021,255),RIGHT('Disaggregation Records'!$D$155:$D$385,255),0))),"")</f>
        <v>IDR-00825</v>
      </c>
      <c r="U1021" s="194">
        <f>U1019+1</f>
        <v>2700</v>
      </c>
      <c r="V1021" s="194" t="str">
        <f t="array" ref="V1021">IFERROR(IF(INDEX('Disaggregation Records'!$I$155:$I$385,MATCH(RIGHT(Q1021,255),RIGHT('Disaggregation Records'!$D$155:$D$385,255),0))="","",INDEX('Disaggregation Records'!$I$155:$I$385,MATCH(RIGHT(Q1021,255),RIGHT('Disaggregation Records'!$D$155:$D$385,255),0))),"")</f>
        <v>Gender</v>
      </c>
      <c r="W1021" s="194" t="str">
        <f>IFERROR(INDEX('Reference Records'!L$77:L$157,MATCH(LEFT(C1021,255),'Reference Records'!E$77:E$157,0)),"")</f>
        <v>KP-1c⁽ᴹ⁾ Percentage of sex workers reached with HIV prevention programs - defined package of services</v>
      </c>
    </row>
    <row r="1022" spans="1:23" s="194" customFormat="1" ht="40.4" customHeight="1" x14ac:dyDescent="0.35">
      <c r="A1022" s="770"/>
      <c r="B1022" s="767"/>
      <c r="C1022" s="761"/>
      <c r="D1022" s="769"/>
      <c r="E1022" s="769"/>
      <c r="F1022" s="208"/>
      <c r="G1022" s="763"/>
      <c r="H1022" s="744"/>
      <c r="I1022" s="765"/>
      <c r="J1022" s="730"/>
      <c r="K1022" s="761"/>
      <c r="L1022" s="761"/>
      <c r="M1022" s="730"/>
      <c r="N1022" s="730"/>
    </row>
    <row r="1023" spans="1:23" s="194" customFormat="1" ht="40.4" customHeight="1" x14ac:dyDescent="0.35">
      <c r="A1023" s="770" t="str">
        <f ca="1">INDIRECT("'update Helper'!C"&amp;U1023)</f>
        <v>a163p000004NtNDAA0</v>
      </c>
      <c r="B1023" s="766">
        <v>11</v>
      </c>
      <c r="C1023" s="760" t="str">
        <f>VLOOKUP(B1023,'Coverage Indicators - Section D'!$A$9:$AU$70,47,FALSE)</f>
        <v>KP-1c⁽ᴹ⁾ Porcentaje de trabajadores sexuales alcanzados por programas de prevención del VIH - paquete definido de servicios</v>
      </c>
      <c r="D1023" s="768" t="str">
        <f>R1023</f>
        <v>Género</v>
      </c>
      <c r="E1023" s="768" t="str">
        <f>S1023</f>
        <v>Mujeres</v>
      </c>
      <c r="F1023" s="413"/>
      <c r="G1023" s="762" t="str">
        <f ca="1">IF(OR(INDIRECT("'update Helper'!E"&amp;U1023)="",F1023&lt;&gt;0,F1024&lt;&gt;0),IF(IFERROR((F1023/F1024),"")="","",(F1023/F1024)),INDIRECT("'update Helper'!E"&amp;U1023)/100)</f>
        <v/>
      </c>
      <c r="H1023" s="743"/>
      <c r="I1023" s="764"/>
      <c r="J1023" s="729" t="s">
        <v>9912</v>
      </c>
      <c r="K1023" s="760" t="str">
        <f>W1023</f>
        <v>KP-1c⁽ᴹ⁾ Percentage of sex workers reached with HIV prevention programs - defined package of services</v>
      </c>
      <c r="L1023" s="760" t="str">
        <f>V1023</f>
        <v>Gender</v>
      </c>
      <c r="M1023" s="729"/>
      <c r="N1023" s="729" t="s">
        <v>4037</v>
      </c>
      <c r="P1023" s="194">
        <f>IF(AND(EXACT(C1023,C1021),C1021&lt;&gt;0),P1021+1,0)</f>
        <v>1</v>
      </c>
      <c r="Q1023" s="194" t="str">
        <f>IF(C1023&lt;&gt;"",C1023&amp;"-"&amp;P1023,"")</f>
        <v>KP-1c⁽ᴹ⁾ Porcentaje de trabajadores sexuales alcanzados por programas de prevención del VIH - paquete definido de servicios-1</v>
      </c>
      <c r="R1023" s="194" t="str">
        <f t="array" ref="R1023">IFERROR(IF(INDEX('Disaggregation Records'!$E$155:$E$385,MATCH(RIGHT(Q1023,255),RIGHT('Disaggregation Records'!$D$155:$D$385,255),0))="","",INDEX('Disaggregation Records'!$E$155:$E$385,MATCH(RIGHT(Q1023,255),RIGHT('Disaggregation Records'!$D$155:$D$385,255),0))),"")</f>
        <v>Género</v>
      </c>
      <c r="S1023" s="194" t="str">
        <f t="array" ref="S1023">IFERROR(IF(INDEX('Disaggregation Records'!$F$155:$F$385,MATCH(RIGHT(Q1023,255),RIGHT('Disaggregation Records'!$D$155:$D$385,255),0))="","",INDEX('Disaggregation Records'!$F$155:$F$385,MATCH(RIGHT(Q1023,255),RIGHT('Disaggregation Records'!$D$155:$D$385,255),0))),"")</f>
        <v>Mujeres</v>
      </c>
      <c r="T1023" s="194" t="str">
        <f t="array" ref="T1023">IFERROR(IF(INDEX('Disaggregation Records'!$H$155:$H$385,MATCH(RIGHT(Q1023,255),RIGHT('Disaggregation Records'!$D$155:$D$385,255),0))="","",INDEX('Disaggregation Records'!$H$155:$H$385,MATCH(RIGHT(Q1023,255),RIGHT('Disaggregation Records'!$D$155:$D$385,255),0))),"")</f>
        <v>IDR-00824</v>
      </c>
      <c r="U1023" s="194">
        <f>U1021+1</f>
        <v>2701</v>
      </c>
      <c r="V1023" s="194" t="str">
        <f t="array" ref="V1023">IFERROR(IF(INDEX('Disaggregation Records'!$I$155:$I$385,MATCH(RIGHT(Q1023,255),RIGHT('Disaggregation Records'!$D$155:$D$385,255),0))="","",INDEX('Disaggregation Records'!$I$155:$I$385,MATCH(RIGHT(Q1023,255),RIGHT('Disaggregation Records'!$D$155:$D$385,255),0))),"")</f>
        <v>Gender</v>
      </c>
      <c r="W1023" s="194" t="str">
        <f>IFERROR(INDEX('Reference Records'!L$77:L$157,MATCH(LEFT(C1023,255),'Reference Records'!E$77:E$157,0)),"")</f>
        <v>KP-1c⁽ᴹ⁾ Percentage of sex workers reached with HIV prevention programs - defined package of services</v>
      </c>
    </row>
    <row r="1024" spans="1:23" s="194" customFormat="1" ht="40.4" customHeight="1" x14ac:dyDescent="0.35">
      <c r="A1024" s="770"/>
      <c r="B1024" s="767"/>
      <c r="C1024" s="761"/>
      <c r="D1024" s="769"/>
      <c r="E1024" s="769"/>
      <c r="F1024" s="208"/>
      <c r="G1024" s="763"/>
      <c r="H1024" s="744"/>
      <c r="I1024" s="765"/>
      <c r="J1024" s="730"/>
      <c r="K1024" s="761"/>
      <c r="L1024" s="761"/>
      <c r="M1024" s="730"/>
      <c r="N1024" s="730"/>
    </row>
    <row r="1025" spans="1:23" s="194" customFormat="1" ht="40.4" customHeight="1" x14ac:dyDescent="0.35">
      <c r="A1025" s="770" t="str">
        <f ca="1">INDIRECT("'update Helper'!C"&amp;U1025)</f>
        <v>a163p000004NtNEAA0</v>
      </c>
      <c r="B1025" s="766">
        <v>11</v>
      </c>
      <c r="C1025" s="760" t="str">
        <f>VLOOKUP(B1025,'Coverage Indicators - Section D'!$A$9:$AU$70,47,FALSE)</f>
        <v>KP-1c⁽ᴹ⁾ Porcentaje de trabajadores sexuales alcanzados por programas de prevención del VIH - paquete definido de servicios</v>
      </c>
      <c r="D1025" s="768" t="str">
        <f>R1025</f>
        <v>Género</v>
      </c>
      <c r="E1025" s="768" t="str">
        <f>S1025</f>
        <v>Hombres</v>
      </c>
      <c r="F1025" s="413"/>
      <c r="G1025" s="762" t="str">
        <f ca="1">IF(OR(INDIRECT("'update Helper'!E"&amp;U1025)="",F1025&lt;&gt;0,F1026&lt;&gt;0),IF(IFERROR((F1025/F1026),"")="","",(F1025/F1026)),INDIRECT("'update Helper'!E"&amp;U1025)/100)</f>
        <v/>
      </c>
      <c r="H1025" s="743"/>
      <c r="I1025" s="764"/>
      <c r="J1025" s="729" t="s">
        <v>9912</v>
      </c>
      <c r="K1025" s="760" t="str">
        <f>W1025</f>
        <v>KP-1c⁽ᴹ⁾ Percentage of sex workers reached with HIV prevention programs - defined package of services</v>
      </c>
      <c r="L1025" s="760" t="str">
        <f>V1025</f>
        <v>Gender</v>
      </c>
      <c r="M1025" s="729"/>
      <c r="N1025" s="729" t="s">
        <v>4037</v>
      </c>
      <c r="P1025" s="194">
        <f>IF(AND(EXACT(C1025,C1023),C1023&lt;&gt;0),P1023+1,0)</f>
        <v>2</v>
      </c>
      <c r="Q1025" s="194" t="str">
        <f>IF(C1025&lt;&gt;"",C1025&amp;"-"&amp;P1025,"")</f>
        <v>KP-1c⁽ᴹ⁾ Porcentaje de trabajadores sexuales alcanzados por programas de prevención del VIH - paquete definido de servicios-2</v>
      </c>
      <c r="R1025" s="194" t="str">
        <f t="array" ref="R1025">IFERROR(IF(INDEX('Disaggregation Records'!$E$155:$E$385,MATCH(RIGHT(Q1025,255),RIGHT('Disaggregation Records'!$D$155:$D$385,255),0))="","",INDEX('Disaggregation Records'!$E$155:$E$385,MATCH(RIGHT(Q1025,255),RIGHT('Disaggregation Records'!$D$155:$D$385,255),0))),"")</f>
        <v>Género</v>
      </c>
      <c r="S1025" s="194" t="str">
        <f t="array" ref="S1025">IFERROR(IF(INDEX('Disaggregation Records'!$F$155:$F$385,MATCH(RIGHT(Q1025,255),RIGHT('Disaggregation Records'!$D$155:$D$385,255),0))="","",INDEX('Disaggregation Records'!$F$155:$F$385,MATCH(RIGHT(Q1025,255),RIGHT('Disaggregation Records'!$D$155:$D$385,255),0))),"")</f>
        <v>Hombres</v>
      </c>
      <c r="T1025" s="194" t="str">
        <f t="array" ref="T1025">IFERROR(IF(INDEX('Disaggregation Records'!$H$155:$H$385,MATCH(RIGHT(Q1025,255),RIGHT('Disaggregation Records'!$D$155:$D$385,255),0))="","",INDEX('Disaggregation Records'!$H$155:$H$385,MATCH(RIGHT(Q1025,255),RIGHT('Disaggregation Records'!$D$155:$D$385,255),0))),"")</f>
        <v>IDR-00823</v>
      </c>
      <c r="U1025" s="194">
        <f>U1023+1</f>
        <v>2702</v>
      </c>
      <c r="V1025" s="194" t="str">
        <f t="array" ref="V1025">IFERROR(IF(INDEX('Disaggregation Records'!$I$155:$I$385,MATCH(RIGHT(Q1025,255),RIGHT('Disaggregation Records'!$D$155:$D$385,255),0))="","",INDEX('Disaggregation Records'!$I$155:$I$385,MATCH(RIGHT(Q1025,255),RIGHT('Disaggregation Records'!$D$155:$D$385,255),0))),"")</f>
        <v>Gender</v>
      </c>
      <c r="W1025" s="194" t="str">
        <f>IFERROR(INDEX('Reference Records'!L$77:L$157,MATCH(LEFT(C1025,255),'Reference Records'!E$77:E$157,0)),"")</f>
        <v>KP-1c⁽ᴹ⁾ Percentage of sex workers reached with HIV prevention programs - defined package of services</v>
      </c>
    </row>
    <row r="1026" spans="1:23" s="194" customFormat="1" ht="40.4" customHeight="1" x14ac:dyDescent="0.35">
      <c r="A1026" s="770"/>
      <c r="B1026" s="767"/>
      <c r="C1026" s="761"/>
      <c r="D1026" s="769"/>
      <c r="E1026" s="769"/>
      <c r="F1026" s="208"/>
      <c r="G1026" s="763"/>
      <c r="H1026" s="744"/>
      <c r="I1026" s="765"/>
      <c r="J1026" s="730"/>
      <c r="K1026" s="761"/>
      <c r="L1026" s="761"/>
      <c r="M1026" s="730"/>
      <c r="N1026" s="730"/>
    </row>
    <row r="1027" spans="1:23" s="194" customFormat="1" ht="40.4" customHeight="1" x14ac:dyDescent="0.35">
      <c r="A1027" s="770" t="str">
        <f ca="1">INDIRECT("'update Helper'!C"&amp;U1027)</f>
        <v>a163p000004NtNFAA0</v>
      </c>
      <c r="B1027" s="766">
        <v>11</v>
      </c>
      <c r="C1027" s="760" t="str">
        <f>VLOOKUP(B1027,'Coverage Indicators - Section D'!$A$9:$AU$70,47,FALSE)</f>
        <v>KP-1c⁽ᴹ⁾ Porcentaje de trabajadores sexuales alcanzados por programas de prevención del VIH - paquete definido de servicios</v>
      </c>
      <c r="D1027" s="768" t="str">
        <f>R1027</f>
        <v>Edad</v>
      </c>
      <c r="E1027" s="768" t="str">
        <f>S1027</f>
        <v>25+</v>
      </c>
      <c r="F1027" s="413"/>
      <c r="G1027" s="762" t="str">
        <f ca="1">IF(OR(INDIRECT("'update Helper'!E"&amp;U1027)="",F1027&lt;&gt;0,F1028&lt;&gt;0),IF(IFERROR((F1027/F1028),"")="","",(F1027/F1028)),INDIRECT("'update Helper'!E"&amp;U1027)/100)</f>
        <v/>
      </c>
      <c r="H1027" s="743"/>
      <c r="I1027" s="764"/>
      <c r="J1027" s="729" t="s">
        <v>9912</v>
      </c>
      <c r="K1027" s="760" t="str">
        <f>W1027</f>
        <v>KP-1c⁽ᴹ⁾ Percentage of sex workers reached with HIV prevention programs - defined package of services</v>
      </c>
      <c r="L1027" s="760" t="str">
        <f>V1027</f>
        <v>Age</v>
      </c>
      <c r="M1027" s="729"/>
      <c r="N1027" s="729" t="s">
        <v>4037</v>
      </c>
      <c r="P1027" s="194">
        <f>IF(AND(EXACT(C1027,C1025),C1025&lt;&gt;0),P1025+1,0)</f>
        <v>3</v>
      </c>
      <c r="Q1027" s="194" t="str">
        <f>IF(C1027&lt;&gt;"",C1027&amp;"-"&amp;P1027,"")</f>
        <v>KP-1c⁽ᴹ⁾ Porcentaje de trabajadores sexuales alcanzados por programas de prevención del VIH - paquete definido de servicios-3</v>
      </c>
      <c r="R1027" s="194" t="str">
        <f t="array" ref="R1027">IFERROR(IF(INDEX('Disaggregation Records'!$E$155:$E$385,MATCH(RIGHT(Q1027,255),RIGHT('Disaggregation Records'!$D$155:$D$385,255),0))="","",INDEX('Disaggregation Records'!$E$155:$E$385,MATCH(RIGHT(Q1027,255),RIGHT('Disaggregation Records'!$D$155:$D$385,255),0))),"")</f>
        <v>Edad</v>
      </c>
      <c r="S1027" s="194" t="str">
        <f t="array" ref="S1027">IFERROR(IF(INDEX('Disaggregation Records'!$F$155:$F$385,MATCH(RIGHT(Q1027,255),RIGHT('Disaggregation Records'!$D$155:$D$385,255),0))="","",INDEX('Disaggregation Records'!$F$155:$F$385,MATCH(RIGHT(Q1027,255),RIGHT('Disaggregation Records'!$D$155:$D$385,255),0))),"")</f>
        <v>25+</v>
      </c>
      <c r="T1027" s="194" t="str">
        <f t="array" ref="T1027">IFERROR(IF(INDEX('Disaggregation Records'!$H$155:$H$385,MATCH(RIGHT(Q1027,255),RIGHT('Disaggregation Records'!$D$155:$D$385,255),0))="","",INDEX('Disaggregation Records'!$H$155:$H$385,MATCH(RIGHT(Q1027,255),RIGHT('Disaggregation Records'!$D$155:$D$385,255),0))),"")</f>
        <v>IDR-00704</v>
      </c>
      <c r="U1027" s="194">
        <f>U1025+1</f>
        <v>2703</v>
      </c>
      <c r="V1027" s="194" t="str">
        <f t="array" ref="V1027">IFERROR(IF(INDEX('Disaggregation Records'!$I$155:$I$385,MATCH(RIGHT(Q1027,255),RIGHT('Disaggregation Records'!$D$155:$D$385,255),0))="","",INDEX('Disaggregation Records'!$I$155:$I$385,MATCH(RIGHT(Q1027,255),RIGHT('Disaggregation Records'!$D$155:$D$385,255),0))),"")</f>
        <v>Age</v>
      </c>
      <c r="W1027" s="194" t="str">
        <f>IFERROR(INDEX('Reference Records'!L$77:L$157,MATCH(LEFT(C1027,255),'Reference Records'!E$77:E$157,0)),"")</f>
        <v>KP-1c⁽ᴹ⁾ Percentage of sex workers reached with HIV prevention programs - defined package of services</v>
      </c>
    </row>
    <row r="1028" spans="1:23" s="194" customFormat="1" ht="40.4" customHeight="1" x14ac:dyDescent="0.35">
      <c r="A1028" s="770"/>
      <c r="B1028" s="767"/>
      <c r="C1028" s="761"/>
      <c r="D1028" s="769"/>
      <c r="E1028" s="769"/>
      <c r="F1028" s="208"/>
      <c r="G1028" s="763"/>
      <c r="H1028" s="744"/>
      <c r="I1028" s="765"/>
      <c r="J1028" s="730"/>
      <c r="K1028" s="761"/>
      <c r="L1028" s="761"/>
      <c r="M1028" s="730"/>
      <c r="N1028" s="730"/>
    </row>
    <row r="1029" spans="1:23" s="194" customFormat="1" ht="40.4" customHeight="1" x14ac:dyDescent="0.35">
      <c r="A1029" s="770" t="str">
        <f ca="1">INDIRECT("'update Helper'!C"&amp;U1029)</f>
        <v>a163p000004NtNGAA0</v>
      </c>
      <c r="B1029" s="766">
        <v>11</v>
      </c>
      <c r="C1029" s="760" t="str">
        <f>VLOOKUP(B1029,'Coverage Indicators - Section D'!$A$9:$AU$70,47,FALSE)</f>
        <v>KP-1c⁽ᴹ⁾ Porcentaje de trabajadores sexuales alcanzados por programas de prevención del VIH - paquete definido de servicios</v>
      </c>
      <c r="D1029" s="768" t="str">
        <f>R1029</f>
        <v>Edad</v>
      </c>
      <c r="E1029" s="768" t="str">
        <f>S1029</f>
        <v>&lt;25</v>
      </c>
      <c r="F1029" s="413"/>
      <c r="G1029" s="762" t="str">
        <f ca="1">IF(OR(INDIRECT("'update Helper'!E"&amp;U1029)="",F1029&lt;&gt;0,F1030&lt;&gt;0),IF(IFERROR((F1029/F1030),"")="","",(F1029/F1030)),INDIRECT("'update Helper'!E"&amp;U1029)/100)</f>
        <v/>
      </c>
      <c r="H1029" s="743"/>
      <c r="I1029" s="764"/>
      <c r="J1029" s="729" t="s">
        <v>9912</v>
      </c>
      <c r="K1029" s="760" t="str">
        <f>W1029</f>
        <v>KP-1c⁽ᴹ⁾ Percentage of sex workers reached with HIV prevention programs - defined package of services</v>
      </c>
      <c r="L1029" s="760" t="str">
        <f>V1029</f>
        <v>Age</v>
      </c>
      <c r="M1029" s="729"/>
      <c r="N1029" s="729" t="s">
        <v>4037</v>
      </c>
      <c r="P1029" s="194">
        <f>IF(AND(EXACT(C1029,C1027),C1027&lt;&gt;0),P1027+1,0)</f>
        <v>4</v>
      </c>
      <c r="Q1029" s="194" t="str">
        <f>IF(C1029&lt;&gt;"",C1029&amp;"-"&amp;P1029,"")</f>
        <v>KP-1c⁽ᴹ⁾ Porcentaje de trabajadores sexuales alcanzados por programas de prevención del VIH - paquete definido de servicios-4</v>
      </c>
      <c r="R1029" s="194" t="str">
        <f t="array" ref="R1029">IFERROR(IF(INDEX('Disaggregation Records'!$E$155:$E$385,MATCH(RIGHT(Q1029,255),RIGHT('Disaggregation Records'!$D$155:$D$385,255),0))="","",INDEX('Disaggregation Records'!$E$155:$E$385,MATCH(RIGHT(Q1029,255),RIGHT('Disaggregation Records'!$D$155:$D$385,255),0))),"")</f>
        <v>Edad</v>
      </c>
      <c r="S1029" s="194" t="str">
        <f t="array" ref="S1029">IFERROR(IF(INDEX('Disaggregation Records'!$F$155:$F$385,MATCH(RIGHT(Q1029,255),RIGHT('Disaggregation Records'!$D$155:$D$385,255),0))="","",INDEX('Disaggregation Records'!$F$155:$F$385,MATCH(RIGHT(Q1029,255),RIGHT('Disaggregation Records'!$D$155:$D$385,255),0))),"")</f>
        <v>&lt;25</v>
      </c>
      <c r="T1029" s="194" t="str">
        <f t="array" ref="T1029">IFERROR(IF(INDEX('Disaggregation Records'!$H$155:$H$385,MATCH(RIGHT(Q1029,255),RIGHT('Disaggregation Records'!$D$155:$D$385,255),0))="","",INDEX('Disaggregation Records'!$H$155:$H$385,MATCH(RIGHT(Q1029,255),RIGHT('Disaggregation Records'!$D$155:$D$385,255),0))),"")</f>
        <v>IDR-00703</v>
      </c>
      <c r="U1029" s="194">
        <f>U1027+1</f>
        <v>2704</v>
      </c>
      <c r="V1029" s="194" t="str">
        <f t="array" ref="V1029">IFERROR(IF(INDEX('Disaggregation Records'!$I$155:$I$385,MATCH(RIGHT(Q1029,255),RIGHT('Disaggregation Records'!$D$155:$D$385,255),0))="","",INDEX('Disaggregation Records'!$I$155:$I$385,MATCH(RIGHT(Q1029,255),RIGHT('Disaggregation Records'!$D$155:$D$385,255),0))),"")</f>
        <v>Age</v>
      </c>
      <c r="W1029" s="194" t="str">
        <f>IFERROR(INDEX('Reference Records'!L$77:L$157,MATCH(LEFT(C1029,255),'Reference Records'!E$77:E$157,0)),"")</f>
        <v>KP-1c⁽ᴹ⁾ Percentage of sex workers reached with HIV prevention programs - defined package of services</v>
      </c>
    </row>
    <row r="1030" spans="1:23" s="194" customFormat="1" ht="40.4" customHeight="1" x14ac:dyDescent="0.35">
      <c r="A1030" s="770"/>
      <c r="B1030" s="767"/>
      <c r="C1030" s="761"/>
      <c r="D1030" s="769"/>
      <c r="E1030" s="769"/>
      <c r="F1030" s="208"/>
      <c r="G1030" s="763"/>
      <c r="H1030" s="744"/>
      <c r="I1030" s="765"/>
      <c r="J1030" s="730"/>
      <c r="K1030" s="761"/>
      <c r="L1030" s="761"/>
      <c r="M1030" s="730"/>
      <c r="N1030" s="730"/>
    </row>
    <row r="1031" spans="1:23" s="194" customFormat="1" ht="40.4" customHeight="1" x14ac:dyDescent="0.35">
      <c r="A1031" s="770" t="str">
        <f ca="1">INDIRECT("'update Helper'!C"&amp;U1031)</f>
        <v>a163p000004NtNHAA0</v>
      </c>
      <c r="B1031" s="766">
        <v>11</v>
      </c>
      <c r="C1031" s="760" t="str">
        <f>VLOOKUP(B1031,'Coverage Indicators - Section D'!$A$9:$AU$70,47,FALSE)</f>
        <v>KP-1c⁽ᴹ⁾ Porcentaje de trabajadores sexuales alcanzados por programas de prevención del VIH - paquete definido de servicios</v>
      </c>
      <c r="D1031" s="768" t="str">
        <f>R1031</f>
        <v/>
      </c>
      <c r="E1031" s="768" t="str">
        <f>S1031</f>
        <v/>
      </c>
      <c r="F1031" s="413"/>
      <c r="G1031" s="762" t="str">
        <f ca="1">IF(OR(INDIRECT("'update Helper'!E"&amp;U1031)="",F1031&lt;&gt;0,F1032&lt;&gt;0),IF(IFERROR((F1031/F1032),"")="","",(F1031/F1032)),INDIRECT("'update Helper'!E"&amp;U1031)/100)</f>
        <v/>
      </c>
      <c r="H1031" s="743"/>
      <c r="I1031" s="764"/>
      <c r="J1031" s="729"/>
      <c r="K1031" s="760" t="str">
        <f>W1031</f>
        <v>KP-1c⁽ᴹ⁾ Percentage of sex workers reached with HIV prevention programs - defined package of services</v>
      </c>
      <c r="L1031" s="760" t="str">
        <f>V1031</f>
        <v/>
      </c>
      <c r="M1031" s="729"/>
      <c r="N1031" s="729"/>
      <c r="P1031" s="194">
        <f>IF(AND(EXACT(C1031,C1029),C1029&lt;&gt;0),P1029+1,0)</f>
        <v>5</v>
      </c>
      <c r="Q1031" s="194" t="str">
        <f>IF(C1031&lt;&gt;"",C1031&amp;"-"&amp;P1031,"")</f>
        <v>KP-1c⁽ᴹ⁾ Porcentaje de trabajadores sexuales alcanzados por programas de prevención del VIH - paquete definido de servicios-5</v>
      </c>
      <c r="R1031" s="194" t="str">
        <f t="array" ref="R1031">IFERROR(IF(INDEX('Disaggregation Records'!$E$155:$E$385,MATCH(RIGHT(Q1031,255),RIGHT('Disaggregation Records'!$D$155:$D$385,255),0))="","",INDEX('Disaggregation Records'!$E$155:$E$385,MATCH(RIGHT(Q1031,255),RIGHT('Disaggregation Records'!$D$155:$D$385,255),0))),"")</f>
        <v/>
      </c>
      <c r="S1031" s="194" t="str">
        <f t="array" ref="S1031">IFERROR(IF(INDEX('Disaggregation Records'!$F$155:$F$385,MATCH(RIGHT(Q1031,255),RIGHT('Disaggregation Records'!$D$155:$D$385,255),0))="","",INDEX('Disaggregation Records'!$F$155:$F$385,MATCH(RIGHT(Q1031,255),RIGHT('Disaggregation Records'!$D$155:$D$385,255),0))),"")</f>
        <v/>
      </c>
      <c r="T1031" s="194" t="str">
        <f t="array" ref="T1031">IFERROR(IF(INDEX('Disaggregation Records'!$H$155:$H$385,MATCH(RIGHT(Q1031,255),RIGHT('Disaggregation Records'!$D$155:$D$385,255),0))="","",INDEX('Disaggregation Records'!$H$155:$H$385,MATCH(RIGHT(Q1031,255),RIGHT('Disaggregation Records'!$D$155:$D$385,255),0))),"")</f>
        <v/>
      </c>
      <c r="U1031" s="194">
        <f>U1029+1</f>
        <v>2705</v>
      </c>
      <c r="V1031" s="194" t="str">
        <f t="array" ref="V1031">IFERROR(IF(INDEX('Disaggregation Records'!$I$155:$I$385,MATCH(RIGHT(Q1031,255),RIGHT('Disaggregation Records'!$D$155:$D$385,255),0))="","",INDEX('Disaggregation Records'!$I$155:$I$385,MATCH(RIGHT(Q1031,255),RIGHT('Disaggregation Records'!$D$155:$D$385,255),0))),"")</f>
        <v/>
      </c>
      <c r="W1031" s="194" t="str">
        <f>IFERROR(INDEX('Reference Records'!L$77:L$157,MATCH(LEFT(C1031,255),'Reference Records'!E$77:E$157,0)),"")</f>
        <v>KP-1c⁽ᴹ⁾ Percentage of sex workers reached with HIV prevention programs - defined package of services</v>
      </c>
    </row>
    <row r="1032" spans="1:23" s="194" customFormat="1" ht="40.4" customHeight="1" x14ac:dyDescent="0.35">
      <c r="A1032" s="770"/>
      <c r="B1032" s="767"/>
      <c r="C1032" s="761"/>
      <c r="D1032" s="769"/>
      <c r="E1032" s="769"/>
      <c r="F1032" s="208"/>
      <c r="G1032" s="763"/>
      <c r="H1032" s="744"/>
      <c r="I1032" s="765"/>
      <c r="J1032" s="730"/>
      <c r="K1032" s="761"/>
      <c r="L1032" s="761"/>
      <c r="M1032" s="730"/>
      <c r="N1032" s="730"/>
    </row>
    <row r="1033" spans="1:23" s="194" customFormat="1" ht="40.4" customHeight="1" x14ac:dyDescent="0.35">
      <c r="A1033" s="770" t="str">
        <f ca="1">INDIRECT("'update Helper'!C"&amp;U1033)</f>
        <v>a163p000004NtNIAA0</v>
      </c>
      <c r="B1033" s="766">
        <v>11</v>
      </c>
      <c r="C1033" s="760" t="str">
        <f>VLOOKUP(B1033,'Coverage Indicators - Section D'!$A$9:$AU$70,47,FALSE)</f>
        <v>KP-1c⁽ᴹ⁾ Porcentaje de trabajadores sexuales alcanzados por programas de prevención del VIH - paquete definido de servicios</v>
      </c>
      <c r="D1033" s="768" t="str">
        <f>R1033</f>
        <v/>
      </c>
      <c r="E1033" s="768" t="str">
        <f>S1033</f>
        <v/>
      </c>
      <c r="F1033" s="413"/>
      <c r="G1033" s="762" t="str">
        <f ca="1">IF(OR(INDIRECT("'update Helper'!E"&amp;U1033)="",F1033&lt;&gt;0,F1034&lt;&gt;0),IF(IFERROR((F1033/F1034),"")="","",(F1033/F1034)),INDIRECT("'update Helper'!E"&amp;U1033)/100)</f>
        <v/>
      </c>
      <c r="H1033" s="743"/>
      <c r="I1033" s="764"/>
      <c r="J1033" s="729"/>
      <c r="K1033" s="760" t="str">
        <f>W1033</f>
        <v>KP-1c⁽ᴹ⁾ Percentage of sex workers reached with HIV prevention programs - defined package of services</v>
      </c>
      <c r="L1033" s="760" t="str">
        <f>V1033</f>
        <v/>
      </c>
      <c r="M1033" s="729"/>
      <c r="N1033" s="729"/>
      <c r="P1033" s="194">
        <f>IF(AND(EXACT(C1033,C1031),C1031&lt;&gt;0),P1031+1,0)</f>
        <v>6</v>
      </c>
      <c r="Q1033" s="194" t="str">
        <f>IF(C1033&lt;&gt;"",C1033&amp;"-"&amp;P1033,"")</f>
        <v>KP-1c⁽ᴹ⁾ Porcentaje de trabajadores sexuales alcanzados por programas de prevención del VIH - paquete definido de servicios-6</v>
      </c>
      <c r="R1033" s="194" t="str">
        <f t="array" ref="R1033">IFERROR(IF(INDEX('Disaggregation Records'!$E$155:$E$385,MATCH(RIGHT(Q1033,255),RIGHT('Disaggregation Records'!$D$155:$D$385,255),0))="","",INDEX('Disaggregation Records'!$E$155:$E$385,MATCH(RIGHT(Q1033,255),RIGHT('Disaggregation Records'!$D$155:$D$385,255),0))),"")</f>
        <v/>
      </c>
      <c r="S1033" s="194" t="str">
        <f t="array" ref="S1033">IFERROR(IF(INDEX('Disaggregation Records'!$F$155:$F$385,MATCH(RIGHT(Q1033,255),RIGHT('Disaggregation Records'!$D$155:$D$385,255),0))="","",INDEX('Disaggregation Records'!$F$155:$F$385,MATCH(RIGHT(Q1033,255),RIGHT('Disaggregation Records'!$D$155:$D$385,255),0))),"")</f>
        <v/>
      </c>
      <c r="T1033" s="194" t="str">
        <f t="array" ref="T1033">IFERROR(IF(INDEX('Disaggregation Records'!$H$155:$H$385,MATCH(RIGHT(Q1033,255),RIGHT('Disaggregation Records'!$D$155:$D$385,255),0))="","",INDEX('Disaggregation Records'!$H$155:$H$385,MATCH(RIGHT(Q1033,255),RIGHT('Disaggregation Records'!$D$155:$D$385,255),0))),"")</f>
        <v/>
      </c>
      <c r="U1033" s="194">
        <f>U1031+1</f>
        <v>2706</v>
      </c>
      <c r="V1033" s="194" t="str">
        <f t="array" ref="V1033">IFERROR(IF(INDEX('Disaggregation Records'!$I$155:$I$385,MATCH(RIGHT(Q1033,255),RIGHT('Disaggregation Records'!$D$155:$D$385,255),0))="","",INDEX('Disaggregation Records'!$I$155:$I$385,MATCH(RIGHT(Q1033,255),RIGHT('Disaggregation Records'!$D$155:$D$385,255),0))),"")</f>
        <v/>
      </c>
      <c r="W1033" s="194" t="str">
        <f>IFERROR(INDEX('Reference Records'!L$77:L$157,MATCH(LEFT(C1033,255),'Reference Records'!E$77:E$157,0)),"")</f>
        <v>KP-1c⁽ᴹ⁾ Percentage of sex workers reached with HIV prevention programs - defined package of services</v>
      </c>
    </row>
    <row r="1034" spans="1:23" s="194" customFormat="1" ht="40.4" customHeight="1" x14ac:dyDescent="0.35">
      <c r="A1034" s="770"/>
      <c r="B1034" s="767"/>
      <c r="C1034" s="761"/>
      <c r="D1034" s="769"/>
      <c r="E1034" s="769"/>
      <c r="F1034" s="208"/>
      <c r="G1034" s="763"/>
      <c r="H1034" s="744"/>
      <c r="I1034" s="765"/>
      <c r="J1034" s="730"/>
      <c r="K1034" s="761"/>
      <c r="L1034" s="761"/>
      <c r="M1034" s="730"/>
      <c r="N1034" s="730"/>
    </row>
    <row r="1035" spans="1:23" s="194" customFormat="1" ht="40.4" customHeight="1" x14ac:dyDescent="0.35">
      <c r="A1035" s="770" t="str">
        <f ca="1">INDIRECT("'update Helper'!C"&amp;U1035)</f>
        <v>a163p000004NtNJAA0</v>
      </c>
      <c r="B1035" s="766">
        <v>11</v>
      </c>
      <c r="C1035" s="760" t="str">
        <f>VLOOKUP(B1035,'Coverage Indicators - Section D'!$A$9:$AU$70,47,FALSE)</f>
        <v>KP-1c⁽ᴹ⁾ Porcentaje de trabajadores sexuales alcanzados por programas de prevención del VIH - paquete definido de servicios</v>
      </c>
      <c r="D1035" s="768" t="str">
        <f>R1035</f>
        <v/>
      </c>
      <c r="E1035" s="768" t="str">
        <f>S1035</f>
        <v/>
      </c>
      <c r="F1035" s="413"/>
      <c r="G1035" s="762" t="str">
        <f ca="1">IF(OR(INDIRECT("'update Helper'!E"&amp;U1035)="",F1035&lt;&gt;0,F1036&lt;&gt;0),IF(IFERROR((F1035/F1036),"")="","",(F1035/F1036)),INDIRECT("'update Helper'!E"&amp;U1035)/100)</f>
        <v/>
      </c>
      <c r="H1035" s="743"/>
      <c r="I1035" s="764"/>
      <c r="J1035" s="729"/>
      <c r="K1035" s="760" t="str">
        <f>W1035</f>
        <v>KP-1c⁽ᴹ⁾ Percentage of sex workers reached with HIV prevention programs - defined package of services</v>
      </c>
      <c r="L1035" s="760" t="str">
        <f>V1035</f>
        <v/>
      </c>
      <c r="M1035" s="729"/>
      <c r="N1035" s="729"/>
      <c r="P1035" s="194">
        <f>IF(AND(EXACT(C1035,C1033),C1033&lt;&gt;0),P1033+1,0)</f>
        <v>7</v>
      </c>
      <c r="Q1035" s="194" t="str">
        <f>IF(C1035&lt;&gt;"",C1035&amp;"-"&amp;P1035,"")</f>
        <v>KP-1c⁽ᴹ⁾ Porcentaje de trabajadores sexuales alcanzados por programas de prevención del VIH - paquete definido de servicios-7</v>
      </c>
      <c r="R1035" s="194" t="str">
        <f t="array" ref="R1035">IFERROR(IF(INDEX('Disaggregation Records'!$E$155:$E$385,MATCH(RIGHT(Q1035,255),RIGHT('Disaggregation Records'!$D$155:$D$385,255),0))="","",INDEX('Disaggregation Records'!$E$155:$E$385,MATCH(RIGHT(Q1035,255),RIGHT('Disaggregation Records'!$D$155:$D$385,255),0))),"")</f>
        <v/>
      </c>
      <c r="S1035" s="194" t="str">
        <f t="array" ref="S1035">IFERROR(IF(INDEX('Disaggregation Records'!$F$155:$F$385,MATCH(RIGHT(Q1035,255),RIGHT('Disaggregation Records'!$D$155:$D$385,255),0))="","",INDEX('Disaggregation Records'!$F$155:$F$385,MATCH(RIGHT(Q1035,255),RIGHT('Disaggregation Records'!$D$155:$D$385,255),0))),"")</f>
        <v/>
      </c>
      <c r="T1035" s="194" t="str">
        <f t="array" ref="T1035">IFERROR(IF(INDEX('Disaggregation Records'!$H$155:$H$385,MATCH(RIGHT(Q1035,255),RIGHT('Disaggregation Records'!$D$155:$D$385,255),0))="","",INDEX('Disaggregation Records'!$H$155:$H$385,MATCH(RIGHT(Q1035,255),RIGHT('Disaggregation Records'!$D$155:$D$385,255),0))),"")</f>
        <v/>
      </c>
      <c r="U1035" s="194">
        <f>U1033+1</f>
        <v>2707</v>
      </c>
      <c r="V1035" s="194" t="str">
        <f t="array" ref="V1035">IFERROR(IF(INDEX('Disaggregation Records'!$I$155:$I$385,MATCH(RIGHT(Q1035,255),RIGHT('Disaggregation Records'!$D$155:$D$385,255),0))="","",INDEX('Disaggregation Records'!$I$155:$I$385,MATCH(RIGHT(Q1035,255),RIGHT('Disaggregation Records'!$D$155:$D$385,255),0))),"")</f>
        <v/>
      </c>
      <c r="W1035" s="194" t="str">
        <f>IFERROR(INDEX('Reference Records'!L$77:L$157,MATCH(LEFT(C1035,255),'Reference Records'!E$77:E$157,0)),"")</f>
        <v>KP-1c⁽ᴹ⁾ Percentage of sex workers reached with HIV prevention programs - defined package of services</v>
      </c>
    </row>
    <row r="1036" spans="1:23" s="194" customFormat="1" ht="40.4" customHeight="1" x14ac:dyDescent="0.35">
      <c r="A1036" s="770"/>
      <c r="B1036" s="767"/>
      <c r="C1036" s="761"/>
      <c r="D1036" s="769"/>
      <c r="E1036" s="769"/>
      <c r="F1036" s="208"/>
      <c r="G1036" s="763"/>
      <c r="H1036" s="744"/>
      <c r="I1036" s="765"/>
      <c r="J1036" s="730"/>
      <c r="K1036" s="761"/>
      <c r="L1036" s="761"/>
      <c r="M1036" s="730"/>
      <c r="N1036" s="730"/>
    </row>
    <row r="1037" spans="1:23" s="194" customFormat="1" ht="40.4" customHeight="1" x14ac:dyDescent="0.35">
      <c r="A1037" s="770" t="str">
        <f ca="1">INDIRECT("'update Helper'!C"&amp;U1037)</f>
        <v>a163p000004NtNKAA0</v>
      </c>
      <c r="B1037" s="766">
        <v>11</v>
      </c>
      <c r="C1037" s="760" t="str">
        <f>VLOOKUP(B1037,'Coverage Indicators - Section D'!$A$9:$AU$70,47,FALSE)</f>
        <v>KP-1c⁽ᴹ⁾ Porcentaje de trabajadores sexuales alcanzados por programas de prevención del VIH - paquete definido de servicios</v>
      </c>
      <c r="D1037" s="768" t="str">
        <f>R1037</f>
        <v/>
      </c>
      <c r="E1037" s="768" t="str">
        <f>S1037</f>
        <v/>
      </c>
      <c r="F1037" s="413"/>
      <c r="G1037" s="762" t="str">
        <f ca="1">IF(OR(INDIRECT("'update Helper'!E"&amp;U1037)="",F1037&lt;&gt;0,F1038&lt;&gt;0),IF(IFERROR((F1037/F1038),"")="","",(F1037/F1038)),INDIRECT("'update Helper'!E"&amp;U1037)/100)</f>
        <v/>
      </c>
      <c r="H1037" s="743"/>
      <c r="I1037" s="764"/>
      <c r="J1037" s="729"/>
      <c r="K1037" s="760" t="str">
        <f>W1037</f>
        <v>KP-1c⁽ᴹ⁾ Percentage of sex workers reached with HIV prevention programs - defined package of services</v>
      </c>
      <c r="L1037" s="760" t="str">
        <f>V1037</f>
        <v/>
      </c>
      <c r="M1037" s="729"/>
      <c r="N1037" s="729"/>
      <c r="P1037" s="194">
        <f>IF(AND(EXACT(C1037,C1035),C1035&lt;&gt;0),P1035+1,0)</f>
        <v>8</v>
      </c>
      <c r="Q1037" s="194" t="str">
        <f>IF(C1037&lt;&gt;"",C1037&amp;"-"&amp;P1037,"")</f>
        <v>KP-1c⁽ᴹ⁾ Porcentaje de trabajadores sexuales alcanzados por programas de prevención del VIH - paquete definido de servicios-8</v>
      </c>
      <c r="R1037" s="194" t="str">
        <f t="array" ref="R1037">IFERROR(IF(INDEX('Disaggregation Records'!$E$155:$E$385,MATCH(RIGHT(Q1037,255),RIGHT('Disaggregation Records'!$D$155:$D$385,255),0))="","",INDEX('Disaggregation Records'!$E$155:$E$385,MATCH(RIGHT(Q1037,255),RIGHT('Disaggregation Records'!$D$155:$D$385,255),0))),"")</f>
        <v/>
      </c>
      <c r="S1037" s="194" t="str">
        <f t="array" ref="S1037">IFERROR(IF(INDEX('Disaggregation Records'!$F$155:$F$385,MATCH(RIGHT(Q1037,255),RIGHT('Disaggregation Records'!$D$155:$D$385,255),0))="","",INDEX('Disaggregation Records'!$F$155:$F$385,MATCH(RIGHT(Q1037,255),RIGHT('Disaggregation Records'!$D$155:$D$385,255),0))),"")</f>
        <v/>
      </c>
      <c r="T1037" s="194" t="str">
        <f t="array" ref="T1037">IFERROR(IF(INDEX('Disaggregation Records'!$H$155:$H$385,MATCH(RIGHT(Q1037,255),RIGHT('Disaggregation Records'!$D$155:$D$385,255),0))="","",INDEX('Disaggregation Records'!$H$155:$H$385,MATCH(RIGHT(Q1037,255),RIGHT('Disaggregation Records'!$D$155:$D$385,255),0))),"")</f>
        <v/>
      </c>
      <c r="U1037" s="194">
        <f>U1035+1</f>
        <v>2708</v>
      </c>
      <c r="V1037" s="194" t="str">
        <f t="array" ref="V1037">IFERROR(IF(INDEX('Disaggregation Records'!$I$155:$I$385,MATCH(RIGHT(Q1037,255),RIGHT('Disaggregation Records'!$D$155:$D$385,255),0))="","",INDEX('Disaggregation Records'!$I$155:$I$385,MATCH(RIGHT(Q1037,255),RIGHT('Disaggregation Records'!$D$155:$D$385,255),0))),"")</f>
        <v/>
      </c>
      <c r="W1037" s="194" t="str">
        <f>IFERROR(INDEX('Reference Records'!L$77:L$157,MATCH(LEFT(C1037,255),'Reference Records'!E$77:E$157,0)),"")</f>
        <v>KP-1c⁽ᴹ⁾ Percentage of sex workers reached with HIV prevention programs - defined package of services</v>
      </c>
    </row>
    <row r="1038" spans="1:23" s="194" customFormat="1" ht="40.4" customHeight="1" x14ac:dyDescent="0.35">
      <c r="A1038" s="770"/>
      <c r="B1038" s="767"/>
      <c r="C1038" s="761"/>
      <c r="D1038" s="769"/>
      <c r="E1038" s="769"/>
      <c r="F1038" s="208"/>
      <c r="G1038" s="763"/>
      <c r="H1038" s="744"/>
      <c r="I1038" s="765"/>
      <c r="J1038" s="730"/>
      <c r="K1038" s="761"/>
      <c r="L1038" s="761"/>
      <c r="M1038" s="730"/>
      <c r="N1038" s="730"/>
    </row>
    <row r="1039" spans="1:23" s="194" customFormat="1" ht="40.4" customHeight="1" x14ac:dyDescent="0.35">
      <c r="A1039" s="770" t="str">
        <f ca="1">INDIRECT("'update Helper'!C"&amp;U1039)</f>
        <v>a163p000004NtNLAA0</v>
      </c>
      <c r="B1039" s="766">
        <v>11</v>
      </c>
      <c r="C1039" s="760" t="str">
        <f>VLOOKUP(B1039,'Coverage Indicators - Section D'!$A$9:$AU$70,47,FALSE)</f>
        <v>KP-1c⁽ᴹ⁾ Porcentaje de trabajadores sexuales alcanzados por programas de prevención del VIH - paquete definido de servicios</v>
      </c>
      <c r="D1039" s="768" t="str">
        <f>R1039</f>
        <v/>
      </c>
      <c r="E1039" s="768" t="str">
        <f>S1039</f>
        <v/>
      </c>
      <c r="F1039" s="413"/>
      <c r="G1039" s="762" t="str">
        <f ca="1">IF(OR(INDIRECT("'update Helper'!E"&amp;U1039)="",F1039&lt;&gt;0,F1040&lt;&gt;0),IF(IFERROR((F1039/F1040),"")="","",(F1039/F1040)),INDIRECT("'update Helper'!E"&amp;U1039)/100)</f>
        <v/>
      </c>
      <c r="H1039" s="743"/>
      <c r="I1039" s="764"/>
      <c r="J1039" s="729"/>
      <c r="K1039" s="760" t="str">
        <f>W1039</f>
        <v>KP-1c⁽ᴹ⁾ Percentage of sex workers reached with HIV prevention programs - defined package of services</v>
      </c>
      <c r="L1039" s="760" t="str">
        <f>V1039</f>
        <v/>
      </c>
      <c r="M1039" s="729"/>
      <c r="N1039" s="729"/>
      <c r="P1039" s="194">
        <f>IF(AND(EXACT(C1039,C1037),C1037&lt;&gt;0),P1037+1,0)</f>
        <v>9</v>
      </c>
      <c r="Q1039" s="194" t="str">
        <f>IF(C1039&lt;&gt;"",C1039&amp;"-"&amp;P1039,"")</f>
        <v>KP-1c⁽ᴹ⁾ Porcentaje de trabajadores sexuales alcanzados por programas de prevención del VIH - paquete definido de servicios-9</v>
      </c>
      <c r="R1039" s="194" t="str">
        <f t="array" ref="R1039">IFERROR(IF(INDEX('Disaggregation Records'!$E$155:$E$385,MATCH(RIGHT(Q1039,255),RIGHT('Disaggregation Records'!$D$155:$D$385,255),0))="","",INDEX('Disaggregation Records'!$E$155:$E$385,MATCH(RIGHT(Q1039,255),RIGHT('Disaggregation Records'!$D$155:$D$385,255),0))),"")</f>
        <v/>
      </c>
      <c r="S1039" s="194" t="str">
        <f t="array" ref="S1039">IFERROR(IF(INDEX('Disaggregation Records'!$F$155:$F$385,MATCH(RIGHT(Q1039,255),RIGHT('Disaggregation Records'!$D$155:$D$385,255),0))="","",INDEX('Disaggregation Records'!$F$155:$F$385,MATCH(RIGHT(Q1039,255),RIGHT('Disaggregation Records'!$D$155:$D$385,255),0))),"")</f>
        <v/>
      </c>
      <c r="T1039" s="194" t="str">
        <f t="array" ref="T1039">IFERROR(IF(INDEX('Disaggregation Records'!$H$155:$H$385,MATCH(RIGHT(Q1039,255),RIGHT('Disaggregation Records'!$D$155:$D$385,255),0))="","",INDEX('Disaggregation Records'!$H$155:$H$385,MATCH(RIGHT(Q1039,255),RIGHT('Disaggregation Records'!$D$155:$D$385,255),0))),"")</f>
        <v/>
      </c>
      <c r="U1039" s="194">
        <f>U1037+1</f>
        <v>2709</v>
      </c>
      <c r="V1039" s="194" t="str">
        <f t="array" ref="V1039">IFERROR(IF(INDEX('Disaggregation Records'!$I$155:$I$385,MATCH(RIGHT(Q1039,255),RIGHT('Disaggregation Records'!$D$155:$D$385,255),0))="","",INDEX('Disaggregation Records'!$I$155:$I$385,MATCH(RIGHT(Q1039,255),RIGHT('Disaggregation Records'!$D$155:$D$385,255),0))),"")</f>
        <v/>
      </c>
      <c r="W1039" s="194" t="str">
        <f>IFERROR(INDEX('Reference Records'!L$77:L$157,MATCH(LEFT(C1039,255),'Reference Records'!E$77:E$157,0)),"")</f>
        <v>KP-1c⁽ᴹ⁾ Percentage of sex workers reached with HIV prevention programs - defined package of services</v>
      </c>
    </row>
    <row r="1040" spans="1:23" s="194" customFormat="1" ht="40.4" customHeight="1" x14ac:dyDescent="0.35">
      <c r="A1040" s="770"/>
      <c r="B1040" s="767"/>
      <c r="C1040" s="761"/>
      <c r="D1040" s="769"/>
      <c r="E1040" s="769"/>
      <c r="F1040" s="208"/>
      <c r="G1040" s="763"/>
      <c r="H1040" s="744"/>
      <c r="I1040" s="765"/>
      <c r="J1040" s="730"/>
      <c r="K1040" s="761"/>
      <c r="L1040" s="761"/>
      <c r="M1040" s="730"/>
      <c r="N1040" s="730"/>
    </row>
    <row r="1041" spans="1:23" s="194" customFormat="1" ht="40.4" customHeight="1" x14ac:dyDescent="0.35">
      <c r="A1041" s="770" t="str">
        <f ca="1">INDIRECT("'update Helper'!C"&amp;U1041)</f>
        <v>a163p000004NtNMAA0</v>
      </c>
      <c r="B1041" s="766">
        <v>11</v>
      </c>
      <c r="C1041" s="760" t="str">
        <f>VLOOKUP(B1041,'Coverage Indicators - Section D'!$A$9:$AU$70,47,FALSE)</f>
        <v>KP-1c⁽ᴹ⁾ Porcentaje de trabajadores sexuales alcanzados por programas de prevención del VIH - paquete definido de servicios</v>
      </c>
      <c r="D1041" s="768" t="str">
        <f>R1041</f>
        <v/>
      </c>
      <c r="E1041" s="768" t="str">
        <f>S1041</f>
        <v/>
      </c>
      <c r="F1041" s="413"/>
      <c r="G1041" s="762" t="str">
        <f ca="1">IF(OR(INDIRECT("'update Helper'!E"&amp;U1041)="",F1041&lt;&gt;0,F1042&lt;&gt;0),IF(IFERROR((F1041/F1042),"")="","",(F1041/F1042)),INDIRECT("'update Helper'!E"&amp;U1041)/100)</f>
        <v/>
      </c>
      <c r="H1041" s="743"/>
      <c r="I1041" s="764"/>
      <c r="J1041" s="729"/>
      <c r="K1041" s="760" t="str">
        <f>W1041</f>
        <v>KP-1c⁽ᴹ⁾ Percentage of sex workers reached with HIV prevention programs - defined package of services</v>
      </c>
      <c r="L1041" s="760" t="str">
        <f>V1041</f>
        <v/>
      </c>
      <c r="M1041" s="729"/>
      <c r="N1041" s="729"/>
      <c r="P1041" s="194">
        <f>IF(AND(EXACT(C1041,C1039),C1039&lt;&gt;0),P1039+1,0)</f>
        <v>10</v>
      </c>
      <c r="Q1041" s="194" t="str">
        <f>IF(C1041&lt;&gt;"",C1041&amp;"-"&amp;P1041,"")</f>
        <v>KP-1c⁽ᴹ⁾ Porcentaje de trabajadores sexuales alcanzados por programas de prevención del VIH - paquete definido de servicios-10</v>
      </c>
      <c r="R1041" s="194" t="str">
        <f t="array" ref="R1041">IFERROR(IF(INDEX('Disaggregation Records'!$E$155:$E$385,MATCH(RIGHT(Q1041,255),RIGHT('Disaggregation Records'!$D$155:$D$385,255),0))="","",INDEX('Disaggregation Records'!$E$155:$E$385,MATCH(RIGHT(Q1041,255),RIGHT('Disaggregation Records'!$D$155:$D$385,255),0))),"")</f>
        <v/>
      </c>
      <c r="S1041" s="194" t="str">
        <f t="array" ref="S1041">IFERROR(IF(INDEX('Disaggregation Records'!$F$155:$F$385,MATCH(RIGHT(Q1041,255),RIGHT('Disaggregation Records'!$D$155:$D$385,255),0))="","",INDEX('Disaggregation Records'!$F$155:$F$385,MATCH(RIGHT(Q1041,255),RIGHT('Disaggregation Records'!$D$155:$D$385,255),0))),"")</f>
        <v/>
      </c>
      <c r="T1041" s="194" t="str">
        <f t="array" ref="T1041">IFERROR(IF(INDEX('Disaggregation Records'!$H$155:$H$385,MATCH(RIGHT(Q1041,255),RIGHT('Disaggregation Records'!$D$155:$D$385,255),0))="","",INDEX('Disaggregation Records'!$H$155:$H$385,MATCH(RIGHT(Q1041,255),RIGHT('Disaggregation Records'!$D$155:$D$385,255),0))),"")</f>
        <v/>
      </c>
      <c r="U1041" s="194">
        <f>U1039+1</f>
        <v>2710</v>
      </c>
      <c r="V1041" s="194" t="str">
        <f t="array" ref="V1041">IFERROR(IF(INDEX('Disaggregation Records'!$I$155:$I$385,MATCH(RIGHT(Q1041,255),RIGHT('Disaggregation Records'!$D$155:$D$385,255),0))="","",INDEX('Disaggregation Records'!$I$155:$I$385,MATCH(RIGHT(Q1041,255),RIGHT('Disaggregation Records'!$D$155:$D$385,255),0))),"")</f>
        <v/>
      </c>
      <c r="W1041" s="194" t="str">
        <f>IFERROR(INDEX('Reference Records'!L$77:L$157,MATCH(LEFT(C1041,255),'Reference Records'!E$77:E$157,0)),"")</f>
        <v>KP-1c⁽ᴹ⁾ Percentage of sex workers reached with HIV prevention programs - defined package of services</v>
      </c>
    </row>
    <row r="1042" spans="1:23" s="194" customFormat="1" ht="40.4" customHeight="1" x14ac:dyDescent="0.35">
      <c r="A1042" s="770"/>
      <c r="B1042" s="767"/>
      <c r="C1042" s="761"/>
      <c r="D1042" s="769"/>
      <c r="E1042" s="769"/>
      <c r="F1042" s="208"/>
      <c r="G1042" s="763"/>
      <c r="H1042" s="744"/>
      <c r="I1042" s="765"/>
      <c r="J1042" s="730"/>
      <c r="K1042" s="761"/>
      <c r="L1042" s="761"/>
      <c r="M1042" s="730"/>
      <c r="N1042" s="730"/>
    </row>
    <row r="1043" spans="1:23" s="194" customFormat="1" ht="40.4" customHeight="1" x14ac:dyDescent="0.35">
      <c r="A1043" s="770" t="str">
        <f ca="1">INDIRECT("'update Helper'!C"&amp;U1043)</f>
        <v>a163p000004NtNNAA0</v>
      </c>
      <c r="B1043" s="766">
        <v>11</v>
      </c>
      <c r="C1043" s="760" t="str">
        <f>VLOOKUP(B1043,'Coverage Indicators - Section D'!$A$9:$AU$70,47,FALSE)</f>
        <v>KP-1c⁽ᴹ⁾ Porcentaje de trabajadores sexuales alcanzados por programas de prevención del VIH - paquete definido de servicios</v>
      </c>
      <c r="D1043" s="768" t="str">
        <f>R1043</f>
        <v/>
      </c>
      <c r="E1043" s="768" t="str">
        <f>S1043</f>
        <v/>
      </c>
      <c r="F1043" s="413"/>
      <c r="G1043" s="762" t="str">
        <f ca="1">IF(OR(INDIRECT("'update Helper'!E"&amp;U1043)="",F1043&lt;&gt;0,F1044&lt;&gt;0),IF(IFERROR((F1043/F1044),"")="","",(F1043/F1044)),INDIRECT("'update Helper'!E"&amp;U1043)/100)</f>
        <v/>
      </c>
      <c r="H1043" s="743"/>
      <c r="I1043" s="764"/>
      <c r="J1043" s="729"/>
      <c r="K1043" s="760" t="str">
        <f>W1043</f>
        <v>KP-1c⁽ᴹ⁾ Percentage of sex workers reached with HIV prevention programs - defined package of services</v>
      </c>
      <c r="L1043" s="760" t="str">
        <f>V1043</f>
        <v/>
      </c>
      <c r="M1043" s="729"/>
      <c r="N1043" s="729"/>
      <c r="P1043" s="194">
        <f>IF(AND(EXACT(C1043,C1041),C1041&lt;&gt;0),P1041+1,0)</f>
        <v>11</v>
      </c>
      <c r="Q1043" s="194" t="str">
        <f>IF(C1043&lt;&gt;"",C1043&amp;"-"&amp;P1043,"")</f>
        <v>KP-1c⁽ᴹ⁾ Porcentaje de trabajadores sexuales alcanzados por programas de prevención del VIH - paquete definido de servicios-11</v>
      </c>
      <c r="R1043" s="194" t="str">
        <f t="array" ref="R1043">IFERROR(IF(INDEX('Disaggregation Records'!$E$155:$E$385,MATCH(RIGHT(Q1043,255),RIGHT('Disaggregation Records'!$D$155:$D$385,255),0))="","",INDEX('Disaggregation Records'!$E$155:$E$385,MATCH(RIGHT(Q1043,255),RIGHT('Disaggregation Records'!$D$155:$D$385,255),0))),"")</f>
        <v/>
      </c>
      <c r="S1043" s="194" t="str">
        <f t="array" ref="S1043">IFERROR(IF(INDEX('Disaggregation Records'!$F$155:$F$385,MATCH(RIGHT(Q1043,255),RIGHT('Disaggregation Records'!$D$155:$D$385,255),0))="","",INDEX('Disaggregation Records'!$F$155:$F$385,MATCH(RIGHT(Q1043,255),RIGHT('Disaggregation Records'!$D$155:$D$385,255),0))),"")</f>
        <v/>
      </c>
      <c r="T1043" s="194" t="str">
        <f t="array" ref="T1043">IFERROR(IF(INDEX('Disaggregation Records'!$H$155:$H$385,MATCH(RIGHT(Q1043,255),RIGHT('Disaggregation Records'!$D$155:$D$385,255),0))="","",INDEX('Disaggregation Records'!$H$155:$H$385,MATCH(RIGHT(Q1043,255),RIGHT('Disaggregation Records'!$D$155:$D$385,255),0))),"")</f>
        <v/>
      </c>
      <c r="U1043" s="194">
        <f>U1041+1</f>
        <v>2711</v>
      </c>
      <c r="V1043" s="194" t="str">
        <f t="array" ref="V1043">IFERROR(IF(INDEX('Disaggregation Records'!$I$155:$I$385,MATCH(RIGHT(Q1043,255),RIGHT('Disaggregation Records'!$D$155:$D$385,255),0))="","",INDEX('Disaggregation Records'!$I$155:$I$385,MATCH(RIGHT(Q1043,255),RIGHT('Disaggregation Records'!$D$155:$D$385,255),0))),"")</f>
        <v/>
      </c>
      <c r="W1043" s="194" t="str">
        <f>IFERROR(INDEX('Reference Records'!L$77:L$157,MATCH(LEFT(C1043,255),'Reference Records'!E$77:E$157,0)),"")</f>
        <v>KP-1c⁽ᴹ⁾ Percentage of sex workers reached with HIV prevention programs - defined package of services</v>
      </c>
    </row>
    <row r="1044" spans="1:23" s="194" customFormat="1" ht="40.4" customHeight="1" x14ac:dyDescent="0.35">
      <c r="A1044" s="770"/>
      <c r="B1044" s="767"/>
      <c r="C1044" s="761"/>
      <c r="D1044" s="769"/>
      <c r="E1044" s="769"/>
      <c r="F1044" s="208"/>
      <c r="G1044" s="763"/>
      <c r="H1044" s="744"/>
      <c r="I1044" s="765"/>
      <c r="J1044" s="730"/>
      <c r="K1044" s="761"/>
      <c r="L1044" s="761"/>
      <c r="M1044" s="730"/>
      <c r="N1044" s="730"/>
    </row>
    <row r="1045" spans="1:23" s="194" customFormat="1" ht="40.4" customHeight="1" x14ac:dyDescent="0.35">
      <c r="A1045" s="770" t="str">
        <f ca="1">INDIRECT("'update Helper'!C"&amp;U1045)</f>
        <v>a163p000004NtNOAA0</v>
      </c>
      <c r="B1045" s="766">
        <v>11</v>
      </c>
      <c r="C1045" s="760" t="str">
        <f>VLOOKUP(B1045,'Coverage Indicators - Section D'!$A$9:$AU$70,47,FALSE)</f>
        <v>KP-1c⁽ᴹ⁾ Porcentaje de trabajadores sexuales alcanzados por programas de prevención del VIH - paquete definido de servicios</v>
      </c>
      <c r="D1045" s="768" t="str">
        <f>R1045</f>
        <v/>
      </c>
      <c r="E1045" s="768" t="str">
        <f>S1045</f>
        <v/>
      </c>
      <c r="F1045" s="413"/>
      <c r="G1045" s="762" t="str">
        <f ca="1">IF(OR(INDIRECT("'update Helper'!E"&amp;U1045)="",F1045&lt;&gt;0,F1046&lt;&gt;0),IF(IFERROR((F1045/F1046),"")="","",(F1045/F1046)),INDIRECT("'update Helper'!E"&amp;U1045)/100)</f>
        <v/>
      </c>
      <c r="H1045" s="743"/>
      <c r="I1045" s="764"/>
      <c r="J1045" s="729"/>
      <c r="K1045" s="760" t="str">
        <f>W1045</f>
        <v>KP-1c⁽ᴹ⁾ Percentage of sex workers reached with HIV prevention programs - defined package of services</v>
      </c>
      <c r="L1045" s="760" t="str">
        <f>V1045</f>
        <v/>
      </c>
      <c r="M1045" s="729"/>
      <c r="N1045" s="729"/>
      <c r="P1045" s="194">
        <f>IF(AND(EXACT(C1045,C1043),C1043&lt;&gt;0),P1043+1,0)</f>
        <v>12</v>
      </c>
      <c r="Q1045" s="194" t="str">
        <f>IF(C1045&lt;&gt;"",C1045&amp;"-"&amp;P1045,"")</f>
        <v>KP-1c⁽ᴹ⁾ Porcentaje de trabajadores sexuales alcanzados por programas de prevención del VIH - paquete definido de servicios-12</v>
      </c>
      <c r="R1045" s="194" t="str">
        <f t="array" ref="R1045">IFERROR(IF(INDEX('Disaggregation Records'!$E$155:$E$385,MATCH(RIGHT(Q1045,255),RIGHT('Disaggregation Records'!$D$155:$D$385,255),0))="","",INDEX('Disaggregation Records'!$E$155:$E$385,MATCH(RIGHT(Q1045,255),RIGHT('Disaggregation Records'!$D$155:$D$385,255),0))),"")</f>
        <v/>
      </c>
      <c r="S1045" s="194" t="str">
        <f t="array" ref="S1045">IFERROR(IF(INDEX('Disaggregation Records'!$F$155:$F$385,MATCH(RIGHT(Q1045,255),RIGHT('Disaggregation Records'!$D$155:$D$385,255),0))="","",INDEX('Disaggregation Records'!$F$155:$F$385,MATCH(RIGHT(Q1045,255),RIGHT('Disaggregation Records'!$D$155:$D$385,255),0))),"")</f>
        <v/>
      </c>
      <c r="T1045" s="194" t="str">
        <f t="array" ref="T1045">IFERROR(IF(INDEX('Disaggregation Records'!$H$155:$H$385,MATCH(RIGHT(Q1045,255),RIGHT('Disaggregation Records'!$D$155:$D$385,255),0))="","",INDEX('Disaggregation Records'!$H$155:$H$385,MATCH(RIGHT(Q1045,255),RIGHT('Disaggregation Records'!$D$155:$D$385,255),0))),"")</f>
        <v/>
      </c>
      <c r="U1045" s="194">
        <f>U1043+1</f>
        <v>2712</v>
      </c>
      <c r="V1045" s="194" t="str">
        <f t="array" ref="V1045">IFERROR(IF(INDEX('Disaggregation Records'!$I$155:$I$385,MATCH(RIGHT(Q1045,255),RIGHT('Disaggregation Records'!$D$155:$D$385,255),0))="","",INDEX('Disaggregation Records'!$I$155:$I$385,MATCH(RIGHT(Q1045,255),RIGHT('Disaggregation Records'!$D$155:$D$385,255),0))),"")</f>
        <v/>
      </c>
      <c r="W1045" s="194" t="str">
        <f>IFERROR(INDEX('Reference Records'!L$77:L$157,MATCH(LEFT(C1045,255),'Reference Records'!E$77:E$157,0)),"")</f>
        <v>KP-1c⁽ᴹ⁾ Percentage of sex workers reached with HIV prevention programs - defined package of services</v>
      </c>
    </row>
    <row r="1046" spans="1:23" s="194" customFormat="1" ht="40.4" customHeight="1" x14ac:dyDescent="0.35">
      <c r="A1046" s="770"/>
      <c r="B1046" s="767"/>
      <c r="C1046" s="761"/>
      <c r="D1046" s="769"/>
      <c r="E1046" s="769"/>
      <c r="F1046" s="208"/>
      <c r="G1046" s="763"/>
      <c r="H1046" s="744"/>
      <c r="I1046" s="765"/>
      <c r="J1046" s="730"/>
      <c r="K1046" s="761"/>
      <c r="L1046" s="761"/>
      <c r="M1046" s="730"/>
      <c r="N1046" s="730"/>
    </row>
    <row r="1047" spans="1:23" s="194" customFormat="1" ht="40.4" customHeight="1" x14ac:dyDescent="0.35">
      <c r="A1047" s="770" t="str">
        <f ca="1">INDIRECT("'update Helper'!C"&amp;U1047)</f>
        <v>a163p000004NtNPAA0</v>
      </c>
      <c r="B1047" s="766">
        <v>11</v>
      </c>
      <c r="C1047" s="760" t="str">
        <f>VLOOKUP(B1047,'Coverage Indicators - Section D'!$A$9:$AU$70,47,FALSE)</f>
        <v>KP-1c⁽ᴹ⁾ Porcentaje de trabajadores sexuales alcanzados por programas de prevención del VIH - paquete definido de servicios</v>
      </c>
      <c r="D1047" s="768" t="str">
        <f>R1047</f>
        <v/>
      </c>
      <c r="E1047" s="768" t="str">
        <f>S1047</f>
        <v/>
      </c>
      <c r="F1047" s="413"/>
      <c r="G1047" s="762" t="str">
        <f ca="1">IF(OR(INDIRECT("'update Helper'!E"&amp;U1047)="",F1047&lt;&gt;0,F1048&lt;&gt;0),IF(IFERROR((F1047/F1048),"")="","",(F1047/F1048)),INDIRECT("'update Helper'!E"&amp;U1047)/100)</f>
        <v/>
      </c>
      <c r="H1047" s="743"/>
      <c r="I1047" s="764"/>
      <c r="J1047" s="729"/>
      <c r="K1047" s="760" t="str">
        <f>W1047</f>
        <v>KP-1c⁽ᴹ⁾ Percentage of sex workers reached with HIV prevention programs - defined package of services</v>
      </c>
      <c r="L1047" s="760" t="str">
        <f>V1047</f>
        <v/>
      </c>
      <c r="M1047" s="729"/>
      <c r="N1047" s="729"/>
      <c r="P1047" s="194">
        <f>IF(AND(EXACT(C1047,C1045),C1045&lt;&gt;0),P1045+1,0)</f>
        <v>13</v>
      </c>
      <c r="Q1047" s="194" t="str">
        <f>IF(C1047&lt;&gt;"",C1047&amp;"-"&amp;P1047,"")</f>
        <v>KP-1c⁽ᴹ⁾ Porcentaje de trabajadores sexuales alcanzados por programas de prevención del VIH - paquete definido de servicios-13</v>
      </c>
      <c r="R1047" s="194" t="str">
        <f t="array" ref="R1047">IFERROR(IF(INDEX('Disaggregation Records'!$E$155:$E$385,MATCH(RIGHT(Q1047,255),RIGHT('Disaggregation Records'!$D$155:$D$385,255),0))="","",INDEX('Disaggregation Records'!$E$155:$E$385,MATCH(RIGHT(Q1047,255),RIGHT('Disaggregation Records'!$D$155:$D$385,255),0))),"")</f>
        <v/>
      </c>
      <c r="S1047" s="194" t="str">
        <f t="array" ref="S1047">IFERROR(IF(INDEX('Disaggregation Records'!$F$155:$F$385,MATCH(RIGHT(Q1047,255),RIGHT('Disaggregation Records'!$D$155:$D$385,255),0))="","",INDEX('Disaggregation Records'!$F$155:$F$385,MATCH(RIGHT(Q1047,255),RIGHT('Disaggregation Records'!$D$155:$D$385,255),0))),"")</f>
        <v/>
      </c>
      <c r="T1047" s="194" t="str">
        <f t="array" ref="T1047">IFERROR(IF(INDEX('Disaggregation Records'!$H$155:$H$385,MATCH(RIGHT(Q1047,255),RIGHT('Disaggregation Records'!$D$155:$D$385,255),0))="","",INDEX('Disaggregation Records'!$H$155:$H$385,MATCH(RIGHT(Q1047,255),RIGHT('Disaggregation Records'!$D$155:$D$385,255),0))),"")</f>
        <v/>
      </c>
      <c r="U1047" s="194">
        <f>U1045+1</f>
        <v>2713</v>
      </c>
      <c r="V1047" s="194" t="str">
        <f t="array" ref="V1047">IFERROR(IF(INDEX('Disaggregation Records'!$I$155:$I$385,MATCH(RIGHT(Q1047,255),RIGHT('Disaggregation Records'!$D$155:$D$385,255),0))="","",INDEX('Disaggregation Records'!$I$155:$I$385,MATCH(RIGHT(Q1047,255),RIGHT('Disaggregation Records'!$D$155:$D$385,255),0))),"")</f>
        <v/>
      </c>
      <c r="W1047" s="194" t="str">
        <f>IFERROR(INDEX('Reference Records'!L$77:L$157,MATCH(LEFT(C1047,255),'Reference Records'!E$77:E$157,0)),"")</f>
        <v>KP-1c⁽ᴹ⁾ Percentage of sex workers reached with HIV prevention programs - defined package of services</v>
      </c>
    </row>
    <row r="1048" spans="1:23" s="194" customFormat="1" ht="40.4" customHeight="1" x14ac:dyDescent="0.35">
      <c r="A1048" s="770"/>
      <c r="B1048" s="767"/>
      <c r="C1048" s="761"/>
      <c r="D1048" s="769"/>
      <c r="E1048" s="769"/>
      <c r="F1048" s="208"/>
      <c r="G1048" s="763"/>
      <c r="H1048" s="744"/>
      <c r="I1048" s="765"/>
      <c r="J1048" s="730"/>
      <c r="K1048" s="761"/>
      <c r="L1048" s="761"/>
      <c r="M1048" s="730"/>
      <c r="N1048" s="730"/>
    </row>
    <row r="1049" spans="1:23" s="194" customFormat="1" ht="40.4" customHeight="1" x14ac:dyDescent="0.35">
      <c r="A1049" s="770" t="str">
        <f ca="1">INDIRECT("'update Helper'!C"&amp;U1049)</f>
        <v>a163p000004NtNQAA0</v>
      </c>
      <c r="B1049" s="766">
        <v>11</v>
      </c>
      <c r="C1049" s="760" t="str">
        <f>VLOOKUP(B1049,'Coverage Indicators - Section D'!$A$9:$AU$70,47,FALSE)</f>
        <v>KP-1c⁽ᴹ⁾ Porcentaje de trabajadores sexuales alcanzados por programas de prevención del VIH - paquete definido de servicios</v>
      </c>
      <c r="D1049" s="768" t="str">
        <f>R1049</f>
        <v/>
      </c>
      <c r="E1049" s="768" t="str">
        <f>S1049</f>
        <v/>
      </c>
      <c r="F1049" s="413"/>
      <c r="G1049" s="762" t="str">
        <f ca="1">IF(OR(INDIRECT("'update Helper'!E"&amp;U1049)="",F1049&lt;&gt;0,F1050&lt;&gt;0),IF(IFERROR((F1049/F1050),"")="","",(F1049/F1050)),INDIRECT("'update Helper'!E"&amp;U1049)/100)</f>
        <v/>
      </c>
      <c r="H1049" s="743"/>
      <c r="I1049" s="764"/>
      <c r="J1049" s="729"/>
      <c r="K1049" s="760" t="str">
        <f>W1049</f>
        <v>KP-1c⁽ᴹ⁾ Percentage of sex workers reached with HIV prevention programs - defined package of services</v>
      </c>
      <c r="L1049" s="760" t="str">
        <f>V1049</f>
        <v/>
      </c>
      <c r="M1049" s="729"/>
      <c r="N1049" s="729"/>
      <c r="P1049" s="194">
        <f>IF(AND(EXACT(C1049,C1047),C1047&lt;&gt;0),P1047+1,0)</f>
        <v>14</v>
      </c>
      <c r="Q1049" s="194" t="str">
        <f>IF(C1049&lt;&gt;"",C1049&amp;"-"&amp;P1049,"")</f>
        <v>KP-1c⁽ᴹ⁾ Porcentaje de trabajadores sexuales alcanzados por programas de prevención del VIH - paquete definido de servicios-14</v>
      </c>
      <c r="R1049" s="194" t="str">
        <f t="array" ref="R1049">IFERROR(IF(INDEX('Disaggregation Records'!$E$155:$E$385,MATCH(RIGHT(Q1049,255),RIGHT('Disaggregation Records'!$D$155:$D$385,255),0))="","",INDEX('Disaggregation Records'!$E$155:$E$385,MATCH(RIGHT(Q1049,255),RIGHT('Disaggregation Records'!$D$155:$D$385,255),0))),"")</f>
        <v/>
      </c>
      <c r="S1049" s="194" t="str">
        <f t="array" ref="S1049">IFERROR(IF(INDEX('Disaggregation Records'!$F$155:$F$385,MATCH(RIGHT(Q1049,255),RIGHT('Disaggregation Records'!$D$155:$D$385,255),0))="","",INDEX('Disaggregation Records'!$F$155:$F$385,MATCH(RIGHT(Q1049,255),RIGHT('Disaggregation Records'!$D$155:$D$385,255),0))),"")</f>
        <v/>
      </c>
      <c r="T1049" s="194" t="str">
        <f t="array" ref="T1049">IFERROR(IF(INDEX('Disaggregation Records'!$H$155:$H$385,MATCH(RIGHT(Q1049,255),RIGHT('Disaggregation Records'!$D$155:$D$385,255),0))="","",INDEX('Disaggregation Records'!$H$155:$H$385,MATCH(RIGHT(Q1049,255),RIGHT('Disaggregation Records'!$D$155:$D$385,255),0))),"")</f>
        <v/>
      </c>
      <c r="U1049" s="194">
        <f>U1047+1</f>
        <v>2714</v>
      </c>
      <c r="V1049" s="194" t="str">
        <f t="array" ref="V1049">IFERROR(IF(INDEX('Disaggregation Records'!$I$155:$I$385,MATCH(RIGHT(Q1049,255),RIGHT('Disaggregation Records'!$D$155:$D$385,255),0))="","",INDEX('Disaggregation Records'!$I$155:$I$385,MATCH(RIGHT(Q1049,255),RIGHT('Disaggregation Records'!$D$155:$D$385,255),0))),"")</f>
        <v/>
      </c>
      <c r="W1049" s="194" t="str">
        <f>IFERROR(INDEX('Reference Records'!L$77:L$157,MATCH(LEFT(C1049,255),'Reference Records'!E$77:E$157,0)),"")</f>
        <v>KP-1c⁽ᴹ⁾ Percentage of sex workers reached with HIV prevention programs - defined package of services</v>
      </c>
    </row>
    <row r="1050" spans="1:23" s="194" customFormat="1" ht="40.4" customHeight="1" x14ac:dyDescent="0.35">
      <c r="A1050" s="770"/>
      <c r="B1050" s="767"/>
      <c r="C1050" s="761"/>
      <c r="D1050" s="769"/>
      <c r="E1050" s="769"/>
      <c r="F1050" s="208"/>
      <c r="G1050" s="763"/>
      <c r="H1050" s="744"/>
      <c r="I1050" s="765"/>
      <c r="J1050" s="730"/>
      <c r="K1050" s="761"/>
      <c r="L1050" s="761"/>
      <c r="M1050" s="730"/>
      <c r="N1050" s="730"/>
    </row>
    <row r="1051" spans="1:23" s="194" customFormat="1" ht="40.4" customHeight="1" x14ac:dyDescent="0.35">
      <c r="A1051" s="770" t="str">
        <f ca="1">INDIRECT("'update Helper'!C"&amp;U1051)</f>
        <v>a163p000004NtNRAA0</v>
      </c>
      <c r="B1051" s="766">
        <v>11</v>
      </c>
      <c r="C1051" s="760" t="str">
        <f>VLOOKUP(B1051,'Coverage Indicators - Section D'!$A$9:$AU$70,47,FALSE)</f>
        <v>KP-1c⁽ᴹ⁾ Porcentaje de trabajadores sexuales alcanzados por programas de prevención del VIH - paquete definido de servicios</v>
      </c>
      <c r="D1051" s="768" t="str">
        <f>R1051</f>
        <v/>
      </c>
      <c r="E1051" s="768" t="str">
        <f>S1051</f>
        <v/>
      </c>
      <c r="F1051" s="413"/>
      <c r="G1051" s="762" t="str">
        <f ca="1">IF(OR(INDIRECT("'update Helper'!E"&amp;U1051)="",F1051&lt;&gt;0,F1052&lt;&gt;0),IF(IFERROR((F1051/F1052),"")="","",(F1051/F1052)),INDIRECT("'update Helper'!E"&amp;U1051)/100)</f>
        <v/>
      </c>
      <c r="H1051" s="743"/>
      <c r="I1051" s="764"/>
      <c r="J1051" s="729"/>
      <c r="K1051" s="760" t="str">
        <f>W1051</f>
        <v>KP-1c⁽ᴹ⁾ Percentage of sex workers reached with HIV prevention programs - defined package of services</v>
      </c>
      <c r="L1051" s="760" t="str">
        <f>V1051</f>
        <v/>
      </c>
      <c r="M1051" s="729"/>
      <c r="N1051" s="729"/>
      <c r="P1051" s="194">
        <f>IF(AND(EXACT(C1051,C1049),C1049&lt;&gt;0),P1049+1,0)</f>
        <v>15</v>
      </c>
      <c r="Q1051" s="194" t="str">
        <f>IF(C1051&lt;&gt;"",C1051&amp;"-"&amp;P1051,"")</f>
        <v>KP-1c⁽ᴹ⁾ Porcentaje de trabajadores sexuales alcanzados por programas de prevención del VIH - paquete definido de servicios-15</v>
      </c>
      <c r="R1051" s="194" t="str">
        <f t="array" ref="R1051">IFERROR(IF(INDEX('Disaggregation Records'!$E$155:$E$385,MATCH(RIGHT(Q1051,255),RIGHT('Disaggregation Records'!$D$155:$D$385,255),0))="","",INDEX('Disaggregation Records'!$E$155:$E$385,MATCH(RIGHT(Q1051,255),RIGHT('Disaggregation Records'!$D$155:$D$385,255),0))),"")</f>
        <v/>
      </c>
      <c r="S1051" s="194" t="str">
        <f t="array" ref="S1051">IFERROR(IF(INDEX('Disaggregation Records'!$F$155:$F$385,MATCH(RIGHT(Q1051,255),RIGHT('Disaggregation Records'!$D$155:$D$385,255),0))="","",INDEX('Disaggregation Records'!$F$155:$F$385,MATCH(RIGHT(Q1051,255),RIGHT('Disaggregation Records'!$D$155:$D$385,255),0))),"")</f>
        <v/>
      </c>
      <c r="T1051" s="194" t="str">
        <f t="array" ref="T1051">IFERROR(IF(INDEX('Disaggregation Records'!$H$155:$H$385,MATCH(RIGHT(Q1051,255),RIGHT('Disaggregation Records'!$D$155:$D$385,255),0))="","",INDEX('Disaggregation Records'!$H$155:$H$385,MATCH(RIGHT(Q1051,255),RIGHT('Disaggregation Records'!$D$155:$D$385,255),0))),"")</f>
        <v/>
      </c>
      <c r="U1051" s="194">
        <f>U1049+1</f>
        <v>2715</v>
      </c>
      <c r="V1051" s="194" t="str">
        <f t="array" ref="V1051">IFERROR(IF(INDEX('Disaggregation Records'!$I$155:$I$385,MATCH(RIGHT(Q1051,255),RIGHT('Disaggregation Records'!$D$155:$D$385,255),0))="","",INDEX('Disaggregation Records'!$I$155:$I$385,MATCH(RIGHT(Q1051,255),RIGHT('Disaggregation Records'!$D$155:$D$385,255),0))),"")</f>
        <v/>
      </c>
      <c r="W1051" s="194" t="str">
        <f>IFERROR(INDEX('Reference Records'!L$77:L$157,MATCH(LEFT(C1051,255),'Reference Records'!E$77:E$157,0)),"")</f>
        <v>KP-1c⁽ᴹ⁾ Percentage of sex workers reached with HIV prevention programs - defined package of services</v>
      </c>
    </row>
    <row r="1052" spans="1:23" s="194" customFormat="1" ht="40.4" customHeight="1" x14ac:dyDescent="0.35">
      <c r="A1052" s="770"/>
      <c r="B1052" s="767"/>
      <c r="C1052" s="761"/>
      <c r="D1052" s="769"/>
      <c r="E1052" s="769"/>
      <c r="F1052" s="208"/>
      <c r="G1052" s="763"/>
      <c r="H1052" s="744"/>
      <c r="I1052" s="765"/>
      <c r="J1052" s="730"/>
      <c r="K1052" s="761"/>
      <c r="L1052" s="761"/>
      <c r="M1052" s="730"/>
      <c r="N1052" s="730"/>
    </row>
    <row r="1053" spans="1:23" s="194" customFormat="1" ht="40.4" customHeight="1" x14ac:dyDescent="0.35">
      <c r="A1053" s="770" t="str">
        <f ca="1">INDIRECT("'update Helper'!C"&amp;U1053)</f>
        <v>a163p000004NtNSAA0</v>
      </c>
      <c r="B1053" s="766">
        <v>11</v>
      </c>
      <c r="C1053" s="760" t="str">
        <f>VLOOKUP(B1053,'Coverage Indicators - Section D'!$A$9:$AU$70,47,FALSE)</f>
        <v>KP-1c⁽ᴹ⁾ Porcentaje de trabajadores sexuales alcanzados por programas de prevención del VIH - paquete definido de servicios</v>
      </c>
      <c r="D1053" s="768" t="str">
        <f>R1053</f>
        <v/>
      </c>
      <c r="E1053" s="768" t="str">
        <f>S1053</f>
        <v/>
      </c>
      <c r="F1053" s="413"/>
      <c r="G1053" s="762" t="str">
        <f ca="1">IF(OR(INDIRECT("'update Helper'!E"&amp;U1053)="",F1053&lt;&gt;0,F1054&lt;&gt;0),IF(IFERROR((F1053/F1054),"")="","",(F1053/F1054)),INDIRECT("'update Helper'!E"&amp;U1053)/100)</f>
        <v/>
      </c>
      <c r="H1053" s="743"/>
      <c r="I1053" s="764"/>
      <c r="J1053" s="729"/>
      <c r="K1053" s="760" t="str">
        <f>W1053</f>
        <v>KP-1c⁽ᴹ⁾ Percentage of sex workers reached with HIV prevention programs - defined package of services</v>
      </c>
      <c r="L1053" s="760" t="str">
        <f>V1053</f>
        <v/>
      </c>
      <c r="M1053" s="729"/>
      <c r="N1053" s="729"/>
      <c r="P1053" s="194">
        <f>IF(AND(EXACT(C1053,C1051),C1051&lt;&gt;0),P1051+1,0)</f>
        <v>16</v>
      </c>
      <c r="Q1053" s="194" t="str">
        <f>IF(C1053&lt;&gt;"",C1053&amp;"-"&amp;P1053,"")</f>
        <v>KP-1c⁽ᴹ⁾ Porcentaje de trabajadores sexuales alcanzados por programas de prevención del VIH - paquete definido de servicios-16</v>
      </c>
      <c r="R1053" s="194" t="str">
        <f t="array" ref="R1053">IFERROR(IF(INDEX('Disaggregation Records'!$E$155:$E$385,MATCH(RIGHT(Q1053,255),RIGHT('Disaggregation Records'!$D$155:$D$385,255),0))="","",INDEX('Disaggregation Records'!$E$155:$E$385,MATCH(RIGHT(Q1053,255),RIGHT('Disaggregation Records'!$D$155:$D$385,255),0))),"")</f>
        <v/>
      </c>
      <c r="S1053" s="194" t="str">
        <f t="array" ref="S1053">IFERROR(IF(INDEX('Disaggregation Records'!$F$155:$F$385,MATCH(RIGHT(Q1053,255),RIGHT('Disaggregation Records'!$D$155:$D$385,255),0))="","",INDEX('Disaggregation Records'!$F$155:$F$385,MATCH(RIGHT(Q1053,255),RIGHT('Disaggregation Records'!$D$155:$D$385,255),0))),"")</f>
        <v/>
      </c>
      <c r="T1053" s="194" t="str">
        <f t="array" ref="T1053">IFERROR(IF(INDEX('Disaggregation Records'!$H$155:$H$385,MATCH(RIGHT(Q1053,255),RIGHT('Disaggregation Records'!$D$155:$D$385,255),0))="","",INDEX('Disaggregation Records'!$H$155:$H$385,MATCH(RIGHT(Q1053,255),RIGHT('Disaggregation Records'!$D$155:$D$385,255),0))),"")</f>
        <v/>
      </c>
      <c r="U1053" s="194">
        <f>U1051+1</f>
        <v>2716</v>
      </c>
      <c r="V1053" s="194" t="str">
        <f t="array" ref="V1053">IFERROR(IF(INDEX('Disaggregation Records'!$I$155:$I$385,MATCH(RIGHT(Q1053,255),RIGHT('Disaggregation Records'!$D$155:$D$385,255),0))="","",INDEX('Disaggregation Records'!$I$155:$I$385,MATCH(RIGHT(Q1053,255),RIGHT('Disaggregation Records'!$D$155:$D$385,255),0))),"")</f>
        <v/>
      </c>
      <c r="W1053" s="194" t="str">
        <f>IFERROR(INDEX('Reference Records'!L$77:L$157,MATCH(LEFT(C1053,255),'Reference Records'!E$77:E$157,0)),"")</f>
        <v>KP-1c⁽ᴹ⁾ Percentage of sex workers reached with HIV prevention programs - defined package of services</v>
      </c>
    </row>
    <row r="1054" spans="1:23" s="194" customFormat="1" ht="40.4" customHeight="1" x14ac:dyDescent="0.35">
      <c r="A1054" s="770"/>
      <c r="B1054" s="767"/>
      <c r="C1054" s="761"/>
      <c r="D1054" s="769"/>
      <c r="E1054" s="769"/>
      <c r="F1054" s="208"/>
      <c r="G1054" s="763"/>
      <c r="H1054" s="744"/>
      <c r="I1054" s="765"/>
      <c r="J1054" s="730"/>
      <c r="K1054" s="761"/>
      <c r="L1054" s="761"/>
      <c r="M1054" s="730"/>
      <c r="N1054" s="730"/>
    </row>
    <row r="1055" spans="1:23" s="194" customFormat="1" ht="40.4" customHeight="1" x14ac:dyDescent="0.35">
      <c r="A1055" s="770" t="str">
        <f ca="1">INDIRECT("'update Helper'!C"&amp;U1055)</f>
        <v>a163p000004NtNTAA0</v>
      </c>
      <c r="B1055" s="766">
        <v>11</v>
      </c>
      <c r="C1055" s="760" t="str">
        <f>VLOOKUP(B1055,'Coverage Indicators - Section D'!$A$9:$AU$70,47,FALSE)</f>
        <v>KP-1c⁽ᴹ⁾ Porcentaje de trabajadores sexuales alcanzados por programas de prevención del VIH - paquete definido de servicios</v>
      </c>
      <c r="D1055" s="768" t="str">
        <f>R1055</f>
        <v/>
      </c>
      <c r="E1055" s="768" t="str">
        <f>S1055</f>
        <v/>
      </c>
      <c r="F1055" s="413"/>
      <c r="G1055" s="762" t="str">
        <f ca="1">IF(OR(INDIRECT("'update Helper'!E"&amp;U1055)="",F1055&lt;&gt;0,F1056&lt;&gt;0),IF(IFERROR((F1055/F1056),"")="","",(F1055/F1056)),INDIRECT("'update Helper'!E"&amp;U1055)/100)</f>
        <v/>
      </c>
      <c r="H1055" s="743"/>
      <c r="I1055" s="764"/>
      <c r="J1055" s="729"/>
      <c r="K1055" s="760" t="str">
        <f>W1055</f>
        <v>KP-1c⁽ᴹ⁾ Percentage of sex workers reached with HIV prevention programs - defined package of services</v>
      </c>
      <c r="L1055" s="760" t="str">
        <f>V1055</f>
        <v/>
      </c>
      <c r="M1055" s="729"/>
      <c r="N1055" s="729"/>
      <c r="P1055" s="194">
        <f>IF(AND(EXACT(C1055,C1053),C1053&lt;&gt;0),P1053+1,0)</f>
        <v>17</v>
      </c>
      <c r="Q1055" s="194" t="str">
        <f>IF(C1055&lt;&gt;"",C1055&amp;"-"&amp;P1055,"")</f>
        <v>KP-1c⁽ᴹ⁾ Porcentaje de trabajadores sexuales alcanzados por programas de prevención del VIH - paquete definido de servicios-17</v>
      </c>
      <c r="R1055" s="194" t="str">
        <f t="array" ref="R1055">IFERROR(IF(INDEX('Disaggregation Records'!$E$155:$E$385,MATCH(RIGHT(Q1055,255),RIGHT('Disaggregation Records'!$D$155:$D$385,255),0))="","",INDEX('Disaggregation Records'!$E$155:$E$385,MATCH(RIGHT(Q1055,255),RIGHT('Disaggregation Records'!$D$155:$D$385,255),0))),"")</f>
        <v/>
      </c>
      <c r="S1055" s="194" t="str">
        <f t="array" ref="S1055">IFERROR(IF(INDEX('Disaggregation Records'!$F$155:$F$385,MATCH(RIGHT(Q1055,255),RIGHT('Disaggregation Records'!$D$155:$D$385,255),0))="","",INDEX('Disaggregation Records'!$F$155:$F$385,MATCH(RIGHT(Q1055,255),RIGHT('Disaggregation Records'!$D$155:$D$385,255),0))),"")</f>
        <v/>
      </c>
      <c r="T1055" s="194" t="str">
        <f t="array" ref="T1055">IFERROR(IF(INDEX('Disaggregation Records'!$H$155:$H$385,MATCH(RIGHT(Q1055,255),RIGHT('Disaggregation Records'!$D$155:$D$385,255),0))="","",INDEX('Disaggregation Records'!$H$155:$H$385,MATCH(RIGHT(Q1055,255),RIGHT('Disaggregation Records'!$D$155:$D$385,255),0))),"")</f>
        <v/>
      </c>
      <c r="U1055" s="194">
        <f>U1053+1</f>
        <v>2717</v>
      </c>
      <c r="V1055" s="194" t="str">
        <f t="array" ref="V1055">IFERROR(IF(INDEX('Disaggregation Records'!$I$155:$I$385,MATCH(RIGHT(Q1055,255),RIGHT('Disaggregation Records'!$D$155:$D$385,255),0))="","",INDEX('Disaggregation Records'!$I$155:$I$385,MATCH(RIGHT(Q1055,255),RIGHT('Disaggregation Records'!$D$155:$D$385,255),0))),"")</f>
        <v/>
      </c>
      <c r="W1055" s="194" t="str">
        <f>IFERROR(INDEX('Reference Records'!L$77:L$157,MATCH(LEFT(C1055,255),'Reference Records'!E$77:E$157,0)),"")</f>
        <v>KP-1c⁽ᴹ⁾ Percentage of sex workers reached with HIV prevention programs - defined package of services</v>
      </c>
    </row>
    <row r="1056" spans="1:23" s="194" customFormat="1" ht="40.4" customHeight="1" x14ac:dyDescent="0.35">
      <c r="A1056" s="770"/>
      <c r="B1056" s="767"/>
      <c r="C1056" s="761"/>
      <c r="D1056" s="769"/>
      <c r="E1056" s="769"/>
      <c r="F1056" s="208"/>
      <c r="G1056" s="763"/>
      <c r="H1056" s="744"/>
      <c r="I1056" s="765"/>
      <c r="J1056" s="730"/>
      <c r="K1056" s="761"/>
      <c r="L1056" s="761"/>
      <c r="M1056" s="730"/>
      <c r="N1056" s="730"/>
    </row>
    <row r="1057" spans="1:23" s="194" customFormat="1" ht="40.4" customHeight="1" x14ac:dyDescent="0.35">
      <c r="A1057" s="770" t="str">
        <f ca="1">INDIRECT("'update Helper'!C"&amp;U1057)</f>
        <v>a163p000004NtNUAA0</v>
      </c>
      <c r="B1057" s="766">
        <v>11</v>
      </c>
      <c r="C1057" s="760" t="str">
        <f>VLOOKUP(B1057,'Coverage Indicators - Section D'!$A$9:$AU$70,47,FALSE)</f>
        <v>KP-1c⁽ᴹ⁾ Porcentaje de trabajadores sexuales alcanzados por programas de prevención del VIH - paquete definido de servicios</v>
      </c>
      <c r="D1057" s="768" t="str">
        <f>R1057</f>
        <v/>
      </c>
      <c r="E1057" s="768" t="str">
        <f>S1057</f>
        <v/>
      </c>
      <c r="F1057" s="413"/>
      <c r="G1057" s="762" t="str">
        <f ca="1">IF(OR(INDIRECT("'update Helper'!E"&amp;U1057)="",F1057&lt;&gt;0,F1058&lt;&gt;0),IF(IFERROR((F1057/F1058),"")="","",(F1057/F1058)),INDIRECT("'update Helper'!E"&amp;U1057)/100)</f>
        <v/>
      </c>
      <c r="H1057" s="743"/>
      <c r="I1057" s="764"/>
      <c r="J1057" s="729"/>
      <c r="K1057" s="760" t="str">
        <f>W1057</f>
        <v>KP-1c⁽ᴹ⁾ Percentage of sex workers reached with HIV prevention programs - defined package of services</v>
      </c>
      <c r="L1057" s="760" t="str">
        <f>V1057</f>
        <v/>
      </c>
      <c r="M1057" s="729"/>
      <c r="N1057" s="729"/>
      <c r="P1057" s="194">
        <f>IF(AND(EXACT(C1057,C1055),C1055&lt;&gt;0),P1055+1,0)</f>
        <v>18</v>
      </c>
      <c r="Q1057" s="194" t="str">
        <f>IF(C1057&lt;&gt;"",C1057&amp;"-"&amp;P1057,"")</f>
        <v>KP-1c⁽ᴹ⁾ Porcentaje de trabajadores sexuales alcanzados por programas de prevención del VIH - paquete definido de servicios-18</v>
      </c>
      <c r="R1057" s="194" t="str">
        <f t="array" ref="R1057">IFERROR(IF(INDEX('Disaggregation Records'!$E$155:$E$385,MATCH(RIGHT(Q1057,255),RIGHT('Disaggregation Records'!$D$155:$D$385,255),0))="","",INDEX('Disaggregation Records'!$E$155:$E$385,MATCH(RIGHT(Q1057,255),RIGHT('Disaggregation Records'!$D$155:$D$385,255),0))),"")</f>
        <v/>
      </c>
      <c r="S1057" s="194" t="str">
        <f t="array" ref="S1057">IFERROR(IF(INDEX('Disaggregation Records'!$F$155:$F$385,MATCH(RIGHT(Q1057,255),RIGHT('Disaggregation Records'!$D$155:$D$385,255),0))="","",INDEX('Disaggregation Records'!$F$155:$F$385,MATCH(RIGHT(Q1057,255),RIGHT('Disaggregation Records'!$D$155:$D$385,255),0))),"")</f>
        <v/>
      </c>
      <c r="T1057" s="194" t="str">
        <f t="array" ref="T1057">IFERROR(IF(INDEX('Disaggregation Records'!$H$155:$H$385,MATCH(RIGHT(Q1057,255),RIGHT('Disaggregation Records'!$D$155:$D$385,255),0))="","",INDEX('Disaggregation Records'!$H$155:$H$385,MATCH(RIGHT(Q1057,255),RIGHT('Disaggregation Records'!$D$155:$D$385,255),0))),"")</f>
        <v/>
      </c>
      <c r="U1057" s="194">
        <f>U1055+1</f>
        <v>2718</v>
      </c>
      <c r="V1057" s="194" t="str">
        <f t="array" ref="V1057">IFERROR(IF(INDEX('Disaggregation Records'!$I$155:$I$385,MATCH(RIGHT(Q1057,255),RIGHT('Disaggregation Records'!$D$155:$D$385,255),0))="","",INDEX('Disaggregation Records'!$I$155:$I$385,MATCH(RIGHT(Q1057,255),RIGHT('Disaggregation Records'!$D$155:$D$385,255),0))),"")</f>
        <v/>
      </c>
      <c r="W1057" s="194" t="str">
        <f>IFERROR(INDEX('Reference Records'!L$77:L$157,MATCH(LEFT(C1057,255),'Reference Records'!E$77:E$157,0)),"")</f>
        <v>KP-1c⁽ᴹ⁾ Percentage of sex workers reached with HIV prevention programs - defined package of services</v>
      </c>
    </row>
    <row r="1058" spans="1:23" s="194" customFormat="1" ht="40.4" customHeight="1" x14ac:dyDescent="0.35">
      <c r="A1058" s="770"/>
      <c r="B1058" s="767"/>
      <c r="C1058" s="761"/>
      <c r="D1058" s="769"/>
      <c r="E1058" s="769"/>
      <c r="F1058" s="208"/>
      <c r="G1058" s="763"/>
      <c r="H1058" s="744"/>
      <c r="I1058" s="765"/>
      <c r="J1058" s="730"/>
      <c r="K1058" s="761"/>
      <c r="L1058" s="761"/>
      <c r="M1058" s="730"/>
      <c r="N1058" s="730"/>
    </row>
    <row r="1059" spans="1:23" s="194" customFormat="1" ht="40.4" customHeight="1" x14ac:dyDescent="0.35">
      <c r="A1059" s="770" t="str">
        <f ca="1">INDIRECT("'update Helper'!C"&amp;U1059)</f>
        <v>a163p000004NtNVAA0</v>
      </c>
      <c r="B1059" s="766">
        <v>11</v>
      </c>
      <c r="C1059" s="760" t="str">
        <f>VLOOKUP(B1059,'Coverage Indicators - Section D'!$A$9:$AU$70,47,FALSE)</f>
        <v>KP-1c⁽ᴹ⁾ Porcentaje de trabajadores sexuales alcanzados por programas de prevención del VIH - paquete definido de servicios</v>
      </c>
      <c r="D1059" s="768" t="str">
        <f>R1059</f>
        <v/>
      </c>
      <c r="E1059" s="768" t="str">
        <f>S1059</f>
        <v/>
      </c>
      <c r="F1059" s="413"/>
      <c r="G1059" s="762" t="str">
        <f ca="1">IF(OR(INDIRECT("'update Helper'!E"&amp;U1059)="",F1059&lt;&gt;0,F1060&lt;&gt;0),IF(IFERROR((F1059/F1060),"")="","",(F1059/F1060)),INDIRECT("'update Helper'!E"&amp;U1059)/100)</f>
        <v/>
      </c>
      <c r="H1059" s="743"/>
      <c r="I1059" s="764"/>
      <c r="J1059" s="729"/>
      <c r="K1059" s="760" t="str">
        <f>W1059</f>
        <v>KP-1c⁽ᴹ⁾ Percentage of sex workers reached with HIV prevention programs - defined package of services</v>
      </c>
      <c r="L1059" s="760" t="str">
        <f>V1059</f>
        <v/>
      </c>
      <c r="M1059" s="729"/>
      <c r="N1059" s="729"/>
      <c r="P1059" s="194">
        <f>IF(AND(EXACT(C1059,C1057),C1057&lt;&gt;0),P1057+1,0)</f>
        <v>19</v>
      </c>
      <c r="Q1059" s="194" t="str">
        <f>IF(C1059&lt;&gt;"",C1059&amp;"-"&amp;P1059,"")</f>
        <v>KP-1c⁽ᴹ⁾ Porcentaje de trabajadores sexuales alcanzados por programas de prevención del VIH - paquete definido de servicios-19</v>
      </c>
      <c r="R1059" s="194" t="str">
        <f t="array" ref="R1059">IFERROR(IF(INDEX('Disaggregation Records'!$E$155:$E$385,MATCH(RIGHT(Q1059,255),RIGHT('Disaggregation Records'!$D$155:$D$385,255),0))="","",INDEX('Disaggregation Records'!$E$155:$E$385,MATCH(RIGHT(Q1059,255),RIGHT('Disaggregation Records'!$D$155:$D$385,255),0))),"")</f>
        <v/>
      </c>
      <c r="S1059" s="194" t="str">
        <f t="array" ref="S1059">IFERROR(IF(INDEX('Disaggregation Records'!$F$155:$F$385,MATCH(RIGHT(Q1059,255),RIGHT('Disaggregation Records'!$D$155:$D$385,255),0))="","",INDEX('Disaggregation Records'!$F$155:$F$385,MATCH(RIGHT(Q1059,255),RIGHT('Disaggregation Records'!$D$155:$D$385,255),0))),"")</f>
        <v/>
      </c>
      <c r="T1059" s="194" t="str">
        <f t="array" ref="T1059">IFERROR(IF(INDEX('Disaggregation Records'!$H$155:$H$385,MATCH(RIGHT(Q1059,255),RIGHT('Disaggregation Records'!$D$155:$D$385,255),0))="","",INDEX('Disaggregation Records'!$H$155:$H$385,MATCH(RIGHT(Q1059,255),RIGHT('Disaggregation Records'!$D$155:$D$385,255),0))),"")</f>
        <v/>
      </c>
      <c r="U1059" s="194">
        <f>U1057+1</f>
        <v>2719</v>
      </c>
      <c r="V1059" s="194" t="str">
        <f t="array" ref="V1059">IFERROR(IF(INDEX('Disaggregation Records'!$I$155:$I$385,MATCH(RIGHT(Q1059,255),RIGHT('Disaggregation Records'!$D$155:$D$385,255),0))="","",INDEX('Disaggregation Records'!$I$155:$I$385,MATCH(RIGHT(Q1059,255),RIGHT('Disaggregation Records'!$D$155:$D$385,255),0))),"")</f>
        <v/>
      </c>
      <c r="W1059" s="194" t="str">
        <f>IFERROR(INDEX('Reference Records'!L$77:L$157,MATCH(LEFT(C1059,255),'Reference Records'!E$77:E$157,0)),"")</f>
        <v>KP-1c⁽ᴹ⁾ Percentage of sex workers reached with HIV prevention programs - defined package of services</v>
      </c>
    </row>
    <row r="1060" spans="1:23" s="194" customFormat="1" ht="40.4" customHeight="1" x14ac:dyDescent="0.35">
      <c r="A1060" s="770"/>
      <c r="B1060" s="767"/>
      <c r="C1060" s="761"/>
      <c r="D1060" s="769"/>
      <c r="E1060" s="769"/>
      <c r="F1060" s="208"/>
      <c r="G1060" s="763"/>
      <c r="H1060" s="744"/>
      <c r="I1060" s="765"/>
      <c r="J1060" s="730"/>
      <c r="K1060" s="761"/>
      <c r="L1060" s="761"/>
      <c r="M1060" s="730"/>
      <c r="N1060" s="730"/>
    </row>
    <row r="1061" spans="1:23" s="194" customFormat="1" ht="40.4" customHeight="1" x14ac:dyDescent="0.35">
      <c r="A1061" s="770" t="str">
        <f ca="1">INDIRECT("'update Helper'!C"&amp;U1061)</f>
        <v>a163p000004NtWsAAK</v>
      </c>
      <c r="B1061" s="766">
        <v>12</v>
      </c>
      <c r="C1061" s="760" t="str">
        <f>VLOOKUP(B1061,'Coverage Indicators - Section D'!$A$9:$AU$70,47,FALSE)</f>
        <v>TCS-1.1⁽ᴹ⁾ Porcentaje de personas en TARV entre todas las personas viviendo con VIH al final del período de reporte</v>
      </c>
      <c r="D1061" s="768" t="str">
        <f>R1061</f>
        <v>Grupo de riesgo objetivo</v>
      </c>
      <c r="E1061" s="768" t="str">
        <f>S1061</f>
        <v>Reclusos</v>
      </c>
      <c r="F1061" s="413"/>
      <c r="G1061" s="762" t="str">
        <f ca="1">IF(OR(INDIRECT("'update Helper'!E"&amp;U1061)="",F1061&lt;&gt;0,F1062&lt;&gt;0),IF(IFERROR((F1061/F1062),"")="","",(F1061/F1062)),INDIRECT("'update Helper'!E"&amp;U1061)/100)</f>
        <v/>
      </c>
      <c r="H1061" s="743"/>
      <c r="I1061" s="764"/>
      <c r="J1061" s="729"/>
      <c r="K1061" s="760" t="str">
        <f>W1061</f>
        <v>TCS-1.1⁽ᴹ⁾ Percentage of people on ART among all people living with HIV at the end of the reporting period</v>
      </c>
      <c r="L1061" s="760" t="str">
        <f>V1061</f>
        <v>Target / Risk population group</v>
      </c>
      <c r="M1061" s="729"/>
      <c r="N1061" s="729"/>
      <c r="P1061" s="194">
        <f>IF(AND(EXACT(C1061,C1059),C1059&lt;&gt;0),P1059+1,0)</f>
        <v>0</v>
      </c>
      <c r="Q1061" s="194" t="str">
        <f>IF(C1061&lt;&gt;"",C1061&amp;"-"&amp;P1061,"")</f>
        <v>TCS-1.1⁽ᴹ⁾ Porcentaje de personas en TARV entre todas las personas viviendo con VIH al final del período de reporte-0</v>
      </c>
      <c r="R1061" s="194" t="str">
        <f t="array" ref="R1061">IFERROR(IF(INDEX('Disaggregation Records'!$E$155:$E$385,MATCH(RIGHT(Q1061,255),RIGHT('Disaggregation Records'!$D$155:$D$385,255),0))="","",INDEX('Disaggregation Records'!$E$155:$E$385,MATCH(RIGHT(Q1061,255),RIGHT('Disaggregation Records'!$D$155:$D$385,255),0))),"")</f>
        <v>Grupo de riesgo objetivo</v>
      </c>
      <c r="S1061" s="194" t="str">
        <f t="array" ref="S1061">IFERROR(IF(INDEX('Disaggregation Records'!$F$155:$F$385,MATCH(RIGHT(Q1061,255),RIGHT('Disaggregation Records'!$D$155:$D$385,255),0))="","",INDEX('Disaggregation Records'!$F$155:$F$385,MATCH(RIGHT(Q1061,255),RIGHT('Disaggregation Records'!$D$155:$D$385,255),0))),"")</f>
        <v>Reclusos</v>
      </c>
      <c r="T1061" s="194" t="str">
        <f t="array" ref="T1061">IFERROR(IF(INDEX('Disaggregation Records'!$H$155:$H$385,MATCH(RIGHT(Q1061,255),RIGHT('Disaggregation Records'!$D$155:$D$385,255),0))="","",INDEX('Disaggregation Records'!$H$155:$H$385,MATCH(RIGHT(Q1061,255),RIGHT('Disaggregation Records'!$D$155:$D$385,255),0))),"")</f>
        <v>IDR-00980</v>
      </c>
      <c r="U1061" s="194">
        <f>U1059+1</f>
        <v>2720</v>
      </c>
      <c r="V1061" s="194" t="str">
        <f t="array" ref="V1061">IFERROR(IF(INDEX('Disaggregation Records'!$I$155:$I$385,MATCH(RIGHT(Q1061,255),RIGHT('Disaggregation Records'!$D$155:$D$385,255),0))="","",INDEX('Disaggregation Records'!$I$155:$I$385,MATCH(RIGHT(Q1061,255),RIGHT('Disaggregation Records'!$D$155:$D$385,255),0))),"")</f>
        <v>Target / Risk population group</v>
      </c>
      <c r="W1061" s="194" t="str">
        <f>IFERROR(INDEX('Reference Records'!L$77:L$157,MATCH(LEFT(C1061,255),'Reference Records'!E$77:E$157,0)),"")</f>
        <v>TCS-1.1⁽ᴹ⁾ Percentage of people on ART among all people living with HIV at the end of the reporting period</v>
      </c>
    </row>
    <row r="1062" spans="1:23" s="194" customFormat="1" ht="40.4" customHeight="1" x14ac:dyDescent="0.35">
      <c r="A1062" s="770"/>
      <c r="B1062" s="767"/>
      <c r="C1062" s="761"/>
      <c r="D1062" s="769"/>
      <c r="E1062" s="769"/>
      <c r="F1062" s="208"/>
      <c r="G1062" s="763"/>
      <c r="H1062" s="744"/>
      <c r="I1062" s="765"/>
      <c r="J1062" s="730"/>
      <c r="K1062" s="761"/>
      <c r="L1062" s="761"/>
      <c r="M1062" s="730"/>
      <c r="N1062" s="730"/>
    </row>
    <row r="1063" spans="1:23" s="194" customFormat="1" ht="40.4" customHeight="1" x14ac:dyDescent="0.35">
      <c r="A1063" s="770" t="str">
        <f ca="1">INDIRECT("'update Helper'!C"&amp;U1063)</f>
        <v>a163p000004NtWtAAK</v>
      </c>
      <c r="B1063" s="766">
        <v>12</v>
      </c>
      <c r="C1063" s="760" t="str">
        <f>VLOOKUP(B1063,'Coverage Indicators - Section D'!$A$9:$AU$70,47,FALSE)</f>
        <v>TCS-1.1⁽ᴹ⁾ Porcentaje de personas en TARV entre todas las personas viviendo con VIH al final del período de reporte</v>
      </c>
      <c r="D1063" s="768" t="str">
        <f>R1063</f>
        <v>Grupo de riesgo objetivo</v>
      </c>
      <c r="E1063" s="768" t="str">
        <f>S1063</f>
        <v>PWID</v>
      </c>
      <c r="F1063" s="413"/>
      <c r="G1063" s="762" t="str">
        <f ca="1">IF(OR(INDIRECT("'update Helper'!E"&amp;U1063)="",F1063&lt;&gt;0,F1064&lt;&gt;0),IF(IFERROR((F1063/F1064),"")="","",(F1063/F1064)),INDIRECT("'update Helper'!E"&amp;U1063)/100)</f>
        <v/>
      </c>
      <c r="H1063" s="743"/>
      <c r="I1063" s="764"/>
      <c r="J1063" s="729"/>
      <c r="K1063" s="760" t="str">
        <f>W1063</f>
        <v>TCS-1.1⁽ᴹ⁾ Percentage of people on ART among all people living with HIV at the end of the reporting period</v>
      </c>
      <c r="L1063" s="760" t="str">
        <f>V1063</f>
        <v>Target / Risk population group</v>
      </c>
      <c r="M1063" s="729"/>
      <c r="N1063" s="729"/>
      <c r="P1063" s="194">
        <f>IF(AND(EXACT(C1063,C1061),C1061&lt;&gt;0),P1061+1,0)</f>
        <v>1</v>
      </c>
      <c r="Q1063" s="194" t="str">
        <f>IF(C1063&lt;&gt;"",C1063&amp;"-"&amp;P1063,"")</f>
        <v>TCS-1.1⁽ᴹ⁾ Porcentaje de personas en TARV entre todas las personas viviendo con VIH al final del período de reporte-1</v>
      </c>
      <c r="R1063" s="194" t="str">
        <f t="array" ref="R1063">IFERROR(IF(INDEX('Disaggregation Records'!$E$155:$E$385,MATCH(RIGHT(Q1063,255),RIGHT('Disaggregation Records'!$D$155:$D$385,255),0))="","",INDEX('Disaggregation Records'!$E$155:$E$385,MATCH(RIGHT(Q1063,255),RIGHT('Disaggregation Records'!$D$155:$D$385,255),0))),"")</f>
        <v>Grupo de riesgo objetivo</v>
      </c>
      <c r="S1063" s="194" t="str">
        <f t="array" ref="S1063">IFERROR(IF(INDEX('Disaggregation Records'!$F$155:$F$385,MATCH(RIGHT(Q1063,255),RIGHT('Disaggregation Records'!$D$155:$D$385,255),0))="","",INDEX('Disaggregation Records'!$F$155:$F$385,MATCH(RIGHT(Q1063,255),RIGHT('Disaggregation Records'!$D$155:$D$385,255),0))),"")</f>
        <v>PWID</v>
      </c>
      <c r="T1063" s="194" t="str">
        <f t="array" ref="T1063">IFERROR(IF(INDEX('Disaggregation Records'!$H$155:$H$385,MATCH(RIGHT(Q1063,255),RIGHT('Disaggregation Records'!$D$155:$D$385,255),0))="","",INDEX('Disaggregation Records'!$H$155:$H$385,MATCH(RIGHT(Q1063,255),RIGHT('Disaggregation Records'!$D$155:$D$385,255),0))),"")</f>
        <v>IDR-00979</v>
      </c>
      <c r="U1063" s="194">
        <f>U1061+1</f>
        <v>2721</v>
      </c>
      <c r="V1063" s="194" t="str">
        <f t="array" ref="V1063">IFERROR(IF(INDEX('Disaggregation Records'!$I$155:$I$385,MATCH(RIGHT(Q1063,255),RIGHT('Disaggregation Records'!$D$155:$D$385,255),0))="","",INDEX('Disaggregation Records'!$I$155:$I$385,MATCH(RIGHT(Q1063,255),RIGHT('Disaggregation Records'!$D$155:$D$385,255),0))),"")</f>
        <v>Target / Risk population group</v>
      </c>
      <c r="W1063" s="194" t="str">
        <f>IFERROR(INDEX('Reference Records'!L$77:L$157,MATCH(LEFT(C1063,255),'Reference Records'!E$77:E$157,0)),"")</f>
        <v>TCS-1.1⁽ᴹ⁾ Percentage of people on ART among all people living with HIV at the end of the reporting period</v>
      </c>
    </row>
    <row r="1064" spans="1:23" s="194" customFormat="1" ht="40.4" customHeight="1" x14ac:dyDescent="0.35">
      <c r="A1064" s="770"/>
      <c r="B1064" s="767"/>
      <c r="C1064" s="761"/>
      <c r="D1064" s="769"/>
      <c r="E1064" s="769"/>
      <c r="F1064" s="208"/>
      <c r="G1064" s="763"/>
      <c r="H1064" s="744"/>
      <c r="I1064" s="765"/>
      <c r="J1064" s="730"/>
      <c r="K1064" s="761"/>
      <c r="L1064" s="761"/>
      <c r="M1064" s="730"/>
      <c r="N1064" s="730"/>
    </row>
    <row r="1065" spans="1:23" s="194" customFormat="1" ht="40.4" customHeight="1" x14ac:dyDescent="0.35">
      <c r="A1065" s="770" t="str">
        <f ca="1">INDIRECT("'update Helper'!C"&amp;U1065)</f>
        <v>a163p000004NtWuAAK</v>
      </c>
      <c r="B1065" s="766">
        <v>12</v>
      </c>
      <c r="C1065" s="760" t="str">
        <f>VLOOKUP(B1065,'Coverage Indicators - Section D'!$A$9:$AU$70,47,FALSE)</f>
        <v>TCS-1.1⁽ᴹ⁾ Porcentaje de personas en TARV entre todas las personas viviendo con VIH al final del período de reporte</v>
      </c>
      <c r="D1065" s="768" t="str">
        <f>R1065</f>
        <v>Grupo de riesgo objetivo</v>
      </c>
      <c r="E1065" s="768" t="str">
        <f>S1065</f>
        <v>Trabajadores sexuales</v>
      </c>
      <c r="F1065" s="413"/>
      <c r="G1065" s="762" t="str">
        <f ca="1">IF(OR(INDIRECT("'update Helper'!E"&amp;U1065)="",F1065&lt;&gt;0,F1066&lt;&gt;0),IF(IFERROR((F1065/F1066),"")="","",(F1065/F1066)),INDIRECT("'update Helper'!E"&amp;U1065)/100)</f>
        <v/>
      </c>
      <c r="H1065" s="743"/>
      <c r="I1065" s="764"/>
      <c r="J1065" s="729"/>
      <c r="K1065" s="760" t="str">
        <f>W1065</f>
        <v>TCS-1.1⁽ᴹ⁾ Percentage of people on ART among all people living with HIV at the end of the reporting period</v>
      </c>
      <c r="L1065" s="760" t="str">
        <f>V1065</f>
        <v>Target / Risk population group</v>
      </c>
      <c r="M1065" s="729"/>
      <c r="N1065" s="729"/>
      <c r="P1065" s="194">
        <f>IF(AND(EXACT(C1065,C1063),C1063&lt;&gt;0),P1063+1,0)</f>
        <v>2</v>
      </c>
      <c r="Q1065" s="194" t="str">
        <f>IF(C1065&lt;&gt;"",C1065&amp;"-"&amp;P1065,"")</f>
        <v>TCS-1.1⁽ᴹ⁾ Porcentaje de personas en TARV entre todas las personas viviendo con VIH al final del período de reporte-2</v>
      </c>
      <c r="R1065" s="194" t="str">
        <f t="array" ref="R1065">IFERROR(IF(INDEX('Disaggregation Records'!$E$155:$E$385,MATCH(RIGHT(Q1065,255),RIGHT('Disaggregation Records'!$D$155:$D$385,255),0))="","",INDEX('Disaggregation Records'!$E$155:$E$385,MATCH(RIGHT(Q1065,255),RIGHT('Disaggregation Records'!$D$155:$D$385,255),0))),"")</f>
        <v>Grupo de riesgo objetivo</v>
      </c>
      <c r="S1065" s="194" t="str">
        <f t="array" ref="S1065">IFERROR(IF(INDEX('Disaggregation Records'!$F$155:$F$385,MATCH(RIGHT(Q1065,255),RIGHT('Disaggregation Records'!$D$155:$D$385,255),0))="","",INDEX('Disaggregation Records'!$F$155:$F$385,MATCH(RIGHT(Q1065,255),RIGHT('Disaggregation Records'!$D$155:$D$385,255),0))),"")</f>
        <v>Trabajadores sexuales</v>
      </c>
      <c r="T1065" s="194" t="str">
        <f t="array" ref="T1065">IFERROR(IF(INDEX('Disaggregation Records'!$H$155:$H$385,MATCH(RIGHT(Q1065,255),RIGHT('Disaggregation Records'!$D$155:$D$385,255),0))="","",INDEX('Disaggregation Records'!$H$155:$H$385,MATCH(RIGHT(Q1065,255),RIGHT('Disaggregation Records'!$D$155:$D$385,255),0))),"")</f>
        <v>IDR-00978</v>
      </c>
      <c r="U1065" s="194">
        <f>U1063+1</f>
        <v>2722</v>
      </c>
      <c r="V1065" s="194" t="str">
        <f t="array" ref="V1065">IFERROR(IF(INDEX('Disaggregation Records'!$I$155:$I$385,MATCH(RIGHT(Q1065,255),RIGHT('Disaggregation Records'!$D$155:$D$385,255),0))="","",INDEX('Disaggregation Records'!$I$155:$I$385,MATCH(RIGHT(Q1065,255),RIGHT('Disaggregation Records'!$D$155:$D$385,255),0))),"")</f>
        <v>Target / Risk population group</v>
      </c>
      <c r="W1065" s="194" t="str">
        <f>IFERROR(INDEX('Reference Records'!L$77:L$157,MATCH(LEFT(C1065,255),'Reference Records'!E$77:E$157,0)),"")</f>
        <v>TCS-1.1⁽ᴹ⁾ Percentage of people on ART among all people living with HIV at the end of the reporting period</v>
      </c>
    </row>
    <row r="1066" spans="1:23" s="194" customFormat="1" ht="40.4" customHeight="1" x14ac:dyDescent="0.35">
      <c r="A1066" s="770"/>
      <c r="B1066" s="767"/>
      <c r="C1066" s="761"/>
      <c r="D1066" s="769"/>
      <c r="E1066" s="769"/>
      <c r="F1066" s="208"/>
      <c r="G1066" s="763"/>
      <c r="H1066" s="744"/>
      <c r="I1066" s="765"/>
      <c r="J1066" s="730"/>
      <c r="K1066" s="761"/>
      <c r="L1066" s="761"/>
      <c r="M1066" s="730"/>
      <c r="N1066" s="730"/>
    </row>
    <row r="1067" spans="1:23" s="194" customFormat="1" ht="40.4" customHeight="1" x14ac:dyDescent="0.35">
      <c r="A1067" s="770" t="str">
        <f ca="1">INDIRECT("'update Helper'!C"&amp;U1067)</f>
        <v>a163p000004NtWvAAK</v>
      </c>
      <c r="B1067" s="766">
        <v>12</v>
      </c>
      <c r="C1067" s="760" t="str">
        <f>VLOOKUP(B1067,'Coverage Indicators - Section D'!$A$9:$AU$70,47,FALSE)</f>
        <v>TCS-1.1⁽ᴹ⁾ Porcentaje de personas en TARV entre todas las personas viviendo con VIH al final del período de reporte</v>
      </c>
      <c r="D1067" s="768" t="str">
        <f>R1067</f>
        <v>Grupo de riesgo objetivo</v>
      </c>
      <c r="E1067" s="768" t="str">
        <f>S1067</f>
        <v>HSH</v>
      </c>
      <c r="F1067" s="413"/>
      <c r="G1067" s="762" t="str">
        <f ca="1">IF(OR(INDIRECT("'update Helper'!E"&amp;U1067)="",F1067&lt;&gt;0,F1068&lt;&gt;0),IF(IFERROR((F1067/F1068),"")="","",(F1067/F1068)),INDIRECT("'update Helper'!E"&amp;U1067)/100)</f>
        <v/>
      </c>
      <c r="H1067" s="743"/>
      <c r="I1067" s="764"/>
      <c r="J1067" s="729"/>
      <c r="K1067" s="760" t="str">
        <f>W1067</f>
        <v>TCS-1.1⁽ᴹ⁾ Percentage of people on ART among all people living with HIV at the end of the reporting period</v>
      </c>
      <c r="L1067" s="760" t="str">
        <f>V1067</f>
        <v>Target / Risk population group</v>
      </c>
      <c r="M1067" s="729"/>
      <c r="N1067" s="729"/>
      <c r="P1067" s="194">
        <f>IF(AND(EXACT(C1067,C1065),C1065&lt;&gt;0),P1065+1,0)</f>
        <v>3</v>
      </c>
      <c r="Q1067" s="194" t="str">
        <f>IF(C1067&lt;&gt;"",C1067&amp;"-"&amp;P1067,"")</f>
        <v>TCS-1.1⁽ᴹ⁾ Porcentaje de personas en TARV entre todas las personas viviendo con VIH al final del período de reporte-3</v>
      </c>
      <c r="R1067" s="194" t="str">
        <f t="array" ref="R1067">IFERROR(IF(INDEX('Disaggregation Records'!$E$155:$E$385,MATCH(RIGHT(Q1067,255),RIGHT('Disaggregation Records'!$D$155:$D$385,255),0))="","",INDEX('Disaggregation Records'!$E$155:$E$385,MATCH(RIGHT(Q1067,255),RIGHT('Disaggregation Records'!$D$155:$D$385,255),0))),"")</f>
        <v>Grupo de riesgo objetivo</v>
      </c>
      <c r="S1067" s="194" t="str">
        <f t="array" ref="S1067">IFERROR(IF(INDEX('Disaggregation Records'!$F$155:$F$385,MATCH(RIGHT(Q1067,255),RIGHT('Disaggregation Records'!$D$155:$D$385,255),0))="","",INDEX('Disaggregation Records'!$F$155:$F$385,MATCH(RIGHT(Q1067,255),RIGHT('Disaggregation Records'!$D$155:$D$385,255),0))),"")</f>
        <v>HSH</v>
      </c>
      <c r="T1067" s="194" t="str">
        <f t="array" ref="T1067">IFERROR(IF(INDEX('Disaggregation Records'!$H$155:$H$385,MATCH(RIGHT(Q1067,255),RIGHT('Disaggregation Records'!$D$155:$D$385,255),0))="","",INDEX('Disaggregation Records'!$H$155:$H$385,MATCH(RIGHT(Q1067,255),RIGHT('Disaggregation Records'!$D$155:$D$385,255),0))),"")</f>
        <v>IDR-00977</v>
      </c>
      <c r="U1067" s="194">
        <f>U1065+1</f>
        <v>2723</v>
      </c>
      <c r="V1067" s="194" t="str">
        <f t="array" ref="V1067">IFERROR(IF(INDEX('Disaggregation Records'!$I$155:$I$385,MATCH(RIGHT(Q1067,255),RIGHT('Disaggregation Records'!$D$155:$D$385,255),0))="","",INDEX('Disaggregation Records'!$I$155:$I$385,MATCH(RIGHT(Q1067,255),RIGHT('Disaggregation Records'!$D$155:$D$385,255),0))),"")</f>
        <v>Target / Risk population group</v>
      </c>
      <c r="W1067" s="194" t="str">
        <f>IFERROR(INDEX('Reference Records'!L$77:L$157,MATCH(LEFT(C1067,255),'Reference Records'!E$77:E$157,0)),"")</f>
        <v>TCS-1.1⁽ᴹ⁾ Percentage of people on ART among all people living with HIV at the end of the reporting period</v>
      </c>
    </row>
    <row r="1068" spans="1:23" s="194" customFormat="1" ht="40.4" customHeight="1" x14ac:dyDescent="0.35">
      <c r="A1068" s="770"/>
      <c r="B1068" s="767"/>
      <c r="C1068" s="761"/>
      <c r="D1068" s="769"/>
      <c r="E1068" s="769"/>
      <c r="F1068" s="208"/>
      <c r="G1068" s="763"/>
      <c r="H1068" s="744"/>
      <c r="I1068" s="765"/>
      <c r="J1068" s="730"/>
      <c r="K1068" s="761"/>
      <c r="L1068" s="761"/>
      <c r="M1068" s="730"/>
      <c r="N1068" s="730"/>
    </row>
    <row r="1069" spans="1:23" s="194" customFormat="1" ht="40.4" customHeight="1" x14ac:dyDescent="0.35">
      <c r="A1069" s="770" t="str">
        <f ca="1">INDIRECT("'update Helper'!C"&amp;U1069)</f>
        <v>a163p000004NtWwAAK</v>
      </c>
      <c r="B1069" s="766">
        <v>12</v>
      </c>
      <c r="C1069" s="760" t="str">
        <f>VLOOKUP(B1069,'Coverage Indicators - Section D'!$A$9:$AU$70,47,FALSE)</f>
        <v>TCS-1.1⁽ᴹ⁾ Porcentaje de personas en TARV entre todas las personas viviendo con VIH al final del período de reporte</v>
      </c>
      <c r="D1069" s="768" t="str">
        <f>R1069</f>
        <v>Duración del tratamiento</v>
      </c>
      <c r="E1069" s="768" t="str">
        <f>S1069</f>
        <v>Iniciaron TARV recientemente</v>
      </c>
      <c r="F1069" s="413"/>
      <c r="G1069" s="762" t="str">
        <f ca="1">IF(OR(INDIRECT("'update Helper'!E"&amp;U1069)="",F1069&lt;&gt;0,F1070&lt;&gt;0),IF(IFERROR((F1069/F1070),"")="","",(F1069/F1070)),INDIRECT("'update Helper'!E"&amp;U1069)/100)</f>
        <v/>
      </c>
      <c r="H1069" s="743"/>
      <c r="I1069" s="764"/>
      <c r="J1069" s="729"/>
      <c r="K1069" s="760" t="str">
        <f>W1069</f>
        <v>TCS-1.1⁽ᴹ⁾ Percentage of people on ART among all people living with HIV at the end of the reporting period</v>
      </c>
      <c r="L1069" s="760" t="str">
        <f>V1069</f>
        <v>Duration of treatment</v>
      </c>
      <c r="M1069" s="729"/>
      <c r="N1069" s="729"/>
      <c r="P1069" s="194">
        <f>IF(AND(EXACT(C1069,C1067),C1067&lt;&gt;0),P1067+1,0)</f>
        <v>4</v>
      </c>
      <c r="Q1069" s="194" t="str">
        <f>IF(C1069&lt;&gt;"",C1069&amp;"-"&amp;P1069,"")</f>
        <v>TCS-1.1⁽ᴹ⁾ Porcentaje de personas en TARV entre todas las personas viviendo con VIH al final del período de reporte-4</v>
      </c>
      <c r="R1069" s="194" t="str">
        <f t="array" ref="R1069">IFERROR(IF(INDEX('Disaggregation Records'!$E$155:$E$385,MATCH(RIGHT(Q1069,255),RIGHT('Disaggregation Records'!$D$155:$D$385,255),0))="","",INDEX('Disaggregation Records'!$E$155:$E$385,MATCH(RIGHT(Q1069,255),RIGHT('Disaggregation Records'!$D$155:$D$385,255),0))),"")</f>
        <v>Duración del tratamiento</v>
      </c>
      <c r="S1069" s="194" t="str">
        <f t="array" ref="S1069">IFERROR(IF(INDEX('Disaggregation Records'!$F$155:$F$385,MATCH(RIGHT(Q1069,255),RIGHT('Disaggregation Records'!$D$155:$D$385,255),0))="","",INDEX('Disaggregation Records'!$F$155:$F$385,MATCH(RIGHT(Q1069,255),RIGHT('Disaggregation Records'!$D$155:$D$385,255),0))),"")</f>
        <v>Iniciaron TARV recientemente</v>
      </c>
      <c r="T1069" s="194" t="str">
        <f t="array" ref="T1069">IFERROR(IF(INDEX('Disaggregation Records'!$H$155:$H$385,MATCH(RIGHT(Q1069,255),RIGHT('Disaggregation Records'!$D$155:$D$385,255),0))="","",INDEX('Disaggregation Records'!$H$155:$H$385,MATCH(RIGHT(Q1069,255),RIGHT('Disaggregation Records'!$D$155:$D$385,255),0))),"")</f>
        <v>IDR-00904</v>
      </c>
      <c r="U1069" s="194">
        <f>U1067+1</f>
        <v>2724</v>
      </c>
      <c r="V1069" s="194" t="str">
        <f t="array" ref="V1069">IFERROR(IF(INDEX('Disaggregation Records'!$I$155:$I$385,MATCH(RIGHT(Q1069,255),RIGHT('Disaggregation Records'!$D$155:$D$385,255),0))="","",INDEX('Disaggregation Records'!$I$155:$I$385,MATCH(RIGHT(Q1069,255),RIGHT('Disaggregation Records'!$D$155:$D$385,255),0))),"")</f>
        <v>Duration of treatment</v>
      </c>
      <c r="W1069" s="194" t="str">
        <f>IFERROR(INDEX('Reference Records'!L$77:L$157,MATCH(LEFT(C1069,255),'Reference Records'!E$77:E$157,0)),"")</f>
        <v>TCS-1.1⁽ᴹ⁾ Percentage of people on ART among all people living with HIV at the end of the reporting period</v>
      </c>
    </row>
    <row r="1070" spans="1:23" s="194" customFormat="1" ht="40.4" customHeight="1" x14ac:dyDescent="0.35">
      <c r="A1070" s="770"/>
      <c r="B1070" s="767"/>
      <c r="C1070" s="761"/>
      <c r="D1070" s="769"/>
      <c r="E1070" s="769"/>
      <c r="F1070" s="208"/>
      <c r="G1070" s="763"/>
      <c r="H1070" s="744"/>
      <c r="I1070" s="765"/>
      <c r="J1070" s="730"/>
      <c r="K1070" s="761"/>
      <c r="L1070" s="761"/>
      <c r="M1070" s="730"/>
      <c r="N1070" s="730"/>
    </row>
    <row r="1071" spans="1:23" s="194" customFormat="1" ht="40.4" customHeight="1" x14ac:dyDescent="0.35">
      <c r="A1071" s="770" t="str">
        <f ca="1">INDIRECT("'update Helper'!C"&amp;U1071)</f>
        <v>a163p000004NtWxAAK</v>
      </c>
      <c r="B1071" s="766">
        <v>12</v>
      </c>
      <c r="C1071" s="760" t="str">
        <f>VLOOKUP(B1071,'Coverage Indicators - Section D'!$A$9:$AU$70,47,FALSE)</f>
        <v>TCS-1.1⁽ᴹ⁾ Porcentaje de personas en TARV entre todas las personas viviendo con VIH al final del período de reporte</v>
      </c>
      <c r="D1071" s="768" t="str">
        <f>R1071</f>
        <v>Género | Edad</v>
      </c>
      <c r="E1071" s="768" t="str">
        <f>S1071</f>
        <v>Mujeres 15-24</v>
      </c>
      <c r="F1071" s="413"/>
      <c r="G1071" s="762" t="str">
        <f ca="1">IF(OR(INDIRECT("'update Helper'!E"&amp;U1071)="",F1071&lt;&gt;0,F1072&lt;&gt;0),IF(IFERROR((F1071/F1072),"")="","",(F1071/F1072)),INDIRECT("'update Helper'!E"&amp;U1071)/100)</f>
        <v/>
      </c>
      <c r="H1071" s="743"/>
      <c r="I1071" s="764"/>
      <c r="J1071" s="729"/>
      <c r="K1071" s="760" t="str">
        <f>W1071</f>
        <v>TCS-1.1⁽ᴹ⁾ Percentage of people on ART among all people living with HIV at the end of the reporting period</v>
      </c>
      <c r="L1071" s="760" t="str">
        <f>V1071</f>
        <v>Gender | Age</v>
      </c>
      <c r="M1071" s="729"/>
      <c r="N1071" s="729"/>
      <c r="P1071" s="194">
        <f>IF(AND(EXACT(C1071,C1069),C1069&lt;&gt;0),P1069+1,0)</f>
        <v>5</v>
      </c>
      <c r="Q1071" s="194" t="str">
        <f>IF(C1071&lt;&gt;"",C1071&amp;"-"&amp;P1071,"")</f>
        <v>TCS-1.1⁽ᴹ⁾ Porcentaje de personas en TARV entre todas las personas viviendo con VIH al final del período de reporte-5</v>
      </c>
      <c r="R1071" s="194" t="str">
        <f t="array" ref="R1071">IFERROR(IF(INDEX('Disaggregation Records'!$E$155:$E$385,MATCH(RIGHT(Q1071,255),RIGHT('Disaggregation Records'!$D$155:$D$385,255),0))="","",INDEX('Disaggregation Records'!$E$155:$E$385,MATCH(RIGHT(Q1071,255),RIGHT('Disaggregation Records'!$D$155:$D$385,255),0))),"")</f>
        <v>Género | Edad</v>
      </c>
      <c r="S1071" s="194" t="str">
        <f t="array" ref="S1071">IFERROR(IF(INDEX('Disaggregation Records'!$F$155:$F$385,MATCH(RIGHT(Q1071,255),RIGHT('Disaggregation Records'!$D$155:$D$385,255),0))="","",INDEX('Disaggregation Records'!$F$155:$F$385,MATCH(RIGHT(Q1071,255),RIGHT('Disaggregation Records'!$D$155:$D$385,255),0))),"")</f>
        <v>Mujeres 15-24</v>
      </c>
      <c r="T1071" s="194" t="str">
        <f t="array" ref="T1071">IFERROR(IF(INDEX('Disaggregation Records'!$H$155:$H$385,MATCH(RIGHT(Q1071,255),RIGHT('Disaggregation Records'!$D$155:$D$385,255),0))="","",INDEX('Disaggregation Records'!$H$155:$H$385,MATCH(RIGHT(Q1071,255),RIGHT('Disaggregation Records'!$D$155:$D$385,255),0))),"")</f>
        <v>IDR-00891</v>
      </c>
      <c r="U1071" s="194">
        <f>U1069+1</f>
        <v>2725</v>
      </c>
      <c r="V1071" s="194" t="str">
        <f t="array" ref="V1071">IFERROR(IF(INDEX('Disaggregation Records'!$I$155:$I$385,MATCH(RIGHT(Q1071,255),RIGHT('Disaggregation Records'!$D$155:$D$385,255),0))="","",INDEX('Disaggregation Records'!$I$155:$I$385,MATCH(RIGHT(Q1071,255),RIGHT('Disaggregation Records'!$D$155:$D$385,255),0))),"")</f>
        <v>Gender | Age</v>
      </c>
      <c r="W1071" s="194" t="str">
        <f>IFERROR(INDEX('Reference Records'!L$77:L$157,MATCH(LEFT(C1071,255),'Reference Records'!E$77:E$157,0)),"")</f>
        <v>TCS-1.1⁽ᴹ⁾ Percentage of people on ART among all people living with HIV at the end of the reporting period</v>
      </c>
    </row>
    <row r="1072" spans="1:23" s="194" customFormat="1" ht="40.4" customHeight="1" x14ac:dyDescent="0.35">
      <c r="A1072" s="770"/>
      <c r="B1072" s="767"/>
      <c r="C1072" s="761"/>
      <c r="D1072" s="769"/>
      <c r="E1072" s="769"/>
      <c r="F1072" s="208"/>
      <c r="G1072" s="763"/>
      <c r="H1072" s="744"/>
      <c r="I1072" s="765"/>
      <c r="J1072" s="730"/>
      <c r="K1072" s="761"/>
      <c r="L1072" s="761"/>
      <c r="M1072" s="730"/>
      <c r="N1072" s="730"/>
    </row>
    <row r="1073" spans="1:23" s="194" customFormat="1" ht="40.4" customHeight="1" x14ac:dyDescent="0.35">
      <c r="A1073" s="770" t="str">
        <f ca="1">INDIRECT("'update Helper'!C"&amp;U1073)</f>
        <v>a163p000004NtWyAAK</v>
      </c>
      <c r="B1073" s="766">
        <v>12</v>
      </c>
      <c r="C1073" s="760" t="str">
        <f>VLOOKUP(B1073,'Coverage Indicators - Section D'!$A$9:$AU$70,47,FALSE)</f>
        <v>TCS-1.1⁽ᴹ⁾ Porcentaje de personas en TARV entre todas las personas viviendo con VIH al final del período de reporte</v>
      </c>
      <c r="D1073" s="768" t="str">
        <f>R1073</f>
        <v>Género | Edad</v>
      </c>
      <c r="E1073" s="768" t="str">
        <f>S1073</f>
        <v>Hombres 15-24</v>
      </c>
      <c r="F1073" s="413"/>
      <c r="G1073" s="762" t="str">
        <f ca="1">IF(OR(INDIRECT("'update Helper'!E"&amp;U1073)="",F1073&lt;&gt;0,F1074&lt;&gt;0),IF(IFERROR((F1073/F1074),"")="","",(F1073/F1074)),INDIRECT("'update Helper'!E"&amp;U1073)/100)</f>
        <v/>
      </c>
      <c r="H1073" s="743"/>
      <c r="I1073" s="764"/>
      <c r="J1073" s="729"/>
      <c r="K1073" s="760" t="str">
        <f>W1073</f>
        <v>TCS-1.1⁽ᴹ⁾ Percentage of people on ART among all people living with HIV at the end of the reporting period</v>
      </c>
      <c r="L1073" s="760" t="str">
        <f>V1073</f>
        <v>Gender | Age</v>
      </c>
      <c r="M1073" s="729"/>
      <c r="N1073" s="729"/>
      <c r="P1073" s="194">
        <f>IF(AND(EXACT(C1073,C1071),C1071&lt;&gt;0),P1071+1,0)</f>
        <v>6</v>
      </c>
      <c r="Q1073" s="194" t="str">
        <f>IF(C1073&lt;&gt;"",C1073&amp;"-"&amp;P1073,"")</f>
        <v>TCS-1.1⁽ᴹ⁾ Porcentaje de personas en TARV entre todas las personas viviendo con VIH al final del período de reporte-6</v>
      </c>
      <c r="R1073" s="194" t="str">
        <f t="array" ref="R1073">IFERROR(IF(INDEX('Disaggregation Records'!$E$155:$E$385,MATCH(RIGHT(Q1073,255),RIGHT('Disaggregation Records'!$D$155:$D$385,255),0))="","",INDEX('Disaggregation Records'!$E$155:$E$385,MATCH(RIGHT(Q1073,255),RIGHT('Disaggregation Records'!$D$155:$D$385,255),0))),"")</f>
        <v>Género | Edad</v>
      </c>
      <c r="S1073" s="194" t="str">
        <f t="array" ref="S1073">IFERROR(IF(INDEX('Disaggregation Records'!$F$155:$F$385,MATCH(RIGHT(Q1073,255),RIGHT('Disaggregation Records'!$D$155:$D$385,255),0))="","",INDEX('Disaggregation Records'!$F$155:$F$385,MATCH(RIGHT(Q1073,255),RIGHT('Disaggregation Records'!$D$155:$D$385,255),0))),"")</f>
        <v>Hombres 15-24</v>
      </c>
      <c r="T1073" s="194" t="str">
        <f t="array" ref="T1073">IFERROR(IF(INDEX('Disaggregation Records'!$H$155:$H$385,MATCH(RIGHT(Q1073,255),RIGHT('Disaggregation Records'!$D$155:$D$385,255),0))="","",INDEX('Disaggregation Records'!$H$155:$H$385,MATCH(RIGHT(Q1073,255),RIGHT('Disaggregation Records'!$D$155:$D$385,255),0))),"")</f>
        <v>IDR-00890</v>
      </c>
      <c r="U1073" s="194">
        <f>U1071+1</f>
        <v>2726</v>
      </c>
      <c r="V1073" s="194" t="str">
        <f t="array" ref="V1073">IFERROR(IF(INDEX('Disaggregation Records'!$I$155:$I$385,MATCH(RIGHT(Q1073,255),RIGHT('Disaggregation Records'!$D$155:$D$385,255),0))="","",INDEX('Disaggregation Records'!$I$155:$I$385,MATCH(RIGHT(Q1073,255),RIGHT('Disaggregation Records'!$D$155:$D$385,255),0))),"")</f>
        <v>Gender | Age</v>
      </c>
      <c r="W1073" s="194" t="str">
        <f>IFERROR(INDEX('Reference Records'!L$77:L$157,MATCH(LEFT(C1073,255),'Reference Records'!E$77:E$157,0)),"")</f>
        <v>TCS-1.1⁽ᴹ⁾ Percentage of people on ART among all people living with HIV at the end of the reporting period</v>
      </c>
    </row>
    <row r="1074" spans="1:23" s="194" customFormat="1" ht="40.4" customHeight="1" x14ac:dyDescent="0.35">
      <c r="A1074" s="770"/>
      <c r="B1074" s="767"/>
      <c r="C1074" s="761"/>
      <c r="D1074" s="769"/>
      <c r="E1074" s="769"/>
      <c r="F1074" s="208"/>
      <c r="G1074" s="763"/>
      <c r="H1074" s="744"/>
      <c r="I1074" s="765"/>
      <c r="J1074" s="730"/>
      <c r="K1074" s="761"/>
      <c r="L1074" s="761"/>
      <c r="M1074" s="730"/>
      <c r="N1074" s="730"/>
    </row>
    <row r="1075" spans="1:23" s="194" customFormat="1" ht="40.4" customHeight="1" x14ac:dyDescent="0.35">
      <c r="A1075" s="770" t="str">
        <f ca="1">INDIRECT("'update Helper'!C"&amp;U1075)</f>
        <v>a163p000004NtWzAAK</v>
      </c>
      <c r="B1075" s="766">
        <v>12</v>
      </c>
      <c r="C1075" s="760" t="str">
        <f>VLOOKUP(B1075,'Coverage Indicators - Section D'!$A$9:$AU$70,47,FALSE)</f>
        <v>TCS-1.1⁽ᴹ⁾ Porcentaje de personas en TARV entre todas las personas viviendo con VIH al final del período de reporte</v>
      </c>
      <c r="D1075" s="768" t="str">
        <f>R1075</f>
        <v>Género | Edad</v>
      </c>
      <c r="E1075" s="768" t="str">
        <f>S1075</f>
        <v>Mujeres 20-24</v>
      </c>
      <c r="F1075" s="413"/>
      <c r="G1075" s="762" t="str">
        <f ca="1">IF(OR(INDIRECT("'update Helper'!E"&amp;U1075)="",F1075&lt;&gt;0,F1076&lt;&gt;0),IF(IFERROR((F1075/F1076),"")="","",(F1075/F1076)),INDIRECT("'update Helper'!E"&amp;U1075)/100)</f>
        <v/>
      </c>
      <c r="H1075" s="743"/>
      <c r="I1075" s="764"/>
      <c r="J1075" s="729"/>
      <c r="K1075" s="760" t="str">
        <f>W1075</f>
        <v>TCS-1.1⁽ᴹ⁾ Percentage of people on ART among all people living with HIV at the end of the reporting period</v>
      </c>
      <c r="L1075" s="760" t="str">
        <f>V1075</f>
        <v>Gender | Age</v>
      </c>
      <c r="M1075" s="729"/>
      <c r="N1075" s="729"/>
      <c r="P1075" s="194">
        <f>IF(AND(EXACT(C1075,C1073),C1073&lt;&gt;0),P1073+1,0)</f>
        <v>7</v>
      </c>
      <c r="Q1075" s="194" t="str">
        <f>IF(C1075&lt;&gt;"",C1075&amp;"-"&amp;P1075,"")</f>
        <v>TCS-1.1⁽ᴹ⁾ Porcentaje de personas en TARV entre todas las personas viviendo con VIH al final del período de reporte-7</v>
      </c>
      <c r="R1075" s="194" t="str">
        <f t="array" ref="R1075">IFERROR(IF(INDEX('Disaggregation Records'!$E$155:$E$385,MATCH(RIGHT(Q1075,255),RIGHT('Disaggregation Records'!$D$155:$D$385,255),0))="","",INDEX('Disaggregation Records'!$E$155:$E$385,MATCH(RIGHT(Q1075,255),RIGHT('Disaggregation Records'!$D$155:$D$385,255),0))),"")</f>
        <v>Género | Edad</v>
      </c>
      <c r="S1075" s="194" t="str">
        <f t="array" ref="S1075">IFERROR(IF(INDEX('Disaggregation Records'!$F$155:$F$385,MATCH(RIGHT(Q1075,255),RIGHT('Disaggregation Records'!$D$155:$D$385,255),0))="","",INDEX('Disaggregation Records'!$F$155:$F$385,MATCH(RIGHT(Q1075,255),RIGHT('Disaggregation Records'!$D$155:$D$385,255),0))),"")</f>
        <v>Mujeres 20-24</v>
      </c>
      <c r="T1075" s="194" t="str">
        <f t="array" ref="T1075">IFERROR(IF(INDEX('Disaggregation Records'!$H$155:$H$385,MATCH(RIGHT(Q1075,255),RIGHT('Disaggregation Records'!$D$155:$D$385,255),0))="","",INDEX('Disaggregation Records'!$H$155:$H$385,MATCH(RIGHT(Q1075,255),RIGHT('Disaggregation Records'!$D$155:$D$385,255),0))),"")</f>
        <v>IDR-00889</v>
      </c>
      <c r="U1075" s="194">
        <f>U1073+1</f>
        <v>2727</v>
      </c>
      <c r="V1075" s="194" t="str">
        <f t="array" ref="V1075">IFERROR(IF(INDEX('Disaggregation Records'!$I$155:$I$385,MATCH(RIGHT(Q1075,255),RIGHT('Disaggregation Records'!$D$155:$D$385,255),0))="","",INDEX('Disaggregation Records'!$I$155:$I$385,MATCH(RIGHT(Q1075,255),RIGHT('Disaggregation Records'!$D$155:$D$385,255),0))),"")</f>
        <v>Gender | Age</v>
      </c>
      <c r="W1075" s="194" t="str">
        <f>IFERROR(INDEX('Reference Records'!L$77:L$157,MATCH(LEFT(C1075,255),'Reference Records'!E$77:E$157,0)),"")</f>
        <v>TCS-1.1⁽ᴹ⁾ Percentage of people on ART among all people living with HIV at the end of the reporting period</v>
      </c>
    </row>
    <row r="1076" spans="1:23" s="194" customFormat="1" ht="40.4" customHeight="1" x14ac:dyDescent="0.35">
      <c r="A1076" s="770"/>
      <c r="B1076" s="767"/>
      <c r="C1076" s="761"/>
      <c r="D1076" s="769"/>
      <c r="E1076" s="769"/>
      <c r="F1076" s="208"/>
      <c r="G1076" s="763"/>
      <c r="H1076" s="744"/>
      <c r="I1076" s="765"/>
      <c r="J1076" s="730"/>
      <c r="K1076" s="761"/>
      <c r="L1076" s="761"/>
      <c r="M1076" s="730"/>
      <c r="N1076" s="730"/>
    </row>
    <row r="1077" spans="1:23" s="194" customFormat="1" ht="40.4" customHeight="1" x14ac:dyDescent="0.35">
      <c r="A1077" s="770" t="str">
        <f ca="1">INDIRECT("'update Helper'!C"&amp;U1077)</f>
        <v>a163p000004NtX0AAK</v>
      </c>
      <c r="B1077" s="766">
        <v>12</v>
      </c>
      <c r="C1077" s="760" t="str">
        <f>VLOOKUP(B1077,'Coverage Indicators - Section D'!$A$9:$AU$70,47,FALSE)</f>
        <v>TCS-1.1⁽ᴹ⁾ Porcentaje de personas en TARV entre todas las personas viviendo con VIH al final del período de reporte</v>
      </c>
      <c r="D1077" s="768" t="str">
        <f>R1077</f>
        <v>Género | Edad</v>
      </c>
      <c r="E1077" s="768" t="str">
        <f>S1077</f>
        <v>Hombres 20-24</v>
      </c>
      <c r="F1077" s="413"/>
      <c r="G1077" s="762" t="str">
        <f ca="1">IF(OR(INDIRECT("'update Helper'!E"&amp;U1077)="",F1077&lt;&gt;0,F1078&lt;&gt;0),IF(IFERROR((F1077/F1078),"")="","",(F1077/F1078)),INDIRECT("'update Helper'!E"&amp;U1077)/100)</f>
        <v/>
      </c>
      <c r="H1077" s="743"/>
      <c r="I1077" s="764"/>
      <c r="J1077" s="729"/>
      <c r="K1077" s="760" t="str">
        <f>W1077</f>
        <v>TCS-1.1⁽ᴹ⁾ Percentage of people on ART among all people living with HIV at the end of the reporting period</v>
      </c>
      <c r="L1077" s="760" t="str">
        <f>V1077</f>
        <v>Gender | Age</v>
      </c>
      <c r="M1077" s="729"/>
      <c r="N1077" s="729"/>
      <c r="P1077" s="194">
        <f>IF(AND(EXACT(C1077,C1075),C1075&lt;&gt;0),P1075+1,0)</f>
        <v>8</v>
      </c>
      <c r="Q1077" s="194" t="str">
        <f>IF(C1077&lt;&gt;"",C1077&amp;"-"&amp;P1077,"")</f>
        <v>TCS-1.1⁽ᴹ⁾ Porcentaje de personas en TARV entre todas las personas viviendo con VIH al final del período de reporte-8</v>
      </c>
      <c r="R1077" s="194" t="str">
        <f t="array" ref="R1077">IFERROR(IF(INDEX('Disaggregation Records'!$E$155:$E$385,MATCH(RIGHT(Q1077,255),RIGHT('Disaggregation Records'!$D$155:$D$385,255),0))="","",INDEX('Disaggregation Records'!$E$155:$E$385,MATCH(RIGHT(Q1077,255),RIGHT('Disaggregation Records'!$D$155:$D$385,255),0))),"")</f>
        <v>Género | Edad</v>
      </c>
      <c r="S1077" s="194" t="str">
        <f t="array" ref="S1077">IFERROR(IF(INDEX('Disaggregation Records'!$F$155:$F$385,MATCH(RIGHT(Q1077,255),RIGHT('Disaggregation Records'!$D$155:$D$385,255),0))="","",INDEX('Disaggregation Records'!$F$155:$F$385,MATCH(RIGHT(Q1077,255),RIGHT('Disaggregation Records'!$D$155:$D$385,255),0))),"")</f>
        <v>Hombres 20-24</v>
      </c>
      <c r="T1077" s="194" t="str">
        <f t="array" ref="T1077">IFERROR(IF(INDEX('Disaggregation Records'!$H$155:$H$385,MATCH(RIGHT(Q1077,255),RIGHT('Disaggregation Records'!$D$155:$D$385,255),0))="","",INDEX('Disaggregation Records'!$H$155:$H$385,MATCH(RIGHT(Q1077,255),RIGHT('Disaggregation Records'!$D$155:$D$385,255),0))),"")</f>
        <v>IDR-00888</v>
      </c>
      <c r="U1077" s="194">
        <f>U1075+1</f>
        <v>2728</v>
      </c>
      <c r="V1077" s="194" t="str">
        <f t="array" ref="V1077">IFERROR(IF(INDEX('Disaggregation Records'!$I$155:$I$385,MATCH(RIGHT(Q1077,255),RIGHT('Disaggregation Records'!$D$155:$D$385,255),0))="","",INDEX('Disaggregation Records'!$I$155:$I$385,MATCH(RIGHT(Q1077,255),RIGHT('Disaggregation Records'!$D$155:$D$385,255),0))),"")</f>
        <v>Gender | Age</v>
      </c>
      <c r="W1077" s="194" t="str">
        <f>IFERROR(INDEX('Reference Records'!L$77:L$157,MATCH(LEFT(C1077,255),'Reference Records'!E$77:E$157,0)),"")</f>
        <v>TCS-1.1⁽ᴹ⁾ Percentage of people on ART among all people living with HIV at the end of the reporting period</v>
      </c>
    </row>
    <row r="1078" spans="1:23" s="194" customFormat="1" ht="40.4" customHeight="1" x14ac:dyDescent="0.35">
      <c r="A1078" s="770"/>
      <c r="B1078" s="767"/>
      <c r="C1078" s="761"/>
      <c r="D1078" s="769"/>
      <c r="E1078" s="769"/>
      <c r="F1078" s="208"/>
      <c r="G1078" s="763"/>
      <c r="H1078" s="744"/>
      <c r="I1078" s="765"/>
      <c r="J1078" s="730"/>
      <c r="K1078" s="761"/>
      <c r="L1078" s="761"/>
      <c r="M1078" s="730"/>
      <c r="N1078" s="730"/>
    </row>
    <row r="1079" spans="1:23" s="194" customFormat="1" ht="40.4" customHeight="1" x14ac:dyDescent="0.35">
      <c r="A1079" s="770" t="str">
        <f ca="1">INDIRECT("'update Helper'!C"&amp;U1079)</f>
        <v>a163p000004NtX1AAK</v>
      </c>
      <c r="B1079" s="766">
        <v>12</v>
      </c>
      <c r="C1079" s="760" t="str">
        <f>VLOOKUP(B1079,'Coverage Indicators - Section D'!$A$9:$AU$70,47,FALSE)</f>
        <v>TCS-1.1⁽ᴹ⁾ Porcentaje de personas en TARV entre todas las personas viviendo con VIH al final del período de reporte</v>
      </c>
      <c r="D1079" s="768" t="str">
        <f>R1079</f>
        <v>Género | Edad</v>
      </c>
      <c r="E1079" s="768" t="str">
        <f>S1079</f>
        <v>Mujeres 15-19</v>
      </c>
      <c r="F1079" s="413"/>
      <c r="G1079" s="762" t="str">
        <f ca="1">IF(OR(INDIRECT("'update Helper'!E"&amp;U1079)="",F1079&lt;&gt;0,F1080&lt;&gt;0),IF(IFERROR((F1079/F1080),"")="","",(F1079/F1080)),INDIRECT("'update Helper'!E"&amp;U1079)/100)</f>
        <v/>
      </c>
      <c r="H1079" s="743"/>
      <c r="I1079" s="764"/>
      <c r="J1079" s="729"/>
      <c r="K1079" s="760" t="str">
        <f>W1079</f>
        <v>TCS-1.1⁽ᴹ⁾ Percentage of people on ART among all people living with HIV at the end of the reporting period</v>
      </c>
      <c r="L1079" s="760" t="str">
        <f>V1079</f>
        <v>Gender | Age</v>
      </c>
      <c r="M1079" s="729"/>
      <c r="N1079" s="729"/>
      <c r="P1079" s="194">
        <f>IF(AND(EXACT(C1079,C1077),C1077&lt;&gt;0),P1077+1,0)</f>
        <v>9</v>
      </c>
      <c r="Q1079" s="194" t="str">
        <f>IF(C1079&lt;&gt;"",C1079&amp;"-"&amp;P1079,"")</f>
        <v>TCS-1.1⁽ᴹ⁾ Porcentaje de personas en TARV entre todas las personas viviendo con VIH al final del período de reporte-9</v>
      </c>
      <c r="R1079" s="194" t="str">
        <f t="array" ref="R1079">IFERROR(IF(INDEX('Disaggregation Records'!$E$155:$E$385,MATCH(RIGHT(Q1079,255),RIGHT('Disaggregation Records'!$D$155:$D$385,255),0))="","",INDEX('Disaggregation Records'!$E$155:$E$385,MATCH(RIGHT(Q1079,255),RIGHT('Disaggregation Records'!$D$155:$D$385,255),0))),"")</f>
        <v>Género | Edad</v>
      </c>
      <c r="S1079" s="194" t="str">
        <f t="array" ref="S1079">IFERROR(IF(INDEX('Disaggregation Records'!$F$155:$F$385,MATCH(RIGHT(Q1079,255),RIGHT('Disaggregation Records'!$D$155:$D$385,255),0))="","",INDEX('Disaggregation Records'!$F$155:$F$385,MATCH(RIGHT(Q1079,255),RIGHT('Disaggregation Records'!$D$155:$D$385,255),0))),"")</f>
        <v>Mujeres 15-19</v>
      </c>
      <c r="T1079" s="194" t="str">
        <f t="array" ref="T1079">IFERROR(IF(INDEX('Disaggregation Records'!$H$155:$H$385,MATCH(RIGHT(Q1079,255),RIGHT('Disaggregation Records'!$D$155:$D$385,255),0))="","",INDEX('Disaggregation Records'!$H$155:$H$385,MATCH(RIGHT(Q1079,255),RIGHT('Disaggregation Records'!$D$155:$D$385,255),0))),"")</f>
        <v>IDR-00887</v>
      </c>
      <c r="U1079" s="194">
        <f>U1077+1</f>
        <v>2729</v>
      </c>
      <c r="V1079" s="194" t="str">
        <f t="array" ref="V1079">IFERROR(IF(INDEX('Disaggregation Records'!$I$155:$I$385,MATCH(RIGHT(Q1079,255),RIGHT('Disaggregation Records'!$D$155:$D$385,255),0))="","",INDEX('Disaggregation Records'!$I$155:$I$385,MATCH(RIGHT(Q1079,255),RIGHT('Disaggregation Records'!$D$155:$D$385,255),0))),"")</f>
        <v>Gender | Age</v>
      </c>
      <c r="W1079" s="194" t="str">
        <f>IFERROR(INDEX('Reference Records'!L$77:L$157,MATCH(LEFT(C1079,255),'Reference Records'!E$77:E$157,0)),"")</f>
        <v>TCS-1.1⁽ᴹ⁾ Percentage of people on ART among all people living with HIV at the end of the reporting period</v>
      </c>
    </row>
    <row r="1080" spans="1:23" s="194" customFormat="1" ht="40.4" customHeight="1" x14ac:dyDescent="0.35">
      <c r="A1080" s="770"/>
      <c r="B1080" s="767"/>
      <c r="C1080" s="761"/>
      <c r="D1080" s="769"/>
      <c r="E1080" s="769"/>
      <c r="F1080" s="208"/>
      <c r="G1080" s="763"/>
      <c r="H1080" s="744"/>
      <c r="I1080" s="765"/>
      <c r="J1080" s="730"/>
      <c r="K1080" s="761"/>
      <c r="L1080" s="761"/>
      <c r="M1080" s="730"/>
      <c r="N1080" s="730"/>
    </row>
    <row r="1081" spans="1:23" s="194" customFormat="1" ht="40.4" customHeight="1" x14ac:dyDescent="0.35">
      <c r="A1081" s="770" t="str">
        <f ca="1">INDIRECT("'update Helper'!C"&amp;U1081)</f>
        <v>a163p000004NtX2AAK</v>
      </c>
      <c r="B1081" s="766">
        <v>12</v>
      </c>
      <c r="C1081" s="760" t="str">
        <f>VLOOKUP(B1081,'Coverage Indicators - Section D'!$A$9:$AU$70,47,FALSE)</f>
        <v>TCS-1.1⁽ᴹ⁾ Porcentaje de personas en TARV entre todas las personas viviendo con VIH al final del período de reporte</v>
      </c>
      <c r="D1081" s="768" t="str">
        <f>R1081</f>
        <v>Género | Edad</v>
      </c>
      <c r="E1081" s="768" t="str">
        <f>S1081</f>
        <v>Hombres 15-19</v>
      </c>
      <c r="F1081" s="413"/>
      <c r="G1081" s="762" t="str">
        <f ca="1">IF(OR(INDIRECT("'update Helper'!E"&amp;U1081)="",F1081&lt;&gt;0,F1082&lt;&gt;0),IF(IFERROR((F1081/F1082),"")="","",(F1081/F1082)),INDIRECT("'update Helper'!E"&amp;U1081)/100)</f>
        <v/>
      </c>
      <c r="H1081" s="743"/>
      <c r="I1081" s="764"/>
      <c r="J1081" s="729"/>
      <c r="K1081" s="760" t="str">
        <f>W1081</f>
        <v>TCS-1.1⁽ᴹ⁾ Percentage of people on ART among all people living with HIV at the end of the reporting period</v>
      </c>
      <c r="L1081" s="760" t="str">
        <f>V1081</f>
        <v>Gender | Age</v>
      </c>
      <c r="M1081" s="729"/>
      <c r="N1081" s="729"/>
      <c r="P1081" s="194">
        <f>IF(AND(EXACT(C1081,C1079),C1079&lt;&gt;0),P1079+1,0)</f>
        <v>10</v>
      </c>
      <c r="Q1081" s="194" t="str">
        <f>IF(C1081&lt;&gt;"",C1081&amp;"-"&amp;P1081,"")</f>
        <v>TCS-1.1⁽ᴹ⁾ Porcentaje de personas en TARV entre todas las personas viviendo con VIH al final del período de reporte-10</v>
      </c>
      <c r="R1081" s="194" t="str">
        <f t="array" ref="R1081">IFERROR(IF(INDEX('Disaggregation Records'!$E$155:$E$385,MATCH(RIGHT(Q1081,255),RIGHT('Disaggregation Records'!$D$155:$D$385,255),0))="","",INDEX('Disaggregation Records'!$E$155:$E$385,MATCH(RIGHT(Q1081,255),RIGHT('Disaggregation Records'!$D$155:$D$385,255),0))),"")</f>
        <v>Género | Edad</v>
      </c>
      <c r="S1081" s="194" t="str">
        <f t="array" ref="S1081">IFERROR(IF(INDEX('Disaggregation Records'!$F$155:$F$385,MATCH(RIGHT(Q1081,255),RIGHT('Disaggregation Records'!$D$155:$D$385,255),0))="","",INDEX('Disaggregation Records'!$F$155:$F$385,MATCH(RIGHT(Q1081,255),RIGHT('Disaggregation Records'!$D$155:$D$385,255),0))),"")</f>
        <v>Hombres 15-19</v>
      </c>
      <c r="T1081" s="194" t="str">
        <f t="array" ref="T1081">IFERROR(IF(INDEX('Disaggregation Records'!$H$155:$H$385,MATCH(RIGHT(Q1081,255),RIGHT('Disaggregation Records'!$D$155:$D$385,255),0))="","",INDEX('Disaggregation Records'!$H$155:$H$385,MATCH(RIGHT(Q1081,255),RIGHT('Disaggregation Records'!$D$155:$D$385,255),0))),"")</f>
        <v>IDR-00886</v>
      </c>
      <c r="U1081" s="194">
        <f>U1079+1</f>
        <v>2730</v>
      </c>
      <c r="V1081" s="194" t="str">
        <f t="array" ref="V1081">IFERROR(IF(INDEX('Disaggregation Records'!$I$155:$I$385,MATCH(RIGHT(Q1081,255),RIGHT('Disaggregation Records'!$D$155:$D$385,255),0))="","",INDEX('Disaggregation Records'!$I$155:$I$385,MATCH(RIGHT(Q1081,255),RIGHT('Disaggregation Records'!$D$155:$D$385,255),0))),"")</f>
        <v>Gender | Age</v>
      </c>
      <c r="W1081" s="194" t="str">
        <f>IFERROR(INDEX('Reference Records'!L$77:L$157,MATCH(LEFT(C1081,255),'Reference Records'!E$77:E$157,0)),"")</f>
        <v>TCS-1.1⁽ᴹ⁾ Percentage of people on ART among all people living with HIV at the end of the reporting period</v>
      </c>
    </row>
    <row r="1082" spans="1:23" s="194" customFormat="1" ht="40.4" customHeight="1" x14ac:dyDescent="0.35">
      <c r="A1082" s="770"/>
      <c r="B1082" s="767"/>
      <c r="C1082" s="761"/>
      <c r="D1082" s="769"/>
      <c r="E1082" s="769"/>
      <c r="F1082" s="208"/>
      <c r="G1082" s="763"/>
      <c r="H1082" s="744"/>
      <c r="I1082" s="765"/>
      <c r="J1082" s="730"/>
      <c r="K1082" s="761"/>
      <c r="L1082" s="761"/>
      <c r="M1082" s="730"/>
      <c r="N1082" s="730"/>
    </row>
    <row r="1083" spans="1:23" s="194" customFormat="1" ht="40.4" customHeight="1" x14ac:dyDescent="0.35">
      <c r="A1083" s="770" t="str">
        <f ca="1">INDIRECT("'update Helper'!C"&amp;U1083)</f>
        <v>a163p000004NtX3AAK</v>
      </c>
      <c r="B1083" s="766">
        <v>12</v>
      </c>
      <c r="C1083" s="760" t="str">
        <f>VLOOKUP(B1083,'Coverage Indicators - Section D'!$A$9:$AU$70,47,FALSE)</f>
        <v>TCS-1.1⁽ᴹ⁾ Porcentaje de personas en TARV entre todas las personas viviendo con VIH al final del período de reporte</v>
      </c>
      <c r="D1083" s="768" t="str">
        <f>R1083</f>
        <v>Género | Edad</v>
      </c>
      <c r="E1083" s="768" t="str">
        <f>S1083</f>
        <v>Mujeres 15+</v>
      </c>
      <c r="F1083" s="413"/>
      <c r="G1083" s="762" t="str">
        <f ca="1">IF(OR(INDIRECT("'update Helper'!E"&amp;U1083)="",F1083&lt;&gt;0,F1084&lt;&gt;0),IF(IFERROR((F1083/F1084),"")="","",(F1083/F1084)),INDIRECT("'update Helper'!E"&amp;U1083)/100)</f>
        <v/>
      </c>
      <c r="H1083" s="743"/>
      <c r="I1083" s="764"/>
      <c r="J1083" s="729"/>
      <c r="K1083" s="760" t="str">
        <f>W1083</f>
        <v>TCS-1.1⁽ᴹ⁾ Percentage of people on ART among all people living with HIV at the end of the reporting period</v>
      </c>
      <c r="L1083" s="760" t="str">
        <f>V1083</f>
        <v>Gender | Age</v>
      </c>
      <c r="M1083" s="729"/>
      <c r="N1083" s="729"/>
      <c r="P1083" s="194">
        <f>IF(AND(EXACT(C1083,C1081),C1081&lt;&gt;0),P1081+1,0)</f>
        <v>11</v>
      </c>
      <c r="Q1083" s="194" t="str">
        <f>IF(C1083&lt;&gt;"",C1083&amp;"-"&amp;P1083,"")</f>
        <v>TCS-1.1⁽ᴹ⁾ Porcentaje de personas en TARV entre todas las personas viviendo con VIH al final del período de reporte-11</v>
      </c>
      <c r="R1083" s="194" t="str">
        <f t="array" ref="R1083">IFERROR(IF(INDEX('Disaggregation Records'!$E$155:$E$385,MATCH(RIGHT(Q1083,255),RIGHT('Disaggregation Records'!$D$155:$D$385,255),0))="","",INDEX('Disaggregation Records'!$E$155:$E$385,MATCH(RIGHT(Q1083,255),RIGHT('Disaggregation Records'!$D$155:$D$385,255),0))),"")</f>
        <v>Género | Edad</v>
      </c>
      <c r="S1083" s="194" t="str">
        <f t="array" ref="S1083">IFERROR(IF(INDEX('Disaggregation Records'!$F$155:$F$385,MATCH(RIGHT(Q1083,255),RIGHT('Disaggregation Records'!$D$155:$D$385,255),0))="","",INDEX('Disaggregation Records'!$F$155:$F$385,MATCH(RIGHT(Q1083,255),RIGHT('Disaggregation Records'!$D$155:$D$385,255),0))),"")</f>
        <v>Mujeres 15+</v>
      </c>
      <c r="T1083" s="194" t="str">
        <f t="array" ref="T1083">IFERROR(IF(INDEX('Disaggregation Records'!$H$155:$H$385,MATCH(RIGHT(Q1083,255),RIGHT('Disaggregation Records'!$D$155:$D$385,255),0))="","",INDEX('Disaggregation Records'!$H$155:$H$385,MATCH(RIGHT(Q1083,255),RIGHT('Disaggregation Records'!$D$155:$D$385,255),0))),"")</f>
        <v>IDR-00885</v>
      </c>
      <c r="U1083" s="194">
        <f>U1081+1</f>
        <v>2731</v>
      </c>
      <c r="V1083" s="194" t="str">
        <f t="array" ref="V1083">IFERROR(IF(INDEX('Disaggregation Records'!$I$155:$I$385,MATCH(RIGHT(Q1083,255),RIGHT('Disaggregation Records'!$D$155:$D$385,255),0))="","",INDEX('Disaggregation Records'!$I$155:$I$385,MATCH(RIGHT(Q1083,255),RIGHT('Disaggregation Records'!$D$155:$D$385,255),0))),"")</f>
        <v>Gender | Age</v>
      </c>
      <c r="W1083" s="194" t="str">
        <f>IFERROR(INDEX('Reference Records'!L$77:L$157,MATCH(LEFT(C1083,255),'Reference Records'!E$77:E$157,0)),"")</f>
        <v>TCS-1.1⁽ᴹ⁾ Percentage of people on ART among all people living with HIV at the end of the reporting period</v>
      </c>
    </row>
    <row r="1084" spans="1:23" s="194" customFormat="1" ht="40.4" customHeight="1" x14ac:dyDescent="0.35">
      <c r="A1084" s="770"/>
      <c r="B1084" s="767"/>
      <c r="C1084" s="761"/>
      <c r="D1084" s="769"/>
      <c r="E1084" s="769"/>
      <c r="F1084" s="208"/>
      <c r="G1084" s="763"/>
      <c r="H1084" s="744"/>
      <c r="I1084" s="765"/>
      <c r="J1084" s="730"/>
      <c r="K1084" s="761"/>
      <c r="L1084" s="761"/>
      <c r="M1084" s="730"/>
      <c r="N1084" s="730"/>
    </row>
    <row r="1085" spans="1:23" s="194" customFormat="1" ht="40.4" customHeight="1" x14ac:dyDescent="0.35">
      <c r="A1085" s="770" t="str">
        <f ca="1">INDIRECT("'update Helper'!C"&amp;U1085)</f>
        <v>a163p000004NtX4AAK</v>
      </c>
      <c r="B1085" s="766">
        <v>12</v>
      </c>
      <c r="C1085" s="760" t="str">
        <f>VLOOKUP(B1085,'Coverage Indicators - Section D'!$A$9:$AU$70,47,FALSE)</f>
        <v>TCS-1.1⁽ᴹ⁾ Porcentaje de personas en TARV entre todas las personas viviendo con VIH al final del período de reporte</v>
      </c>
      <c r="D1085" s="768" t="str">
        <f>R1085</f>
        <v>Género | Edad</v>
      </c>
      <c r="E1085" s="768" t="str">
        <f>S1085</f>
        <v>Hombres 15+</v>
      </c>
      <c r="F1085" s="413"/>
      <c r="G1085" s="762" t="str">
        <f ca="1">IF(OR(INDIRECT("'update Helper'!E"&amp;U1085)="",F1085&lt;&gt;0,F1086&lt;&gt;0),IF(IFERROR((F1085/F1086),"")="","",(F1085/F1086)),INDIRECT("'update Helper'!E"&amp;U1085)/100)</f>
        <v/>
      </c>
      <c r="H1085" s="743"/>
      <c r="I1085" s="764"/>
      <c r="J1085" s="729"/>
      <c r="K1085" s="760" t="str">
        <f>W1085</f>
        <v>TCS-1.1⁽ᴹ⁾ Percentage of people on ART among all people living with HIV at the end of the reporting period</v>
      </c>
      <c r="L1085" s="760" t="str">
        <f>V1085</f>
        <v>Gender | Age</v>
      </c>
      <c r="M1085" s="729"/>
      <c r="N1085" s="729"/>
      <c r="P1085" s="194">
        <f>IF(AND(EXACT(C1085,C1083),C1083&lt;&gt;0),P1083+1,0)</f>
        <v>12</v>
      </c>
      <c r="Q1085" s="194" t="str">
        <f>IF(C1085&lt;&gt;"",C1085&amp;"-"&amp;P1085,"")</f>
        <v>TCS-1.1⁽ᴹ⁾ Porcentaje de personas en TARV entre todas las personas viviendo con VIH al final del período de reporte-12</v>
      </c>
      <c r="R1085" s="194" t="str">
        <f t="array" ref="R1085">IFERROR(IF(INDEX('Disaggregation Records'!$E$155:$E$385,MATCH(RIGHT(Q1085,255),RIGHT('Disaggregation Records'!$D$155:$D$385,255),0))="","",INDEX('Disaggregation Records'!$E$155:$E$385,MATCH(RIGHT(Q1085,255),RIGHT('Disaggregation Records'!$D$155:$D$385,255),0))),"")</f>
        <v>Género | Edad</v>
      </c>
      <c r="S1085" s="194" t="str">
        <f t="array" ref="S1085">IFERROR(IF(INDEX('Disaggregation Records'!$F$155:$F$385,MATCH(RIGHT(Q1085,255),RIGHT('Disaggregation Records'!$D$155:$D$385,255),0))="","",INDEX('Disaggregation Records'!$F$155:$F$385,MATCH(RIGHT(Q1085,255),RIGHT('Disaggregation Records'!$D$155:$D$385,255),0))),"")</f>
        <v>Hombres 15+</v>
      </c>
      <c r="T1085" s="194" t="str">
        <f t="array" ref="T1085">IFERROR(IF(INDEX('Disaggregation Records'!$H$155:$H$385,MATCH(RIGHT(Q1085,255),RIGHT('Disaggregation Records'!$D$155:$D$385,255),0))="","",INDEX('Disaggregation Records'!$H$155:$H$385,MATCH(RIGHT(Q1085,255),RIGHT('Disaggregation Records'!$D$155:$D$385,255),0))),"")</f>
        <v>IDR-00884</v>
      </c>
      <c r="U1085" s="194">
        <f>U1083+1</f>
        <v>2732</v>
      </c>
      <c r="V1085" s="194" t="str">
        <f t="array" ref="V1085">IFERROR(IF(INDEX('Disaggregation Records'!$I$155:$I$385,MATCH(RIGHT(Q1085,255),RIGHT('Disaggregation Records'!$D$155:$D$385,255),0))="","",INDEX('Disaggregation Records'!$I$155:$I$385,MATCH(RIGHT(Q1085,255),RIGHT('Disaggregation Records'!$D$155:$D$385,255),0))),"")</f>
        <v>Gender | Age</v>
      </c>
      <c r="W1085" s="194" t="str">
        <f>IFERROR(INDEX('Reference Records'!L$77:L$157,MATCH(LEFT(C1085,255),'Reference Records'!E$77:E$157,0)),"")</f>
        <v>TCS-1.1⁽ᴹ⁾ Percentage of people on ART among all people living with HIV at the end of the reporting period</v>
      </c>
    </row>
    <row r="1086" spans="1:23" s="194" customFormat="1" ht="40.4" customHeight="1" x14ac:dyDescent="0.35">
      <c r="A1086" s="770"/>
      <c r="B1086" s="767"/>
      <c r="C1086" s="761"/>
      <c r="D1086" s="769"/>
      <c r="E1086" s="769"/>
      <c r="F1086" s="208"/>
      <c r="G1086" s="763"/>
      <c r="H1086" s="744"/>
      <c r="I1086" s="765"/>
      <c r="J1086" s="730"/>
      <c r="K1086" s="761"/>
      <c r="L1086" s="761"/>
      <c r="M1086" s="730"/>
      <c r="N1086" s="730"/>
    </row>
    <row r="1087" spans="1:23" s="194" customFormat="1" ht="40.4" customHeight="1" x14ac:dyDescent="0.35">
      <c r="A1087" s="770" t="str">
        <f ca="1">INDIRECT("'update Helper'!C"&amp;U1087)</f>
        <v>a163p000004NtX5AAK</v>
      </c>
      <c r="B1087" s="766">
        <v>12</v>
      </c>
      <c r="C1087" s="760" t="str">
        <f>VLOOKUP(B1087,'Coverage Indicators - Section D'!$A$9:$AU$70,47,FALSE)</f>
        <v>TCS-1.1⁽ᴹ⁾ Porcentaje de personas en TARV entre todas las personas viviendo con VIH al final del período de reporte</v>
      </c>
      <c r="D1087" s="768" t="str">
        <f>R1087</f>
        <v>Género</v>
      </c>
      <c r="E1087" s="768" t="str">
        <f>S1087</f>
        <v>Transgénero</v>
      </c>
      <c r="F1087" s="413"/>
      <c r="G1087" s="762" t="str">
        <f ca="1">IF(OR(INDIRECT("'update Helper'!E"&amp;U1087)="",F1087&lt;&gt;0,F1088&lt;&gt;0),IF(IFERROR((F1087/F1088),"")="","",(F1087/F1088)),INDIRECT("'update Helper'!E"&amp;U1087)/100)</f>
        <v/>
      </c>
      <c r="H1087" s="743"/>
      <c r="I1087" s="764"/>
      <c r="J1087" s="729"/>
      <c r="K1087" s="760" t="str">
        <f>W1087</f>
        <v>TCS-1.1⁽ᴹ⁾ Percentage of people on ART among all people living with HIV at the end of the reporting period</v>
      </c>
      <c r="L1087" s="760" t="str">
        <f>V1087</f>
        <v>Gender</v>
      </c>
      <c r="M1087" s="729"/>
      <c r="N1087" s="729"/>
      <c r="P1087" s="194">
        <f>IF(AND(EXACT(C1087,C1085),C1085&lt;&gt;0),P1085+1,0)</f>
        <v>13</v>
      </c>
      <c r="Q1087" s="194" t="str">
        <f>IF(C1087&lt;&gt;"",C1087&amp;"-"&amp;P1087,"")</f>
        <v>TCS-1.1⁽ᴹ⁾ Porcentaje de personas en TARV entre todas las personas viviendo con VIH al final del período de reporte-13</v>
      </c>
      <c r="R1087" s="194" t="str">
        <f t="array" ref="R1087">IFERROR(IF(INDEX('Disaggregation Records'!$E$155:$E$385,MATCH(RIGHT(Q1087,255),RIGHT('Disaggregation Records'!$D$155:$D$385,255),0))="","",INDEX('Disaggregation Records'!$E$155:$E$385,MATCH(RIGHT(Q1087,255),RIGHT('Disaggregation Records'!$D$155:$D$385,255),0))),"")</f>
        <v>Género</v>
      </c>
      <c r="S1087" s="194" t="str">
        <f t="array" ref="S1087">IFERROR(IF(INDEX('Disaggregation Records'!$F$155:$F$385,MATCH(RIGHT(Q1087,255),RIGHT('Disaggregation Records'!$D$155:$D$385,255),0))="","",INDEX('Disaggregation Records'!$F$155:$F$385,MATCH(RIGHT(Q1087,255),RIGHT('Disaggregation Records'!$D$155:$D$385,255),0))),"")</f>
        <v>Transgénero</v>
      </c>
      <c r="T1087" s="194" t="str">
        <f t="array" ref="T1087">IFERROR(IF(INDEX('Disaggregation Records'!$H$155:$H$385,MATCH(RIGHT(Q1087,255),RIGHT('Disaggregation Records'!$D$155:$D$385,255),0))="","",INDEX('Disaggregation Records'!$H$155:$H$385,MATCH(RIGHT(Q1087,255),RIGHT('Disaggregation Records'!$D$155:$D$385,255),0))),"")</f>
        <v>IDR-00846</v>
      </c>
      <c r="U1087" s="194">
        <f>U1085+1</f>
        <v>2733</v>
      </c>
      <c r="V1087" s="194" t="str">
        <f t="array" ref="V1087">IFERROR(IF(INDEX('Disaggregation Records'!$I$155:$I$385,MATCH(RIGHT(Q1087,255),RIGHT('Disaggregation Records'!$D$155:$D$385,255),0))="","",INDEX('Disaggregation Records'!$I$155:$I$385,MATCH(RIGHT(Q1087,255),RIGHT('Disaggregation Records'!$D$155:$D$385,255),0))),"")</f>
        <v>Gender</v>
      </c>
      <c r="W1087" s="194" t="str">
        <f>IFERROR(INDEX('Reference Records'!L$77:L$157,MATCH(LEFT(C1087,255),'Reference Records'!E$77:E$157,0)),"")</f>
        <v>TCS-1.1⁽ᴹ⁾ Percentage of people on ART among all people living with HIV at the end of the reporting period</v>
      </c>
    </row>
    <row r="1088" spans="1:23" s="194" customFormat="1" ht="40.4" customHeight="1" x14ac:dyDescent="0.35">
      <c r="A1088" s="770"/>
      <c r="B1088" s="767"/>
      <c r="C1088" s="761"/>
      <c r="D1088" s="769"/>
      <c r="E1088" s="769"/>
      <c r="F1088" s="208"/>
      <c r="G1088" s="763"/>
      <c r="H1088" s="744"/>
      <c r="I1088" s="765"/>
      <c r="J1088" s="730"/>
      <c r="K1088" s="761"/>
      <c r="L1088" s="761"/>
      <c r="M1088" s="730"/>
      <c r="N1088" s="730"/>
    </row>
    <row r="1089" spans="1:23" s="194" customFormat="1" ht="40.4" customHeight="1" x14ac:dyDescent="0.35">
      <c r="A1089" s="770" t="str">
        <f ca="1">INDIRECT("'update Helper'!C"&amp;U1089)</f>
        <v>a163p000004NtX6AAK</v>
      </c>
      <c r="B1089" s="766">
        <v>12</v>
      </c>
      <c r="C1089" s="760" t="str">
        <f>VLOOKUP(B1089,'Coverage Indicators - Section D'!$A$9:$AU$70,47,FALSE)</f>
        <v>TCS-1.1⁽ᴹ⁾ Porcentaje de personas en TARV entre todas las personas viviendo con VIH al final del período de reporte</v>
      </c>
      <c r="D1089" s="768" t="str">
        <f>R1089</f>
        <v>Género</v>
      </c>
      <c r="E1089" s="768" t="str">
        <f>S1089</f>
        <v>Mujeres</v>
      </c>
      <c r="F1089" s="413"/>
      <c r="G1089" s="762" t="str">
        <f ca="1">IF(OR(INDIRECT("'update Helper'!E"&amp;U1089)="",F1089&lt;&gt;0,F1090&lt;&gt;0),IF(IFERROR((F1089/F1090),"")="","",(F1089/F1090)),INDIRECT("'update Helper'!E"&amp;U1089)/100)</f>
        <v/>
      </c>
      <c r="H1089" s="743"/>
      <c r="I1089" s="764"/>
      <c r="J1089" s="729"/>
      <c r="K1089" s="760" t="str">
        <f>W1089</f>
        <v>TCS-1.1⁽ᴹ⁾ Percentage of people on ART among all people living with HIV at the end of the reporting period</v>
      </c>
      <c r="L1089" s="760" t="str">
        <f>V1089</f>
        <v>Gender</v>
      </c>
      <c r="M1089" s="729"/>
      <c r="N1089" s="729"/>
      <c r="P1089" s="194">
        <f>IF(AND(EXACT(C1089,C1087),C1087&lt;&gt;0),P1087+1,0)</f>
        <v>14</v>
      </c>
      <c r="Q1089" s="194" t="str">
        <f>IF(C1089&lt;&gt;"",C1089&amp;"-"&amp;P1089,"")</f>
        <v>TCS-1.1⁽ᴹ⁾ Porcentaje de personas en TARV entre todas las personas viviendo con VIH al final del período de reporte-14</v>
      </c>
      <c r="R1089" s="194" t="str">
        <f t="array" ref="R1089">IFERROR(IF(INDEX('Disaggregation Records'!$E$155:$E$385,MATCH(RIGHT(Q1089,255),RIGHT('Disaggregation Records'!$D$155:$D$385,255),0))="","",INDEX('Disaggregation Records'!$E$155:$E$385,MATCH(RIGHT(Q1089,255),RIGHT('Disaggregation Records'!$D$155:$D$385,255),0))),"")</f>
        <v>Género</v>
      </c>
      <c r="S1089" s="194" t="str">
        <f t="array" ref="S1089">IFERROR(IF(INDEX('Disaggregation Records'!$F$155:$F$385,MATCH(RIGHT(Q1089,255),RIGHT('Disaggregation Records'!$D$155:$D$385,255),0))="","",INDEX('Disaggregation Records'!$F$155:$F$385,MATCH(RIGHT(Q1089,255),RIGHT('Disaggregation Records'!$D$155:$D$385,255),0))),"")</f>
        <v>Mujeres</v>
      </c>
      <c r="T1089" s="194" t="str">
        <f t="array" ref="T1089">IFERROR(IF(INDEX('Disaggregation Records'!$H$155:$H$385,MATCH(RIGHT(Q1089,255),RIGHT('Disaggregation Records'!$D$155:$D$385,255),0))="","",INDEX('Disaggregation Records'!$H$155:$H$385,MATCH(RIGHT(Q1089,255),RIGHT('Disaggregation Records'!$D$155:$D$385,255),0))),"")</f>
        <v>IDR-00845</v>
      </c>
      <c r="U1089" s="194">
        <f>U1087+1</f>
        <v>2734</v>
      </c>
      <c r="V1089" s="194" t="str">
        <f t="array" ref="V1089">IFERROR(IF(INDEX('Disaggregation Records'!$I$155:$I$385,MATCH(RIGHT(Q1089,255),RIGHT('Disaggregation Records'!$D$155:$D$385,255),0))="","",INDEX('Disaggregation Records'!$I$155:$I$385,MATCH(RIGHT(Q1089,255),RIGHT('Disaggregation Records'!$D$155:$D$385,255),0))),"")</f>
        <v>Gender</v>
      </c>
      <c r="W1089" s="194" t="str">
        <f>IFERROR(INDEX('Reference Records'!L$77:L$157,MATCH(LEFT(C1089,255),'Reference Records'!E$77:E$157,0)),"")</f>
        <v>TCS-1.1⁽ᴹ⁾ Percentage of people on ART among all people living with HIV at the end of the reporting period</v>
      </c>
    </row>
    <row r="1090" spans="1:23" s="194" customFormat="1" ht="40.4" customHeight="1" x14ac:dyDescent="0.35">
      <c r="A1090" s="770"/>
      <c r="B1090" s="767"/>
      <c r="C1090" s="761"/>
      <c r="D1090" s="769"/>
      <c r="E1090" s="769"/>
      <c r="F1090" s="208"/>
      <c r="G1090" s="763"/>
      <c r="H1090" s="744"/>
      <c r="I1090" s="765"/>
      <c r="J1090" s="730"/>
      <c r="K1090" s="761"/>
      <c r="L1090" s="761"/>
      <c r="M1090" s="730"/>
      <c r="N1090" s="730"/>
    </row>
    <row r="1091" spans="1:23" s="194" customFormat="1" ht="40.4" customHeight="1" x14ac:dyDescent="0.35">
      <c r="A1091" s="770" t="str">
        <f ca="1">INDIRECT("'update Helper'!C"&amp;U1091)</f>
        <v>a163p000004NtX7AAK</v>
      </c>
      <c r="B1091" s="766">
        <v>12</v>
      </c>
      <c r="C1091" s="760" t="str">
        <f>VLOOKUP(B1091,'Coverage Indicators - Section D'!$A$9:$AU$70,47,FALSE)</f>
        <v>TCS-1.1⁽ᴹ⁾ Porcentaje de personas en TARV entre todas las personas viviendo con VIH al final del período de reporte</v>
      </c>
      <c r="D1091" s="768" t="str">
        <f>R1091</f>
        <v>Género</v>
      </c>
      <c r="E1091" s="768" t="str">
        <f>S1091</f>
        <v>Hombres</v>
      </c>
      <c r="F1091" s="413"/>
      <c r="G1091" s="762" t="str">
        <f ca="1">IF(OR(INDIRECT("'update Helper'!E"&amp;U1091)="",F1091&lt;&gt;0,F1092&lt;&gt;0),IF(IFERROR((F1091/F1092),"")="","",(F1091/F1092)),INDIRECT("'update Helper'!E"&amp;U1091)/100)</f>
        <v/>
      </c>
      <c r="H1091" s="743"/>
      <c r="I1091" s="764"/>
      <c r="J1091" s="729"/>
      <c r="K1091" s="760" t="str">
        <f>W1091</f>
        <v>TCS-1.1⁽ᴹ⁾ Percentage of people on ART among all people living with HIV at the end of the reporting period</v>
      </c>
      <c r="L1091" s="760" t="str">
        <f>V1091</f>
        <v>Gender</v>
      </c>
      <c r="M1091" s="729"/>
      <c r="N1091" s="729"/>
      <c r="P1091" s="194">
        <f>IF(AND(EXACT(C1091,C1089),C1089&lt;&gt;0),P1089+1,0)</f>
        <v>15</v>
      </c>
      <c r="Q1091" s="194" t="str">
        <f>IF(C1091&lt;&gt;"",C1091&amp;"-"&amp;P1091,"")</f>
        <v>TCS-1.1⁽ᴹ⁾ Porcentaje de personas en TARV entre todas las personas viviendo con VIH al final del período de reporte-15</v>
      </c>
      <c r="R1091" s="194" t="str">
        <f t="array" ref="R1091">IFERROR(IF(INDEX('Disaggregation Records'!$E$155:$E$385,MATCH(RIGHT(Q1091,255),RIGHT('Disaggregation Records'!$D$155:$D$385,255),0))="","",INDEX('Disaggregation Records'!$E$155:$E$385,MATCH(RIGHT(Q1091,255),RIGHT('Disaggregation Records'!$D$155:$D$385,255),0))),"")</f>
        <v>Género</v>
      </c>
      <c r="S1091" s="194" t="str">
        <f t="array" ref="S1091">IFERROR(IF(INDEX('Disaggregation Records'!$F$155:$F$385,MATCH(RIGHT(Q1091,255),RIGHT('Disaggregation Records'!$D$155:$D$385,255),0))="","",INDEX('Disaggregation Records'!$F$155:$F$385,MATCH(RIGHT(Q1091,255),RIGHT('Disaggregation Records'!$D$155:$D$385,255),0))),"")</f>
        <v>Hombres</v>
      </c>
      <c r="T1091" s="194" t="str">
        <f t="array" ref="T1091">IFERROR(IF(INDEX('Disaggregation Records'!$H$155:$H$385,MATCH(RIGHT(Q1091,255),RIGHT('Disaggregation Records'!$D$155:$D$385,255),0))="","",INDEX('Disaggregation Records'!$H$155:$H$385,MATCH(RIGHT(Q1091,255),RIGHT('Disaggregation Records'!$D$155:$D$385,255),0))),"")</f>
        <v>IDR-00844</v>
      </c>
      <c r="U1091" s="194">
        <f>U1089+1</f>
        <v>2735</v>
      </c>
      <c r="V1091" s="194" t="str">
        <f t="array" ref="V1091">IFERROR(IF(INDEX('Disaggregation Records'!$I$155:$I$385,MATCH(RIGHT(Q1091,255),RIGHT('Disaggregation Records'!$D$155:$D$385,255),0))="","",INDEX('Disaggregation Records'!$I$155:$I$385,MATCH(RIGHT(Q1091,255),RIGHT('Disaggregation Records'!$D$155:$D$385,255),0))),"")</f>
        <v>Gender</v>
      </c>
      <c r="W1091" s="194" t="str">
        <f>IFERROR(INDEX('Reference Records'!L$77:L$157,MATCH(LEFT(C1091,255),'Reference Records'!E$77:E$157,0)),"")</f>
        <v>TCS-1.1⁽ᴹ⁾ Percentage of people on ART among all people living with HIV at the end of the reporting period</v>
      </c>
    </row>
    <row r="1092" spans="1:23" s="194" customFormat="1" ht="40.4" customHeight="1" x14ac:dyDescent="0.35">
      <c r="A1092" s="770"/>
      <c r="B1092" s="767"/>
      <c r="C1092" s="761"/>
      <c r="D1092" s="769"/>
      <c r="E1092" s="769"/>
      <c r="F1092" s="208"/>
      <c r="G1092" s="763"/>
      <c r="H1092" s="744"/>
      <c r="I1092" s="765"/>
      <c r="J1092" s="730"/>
      <c r="K1092" s="761"/>
      <c r="L1092" s="761"/>
      <c r="M1092" s="730"/>
      <c r="N1092" s="730"/>
    </row>
    <row r="1093" spans="1:23" s="194" customFormat="1" ht="40.4" customHeight="1" x14ac:dyDescent="0.35">
      <c r="A1093" s="770" t="str">
        <f ca="1">INDIRECT("'update Helper'!C"&amp;U1093)</f>
        <v>a163p000004NtX8AAK</v>
      </c>
      <c r="B1093" s="766">
        <v>12</v>
      </c>
      <c r="C1093" s="760" t="str">
        <f>VLOOKUP(B1093,'Coverage Indicators - Section D'!$A$9:$AU$70,47,FALSE)</f>
        <v>TCS-1.1⁽ᴹ⁾ Porcentaje de personas en TARV entre todas las personas viviendo con VIH al final del período de reporte</v>
      </c>
      <c r="D1093" s="768" t="str">
        <f>R1093</f>
        <v>Edad</v>
      </c>
      <c r="E1093" s="768" t="str">
        <f>S1093</f>
        <v>15+</v>
      </c>
      <c r="F1093" s="413"/>
      <c r="G1093" s="762" t="str">
        <f ca="1">IF(OR(INDIRECT("'update Helper'!E"&amp;U1093)="",F1093&lt;&gt;0,F1094&lt;&gt;0),IF(IFERROR((F1093/F1094),"")="","",(F1093/F1094)),INDIRECT("'update Helper'!E"&amp;U1093)/100)</f>
        <v/>
      </c>
      <c r="H1093" s="743"/>
      <c r="I1093" s="764"/>
      <c r="J1093" s="729"/>
      <c r="K1093" s="760" t="str">
        <f>W1093</f>
        <v>TCS-1.1⁽ᴹ⁾ Percentage of people on ART among all people living with HIV at the end of the reporting period</v>
      </c>
      <c r="L1093" s="760" t="str">
        <f>V1093</f>
        <v>Age</v>
      </c>
      <c r="M1093" s="729"/>
      <c r="N1093" s="729"/>
      <c r="P1093" s="194">
        <f>IF(AND(EXACT(C1093,C1091),C1091&lt;&gt;0),P1091+1,0)</f>
        <v>16</v>
      </c>
      <c r="Q1093" s="194" t="str">
        <f>IF(C1093&lt;&gt;"",C1093&amp;"-"&amp;P1093,"")</f>
        <v>TCS-1.1⁽ᴹ⁾ Porcentaje de personas en TARV entre todas las personas viviendo con VIH al final del período de reporte-16</v>
      </c>
      <c r="R1093" s="194" t="str">
        <f t="array" ref="R1093">IFERROR(IF(INDEX('Disaggregation Records'!$E$155:$E$385,MATCH(RIGHT(Q1093,255),RIGHT('Disaggregation Records'!$D$155:$D$385,255),0))="","",INDEX('Disaggregation Records'!$E$155:$E$385,MATCH(RIGHT(Q1093,255),RIGHT('Disaggregation Records'!$D$155:$D$385,255),0))),"")</f>
        <v>Edad</v>
      </c>
      <c r="S1093" s="194" t="str">
        <f t="array" ref="S1093">IFERROR(IF(INDEX('Disaggregation Records'!$F$155:$F$385,MATCH(RIGHT(Q1093,255),RIGHT('Disaggregation Records'!$D$155:$D$385,255),0))="","",INDEX('Disaggregation Records'!$F$155:$F$385,MATCH(RIGHT(Q1093,255),RIGHT('Disaggregation Records'!$D$155:$D$385,255),0))),"")</f>
        <v>15+</v>
      </c>
      <c r="T1093" s="194" t="str">
        <f t="array" ref="T1093">IFERROR(IF(INDEX('Disaggregation Records'!$H$155:$H$385,MATCH(RIGHT(Q1093,255),RIGHT('Disaggregation Records'!$D$155:$D$385,255),0))="","",INDEX('Disaggregation Records'!$H$155:$H$385,MATCH(RIGHT(Q1093,255),RIGHT('Disaggregation Records'!$D$155:$D$385,255),0))),"")</f>
        <v>IDR-00724</v>
      </c>
      <c r="U1093" s="194">
        <f>U1091+1</f>
        <v>2736</v>
      </c>
      <c r="V1093" s="194" t="str">
        <f t="array" ref="V1093">IFERROR(IF(INDEX('Disaggregation Records'!$I$155:$I$385,MATCH(RIGHT(Q1093,255),RIGHT('Disaggregation Records'!$D$155:$D$385,255),0))="","",INDEX('Disaggregation Records'!$I$155:$I$385,MATCH(RIGHT(Q1093,255),RIGHT('Disaggregation Records'!$D$155:$D$385,255),0))),"")</f>
        <v>Age</v>
      </c>
      <c r="W1093" s="194" t="str">
        <f>IFERROR(INDEX('Reference Records'!L$77:L$157,MATCH(LEFT(C1093,255),'Reference Records'!E$77:E$157,0)),"")</f>
        <v>TCS-1.1⁽ᴹ⁾ Percentage of people on ART among all people living with HIV at the end of the reporting period</v>
      </c>
    </row>
    <row r="1094" spans="1:23" s="194" customFormat="1" ht="40.4" customHeight="1" x14ac:dyDescent="0.35">
      <c r="A1094" s="770"/>
      <c r="B1094" s="767"/>
      <c r="C1094" s="761"/>
      <c r="D1094" s="769"/>
      <c r="E1094" s="769"/>
      <c r="F1094" s="208"/>
      <c r="G1094" s="763"/>
      <c r="H1094" s="744"/>
      <c r="I1094" s="765"/>
      <c r="J1094" s="730"/>
      <c r="K1094" s="761"/>
      <c r="L1094" s="761"/>
      <c r="M1094" s="730"/>
      <c r="N1094" s="730"/>
    </row>
    <row r="1095" spans="1:23" s="194" customFormat="1" ht="40.4" customHeight="1" x14ac:dyDescent="0.35">
      <c r="A1095" s="770" t="str">
        <f ca="1">INDIRECT("'update Helper'!C"&amp;U1095)</f>
        <v>a163p000004NtX9AAK</v>
      </c>
      <c r="B1095" s="766">
        <v>12</v>
      </c>
      <c r="C1095" s="760" t="str">
        <f>VLOOKUP(B1095,'Coverage Indicators - Section D'!$A$9:$AU$70,47,FALSE)</f>
        <v>TCS-1.1⁽ᴹ⁾ Porcentaje de personas en TARV entre todas las personas viviendo con VIH al final del período de reporte</v>
      </c>
      <c r="D1095" s="768" t="str">
        <f>R1095</f>
        <v>Edad</v>
      </c>
      <c r="E1095" s="768" t="str">
        <f>S1095</f>
        <v>&lt;15</v>
      </c>
      <c r="F1095" s="413"/>
      <c r="G1095" s="762" t="str">
        <f ca="1">IF(OR(INDIRECT("'update Helper'!E"&amp;U1095)="",F1095&lt;&gt;0,F1096&lt;&gt;0),IF(IFERROR((F1095/F1096),"")="","",(F1095/F1096)),INDIRECT("'update Helper'!E"&amp;U1095)/100)</f>
        <v/>
      </c>
      <c r="H1095" s="743"/>
      <c r="I1095" s="764"/>
      <c r="J1095" s="729"/>
      <c r="K1095" s="760" t="str">
        <f>W1095</f>
        <v>TCS-1.1⁽ᴹ⁾ Percentage of people on ART among all people living with HIV at the end of the reporting period</v>
      </c>
      <c r="L1095" s="760" t="str">
        <f>V1095</f>
        <v>Age</v>
      </c>
      <c r="M1095" s="729"/>
      <c r="N1095" s="729"/>
      <c r="P1095" s="194">
        <f>IF(AND(EXACT(C1095,C1093),C1093&lt;&gt;0),P1093+1,0)</f>
        <v>17</v>
      </c>
      <c r="Q1095" s="194" t="str">
        <f>IF(C1095&lt;&gt;"",C1095&amp;"-"&amp;P1095,"")</f>
        <v>TCS-1.1⁽ᴹ⁾ Porcentaje de personas en TARV entre todas las personas viviendo con VIH al final del período de reporte-17</v>
      </c>
      <c r="R1095" s="194" t="str">
        <f t="array" ref="R1095">IFERROR(IF(INDEX('Disaggregation Records'!$E$155:$E$385,MATCH(RIGHT(Q1095,255),RIGHT('Disaggregation Records'!$D$155:$D$385,255),0))="","",INDEX('Disaggregation Records'!$E$155:$E$385,MATCH(RIGHT(Q1095,255),RIGHT('Disaggregation Records'!$D$155:$D$385,255),0))),"")</f>
        <v>Edad</v>
      </c>
      <c r="S1095" s="194" t="str">
        <f t="array" ref="S1095">IFERROR(IF(INDEX('Disaggregation Records'!$F$155:$F$385,MATCH(RIGHT(Q1095,255),RIGHT('Disaggregation Records'!$D$155:$D$385,255),0))="","",INDEX('Disaggregation Records'!$F$155:$F$385,MATCH(RIGHT(Q1095,255),RIGHT('Disaggregation Records'!$D$155:$D$385,255),0))),"")</f>
        <v>&lt;15</v>
      </c>
      <c r="T1095" s="194" t="str">
        <f t="array" ref="T1095">IFERROR(IF(INDEX('Disaggregation Records'!$H$155:$H$385,MATCH(RIGHT(Q1095,255),RIGHT('Disaggregation Records'!$D$155:$D$385,255),0))="","",INDEX('Disaggregation Records'!$H$155:$H$385,MATCH(RIGHT(Q1095,255),RIGHT('Disaggregation Records'!$D$155:$D$385,255),0))),"")</f>
        <v>IDR-00723</v>
      </c>
      <c r="U1095" s="194">
        <f>U1093+1</f>
        <v>2737</v>
      </c>
      <c r="V1095" s="194" t="str">
        <f t="array" ref="V1095">IFERROR(IF(INDEX('Disaggregation Records'!$I$155:$I$385,MATCH(RIGHT(Q1095,255),RIGHT('Disaggregation Records'!$D$155:$D$385,255),0))="","",INDEX('Disaggregation Records'!$I$155:$I$385,MATCH(RIGHT(Q1095,255),RIGHT('Disaggregation Records'!$D$155:$D$385,255),0))),"")</f>
        <v>Age</v>
      </c>
      <c r="W1095" s="194" t="str">
        <f>IFERROR(INDEX('Reference Records'!L$77:L$157,MATCH(LEFT(C1095,255),'Reference Records'!E$77:E$157,0)),"")</f>
        <v>TCS-1.1⁽ᴹ⁾ Percentage of people on ART among all people living with HIV at the end of the reporting period</v>
      </c>
    </row>
    <row r="1096" spans="1:23" s="194" customFormat="1" ht="40.4" customHeight="1" x14ac:dyDescent="0.35">
      <c r="A1096" s="770"/>
      <c r="B1096" s="767"/>
      <c r="C1096" s="761"/>
      <c r="D1096" s="769"/>
      <c r="E1096" s="769"/>
      <c r="F1096" s="208"/>
      <c r="G1096" s="763"/>
      <c r="H1096" s="744"/>
      <c r="I1096" s="765"/>
      <c r="J1096" s="730"/>
      <c r="K1096" s="761"/>
      <c r="L1096" s="761"/>
      <c r="M1096" s="730"/>
      <c r="N1096" s="730"/>
    </row>
    <row r="1097" spans="1:23" s="194" customFormat="1" ht="40.4" customHeight="1" x14ac:dyDescent="0.35">
      <c r="A1097" s="770" t="str">
        <f ca="1">INDIRECT("'update Helper'!C"&amp;U1097)</f>
        <v>a163p000004NtXAAA0</v>
      </c>
      <c r="B1097" s="766">
        <v>12</v>
      </c>
      <c r="C1097" s="760" t="str">
        <f>VLOOKUP(B1097,'Coverage Indicators - Section D'!$A$9:$AU$70,47,FALSE)</f>
        <v>TCS-1.1⁽ᴹ⁾ Porcentaje de personas en TARV entre todas las personas viviendo con VIH al final del período de reporte</v>
      </c>
      <c r="D1097" s="768" t="str">
        <f>R1097</f>
        <v/>
      </c>
      <c r="E1097" s="768" t="str">
        <f>S1097</f>
        <v/>
      </c>
      <c r="F1097" s="413"/>
      <c r="G1097" s="762" t="str">
        <f ca="1">IF(OR(INDIRECT("'update Helper'!E"&amp;U1097)="",F1097&lt;&gt;0,F1098&lt;&gt;0),IF(IFERROR((F1097/F1098),"")="","",(F1097/F1098)),INDIRECT("'update Helper'!E"&amp;U1097)/100)</f>
        <v/>
      </c>
      <c r="H1097" s="743"/>
      <c r="I1097" s="764"/>
      <c r="J1097" s="729"/>
      <c r="K1097" s="760" t="str">
        <f>W1097</f>
        <v>TCS-1.1⁽ᴹ⁾ Percentage of people on ART among all people living with HIV at the end of the reporting period</v>
      </c>
      <c r="L1097" s="760" t="str">
        <f>V1097</f>
        <v/>
      </c>
      <c r="M1097" s="729"/>
      <c r="N1097" s="729"/>
      <c r="P1097" s="194">
        <f>IF(AND(EXACT(C1097,C1095),C1095&lt;&gt;0),P1095+1,0)</f>
        <v>18</v>
      </c>
      <c r="Q1097" s="194" t="str">
        <f>IF(C1097&lt;&gt;"",C1097&amp;"-"&amp;P1097,"")</f>
        <v>TCS-1.1⁽ᴹ⁾ Porcentaje de personas en TARV entre todas las personas viviendo con VIH al final del período de reporte-18</v>
      </c>
      <c r="R1097" s="194" t="str">
        <f t="array" ref="R1097">IFERROR(IF(INDEX('Disaggregation Records'!$E$155:$E$385,MATCH(RIGHT(Q1097,255),RIGHT('Disaggregation Records'!$D$155:$D$385,255),0))="","",INDEX('Disaggregation Records'!$E$155:$E$385,MATCH(RIGHT(Q1097,255),RIGHT('Disaggregation Records'!$D$155:$D$385,255),0))),"")</f>
        <v/>
      </c>
      <c r="S1097" s="194" t="str">
        <f t="array" ref="S1097">IFERROR(IF(INDEX('Disaggregation Records'!$F$155:$F$385,MATCH(RIGHT(Q1097,255),RIGHT('Disaggregation Records'!$D$155:$D$385,255),0))="","",INDEX('Disaggregation Records'!$F$155:$F$385,MATCH(RIGHT(Q1097,255),RIGHT('Disaggregation Records'!$D$155:$D$385,255),0))),"")</f>
        <v/>
      </c>
      <c r="T1097" s="194" t="str">
        <f t="array" ref="T1097">IFERROR(IF(INDEX('Disaggregation Records'!$H$155:$H$385,MATCH(RIGHT(Q1097,255),RIGHT('Disaggregation Records'!$D$155:$D$385,255),0))="","",INDEX('Disaggregation Records'!$H$155:$H$385,MATCH(RIGHT(Q1097,255),RIGHT('Disaggregation Records'!$D$155:$D$385,255),0))),"")</f>
        <v/>
      </c>
      <c r="U1097" s="194">
        <f>U1095+1</f>
        <v>2738</v>
      </c>
      <c r="V1097" s="194" t="str">
        <f t="array" ref="V1097">IFERROR(IF(INDEX('Disaggregation Records'!$I$155:$I$385,MATCH(RIGHT(Q1097,255),RIGHT('Disaggregation Records'!$D$155:$D$385,255),0))="","",INDEX('Disaggregation Records'!$I$155:$I$385,MATCH(RIGHT(Q1097,255),RIGHT('Disaggregation Records'!$D$155:$D$385,255),0))),"")</f>
        <v/>
      </c>
      <c r="W1097" s="194" t="str">
        <f>IFERROR(INDEX('Reference Records'!L$77:L$157,MATCH(LEFT(C1097,255),'Reference Records'!E$77:E$157,0)),"")</f>
        <v>TCS-1.1⁽ᴹ⁾ Percentage of people on ART among all people living with HIV at the end of the reporting period</v>
      </c>
    </row>
    <row r="1098" spans="1:23" s="194" customFormat="1" ht="40.4" customHeight="1" x14ac:dyDescent="0.35">
      <c r="A1098" s="770"/>
      <c r="B1098" s="767"/>
      <c r="C1098" s="761"/>
      <c r="D1098" s="769"/>
      <c r="E1098" s="769"/>
      <c r="F1098" s="208"/>
      <c r="G1098" s="763"/>
      <c r="H1098" s="744"/>
      <c r="I1098" s="765"/>
      <c r="J1098" s="730"/>
      <c r="K1098" s="761"/>
      <c r="L1098" s="761"/>
      <c r="M1098" s="730"/>
      <c r="N1098" s="730"/>
    </row>
    <row r="1099" spans="1:23" s="194" customFormat="1" ht="40.4" customHeight="1" x14ac:dyDescent="0.35">
      <c r="A1099" s="770" t="str">
        <f ca="1">INDIRECT("'update Helper'!C"&amp;U1099)</f>
        <v>a163p000004NtXBAA0</v>
      </c>
      <c r="B1099" s="766">
        <v>12</v>
      </c>
      <c r="C1099" s="760" t="str">
        <f>VLOOKUP(B1099,'Coverage Indicators - Section D'!$A$9:$AU$70,47,FALSE)</f>
        <v>TCS-1.1⁽ᴹ⁾ Porcentaje de personas en TARV entre todas las personas viviendo con VIH al final del período de reporte</v>
      </c>
      <c r="D1099" s="768" t="str">
        <f>R1099</f>
        <v/>
      </c>
      <c r="E1099" s="768" t="str">
        <f>S1099</f>
        <v/>
      </c>
      <c r="F1099" s="413"/>
      <c r="G1099" s="762" t="str">
        <f ca="1">IF(OR(INDIRECT("'update Helper'!E"&amp;U1099)="",F1099&lt;&gt;0,F1100&lt;&gt;0),IF(IFERROR((F1099/F1100),"")="","",(F1099/F1100)),INDIRECT("'update Helper'!E"&amp;U1099)/100)</f>
        <v/>
      </c>
      <c r="H1099" s="743"/>
      <c r="I1099" s="764"/>
      <c r="J1099" s="729"/>
      <c r="K1099" s="760" t="str">
        <f>W1099</f>
        <v>TCS-1.1⁽ᴹ⁾ Percentage of people on ART among all people living with HIV at the end of the reporting period</v>
      </c>
      <c r="L1099" s="760" t="str">
        <f>V1099</f>
        <v/>
      </c>
      <c r="M1099" s="729"/>
      <c r="N1099" s="729"/>
      <c r="P1099" s="194">
        <f>IF(AND(EXACT(C1099,C1097),C1097&lt;&gt;0),P1097+1,0)</f>
        <v>19</v>
      </c>
      <c r="Q1099" s="194" t="str">
        <f>IF(C1099&lt;&gt;"",C1099&amp;"-"&amp;P1099,"")</f>
        <v>TCS-1.1⁽ᴹ⁾ Porcentaje de personas en TARV entre todas las personas viviendo con VIH al final del período de reporte-19</v>
      </c>
      <c r="R1099" s="194" t="str">
        <f t="array" ref="R1099">IFERROR(IF(INDEX('Disaggregation Records'!$E$155:$E$385,MATCH(RIGHT(Q1099,255),RIGHT('Disaggregation Records'!$D$155:$D$385,255),0))="","",INDEX('Disaggregation Records'!$E$155:$E$385,MATCH(RIGHT(Q1099,255),RIGHT('Disaggregation Records'!$D$155:$D$385,255),0))),"")</f>
        <v/>
      </c>
      <c r="S1099" s="194" t="str">
        <f t="array" ref="S1099">IFERROR(IF(INDEX('Disaggregation Records'!$F$155:$F$385,MATCH(RIGHT(Q1099,255),RIGHT('Disaggregation Records'!$D$155:$D$385,255),0))="","",INDEX('Disaggregation Records'!$F$155:$F$385,MATCH(RIGHT(Q1099,255),RIGHT('Disaggregation Records'!$D$155:$D$385,255),0))),"")</f>
        <v/>
      </c>
      <c r="T1099" s="194" t="str">
        <f t="array" ref="T1099">IFERROR(IF(INDEX('Disaggregation Records'!$H$155:$H$385,MATCH(RIGHT(Q1099,255),RIGHT('Disaggregation Records'!$D$155:$D$385,255),0))="","",INDEX('Disaggregation Records'!$H$155:$H$385,MATCH(RIGHT(Q1099,255),RIGHT('Disaggregation Records'!$D$155:$D$385,255),0))),"")</f>
        <v/>
      </c>
      <c r="U1099" s="194">
        <f>U1097+1</f>
        <v>2739</v>
      </c>
      <c r="V1099" s="194" t="str">
        <f t="array" ref="V1099">IFERROR(IF(INDEX('Disaggregation Records'!$I$155:$I$385,MATCH(RIGHT(Q1099,255),RIGHT('Disaggregation Records'!$D$155:$D$385,255),0))="","",INDEX('Disaggregation Records'!$I$155:$I$385,MATCH(RIGHT(Q1099,255),RIGHT('Disaggregation Records'!$D$155:$D$385,255),0))),"")</f>
        <v/>
      </c>
      <c r="W1099" s="194" t="str">
        <f>IFERROR(INDEX('Reference Records'!L$77:L$157,MATCH(LEFT(C1099,255),'Reference Records'!E$77:E$157,0)),"")</f>
        <v>TCS-1.1⁽ᴹ⁾ Percentage of people on ART among all people living with HIV at the end of the reporting period</v>
      </c>
    </row>
    <row r="1100" spans="1:23" s="194" customFormat="1" ht="40.4" customHeight="1" x14ac:dyDescent="0.35">
      <c r="A1100" s="770"/>
      <c r="B1100" s="767"/>
      <c r="C1100" s="761"/>
      <c r="D1100" s="769"/>
      <c r="E1100" s="769"/>
      <c r="F1100" s="208"/>
      <c r="G1100" s="763"/>
      <c r="H1100" s="744"/>
      <c r="I1100" s="765"/>
      <c r="J1100" s="730"/>
      <c r="K1100" s="761"/>
      <c r="L1100" s="761"/>
      <c r="M1100" s="730"/>
      <c r="N1100" s="730"/>
    </row>
    <row r="1101" spans="1:23" s="194" customFormat="1" ht="40.4" customHeight="1" x14ac:dyDescent="0.35">
      <c r="A1101" s="770" t="str">
        <f ca="1">INDIRECT("'update Helper'!C"&amp;U1101)</f>
        <v>a163p000004NtNWAA0</v>
      </c>
      <c r="B1101" s="766">
        <v>13</v>
      </c>
      <c r="C1101" s="760" t="str">
        <f>VLOOKUP(B1101,'Coverage Indicators - Section D'!$A$9:$AU$70,47,FALSE)</f>
        <v>KP-6a Porcentaje de HSH elegibles que iniciaron PrEP durante el período de reporte</v>
      </c>
      <c r="D1101" s="768" t="str">
        <f>R1101</f>
        <v/>
      </c>
      <c r="E1101" s="768" t="str">
        <f>S1101</f>
        <v/>
      </c>
      <c r="F1101" s="413"/>
      <c r="G1101" s="762" t="str">
        <f ca="1">IF(OR(INDIRECT("'update Helper'!E"&amp;U1101)="",F1101&lt;&gt;0,F1102&lt;&gt;0),IF(IFERROR((F1101/F1102),"")="","",(F1101/F1102)),INDIRECT("'update Helper'!E"&amp;U1101)/100)</f>
        <v/>
      </c>
      <c r="H1101" s="743"/>
      <c r="I1101" s="764"/>
      <c r="J1101" s="729" t="s">
        <v>9912</v>
      </c>
      <c r="K1101" s="760" t="str">
        <f>W1101</f>
        <v>KP-6a Percentage of eligible men who have sex with men who initiated oral antiretroviral PrEP during the reporting period</v>
      </c>
      <c r="L1101" s="760" t="str">
        <f>V1101</f>
        <v/>
      </c>
      <c r="M1101" s="729"/>
      <c r="N1101" s="729" t="s">
        <v>4037</v>
      </c>
      <c r="P1101" s="194">
        <f>IF(AND(EXACT(C1101,C1099),C1099&lt;&gt;0),P1099+1,0)</f>
        <v>0</v>
      </c>
      <c r="Q1101" s="194" t="str">
        <f>IF(C1101&lt;&gt;"",C1101&amp;"-"&amp;P1101,"")</f>
        <v>KP-6a Porcentaje de HSH elegibles que iniciaron PrEP durante el período de reporte-0</v>
      </c>
      <c r="R1101" s="194" t="str">
        <f t="array" ref="R1101">IFERROR(IF(INDEX('Disaggregation Records'!$E$155:$E$385,MATCH(RIGHT(Q1101,255),RIGHT('Disaggregation Records'!$D$155:$D$385,255),0))="","",INDEX('Disaggregation Records'!$E$155:$E$385,MATCH(RIGHT(Q1101,255),RIGHT('Disaggregation Records'!$D$155:$D$385,255),0))),"")</f>
        <v/>
      </c>
      <c r="S1101" s="194" t="str">
        <f t="array" ref="S1101">IFERROR(IF(INDEX('Disaggregation Records'!$F$155:$F$385,MATCH(RIGHT(Q1101,255),RIGHT('Disaggregation Records'!$D$155:$D$385,255),0))="","",INDEX('Disaggregation Records'!$F$155:$F$385,MATCH(RIGHT(Q1101,255),RIGHT('Disaggregation Records'!$D$155:$D$385,255),0))),"")</f>
        <v/>
      </c>
      <c r="T1101" s="194" t="str">
        <f t="array" ref="T1101">IFERROR(IF(INDEX('Disaggregation Records'!$H$155:$H$385,MATCH(RIGHT(Q1101,255),RIGHT('Disaggregation Records'!$D$155:$D$385,255),0))="","",INDEX('Disaggregation Records'!$H$155:$H$385,MATCH(RIGHT(Q1101,255),RIGHT('Disaggregation Records'!$D$155:$D$385,255),0))),"")</f>
        <v/>
      </c>
      <c r="U1101" s="194">
        <f>U1099+1</f>
        <v>2740</v>
      </c>
      <c r="V1101" s="194" t="str">
        <f t="array" ref="V1101">IFERROR(IF(INDEX('Disaggregation Records'!$I$155:$I$385,MATCH(RIGHT(Q1101,255),RIGHT('Disaggregation Records'!$D$155:$D$385,255),0))="","",INDEX('Disaggregation Records'!$I$155:$I$385,MATCH(RIGHT(Q1101,255),RIGHT('Disaggregation Records'!$D$155:$D$385,255),0))),"")</f>
        <v/>
      </c>
      <c r="W1101" s="194" t="str">
        <f>IFERROR(INDEX('Reference Records'!L$77:L$157,MATCH(LEFT(C1101,255),'Reference Records'!E$77:E$157,0)),"")</f>
        <v>KP-6a Percentage of eligible men who have sex with men who initiated oral antiretroviral PrEP during the reporting period</v>
      </c>
    </row>
    <row r="1102" spans="1:23" s="194" customFormat="1" ht="40.4" customHeight="1" x14ac:dyDescent="0.35">
      <c r="A1102" s="770"/>
      <c r="B1102" s="767"/>
      <c r="C1102" s="761"/>
      <c r="D1102" s="769"/>
      <c r="E1102" s="769"/>
      <c r="F1102" s="208"/>
      <c r="G1102" s="763"/>
      <c r="H1102" s="744"/>
      <c r="I1102" s="765"/>
      <c r="J1102" s="730"/>
      <c r="K1102" s="761"/>
      <c r="L1102" s="761"/>
      <c r="M1102" s="730"/>
      <c r="N1102" s="730"/>
    </row>
    <row r="1103" spans="1:23" s="194" customFormat="1" ht="40.4" customHeight="1" x14ac:dyDescent="0.35">
      <c r="A1103" s="770" t="str">
        <f ca="1">INDIRECT("'update Helper'!C"&amp;U1103)</f>
        <v>a163p000004NtNXAA0</v>
      </c>
      <c r="B1103" s="766">
        <v>13</v>
      </c>
      <c r="C1103" s="760" t="str">
        <f>VLOOKUP(B1103,'Coverage Indicators - Section D'!$A$9:$AU$70,47,FALSE)</f>
        <v>KP-6a Porcentaje de HSH elegibles que iniciaron PrEP durante el período de reporte</v>
      </c>
      <c r="D1103" s="768" t="str">
        <f>R1103</f>
        <v/>
      </c>
      <c r="E1103" s="768" t="str">
        <f>S1103</f>
        <v/>
      </c>
      <c r="F1103" s="413"/>
      <c r="G1103" s="762" t="str">
        <f ca="1">IF(OR(INDIRECT("'update Helper'!E"&amp;U1103)="",F1103&lt;&gt;0,F1104&lt;&gt;0),IF(IFERROR((F1103/F1104),"")="","",(F1103/F1104)),INDIRECT("'update Helper'!E"&amp;U1103)/100)</f>
        <v/>
      </c>
      <c r="H1103" s="743"/>
      <c r="I1103" s="764"/>
      <c r="J1103" s="729" t="s">
        <v>9912</v>
      </c>
      <c r="K1103" s="760" t="str">
        <f>W1103</f>
        <v>KP-6a Percentage of eligible men who have sex with men who initiated oral antiretroviral PrEP during the reporting period</v>
      </c>
      <c r="L1103" s="760" t="str">
        <f>V1103</f>
        <v/>
      </c>
      <c r="M1103" s="729"/>
      <c r="N1103" s="729" t="s">
        <v>4037</v>
      </c>
      <c r="P1103" s="194">
        <f>IF(AND(EXACT(C1103,C1101),C1101&lt;&gt;0),P1101+1,0)</f>
        <v>1</v>
      </c>
      <c r="Q1103" s="194" t="str">
        <f>IF(C1103&lt;&gt;"",C1103&amp;"-"&amp;P1103,"")</f>
        <v>KP-6a Porcentaje de HSH elegibles que iniciaron PrEP durante el período de reporte-1</v>
      </c>
      <c r="R1103" s="194" t="str">
        <f t="array" ref="R1103">IFERROR(IF(INDEX('Disaggregation Records'!$E$155:$E$385,MATCH(RIGHT(Q1103,255),RIGHT('Disaggregation Records'!$D$155:$D$385,255),0))="","",INDEX('Disaggregation Records'!$E$155:$E$385,MATCH(RIGHT(Q1103,255),RIGHT('Disaggregation Records'!$D$155:$D$385,255),0))),"")</f>
        <v/>
      </c>
      <c r="S1103" s="194" t="str">
        <f t="array" ref="S1103">IFERROR(IF(INDEX('Disaggregation Records'!$F$155:$F$385,MATCH(RIGHT(Q1103,255),RIGHT('Disaggregation Records'!$D$155:$D$385,255),0))="","",INDEX('Disaggregation Records'!$F$155:$F$385,MATCH(RIGHT(Q1103,255),RIGHT('Disaggregation Records'!$D$155:$D$385,255),0))),"")</f>
        <v/>
      </c>
      <c r="T1103" s="194" t="str">
        <f t="array" ref="T1103">IFERROR(IF(INDEX('Disaggregation Records'!$H$155:$H$385,MATCH(RIGHT(Q1103,255),RIGHT('Disaggregation Records'!$D$155:$D$385,255),0))="","",INDEX('Disaggregation Records'!$H$155:$H$385,MATCH(RIGHT(Q1103,255),RIGHT('Disaggregation Records'!$D$155:$D$385,255),0))),"")</f>
        <v/>
      </c>
      <c r="U1103" s="194">
        <f>U1101+1</f>
        <v>2741</v>
      </c>
      <c r="V1103" s="194" t="str">
        <f t="array" ref="V1103">IFERROR(IF(INDEX('Disaggregation Records'!$I$155:$I$385,MATCH(RIGHT(Q1103,255),RIGHT('Disaggregation Records'!$D$155:$D$385,255),0))="","",INDEX('Disaggregation Records'!$I$155:$I$385,MATCH(RIGHT(Q1103,255),RIGHT('Disaggregation Records'!$D$155:$D$385,255),0))),"")</f>
        <v/>
      </c>
      <c r="W1103" s="194" t="str">
        <f>IFERROR(INDEX('Reference Records'!L$77:L$157,MATCH(LEFT(C1103,255),'Reference Records'!E$77:E$157,0)),"")</f>
        <v>KP-6a Percentage of eligible men who have sex with men who initiated oral antiretroviral PrEP during the reporting period</v>
      </c>
    </row>
    <row r="1104" spans="1:23" s="194" customFormat="1" ht="40.4" customHeight="1" x14ac:dyDescent="0.35">
      <c r="A1104" s="770"/>
      <c r="B1104" s="767"/>
      <c r="C1104" s="761"/>
      <c r="D1104" s="769"/>
      <c r="E1104" s="769"/>
      <c r="F1104" s="208"/>
      <c r="G1104" s="763"/>
      <c r="H1104" s="744"/>
      <c r="I1104" s="765"/>
      <c r="J1104" s="730"/>
      <c r="K1104" s="761"/>
      <c r="L1104" s="761"/>
      <c r="M1104" s="730"/>
      <c r="N1104" s="730"/>
    </row>
    <row r="1105" spans="1:23" s="194" customFormat="1" ht="40.4" customHeight="1" x14ac:dyDescent="0.35">
      <c r="A1105" s="770" t="str">
        <f ca="1">INDIRECT("'update Helper'!C"&amp;U1105)</f>
        <v>a163p000004NtNYAA0</v>
      </c>
      <c r="B1105" s="766">
        <v>13</v>
      </c>
      <c r="C1105" s="760" t="str">
        <f>VLOOKUP(B1105,'Coverage Indicators - Section D'!$A$9:$AU$70,47,FALSE)</f>
        <v>KP-6a Porcentaje de HSH elegibles que iniciaron PrEP durante el período de reporte</v>
      </c>
      <c r="D1105" s="768" t="str">
        <f>R1105</f>
        <v/>
      </c>
      <c r="E1105" s="768" t="str">
        <f>S1105</f>
        <v/>
      </c>
      <c r="F1105" s="413"/>
      <c r="G1105" s="762" t="str">
        <f ca="1">IF(OR(INDIRECT("'update Helper'!E"&amp;U1105)="",F1105&lt;&gt;0,F1106&lt;&gt;0),IF(IFERROR((F1105/F1106),"")="","",(F1105/F1106)),INDIRECT("'update Helper'!E"&amp;U1105)/100)</f>
        <v/>
      </c>
      <c r="H1105" s="743"/>
      <c r="I1105" s="764"/>
      <c r="J1105" s="729" t="s">
        <v>9912</v>
      </c>
      <c r="K1105" s="760" t="str">
        <f>W1105</f>
        <v>KP-6a Percentage of eligible men who have sex with men who initiated oral antiretroviral PrEP during the reporting period</v>
      </c>
      <c r="L1105" s="760" t="str">
        <f>V1105</f>
        <v/>
      </c>
      <c r="M1105" s="729"/>
      <c r="N1105" s="729" t="s">
        <v>4037</v>
      </c>
      <c r="P1105" s="194">
        <f>IF(AND(EXACT(C1105,C1103),C1103&lt;&gt;0),P1103+1,0)</f>
        <v>2</v>
      </c>
      <c r="Q1105" s="194" t="str">
        <f>IF(C1105&lt;&gt;"",C1105&amp;"-"&amp;P1105,"")</f>
        <v>KP-6a Porcentaje de HSH elegibles que iniciaron PrEP durante el período de reporte-2</v>
      </c>
      <c r="R1105" s="194" t="str">
        <f t="array" ref="R1105">IFERROR(IF(INDEX('Disaggregation Records'!$E$155:$E$385,MATCH(RIGHT(Q1105,255),RIGHT('Disaggregation Records'!$D$155:$D$385,255),0))="","",INDEX('Disaggregation Records'!$E$155:$E$385,MATCH(RIGHT(Q1105,255),RIGHT('Disaggregation Records'!$D$155:$D$385,255),0))),"")</f>
        <v/>
      </c>
      <c r="S1105" s="194" t="str">
        <f t="array" ref="S1105">IFERROR(IF(INDEX('Disaggregation Records'!$F$155:$F$385,MATCH(RIGHT(Q1105,255),RIGHT('Disaggregation Records'!$D$155:$D$385,255),0))="","",INDEX('Disaggregation Records'!$F$155:$F$385,MATCH(RIGHT(Q1105,255),RIGHT('Disaggregation Records'!$D$155:$D$385,255),0))),"")</f>
        <v/>
      </c>
      <c r="T1105" s="194" t="str">
        <f t="array" ref="T1105">IFERROR(IF(INDEX('Disaggregation Records'!$H$155:$H$385,MATCH(RIGHT(Q1105,255),RIGHT('Disaggregation Records'!$D$155:$D$385,255),0))="","",INDEX('Disaggregation Records'!$H$155:$H$385,MATCH(RIGHT(Q1105,255),RIGHT('Disaggregation Records'!$D$155:$D$385,255),0))),"")</f>
        <v/>
      </c>
      <c r="U1105" s="194">
        <f>U1103+1</f>
        <v>2742</v>
      </c>
      <c r="V1105" s="194" t="str">
        <f t="array" ref="V1105">IFERROR(IF(INDEX('Disaggregation Records'!$I$155:$I$385,MATCH(RIGHT(Q1105,255),RIGHT('Disaggregation Records'!$D$155:$D$385,255),0))="","",INDEX('Disaggregation Records'!$I$155:$I$385,MATCH(RIGHT(Q1105,255),RIGHT('Disaggregation Records'!$D$155:$D$385,255),0))),"")</f>
        <v/>
      </c>
      <c r="W1105" s="194" t="str">
        <f>IFERROR(INDEX('Reference Records'!L$77:L$157,MATCH(LEFT(C1105,255),'Reference Records'!E$77:E$157,0)),"")</f>
        <v>KP-6a Percentage of eligible men who have sex with men who initiated oral antiretroviral PrEP during the reporting period</v>
      </c>
    </row>
    <row r="1106" spans="1:23" s="194" customFormat="1" ht="40.4" customHeight="1" x14ac:dyDescent="0.35">
      <c r="A1106" s="770"/>
      <c r="B1106" s="767"/>
      <c r="C1106" s="761"/>
      <c r="D1106" s="769"/>
      <c r="E1106" s="769"/>
      <c r="F1106" s="208"/>
      <c r="G1106" s="763"/>
      <c r="H1106" s="744"/>
      <c r="I1106" s="765"/>
      <c r="J1106" s="730"/>
      <c r="K1106" s="761"/>
      <c r="L1106" s="761"/>
      <c r="M1106" s="730"/>
      <c r="N1106" s="730"/>
    </row>
    <row r="1107" spans="1:23" s="194" customFormat="1" ht="40.4" customHeight="1" x14ac:dyDescent="0.35">
      <c r="A1107" s="770" t="str">
        <f ca="1">INDIRECT("'update Helper'!C"&amp;U1107)</f>
        <v>a163p000004NtNZAA0</v>
      </c>
      <c r="B1107" s="766">
        <v>13</v>
      </c>
      <c r="C1107" s="760" t="str">
        <f>VLOOKUP(B1107,'Coverage Indicators - Section D'!$A$9:$AU$70,47,FALSE)</f>
        <v>KP-6a Porcentaje de HSH elegibles que iniciaron PrEP durante el período de reporte</v>
      </c>
      <c r="D1107" s="768" t="str">
        <f>R1107</f>
        <v/>
      </c>
      <c r="E1107" s="768" t="str">
        <f>S1107</f>
        <v/>
      </c>
      <c r="F1107" s="413"/>
      <c r="G1107" s="762" t="str">
        <f ca="1">IF(OR(INDIRECT("'update Helper'!E"&amp;U1107)="",F1107&lt;&gt;0,F1108&lt;&gt;0),IF(IFERROR((F1107/F1108),"")="","",(F1107/F1108)),INDIRECT("'update Helper'!E"&amp;U1107)/100)</f>
        <v/>
      </c>
      <c r="H1107" s="743"/>
      <c r="I1107" s="764"/>
      <c r="J1107" s="729" t="s">
        <v>9912</v>
      </c>
      <c r="K1107" s="760" t="str">
        <f>W1107</f>
        <v>KP-6a Percentage of eligible men who have sex with men who initiated oral antiretroviral PrEP during the reporting period</v>
      </c>
      <c r="L1107" s="760" t="str">
        <f>V1107</f>
        <v/>
      </c>
      <c r="M1107" s="729"/>
      <c r="N1107" s="729" t="s">
        <v>4037</v>
      </c>
      <c r="P1107" s="194">
        <f>IF(AND(EXACT(C1107,C1105),C1105&lt;&gt;0),P1105+1,0)</f>
        <v>3</v>
      </c>
      <c r="Q1107" s="194" t="str">
        <f>IF(C1107&lt;&gt;"",C1107&amp;"-"&amp;P1107,"")</f>
        <v>KP-6a Porcentaje de HSH elegibles que iniciaron PrEP durante el período de reporte-3</v>
      </c>
      <c r="R1107" s="194" t="str">
        <f t="array" ref="R1107">IFERROR(IF(INDEX('Disaggregation Records'!$E$155:$E$385,MATCH(RIGHT(Q1107,255),RIGHT('Disaggregation Records'!$D$155:$D$385,255),0))="","",INDEX('Disaggregation Records'!$E$155:$E$385,MATCH(RIGHT(Q1107,255),RIGHT('Disaggregation Records'!$D$155:$D$385,255),0))),"")</f>
        <v/>
      </c>
      <c r="S1107" s="194" t="str">
        <f t="array" ref="S1107">IFERROR(IF(INDEX('Disaggregation Records'!$F$155:$F$385,MATCH(RIGHT(Q1107,255),RIGHT('Disaggregation Records'!$D$155:$D$385,255),0))="","",INDEX('Disaggregation Records'!$F$155:$F$385,MATCH(RIGHT(Q1107,255),RIGHT('Disaggregation Records'!$D$155:$D$385,255),0))),"")</f>
        <v/>
      </c>
      <c r="T1107" s="194" t="str">
        <f t="array" ref="T1107">IFERROR(IF(INDEX('Disaggregation Records'!$H$155:$H$385,MATCH(RIGHT(Q1107,255),RIGHT('Disaggregation Records'!$D$155:$D$385,255),0))="","",INDEX('Disaggregation Records'!$H$155:$H$385,MATCH(RIGHT(Q1107,255),RIGHT('Disaggregation Records'!$D$155:$D$385,255),0))),"")</f>
        <v/>
      </c>
      <c r="U1107" s="194">
        <f>U1105+1</f>
        <v>2743</v>
      </c>
      <c r="V1107" s="194" t="str">
        <f t="array" ref="V1107">IFERROR(IF(INDEX('Disaggregation Records'!$I$155:$I$385,MATCH(RIGHT(Q1107,255),RIGHT('Disaggregation Records'!$D$155:$D$385,255),0))="","",INDEX('Disaggregation Records'!$I$155:$I$385,MATCH(RIGHT(Q1107,255),RIGHT('Disaggregation Records'!$D$155:$D$385,255),0))),"")</f>
        <v/>
      </c>
      <c r="W1107" s="194" t="str">
        <f>IFERROR(INDEX('Reference Records'!L$77:L$157,MATCH(LEFT(C1107,255),'Reference Records'!E$77:E$157,0)),"")</f>
        <v>KP-6a Percentage of eligible men who have sex with men who initiated oral antiretroviral PrEP during the reporting period</v>
      </c>
    </row>
    <row r="1108" spans="1:23" s="194" customFormat="1" ht="40.4" customHeight="1" x14ac:dyDescent="0.35">
      <c r="A1108" s="770"/>
      <c r="B1108" s="767"/>
      <c r="C1108" s="761"/>
      <c r="D1108" s="769"/>
      <c r="E1108" s="769"/>
      <c r="F1108" s="208"/>
      <c r="G1108" s="763"/>
      <c r="H1108" s="744"/>
      <c r="I1108" s="765"/>
      <c r="J1108" s="730"/>
      <c r="K1108" s="761"/>
      <c r="L1108" s="761"/>
      <c r="M1108" s="730"/>
      <c r="N1108" s="730"/>
    </row>
    <row r="1109" spans="1:23" s="194" customFormat="1" ht="40.4" customHeight="1" x14ac:dyDescent="0.35">
      <c r="A1109" s="770" t="str">
        <f ca="1">INDIRECT("'update Helper'!C"&amp;U1109)</f>
        <v>a163p000004NtNaAAK</v>
      </c>
      <c r="B1109" s="766">
        <v>13</v>
      </c>
      <c r="C1109" s="760" t="str">
        <f>VLOOKUP(B1109,'Coverage Indicators - Section D'!$A$9:$AU$70,47,FALSE)</f>
        <v>KP-6a Porcentaje de HSH elegibles que iniciaron PrEP durante el período de reporte</v>
      </c>
      <c r="D1109" s="768" t="str">
        <f>R1109</f>
        <v/>
      </c>
      <c r="E1109" s="768" t="str">
        <f>S1109</f>
        <v/>
      </c>
      <c r="F1109" s="413"/>
      <c r="G1109" s="762" t="str">
        <f ca="1">IF(OR(INDIRECT("'update Helper'!E"&amp;U1109)="",F1109&lt;&gt;0,F1110&lt;&gt;0),IF(IFERROR((F1109/F1110),"")="","",(F1109/F1110)),INDIRECT("'update Helper'!E"&amp;U1109)/100)</f>
        <v/>
      </c>
      <c r="H1109" s="743"/>
      <c r="I1109" s="764"/>
      <c r="J1109" s="729" t="s">
        <v>9912</v>
      </c>
      <c r="K1109" s="760" t="str">
        <f>W1109</f>
        <v>KP-6a Percentage of eligible men who have sex with men who initiated oral antiretroviral PrEP during the reporting period</v>
      </c>
      <c r="L1109" s="760" t="str">
        <f>V1109</f>
        <v/>
      </c>
      <c r="M1109" s="729"/>
      <c r="N1109" s="729" t="s">
        <v>4037</v>
      </c>
      <c r="P1109" s="194">
        <f>IF(AND(EXACT(C1109,C1107),C1107&lt;&gt;0),P1107+1,0)</f>
        <v>4</v>
      </c>
      <c r="Q1109" s="194" t="str">
        <f>IF(C1109&lt;&gt;"",C1109&amp;"-"&amp;P1109,"")</f>
        <v>KP-6a Porcentaje de HSH elegibles que iniciaron PrEP durante el período de reporte-4</v>
      </c>
      <c r="R1109" s="194" t="str">
        <f t="array" ref="R1109">IFERROR(IF(INDEX('Disaggregation Records'!$E$155:$E$385,MATCH(RIGHT(Q1109,255),RIGHT('Disaggregation Records'!$D$155:$D$385,255),0))="","",INDEX('Disaggregation Records'!$E$155:$E$385,MATCH(RIGHT(Q1109,255),RIGHT('Disaggregation Records'!$D$155:$D$385,255),0))),"")</f>
        <v/>
      </c>
      <c r="S1109" s="194" t="str">
        <f t="array" ref="S1109">IFERROR(IF(INDEX('Disaggregation Records'!$F$155:$F$385,MATCH(RIGHT(Q1109,255),RIGHT('Disaggregation Records'!$D$155:$D$385,255),0))="","",INDEX('Disaggregation Records'!$F$155:$F$385,MATCH(RIGHT(Q1109,255),RIGHT('Disaggregation Records'!$D$155:$D$385,255),0))),"")</f>
        <v/>
      </c>
      <c r="T1109" s="194" t="str">
        <f t="array" ref="T1109">IFERROR(IF(INDEX('Disaggregation Records'!$H$155:$H$385,MATCH(RIGHT(Q1109,255),RIGHT('Disaggregation Records'!$D$155:$D$385,255),0))="","",INDEX('Disaggregation Records'!$H$155:$H$385,MATCH(RIGHT(Q1109,255),RIGHT('Disaggregation Records'!$D$155:$D$385,255),0))),"")</f>
        <v/>
      </c>
      <c r="U1109" s="194">
        <f>U1107+1</f>
        <v>2744</v>
      </c>
      <c r="V1109" s="194" t="str">
        <f t="array" ref="V1109">IFERROR(IF(INDEX('Disaggregation Records'!$I$155:$I$385,MATCH(RIGHT(Q1109,255),RIGHT('Disaggregation Records'!$D$155:$D$385,255),0))="","",INDEX('Disaggregation Records'!$I$155:$I$385,MATCH(RIGHT(Q1109,255),RIGHT('Disaggregation Records'!$D$155:$D$385,255),0))),"")</f>
        <v/>
      </c>
      <c r="W1109" s="194" t="str">
        <f>IFERROR(INDEX('Reference Records'!L$77:L$157,MATCH(LEFT(C1109,255),'Reference Records'!E$77:E$157,0)),"")</f>
        <v>KP-6a Percentage of eligible men who have sex with men who initiated oral antiretroviral PrEP during the reporting period</v>
      </c>
    </row>
    <row r="1110" spans="1:23" s="194" customFormat="1" ht="40.4" customHeight="1" x14ac:dyDescent="0.35">
      <c r="A1110" s="770"/>
      <c r="B1110" s="767"/>
      <c r="C1110" s="761"/>
      <c r="D1110" s="769"/>
      <c r="E1110" s="769"/>
      <c r="F1110" s="208"/>
      <c r="G1110" s="763"/>
      <c r="H1110" s="744"/>
      <c r="I1110" s="765"/>
      <c r="J1110" s="730"/>
      <c r="K1110" s="761"/>
      <c r="L1110" s="761"/>
      <c r="M1110" s="730"/>
      <c r="N1110" s="730"/>
    </row>
    <row r="1111" spans="1:23" s="194" customFormat="1" ht="40.4" customHeight="1" x14ac:dyDescent="0.35">
      <c r="A1111" s="770" t="str">
        <f ca="1">INDIRECT("'update Helper'!C"&amp;U1111)</f>
        <v>a163p000004NtNbAAK</v>
      </c>
      <c r="B1111" s="766">
        <v>13</v>
      </c>
      <c r="C1111" s="760" t="str">
        <f>VLOOKUP(B1111,'Coverage Indicators - Section D'!$A$9:$AU$70,47,FALSE)</f>
        <v>KP-6a Porcentaje de HSH elegibles que iniciaron PrEP durante el período de reporte</v>
      </c>
      <c r="D1111" s="768" t="str">
        <f>R1111</f>
        <v/>
      </c>
      <c r="E1111" s="768" t="str">
        <f>S1111</f>
        <v/>
      </c>
      <c r="F1111" s="413"/>
      <c r="G1111" s="762" t="str">
        <f ca="1">IF(OR(INDIRECT("'update Helper'!E"&amp;U1111)="",F1111&lt;&gt;0,F1112&lt;&gt;0),IF(IFERROR((F1111/F1112),"")="","",(F1111/F1112)),INDIRECT("'update Helper'!E"&amp;U1111)/100)</f>
        <v/>
      </c>
      <c r="H1111" s="743"/>
      <c r="I1111" s="764"/>
      <c r="J1111" s="729" t="s">
        <v>9912</v>
      </c>
      <c r="K1111" s="760" t="str">
        <f>W1111</f>
        <v>KP-6a Percentage of eligible men who have sex with men who initiated oral antiretroviral PrEP during the reporting period</v>
      </c>
      <c r="L1111" s="760" t="str">
        <f>V1111</f>
        <v/>
      </c>
      <c r="M1111" s="729"/>
      <c r="N1111" s="729" t="s">
        <v>4037</v>
      </c>
      <c r="P1111" s="194">
        <f>IF(AND(EXACT(C1111,C1109),C1109&lt;&gt;0),P1109+1,0)</f>
        <v>5</v>
      </c>
      <c r="Q1111" s="194" t="str">
        <f>IF(C1111&lt;&gt;"",C1111&amp;"-"&amp;P1111,"")</f>
        <v>KP-6a Porcentaje de HSH elegibles que iniciaron PrEP durante el período de reporte-5</v>
      </c>
      <c r="R1111" s="194" t="str">
        <f t="array" ref="R1111">IFERROR(IF(INDEX('Disaggregation Records'!$E$155:$E$385,MATCH(RIGHT(Q1111,255),RIGHT('Disaggregation Records'!$D$155:$D$385,255),0))="","",INDEX('Disaggregation Records'!$E$155:$E$385,MATCH(RIGHT(Q1111,255),RIGHT('Disaggregation Records'!$D$155:$D$385,255),0))),"")</f>
        <v/>
      </c>
      <c r="S1111" s="194" t="str">
        <f t="array" ref="S1111">IFERROR(IF(INDEX('Disaggregation Records'!$F$155:$F$385,MATCH(RIGHT(Q1111,255),RIGHT('Disaggregation Records'!$D$155:$D$385,255),0))="","",INDEX('Disaggregation Records'!$F$155:$F$385,MATCH(RIGHT(Q1111,255),RIGHT('Disaggregation Records'!$D$155:$D$385,255),0))),"")</f>
        <v/>
      </c>
      <c r="T1111" s="194" t="str">
        <f t="array" ref="T1111">IFERROR(IF(INDEX('Disaggregation Records'!$H$155:$H$385,MATCH(RIGHT(Q1111,255),RIGHT('Disaggregation Records'!$D$155:$D$385,255),0))="","",INDEX('Disaggregation Records'!$H$155:$H$385,MATCH(RIGHT(Q1111,255),RIGHT('Disaggregation Records'!$D$155:$D$385,255),0))),"")</f>
        <v/>
      </c>
      <c r="U1111" s="194">
        <f>U1109+1</f>
        <v>2745</v>
      </c>
      <c r="V1111" s="194" t="str">
        <f t="array" ref="V1111">IFERROR(IF(INDEX('Disaggregation Records'!$I$155:$I$385,MATCH(RIGHT(Q1111,255),RIGHT('Disaggregation Records'!$D$155:$D$385,255),0))="","",INDEX('Disaggregation Records'!$I$155:$I$385,MATCH(RIGHT(Q1111,255),RIGHT('Disaggregation Records'!$D$155:$D$385,255),0))),"")</f>
        <v/>
      </c>
      <c r="W1111" s="194" t="str">
        <f>IFERROR(INDEX('Reference Records'!L$77:L$157,MATCH(LEFT(C1111,255),'Reference Records'!E$77:E$157,0)),"")</f>
        <v>KP-6a Percentage of eligible men who have sex with men who initiated oral antiretroviral PrEP during the reporting period</v>
      </c>
    </row>
    <row r="1112" spans="1:23" s="194" customFormat="1" ht="40.4" customHeight="1" x14ac:dyDescent="0.35">
      <c r="A1112" s="770"/>
      <c r="B1112" s="767"/>
      <c r="C1112" s="761"/>
      <c r="D1112" s="769"/>
      <c r="E1112" s="769"/>
      <c r="F1112" s="208"/>
      <c r="G1112" s="763"/>
      <c r="H1112" s="744"/>
      <c r="I1112" s="765"/>
      <c r="J1112" s="730"/>
      <c r="K1112" s="761"/>
      <c r="L1112" s="761"/>
      <c r="M1112" s="730"/>
      <c r="N1112" s="730"/>
    </row>
    <row r="1113" spans="1:23" s="194" customFormat="1" ht="40.4" customHeight="1" x14ac:dyDescent="0.35">
      <c r="A1113" s="770" t="str">
        <f ca="1">INDIRECT("'update Helper'!C"&amp;U1113)</f>
        <v>a163p000004NtNcAAK</v>
      </c>
      <c r="B1113" s="766">
        <v>13</v>
      </c>
      <c r="C1113" s="760" t="str">
        <f>VLOOKUP(B1113,'Coverage Indicators - Section D'!$A$9:$AU$70,47,FALSE)</f>
        <v>KP-6a Porcentaje de HSH elegibles que iniciaron PrEP durante el período de reporte</v>
      </c>
      <c r="D1113" s="768" t="str">
        <f>R1113</f>
        <v/>
      </c>
      <c r="E1113" s="768" t="str">
        <f>S1113</f>
        <v/>
      </c>
      <c r="F1113" s="413"/>
      <c r="G1113" s="762" t="str">
        <f ca="1">IF(OR(INDIRECT("'update Helper'!E"&amp;U1113)="",F1113&lt;&gt;0,F1114&lt;&gt;0),IF(IFERROR((F1113/F1114),"")="","",(F1113/F1114)),INDIRECT("'update Helper'!E"&amp;U1113)/100)</f>
        <v/>
      </c>
      <c r="H1113" s="743"/>
      <c r="I1113" s="764"/>
      <c r="J1113" s="729" t="s">
        <v>9912</v>
      </c>
      <c r="K1113" s="760" t="str">
        <f>W1113</f>
        <v>KP-6a Percentage of eligible men who have sex with men who initiated oral antiretroviral PrEP during the reporting period</v>
      </c>
      <c r="L1113" s="760" t="str">
        <f>V1113</f>
        <v/>
      </c>
      <c r="M1113" s="729"/>
      <c r="N1113" s="729" t="s">
        <v>4037</v>
      </c>
      <c r="P1113" s="194">
        <f>IF(AND(EXACT(C1113,C1111),C1111&lt;&gt;0),P1111+1,0)</f>
        <v>6</v>
      </c>
      <c r="Q1113" s="194" t="str">
        <f>IF(C1113&lt;&gt;"",C1113&amp;"-"&amp;P1113,"")</f>
        <v>KP-6a Porcentaje de HSH elegibles que iniciaron PrEP durante el período de reporte-6</v>
      </c>
      <c r="R1113" s="194" t="str">
        <f t="array" ref="R1113">IFERROR(IF(INDEX('Disaggregation Records'!$E$155:$E$385,MATCH(RIGHT(Q1113,255),RIGHT('Disaggregation Records'!$D$155:$D$385,255),0))="","",INDEX('Disaggregation Records'!$E$155:$E$385,MATCH(RIGHT(Q1113,255),RIGHT('Disaggregation Records'!$D$155:$D$385,255),0))),"")</f>
        <v/>
      </c>
      <c r="S1113" s="194" t="str">
        <f t="array" ref="S1113">IFERROR(IF(INDEX('Disaggregation Records'!$F$155:$F$385,MATCH(RIGHT(Q1113,255),RIGHT('Disaggregation Records'!$D$155:$D$385,255),0))="","",INDEX('Disaggregation Records'!$F$155:$F$385,MATCH(RIGHT(Q1113,255),RIGHT('Disaggregation Records'!$D$155:$D$385,255),0))),"")</f>
        <v/>
      </c>
      <c r="T1113" s="194" t="str">
        <f t="array" ref="T1113">IFERROR(IF(INDEX('Disaggregation Records'!$H$155:$H$385,MATCH(RIGHT(Q1113,255),RIGHT('Disaggregation Records'!$D$155:$D$385,255),0))="","",INDEX('Disaggregation Records'!$H$155:$H$385,MATCH(RIGHT(Q1113,255),RIGHT('Disaggregation Records'!$D$155:$D$385,255),0))),"")</f>
        <v/>
      </c>
      <c r="U1113" s="194">
        <f>U1111+1</f>
        <v>2746</v>
      </c>
      <c r="V1113" s="194" t="str">
        <f t="array" ref="V1113">IFERROR(IF(INDEX('Disaggregation Records'!$I$155:$I$385,MATCH(RIGHT(Q1113,255),RIGHT('Disaggregation Records'!$D$155:$D$385,255),0))="","",INDEX('Disaggregation Records'!$I$155:$I$385,MATCH(RIGHT(Q1113,255),RIGHT('Disaggregation Records'!$D$155:$D$385,255),0))),"")</f>
        <v/>
      </c>
      <c r="W1113" s="194" t="str">
        <f>IFERROR(INDEX('Reference Records'!L$77:L$157,MATCH(LEFT(C1113,255),'Reference Records'!E$77:E$157,0)),"")</f>
        <v>KP-6a Percentage of eligible men who have sex with men who initiated oral antiretroviral PrEP during the reporting period</v>
      </c>
    </row>
    <row r="1114" spans="1:23" s="194" customFormat="1" ht="40.4" customHeight="1" x14ac:dyDescent="0.35">
      <c r="A1114" s="770"/>
      <c r="B1114" s="767"/>
      <c r="C1114" s="761"/>
      <c r="D1114" s="769"/>
      <c r="E1114" s="769"/>
      <c r="F1114" s="208"/>
      <c r="G1114" s="763"/>
      <c r="H1114" s="744"/>
      <c r="I1114" s="765"/>
      <c r="J1114" s="730"/>
      <c r="K1114" s="761"/>
      <c r="L1114" s="761"/>
      <c r="M1114" s="730"/>
      <c r="N1114" s="730"/>
    </row>
    <row r="1115" spans="1:23" s="194" customFormat="1" ht="40.4" customHeight="1" x14ac:dyDescent="0.35">
      <c r="A1115" s="770" t="str">
        <f ca="1">INDIRECT("'update Helper'!C"&amp;U1115)</f>
        <v>a163p000004NtNdAAK</v>
      </c>
      <c r="B1115" s="766">
        <v>13</v>
      </c>
      <c r="C1115" s="760" t="str">
        <f>VLOOKUP(B1115,'Coverage Indicators - Section D'!$A$9:$AU$70,47,FALSE)</f>
        <v>KP-6a Porcentaje de HSH elegibles que iniciaron PrEP durante el período de reporte</v>
      </c>
      <c r="D1115" s="768" t="str">
        <f>R1115</f>
        <v/>
      </c>
      <c r="E1115" s="768" t="str">
        <f>S1115</f>
        <v/>
      </c>
      <c r="F1115" s="413"/>
      <c r="G1115" s="762" t="str">
        <f ca="1">IF(OR(INDIRECT("'update Helper'!E"&amp;U1115)="",F1115&lt;&gt;0,F1116&lt;&gt;0),IF(IFERROR((F1115/F1116),"")="","",(F1115/F1116)),INDIRECT("'update Helper'!E"&amp;U1115)/100)</f>
        <v/>
      </c>
      <c r="H1115" s="743"/>
      <c r="I1115" s="764"/>
      <c r="J1115" s="729" t="s">
        <v>9912</v>
      </c>
      <c r="K1115" s="760" t="str">
        <f>W1115</f>
        <v>KP-6a Percentage of eligible men who have sex with men who initiated oral antiretroviral PrEP during the reporting period</v>
      </c>
      <c r="L1115" s="760" t="str">
        <f>V1115</f>
        <v/>
      </c>
      <c r="M1115" s="729"/>
      <c r="N1115" s="729" t="s">
        <v>4037</v>
      </c>
      <c r="P1115" s="194">
        <f>IF(AND(EXACT(C1115,C1113),C1113&lt;&gt;0),P1113+1,0)</f>
        <v>7</v>
      </c>
      <c r="Q1115" s="194" t="str">
        <f>IF(C1115&lt;&gt;"",C1115&amp;"-"&amp;P1115,"")</f>
        <v>KP-6a Porcentaje de HSH elegibles que iniciaron PrEP durante el período de reporte-7</v>
      </c>
      <c r="R1115" s="194" t="str">
        <f t="array" ref="R1115">IFERROR(IF(INDEX('Disaggregation Records'!$E$155:$E$385,MATCH(RIGHT(Q1115,255),RIGHT('Disaggregation Records'!$D$155:$D$385,255),0))="","",INDEX('Disaggregation Records'!$E$155:$E$385,MATCH(RIGHT(Q1115,255),RIGHT('Disaggregation Records'!$D$155:$D$385,255),0))),"")</f>
        <v/>
      </c>
      <c r="S1115" s="194" t="str">
        <f t="array" ref="S1115">IFERROR(IF(INDEX('Disaggregation Records'!$F$155:$F$385,MATCH(RIGHT(Q1115,255),RIGHT('Disaggregation Records'!$D$155:$D$385,255),0))="","",INDEX('Disaggregation Records'!$F$155:$F$385,MATCH(RIGHT(Q1115,255),RIGHT('Disaggregation Records'!$D$155:$D$385,255),0))),"")</f>
        <v/>
      </c>
      <c r="T1115" s="194" t="str">
        <f t="array" ref="T1115">IFERROR(IF(INDEX('Disaggregation Records'!$H$155:$H$385,MATCH(RIGHT(Q1115,255),RIGHT('Disaggregation Records'!$D$155:$D$385,255),0))="","",INDEX('Disaggregation Records'!$H$155:$H$385,MATCH(RIGHT(Q1115,255),RIGHT('Disaggregation Records'!$D$155:$D$385,255),0))),"")</f>
        <v/>
      </c>
      <c r="U1115" s="194">
        <f>U1113+1</f>
        <v>2747</v>
      </c>
      <c r="V1115" s="194" t="str">
        <f t="array" ref="V1115">IFERROR(IF(INDEX('Disaggregation Records'!$I$155:$I$385,MATCH(RIGHT(Q1115,255),RIGHT('Disaggregation Records'!$D$155:$D$385,255),0))="","",INDEX('Disaggregation Records'!$I$155:$I$385,MATCH(RIGHT(Q1115,255),RIGHT('Disaggregation Records'!$D$155:$D$385,255),0))),"")</f>
        <v/>
      </c>
      <c r="W1115" s="194" t="str">
        <f>IFERROR(INDEX('Reference Records'!L$77:L$157,MATCH(LEFT(C1115,255),'Reference Records'!E$77:E$157,0)),"")</f>
        <v>KP-6a Percentage of eligible men who have sex with men who initiated oral antiretroviral PrEP during the reporting period</v>
      </c>
    </row>
    <row r="1116" spans="1:23" s="194" customFormat="1" ht="40.4" customHeight="1" x14ac:dyDescent="0.35">
      <c r="A1116" s="770"/>
      <c r="B1116" s="767"/>
      <c r="C1116" s="761"/>
      <c r="D1116" s="769"/>
      <c r="E1116" s="769"/>
      <c r="F1116" s="208"/>
      <c r="G1116" s="763"/>
      <c r="H1116" s="744"/>
      <c r="I1116" s="765"/>
      <c r="J1116" s="730"/>
      <c r="K1116" s="761"/>
      <c r="L1116" s="761"/>
      <c r="M1116" s="730"/>
      <c r="N1116" s="730"/>
    </row>
    <row r="1117" spans="1:23" s="194" customFormat="1" ht="40.4" customHeight="1" x14ac:dyDescent="0.35">
      <c r="A1117" s="770" t="str">
        <f ca="1">INDIRECT("'update Helper'!C"&amp;U1117)</f>
        <v>a163p000004NtNeAAK</v>
      </c>
      <c r="B1117" s="766">
        <v>13</v>
      </c>
      <c r="C1117" s="760" t="str">
        <f>VLOOKUP(B1117,'Coverage Indicators - Section D'!$A$9:$AU$70,47,FALSE)</f>
        <v>KP-6a Porcentaje de HSH elegibles que iniciaron PrEP durante el período de reporte</v>
      </c>
      <c r="D1117" s="768" t="str">
        <f>R1117</f>
        <v/>
      </c>
      <c r="E1117" s="768" t="str">
        <f>S1117</f>
        <v/>
      </c>
      <c r="F1117" s="413"/>
      <c r="G1117" s="762" t="str">
        <f ca="1">IF(OR(INDIRECT("'update Helper'!E"&amp;U1117)="",F1117&lt;&gt;0,F1118&lt;&gt;0),IF(IFERROR((F1117/F1118),"")="","",(F1117/F1118)),INDIRECT("'update Helper'!E"&amp;U1117)/100)</f>
        <v/>
      </c>
      <c r="H1117" s="743"/>
      <c r="I1117" s="764"/>
      <c r="J1117" s="729" t="s">
        <v>9912</v>
      </c>
      <c r="K1117" s="760" t="str">
        <f>W1117</f>
        <v>KP-6a Percentage of eligible men who have sex with men who initiated oral antiretroviral PrEP during the reporting period</v>
      </c>
      <c r="L1117" s="760" t="str">
        <f>V1117</f>
        <v/>
      </c>
      <c r="M1117" s="729"/>
      <c r="N1117" s="729" t="s">
        <v>4037</v>
      </c>
      <c r="P1117" s="194">
        <f>IF(AND(EXACT(C1117,C1115),C1115&lt;&gt;0),P1115+1,0)</f>
        <v>8</v>
      </c>
      <c r="Q1117" s="194" t="str">
        <f>IF(C1117&lt;&gt;"",C1117&amp;"-"&amp;P1117,"")</f>
        <v>KP-6a Porcentaje de HSH elegibles que iniciaron PrEP durante el período de reporte-8</v>
      </c>
      <c r="R1117" s="194" t="str">
        <f t="array" ref="R1117">IFERROR(IF(INDEX('Disaggregation Records'!$E$155:$E$385,MATCH(RIGHT(Q1117,255),RIGHT('Disaggregation Records'!$D$155:$D$385,255),0))="","",INDEX('Disaggregation Records'!$E$155:$E$385,MATCH(RIGHT(Q1117,255),RIGHT('Disaggregation Records'!$D$155:$D$385,255),0))),"")</f>
        <v/>
      </c>
      <c r="S1117" s="194" t="str">
        <f t="array" ref="S1117">IFERROR(IF(INDEX('Disaggregation Records'!$F$155:$F$385,MATCH(RIGHT(Q1117,255),RIGHT('Disaggregation Records'!$D$155:$D$385,255),0))="","",INDEX('Disaggregation Records'!$F$155:$F$385,MATCH(RIGHT(Q1117,255),RIGHT('Disaggregation Records'!$D$155:$D$385,255),0))),"")</f>
        <v/>
      </c>
      <c r="T1117" s="194" t="str">
        <f t="array" ref="T1117">IFERROR(IF(INDEX('Disaggregation Records'!$H$155:$H$385,MATCH(RIGHT(Q1117,255),RIGHT('Disaggregation Records'!$D$155:$D$385,255),0))="","",INDEX('Disaggregation Records'!$H$155:$H$385,MATCH(RIGHT(Q1117,255),RIGHT('Disaggregation Records'!$D$155:$D$385,255),0))),"")</f>
        <v/>
      </c>
      <c r="U1117" s="194">
        <f>U1115+1</f>
        <v>2748</v>
      </c>
      <c r="V1117" s="194" t="str">
        <f t="array" ref="V1117">IFERROR(IF(INDEX('Disaggregation Records'!$I$155:$I$385,MATCH(RIGHT(Q1117,255),RIGHT('Disaggregation Records'!$D$155:$D$385,255),0))="","",INDEX('Disaggregation Records'!$I$155:$I$385,MATCH(RIGHT(Q1117,255),RIGHT('Disaggregation Records'!$D$155:$D$385,255),0))),"")</f>
        <v/>
      </c>
      <c r="W1117" s="194" t="str">
        <f>IFERROR(INDEX('Reference Records'!L$77:L$157,MATCH(LEFT(C1117,255),'Reference Records'!E$77:E$157,0)),"")</f>
        <v>KP-6a Percentage of eligible men who have sex with men who initiated oral antiretroviral PrEP during the reporting period</v>
      </c>
    </row>
    <row r="1118" spans="1:23" s="194" customFormat="1" ht="40.4" customHeight="1" x14ac:dyDescent="0.35">
      <c r="A1118" s="770"/>
      <c r="B1118" s="767"/>
      <c r="C1118" s="761"/>
      <c r="D1118" s="769"/>
      <c r="E1118" s="769"/>
      <c r="F1118" s="208"/>
      <c r="G1118" s="763"/>
      <c r="H1118" s="744"/>
      <c r="I1118" s="765"/>
      <c r="J1118" s="730"/>
      <c r="K1118" s="761"/>
      <c r="L1118" s="761"/>
      <c r="M1118" s="730"/>
      <c r="N1118" s="730"/>
    </row>
    <row r="1119" spans="1:23" s="194" customFormat="1" ht="40.4" customHeight="1" x14ac:dyDescent="0.35">
      <c r="A1119" s="770" t="str">
        <f ca="1">INDIRECT("'update Helper'!C"&amp;U1119)</f>
        <v>a163p000004NtNfAAK</v>
      </c>
      <c r="B1119" s="766">
        <v>13</v>
      </c>
      <c r="C1119" s="760" t="str">
        <f>VLOOKUP(B1119,'Coverage Indicators - Section D'!$A$9:$AU$70,47,FALSE)</f>
        <v>KP-6a Porcentaje de HSH elegibles que iniciaron PrEP durante el período de reporte</v>
      </c>
      <c r="D1119" s="768" t="str">
        <f>R1119</f>
        <v/>
      </c>
      <c r="E1119" s="768" t="str">
        <f>S1119</f>
        <v/>
      </c>
      <c r="F1119" s="413"/>
      <c r="G1119" s="762" t="str">
        <f ca="1">IF(OR(INDIRECT("'update Helper'!E"&amp;U1119)="",F1119&lt;&gt;0,F1120&lt;&gt;0),IF(IFERROR((F1119/F1120),"")="","",(F1119/F1120)),INDIRECT("'update Helper'!E"&amp;U1119)/100)</f>
        <v/>
      </c>
      <c r="H1119" s="743"/>
      <c r="I1119" s="764"/>
      <c r="J1119" s="729" t="s">
        <v>9912</v>
      </c>
      <c r="K1119" s="760" t="str">
        <f>W1119</f>
        <v>KP-6a Percentage of eligible men who have sex with men who initiated oral antiretroviral PrEP during the reporting period</v>
      </c>
      <c r="L1119" s="760" t="str">
        <f>V1119</f>
        <v/>
      </c>
      <c r="M1119" s="729"/>
      <c r="N1119" s="729" t="s">
        <v>4037</v>
      </c>
      <c r="P1119" s="194">
        <f>IF(AND(EXACT(C1119,C1117),C1117&lt;&gt;0),P1117+1,0)</f>
        <v>9</v>
      </c>
      <c r="Q1119" s="194" t="str">
        <f>IF(C1119&lt;&gt;"",C1119&amp;"-"&amp;P1119,"")</f>
        <v>KP-6a Porcentaje de HSH elegibles que iniciaron PrEP durante el período de reporte-9</v>
      </c>
      <c r="R1119" s="194" t="str">
        <f t="array" ref="R1119">IFERROR(IF(INDEX('Disaggregation Records'!$E$155:$E$385,MATCH(RIGHT(Q1119,255),RIGHT('Disaggregation Records'!$D$155:$D$385,255),0))="","",INDEX('Disaggregation Records'!$E$155:$E$385,MATCH(RIGHT(Q1119,255),RIGHT('Disaggregation Records'!$D$155:$D$385,255),0))),"")</f>
        <v/>
      </c>
      <c r="S1119" s="194" t="str">
        <f t="array" ref="S1119">IFERROR(IF(INDEX('Disaggregation Records'!$F$155:$F$385,MATCH(RIGHT(Q1119,255),RIGHT('Disaggregation Records'!$D$155:$D$385,255),0))="","",INDEX('Disaggregation Records'!$F$155:$F$385,MATCH(RIGHT(Q1119,255),RIGHT('Disaggregation Records'!$D$155:$D$385,255),0))),"")</f>
        <v/>
      </c>
      <c r="T1119" s="194" t="str">
        <f t="array" ref="T1119">IFERROR(IF(INDEX('Disaggregation Records'!$H$155:$H$385,MATCH(RIGHT(Q1119,255),RIGHT('Disaggregation Records'!$D$155:$D$385,255),0))="","",INDEX('Disaggregation Records'!$H$155:$H$385,MATCH(RIGHT(Q1119,255),RIGHT('Disaggregation Records'!$D$155:$D$385,255),0))),"")</f>
        <v/>
      </c>
      <c r="U1119" s="194">
        <f>U1117+1</f>
        <v>2749</v>
      </c>
      <c r="V1119" s="194" t="str">
        <f t="array" ref="V1119">IFERROR(IF(INDEX('Disaggregation Records'!$I$155:$I$385,MATCH(RIGHT(Q1119,255),RIGHT('Disaggregation Records'!$D$155:$D$385,255),0))="","",INDEX('Disaggregation Records'!$I$155:$I$385,MATCH(RIGHT(Q1119,255),RIGHT('Disaggregation Records'!$D$155:$D$385,255),0))),"")</f>
        <v/>
      </c>
      <c r="W1119" s="194" t="str">
        <f>IFERROR(INDEX('Reference Records'!L$77:L$157,MATCH(LEFT(C1119,255),'Reference Records'!E$77:E$157,0)),"")</f>
        <v>KP-6a Percentage of eligible men who have sex with men who initiated oral antiretroviral PrEP during the reporting period</v>
      </c>
    </row>
    <row r="1120" spans="1:23" s="194" customFormat="1" ht="40.4" customHeight="1" x14ac:dyDescent="0.35">
      <c r="A1120" s="770"/>
      <c r="B1120" s="767"/>
      <c r="C1120" s="761"/>
      <c r="D1120" s="769"/>
      <c r="E1120" s="769"/>
      <c r="F1120" s="208"/>
      <c r="G1120" s="763"/>
      <c r="H1120" s="744"/>
      <c r="I1120" s="765"/>
      <c r="J1120" s="730"/>
      <c r="K1120" s="761"/>
      <c r="L1120" s="761"/>
      <c r="M1120" s="730"/>
      <c r="N1120" s="730"/>
    </row>
    <row r="1121" spans="1:23" s="194" customFormat="1" ht="40.4" customHeight="1" x14ac:dyDescent="0.35">
      <c r="A1121" s="770" t="str">
        <f ca="1">INDIRECT("'update Helper'!C"&amp;U1121)</f>
        <v>a163p000004NtNgAAK</v>
      </c>
      <c r="B1121" s="766">
        <v>13</v>
      </c>
      <c r="C1121" s="760" t="str">
        <f>VLOOKUP(B1121,'Coverage Indicators - Section D'!$A$9:$AU$70,47,FALSE)</f>
        <v>KP-6a Porcentaje de HSH elegibles que iniciaron PrEP durante el período de reporte</v>
      </c>
      <c r="D1121" s="768" t="str">
        <f>R1121</f>
        <v/>
      </c>
      <c r="E1121" s="768" t="str">
        <f>S1121</f>
        <v/>
      </c>
      <c r="F1121" s="413"/>
      <c r="G1121" s="762" t="str">
        <f ca="1">IF(OR(INDIRECT("'update Helper'!E"&amp;U1121)="",F1121&lt;&gt;0,F1122&lt;&gt;0),IF(IFERROR((F1121/F1122),"")="","",(F1121/F1122)),INDIRECT("'update Helper'!E"&amp;U1121)/100)</f>
        <v/>
      </c>
      <c r="H1121" s="743"/>
      <c r="I1121" s="764"/>
      <c r="J1121" s="729" t="s">
        <v>9912</v>
      </c>
      <c r="K1121" s="760" t="str">
        <f>W1121</f>
        <v>KP-6a Percentage of eligible men who have sex with men who initiated oral antiretroviral PrEP during the reporting period</v>
      </c>
      <c r="L1121" s="760" t="str">
        <f>V1121</f>
        <v/>
      </c>
      <c r="M1121" s="729"/>
      <c r="N1121" s="729" t="s">
        <v>4037</v>
      </c>
      <c r="P1121" s="194">
        <f>IF(AND(EXACT(C1121,C1119),C1119&lt;&gt;0),P1119+1,0)</f>
        <v>10</v>
      </c>
      <c r="Q1121" s="194" t="str">
        <f>IF(C1121&lt;&gt;"",C1121&amp;"-"&amp;P1121,"")</f>
        <v>KP-6a Porcentaje de HSH elegibles que iniciaron PrEP durante el período de reporte-10</v>
      </c>
      <c r="R1121" s="194" t="str">
        <f t="array" ref="R1121">IFERROR(IF(INDEX('Disaggregation Records'!$E$155:$E$385,MATCH(RIGHT(Q1121,255),RIGHT('Disaggregation Records'!$D$155:$D$385,255),0))="","",INDEX('Disaggregation Records'!$E$155:$E$385,MATCH(RIGHT(Q1121,255),RIGHT('Disaggregation Records'!$D$155:$D$385,255),0))),"")</f>
        <v/>
      </c>
      <c r="S1121" s="194" t="str">
        <f t="array" ref="S1121">IFERROR(IF(INDEX('Disaggregation Records'!$F$155:$F$385,MATCH(RIGHT(Q1121,255),RIGHT('Disaggregation Records'!$D$155:$D$385,255),0))="","",INDEX('Disaggregation Records'!$F$155:$F$385,MATCH(RIGHT(Q1121,255),RIGHT('Disaggregation Records'!$D$155:$D$385,255),0))),"")</f>
        <v/>
      </c>
      <c r="T1121" s="194" t="str">
        <f t="array" ref="T1121">IFERROR(IF(INDEX('Disaggregation Records'!$H$155:$H$385,MATCH(RIGHT(Q1121,255),RIGHT('Disaggregation Records'!$D$155:$D$385,255),0))="","",INDEX('Disaggregation Records'!$H$155:$H$385,MATCH(RIGHT(Q1121,255),RIGHT('Disaggregation Records'!$D$155:$D$385,255),0))),"")</f>
        <v/>
      </c>
      <c r="U1121" s="194">
        <f>U1119+1</f>
        <v>2750</v>
      </c>
      <c r="V1121" s="194" t="str">
        <f t="array" ref="V1121">IFERROR(IF(INDEX('Disaggregation Records'!$I$155:$I$385,MATCH(RIGHT(Q1121,255),RIGHT('Disaggregation Records'!$D$155:$D$385,255),0))="","",INDEX('Disaggregation Records'!$I$155:$I$385,MATCH(RIGHT(Q1121,255),RIGHT('Disaggregation Records'!$D$155:$D$385,255),0))),"")</f>
        <v/>
      </c>
      <c r="W1121" s="194" t="str">
        <f>IFERROR(INDEX('Reference Records'!L$77:L$157,MATCH(LEFT(C1121,255),'Reference Records'!E$77:E$157,0)),"")</f>
        <v>KP-6a Percentage of eligible men who have sex with men who initiated oral antiretroviral PrEP during the reporting period</v>
      </c>
    </row>
    <row r="1122" spans="1:23" s="194" customFormat="1" ht="40.4" customHeight="1" x14ac:dyDescent="0.35">
      <c r="A1122" s="770"/>
      <c r="B1122" s="767"/>
      <c r="C1122" s="761"/>
      <c r="D1122" s="769"/>
      <c r="E1122" s="769"/>
      <c r="F1122" s="208"/>
      <c r="G1122" s="763"/>
      <c r="H1122" s="744"/>
      <c r="I1122" s="765"/>
      <c r="J1122" s="730"/>
      <c r="K1122" s="761"/>
      <c r="L1122" s="761"/>
      <c r="M1122" s="730"/>
      <c r="N1122" s="730"/>
    </row>
    <row r="1123" spans="1:23" s="194" customFormat="1" ht="40.4" customHeight="1" x14ac:dyDescent="0.35">
      <c r="A1123" s="770" t="str">
        <f ca="1">INDIRECT("'update Helper'!C"&amp;U1123)</f>
        <v>a163p000004NtNhAAK</v>
      </c>
      <c r="B1123" s="766">
        <v>13</v>
      </c>
      <c r="C1123" s="760" t="str">
        <f>VLOOKUP(B1123,'Coverage Indicators - Section D'!$A$9:$AU$70,47,FALSE)</f>
        <v>KP-6a Porcentaje de HSH elegibles que iniciaron PrEP durante el período de reporte</v>
      </c>
      <c r="D1123" s="768" t="str">
        <f>R1123</f>
        <v/>
      </c>
      <c r="E1123" s="768" t="str">
        <f>S1123</f>
        <v/>
      </c>
      <c r="F1123" s="413"/>
      <c r="G1123" s="762" t="str">
        <f ca="1">IF(OR(INDIRECT("'update Helper'!E"&amp;U1123)="",F1123&lt;&gt;0,F1124&lt;&gt;0),IF(IFERROR((F1123/F1124),"")="","",(F1123/F1124)),INDIRECT("'update Helper'!E"&amp;U1123)/100)</f>
        <v/>
      </c>
      <c r="H1123" s="743"/>
      <c r="I1123" s="764"/>
      <c r="J1123" s="729" t="s">
        <v>9912</v>
      </c>
      <c r="K1123" s="760" t="str">
        <f>W1123</f>
        <v>KP-6a Percentage of eligible men who have sex with men who initiated oral antiretroviral PrEP during the reporting period</v>
      </c>
      <c r="L1123" s="760" t="str">
        <f>V1123</f>
        <v/>
      </c>
      <c r="M1123" s="729"/>
      <c r="N1123" s="729" t="s">
        <v>4037</v>
      </c>
      <c r="P1123" s="194">
        <f>IF(AND(EXACT(C1123,C1121),C1121&lt;&gt;0),P1121+1,0)</f>
        <v>11</v>
      </c>
      <c r="Q1123" s="194" t="str">
        <f>IF(C1123&lt;&gt;"",C1123&amp;"-"&amp;P1123,"")</f>
        <v>KP-6a Porcentaje de HSH elegibles que iniciaron PrEP durante el período de reporte-11</v>
      </c>
      <c r="R1123" s="194" t="str">
        <f t="array" ref="R1123">IFERROR(IF(INDEX('Disaggregation Records'!$E$155:$E$385,MATCH(RIGHT(Q1123,255),RIGHT('Disaggregation Records'!$D$155:$D$385,255),0))="","",INDEX('Disaggregation Records'!$E$155:$E$385,MATCH(RIGHT(Q1123,255),RIGHT('Disaggregation Records'!$D$155:$D$385,255),0))),"")</f>
        <v/>
      </c>
      <c r="S1123" s="194" t="str">
        <f t="array" ref="S1123">IFERROR(IF(INDEX('Disaggregation Records'!$F$155:$F$385,MATCH(RIGHT(Q1123,255),RIGHT('Disaggregation Records'!$D$155:$D$385,255),0))="","",INDEX('Disaggregation Records'!$F$155:$F$385,MATCH(RIGHT(Q1123,255),RIGHT('Disaggregation Records'!$D$155:$D$385,255),0))),"")</f>
        <v/>
      </c>
      <c r="T1123" s="194" t="str">
        <f t="array" ref="T1123">IFERROR(IF(INDEX('Disaggregation Records'!$H$155:$H$385,MATCH(RIGHT(Q1123,255),RIGHT('Disaggregation Records'!$D$155:$D$385,255),0))="","",INDEX('Disaggregation Records'!$H$155:$H$385,MATCH(RIGHT(Q1123,255),RIGHT('Disaggregation Records'!$D$155:$D$385,255),0))),"")</f>
        <v/>
      </c>
      <c r="U1123" s="194">
        <f>U1121+1</f>
        <v>2751</v>
      </c>
      <c r="V1123" s="194" t="str">
        <f t="array" ref="V1123">IFERROR(IF(INDEX('Disaggregation Records'!$I$155:$I$385,MATCH(RIGHT(Q1123,255),RIGHT('Disaggregation Records'!$D$155:$D$385,255),0))="","",INDEX('Disaggregation Records'!$I$155:$I$385,MATCH(RIGHT(Q1123,255),RIGHT('Disaggregation Records'!$D$155:$D$385,255),0))),"")</f>
        <v/>
      </c>
      <c r="W1123" s="194" t="str">
        <f>IFERROR(INDEX('Reference Records'!L$77:L$157,MATCH(LEFT(C1123,255),'Reference Records'!E$77:E$157,0)),"")</f>
        <v>KP-6a Percentage of eligible men who have sex with men who initiated oral antiretroviral PrEP during the reporting period</v>
      </c>
    </row>
    <row r="1124" spans="1:23" s="194" customFormat="1" ht="40.4" customHeight="1" x14ac:dyDescent="0.35">
      <c r="A1124" s="770"/>
      <c r="B1124" s="767"/>
      <c r="C1124" s="761"/>
      <c r="D1124" s="769"/>
      <c r="E1124" s="769"/>
      <c r="F1124" s="208"/>
      <c r="G1124" s="763"/>
      <c r="H1124" s="744"/>
      <c r="I1124" s="765"/>
      <c r="J1124" s="730"/>
      <c r="K1124" s="761"/>
      <c r="L1124" s="761"/>
      <c r="M1124" s="730"/>
      <c r="N1124" s="730"/>
    </row>
    <row r="1125" spans="1:23" s="194" customFormat="1" ht="40.4" customHeight="1" x14ac:dyDescent="0.35">
      <c r="A1125" s="770" t="str">
        <f ca="1">INDIRECT("'update Helper'!C"&amp;U1125)</f>
        <v>a163p000004NtNiAAK</v>
      </c>
      <c r="B1125" s="766">
        <v>13</v>
      </c>
      <c r="C1125" s="760" t="str">
        <f>VLOOKUP(B1125,'Coverage Indicators - Section D'!$A$9:$AU$70,47,FALSE)</f>
        <v>KP-6a Porcentaje de HSH elegibles que iniciaron PrEP durante el período de reporte</v>
      </c>
      <c r="D1125" s="768" t="str">
        <f>R1125</f>
        <v/>
      </c>
      <c r="E1125" s="768" t="str">
        <f>S1125</f>
        <v/>
      </c>
      <c r="F1125" s="413"/>
      <c r="G1125" s="762" t="str">
        <f ca="1">IF(OR(INDIRECT("'update Helper'!E"&amp;U1125)="",F1125&lt;&gt;0,F1126&lt;&gt;0),IF(IFERROR((F1125/F1126),"")="","",(F1125/F1126)),INDIRECT("'update Helper'!E"&amp;U1125)/100)</f>
        <v/>
      </c>
      <c r="H1125" s="743"/>
      <c r="I1125" s="764"/>
      <c r="J1125" s="729" t="s">
        <v>9912</v>
      </c>
      <c r="K1125" s="760" t="str">
        <f>W1125</f>
        <v>KP-6a Percentage of eligible men who have sex with men who initiated oral antiretroviral PrEP during the reporting period</v>
      </c>
      <c r="L1125" s="760" t="str">
        <f>V1125</f>
        <v/>
      </c>
      <c r="M1125" s="729"/>
      <c r="N1125" s="729" t="s">
        <v>4037</v>
      </c>
      <c r="P1125" s="194">
        <f>IF(AND(EXACT(C1125,C1123),C1123&lt;&gt;0),P1123+1,0)</f>
        <v>12</v>
      </c>
      <c r="Q1125" s="194" t="str">
        <f>IF(C1125&lt;&gt;"",C1125&amp;"-"&amp;P1125,"")</f>
        <v>KP-6a Porcentaje de HSH elegibles que iniciaron PrEP durante el período de reporte-12</v>
      </c>
      <c r="R1125" s="194" t="str">
        <f t="array" ref="R1125">IFERROR(IF(INDEX('Disaggregation Records'!$E$155:$E$385,MATCH(RIGHT(Q1125,255),RIGHT('Disaggregation Records'!$D$155:$D$385,255),0))="","",INDEX('Disaggregation Records'!$E$155:$E$385,MATCH(RIGHT(Q1125,255),RIGHT('Disaggregation Records'!$D$155:$D$385,255),0))),"")</f>
        <v/>
      </c>
      <c r="S1125" s="194" t="str">
        <f t="array" ref="S1125">IFERROR(IF(INDEX('Disaggregation Records'!$F$155:$F$385,MATCH(RIGHT(Q1125,255),RIGHT('Disaggregation Records'!$D$155:$D$385,255),0))="","",INDEX('Disaggregation Records'!$F$155:$F$385,MATCH(RIGHT(Q1125,255),RIGHT('Disaggregation Records'!$D$155:$D$385,255),0))),"")</f>
        <v/>
      </c>
      <c r="T1125" s="194" t="str">
        <f t="array" ref="T1125">IFERROR(IF(INDEX('Disaggregation Records'!$H$155:$H$385,MATCH(RIGHT(Q1125,255),RIGHT('Disaggregation Records'!$D$155:$D$385,255),0))="","",INDEX('Disaggregation Records'!$H$155:$H$385,MATCH(RIGHT(Q1125,255),RIGHT('Disaggregation Records'!$D$155:$D$385,255),0))),"")</f>
        <v/>
      </c>
      <c r="U1125" s="194">
        <f>U1123+1</f>
        <v>2752</v>
      </c>
      <c r="V1125" s="194" t="str">
        <f t="array" ref="V1125">IFERROR(IF(INDEX('Disaggregation Records'!$I$155:$I$385,MATCH(RIGHT(Q1125,255),RIGHT('Disaggregation Records'!$D$155:$D$385,255),0))="","",INDEX('Disaggregation Records'!$I$155:$I$385,MATCH(RIGHT(Q1125,255),RIGHT('Disaggregation Records'!$D$155:$D$385,255),0))),"")</f>
        <v/>
      </c>
      <c r="W1125" s="194" t="str">
        <f>IFERROR(INDEX('Reference Records'!L$77:L$157,MATCH(LEFT(C1125,255),'Reference Records'!E$77:E$157,0)),"")</f>
        <v>KP-6a Percentage of eligible men who have sex with men who initiated oral antiretroviral PrEP during the reporting period</v>
      </c>
    </row>
    <row r="1126" spans="1:23" s="194" customFormat="1" ht="40.4" customHeight="1" x14ac:dyDescent="0.35">
      <c r="A1126" s="770"/>
      <c r="B1126" s="767"/>
      <c r="C1126" s="761"/>
      <c r="D1126" s="769"/>
      <c r="E1126" s="769"/>
      <c r="F1126" s="208"/>
      <c r="G1126" s="763"/>
      <c r="H1126" s="744"/>
      <c r="I1126" s="765"/>
      <c r="J1126" s="730"/>
      <c r="K1126" s="761"/>
      <c r="L1126" s="761"/>
      <c r="M1126" s="730"/>
      <c r="N1126" s="730"/>
    </row>
    <row r="1127" spans="1:23" s="194" customFormat="1" ht="40.4" customHeight="1" x14ac:dyDescent="0.35">
      <c r="A1127" s="770" t="str">
        <f ca="1">INDIRECT("'update Helper'!C"&amp;U1127)</f>
        <v>a163p000004NtNjAAK</v>
      </c>
      <c r="B1127" s="766">
        <v>13</v>
      </c>
      <c r="C1127" s="760" t="str">
        <f>VLOOKUP(B1127,'Coverage Indicators - Section D'!$A$9:$AU$70,47,FALSE)</f>
        <v>KP-6a Porcentaje de HSH elegibles que iniciaron PrEP durante el período de reporte</v>
      </c>
      <c r="D1127" s="768" t="str">
        <f>R1127</f>
        <v/>
      </c>
      <c r="E1127" s="768" t="str">
        <f>S1127</f>
        <v/>
      </c>
      <c r="F1127" s="413"/>
      <c r="G1127" s="762" t="str">
        <f ca="1">IF(OR(INDIRECT("'update Helper'!E"&amp;U1127)="",F1127&lt;&gt;0,F1128&lt;&gt;0),IF(IFERROR((F1127/F1128),"")="","",(F1127/F1128)),INDIRECT("'update Helper'!E"&amp;U1127)/100)</f>
        <v/>
      </c>
      <c r="H1127" s="743"/>
      <c r="I1127" s="764"/>
      <c r="J1127" s="729" t="s">
        <v>9912</v>
      </c>
      <c r="K1127" s="760" t="str">
        <f>W1127</f>
        <v>KP-6a Percentage of eligible men who have sex with men who initiated oral antiretroviral PrEP during the reporting period</v>
      </c>
      <c r="L1127" s="760" t="str">
        <f>V1127</f>
        <v/>
      </c>
      <c r="M1127" s="729"/>
      <c r="N1127" s="729" t="s">
        <v>4037</v>
      </c>
      <c r="P1127" s="194">
        <f>IF(AND(EXACT(C1127,C1125),C1125&lt;&gt;0),P1125+1,0)</f>
        <v>13</v>
      </c>
      <c r="Q1127" s="194" t="str">
        <f>IF(C1127&lt;&gt;"",C1127&amp;"-"&amp;P1127,"")</f>
        <v>KP-6a Porcentaje de HSH elegibles que iniciaron PrEP durante el período de reporte-13</v>
      </c>
      <c r="R1127" s="194" t="str">
        <f t="array" ref="R1127">IFERROR(IF(INDEX('Disaggregation Records'!$E$155:$E$385,MATCH(RIGHT(Q1127,255),RIGHT('Disaggregation Records'!$D$155:$D$385,255),0))="","",INDEX('Disaggregation Records'!$E$155:$E$385,MATCH(RIGHT(Q1127,255),RIGHT('Disaggregation Records'!$D$155:$D$385,255),0))),"")</f>
        <v/>
      </c>
      <c r="S1127" s="194" t="str">
        <f t="array" ref="S1127">IFERROR(IF(INDEX('Disaggregation Records'!$F$155:$F$385,MATCH(RIGHT(Q1127,255),RIGHT('Disaggregation Records'!$D$155:$D$385,255),0))="","",INDEX('Disaggregation Records'!$F$155:$F$385,MATCH(RIGHT(Q1127,255),RIGHT('Disaggregation Records'!$D$155:$D$385,255),0))),"")</f>
        <v/>
      </c>
      <c r="T1127" s="194" t="str">
        <f t="array" ref="T1127">IFERROR(IF(INDEX('Disaggregation Records'!$H$155:$H$385,MATCH(RIGHT(Q1127,255),RIGHT('Disaggregation Records'!$D$155:$D$385,255),0))="","",INDEX('Disaggregation Records'!$H$155:$H$385,MATCH(RIGHT(Q1127,255),RIGHT('Disaggregation Records'!$D$155:$D$385,255),0))),"")</f>
        <v/>
      </c>
      <c r="U1127" s="194">
        <f>U1125+1</f>
        <v>2753</v>
      </c>
      <c r="V1127" s="194" t="str">
        <f t="array" ref="V1127">IFERROR(IF(INDEX('Disaggregation Records'!$I$155:$I$385,MATCH(RIGHT(Q1127,255),RIGHT('Disaggregation Records'!$D$155:$D$385,255),0))="","",INDEX('Disaggregation Records'!$I$155:$I$385,MATCH(RIGHT(Q1127,255),RIGHT('Disaggregation Records'!$D$155:$D$385,255),0))),"")</f>
        <v/>
      </c>
      <c r="W1127" s="194" t="str">
        <f>IFERROR(INDEX('Reference Records'!L$77:L$157,MATCH(LEFT(C1127,255),'Reference Records'!E$77:E$157,0)),"")</f>
        <v>KP-6a Percentage of eligible men who have sex with men who initiated oral antiretroviral PrEP during the reporting period</v>
      </c>
    </row>
    <row r="1128" spans="1:23" s="194" customFormat="1" ht="40.4" customHeight="1" x14ac:dyDescent="0.35">
      <c r="A1128" s="770"/>
      <c r="B1128" s="767"/>
      <c r="C1128" s="761"/>
      <c r="D1128" s="769"/>
      <c r="E1128" s="769"/>
      <c r="F1128" s="208"/>
      <c r="G1128" s="763"/>
      <c r="H1128" s="744"/>
      <c r="I1128" s="765"/>
      <c r="J1128" s="730"/>
      <c r="K1128" s="761"/>
      <c r="L1128" s="761"/>
      <c r="M1128" s="730"/>
      <c r="N1128" s="730"/>
    </row>
    <row r="1129" spans="1:23" s="194" customFormat="1" ht="40.4" customHeight="1" x14ac:dyDescent="0.35">
      <c r="A1129" s="770" t="str">
        <f ca="1">INDIRECT("'update Helper'!C"&amp;U1129)</f>
        <v>a163p000004NtNkAAK</v>
      </c>
      <c r="B1129" s="766">
        <v>13</v>
      </c>
      <c r="C1129" s="760" t="str">
        <f>VLOOKUP(B1129,'Coverage Indicators - Section D'!$A$9:$AU$70,47,FALSE)</f>
        <v>KP-6a Porcentaje de HSH elegibles que iniciaron PrEP durante el período de reporte</v>
      </c>
      <c r="D1129" s="768" t="str">
        <f>R1129</f>
        <v/>
      </c>
      <c r="E1129" s="768" t="str">
        <f>S1129</f>
        <v/>
      </c>
      <c r="F1129" s="413"/>
      <c r="G1129" s="762" t="str">
        <f ca="1">IF(OR(INDIRECT("'update Helper'!E"&amp;U1129)="",F1129&lt;&gt;0,F1130&lt;&gt;0),IF(IFERROR((F1129/F1130),"")="","",(F1129/F1130)),INDIRECT("'update Helper'!E"&amp;U1129)/100)</f>
        <v/>
      </c>
      <c r="H1129" s="743"/>
      <c r="I1129" s="764"/>
      <c r="J1129" s="729" t="s">
        <v>9912</v>
      </c>
      <c r="K1129" s="760" t="str">
        <f>W1129</f>
        <v>KP-6a Percentage of eligible men who have sex with men who initiated oral antiretroviral PrEP during the reporting period</v>
      </c>
      <c r="L1129" s="760" t="str">
        <f>V1129</f>
        <v/>
      </c>
      <c r="M1129" s="729"/>
      <c r="N1129" s="729" t="s">
        <v>4037</v>
      </c>
      <c r="P1129" s="194">
        <f>IF(AND(EXACT(C1129,C1127),C1127&lt;&gt;0),P1127+1,0)</f>
        <v>14</v>
      </c>
      <c r="Q1129" s="194" t="str">
        <f>IF(C1129&lt;&gt;"",C1129&amp;"-"&amp;P1129,"")</f>
        <v>KP-6a Porcentaje de HSH elegibles que iniciaron PrEP durante el período de reporte-14</v>
      </c>
      <c r="R1129" s="194" t="str">
        <f t="array" ref="R1129">IFERROR(IF(INDEX('Disaggregation Records'!$E$155:$E$385,MATCH(RIGHT(Q1129,255),RIGHT('Disaggregation Records'!$D$155:$D$385,255),0))="","",INDEX('Disaggregation Records'!$E$155:$E$385,MATCH(RIGHT(Q1129,255),RIGHT('Disaggregation Records'!$D$155:$D$385,255),0))),"")</f>
        <v/>
      </c>
      <c r="S1129" s="194" t="str">
        <f t="array" ref="S1129">IFERROR(IF(INDEX('Disaggregation Records'!$F$155:$F$385,MATCH(RIGHT(Q1129,255),RIGHT('Disaggregation Records'!$D$155:$D$385,255),0))="","",INDEX('Disaggregation Records'!$F$155:$F$385,MATCH(RIGHT(Q1129,255),RIGHT('Disaggregation Records'!$D$155:$D$385,255),0))),"")</f>
        <v/>
      </c>
      <c r="T1129" s="194" t="str">
        <f t="array" ref="T1129">IFERROR(IF(INDEX('Disaggregation Records'!$H$155:$H$385,MATCH(RIGHT(Q1129,255),RIGHT('Disaggregation Records'!$D$155:$D$385,255),0))="","",INDEX('Disaggregation Records'!$H$155:$H$385,MATCH(RIGHT(Q1129,255),RIGHT('Disaggregation Records'!$D$155:$D$385,255),0))),"")</f>
        <v/>
      </c>
      <c r="U1129" s="194">
        <f>U1127+1</f>
        <v>2754</v>
      </c>
      <c r="V1129" s="194" t="str">
        <f t="array" ref="V1129">IFERROR(IF(INDEX('Disaggregation Records'!$I$155:$I$385,MATCH(RIGHT(Q1129,255),RIGHT('Disaggregation Records'!$D$155:$D$385,255),0))="","",INDEX('Disaggregation Records'!$I$155:$I$385,MATCH(RIGHT(Q1129,255),RIGHT('Disaggregation Records'!$D$155:$D$385,255),0))),"")</f>
        <v/>
      </c>
      <c r="W1129" s="194" t="str">
        <f>IFERROR(INDEX('Reference Records'!L$77:L$157,MATCH(LEFT(C1129,255),'Reference Records'!E$77:E$157,0)),"")</f>
        <v>KP-6a Percentage of eligible men who have sex with men who initiated oral antiretroviral PrEP during the reporting period</v>
      </c>
    </row>
    <row r="1130" spans="1:23" s="194" customFormat="1" ht="40.4" customHeight="1" x14ac:dyDescent="0.35">
      <c r="A1130" s="770"/>
      <c r="B1130" s="767"/>
      <c r="C1130" s="761"/>
      <c r="D1130" s="769"/>
      <c r="E1130" s="769"/>
      <c r="F1130" s="208"/>
      <c r="G1130" s="763"/>
      <c r="H1130" s="744"/>
      <c r="I1130" s="765"/>
      <c r="J1130" s="730"/>
      <c r="K1130" s="761"/>
      <c r="L1130" s="761"/>
      <c r="M1130" s="730"/>
      <c r="N1130" s="730"/>
    </row>
    <row r="1131" spans="1:23" s="194" customFormat="1" ht="40.4" customHeight="1" x14ac:dyDescent="0.35">
      <c r="A1131" s="770" t="str">
        <f ca="1">INDIRECT("'update Helper'!C"&amp;U1131)</f>
        <v>a163p000004NtNlAAK</v>
      </c>
      <c r="B1131" s="766">
        <v>13</v>
      </c>
      <c r="C1131" s="760" t="str">
        <f>VLOOKUP(B1131,'Coverage Indicators - Section D'!$A$9:$AU$70,47,FALSE)</f>
        <v>KP-6a Porcentaje de HSH elegibles que iniciaron PrEP durante el período de reporte</v>
      </c>
      <c r="D1131" s="768" t="str">
        <f>R1131</f>
        <v/>
      </c>
      <c r="E1131" s="768" t="str">
        <f>S1131</f>
        <v/>
      </c>
      <c r="F1131" s="413"/>
      <c r="G1131" s="762" t="str">
        <f ca="1">IF(OR(INDIRECT("'update Helper'!E"&amp;U1131)="",F1131&lt;&gt;0,F1132&lt;&gt;0),IF(IFERROR((F1131/F1132),"")="","",(F1131/F1132)),INDIRECT("'update Helper'!E"&amp;U1131)/100)</f>
        <v/>
      </c>
      <c r="H1131" s="743"/>
      <c r="I1131" s="764"/>
      <c r="J1131" s="729" t="s">
        <v>9912</v>
      </c>
      <c r="K1131" s="760" t="str">
        <f>W1131</f>
        <v>KP-6a Percentage of eligible men who have sex with men who initiated oral antiretroviral PrEP during the reporting period</v>
      </c>
      <c r="L1131" s="760" t="str">
        <f>V1131</f>
        <v/>
      </c>
      <c r="M1131" s="729"/>
      <c r="N1131" s="729" t="s">
        <v>4037</v>
      </c>
      <c r="P1131" s="194">
        <f>IF(AND(EXACT(C1131,C1129),C1129&lt;&gt;0),P1129+1,0)</f>
        <v>15</v>
      </c>
      <c r="Q1131" s="194" t="str">
        <f>IF(C1131&lt;&gt;"",C1131&amp;"-"&amp;P1131,"")</f>
        <v>KP-6a Porcentaje de HSH elegibles que iniciaron PrEP durante el período de reporte-15</v>
      </c>
      <c r="R1131" s="194" t="str">
        <f t="array" ref="R1131">IFERROR(IF(INDEX('Disaggregation Records'!$E$155:$E$385,MATCH(RIGHT(Q1131,255),RIGHT('Disaggregation Records'!$D$155:$D$385,255),0))="","",INDEX('Disaggregation Records'!$E$155:$E$385,MATCH(RIGHT(Q1131,255),RIGHT('Disaggregation Records'!$D$155:$D$385,255),0))),"")</f>
        <v/>
      </c>
      <c r="S1131" s="194" t="str">
        <f t="array" ref="S1131">IFERROR(IF(INDEX('Disaggregation Records'!$F$155:$F$385,MATCH(RIGHT(Q1131,255),RIGHT('Disaggregation Records'!$D$155:$D$385,255),0))="","",INDEX('Disaggregation Records'!$F$155:$F$385,MATCH(RIGHT(Q1131,255),RIGHT('Disaggregation Records'!$D$155:$D$385,255),0))),"")</f>
        <v/>
      </c>
      <c r="T1131" s="194" t="str">
        <f t="array" ref="T1131">IFERROR(IF(INDEX('Disaggregation Records'!$H$155:$H$385,MATCH(RIGHT(Q1131,255),RIGHT('Disaggregation Records'!$D$155:$D$385,255),0))="","",INDEX('Disaggregation Records'!$H$155:$H$385,MATCH(RIGHT(Q1131,255),RIGHT('Disaggregation Records'!$D$155:$D$385,255),0))),"")</f>
        <v/>
      </c>
      <c r="U1131" s="194">
        <f>U1129+1</f>
        <v>2755</v>
      </c>
      <c r="V1131" s="194" t="str">
        <f t="array" ref="V1131">IFERROR(IF(INDEX('Disaggregation Records'!$I$155:$I$385,MATCH(RIGHT(Q1131,255),RIGHT('Disaggregation Records'!$D$155:$D$385,255),0))="","",INDEX('Disaggregation Records'!$I$155:$I$385,MATCH(RIGHT(Q1131,255),RIGHT('Disaggregation Records'!$D$155:$D$385,255),0))),"")</f>
        <v/>
      </c>
      <c r="W1131" s="194" t="str">
        <f>IFERROR(INDEX('Reference Records'!L$77:L$157,MATCH(LEFT(C1131,255),'Reference Records'!E$77:E$157,0)),"")</f>
        <v>KP-6a Percentage of eligible men who have sex with men who initiated oral antiretroviral PrEP during the reporting period</v>
      </c>
    </row>
    <row r="1132" spans="1:23" s="194" customFormat="1" ht="40.4" customHeight="1" x14ac:dyDescent="0.35">
      <c r="A1132" s="770"/>
      <c r="B1132" s="767"/>
      <c r="C1132" s="761"/>
      <c r="D1132" s="769"/>
      <c r="E1132" s="769"/>
      <c r="F1132" s="208"/>
      <c r="G1132" s="763"/>
      <c r="H1132" s="744"/>
      <c r="I1132" s="765"/>
      <c r="J1132" s="730"/>
      <c r="K1132" s="761"/>
      <c r="L1132" s="761"/>
      <c r="M1132" s="730"/>
      <c r="N1132" s="730"/>
    </row>
    <row r="1133" spans="1:23" s="194" customFormat="1" ht="40.4" customHeight="1" x14ac:dyDescent="0.35">
      <c r="A1133" s="770" t="str">
        <f ca="1">INDIRECT("'update Helper'!C"&amp;U1133)</f>
        <v>a163p000004NtNmAAK</v>
      </c>
      <c r="B1133" s="766">
        <v>13</v>
      </c>
      <c r="C1133" s="760" t="str">
        <f>VLOOKUP(B1133,'Coverage Indicators - Section D'!$A$9:$AU$70,47,FALSE)</f>
        <v>KP-6a Porcentaje de HSH elegibles que iniciaron PrEP durante el período de reporte</v>
      </c>
      <c r="D1133" s="768" t="str">
        <f>R1133</f>
        <v/>
      </c>
      <c r="E1133" s="768" t="str">
        <f>S1133</f>
        <v/>
      </c>
      <c r="F1133" s="413"/>
      <c r="G1133" s="762" t="str">
        <f ca="1">IF(OR(INDIRECT("'update Helper'!E"&amp;U1133)="",F1133&lt;&gt;0,F1134&lt;&gt;0),IF(IFERROR((F1133/F1134),"")="","",(F1133/F1134)),INDIRECT("'update Helper'!E"&amp;U1133)/100)</f>
        <v/>
      </c>
      <c r="H1133" s="743"/>
      <c r="I1133" s="764"/>
      <c r="J1133" s="729" t="s">
        <v>9912</v>
      </c>
      <c r="K1133" s="760" t="str">
        <f>W1133</f>
        <v>KP-6a Percentage of eligible men who have sex with men who initiated oral antiretroviral PrEP during the reporting period</v>
      </c>
      <c r="L1133" s="760" t="str">
        <f>V1133</f>
        <v/>
      </c>
      <c r="M1133" s="729"/>
      <c r="N1133" s="729" t="s">
        <v>4037</v>
      </c>
      <c r="P1133" s="194">
        <f>IF(AND(EXACT(C1133,C1131),C1131&lt;&gt;0),P1131+1,0)</f>
        <v>16</v>
      </c>
      <c r="Q1133" s="194" t="str">
        <f>IF(C1133&lt;&gt;"",C1133&amp;"-"&amp;P1133,"")</f>
        <v>KP-6a Porcentaje de HSH elegibles que iniciaron PrEP durante el período de reporte-16</v>
      </c>
      <c r="R1133" s="194" t="str">
        <f t="array" ref="R1133">IFERROR(IF(INDEX('Disaggregation Records'!$E$155:$E$385,MATCH(RIGHT(Q1133,255),RIGHT('Disaggregation Records'!$D$155:$D$385,255),0))="","",INDEX('Disaggregation Records'!$E$155:$E$385,MATCH(RIGHT(Q1133,255),RIGHT('Disaggregation Records'!$D$155:$D$385,255),0))),"")</f>
        <v/>
      </c>
      <c r="S1133" s="194" t="str">
        <f t="array" ref="S1133">IFERROR(IF(INDEX('Disaggregation Records'!$F$155:$F$385,MATCH(RIGHT(Q1133,255),RIGHT('Disaggregation Records'!$D$155:$D$385,255),0))="","",INDEX('Disaggregation Records'!$F$155:$F$385,MATCH(RIGHT(Q1133,255),RIGHT('Disaggregation Records'!$D$155:$D$385,255),0))),"")</f>
        <v/>
      </c>
      <c r="T1133" s="194" t="str">
        <f t="array" ref="T1133">IFERROR(IF(INDEX('Disaggregation Records'!$H$155:$H$385,MATCH(RIGHT(Q1133,255),RIGHT('Disaggregation Records'!$D$155:$D$385,255),0))="","",INDEX('Disaggregation Records'!$H$155:$H$385,MATCH(RIGHT(Q1133,255),RIGHT('Disaggregation Records'!$D$155:$D$385,255),0))),"")</f>
        <v/>
      </c>
      <c r="U1133" s="194">
        <f>U1131+1</f>
        <v>2756</v>
      </c>
      <c r="V1133" s="194" t="str">
        <f t="array" ref="V1133">IFERROR(IF(INDEX('Disaggregation Records'!$I$155:$I$385,MATCH(RIGHT(Q1133,255),RIGHT('Disaggregation Records'!$D$155:$D$385,255),0))="","",INDEX('Disaggregation Records'!$I$155:$I$385,MATCH(RIGHT(Q1133,255),RIGHT('Disaggregation Records'!$D$155:$D$385,255),0))),"")</f>
        <v/>
      </c>
      <c r="W1133" s="194" t="str">
        <f>IFERROR(INDEX('Reference Records'!L$77:L$157,MATCH(LEFT(C1133,255),'Reference Records'!E$77:E$157,0)),"")</f>
        <v>KP-6a Percentage of eligible men who have sex with men who initiated oral antiretroviral PrEP during the reporting period</v>
      </c>
    </row>
    <row r="1134" spans="1:23" s="194" customFormat="1" ht="40.4" customHeight="1" x14ac:dyDescent="0.35">
      <c r="A1134" s="770"/>
      <c r="B1134" s="767"/>
      <c r="C1134" s="761"/>
      <c r="D1134" s="769"/>
      <c r="E1134" s="769"/>
      <c r="F1134" s="208"/>
      <c r="G1134" s="763"/>
      <c r="H1134" s="744"/>
      <c r="I1134" s="765"/>
      <c r="J1134" s="730"/>
      <c r="K1134" s="761"/>
      <c r="L1134" s="761"/>
      <c r="M1134" s="730"/>
      <c r="N1134" s="730"/>
    </row>
    <row r="1135" spans="1:23" s="194" customFormat="1" ht="40.4" customHeight="1" x14ac:dyDescent="0.35">
      <c r="A1135" s="770" t="str">
        <f ca="1">INDIRECT("'update Helper'!C"&amp;U1135)</f>
        <v>a163p000004NtNnAAK</v>
      </c>
      <c r="B1135" s="766">
        <v>13</v>
      </c>
      <c r="C1135" s="760" t="str">
        <f>VLOOKUP(B1135,'Coverage Indicators - Section D'!$A$9:$AU$70,47,FALSE)</f>
        <v>KP-6a Porcentaje de HSH elegibles que iniciaron PrEP durante el período de reporte</v>
      </c>
      <c r="D1135" s="768" t="str">
        <f>R1135</f>
        <v/>
      </c>
      <c r="E1135" s="768" t="str">
        <f>S1135</f>
        <v/>
      </c>
      <c r="F1135" s="413"/>
      <c r="G1135" s="762" t="str">
        <f ca="1">IF(OR(INDIRECT("'update Helper'!E"&amp;U1135)="",F1135&lt;&gt;0,F1136&lt;&gt;0),IF(IFERROR((F1135/F1136),"")="","",(F1135/F1136)),INDIRECT("'update Helper'!E"&amp;U1135)/100)</f>
        <v/>
      </c>
      <c r="H1135" s="743"/>
      <c r="I1135" s="764"/>
      <c r="J1135" s="729" t="s">
        <v>9912</v>
      </c>
      <c r="K1135" s="760" t="str">
        <f>W1135</f>
        <v>KP-6a Percentage of eligible men who have sex with men who initiated oral antiretroviral PrEP during the reporting period</v>
      </c>
      <c r="L1135" s="760" t="str">
        <f>V1135</f>
        <v/>
      </c>
      <c r="M1135" s="729"/>
      <c r="N1135" s="729" t="s">
        <v>4037</v>
      </c>
      <c r="P1135" s="194">
        <f>IF(AND(EXACT(C1135,C1133),C1133&lt;&gt;0),P1133+1,0)</f>
        <v>17</v>
      </c>
      <c r="Q1135" s="194" t="str">
        <f>IF(C1135&lt;&gt;"",C1135&amp;"-"&amp;P1135,"")</f>
        <v>KP-6a Porcentaje de HSH elegibles que iniciaron PrEP durante el período de reporte-17</v>
      </c>
      <c r="R1135" s="194" t="str">
        <f t="array" ref="R1135">IFERROR(IF(INDEX('Disaggregation Records'!$E$155:$E$385,MATCH(RIGHT(Q1135,255),RIGHT('Disaggregation Records'!$D$155:$D$385,255),0))="","",INDEX('Disaggregation Records'!$E$155:$E$385,MATCH(RIGHT(Q1135,255),RIGHT('Disaggregation Records'!$D$155:$D$385,255),0))),"")</f>
        <v/>
      </c>
      <c r="S1135" s="194" t="str">
        <f t="array" ref="S1135">IFERROR(IF(INDEX('Disaggregation Records'!$F$155:$F$385,MATCH(RIGHT(Q1135,255),RIGHT('Disaggregation Records'!$D$155:$D$385,255),0))="","",INDEX('Disaggregation Records'!$F$155:$F$385,MATCH(RIGHT(Q1135,255),RIGHT('Disaggregation Records'!$D$155:$D$385,255),0))),"")</f>
        <v/>
      </c>
      <c r="T1135" s="194" t="str">
        <f t="array" ref="T1135">IFERROR(IF(INDEX('Disaggregation Records'!$H$155:$H$385,MATCH(RIGHT(Q1135,255),RIGHT('Disaggregation Records'!$D$155:$D$385,255),0))="","",INDEX('Disaggregation Records'!$H$155:$H$385,MATCH(RIGHT(Q1135,255),RIGHT('Disaggregation Records'!$D$155:$D$385,255),0))),"")</f>
        <v/>
      </c>
      <c r="U1135" s="194">
        <f>U1133+1</f>
        <v>2757</v>
      </c>
      <c r="V1135" s="194" t="str">
        <f t="array" ref="V1135">IFERROR(IF(INDEX('Disaggregation Records'!$I$155:$I$385,MATCH(RIGHT(Q1135,255),RIGHT('Disaggregation Records'!$D$155:$D$385,255),0))="","",INDEX('Disaggregation Records'!$I$155:$I$385,MATCH(RIGHT(Q1135,255),RIGHT('Disaggregation Records'!$D$155:$D$385,255),0))),"")</f>
        <v/>
      </c>
      <c r="W1135" s="194" t="str">
        <f>IFERROR(INDEX('Reference Records'!L$77:L$157,MATCH(LEFT(C1135,255),'Reference Records'!E$77:E$157,0)),"")</f>
        <v>KP-6a Percentage of eligible men who have sex with men who initiated oral antiretroviral PrEP during the reporting period</v>
      </c>
    </row>
    <row r="1136" spans="1:23" s="194" customFormat="1" ht="40.4" customHeight="1" x14ac:dyDescent="0.35">
      <c r="A1136" s="770"/>
      <c r="B1136" s="767"/>
      <c r="C1136" s="761"/>
      <c r="D1136" s="769"/>
      <c r="E1136" s="769"/>
      <c r="F1136" s="208"/>
      <c r="G1136" s="763"/>
      <c r="H1136" s="744"/>
      <c r="I1136" s="765"/>
      <c r="J1136" s="730"/>
      <c r="K1136" s="761"/>
      <c r="L1136" s="761"/>
      <c r="M1136" s="730"/>
      <c r="N1136" s="730"/>
    </row>
    <row r="1137" spans="1:23" s="194" customFormat="1" ht="40.4" customHeight="1" x14ac:dyDescent="0.35">
      <c r="A1137" s="770" t="str">
        <f ca="1">INDIRECT("'update Helper'!C"&amp;U1137)</f>
        <v>a163p000004NtNoAAK</v>
      </c>
      <c r="B1137" s="766">
        <v>13</v>
      </c>
      <c r="C1137" s="760" t="str">
        <f>VLOOKUP(B1137,'Coverage Indicators - Section D'!$A$9:$AU$70,47,FALSE)</f>
        <v>KP-6a Porcentaje de HSH elegibles que iniciaron PrEP durante el período de reporte</v>
      </c>
      <c r="D1137" s="768" t="str">
        <f>R1137</f>
        <v/>
      </c>
      <c r="E1137" s="768" t="str">
        <f>S1137</f>
        <v/>
      </c>
      <c r="F1137" s="413"/>
      <c r="G1137" s="762" t="str">
        <f ca="1">IF(OR(INDIRECT("'update Helper'!E"&amp;U1137)="",F1137&lt;&gt;0,F1138&lt;&gt;0),IF(IFERROR((F1137/F1138),"")="","",(F1137/F1138)),INDIRECT("'update Helper'!E"&amp;U1137)/100)</f>
        <v/>
      </c>
      <c r="H1137" s="743"/>
      <c r="I1137" s="764"/>
      <c r="J1137" s="729"/>
      <c r="K1137" s="760" t="str">
        <f>W1137</f>
        <v>KP-6a Percentage of eligible men who have sex with men who initiated oral antiretroviral PrEP during the reporting period</v>
      </c>
      <c r="L1137" s="760" t="str">
        <f>V1137</f>
        <v/>
      </c>
      <c r="M1137" s="729"/>
      <c r="N1137" s="729"/>
      <c r="P1137" s="194">
        <f>IF(AND(EXACT(C1137,C1135),C1135&lt;&gt;0),P1135+1,0)</f>
        <v>18</v>
      </c>
      <c r="Q1137" s="194" t="str">
        <f>IF(C1137&lt;&gt;"",C1137&amp;"-"&amp;P1137,"")</f>
        <v>KP-6a Porcentaje de HSH elegibles que iniciaron PrEP durante el período de reporte-18</v>
      </c>
      <c r="R1137" s="194" t="str">
        <f t="array" ref="R1137">IFERROR(IF(INDEX('Disaggregation Records'!$E$155:$E$385,MATCH(RIGHT(Q1137,255),RIGHT('Disaggregation Records'!$D$155:$D$385,255),0))="","",INDEX('Disaggregation Records'!$E$155:$E$385,MATCH(RIGHT(Q1137,255),RIGHT('Disaggregation Records'!$D$155:$D$385,255),0))),"")</f>
        <v/>
      </c>
      <c r="S1137" s="194" t="str">
        <f t="array" ref="S1137">IFERROR(IF(INDEX('Disaggregation Records'!$F$155:$F$385,MATCH(RIGHT(Q1137,255),RIGHT('Disaggregation Records'!$D$155:$D$385,255),0))="","",INDEX('Disaggregation Records'!$F$155:$F$385,MATCH(RIGHT(Q1137,255),RIGHT('Disaggregation Records'!$D$155:$D$385,255),0))),"")</f>
        <v/>
      </c>
      <c r="T1137" s="194" t="str">
        <f t="array" ref="T1137">IFERROR(IF(INDEX('Disaggregation Records'!$H$155:$H$385,MATCH(RIGHT(Q1137,255),RIGHT('Disaggregation Records'!$D$155:$D$385,255),0))="","",INDEX('Disaggregation Records'!$H$155:$H$385,MATCH(RIGHT(Q1137,255),RIGHT('Disaggregation Records'!$D$155:$D$385,255),0))),"")</f>
        <v/>
      </c>
      <c r="U1137" s="194">
        <f>U1135+1</f>
        <v>2758</v>
      </c>
      <c r="V1137" s="194" t="str">
        <f t="array" ref="V1137">IFERROR(IF(INDEX('Disaggregation Records'!$I$155:$I$385,MATCH(RIGHT(Q1137,255),RIGHT('Disaggregation Records'!$D$155:$D$385,255),0))="","",INDEX('Disaggregation Records'!$I$155:$I$385,MATCH(RIGHT(Q1137,255),RIGHT('Disaggregation Records'!$D$155:$D$385,255),0))),"")</f>
        <v/>
      </c>
      <c r="W1137" s="194" t="str">
        <f>IFERROR(INDEX('Reference Records'!L$77:L$157,MATCH(LEFT(C1137,255),'Reference Records'!E$77:E$157,0)),"")</f>
        <v>KP-6a Percentage of eligible men who have sex with men who initiated oral antiretroviral PrEP during the reporting period</v>
      </c>
    </row>
    <row r="1138" spans="1:23" s="194" customFormat="1" ht="40.4" customHeight="1" x14ac:dyDescent="0.35">
      <c r="A1138" s="770"/>
      <c r="B1138" s="767"/>
      <c r="C1138" s="761"/>
      <c r="D1138" s="769"/>
      <c r="E1138" s="769"/>
      <c r="F1138" s="208"/>
      <c r="G1138" s="763"/>
      <c r="H1138" s="744"/>
      <c r="I1138" s="765"/>
      <c r="J1138" s="730"/>
      <c r="K1138" s="761"/>
      <c r="L1138" s="761"/>
      <c r="M1138" s="730"/>
      <c r="N1138" s="730"/>
    </row>
    <row r="1139" spans="1:23" s="194" customFormat="1" ht="40.4" customHeight="1" x14ac:dyDescent="0.35">
      <c r="A1139" s="770" t="str">
        <f ca="1">INDIRECT("'update Helper'!C"&amp;U1139)</f>
        <v>a163p000004NtNpAAK</v>
      </c>
      <c r="B1139" s="766">
        <v>13</v>
      </c>
      <c r="C1139" s="760" t="str">
        <f>VLOOKUP(B1139,'Coverage Indicators - Section D'!$A$9:$AU$70,47,FALSE)</f>
        <v>KP-6a Porcentaje de HSH elegibles que iniciaron PrEP durante el período de reporte</v>
      </c>
      <c r="D1139" s="768" t="str">
        <f>R1139</f>
        <v/>
      </c>
      <c r="E1139" s="768" t="str">
        <f>S1139</f>
        <v/>
      </c>
      <c r="F1139" s="413"/>
      <c r="G1139" s="762" t="str">
        <f ca="1">IF(OR(INDIRECT("'update Helper'!E"&amp;U1139)="",F1139&lt;&gt;0,F1140&lt;&gt;0),IF(IFERROR((F1139/F1140),"")="","",(F1139/F1140)),INDIRECT("'update Helper'!E"&amp;U1139)/100)</f>
        <v/>
      </c>
      <c r="H1139" s="743"/>
      <c r="I1139" s="764"/>
      <c r="J1139" s="729"/>
      <c r="K1139" s="760" t="str">
        <f>W1139</f>
        <v>KP-6a Percentage of eligible men who have sex with men who initiated oral antiretroviral PrEP during the reporting period</v>
      </c>
      <c r="L1139" s="760" t="str">
        <f>V1139</f>
        <v/>
      </c>
      <c r="M1139" s="729"/>
      <c r="N1139" s="729"/>
      <c r="P1139" s="194">
        <f>IF(AND(EXACT(C1139,C1137),C1137&lt;&gt;0),P1137+1,0)</f>
        <v>19</v>
      </c>
      <c r="Q1139" s="194" t="str">
        <f>IF(C1139&lt;&gt;"",C1139&amp;"-"&amp;P1139,"")</f>
        <v>KP-6a Porcentaje de HSH elegibles que iniciaron PrEP durante el período de reporte-19</v>
      </c>
      <c r="R1139" s="194" t="str">
        <f t="array" ref="R1139">IFERROR(IF(INDEX('Disaggregation Records'!$E$155:$E$385,MATCH(RIGHT(Q1139,255),RIGHT('Disaggregation Records'!$D$155:$D$385,255),0))="","",INDEX('Disaggregation Records'!$E$155:$E$385,MATCH(RIGHT(Q1139,255),RIGHT('Disaggregation Records'!$D$155:$D$385,255),0))),"")</f>
        <v/>
      </c>
      <c r="S1139" s="194" t="str">
        <f t="array" ref="S1139">IFERROR(IF(INDEX('Disaggregation Records'!$F$155:$F$385,MATCH(RIGHT(Q1139,255),RIGHT('Disaggregation Records'!$D$155:$D$385,255),0))="","",INDEX('Disaggregation Records'!$F$155:$F$385,MATCH(RIGHT(Q1139,255),RIGHT('Disaggregation Records'!$D$155:$D$385,255),0))),"")</f>
        <v/>
      </c>
      <c r="T1139" s="194" t="str">
        <f t="array" ref="T1139">IFERROR(IF(INDEX('Disaggregation Records'!$H$155:$H$385,MATCH(RIGHT(Q1139,255),RIGHT('Disaggregation Records'!$D$155:$D$385,255),0))="","",INDEX('Disaggregation Records'!$H$155:$H$385,MATCH(RIGHT(Q1139,255),RIGHT('Disaggregation Records'!$D$155:$D$385,255),0))),"")</f>
        <v/>
      </c>
      <c r="U1139" s="194">
        <f>U1137+1</f>
        <v>2759</v>
      </c>
      <c r="V1139" s="194" t="str">
        <f t="array" ref="V1139">IFERROR(IF(INDEX('Disaggregation Records'!$I$155:$I$385,MATCH(RIGHT(Q1139,255),RIGHT('Disaggregation Records'!$D$155:$D$385,255),0))="","",INDEX('Disaggregation Records'!$I$155:$I$385,MATCH(RIGHT(Q1139,255),RIGHT('Disaggregation Records'!$D$155:$D$385,255),0))),"")</f>
        <v/>
      </c>
      <c r="W1139" s="194" t="str">
        <f>IFERROR(INDEX('Reference Records'!L$77:L$157,MATCH(LEFT(C1139,255),'Reference Records'!E$77:E$157,0)),"")</f>
        <v>KP-6a Percentage of eligible men who have sex with men who initiated oral antiretroviral PrEP during the reporting period</v>
      </c>
    </row>
    <row r="1140" spans="1:23" s="194" customFormat="1" ht="40.4" customHeight="1" x14ac:dyDescent="0.35">
      <c r="A1140" s="770"/>
      <c r="B1140" s="767"/>
      <c r="C1140" s="761"/>
      <c r="D1140" s="769"/>
      <c r="E1140" s="769"/>
      <c r="F1140" s="208"/>
      <c r="G1140" s="763"/>
      <c r="H1140" s="744"/>
      <c r="I1140" s="765"/>
      <c r="J1140" s="730"/>
      <c r="K1140" s="761"/>
      <c r="L1140" s="761"/>
      <c r="M1140" s="730"/>
      <c r="N1140" s="730"/>
    </row>
    <row r="1141" spans="1:23" s="194" customFormat="1" ht="40.4" customHeight="1" x14ac:dyDescent="0.35">
      <c r="A1141" s="770" t="str">
        <f ca="1">INDIRECT("'update Helper'!C"&amp;U1141)</f>
        <v>a163p000004NtXCAA0</v>
      </c>
      <c r="B1141" s="766">
        <v>14</v>
      </c>
      <c r="C1141" s="760" t="str">
        <f>VLOOKUP(B1141,'Coverage Indicators - Section D'!$A$9:$AU$70,47,FALSE)</f>
        <v>KP-6b Porcentaje de personas transgénero elegibles que iniciaron PrEP durante el período de reporte</v>
      </c>
      <c r="D1141" s="768" t="str">
        <f>R1141</f>
        <v/>
      </c>
      <c r="E1141" s="768" t="str">
        <f>S1141</f>
        <v/>
      </c>
      <c r="F1141" s="413"/>
      <c r="G1141" s="762" t="str">
        <f ca="1">IF(OR(INDIRECT("'update Helper'!E"&amp;U1141)="",F1141&lt;&gt;0,F1142&lt;&gt;0),IF(IFERROR((F1141/F1142),"")="","",(F1141/F1142)),INDIRECT("'update Helper'!E"&amp;U1141)/100)</f>
        <v/>
      </c>
      <c r="H1141" s="743"/>
      <c r="I1141" s="764"/>
      <c r="J1141" s="729"/>
      <c r="K1141" s="760" t="str">
        <f>W1141</f>
        <v>KP-6b Percentage of eligible transgender people who initiated oral antiretroviral PrEP during the reporting period</v>
      </c>
      <c r="L1141" s="760" t="str">
        <f>V1141</f>
        <v/>
      </c>
      <c r="M1141" s="729"/>
      <c r="N1141" s="729"/>
      <c r="P1141" s="194">
        <f>IF(AND(EXACT(C1141,C1139),C1139&lt;&gt;0),P1139+1,0)</f>
        <v>0</v>
      </c>
      <c r="Q1141" s="194" t="str">
        <f>IF(C1141&lt;&gt;"",C1141&amp;"-"&amp;P1141,"")</f>
        <v>KP-6b Porcentaje de personas transgénero elegibles que iniciaron PrEP durante el período de reporte-0</v>
      </c>
      <c r="R1141" s="194" t="str">
        <f t="array" ref="R1141">IFERROR(IF(INDEX('Disaggregation Records'!$E$155:$E$385,MATCH(RIGHT(Q1141,255),RIGHT('Disaggregation Records'!$D$155:$D$385,255),0))="","",INDEX('Disaggregation Records'!$E$155:$E$385,MATCH(RIGHT(Q1141,255),RIGHT('Disaggregation Records'!$D$155:$D$385,255),0))),"")</f>
        <v/>
      </c>
      <c r="S1141" s="194" t="str">
        <f t="array" ref="S1141">IFERROR(IF(INDEX('Disaggregation Records'!$F$155:$F$385,MATCH(RIGHT(Q1141,255),RIGHT('Disaggregation Records'!$D$155:$D$385,255),0))="","",INDEX('Disaggregation Records'!$F$155:$F$385,MATCH(RIGHT(Q1141,255),RIGHT('Disaggregation Records'!$D$155:$D$385,255),0))),"")</f>
        <v/>
      </c>
      <c r="T1141" s="194" t="str">
        <f t="array" ref="T1141">IFERROR(IF(INDEX('Disaggregation Records'!$H$155:$H$385,MATCH(RIGHT(Q1141,255),RIGHT('Disaggregation Records'!$D$155:$D$385,255),0))="","",INDEX('Disaggregation Records'!$H$155:$H$385,MATCH(RIGHT(Q1141,255),RIGHT('Disaggregation Records'!$D$155:$D$385,255),0))),"")</f>
        <v/>
      </c>
      <c r="U1141" s="194">
        <f>U1139+1</f>
        <v>2760</v>
      </c>
      <c r="V1141" s="194" t="str">
        <f t="array" ref="V1141">IFERROR(IF(INDEX('Disaggregation Records'!$I$155:$I$385,MATCH(RIGHT(Q1141,255),RIGHT('Disaggregation Records'!$D$155:$D$385,255),0))="","",INDEX('Disaggregation Records'!$I$155:$I$385,MATCH(RIGHT(Q1141,255),RIGHT('Disaggregation Records'!$D$155:$D$385,255),0))),"")</f>
        <v/>
      </c>
      <c r="W1141" s="194" t="str">
        <f>IFERROR(INDEX('Reference Records'!L$77:L$157,MATCH(LEFT(C1141,255),'Reference Records'!E$77:E$157,0)),"")</f>
        <v>KP-6b Percentage of eligible transgender people who initiated oral antiretroviral PrEP during the reporting period</v>
      </c>
    </row>
    <row r="1142" spans="1:23" s="194" customFormat="1" ht="40.4" customHeight="1" x14ac:dyDescent="0.35">
      <c r="A1142" s="770"/>
      <c r="B1142" s="767"/>
      <c r="C1142" s="761"/>
      <c r="D1142" s="769"/>
      <c r="E1142" s="769"/>
      <c r="F1142" s="208"/>
      <c r="G1142" s="763"/>
      <c r="H1142" s="744"/>
      <c r="I1142" s="765"/>
      <c r="J1142" s="730"/>
      <c r="K1142" s="761"/>
      <c r="L1142" s="761"/>
      <c r="M1142" s="730"/>
      <c r="N1142" s="730"/>
    </row>
    <row r="1143" spans="1:23" s="194" customFormat="1" ht="40.4" customHeight="1" x14ac:dyDescent="0.35">
      <c r="A1143" s="770" t="str">
        <f ca="1">INDIRECT("'update Helper'!C"&amp;U1143)</f>
        <v>a163p000004NtXDAA0</v>
      </c>
      <c r="B1143" s="766">
        <v>14</v>
      </c>
      <c r="C1143" s="760" t="str">
        <f>VLOOKUP(B1143,'Coverage Indicators - Section D'!$A$9:$AU$70,47,FALSE)</f>
        <v>KP-6b Porcentaje de personas transgénero elegibles que iniciaron PrEP durante el período de reporte</v>
      </c>
      <c r="D1143" s="768" t="str">
        <f>R1143</f>
        <v/>
      </c>
      <c r="E1143" s="768" t="str">
        <f>S1143</f>
        <v/>
      </c>
      <c r="F1143" s="413"/>
      <c r="G1143" s="762" t="str">
        <f ca="1">IF(OR(INDIRECT("'update Helper'!E"&amp;U1143)="",F1143&lt;&gt;0,F1144&lt;&gt;0),IF(IFERROR((F1143/F1144),"")="","",(F1143/F1144)),INDIRECT("'update Helper'!E"&amp;U1143)/100)</f>
        <v/>
      </c>
      <c r="H1143" s="743"/>
      <c r="I1143" s="764"/>
      <c r="J1143" s="729"/>
      <c r="K1143" s="760" t="str">
        <f>W1143</f>
        <v>KP-6b Percentage of eligible transgender people who initiated oral antiretroviral PrEP during the reporting period</v>
      </c>
      <c r="L1143" s="760" t="str">
        <f>V1143</f>
        <v/>
      </c>
      <c r="M1143" s="729"/>
      <c r="N1143" s="729"/>
      <c r="P1143" s="194">
        <f>IF(AND(EXACT(C1143,C1141),C1141&lt;&gt;0),P1141+1,0)</f>
        <v>1</v>
      </c>
      <c r="Q1143" s="194" t="str">
        <f>IF(C1143&lt;&gt;"",C1143&amp;"-"&amp;P1143,"")</f>
        <v>KP-6b Porcentaje de personas transgénero elegibles que iniciaron PrEP durante el período de reporte-1</v>
      </c>
      <c r="R1143" s="194" t="str">
        <f t="array" ref="R1143">IFERROR(IF(INDEX('Disaggregation Records'!$E$155:$E$385,MATCH(RIGHT(Q1143,255),RIGHT('Disaggregation Records'!$D$155:$D$385,255),0))="","",INDEX('Disaggregation Records'!$E$155:$E$385,MATCH(RIGHT(Q1143,255),RIGHT('Disaggregation Records'!$D$155:$D$385,255),0))),"")</f>
        <v/>
      </c>
      <c r="S1143" s="194" t="str">
        <f t="array" ref="S1143">IFERROR(IF(INDEX('Disaggregation Records'!$F$155:$F$385,MATCH(RIGHT(Q1143,255),RIGHT('Disaggregation Records'!$D$155:$D$385,255),0))="","",INDEX('Disaggregation Records'!$F$155:$F$385,MATCH(RIGHT(Q1143,255),RIGHT('Disaggregation Records'!$D$155:$D$385,255),0))),"")</f>
        <v/>
      </c>
      <c r="T1143" s="194" t="str">
        <f t="array" ref="T1143">IFERROR(IF(INDEX('Disaggregation Records'!$H$155:$H$385,MATCH(RIGHT(Q1143,255),RIGHT('Disaggregation Records'!$D$155:$D$385,255),0))="","",INDEX('Disaggregation Records'!$H$155:$H$385,MATCH(RIGHT(Q1143,255),RIGHT('Disaggregation Records'!$D$155:$D$385,255),0))),"")</f>
        <v/>
      </c>
      <c r="U1143" s="194">
        <f>U1141+1</f>
        <v>2761</v>
      </c>
      <c r="V1143" s="194" t="str">
        <f t="array" ref="V1143">IFERROR(IF(INDEX('Disaggregation Records'!$I$155:$I$385,MATCH(RIGHT(Q1143,255),RIGHT('Disaggregation Records'!$D$155:$D$385,255),0))="","",INDEX('Disaggregation Records'!$I$155:$I$385,MATCH(RIGHT(Q1143,255),RIGHT('Disaggregation Records'!$D$155:$D$385,255),0))),"")</f>
        <v/>
      </c>
      <c r="W1143" s="194" t="str">
        <f>IFERROR(INDEX('Reference Records'!L$77:L$157,MATCH(LEFT(C1143,255),'Reference Records'!E$77:E$157,0)),"")</f>
        <v>KP-6b Percentage of eligible transgender people who initiated oral antiretroviral PrEP during the reporting period</v>
      </c>
    </row>
    <row r="1144" spans="1:23" s="194" customFormat="1" ht="40.4" customHeight="1" x14ac:dyDescent="0.35">
      <c r="A1144" s="770"/>
      <c r="B1144" s="767"/>
      <c r="C1144" s="761"/>
      <c r="D1144" s="769"/>
      <c r="E1144" s="769"/>
      <c r="F1144" s="208"/>
      <c r="G1144" s="763"/>
      <c r="H1144" s="744"/>
      <c r="I1144" s="765"/>
      <c r="J1144" s="730"/>
      <c r="K1144" s="761"/>
      <c r="L1144" s="761"/>
      <c r="M1144" s="730"/>
      <c r="N1144" s="730"/>
    </row>
    <row r="1145" spans="1:23" s="194" customFormat="1" ht="40.4" customHeight="1" x14ac:dyDescent="0.35">
      <c r="A1145" s="770" t="str">
        <f ca="1">INDIRECT("'update Helper'!C"&amp;U1145)</f>
        <v>a163p000004NtXEAA0</v>
      </c>
      <c r="B1145" s="766">
        <v>14</v>
      </c>
      <c r="C1145" s="760" t="str">
        <f>VLOOKUP(B1145,'Coverage Indicators - Section D'!$A$9:$AU$70,47,FALSE)</f>
        <v>KP-6b Porcentaje de personas transgénero elegibles que iniciaron PrEP durante el período de reporte</v>
      </c>
      <c r="D1145" s="768" t="str">
        <f>R1145</f>
        <v/>
      </c>
      <c r="E1145" s="768" t="str">
        <f>S1145</f>
        <v/>
      </c>
      <c r="F1145" s="413"/>
      <c r="G1145" s="762" t="str">
        <f ca="1">IF(OR(INDIRECT("'update Helper'!E"&amp;U1145)="",F1145&lt;&gt;0,F1146&lt;&gt;0),IF(IFERROR((F1145/F1146),"")="","",(F1145/F1146)),INDIRECT("'update Helper'!E"&amp;U1145)/100)</f>
        <v/>
      </c>
      <c r="H1145" s="743"/>
      <c r="I1145" s="764"/>
      <c r="J1145" s="729"/>
      <c r="K1145" s="760" t="str">
        <f>W1145</f>
        <v>KP-6b Percentage of eligible transgender people who initiated oral antiretroviral PrEP during the reporting period</v>
      </c>
      <c r="L1145" s="760" t="str">
        <f>V1145</f>
        <v/>
      </c>
      <c r="M1145" s="729"/>
      <c r="N1145" s="729"/>
      <c r="P1145" s="194">
        <f>IF(AND(EXACT(C1145,C1143),C1143&lt;&gt;0),P1143+1,0)</f>
        <v>2</v>
      </c>
      <c r="Q1145" s="194" t="str">
        <f>IF(C1145&lt;&gt;"",C1145&amp;"-"&amp;P1145,"")</f>
        <v>KP-6b Porcentaje de personas transgénero elegibles que iniciaron PrEP durante el período de reporte-2</v>
      </c>
      <c r="R1145" s="194" t="str">
        <f t="array" ref="R1145">IFERROR(IF(INDEX('Disaggregation Records'!$E$155:$E$385,MATCH(RIGHT(Q1145,255),RIGHT('Disaggregation Records'!$D$155:$D$385,255),0))="","",INDEX('Disaggregation Records'!$E$155:$E$385,MATCH(RIGHT(Q1145,255),RIGHT('Disaggregation Records'!$D$155:$D$385,255),0))),"")</f>
        <v/>
      </c>
      <c r="S1145" s="194" t="str">
        <f t="array" ref="S1145">IFERROR(IF(INDEX('Disaggregation Records'!$F$155:$F$385,MATCH(RIGHT(Q1145,255),RIGHT('Disaggregation Records'!$D$155:$D$385,255),0))="","",INDEX('Disaggregation Records'!$F$155:$F$385,MATCH(RIGHT(Q1145,255),RIGHT('Disaggregation Records'!$D$155:$D$385,255),0))),"")</f>
        <v/>
      </c>
      <c r="T1145" s="194" t="str">
        <f t="array" ref="T1145">IFERROR(IF(INDEX('Disaggregation Records'!$H$155:$H$385,MATCH(RIGHT(Q1145,255),RIGHT('Disaggregation Records'!$D$155:$D$385,255),0))="","",INDEX('Disaggregation Records'!$H$155:$H$385,MATCH(RIGHT(Q1145,255),RIGHT('Disaggregation Records'!$D$155:$D$385,255),0))),"")</f>
        <v/>
      </c>
      <c r="U1145" s="194">
        <f>U1143+1</f>
        <v>2762</v>
      </c>
      <c r="V1145" s="194" t="str">
        <f t="array" ref="V1145">IFERROR(IF(INDEX('Disaggregation Records'!$I$155:$I$385,MATCH(RIGHT(Q1145,255),RIGHT('Disaggregation Records'!$D$155:$D$385,255),0))="","",INDEX('Disaggregation Records'!$I$155:$I$385,MATCH(RIGHT(Q1145,255),RIGHT('Disaggregation Records'!$D$155:$D$385,255),0))),"")</f>
        <v/>
      </c>
      <c r="W1145" s="194" t="str">
        <f>IFERROR(INDEX('Reference Records'!L$77:L$157,MATCH(LEFT(C1145,255),'Reference Records'!E$77:E$157,0)),"")</f>
        <v>KP-6b Percentage of eligible transgender people who initiated oral antiretroviral PrEP during the reporting period</v>
      </c>
    </row>
    <row r="1146" spans="1:23" s="194" customFormat="1" ht="40.4" customHeight="1" x14ac:dyDescent="0.35">
      <c r="A1146" s="770"/>
      <c r="B1146" s="767"/>
      <c r="C1146" s="761"/>
      <c r="D1146" s="769"/>
      <c r="E1146" s="769"/>
      <c r="F1146" s="208"/>
      <c r="G1146" s="763"/>
      <c r="H1146" s="744"/>
      <c r="I1146" s="765"/>
      <c r="J1146" s="730"/>
      <c r="K1146" s="761"/>
      <c r="L1146" s="761"/>
      <c r="M1146" s="730"/>
      <c r="N1146" s="730"/>
    </row>
    <row r="1147" spans="1:23" s="194" customFormat="1" ht="40.4" customHeight="1" x14ac:dyDescent="0.35">
      <c r="A1147" s="770" t="str">
        <f ca="1">INDIRECT("'update Helper'!C"&amp;U1147)</f>
        <v>a163p000004NtXFAA0</v>
      </c>
      <c r="B1147" s="766">
        <v>14</v>
      </c>
      <c r="C1147" s="760" t="str">
        <f>VLOOKUP(B1147,'Coverage Indicators - Section D'!$A$9:$AU$70,47,FALSE)</f>
        <v>KP-6b Porcentaje de personas transgénero elegibles que iniciaron PrEP durante el período de reporte</v>
      </c>
      <c r="D1147" s="768" t="str">
        <f>R1147</f>
        <v/>
      </c>
      <c r="E1147" s="768" t="str">
        <f>S1147</f>
        <v/>
      </c>
      <c r="F1147" s="413"/>
      <c r="G1147" s="762" t="str">
        <f ca="1">IF(OR(INDIRECT("'update Helper'!E"&amp;U1147)="",F1147&lt;&gt;0,F1148&lt;&gt;0),IF(IFERROR((F1147/F1148),"")="","",(F1147/F1148)),INDIRECT("'update Helper'!E"&amp;U1147)/100)</f>
        <v/>
      </c>
      <c r="H1147" s="743"/>
      <c r="I1147" s="764"/>
      <c r="J1147" s="729"/>
      <c r="K1147" s="760" t="str">
        <f>W1147</f>
        <v>KP-6b Percentage of eligible transgender people who initiated oral antiretroviral PrEP during the reporting period</v>
      </c>
      <c r="L1147" s="760" t="str">
        <f>V1147</f>
        <v/>
      </c>
      <c r="M1147" s="729"/>
      <c r="N1147" s="729"/>
      <c r="P1147" s="194">
        <f>IF(AND(EXACT(C1147,C1145),C1145&lt;&gt;0),P1145+1,0)</f>
        <v>3</v>
      </c>
      <c r="Q1147" s="194" t="str">
        <f>IF(C1147&lt;&gt;"",C1147&amp;"-"&amp;P1147,"")</f>
        <v>KP-6b Porcentaje de personas transgénero elegibles que iniciaron PrEP durante el período de reporte-3</v>
      </c>
      <c r="R1147" s="194" t="str">
        <f t="array" ref="R1147">IFERROR(IF(INDEX('Disaggregation Records'!$E$155:$E$385,MATCH(RIGHT(Q1147,255),RIGHT('Disaggregation Records'!$D$155:$D$385,255),0))="","",INDEX('Disaggregation Records'!$E$155:$E$385,MATCH(RIGHT(Q1147,255),RIGHT('Disaggregation Records'!$D$155:$D$385,255),0))),"")</f>
        <v/>
      </c>
      <c r="S1147" s="194" t="str">
        <f t="array" ref="S1147">IFERROR(IF(INDEX('Disaggregation Records'!$F$155:$F$385,MATCH(RIGHT(Q1147,255),RIGHT('Disaggregation Records'!$D$155:$D$385,255),0))="","",INDEX('Disaggregation Records'!$F$155:$F$385,MATCH(RIGHT(Q1147,255),RIGHT('Disaggregation Records'!$D$155:$D$385,255),0))),"")</f>
        <v/>
      </c>
      <c r="T1147" s="194" t="str">
        <f t="array" ref="T1147">IFERROR(IF(INDEX('Disaggregation Records'!$H$155:$H$385,MATCH(RIGHT(Q1147,255),RIGHT('Disaggregation Records'!$D$155:$D$385,255),0))="","",INDEX('Disaggregation Records'!$H$155:$H$385,MATCH(RIGHT(Q1147,255),RIGHT('Disaggregation Records'!$D$155:$D$385,255),0))),"")</f>
        <v/>
      </c>
      <c r="U1147" s="194">
        <f>U1145+1</f>
        <v>2763</v>
      </c>
      <c r="V1147" s="194" t="str">
        <f t="array" ref="V1147">IFERROR(IF(INDEX('Disaggregation Records'!$I$155:$I$385,MATCH(RIGHT(Q1147,255),RIGHT('Disaggregation Records'!$D$155:$D$385,255),0))="","",INDEX('Disaggregation Records'!$I$155:$I$385,MATCH(RIGHT(Q1147,255),RIGHT('Disaggregation Records'!$D$155:$D$385,255),0))),"")</f>
        <v/>
      </c>
      <c r="W1147" s="194" t="str">
        <f>IFERROR(INDEX('Reference Records'!L$77:L$157,MATCH(LEFT(C1147,255),'Reference Records'!E$77:E$157,0)),"")</f>
        <v>KP-6b Percentage of eligible transgender people who initiated oral antiretroviral PrEP during the reporting period</v>
      </c>
    </row>
    <row r="1148" spans="1:23" s="194" customFormat="1" ht="40.4" customHeight="1" x14ac:dyDescent="0.35">
      <c r="A1148" s="770"/>
      <c r="B1148" s="767"/>
      <c r="C1148" s="761"/>
      <c r="D1148" s="769"/>
      <c r="E1148" s="769"/>
      <c r="F1148" s="208"/>
      <c r="G1148" s="763"/>
      <c r="H1148" s="744"/>
      <c r="I1148" s="765"/>
      <c r="J1148" s="730"/>
      <c r="K1148" s="761"/>
      <c r="L1148" s="761"/>
      <c r="M1148" s="730"/>
      <c r="N1148" s="730"/>
    </row>
    <row r="1149" spans="1:23" s="194" customFormat="1" ht="40.4" customHeight="1" x14ac:dyDescent="0.35">
      <c r="A1149" s="770" t="str">
        <f ca="1">INDIRECT("'update Helper'!C"&amp;U1149)</f>
        <v>a163p000004NtXGAA0</v>
      </c>
      <c r="B1149" s="766">
        <v>14</v>
      </c>
      <c r="C1149" s="760" t="str">
        <f>VLOOKUP(B1149,'Coverage Indicators - Section D'!$A$9:$AU$70,47,FALSE)</f>
        <v>KP-6b Porcentaje de personas transgénero elegibles que iniciaron PrEP durante el período de reporte</v>
      </c>
      <c r="D1149" s="768" t="str">
        <f>R1149</f>
        <v/>
      </c>
      <c r="E1149" s="768" t="str">
        <f>S1149</f>
        <v/>
      </c>
      <c r="F1149" s="413"/>
      <c r="G1149" s="762" t="str">
        <f ca="1">IF(OR(INDIRECT("'update Helper'!E"&amp;U1149)="",F1149&lt;&gt;0,F1150&lt;&gt;0),IF(IFERROR((F1149/F1150),"")="","",(F1149/F1150)),INDIRECT("'update Helper'!E"&amp;U1149)/100)</f>
        <v/>
      </c>
      <c r="H1149" s="743"/>
      <c r="I1149" s="764"/>
      <c r="J1149" s="729"/>
      <c r="K1149" s="760" t="str">
        <f>W1149</f>
        <v>KP-6b Percentage of eligible transgender people who initiated oral antiretroviral PrEP during the reporting period</v>
      </c>
      <c r="L1149" s="760" t="str">
        <f>V1149</f>
        <v/>
      </c>
      <c r="M1149" s="729"/>
      <c r="N1149" s="729"/>
      <c r="P1149" s="194">
        <f>IF(AND(EXACT(C1149,C1147),C1147&lt;&gt;0),P1147+1,0)</f>
        <v>4</v>
      </c>
      <c r="Q1149" s="194" t="str">
        <f>IF(C1149&lt;&gt;"",C1149&amp;"-"&amp;P1149,"")</f>
        <v>KP-6b Porcentaje de personas transgénero elegibles que iniciaron PrEP durante el período de reporte-4</v>
      </c>
      <c r="R1149" s="194" t="str">
        <f t="array" ref="R1149">IFERROR(IF(INDEX('Disaggregation Records'!$E$155:$E$385,MATCH(RIGHT(Q1149,255),RIGHT('Disaggregation Records'!$D$155:$D$385,255),0))="","",INDEX('Disaggregation Records'!$E$155:$E$385,MATCH(RIGHT(Q1149,255),RIGHT('Disaggregation Records'!$D$155:$D$385,255),0))),"")</f>
        <v/>
      </c>
      <c r="S1149" s="194" t="str">
        <f t="array" ref="S1149">IFERROR(IF(INDEX('Disaggregation Records'!$F$155:$F$385,MATCH(RIGHT(Q1149,255),RIGHT('Disaggregation Records'!$D$155:$D$385,255),0))="","",INDEX('Disaggregation Records'!$F$155:$F$385,MATCH(RIGHT(Q1149,255),RIGHT('Disaggregation Records'!$D$155:$D$385,255),0))),"")</f>
        <v/>
      </c>
      <c r="T1149" s="194" t="str">
        <f t="array" ref="T1149">IFERROR(IF(INDEX('Disaggregation Records'!$H$155:$H$385,MATCH(RIGHT(Q1149,255),RIGHT('Disaggregation Records'!$D$155:$D$385,255),0))="","",INDEX('Disaggregation Records'!$H$155:$H$385,MATCH(RIGHT(Q1149,255),RIGHT('Disaggregation Records'!$D$155:$D$385,255),0))),"")</f>
        <v/>
      </c>
      <c r="U1149" s="194">
        <f>U1147+1</f>
        <v>2764</v>
      </c>
      <c r="V1149" s="194" t="str">
        <f t="array" ref="V1149">IFERROR(IF(INDEX('Disaggregation Records'!$I$155:$I$385,MATCH(RIGHT(Q1149,255),RIGHT('Disaggregation Records'!$D$155:$D$385,255),0))="","",INDEX('Disaggregation Records'!$I$155:$I$385,MATCH(RIGHT(Q1149,255),RIGHT('Disaggregation Records'!$D$155:$D$385,255),0))),"")</f>
        <v/>
      </c>
      <c r="W1149" s="194" t="str">
        <f>IFERROR(INDEX('Reference Records'!L$77:L$157,MATCH(LEFT(C1149,255),'Reference Records'!E$77:E$157,0)),"")</f>
        <v>KP-6b Percentage of eligible transgender people who initiated oral antiretroviral PrEP during the reporting period</v>
      </c>
    </row>
    <row r="1150" spans="1:23" s="194" customFormat="1" ht="40.4" customHeight="1" x14ac:dyDescent="0.35">
      <c r="A1150" s="770"/>
      <c r="B1150" s="767"/>
      <c r="C1150" s="761"/>
      <c r="D1150" s="769"/>
      <c r="E1150" s="769"/>
      <c r="F1150" s="208"/>
      <c r="G1150" s="763"/>
      <c r="H1150" s="744"/>
      <c r="I1150" s="765"/>
      <c r="J1150" s="730"/>
      <c r="K1150" s="761"/>
      <c r="L1150" s="761"/>
      <c r="M1150" s="730"/>
      <c r="N1150" s="730"/>
    </row>
    <row r="1151" spans="1:23" s="194" customFormat="1" ht="40.4" customHeight="1" x14ac:dyDescent="0.35">
      <c r="A1151" s="770" t="str">
        <f ca="1">INDIRECT("'update Helper'!C"&amp;U1151)</f>
        <v>a163p000004NtXHAA0</v>
      </c>
      <c r="B1151" s="766">
        <v>14</v>
      </c>
      <c r="C1151" s="760" t="str">
        <f>VLOOKUP(B1151,'Coverage Indicators - Section D'!$A$9:$AU$70,47,FALSE)</f>
        <v>KP-6b Porcentaje de personas transgénero elegibles que iniciaron PrEP durante el período de reporte</v>
      </c>
      <c r="D1151" s="768" t="str">
        <f>R1151</f>
        <v/>
      </c>
      <c r="E1151" s="768" t="str">
        <f>S1151</f>
        <v/>
      </c>
      <c r="F1151" s="413"/>
      <c r="G1151" s="762" t="str">
        <f ca="1">IF(OR(INDIRECT("'update Helper'!E"&amp;U1151)="",F1151&lt;&gt;0,F1152&lt;&gt;0),IF(IFERROR((F1151/F1152),"")="","",(F1151/F1152)),INDIRECT("'update Helper'!E"&amp;U1151)/100)</f>
        <v/>
      </c>
      <c r="H1151" s="743"/>
      <c r="I1151" s="764"/>
      <c r="J1151" s="729"/>
      <c r="K1151" s="760" t="str">
        <f>W1151</f>
        <v>KP-6b Percentage of eligible transgender people who initiated oral antiretroviral PrEP during the reporting period</v>
      </c>
      <c r="L1151" s="760" t="str">
        <f>V1151</f>
        <v/>
      </c>
      <c r="M1151" s="729"/>
      <c r="N1151" s="729"/>
      <c r="P1151" s="194">
        <f>IF(AND(EXACT(C1151,C1149),C1149&lt;&gt;0),P1149+1,0)</f>
        <v>5</v>
      </c>
      <c r="Q1151" s="194" t="str">
        <f>IF(C1151&lt;&gt;"",C1151&amp;"-"&amp;P1151,"")</f>
        <v>KP-6b Porcentaje de personas transgénero elegibles que iniciaron PrEP durante el período de reporte-5</v>
      </c>
      <c r="R1151" s="194" t="str">
        <f t="array" ref="R1151">IFERROR(IF(INDEX('Disaggregation Records'!$E$155:$E$385,MATCH(RIGHT(Q1151,255),RIGHT('Disaggregation Records'!$D$155:$D$385,255),0))="","",INDEX('Disaggregation Records'!$E$155:$E$385,MATCH(RIGHT(Q1151,255),RIGHT('Disaggregation Records'!$D$155:$D$385,255),0))),"")</f>
        <v/>
      </c>
      <c r="S1151" s="194" t="str">
        <f t="array" ref="S1151">IFERROR(IF(INDEX('Disaggregation Records'!$F$155:$F$385,MATCH(RIGHT(Q1151,255),RIGHT('Disaggregation Records'!$D$155:$D$385,255),0))="","",INDEX('Disaggregation Records'!$F$155:$F$385,MATCH(RIGHT(Q1151,255),RIGHT('Disaggregation Records'!$D$155:$D$385,255),0))),"")</f>
        <v/>
      </c>
      <c r="T1151" s="194" t="str">
        <f t="array" ref="T1151">IFERROR(IF(INDEX('Disaggregation Records'!$H$155:$H$385,MATCH(RIGHT(Q1151,255),RIGHT('Disaggregation Records'!$D$155:$D$385,255),0))="","",INDEX('Disaggregation Records'!$H$155:$H$385,MATCH(RIGHT(Q1151,255),RIGHT('Disaggregation Records'!$D$155:$D$385,255),0))),"")</f>
        <v/>
      </c>
      <c r="U1151" s="194">
        <f>U1149+1</f>
        <v>2765</v>
      </c>
      <c r="V1151" s="194" t="str">
        <f t="array" ref="V1151">IFERROR(IF(INDEX('Disaggregation Records'!$I$155:$I$385,MATCH(RIGHT(Q1151,255),RIGHT('Disaggregation Records'!$D$155:$D$385,255),0))="","",INDEX('Disaggregation Records'!$I$155:$I$385,MATCH(RIGHT(Q1151,255),RIGHT('Disaggregation Records'!$D$155:$D$385,255),0))),"")</f>
        <v/>
      </c>
      <c r="W1151" s="194" t="str">
        <f>IFERROR(INDEX('Reference Records'!L$77:L$157,MATCH(LEFT(C1151,255),'Reference Records'!E$77:E$157,0)),"")</f>
        <v>KP-6b Percentage of eligible transgender people who initiated oral antiretroviral PrEP during the reporting period</v>
      </c>
    </row>
    <row r="1152" spans="1:23" s="194" customFormat="1" ht="40.4" customHeight="1" x14ac:dyDescent="0.35">
      <c r="A1152" s="770"/>
      <c r="B1152" s="767"/>
      <c r="C1152" s="761"/>
      <c r="D1152" s="769"/>
      <c r="E1152" s="769"/>
      <c r="F1152" s="208"/>
      <c r="G1152" s="763"/>
      <c r="H1152" s="744"/>
      <c r="I1152" s="765"/>
      <c r="J1152" s="730"/>
      <c r="K1152" s="761"/>
      <c r="L1152" s="761"/>
      <c r="M1152" s="730"/>
      <c r="N1152" s="730"/>
    </row>
    <row r="1153" spans="1:23" s="194" customFormat="1" ht="40.4" customHeight="1" x14ac:dyDescent="0.35">
      <c r="A1153" s="770" t="str">
        <f ca="1">INDIRECT("'update Helper'!C"&amp;U1153)</f>
        <v>a163p000004NtXIAA0</v>
      </c>
      <c r="B1153" s="766">
        <v>14</v>
      </c>
      <c r="C1153" s="760" t="str">
        <f>VLOOKUP(B1153,'Coverage Indicators - Section D'!$A$9:$AU$70,47,FALSE)</f>
        <v>KP-6b Porcentaje de personas transgénero elegibles que iniciaron PrEP durante el período de reporte</v>
      </c>
      <c r="D1153" s="768" t="str">
        <f>R1153</f>
        <v/>
      </c>
      <c r="E1153" s="768" t="str">
        <f>S1153</f>
        <v/>
      </c>
      <c r="F1153" s="413"/>
      <c r="G1153" s="762" t="str">
        <f ca="1">IF(OR(INDIRECT("'update Helper'!E"&amp;U1153)="",F1153&lt;&gt;0,F1154&lt;&gt;0),IF(IFERROR((F1153/F1154),"")="","",(F1153/F1154)),INDIRECT("'update Helper'!E"&amp;U1153)/100)</f>
        <v/>
      </c>
      <c r="H1153" s="743"/>
      <c r="I1153" s="764"/>
      <c r="J1153" s="729"/>
      <c r="K1153" s="760" t="str">
        <f>W1153</f>
        <v>KP-6b Percentage of eligible transgender people who initiated oral antiretroviral PrEP during the reporting period</v>
      </c>
      <c r="L1153" s="760" t="str">
        <f>V1153</f>
        <v/>
      </c>
      <c r="M1153" s="729"/>
      <c r="N1153" s="729"/>
      <c r="P1153" s="194">
        <f>IF(AND(EXACT(C1153,C1151),C1151&lt;&gt;0),P1151+1,0)</f>
        <v>6</v>
      </c>
      <c r="Q1153" s="194" t="str">
        <f>IF(C1153&lt;&gt;"",C1153&amp;"-"&amp;P1153,"")</f>
        <v>KP-6b Porcentaje de personas transgénero elegibles que iniciaron PrEP durante el período de reporte-6</v>
      </c>
      <c r="R1153" s="194" t="str">
        <f t="array" ref="R1153">IFERROR(IF(INDEX('Disaggregation Records'!$E$155:$E$385,MATCH(RIGHT(Q1153,255),RIGHT('Disaggregation Records'!$D$155:$D$385,255),0))="","",INDEX('Disaggregation Records'!$E$155:$E$385,MATCH(RIGHT(Q1153,255),RIGHT('Disaggregation Records'!$D$155:$D$385,255),0))),"")</f>
        <v/>
      </c>
      <c r="S1153" s="194" t="str">
        <f t="array" ref="S1153">IFERROR(IF(INDEX('Disaggregation Records'!$F$155:$F$385,MATCH(RIGHT(Q1153,255),RIGHT('Disaggregation Records'!$D$155:$D$385,255),0))="","",INDEX('Disaggregation Records'!$F$155:$F$385,MATCH(RIGHT(Q1153,255),RIGHT('Disaggregation Records'!$D$155:$D$385,255),0))),"")</f>
        <v/>
      </c>
      <c r="T1153" s="194" t="str">
        <f t="array" ref="T1153">IFERROR(IF(INDEX('Disaggregation Records'!$H$155:$H$385,MATCH(RIGHT(Q1153,255),RIGHT('Disaggregation Records'!$D$155:$D$385,255),0))="","",INDEX('Disaggregation Records'!$H$155:$H$385,MATCH(RIGHT(Q1153,255),RIGHT('Disaggregation Records'!$D$155:$D$385,255),0))),"")</f>
        <v/>
      </c>
      <c r="U1153" s="194">
        <f>U1151+1</f>
        <v>2766</v>
      </c>
      <c r="V1153" s="194" t="str">
        <f t="array" ref="V1153">IFERROR(IF(INDEX('Disaggregation Records'!$I$155:$I$385,MATCH(RIGHT(Q1153,255),RIGHT('Disaggregation Records'!$D$155:$D$385,255),0))="","",INDEX('Disaggregation Records'!$I$155:$I$385,MATCH(RIGHT(Q1153,255),RIGHT('Disaggregation Records'!$D$155:$D$385,255),0))),"")</f>
        <v/>
      </c>
      <c r="W1153" s="194" t="str">
        <f>IFERROR(INDEX('Reference Records'!L$77:L$157,MATCH(LEFT(C1153,255),'Reference Records'!E$77:E$157,0)),"")</f>
        <v>KP-6b Percentage of eligible transgender people who initiated oral antiretroviral PrEP during the reporting period</v>
      </c>
    </row>
    <row r="1154" spans="1:23" s="194" customFormat="1" ht="40.4" customHeight="1" x14ac:dyDescent="0.35">
      <c r="A1154" s="770"/>
      <c r="B1154" s="767"/>
      <c r="C1154" s="761"/>
      <c r="D1154" s="769"/>
      <c r="E1154" s="769"/>
      <c r="F1154" s="208"/>
      <c r="G1154" s="763"/>
      <c r="H1154" s="744"/>
      <c r="I1154" s="765"/>
      <c r="J1154" s="730"/>
      <c r="K1154" s="761"/>
      <c r="L1154" s="761"/>
      <c r="M1154" s="730"/>
      <c r="N1154" s="730"/>
    </row>
    <row r="1155" spans="1:23" s="194" customFormat="1" ht="40.4" customHeight="1" x14ac:dyDescent="0.35">
      <c r="A1155" s="770" t="str">
        <f ca="1">INDIRECT("'update Helper'!C"&amp;U1155)</f>
        <v>a163p000004NtXJAA0</v>
      </c>
      <c r="B1155" s="766">
        <v>14</v>
      </c>
      <c r="C1155" s="760" t="str">
        <f>VLOOKUP(B1155,'Coverage Indicators - Section D'!$A$9:$AU$70,47,FALSE)</f>
        <v>KP-6b Porcentaje de personas transgénero elegibles que iniciaron PrEP durante el período de reporte</v>
      </c>
      <c r="D1155" s="768" t="str">
        <f>R1155</f>
        <v/>
      </c>
      <c r="E1155" s="768" t="str">
        <f>S1155</f>
        <v/>
      </c>
      <c r="F1155" s="413"/>
      <c r="G1155" s="762" t="str">
        <f ca="1">IF(OR(INDIRECT("'update Helper'!E"&amp;U1155)="",F1155&lt;&gt;0,F1156&lt;&gt;0),IF(IFERROR((F1155/F1156),"")="","",(F1155/F1156)),INDIRECT("'update Helper'!E"&amp;U1155)/100)</f>
        <v/>
      </c>
      <c r="H1155" s="743"/>
      <c r="I1155" s="764"/>
      <c r="J1155" s="729"/>
      <c r="K1155" s="760" t="str">
        <f>W1155</f>
        <v>KP-6b Percentage of eligible transgender people who initiated oral antiretroviral PrEP during the reporting period</v>
      </c>
      <c r="L1155" s="760" t="str">
        <f>V1155</f>
        <v/>
      </c>
      <c r="M1155" s="729"/>
      <c r="N1155" s="729"/>
      <c r="P1155" s="194">
        <f>IF(AND(EXACT(C1155,C1153),C1153&lt;&gt;0),P1153+1,0)</f>
        <v>7</v>
      </c>
      <c r="Q1155" s="194" t="str">
        <f>IF(C1155&lt;&gt;"",C1155&amp;"-"&amp;P1155,"")</f>
        <v>KP-6b Porcentaje de personas transgénero elegibles que iniciaron PrEP durante el período de reporte-7</v>
      </c>
      <c r="R1155" s="194" t="str">
        <f t="array" ref="R1155">IFERROR(IF(INDEX('Disaggregation Records'!$E$155:$E$385,MATCH(RIGHT(Q1155,255),RIGHT('Disaggregation Records'!$D$155:$D$385,255),0))="","",INDEX('Disaggregation Records'!$E$155:$E$385,MATCH(RIGHT(Q1155,255),RIGHT('Disaggregation Records'!$D$155:$D$385,255),0))),"")</f>
        <v/>
      </c>
      <c r="S1155" s="194" t="str">
        <f t="array" ref="S1155">IFERROR(IF(INDEX('Disaggregation Records'!$F$155:$F$385,MATCH(RIGHT(Q1155,255),RIGHT('Disaggregation Records'!$D$155:$D$385,255),0))="","",INDEX('Disaggregation Records'!$F$155:$F$385,MATCH(RIGHT(Q1155,255),RIGHT('Disaggregation Records'!$D$155:$D$385,255),0))),"")</f>
        <v/>
      </c>
      <c r="T1155" s="194" t="str">
        <f t="array" ref="T1155">IFERROR(IF(INDEX('Disaggregation Records'!$H$155:$H$385,MATCH(RIGHT(Q1155,255),RIGHT('Disaggregation Records'!$D$155:$D$385,255),0))="","",INDEX('Disaggregation Records'!$H$155:$H$385,MATCH(RIGHT(Q1155,255),RIGHT('Disaggregation Records'!$D$155:$D$385,255),0))),"")</f>
        <v/>
      </c>
      <c r="U1155" s="194">
        <f>U1153+1</f>
        <v>2767</v>
      </c>
      <c r="V1155" s="194" t="str">
        <f t="array" ref="V1155">IFERROR(IF(INDEX('Disaggregation Records'!$I$155:$I$385,MATCH(RIGHT(Q1155,255),RIGHT('Disaggregation Records'!$D$155:$D$385,255),0))="","",INDEX('Disaggregation Records'!$I$155:$I$385,MATCH(RIGHT(Q1155,255),RIGHT('Disaggregation Records'!$D$155:$D$385,255),0))),"")</f>
        <v/>
      </c>
      <c r="W1155" s="194" t="str">
        <f>IFERROR(INDEX('Reference Records'!L$77:L$157,MATCH(LEFT(C1155,255),'Reference Records'!E$77:E$157,0)),"")</f>
        <v>KP-6b Percentage of eligible transgender people who initiated oral antiretroviral PrEP during the reporting period</v>
      </c>
    </row>
    <row r="1156" spans="1:23" s="194" customFormat="1" ht="40.4" customHeight="1" x14ac:dyDescent="0.35">
      <c r="A1156" s="770"/>
      <c r="B1156" s="767"/>
      <c r="C1156" s="761"/>
      <c r="D1156" s="769"/>
      <c r="E1156" s="769"/>
      <c r="F1156" s="208"/>
      <c r="G1156" s="763"/>
      <c r="H1156" s="744"/>
      <c r="I1156" s="765"/>
      <c r="J1156" s="730"/>
      <c r="K1156" s="761"/>
      <c r="L1156" s="761"/>
      <c r="M1156" s="730"/>
      <c r="N1156" s="730"/>
    </row>
    <row r="1157" spans="1:23" s="194" customFormat="1" ht="40.4" customHeight="1" x14ac:dyDescent="0.35">
      <c r="A1157" s="770" t="str">
        <f ca="1">INDIRECT("'update Helper'!C"&amp;U1157)</f>
        <v>a163p000004NtXKAA0</v>
      </c>
      <c r="B1157" s="766">
        <v>14</v>
      </c>
      <c r="C1157" s="760" t="str">
        <f>VLOOKUP(B1157,'Coverage Indicators - Section D'!$A$9:$AU$70,47,FALSE)</f>
        <v>KP-6b Porcentaje de personas transgénero elegibles que iniciaron PrEP durante el período de reporte</v>
      </c>
      <c r="D1157" s="768" t="str">
        <f>R1157</f>
        <v/>
      </c>
      <c r="E1157" s="768" t="str">
        <f>S1157</f>
        <v/>
      </c>
      <c r="F1157" s="413"/>
      <c r="G1157" s="762" t="str">
        <f ca="1">IF(OR(INDIRECT("'update Helper'!E"&amp;U1157)="",F1157&lt;&gt;0,F1158&lt;&gt;0),IF(IFERROR((F1157/F1158),"")="","",(F1157/F1158)),INDIRECT("'update Helper'!E"&amp;U1157)/100)</f>
        <v/>
      </c>
      <c r="H1157" s="743"/>
      <c r="I1157" s="764"/>
      <c r="J1157" s="729"/>
      <c r="K1157" s="760" t="str">
        <f>W1157</f>
        <v>KP-6b Percentage of eligible transgender people who initiated oral antiretroviral PrEP during the reporting period</v>
      </c>
      <c r="L1157" s="760" t="str">
        <f>V1157</f>
        <v/>
      </c>
      <c r="M1157" s="729"/>
      <c r="N1157" s="729"/>
      <c r="P1157" s="194">
        <f>IF(AND(EXACT(C1157,C1155),C1155&lt;&gt;0),P1155+1,0)</f>
        <v>8</v>
      </c>
      <c r="Q1157" s="194" t="str">
        <f>IF(C1157&lt;&gt;"",C1157&amp;"-"&amp;P1157,"")</f>
        <v>KP-6b Porcentaje de personas transgénero elegibles que iniciaron PrEP durante el período de reporte-8</v>
      </c>
      <c r="R1157" s="194" t="str">
        <f t="array" ref="R1157">IFERROR(IF(INDEX('Disaggregation Records'!$E$155:$E$385,MATCH(RIGHT(Q1157,255),RIGHT('Disaggregation Records'!$D$155:$D$385,255),0))="","",INDEX('Disaggregation Records'!$E$155:$E$385,MATCH(RIGHT(Q1157,255),RIGHT('Disaggregation Records'!$D$155:$D$385,255),0))),"")</f>
        <v/>
      </c>
      <c r="S1157" s="194" t="str">
        <f t="array" ref="S1157">IFERROR(IF(INDEX('Disaggregation Records'!$F$155:$F$385,MATCH(RIGHT(Q1157,255),RIGHT('Disaggregation Records'!$D$155:$D$385,255),0))="","",INDEX('Disaggregation Records'!$F$155:$F$385,MATCH(RIGHT(Q1157,255),RIGHT('Disaggregation Records'!$D$155:$D$385,255),0))),"")</f>
        <v/>
      </c>
      <c r="T1157" s="194" t="str">
        <f t="array" ref="T1157">IFERROR(IF(INDEX('Disaggregation Records'!$H$155:$H$385,MATCH(RIGHT(Q1157,255),RIGHT('Disaggregation Records'!$D$155:$D$385,255),0))="","",INDEX('Disaggregation Records'!$H$155:$H$385,MATCH(RIGHT(Q1157,255),RIGHT('Disaggregation Records'!$D$155:$D$385,255),0))),"")</f>
        <v/>
      </c>
      <c r="U1157" s="194">
        <f>U1155+1</f>
        <v>2768</v>
      </c>
      <c r="V1157" s="194" t="str">
        <f t="array" ref="V1157">IFERROR(IF(INDEX('Disaggregation Records'!$I$155:$I$385,MATCH(RIGHT(Q1157,255),RIGHT('Disaggregation Records'!$D$155:$D$385,255),0))="","",INDEX('Disaggregation Records'!$I$155:$I$385,MATCH(RIGHT(Q1157,255),RIGHT('Disaggregation Records'!$D$155:$D$385,255),0))),"")</f>
        <v/>
      </c>
      <c r="W1157" s="194" t="str">
        <f>IFERROR(INDEX('Reference Records'!L$77:L$157,MATCH(LEFT(C1157,255),'Reference Records'!E$77:E$157,0)),"")</f>
        <v>KP-6b Percentage of eligible transgender people who initiated oral antiretroviral PrEP during the reporting period</v>
      </c>
    </row>
    <row r="1158" spans="1:23" s="194" customFormat="1" ht="40.4" customHeight="1" x14ac:dyDescent="0.35">
      <c r="A1158" s="770"/>
      <c r="B1158" s="767"/>
      <c r="C1158" s="761"/>
      <c r="D1158" s="769"/>
      <c r="E1158" s="769"/>
      <c r="F1158" s="208"/>
      <c r="G1158" s="763"/>
      <c r="H1158" s="744"/>
      <c r="I1158" s="765"/>
      <c r="J1158" s="730"/>
      <c r="K1158" s="761"/>
      <c r="L1158" s="761"/>
      <c r="M1158" s="730"/>
      <c r="N1158" s="730"/>
    </row>
    <row r="1159" spans="1:23" s="194" customFormat="1" ht="40.4" customHeight="1" x14ac:dyDescent="0.35">
      <c r="A1159" s="770" t="str">
        <f ca="1">INDIRECT("'update Helper'!C"&amp;U1159)</f>
        <v>a163p000004NtXLAA0</v>
      </c>
      <c r="B1159" s="766">
        <v>14</v>
      </c>
      <c r="C1159" s="760" t="str">
        <f>VLOOKUP(B1159,'Coverage Indicators - Section D'!$A$9:$AU$70,47,FALSE)</f>
        <v>KP-6b Porcentaje de personas transgénero elegibles que iniciaron PrEP durante el período de reporte</v>
      </c>
      <c r="D1159" s="768" t="str">
        <f>R1159</f>
        <v/>
      </c>
      <c r="E1159" s="768" t="str">
        <f>S1159</f>
        <v/>
      </c>
      <c r="F1159" s="413"/>
      <c r="G1159" s="762" t="str">
        <f ca="1">IF(OR(INDIRECT("'update Helper'!E"&amp;U1159)="",F1159&lt;&gt;0,F1160&lt;&gt;0),IF(IFERROR((F1159/F1160),"")="","",(F1159/F1160)),INDIRECT("'update Helper'!E"&amp;U1159)/100)</f>
        <v/>
      </c>
      <c r="H1159" s="743"/>
      <c r="I1159" s="764"/>
      <c r="J1159" s="729"/>
      <c r="K1159" s="760" t="str">
        <f>W1159</f>
        <v>KP-6b Percentage of eligible transgender people who initiated oral antiretroviral PrEP during the reporting period</v>
      </c>
      <c r="L1159" s="760" t="str">
        <f>V1159</f>
        <v/>
      </c>
      <c r="M1159" s="729"/>
      <c r="N1159" s="729"/>
      <c r="P1159" s="194">
        <f>IF(AND(EXACT(C1159,C1157),C1157&lt;&gt;0),P1157+1,0)</f>
        <v>9</v>
      </c>
      <c r="Q1159" s="194" t="str">
        <f>IF(C1159&lt;&gt;"",C1159&amp;"-"&amp;P1159,"")</f>
        <v>KP-6b Porcentaje de personas transgénero elegibles que iniciaron PrEP durante el período de reporte-9</v>
      </c>
      <c r="R1159" s="194" t="str">
        <f t="array" ref="R1159">IFERROR(IF(INDEX('Disaggregation Records'!$E$155:$E$385,MATCH(RIGHT(Q1159,255),RIGHT('Disaggregation Records'!$D$155:$D$385,255),0))="","",INDEX('Disaggregation Records'!$E$155:$E$385,MATCH(RIGHT(Q1159,255),RIGHT('Disaggregation Records'!$D$155:$D$385,255),0))),"")</f>
        <v/>
      </c>
      <c r="S1159" s="194" t="str">
        <f t="array" ref="S1159">IFERROR(IF(INDEX('Disaggregation Records'!$F$155:$F$385,MATCH(RIGHT(Q1159,255),RIGHT('Disaggregation Records'!$D$155:$D$385,255),0))="","",INDEX('Disaggregation Records'!$F$155:$F$385,MATCH(RIGHT(Q1159,255),RIGHT('Disaggregation Records'!$D$155:$D$385,255),0))),"")</f>
        <v/>
      </c>
      <c r="T1159" s="194" t="str">
        <f t="array" ref="T1159">IFERROR(IF(INDEX('Disaggregation Records'!$H$155:$H$385,MATCH(RIGHT(Q1159,255),RIGHT('Disaggregation Records'!$D$155:$D$385,255),0))="","",INDEX('Disaggregation Records'!$H$155:$H$385,MATCH(RIGHT(Q1159,255),RIGHT('Disaggregation Records'!$D$155:$D$385,255),0))),"")</f>
        <v/>
      </c>
      <c r="U1159" s="194">
        <f>U1157+1</f>
        <v>2769</v>
      </c>
      <c r="V1159" s="194" t="str">
        <f t="array" ref="V1159">IFERROR(IF(INDEX('Disaggregation Records'!$I$155:$I$385,MATCH(RIGHT(Q1159,255),RIGHT('Disaggregation Records'!$D$155:$D$385,255),0))="","",INDEX('Disaggregation Records'!$I$155:$I$385,MATCH(RIGHT(Q1159,255),RIGHT('Disaggregation Records'!$D$155:$D$385,255),0))),"")</f>
        <v/>
      </c>
      <c r="W1159" s="194" t="str">
        <f>IFERROR(INDEX('Reference Records'!L$77:L$157,MATCH(LEFT(C1159,255),'Reference Records'!E$77:E$157,0)),"")</f>
        <v>KP-6b Percentage of eligible transgender people who initiated oral antiretroviral PrEP during the reporting period</v>
      </c>
    </row>
    <row r="1160" spans="1:23" s="194" customFormat="1" ht="40.4" customHeight="1" x14ac:dyDescent="0.35">
      <c r="A1160" s="770"/>
      <c r="B1160" s="767"/>
      <c r="C1160" s="761"/>
      <c r="D1160" s="769"/>
      <c r="E1160" s="769"/>
      <c r="F1160" s="208"/>
      <c r="G1160" s="763"/>
      <c r="H1160" s="744"/>
      <c r="I1160" s="765"/>
      <c r="J1160" s="730"/>
      <c r="K1160" s="761"/>
      <c r="L1160" s="761"/>
      <c r="M1160" s="730"/>
      <c r="N1160" s="730"/>
    </row>
    <row r="1161" spans="1:23" s="194" customFormat="1" ht="40.4" customHeight="1" x14ac:dyDescent="0.35">
      <c r="A1161" s="770" t="str">
        <f ca="1">INDIRECT("'update Helper'!C"&amp;U1161)</f>
        <v>a163p000004NtXMAA0</v>
      </c>
      <c r="B1161" s="766">
        <v>14</v>
      </c>
      <c r="C1161" s="760" t="str">
        <f>VLOOKUP(B1161,'Coverage Indicators - Section D'!$A$9:$AU$70,47,FALSE)</f>
        <v>KP-6b Porcentaje de personas transgénero elegibles que iniciaron PrEP durante el período de reporte</v>
      </c>
      <c r="D1161" s="768" t="str">
        <f>R1161</f>
        <v/>
      </c>
      <c r="E1161" s="768" t="str">
        <f>S1161</f>
        <v/>
      </c>
      <c r="F1161" s="413"/>
      <c r="G1161" s="762" t="str">
        <f ca="1">IF(OR(INDIRECT("'update Helper'!E"&amp;U1161)="",F1161&lt;&gt;0,F1162&lt;&gt;0),IF(IFERROR((F1161/F1162),"")="","",(F1161/F1162)),INDIRECT("'update Helper'!E"&amp;U1161)/100)</f>
        <v/>
      </c>
      <c r="H1161" s="743"/>
      <c r="I1161" s="764"/>
      <c r="J1161" s="729"/>
      <c r="K1161" s="760" t="str">
        <f>W1161</f>
        <v>KP-6b Percentage of eligible transgender people who initiated oral antiretroviral PrEP during the reporting period</v>
      </c>
      <c r="L1161" s="760" t="str">
        <f>V1161</f>
        <v/>
      </c>
      <c r="M1161" s="729"/>
      <c r="N1161" s="729"/>
      <c r="P1161" s="194">
        <f>IF(AND(EXACT(C1161,C1159),C1159&lt;&gt;0),P1159+1,0)</f>
        <v>10</v>
      </c>
      <c r="Q1161" s="194" t="str">
        <f>IF(C1161&lt;&gt;"",C1161&amp;"-"&amp;P1161,"")</f>
        <v>KP-6b Porcentaje de personas transgénero elegibles que iniciaron PrEP durante el período de reporte-10</v>
      </c>
      <c r="R1161" s="194" t="str">
        <f t="array" ref="R1161">IFERROR(IF(INDEX('Disaggregation Records'!$E$155:$E$385,MATCH(RIGHT(Q1161,255),RIGHT('Disaggregation Records'!$D$155:$D$385,255),0))="","",INDEX('Disaggregation Records'!$E$155:$E$385,MATCH(RIGHT(Q1161,255),RIGHT('Disaggregation Records'!$D$155:$D$385,255),0))),"")</f>
        <v/>
      </c>
      <c r="S1161" s="194" t="str">
        <f t="array" ref="S1161">IFERROR(IF(INDEX('Disaggregation Records'!$F$155:$F$385,MATCH(RIGHT(Q1161,255),RIGHT('Disaggregation Records'!$D$155:$D$385,255),0))="","",INDEX('Disaggregation Records'!$F$155:$F$385,MATCH(RIGHT(Q1161,255),RIGHT('Disaggregation Records'!$D$155:$D$385,255),0))),"")</f>
        <v/>
      </c>
      <c r="T1161" s="194" t="str">
        <f t="array" ref="T1161">IFERROR(IF(INDEX('Disaggregation Records'!$H$155:$H$385,MATCH(RIGHT(Q1161,255),RIGHT('Disaggregation Records'!$D$155:$D$385,255),0))="","",INDEX('Disaggregation Records'!$H$155:$H$385,MATCH(RIGHT(Q1161,255),RIGHT('Disaggregation Records'!$D$155:$D$385,255),0))),"")</f>
        <v/>
      </c>
      <c r="U1161" s="194">
        <f>U1159+1</f>
        <v>2770</v>
      </c>
      <c r="V1161" s="194" t="str">
        <f t="array" ref="V1161">IFERROR(IF(INDEX('Disaggregation Records'!$I$155:$I$385,MATCH(RIGHT(Q1161,255),RIGHT('Disaggregation Records'!$D$155:$D$385,255),0))="","",INDEX('Disaggregation Records'!$I$155:$I$385,MATCH(RIGHT(Q1161,255),RIGHT('Disaggregation Records'!$D$155:$D$385,255),0))),"")</f>
        <v/>
      </c>
      <c r="W1161" s="194" t="str">
        <f>IFERROR(INDEX('Reference Records'!L$77:L$157,MATCH(LEFT(C1161,255),'Reference Records'!E$77:E$157,0)),"")</f>
        <v>KP-6b Percentage of eligible transgender people who initiated oral antiretroviral PrEP during the reporting period</v>
      </c>
    </row>
    <row r="1162" spans="1:23" s="194" customFormat="1" ht="40.4" customHeight="1" x14ac:dyDescent="0.35">
      <c r="A1162" s="770"/>
      <c r="B1162" s="767"/>
      <c r="C1162" s="761"/>
      <c r="D1162" s="769"/>
      <c r="E1162" s="769"/>
      <c r="F1162" s="208"/>
      <c r="G1162" s="763"/>
      <c r="H1162" s="744"/>
      <c r="I1162" s="765"/>
      <c r="J1162" s="730"/>
      <c r="K1162" s="761"/>
      <c r="L1162" s="761"/>
      <c r="M1162" s="730"/>
      <c r="N1162" s="730"/>
    </row>
    <row r="1163" spans="1:23" s="194" customFormat="1" ht="40.4" customHeight="1" x14ac:dyDescent="0.35">
      <c r="A1163" s="770" t="str">
        <f ca="1">INDIRECT("'update Helper'!C"&amp;U1163)</f>
        <v>a163p000004NtXNAA0</v>
      </c>
      <c r="B1163" s="766">
        <v>14</v>
      </c>
      <c r="C1163" s="760" t="str">
        <f>VLOOKUP(B1163,'Coverage Indicators - Section D'!$A$9:$AU$70,47,FALSE)</f>
        <v>KP-6b Porcentaje de personas transgénero elegibles que iniciaron PrEP durante el período de reporte</v>
      </c>
      <c r="D1163" s="768" t="str">
        <f>R1163</f>
        <v/>
      </c>
      <c r="E1163" s="768" t="str">
        <f>S1163</f>
        <v/>
      </c>
      <c r="F1163" s="413"/>
      <c r="G1163" s="762" t="str">
        <f ca="1">IF(OR(INDIRECT("'update Helper'!E"&amp;U1163)="",F1163&lt;&gt;0,F1164&lt;&gt;0),IF(IFERROR((F1163/F1164),"")="","",(F1163/F1164)),INDIRECT("'update Helper'!E"&amp;U1163)/100)</f>
        <v/>
      </c>
      <c r="H1163" s="743"/>
      <c r="I1163" s="764"/>
      <c r="J1163" s="729"/>
      <c r="K1163" s="760" t="str">
        <f>W1163</f>
        <v>KP-6b Percentage of eligible transgender people who initiated oral antiretroviral PrEP during the reporting period</v>
      </c>
      <c r="L1163" s="760" t="str">
        <f>V1163</f>
        <v/>
      </c>
      <c r="M1163" s="729"/>
      <c r="N1163" s="729"/>
      <c r="P1163" s="194">
        <f>IF(AND(EXACT(C1163,C1161),C1161&lt;&gt;0),P1161+1,0)</f>
        <v>11</v>
      </c>
      <c r="Q1163" s="194" t="str">
        <f>IF(C1163&lt;&gt;"",C1163&amp;"-"&amp;P1163,"")</f>
        <v>KP-6b Porcentaje de personas transgénero elegibles que iniciaron PrEP durante el período de reporte-11</v>
      </c>
      <c r="R1163" s="194" t="str">
        <f t="array" ref="R1163">IFERROR(IF(INDEX('Disaggregation Records'!$E$155:$E$385,MATCH(RIGHT(Q1163,255),RIGHT('Disaggregation Records'!$D$155:$D$385,255),0))="","",INDEX('Disaggregation Records'!$E$155:$E$385,MATCH(RIGHT(Q1163,255),RIGHT('Disaggregation Records'!$D$155:$D$385,255),0))),"")</f>
        <v/>
      </c>
      <c r="S1163" s="194" t="str">
        <f t="array" ref="S1163">IFERROR(IF(INDEX('Disaggregation Records'!$F$155:$F$385,MATCH(RIGHT(Q1163,255),RIGHT('Disaggregation Records'!$D$155:$D$385,255),0))="","",INDEX('Disaggregation Records'!$F$155:$F$385,MATCH(RIGHT(Q1163,255),RIGHT('Disaggregation Records'!$D$155:$D$385,255),0))),"")</f>
        <v/>
      </c>
      <c r="T1163" s="194" t="str">
        <f t="array" ref="T1163">IFERROR(IF(INDEX('Disaggregation Records'!$H$155:$H$385,MATCH(RIGHT(Q1163,255),RIGHT('Disaggregation Records'!$D$155:$D$385,255),0))="","",INDEX('Disaggregation Records'!$H$155:$H$385,MATCH(RIGHT(Q1163,255),RIGHT('Disaggregation Records'!$D$155:$D$385,255),0))),"")</f>
        <v/>
      </c>
      <c r="U1163" s="194">
        <f>U1161+1</f>
        <v>2771</v>
      </c>
      <c r="V1163" s="194" t="str">
        <f t="array" ref="V1163">IFERROR(IF(INDEX('Disaggregation Records'!$I$155:$I$385,MATCH(RIGHT(Q1163,255),RIGHT('Disaggregation Records'!$D$155:$D$385,255),0))="","",INDEX('Disaggregation Records'!$I$155:$I$385,MATCH(RIGHT(Q1163,255),RIGHT('Disaggregation Records'!$D$155:$D$385,255),0))),"")</f>
        <v/>
      </c>
      <c r="W1163" s="194" t="str">
        <f>IFERROR(INDEX('Reference Records'!L$77:L$157,MATCH(LEFT(C1163,255),'Reference Records'!E$77:E$157,0)),"")</f>
        <v>KP-6b Percentage of eligible transgender people who initiated oral antiretroviral PrEP during the reporting period</v>
      </c>
    </row>
    <row r="1164" spans="1:23" s="194" customFormat="1" ht="40.4" customHeight="1" x14ac:dyDescent="0.35">
      <c r="A1164" s="770"/>
      <c r="B1164" s="767"/>
      <c r="C1164" s="761"/>
      <c r="D1164" s="769"/>
      <c r="E1164" s="769"/>
      <c r="F1164" s="208"/>
      <c r="G1164" s="763"/>
      <c r="H1164" s="744"/>
      <c r="I1164" s="765"/>
      <c r="J1164" s="730"/>
      <c r="K1164" s="761"/>
      <c r="L1164" s="761"/>
      <c r="M1164" s="730"/>
      <c r="N1164" s="730"/>
    </row>
    <row r="1165" spans="1:23" s="194" customFormat="1" ht="40.4" customHeight="1" x14ac:dyDescent="0.35">
      <c r="A1165" s="770" t="str">
        <f ca="1">INDIRECT("'update Helper'!C"&amp;U1165)</f>
        <v>a163p000004NtXOAA0</v>
      </c>
      <c r="B1165" s="766">
        <v>14</v>
      </c>
      <c r="C1165" s="760" t="str">
        <f>VLOOKUP(B1165,'Coverage Indicators - Section D'!$A$9:$AU$70,47,FALSE)</f>
        <v>KP-6b Porcentaje de personas transgénero elegibles que iniciaron PrEP durante el período de reporte</v>
      </c>
      <c r="D1165" s="768" t="str">
        <f>R1165</f>
        <v/>
      </c>
      <c r="E1165" s="768" t="str">
        <f>S1165</f>
        <v/>
      </c>
      <c r="F1165" s="413"/>
      <c r="G1165" s="762" t="str">
        <f ca="1">IF(OR(INDIRECT("'update Helper'!E"&amp;U1165)="",F1165&lt;&gt;0,F1166&lt;&gt;0),IF(IFERROR((F1165/F1166),"")="","",(F1165/F1166)),INDIRECT("'update Helper'!E"&amp;U1165)/100)</f>
        <v/>
      </c>
      <c r="H1165" s="743"/>
      <c r="I1165" s="764"/>
      <c r="J1165" s="729"/>
      <c r="K1165" s="760" t="str">
        <f>W1165</f>
        <v>KP-6b Percentage of eligible transgender people who initiated oral antiretroviral PrEP during the reporting period</v>
      </c>
      <c r="L1165" s="760" t="str">
        <f>V1165</f>
        <v/>
      </c>
      <c r="M1165" s="729"/>
      <c r="N1165" s="729"/>
      <c r="P1165" s="194">
        <f>IF(AND(EXACT(C1165,C1163),C1163&lt;&gt;0),P1163+1,0)</f>
        <v>12</v>
      </c>
      <c r="Q1165" s="194" t="str">
        <f>IF(C1165&lt;&gt;"",C1165&amp;"-"&amp;P1165,"")</f>
        <v>KP-6b Porcentaje de personas transgénero elegibles que iniciaron PrEP durante el período de reporte-12</v>
      </c>
      <c r="R1165" s="194" t="str">
        <f t="array" ref="R1165">IFERROR(IF(INDEX('Disaggregation Records'!$E$155:$E$385,MATCH(RIGHT(Q1165,255),RIGHT('Disaggregation Records'!$D$155:$D$385,255),0))="","",INDEX('Disaggregation Records'!$E$155:$E$385,MATCH(RIGHT(Q1165,255),RIGHT('Disaggregation Records'!$D$155:$D$385,255),0))),"")</f>
        <v/>
      </c>
      <c r="S1165" s="194" t="str">
        <f t="array" ref="S1165">IFERROR(IF(INDEX('Disaggregation Records'!$F$155:$F$385,MATCH(RIGHT(Q1165,255),RIGHT('Disaggregation Records'!$D$155:$D$385,255),0))="","",INDEX('Disaggregation Records'!$F$155:$F$385,MATCH(RIGHT(Q1165,255),RIGHT('Disaggregation Records'!$D$155:$D$385,255),0))),"")</f>
        <v/>
      </c>
      <c r="T1165" s="194" t="str">
        <f t="array" ref="T1165">IFERROR(IF(INDEX('Disaggregation Records'!$H$155:$H$385,MATCH(RIGHT(Q1165,255),RIGHT('Disaggregation Records'!$D$155:$D$385,255),0))="","",INDEX('Disaggregation Records'!$H$155:$H$385,MATCH(RIGHT(Q1165,255),RIGHT('Disaggregation Records'!$D$155:$D$385,255),0))),"")</f>
        <v/>
      </c>
      <c r="U1165" s="194">
        <f>U1163+1</f>
        <v>2772</v>
      </c>
      <c r="V1165" s="194" t="str">
        <f t="array" ref="V1165">IFERROR(IF(INDEX('Disaggregation Records'!$I$155:$I$385,MATCH(RIGHT(Q1165,255),RIGHT('Disaggregation Records'!$D$155:$D$385,255),0))="","",INDEX('Disaggregation Records'!$I$155:$I$385,MATCH(RIGHT(Q1165,255),RIGHT('Disaggregation Records'!$D$155:$D$385,255),0))),"")</f>
        <v/>
      </c>
      <c r="W1165" s="194" t="str">
        <f>IFERROR(INDEX('Reference Records'!L$77:L$157,MATCH(LEFT(C1165,255),'Reference Records'!E$77:E$157,0)),"")</f>
        <v>KP-6b Percentage of eligible transgender people who initiated oral antiretroviral PrEP during the reporting period</v>
      </c>
    </row>
    <row r="1166" spans="1:23" s="194" customFormat="1" ht="40.4" customHeight="1" x14ac:dyDescent="0.35">
      <c r="A1166" s="770"/>
      <c r="B1166" s="767"/>
      <c r="C1166" s="761"/>
      <c r="D1166" s="769"/>
      <c r="E1166" s="769"/>
      <c r="F1166" s="208"/>
      <c r="G1166" s="763"/>
      <c r="H1166" s="744"/>
      <c r="I1166" s="765"/>
      <c r="J1166" s="730"/>
      <c r="K1166" s="761"/>
      <c r="L1166" s="761"/>
      <c r="M1166" s="730"/>
      <c r="N1166" s="730"/>
    </row>
    <row r="1167" spans="1:23" s="194" customFormat="1" ht="40.4" customHeight="1" x14ac:dyDescent="0.35">
      <c r="A1167" s="770" t="str">
        <f ca="1">INDIRECT("'update Helper'!C"&amp;U1167)</f>
        <v>a163p000004NtXPAA0</v>
      </c>
      <c r="B1167" s="766">
        <v>14</v>
      </c>
      <c r="C1167" s="760" t="str">
        <f>VLOOKUP(B1167,'Coverage Indicators - Section D'!$A$9:$AU$70,47,FALSE)</f>
        <v>KP-6b Porcentaje de personas transgénero elegibles que iniciaron PrEP durante el período de reporte</v>
      </c>
      <c r="D1167" s="768" t="str">
        <f>R1167</f>
        <v/>
      </c>
      <c r="E1167" s="768" t="str">
        <f>S1167</f>
        <v/>
      </c>
      <c r="F1167" s="413"/>
      <c r="G1167" s="762" t="str">
        <f ca="1">IF(OR(INDIRECT("'update Helper'!E"&amp;U1167)="",F1167&lt;&gt;0,F1168&lt;&gt;0),IF(IFERROR((F1167/F1168),"")="","",(F1167/F1168)),INDIRECT("'update Helper'!E"&amp;U1167)/100)</f>
        <v/>
      </c>
      <c r="H1167" s="743"/>
      <c r="I1167" s="764"/>
      <c r="J1167" s="729"/>
      <c r="K1167" s="760" t="str">
        <f>W1167</f>
        <v>KP-6b Percentage of eligible transgender people who initiated oral antiretroviral PrEP during the reporting period</v>
      </c>
      <c r="L1167" s="760" t="str">
        <f>V1167</f>
        <v/>
      </c>
      <c r="M1167" s="729"/>
      <c r="N1167" s="729"/>
      <c r="P1167" s="194">
        <f>IF(AND(EXACT(C1167,C1165),C1165&lt;&gt;0),P1165+1,0)</f>
        <v>13</v>
      </c>
      <c r="Q1167" s="194" t="str">
        <f>IF(C1167&lt;&gt;"",C1167&amp;"-"&amp;P1167,"")</f>
        <v>KP-6b Porcentaje de personas transgénero elegibles que iniciaron PrEP durante el período de reporte-13</v>
      </c>
      <c r="R1167" s="194" t="str">
        <f t="array" ref="R1167">IFERROR(IF(INDEX('Disaggregation Records'!$E$155:$E$385,MATCH(RIGHT(Q1167,255),RIGHT('Disaggregation Records'!$D$155:$D$385,255),0))="","",INDEX('Disaggregation Records'!$E$155:$E$385,MATCH(RIGHT(Q1167,255),RIGHT('Disaggregation Records'!$D$155:$D$385,255),0))),"")</f>
        <v/>
      </c>
      <c r="S1167" s="194" t="str">
        <f t="array" ref="S1167">IFERROR(IF(INDEX('Disaggregation Records'!$F$155:$F$385,MATCH(RIGHT(Q1167,255),RIGHT('Disaggregation Records'!$D$155:$D$385,255),0))="","",INDEX('Disaggregation Records'!$F$155:$F$385,MATCH(RIGHT(Q1167,255),RIGHT('Disaggregation Records'!$D$155:$D$385,255),0))),"")</f>
        <v/>
      </c>
      <c r="T1167" s="194" t="str">
        <f t="array" ref="T1167">IFERROR(IF(INDEX('Disaggregation Records'!$H$155:$H$385,MATCH(RIGHT(Q1167,255),RIGHT('Disaggregation Records'!$D$155:$D$385,255),0))="","",INDEX('Disaggregation Records'!$H$155:$H$385,MATCH(RIGHT(Q1167,255),RIGHT('Disaggregation Records'!$D$155:$D$385,255),0))),"")</f>
        <v/>
      </c>
      <c r="U1167" s="194">
        <f>U1165+1</f>
        <v>2773</v>
      </c>
      <c r="V1167" s="194" t="str">
        <f t="array" ref="V1167">IFERROR(IF(INDEX('Disaggregation Records'!$I$155:$I$385,MATCH(RIGHT(Q1167,255),RIGHT('Disaggregation Records'!$D$155:$D$385,255),0))="","",INDEX('Disaggregation Records'!$I$155:$I$385,MATCH(RIGHT(Q1167,255),RIGHT('Disaggregation Records'!$D$155:$D$385,255),0))),"")</f>
        <v/>
      </c>
      <c r="W1167" s="194" t="str">
        <f>IFERROR(INDEX('Reference Records'!L$77:L$157,MATCH(LEFT(C1167,255),'Reference Records'!E$77:E$157,0)),"")</f>
        <v>KP-6b Percentage of eligible transgender people who initiated oral antiretroviral PrEP during the reporting period</v>
      </c>
    </row>
    <row r="1168" spans="1:23" s="194" customFormat="1" ht="40.4" customHeight="1" x14ac:dyDescent="0.35">
      <c r="A1168" s="770"/>
      <c r="B1168" s="767"/>
      <c r="C1168" s="761"/>
      <c r="D1168" s="769"/>
      <c r="E1168" s="769"/>
      <c r="F1168" s="208"/>
      <c r="G1168" s="763"/>
      <c r="H1168" s="744"/>
      <c r="I1168" s="765"/>
      <c r="J1168" s="730"/>
      <c r="K1168" s="761"/>
      <c r="L1168" s="761"/>
      <c r="M1168" s="730"/>
      <c r="N1168" s="730"/>
    </row>
    <row r="1169" spans="1:23" s="194" customFormat="1" ht="40.4" customHeight="1" x14ac:dyDescent="0.35">
      <c r="A1169" s="770" t="str">
        <f ca="1">INDIRECT("'update Helper'!C"&amp;U1169)</f>
        <v>a163p000004NtXQAA0</v>
      </c>
      <c r="B1169" s="766">
        <v>14</v>
      </c>
      <c r="C1169" s="760" t="str">
        <f>VLOOKUP(B1169,'Coverage Indicators - Section D'!$A$9:$AU$70,47,FALSE)</f>
        <v>KP-6b Porcentaje de personas transgénero elegibles que iniciaron PrEP durante el período de reporte</v>
      </c>
      <c r="D1169" s="768" t="str">
        <f>R1169</f>
        <v/>
      </c>
      <c r="E1169" s="768" t="str">
        <f>S1169</f>
        <v/>
      </c>
      <c r="F1169" s="413"/>
      <c r="G1169" s="762" t="str">
        <f ca="1">IF(OR(INDIRECT("'update Helper'!E"&amp;U1169)="",F1169&lt;&gt;0,F1170&lt;&gt;0),IF(IFERROR((F1169/F1170),"")="","",(F1169/F1170)),INDIRECT("'update Helper'!E"&amp;U1169)/100)</f>
        <v/>
      </c>
      <c r="H1169" s="743"/>
      <c r="I1169" s="764"/>
      <c r="J1169" s="729"/>
      <c r="K1169" s="760" t="str">
        <f>W1169</f>
        <v>KP-6b Percentage of eligible transgender people who initiated oral antiretroviral PrEP during the reporting period</v>
      </c>
      <c r="L1169" s="760" t="str">
        <f>V1169</f>
        <v/>
      </c>
      <c r="M1169" s="729"/>
      <c r="N1169" s="729"/>
      <c r="P1169" s="194">
        <f>IF(AND(EXACT(C1169,C1167),C1167&lt;&gt;0),P1167+1,0)</f>
        <v>14</v>
      </c>
      <c r="Q1169" s="194" t="str">
        <f>IF(C1169&lt;&gt;"",C1169&amp;"-"&amp;P1169,"")</f>
        <v>KP-6b Porcentaje de personas transgénero elegibles que iniciaron PrEP durante el período de reporte-14</v>
      </c>
      <c r="R1169" s="194" t="str">
        <f t="array" ref="R1169">IFERROR(IF(INDEX('Disaggregation Records'!$E$155:$E$385,MATCH(RIGHT(Q1169,255),RIGHT('Disaggregation Records'!$D$155:$D$385,255),0))="","",INDEX('Disaggregation Records'!$E$155:$E$385,MATCH(RIGHT(Q1169,255),RIGHT('Disaggregation Records'!$D$155:$D$385,255),0))),"")</f>
        <v/>
      </c>
      <c r="S1169" s="194" t="str">
        <f t="array" ref="S1169">IFERROR(IF(INDEX('Disaggregation Records'!$F$155:$F$385,MATCH(RIGHT(Q1169,255),RIGHT('Disaggregation Records'!$D$155:$D$385,255),0))="","",INDEX('Disaggregation Records'!$F$155:$F$385,MATCH(RIGHT(Q1169,255),RIGHT('Disaggregation Records'!$D$155:$D$385,255),0))),"")</f>
        <v/>
      </c>
      <c r="T1169" s="194" t="str">
        <f t="array" ref="T1169">IFERROR(IF(INDEX('Disaggregation Records'!$H$155:$H$385,MATCH(RIGHT(Q1169,255),RIGHT('Disaggregation Records'!$D$155:$D$385,255),0))="","",INDEX('Disaggregation Records'!$H$155:$H$385,MATCH(RIGHT(Q1169,255),RIGHT('Disaggregation Records'!$D$155:$D$385,255),0))),"")</f>
        <v/>
      </c>
      <c r="U1169" s="194">
        <f>U1167+1</f>
        <v>2774</v>
      </c>
      <c r="V1169" s="194" t="str">
        <f t="array" ref="V1169">IFERROR(IF(INDEX('Disaggregation Records'!$I$155:$I$385,MATCH(RIGHT(Q1169,255),RIGHT('Disaggregation Records'!$D$155:$D$385,255),0))="","",INDEX('Disaggregation Records'!$I$155:$I$385,MATCH(RIGHT(Q1169,255),RIGHT('Disaggregation Records'!$D$155:$D$385,255),0))),"")</f>
        <v/>
      </c>
      <c r="W1169" s="194" t="str">
        <f>IFERROR(INDEX('Reference Records'!L$77:L$157,MATCH(LEFT(C1169,255),'Reference Records'!E$77:E$157,0)),"")</f>
        <v>KP-6b Percentage of eligible transgender people who initiated oral antiretroviral PrEP during the reporting period</v>
      </c>
    </row>
    <row r="1170" spans="1:23" s="194" customFormat="1" ht="40.4" customHeight="1" x14ac:dyDescent="0.35">
      <c r="A1170" s="770"/>
      <c r="B1170" s="767"/>
      <c r="C1170" s="761"/>
      <c r="D1170" s="769"/>
      <c r="E1170" s="769"/>
      <c r="F1170" s="208"/>
      <c r="G1170" s="763"/>
      <c r="H1170" s="744"/>
      <c r="I1170" s="765"/>
      <c r="J1170" s="730"/>
      <c r="K1170" s="761"/>
      <c r="L1170" s="761"/>
      <c r="M1170" s="730"/>
      <c r="N1170" s="730"/>
    </row>
    <row r="1171" spans="1:23" s="194" customFormat="1" ht="40.4" customHeight="1" x14ac:dyDescent="0.35">
      <c r="A1171" s="770" t="str">
        <f ca="1">INDIRECT("'update Helper'!C"&amp;U1171)</f>
        <v>a163p000004NtXRAA0</v>
      </c>
      <c r="B1171" s="766">
        <v>14</v>
      </c>
      <c r="C1171" s="760" t="str">
        <f>VLOOKUP(B1171,'Coverage Indicators - Section D'!$A$9:$AU$70,47,FALSE)</f>
        <v>KP-6b Porcentaje de personas transgénero elegibles que iniciaron PrEP durante el período de reporte</v>
      </c>
      <c r="D1171" s="768" t="str">
        <f>R1171</f>
        <v/>
      </c>
      <c r="E1171" s="768" t="str">
        <f>S1171</f>
        <v/>
      </c>
      <c r="F1171" s="413"/>
      <c r="G1171" s="762" t="str">
        <f ca="1">IF(OR(INDIRECT("'update Helper'!E"&amp;U1171)="",F1171&lt;&gt;0,F1172&lt;&gt;0),IF(IFERROR((F1171/F1172),"")="","",(F1171/F1172)),INDIRECT("'update Helper'!E"&amp;U1171)/100)</f>
        <v/>
      </c>
      <c r="H1171" s="743"/>
      <c r="I1171" s="764"/>
      <c r="J1171" s="729"/>
      <c r="K1171" s="760" t="str">
        <f>W1171</f>
        <v>KP-6b Percentage of eligible transgender people who initiated oral antiretroviral PrEP during the reporting period</v>
      </c>
      <c r="L1171" s="760" t="str">
        <f>V1171</f>
        <v/>
      </c>
      <c r="M1171" s="729"/>
      <c r="N1171" s="729"/>
      <c r="P1171" s="194">
        <f>IF(AND(EXACT(C1171,C1169),C1169&lt;&gt;0),P1169+1,0)</f>
        <v>15</v>
      </c>
      <c r="Q1171" s="194" t="str">
        <f>IF(C1171&lt;&gt;"",C1171&amp;"-"&amp;P1171,"")</f>
        <v>KP-6b Porcentaje de personas transgénero elegibles que iniciaron PrEP durante el período de reporte-15</v>
      </c>
      <c r="R1171" s="194" t="str">
        <f t="array" ref="R1171">IFERROR(IF(INDEX('Disaggregation Records'!$E$155:$E$385,MATCH(RIGHT(Q1171,255),RIGHT('Disaggregation Records'!$D$155:$D$385,255),0))="","",INDEX('Disaggregation Records'!$E$155:$E$385,MATCH(RIGHT(Q1171,255),RIGHT('Disaggregation Records'!$D$155:$D$385,255),0))),"")</f>
        <v/>
      </c>
      <c r="S1171" s="194" t="str">
        <f t="array" ref="S1171">IFERROR(IF(INDEX('Disaggregation Records'!$F$155:$F$385,MATCH(RIGHT(Q1171,255),RIGHT('Disaggregation Records'!$D$155:$D$385,255),0))="","",INDEX('Disaggregation Records'!$F$155:$F$385,MATCH(RIGHT(Q1171,255),RIGHT('Disaggregation Records'!$D$155:$D$385,255),0))),"")</f>
        <v/>
      </c>
      <c r="T1171" s="194" t="str">
        <f t="array" ref="T1171">IFERROR(IF(INDEX('Disaggregation Records'!$H$155:$H$385,MATCH(RIGHT(Q1171,255),RIGHT('Disaggregation Records'!$D$155:$D$385,255),0))="","",INDEX('Disaggregation Records'!$H$155:$H$385,MATCH(RIGHT(Q1171,255),RIGHT('Disaggregation Records'!$D$155:$D$385,255),0))),"")</f>
        <v/>
      </c>
      <c r="U1171" s="194">
        <f>U1169+1</f>
        <v>2775</v>
      </c>
      <c r="V1171" s="194" t="str">
        <f t="array" ref="V1171">IFERROR(IF(INDEX('Disaggregation Records'!$I$155:$I$385,MATCH(RIGHT(Q1171,255),RIGHT('Disaggregation Records'!$D$155:$D$385,255),0))="","",INDEX('Disaggregation Records'!$I$155:$I$385,MATCH(RIGHT(Q1171,255),RIGHT('Disaggregation Records'!$D$155:$D$385,255),0))),"")</f>
        <v/>
      </c>
      <c r="W1171" s="194" t="str">
        <f>IFERROR(INDEX('Reference Records'!L$77:L$157,MATCH(LEFT(C1171,255),'Reference Records'!E$77:E$157,0)),"")</f>
        <v>KP-6b Percentage of eligible transgender people who initiated oral antiretroviral PrEP during the reporting period</v>
      </c>
    </row>
    <row r="1172" spans="1:23" s="194" customFormat="1" ht="40.4" customHeight="1" x14ac:dyDescent="0.35">
      <c r="A1172" s="770"/>
      <c r="B1172" s="767"/>
      <c r="C1172" s="761"/>
      <c r="D1172" s="769"/>
      <c r="E1172" s="769"/>
      <c r="F1172" s="208"/>
      <c r="G1172" s="763"/>
      <c r="H1172" s="744"/>
      <c r="I1172" s="765"/>
      <c r="J1172" s="730"/>
      <c r="K1172" s="761"/>
      <c r="L1172" s="761"/>
      <c r="M1172" s="730"/>
      <c r="N1172" s="730"/>
    </row>
    <row r="1173" spans="1:23" s="194" customFormat="1" ht="40.4" customHeight="1" x14ac:dyDescent="0.35">
      <c r="A1173" s="770" t="str">
        <f ca="1">INDIRECT("'update Helper'!C"&amp;U1173)</f>
        <v>a163p000004NtXSAA0</v>
      </c>
      <c r="B1173" s="766">
        <v>14</v>
      </c>
      <c r="C1173" s="760" t="str">
        <f>VLOOKUP(B1173,'Coverage Indicators - Section D'!$A$9:$AU$70,47,FALSE)</f>
        <v>KP-6b Porcentaje de personas transgénero elegibles que iniciaron PrEP durante el período de reporte</v>
      </c>
      <c r="D1173" s="768" t="str">
        <f>R1173</f>
        <v/>
      </c>
      <c r="E1173" s="768" t="str">
        <f>S1173</f>
        <v/>
      </c>
      <c r="F1173" s="413"/>
      <c r="G1173" s="762" t="str">
        <f ca="1">IF(OR(INDIRECT("'update Helper'!E"&amp;U1173)="",F1173&lt;&gt;0,F1174&lt;&gt;0),IF(IFERROR((F1173/F1174),"")="","",(F1173/F1174)),INDIRECT("'update Helper'!E"&amp;U1173)/100)</f>
        <v/>
      </c>
      <c r="H1173" s="743"/>
      <c r="I1173" s="764"/>
      <c r="J1173" s="729"/>
      <c r="K1173" s="760" t="str">
        <f>W1173</f>
        <v>KP-6b Percentage of eligible transgender people who initiated oral antiretroviral PrEP during the reporting period</v>
      </c>
      <c r="L1173" s="760" t="str">
        <f>V1173</f>
        <v/>
      </c>
      <c r="M1173" s="729"/>
      <c r="N1173" s="729"/>
      <c r="P1173" s="194">
        <f>IF(AND(EXACT(C1173,C1171),C1171&lt;&gt;0),P1171+1,0)</f>
        <v>16</v>
      </c>
      <c r="Q1173" s="194" t="str">
        <f>IF(C1173&lt;&gt;"",C1173&amp;"-"&amp;P1173,"")</f>
        <v>KP-6b Porcentaje de personas transgénero elegibles que iniciaron PrEP durante el período de reporte-16</v>
      </c>
      <c r="R1173" s="194" t="str">
        <f t="array" ref="R1173">IFERROR(IF(INDEX('Disaggregation Records'!$E$155:$E$385,MATCH(RIGHT(Q1173,255),RIGHT('Disaggregation Records'!$D$155:$D$385,255),0))="","",INDEX('Disaggregation Records'!$E$155:$E$385,MATCH(RIGHT(Q1173,255),RIGHT('Disaggregation Records'!$D$155:$D$385,255),0))),"")</f>
        <v/>
      </c>
      <c r="S1173" s="194" t="str">
        <f t="array" ref="S1173">IFERROR(IF(INDEX('Disaggregation Records'!$F$155:$F$385,MATCH(RIGHT(Q1173,255),RIGHT('Disaggregation Records'!$D$155:$D$385,255),0))="","",INDEX('Disaggregation Records'!$F$155:$F$385,MATCH(RIGHT(Q1173,255),RIGHT('Disaggregation Records'!$D$155:$D$385,255),0))),"")</f>
        <v/>
      </c>
      <c r="T1173" s="194" t="str">
        <f t="array" ref="T1173">IFERROR(IF(INDEX('Disaggregation Records'!$H$155:$H$385,MATCH(RIGHT(Q1173,255),RIGHT('Disaggregation Records'!$D$155:$D$385,255),0))="","",INDEX('Disaggregation Records'!$H$155:$H$385,MATCH(RIGHT(Q1173,255),RIGHT('Disaggregation Records'!$D$155:$D$385,255),0))),"")</f>
        <v/>
      </c>
      <c r="U1173" s="194">
        <f>U1171+1</f>
        <v>2776</v>
      </c>
      <c r="V1173" s="194" t="str">
        <f t="array" ref="V1173">IFERROR(IF(INDEX('Disaggregation Records'!$I$155:$I$385,MATCH(RIGHT(Q1173,255),RIGHT('Disaggregation Records'!$D$155:$D$385,255),0))="","",INDEX('Disaggregation Records'!$I$155:$I$385,MATCH(RIGHT(Q1173,255),RIGHT('Disaggregation Records'!$D$155:$D$385,255),0))),"")</f>
        <v/>
      </c>
      <c r="W1173" s="194" t="str">
        <f>IFERROR(INDEX('Reference Records'!L$77:L$157,MATCH(LEFT(C1173,255),'Reference Records'!E$77:E$157,0)),"")</f>
        <v>KP-6b Percentage of eligible transgender people who initiated oral antiretroviral PrEP during the reporting period</v>
      </c>
    </row>
    <row r="1174" spans="1:23" s="194" customFormat="1" ht="40.4" customHeight="1" x14ac:dyDescent="0.35">
      <c r="A1174" s="770"/>
      <c r="B1174" s="767"/>
      <c r="C1174" s="761"/>
      <c r="D1174" s="769"/>
      <c r="E1174" s="769"/>
      <c r="F1174" s="208"/>
      <c r="G1174" s="763"/>
      <c r="H1174" s="744"/>
      <c r="I1174" s="765"/>
      <c r="J1174" s="730"/>
      <c r="K1174" s="761"/>
      <c r="L1174" s="761"/>
      <c r="M1174" s="730"/>
      <c r="N1174" s="730"/>
    </row>
    <row r="1175" spans="1:23" s="194" customFormat="1" ht="40.4" customHeight="1" x14ac:dyDescent="0.35">
      <c r="A1175" s="770" t="str">
        <f ca="1">INDIRECT("'update Helper'!C"&amp;U1175)</f>
        <v>a163p000004NtXTAA0</v>
      </c>
      <c r="B1175" s="766">
        <v>14</v>
      </c>
      <c r="C1175" s="760" t="str">
        <f>VLOOKUP(B1175,'Coverage Indicators - Section D'!$A$9:$AU$70,47,FALSE)</f>
        <v>KP-6b Porcentaje de personas transgénero elegibles que iniciaron PrEP durante el período de reporte</v>
      </c>
      <c r="D1175" s="768" t="str">
        <f>R1175</f>
        <v/>
      </c>
      <c r="E1175" s="768" t="str">
        <f>S1175</f>
        <v/>
      </c>
      <c r="F1175" s="413"/>
      <c r="G1175" s="762" t="str">
        <f ca="1">IF(OR(INDIRECT("'update Helper'!E"&amp;U1175)="",F1175&lt;&gt;0,F1176&lt;&gt;0),IF(IFERROR((F1175/F1176),"")="","",(F1175/F1176)),INDIRECT("'update Helper'!E"&amp;U1175)/100)</f>
        <v/>
      </c>
      <c r="H1175" s="743"/>
      <c r="I1175" s="764"/>
      <c r="J1175" s="729"/>
      <c r="K1175" s="760" t="str">
        <f>W1175</f>
        <v>KP-6b Percentage of eligible transgender people who initiated oral antiretroviral PrEP during the reporting period</v>
      </c>
      <c r="L1175" s="760" t="str">
        <f>V1175</f>
        <v/>
      </c>
      <c r="M1175" s="729"/>
      <c r="N1175" s="729"/>
      <c r="P1175" s="194">
        <f>IF(AND(EXACT(C1175,C1173),C1173&lt;&gt;0),P1173+1,0)</f>
        <v>17</v>
      </c>
      <c r="Q1175" s="194" t="str">
        <f>IF(C1175&lt;&gt;"",C1175&amp;"-"&amp;P1175,"")</f>
        <v>KP-6b Porcentaje de personas transgénero elegibles que iniciaron PrEP durante el período de reporte-17</v>
      </c>
      <c r="R1175" s="194" t="str">
        <f t="array" ref="R1175">IFERROR(IF(INDEX('Disaggregation Records'!$E$155:$E$385,MATCH(RIGHT(Q1175,255),RIGHT('Disaggregation Records'!$D$155:$D$385,255),0))="","",INDEX('Disaggregation Records'!$E$155:$E$385,MATCH(RIGHT(Q1175,255),RIGHT('Disaggregation Records'!$D$155:$D$385,255),0))),"")</f>
        <v/>
      </c>
      <c r="S1175" s="194" t="str">
        <f t="array" ref="S1175">IFERROR(IF(INDEX('Disaggregation Records'!$F$155:$F$385,MATCH(RIGHT(Q1175,255),RIGHT('Disaggregation Records'!$D$155:$D$385,255),0))="","",INDEX('Disaggregation Records'!$F$155:$F$385,MATCH(RIGHT(Q1175,255),RIGHT('Disaggregation Records'!$D$155:$D$385,255),0))),"")</f>
        <v/>
      </c>
      <c r="T1175" s="194" t="str">
        <f t="array" ref="T1175">IFERROR(IF(INDEX('Disaggregation Records'!$H$155:$H$385,MATCH(RIGHT(Q1175,255),RIGHT('Disaggregation Records'!$D$155:$D$385,255),0))="","",INDEX('Disaggregation Records'!$H$155:$H$385,MATCH(RIGHT(Q1175,255),RIGHT('Disaggregation Records'!$D$155:$D$385,255),0))),"")</f>
        <v/>
      </c>
      <c r="U1175" s="194">
        <f>U1173+1</f>
        <v>2777</v>
      </c>
      <c r="V1175" s="194" t="str">
        <f t="array" ref="V1175">IFERROR(IF(INDEX('Disaggregation Records'!$I$155:$I$385,MATCH(RIGHT(Q1175,255),RIGHT('Disaggregation Records'!$D$155:$D$385,255),0))="","",INDEX('Disaggregation Records'!$I$155:$I$385,MATCH(RIGHT(Q1175,255),RIGHT('Disaggregation Records'!$D$155:$D$385,255),0))),"")</f>
        <v/>
      </c>
      <c r="W1175" s="194" t="str">
        <f>IFERROR(INDEX('Reference Records'!L$77:L$157,MATCH(LEFT(C1175,255),'Reference Records'!E$77:E$157,0)),"")</f>
        <v>KP-6b Percentage of eligible transgender people who initiated oral antiretroviral PrEP during the reporting period</v>
      </c>
    </row>
    <row r="1176" spans="1:23" s="194" customFormat="1" ht="40.4" customHeight="1" x14ac:dyDescent="0.35">
      <c r="A1176" s="770"/>
      <c r="B1176" s="767"/>
      <c r="C1176" s="761"/>
      <c r="D1176" s="769"/>
      <c r="E1176" s="769"/>
      <c r="F1176" s="208"/>
      <c r="G1176" s="763"/>
      <c r="H1176" s="744"/>
      <c r="I1176" s="765"/>
      <c r="J1176" s="730"/>
      <c r="K1176" s="761"/>
      <c r="L1176" s="761"/>
      <c r="M1176" s="730"/>
      <c r="N1176" s="730"/>
    </row>
    <row r="1177" spans="1:23" s="194" customFormat="1" ht="40.4" customHeight="1" x14ac:dyDescent="0.35">
      <c r="A1177" s="770" t="str">
        <f ca="1">INDIRECT("'update Helper'!C"&amp;U1177)</f>
        <v>a163p000004NtXUAA0</v>
      </c>
      <c r="B1177" s="766">
        <v>14</v>
      </c>
      <c r="C1177" s="760" t="str">
        <f>VLOOKUP(B1177,'Coverage Indicators - Section D'!$A$9:$AU$70,47,FALSE)</f>
        <v>KP-6b Porcentaje de personas transgénero elegibles que iniciaron PrEP durante el período de reporte</v>
      </c>
      <c r="D1177" s="768" t="str">
        <f>R1177</f>
        <v/>
      </c>
      <c r="E1177" s="768" t="str">
        <f>S1177</f>
        <v/>
      </c>
      <c r="F1177" s="413"/>
      <c r="G1177" s="762" t="str">
        <f ca="1">IF(OR(INDIRECT("'update Helper'!E"&amp;U1177)="",F1177&lt;&gt;0,F1178&lt;&gt;0),IF(IFERROR((F1177/F1178),"")="","",(F1177/F1178)),INDIRECT("'update Helper'!E"&amp;U1177)/100)</f>
        <v/>
      </c>
      <c r="H1177" s="743"/>
      <c r="I1177" s="764"/>
      <c r="J1177" s="729"/>
      <c r="K1177" s="760" t="str">
        <f>W1177</f>
        <v>KP-6b Percentage of eligible transgender people who initiated oral antiretroviral PrEP during the reporting period</v>
      </c>
      <c r="L1177" s="760" t="str">
        <f>V1177</f>
        <v/>
      </c>
      <c r="M1177" s="729"/>
      <c r="N1177" s="729"/>
      <c r="P1177" s="194">
        <f>IF(AND(EXACT(C1177,C1175),C1175&lt;&gt;0),P1175+1,0)</f>
        <v>18</v>
      </c>
      <c r="Q1177" s="194" t="str">
        <f>IF(C1177&lt;&gt;"",C1177&amp;"-"&amp;P1177,"")</f>
        <v>KP-6b Porcentaje de personas transgénero elegibles que iniciaron PrEP durante el período de reporte-18</v>
      </c>
      <c r="R1177" s="194" t="str">
        <f t="array" ref="R1177">IFERROR(IF(INDEX('Disaggregation Records'!$E$155:$E$385,MATCH(RIGHT(Q1177,255),RIGHT('Disaggregation Records'!$D$155:$D$385,255),0))="","",INDEX('Disaggregation Records'!$E$155:$E$385,MATCH(RIGHT(Q1177,255),RIGHT('Disaggregation Records'!$D$155:$D$385,255),0))),"")</f>
        <v/>
      </c>
      <c r="S1177" s="194" t="str">
        <f t="array" ref="S1177">IFERROR(IF(INDEX('Disaggregation Records'!$F$155:$F$385,MATCH(RIGHT(Q1177,255),RIGHT('Disaggregation Records'!$D$155:$D$385,255),0))="","",INDEX('Disaggregation Records'!$F$155:$F$385,MATCH(RIGHT(Q1177,255),RIGHT('Disaggregation Records'!$D$155:$D$385,255),0))),"")</f>
        <v/>
      </c>
      <c r="T1177" s="194" t="str">
        <f t="array" ref="T1177">IFERROR(IF(INDEX('Disaggregation Records'!$H$155:$H$385,MATCH(RIGHT(Q1177,255),RIGHT('Disaggregation Records'!$D$155:$D$385,255),0))="","",INDEX('Disaggregation Records'!$H$155:$H$385,MATCH(RIGHT(Q1177,255),RIGHT('Disaggregation Records'!$D$155:$D$385,255),0))),"")</f>
        <v/>
      </c>
      <c r="U1177" s="194">
        <f>U1175+1</f>
        <v>2778</v>
      </c>
      <c r="V1177" s="194" t="str">
        <f t="array" ref="V1177">IFERROR(IF(INDEX('Disaggregation Records'!$I$155:$I$385,MATCH(RIGHT(Q1177,255),RIGHT('Disaggregation Records'!$D$155:$D$385,255),0))="","",INDEX('Disaggregation Records'!$I$155:$I$385,MATCH(RIGHT(Q1177,255),RIGHT('Disaggregation Records'!$D$155:$D$385,255),0))),"")</f>
        <v/>
      </c>
      <c r="W1177" s="194" t="str">
        <f>IFERROR(INDEX('Reference Records'!L$77:L$157,MATCH(LEFT(C1177,255),'Reference Records'!E$77:E$157,0)),"")</f>
        <v>KP-6b Percentage of eligible transgender people who initiated oral antiretroviral PrEP during the reporting period</v>
      </c>
    </row>
    <row r="1178" spans="1:23" s="194" customFormat="1" ht="40.4" customHeight="1" x14ac:dyDescent="0.35">
      <c r="A1178" s="770"/>
      <c r="B1178" s="767"/>
      <c r="C1178" s="761"/>
      <c r="D1178" s="769"/>
      <c r="E1178" s="769"/>
      <c r="F1178" s="208"/>
      <c r="G1178" s="763"/>
      <c r="H1178" s="744"/>
      <c r="I1178" s="765"/>
      <c r="J1178" s="730"/>
      <c r="K1178" s="761"/>
      <c r="L1178" s="761"/>
      <c r="M1178" s="730"/>
      <c r="N1178" s="730"/>
    </row>
    <row r="1179" spans="1:23" s="194" customFormat="1" ht="40.4" customHeight="1" x14ac:dyDescent="0.35">
      <c r="A1179" s="770" t="str">
        <f ca="1">INDIRECT("'update Helper'!C"&amp;U1179)</f>
        <v>a163p000004NtXVAA0</v>
      </c>
      <c r="B1179" s="766">
        <v>14</v>
      </c>
      <c r="C1179" s="760" t="str">
        <f>VLOOKUP(B1179,'Coverage Indicators - Section D'!$A$9:$AU$70,47,FALSE)</f>
        <v>KP-6b Porcentaje de personas transgénero elegibles que iniciaron PrEP durante el período de reporte</v>
      </c>
      <c r="D1179" s="768" t="str">
        <f>R1179</f>
        <v/>
      </c>
      <c r="E1179" s="768" t="str">
        <f>S1179</f>
        <v/>
      </c>
      <c r="F1179" s="413"/>
      <c r="G1179" s="762" t="str">
        <f ca="1">IF(OR(INDIRECT("'update Helper'!E"&amp;U1179)="",F1179&lt;&gt;0,F1180&lt;&gt;0),IF(IFERROR((F1179/F1180),"")="","",(F1179/F1180)),INDIRECT("'update Helper'!E"&amp;U1179)/100)</f>
        <v/>
      </c>
      <c r="H1179" s="743"/>
      <c r="I1179" s="764"/>
      <c r="J1179" s="729"/>
      <c r="K1179" s="760" t="str">
        <f>W1179</f>
        <v>KP-6b Percentage of eligible transgender people who initiated oral antiretroviral PrEP during the reporting period</v>
      </c>
      <c r="L1179" s="760" t="str">
        <f>V1179</f>
        <v/>
      </c>
      <c r="M1179" s="729"/>
      <c r="N1179" s="729"/>
      <c r="P1179" s="194">
        <f>IF(AND(EXACT(C1179,C1177),C1177&lt;&gt;0),P1177+1,0)</f>
        <v>19</v>
      </c>
      <c r="Q1179" s="194" t="str">
        <f>IF(C1179&lt;&gt;"",C1179&amp;"-"&amp;P1179,"")</f>
        <v>KP-6b Porcentaje de personas transgénero elegibles que iniciaron PrEP durante el período de reporte-19</v>
      </c>
      <c r="R1179" s="194" t="str">
        <f t="array" ref="R1179">IFERROR(IF(INDEX('Disaggregation Records'!$E$155:$E$385,MATCH(RIGHT(Q1179,255),RIGHT('Disaggregation Records'!$D$155:$D$385,255),0))="","",INDEX('Disaggregation Records'!$E$155:$E$385,MATCH(RIGHT(Q1179,255),RIGHT('Disaggregation Records'!$D$155:$D$385,255),0))),"")</f>
        <v/>
      </c>
      <c r="S1179" s="194" t="str">
        <f t="array" ref="S1179">IFERROR(IF(INDEX('Disaggregation Records'!$F$155:$F$385,MATCH(RIGHT(Q1179,255),RIGHT('Disaggregation Records'!$D$155:$D$385,255),0))="","",INDEX('Disaggregation Records'!$F$155:$F$385,MATCH(RIGHT(Q1179,255),RIGHT('Disaggregation Records'!$D$155:$D$385,255),0))),"")</f>
        <v/>
      </c>
      <c r="T1179" s="194" t="str">
        <f t="array" ref="T1179">IFERROR(IF(INDEX('Disaggregation Records'!$H$155:$H$385,MATCH(RIGHT(Q1179,255),RIGHT('Disaggregation Records'!$D$155:$D$385,255),0))="","",INDEX('Disaggregation Records'!$H$155:$H$385,MATCH(RIGHT(Q1179,255),RIGHT('Disaggregation Records'!$D$155:$D$385,255),0))),"")</f>
        <v/>
      </c>
      <c r="U1179" s="194">
        <f>U1177+1</f>
        <v>2779</v>
      </c>
      <c r="V1179" s="194" t="str">
        <f t="array" ref="V1179">IFERROR(IF(INDEX('Disaggregation Records'!$I$155:$I$385,MATCH(RIGHT(Q1179,255),RIGHT('Disaggregation Records'!$D$155:$D$385,255),0))="","",INDEX('Disaggregation Records'!$I$155:$I$385,MATCH(RIGHT(Q1179,255),RIGHT('Disaggregation Records'!$D$155:$D$385,255),0))),"")</f>
        <v/>
      </c>
      <c r="W1179" s="194" t="str">
        <f>IFERROR(INDEX('Reference Records'!L$77:L$157,MATCH(LEFT(C1179,255),'Reference Records'!E$77:E$157,0)),"")</f>
        <v>KP-6b Percentage of eligible transgender people who initiated oral antiretroviral PrEP during the reporting period</v>
      </c>
    </row>
    <row r="1180" spans="1:23" s="194" customFormat="1" ht="40.4" customHeight="1" x14ac:dyDescent="0.35">
      <c r="A1180" s="770"/>
      <c r="B1180" s="767"/>
      <c r="C1180" s="761"/>
      <c r="D1180" s="769"/>
      <c r="E1180" s="769"/>
      <c r="F1180" s="208"/>
      <c r="G1180" s="763"/>
      <c r="H1180" s="744"/>
      <c r="I1180" s="765"/>
      <c r="J1180" s="730"/>
      <c r="K1180" s="761"/>
      <c r="L1180" s="761"/>
      <c r="M1180" s="730"/>
      <c r="N1180" s="730"/>
    </row>
    <row r="1181" spans="1:23" s="194" customFormat="1" ht="40.4" customHeight="1" x14ac:dyDescent="0.35">
      <c r="A1181" s="770" t="str">
        <f ca="1">INDIRECT("'update Helper'!C"&amp;U1181)</f>
        <v>a163p000004NtNqAAK</v>
      </c>
      <c r="B1181" s="766">
        <v>15</v>
      </c>
      <c r="C1181" s="760" t="str">
        <f>VLOOKUP(B1181,'Coverage Indicators - Section D'!$A$9:$AU$70,47,FALSE)</f>
        <v>HTS-5 Porcentaje de personas con diagnóstico nuevo de VIH que han iniciado terapia antirretroviral</v>
      </c>
      <c r="D1181" s="768" t="str">
        <f>R1181</f>
        <v>Grupo de riesgo objetivo</v>
      </c>
      <c r="E1181" s="768" t="str">
        <f>S1181</f>
        <v>Reclusos</v>
      </c>
      <c r="F1181" s="413"/>
      <c r="G1181" s="762" t="str">
        <f ca="1">IF(OR(INDIRECT("'update Helper'!E"&amp;U1181)="",F1181&lt;&gt;0,F1182&lt;&gt;0),IF(IFERROR((F1181/F1182),"")="","",(F1181/F1182)),INDIRECT("'update Helper'!E"&amp;U1181)/100)</f>
        <v/>
      </c>
      <c r="H1181" s="743"/>
      <c r="I1181" s="764"/>
      <c r="J1181" s="729"/>
      <c r="K1181" s="760" t="str">
        <f>W1181</f>
        <v>HTS-5 Percentage of people newly diagnosed with HIV initiated on ART</v>
      </c>
      <c r="L1181" s="760" t="str">
        <f>V1181</f>
        <v>Target / Risk population group</v>
      </c>
      <c r="M1181" s="729"/>
      <c r="N1181" s="729"/>
      <c r="P1181" s="194">
        <f>IF(AND(EXACT(C1181,C1179),C1179&lt;&gt;0),P1179+1,0)</f>
        <v>0</v>
      </c>
      <c r="Q1181" s="194" t="str">
        <f>IF(C1181&lt;&gt;"",C1181&amp;"-"&amp;P1181,"")</f>
        <v>HTS-5 Porcentaje de personas con diagnóstico nuevo de VIH que han iniciado terapia antirretroviral-0</v>
      </c>
      <c r="R1181" s="194" t="str">
        <f t="array" ref="R1181">IFERROR(IF(INDEX('Disaggregation Records'!$E$155:$E$385,MATCH(RIGHT(Q1181,255),RIGHT('Disaggregation Records'!$D$155:$D$385,255),0))="","",INDEX('Disaggregation Records'!$E$155:$E$385,MATCH(RIGHT(Q1181,255),RIGHT('Disaggregation Records'!$D$155:$D$385,255),0))),"")</f>
        <v>Grupo de riesgo objetivo</v>
      </c>
      <c r="S1181" s="194" t="str">
        <f t="array" ref="S1181">IFERROR(IF(INDEX('Disaggregation Records'!$F$155:$F$385,MATCH(RIGHT(Q1181,255),RIGHT('Disaggregation Records'!$D$155:$D$385,255),0))="","",INDEX('Disaggregation Records'!$F$155:$F$385,MATCH(RIGHT(Q1181,255),RIGHT('Disaggregation Records'!$D$155:$D$385,255),0))),"")</f>
        <v>Reclusos</v>
      </c>
      <c r="T1181" s="194" t="str">
        <f t="array" ref="T1181">IFERROR(IF(INDEX('Disaggregation Records'!$H$155:$H$385,MATCH(RIGHT(Q1181,255),RIGHT('Disaggregation Records'!$D$155:$D$385,255),0))="","",INDEX('Disaggregation Records'!$H$155:$H$385,MATCH(RIGHT(Q1181,255),RIGHT('Disaggregation Records'!$D$155:$D$385,255),0))),"")</f>
        <v>IDR-00976</v>
      </c>
      <c r="U1181" s="194">
        <f>U1179+1</f>
        <v>2780</v>
      </c>
      <c r="V1181" s="194" t="str">
        <f t="array" ref="V1181">IFERROR(IF(INDEX('Disaggregation Records'!$I$155:$I$385,MATCH(RIGHT(Q1181,255),RIGHT('Disaggregation Records'!$D$155:$D$385,255),0))="","",INDEX('Disaggregation Records'!$I$155:$I$385,MATCH(RIGHT(Q1181,255),RIGHT('Disaggregation Records'!$D$155:$D$385,255),0))),"")</f>
        <v>Target / Risk population group</v>
      </c>
      <c r="W1181" s="194" t="str">
        <f>IFERROR(INDEX('Reference Records'!L$77:L$157,MATCH(LEFT(C1181,255),'Reference Records'!E$77:E$157,0)),"")</f>
        <v>HTS-5 Percentage of people newly diagnosed with HIV initiated on ART</v>
      </c>
    </row>
    <row r="1182" spans="1:23" s="194" customFormat="1" ht="40.4" customHeight="1" x14ac:dyDescent="0.35">
      <c r="A1182" s="770"/>
      <c r="B1182" s="767"/>
      <c r="C1182" s="761"/>
      <c r="D1182" s="769"/>
      <c r="E1182" s="769"/>
      <c r="F1182" s="208"/>
      <c r="G1182" s="763"/>
      <c r="H1182" s="744"/>
      <c r="I1182" s="765"/>
      <c r="J1182" s="730"/>
      <c r="K1182" s="761"/>
      <c r="L1182" s="761"/>
      <c r="M1182" s="730"/>
      <c r="N1182" s="730"/>
    </row>
    <row r="1183" spans="1:23" s="194" customFormat="1" ht="40.4" customHeight="1" x14ac:dyDescent="0.35">
      <c r="A1183" s="770" t="str">
        <f ca="1">INDIRECT("'update Helper'!C"&amp;U1183)</f>
        <v>a163p000004NtNrAAK</v>
      </c>
      <c r="B1183" s="766">
        <v>15</v>
      </c>
      <c r="C1183" s="760" t="str">
        <f>VLOOKUP(B1183,'Coverage Indicators - Section D'!$A$9:$AU$70,47,FALSE)</f>
        <v>HTS-5 Porcentaje de personas con diagnóstico nuevo de VIH que han iniciado terapia antirretroviral</v>
      </c>
      <c r="D1183" s="768" t="str">
        <f>R1183</f>
        <v>Grupo de riesgo objetivo</v>
      </c>
      <c r="E1183" s="768" t="str">
        <f>S1183</f>
        <v>PWID</v>
      </c>
      <c r="F1183" s="413"/>
      <c r="G1183" s="762" t="str">
        <f ca="1">IF(OR(INDIRECT("'update Helper'!E"&amp;U1183)="",F1183&lt;&gt;0,F1184&lt;&gt;0),IF(IFERROR((F1183/F1184),"")="","",(F1183/F1184)),INDIRECT("'update Helper'!E"&amp;U1183)/100)</f>
        <v/>
      </c>
      <c r="H1183" s="743"/>
      <c r="I1183" s="764"/>
      <c r="J1183" s="729"/>
      <c r="K1183" s="760" t="str">
        <f>W1183</f>
        <v>HTS-5 Percentage of people newly diagnosed with HIV initiated on ART</v>
      </c>
      <c r="L1183" s="760" t="str">
        <f>V1183</f>
        <v>Target / Risk population group</v>
      </c>
      <c r="M1183" s="729"/>
      <c r="N1183" s="729"/>
      <c r="P1183" s="194">
        <f>IF(AND(EXACT(C1183,C1181),C1181&lt;&gt;0),P1181+1,0)</f>
        <v>1</v>
      </c>
      <c r="Q1183" s="194" t="str">
        <f>IF(C1183&lt;&gt;"",C1183&amp;"-"&amp;P1183,"")</f>
        <v>HTS-5 Porcentaje de personas con diagnóstico nuevo de VIH que han iniciado terapia antirretroviral-1</v>
      </c>
      <c r="R1183" s="194" t="str">
        <f t="array" ref="R1183">IFERROR(IF(INDEX('Disaggregation Records'!$E$155:$E$385,MATCH(RIGHT(Q1183,255),RIGHT('Disaggregation Records'!$D$155:$D$385,255),0))="","",INDEX('Disaggregation Records'!$E$155:$E$385,MATCH(RIGHT(Q1183,255),RIGHT('Disaggregation Records'!$D$155:$D$385,255),0))),"")</f>
        <v>Grupo de riesgo objetivo</v>
      </c>
      <c r="S1183" s="194" t="str">
        <f t="array" ref="S1183">IFERROR(IF(INDEX('Disaggregation Records'!$F$155:$F$385,MATCH(RIGHT(Q1183,255),RIGHT('Disaggregation Records'!$D$155:$D$385,255),0))="","",INDEX('Disaggregation Records'!$F$155:$F$385,MATCH(RIGHT(Q1183,255),RIGHT('Disaggregation Records'!$D$155:$D$385,255),0))),"")</f>
        <v>PWID</v>
      </c>
      <c r="T1183" s="194" t="str">
        <f t="array" ref="T1183">IFERROR(IF(INDEX('Disaggregation Records'!$H$155:$H$385,MATCH(RIGHT(Q1183,255),RIGHT('Disaggregation Records'!$D$155:$D$385,255),0))="","",INDEX('Disaggregation Records'!$H$155:$H$385,MATCH(RIGHT(Q1183,255),RIGHT('Disaggregation Records'!$D$155:$D$385,255),0))),"")</f>
        <v>IDR-00975</v>
      </c>
      <c r="U1183" s="194">
        <f>U1181+1</f>
        <v>2781</v>
      </c>
      <c r="V1183" s="194" t="str">
        <f t="array" ref="V1183">IFERROR(IF(INDEX('Disaggregation Records'!$I$155:$I$385,MATCH(RIGHT(Q1183,255),RIGHT('Disaggregation Records'!$D$155:$D$385,255),0))="","",INDEX('Disaggregation Records'!$I$155:$I$385,MATCH(RIGHT(Q1183,255),RIGHT('Disaggregation Records'!$D$155:$D$385,255),0))),"")</f>
        <v>Target / Risk population group</v>
      </c>
      <c r="W1183" s="194" t="str">
        <f>IFERROR(INDEX('Reference Records'!L$77:L$157,MATCH(LEFT(C1183,255),'Reference Records'!E$77:E$157,0)),"")</f>
        <v>HTS-5 Percentage of people newly diagnosed with HIV initiated on ART</v>
      </c>
    </row>
    <row r="1184" spans="1:23" s="194" customFormat="1" ht="40.4" customHeight="1" x14ac:dyDescent="0.35">
      <c r="A1184" s="770"/>
      <c r="B1184" s="767"/>
      <c r="C1184" s="761"/>
      <c r="D1184" s="769"/>
      <c r="E1184" s="769"/>
      <c r="F1184" s="208"/>
      <c r="G1184" s="763"/>
      <c r="H1184" s="744"/>
      <c r="I1184" s="765"/>
      <c r="J1184" s="730"/>
      <c r="K1184" s="761"/>
      <c r="L1184" s="761"/>
      <c r="M1184" s="730"/>
      <c r="N1184" s="730"/>
    </row>
    <row r="1185" spans="1:23" s="194" customFormat="1" ht="40.4" customHeight="1" x14ac:dyDescent="0.35">
      <c r="A1185" s="770" t="str">
        <f ca="1">INDIRECT("'update Helper'!C"&amp;U1185)</f>
        <v>a163p000004NtNsAAK</v>
      </c>
      <c r="B1185" s="766">
        <v>15</v>
      </c>
      <c r="C1185" s="760" t="str">
        <f>VLOOKUP(B1185,'Coverage Indicators - Section D'!$A$9:$AU$70,47,FALSE)</f>
        <v>HTS-5 Porcentaje de personas con diagnóstico nuevo de VIH que han iniciado terapia antirretroviral</v>
      </c>
      <c r="D1185" s="768" t="str">
        <f>R1185</f>
        <v>Grupo de riesgo objetivo</v>
      </c>
      <c r="E1185" s="768" t="str">
        <f>S1185</f>
        <v>Trabajadores sexuales</v>
      </c>
      <c r="F1185" s="413"/>
      <c r="G1185" s="762" t="str">
        <f ca="1">IF(OR(INDIRECT("'update Helper'!E"&amp;U1185)="",F1185&lt;&gt;0,F1186&lt;&gt;0),IF(IFERROR((F1185/F1186),"")="","",(F1185/F1186)),INDIRECT("'update Helper'!E"&amp;U1185)/100)</f>
        <v/>
      </c>
      <c r="H1185" s="743"/>
      <c r="I1185" s="764"/>
      <c r="J1185" s="729"/>
      <c r="K1185" s="760" t="str">
        <f>W1185</f>
        <v>HTS-5 Percentage of people newly diagnosed with HIV initiated on ART</v>
      </c>
      <c r="L1185" s="760" t="str">
        <f>V1185</f>
        <v>Target / Risk population group</v>
      </c>
      <c r="M1185" s="729"/>
      <c r="N1185" s="729"/>
      <c r="P1185" s="194">
        <f>IF(AND(EXACT(C1185,C1183),C1183&lt;&gt;0),P1183+1,0)</f>
        <v>2</v>
      </c>
      <c r="Q1185" s="194" t="str">
        <f>IF(C1185&lt;&gt;"",C1185&amp;"-"&amp;P1185,"")</f>
        <v>HTS-5 Porcentaje de personas con diagnóstico nuevo de VIH que han iniciado terapia antirretroviral-2</v>
      </c>
      <c r="R1185" s="194" t="str">
        <f t="array" ref="R1185">IFERROR(IF(INDEX('Disaggregation Records'!$E$155:$E$385,MATCH(RIGHT(Q1185,255),RIGHT('Disaggregation Records'!$D$155:$D$385,255),0))="","",INDEX('Disaggregation Records'!$E$155:$E$385,MATCH(RIGHT(Q1185,255),RIGHT('Disaggregation Records'!$D$155:$D$385,255),0))),"")</f>
        <v>Grupo de riesgo objetivo</v>
      </c>
      <c r="S1185" s="194" t="str">
        <f t="array" ref="S1185">IFERROR(IF(INDEX('Disaggregation Records'!$F$155:$F$385,MATCH(RIGHT(Q1185,255),RIGHT('Disaggregation Records'!$D$155:$D$385,255),0))="","",INDEX('Disaggregation Records'!$F$155:$F$385,MATCH(RIGHT(Q1185,255),RIGHT('Disaggregation Records'!$D$155:$D$385,255),0))),"")</f>
        <v>Trabajadores sexuales</v>
      </c>
      <c r="T1185" s="194" t="str">
        <f t="array" ref="T1185">IFERROR(IF(INDEX('Disaggregation Records'!$H$155:$H$385,MATCH(RIGHT(Q1185,255),RIGHT('Disaggregation Records'!$D$155:$D$385,255),0))="","",INDEX('Disaggregation Records'!$H$155:$H$385,MATCH(RIGHT(Q1185,255),RIGHT('Disaggregation Records'!$D$155:$D$385,255),0))),"")</f>
        <v>IDR-00974</v>
      </c>
      <c r="U1185" s="194">
        <f>U1183+1</f>
        <v>2782</v>
      </c>
      <c r="V1185" s="194" t="str">
        <f t="array" ref="V1185">IFERROR(IF(INDEX('Disaggregation Records'!$I$155:$I$385,MATCH(RIGHT(Q1185,255),RIGHT('Disaggregation Records'!$D$155:$D$385,255),0))="","",INDEX('Disaggregation Records'!$I$155:$I$385,MATCH(RIGHT(Q1185,255),RIGHT('Disaggregation Records'!$D$155:$D$385,255),0))),"")</f>
        <v>Target / Risk population group</v>
      </c>
      <c r="W1185" s="194" t="str">
        <f>IFERROR(INDEX('Reference Records'!L$77:L$157,MATCH(LEFT(C1185,255),'Reference Records'!E$77:E$157,0)),"")</f>
        <v>HTS-5 Percentage of people newly diagnosed with HIV initiated on ART</v>
      </c>
    </row>
    <row r="1186" spans="1:23" s="194" customFormat="1" ht="40.4" customHeight="1" x14ac:dyDescent="0.35">
      <c r="A1186" s="770"/>
      <c r="B1186" s="767"/>
      <c r="C1186" s="761"/>
      <c r="D1186" s="769"/>
      <c r="E1186" s="769"/>
      <c r="F1186" s="208"/>
      <c r="G1186" s="763"/>
      <c r="H1186" s="744"/>
      <c r="I1186" s="765"/>
      <c r="J1186" s="730"/>
      <c r="K1186" s="761"/>
      <c r="L1186" s="761"/>
      <c r="M1186" s="730"/>
      <c r="N1186" s="730"/>
    </row>
    <row r="1187" spans="1:23" s="194" customFormat="1" ht="40.4" customHeight="1" x14ac:dyDescent="0.35">
      <c r="A1187" s="770" t="str">
        <f ca="1">INDIRECT("'update Helper'!C"&amp;U1187)</f>
        <v>a163p000004NtNtAAK</v>
      </c>
      <c r="B1187" s="766">
        <v>15</v>
      </c>
      <c r="C1187" s="760" t="str">
        <f>VLOOKUP(B1187,'Coverage Indicators - Section D'!$A$9:$AU$70,47,FALSE)</f>
        <v>HTS-5 Porcentaje de personas con diagnóstico nuevo de VIH que han iniciado terapia antirretroviral</v>
      </c>
      <c r="D1187" s="768" t="str">
        <f>R1187</f>
        <v>Grupo de riesgo objetivo</v>
      </c>
      <c r="E1187" s="768" t="str">
        <f>S1187</f>
        <v>HSH</v>
      </c>
      <c r="F1187" s="413"/>
      <c r="G1187" s="762" t="str">
        <f ca="1">IF(OR(INDIRECT("'update Helper'!E"&amp;U1187)="",F1187&lt;&gt;0,F1188&lt;&gt;0),IF(IFERROR((F1187/F1188),"")="","",(F1187/F1188)),INDIRECT("'update Helper'!E"&amp;U1187)/100)</f>
        <v/>
      </c>
      <c r="H1187" s="743"/>
      <c r="I1187" s="764"/>
      <c r="J1187" s="729"/>
      <c r="K1187" s="760" t="str">
        <f>W1187</f>
        <v>HTS-5 Percentage of people newly diagnosed with HIV initiated on ART</v>
      </c>
      <c r="L1187" s="760" t="str">
        <f>V1187</f>
        <v>Target / Risk population group</v>
      </c>
      <c r="M1187" s="729"/>
      <c r="N1187" s="729"/>
      <c r="P1187" s="194">
        <f>IF(AND(EXACT(C1187,C1185),C1185&lt;&gt;0),P1185+1,0)</f>
        <v>3</v>
      </c>
      <c r="Q1187" s="194" t="str">
        <f>IF(C1187&lt;&gt;"",C1187&amp;"-"&amp;P1187,"")</f>
        <v>HTS-5 Porcentaje de personas con diagnóstico nuevo de VIH que han iniciado terapia antirretroviral-3</v>
      </c>
      <c r="R1187" s="194" t="str">
        <f t="array" ref="R1187">IFERROR(IF(INDEX('Disaggregation Records'!$E$155:$E$385,MATCH(RIGHT(Q1187,255),RIGHT('Disaggregation Records'!$D$155:$D$385,255),0))="","",INDEX('Disaggregation Records'!$E$155:$E$385,MATCH(RIGHT(Q1187,255),RIGHT('Disaggregation Records'!$D$155:$D$385,255),0))),"")</f>
        <v>Grupo de riesgo objetivo</v>
      </c>
      <c r="S1187" s="194" t="str">
        <f t="array" ref="S1187">IFERROR(IF(INDEX('Disaggregation Records'!$F$155:$F$385,MATCH(RIGHT(Q1187,255),RIGHT('Disaggregation Records'!$D$155:$D$385,255),0))="","",INDEX('Disaggregation Records'!$F$155:$F$385,MATCH(RIGHT(Q1187,255),RIGHT('Disaggregation Records'!$D$155:$D$385,255),0))),"")</f>
        <v>HSH</v>
      </c>
      <c r="T1187" s="194" t="str">
        <f t="array" ref="T1187">IFERROR(IF(INDEX('Disaggregation Records'!$H$155:$H$385,MATCH(RIGHT(Q1187,255),RIGHT('Disaggregation Records'!$D$155:$D$385,255),0))="","",INDEX('Disaggregation Records'!$H$155:$H$385,MATCH(RIGHT(Q1187,255),RIGHT('Disaggregation Records'!$D$155:$D$385,255),0))),"")</f>
        <v>IDR-00973</v>
      </c>
      <c r="U1187" s="194">
        <f>U1185+1</f>
        <v>2783</v>
      </c>
      <c r="V1187" s="194" t="str">
        <f t="array" ref="V1187">IFERROR(IF(INDEX('Disaggregation Records'!$I$155:$I$385,MATCH(RIGHT(Q1187,255),RIGHT('Disaggregation Records'!$D$155:$D$385,255),0))="","",INDEX('Disaggregation Records'!$I$155:$I$385,MATCH(RIGHT(Q1187,255),RIGHT('Disaggregation Records'!$D$155:$D$385,255),0))),"")</f>
        <v>Target / Risk population group</v>
      </c>
      <c r="W1187" s="194" t="str">
        <f>IFERROR(INDEX('Reference Records'!L$77:L$157,MATCH(LEFT(C1187,255),'Reference Records'!E$77:E$157,0)),"")</f>
        <v>HTS-5 Percentage of people newly diagnosed with HIV initiated on ART</v>
      </c>
    </row>
    <row r="1188" spans="1:23" s="194" customFormat="1" ht="40.4" customHeight="1" x14ac:dyDescent="0.35">
      <c r="A1188" s="770"/>
      <c r="B1188" s="767"/>
      <c r="C1188" s="761"/>
      <c r="D1188" s="769"/>
      <c r="E1188" s="769"/>
      <c r="F1188" s="208"/>
      <c r="G1188" s="763"/>
      <c r="H1188" s="744"/>
      <c r="I1188" s="765"/>
      <c r="J1188" s="730"/>
      <c r="K1188" s="761"/>
      <c r="L1188" s="761"/>
      <c r="M1188" s="730"/>
      <c r="N1188" s="730"/>
    </row>
    <row r="1189" spans="1:23" s="194" customFormat="1" ht="40.4" customHeight="1" x14ac:dyDescent="0.35">
      <c r="A1189" s="770" t="str">
        <f ca="1">INDIRECT("'update Helper'!C"&amp;U1189)</f>
        <v>a163p000004NtNuAAK</v>
      </c>
      <c r="B1189" s="766">
        <v>15</v>
      </c>
      <c r="C1189" s="760" t="str">
        <f>VLOOKUP(B1189,'Coverage Indicators - Section D'!$A$9:$AU$70,47,FALSE)</f>
        <v>HTS-5 Porcentaje de personas con diagnóstico nuevo de VIH que han iniciado terapia antirretroviral</v>
      </c>
      <c r="D1189" s="768" t="str">
        <f>R1189</f>
        <v>Género</v>
      </c>
      <c r="E1189" s="768" t="str">
        <f>S1189</f>
        <v>Transgénero</v>
      </c>
      <c r="F1189" s="413"/>
      <c r="G1189" s="762" t="str">
        <f ca="1">IF(OR(INDIRECT("'update Helper'!E"&amp;U1189)="",F1189&lt;&gt;0,F1190&lt;&gt;0),IF(IFERROR((F1189/F1190),"")="","",(F1189/F1190)),INDIRECT("'update Helper'!E"&amp;U1189)/100)</f>
        <v/>
      </c>
      <c r="H1189" s="743"/>
      <c r="I1189" s="764"/>
      <c r="J1189" s="729"/>
      <c r="K1189" s="760" t="str">
        <f>W1189</f>
        <v>HTS-5 Percentage of people newly diagnosed with HIV initiated on ART</v>
      </c>
      <c r="L1189" s="760" t="str">
        <f>V1189</f>
        <v>Gender</v>
      </c>
      <c r="M1189" s="729"/>
      <c r="N1189" s="729"/>
      <c r="P1189" s="194">
        <f>IF(AND(EXACT(C1189,C1187),C1187&lt;&gt;0),P1187+1,0)</f>
        <v>4</v>
      </c>
      <c r="Q1189" s="194" t="str">
        <f>IF(C1189&lt;&gt;"",C1189&amp;"-"&amp;P1189,"")</f>
        <v>HTS-5 Porcentaje de personas con diagnóstico nuevo de VIH que han iniciado terapia antirretroviral-4</v>
      </c>
      <c r="R1189" s="194" t="str">
        <f t="array" ref="R1189">IFERROR(IF(INDEX('Disaggregation Records'!$E$155:$E$385,MATCH(RIGHT(Q1189,255),RIGHT('Disaggregation Records'!$D$155:$D$385,255),0))="","",INDEX('Disaggregation Records'!$E$155:$E$385,MATCH(RIGHT(Q1189,255),RIGHT('Disaggregation Records'!$D$155:$D$385,255),0))),"")</f>
        <v>Género</v>
      </c>
      <c r="S1189" s="194" t="str">
        <f t="array" ref="S1189">IFERROR(IF(INDEX('Disaggregation Records'!$F$155:$F$385,MATCH(RIGHT(Q1189,255),RIGHT('Disaggregation Records'!$D$155:$D$385,255),0))="","",INDEX('Disaggregation Records'!$F$155:$F$385,MATCH(RIGHT(Q1189,255),RIGHT('Disaggregation Records'!$D$155:$D$385,255),0))),"")</f>
        <v>Transgénero</v>
      </c>
      <c r="T1189" s="194" t="str">
        <f t="array" ref="T1189">IFERROR(IF(INDEX('Disaggregation Records'!$H$155:$H$385,MATCH(RIGHT(Q1189,255),RIGHT('Disaggregation Records'!$D$155:$D$385,255),0))="","",INDEX('Disaggregation Records'!$H$155:$H$385,MATCH(RIGHT(Q1189,255),RIGHT('Disaggregation Records'!$D$155:$D$385,255),0))),"")</f>
        <v>IDR-00843</v>
      </c>
      <c r="U1189" s="194">
        <f>U1187+1</f>
        <v>2784</v>
      </c>
      <c r="V1189" s="194" t="str">
        <f t="array" ref="V1189">IFERROR(IF(INDEX('Disaggregation Records'!$I$155:$I$385,MATCH(RIGHT(Q1189,255),RIGHT('Disaggregation Records'!$D$155:$D$385,255),0))="","",INDEX('Disaggregation Records'!$I$155:$I$385,MATCH(RIGHT(Q1189,255),RIGHT('Disaggregation Records'!$D$155:$D$385,255),0))),"")</f>
        <v>Gender</v>
      </c>
      <c r="W1189" s="194" t="str">
        <f>IFERROR(INDEX('Reference Records'!L$77:L$157,MATCH(LEFT(C1189,255),'Reference Records'!E$77:E$157,0)),"")</f>
        <v>HTS-5 Percentage of people newly diagnosed with HIV initiated on ART</v>
      </c>
    </row>
    <row r="1190" spans="1:23" s="194" customFormat="1" ht="40.4" customHeight="1" x14ac:dyDescent="0.35">
      <c r="A1190" s="770"/>
      <c r="B1190" s="767"/>
      <c r="C1190" s="761"/>
      <c r="D1190" s="769"/>
      <c r="E1190" s="769"/>
      <c r="F1190" s="208"/>
      <c r="G1190" s="763"/>
      <c r="H1190" s="744"/>
      <c r="I1190" s="765"/>
      <c r="J1190" s="730"/>
      <c r="K1190" s="761"/>
      <c r="L1190" s="761"/>
      <c r="M1190" s="730"/>
      <c r="N1190" s="730"/>
    </row>
    <row r="1191" spans="1:23" s="194" customFormat="1" ht="40.4" customHeight="1" x14ac:dyDescent="0.35">
      <c r="A1191" s="770" t="str">
        <f ca="1">INDIRECT("'update Helper'!C"&amp;U1191)</f>
        <v>a163p000004NtNvAAK</v>
      </c>
      <c r="B1191" s="766">
        <v>15</v>
      </c>
      <c r="C1191" s="760" t="str">
        <f>VLOOKUP(B1191,'Coverage Indicators - Section D'!$A$9:$AU$70,47,FALSE)</f>
        <v>HTS-5 Porcentaje de personas con diagnóstico nuevo de VIH que han iniciado terapia antirretroviral</v>
      </c>
      <c r="D1191" s="768" t="str">
        <f>R1191</f>
        <v>Género</v>
      </c>
      <c r="E1191" s="768" t="str">
        <f>S1191</f>
        <v>Mujeres</v>
      </c>
      <c r="F1191" s="413"/>
      <c r="G1191" s="762" t="str">
        <f ca="1">IF(OR(INDIRECT("'update Helper'!E"&amp;U1191)="",F1191&lt;&gt;0,F1192&lt;&gt;0),IF(IFERROR((F1191/F1192),"")="","",(F1191/F1192)),INDIRECT("'update Helper'!E"&amp;U1191)/100)</f>
        <v/>
      </c>
      <c r="H1191" s="743"/>
      <c r="I1191" s="764"/>
      <c r="J1191" s="729"/>
      <c r="K1191" s="760" t="str">
        <f>W1191</f>
        <v>HTS-5 Percentage of people newly diagnosed with HIV initiated on ART</v>
      </c>
      <c r="L1191" s="760" t="str">
        <f>V1191</f>
        <v>Gender</v>
      </c>
      <c r="M1191" s="729"/>
      <c r="N1191" s="729"/>
      <c r="P1191" s="194">
        <f>IF(AND(EXACT(C1191,C1189),C1189&lt;&gt;0),P1189+1,0)</f>
        <v>5</v>
      </c>
      <c r="Q1191" s="194" t="str">
        <f>IF(C1191&lt;&gt;"",C1191&amp;"-"&amp;P1191,"")</f>
        <v>HTS-5 Porcentaje de personas con diagnóstico nuevo de VIH que han iniciado terapia antirretroviral-5</v>
      </c>
      <c r="R1191" s="194" t="str">
        <f t="array" ref="R1191">IFERROR(IF(INDEX('Disaggregation Records'!$E$155:$E$385,MATCH(RIGHT(Q1191,255),RIGHT('Disaggregation Records'!$D$155:$D$385,255),0))="","",INDEX('Disaggregation Records'!$E$155:$E$385,MATCH(RIGHT(Q1191,255),RIGHT('Disaggregation Records'!$D$155:$D$385,255),0))),"")</f>
        <v>Género</v>
      </c>
      <c r="S1191" s="194" t="str">
        <f t="array" ref="S1191">IFERROR(IF(INDEX('Disaggregation Records'!$F$155:$F$385,MATCH(RIGHT(Q1191,255),RIGHT('Disaggregation Records'!$D$155:$D$385,255),0))="","",INDEX('Disaggregation Records'!$F$155:$F$385,MATCH(RIGHT(Q1191,255),RIGHT('Disaggregation Records'!$D$155:$D$385,255),0))),"")</f>
        <v>Mujeres</v>
      </c>
      <c r="T1191" s="194" t="str">
        <f t="array" ref="T1191">IFERROR(IF(INDEX('Disaggregation Records'!$H$155:$H$385,MATCH(RIGHT(Q1191,255),RIGHT('Disaggregation Records'!$D$155:$D$385,255),0))="","",INDEX('Disaggregation Records'!$H$155:$H$385,MATCH(RIGHT(Q1191,255),RIGHT('Disaggregation Records'!$D$155:$D$385,255),0))),"")</f>
        <v>IDR-00842</v>
      </c>
      <c r="U1191" s="194">
        <f>U1189+1</f>
        <v>2785</v>
      </c>
      <c r="V1191" s="194" t="str">
        <f t="array" ref="V1191">IFERROR(IF(INDEX('Disaggregation Records'!$I$155:$I$385,MATCH(RIGHT(Q1191,255),RIGHT('Disaggregation Records'!$D$155:$D$385,255),0))="","",INDEX('Disaggregation Records'!$I$155:$I$385,MATCH(RIGHT(Q1191,255),RIGHT('Disaggregation Records'!$D$155:$D$385,255),0))),"")</f>
        <v>Gender</v>
      </c>
      <c r="W1191" s="194" t="str">
        <f>IFERROR(INDEX('Reference Records'!L$77:L$157,MATCH(LEFT(C1191,255),'Reference Records'!E$77:E$157,0)),"")</f>
        <v>HTS-5 Percentage of people newly diagnosed with HIV initiated on ART</v>
      </c>
    </row>
    <row r="1192" spans="1:23" s="194" customFormat="1" ht="40.4" customHeight="1" x14ac:dyDescent="0.35">
      <c r="A1192" s="770"/>
      <c r="B1192" s="767"/>
      <c r="C1192" s="761"/>
      <c r="D1192" s="769"/>
      <c r="E1192" s="769"/>
      <c r="F1192" s="208"/>
      <c r="G1192" s="763"/>
      <c r="H1192" s="744"/>
      <c r="I1192" s="765"/>
      <c r="J1192" s="730"/>
      <c r="K1192" s="761"/>
      <c r="L1192" s="761"/>
      <c r="M1192" s="730"/>
      <c r="N1192" s="730"/>
    </row>
    <row r="1193" spans="1:23" s="194" customFormat="1" ht="40.4" customHeight="1" x14ac:dyDescent="0.35">
      <c r="A1193" s="770" t="str">
        <f ca="1">INDIRECT("'update Helper'!C"&amp;U1193)</f>
        <v>a163p000004NtNwAAK</v>
      </c>
      <c r="B1193" s="766">
        <v>15</v>
      </c>
      <c r="C1193" s="760" t="str">
        <f>VLOOKUP(B1193,'Coverage Indicators - Section D'!$A$9:$AU$70,47,FALSE)</f>
        <v>HTS-5 Porcentaje de personas con diagnóstico nuevo de VIH que han iniciado terapia antirretroviral</v>
      </c>
      <c r="D1193" s="768" t="str">
        <f>R1193</f>
        <v>Género</v>
      </c>
      <c r="E1193" s="768" t="str">
        <f>S1193</f>
        <v>Hombres</v>
      </c>
      <c r="F1193" s="413"/>
      <c r="G1193" s="762" t="str">
        <f ca="1">IF(OR(INDIRECT("'update Helper'!E"&amp;U1193)="",F1193&lt;&gt;0,F1194&lt;&gt;0),IF(IFERROR((F1193/F1194),"")="","",(F1193/F1194)),INDIRECT("'update Helper'!E"&amp;U1193)/100)</f>
        <v/>
      </c>
      <c r="H1193" s="743"/>
      <c r="I1193" s="764"/>
      <c r="J1193" s="729"/>
      <c r="K1193" s="760" t="str">
        <f>W1193</f>
        <v>HTS-5 Percentage of people newly diagnosed with HIV initiated on ART</v>
      </c>
      <c r="L1193" s="760" t="str">
        <f>V1193</f>
        <v>Gender</v>
      </c>
      <c r="M1193" s="729"/>
      <c r="N1193" s="729"/>
      <c r="P1193" s="194">
        <f>IF(AND(EXACT(C1193,C1191),C1191&lt;&gt;0),P1191+1,0)</f>
        <v>6</v>
      </c>
      <c r="Q1193" s="194" t="str">
        <f>IF(C1193&lt;&gt;"",C1193&amp;"-"&amp;P1193,"")</f>
        <v>HTS-5 Porcentaje de personas con diagnóstico nuevo de VIH que han iniciado terapia antirretroviral-6</v>
      </c>
      <c r="R1193" s="194" t="str">
        <f t="array" ref="R1193">IFERROR(IF(INDEX('Disaggregation Records'!$E$155:$E$385,MATCH(RIGHT(Q1193,255),RIGHT('Disaggregation Records'!$D$155:$D$385,255),0))="","",INDEX('Disaggregation Records'!$E$155:$E$385,MATCH(RIGHT(Q1193,255),RIGHT('Disaggregation Records'!$D$155:$D$385,255),0))),"")</f>
        <v>Género</v>
      </c>
      <c r="S1193" s="194" t="str">
        <f t="array" ref="S1193">IFERROR(IF(INDEX('Disaggregation Records'!$F$155:$F$385,MATCH(RIGHT(Q1193,255),RIGHT('Disaggregation Records'!$D$155:$D$385,255),0))="","",INDEX('Disaggregation Records'!$F$155:$F$385,MATCH(RIGHT(Q1193,255),RIGHT('Disaggregation Records'!$D$155:$D$385,255),0))),"")</f>
        <v>Hombres</v>
      </c>
      <c r="T1193" s="194" t="str">
        <f t="array" ref="T1193">IFERROR(IF(INDEX('Disaggregation Records'!$H$155:$H$385,MATCH(RIGHT(Q1193,255),RIGHT('Disaggregation Records'!$D$155:$D$385,255),0))="","",INDEX('Disaggregation Records'!$H$155:$H$385,MATCH(RIGHT(Q1193,255),RIGHT('Disaggregation Records'!$D$155:$D$385,255),0))),"")</f>
        <v>IDR-00841</v>
      </c>
      <c r="U1193" s="194">
        <f>U1191+1</f>
        <v>2786</v>
      </c>
      <c r="V1193" s="194" t="str">
        <f t="array" ref="V1193">IFERROR(IF(INDEX('Disaggregation Records'!$I$155:$I$385,MATCH(RIGHT(Q1193,255),RIGHT('Disaggregation Records'!$D$155:$D$385,255),0))="","",INDEX('Disaggregation Records'!$I$155:$I$385,MATCH(RIGHT(Q1193,255),RIGHT('Disaggregation Records'!$D$155:$D$385,255),0))),"")</f>
        <v>Gender</v>
      </c>
      <c r="W1193" s="194" t="str">
        <f>IFERROR(INDEX('Reference Records'!L$77:L$157,MATCH(LEFT(C1193,255),'Reference Records'!E$77:E$157,0)),"")</f>
        <v>HTS-5 Percentage of people newly diagnosed with HIV initiated on ART</v>
      </c>
    </row>
    <row r="1194" spans="1:23" s="194" customFormat="1" ht="40.4" customHeight="1" x14ac:dyDescent="0.35">
      <c r="A1194" s="770"/>
      <c r="B1194" s="767"/>
      <c r="C1194" s="761"/>
      <c r="D1194" s="769"/>
      <c r="E1194" s="769"/>
      <c r="F1194" s="208"/>
      <c r="G1194" s="763"/>
      <c r="H1194" s="744"/>
      <c r="I1194" s="765"/>
      <c r="J1194" s="730"/>
      <c r="K1194" s="761"/>
      <c r="L1194" s="761"/>
      <c r="M1194" s="730"/>
      <c r="N1194" s="730"/>
    </row>
    <row r="1195" spans="1:23" s="194" customFormat="1" ht="40.4" customHeight="1" x14ac:dyDescent="0.35">
      <c r="A1195" s="770" t="str">
        <f ca="1">INDIRECT("'update Helper'!C"&amp;U1195)</f>
        <v>a163p000004NtNxAAK</v>
      </c>
      <c r="B1195" s="766">
        <v>15</v>
      </c>
      <c r="C1195" s="760" t="str">
        <f>VLOOKUP(B1195,'Coverage Indicators - Section D'!$A$9:$AU$70,47,FALSE)</f>
        <v>HTS-5 Porcentaje de personas con diagnóstico nuevo de VIH que han iniciado terapia antirretroviral</v>
      </c>
      <c r="D1195" s="768" t="str">
        <f>R1195</f>
        <v/>
      </c>
      <c r="E1195" s="768" t="str">
        <f>S1195</f>
        <v/>
      </c>
      <c r="F1195" s="413"/>
      <c r="G1195" s="762" t="str">
        <f ca="1">IF(OR(INDIRECT("'update Helper'!E"&amp;U1195)="",F1195&lt;&gt;0,F1196&lt;&gt;0),IF(IFERROR((F1195/F1196),"")="","",(F1195/F1196)),INDIRECT("'update Helper'!E"&amp;U1195)/100)</f>
        <v/>
      </c>
      <c r="H1195" s="743"/>
      <c r="I1195" s="764"/>
      <c r="J1195" s="729"/>
      <c r="K1195" s="760" t="str">
        <f>W1195</f>
        <v>HTS-5 Percentage of people newly diagnosed with HIV initiated on ART</v>
      </c>
      <c r="L1195" s="760" t="str">
        <f>V1195</f>
        <v/>
      </c>
      <c r="M1195" s="729"/>
      <c r="N1195" s="729"/>
      <c r="P1195" s="194">
        <f>IF(AND(EXACT(C1195,C1193),C1193&lt;&gt;0),P1193+1,0)</f>
        <v>7</v>
      </c>
      <c r="Q1195" s="194" t="str">
        <f>IF(C1195&lt;&gt;"",C1195&amp;"-"&amp;P1195,"")</f>
        <v>HTS-5 Porcentaje de personas con diagnóstico nuevo de VIH que han iniciado terapia antirretroviral-7</v>
      </c>
      <c r="R1195" s="194" t="str">
        <f t="array" ref="R1195">IFERROR(IF(INDEX('Disaggregation Records'!$E$155:$E$385,MATCH(RIGHT(Q1195,255),RIGHT('Disaggregation Records'!$D$155:$D$385,255),0))="","",INDEX('Disaggregation Records'!$E$155:$E$385,MATCH(RIGHT(Q1195,255),RIGHT('Disaggregation Records'!$D$155:$D$385,255),0))),"")</f>
        <v/>
      </c>
      <c r="S1195" s="194" t="str">
        <f t="array" ref="S1195">IFERROR(IF(INDEX('Disaggregation Records'!$F$155:$F$385,MATCH(RIGHT(Q1195,255),RIGHT('Disaggregation Records'!$D$155:$D$385,255),0))="","",INDEX('Disaggregation Records'!$F$155:$F$385,MATCH(RIGHT(Q1195,255),RIGHT('Disaggregation Records'!$D$155:$D$385,255),0))),"")</f>
        <v/>
      </c>
      <c r="T1195" s="194" t="str">
        <f t="array" ref="T1195">IFERROR(IF(INDEX('Disaggregation Records'!$H$155:$H$385,MATCH(RIGHT(Q1195,255),RIGHT('Disaggregation Records'!$D$155:$D$385,255),0))="","",INDEX('Disaggregation Records'!$H$155:$H$385,MATCH(RIGHT(Q1195,255),RIGHT('Disaggregation Records'!$D$155:$D$385,255),0))),"")</f>
        <v/>
      </c>
      <c r="U1195" s="194">
        <f>U1193+1</f>
        <v>2787</v>
      </c>
      <c r="V1195" s="194" t="str">
        <f t="array" ref="V1195">IFERROR(IF(INDEX('Disaggregation Records'!$I$155:$I$385,MATCH(RIGHT(Q1195,255),RIGHT('Disaggregation Records'!$D$155:$D$385,255),0))="","",INDEX('Disaggregation Records'!$I$155:$I$385,MATCH(RIGHT(Q1195,255),RIGHT('Disaggregation Records'!$D$155:$D$385,255),0))),"")</f>
        <v/>
      </c>
      <c r="W1195" s="194" t="str">
        <f>IFERROR(INDEX('Reference Records'!L$77:L$157,MATCH(LEFT(C1195,255),'Reference Records'!E$77:E$157,0)),"")</f>
        <v>HTS-5 Percentage of people newly diagnosed with HIV initiated on ART</v>
      </c>
    </row>
    <row r="1196" spans="1:23" s="194" customFormat="1" ht="40.4" customHeight="1" x14ac:dyDescent="0.35">
      <c r="A1196" s="770"/>
      <c r="B1196" s="767"/>
      <c r="C1196" s="761"/>
      <c r="D1196" s="769"/>
      <c r="E1196" s="769"/>
      <c r="F1196" s="208"/>
      <c r="G1196" s="763"/>
      <c r="H1196" s="744"/>
      <c r="I1196" s="765"/>
      <c r="J1196" s="730"/>
      <c r="K1196" s="761"/>
      <c r="L1196" s="761"/>
      <c r="M1196" s="730"/>
      <c r="N1196" s="730"/>
    </row>
    <row r="1197" spans="1:23" s="194" customFormat="1" ht="40.4" customHeight="1" x14ac:dyDescent="0.35">
      <c r="A1197" s="770" t="str">
        <f ca="1">INDIRECT("'update Helper'!C"&amp;U1197)</f>
        <v>a163p000004NtNyAAK</v>
      </c>
      <c r="B1197" s="766">
        <v>15</v>
      </c>
      <c r="C1197" s="760" t="str">
        <f>VLOOKUP(B1197,'Coverage Indicators - Section D'!$A$9:$AU$70,47,FALSE)</f>
        <v>HTS-5 Porcentaje de personas con diagnóstico nuevo de VIH que han iniciado terapia antirretroviral</v>
      </c>
      <c r="D1197" s="768" t="str">
        <f>R1197</f>
        <v/>
      </c>
      <c r="E1197" s="768" t="str">
        <f>S1197</f>
        <v/>
      </c>
      <c r="F1197" s="413"/>
      <c r="G1197" s="762" t="str">
        <f ca="1">IF(OR(INDIRECT("'update Helper'!E"&amp;U1197)="",F1197&lt;&gt;0,F1198&lt;&gt;0),IF(IFERROR((F1197/F1198),"")="","",(F1197/F1198)),INDIRECT("'update Helper'!E"&amp;U1197)/100)</f>
        <v/>
      </c>
      <c r="H1197" s="743"/>
      <c r="I1197" s="764"/>
      <c r="J1197" s="729"/>
      <c r="K1197" s="760" t="str">
        <f>W1197</f>
        <v>HTS-5 Percentage of people newly diagnosed with HIV initiated on ART</v>
      </c>
      <c r="L1197" s="760" t="str">
        <f>V1197</f>
        <v/>
      </c>
      <c r="M1197" s="729"/>
      <c r="N1197" s="729"/>
      <c r="P1197" s="194">
        <f>IF(AND(EXACT(C1197,C1195),C1195&lt;&gt;0),P1195+1,0)</f>
        <v>8</v>
      </c>
      <c r="Q1197" s="194" t="str">
        <f>IF(C1197&lt;&gt;"",C1197&amp;"-"&amp;P1197,"")</f>
        <v>HTS-5 Porcentaje de personas con diagnóstico nuevo de VIH que han iniciado terapia antirretroviral-8</v>
      </c>
      <c r="R1197" s="194" t="str">
        <f t="array" ref="R1197">IFERROR(IF(INDEX('Disaggregation Records'!$E$155:$E$385,MATCH(RIGHT(Q1197,255),RIGHT('Disaggregation Records'!$D$155:$D$385,255),0))="","",INDEX('Disaggregation Records'!$E$155:$E$385,MATCH(RIGHT(Q1197,255),RIGHT('Disaggregation Records'!$D$155:$D$385,255),0))),"")</f>
        <v/>
      </c>
      <c r="S1197" s="194" t="str">
        <f t="array" ref="S1197">IFERROR(IF(INDEX('Disaggregation Records'!$F$155:$F$385,MATCH(RIGHT(Q1197,255),RIGHT('Disaggregation Records'!$D$155:$D$385,255),0))="","",INDEX('Disaggregation Records'!$F$155:$F$385,MATCH(RIGHT(Q1197,255),RIGHT('Disaggregation Records'!$D$155:$D$385,255),0))),"")</f>
        <v/>
      </c>
      <c r="T1197" s="194" t="str">
        <f t="array" ref="T1197">IFERROR(IF(INDEX('Disaggregation Records'!$H$155:$H$385,MATCH(RIGHT(Q1197,255),RIGHT('Disaggregation Records'!$D$155:$D$385,255),0))="","",INDEX('Disaggregation Records'!$H$155:$H$385,MATCH(RIGHT(Q1197,255),RIGHT('Disaggregation Records'!$D$155:$D$385,255),0))),"")</f>
        <v/>
      </c>
      <c r="U1197" s="194">
        <f>U1195+1</f>
        <v>2788</v>
      </c>
      <c r="V1197" s="194" t="str">
        <f t="array" ref="V1197">IFERROR(IF(INDEX('Disaggregation Records'!$I$155:$I$385,MATCH(RIGHT(Q1197,255),RIGHT('Disaggregation Records'!$D$155:$D$385,255),0))="","",INDEX('Disaggregation Records'!$I$155:$I$385,MATCH(RIGHT(Q1197,255),RIGHT('Disaggregation Records'!$D$155:$D$385,255),0))),"")</f>
        <v/>
      </c>
      <c r="W1197" s="194" t="str">
        <f>IFERROR(INDEX('Reference Records'!L$77:L$157,MATCH(LEFT(C1197,255),'Reference Records'!E$77:E$157,0)),"")</f>
        <v>HTS-5 Percentage of people newly diagnosed with HIV initiated on ART</v>
      </c>
    </row>
    <row r="1198" spans="1:23" s="194" customFormat="1" ht="40.4" customHeight="1" x14ac:dyDescent="0.35">
      <c r="A1198" s="770"/>
      <c r="B1198" s="767"/>
      <c r="C1198" s="761"/>
      <c r="D1198" s="769"/>
      <c r="E1198" s="769"/>
      <c r="F1198" s="208"/>
      <c r="G1198" s="763"/>
      <c r="H1198" s="744"/>
      <c r="I1198" s="765"/>
      <c r="J1198" s="730"/>
      <c r="K1198" s="761"/>
      <c r="L1198" s="761"/>
      <c r="M1198" s="730"/>
      <c r="N1198" s="730"/>
    </row>
    <row r="1199" spans="1:23" s="194" customFormat="1" ht="40.4" customHeight="1" x14ac:dyDescent="0.35">
      <c r="A1199" s="770" t="str">
        <f ca="1">INDIRECT("'update Helper'!C"&amp;U1199)</f>
        <v>a163p000004NtNzAAK</v>
      </c>
      <c r="B1199" s="766">
        <v>15</v>
      </c>
      <c r="C1199" s="760" t="str">
        <f>VLOOKUP(B1199,'Coverage Indicators - Section D'!$A$9:$AU$70,47,FALSE)</f>
        <v>HTS-5 Porcentaje de personas con diagnóstico nuevo de VIH que han iniciado terapia antirretroviral</v>
      </c>
      <c r="D1199" s="768" t="str">
        <f>R1199</f>
        <v/>
      </c>
      <c r="E1199" s="768" t="str">
        <f>S1199</f>
        <v/>
      </c>
      <c r="F1199" s="413"/>
      <c r="G1199" s="762" t="str">
        <f ca="1">IF(OR(INDIRECT("'update Helper'!E"&amp;U1199)="",F1199&lt;&gt;0,F1200&lt;&gt;0),IF(IFERROR((F1199/F1200),"")="","",(F1199/F1200)),INDIRECT("'update Helper'!E"&amp;U1199)/100)</f>
        <v/>
      </c>
      <c r="H1199" s="743"/>
      <c r="I1199" s="764"/>
      <c r="J1199" s="729"/>
      <c r="K1199" s="760" t="str">
        <f>W1199</f>
        <v>HTS-5 Percentage of people newly diagnosed with HIV initiated on ART</v>
      </c>
      <c r="L1199" s="760" t="str">
        <f>V1199</f>
        <v/>
      </c>
      <c r="M1199" s="729"/>
      <c r="N1199" s="729"/>
      <c r="P1199" s="194">
        <f>IF(AND(EXACT(C1199,C1197),C1197&lt;&gt;0),P1197+1,0)</f>
        <v>9</v>
      </c>
      <c r="Q1199" s="194" t="str">
        <f>IF(C1199&lt;&gt;"",C1199&amp;"-"&amp;P1199,"")</f>
        <v>HTS-5 Porcentaje de personas con diagnóstico nuevo de VIH que han iniciado terapia antirretroviral-9</v>
      </c>
      <c r="R1199" s="194" t="str">
        <f t="array" ref="R1199">IFERROR(IF(INDEX('Disaggregation Records'!$E$155:$E$385,MATCH(RIGHT(Q1199,255),RIGHT('Disaggregation Records'!$D$155:$D$385,255),0))="","",INDEX('Disaggregation Records'!$E$155:$E$385,MATCH(RIGHT(Q1199,255),RIGHT('Disaggregation Records'!$D$155:$D$385,255),0))),"")</f>
        <v/>
      </c>
      <c r="S1199" s="194" t="str">
        <f t="array" ref="S1199">IFERROR(IF(INDEX('Disaggregation Records'!$F$155:$F$385,MATCH(RIGHT(Q1199,255),RIGHT('Disaggregation Records'!$D$155:$D$385,255),0))="","",INDEX('Disaggregation Records'!$F$155:$F$385,MATCH(RIGHT(Q1199,255),RIGHT('Disaggregation Records'!$D$155:$D$385,255),0))),"")</f>
        <v/>
      </c>
      <c r="T1199" s="194" t="str">
        <f t="array" ref="T1199">IFERROR(IF(INDEX('Disaggregation Records'!$H$155:$H$385,MATCH(RIGHT(Q1199,255),RIGHT('Disaggregation Records'!$D$155:$D$385,255),0))="","",INDEX('Disaggregation Records'!$H$155:$H$385,MATCH(RIGHT(Q1199,255),RIGHT('Disaggregation Records'!$D$155:$D$385,255),0))),"")</f>
        <v/>
      </c>
      <c r="U1199" s="194">
        <f>U1197+1</f>
        <v>2789</v>
      </c>
      <c r="V1199" s="194" t="str">
        <f t="array" ref="V1199">IFERROR(IF(INDEX('Disaggregation Records'!$I$155:$I$385,MATCH(RIGHT(Q1199,255),RIGHT('Disaggregation Records'!$D$155:$D$385,255),0))="","",INDEX('Disaggregation Records'!$I$155:$I$385,MATCH(RIGHT(Q1199,255),RIGHT('Disaggregation Records'!$D$155:$D$385,255),0))),"")</f>
        <v/>
      </c>
      <c r="W1199" s="194" t="str">
        <f>IFERROR(INDEX('Reference Records'!L$77:L$157,MATCH(LEFT(C1199,255),'Reference Records'!E$77:E$157,0)),"")</f>
        <v>HTS-5 Percentage of people newly diagnosed with HIV initiated on ART</v>
      </c>
    </row>
    <row r="1200" spans="1:23" s="194" customFormat="1" ht="40.4" customHeight="1" x14ac:dyDescent="0.35">
      <c r="A1200" s="770"/>
      <c r="B1200" s="767"/>
      <c r="C1200" s="761"/>
      <c r="D1200" s="769"/>
      <c r="E1200" s="769"/>
      <c r="F1200" s="208"/>
      <c r="G1200" s="763"/>
      <c r="H1200" s="744"/>
      <c r="I1200" s="765"/>
      <c r="J1200" s="730"/>
      <c r="K1200" s="761"/>
      <c r="L1200" s="761"/>
      <c r="M1200" s="730"/>
      <c r="N1200" s="730"/>
    </row>
    <row r="1201" spans="1:23" s="194" customFormat="1" ht="40.4" customHeight="1" x14ac:dyDescent="0.35">
      <c r="A1201" s="770" t="str">
        <f ca="1">INDIRECT("'update Helper'!C"&amp;U1201)</f>
        <v>a163p000004NtO0AAK</v>
      </c>
      <c r="B1201" s="766">
        <v>15</v>
      </c>
      <c r="C1201" s="760" t="str">
        <f>VLOOKUP(B1201,'Coverage Indicators - Section D'!$A$9:$AU$70,47,FALSE)</f>
        <v>HTS-5 Porcentaje de personas con diagnóstico nuevo de VIH que han iniciado terapia antirretroviral</v>
      </c>
      <c r="D1201" s="768" t="str">
        <f>R1201</f>
        <v/>
      </c>
      <c r="E1201" s="768" t="str">
        <f>S1201</f>
        <v/>
      </c>
      <c r="F1201" s="413"/>
      <c r="G1201" s="762" t="str">
        <f ca="1">IF(OR(INDIRECT("'update Helper'!E"&amp;U1201)="",F1201&lt;&gt;0,F1202&lt;&gt;0),IF(IFERROR((F1201/F1202),"")="","",(F1201/F1202)),INDIRECT("'update Helper'!E"&amp;U1201)/100)</f>
        <v/>
      </c>
      <c r="H1201" s="743"/>
      <c r="I1201" s="764"/>
      <c r="J1201" s="729"/>
      <c r="K1201" s="760" t="str">
        <f>W1201</f>
        <v>HTS-5 Percentage of people newly diagnosed with HIV initiated on ART</v>
      </c>
      <c r="L1201" s="760" t="str">
        <f>V1201</f>
        <v/>
      </c>
      <c r="M1201" s="729"/>
      <c r="N1201" s="729"/>
      <c r="P1201" s="194">
        <f>IF(AND(EXACT(C1201,C1199),C1199&lt;&gt;0),P1199+1,0)</f>
        <v>10</v>
      </c>
      <c r="Q1201" s="194" t="str">
        <f>IF(C1201&lt;&gt;"",C1201&amp;"-"&amp;P1201,"")</f>
        <v>HTS-5 Porcentaje de personas con diagnóstico nuevo de VIH que han iniciado terapia antirretroviral-10</v>
      </c>
      <c r="R1201" s="194" t="str">
        <f t="array" ref="R1201">IFERROR(IF(INDEX('Disaggregation Records'!$E$155:$E$385,MATCH(RIGHT(Q1201,255),RIGHT('Disaggregation Records'!$D$155:$D$385,255),0))="","",INDEX('Disaggregation Records'!$E$155:$E$385,MATCH(RIGHT(Q1201,255),RIGHT('Disaggregation Records'!$D$155:$D$385,255),0))),"")</f>
        <v/>
      </c>
      <c r="S1201" s="194" t="str">
        <f t="array" ref="S1201">IFERROR(IF(INDEX('Disaggregation Records'!$F$155:$F$385,MATCH(RIGHT(Q1201,255),RIGHT('Disaggregation Records'!$D$155:$D$385,255),0))="","",INDEX('Disaggregation Records'!$F$155:$F$385,MATCH(RIGHT(Q1201,255),RIGHT('Disaggregation Records'!$D$155:$D$385,255),0))),"")</f>
        <v/>
      </c>
      <c r="T1201" s="194" t="str">
        <f t="array" ref="T1201">IFERROR(IF(INDEX('Disaggregation Records'!$H$155:$H$385,MATCH(RIGHT(Q1201,255),RIGHT('Disaggregation Records'!$D$155:$D$385,255),0))="","",INDEX('Disaggregation Records'!$H$155:$H$385,MATCH(RIGHT(Q1201,255),RIGHT('Disaggregation Records'!$D$155:$D$385,255),0))),"")</f>
        <v/>
      </c>
      <c r="U1201" s="194">
        <f>U1199+1</f>
        <v>2790</v>
      </c>
      <c r="V1201" s="194" t="str">
        <f t="array" ref="V1201">IFERROR(IF(INDEX('Disaggregation Records'!$I$155:$I$385,MATCH(RIGHT(Q1201,255),RIGHT('Disaggregation Records'!$D$155:$D$385,255),0))="","",INDEX('Disaggregation Records'!$I$155:$I$385,MATCH(RIGHT(Q1201,255),RIGHT('Disaggregation Records'!$D$155:$D$385,255),0))),"")</f>
        <v/>
      </c>
      <c r="W1201" s="194" t="str">
        <f>IFERROR(INDEX('Reference Records'!L$77:L$157,MATCH(LEFT(C1201,255),'Reference Records'!E$77:E$157,0)),"")</f>
        <v>HTS-5 Percentage of people newly diagnosed with HIV initiated on ART</v>
      </c>
    </row>
    <row r="1202" spans="1:23" s="194" customFormat="1" ht="40.4" customHeight="1" x14ac:dyDescent="0.35">
      <c r="A1202" s="770"/>
      <c r="B1202" s="767"/>
      <c r="C1202" s="761"/>
      <c r="D1202" s="769"/>
      <c r="E1202" s="769"/>
      <c r="F1202" s="208"/>
      <c r="G1202" s="763"/>
      <c r="H1202" s="744"/>
      <c r="I1202" s="765"/>
      <c r="J1202" s="730"/>
      <c r="K1202" s="761"/>
      <c r="L1202" s="761"/>
      <c r="M1202" s="730"/>
      <c r="N1202" s="730"/>
    </row>
    <row r="1203" spans="1:23" s="194" customFormat="1" ht="40.4" customHeight="1" x14ac:dyDescent="0.35">
      <c r="A1203" s="770" t="str">
        <f ca="1">INDIRECT("'update Helper'!C"&amp;U1203)</f>
        <v>a163p000004NtO1AAK</v>
      </c>
      <c r="B1203" s="766">
        <v>15</v>
      </c>
      <c r="C1203" s="760" t="str">
        <f>VLOOKUP(B1203,'Coverage Indicators - Section D'!$A$9:$AU$70,47,FALSE)</f>
        <v>HTS-5 Porcentaje de personas con diagnóstico nuevo de VIH que han iniciado terapia antirretroviral</v>
      </c>
      <c r="D1203" s="768" t="str">
        <f>R1203</f>
        <v/>
      </c>
      <c r="E1203" s="768" t="str">
        <f>S1203</f>
        <v/>
      </c>
      <c r="F1203" s="413"/>
      <c r="G1203" s="762" t="str">
        <f ca="1">IF(OR(INDIRECT("'update Helper'!E"&amp;U1203)="",F1203&lt;&gt;0,F1204&lt;&gt;0),IF(IFERROR((F1203/F1204),"")="","",(F1203/F1204)),INDIRECT("'update Helper'!E"&amp;U1203)/100)</f>
        <v/>
      </c>
      <c r="H1203" s="743"/>
      <c r="I1203" s="764"/>
      <c r="J1203" s="729"/>
      <c r="K1203" s="760" t="str">
        <f>W1203</f>
        <v>HTS-5 Percentage of people newly diagnosed with HIV initiated on ART</v>
      </c>
      <c r="L1203" s="760" t="str">
        <f>V1203</f>
        <v/>
      </c>
      <c r="M1203" s="729"/>
      <c r="N1203" s="729"/>
      <c r="P1203" s="194">
        <f>IF(AND(EXACT(C1203,C1201),C1201&lt;&gt;0),P1201+1,0)</f>
        <v>11</v>
      </c>
      <c r="Q1203" s="194" t="str">
        <f>IF(C1203&lt;&gt;"",C1203&amp;"-"&amp;P1203,"")</f>
        <v>HTS-5 Porcentaje de personas con diagnóstico nuevo de VIH que han iniciado terapia antirretroviral-11</v>
      </c>
      <c r="R1203" s="194" t="str">
        <f t="array" ref="R1203">IFERROR(IF(INDEX('Disaggregation Records'!$E$155:$E$385,MATCH(RIGHT(Q1203,255),RIGHT('Disaggregation Records'!$D$155:$D$385,255),0))="","",INDEX('Disaggregation Records'!$E$155:$E$385,MATCH(RIGHT(Q1203,255),RIGHT('Disaggregation Records'!$D$155:$D$385,255),0))),"")</f>
        <v/>
      </c>
      <c r="S1203" s="194" t="str">
        <f t="array" ref="S1203">IFERROR(IF(INDEX('Disaggregation Records'!$F$155:$F$385,MATCH(RIGHT(Q1203,255),RIGHT('Disaggregation Records'!$D$155:$D$385,255),0))="","",INDEX('Disaggregation Records'!$F$155:$F$385,MATCH(RIGHT(Q1203,255),RIGHT('Disaggregation Records'!$D$155:$D$385,255),0))),"")</f>
        <v/>
      </c>
      <c r="T1203" s="194" t="str">
        <f t="array" ref="T1203">IFERROR(IF(INDEX('Disaggregation Records'!$H$155:$H$385,MATCH(RIGHT(Q1203,255),RIGHT('Disaggregation Records'!$D$155:$D$385,255),0))="","",INDEX('Disaggregation Records'!$H$155:$H$385,MATCH(RIGHT(Q1203,255),RIGHT('Disaggregation Records'!$D$155:$D$385,255),0))),"")</f>
        <v/>
      </c>
      <c r="U1203" s="194">
        <f>U1201+1</f>
        <v>2791</v>
      </c>
      <c r="V1203" s="194" t="str">
        <f t="array" ref="V1203">IFERROR(IF(INDEX('Disaggregation Records'!$I$155:$I$385,MATCH(RIGHT(Q1203,255),RIGHT('Disaggregation Records'!$D$155:$D$385,255),0))="","",INDEX('Disaggregation Records'!$I$155:$I$385,MATCH(RIGHT(Q1203,255),RIGHT('Disaggregation Records'!$D$155:$D$385,255),0))),"")</f>
        <v/>
      </c>
      <c r="W1203" s="194" t="str">
        <f>IFERROR(INDEX('Reference Records'!L$77:L$157,MATCH(LEFT(C1203,255),'Reference Records'!E$77:E$157,0)),"")</f>
        <v>HTS-5 Percentage of people newly diagnosed with HIV initiated on ART</v>
      </c>
    </row>
    <row r="1204" spans="1:23" s="194" customFormat="1" ht="40.4" customHeight="1" x14ac:dyDescent="0.35">
      <c r="A1204" s="770"/>
      <c r="B1204" s="767"/>
      <c r="C1204" s="761"/>
      <c r="D1204" s="769"/>
      <c r="E1204" s="769"/>
      <c r="F1204" s="208"/>
      <c r="G1204" s="763"/>
      <c r="H1204" s="744"/>
      <c r="I1204" s="765"/>
      <c r="J1204" s="730"/>
      <c r="K1204" s="761"/>
      <c r="L1204" s="761"/>
      <c r="M1204" s="730"/>
      <c r="N1204" s="730"/>
    </row>
    <row r="1205" spans="1:23" s="194" customFormat="1" ht="40.4" customHeight="1" x14ac:dyDescent="0.35">
      <c r="A1205" s="770" t="str">
        <f ca="1">INDIRECT("'update Helper'!C"&amp;U1205)</f>
        <v>a163p000004NtO2AAK</v>
      </c>
      <c r="B1205" s="766">
        <v>15</v>
      </c>
      <c r="C1205" s="760" t="str">
        <f>VLOOKUP(B1205,'Coverage Indicators - Section D'!$A$9:$AU$70,47,FALSE)</f>
        <v>HTS-5 Porcentaje de personas con diagnóstico nuevo de VIH que han iniciado terapia antirretroviral</v>
      </c>
      <c r="D1205" s="768" t="str">
        <f>R1205</f>
        <v/>
      </c>
      <c r="E1205" s="768" t="str">
        <f>S1205</f>
        <v/>
      </c>
      <c r="F1205" s="413"/>
      <c r="G1205" s="762" t="str">
        <f ca="1">IF(OR(INDIRECT("'update Helper'!E"&amp;U1205)="",F1205&lt;&gt;0,F1206&lt;&gt;0),IF(IFERROR((F1205/F1206),"")="","",(F1205/F1206)),INDIRECT("'update Helper'!E"&amp;U1205)/100)</f>
        <v/>
      </c>
      <c r="H1205" s="743"/>
      <c r="I1205" s="764"/>
      <c r="J1205" s="729"/>
      <c r="K1205" s="760" t="str">
        <f>W1205</f>
        <v>HTS-5 Percentage of people newly diagnosed with HIV initiated on ART</v>
      </c>
      <c r="L1205" s="760" t="str">
        <f>V1205</f>
        <v/>
      </c>
      <c r="M1205" s="729"/>
      <c r="N1205" s="729"/>
      <c r="P1205" s="194">
        <f>IF(AND(EXACT(C1205,C1203),C1203&lt;&gt;0),P1203+1,0)</f>
        <v>12</v>
      </c>
      <c r="Q1205" s="194" t="str">
        <f>IF(C1205&lt;&gt;"",C1205&amp;"-"&amp;P1205,"")</f>
        <v>HTS-5 Porcentaje de personas con diagnóstico nuevo de VIH que han iniciado terapia antirretroviral-12</v>
      </c>
      <c r="R1205" s="194" t="str">
        <f t="array" ref="R1205">IFERROR(IF(INDEX('Disaggregation Records'!$E$155:$E$385,MATCH(RIGHT(Q1205,255),RIGHT('Disaggregation Records'!$D$155:$D$385,255),0))="","",INDEX('Disaggregation Records'!$E$155:$E$385,MATCH(RIGHT(Q1205,255),RIGHT('Disaggregation Records'!$D$155:$D$385,255),0))),"")</f>
        <v/>
      </c>
      <c r="S1205" s="194" t="str">
        <f t="array" ref="S1205">IFERROR(IF(INDEX('Disaggregation Records'!$F$155:$F$385,MATCH(RIGHT(Q1205,255),RIGHT('Disaggregation Records'!$D$155:$D$385,255),0))="","",INDEX('Disaggregation Records'!$F$155:$F$385,MATCH(RIGHT(Q1205,255),RIGHT('Disaggregation Records'!$D$155:$D$385,255),0))),"")</f>
        <v/>
      </c>
      <c r="T1205" s="194" t="str">
        <f t="array" ref="T1205">IFERROR(IF(INDEX('Disaggregation Records'!$H$155:$H$385,MATCH(RIGHT(Q1205,255),RIGHT('Disaggregation Records'!$D$155:$D$385,255),0))="","",INDEX('Disaggregation Records'!$H$155:$H$385,MATCH(RIGHT(Q1205,255),RIGHT('Disaggregation Records'!$D$155:$D$385,255),0))),"")</f>
        <v/>
      </c>
      <c r="U1205" s="194">
        <f>U1203+1</f>
        <v>2792</v>
      </c>
      <c r="V1205" s="194" t="str">
        <f t="array" ref="V1205">IFERROR(IF(INDEX('Disaggregation Records'!$I$155:$I$385,MATCH(RIGHT(Q1205,255),RIGHT('Disaggregation Records'!$D$155:$D$385,255),0))="","",INDEX('Disaggregation Records'!$I$155:$I$385,MATCH(RIGHT(Q1205,255),RIGHT('Disaggregation Records'!$D$155:$D$385,255),0))),"")</f>
        <v/>
      </c>
      <c r="W1205" s="194" t="str">
        <f>IFERROR(INDEX('Reference Records'!L$77:L$157,MATCH(LEFT(C1205,255),'Reference Records'!E$77:E$157,0)),"")</f>
        <v>HTS-5 Percentage of people newly diagnosed with HIV initiated on ART</v>
      </c>
    </row>
    <row r="1206" spans="1:23" s="194" customFormat="1" ht="40.4" customHeight="1" x14ac:dyDescent="0.35">
      <c r="A1206" s="770"/>
      <c r="B1206" s="767"/>
      <c r="C1206" s="761"/>
      <c r="D1206" s="769"/>
      <c r="E1206" s="769"/>
      <c r="F1206" s="208"/>
      <c r="G1206" s="763"/>
      <c r="H1206" s="744"/>
      <c r="I1206" s="765"/>
      <c r="J1206" s="730"/>
      <c r="K1206" s="761"/>
      <c r="L1206" s="761"/>
      <c r="M1206" s="730"/>
      <c r="N1206" s="730"/>
    </row>
    <row r="1207" spans="1:23" s="194" customFormat="1" ht="40.4" customHeight="1" x14ac:dyDescent="0.35">
      <c r="A1207" s="770" t="str">
        <f ca="1">INDIRECT("'update Helper'!C"&amp;U1207)</f>
        <v>a163p000004NtO3AAK</v>
      </c>
      <c r="B1207" s="766">
        <v>15</v>
      </c>
      <c r="C1207" s="760" t="str">
        <f>VLOOKUP(B1207,'Coverage Indicators - Section D'!$A$9:$AU$70,47,FALSE)</f>
        <v>HTS-5 Porcentaje de personas con diagnóstico nuevo de VIH que han iniciado terapia antirretroviral</v>
      </c>
      <c r="D1207" s="768" t="str">
        <f>R1207</f>
        <v/>
      </c>
      <c r="E1207" s="768" t="str">
        <f>S1207</f>
        <v/>
      </c>
      <c r="F1207" s="413"/>
      <c r="G1207" s="762" t="str">
        <f ca="1">IF(OR(INDIRECT("'update Helper'!E"&amp;U1207)="",F1207&lt;&gt;0,F1208&lt;&gt;0),IF(IFERROR((F1207/F1208),"")="","",(F1207/F1208)),INDIRECT("'update Helper'!E"&amp;U1207)/100)</f>
        <v/>
      </c>
      <c r="H1207" s="743"/>
      <c r="I1207" s="764"/>
      <c r="J1207" s="729"/>
      <c r="K1207" s="760" t="str">
        <f>W1207</f>
        <v>HTS-5 Percentage of people newly diagnosed with HIV initiated on ART</v>
      </c>
      <c r="L1207" s="760" t="str">
        <f>V1207</f>
        <v/>
      </c>
      <c r="M1207" s="729"/>
      <c r="N1207" s="729"/>
      <c r="P1207" s="194">
        <f>IF(AND(EXACT(C1207,C1205),C1205&lt;&gt;0),P1205+1,0)</f>
        <v>13</v>
      </c>
      <c r="Q1207" s="194" t="str">
        <f>IF(C1207&lt;&gt;"",C1207&amp;"-"&amp;P1207,"")</f>
        <v>HTS-5 Porcentaje de personas con diagnóstico nuevo de VIH que han iniciado terapia antirretroviral-13</v>
      </c>
      <c r="R1207" s="194" t="str">
        <f t="array" ref="R1207">IFERROR(IF(INDEX('Disaggregation Records'!$E$155:$E$385,MATCH(RIGHT(Q1207,255),RIGHT('Disaggregation Records'!$D$155:$D$385,255),0))="","",INDEX('Disaggregation Records'!$E$155:$E$385,MATCH(RIGHT(Q1207,255),RIGHT('Disaggregation Records'!$D$155:$D$385,255),0))),"")</f>
        <v/>
      </c>
      <c r="S1207" s="194" t="str">
        <f t="array" ref="S1207">IFERROR(IF(INDEX('Disaggregation Records'!$F$155:$F$385,MATCH(RIGHT(Q1207,255),RIGHT('Disaggregation Records'!$D$155:$D$385,255),0))="","",INDEX('Disaggregation Records'!$F$155:$F$385,MATCH(RIGHT(Q1207,255),RIGHT('Disaggregation Records'!$D$155:$D$385,255),0))),"")</f>
        <v/>
      </c>
      <c r="T1207" s="194" t="str">
        <f t="array" ref="T1207">IFERROR(IF(INDEX('Disaggregation Records'!$H$155:$H$385,MATCH(RIGHT(Q1207,255),RIGHT('Disaggregation Records'!$D$155:$D$385,255),0))="","",INDEX('Disaggregation Records'!$H$155:$H$385,MATCH(RIGHT(Q1207,255),RIGHT('Disaggregation Records'!$D$155:$D$385,255),0))),"")</f>
        <v/>
      </c>
      <c r="U1207" s="194">
        <f>U1205+1</f>
        <v>2793</v>
      </c>
      <c r="V1207" s="194" t="str">
        <f t="array" ref="V1207">IFERROR(IF(INDEX('Disaggregation Records'!$I$155:$I$385,MATCH(RIGHT(Q1207,255),RIGHT('Disaggregation Records'!$D$155:$D$385,255),0))="","",INDEX('Disaggregation Records'!$I$155:$I$385,MATCH(RIGHT(Q1207,255),RIGHT('Disaggregation Records'!$D$155:$D$385,255),0))),"")</f>
        <v/>
      </c>
      <c r="W1207" s="194" t="str">
        <f>IFERROR(INDEX('Reference Records'!L$77:L$157,MATCH(LEFT(C1207,255),'Reference Records'!E$77:E$157,0)),"")</f>
        <v>HTS-5 Percentage of people newly diagnosed with HIV initiated on ART</v>
      </c>
    </row>
    <row r="1208" spans="1:23" s="194" customFormat="1" ht="40.4" customHeight="1" x14ac:dyDescent="0.35">
      <c r="A1208" s="770"/>
      <c r="B1208" s="767"/>
      <c r="C1208" s="761"/>
      <c r="D1208" s="769"/>
      <c r="E1208" s="769"/>
      <c r="F1208" s="208"/>
      <c r="G1208" s="763"/>
      <c r="H1208" s="744"/>
      <c r="I1208" s="765"/>
      <c r="J1208" s="730"/>
      <c r="K1208" s="761"/>
      <c r="L1208" s="761"/>
      <c r="M1208" s="730"/>
      <c r="N1208" s="730"/>
    </row>
    <row r="1209" spans="1:23" s="194" customFormat="1" ht="40.4" customHeight="1" x14ac:dyDescent="0.35">
      <c r="A1209" s="770" t="str">
        <f ca="1">INDIRECT("'update Helper'!C"&amp;U1209)</f>
        <v>a163p000004NtO4AAK</v>
      </c>
      <c r="B1209" s="766">
        <v>15</v>
      </c>
      <c r="C1209" s="760" t="str">
        <f>VLOOKUP(B1209,'Coverage Indicators - Section D'!$A$9:$AU$70,47,FALSE)</f>
        <v>HTS-5 Porcentaje de personas con diagnóstico nuevo de VIH que han iniciado terapia antirretroviral</v>
      </c>
      <c r="D1209" s="768" t="str">
        <f>R1209</f>
        <v/>
      </c>
      <c r="E1209" s="768" t="str">
        <f>S1209</f>
        <v/>
      </c>
      <c r="F1209" s="413"/>
      <c r="G1209" s="762" t="str">
        <f ca="1">IF(OR(INDIRECT("'update Helper'!E"&amp;U1209)="",F1209&lt;&gt;0,F1210&lt;&gt;0),IF(IFERROR((F1209/F1210),"")="","",(F1209/F1210)),INDIRECT("'update Helper'!E"&amp;U1209)/100)</f>
        <v/>
      </c>
      <c r="H1209" s="743"/>
      <c r="I1209" s="764"/>
      <c r="J1209" s="729"/>
      <c r="K1209" s="760" t="str">
        <f>W1209</f>
        <v>HTS-5 Percentage of people newly diagnosed with HIV initiated on ART</v>
      </c>
      <c r="L1209" s="760" t="str">
        <f>V1209</f>
        <v/>
      </c>
      <c r="M1209" s="729"/>
      <c r="N1209" s="729"/>
      <c r="P1209" s="194">
        <f>IF(AND(EXACT(C1209,C1207),C1207&lt;&gt;0),P1207+1,0)</f>
        <v>14</v>
      </c>
      <c r="Q1209" s="194" t="str">
        <f>IF(C1209&lt;&gt;"",C1209&amp;"-"&amp;P1209,"")</f>
        <v>HTS-5 Porcentaje de personas con diagnóstico nuevo de VIH que han iniciado terapia antirretroviral-14</v>
      </c>
      <c r="R1209" s="194" t="str">
        <f t="array" ref="R1209">IFERROR(IF(INDEX('Disaggregation Records'!$E$155:$E$385,MATCH(RIGHT(Q1209,255),RIGHT('Disaggregation Records'!$D$155:$D$385,255),0))="","",INDEX('Disaggregation Records'!$E$155:$E$385,MATCH(RIGHT(Q1209,255),RIGHT('Disaggregation Records'!$D$155:$D$385,255),0))),"")</f>
        <v/>
      </c>
      <c r="S1209" s="194" t="str">
        <f t="array" ref="S1209">IFERROR(IF(INDEX('Disaggregation Records'!$F$155:$F$385,MATCH(RIGHT(Q1209,255),RIGHT('Disaggregation Records'!$D$155:$D$385,255),0))="","",INDEX('Disaggregation Records'!$F$155:$F$385,MATCH(RIGHT(Q1209,255),RIGHT('Disaggregation Records'!$D$155:$D$385,255),0))),"")</f>
        <v/>
      </c>
      <c r="T1209" s="194" t="str">
        <f t="array" ref="T1209">IFERROR(IF(INDEX('Disaggregation Records'!$H$155:$H$385,MATCH(RIGHT(Q1209,255),RIGHT('Disaggregation Records'!$D$155:$D$385,255),0))="","",INDEX('Disaggregation Records'!$H$155:$H$385,MATCH(RIGHT(Q1209,255),RIGHT('Disaggregation Records'!$D$155:$D$385,255),0))),"")</f>
        <v/>
      </c>
      <c r="U1209" s="194">
        <f>U1207+1</f>
        <v>2794</v>
      </c>
      <c r="V1209" s="194" t="str">
        <f t="array" ref="V1209">IFERROR(IF(INDEX('Disaggregation Records'!$I$155:$I$385,MATCH(RIGHT(Q1209,255),RIGHT('Disaggregation Records'!$D$155:$D$385,255),0))="","",INDEX('Disaggregation Records'!$I$155:$I$385,MATCH(RIGHT(Q1209,255),RIGHT('Disaggregation Records'!$D$155:$D$385,255),0))),"")</f>
        <v/>
      </c>
      <c r="W1209" s="194" t="str">
        <f>IFERROR(INDEX('Reference Records'!L$77:L$157,MATCH(LEFT(C1209,255),'Reference Records'!E$77:E$157,0)),"")</f>
        <v>HTS-5 Percentage of people newly diagnosed with HIV initiated on ART</v>
      </c>
    </row>
    <row r="1210" spans="1:23" s="194" customFormat="1" ht="40.4" customHeight="1" x14ac:dyDescent="0.35">
      <c r="A1210" s="770"/>
      <c r="B1210" s="767"/>
      <c r="C1210" s="761"/>
      <c r="D1210" s="769"/>
      <c r="E1210" s="769"/>
      <c r="F1210" s="208"/>
      <c r="G1210" s="763"/>
      <c r="H1210" s="744"/>
      <c r="I1210" s="765"/>
      <c r="J1210" s="730"/>
      <c r="K1210" s="761"/>
      <c r="L1210" s="761"/>
      <c r="M1210" s="730"/>
      <c r="N1210" s="730"/>
    </row>
    <row r="1211" spans="1:23" s="194" customFormat="1" ht="40.4" customHeight="1" x14ac:dyDescent="0.35">
      <c r="A1211" s="770" t="str">
        <f ca="1">INDIRECT("'update Helper'!C"&amp;U1211)</f>
        <v>a163p000004NtO5AAK</v>
      </c>
      <c r="B1211" s="766">
        <v>15</v>
      </c>
      <c r="C1211" s="760" t="str">
        <f>VLOOKUP(B1211,'Coverage Indicators - Section D'!$A$9:$AU$70,47,FALSE)</f>
        <v>HTS-5 Porcentaje de personas con diagnóstico nuevo de VIH que han iniciado terapia antirretroviral</v>
      </c>
      <c r="D1211" s="768" t="str">
        <f>R1211</f>
        <v/>
      </c>
      <c r="E1211" s="768" t="str">
        <f>S1211</f>
        <v/>
      </c>
      <c r="F1211" s="413"/>
      <c r="G1211" s="762" t="str">
        <f ca="1">IF(OR(INDIRECT("'update Helper'!E"&amp;U1211)="",F1211&lt;&gt;0,F1212&lt;&gt;0),IF(IFERROR((F1211/F1212),"")="","",(F1211/F1212)),INDIRECT("'update Helper'!E"&amp;U1211)/100)</f>
        <v/>
      </c>
      <c r="H1211" s="743"/>
      <c r="I1211" s="764"/>
      <c r="J1211" s="729"/>
      <c r="K1211" s="760" t="str">
        <f>W1211</f>
        <v>HTS-5 Percentage of people newly diagnosed with HIV initiated on ART</v>
      </c>
      <c r="L1211" s="760" t="str">
        <f>V1211</f>
        <v/>
      </c>
      <c r="M1211" s="729"/>
      <c r="N1211" s="729"/>
      <c r="P1211" s="194">
        <f>IF(AND(EXACT(C1211,C1209),C1209&lt;&gt;0),P1209+1,0)</f>
        <v>15</v>
      </c>
      <c r="Q1211" s="194" t="str">
        <f>IF(C1211&lt;&gt;"",C1211&amp;"-"&amp;P1211,"")</f>
        <v>HTS-5 Porcentaje de personas con diagnóstico nuevo de VIH que han iniciado terapia antirretroviral-15</v>
      </c>
      <c r="R1211" s="194" t="str">
        <f t="array" ref="R1211">IFERROR(IF(INDEX('Disaggregation Records'!$E$155:$E$385,MATCH(RIGHT(Q1211,255),RIGHT('Disaggregation Records'!$D$155:$D$385,255),0))="","",INDEX('Disaggregation Records'!$E$155:$E$385,MATCH(RIGHT(Q1211,255),RIGHT('Disaggregation Records'!$D$155:$D$385,255),0))),"")</f>
        <v/>
      </c>
      <c r="S1211" s="194" t="str">
        <f t="array" ref="S1211">IFERROR(IF(INDEX('Disaggregation Records'!$F$155:$F$385,MATCH(RIGHT(Q1211,255),RIGHT('Disaggregation Records'!$D$155:$D$385,255),0))="","",INDEX('Disaggregation Records'!$F$155:$F$385,MATCH(RIGHT(Q1211,255),RIGHT('Disaggregation Records'!$D$155:$D$385,255),0))),"")</f>
        <v/>
      </c>
      <c r="T1211" s="194" t="str">
        <f t="array" ref="T1211">IFERROR(IF(INDEX('Disaggregation Records'!$H$155:$H$385,MATCH(RIGHT(Q1211,255),RIGHT('Disaggregation Records'!$D$155:$D$385,255),0))="","",INDEX('Disaggregation Records'!$H$155:$H$385,MATCH(RIGHT(Q1211,255),RIGHT('Disaggregation Records'!$D$155:$D$385,255),0))),"")</f>
        <v/>
      </c>
      <c r="U1211" s="194">
        <f>U1209+1</f>
        <v>2795</v>
      </c>
      <c r="V1211" s="194" t="str">
        <f t="array" ref="V1211">IFERROR(IF(INDEX('Disaggregation Records'!$I$155:$I$385,MATCH(RIGHT(Q1211,255),RIGHT('Disaggregation Records'!$D$155:$D$385,255),0))="","",INDEX('Disaggregation Records'!$I$155:$I$385,MATCH(RIGHT(Q1211,255),RIGHT('Disaggregation Records'!$D$155:$D$385,255),0))),"")</f>
        <v/>
      </c>
      <c r="W1211" s="194" t="str">
        <f>IFERROR(INDEX('Reference Records'!L$77:L$157,MATCH(LEFT(C1211,255),'Reference Records'!E$77:E$157,0)),"")</f>
        <v>HTS-5 Percentage of people newly diagnosed with HIV initiated on ART</v>
      </c>
    </row>
    <row r="1212" spans="1:23" s="194" customFormat="1" ht="40.4" customHeight="1" x14ac:dyDescent="0.35">
      <c r="A1212" s="770"/>
      <c r="B1212" s="767"/>
      <c r="C1212" s="761"/>
      <c r="D1212" s="769"/>
      <c r="E1212" s="769"/>
      <c r="F1212" s="208"/>
      <c r="G1212" s="763"/>
      <c r="H1212" s="744"/>
      <c r="I1212" s="765"/>
      <c r="J1212" s="730"/>
      <c r="K1212" s="761"/>
      <c r="L1212" s="761"/>
      <c r="M1212" s="730"/>
      <c r="N1212" s="730"/>
    </row>
    <row r="1213" spans="1:23" s="194" customFormat="1" ht="40.4" customHeight="1" x14ac:dyDescent="0.35">
      <c r="A1213" s="770" t="str">
        <f ca="1">INDIRECT("'update Helper'!C"&amp;U1213)</f>
        <v>a163p000004NtO6AAK</v>
      </c>
      <c r="B1213" s="766">
        <v>15</v>
      </c>
      <c r="C1213" s="760" t="str">
        <f>VLOOKUP(B1213,'Coverage Indicators - Section D'!$A$9:$AU$70,47,FALSE)</f>
        <v>HTS-5 Porcentaje de personas con diagnóstico nuevo de VIH que han iniciado terapia antirretroviral</v>
      </c>
      <c r="D1213" s="768" t="str">
        <f>R1213</f>
        <v/>
      </c>
      <c r="E1213" s="768" t="str">
        <f>S1213</f>
        <v/>
      </c>
      <c r="F1213" s="413"/>
      <c r="G1213" s="762" t="str">
        <f ca="1">IF(OR(INDIRECT("'update Helper'!E"&amp;U1213)="",F1213&lt;&gt;0,F1214&lt;&gt;0),IF(IFERROR((F1213/F1214),"")="","",(F1213/F1214)),INDIRECT("'update Helper'!E"&amp;U1213)/100)</f>
        <v/>
      </c>
      <c r="H1213" s="743"/>
      <c r="I1213" s="764"/>
      <c r="J1213" s="729"/>
      <c r="K1213" s="760" t="str">
        <f>W1213</f>
        <v>HTS-5 Percentage of people newly diagnosed with HIV initiated on ART</v>
      </c>
      <c r="L1213" s="760" t="str">
        <f>V1213</f>
        <v/>
      </c>
      <c r="M1213" s="729"/>
      <c r="N1213" s="729"/>
      <c r="P1213" s="194">
        <f>IF(AND(EXACT(C1213,C1211),C1211&lt;&gt;0),P1211+1,0)</f>
        <v>16</v>
      </c>
      <c r="Q1213" s="194" t="str">
        <f>IF(C1213&lt;&gt;"",C1213&amp;"-"&amp;P1213,"")</f>
        <v>HTS-5 Porcentaje de personas con diagnóstico nuevo de VIH que han iniciado terapia antirretroviral-16</v>
      </c>
      <c r="R1213" s="194" t="str">
        <f t="array" ref="R1213">IFERROR(IF(INDEX('Disaggregation Records'!$E$155:$E$385,MATCH(RIGHT(Q1213,255),RIGHT('Disaggregation Records'!$D$155:$D$385,255),0))="","",INDEX('Disaggregation Records'!$E$155:$E$385,MATCH(RIGHT(Q1213,255),RIGHT('Disaggregation Records'!$D$155:$D$385,255),0))),"")</f>
        <v/>
      </c>
      <c r="S1213" s="194" t="str">
        <f t="array" ref="S1213">IFERROR(IF(INDEX('Disaggregation Records'!$F$155:$F$385,MATCH(RIGHT(Q1213,255),RIGHT('Disaggregation Records'!$D$155:$D$385,255),0))="","",INDEX('Disaggregation Records'!$F$155:$F$385,MATCH(RIGHT(Q1213,255),RIGHT('Disaggregation Records'!$D$155:$D$385,255),0))),"")</f>
        <v/>
      </c>
      <c r="T1213" s="194" t="str">
        <f t="array" ref="T1213">IFERROR(IF(INDEX('Disaggregation Records'!$H$155:$H$385,MATCH(RIGHT(Q1213,255),RIGHT('Disaggregation Records'!$D$155:$D$385,255),0))="","",INDEX('Disaggregation Records'!$H$155:$H$385,MATCH(RIGHT(Q1213,255),RIGHT('Disaggregation Records'!$D$155:$D$385,255),0))),"")</f>
        <v/>
      </c>
      <c r="U1213" s="194">
        <f>U1211+1</f>
        <v>2796</v>
      </c>
      <c r="V1213" s="194" t="str">
        <f t="array" ref="V1213">IFERROR(IF(INDEX('Disaggregation Records'!$I$155:$I$385,MATCH(RIGHT(Q1213,255),RIGHT('Disaggregation Records'!$D$155:$D$385,255),0))="","",INDEX('Disaggregation Records'!$I$155:$I$385,MATCH(RIGHT(Q1213,255),RIGHT('Disaggregation Records'!$D$155:$D$385,255),0))),"")</f>
        <v/>
      </c>
      <c r="W1213" s="194" t="str">
        <f>IFERROR(INDEX('Reference Records'!L$77:L$157,MATCH(LEFT(C1213,255),'Reference Records'!E$77:E$157,0)),"")</f>
        <v>HTS-5 Percentage of people newly diagnosed with HIV initiated on ART</v>
      </c>
    </row>
    <row r="1214" spans="1:23" s="194" customFormat="1" ht="40.4" customHeight="1" x14ac:dyDescent="0.35">
      <c r="A1214" s="770"/>
      <c r="B1214" s="767"/>
      <c r="C1214" s="761"/>
      <c r="D1214" s="769"/>
      <c r="E1214" s="769"/>
      <c r="F1214" s="208"/>
      <c r="G1214" s="763"/>
      <c r="H1214" s="744"/>
      <c r="I1214" s="765"/>
      <c r="J1214" s="730"/>
      <c r="K1214" s="761"/>
      <c r="L1214" s="761"/>
      <c r="M1214" s="730"/>
      <c r="N1214" s="730"/>
    </row>
    <row r="1215" spans="1:23" s="194" customFormat="1" ht="40.4" customHeight="1" x14ac:dyDescent="0.35">
      <c r="A1215" s="770" t="str">
        <f ca="1">INDIRECT("'update Helper'!C"&amp;U1215)</f>
        <v>a163p000004NtO7AAK</v>
      </c>
      <c r="B1215" s="766">
        <v>15</v>
      </c>
      <c r="C1215" s="760" t="str">
        <f>VLOOKUP(B1215,'Coverage Indicators - Section D'!$A$9:$AU$70,47,FALSE)</f>
        <v>HTS-5 Porcentaje de personas con diagnóstico nuevo de VIH que han iniciado terapia antirretroviral</v>
      </c>
      <c r="D1215" s="768" t="str">
        <f>R1215</f>
        <v/>
      </c>
      <c r="E1215" s="768" t="str">
        <f>S1215</f>
        <v/>
      </c>
      <c r="F1215" s="413"/>
      <c r="G1215" s="762" t="str">
        <f ca="1">IF(OR(INDIRECT("'update Helper'!E"&amp;U1215)="",F1215&lt;&gt;0,F1216&lt;&gt;0),IF(IFERROR((F1215/F1216),"")="","",(F1215/F1216)),INDIRECT("'update Helper'!E"&amp;U1215)/100)</f>
        <v/>
      </c>
      <c r="H1215" s="743"/>
      <c r="I1215" s="764"/>
      <c r="J1215" s="729"/>
      <c r="K1215" s="760" t="str">
        <f>W1215</f>
        <v>HTS-5 Percentage of people newly diagnosed with HIV initiated on ART</v>
      </c>
      <c r="L1215" s="760" t="str">
        <f>V1215</f>
        <v/>
      </c>
      <c r="M1215" s="729"/>
      <c r="N1215" s="729"/>
      <c r="P1215" s="194">
        <f>IF(AND(EXACT(C1215,C1213),C1213&lt;&gt;0),P1213+1,0)</f>
        <v>17</v>
      </c>
      <c r="Q1215" s="194" t="str">
        <f>IF(C1215&lt;&gt;"",C1215&amp;"-"&amp;P1215,"")</f>
        <v>HTS-5 Porcentaje de personas con diagnóstico nuevo de VIH que han iniciado terapia antirretroviral-17</v>
      </c>
      <c r="R1215" s="194" t="str">
        <f t="array" ref="R1215">IFERROR(IF(INDEX('Disaggregation Records'!$E$155:$E$385,MATCH(RIGHT(Q1215,255),RIGHT('Disaggregation Records'!$D$155:$D$385,255),0))="","",INDEX('Disaggregation Records'!$E$155:$E$385,MATCH(RIGHT(Q1215,255),RIGHT('Disaggregation Records'!$D$155:$D$385,255),0))),"")</f>
        <v/>
      </c>
      <c r="S1215" s="194" t="str">
        <f t="array" ref="S1215">IFERROR(IF(INDEX('Disaggregation Records'!$F$155:$F$385,MATCH(RIGHT(Q1215,255),RIGHT('Disaggregation Records'!$D$155:$D$385,255),0))="","",INDEX('Disaggregation Records'!$F$155:$F$385,MATCH(RIGHT(Q1215,255),RIGHT('Disaggregation Records'!$D$155:$D$385,255),0))),"")</f>
        <v/>
      </c>
      <c r="T1215" s="194" t="str">
        <f t="array" ref="T1215">IFERROR(IF(INDEX('Disaggregation Records'!$H$155:$H$385,MATCH(RIGHT(Q1215,255),RIGHT('Disaggregation Records'!$D$155:$D$385,255),0))="","",INDEX('Disaggregation Records'!$H$155:$H$385,MATCH(RIGHT(Q1215,255),RIGHT('Disaggregation Records'!$D$155:$D$385,255),0))),"")</f>
        <v/>
      </c>
      <c r="U1215" s="194">
        <f>U1213+1</f>
        <v>2797</v>
      </c>
      <c r="V1215" s="194" t="str">
        <f t="array" ref="V1215">IFERROR(IF(INDEX('Disaggregation Records'!$I$155:$I$385,MATCH(RIGHT(Q1215,255),RIGHT('Disaggregation Records'!$D$155:$D$385,255),0))="","",INDEX('Disaggregation Records'!$I$155:$I$385,MATCH(RIGHT(Q1215,255),RIGHT('Disaggregation Records'!$D$155:$D$385,255),0))),"")</f>
        <v/>
      </c>
      <c r="W1215" s="194" t="str">
        <f>IFERROR(INDEX('Reference Records'!L$77:L$157,MATCH(LEFT(C1215,255),'Reference Records'!E$77:E$157,0)),"")</f>
        <v>HTS-5 Percentage of people newly diagnosed with HIV initiated on ART</v>
      </c>
    </row>
    <row r="1216" spans="1:23" s="194" customFormat="1" ht="40.4" customHeight="1" x14ac:dyDescent="0.35">
      <c r="A1216" s="770"/>
      <c r="B1216" s="767"/>
      <c r="C1216" s="761"/>
      <c r="D1216" s="769"/>
      <c r="E1216" s="769"/>
      <c r="F1216" s="208"/>
      <c r="G1216" s="763"/>
      <c r="H1216" s="744"/>
      <c r="I1216" s="765"/>
      <c r="J1216" s="730"/>
      <c r="K1216" s="761"/>
      <c r="L1216" s="761"/>
      <c r="M1216" s="730"/>
      <c r="N1216" s="730"/>
    </row>
    <row r="1217" spans="1:23" s="194" customFormat="1" ht="40.4" customHeight="1" x14ac:dyDescent="0.35">
      <c r="A1217" s="770" t="str">
        <f ca="1">INDIRECT("'update Helper'!C"&amp;U1217)</f>
        <v>a163p000004NtO8AAK</v>
      </c>
      <c r="B1217" s="766">
        <v>15</v>
      </c>
      <c r="C1217" s="760" t="str">
        <f>VLOOKUP(B1217,'Coverage Indicators - Section D'!$A$9:$AU$70,47,FALSE)</f>
        <v>HTS-5 Porcentaje de personas con diagnóstico nuevo de VIH que han iniciado terapia antirretroviral</v>
      </c>
      <c r="D1217" s="768" t="str">
        <f>R1217</f>
        <v/>
      </c>
      <c r="E1217" s="768" t="str">
        <f>S1217</f>
        <v/>
      </c>
      <c r="F1217" s="413"/>
      <c r="G1217" s="762" t="str">
        <f ca="1">IF(OR(INDIRECT("'update Helper'!E"&amp;U1217)="",F1217&lt;&gt;0,F1218&lt;&gt;0),IF(IFERROR((F1217/F1218),"")="","",(F1217/F1218)),INDIRECT("'update Helper'!E"&amp;U1217)/100)</f>
        <v/>
      </c>
      <c r="H1217" s="743"/>
      <c r="I1217" s="764"/>
      <c r="J1217" s="729"/>
      <c r="K1217" s="760" t="str">
        <f>W1217</f>
        <v>HTS-5 Percentage of people newly diagnosed with HIV initiated on ART</v>
      </c>
      <c r="L1217" s="760" t="str">
        <f>V1217</f>
        <v/>
      </c>
      <c r="M1217" s="729"/>
      <c r="N1217" s="729"/>
      <c r="P1217" s="194">
        <f>IF(AND(EXACT(C1217,C1215),C1215&lt;&gt;0),P1215+1,0)</f>
        <v>18</v>
      </c>
      <c r="Q1217" s="194" t="str">
        <f>IF(C1217&lt;&gt;"",C1217&amp;"-"&amp;P1217,"")</f>
        <v>HTS-5 Porcentaje de personas con diagnóstico nuevo de VIH que han iniciado terapia antirretroviral-18</v>
      </c>
      <c r="R1217" s="194" t="str">
        <f t="array" ref="R1217">IFERROR(IF(INDEX('Disaggregation Records'!$E$155:$E$385,MATCH(RIGHT(Q1217,255),RIGHT('Disaggregation Records'!$D$155:$D$385,255),0))="","",INDEX('Disaggregation Records'!$E$155:$E$385,MATCH(RIGHT(Q1217,255),RIGHT('Disaggregation Records'!$D$155:$D$385,255),0))),"")</f>
        <v/>
      </c>
      <c r="S1217" s="194" t="str">
        <f t="array" ref="S1217">IFERROR(IF(INDEX('Disaggregation Records'!$F$155:$F$385,MATCH(RIGHT(Q1217,255),RIGHT('Disaggregation Records'!$D$155:$D$385,255),0))="","",INDEX('Disaggregation Records'!$F$155:$F$385,MATCH(RIGHT(Q1217,255),RIGHT('Disaggregation Records'!$D$155:$D$385,255),0))),"")</f>
        <v/>
      </c>
      <c r="T1217" s="194" t="str">
        <f t="array" ref="T1217">IFERROR(IF(INDEX('Disaggregation Records'!$H$155:$H$385,MATCH(RIGHT(Q1217,255),RIGHT('Disaggregation Records'!$D$155:$D$385,255),0))="","",INDEX('Disaggregation Records'!$H$155:$H$385,MATCH(RIGHT(Q1217,255),RIGHT('Disaggregation Records'!$D$155:$D$385,255),0))),"")</f>
        <v/>
      </c>
      <c r="U1217" s="194">
        <f>U1215+1</f>
        <v>2798</v>
      </c>
      <c r="V1217" s="194" t="str">
        <f t="array" ref="V1217">IFERROR(IF(INDEX('Disaggregation Records'!$I$155:$I$385,MATCH(RIGHT(Q1217,255),RIGHT('Disaggregation Records'!$D$155:$D$385,255),0))="","",INDEX('Disaggregation Records'!$I$155:$I$385,MATCH(RIGHT(Q1217,255),RIGHT('Disaggregation Records'!$D$155:$D$385,255),0))),"")</f>
        <v/>
      </c>
      <c r="W1217" s="194" t="str">
        <f>IFERROR(INDEX('Reference Records'!L$77:L$157,MATCH(LEFT(C1217,255),'Reference Records'!E$77:E$157,0)),"")</f>
        <v>HTS-5 Percentage of people newly diagnosed with HIV initiated on ART</v>
      </c>
    </row>
    <row r="1218" spans="1:23" s="194" customFormat="1" ht="40.4" customHeight="1" x14ac:dyDescent="0.35">
      <c r="A1218" s="770"/>
      <c r="B1218" s="767"/>
      <c r="C1218" s="761"/>
      <c r="D1218" s="769"/>
      <c r="E1218" s="769"/>
      <c r="F1218" s="208"/>
      <c r="G1218" s="763"/>
      <c r="H1218" s="744"/>
      <c r="I1218" s="765"/>
      <c r="J1218" s="730"/>
      <c r="K1218" s="761"/>
      <c r="L1218" s="761"/>
      <c r="M1218" s="730"/>
      <c r="N1218" s="730"/>
    </row>
    <row r="1219" spans="1:23" s="194" customFormat="1" ht="40.4" customHeight="1" x14ac:dyDescent="0.35">
      <c r="A1219" s="770" t="str">
        <f ca="1">INDIRECT("'update Helper'!C"&amp;U1219)</f>
        <v>a163p000004NtO9AAK</v>
      </c>
      <c r="B1219" s="766">
        <v>15</v>
      </c>
      <c r="C1219" s="760" t="str">
        <f>VLOOKUP(B1219,'Coverage Indicators - Section D'!$A$9:$AU$70,47,FALSE)</f>
        <v>HTS-5 Porcentaje de personas con diagnóstico nuevo de VIH que han iniciado terapia antirretroviral</v>
      </c>
      <c r="D1219" s="768" t="str">
        <f>R1219</f>
        <v/>
      </c>
      <c r="E1219" s="768" t="str">
        <f>S1219</f>
        <v/>
      </c>
      <c r="F1219" s="413"/>
      <c r="G1219" s="762" t="str">
        <f ca="1">IF(OR(INDIRECT("'update Helper'!E"&amp;U1219)="",F1219&lt;&gt;0,F1220&lt;&gt;0),IF(IFERROR((F1219/F1220),"")="","",(F1219/F1220)),INDIRECT("'update Helper'!E"&amp;U1219)/100)</f>
        <v/>
      </c>
      <c r="H1219" s="743"/>
      <c r="I1219" s="764"/>
      <c r="J1219" s="729"/>
      <c r="K1219" s="760" t="str">
        <f>W1219</f>
        <v>HTS-5 Percentage of people newly diagnosed with HIV initiated on ART</v>
      </c>
      <c r="L1219" s="760" t="str">
        <f>V1219</f>
        <v/>
      </c>
      <c r="M1219" s="729"/>
      <c r="N1219" s="729"/>
      <c r="P1219" s="194">
        <f>IF(AND(EXACT(C1219,C1217),C1217&lt;&gt;0),P1217+1,0)</f>
        <v>19</v>
      </c>
      <c r="Q1219" s="194" t="str">
        <f>IF(C1219&lt;&gt;"",C1219&amp;"-"&amp;P1219,"")</f>
        <v>HTS-5 Porcentaje de personas con diagnóstico nuevo de VIH que han iniciado terapia antirretroviral-19</v>
      </c>
      <c r="R1219" s="194" t="str">
        <f t="array" ref="R1219">IFERROR(IF(INDEX('Disaggregation Records'!$E$155:$E$385,MATCH(RIGHT(Q1219,255),RIGHT('Disaggregation Records'!$D$155:$D$385,255),0))="","",INDEX('Disaggregation Records'!$E$155:$E$385,MATCH(RIGHT(Q1219,255),RIGHT('Disaggregation Records'!$D$155:$D$385,255),0))),"")</f>
        <v/>
      </c>
      <c r="S1219" s="194" t="str">
        <f t="array" ref="S1219">IFERROR(IF(INDEX('Disaggregation Records'!$F$155:$F$385,MATCH(RIGHT(Q1219,255),RIGHT('Disaggregation Records'!$D$155:$D$385,255),0))="","",INDEX('Disaggregation Records'!$F$155:$F$385,MATCH(RIGHT(Q1219,255),RIGHT('Disaggregation Records'!$D$155:$D$385,255),0))),"")</f>
        <v/>
      </c>
      <c r="T1219" s="194" t="str">
        <f t="array" ref="T1219">IFERROR(IF(INDEX('Disaggregation Records'!$H$155:$H$385,MATCH(RIGHT(Q1219,255),RIGHT('Disaggregation Records'!$D$155:$D$385,255),0))="","",INDEX('Disaggregation Records'!$H$155:$H$385,MATCH(RIGHT(Q1219,255),RIGHT('Disaggregation Records'!$D$155:$D$385,255),0))),"")</f>
        <v/>
      </c>
      <c r="U1219" s="194">
        <f>U1217+1</f>
        <v>2799</v>
      </c>
      <c r="V1219" s="194" t="str">
        <f t="array" ref="V1219">IFERROR(IF(INDEX('Disaggregation Records'!$I$155:$I$385,MATCH(RIGHT(Q1219,255),RIGHT('Disaggregation Records'!$D$155:$D$385,255),0))="","",INDEX('Disaggregation Records'!$I$155:$I$385,MATCH(RIGHT(Q1219,255),RIGHT('Disaggregation Records'!$D$155:$D$385,255),0))),"")</f>
        <v/>
      </c>
      <c r="W1219" s="194" t="str">
        <f>IFERROR(INDEX('Reference Records'!L$77:L$157,MATCH(LEFT(C1219,255),'Reference Records'!E$77:E$157,0)),"")</f>
        <v>HTS-5 Percentage of people newly diagnosed with HIV initiated on ART</v>
      </c>
    </row>
    <row r="1220" spans="1:23" s="194" customFormat="1" ht="40.4" customHeight="1" x14ac:dyDescent="0.35">
      <c r="A1220" s="770"/>
      <c r="B1220" s="767"/>
      <c r="C1220" s="761"/>
      <c r="D1220" s="769"/>
      <c r="E1220" s="769"/>
      <c r="F1220" s="208"/>
      <c r="G1220" s="763"/>
      <c r="H1220" s="744"/>
      <c r="I1220" s="765"/>
      <c r="J1220" s="730"/>
      <c r="K1220" s="761"/>
      <c r="L1220" s="761"/>
      <c r="M1220" s="730"/>
      <c r="N1220" s="730"/>
    </row>
    <row r="1221" spans="1:23" s="194" customFormat="1" ht="40.4" customHeight="1" x14ac:dyDescent="0.35">
      <c r="A1221" s="770" t="str">
        <f ca="1">INDIRECT("'update Helper'!C"&amp;U1221)</f>
        <v>a163p000004NtXWAA0</v>
      </c>
      <c r="B1221" s="766">
        <v>16</v>
      </c>
      <c r="C1221" s="760" t="e">
        <f>VLOOKUP(B1221,'Coverage Indicators - Section D'!$A$9:$AU$70,47,FALSE)</f>
        <v>#REF!</v>
      </c>
      <c r="D1221" s="768" t="str">
        <f>R1221</f>
        <v/>
      </c>
      <c r="E1221" s="768" t="str">
        <f>S1221</f>
        <v/>
      </c>
      <c r="F1221" s="413"/>
      <c r="G1221" s="762" t="str">
        <f ca="1">IF(OR(INDIRECT("'update Helper'!E"&amp;U1221)="",F1221&lt;&gt;0,F1222&lt;&gt;0),IF(IFERROR((F1221/F1222),"")="","",(F1221/F1222)),INDIRECT("'update Helper'!E"&amp;U1221)/100)</f>
        <v/>
      </c>
      <c r="H1221" s="743"/>
      <c r="I1221" s="764"/>
      <c r="J1221" s="729"/>
      <c r="K1221" s="760" t="str">
        <f>W1221</f>
        <v/>
      </c>
      <c r="L1221" s="760" t="str">
        <f>V1221</f>
        <v/>
      </c>
      <c r="M1221" s="729"/>
      <c r="N1221" s="729"/>
      <c r="P1221" s="194" t="e">
        <f>IF(AND(EXACT(C1221,C1219),C1219&lt;&gt;0),P1219+1,0)</f>
        <v>#REF!</v>
      </c>
      <c r="Q1221" s="194" t="e">
        <f>IF(C1221&lt;&gt;"",C1221&amp;"-"&amp;P1221,"")</f>
        <v>#REF!</v>
      </c>
      <c r="R1221" s="194" t="str">
        <f t="array" ref="R1221">IFERROR(IF(INDEX('Disaggregation Records'!$E$155:$E$385,MATCH(RIGHT(Q1221,255),RIGHT('Disaggregation Records'!$D$155:$D$385,255),0))="","",INDEX('Disaggregation Records'!$E$155:$E$385,MATCH(RIGHT(Q1221,255),RIGHT('Disaggregation Records'!$D$155:$D$385,255),0))),"")</f>
        <v/>
      </c>
      <c r="S1221" s="194" t="str">
        <f t="array" ref="S1221">IFERROR(IF(INDEX('Disaggregation Records'!$F$155:$F$385,MATCH(RIGHT(Q1221,255),RIGHT('Disaggregation Records'!$D$155:$D$385,255),0))="","",INDEX('Disaggregation Records'!$F$155:$F$385,MATCH(RIGHT(Q1221,255),RIGHT('Disaggregation Records'!$D$155:$D$385,255),0))),"")</f>
        <v/>
      </c>
      <c r="T1221" s="194" t="str">
        <f t="array" ref="T1221">IFERROR(IF(INDEX('Disaggregation Records'!$H$155:$H$385,MATCH(RIGHT(Q1221,255),RIGHT('Disaggregation Records'!$D$155:$D$385,255),0))="","",INDEX('Disaggregation Records'!$H$155:$H$385,MATCH(RIGHT(Q1221,255),RIGHT('Disaggregation Records'!$D$155:$D$385,255),0))),"")</f>
        <v/>
      </c>
      <c r="U1221" s="194">
        <f>U1219+1</f>
        <v>2800</v>
      </c>
      <c r="V1221" s="194" t="str">
        <f t="array" ref="V1221">IFERROR(IF(INDEX('Disaggregation Records'!$I$155:$I$385,MATCH(RIGHT(Q1221,255),RIGHT('Disaggregation Records'!$D$155:$D$385,255),0))="","",INDEX('Disaggregation Records'!$I$155:$I$385,MATCH(RIGHT(Q1221,255),RIGHT('Disaggregation Records'!$D$155:$D$385,255),0))),"")</f>
        <v/>
      </c>
      <c r="W1221" s="194" t="str">
        <f>IFERROR(INDEX('Reference Records'!L$77:L$157,MATCH(LEFT(C1221,255),'Reference Records'!E$77:E$157,0)),"")</f>
        <v/>
      </c>
    </row>
    <row r="1222" spans="1:23" s="194" customFormat="1" ht="40.4" customHeight="1" x14ac:dyDescent="0.35">
      <c r="A1222" s="770"/>
      <c r="B1222" s="767"/>
      <c r="C1222" s="761"/>
      <c r="D1222" s="769"/>
      <c r="E1222" s="769"/>
      <c r="F1222" s="208"/>
      <c r="G1222" s="763"/>
      <c r="H1222" s="744"/>
      <c r="I1222" s="765"/>
      <c r="J1222" s="730"/>
      <c r="K1222" s="761"/>
      <c r="L1222" s="761"/>
      <c r="M1222" s="730"/>
      <c r="N1222" s="730"/>
    </row>
    <row r="1223" spans="1:23" s="194" customFormat="1" ht="40.4" customHeight="1" x14ac:dyDescent="0.35">
      <c r="A1223" s="770" t="str">
        <f ca="1">INDIRECT("'update Helper'!C"&amp;U1223)</f>
        <v>a163p000004NtXXAA0</v>
      </c>
      <c r="B1223" s="766">
        <v>16</v>
      </c>
      <c r="C1223" s="760" t="e">
        <f>VLOOKUP(B1223,'Coverage Indicators - Section D'!$A$9:$AU$70,47,FALSE)</f>
        <v>#REF!</v>
      </c>
      <c r="D1223" s="768" t="str">
        <f>R1223</f>
        <v/>
      </c>
      <c r="E1223" s="768" t="str">
        <f>S1223</f>
        <v/>
      </c>
      <c r="F1223" s="413"/>
      <c r="G1223" s="762" t="str">
        <f ca="1">IF(OR(INDIRECT("'update Helper'!E"&amp;U1223)="",F1223&lt;&gt;0,F1224&lt;&gt;0),IF(IFERROR((F1223/F1224),"")="","",(F1223/F1224)),INDIRECT("'update Helper'!E"&amp;U1223)/100)</f>
        <v/>
      </c>
      <c r="H1223" s="743"/>
      <c r="I1223" s="764"/>
      <c r="J1223" s="729"/>
      <c r="K1223" s="760" t="str">
        <f>W1223</f>
        <v/>
      </c>
      <c r="L1223" s="760" t="str">
        <f>V1223</f>
        <v/>
      </c>
      <c r="M1223" s="729"/>
      <c r="N1223" s="729"/>
      <c r="P1223" s="194" t="e">
        <f>IF(AND(EXACT(C1223,C1221),C1221&lt;&gt;0),P1221+1,0)</f>
        <v>#REF!</v>
      </c>
      <c r="Q1223" s="194" t="e">
        <f>IF(C1223&lt;&gt;"",C1223&amp;"-"&amp;P1223,"")</f>
        <v>#REF!</v>
      </c>
      <c r="R1223" s="194" t="str">
        <f t="array" ref="R1223">IFERROR(IF(INDEX('Disaggregation Records'!$E$155:$E$385,MATCH(RIGHT(Q1223,255),RIGHT('Disaggregation Records'!$D$155:$D$385,255),0))="","",INDEX('Disaggregation Records'!$E$155:$E$385,MATCH(RIGHT(Q1223,255),RIGHT('Disaggregation Records'!$D$155:$D$385,255),0))),"")</f>
        <v/>
      </c>
      <c r="S1223" s="194" t="str">
        <f t="array" ref="S1223">IFERROR(IF(INDEX('Disaggregation Records'!$F$155:$F$385,MATCH(RIGHT(Q1223,255),RIGHT('Disaggregation Records'!$D$155:$D$385,255),0))="","",INDEX('Disaggregation Records'!$F$155:$F$385,MATCH(RIGHT(Q1223,255),RIGHT('Disaggregation Records'!$D$155:$D$385,255),0))),"")</f>
        <v/>
      </c>
      <c r="T1223" s="194" t="str">
        <f t="array" ref="T1223">IFERROR(IF(INDEX('Disaggregation Records'!$H$155:$H$385,MATCH(RIGHT(Q1223,255),RIGHT('Disaggregation Records'!$D$155:$D$385,255),0))="","",INDEX('Disaggregation Records'!$H$155:$H$385,MATCH(RIGHT(Q1223,255),RIGHT('Disaggregation Records'!$D$155:$D$385,255),0))),"")</f>
        <v/>
      </c>
      <c r="U1223" s="194">
        <f>U1221+1</f>
        <v>2801</v>
      </c>
      <c r="V1223" s="194" t="str">
        <f t="array" ref="V1223">IFERROR(IF(INDEX('Disaggregation Records'!$I$155:$I$385,MATCH(RIGHT(Q1223,255),RIGHT('Disaggregation Records'!$D$155:$D$385,255),0))="","",INDEX('Disaggregation Records'!$I$155:$I$385,MATCH(RIGHT(Q1223,255),RIGHT('Disaggregation Records'!$D$155:$D$385,255),0))),"")</f>
        <v/>
      </c>
      <c r="W1223" s="194" t="str">
        <f>IFERROR(INDEX('Reference Records'!L$77:L$157,MATCH(LEFT(C1223,255),'Reference Records'!E$77:E$157,0)),"")</f>
        <v/>
      </c>
    </row>
    <row r="1224" spans="1:23" s="194" customFormat="1" ht="40.4" customHeight="1" x14ac:dyDescent="0.35">
      <c r="A1224" s="770"/>
      <c r="B1224" s="767"/>
      <c r="C1224" s="761"/>
      <c r="D1224" s="769"/>
      <c r="E1224" s="769"/>
      <c r="F1224" s="208"/>
      <c r="G1224" s="763"/>
      <c r="H1224" s="744"/>
      <c r="I1224" s="765"/>
      <c r="J1224" s="730"/>
      <c r="K1224" s="761"/>
      <c r="L1224" s="761"/>
      <c r="M1224" s="730"/>
      <c r="N1224" s="730"/>
    </row>
    <row r="1225" spans="1:23" s="194" customFormat="1" ht="40.4" customHeight="1" x14ac:dyDescent="0.35">
      <c r="A1225" s="770" t="str">
        <f ca="1">INDIRECT("'update Helper'!C"&amp;U1225)</f>
        <v>a163p000004NtXYAA0</v>
      </c>
      <c r="B1225" s="766">
        <v>16</v>
      </c>
      <c r="C1225" s="760" t="e">
        <f>VLOOKUP(B1225,'Coverage Indicators - Section D'!$A$9:$AU$70,47,FALSE)</f>
        <v>#REF!</v>
      </c>
      <c r="D1225" s="768" t="str">
        <f>R1225</f>
        <v/>
      </c>
      <c r="E1225" s="768" t="str">
        <f>S1225</f>
        <v/>
      </c>
      <c r="F1225" s="413"/>
      <c r="G1225" s="762" t="str">
        <f ca="1">IF(OR(INDIRECT("'update Helper'!E"&amp;U1225)="",F1225&lt;&gt;0,F1226&lt;&gt;0),IF(IFERROR((F1225/F1226),"")="","",(F1225/F1226)),INDIRECT("'update Helper'!E"&amp;U1225)/100)</f>
        <v/>
      </c>
      <c r="H1225" s="743"/>
      <c r="I1225" s="764"/>
      <c r="J1225" s="729"/>
      <c r="K1225" s="760" t="str">
        <f>W1225</f>
        <v/>
      </c>
      <c r="L1225" s="760" t="str">
        <f>V1225</f>
        <v/>
      </c>
      <c r="M1225" s="729"/>
      <c r="N1225" s="729"/>
      <c r="P1225" s="194" t="e">
        <f>IF(AND(EXACT(C1225,C1223),C1223&lt;&gt;0),P1223+1,0)</f>
        <v>#REF!</v>
      </c>
      <c r="Q1225" s="194" t="e">
        <f>IF(C1225&lt;&gt;"",C1225&amp;"-"&amp;P1225,"")</f>
        <v>#REF!</v>
      </c>
      <c r="R1225" s="194" t="str">
        <f t="array" ref="R1225">IFERROR(IF(INDEX('Disaggregation Records'!$E$155:$E$385,MATCH(RIGHT(Q1225,255),RIGHT('Disaggregation Records'!$D$155:$D$385,255),0))="","",INDEX('Disaggregation Records'!$E$155:$E$385,MATCH(RIGHT(Q1225,255),RIGHT('Disaggregation Records'!$D$155:$D$385,255),0))),"")</f>
        <v/>
      </c>
      <c r="S1225" s="194" t="str">
        <f t="array" ref="S1225">IFERROR(IF(INDEX('Disaggregation Records'!$F$155:$F$385,MATCH(RIGHT(Q1225,255),RIGHT('Disaggregation Records'!$D$155:$D$385,255),0))="","",INDEX('Disaggregation Records'!$F$155:$F$385,MATCH(RIGHT(Q1225,255),RIGHT('Disaggregation Records'!$D$155:$D$385,255),0))),"")</f>
        <v/>
      </c>
      <c r="T1225" s="194" t="str">
        <f t="array" ref="T1225">IFERROR(IF(INDEX('Disaggregation Records'!$H$155:$H$385,MATCH(RIGHT(Q1225,255),RIGHT('Disaggregation Records'!$D$155:$D$385,255),0))="","",INDEX('Disaggregation Records'!$H$155:$H$385,MATCH(RIGHT(Q1225,255),RIGHT('Disaggregation Records'!$D$155:$D$385,255),0))),"")</f>
        <v/>
      </c>
      <c r="U1225" s="194">
        <f>U1223+1</f>
        <v>2802</v>
      </c>
      <c r="V1225" s="194" t="str">
        <f t="array" ref="V1225">IFERROR(IF(INDEX('Disaggregation Records'!$I$155:$I$385,MATCH(RIGHT(Q1225,255),RIGHT('Disaggregation Records'!$D$155:$D$385,255),0))="","",INDEX('Disaggregation Records'!$I$155:$I$385,MATCH(RIGHT(Q1225,255),RIGHT('Disaggregation Records'!$D$155:$D$385,255),0))),"")</f>
        <v/>
      </c>
      <c r="W1225" s="194" t="str">
        <f>IFERROR(INDEX('Reference Records'!L$77:L$157,MATCH(LEFT(C1225,255),'Reference Records'!E$77:E$157,0)),"")</f>
        <v/>
      </c>
    </row>
    <row r="1226" spans="1:23" s="194" customFormat="1" ht="40.4" customHeight="1" x14ac:dyDescent="0.35">
      <c r="A1226" s="770"/>
      <c r="B1226" s="767"/>
      <c r="C1226" s="761"/>
      <c r="D1226" s="769"/>
      <c r="E1226" s="769"/>
      <c r="F1226" s="208"/>
      <c r="G1226" s="763"/>
      <c r="H1226" s="744"/>
      <c r="I1226" s="765"/>
      <c r="J1226" s="730"/>
      <c r="K1226" s="761"/>
      <c r="L1226" s="761"/>
      <c r="M1226" s="730"/>
      <c r="N1226" s="730"/>
    </row>
    <row r="1227" spans="1:23" s="194" customFormat="1" ht="40.4" customHeight="1" x14ac:dyDescent="0.35">
      <c r="A1227" s="770" t="str">
        <f ca="1">INDIRECT("'update Helper'!C"&amp;U1227)</f>
        <v>a163p000004NtXZAA0</v>
      </c>
      <c r="B1227" s="766">
        <v>16</v>
      </c>
      <c r="C1227" s="760" t="e">
        <f>VLOOKUP(B1227,'Coverage Indicators - Section D'!$A$9:$AU$70,47,FALSE)</f>
        <v>#REF!</v>
      </c>
      <c r="D1227" s="768" t="str">
        <f>R1227</f>
        <v/>
      </c>
      <c r="E1227" s="768" t="str">
        <f>S1227</f>
        <v/>
      </c>
      <c r="F1227" s="413"/>
      <c r="G1227" s="762" t="str">
        <f ca="1">IF(OR(INDIRECT("'update Helper'!E"&amp;U1227)="",F1227&lt;&gt;0,F1228&lt;&gt;0),IF(IFERROR((F1227/F1228),"")="","",(F1227/F1228)),INDIRECT("'update Helper'!E"&amp;U1227)/100)</f>
        <v/>
      </c>
      <c r="H1227" s="743"/>
      <c r="I1227" s="764"/>
      <c r="J1227" s="729"/>
      <c r="K1227" s="760" t="str">
        <f>W1227</f>
        <v/>
      </c>
      <c r="L1227" s="760" t="str">
        <f>V1227</f>
        <v/>
      </c>
      <c r="M1227" s="729"/>
      <c r="N1227" s="729"/>
      <c r="P1227" s="194" t="e">
        <f>IF(AND(EXACT(C1227,C1225),C1225&lt;&gt;0),P1225+1,0)</f>
        <v>#REF!</v>
      </c>
      <c r="Q1227" s="194" t="e">
        <f>IF(C1227&lt;&gt;"",C1227&amp;"-"&amp;P1227,"")</f>
        <v>#REF!</v>
      </c>
      <c r="R1227" s="194" t="str">
        <f t="array" ref="R1227">IFERROR(IF(INDEX('Disaggregation Records'!$E$155:$E$385,MATCH(RIGHT(Q1227,255),RIGHT('Disaggregation Records'!$D$155:$D$385,255),0))="","",INDEX('Disaggregation Records'!$E$155:$E$385,MATCH(RIGHT(Q1227,255),RIGHT('Disaggregation Records'!$D$155:$D$385,255),0))),"")</f>
        <v/>
      </c>
      <c r="S1227" s="194" t="str">
        <f t="array" ref="S1227">IFERROR(IF(INDEX('Disaggregation Records'!$F$155:$F$385,MATCH(RIGHT(Q1227,255),RIGHT('Disaggregation Records'!$D$155:$D$385,255),0))="","",INDEX('Disaggregation Records'!$F$155:$F$385,MATCH(RIGHT(Q1227,255),RIGHT('Disaggregation Records'!$D$155:$D$385,255),0))),"")</f>
        <v/>
      </c>
      <c r="T1227" s="194" t="str">
        <f t="array" ref="T1227">IFERROR(IF(INDEX('Disaggregation Records'!$H$155:$H$385,MATCH(RIGHT(Q1227,255),RIGHT('Disaggregation Records'!$D$155:$D$385,255),0))="","",INDEX('Disaggregation Records'!$H$155:$H$385,MATCH(RIGHT(Q1227,255),RIGHT('Disaggregation Records'!$D$155:$D$385,255),0))),"")</f>
        <v/>
      </c>
      <c r="U1227" s="194">
        <f>U1225+1</f>
        <v>2803</v>
      </c>
      <c r="V1227" s="194" t="str">
        <f t="array" ref="V1227">IFERROR(IF(INDEX('Disaggregation Records'!$I$155:$I$385,MATCH(RIGHT(Q1227,255),RIGHT('Disaggregation Records'!$D$155:$D$385,255),0))="","",INDEX('Disaggregation Records'!$I$155:$I$385,MATCH(RIGHT(Q1227,255),RIGHT('Disaggregation Records'!$D$155:$D$385,255),0))),"")</f>
        <v/>
      </c>
      <c r="W1227" s="194" t="str">
        <f>IFERROR(INDEX('Reference Records'!L$77:L$157,MATCH(LEFT(C1227,255),'Reference Records'!E$77:E$157,0)),"")</f>
        <v/>
      </c>
    </row>
    <row r="1228" spans="1:23" s="194" customFormat="1" ht="40.4" customHeight="1" x14ac:dyDescent="0.35">
      <c r="A1228" s="770"/>
      <c r="B1228" s="767"/>
      <c r="C1228" s="761"/>
      <c r="D1228" s="769"/>
      <c r="E1228" s="769"/>
      <c r="F1228" s="208"/>
      <c r="G1228" s="763"/>
      <c r="H1228" s="744"/>
      <c r="I1228" s="765"/>
      <c r="J1228" s="730"/>
      <c r="K1228" s="761"/>
      <c r="L1228" s="761"/>
      <c r="M1228" s="730"/>
      <c r="N1228" s="730"/>
    </row>
    <row r="1229" spans="1:23" s="194" customFormat="1" ht="40.4" customHeight="1" x14ac:dyDescent="0.35">
      <c r="A1229" s="770" t="str">
        <f ca="1">INDIRECT("'update Helper'!C"&amp;U1229)</f>
        <v>a163p000004NtXaAAK</v>
      </c>
      <c r="B1229" s="766">
        <v>16</v>
      </c>
      <c r="C1229" s="760" t="e">
        <f>VLOOKUP(B1229,'Coverage Indicators - Section D'!$A$9:$AU$70,47,FALSE)</f>
        <v>#REF!</v>
      </c>
      <c r="D1229" s="768" t="str">
        <f>R1229</f>
        <v/>
      </c>
      <c r="E1229" s="768" t="str">
        <f>S1229</f>
        <v/>
      </c>
      <c r="F1229" s="413"/>
      <c r="G1229" s="762" t="str">
        <f ca="1">IF(OR(INDIRECT("'update Helper'!E"&amp;U1229)="",F1229&lt;&gt;0,F1230&lt;&gt;0),IF(IFERROR((F1229/F1230),"")="","",(F1229/F1230)),INDIRECT("'update Helper'!E"&amp;U1229)/100)</f>
        <v/>
      </c>
      <c r="H1229" s="743"/>
      <c r="I1229" s="764"/>
      <c r="J1229" s="729"/>
      <c r="K1229" s="760" t="str">
        <f>W1229</f>
        <v/>
      </c>
      <c r="L1229" s="760" t="str">
        <f>V1229</f>
        <v/>
      </c>
      <c r="M1229" s="729"/>
      <c r="N1229" s="729"/>
      <c r="P1229" s="194" t="e">
        <f>IF(AND(EXACT(C1229,C1227),C1227&lt;&gt;0),P1227+1,0)</f>
        <v>#REF!</v>
      </c>
      <c r="Q1229" s="194" t="e">
        <f>IF(C1229&lt;&gt;"",C1229&amp;"-"&amp;P1229,"")</f>
        <v>#REF!</v>
      </c>
      <c r="R1229" s="194" t="str">
        <f t="array" ref="R1229">IFERROR(IF(INDEX('Disaggregation Records'!$E$155:$E$385,MATCH(RIGHT(Q1229,255),RIGHT('Disaggregation Records'!$D$155:$D$385,255),0))="","",INDEX('Disaggregation Records'!$E$155:$E$385,MATCH(RIGHT(Q1229,255),RIGHT('Disaggregation Records'!$D$155:$D$385,255),0))),"")</f>
        <v/>
      </c>
      <c r="S1229" s="194" t="str">
        <f t="array" ref="S1229">IFERROR(IF(INDEX('Disaggregation Records'!$F$155:$F$385,MATCH(RIGHT(Q1229,255),RIGHT('Disaggregation Records'!$D$155:$D$385,255),0))="","",INDEX('Disaggregation Records'!$F$155:$F$385,MATCH(RIGHT(Q1229,255),RIGHT('Disaggregation Records'!$D$155:$D$385,255),0))),"")</f>
        <v/>
      </c>
      <c r="T1229" s="194" t="str">
        <f t="array" ref="T1229">IFERROR(IF(INDEX('Disaggregation Records'!$H$155:$H$385,MATCH(RIGHT(Q1229,255),RIGHT('Disaggregation Records'!$D$155:$D$385,255),0))="","",INDEX('Disaggregation Records'!$H$155:$H$385,MATCH(RIGHT(Q1229,255),RIGHT('Disaggregation Records'!$D$155:$D$385,255),0))),"")</f>
        <v/>
      </c>
      <c r="U1229" s="194">
        <f>U1227+1</f>
        <v>2804</v>
      </c>
      <c r="V1229" s="194" t="str">
        <f t="array" ref="V1229">IFERROR(IF(INDEX('Disaggregation Records'!$I$155:$I$385,MATCH(RIGHT(Q1229,255),RIGHT('Disaggregation Records'!$D$155:$D$385,255),0))="","",INDEX('Disaggregation Records'!$I$155:$I$385,MATCH(RIGHT(Q1229,255),RIGHT('Disaggregation Records'!$D$155:$D$385,255),0))),"")</f>
        <v/>
      </c>
      <c r="W1229" s="194" t="str">
        <f>IFERROR(INDEX('Reference Records'!L$77:L$157,MATCH(LEFT(C1229,255),'Reference Records'!E$77:E$157,0)),"")</f>
        <v/>
      </c>
    </row>
    <row r="1230" spans="1:23" s="194" customFormat="1" ht="40.4" customHeight="1" x14ac:dyDescent="0.35">
      <c r="A1230" s="770"/>
      <c r="B1230" s="767"/>
      <c r="C1230" s="761"/>
      <c r="D1230" s="769"/>
      <c r="E1230" s="769"/>
      <c r="F1230" s="208"/>
      <c r="G1230" s="763"/>
      <c r="H1230" s="744"/>
      <c r="I1230" s="765"/>
      <c r="J1230" s="730"/>
      <c r="K1230" s="761"/>
      <c r="L1230" s="761"/>
      <c r="M1230" s="730"/>
      <c r="N1230" s="730"/>
    </row>
    <row r="1231" spans="1:23" s="194" customFormat="1" ht="40.4" customHeight="1" x14ac:dyDescent="0.35">
      <c r="A1231" s="770" t="str">
        <f ca="1">INDIRECT("'update Helper'!C"&amp;U1231)</f>
        <v>a163p000004NtXbAAK</v>
      </c>
      <c r="B1231" s="766">
        <v>16</v>
      </c>
      <c r="C1231" s="760" t="e">
        <f>VLOOKUP(B1231,'Coverage Indicators - Section D'!$A$9:$AU$70,47,FALSE)</f>
        <v>#REF!</v>
      </c>
      <c r="D1231" s="768" t="str">
        <f>R1231</f>
        <v/>
      </c>
      <c r="E1231" s="768" t="str">
        <f>S1231</f>
        <v/>
      </c>
      <c r="F1231" s="413"/>
      <c r="G1231" s="762" t="str">
        <f ca="1">IF(OR(INDIRECT("'update Helper'!E"&amp;U1231)="",F1231&lt;&gt;0,F1232&lt;&gt;0),IF(IFERROR((F1231/F1232),"")="","",(F1231/F1232)),INDIRECT("'update Helper'!E"&amp;U1231)/100)</f>
        <v/>
      </c>
      <c r="H1231" s="743"/>
      <c r="I1231" s="764"/>
      <c r="J1231" s="729"/>
      <c r="K1231" s="760" t="str">
        <f>W1231</f>
        <v/>
      </c>
      <c r="L1231" s="760" t="str">
        <f>V1231</f>
        <v/>
      </c>
      <c r="M1231" s="729"/>
      <c r="N1231" s="729"/>
      <c r="P1231" s="194" t="e">
        <f>IF(AND(EXACT(C1231,C1229),C1229&lt;&gt;0),P1229+1,0)</f>
        <v>#REF!</v>
      </c>
      <c r="Q1231" s="194" t="e">
        <f>IF(C1231&lt;&gt;"",C1231&amp;"-"&amp;P1231,"")</f>
        <v>#REF!</v>
      </c>
      <c r="R1231" s="194" t="str">
        <f t="array" ref="R1231">IFERROR(IF(INDEX('Disaggregation Records'!$E$155:$E$385,MATCH(RIGHT(Q1231,255),RIGHT('Disaggregation Records'!$D$155:$D$385,255),0))="","",INDEX('Disaggregation Records'!$E$155:$E$385,MATCH(RIGHT(Q1231,255),RIGHT('Disaggregation Records'!$D$155:$D$385,255),0))),"")</f>
        <v/>
      </c>
      <c r="S1231" s="194" t="str">
        <f t="array" ref="S1231">IFERROR(IF(INDEX('Disaggregation Records'!$F$155:$F$385,MATCH(RIGHT(Q1231,255),RIGHT('Disaggregation Records'!$D$155:$D$385,255),0))="","",INDEX('Disaggregation Records'!$F$155:$F$385,MATCH(RIGHT(Q1231,255),RIGHT('Disaggregation Records'!$D$155:$D$385,255),0))),"")</f>
        <v/>
      </c>
      <c r="T1231" s="194" t="str">
        <f t="array" ref="T1231">IFERROR(IF(INDEX('Disaggregation Records'!$H$155:$H$385,MATCH(RIGHT(Q1231,255),RIGHT('Disaggregation Records'!$D$155:$D$385,255),0))="","",INDEX('Disaggregation Records'!$H$155:$H$385,MATCH(RIGHT(Q1231,255),RIGHT('Disaggregation Records'!$D$155:$D$385,255),0))),"")</f>
        <v/>
      </c>
      <c r="U1231" s="194">
        <f>U1229+1</f>
        <v>2805</v>
      </c>
      <c r="V1231" s="194" t="str">
        <f t="array" ref="V1231">IFERROR(IF(INDEX('Disaggregation Records'!$I$155:$I$385,MATCH(RIGHT(Q1231,255),RIGHT('Disaggregation Records'!$D$155:$D$385,255),0))="","",INDEX('Disaggregation Records'!$I$155:$I$385,MATCH(RIGHT(Q1231,255),RIGHT('Disaggregation Records'!$D$155:$D$385,255),0))),"")</f>
        <v/>
      </c>
      <c r="W1231" s="194" t="str">
        <f>IFERROR(INDEX('Reference Records'!L$77:L$157,MATCH(LEFT(C1231,255),'Reference Records'!E$77:E$157,0)),"")</f>
        <v/>
      </c>
    </row>
    <row r="1232" spans="1:23" s="194" customFormat="1" ht="40.4" customHeight="1" x14ac:dyDescent="0.35">
      <c r="A1232" s="770"/>
      <c r="B1232" s="767"/>
      <c r="C1232" s="761"/>
      <c r="D1232" s="769"/>
      <c r="E1232" s="769"/>
      <c r="F1232" s="208"/>
      <c r="G1232" s="763"/>
      <c r="H1232" s="744"/>
      <c r="I1232" s="765"/>
      <c r="J1232" s="730"/>
      <c r="K1232" s="761"/>
      <c r="L1232" s="761"/>
      <c r="M1232" s="730"/>
      <c r="N1232" s="730"/>
    </row>
    <row r="1233" spans="1:23" s="194" customFormat="1" ht="40.4" customHeight="1" x14ac:dyDescent="0.35">
      <c r="A1233" s="770" t="str">
        <f ca="1">INDIRECT("'update Helper'!C"&amp;U1233)</f>
        <v>a163p000004NtXcAAK</v>
      </c>
      <c r="B1233" s="766">
        <v>16</v>
      </c>
      <c r="C1233" s="760" t="e">
        <f>VLOOKUP(B1233,'Coverage Indicators - Section D'!$A$9:$AU$70,47,FALSE)</f>
        <v>#REF!</v>
      </c>
      <c r="D1233" s="768" t="str">
        <f>R1233</f>
        <v/>
      </c>
      <c r="E1233" s="768" t="str">
        <f>S1233</f>
        <v/>
      </c>
      <c r="F1233" s="413"/>
      <c r="G1233" s="762" t="str">
        <f ca="1">IF(OR(INDIRECT("'update Helper'!E"&amp;U1233)="",F1233&lt;&gt;0,F1234&lt;&gt;0),IF(IFERROR((F1233/F1234),"")="","",(F1233/F1234)),INDIRECT("'update Helper'!E"&amp;U1233)/100)</f>
        <v/>
      </c>
      <c r="H1233" s="743"/>
      <c r="I1233" s="764"/>
      <c r="J1233" s="729"/>
      <c r="K1233" s="760" t="str">
        <f>W1233</f>
        <v/>
      </c>
      <c r="L1233" s="760" t="str">
        <f>V1233</f>
        <v/>
      </c>
      <c r="M1233" s="729"/>
      <c r="N1233" s="729"/>
      <c r="P1233" s="194" t="e">
        <f>IF(AND(EXACT(C1233,C1231),C1231&lt;&gt;0),P1231+1,0)</f>
        <v>#REF!</v>
      </c>
      <c r="Q1233" s="194" t="e">
        <f>IF(C1233&lt;&gt;"",C1233&amp;"-"&amp;P1233,"")</f>
        <v>#REF!</v>
      </c>
      <c r="R1233" s="194" t="str">
        <f t="array" ref="R1233">IFERROR(IF(INDEX('Disaggregation Records'!$E$155:$E$385,MATCH(RIGHT(Q1233,255),RIGHT('Disaggregation Records'!$D$155:$D$385,255),0))="","",INDEX('Disaggregation Records'!$E$155:$E$385,MATCH(RIGHT(Q1233,255),RIGHT('Disaggregation Records'!$D$155:$D$385,255),0))),"")</f>
        <v/>
      </c>
      <c r="S1233" s="194" t="str">
        <f t="array" ref="S1233">IFERROR(IF(INDEX('Disaggregation Records'!$F$155:$F$385,MATCH(RIGHT(Q1233,255),RIGHT('Disaggregation Records'!$D$155:$D$385,255),0))="","",INDEX('Disaggregation Records'!$F$155:$F$385,MATCH(RIGHT(Q1233,255),RIGHT('Disaggregation Records'!$D$155:$D$385,255),0))),"")</f>
        <v/>
      </c>
      <c r="T1233" s="194" t="str">
        <f t="array" ref="T1233">IFERROR(IF(INDEX('Disaggregation Records'!$H$155:$H$385,MATCH(RIGHT(Q1233,255),RIGHT('Disaggregation Records'!$D$155:$D$385,255),0))="","",INDEX('Disaggregation Records'!$H$155:$H$385,MATCH(RIGHT(Q1233,255),RIGHT('Disaggregation Records'!$D$155:$D$385,255),0))),"")</f>
        <v/>
      </c>
      <c r="U1233" s="194">
        <f>U1231+1</f>
        <v>2806</v>
      </c>
      <c r="V1233" s="194" t="str">
        <f t="array" ref="V1233">IFERROR(IF(INDEX('Disaggregation Records'!$I$155:$I$385,MATCH(RIGHT(Q1233,255),RIGHT('Disaggregation Records'!$D$155:$D$385,255),0))="","",INDEX('Disaggregation Records'!$I$155:$I$385,MATCH(RIGHT(Q1233,255),RIGHT('Disaggregation Records'!$D$155:$D$385,255),0))),"")</f>
        <v/>
      </c>
      <c r="W1233" s="194" t="str">
        <f>IFERROR(INDEX('Reference Records'!L$77:L$157,MATCH(LEFT(C1233,255),'Reference Records'!E$77:E$157,0)),"")</f>
        <v/>
      </c>
    </row>
    <row r="1234" spans="1:23" s="194" customFormat="1" ht="40.4" customHeight="1" x14ac:dyDescent="0.35">
      <c r="A1234" s="770"/>
      <c r="B1234" s="767"/>
      <c r="C1234" s="761"/>
      <c r="D1234" s="769"/>
      <c r="E1234" s="769"/>
      <c r="F1234" s="208"/>
      <c r="G1234" s="763"/>
      <c r="H1234" s="744"/>
      <c r="I1234" s="765"/>
      <c r="J1234" s="730"/>
      <c r="K1234" s="761"/>
      <c r="L1234" s="761"/>
      <c r="M1234" s="730"/>
      <c r="N1234" s="730"/>
    </row>
    <row r="1235" spans="1:23" s="194" customFormat="1" ht="40.4" customHeight="1" x14ac:dyDescent="0.35">
      <c r="A1235" s="770" t="str">
        <f ca="1">INDIRECT("'update Helper'!C"&amp;U1235)</f>
        <v>a163p000004NtXdAAK</v>
      </c>
      <c r="B1235" s="766">
        <v>16</v>
      </c>
      <c r="C1235" s="760" t="e">
        <f>VLOOKUP(B1235,'Coverage Indicators - Section D'!$A$9:$AU$70,47,FALSE)</f>
        <v>#REF!</v>
      </c>
      <c r="D1235" s="768" t="str">
        <f>R1235</f>
        <v/>
      </c>
      <c r="E1235" s="768" t="str">
        <f>S1235</f>
        <v/>
      </c>
      <c r="F1235" s="413"/>
      <c r="G1235" s="762" t="str">
        <f ca="1">IF(OR(INDIRECT("'update Helper'!E"&amp;U1235)="",F1235&lt;&gt;0,F1236&lt;&gt;0),IF(IFERROR((F1235/F1236),"")="","",(F1235/F1236)),INDIRECT("'update Helper'!E"&amp;U1235)/100)</f>
        <v/>
      </c>
      <c r="H1235" s="743"/>
      <c r="I1235" s="764"/>
      <c r="J1235" s="729"/>
      <c r="K1235" s="760" t="str">
        <f>W1235</f>
        <v/>
      </c>
      <c r="L1235" s="760" t="str">
        <f>V1235</f>
        <v/>
      </c>
      <c r="M1235" s="729"/>
      <c r="N1235" s="729"/>
      <c r="P1235" s="194" t="e">
        <f>IF(AND(EXACT(C1235,C1233),C1233&lt;&gt;0),P1233+1,0)</f>
        <v>#REF!</v>
      </c>
      <c r="Q1235" s="194" t="e">
        <f>IF(C1235&lt;&gt;"",C1235&amp;"-"&amp;P1235,"")</f>
        <v>#REF!</v>
      </c>
      <c r="R1235" s="194" t="str">
        <f t="array" ref="R1235">IFERROR(IF(INDEX('Disaggregation Records'!$E$155:$E$385,MATCH(RIGHT(Q1235,255),RIGHT('Disaggregation Records'!$D$155:$D$385,255),0))="","",INDEX('Disaggregation Records'!$E$155:$E$385,MATCH(RIGHT(Q1235,255),RIGHT('Disaggregation Records'!$D$155:$D$385,255),0))),"")</f>
        <v/>
      </c>
      <c r="S1235" s="194" t="str">
        <f t="array" ref="S1235">IFERROR(IF(INDEX('Disaggregation Records'!$F$155:$F$385,MATCH(RIGHT(Q1235,255),RIGHT('Disaggregation Records'!$D$155:$D$385,255),0))="","",INDEX('Disaggregation Records'!$F$155:$F$385,MATCH(RIGHT(Q1235,255),RIGHT('Disaggregation Records'!$D$155:$D$385,255),0))),"")</f>
        <v/>
      </c>
      <c r="T1235" s="194" t="str">
        <f t="array" ref="T1235">IFERROR(IF(INDEX('Disaggregation Records'!$H$155:$H$385,MATCH(RIGHT(Q1235,255),RIGHT('Disaggregation Records'!$D$155:$D$385,255),0))="","",INDEX('Disaggregation Records'!$H$155:$H$385,MATCH(RIGHT(Q1235,255),RIGHT('Disaggregation Records'!$D$155:$D$385,255),0))),"")</f>
        <v/>
      </c>
      <c r="U1235" s="194">
        <f>U1233+1</f>
        <v>2807</v>
      </c>
      <c r="V1235" s="194" t="str">
        <f t="array" ref="V1235">IFERROR(IF(INDEX('Disaggregation Records'!$I$155:$I$385,MATCH(RIGHT(Q1235,255),RIGHT('Disaggregation Records'!$D$155:$D$385,255),0))="","",INDEX('Disaggregation Records'!$I$155:$I$385,MATCH(RIGHT(Q1235,255),RIGHT('Disaggregation Records'!$D$155:$D$385,255),0))),"")</f>
        <v/>
      </c>
      <c r="W1235" s="194" t="str">
        <f>IFERROR(INDEX('Reference Records'!L$77:L$157,MATCH(LEFT(C1235,255),'Reference Records'!E$77:E$157,0)),"")</f>
        <v/>
      </c>
    </row>
    <row r="1236" spans="1:23" s="194" customFormat="1" ht="40.4" customHeight="1" x14ac:dyDescent="0.35">
      <c r="A1236" s="770"/>
      <c r="B1236" s="767"/>
      <c r="C1236" s="761"/>
      <c r="D1236" s="769"/>
      <c r="E1236" s="769"/>
      <c r="F1236" s="208"/>
      <c r="G1236" s="763"/>
      <c r="H1236" s="744"/>
      <c r="I1236" s="765"/>
      <c r="J1236" s="730"/>
      <c r="K1236" s="761"/>
      <c r="L1236" s="761"/>
      <c r="M1236" s="730"/>
      <c r="N1236" s="730"/>
    </row>
    <row r="1237" spans="1:23" s="194" customFormat="1" ht="40.4" customHeight="1" x14ac:dyDescent="0.35">
      <c r="A1237" s="770" t="str">
        <f ca="1">INDIRECT("'update Helper'!C"&amp;U1237)</f>
        <v>a163p000004NtXeAAK</v>
      </c>
      <c r="B1237" s="766">
        <v>16</v>
      </c>
      <c r="C1237" s="760" t="e">
        <f>VLOOKUP(B1237,'Coverage Indicators - Section D'!$A$9:$AU$70,47,FALSE)</f>
        <v>#REF!</v>
      </c>
      <c r="D1237" s="768" t="str">
        <f>R1237</f>
        <v/>
      </c>
      <c r="E1237" s="768" t="str">
        <f>S1237</f>
        <v/>
      </c>
      <c r="F1237" s="413"/>
      <c r="G1237" s="762" t="str">
        <f ca="1">IF(OR(INDIRECT("'update Helper'!E"&amp;U1237)="",F1237&lt;&gt;0,F1238&lt;&gt;0),IF(IFERROR((F1237/F1238),"")="","",(F1237/F1238)),INDIRECT("'update Helper'!E"&amp;U1237)/100)</f>
        <v/>
      </c>
      <c r="H1237" s="743"/>
      <c r="I1237" s="764"/>
      <c r="J1237" s="729"/>
      <c r="K1237" s="760" t="str">
        <f>W1237</f>
        <v/>
      </c>
      <c r="L1237" s="760" t="str">
        <f>V1237</f>
        <v/>
      </c>
      <c r="M1237" s="729"/>
      <c r="N1237" s="729"/>
      <c r="P1237" s="194" t="e">
        <f>IF(AND(EXACT(C1237,C1235),C1235&lt;&gt;0),P1235+1,0)</f>
        <v>#REF!</v>
      </c>
      <c r="Q1237" s="194" t="e">
        <f>IF(C1237&lt;&gt;"",C1237&amp;"-"&amp;P1237,"")</f>
        <v>#REF!</v>
      </c>
      <c r="R1237" s="194" t="str">
        <f t="array" ref="R1237">IFERROR(IF(INDEX('Disaggregation Records'!$E$155:$E$385,MATCH(RIGHT(Q1237,255),RIGHT('Disaggregation Records'!$D$155:$D$385,255),0))="","",INDEX('Disaggregation Records'!$E$155:$E$385,MATCH(RIGHT(Q1237,255),RIGHT('Disaggregation Records'!$D$155:$D$385,255),0))),"")</f>
        <v/>
      </c>
      <c r="S1237" s="194" t="str">
        <f t="array" ref="S1237">IFERROR(IF(INDEX('Disaggregation Records'!$F$155:$F$385,MATCH(RIGHT(Q1237,255),RIGHT('Disaggregation Records'!$D$155:$D$385,255),0))="","",INDEX('Disaggregation Records'!$F$155:$F$385,MATCH(RIGHT(Q1237,255),RIGHT('Disaggregation Records'!$D$155:$D$385,255),0))),"")</f>
        <v/>
      </c>
      <c r="T1237" s="194" t="str">
        <f t="array" ref="T1237">IFERROR(IF(INDEX('Disaggregation Records'!$H$155:$H$385,MATCH(RIGHT(Q1237,255),RIGHT('Disaggregation Records'!$D$155:$D$385,255),0))="","",INDEX('Disaggregation Records'!$H$155:$H$385,MATCH(RIGHT(Q1237,255),RIGHT('Disaggregation Records'!$D$155:$D$385,255),0))),"")</f>
        <v/>
      </c>
      <c r="U1237" s="194">
        <f>U1235+1</f>
        <v>2808</v>
      </c>
      <c r="V1237" s="194" t="str">
        <f t="array" ref="V1237">IFERROR(IF(INDEX('Disaggregation Records'!$I$155:$I$385,MATCH(RIGHT(Q1237,255),RIGHT('Disaggregation Records'!$D$155:$D$385,255),0))="","",INDEX('Disaggregation Records'!$I$155:$I$385,MATCH(RIGHT(Q1237,255),RIGHT('Disaggregation Records'!$D$155:$D$385,255),0))),"")</f>
        <v/>
      </c>
      <c r="W1237" s="194" t="str">
        <f>IFERROR(INDEX('Reference Records'!L$77:L$157,MATCH(LEFT(C1237,255),'Reference Records'!E$77:E$157,0)),"")</f>
        <v/>
      </c>
    </row>
    <row r="1238" spans="1:23" s="194" customFormat="1" ht="40.4" customHeight="1" x14ac:dyDescent="0.35">
      <c r="A1238" s="770"/>
      <c r="B1238" s="767"/>
      <c r="C1238" s="761"/>
      <c r="D1238" s="769"/>
      <c r="E1238" s="769"/>
      <c r="F1238" s="208"/>
      <c r="G1238" s="763"/>
      <c r="H1238" s="744"/>
      <c r="I1238" s="765"/>
      <c r="J1238" s="730"/>
      <c r="K1238" s="761"/>
      <c r="L1238" s="761"/>
      <c r="M1238" s="730"/>
      <c r="N1238" s="730"/>
    </row>
    <row r="1239" spans="1:23" s="194" customFormat="1" ht="40.4" customHeight="1" x14ac:dyDescent="0.35">
      <c r="A1239" s="770" t="str">
        <f ca="1">INDIRECT("'update Helper'!C"&amp;U1239)</f>
        <v>a163p000004NtXfAAK</v>
      </c>
      <c r="B1239" s="766">
        <v>16</v>
      </c>
      <c r="C1239" s="760" t="e">
        <f>VLOOKUP(B1239,'Coverage Indicators - Section D'!$A$9:$AU$70,47,FALSE)</f>
        <v>#REF!</v>
      </c>
      <c r="D1239" s="768" t="str">
        <f>R1239</f>
        <v/>
      </c>
      <c r="E1239" s="768" t="str">
        <f>S1239</f>
        <v/>
      </c>
      <c r="F1239" s="413"/>
      <c r="G1239" s="762" t="str">
        <f ca="1">IF(OR(INDIRECT("'update Helper'!E"&amp;U1239)="",F1239&lt;&gt;0,F1240&lt;&gt;0),IF(IFERROR((F1239/F1240),"")="","",(F1239/F1240)),INDIRECT("'update Helper'!E"&amp;U1239)/100)</f>
        <v/>
      </c>
      <c r="H1239" s="743"/>
      <c r="I1239" s="764"/>
      <c r="J1239" s="729"/>
      <c r="K1239" s="760" t="str">
        <f>W1239</f>
        <v/>
      </c>
      <c r="L1239" s="760" t="str">
        <f>V1239</f>
        <v/>
      </c>
      <c r="M1239" s="729"/>
      <c r="N1239" s="729"/>
      <c r="P1239" s="194" t="e">
        <f>IF(AND(EXACT(C1239,C1237),C1237&lt;&gt;0),P1237+1,0)</f>
        <v>#REF!</v>
      </c>
      <c r="Q1239" s="194" t="e">
        <f>IF(C1239&lt;&gt;"",C1239&amp;"-"&amp;P1239,"")</f>
        <v>#REF!</v>
      </c>
      <c r="R1239" s="194" t="str">
        <f t="array" ref="R1239">IFERROR(IF(INDEX('Disaggregation Records'!$E$155:$E$385,MATCH(RIGHT(Q1239,255),RIGHT('Disaggregation Records'!$D$155:$D$385,255),0))="","",INDEX('Disaggregation Records'!$E$155:$E$385,MATCH(RIGHT(Q1239,255),RIGHT('Disaggregation Records'!$D$155:$D$385,255),0))),"")</f>
        <v/>
      </c>
      <c r="S1239" s="194" t="str">
        <f t="array" ref="S1239">IFERROR(IF(INDEX('Disaggregation Records'!$F$155:$F$385,MATCH(RIGHT(Q1239,255),RIGHT('Disaggregation Records'!$D$155:$D$385,255),0))="","",INDEX('Disaggregation Records'!$F$155:$F$385,MATCH(RIGHT(Q1239,255),RIGHT('Disaggregation Records'!$D$155:$D$385,255),0))),"")</f>
        <v/>
      </c>
      <c r="T1239" s="194" t="str">
        <f t="array" ref="T1239">IFERROR(IF(INDEX('Disaggregation Records'!$H$155:$H$385,MATCH(RIGHT(Q1239,255),RIGHT('Disaggregation Records'!$D$155:$D$385,255),0))="","",INDEX('Disaggregation Records'!$H$155:$H$385,MATCH(RIGHT(Q1239,255),RIGHT('Disaggregation Records'!$D$155:$D$385,255),0))),"")</f>
        <v/>
      </c>
      <c r="U1239" s="194">
        <f>U1237+1</f>
        <v>2809</v>
      </c>
      <c r="V1239" s="194" t="str">
        <f t="array" ref="V1239">IFERROR(IF(INDEX('Disaggregation Records'!$I$155:$I$385,MATCH(RIGHT(Q1239,255),RIGHT('Disaggregation Records'!$D$155:$D$385,255),0))="","",INDEX('Disaggregation Records'!$I$155:$I$385,MATCH(RIGHT(Q1239,255),RIGHT('Disaggregation Records'!$D$155:$D$385,255),0))),"")</f>
        <v/>
      </c>
      <c r="W1239" s="194" t="str">
        <f>IFERROR(INDEX('Reference Records'!L$77:L$157,MATCH(LEFT(C1239,255),'Reference Records'!E$77:E$157,0)),"")</f>
        <v/>
      </c>
    </row>
    <row r="1240" spans="1:23" s="194" customFormat="1" ht="40.4" customHeight="1" x14ac:dyDescent="0.35">
      <c r="A1240" s="770"/>
      <c r="B1240" s="767"/>
      <c r="C1240" s="761"/>
      <c r="D1240" s="769"/>
      <c r="E1240" s="769"/>
      <c r="F1240" s="208"/>
      <c r="G1240" s="763"/>
      <c r="H1240" s="744"/>
      <c r="I1240" s="765"/>
      <c r="J1240" s="730"/>
      <c r="K1240" s="761"/>
      <c r="L1240" s="761"/>
      <c r="M1240" s="730"/>
      <c r="N1240" s="730"/>
    </row>
    <row r="1241" spans="1:23" s="194" customFormat="1" ht="40.4" customHeight="1" x14ac:dyDescent="0.35">
      <c r="A1241" s="770" t="str">
        <f ca="1">INDIRECT("'update Helper'!C"&amp;U1241)</f>
        <v>a163p000004NtXgAAK</v>
      </c>
      <c r="B1241" s="766">
        <v>16</v>
      </c>
      <c r="C1241" s="760" t="e">
        <f>VLOOKUP(B1241,'Coverage Indicators - Section D'!$A$9:$AU$70,47,FALSE)</f>
        <v>#REF!</v>
      </c>
      <c r="D1241" s="768" t="str">
        <f>R1241</f>
        <v/>
      </c>
      <c r="E1241" s="768" t="str">
        <f>S1241</f>
        <v/>
      </c>
      <c r="F1241" s="413"/>
      <c r="G1241" s="762" t="str">
        <f ca="1">IF(OR(INDIRECT("'update Helper'!E"&amp;U1241)="",F1241&lt;&gt;0,F1242&lt;&gt;0),IF(IFERROR((F1241/F1242),"")="","",(F1241/F1242)),INDIRECT("'update Helper'!E"&amp;U1241)/100)</f>
        <v/>
      </c>
      <c r="H1241" s="743"/>
      <c r="I1241" s="764"/>
      <c r="J1241" s="729"/>
      <c r="K1241" s="760" t="str">
        <f>W1241</f>
        <v/>
      </c>
      <c r="L1241" s="760" t="str">
        <f>V1241</f>
        <v/>
      </c>
      <c r="M1241" s="729"/>
      <c r="N1241" s="729"/>
      <c r="P1241" s="194" t="e">
        <f>IF(AND(EXACT(C1241,C1239),C1239&lt;&gt;0),P1239+1,0)</f>
        <v>#REF!</v>
      </c>
      <c r="Q1241" s="194" t="e">
        <f>IF(C1241&lt;&gt;"",C1241&amp;"-"&amp;P1241,"")</f>
        <v>#REF!</v>
      </c>
      <c r="R1241" s="194" t="str">
        <f t="array" ref="R1241">IFERROR(IF(INDEX('Disaggregation Records'!$E$155:$E$385,MATCH(RIGHT(Q1241,255),RIGHT('Disaggregation Records'!$D$155:$D$385,255),0))="","",INDEX('Disaggregation Records'!$E$155:$E$385,MATCH(RIGHT(Q1241,255),RIGHT('Disaggregation Records'!$D$155:$D$385,255),0))),"")</f>
        <v/>
      </c>
      <c r="S1241" s="194" t="str">
        <f t="array" ref="S1241">IFERROR(IF(INDEX('Disaggregation Records'!$F$155:$F$385,MATCH(RIGHT(Q1241,255),RIGHT('Disaggregation Records'!$D$155:$D$385,255),0))="","",INDEX('Disaggregation Records'!$F$155:$F$385,MATCH(RIGHT(Q1241,255),RIGHT('Disaggregation Records'!$D$155:$D$385,255),0))),"")</f>
        <v/>
      </c>
      <c r="T1241" s="194" t="str">
        <f t="array" ref="T1241">IFERROR(IF(INDEX('Disaggregation Records'!$H$155:$H$385,MATCH(RIGHT(Q1241,255),RIGHT('Disaggregation Records'!$D$155:$D$385,255),0))="","",INDEX('Disaggregation Records'!$H$155:$H$385,MATCH(RIGHT(Q1241,255),RIGHT('Disaggregation Records'!$D$155:$D$385,255),0))),"")</f>
        <v/>
      </c>
      <c r="U1241" s="194">
        <f>U1239+1</f>
        <v>2810</v>
      </c>
      <c r="V1241" s="194" t="str">
        <f t="array" ref="V1241">IFERROR(IF(INDEX('Disaggregation Records'!$I$155:$I$385,MATCH(RIGHT(Q1241,255),RIGHT('Disaggregation Records'!$D$155:$D$385,255),0))="","",INDEX('Disaggregation Records'!$I$155:$I$385,MATCH(RIGHT(Q1241,255),RIGHT('Disaggregation Records'!$D$155:$D$385,255),0))),"")</f>
        <v/>
      </c>
      <c r="W1241" s="194" t="str">
        <f>IFERROR(INDEX('Reference Records'!L$77:L$157,MATCH(LEFT(C1241,255),'Reference Records'!E$77:E$157,0)),"")</f>
        <v/>
      </c>
    </row>
    <row r="1242" spans="1:23" s="194" customFormat="1" ht="40.4" customHeight="1" x14ac:dyDescent="0.35">
      <c r="A1242" s="770"/>
      <c r="B1242" s="767"/>
      <c r="C1242" s="761"/>
      <c r="D1242" s="769"/>
      <c r="E1242" s="769"/>
      <c r="F1242" s="208"/>
      <c r="G1242" s="763"/>
      <c r="H1242" s="744"/>
      <c r="I1242" s="765"/>
      <c r="J1242" s="730"/>
      <c r="K1242" s="761"/>
      <c r="L1242" s="761"/>
      <c r="M1242" s="730"/>
      <c r="N1242" s="730"/>
    </row>
    <row r="1243" spans="1:23" s="194" customFormat="1" ht="40.4" customHeight="1" x14ac:dyDescent="0.35">
      <c r="A1243" s="770" t="str">
        <f ca="1">INDIRECT("'update Helper'!C"&amp;U1243)</f>
        <v>a163p000004NtXhAAK</v>
      </c>
      <c r="B1243" s="766">
        <v>16</v>
      </c>
      <c r="C1243" s="760" t="e">
        <f>VLOOKUP(B1243,'Coverage Indicators - Section D'!$A$9:$AU$70,47,FALSE)</f>
        <v>#REF!</v>
      </c>
      <c r="D1243" s="768" t="str">
        <f>R1243</f>
        <v/>
      </c>
      <c r="E1243" s="768" t="str">
        <f>S1243</f>
        <v/>
      </c>
      <c r="F1243" s="413"/>
      <c r="G1243" s="762" t="str">
        <f ca="1">IF(OR(INDIRECT("'update Helper'!E"&amp;U1243)="",F1243&lt;&gt;0,F1244&lt;&gt;0),IF(IFERROR((F1243/F1244),"")="","",(F1243/F1244)),INDIRECT("'update Helper'!E"&amp;U1243)/100)</f>
        <v/>
      </c>
      <c r="H1243" s="743"/>
      <c r="I1243" s="764"/>
      <c r="J1243" s="729"/>
      <c r="K1243" s="760" t="str">
        <f>W1243</f>
        <v/>
      </c>
      <c r="L1243" s="760" t="str">
        <f>V1243</f>
        <v/>
      </c>
      <c r="M1243" s="729"/>
      <c r="N1243" s="729"/>
      <c r="P1243" s="194" t="e">
        <f>IF(AND(EXACT(C1243,C1241),C1241&lt;&gt;0),P1241+1,0)</f>
        <v>#REF!</v>
      </c>
      <c r="Q1243" s="194" t="e">
        <f>IF(C1243&lt;&gt;"",C1243&amp;"-"&amp;P1243,"")</f>
        <v>#REF!</v>
      </c>
      <c r="R1243" s="194" t="str">
        <f t="array" ref="R1243">IFERROR(IF(INDEX('Disaggregation Records'!$E$155:$E$385,MATCH(RIGHT(Q1243,255),RIGHT('Disaggregation Records'!$D$155:$D$385,255),0))="","",INDEX('Disaggregation Records'!$E$155:$E$385,MATCH(RIGHT(Q1243,255),RIGHT('Disaggregation Records'!$D$155:$D$385,255),0))),"")</f>
        <v/>
      </c>
      <c r="S1243" s="194" t="str">
        <f t="array" ref="S1243">IFERROR(IF(INDEX('Disaggregation Records'!$F$155:$F$385,MATCH(RIGHT(Q1243,255),RIGHT('Disaggregation Records'!$D$155:$D$385,255),0))="","",INDEX('Disaggregation Records'!$F$155:$F$385,MATCH(RIGHT(Q1243,255),RIGHT('Disaggregation Records'!$D$155:$D$385,255),0))),"")</f>
        <v/>
      </c>
      <c r="T1243" s="194" t="str">
        <f t="array" ref="T1243">IFERROR(IF(INDEX('Disaggregation Records'!$H$155:$H$385,MATCH(RIGHT(Q1243,255),RIGHT('Disaggregation Records'!$D$155:$D$385,255),0))="","",INDEX('Disaggregation Records'!$H$155:$H$385,MATCH(RIGHT(Q1243,255),RIGHT('Disaggregation Records'!$D$155:$D$385,255),0))),"")</f>
        <v/>
      </c>
      <c r="U1243" s="194">
        <f>U1241+1</f>
        <v>2811</v>
      </c>
      <c r="V1243" s="194" t="str">
        <f t="array" ref="V1243">IFERROR(IF(INDEX('Disaggregation Records'!$I$155:$I$385,MATCH(RIGHT(Q1243,255),RIGHT('Disaggregation Records'!$D$155:$D$385,255),0))="","",INDEX('Disaggregation Records'!$I$155:$I$385,MATCH(RIGHT(Q1243,255),RIGHT('Disaggregation Records'!$D$155:$D$385,255),0))),"")</f>
        <v/>
      </c>
      <c r="W1243" s="194" t="str">
        <f>IFERROR(INDEX('Reference Records'!L$77:L$157,MATCH(LEFT(C1243,255),'Reference Records'!E$77:E$157,0)),"")</f>
        <v/>
      </c>
    </row>
    <row r="1244" spans="1:23" s="194" customFormat="1" ht="40.4" customHeight="1" x14ac:dyDescent="0.35">
      <c r="A1244" s="770"/>
      <c r="B1244" s="767"/>
      <c r="C1244" s="761"/>
      <c r="D1244" s="769"/>
      <c r="E1244" s="769"/>
      <c r="F1244" s="208"/>
      <c r="G1244" s="763"/>
      <c r="H1244" s="744"/>
      <c r="I1244" s="765"/>
      <c r="J1244" s="730"/>
      <c r="K1244" s="761"/>
      <c r="L1244" s="761"/>
      <c r="M1244" s="730"/>
      <c r="N1244" s="730"/>
    </row>
    <row r="1245" spans="1:23" s="194" customFormat="1" ht="40.4" customHeight="1" x14ac:dyDescent="0.35">
      <c r="A1245" s="770" t="str">
        <f ca="1">INDIRECT("'update Helper'!C"&amp;U1245)</f>
        <v>a163p000004NtXiAAK</v>
      </c>
      <c r="B1245" s="766">
        <v>16</v>
      </c>
      <c r="C1245" s="760" t="e">
        <f>VLOOKUP(B1245,'Coverage Indicators - Section D'!$A$9:$AU$70,47,FALSE)</f>
        <v>#REF!</v>
      </c>
      <c r="D1245" s="768" t="str">
        <f>R1245</f>
        <v/>
      </c>
      <c r="E1245" s="768" t="str">
        <f>S1245</f>
        <v/>
      </c>
      <c r="F1245" s="413"/>
      <c r="G1245" s="762" t="str">
        <f ca="1">IF(OR(INDIRECT("'update Helper'!E"&amp;U1245)="",F1245&lt;&gt;0,F1246&lt;&gt;0),IF(IFERROR((F1245/F1246),"")="","",(F1245/F1246)),INDIRECT("'update Helper'!E"&amp;U1245)/100)</f>
        <v/>
      </c>
      <c r="H1245" s="743"/>
      <c r="I1245" s="764"/>
      <c r="J1245" s="729"/>
      <c r="K1245" s="760" t="str">
        <f>W1245</f>
        <v/>
      </c>
      <c r="L1245" s="760" t="str">
        <f>V1245</f>
        <v/>
      </c>
      <c r="M1245" s="729"/>
      <c r="N1245" s="729"/>
      <c r="P1245" s="194" t="e">
        <f>IF(AND(EXACT(C1245,C1243),C1243&lt;&gt;0),P1243+1,0)</f>
        <v>#REF!</v>
      </c>
      <c r="Q1245" s="194" t="e">
        <f>IF(C1245&lt;&gt;"",C1245&amp;"-"&amp;P1245,"")</f>
        <v>#REF!</v>
      </c>
      <c r="R1245" s="194" t="str">
        <f t="array" ref="R1245">IFERROR(IF(INDEX('Disaggregation Records'!$E$155:$E$385,MATCH(RIGHT(Q1245,255),RIGHT('Disaggregation Records'!$D$155:$D$385,255),0))="","",INDEX('Disaggregation Records'!$E$155:$E$385,MATCH(RIGHT(Q1245,255),RIGHT('Disaggregation Records'!$D$155:$D$385,255),0))),"")</f>
        <v/>
      </c>
      <c r="S1245" s="194" t="str">
        <f t="array" ref="S1245">IFERROR(IF(INDEX('Disaggregation Records'!$F$155:$F$385,MATCH(RIGHT(Q1245,255),RIGHT('Disaggregation Records'!$D$155:$D$385,255),0))="","",INDEX('Disaggregation Records'!$F$155:$F$385,MATCH(RIGHT(Q1245,255),RIGHT('Disaggregation Records'!$D$155:$D$385,255),0))),"")</f>
        <v/>
      </c>
      <c r="T1245" s="194" t="str">
        <f t="array" ref="T1245">IFERROR(IF(INDEX('Disaggregation Records'!$H$155:$H$385,MATCH(RIGHT(Q1245,255),RIGHT('Disaggregation Records'!$D$155:$D$385,255),0))="","",INDEX('Disaggregation Records'!$H$155:$H$385,MATCH(RIGHT(Q1245,255),RIGHT('Disaggregation Records'!$D$155:$D$385,255),0))),"")</f>
        <v/>
      </c>
      <c r="U1245" s="194">
        <f>U1243+1</f>
        <v>2812</v>
      </c>
      <c r="V1245" s="194" t="str">
        <f t="array" ref="V1245">IFERROR(IF(INDEX('Disaggregation Records'!$I$155:$I$385,MATCH(RIGHT(Q1245,255),RIGHT('Disaggregation Records'!$D$155:$D$385,255),0))="","",INDEX('Disaggregation Records'!$I$155:$I$385,MATCH(RIGHT(Q1245,255),RIGHT('Disaggregation Records'!$D$155:$D$385,255),0))),"")</f>
        <v/>
      </c>
      <c r="W1245" s="194" t="str">
        <f>IFERROR(INDEX('Reference Records'!L$77:L$157,MATCH(LEFT(C1245,255),'Reference Records'!E$77:E$157,0)),"")</f>
        <v/>
      </c>
    </row>
    <row r="1246" spans="1:23" s="194" customFormat="1" ht="40.4" customHeight="1" x14ac:dyDescent="0.35">
      <c r="A1246" s="770"/>
      <c r="B1246" s="767"/>
      <c r="C1246" s="761"/>
      <c r="D1246" s="769"/>
      <c r="E1246" s="769"/>
      <c r="F1246" s="208"/>
      <c r="G1246" s="763"/>
      <c r="H1246" s="744"/>
      <c r="I1246" s="765"/>
      <c r="J1246" s="730"/>
      <c r="K1246" s="761"/>
      <c r="L1246" s="761"/>
      <c r="M1246" s="730"/>
      <c r="N1246" s="730"/>
    </row>
    <row r="1247" spans="1:23" s="194" customFormat="1" ht="40.4" customHeight="1" x14ac:dyDescent="0.35">
      <c r="A1247" s="770" t="str">
        <f ca="1">INDIRECT("'update Helper'!C"&amp;U1247)</f>
        <v>a163p000004NtXjAAK</v>
      </c>
      <c r="B1247" s="766">
        <v>16</v>
      </c>
      <c r="C1247" s="760" t="e">
        <f>VLOOKUP(B1247,'Coverage Indicators - Section D'!$A$9:$AU$70,47,FALSE)</f>
        <v>#REF!</v>
      </c>
      <c r="D1247" s="768" t="str">
        <f>R1247</f>
        <v/>
      </c>
      <c r="E1247" s="768" t="str">
        <f>S1247</f>
        <v/>
      </c>
      <c r="F1247" s="413"/>
      <c r="G1247" s="762" t="str">
        <f ca="1">IF(OR(INDIRECT("'update Helper'!E"&amp;U1247)="",F1247&lt;&gt;0,F1248&lt;&gt;0),IF(IFERROR((F1247/F1248),"")="","",(F1247/F1248)),INDIRECT("'update Helper'!E"&amp;U1247)/100)</f>
        <v/>
      </c>
      <c r="H1247" s="743"/>
      <c r="I1247" s="764"/>
      <c r="J1247" s="729"/>
      <c r="K1247" s="760" t="str">
        <f>W1247</f>
        <v/>
      </c>
      <c r="L1247" s="760" t="str">
        <f>V1247</f>
        <v/>
      </c>
      <c r="M1247" s="729"/>
      <c r="N1247" s="729"/>
      <c r="P1247" s="194" t="e">
        <f>IF(AND(EXACT(C1247,C1245),C1245&lt;&gt;0),P1245+1,0)</f>
        <v>#REF!</v>
      </c>
      <c r="Q1247" s="194" t="e">
        <f>IF(C1247&lt;&gt;"",C1247&amp;"-"&amp;P1247,"")</f>
        <v>#REF!</v>
      </c>
      <c r="R1247" s="194" t="str">
        <f t="array" ref="R1247">IFERROR(IF(INDEX('Disaggregation Records'!$E$155:$E$385,MATCH(RIGHT(Q1247,255),RIGHT('Disaggregation Records'!$D$155:$D$385,255),0))="","",INDEX('Disaggregation Records'!$E$155:$E$385,MATCH(RIGHT(Q1247,255),RIGHT('Disaggregation Records'!$D$155:$D$385,255),0))),"")</f>
        <v/>
      </c>
      <c r="S1247" s="194" t="str">
        <f t="array" ref="S1247">IFERROR(IF(INDEX('Disaggregation Records'!$F$155:$F$385,MATCH(RIGHT(Q1247,255),RIGHT('Disaggregation Records'!$D$155:$D$385,255),0))="","",INDEX('Disaggregation Records'!$F$155:$F$385,MATCH(RIGHT(Q1247,255),RIGHT('Disaggregation Records'!$D$155:$D$385,255),0))),"")</f>
        <v/>
      </c>
      <c r="T1247" s="194" t="str">
        <f t="array" ref="T1247">IFERROR(IF(INDEX('Disaggregation Records'!$H$155:$H$385,MATCH(RIGHT(Q1247,255),RIGHT('Disaggregation Records'!$D$155:$D$385,255),0))="","",INDEX('Disaggregation Records'!$H$155:$H$385,MATCH(RIGHT(Q1247,255),RIGHT('Disaggregation Records'!$D$155:$D$385,255),0))),"")</f>
        <v/>
      </c>
      <c r="U1247" s="194">
        <f>U1245+1</f>
        <v>2813</v>
      </c>
      <c r="V1247" s="194" t="str">
        <f t="array" ref="V1247">IFERROR(IF(INDEX('Disaggregation Records'!$I$155:$I$385,MATCH(RIGHT(Q1247,255),RIGHT('Disaggregation Records'!$D$155:$D$385,255),0))="","",INDEX('Disaggregation Records'!$I$155:$I$385,MATCH(RIGHT(Q1247,255),RIGHT('Disaggregation Records'!$D$155:$D$385,255),0))),"")</f>
        <v/>
      </c>
      <c r="W1247" s="194" t="str">
        <f>IFERROR(INDEX('Reference Records'!L$77:L$157,MATCH(LEFT(C1247,255),'Reference Records'!E$77:E$157,0)),"")</f>
        <v/>
      </c>
    </row>
    <row r="1248" spans="1:23" s="194" customFormat="1" ht="40.4" customHeight="1" x14ac:dyDescent="0.35">
      <c r="A1248" s="770"/>
      <c r="B1248" s="767"/>
      <c r="C1248" s="761"/>
      <c r="D1248" s="769"/>
      <c r="E1248" s="769"/>
      <c r="F1248" s="208"/>
      <c r="G1248" s="763"/>
      <c r="H1248" s="744"/>
      <c r="I1248" s="765"/>
      <c r="J1248" s="730"/>
      <c r="K1248" s="761"/>
      <c r="L1248" s="761"/>
      <c r="M1248" s="730"/>
      <c r="N1248" s="730"/>
    </row>
    <row r="1249" spans="1:23" s="194" customFormat="1" ht="40.4" customHeight="1" x14ac:dyDescent="0.35">
      <c r="A1249" s="770" t="str">
        <f ca="1">INDIRECT("'update Helper'!C"&amp;U1249)</f>
        <v>a163p000004NtXkAAK</v>
      </c>
      <c r="B1249" s="766">
        <v>16</v>
      </c>
      <c r="C1249" s="760" t="e">
        <f>VLOOKUP(B1249,'Coverage Indicators - Section D'!$A$9:$AU$70,47,FALSE)</f>
        <v>#REF!</v>
      </c>
      <c r="D1249" s="768" t="str">
        <f>R1249</f>
        <v/>
      </c>
      <c r="E1249" s="768" t="str">
        <f>S1249</f>
        <v/>
      </c>
      <c r="F1249" s="413"/>
      <c r="G1249" s="762" t="str">
        <f ca="1">IF(OR(INDIRECT("'update Helper'!E"&amp;U1249)="",F1249&lt;&gt;0,F1250&lt;&gt;0),IF(IFERROR((F1249/F1250),"")="","",(F1249/F1250)),INDIRECT("'update Helper'!E"&amp;U1249)/100)</f>
        <v/>
      </c>
      <c r="H1249" s="743"/>
      <c r="I1249" s="764"/>
      <c r="J1249" s="729"/>
      <c r="K1249" s="760" t="str">
        <f>W1249</f>
        <v/>
      </c>
      <c r="L1249" s="760" t="str">
        <f>V1249</f>
        <v/>
      </c>
      <c r="M1249" s="729"/>
      <c r="N1249" s="729"/>
      <c r="P1249" s="194" t="e">
        <f>IF(AND(EXACT(C1249,C1247),C1247&lt;&gt;0),P1247+1,0)</f>
        <v>#REF!</v>
      </c>
      <c r="Q1249" s="194" t="e">
        <f>IF(C1249&lt;&gt;"",C1249&amp;"-"&amp;P1249,"")</f>
        <v>#REF!</v>
      </c>
      <c r="R1249" s="194" t="str">
        <f t="array" ref="R1249">IFERROR(IF(INDEX('Disaggregation Records'!$E$155:$E$385,MATCH(RIGHT(Q1249,255),RIGHT('Disaggregation Records'!$D$155:$D$385,255),0))="","",INDEX('Disaggregation Records'!$E$155:$E$385,MATCH(RIGHT(Q1249,255),RIGHT('Disaggregation Records'!$D$155:$D$385,255),0))),"")</f>
        <v/>
      </c>
      <c r="S1249" s="194" t="str">
        <f t="array" ref="S1249">IFERROR(IF(INDEX('Disaggregation Records'!$F$155:$F$385,MATCH(RIGHT(Q1249,255),RIGHT('Disaggregation Records'!$D$155:$D$385,255),0))="","",INDEX('Disaggregation Records'!$F$155:$F$385,MATCH(RIGHT(Q1249,255),RIGHT('Disaggregation Records'!$D$155:$D$385,255),0))),"")</f>
        <v/>
      </c>
      <c r="T1249" s="194" t="str">
        <f t="array" ref="T1249">IFERROR(IF(INDEX('Disaggregation Records'!$H$155:$H$385,MATCH(RIGHT(Q1249,255),RIGHT('Disaggregation Records'!$D$155:$D$385,255),0))="","",INDEX('Disaggregation Records'!$H$155:$H$385,MATCH(RIGHT(Q1249,255),RIGHT('Disaggregation Records'!$D$155:$D$385,255),0))),"")</f>
        <v/>
      </c>
      <c r="U1249" s="194">
        <f>U1247+1</f>
        <v>2814</v>
      </c>
      <c r="V1249" s="194" t="str">
        <f t="array" ref="V1249">IFERROR(IF(INDEX('Disaggregation Records'!$I$155:$I$385,MATCH(RIGHT(Q1249,255),RIGHT('Disaggregation Records'!$D$155:$D$385,255),0))="","",INDEX('Disaggregation Records'!$I$155:$I$385,MATCH(RIGHT(Q1249,255),RIGHT('Disaggregation Records'!$D$155:$D$385,255),0))),"")</f>
        <v/>
      </c>
      <c r="W1249" s="194" t="str">
        <f>IFERROR(INDEX('Reference Records'!L$77:L$157,MATCH(LEFT(C1249,255),'Reference Records'!E$77:E$157,0)),"")</f>
        <v/>
      </c>
    </row>
    <row r="1250" spans="1:23" s="194" customFormat="1" ht="40.4" customHeight="1" x14ac:dyDescent="0.35">
      <c r="A1250" s="770"/>
      <c r="B1250" s="767"/>
      <c r="C1250" s="761"/>
      <c r="D1250" s="769"/>
      <c r="E1250" s="769"/>
      <c r="F1250" s="208"/>
      <c r="G1250" s="763"/>
      <c r="H1250" s="744"/>
      <c r="I1250" s="765"/>
      <c r="J1250" s="730"/>
      <c r="K1250" s="761"/>
      <c r="L1250" s="761"/>
      <c r="M1250" s="730"/>
      <c r="N1250" s="730"/>
    </row>
    <row r="1251" spans="1:23" s="194" customFormat="1" ht="40.4" customHeight="1" x14ac:dyDescent="0.35">
      <c r="A1251" s="770" t="str">
        <f ca="1">INDIRECT("'update Helper'!C"&amp;U1251)</f>
        <v>a163p000004NtXlAAK</v>
      </c>
      <c r="B1251" s="766">
        <v>16</v>
      </c>
      <c r="C1251" s="760" t="e">
        <f>VLOOKUP(B1251,'Coverage Indicators - Section D'!$A$9:$AU$70,47,FALSE)</f>
        <v>#REF!</v>
      </c>
      <c r="D1251" s="768" t="str">
        <f>R1251</f>
        <v/>
      </c>
      <c r="E1251" s="768" t="str">
        <f>S1251</f>
        <v/>
      </c>
      <c r="F1251" s="413"/>
      <c r="G1251" s="762" t="str">
        <f ca="1">IF(OR(INDIRECT("'update Helper'!E"&amp;U1251)="",F1251&lt;&gt;0,F1252&lt;&gt;0),IF(IFERROR((F1251/F1252),"")="","",(F1251/F1252)),INDIRECT("'update Helper'!E"&amp;U1251)/100)</f>
        <v/>
      </c>
      <c r="H1251" s="743"/>
      <c r="I1251" s="764"/>
      <c r="J1251" s="729"/>
      <c r="K1251" s="760" t="str">
        <f>W1251</f>
        <v/>
      </c>
      <c r="L1251" s="760" t="str">
        <f>V1251</f>
        <v/>
      </c>
      <c r="M1251" s="729"/>
      <c r="N1251" s="729"/>
      <c r="P1251" s="194" t="e">
        <f>IF(AND(EXACT(C1251,C1249),C1249&lt;&gt;0),P1249+1,0)</f>
        <v>#REF!</v>
      </c>
      <c r="Q1251" s="194" t="e">
        <f>IF(C1251&lt;&gt;"",C1251&amp;"-"&amp;P1251,"")</f>
        <v>#REF!</v>
      </c>
      <c r="R1251" s="194" t="str">
        <f t="array" ref="R1251">IFERROR(IF(INDEX('Disaggregation Records'!$E$155:$E$385,MATCH(RIGHT(Q1251,255),RIGHT('Disaggregation Records'!$D$155:$D$385,255),0))="","",INDEX('Disaggregation Records'!$E$155:$E$385,MATCH(RIGHT(Q1251,255),RIGHT('Disaggregation Records'!$D$155:$D$385,255),0))),"")</f>
        <v/>
      </c>
      <c r="S1251" s="194" t="str">
        <f t="array" ref="S1251">IFERROR(IF(INDEX('Disaggregation Records'!$F$155:$F$385,MATCH(RIGHT(Q1251,255),RIGHT('Disaggregation Records'!$D$155:$D$385,255),0))="","",INDEX('Disaggregation Records'!$F$155:$F$385,MATCH(RIGHT(Q1251,255),RIGHT('Disaggregation Records'!$D$155:$D$385,255),0))),"")</f>
        <v/>
      </c>
      <c r="T1251" s="194" t="str">
        <f t="array" ref="T1251">IFERROR(IF(INDEX('Disaggregation Records'!$H$155:$H$385,MATCH(RIGHT(Q1251,255),RIGHT('Disaggregation Records'!$D$155:$D$385,255),0))="","",INDEX('Disaggregation Records'!$H$155:$H$385,MATCH(RIGHT(Q1251,255),RIGHT('Disaggregation Records'!$D$155:$D$385,255),0))),"")</f>
        <v/>
      </c>
      <c r="U1251" s="194">
        <f>U1249+1</f>
        <v>2815</v>
      </c>
      <c r="V1251" s="194" t="str">
        <f t="array" ref="V1251">IFERROR(IF(INDEX('Disaggregation Records'!$I$155:$I$385,MATCH(RIGHT(Q1251,255),RIGHT('Disaggregation Records'!$D$155:$D$385,255),0))="","",INDEX('Disaggregation Records'!$I$155:$I$385,MATCH(RIGHT(Q1251,255),RIGHT('Disaggregation Records'!$D$155:$D$385,255),0))),"")</f>
        <v/>
      </c>
      <c r="W1251" s="194" t="str">
        <f>IFERROR(INDEX('Reference Records'!L$77:L$157,MATCH(LEFT(C1251,255),'Reference Records'!E$77:E$157,0)),"")</f>
        <v/>
      </c>
    </row>
    <row r="1252" spans="1:23" s="194" customFormat="1" ht="40.4" customHeight="1" x14ac:dyDescent="0.35">
      <c r="A1252" s="770"/>
      <c r="B1252" s="767"/>
      <c r="C1252" s="761"/>
      <c r="D1252" s="769"/>
      <c r="E1252" s="769"/>
      <c r="F1252" s="208"/>
      <c r="G1252" s="763"/>
      <c r="H1252" s="744"/>
      <c r="I1252" s="765"/>
      <c r="J1252" s="730"/>
      <c r="K1252" s="761"/>
      <c r="L1252" s="761"/>
      <c r="M1252" s="730"/>
      <c r="N1252" s="730"/>
    </row>
    <row r="1253" spans="1:23" s="194" customFormat="1" ht="40.4" customHeight="1" x14ac:dyDescent="0.35">
      <c r="A1253" s="770" t="str">
        <f ca="1">INDIRECT("'update Helper'!C"&amp;U1253)</f>
        <v>a163p000004NtXmAAK</v>
      </c>
      <c r="B1253" s="766">
        <v>16</v>
      </c>
      <c r="C1253" s="760" t="e">
        <f>VLOOKUP(B1253,'Coverage Indicators - Section D'!$A$9:$AU$70,47,FALSE)</f>
        <v>#REF!</v>
      </c>
      <c r="D1253" s="768" t="str">
        <f>R1253</f>
        <v/>
      </c>
      <c r="E1253" s="768" t="str">
        <f>S1253</f>
        <v/>
      </c>
      <c r="F1253" s="413"/>
      <c r="G1253" s="762" t="str">
        <f ca="1">IF(OR(INDIRECT("'update Helper'!E"&amp;U1253)="",F1253&lt;&gt;0,F1254&lt;&gt;0),IF(IFERROR((F1253/F1254),"")="","",(F1253/F1254)),INDIRECT("'update Helper'!E"&amp;U1253)/100)</f>
        <v/>
      </c>
      <c r="H1253" s="743"/>
      <c r="I1253" s="764"/>
      <c r="J1253" s="729"/>
      <c r="K1253" s="760" t="str">
        <f>W1253</f>
        <v/>
      </c>
      <c r="L1253" s="760" t="str">
        <f>V1253</f>
        <v/>
      </c>
      <c r="M1253" s="729"/>
      <c r="N1253" s="729"/>
      <c r="P1253" s="194" t="e">
        <f>IF(AND(EXACT(C1253,C1251),C1251&lt;&gt;0),P1251+1,0)</f>
        <v>#REF!</v>
      </c>
      <c r="Q1253" s="194" t="e">
        <f>IF(C1253&lt;&gt;"",C1253&amp;"-"&amp;P1253,"")</f>
        <v>#REF!</v>
      </c>
      <c r="R1253" s="194" t="str">
        <f t="array" ref="R1253">IFERROR(IF(INDEX('Disaggregation Records'!$E$155:$E$385,MATCH(RIGHT(Q1253,255),RIGHT('Disaggregation Records'!$D$155:$D$385,255),0))="","",INDEX('Disaggregation Records'!$E$155:$E$385,MATCH(RIGHT(Q1253,255),RIGHT('Disaggregation Records'!$D$155:$D$385,255),0))),"")</f>
        <v/>
      </c>
      <c r="S1253" s="194" t="str">
        <f t="array" ref="S1253">IFERROR(IF(INDEX('Disaggregation Records'!$F$155:$F$385,MATCH(RIGHT(Q1253,255),RIGHT('Disaggregation Records'!$D$155:$D$385,255),0))="","",INDEX('Disaggregation Records'!$F$155:$F$385,MATCH(RIGHT(Q1253,255),RIGHT('Disaggregation Records'!$D$155:$D$385,255),0))),"")</f>
        <v/>
      </c>
      <c r="T1253" s="194" t="str">
        <f t="array" ref="T1253">IFERROR(IF(INDEX('Disaggregation Records'!$H$155:$H$385,MATCH(RIGHT(Q1253,255),RIGHT('Disaggregation Records'!$D$155:$D$385,255),0))="","",INDEX('Disaggregation Records'!$H$155:$H$385,MATCH(RIGHT(Q1253,255),RIGHT('Disaggregation Records'!$D$155:$D$385,255),0))),"")</f>
        <v/>
      </c>
      <c r="U1253" s="194">
        <f>U1251+1</f>
        <v>2816</v>
      </c>
      <c r="V1253" s="194" t="str">
        <f t="array" ref="V1253">IFERROR(IF(INDEX('Disaggregation Records'!$I$155:$I$385,MATCH(RIGHT(Q1253,255),RIGHT('Disaggregation Records'!$D$155:$D$385,255),0))="","",INDEX('Disaggregation Records'!$I$155:$I$385,MATCH(RIGHT(Q1253,255),RIGHT('Disaggregation Records'!$D$155:$D$385,255),0))),"")</f>
        <v/>
      </c>
      <c r="W1253" s="194" t="str">
        <f>IFERROR(INDEX('Reference Records'!L$77:L$157,MATCH(LEFT(C1253,255),'Reference Records'!E$77:E$157,0)),"")</f>
        <v/>
      </c>
    </row>
    <row r="1254" spans="1:23" s="194" customFormat="1" ht="40.4" customHeight="1" x14ac:dyDescent="0.35">
      <c r="A1254" s="770"/>
      <c r="B1254" s="767"/>
      <c r="C1254" s="761"/>
      <c r="D1254" s="769"/>
      <c r="E1254" s="769"/>
      <c r="F1254" s="208"/>
      <c r="G1254" s="763"/>
      <c r="H1254" s="744"/>
      <c r="I1254" s="765"/>
      <c r="J1254" s="730"/>
      <c r="K1254" s="761"/>
      <c r="L1254" s="761"/>
      <c r="M1254" s="730"/>
      <c r="N1254" s="730"/>
    </row>
    <row r="1255" spans="1:23" s="194" customFormat="1" ht="40.4" customHeight="1" x14ac:dyDescent="0.35">
      <c r="A1255" s="770" t="str">
        <f ca="1">INDIRECT("'update Helper'!C"&amp;U1255)</f>
        <v>a163p000004NtXnAAK</v>
      </c>
      <c r="B1255" s="766">
        <v>16</v>
      </c>
      <c r="C1255" s="760" t="e">
        <f>VLOOKUP(B1255,'Coverage Indicators - Section D'!$A$9:$AU$70,47,FALSE)</f>
        <v>#REF!</v>
      </c>
      <c r="D1255" s="768" t="str">
        <f>R1255</f>
        <v/>
      </c>
      <c r="E1255" s="768" t="str">
        <f>S1255</f>
        <v/>
      </c>
      <c r="F1255" s="413"/>
      <c r="G1255" s="762" t="str">
        <f ca="1">IF(OR(INDIRECT("'update Helper'!E"&amp;U1255)="",F1255&lt;&gt;0,F1256&lt;&gt;0),IF(IFERROR((F1255/F1256),"")="","",(F1255/F1256)),INDIRECT("'update Helper'!E"&amp;U1255)/100)</f>
        <v/>
      </c>
      <c r="H1255" s="743"/>
      <c r="I1255" s="764"/>
      <c r="J1255" s="729"/>
      <c r="K1255" s="760" t="str">
        <f>W1255</f>
        <v/>
      </c>
      <c r="L1255" s="760" t="str">
        <f>V1255</f>
        <v/>
      </c>
      <c r="M1255" s="729"/>
      <c r="N1255" s="729"/>
      <c r="P1255" s="194" t="e">
        <f>IF(AND(EXACT(C1255,C1253),C1253&lt;&gt;0),P1253+1,0)</f>
        <v>#REF!</v>
      </c>
      <c r="Q1255" s="194" t="e">
        <f>IF(C1255&lt;&gt;"",C1255&amp;"-"&amp;P1255,"")</f>
        <v>#REF!</v>
      </c>
      <c r="R1255" s="194" t="str">
        <f t="array" ref="R1255">IFERROR(IF(INDEX('Disaggregation Records'!$E$155:$E$385,MATCH(RIGHT(Q1255,255),RIGHT('Disaggregation Records'!$D$155:$D$385,255),0))="","",INDEX('Disaggregation Records'!$E$155:$E$385,MATCH(RIGHT(Q1255,255),RIGHT('Disaggregation Records'!$D$155:$D$385,255),0))),"")</f>
        <v/>
      </c>
      <c r="S1255" s="194" t="str">
        <f t="array" ref="S1255">IFERROR(IF(INDEX('Disaggregation Records'!$F$155:$F$385,MATCH(RIGHT(Q1255,255),RIGHT('Disaggregation Records'!$D$155:$D$385,255),0))="","",INDEX('Disaggregation Records'!$F$155:$F$385,MATCH(RIGHT(Q1255,255),RIGHT('Disaggregation Records'!$D$155:$D$385,255),0))),"")</f>
        <v/>
      </c>
      <c r="T1255" s="194" t="str">
        <f t="array" ref="T1255">IFERROR(IF(INDEX('Disaggregation Records'!$H$155:$H$385,MATCH(RIGHT(Q1255,255),RIGHT('Disaggregation Records'!$D$155:$D$385,255),0))="","",INDEX('Disaggregation Records'!$H$155:$H$385,MATCH(RIGHT(Q1255,255),RIGHT('Disaggregation Records'!$D$155:$D$385,255),0))),"")</f>
        <v/>
      </c>
      <c r="U1255" s="194">
        <f>U1253+1</f>
        <v>2817</v>
      </c>
      <c r="V1255" s="194" t="str">
        <f t="array" ref="V1255">IFERROR(IF(INDEX('Disaggregation Records'!$I$155:$I$385,MATCH(RIGHT(Q1255,255),RIGHT('Disaggregation Records'!$D$155:$D$385,255),0))="","",INDEX('Disaggregation Records'!$I$155:$I$385,MATCH(RIGHT(Q1255,255),RIGHT('Disaggregation Records'!$D$155:$D$385,255),0))),"")</f>
        <v/>
      </c>
      <c r="W1255" s="194" t="str">
        <f>IFERROR(INDEX('Reference Records'!L$77:L$157,MATCH(LEFT(C1255,255),'Reference Records'!E$77:E$157,0)),"")</f>
        <v/>
      </c>
    </row>
    <row r="1256" spans="1:23" s="194" customFormat="1" ht="40.4" customHeight="1" x14ac:dyDescent="0.35">
      <c r="A1256" s="770"/>
      <c r="B1256" s="767"/>
      <c r="C1256" s="761"/>
      <c r="D1256" s="769"/>
      <c r="E1256" s="769"/>
      <c r="F1256" s="208"/>
      <c r="G1256" s="763"/>
      <c r="H1256" s="744"/>
      <c r="I1256" s="765"/>
      <c r="J1256" s="730"/>
      <c r="K1256" s="761"/>
      <c r="L1256" s="761"/>
      <c r="M1256" s="730"/>
      <c r="N1256" s="730"/>
    </row>
    <row r="1257" spans="1:23" s="194" customFormat="1" ht="40.4" customHeight="1" x14ac:dyDescent="0.35">
      <c r="A1257" s="770" t="str">
        <f ca="1">INDIRECT("'update Helper'!C"&amp;U1257)</f>
        <v>a163p000004NtXoAAK</v>
      </c>
      <c r="B1257" s="766">
        <v>16</v>
      </c>
      <c r="C1257" s="760" t="e">
        <f>VLOOKUP(B1257,'Coverage Indicators - Section D'!$A$9:$AU$70,47,FALSE)</f>
        <v>#REF!</v>
      </c>
      <c r="D1257" s="768" t="str">
        <f>R1257</f>
        <v/>
      </c>
      <c r="E1257" s="768" t="str">
        <f>S1257</f>
        <v/>
      </c>
      <c r="F1257" s="413"/>
      <c r="G1257" s="762" t="str">
        <f ca="1">IF(OR(INDIRECT("'update Helper'!E"&amp;U1257)="",F1257&lt;&gt;0,F1258&lt;&gt;0),IF(IFERROR((F1257/F1258),"")="","",(F1257/F1258)),INDIRECT("'update Helper'!E"&amp;U1257)/100)</f>
        <v/>
      </c>
      <c r="H1257" s="743"/>
      <c r="I1257" s="764"/>
      <c r="J1257" s="729"/>
      <c r="K1257" s="760" t="str">
        <f>W1257</f>
        <v/>
      </c>
      <c r="L1257" s="760" t="str">
        <f>V1257</f>
        <v/>
      </c>
      <c r="M1257" s="729"/>
      <c r="N1257" s="729"/>
      <c r="P1257" s="194" t="e">
        <f>IF(AND(EXACT(C1257,C1255),C1255&lt;&gt;0),P1255+1,0)</f>
        <v>#REF!</v>
      </c>
      <c r="Q1257" s="194" t="e">
        <f>IF(C1257&lt;&gt;"",C1257&amp;"-"&amp;P1257,"")</f>
        <v>#REF!</v>
      </c>
      <c r="R1257" s="194" t="str">
        <f t="array" ref="R1257">IFERROR(IF(INDEX('Disaggregation Records'!$E$155:$E$385,MATCH(RIGHT(Q1257,255),RIGHT('Disaggregation Records'!$D$155:$D$385,255),0))="","",INDEX('Disaggregation Records'!$E$155:$E$385,MATCH(RIGHT(Q1257,255),RIGHT('Disaggregation Records'!$D$155:$D$385,255),0))),"")</f>
        <v/>
      </c>
      <c r="S1257" s="194" t="str">
        <f t="array" ref="S1257">IFERROR(IF(INDEX('Disaggregation Records'!$F$155:$F$385,MATCH(RIGHT(Q1257,255),RIGHT('Disaggregation Records'!$D$155:$D$385,255),0))="","",INDEX('Disaggregation Records'!$F$155:$F$385,MATCH(RIGHT(Q1257,255),RIGHT('Disaggregation Records'!$D$155:$D$385,255),0))),"")</f>
        <v/>
      </c>
      <c r="T1257" s="194" t="str">
        <f t="array" ref="T1257">IFERROR(IF(INDEX('Disaggregation Records'!$H$155:$H$385,MATCH(RIGHT(Q1257,255),RIGHT('Disaggregation Records'!$D$155:$D$385,255),0))="","",INDEX('Disaggregation Records'!$H$155:$H$385,MATCH(RIGHT(Q1257,255),RIGHT('Disaggregation Records'!$D$155:$D$385,255),0))),"")</f>
        <v/>
      </c>
      <c r="U1257" s="194">
        <f>U1255+1</f>
        <v>2818</v>
      </c>
      <c r="V1257" s="194" t="str">
        <f t="array" ref="V1257">IFERROR(IF(INDEX('Disaggregation Records'!$I$155:$I$385,MATCH(RIGHT(Q1257,255),RIGHT('Disaggregation Records'!$D$155:$D$385,255),0))="","",INDEX('Disaggregation Records'!$I$155:$I$385,MATCH(RIGHT(Q1257,255),RIGHT('Disaggregation Records'!$D$155:$D$385,255),0))),"")</f>
        <v/>
      </c>
      <c r="W1257" s="194" t="str">
        <f>IFERROR(INDEX('Reference Records'!L$77:L$157,MATCH(LEFT(C1257,255),'Reference Records'!E$77:E$157,0)),"")</f>
        <v/>
      </c>
    </row>
    <row r="1258" spans="1:23" s="194" customFormat="1" ht="40.4" customHeight="1" x14ac:dyDescent="0.35">
      <c r="A1258" s="770"/>
      <c r="B1258" s="767"/>
      <c r="C1258" s="761"/>
      <c r="D1258" s="769"/>
      <c r="E1258" s="769"/>
      <c r="F1258" s="208"/>
      <c r="G1258" s="763"/>
      <c r="H1258" s="744"/>
      <c r="I1258" s="765"/>
      <c r="J1258" s="730"/>
      <c r="K1258" s="761"/>
      <c r="L1258" s="761"/>
      <c r="M1258" s="730"/>
      <c r="N1258" s="730"/>
    </row>
    <row r="1259" spans="1:23" s="194" customFormat="1" ht="40.4" customHeight="1" x14ac:dyDescent="0.35">
      <c r="A1259" s="770" t="str">
        <f ca="1">INDIRECT("'update Helper'!C"&amp;U1259)</f>
        <v>a163p000004NtXpAAK</v>
      </c>
      <c r="B1259" s="766">
        <v>16</v>
      </c>
      <c r="C1259" s="760" t="e">
        <f>VLOOKUP(B1259,'Coverage Indicators - Section D'!$A$9:$AU$70,47,FALSE)</f>
        <v>#REF!</v>
      </c>
      <c r="D1259" s="768" t="str">
        <f>R1259</f>
        <v/>
      </c>
      <c r="E1259" s="768" t="str">
        <f>S1259</f>
        <v/>
      </c>
      <c r="F1259" s="413"/>
      <c r="G1259" s="762" t="str">
        <f ca="1">IF(OR(INDIRECT("'update Helper'!E"&amp;U1259)="",F1259&lt;&gt;0,F1260&lt;&gt;0),IF(IFERROR((F1259/F1260),"")="","",(F1259/F1260)),INDIRECT("'update Helper'!E"&amp;U1259)/100)</f>
        <v/>
      </c>
      <c r="H1259" s="743"/>
      <c r="I1259" s="764"/>
      <c r="J1259" s="729"/>
      <c r="K1259" s="760" t="str">
        <f>W1259</f>
        <v/>
      </c>
      <c r="L1259" s="760" t="str">
        <f>V1259</f>
        <v/>
      </c>
      <c r="M1259" s="729"/>
      <c r="N1259" s="729"/>
      <c r="P1259" s="194" t="e">
        <f>IF(AND(EXACT(C1259,C1257),C1257&lt;&gt;0),P1257+1,0)</f>
        <v>#REF!</v>
      </c>
      <c r="Q1259" s="194" t="e">
        <f>IF(C1259&lt;&gt;"",C1259&amp;"-"&amp;P1259,"")</f>
        <v>#REF!</v>
      </c>
      <c r="R1259" s="194" t="str">
        <f t="array" ref="R1259">IFERROR(IF(INDEX('Disaggregation Records'!$E$155:$E$385,MATCH(RIGHT(Q1259,255),RIGHT('Disaggregation Records'!$D$155:$D$385,255),0))="","",INDEX('Disaggregation Records'!$E$155:$E$385,MATCH(RIGHT(Q1259,255),RIGHT('Disaggregation Records'!$D$155:$D$385,255),0))),"")</f>
        <v/>
      </c>
      <c r="S1259" s="194" t="str">
        <f t="array" ref="S1259">IFERROR(IF(INDEX('Disaggregation Records'!$F$155:$F$385,MATCH(RIGHT(Q1259,255),RIGHT('Disaggregation Records'!$D$155:$D$385,255),0))="","",INDEX('Disaggregation Records'!$F$155:$F$385,MATCH(RIGHT(Q1259,255),RIGHT('Disaggregation Records'!$D$155:$D$385,255),0))),"")</f>
        <v/>
      </c>
      <c r="T1259" s="194" t="str">
        <f t="array" ref="T1259">IFERROR(IF(INDEX('Disaggregation Records'!$H$155:$H$385,MATCH(RIGHT(Q1259,255),RIGHT('Disaggregation Records'!$D$155:$D$385,255),0))="","",INDEX('Disaggregation Records'!$H$155:$H$385,MATCH(RIGHT(Q1259,255),RIGHT('Disaggregation Records'!$D$155:$D$385,255),0))),"")</f>
        <v/>
      </c>
      <c r="U1259" s="194">
        <f>U1257+1</f>
        <v>2819</v>
      </c>
      <c r="V1259" s="194" t="str">
        <f t="array" ref="V1259">IFERROR(IF(INDEX('Disaggregation Records'!$I$155:$I$385,MATCH(RIGHT(Q1259,255),RIGHT('Disaggregation Records'!$D$155:$D$385,255),0))="","",INDEX('Disaggregation Records'!$I$155:$I$385,MATCH(RIGHT(Q1259,255),RIGHT('Disaggregation Records'!$D$155:$D$385,255),0))),"")</f>
        <v/>
      </c>
      <c r="W1259" s="194" t="str">
        <f>IFERROR(INDEX('Reference Records'!L$77:L$157,MATCH(LEFT(C1259,255),'Reference Records'!E$77:E$157,0)),"")</f>
        <v/>
      </c>
    </row>
    <row r="1260" spans="1:23" s="194" customFormat="1" ht="40.4" customHeight="1" x14ac:dyDescent="0.35">
      <c r="A1260" s="770"/>
      <c r="B1260" s="767"/>
      <c r="C1260" s="761"/>
      <c r="D1260" s="769"/>
      <c r="E1260" s="769"/>
      <c r="F1260" s="208"/>
      <c r="G1260" s="763"/>
      <c r="H1260" s="744"/>
      <c r="I1260" s="765"/>
      <c r="J1260" s="730"/>
      <c r="K1260" s="761"/>
      <c r="L1260" s="761"/>
      <c r="M1260" s="730"/>
      <c r="N1260" s="730"/>
    </row>
    <row r="1261" spans="1:23" s="194" customFormat="1" ht="40.4" customHeight="1" x14ac:dyDescent="0.35">
      <c r="A1261" s="770" t="str">
        <f ca="1">INDIRECT("'update Helper'!C"&amp;U1261)</f>
        <v>a163p000004NtOAAA0</v>
      </c>
      <c r="B1261" s="766">
        <v>17</v>
      </c>
      <c r="C1261" s="760" t="str">
        <f>VLOOKUP(B1261,'Coverage Indicators - Section D'!$A$9:$AU$70,47,FALSE)</f>
        <v>TCS-Other1 Porcentaje de personas en TARV a quienes se les ha realizado una prueba de carga viral en los últimos 6 meses.</v>
      </c>
      <c r="D1261" s="768" t="str">
        <f>R1261</f>
        <v/>
      </c>
      <c r="E1261" s="768" t="str">
        <f>S1261</f>
        <v/>
      </c>
      <c r="F1261" s="413"/>
      <c r="G1261" s="762" t="str">
        <f ca="1">IF(OR(INDIRECT("'update Helper'!E"&amp;U1261)="",F1261&lt;&gt;0,F1262&lt;&gt;0),IF(IFERROR((F1261/F1262),"")="","",(F1261/F1262)),INDIRECT("'update Helper'!E"&amp;U1261)/100)</f>
        <v/>
      </c>
      <c r="H1261" s="743"/>
      <c r="I1261" s="764"/>
      <c r="J1261" s="729"/>
      <c r="K1261" s="760" t="str">
        <f>W1261</f>
        <v/>
      </c>
      <c r="L1261" s="760" t="str">
        <f>V1261</f>
        <v/>
      </c>
      <c r="M1261" s="729"/>
      <c r="N1261" s="729"/>
      <c r="P1261" s="194" t="e">
        <f>IF(AND(EXACT(C1261,C1259),C1259&lt;&gt;0),P1259+1,0)</f>
        <v>#REF!</v>
      </c>
      <c r="Q1261" s="194" t="e">
        <f>IF(C1261&lt;&gt;"",C1261&amp;"-"&amp;P1261,"")</f>
        <v>#REF!</v>
      </c>
      <c r="R1261" s="194" t="str">
        <f t="array" ref="R1261">IFERROR(IF(INDEX('Disaggregation Records'!$E$155:$E$385,MATCH(RIGHT(Q1261,255),RIGHT('Disaggregation Records'!$D$155:$D$385,255),0))="","",INDEX('Disaggregation Records'!$E$155:$E$385,MATCH(RIGHT(Q1261,255),RIGHT('Disaggregation Records'!$D$155:$D$385,255),0))),"")</f>
        <v/>
      </c>
      <c r="S1261" s="194" t="str">
        <f t="array" ref="S1261">IFERROR(IF(INDEX('Disaggregation Records'!$F$155:$F$385,MATCH(RIGHT(Q1261,255),RIGHT('Disaggregation Records'!$D$155:$D$385,255),0))="","",INDEX('Disaggregation Records'!$F$155:$F$385,MATCH(RIGHT(Q1261,255),RIGHT('Disaggregation Records'!$D$155:$D$385,255),0))),"")</f>
        <v/>
      </c>
      <c r="T1261" s="194" t="str">
        <f t="array" ref="T1261">IFERROR(IF(INDEX('Disaggregation Records'!$H$155:$H$385,MATCH(RIGHT(Q1261,255),RIGHT('Disaggregation Records'!$D$155:$D$385,255),0))="","",INDEX('Disaggregation Records'!$H$155:$H$385,MATCH(RIGHT(Q1261,255),RIGHT('Disaggregation Records'!$D$155:$D$385,255),0))),"")</f>
        <v/>
      </c>
      <c r="U1261" s="194">
        <f>U1259+1</f>
        <v>2820</v>
      </c>
      <c r="V1261" s="194" t="str">
        <f t="array" ref="V1261">IFERROR(IF(INDEX('Disaggregation Records'!$I$155:$I$385,MATCH(RIGHT(Q1261,255),RIGHT('Disaggregation Records'!$D$155:$D$385,255),0))="","",INDEX('Disaggregation Records'!$I$155:$I$385,MATCH(RIGHT(Q1261,255),RIGHT('Disaggregation Records'!$D$155:$D$385,255),0))),"")</f>
        <v/>
      </c>
      <c r="W1261" s="194" t="str">
        <f>IFERROR(INDEX('Reference Records'!L$77:L$157,MATCH(LEFT(C1261,255),'Reference Records'!E$77:E$157,0)),"")</f>
        <v/>
      </c>
    </row>
    <row r="1262" spans="1:23" s="194" customFormat="1" ht="40.4" customHeight="1" x14ac:dyDescent="0.35">
      <c r="A1262" s="770"/>
      <c r="B1262" s="767"/>
      <c r="C1262" s="761"/>
      <c r="D1262" s="769"/>
      <c r="E1262" s="769"/>
      <c r="F1262" s="208"/>
      <c r="G1262" s="763"/>
      <c r="H1262" s="744"/>
      <c r="I1262" s="765"/>
      <c r="J1262" s="730"/>
      <c r="K1262" s="761"/>
      <c r="L1262" s="761"/>
      <c r="M1262" s="730"/>
      <c r="N1262" s="730"/>
    </row>
    <row r="1263" spans="1:23" s="194" customFormat="1" ht="40.4" customHeight="1" x14ac:dyDescent="0.35">
      <c r="A1263" s="770" t="str">
        <f ca="1">INDIRECT("'update Helper'!C"&amp;U1263)</f>
        <v>a163p000004NtOBAA0</v>
      </c>
      <c r="B1263" s="766">
        <v>17</v>
      </c>
      <c r="C1263" s="760" t="str">
        <f>VLOOKUP(B1263,'Coverage Indicators - Section D'!$A$9:$AU$70,47,FALSE)</f>
        <v>TCS-Other1 Porcentaje de personas en TARV a quienes se les ha realizado una prueba de carga viral en los últimos 6 meses.</v>
      </c>
      <c r="D1263" s="768" t="str">
        <f>R1263</f>
        <v/>
      </c>
      <c r="E1263" s="768" t="str">
        <f>S1263</f>
        <v/>
      </c>
      <c r="F1263" s="413"/>
      <c r="G1263" s="762" t="str">
        <f ca="1">IF(OR(INDIRECT("'update Helper'!E"&amp;U1263)="",F1263&lt;&gt;0,F1264&lt;&gt;0),IF(IFERROR((F1263/F1264),"")="","",(F1263/F1264)),INDIRECT("'update Helper'!E"&amp;U1263)/100)</f>
        <v/>
      </c>
      <c r="H1263" s="743"/>
      <c r="I1263" s="764"/>
      <c r="J1263" s="729"/>
      <c r="K1263" s="760" t="str">
        <f>W1263</f>
        <v/>
      </c>
      <c r="L1263" s="760" t="str">
        <f>V1263</f>
        <v/>
      </c>
      <c r="M1263" s="729"/>
      <c r="N1263" s="729"/>
      <c r="P1263" s="194" t="e">
        <f>IF(AND(EXACT(C1263,C1261),C1261&lt;&gt;0),P1261+1,0)</f>
        <v>#REF!</v>
      </c>
      <c r="Q1263" s="194" t="e">
        <f>IF(C1263&lt;&gt;"",C1263&amp;"-"&amp;P1263,"")</f>
        <v>#REF!</v>
      </c>
      <c r="R1263" s="194" t="str">
        <f t="array" ref="R1263">IFERROR(IF(INDEX('Disaggregation Records'!$E$155:$E$385,MATCH(RIGHT(Q1263,255),RIGHT('Disaggregation Records'!$D$155:$D$385,255),0))="","",INDEX('Disaggregation Records'!$E$155:$E$385,MATCH(RIGHT(Q1263,255),RIGHT('Disaggregation Records'!$D$155:$D$385,255),0))),"")</f>
        <v/>
      </c>
      <c r="S1263" s="194" t="str">
        <f t="array" ref="S1263">IFERROR(IF(INDEX('Disaggregation Records'!$F$155:$F$385,MATCH(RIGHT(Q1263,255),RIGHT('Disaggregation Records'!$D$155:$D$385,255),0))="","",INDEX('Disaggregation Records'!$F$155:$F$385,MATCH(RIGHT(Q1263,255),RIGHT('Disaggregation Records'!$D$155:$D$385,255),0))),"")</f>
        <v/>
      </c>
      <c r="T1263" s="194" t="str">
        <f t="array" ref="T1263">IFERROR(IF(INDEX('Disaggregation Records'!$H$155:$H$385,MATCH(RIGHT(Q1263,255),RIGHT('Disaggregation Records'!$D$155:$D$385,255),0))="","",INDEX('Disaggregation Records'!$H$155:$H$385,MATCH(RIGHT(Q1263,255),RIGHT('Disaggregation Records'!$D$155:$D$385,255),0))),"")</f>
        <v/>
      </c>
      <c r="U1263" s="194">
        <f>U1261+1</f>
        <v>2821</v>
      </c>
      <c r="V1263" s="194" t="str">
        <f t="array" ref="V1263">IFERROR(IF(INDEX('Disaggregation Records'!$I$155:$I$385,MATCH(RIGHT(Q1263,255),RIGHT('Disaggregation Records'!$D$155:$D$385,255),0))="","",INDEX('Disaggregation Records'!$I$155:$I$385,MATCH(RIGHT(Q1263,255),RIGHT('Disaggregation Records'!$D$155:$D$385,255),0))),"")</f>
        <v/>
      </c>
      <c r="W1263" s="194" t="str">
        <f>IFERROR(INDEX('Reference Records'!L$77:L$157,MATCH(LEFT(C1263,255),'Reference Records'!E$77:E$157,0)),"")</f>
        <v/>
      </c>
    </row>
    <row r="1264" spans="1:23" s="194" customFormat="1" ht="40.4" customHeight="1" x14ac:dyDescent="0.35">
      <c r="A1264" s="770"/>
      <c r="B1264" s="767"/>
      <c r="C1264" s="761"/>
      <c r="D1264" s="769"/>
      <c r="E1264" s="769"/>
      <c r="F1264" s="208"/>
      <c r="G1264" s="763"/>
      <c r="H1264" s="744"/>
      <c r="I1264" s="765"/>
      <c r="J1264" s="730"/>
      <c r="K1264" s="761"/>
      <c r="L1264" s="761"/>
      <c r="M1264" s="730"/>
      <c r="N1264" s="730"/>
    </row>
    <row r="1265" spans="1:23" s="194" customFormat="1" ht="40.4" customHeight="1" x14ac:dyDescent="0.35">
      <c r="A1265" s="770" t="str">
        <f ca="1">INDIRECT("'update Helper'!C"&amp;U1265)</f>
        <v>a163p000004NtOCAA0</v>
      </c>
      <c r="B1265" s="766">
        <v>17</v>
      </c>
      <c r="C1265" s="760" t="str">
        <f>VLOOKUP(B1265,'Coverage Indicators - Section D'!$A$9:$AU$70,47,FALSE)</f>
        <v>TCS-Other1 Porcentaje de personas en TARV a quienes se les ha realizado una prueba de carga viral en los últimos 6 meses.</v>
      </c>
      <c r="D1265" s="768" t="str">
        <f>R1265</f>
        <v/>
      </c>
      <c r="E1265" s="768" t="str">
        <f>S1265</f>
        <v/>
      </c>
      <c r="F1265" s="413"/>
      <c r="G1265" s="762" t="str">
        <f ca="1">IF(OR(INDIRECT("'update Helper'!E"&amp;U1265)="",F1265&lt;&gt;0,F1266&lt;&gt;0),IF(IFERROR((F1265/F1266),"")="","",(F1265/F1266)),INDIRECT("'update Helper'!E"&amp;U1265)/100)</f>
        <v/>
      </c>
      <c r="H1265" s="743"/>
      <c r="I1265" s="764"/>
      <c r="J1265" s="729"/>
      <c r="K1265" s="760" t="str">
        <f>W1265</f>
        <v/>
      </c>
      <c r="L1265" s="760" t="str">
        <f>V1265</f>
        <v/>
      </c>
      <c r="M1265" s="729"/>
      <c r="N1265" s="729"/>
      <c r="P1265" s="194" t="e">
        <f>IF(AND(EXACT(C1265,C1263),C1263&lt;&gt;0),P1263+1,0)</f>
        <v>#REF!</v>
      </c>
      <c r="Q1265" s="194" t="e">
        <f>IF(C1265&lt;&gt;"",C1265&amp;"-"&amp;P1265,"")</f>
        <v>#REF!</v>
      </c>
      <c r="R1265" s="194" t="str">
        <f t="array" ref="R1265">IFERROR(IF(INDEX('Disaggregation Records'!$E$155:$E$385,MATCH(RIGHT(Q1265,255),RIGHT('Disaggregation Records'!$D$155:$D$385,255),0))="","",INDEX('Disaggregation Records'!$E$155:$E$385,MATCH(RIGHT(Q1265,255),RIGHT('Disaggregation Records'!$D$155:$D$385,255),0))),"")</f>
        <v/>
      </c>
      <c r="S1265" s="194" t="str">
        <f t="array" ref="S1265">IFERROR(IF(INDEX('Disaggregation Records'!$F$155:$F$385,MATCH(RIGHT(Q1265,255),RIGHT('Disaggregation Records'!$D$155:$D$385,255),0))="","",INDEX('Disaggregation Records'!$F$155:$F$385,MATCH(RIGHT(Q1265,255),RIGHT('Disaggregation Records'!$D$155:$D$385,255),0))),"")</f>
        <v/>
      </c>
      <c r="T1265" s="194" t="str">
        <f t="array" ref="T1265">IFERROR(IF(INDEX('Disaggregation Records'!$H$155:$H$385,MATCH(RIGHT(Q1265,255),RIGHT('Disaggregation Records'!$D$155:$D$385,255),0))="","",INDEX('Disaggregation Records'!$H$155:$H$385,MATCH(RIGHT(Q1265,255),RIGHT('Disaggregation Records'!$D$155:$D$385,255),0))),"")</f>
        <v/>
      </c>
      <c r="U1265" s="194">
        <f>U1263+1</f>
        <v>2822</v>
      </c>
      <c r="V1265" s="194" t="str">
        <f t="array" ref="V1265">IFERROR(IF(INDEX('Disaggregation Records'!$I$155:$I$385,MATCH(RIGHT(Q1265,255),RIGHT('Disaggregation Records'!$D$155:$D$385,255),0))="","",INDEX('Disaggregation Records'!$I$155:$I$385,MATCH(RIGHT(Q1265,255),RIGHT('Disaggregation Records'!$D$155:$D$385,255),0))),"")</f>
        <v/>
      </c>
      <c r="W1265" s="194" t="str">
        <f>IFERROR(INDEX('Reference Records'!L$77:L$157,MATCH(LEFT(C1265,255),'Reference Records'!E$77:E$157,0)),"")</f>
        <v/>
      </c>
    </row>
    <row r="1266" spans="1:23" s="194" customFormat="1" ht="40.4" customHeight="1" x14ac:dyDescent="0.35">
      <c r="A1266" s="770"/>
      <c r="B1266" s="767"/>
      <c r="C1266" s="761"/>
      <c r="D1266" s="769"/>
      <c r="E1266" s="769"/>
      <c r="F1266" s="208"/>
      <c r="G1266" s="763"/>
      <c r="H1266" s="744"/>
      <c r="I1266" s="765"/>
      <c r="J1266" s="730"/>
      <c r="K1266" s="761"/>
      <c r="L1266" s="761"/>
      <c r="M1266" s="730"/>
      <c r="N1266" s="730"/>
    </row>
    <row r="1267" spans="1:23" s="194" customFormat="1" ht="40.4" customHeight="1" x14ac:dyDescent="0.35">
      <c r="A1267" s="770" t="str">
        <f ca="1">INDIRECT("'update Helper'!C"&amp;U1267)</f>
        <v>a163p000004NtODAA0</v>
      </c>
      <c r="B1267" s="766">
        <v>17</v>
      </c>
      <c r="C1267" s="760" t="str">
        <f>VLOOKUP(B1267,'Coverage Indicators - Section D'!$A$9:$AU$70,47,FALSE)</f>
        <v>TCS-Other1 Porcentaje de personas en TARV a quienes se les ha realizado una prueba de carga viral en los últimos 6 meses.</v>
      </c>
      <c r="D1267" s="768" t="str">
        <f>R1267</f>
        <v/>
      </c>
      <c r="E1267" s="768" t="str">
        <f>S1267</f>
        <v/>
      </c>
      <c r="F1267" s="413"/>
      <c r="G1267" s="762" t="str">
        <f ca="1">IF(OR(INDIRECT("'update Helper'!E"&amp;U1267)="",F1267&lt;&gt;0,F1268&lt;&gt;0),IF(IFERROR((F1267/F1268),"")="","",(F1267/F1268)),INDIRECT("'update Helper'!E"&amp;U1267)/100)</f>
        <v/>
      </c>
      <c r="H1267" s="743"/>
      <c r="I1267" s="764"/>
      <c r="J1267" s="729"/>
      <c r="K1267" s="760" t="str">
        <f>W1267</f>
        <v/>
      </c>
      <c r="L1267" s="760" t="str">
        <f>V1267</f>
        <v/>
      </c>
      <c r="M1267" s="729"/>
      <c r="N1267" s="729"/>
      <c r="P1267" s="194" t="e">
        <f>IF(AND(EXACT(C1267,C1265),C1265&lt;&gt;0),P1265+1,0)</f>
        <v>#REF!</v>
      </c>
      <c r="Q1267" s="194" t="e">
        <f>IF(C1267&lt;&gt;"",C1267&amp;"-"&amp;P1267,"")</f>
        <v>#REF!</v>
      </c>
      <c r="R1267" s="194" t="str">
        <f t="array" ref="R1267">IFERROR(IF(INDEX('Disaggregation Records'!$E$155:$E$385,MATCH(RIGHT(Q1267,255),RIGHT('Disaggregation Records'!$D$155:$D$385,255),0))="","",INDEX('Disaggregation Records'!$E$155:$E$385,MATCH(RIGHT(Q1267,255),RIGHT('Disaggregation Records'!$D$155:$D$385,255),0))),"")</f>
        <v/>
      </c>
      <c r="S1267" s="194" t="str">
        <f t="array" ref="S1267">IFERROR(IF(INDEX('Disaggregation Records'!$F$155:$F$385,MATCH(RIGHT(Q1267,255),RIGHT('Disaggregation Records'!$D$155:$D$385,255),0))="","",INDEX('Disaggregation Records'!$F$155:$F$385,MATCH(RIGHT(Q1267,255),RIGHT('Disaggregation Records'!$D$155:$D$385,255),0))),"")</f>
        <v/>
      </c>
      <c r="T1267" s="194" t="str">
        <f t="array" ref="T1267">IFERROR(IF(INDEX('Disaggregation Records'!$H$155:$H$385,MATCH(RIGHT(Q1267,255),RIGHT('Disaggregation Records'!$D$155:$D$385,255),0))="","",INDEX('Disaggregation Records'!$H$155:$H$385,MATCH(RIGHT(Q1267,255),RIGHT('Disaggregation Records'!$D$155:$D$385,255),0))),"")</f>
        <v/>
      </c>
      <c r="U1267" s="194">
        <f>U1265+1</f>
        <v>2823</v>
      </c>
      <c r="V1267" s="194" t="str">
        <f t="array" ref="V1267">IFERROR(IF(INDEX('Disaggregation Records'!$I$155:$I$385,MATCH(RIGHT(Q1267,255),RIGHT('Disaggregation Records'!$D$155:$D$385,255),0))="","",INDEX('Disaggregation Records'!$I$155:$I$385,MATCH(RIGHT(Q1267,255),RIGHT('Disaggregation Records'!$D$155:$D$385,255),0))),"")</f>
        <v/>
      </c>
      <c r="W1267" s="194" t="str">
        <f>IFERROR(INDEX('Reference Records'!L$77:L$157,MATCH(LEFT(C1267,255),'Reference Records'!E$77:E$157,0)),"")</f>
        <v/>
      </c>
    </row>
    <row r="1268" spans="1:23" s="194" customFormat="1" ht="40.4" customHeight="1" x14ac:dyDescent="0.35">
      <c r="A1268" s="770"/>
      <c r="B1268" s="767"/>
      <c r="C1268" s="761"/>
      <c r="D1268" s="769"/>
      <c r="E1268" s="769"/>
      <c r="F1268" s="208"/>
      <c r="G1268" s="763"/>
      <c r="H1268" s="744"/>
      <c r="I1268" s="765"/>
      <c r="J1268" s="730"/>
      <c r="K1268" s="761"/>
      <c r="L1268" s="761"/>
      <c r="M1268" s="730"/>
      <c r="N1268" s="730"/>
    </row>
    <row r="1269" spans="1:23" s="194" customFormat="1" ht="40.4" customHeight="1" x14ac:dyDescent="0.35">
      <c r="A1269" s="770" t="str">
        <f ca="1">INDIRECT("'update Helper'!C"&amp;U1269)</f>
        <v>a163p000004NtOEAA0</v>
      </c>
      <c r="B1269" s="766">
        <v>17</v>
      </c>
      <c r="C1269" s="760" t="str">
        <f>VLOOKUP(B1269,'Coverage Indicators - Section D'!$A$9:$AU$70,47,FALSE)</f>
        <v>TCS-Other1 Porcentaje de personas en TARV a quienes se les ha realizado una prueba de carga viral en los últimos 6 meses.</v>
      </c>
      <c r="D1269" s="768" t="str">
        <f>R1269</f>
        <v/>
      </c>
      <c r="E1269" s="768" t="str">
        <f>S1269</f>
        <v/>
      </c>
      <c r="F1269" s="413"/>
      <c r="G1269" s="762" t="str">
        <f ca="1">IF(OR(INDIRECT("'update Helper'!E"&amp;U1269)="",F1269&lt;&gt;0,F1270&lt;&gt;0),IF(IFERROR((F1269/F1270),"")="","",(F1269/F1270)),INDIRECT("'update Helper'!E"&amp;U1269)/100)</f>
        <v/>
      </c>
      <c r="H1269" s="743"/>
      <c r="I1269" s="764"/>
      <c r="J1269" s="729"/>
      <c r="K1269" s="760" t="str">
        <f>W1269</f>
        <v/>
      </c>
      <c r="L1269" s="760" t="str">
        <f>V1269</f>
        <v/>
      </c>
      <c r="M1269" s="729"/>
      <c r="N1269" s="729"/>
      <c r="P1269" s="194" t="e">
        <f>IF(AND(EXACT(C1269,C1267),C1267&lt;&gt;0),P1267+1,0)</f>
        <v>#REF!</v>
      </c>
      <c r="Q1269" s="194" t="e">
        <f>IF(C1269&lt;&gt;"",C1269&amp;"-"&amp;P1269,"")</f>
        <v>#REF!</v>
      </c>
      <c r="R1269" s="194" t="str">
        <f t="array" ref="R1269">IFERROR(IF(INDEX('Disaggregation Records'!$E$155:$E$385,MATCH(RIGHT(Q1269,255),RIGHT('Disaggregation Records'!$D$155:$D$385,255),0))="","",INDEX('Disaggregation Records'!$E$155:$E$385,MATCH(RIGHT(Q1269,255),RIGHT('Disaggregation Records'!$D$155:$D$385,255),0))),"")</f>
        <v/>
      </c>
      <c r="S1269" s="194" t="str">
        <f t="array" ref="S1269">IFERROR(IF(INDEX('Disaggregation Records'!$F$155:$F$385,MATCH(RIGHT(Q1269,255),RIGHT('Disaggregation Records'!$D$155:$D$385,255),0))="","",INDEX('Disaggregation Records'!$F$155:$F$385,MATCH(RIGHT(Q1269,255),RIGHT('Disaggregation Records'!$D$155:$D$385,255),0))),"")</f>
        <v/>
      </c>
      <c r="T1269" s="194" t="str">
        <f t="array" ref="T1269">IFERROR(IF(INDEX('Disaggregation Records'!$H$155:$H$385,MATCH(RIGHT(Q1269,255),RIGHT('Disaggregation Records'!$D$155:$D$385,255),0))="","",INDEX('Disaggregation Records'!$H$155:$H$385,MATCH(RIGHT(Q1269,255),RIGHT('Disaggregation Records'!$D$155:$D$385,255),0))),"")</f>
        <v/>
      </c>
      <c r="U1269" s="194">
        <f>U1267+1</f>
        <v>2824</v>
      </c>
      <c r="V1269" s="194" t="str">
        <f t="array" ref="V1269">IFERROR(IF(INDEX('Disaggregation Records'!$I$155:$I$385,MATCH(RIGHT(Q1269,255),RIGHT('Disaggregation Records'!$D$155:$D$385,255),0))="","",INDEX('Disaggregation Records'!$I$155:$I$385,MATCH(RIGHT(Q1269,255),RIGHT('Disaggregation Records'!$D$155:$D$385,255),0))),"")</f>
        <v/>
      </c>
      <c r="W1269" s="194" t="str">
        <f>IFERROR(INDEX('Reference Records'!L$77:L$157,MATCH(LEFT(C1269,255),'Reference Records'!E$77:E$157,0)),"")</f>
        <v/>
      </c>
    </row>
    <row r="1270" spans="1:23" s="194" customFormat="1" ht="40.4" customHeight="1" x14ac:dyDescent="0.35">
      <c r="A1270" s="770"/>
      <c r="B1270" s="767"/>
      <c r="C1270" s="761"/>
      <c r="D1270" s="769"/>
      <c r="E1270" s="769"/>
      <c r="F1270" s="208"/>
      <c r="G1270" s="763"/>
      <c r="H1270" s="744"/>
      <c r="I1270" s="765"/>
      <c r="J1270" s="730"/>
      <c r="K1270" s="761"/>
      <c r="L1270" s="761"/>
      <c r="M1270" s="730"/>
      <c r="N1270" s="730"/>
    </row>
    <row r="1271" spans="1:23" s="194" customFormat="1" ht="40.4" customHeight="1" x14ac:dyDescent="0.35">
      <c r="A1271" s="770" t="str">
        <f ca="1">INDIRECT("'update Helper'!C"&amp;U1271)</f>
        <v>a163p000004NtOFAA0</v>
      </c>
      <c r="B1271" s="766">
        <v>17</v>
      </c>
      <c r="C1271" s="760" t="str">
        <f>VLOOKUP(B1271,'Coverage Indicators - Section D'!$A$9:$AU$70,47,FALSE)</f>
        <v>TCS-Other1 Porcentaje de personas en TARV a quienes se les ha realizado una prueba de carga viral en los últimos 6 meses.</v>
      </c>
      <c r="D1271" s="768" t="str">
        <f>R1271</f>
        <v/>
      </c>
      <c r="E1271" s="768" t="str">
        <f>S1271</f>
        <v/>
      </c>
      <c r="F1271" s="413"/>
      <c r="G1271" s="762" t="str">
        <f ca="1">IF(OR(INDIRECT("'update Helper'!E"&amp;U1271)="",F1271&lt;&gt;0,F1272&lt;&gt;0),IF(IFERROR((F1271/F1272),"")="","",(F1271/F1272)),INDIRECT("'update Helper'!E"&amp;U1271)/100)</f>
        <v/>
      </c>
      <c r="H1271" s="743"/>
      <c r="I1271" s="764"/>
      <c r="J1271" s="729"/>
      <c r="K1271" s="760" t="str">
        <f>W1271</f>
        <v/>
      </c>
      <c r="L1271" s="760" t="str">
        <f>V1271</f>
        <v/>
      </c>
      <c r="M1271" s="729"/>
      <c r="N1271" s="729"/>
      <c r="P1271" s="194" t="e">
        <f>IF(AND(EXACT(C1271,C1269),C1269&lt;&gt;0),P1269+1,0)</f>
        <v>#REF!</v>
      </c>
      <c r="Q1271" s="194" t="e">
        <f>IF(C1271&lt;&gt;"",C1271&amp;"-"&amp;P1271,"")</f>
        <v>#REF!</v>
      </c>
      <c r="R1271" s="194" t="str">
        <f t="array" ref="R1271">IFERROR(IF(INDEX('Disaggregation Records'!$E$155:$E$385,MATCH(RIGHT(Q1271,255),RIGHT('Disaggregation Records'!$D$155:$D$385,255),0))="","",INDEX('Disaggregation Records'!$E$155:$E$385,MATCH(RIGHT(Q1271,255),RIGHT('Disaggregation Records'!$D$155:$D$385,255),0))),"")</f>
        <v/>
      </c>
      <c r="S1271" s="194" t="str">
        <f t="array" ref="S1271">IFERROR(IF(INDEX('Disaggregation Records'!$F$155:$F$385,MATCH(RIGHT(Q1271,255),RIGHT('Disaggregation Records'!$D$155:$D$385,255),0))="","",INDEX('Disaggregation Records'!$F$155:$F$385,MATCH(RIGHT(Q1271,255),RIGHT('Disaggregation Records'!$D$155:$D$385,255),0))),"")</f>
        <v/>
      </c>
      <c r="T1271" s="194" t="str">
        <f t="array" ref="T1271">IFERROR(IF(INDEX('Disaggregation Records'!$H$155:$H$385,MATCH(RIGHT(Q1271,255),RIGHT('Disaggregation Records'!$D$155:$D$385,255),0))="","",INDEX('Disaggregation Records'!$H$155:$H$385,MATCH(RIGHT(Q1271,255),RIGHT('Disaggregation Records'!$D$155:$D$385,255),0))),"")</f>
        <v/>
      </c>
      <c r="U1271" s="194">
        <f>U1269+1</f>
        <v>2825</v>
      </c>
      <c r="V1271" s="194" t="str">
        <f t="array" ref="V1271">IFERROR(IF(INDEX('Disaggregation Records'!$I$155:$I$385,MATCH(RIGHT(Q1271,255),RIGHT('Disaggregation Records'!$D$155:$D$385,255),0))="","",INDEX('Disaggregation Records'!$I$155:$I$385,MATCH(RIGHT(Q1271,255),RIGHT('Disaggregation Records'!$D$155:$D$385,255),0))),"")</f>
        <v/>
      </c>
      <c r="W1271" s="194" t="str">
        <f>IFERROR(INDEX('Reference Records'!L$77:L$157,MATCH(LEFT(C1271,255),'Reference Records'!E$77:E$157,0)),"")</f>
        <v/>
      </c>
    </row>
    <row r="1272" spans="1:23" s="194" customFormat="1" ht="40.4" customHeight="1" x14ac:dyDescent="0.35">
      <c r="A1272" s="770"/>
      <c r="B1272" s="767"/>
      <c r="C1272" s="761"/>
      <c r="D1272" s="769"/>
      <c r="E1272" s="769"/>
      <c r="F1272" s="208"/>
      <c r="G1272" s="763"/>
      <c r="H1272" s="744"/>
      <c r="I1272" s="765"/>
      <c r="J1272" s="730"/>
      <c r="K1272" s="761"/>
      <c r="L1272" s="761"/>
      <c r="M1272" s="730"/>
      <c r="N1272" s="730"/>
    </row>
    <row r="1273" spans="1:23" s="194" customFormat="1" ht="40.4" customHeight="1" x14ac:dyDescent="0.35">
      <c r="A1273" s="770" t="str">
        <f ca="1">INDIRECT("'update Helper'!C"&amp;U1273)</f>
        <v>a163p000004NtOGAA0</v>
      </c>
      <c r="B1273" s="766">
        <v>17</v>
      </c>
      <c r="C1273" s="760" t="str">
        <f>VLOOKUP(B1273,'Coverage Indicators - Section D'!$A$9:$AU$70,47,FALSE)</f>
        <v>TCS-Other1 Porcentaje de personas en TARV a quienes se les ha realizado una prueba de carga viral en los últimos 6 meses.</v>
      </c>
      <c r="D1273" s="768" t="str">
        <f>R1273</f>
        <v/>
      </c>
      <c r="E1273" s="768" t="str">
        <f>S1273</f>
        <v/>
      </c>
      <c r="F1273" s="413"/>
      <c r="G1273" s="762" t="str">
        <f ca="1">IF(OR(INDIRECT("'update Helper'!E"&amp;U1273)="",F1273&lt;&gt;0,F1274&lt;&gt;0),IF(IFERROR((F1273/F1274),"")="","",(F1273/F1274)),INDIRECT("'update Helper'!E"&amp;U1273)/100)</f>
        <v/>
      </c>
      <c r="H1273" s="743"/>
      <c r="I1273" s="764"/>
      <c r="J1273" s="729"/>
      <c r="K1273" s="760" t="str">
        <f>W1273</f>
        <v/>
      </c>
      <c r="L1273" s="760" t="str">
        <f>V1273</f>
        <v/>
      </c>
      <c r="M1273" s="729"/>
      <c r="N1273" s="729"/>
      <c r="P1273" s="194" t="e">
        <f>IF(AND(EXACT(C1273,C1271),C1271&lt;&gt;0),P1271+1,0)</f>
        <v>#REF!</v>
      </c>
      <c r="Q1273" s="194" t="e">
        <f>IF(C1273&lt;&gt;"",C1273&amp;"-"&amp;P1273,"")</f>
        <v>#REF!</v>
      </c>
      <c r="R1273" s="194" t="str">
        <f t="array" ref="R1273">IFERROR(IF(INDEX('Disaggregation Records'!$E$155:$E$385,MATCH(RIGHT(Q1273,255),RIGHT('Disaggregation Records'!$D$155:$D$385,255),0))="","",INDEX('Disaggregation Records'!$E$155:$E$385,MATCH(RIGHT(Q1273,255),RIGHT('Disaggregation Records'!$D$155:$D$385,255),0))),"")</f>
        <v/>
      </c>
      <c r="S1273" s="194" t="str">
        <f t="array" ref="S1273">IFERROR(IF(INDEX('Disaggregation Records'!$F$155:$F$385,MATCH(RIGHT(Q1273,255),RIGHT('Disaggregation Records'!$D$155:$D$385,255),0))="","",INDEX('Disaggregation Records'!$F$155:$F$385,MATCH(RIGHT(Q1273,255),RIGHT('Disaggregation Records'!$D$155:$D$385,255),0))),"")</f>
        <v/>
      </c>
      <c r="T1273" s="194" t="str">
        <f t="array" ref="T1273">IFERROR(IF(INDEX('Disaggregation Records'!$H$155:$H$385,MATCH(RIGHT(Q1273,255),RIGHT('Disaggregation Records'!$D$155:$D$385,255),0))="","",INDEX('Disaggregation Records'!$H$155:$H$385,MATCH(RIGHT(Q1273,255),RIGHT('Disaggregation Records'!$D$155:$D$385,255),0))),"")</f>
        <v/>
      </c>
      <c r="U1273" s="194">
        <f>U1271+1</f>
        <v>2826</v>
      </c>
      <c r="V1273" s="194" t="str">
        <f t="array" ref="V1273">IFERROR(IF(INDEX('Disaggregation Records'!$I$155:$I$385,MATCH(RIGHT(Q1273,255),RIGHT('Disaggregation Records'!$D$155:$D$385,255),0))="","",INDEX('Disaggregation Records'!$I$155:$I$385,MATCH(RIGHT(Q1273,255),RIGHT('Disaggregation Records'!$D$155:$D$385,255),0))),"")</f>
        <v/>
      </c>
      <c r="W1273" s="194" t="str">
        <f>IFERROR(INDEX('Reference Records'!L$77:L$157,MATCH(LEFT(C1273,255),'Reference Records'!E$77:E$157,0)),"")</f>
        <v/>
      </c>
    </row>
    <row r="1274" spans="1:23" s="194" customFormat="1" ht="40.4" customHeight="1" x14ac:dyDescent="0.35">
      <c r="A1274" s="770"/>
      <c r="B1274" s="767"/>
      <c r="C1274" s="761"/>
      <c r="D1274" s="769"/>
      <c r="E1274" s="769"/>
      <c r="F1274" s="208"/>
      <c r="G1274" s="763"/>
      <c r="H1274" s="744"/>
      <c r="I1274" s="765"/>
      <c r="J1274" s="730"/>
      <c r="K1274" s="761"/>
      <c r="L1274" s="761"/>
      <c r="M1274" s="730"/>
      <c r="N1274" s="730"/>
    </row>
    <row r="1275" spans="1:23" s="194" customFormat="1" ht="40.4" customHeight="1" x14ac:dyDescent="0.35">
      <c r="A1275" s="770" t="str">
        <f ca="1">INDIRECT("'update Helper'!C"&amp;U1275)</f>
        <v>a163p000004NtOHAA0</v>
      </c>
      <c r="B1275" s="766">
        <v>17</v>
      </c>
      <c r="C1275" s="760" t="str">
        <f>VLOOKUP(B1275,'Coverage Indicators - Section D'!$A$9:$AU$70,47,FALSE)</f>
        <v>TCS-Other1 Porcentaje de personas en TARV a quienes se les ha realizado una prueba de carga viral en los últimos 6 meses.</v>
      </c>
      <c r="D1275" s="768" t="str">
        <f>R1275</f>
        <v/>
      </c>
      <c r="E1275" s="768" t="str">
        <f>S1275</f>
        <v/>
      </c>
      <c r="F1275" s="413"/>
      <c r="G1275" s="762" t="str">
        <f ca="1">IF(OR(INDIRECT("'update Helper'!E"&amp;U1275)="",F1275&lt;&gt;0,F1276&lt;&gt;0),IF(IFERROR((F1275/F1276),"")="","",(F1275/F1276)),INDIRECT("'update Helper'!E"&amp;U1275)/100)</f>
        <v/>
      </c>
      <c r="H1275" s="743"/>
      <c r="I1275" s="764"/>
      <c r="J1275" s="729"/>
      <c r="K1275" s="760" t="str">
        <f>W1275</f>
        <v/>
      </c>
      <c r="L1275" s="760" t="str">
        <f>V1275</f>
        <v/>
      </c>
      <c r="M1275" s="729"/>
      <c r="N1275" s="729"/>
      <c r="P1275" s="194" t="e">
        <f>IF(AND(EXACT(C1275,C1273),C1273&lt;&gt;0),P1273+1,0)</f>
        <v>#REF!</v>
      </c>
      <c r="Q1275" s="194" t="e">
        <f>IF(C1275&lt;&gt;"",C1275&amp;"-"&amp;P1275,"")</f>
        <v>#REF!</v>
      </c>
      <c r="R1275" s="194" t="str">
        <f t="array" ref="R1275">IFERROR(IF(INDEX('Disaggregation Records'!$E$155:$E$385,MATCH(RIGHT(Q1275,255),RIGHT('Disaggregation Records'!$D$155:$D$385,255),0))="","",INDEX('Disaggregation Records'!$E$155:$E$385,MATCH(RIGHT(Q1275,255),RIGHT('Disaggregation Records'!$D$155:$D$385,255),0))),"")</f>
        <v/>
      </c>
      <c r="S1275" s="194" t="str">
        <f t="array" ref="S1275">IFERROR(IF(INDEX('Disaggregation Records'!$F$155:$F$385,MATCH(RIGHT(Q1275,255),RIGHT('Disaggregation Records'!$D$155:$D$385,255),0))="","",INDEX('Disaggregation Records'!$F$155:$F$385,MATCH(RIGHT(Q1275,255),RIGHT('Disaggregation Records'!$D$155:$D$385,255),0))),"")</f>
        <v/>
      </c>
      <c r="T1275" s="194" t="str">
        <f t="array" ref="T1275">IFERROR(IF(INDEX('Disaggregation Records'!$H$155:$H$385,MATCH(RIGHT(Q1275,255),RIGHT('Disaggregation Records'!$D$155:$D$385,255),0))="","",INDEX('Disaggregation Records'!$H$155:$H$385,MATCH(RIGHT(Q1275,255),RIGHT('Disaggregation Records'!$D$155:$D$385,255),0))),"")</f>
        <v/>
      </c>
      <c r="U1275" s="194">
        <f>U1273+1</f>
        <v>2827</v>
      </c>
      <c r="V1275" s="194" t="str">
        <f t="array" ref="V1275">IFERROR(IF(INDEX('Disaggregation Records'!$I$155:$I$385,MATCH(RIGHT(Q1275,255),RIGHT('Disaggregation Records'!$D$155:$D$385,255),0))="","",INDEX('Disaggregation Records'!$I$155:$I$385,MATCH(RIGHT(Q1275,255),RIGHT('Disaggregation Records'!$D$155:$D$385,255),0))),"")</f>
        <v/>
      </c>
      <c r="W1275" s="194" t="str">
        <f>IFERROR(INDEX('Reference Records'!L$77:L$157,MATCH(LEFT(C1275,255),'Reference Records'!E$77:E$157,0)),"")</f>
        <v/>
      </c>
    </row>
    <row r="1276" spans="1:23" s="194" customFormat="1" ht="40.4" customHeight="1" x14ac:dyDescent="0.35">
      <c r="A1276" s="770"/>
      <c r="B1276" s="767"/>
      <c r="C1276" s="761"/>
      <c r="D1276" s="769"/>
      <c r="E1276" s="769"/>
      <c r="F1276" s="208"/>
      <c r="G1276" s="763"/>
      <c r="H1276" s="744"/>
      <c r="I1276" s="765"/>
      <c r="J1276" s="730"/>
      <c r="K1276" s="761"/>
      <c r="L1276" s="761"/>
      <c r="M1276" s="730"/>
      <c r="N1276" s="730"/>
    </row>
    <row r="1277" spans="1:23" s="194" customFormat="1" ht="40.4" customHeight="1" x14ac:dyDescent="0.35">
      <c r="A1277" s="770" t="str">
        <f ca="1">INDIRECT("'update Helper'!C"&amp;U1277)</f>
        <v>a163p000004NtOIAA0</v>
      </c>
      <c r="B1277" s="766">
        <v>17</v>
      </c>
      <c r="C1277" s="760" t="str">
        <f>VLOOKUP(B1277,'Coverage Indicators - Section D'!$A$9:$AU$70,47,FALSE)</f>
        <v>TCS-Other1 Porcentaje de personas en TARV a quienes se les ha realizado una prueba de carga viral en los últimos 6 meses.</v>
      </c>
      <c r="D1277" s="768" t="str">
        <f>R1277</f>
        <v/>
      </c>
      <c r="E1277" s="768" t="str">
        <f>S1277</f>
        <v/>
      </c>
      <c r="F1277" s="413"/>
      <c r="G1277" s="762" t="str">
        <f ca="1">IF(OR(INDIRECT("'update Helper'!E"&amp;U1277)="",F1277&lt;&gt;0,F1278&lt;&gt;0),IF(IFERROR((F1277/F1278),"")="","",(F1277/F1278)),INDIRECT("'update Helper'!E"&amp;U1277)/100)</f>
        <v/>
      </c>
      <c r="H1277" s="743"/>
      <c r="I1277" s="764"/>
      <c r="J1277" s="729"/>
      <c r="K1277" s="760" t="str">
        <f>W1277</f>
        <v/>
      </c>
      <c r="L1277" s="760" t="str">
        <f>V1277</f>
        <v/>
      </c>
      <c r="M1277" s="729"/>
      <c r="N1277" s="729"/>
      <c r="P1277" s="194" t="e">
        <f>IF(AND(EXACT(C1277,C1275),C1275&lt;&gt;0),P1275+1,0)</f>
        <v>#REF!</v>
      </c>
      <c r="Q1277" s="194" t="e">
        <f>IF(C1277&lt;&gt;"",C1277&amp;"-"&amp;P1277,"")</f>
        <v>#REF!</v>
      </c>
      <c r="R1277" s="194" t="str">
        <f t="array" ref="R1277">IFERROR(IF(INDEX('Disaggregation Records'!$E$155:$E$385,MATCH(RIGHT(Q1277,255),RIGHT('Disaggregation Records'!$D$155:$D$385,255),0))="","",INDEX('Disaggregation Records'!$E$155:$E$385,MATCH(RIGHT(Q1277,255),RIGHT('Disaggregation Records'!$D$155:$D$385,255),0))),"")</f>
        <v/>
      </c>
      <c r="S1277" s="194" t="str">
        <f t="array" ref="S1277">IFERROR(IF(INDEX('Disaggregation Records'!$F$155:$F$385,MATCH(RIGHT(Q1277,255),RIGHT('Disaggregation Records'!$D$155:$D$385,255),0))="","",INDEX('Disaggregation Records'!$F$155:$F$385,MATCH(RIGHT(Q1277,255),RIGHT('Disaggregation Records'!$D$155:$D$385,255),0))),"")</f>
        <v/>
      </c>
      <c r="T1277" s="194" t="str">
        <f t="array" ref="T1277">IFERROR(IF(INDEX('Disaggregation Records'!$H$155:$H$385,MATCH(RIGHT(Q1277,255),RIGHT('Disaggregation Records'!$D$155:$D$385,255),0))="","",INDEX('Disaggregation Records'!$H$155:$H$385,MATCH(RIGHT(Q1277,255),RIGHT('Disaggregation Records'!$D$155:$D$385,255),0))),"")</f>
        <v/>
      </c>
      <c r="U1277" s="194">
        <f>U1275+1</f>
        <v>2828</v>
      </c>
      <c r="V1277" s="194" t="str">
        <f t="array" ref="V1277">IFERROR(IF(INDEX('Disaggregation Records'!$I$155:$I$385,MATCH(RIGHT(Q1277,255),RIGHT('Disaggregation Records'!$D$155:$D$385,255),0))="","",INDEX('Disaggregation Records'!$I$155:$I$385,MATCH(RIGHT(Q1277,255),RIGHT('Disaggregation Records'!$D$155:$D$385,255),0))),"")</f>
        <v/>
      </c>
      <c r="W1277" s="194" t="str">
        <f>IFERROR(INDEX('Reference Records'!L$77:L$157,MATCH(LEFT(C1277,255),'Reference Records'!E$77:E$157,0)),"")</f>
        <v/>
      </c>
    </row>
    <row r="1278" spans="1:23" s="194" customFormat="1" ht="40.4" customHeight="1" x14ac:dyDescent="0.35">
      <c r="A1278" s="770"/>
      <c r="B1278" s="767"/>
      <c r="C1278" s="761"/>
      <c r="D1278" s="769"/>
      <c r="E1278" s="769"/>
      <c r="F1278" s="208"/>
      <c r="G1278" s="763"/>
      <c r="H1278" s="744"/>
      <c r="I1278" s="765"/>
      <c r="J1278" s="730"/>
      <c r="K1278" s="761"/>
      <c r="L1278" s="761"/>
      <c r="M1278" s="730"/>
      <c r="N1278" s="730"/>
    </row>
    <row r="1279" spans="1:23" s="194" customFormat="1" ht="40.4" customHeight="1" x14ac:dyDescent="0.35">
      <c r="A1279" s="770" t="str">
        <f ca="1">INDIRECT("'update Helper'!C"&amp;U1279)</f>
        <v>a163p000004NtOJAA0</v>
      </c>
      <c r="B1279" s="766">
        <v>17</v>
      </c>
      <c r="C1279" s="760" t="str">
        <f>VLOOKUP(B1279,'Coverage Indicators - Section D'!$A$9:$AU$70,47,FALSE)</f>
        <v>TCS-Other1 Porcentaje de personas en TARV a quienes se les ha realizado una prueba de carga viral en los últimos 6 meses.</v>
      </c>
      <c r="D1279" s="768" t="str">
        <f>R1279</f>
        <v/>
      </c>
      <c r="E1279" s="768" t="str">
        <f>S1279</f>
        <v/>
      </c>
      <c r="F1279" s="413"/>
      <c r="G1279" s="762" t="str">
        <f ca="1">IF(OR(INDIRECT("'update Helper'!E"&amp;U1279)="",F1279&lt;&gt;0,F1280&lt;&gt;0),IF(IFERROR((F1279/F1280),"")="","",(F1279/F1280)),INDIRECT("'update Helper'!E"&amp;U1279)/100)</f>
        <v/>
      </c>
      <c r="H1279" s="743"/>
      <c r="I1279" s="764"/>
      <c r="J1279" s="729"/>
      <c r="K1279" s="760" t="str">
        <f>W1279</f>
        <v/>
      </c>
      <c r="L1279" s="760" t="str">
        <f>V1279</f>
        <v/>
      </c>
      <c r="M1279" s="729"/>
      <c r="N1279" s="729"/>
      <c r="P1279" s="194" t="e">
        <f>IF(AND(EXACT(C1279,C1277),C1277&lt;&gt;0),P1277+1,0)</f>
        <v>#REF!</v>
      </c>
      <c r="Q1279" s="194" t="e">
        <f>IF(C1279&lt;&gt;"",C1279&amp;"-"&amp;P1279,"")</f>
        <v>#REF!</v>
      </c>
      <c r="R1279" s="194" t="str">
        <f t="array" ref="R1279">IFERROR(IF(INDEX('Disaggregation Records'!$E$155:$E$385,MATCH(RIGHT(Q1279,255),RIGHT('Disaggregation Records'!$D$155:$D$385,255),0))="","",INDEX('Disaggregation Records'!$E$155:$E$385,MATCH(RIGHT(Q1279,255),RIGHT('Disaggregation Records'!$D$155:$D$385,255),0))),"")</f>
        <v/>
      </c>
      <c r="S1279" s="194" t="str">
        <f t="array" ref="S1279">IFERROR(IF(INDEX('Disaggregation Records'!$F$155:$F$385,MATCH(RIGHT(Q1279,255),RIGHT('Disaggregation Records'!$D$155:$D$385,255),0))="","",INDEX('Disaggregation Records'!$F$155:$F$385,MATCH(RIGHT(Q1279,255),RIGHT('Disaggregation Records'!$D$155:$D$385,255),0))),"")</f>
        <v/>
      </c>
      <c r="T1279" s="194" t="str">
        <f t="array" ref="T1279">IFERROR(IF(INDEX('Disaggregation Records'!$H$155:$H$385,MATCH(RIGHT(Q1279,255),RIGHT('Disaggregation Records'!$D$155:$D$385,255),0))="","",INDEX('Disaggregation Records'!$H$155:$H$385,MATCH(RIGHT(Q1279,255),RIGHT('Disaggregation Records'!$D$155:$D$385,255),0))),"")</f>
        <v/>
      </c>
      <c r="U1279" s="194">
        <f>U1277+1</f>
        <v>2829</v>
      </c>
      <c r="V1279" s="194" t="str">
        <f t="array" ref="V1279">IFERROR(IF(INDEX('Disaggregation Records'!$I$155:$I$385,MATCH(RIGHT(Q1279,255),RIGHT('Disaggregation Records'!$D$155:$D$385,255),0))="","",INDEX('Disaggregation Records'!$I$155:$I$385,MATCH(RIGHT(Q1279,255),RIGHT('Disaggregation Records'!$D$155:$D$385,255),0))),"")</f>
        <v/>
      </c>
      <c r="W1279" s="194" t="str">
        <f>IFERROR(INDEX('Reference Records'!L$77:L$157,MATCH(LEFT(C1279,255),'Reference Records'!E$77:E$157,0)),"")</f>
        <v/>
      </c>
    </row>
    <row r="1280" spans="1:23" s="194" customFormat="1" ht="40.4" customHeight="1" x14ac:dyDescent="0.35">
      <c r="A1280" s="770"/>
      <c r="B1280" s="767"/>
      <c r="C1280" s="761"/>
      <c r="D1280" s="769"/>
      <c r="E1280" s="769"/>
      <c r="F1280" s="208"/>
      <c r="G1280" s="763"/>
      <c r="H1280" s="744"/>
      <c r="I1280" s="765"/>
      <c r="J1280" s="730"/>
      <c r="K1280" s="761"/>
      <c r="L1280" s="761"/>
      <c r="M1280" s="730"/>
      <c r="N1280" s="730"/>
    </row>
    <row r="1281" spans="1:23" s="194" customFormat="1" ht="40.4" customHeight="1" x14ac:dyDescent="0.35">
      <c r="A1281" s="770" t="str">
        <f ca="1">INDIRECT("'update Helper'!C"&amp;U1281)</f>
        <v>a163p000004NtOKAA0</v>
      </c>
      <c r="B1281" s="766">
        <v>17</v>
      </c>
      <c r="C1281" s="760" t="str">
        <f>VLOOKUP(B1281,'Coverage Indicators - Section D'!$A$9:$AU$70,47,FALSE)</f>
        <v>TCS-Other1 Porcentaje de personas en TARV a quienes se les ha realizado una prueba de carga viral en los últimos 6 meses.</v>
      </c>
      <c r="D1281" s="768" t="str">
        <f>R1281</f>
        <v/>
      </c>
      <c r="E1281" s="768" t="str">
        <f>S1281</f>
        <v/>
      </c>
      <c r="F1281" s="413"/>
      <c r="G1281" s="762" t="str">
        <f ca="1">IF(OR(INDIRECT("'update Helper'!E"&amp;U1281)="",F1281&lt;&gt;0,F1282&lt;&gt;0),IF(IFERROR((F1281/F1282),"")="","",(F1281/F1282)),INDIRECT("'update Helper'!E"&amp;U1281)/100)</f>
        <v/>
      </c>
      <c r="H1281" s="743"/>
      <c r="I1281" s="764"/>
      <c r="J1281" s="729"/>
      <c r="K1281" s="760" t="str">
        <f>W1281</f>
        <v/>
      </c>
      <c r="L1281" s="760" t="str">
        <f>V1281</f>
        <v/>
      </c>
      <c r="M1281" s="729"/>
      <c r="N1281" s="729"/>
      <c r="P1281" s="194" t="e">
        <f>IF(AND(EXACT(C1281,C1279),C1279&lt;&gt;0),P1279+1,0)</f>
        <v>#REF!</v>
      </c>
      <c r="Q1281" s="194" t="e">
        <f>IF(C1281&lt;&gt;"",C1281&amp;"-"&amp;P1281,"")</f>
        <v>#REF!</v>
      </c>
      <c r="R1281" s="194" t="str">
        <f t="array" ref="R1281">IFERROR(IF(INDEX('Disaggregation Records'!$E$155:$E$385,MATCH(RIGHT(Q1281,255),RIGHT('Disaggregation Records'!$D$155:$D$385,255),0))="","",INDEX('Disaggregation Records'!$E$155:$E$385,MATCH(RIGHT(Q1281,255),RIGHT('Disaggregation Records'!$D$155:$D$385,255),0))),"")</f>
        <v/>
      </c>
      <c r="S1281" s="194" t="str">
        <f t="array" ref="S1281">IFERROR(IF(INDEX('Disaggregation Records'!$F$155:$F$385,MATCH(RIGHT(Q1281,255),RIGHT('Disaggregation Records'!$D$155:$D$385,255),0))="","",INDEX('Disaggregation Records'!$F$155:$F$385,MATCH(RIGHT(Q1281,255),RIGHT('Disaggregation Records'!$D$155:$D$385,255),0))),"")</f>
        <v/>
      </c>
      <c r="T1281" s="194" t="str">
        <f t="array" ref="T1281">IFERROR(IF(INDEX('Disaggregation Records'!$H$155:$H$385,MATCH(RIGHT(Q1281,255),RIGHT('Disaggregation Records'!$D$155:$D$385,255),0))="","",INDEX('Disaggregation Records'!$H$155:$H$385,MATCH(RIGHT(Q1281,255),RIGHT('Disaggregation Records'!$D$155:$D$385,255),0))),"")</f>
        <v/>
      </c>
      <c r="U1281" s="194">
        <f>U1279+1</f>
        <v>2830</v>
      </c>
      <c r="V1281" s="194" t="str">
        <f t="array" ref="V1281">IFERROR(IF(INDEX('Disaggregation Records'!$I$155:$I$385,MATCH(RIGHT(Q1281,255),RIGHT('Disaggregation Records'!$D$155:$D$385,255),0))="","",INDEX('Disaggregation Records'!$I$155:$I$385,MATCH(RIGHT(Q1281,255),RIGHT('Disaggregation Records'!$D$155:$D$385,255),0))),"")</f>
        <v/>
      </c>
      <c r="W1281" s="194" t="str">
        <f>IFERROR(INDEX('Reference Records'!L$77:L$157,MATCH(LEFT(C1281,255),'Reference Records'!E$77:E$157,0)),"")</f>
        <v/>
      </c>
    </row>
    <row r="1282" spans="1:23" s="194" customFormat="1" ht="40.4" customHeight="1" x14ac:dyDescent="0.35">
      <c r="A1282" s="770"/>
      <c r="B1282" s="767"/>
      <c r="C1282" s="761"/>
      <c r="D1282" s="769"/>
      <c r="E1282" s="769"/>
      <c r="F1282" s="208"/>
      <c r="G1282" s="763"/>
      <c r="H1282" s="744"/>
      <c r="I1282" s="765"/>
      <c r="J1282" s="730"/>
      <c r="K1282" s="761"/>
      <c r="L1282" s="761"/>
      <c r="M1282" s="730"/>
      <c r="N1282" s="730"/>
    </row>
    <row r="1283" spans="1:23" s="194" customFormat="1" ht="40.4" customHeight="1" x14ac:dyDescent="0.35">
      <c r="A1283" s="770" t="str">
        <f ca="1">INDIRECT("'update Helper'!C"&amp;U1283)</f>
        <v>a163p000004NtOLAA0</v>
      </c>
      <c r="B1283" s="766">
        <v>17</v>
      </c>
      <c r="C1283" s="760" t="str">
        <f>VLOOKUP(B1283,'Coverage Indicators - Section D'!$A$9:$AU$70,47,FALSE)</f>
        <v>TCS-Other1 Porcentaje de personas en TARV a quienes se les ha realizado una prueba de carga viral en los últimos 6 meses.</v>
      </c>
      <c r="D1283" s="768" t="str">
        <f>R1283</f>
        <v/>
      </c>
      <c r="E1283" s="768" t="str">
        <f>S1283</f>
        <v/>
      </c>
      <c r="F1283" s="413"/>
      <c r="G1283" s="762" t="str">
        <f ca="1">IF(OR(INDIRECT("'update Helper'!E"&amp;U1283)="",F1283&lt;&gt;0,F1284&lt;&gt;0),IF(IFERROR((F1283/F1284),"")="","",(F1283/F1284)),INDIRECT("'update Helper'!E"&amp;U1283)/100)</f>
        <v/>
      </c>
      <c r="H1283" s="743"/>
      <c r="I1283" s="764"/>
      <c r="J1283" s="729"/>
      <c r="K1283" s="760" t="str">
        <f>W1283</f>
        <v/>
      </c>
      <c r="L1283" s="760" t="str">
        <f>V1283</f>
        <v/>
      </c>
      <c r="M1283" s="729"/>
      <c r="N1283" s="729"/>
      <c r="P1283" s="194" t="e">
        <f>IF(AND(EXACT(C1283,C1281),C1281&lt;&gt;0),P1281+1,0)</f>
        <v>#REF!</v>
      </c>
      <c r="Q1283" s="194" t="e">
        <f>IF(C1283&lt;&gt;"",C1283&amp;"-"&amp;P1283,"")</f>
        <v>#REF!</v>
      </c>
      <c r="R1283" s="194" t="str">
        <f t="array" ref="R1283">IFERROR(IF(INDEX('Disaggregation Records'!$E$155:$E$385,MATCH(RIGHT(Q1283,255),RIGHT('Disaggregation Records'!$D$155:$D$385,255),0))="","",INDEX('Disaggregation Records'!$E$155:$E$385,MATCH(RIGHT(Q1283,255),RIGHT('Disaggregation Records'!$D$155:$D$385,255),0))),"")</f>
        <v/>
      </c>
      <c r="S1283" s="194" t="str">
        <f t="array" ref="S1283">IFERROR(IF(INDEX('Disaggregation Records'!$F$155:$F$385,MATCH(RIGHT(Q1283,255),RIGHT('Disaggregation Records'!$D$155:$D$385,255),0))="","",INDEX('Disaggregation Records'!$F$155:$F$385,MATCH(RIGHT(Q1283,255),RIGHT('Disaggregation Records'!$D$155:$D$385,255),0))),"")</f>
        <v/>
      </c>
      <c r="T1283" s="194" t="str">
        <f t="array" ref="T1283">IFERROR(IF(INDEX('Disaggregation Records'!$H$155:$H$385,MATCH(RIGHT(Q1283,255),RIGHT('Disaggregation Records'!$D$155:$D$385,255),0))="","",INDEX('Disaggregation Records'!$H$155:$H$385,MATCH(RIGHT(Q1283,255),RIGHT('Disaggregation Records'!$D$155:$D$385,255),0))),"")</f>
        <v/>
      </c>
      <c r="U1283" s="194">
        <f>U1281+1</f>
        <v>2831</v>
      </c>
      <c r="V1283" s="194" t="str">
        <f t="array" ref="V1283">IFERROR(IF(INDEX('Disaggregation Records'!$I$155:$I$385,MATCH(RIGHT(Q1283,255),RIGHT('Disaggregation Records'!$D$155:$D$385,255),0))="","",INDEX('Disaggregation Records'!$I$155:$I$385,MATCH(RIGHT(Q1283,255),RIGHT('Disaggregation Records'!$D$155:$D$385,255),0))),"")</f>
        <v/>
      </c>
      <c r="W1283" s="194" t="str">
        <f>IFERROR(INDEX('Reference Records'!L$77:L$157,MATCH(LEFT(C1283,255),'Reference Records'!E$77:E$157,0)),"")</f>
        <v/>
      </c>
    </row>
    <row r="1284" spans="1:23" s="194" customFormat="1" ht="40.4" customHeight="1" x14ac:dyDescent="0.35">
      <c r="A1284" s="770"/>
      <c r="B1284" s="767"/>
      <c r="C1284" s="761"/>
      <c r="D1284" s="769"/>
      <c r="E1284" s="769"/>
      <c r="F1284" s="208"/>
      <c r="G1284" s="763"/>
      <c r="H1284" s="744"/>
      <c r="I1284" s="765"/>
      <c r="J1284" s="730"/>
      <c r="K1284" s="761"/>
      <c r="L1284" s="761"/>
      <c r="M1284" s="730"/>
      <c r="N1284" s="730"/>
    </row>
    <row r="1285" spans="1:23" s="194" customFormat="1" ht="40.4" customHeight="1" x14ac:dyDescent="0.35">
      <c r="A1285" s="770" t="str">
        <f ca="1">INDIRECT("'update Helper'!C"&amp;U1285)</f>
        <v>a163p000004NtOMAA0</v>
      </c>
      <c r="B1285" s="766">
        <v>17</v>
      </c>
      <c r="C1285" s="760" t="str">
        <f>VLOOKUP(B1285,'Coverage Indicators - Section D'!$A$9:$AU$70,47,FALSE)</f>
        <v>TCS-Other1 Porcentaje de personas en TARV a quienes se les ha realizado una prueba de carga viral en los últimos 6 meses.</v>
      </c>
      <c r="D1285" s="768" t="str">
        <f>R1285</f>
        <v/>
      </c>
      <c r="E1285" s="768" t="str">
        <f>S1285</f>
        <v/>
      </c>
      <c r="F1285" s="413"/>
      <c r="G1285" s="762" t="str">
        <f ca="1">IF(OR(INDIRECT("'update Helper'!E"&amp;U1285)="",F1285&lt;&gt;0,F1286&lt;&gt;0),IF(IFERROR((F1285/F1286),"")="","",(F1285/F1286)),INDIRECT("'update Helper'!E"&amp;U1285)/100)</f>
        <v/>
      </c>
      <c r="H1285" s="743"/>
      <c r="I1285" s="764"/>
      <c r="J1285" s="729"/>
      <c r="K1285" s="760" t="str">
        <f>W1285</f>
        <v/>
      </c>
      <c r="L1285" s="760" t="str">
        <f>V1285</f>
        <v/>
      </c>
      <c r="M1285" s="729"/>
      <c r="N1285" s="729"/>
      <c r="P1285" s="194" t="e">
        <f>IF(AND(EXACT(C1285,C1283),C1283&lt;&gt;0),P1283+1,0)</f>
        <v>#REF!</v>
      </c>
      <c r="Q1285" s="194" t="e">
        <f>IF(C1285&lt;&gt;"",C1285&amp;"-"&amp;P1285,"")</f>
        <v>#REF!</v>
      </c>
      <c r="R1285" s="194" t="str">
        <f t="array" ref="R1285">IFERROR(IF(INDEX('Disaggregation Records'!$E$155:$E$385,MATCH(RIGHT(Q1285,255),RIGHT('Disaggregation Records'!$D$155:$D$385,255),0))="","",INDEX('Disaggregation Records'!$E$155:$E$385,MATCH(RIGHT(Q1285,255),RIGHT('Disaggregation Records'!$D$155:$D$385,255),0))),"")</f>
        <v/>
      </c>
      <c r="S1285" s="194" t="str">
        <f t="array" ref="S1285">IFERROR(IF(INDEX('Disaggregation Records'!$F$155:$F$385,MATCH(RIGHT(Q1285,255),RIGHT('Disaggregation Records'!$D$155:$D$385,255),0))="","",INDEX('Disaggregation Records'!$F$155:$F$385,MATCH(RIGHT(Q1285,255),RIGHT('Disaggregation Records'!$D$155:$D$385,255),0))),"")</f>
        <v/>
      </c>
      <c r="T1285" s="194" t="str">
        <f t="array" ref="T1285">IFERROR(IF(INDEX('Disaggregation Records'!$H$155:$H$385,MATCH(RIGHT(Q1285,255),RIGHT('Disaggregation Records'!$D$155:$D$385,255),0))="","",INDEX('Disaggregation Records'!$H$155:$H$385,MATCH(RIGHT(Q1285,255),RIGHT('Disaggregation Records'!$D$155:$D$385,255),0))),"")</f>
        <v/>
      </c>
      <c r="U1285" s="194">
        <f>U1283+1</f>
        <v>2832</v>
      </c>
      <c r="V1285" s="194" t="str">
        <f t="array" ref="V1285">IFERROR(IF(INDEX('Disaggregation Records'!$I$155:$I$385,MATCH(RIGHT(Q1285,255),RIGHT('Disaggregation Records'!$D$155:$D$385,255),0))="","",INDEX('Disaggregation Records'!$I$155:$I$385,MATCH(RIGHT(Q1285,255),RIGHT('Disaggregation Records'!$D$155:$D$385,255),0))),"")</f>
        <v/>
      </c>
      <c r="W1285" s="194" t="str">
        <f>IFERROR(INDEX('Reference Records'!L$77:L$157,MATCH(LEFT(C1285,255),'Reference Records'!E$77:E$157,0)),"")</f>
        <v/>
      </c>
    </row>
    <row r="1286" spans="1:23" s="194" customFormat="1" ht="40.4" customHeight="1" x14ac:dyDescent="0.35">
      <c r="A1286" s="770"/>
      <c r="B1286" s="767"/>
      <c r="C1286" s="761"/>
      <c r="D1286" s="769"/>
      <c r="E1286" s="769"/>
      <c r="F1286" s="208"/>
      <c r="G1286" s="763"/>
      <c r="H1286" s="744"/>
      <c r="I1286" s="765"/>
      <c r="J1286" s="730"/>
      <c r="K1286" s="761"/>
      <c r="L1286" s="761"/>
      <c r="M1286" s="730"/>
      <c r="N1286" s="730"/>
    </row>
    <row r="1287" spans="1:23" s="194" customFormat="1" ht="40.4" customHeight="1" x14ac:dyDescent="0.35">
      <c r="A1287" s="770" t="str">
        <f ca="1">INDIRECT("'update Helper'!C"&amp;U1287)</f>
        <v>a163p000004NtONAA0</v>
      </c>
      <c r="B1287" s="766">
        <v>17</v>
      </c>
      <c r="C1287" s="760" t="str">
        <f>VLOOKUP(B1287,'Coverage Indicators - Section D'!$A$9:$AU$70,47,FALSE)</f>
        <v>TCS-Other1 Porcentaje de personas en TARV a quienes se les ha realizado una prueba de carga viral en los últimos 6 meses.</v>
      </c>
      <c r="D1287" s="768" t="str">
        <f>R1287</f>
        <v/>
      </c>
      <c r="E1287" s="768" t="str">
        <f>S1287</f>
        <v/>
      </c>
      <c r="F1287" s="413"/>
      <c r="G1287" s="762" t="str">
        <f ca="1">IF(OR(INDIRECT("'update Helper'!E"&amp;U1287)="",F1287&lt;&gt;0,F1288&lt;&gt;0),IF(IFERROR((F1287/F1288),"")="","",(F1287/F1288)),INDIRECT("'update Helper'!E"&amp;U1287)/100)</f>
        <v/>
      </c>
      <c r="H1287" s="743"/>
      <c r="I1287" s="764"/>
      <c r="J1287" s="729"/>
      <c r="K1287" s="760" t="str">
        <f>W1287</f>
        <v/>
      </c>
      <c r="L1287" s="760" t="str">
        <f>V1287</f>
        <v/>
      </c>
      <c r="M1287" s="729"/>
      <c r="N1287" s="729"/>
      <c r="P1287" s="194" t="e">
        <f>IF(AND(EXACT(C1287,C1285),C1285&lt;&gt;0),P1285+1,0)</f>
        <v>#REF!</v>
      </c>
      <c r="Q1287" s="194" t="e">
        <f>IF(C1287&lt;&gt;"",C1287&amp;"-"&amp;P1287,"")</f>
        <v>#REF!</v>
      </c>
      <c r="R1287" s="194" t="str">
        <f t="array" ref="R1287">IFERROR(IF(INDEX('Disaggregation Records'!$E$155:$E$385,MATCH(RIGHT(Q1287,255),RIGHT('Disaggregation Records'!$D$155:$D$385,255),0))="","",INDEX('Disaggregation Records'!$E$155:$E$385,MATCH(RIGHT(Q1287,255),RIGHT('Disaggregation Records'!$D$155:$D$385,255),0))),"")</f>
        <v/>
      </c>
      <c r="S1287" s="194" t="str">
        <f t="array" ref="S1287">IFERROR(IF(INDEX('Disaggregation Records'!$F$155:$F$385,MATCH(RIGHT(Q1287,255),RIGHT('Disaggregation Records'!$D$155:$D$385,255),0))="","",INDEX('Disaggregation Records'!$F$155:$F$385,MATCH(RIGHT(Q1287,255),RIGHT('Disaggregation Records'!$D$155:$D$385,255),0))),"")</f>
        <v/>
      </c>
      <c r="T1287" s="194" t="str">
        <f t="array" ref="T1287">IFERROR(IF(INDEX('Disaggregation Records'!$H$155:$H$385,MATCH(RIGHT(Q1287,255),RIGHT('Disaggregation Records'!$D$155:$D$385,255),0))="","",INDEX('Disaggregation Records'!$H$155:$H$385,MATCH(RIGHT(Q1287,255),RIGHT('Disaggregation Records'!$D$155:$D$385,255),0))),"")</f>
        <v/>
      </c>
      <c r="U1287" s="194">
        <f>U1285+1</f>
        <v>2833</v>
      </c>
      <c r="V1287" s="194" t="str">
        <f t="array" ref="V1287">IFERROR(IF(INDEX('Disaggregation Records'!$I$155:$I$385,MATCH(RIGHT(Q1287,255),RIGHT('Disaggregation Records'!$D$155:$D$385,255),0))="","",INDEX('Disaggregation Records'!$I$155:$I$385,MATCH(RIGHT(Q1287,255),RIGHT('Disaggregation Records'!$D$155:$D$385,255),0))),"")</f>
        <v/>
      </c>
      <c r="W1287" s="194" t="str">
        <f>IFERROR(INDEX('Reference Records'!L$77:L$157,MATCH(LEFT(C1287,255),'Reference Records'!E$77:E$157,0)),"")</f>
        <v/>
      </c>
    </row>
    <row r="1288" spans="1:23" s="194" customFormat="1" ht="40.4" customHeight="1" x14ac:dyDescent="0.35">
      <c r="A1288" s="770"/>
      <c r="B1288" s="767"/>
      <c r="C1288" s="761"/>
      <c r="D1288" s="769"/>
      <c r="E1288" s="769"/>
      <c r="F1288" s="208"/>
      <c r="G1288" s="763"/>
      <c r="H1288" s="744"/>
      <c r="I1288" s="765"/>
      <c r="J1288" s="730"/>
      <c r="K1288" s="761"/>
      <c r="L1288" s="761"/>
      <c r="M1288" s="730"/>
      <c r="N1288" s="730"/>
    </row>
    <row r="1289" spans="1:23" s="194" customFormat="1" ht="40.4" customHeight="1" x14ac:dyDescent="0.35">
      <c r="A1289" s="770" t="str">
        <f ca="1">INDIRECT("'update Helper'!C"&amp;U1289)</f>
        <v>a163p000004NtOOAA0</v>
      </c>
      <c r="B1289" s="766">
        <v>17</v>
      </c>
      <c r="C1289" s="760" t="str">
        <f>VLOOKUP(B1289,'Coverage Indicators - Section D'!$A$9:$AU$70,47,FALSE)</f>
        <v>TCS-Other1 Porcentaje de personas en TARV a quienes se les ha realizado una prueba de carga viral en los últimos 6 meses.</v>
      </c>
      <c r="D1289" s="768" t="str">
        <f>R1289</f>
        <v/>
      </c>
      <c r="E1289" s="768" t="str">
        <f>S1289</f>
        <v/>
      </c>
      <c r="F1289" s="413"/>
      <c r="G1289" s="762" t="str">
        <f ca="1">IF(OR(INDIRECT("'update Helper'!E"&amp;U1289)="",F1289&lt;&gt;0,F1290&lt;&gt;0),IF(IFERROR((F1289/F1290),"")="","",(F1289/F1290)),INDIRECT("'update Helper'!E"&amp;U1289)/100)</f>
        <v/>
      </c>
      <c r="H1289" s="743"/>
      <c r="I1289" s="764"/>
      <c r="J1289" s="729"/>
      <c r="K1289" s="760" t="str">
        <f>W1289</f>
        <v/>
      </c>
      <c r="L1289" s="760" t="str">
        <f>V1289</f>
        <v/>
      </c>
      <c r="M1289" s="729"/>
      <c r="N1289" s="729"/>
      <c r="P1289" s="194" t="e">
        <f>IF(AND(EXACT(C1289,C1287),C1287&lt;&gt;0),P1287+1,0)</f>
        <v>#REF!</v>
      </c>
      <c r="Q1289" s="194" t="e">
        <f>IF(C1289&lt;&gt;"",C1289&amp;"-"&amp;P1289,"")</f>
        <v>#REF!</v>
      </c>
      <c r="R1289" s="194" t="str">
        <f t="array" ref="R1289">IFERROR(IF(INDEX('Disaggregation Records'!$E$155:$E$385,MATCH(RIGHT(Q1289,255),RIGHT('Disaggregation Records'!$D$155:$D$385,255),0))="","",INDEX('Disaggregation Records'!$E$155:$E$385,MATCH(RIGHT(Q1289,255),RIGHT('Disaggregation Records'!$D$155:$D$385,255),0))),"")</f>
        <v/>
      </c>
      <c r="S1289" s="194" t="str">
        <f t="array" ref="S1289">IFERROR(IF(INDEX('Disaggregation Records'!$F$155:$F$385,MATCH(RIGHT(Q1289,255),RIGHT('Disaggregation Records'!$D$155:$D$385,255),0))="","",INDEX('Disaggregation Records'!$F$155:$F$385,MATCH(RIGHT(Q1289,255),RIGHT('Disaggregation Records'!$D$155:$D$385,255),0))),"")</f>
        <v/>
      </c>
      <c r="T1289" s="194" t="str">
        <f t="array" ref="T1289">IFERROR(IF(INDEX('Disaggregation Records'!$H$155:$H$385,MATCH(RIGHT(Q1289,255),RIGHT('Disaggregation Records'!$D$155:$D$385,255),0))="","",INDEX('Disaggregation Records'!$H$155:$H$385,MATCH(RIGHT(Q1289,255),RIGHT('Disaggregation Records'!$D$155:$D$385,255),0))),"")</f>
        <v/>
      </c>
      <c r="U1289" s="194">
        <f>U1287+1</f>
        <v>2834</v>
      </c>
      <c r="V1289" s="194" t="str">
        <f t="array" ref="V1289">IFERROR(IF(INDEX('Disaggregation Records'!$I$155:$I$385,MATCH(RIGHT(Q1289,255),RIGHT('Disaggregation Records'!$D$155:$D$385,255),0))="","",INDEX('Disaggregation Records'!$I$155:$I$385,MATCH(RIGHT(Q1289,255),RIGHT('Disaggregation Records'!$D$155:$D$385,255),0))),"")</f>
        <v/>
      </c>
      <c r="W1289" s="194" t="str">
        <f>IFERROR(INDEX('Reference Records'!L$77:L$157,MATCH(LEFT(C1289,255),'Reference Records'!E$77:E$157,0)),"")</f>
        <v/>
      </c>
    </row>
    <row r="1290" spans="1:23" s="194" customFormat="1" ht="40.4" customHeight="1" x14ac:dyDescent="0.35">
      <c r="A1290" s="770"/>
      <c r="B1290" s="767"/>
      <c r="C1290" s="761"/>
      <c r="D1290" s="769"/>
      <c r="E1290" s="769"/>
      <c r="F1290" s="208"/>
      <c r="G1290" s="763"/>
      <c r="H1290" s="744"/>
      <c r="I1290" s="765"/>
      <c r="J1290" s="730"/>
      <c r="K1290" s="761"/>
      <c r="L1290" s="761"/>
      <c r="M1290" s="730"/>
      <c r="N1290" s="730"/>
    </row>
    <row r="1291" spans="1:23" s="194" customFormat="1" ht="40.4" customHeight="1" x14ac:dyDescent="0.35">
      <c r="A1291" s="770" t="str">
        <f ca="1">INDIRECT("'update Helper'!C"&amp;U1291)</f>
        <v>a163p000004NtOPAA0</v>
      </c>
      <c r="B1291" s="766">
        <v>17</v>
      </c>
      <c r="C1291" s="760" t="str">
        <f>VLOOKUP(B1291,'Coverage Indicators - Section D'!$A$9:$AU$70,47,FALSE)</f>
        <v>TCS-Other1 Porcentaje de personas en TARV a quienes se les ha realizado una prueba de carga viral en los últimos 6 meses.</v>
      </c>
      <c r="D1291" s="768" t="str">
        <f>R1291</f>
        <v/>
      </c>
      <c r="E1291" s="768" t="str">
        <f>S1291</f>
        <v/>
      </c>
      <c r="F1291" s="413"/>
      <c r="G1291" s="762" t="str">
        <f ca="1">IF(OR(INDIRECT("'update Helper'!E"&amp;U1291)="",F1291&lt;&gt;0,F1292&lt;&gt;0),IF(IFERROR((F1291/F1292),"")="","",(F1291/F1292)),INDIRECT("'update Helper'!E"&amp;U1291)/100)</f>
        <v/>
      </c>
      <c r="H1291" s="743"/>
      <c r="I1291" s="764"/>
      <c r="J1291" s="729"/>
      <c r="K1291" s="760" t="str">
        <f>W1291</f>
        <v/>
      </c>
      <c r="L1291" s="760" t="str">
        <f>V1291</f>
        <v/>
      </c>
      <c r="M1291" s="729"/>
      <c r="N1291" s="729"/>
      <c r="P1291" s="194" t="e">
        <f>IF(AND(EXACT(C1291,C1289),C1289&lt;&gt;0),P1289+1,0)</f>
        <v>#REF!</v>
      </c>
      <c r="Q1291" s="194" t="e">
        <f>IF(C1291&lt;&gt;"",C1291&amp;"-"&amp;P1291,"")</f>
        <v>#REF!</v>
      </c>
      <c r="R1291" s="194" t="str">
        <f t="array" ref="R1291">IFERROR(IF(INDEX('Disaggregation Records'!$E$155:$E$385,MATCH(RIGHT(Q1291,255),RIGHT('Disaggregation Records'!$D$155:$D$385,255),0))="","",INDEX('Disaggregation Records'!$E$155:$E$385,MATCH(RIGHT(Q1291,255),RIGHT('Disaggregation Records'!$D$155:$D$385,255),0))),"")</f>
        <v/>
      </c>
      <c r="S1291" s="194" t="str">
        <f t="array" ref="S1291">IFERROR(IF(INDEX('Disaggregation Records'!$F$155:$F$385,MATCH(RIGHT(Q1291,255),RIGHT('Disaggregation Records'!$D$155:$D$385,255),0))="","",INDEX('Disaggregation Records'!$F$155:$F$385,MATCH(RIGHT(Q1291,255),RIGHT('Disaggregation Records'!$D$155:$D$385,255),0))),"")</f>
        <v/>
      </c>
      <c r="T1291" s="194" t="str">
        <f t="array" ref="T1291">IFERROR(IF(INDEX('Disaggregation Records'!$H$155:$H$385,MATCH(RIGHT(Q1291,255),RIGHT('Disaggregation Records'!$D$155:$D$385,255),0))="","",INDEX('Disaggregation Records'!$H$155:$H$385,MATCH(RIGHT(Q1291,255),RIGHT('Disaggregation Records'!$D$155:$D$385,255),0))),"")</f>
        <v/>
      </c>
      <c r="U1291" s="194">
        <f>U1289+1</f>
        <v>2835</v>
      </c>
      <c r="V1291" s="194" t="str">
        <f t="array" ref="V1291">IFERROR(IF(INDEX('Disaggregation Records'!$I$155:$I$385,MATCH(RIGHT(Q1291,255),RIGHT('Disaggregation Records'!$D$155:$D$385,255),0))="","",INDEX('Disaggregation Records'!$I$155:$I$385,MATCH(RIGHT(Q1291,255),RIGHT('Disaggregation Records'!$D$155:$D$385,255),0))),"")</f>
        <v/>
      </c>
      <c r="W1291" s="194" t="str">
        <f>IFERROR(INDEX('Reference Records'!L$77:L$157,MATCH(LEFT(C1291,255),'Reference Records'!E$77:E$157,0)),"")</f>
        <v/>
      </c>
    </row>
    <row r="1292" spans="1:23" s="194" customFormat="1" ht="40.4" customHeight="1" x14ac:dyDescent="0.35">
      <c r="A1292" s="770"/>
      <c r="B1292" s="767"/>
      <c r="C1292" s="761"/>
      <c r="D1292" s="769"/>
      <c r="E1292" s="769"/>
      <c r="F1292" s="208"/>
      <c r="G1292" s="763"/>
      <c r="H1292" s="744"/>
      <c r="I1292" s="765"/>
      <c r="J1292" s="730"/>
      <c r="K1292" s="761"/>
      <c r="L1292" s="761"/>
      <c r="M1292" s="730"/>
      <c r="N1292" s="730"/>
    </row>
    <row r="1293" spans="1:23" s="194" customFormat="1" ht="40.4" customHeight="1" x14ac:dyDescent="0.35">
      <c r="A1293" s="770" t="str">
        <f ca="1">INDIRECT("'update Helper'!C"&amp;U1293)</f>
        <v>a163p000004NtOQAA0</v>
      </c>
      <c r="B1293" s="766">
        <v>17</v>
      </c>
      <c r="C1293" s="760" t="str">
        <f>VLOOKUP(B1293,'Coverage Indicators - Section D'!$A$9:$AU$70,47,FALSE)</f>
        <v>TCS-Other1 Porcentaje de personas en TARV a quienes se les ha realizado una prueba de carga viral en los últimos 6 meses.</v>
      </c>
      <c r="D1293" s="768" t="str">
        <f>R1293</f>
        <v/>
      </c>
      <c r="E1293" s="768" t="str">
        <f>S1293</f>
        <v/>
      </c>
      <c r="F1293" s="413"/>
      <c r="G1293" s="762" t="str">
        <f ca="1">IF(OR(INDIRECT("'update Helper'!E"&amp;U1293)="",F1293&lt;&gt;0,F1294&lt;&gt;0),IF(IFERROR((F1293/F1294),"")="","",(F1293/F1294)),INDIRECT("'update Helper'!E"&amp;U1293)/100)</f>
        <v/>
      </c>
      <c r="H1293" s="743"/>
      <c r="I1293" s="764"/>
      <c r="J1293" s="729"/>
      <c r="K1293" s="760" t="str">
        <f>W1293</f>
        <v/>
      </c>
      <c r="L1293" s="760" t="str">
        <f>V1293</f>
        <v/>
      </c>
      <c r="M1293" s="729"/>
      <c r="N1293" s="729"/>
      <c r="P1293" s="194" t="e">
        <f>IF(AND(EXACT(C1293,C1291),C1291&lt;&gt;0),P1291+1,0)</f>
        <v>#REF!</v>
      </c>
      <c r="Q1293" s="194" t="e">
        <f>IF(C1293&lt;&gt;"",C1293&amp;"-"&amp;P1293,"")</f>
        <v>#REF!</v>
      </c>
      <c r="R1293" s="194" t="str">
        <f t="array" ref="R1293">IFERROR(IF(INDEX('Disaggregation Records'!$E$155:$E$385,MATCH(RIGHT(Q1293,255),RIGHT('Disaggregation Records'!$D$155:$D$385,255),0))="","",INDEX('Disaggregation Records'!$E$155:$E$385,MATCH(RIGHT(Q1293,255),RIGHT('Disaggregation Records'!$D$155:$D$385,255),0))),"")</f>
        <v/>
      </c>
      <c r="S1293" s="194" t="str">
        <f t="array" ref="S1293">IFERROR(IF(INDEX('Disaggregation Records'!$F$155:$F$385,MATCH(RIGHT(Q1293,255),RIGHT('Disaggregation Records'!$D$155:$D$385,255),0))="","",INDEX('Disaggregation Records'!$F$155:$F$385,MATCH(RIGHT(Q1293,255),RIGHT('Disaggregation Records'!$D$155:$D$385,255),0))),"")</f>
        <v/>
      </c>
      <c r="T1293" s="194" t="str">
        <f t="array" ref="T1293">IFERROR(IF(INDEX('Disaggregation Records'!$H$155:$H$385,MATCH(RIGHT(Q1293,255),RIGHT('Disaggregation Records'!$D$155:$D$385,255),0))="","",INDEX('Disaggregation Records'!$H$155:$H$385,MATCH(RIGHT(Q1293,255),RIGHT('Disaggregation Records'!$D$155:$D$385,255),0))),"")</f>
        <v/>
      </c>
      <c r="U1293" s="194">
        <f>U1291+1</f>
        <v>2836</v>
      </c>
      <c r="V1293" s="194" t="str">
        <f t="array" ref="V1293">IFERROR(IF(INDEX('Disaggregation Records'!$I$155:$I$385,MATCH(RIGHT(Q1293,255),RIGHT('Disaggregation Records'!$D$155:$D$385,255),0))="","",INDEX('Disaggregation Records'!$I$155:$I$385,MATCH(RIGHT(Q1293,255),RIGHT('Disaggregation Records'!$D$155:$D$385,255),0))),"")</f>
        <v/>
      </c>
      <c r="W1293" s="194" t="str">
        <f>IFERROR(INDEX('Reference Records'!L$77:L$157,MATCH(LEFT(C1293,255),'Reference Records'!E$77:E$157,0)),"")</f>
        <v/>
      </c>
    </row>
    <row r="1294" spans="1:23" s="194" customFormat="1" ht="40.4" customHeight="1" x14ac:dyDescent="0.35">
      <c r="A1294" s="770"/>
      <c r="B1294" s="767"/>
      <c r="C1294" s="761"/>
      <c r="D1294" s="769"/>
      <c r="E1294" s="769"/>
      <c r="F1294" s="208"/>
      <c r="G1294" s="763"/>
      <c r="H1294" s="744"/>
      <c r="I1294" s="765"/>
      <c r="J1294" s="730"/>
      <c r="K1294" s="761"/>
      <c r="L1294" s="761"/>
      <c r="M1294" s="730"/>
      <c r="N1294" s="730"/>
    </row>
    <row r="1295" spans="1:23" s="194" customFormat="1" ht="40.4" customHeight="1" x14ac:dyDescent="0.35">
      <c r="A1295" s="770" t="str">
        <f ca="1">INDIRECT("'update Helper'!C"&amp;U1295)</f>
        <v>a163p000004NtORAA0</v>
      </c>
      <c r="B1295" s="766">
        <v>17</v>
      </c>
      <c r="C1295" s="760" t="str">
        <f>VLOOKUP(B1295,'Coverage Indicators - Section D'!$A$9:$AU$70,47,FALSE)</f>
        <v>TCS-Other1 Porcentaje de personas en TARV a quienes se les ha realizado una prueba de carga viral en los últimos 6 meses.</v>
      </c>
      <c r="D1295" s="768" t="str">
        <f>R1295</f>
        <v/>
      </c>
      <c r="E1295" s="768" t="str">
        <f>S1295</f>
        <v/>
      </c>
      <c r="F1295" s="413"/>
      <c r="G1295" s="762" t="str">
        <f ca="1">IF(OR(INDIRECT("'update Helper'!E"&amp;U1295)="",F1295&lt;&gt;0,F1296&lt;&gt;0),IF(IFERROR((F1295/F1296),"")="","",(F1295/F1296)),INDIRECT("'update Helper'!E"&amp;U1295)/100)</f>
        <v/>
      </c>
      <c r="H1295" s="743"/>
      <c r="I1295" s="764"/>
      <c r="J1295" s="729"/>
      <c r="K1295" s="760" t="str">
        <f>W1295</f>
        <v/>
      </c>
      <c r="L1295" s="760" t="str">
        <f>V1295</f>
        <v/>
      </c>
      <c r="M1295" s="729"/>
      <c r="N1295" s="729"/>
      <c r="P1295" s="194" t="e">
        <f>IF(AND(EXACT(C1295,C1293),C1293&lt;&gt;0),P1293+1,0)</f>
        <v>#REF!</v>
      </c>
      <c r="Q1295" s="194" t="e">
        <f>IF(C1295&lt;&gt;"",C1295&amp;"-"&amp;P1295,"")</f>
        <v>#REF!</v>
      </c>
      <c r="R1295" s="194" t="str">
        <f t="array" ref="R1295">IFERROR(IF(INDEX('Disaggregation Records'!$E$155:$E$385,MATCH(RIGHT(Q1295,255),RIGHT('Disaggregation Records'!$D$155:$D$385,255),0))="","",INDEX('Disaggregation Records'!$E$155:$E$385,MATCH(RIGHT(Q1295,255),RIGHT('Disaggregation Records'!$D$155:$D$385,255),0))),"")</f>
        <v/>
      </c>
      <c r="S1295" s="194" t="str">
        <f t="array" ref="S1295">IFERROR(IF(INDEX('Disaggregation Records'!$F$155:$F$385,MATCH(RIGHT(Q1295,255),RIGHT('Disaggregation Records'!$D$155:$D$385,255),0))="","",INDEX('Disaggregation Records'!$F$155:$F$385,MATCH(RIGHT(Q1295,255),RIGHT('Disaggregation Records'!$D$155:$D$385,255),0))),"")</f>
        <v/>
      </c>
      <c r="T1295" s="194" t="str">
        <f t="array" ref="T1295">IFERROR(IF(INDEX('Disaggregation Records'!$H$155:$H$385,MATCH(RIGHT(Q1295,255),RIGHT('Disaggregation Records'!$D$155:$D$385,255),0))="","",INDEX('Disaggregation Records'!$H$155:$H$385,MATCH(RIGHT(Q1295,255),RIGHT('Disaggregation Records'!$D$155:$D$385,255),0))),"")</f>
        <v/>
      </c>
      <c r="U1295" s="194">
        <f>U1293+1</f>
        <v>2837</v>
      </c>
      <c r="V1295" s="194" t="str">
        <f t="array" ref="V1295">IFERROR(IF(INDEX('Disaggregation Records'!$I$155:$I$385,MATCH(RIGHT(Q1295,255),RIGHT('Disaggregation Records'!$D$155:$D$385,255),0))="","",INDEX('Disaggregation Records'!$I$155:$I$385,MATCH(RIGHT(Q1295,255),RIGHT('Disaggregation Records'!$D$155:$D$385,255),0))),"")</f>
        <v/>
      </c>
      <c r="W1295" s="194" t="str">
        <f>IFERROR(INDEX('Reference Records'!L$77:L$157,MATCH(LEFT(C1295,255),'Reference Records'!E$77:E$157,0)),"")</f>
        <v/>
      </c>
    </row>
    <row r="1296" spans="1:23" s="194" customFormat="1" ht="40.4" customHeight="1" x14ac:dyDescent="0.35">
      <c r="A1296" s="770"/>
      <c r="B1296" s="767"/>
      <c r="C1296" s="761"/>
      <c r="D1296" s="769"/>
      <c r="E1296" s="769"/>
      <c r="F1296" s="208"/>
      <c r="G1296" s="763"/>
      <c r="H1296" s="744"/>
      <c r="I1296" s="765"/>
      <c r="J1296" s="730"/>
      <c r="K1296" s="761"/>
      <c r="L1296" s="761"/>
      <c r="M1296" s="730"/>
      <c r="N1296" s="730"/>
    </row>
    <row r="1297" spans="1:23" s="194" customFormat="1" ht="40.4" customHeight="1" x14ac:dyDescent="0.35">
      <c r="A1297" s="770" t="str">
        <f ca="1">INDIRECT("'update Helper'!C"&amp;U1297)</f>
        <v>a163p000004NtOSAA0</v>
      </c>
      <c r="B1297" s="766">
        <v>17</v>
      </c>
      <c r="C1297" s="760" t="str">
        <f>VLOOKUP(B1297,'Coverage Indicators - Section D'!$A$9:$AU$70,47,FALSE)</f>
        <v>TCS-Other1 Porcentaje de personas en TARV a quienes se les ha realizado una prueba de carga viral en los últimos 6 meses.</v>
      </c>
      <c r="D1297" s="768" t="str">
        <f>R1297</f>
        <v/>
      </c>
      <c r="E1297" s="768" t="str">
        <f>S1297</f>
        <v/>
      </c>
      <c r="F1297" s="413"/>
      <c r="G1297" s="762" t="str">
        <f ca="1">IF(OR(INDIRECT("'update Helper'!E"&amp;U1297)="",F1297&lt;&gt;0,F1298&lt;&gt;0),IF(IFERROR((F1297/F1298),"")="","",(F1297/F1298)),INDIRECT("'update Helper'!E"&amp;U1297)/100)</f>
        <v/>
      </c>
      <c r="H1297" s="743"/>
      <c r="I1297" s="764"/>
      <c r="J1297" s="729"/>
      <c r="K1297" s="760" t="str">
        <f>W1297</f>
        <v/>
      </c>
      <c r="L1297" s="760" t="str">
        <f>V1297</f>
        <v/>
      </c>
      <c r="M1297" s="729"/>
      <c r="N1297" s="729"/>
      <c r="P1297" s="194" t="e">
        <f>IF(AND(EXACT(C1297,C1295),C1295&lt;&gt;0),P1295+1,0)</f>
        <v>#REF!</v>
      </c>
      <c r="Q1297" s="194" t="e">
        <f>IF(C1297&lt;&gt;"",C1297&amp;"-"&amp;P1297,"")</f>
        <v>#REF!</v>
      </c>
      <c r="R1297" s="194" t="str">
        <f t="array" ref="R1297">IFERROR(IF(INDEX('Disaggregation Records'!$E$155:$E$385,MATCH(RIGHT(Q1297,255),RIGHT('Disaggregation Records'!$D$155:$D$385,255),0))="","",INDEX('Disaggregation Records'!$E$155:$E$385,MATCH(RIGHT(Q1297,255),RIGHT('Disaggregation Records'!$D$155:$D$385,255),0))),"")</f>
        <v/>
      </c>
      <c r="S1297" s="194" t="str">
        <f t="array" ref="S1297">IFERROR(IF(INDEX('Disaggregation Records'!$F$155:$F$385,MATCH(RIGHT(Q1297,255),RIGHT('Disaggregation Records'!$D$155:$D$385,255),0))="","",INDEX('Disaggregation Records'!$F$155:$F$385,MATCH(RIGHT(Q1297,255),RIGHT('Disaggregation Records'!$D$155:$D$385,255),0))),"")</f>
        <v/>
      </c>
      <c r="T1297" s="194" t="str">
        <f t="array" ref="T1297">IFERROR(IF(INDEX('Disaggregation Records'!$H$155:$H$385,MATCH(RIGHT(Q1297,255),RIGHT('Disaggregation Records'!$D$155:$D$385,255),0))="","",INDEX('Disaggregation Records'!$H$155:$H$385,MATCH(RIGHT(Q1297,255),RIGHT('Disaggregation Records'!$D$155:$D$385,255),0))),"")</f>
        <v/>
      </c>
      <c r="U1297" s="194">
        <f>U1295+1</f>
        <v>2838</v>
      </c>
      <c r="V1297" s="194" t="str">
        <f t="array" ref="V1297">IFERROR(IF(INDEX('Disaggregation Records'!$I$155:$I$385,MATCH(RIGHT(Q1297,255),RIGHT('Disaggregation Records'!$D$155:$D$385,255),0))="","",INDEX('Disaggregation Records'!$I$155:$I$385,MATCH(RIGHT(Q1297,255),RIGHT('Disaggregation Records'!$D$155:$D$385,255),0))),"")</f>
        <v/>
      </c>
      <c r="W1297" s="194" t="str">
        <f>IFERROR(INDEX('Reference Records'!L$77:L$157,MATCH(LEFT(C1297,255),'Reference Records'!E$77:E$157,0)),"")</f>
        <v/>
      </c>
    </row>
    <row r="1298" spans="1:23" s="194" customFormat="1" ht="40.4" customHeight="1" x14ac:dyDescent="0.35">
      <c r="A1298" s="770"/>
      <c r="B1298" s="767"/>
      <c r="C1298" s="761"/>
      <c r="D1298" s="769"/>
      <c r="E1298" s="769"/>
      <c r="F1298" s="208"/>
      <c r="G1298" s="763"/>
      <c r="H1298" s="744"/>
      <c r="I1298" s="765"/>
      <c r="J1298" s="730"/>
      <c r="K1298" s="761"/>
      <c r="L1298" s="761"/>
      <c r="M1298" s="730"/>
      <c r="N1298" s="730"/>
    </row>
    <row r="1299" spans="1:23" s="194" customFormat="1" ht="40.4" customHeight="1" x14ac:dyDescent="0.35">
      <c r="A1299" s="770" t="str">
        <f ca="1">INDIRECT("'update Helper'!C"&amp;U1299)</f>
        <v>a163p000004NtOTAA0</v>
      </c>
      <c r="B1299" s="766">
        <v>17</v>
      </c>
      <c r="C1299" s="760" t="str">
        <f>VLOOKUP(B1299,'Coverage Indicators - Section D'!$A$9:$AU$70,47,FALSE)</f>
        <v>TCS-Other1 Porcentaje de personas en TARV a quienes se les ha realizado una prueba de carga viral en los últimos 6 meses.</v>
      </c>
      <c r="D1299" s="768" t="str">
        <f>R1299</f>
        <v/>
      </c>
      <c r="E1299" s="768" t="str">
        <f>S1299</f>
        <v/>
      </c>
      <c r="F1299" s="413"/>
      <c r="G1299" s="762" t="str">
        <f ca="1">IF(OR(INDIRECT("'update Helper'!E"&amp;U1299)="",F1299&lt;&gt;0,F1300&lt;&gt;0),IF(IFERROR((F1299/F1300),"")="","",(F1299/F1300)),INDIRECT("'update Helper'!E"&amp;U1299)/100)</f>
        <v/>
      </c>
      <c r="H1299" s="743"/>
      <c r="I1299" s="764"/>
      <c r="J1299" s="729"/>
      <c r="K1299" s="760" t="str">
        <f>W1299</f>
        <v/>
      </c>
      <c r="L1299" s="760" t="str">
        <f>V1299</f>
        <v/>
      </c>
      <c r="M1299" s="729"/>
      <c r="N1299" s="729"/>
      <c r="P1299" s="194" t="e">
        <f>IF(AND(EXACT(C1299,C1297),C1297&lt;&gt;0),P1297+1,0)</f>
        <v>#REF!</v>
      </c>
      <c r="Q1299" s="194" t="e">
        <f>IF(C1299&lt;&gt;"",C1299&amp;"-"&amp;P1299,"")</f>
        <v>#REF!</v>
      </c>
      <c r="R1299" s="194" t="str">
        <f t="array" ref="R1299">IFERROR(IF(INDEX('Disaggregation Records'!$E$155:$E$385,MATCH(RIGHT(Q1299,255),RIGHT('Disaggregation Records'!$D$155:$D$385,255),0))="","",INDEX('Disaggregation Records'!$E$155:$E$385,MATCH(RIGHT(Q1299,255),RIGHT('Disaggregation Records'!$D$155:$D$385,255),0))),"")</f>
        <v/>
      </c>
      <c r="S1299" s="194" t="str">
        <f t="array" ref="S1299">IFERROR(IF(INDEX('Disaggregation Records'!$F$155:$F$385,MATCH(RIGHT(Q1299,255),RIGHT('Disaggregation Records'!$D$155:$D$385,255),0))="","",INDEX('Disaggregation Records'!$F$155:$F$385,MATCH(RIGHT(Q1299,255),RIGHT('Disaggregation Records'!$D$155:$D$385,255),0))),"")</f>
        <v/>
      </c>
      <c r="T1299" s="194" t="str">
        <f t="array" ref="T1299">IFERROR(IF(INDEX('Disaggregation Records'!$H$155:$H$385,MATCH(RIGHT(Q1299,255),RIGHT('Disaggregation Records'!$D$155:$D$385,255),0))="","",INDEX('Disaggregation Records'!$H$155:$H$385,MATCH(RIGHT(Q1299,255),RIGHT('Disaggregation Records'!$D$155:$D$385,255),0))),"")</f>
        <v/>
      </c>
      <c r="U1299" s="194">
        <f>U1297+1</f>
        <v>2839</v>
      </c>
      <c r="V1299" s="194" t="str">
        <f t="array" ref="V1299">IFERROR(IF(INDEX('Disaggregation Records'!$I$155:$I$385,MATCH(RIGHT(Q1299,255),RIGHT('Disaggregation Records'!$D$155:$D$385,255),0))="","",INDEX('Disaggregation Records'!$I$155:$I$385,MATCH(RIGHT(Q1299,255),RIGHT('Disaggregation Records'!$D$155:$D$385,255),0))),"")</f>
        <v/>
      </c>
      <c r="W1299" s="194" t="str">
        <f>IFERROR(INDEX('Reference Records'!L$77:L$157,MATCH(LEFT(C1299,255),'Reference Records'!E$77:E$157,0)),"")</f>
        <v/>
      </c>
    </row>
    <row r="1300" spans="1:23" s="194" customFormat="1" ht="40.4" customHeight="1" x14ac:dyDescent="0.35">
      <c r="A1300" s="770"/>
      <c r="B1300" s="767"/>
      <c r="C1300" s="761"/>
      <c r="D1300" s="769"/>
      <c r="E1300" s="769"/>
      <c r="F1300" s="208"/>
      <c r="G1300" s="763"/>
      <c r="H1300" s="744"/>
      <c r="I1300" s="765"/>
      <c r="J1300" s="730"/>
      <c r="K1300" s="761"/>
      <c r="L1300" s="761"/>
      <c r="M1300" s="730"/>
      <c r="N1300" s="730"/>
    </row>
    <row r="1301" spans="1:23" s="194" customFormat="1" ht="40.4" customHeight="1" x14ac:dyDescent="0.35">
      <c r="A1301" s="770" t="str">
        <f ca="1">INDIRECT("'update Helper'!C"&amp;U1301)</f>
        <v>a163p000004NtXqAAK</v>
      </c>
      <c r="B1301" s="766">
        <v>18</v>
      </c>
      <c r="C1301" s="760" t="str">
        <f>VLOOKUP(B1301,'Coverage Indicators - Section D'!$A$9:$AU$70,47,FALSE)</f>
        <v>HTS-3a⁽ᴹ⁾ Porcentaje de HSH a los que se les ha realizado una prueba de VIH durante el período de reporte y que conocen sus resultados</v>
      </c>
      <c r="D1301" s="768" t="str">
        <f>R1301</f>
        <v>Resultado de prueba del VIH</v>
      </c>
      <c r="E1301" s="768" t="str">
        <f>S1301</f>
        <v>Negativo</v>
      </c>
      <c r="F1301" s="413"/>
      <c r="G1301" s="762" t="str">
        <f ca="1">IF(OR(INDIRECT("'update Helper'!E"&amp;U1301)="",F1301&lt;&gt;0,F1302&lt;&gt;0),IF(IFERROR((F1301/F1302),"")="","",(F1301/F1302)),INDIRECT("'update Helper'!E"&amp;U1301)/100)</f>
        <v/>
      </c>
      <c r="H1301" s="743"/>
      <c r="I1301" s="764"/>
      <c r="J1301" s="729"/>
      <c r="K1301" s="760" t="str">
        <f>W1301</f>
        <v>HTS-3a⁽ᴹ⁾ Percentage of men who have sex with men that have received an HIV test during the reporting period and know their results</v>
      </c>
      <c r="L1301" s="760" t="str">
        <f>V1301</f>
        <v>HIV test status</v>
      </c>
      <c r="M1301" s="729"/>
      <c r="N1301" s="729"/>
      <c r="P1301" s="194">
        <f>IF(AND(EXACT(C1301,C1299),C1299&lt;&gt;0),P1299+1,0)</f>
        <v>0</v>
      </c>
      <c r="Q1301" s="194" t="str">
        <f>IF(C1301&lt;&gt;"",C1301&amp;"-"&amp;P1301,"")</f>
        <v>HTS-3a⁽ᴹ⁾ Porcentaje de HSH a los que se les ha realizado una prueba de VIH durante el período de reporte y que conocen sus resultados-0</v>
      </c>
      <c r="R1301" s="194" t="str">
        <f t="array" ref="R1301">IFERROR(IF(INDEX('Disaggregation Records'!$E$155:$E$385,MATCH(RIGHT(Q1301,255),RIGHT('Disaggregation Records'!$D$155:$D$385,255),0))="","",INDEX('Disaggregation Records'!$E$155:$E$385,MATCH(RIGHT(Q1301,255),RIGHT('Disaggregation Records'!$D$155:$D$385,255),0))),"")</f>
        <v>Resultado de prueba del VIH</v>
      </c>
      <c r="S1301" s="194" t="str">
        <f t="array" ref="S1301">IFERROR(IF(INDEX('Disaggregation Records'!$F$155:$F$385,MATCH(RIGHT(Q1301,255),RIGHT('Disaggregation Records'!$D$155:$D$385,255),0))="","",INDEX('Disaggregation Records'!$F$155:$F$385,MATCH(RIGHT(Q1301,255),RIGHT('Disaggregation Records'!$D$155:$D$385,255),0))),"")</f>
        <v>Negativo</v>
      </c>
      <c r="T1301" s="194" t="str">
        <f t="array" ref="T1301">IFERROR(IF(INDEX('Disaggregation Records'!$H$155:$H$385,MATCH(RIGHT(Q1301,255),RIGHT('Disaggregation Records'!$D$155:$D$385,255),0))="","",INDEX('Disaggregation Records'!$H$155:$H$385,MATCH(RIGHT(Q1301,255),RIGHT('Disaggregation Records'!$D$155:$D$385,255),0))),"")</f>
        <v>IDR-00920</v>
      </c>
      <c r="U1301" s="194">
        <f>U1299+1</f>
        <v>2840</v>
      </c>
      <c r="V1301" s="194" t="str">
        <f t="array" ref="V1301">IFERROR(IF(INDEX('Disaggregation Records'!$I$155:$I$385,MATCH(RIGHT(Q1301,255),RIGHT('Disaggregation Records'!$D$155:$D$385,255),0))="","",INDEX('Disaggregation Records'!$I$155:$I$385,MATCH(RIGHT(Q1301,255),RIGHT('Disaggregation Records'!$D$155:$D$385,255),0))),"")</f>
        <v>HIV test status</v>
      </c>
      <c r="W1301" s="194" t="str">
        <f>IFERROR(INDEX('Reference Records'!L$77:L$157,MATCH(LEFT(C1301,255),'Reference Records'!E$77:E$157,0)),"")</f>
        <v>HTS-3a⁽ᴹ⁾ Percentage of men who have sex with men that have received an HIV test during the reporting period and know their results</v>
      </c>
    </row>
    <row r="1302" spans="1:23" s="194" customFormat="1" ht="40.4" customHeight="1" x14ac:dyDescent="0.35">
      <c r="A1302" s="770"/>
      <c r="B1302" s="767"/>
      <c r="C1302" s="761"/>
      <c r="D1302" s="769"/>
      <c r="E1302" s="769"/>
      <c r="F1302" s="208"/>
      <c r="G1302" s="763"/>
      <c r="H1302" s="744"/>
      <c r="I1302" s="765"/>
      <c r="J1302" s="730"/>
      <c r="K1302" s="761"/>
      <c r="L1302" s="761"/>
      <c r="M1302" s="730"/>
      <c r="N1302" s="730"/>
    </row>
    <row r="1303" spans="1:23" s="194" customFormat="1" ht="40.4" customHeight="1" x14ac:dyDescent="0.35">
      <c r="A1303" s="770" t="str">
        <f ca="1">INDIRECT("'update Helper'!C"&amp;U1303)</f>
        <v>a163p000004NtXrAAK</v>
      </c>
      <c r="B1303" s="766">
        <v>18</v>
      </c>
      <c r="C1303" s="760" t="str">
        <f>VLOOKUP(B1303,'Coverage Indicators - Section D'!$A$9:$AU$70,47,FALSE)</f>
        <v>HTS-3a⁽ᴹ⁾ Porcentaje de HSH a los que se les ha realizado una prueba de VIH durante el período de reporte y que conocen sus resultados</v>
      </c>
      <c r="D1303" s="768" t="str">
        <f>R1303</f>
        <v>Resultado de prueba del VIH</v>
      </c>
      <c r="E1303" s="768" t="str">
        <f>S1303</f>
        <v>Positivo</v>
      </c>
      <c r="F1303" s="413"/>
      <c r="G1303" s="762" t="str">
        <f ca="1">IF(OR(INDIRECT("'update Helper'!E"&amp;U1303)="",F1303&lt;&gt;0,F1304&lt;&gt;0),IF(IFERROR((F1303/F1304),"")="","",(F1303/F1304)),INDIRECT("'update Helper'!E"&amp;U1303)/100)</f>
        <v/>
      </c>
      <c r="H1303" s="743"/>
      <c r="I1303" s="764"/>
      <c r="J1303" s="729"/>
      <c r="K1303" s="760" t="str">
        <f>W1303</f>
        <v>HTS-3a⁽ᴹ⁾ Percentage of men who have sex with men that have received an HIV test during the reporting period and know their results</v>
      </c>
      <c r="L1303" s="760" t="str">
        <f>V1303</f>
        <v>HIV test status</v>
      </c>
      <c r="M1303" s="729"/>
      <c r="N1303" s="729"/>
      <c r="P1303" s="194">
        <f>IF(AND(EXACT(C1303,C1301),C1301&lt;&gt;0),P1301+1,0)</f>
        <v>1</v>
      </c>
      <c r="Q1303" s="194" t="str">
        <f>IF(C1303&lt;&gt;"",C1303&amp;"-"&amp;P1303,"")</f>
        <v>HTS-3a⁽ᴹ⁾ Porcentaje de HSH a los que se les ha realizado una prueba de VIH durante el período de reporte y que conocen sus resultados-1</v>
      </c>
      <c r="R1303" s="194" t="str">
        <f t="array" ref="R1303">IFERROR(IF(INDEX('Disaggregation Records'!$E$155:$E$385,MATCH(RIGHT(Q1303,255),RIGHT('Disaggregation Records'!$D$155:$D$385,255),0))="","",INDEX('Disaggregation Records'!$E$155:$E$385,MATCH(RIGHT(Q1303,255),RIGHT('Disaggregation Records'!$D$155:$D$385,255),0))),"")</f>
        <v>Resultado de prueba del VIH</v>
      </c>
      <c r="S1303" s="194" t="str">
        <f t="array" ref="S1303">IFERROR(IF(INDEX('Disaggregation Records'!$F$155:$F$385,MATCH(RIGHT(Q1303,255),RIGHT('Disaggregation Records'!$D$155:$D$385,255),0))="","",INDEX('Disaggregation Records'!$F$155:$F$385,MATCH(RIGHT(Q1303,255),RIGHT('Disaggregation Records'!$D$155:$D$385,255),0))),"")</f>
        <v>Positivo</v>
      </c>
      <c r="T1303" s="194" t="str">
        <f t="array" ref="T1303">IFERROR(IF(INDEX('Disaggregation Records'!$H$155:$H$385,MATCH(RIGHT(Q1303,255),RIGHT('Disaggregation Records'!$D$155:$D$385,255),0))="","",INDEX('Disaggregation Records'!$H$155:$H$385,MATCH(RIGHT(Q1303,255),RIGHT('Disaggregation Records'!$D$155:$D$385,255),0))),"")</f>
        <v>IDR-00919</v>
      </c>
      <c r="U1303" s="194">
        <f>U1301+1</f>
        <v>2841</v>
      </c>
      <c r="V1303" s="194" t="str">
        <f t="array" ref="V1303">IFERROR(IF(INDEX('Disaggregation Records'!$I$155:$I$385,MATCH(RIGHT(Q1303,255),RIGHT('Disaggregation Records'!$D$155:$D$385,255),0))="","",INDEX('Disaggregation Records'!$I$155:$I$385,MATCH(RIGHT(Q1303,255),RIGHT('Disaggregation Records'!$D$155:$D$385,255),0))),"")</f>
        <v>HIV test status</v>
      </c>
      <c r="W1303" s="194" t="str">
        <f>IFERROR(INDEX('Reference Records'!L$77:L$157,MATCH(LEFT(C1303,255),'Reference Records'!E$77:E$157,0)),"")</f>
        <v>HTS-3a⁽ᴹ⁾ Percentage of men who have sex with men that have received an HIV test during the reporting period and know their results</v>
      </c>
    </row>
    <row r="1304" spans="1:23" s="194" customFormat="1" ht="40.4" customHeight="1" x14ac:dyDescent="0.35">
      <c r="A1304" s="770"/>
      <c r="B1304" s="767"/>
      <c r="C1304" s="761"/>
      <c r="D1304" s="769"/>
      <c r="E1304" s="769"/>
      <c r="F1304" s="208"/>
      <c r="G1304" s="763"/>
      <c r="H1304" s="744"/>
      <c r="I1304" s="765"/>
      <c r="J1304" s="730"/>
      <c r="K1304" s="761"/>
      <c r="L1304" s="761"/>
      <c r="M1304" s="730"/>
      <c r="N1304" s="730"/>
    </row>
    <row r="1305" spans="1:23" s="194" customFormat="1" ht="40.4" customHeight="1" x14ac:dyDescent="0.35">
      <c r="A1305" s="770" t="str">
        <f ca="1">INDIRECT("'update Helper'!C"&amp;U1305)</f>
        <v>a163p000004NtXsAAK</v>
      </c>
      <c r="B1305" s="766">
        <v>18</v>
      </c>
      <c r="C1305" s="760" t="str">
        <f>VLOOKUP(B1305,'Coverage Indicators - Section D'!$A$9:$AU$70,47,FALSE)</f>
        <v>HTS-3a⁽ᴹ⁾ Porcentaje de HSH a los que se les ha realizado una prueba de VIH durante el período de reporte y que conocen sus resultados</v>
      </c>
      <c r="D1305" s="768" t="str">
        <f>R1305</f>
        <v>Edad</v>
      </c>
      <c r="E1305" s="768" t="str">
        <f>S1305</f>
        <v>25+</v>
      </c>
      <c r="F1305" s="413"/>
      <c r="G1305" s="762" t="str">
        <f ca="1">IF(OR(INDIRECT("'update Helper'!E"&amp;U1305)="",F1305&lt;&gt;0,F1306&lt;&gt;0),IF(IFERROR((F1305/F1306),"")="","",(F1305/F1306)),INDIRECT("'update Helper'!E"&amp;U1305)/100)</f>
        <v/>
      </c>
      <c r="H1305" s="743"/>
      <c r="I1305" s="764"/>
      <c r="J1305" s="729"/>
      <c r="K1305" s="760" t="str">
        <f>W1305</f>
        <v>HTS-3a⁽ᴹ⁾ Percentage of men who have sex with men that have received an HIV test during the reporting period and know their results</v>
      </c>
      <c r="L1305" s="760" t="str">
        <f>V1305</f>
        <v>Age</v>
      </c>
      <c r="M1305" s="729"/>
      <c r="N1305" s="729"/>
      <c r="P1305" s="194">
        <f>IF(AND(EXACT(C1305,C1303),C1303&lt;&gt;0),P1303+1,0)</f>
        <v>2</v>
      </c>
      <c r="Q1305" s="194" t="str">
        <f>IF(C1305&lt;&gt;"",C1305&amp;"-"&amp;P1305,"")</f>
        <v>HTS-3a⁽ᴹ⁾ Porcentaje de HSH a los que se les ha realizado una prueba de VIH durante el período de reporte y que conocen sus resultados-2</v>
      </c>
      <c r="R1305" s="194" t="str">
        <f t="array" ref="R1305">IFERROR(IF(INDEX('Disaggregation Records'!$E$155:$E$385,MATCH(RIGHT(Q1305,255),RIGHT('Disaggregation Records'!$D$155:$D$385,255),0))="","",INDEX('Disaggregation Records'!$E$155:$E$385,MATCH(RIGHT(Q1305,255),RIGHT('Disaggregation Records'!$D$155:$D$385,255),0))),"")</f>
        <v>Edad</v>
      </c>
      <c r="S1305" s="194" t="str">
        <f t="array" ref="S1305">IFERROR(IF(INDEX('Disaggregation Records'!$F$155:$F$385,MATCH(RIGHT(Q1305,255),RIGHT('Disaggregation Records'!$D$155:$D$385,255),0))="","",INDEX('Disaggregation Records'!$F$155:$F$385,MATCH(RIGHT(Q1305,255),RIGHT('Disaggregation Records'!$D$155:$D$385,255),0))),"")</f>
        <v>25+</v>
      </c>
      <c r="T1305" s="194" t="str">
        <f t="array" ref="T1305">IFERROR(IF(INDEX('Disaggregation Records'!$H$155:$H$385,MATCH(RIGHT(Q1305,255),RIGHT('Disaggregation Records'!$D$155:$D$385,255),0))="","",INDEX('Disaggregation Records'!$H$155:$H$385,MATCH(RIGHT(Q1305,255),RIGHT('Disaggregation Records'!$D$155:$D$385,255),0))),"")</f>
        <v>IDR-00714</v>
      </c>
      <c r="U1305" s="194">
        <f>U1303+1</f>
        <v>2842</v>
      </c>
      <c r="V1305" s="194" t="str">
        <f t="array" ref="V1305">IFERROR(IF(INDEX('Disaggregation Records'!$I$155:$I$385,MATCH(RIGHT(Q1305,255),RIGHT('Disaggregation Records'!$D$155:$D$385,255),0))="","",INDEX('Disaggregation Records'!$I$155:$I$385,MATCH(RIGHT(Q1305,255),RIGHT('Disaggregation Records'!$D$155:$D$385,255),0))),"")</f>
        <v>Age</v>
      </c>
      <c r="W1305" s="194" t="str">
        <f>IFERROR(INDEX('Reference Records'!L$77:L$157,MATCH(LEFT(C1305,255),'Reference Records'!E$77:E$157,0)),"")</f>
        <v>HTS-3a⁽ᴹ⁾ Percentage of men who have sex with men that have received an HIV test during the reporting period and know their results</v>
      </c>
    </row>
    <row r="1306" spans="1:23" s="194" customFormat="1" ht="40.4" customHeight="1" x14ac:dyDescent="0.35">
      <c r="A1306" s="770"/>
      <c r="B1306" s="767"/>
      <c r="C1306" s="761"/>
      <c r="D1306" s="769"/>
      <c r="E1306" s="769"/>
      <c r="F1306" s="208"/>
      <c r="G1306" s="763"/>
      <c r="H1306" s="744"/>
      <c r="I1306" s="765"/>
      <c r="J1306" s="730"/>
      <c r="K1306" s="761"/>
      <c r="L1306" s="761"/>
      <c r="M1306" s="730"/>
      <c r="N1306" s="730"/>
    </row>
    <row r="1307" spans="1:23" s="194" customFormat="1" ht="40.4" customHeight="1" x14ac:dyDescent="0.35">
      <c r="A1307" s="770" t="str">
        <f ca="1">INDIRECT("'update Helper'!C"&amp;U1307)</f>
        <v>a163p000004NtXtAAK</v>
      </c>
      <c r="B1307" s="766">
        <v>18</v>
      </c>
      <c r="C1307" s="760" t="str">
        <f>VLOOKUP(B1307,'Coverage Indicators - Section D'!$A$9:$AU$70,47,FALSE)</f>
        <v>HTS-3a⁽ᴹ⁾ Porcentaje de HSH a los que se les ha realizado una prueba de VIH durante el período de reporte y que conocen sus resultados</v>
      </c>
      <c r="D1307" s="768" t="str">
        <f>R1307</f>
        <v>Edad</v>
      </c>
      <c r="E1307" s="768" t="str">
        <f>S1307</f>
        <v>&lt;25</v>
      </c>
      <c r="F1307" s="413"/>
      <c r="G1307" s="762" t="str">
        <f ca="1">IF(OR(INDIRECT("'update Helper'!E"&amp;U1307)="",F1307&lt;&gt;0,F1308&lt;&gt;0),IF(IFERROR((F1307/F1308),"")="","",(F1307/F1308)),INDIRECT("'update Helper'!E"&amp;U1307)/100)</f>
        <v/>
      </c>
      <c r="H1307" s="743"/>
      <c r="I1307" s="764"/>
      <c r="J1307" s="729"/>
      <c r="K1307" s="760" t="str">
        <f>W1307</f>
        <v>HTS-3a⁽ᴹ⁾ Percentage of men who have sex with men that have received an HIV test during the reporting period and know their results</v>
      </c>
      <c r="L1307" s="760" t="str">
        <f>V1307</f>
        <v>Age</v>
      </c>
      <c r="M1307" s="729"/>
      <c r="N1307" s="729"/>
      <c r="P1307" s="194">
        <f>IF(AND(EXACT(C1307,C1305),C1305&lt;&gt;0),P1305+1,0)</f>
        <v>3</v>
      </c>
      <c r="Q1307" s="194" t="str">
        <f>IF(C1307&lt;&gt;"",C1307&amp;"-"&amp;P1307,"")</f>
        <v>HTS-3a⁽ᴹ⁾ Porcentaje de HSH a los que se les ha realizado una prueba de VIH durante el período de reporte y que conocen sus resultados-3</v>
      </c>
      <c r="R1307" s="194" t="str">
        <f t="array" ref="R1307">IFERROR(IF(INDEX('Disaggregation Records'!$E$155:$E$385,MATCH(RIGHT(Q1307,255),RIGHT('Disaggregation Records'!$D$155:$D$385,255),0))="","",INDEX('Disaggregation Records'!$E$155:$E$385,MATCH(RIGHT(Q1307,255),RIGHT('Disaggregation Records'!$D$155:$D$385,255),0))),"")</f>
        <v>Edad</v>
      </c>
      <c r="S1307" s="194" t="str">
        <f t="array" ref="S1307">IFERROR(IF(INDEX('Disaggregation Records'!$F$155:$F$385,MATCH(RIGHT(Q1307,255),RIGHT('Disaggregation Records'!$D$155:$D$385,255),0))="","",INDEX('Disaggregation Records'!$F$155:$F$385,MATCH(RIGHT(Q1307,255),RIGHT('Disaggregation Records'!$D$155:$D$385,255),0))),"")</f>
        <v>&lt;25</v>
      </c>
      <c r="T1307" s="194" t="str">
        <f t="array" ref="T1307">IFERROR(IF(INDEX('Disaggregation Records'!$H$155:$H$385,MATCH(RIGHT(Q1307,255),RIGHT('Disaggregation Records'!$D$155:$D$385,255),0))="","",INDEX('Disaggregation Records'!$H$155:$H$385,MATCH(RIGHT(Q1307,255),RIGHT('Disaggregation Records'!$D$155:$D$385,255),0))),"")</f>
        <v>IDR-00713</v>
      </c>
      <c r="U1307" s="194">
        <f>U1305+1</f>
        <v>2843</v>
      </c>
      <c r="V1307" s="194" t="str">
        <f t="array" ref="V1307">IFERROR(IF(INDEX('Disaggregation Records'!$I$155:$I$385,MATCH(RIGHT(Q1307,255),RIGHT('Disaggregation Records'!$D$155:$D$385,255),0))="","",INDEX('Disaggregation Records'!$I$155:$I$385,MATCH(RIGHT(Q1307,255),RIGHT('Disaggregation Records'!$D$155:$D$385,255),0))),"")</f>
        <v>Age</v>
      </c>
      <c r="W1307" s="194" t="str">
        <f>IFERROR(INDEX('Reference Records'!L$77:L$157,MATCH(LEFT(C1307,255),'Reference Records'!E$77:E$157,0)),"")</f>
        <v>HTS-3a⁽ᴹ⁾ Percentage of men who have sex with men that have received an HIV test during the reporting period and know their results</v>
      </c>
    </row>
    <row r="1308" spans="1:23" s="194" customFormat="1" ht="40.4" customHeight="1" x14ac:dyDescent="0.35">
      <c r="A1308" s="770"/>
      <c r="B1308" s="767"/>
      <c r="C1308" s="761"/>
      <c r="D1308" s="769"/>
      <c r="E1308" s="769"/>
      <c r="F1308" s="208"/>
      <c r="G1308" s="763"/>
      <c r="H1308" s="744"/>
      <c r="I1308" s="765"/>
      <c r="J1308" s="730"/>
      <c r="K1308" s="761"/>
      <c r="L1308" s="761"/>
      <c r="M1308" s="730"/>
      <c r="N1308" s="730"/>
    </row>
    <row r="1309" spans="1:23" s="194" customFormat="1" ht="40.4" customHeight="1" x14ac:dyDescent="0.35">
      <c r="A1309" s="770" t="str">
        <f ca="1">INDIRECT("'update Helper'!C"&amp;U1309)</f>
        <v>a163p000004NtXuAAK</v>
      </c>
      <c r="B1309" s="766">
        <v>18</v>
      </c>
      <c r="C1309" s="760" t="str">
        <f>VLOOKUP(B1309,'Coverage Indicators - Section D'!$A$9:$AU$70,47,FALSE)</f>
        <v>HTS-3a⁽ᴹ⁾ Porcentaje de HSH a los que se les ha realizado una prueba de VIH durante el período de reporte y que conocen sus resultados</v>
      </c>
      <c r="D1309" s="768" t="str">
        <f>R1309</f>
        <v/>
      </c>
      <c r="E1309" s="768" t="str">
        <f>S1309</f>
        <v/>
      </c>
      <c r="F1309" s="413"/>
      <c r="G1309" s="762" t="str">
        <f ca="1">IF(OR(INDIRECT("'update Helper'!E"&amp;U1309)="",F1309&lt;&gt;0,F1310&lt;&gt;0),IF(IFERROR((F1309/F1310),"")="","",(F1309/F1310)),INDIRECT("'update Helper'!E"&amp;U1309)/100)</f>
        <v/>
      </c>
      <c r="H1309" s="743"/>
      <c r="I1309" s="764"/>
      <c r="J1309" s="729"/>
      <c r="K1309" s="760" t="str">
        <f>W1309</f>
        <v>HTS-3a⁽ᴹ⁾ Percentage of men who have sex with men that have received an HIV test during the reporting period and know their results</v>
      </c>
      <c r="L1309" s="760" t="str">
        <f>V1309</f>
        <v/>
      </c>
      <c r="M1309" s="729"/>
      <c r="N1309" s="729"/>
      <c r="P1309" s="194">
        <f>IF(AND(EXACT(C1309,C1307),C1307&lt;&gt;0),P1307+1,0)</f>
        <v>4</v>
      </c>
      <c r="Q1309" s="194" t="str">
        <f>IF(C1309&lt;&gt;"",C1309&amp;"-"&amp;P1309,"")</f>
        <v>HTS-3a⁽ᴹ⁾ Porcentaje de HSH a los que se les ha realizado una prueba de VIH durante el período de reporte y que conocen sus resultados-4</v>
      </c>
      <c r="R1309" s="194" t="str">
        <f t="array" ref="R1309">IFERROR(IF(INDEX('Disaggregation Records'!$E$155:$E$385,MATCH(RIGHT(Q1309,255),RIGHT('Disaggregation Records'!$D$155:$D$385,255),0))="","",INDEX('Disaggregation Records'!$E$155:$E$385,MATCH(RIGHT(Q1309,255),RIGHT('Disaggregation Records'!$D$155:$D$385,255),0))),"")</f>
        <v/>
      </c>
      <c r="S1309" s="194" t="str">
        <f t="array" ref="S1309">IFERROR(IF(INDEX('Disaggregation Records'!$F$155:$F$385,MATCH(RIGHT(Q1309,255),RIGHT('Disaggregation Records'!$D$155:$D$385,255),0))="","",INDEX('Disaggregation Records'!$F$155:$F$385,MATCH(RIGHT(Q1309,255),RIGHT('Disaggregation Records'!$D$155:$D$385,255),0))),"")</f>
        <v/>
      </c>
      <c r="T1309" s="194" t="str">
        <f t="array" ref="T1309">IFERROR(IF(INDEX('Disaggregation Records'!$H$155:$H$385,MATCH(RIGHT(Q1309,255),RIGHT('Disaggregation Records'!$D$155:$D$385,255),0))="","",INDEX('Disaggregation Records'!$H$155:$H$385,MATCH(RIGHT(Q1309,255),RIGHT('Disaggregation Records'!$D$155:$D$385,255),0))),"")</f>
        <v/>
      </c>
      <c r="U1309" s="194">
        <f>U1307+1</f>
        <v>2844</v>
      </c>
      <c r="V1309" s="194" t="str">
        <f t="array" ref="V1309">IFERROR(IF(INDEX('Disaggregation Records'!$I$155:$I$385,MATCH(RIGHT(Q1309,255),RIGHT('Disaggregation Records'!$D$155:$D$385,255),0))="","",INDEX('Disaggregation Records'!$I$155:$I$385,MATCH(RIGHT(Q1309,255),RIGHT('Disaggregation Records'!$D$155:$D$385,255),0))),"")</f>
        <v/>
      </c>
      <c r="W1309" s="194" t="str">
        <f>IFERROR(INDEX('Reference Records'!L$77:L$157,MATCH(LEFT(C1309,255),'Reference Records'!E$77:E$157,0)),"")</f>
        <v>HTS-3a⁽ᴹ⁾ Percentage of men who have sex with men that have received an HIV test during the reporting period and know their results</v>
      </c>
    </row>
    <row r="1310" spans="1:23" s="194" customFormat="1" ht="40.4" customHeight="1" x14ac:dyDescent="0.35">
      <c r="A1310" s="770"/>
      <c r="B1310" s="767"/>
      <c r="C1310" s="761"/>
      <c r="D1310" s="769"/>
      <c r="E1310" s="769"/>
      <c r="F1310" s="208"/>
      <c r="G1310" s="763"/>
      <c r="H1310" s="744"/>
      <c r="I1310" s="765"/>
      <c r="J1310" s="730"/>
      <c r="K1310" s="761"/>
      <c r="L1310" s="761"/>
      <c r="M1310" s="730"/>
      <c r="N1310" s="730"/>
    </row>
    <row r="1311" spans="1:23" s="194" customFormat="1" ht="40.4" customHeight="1" x14ac:dyDescent="0.35">
      <c r="A1311" s="770" t="str">
        <f ca="1">INDIRECT("'update Helper'!C"&amp;U1311)</f>
        <v>a163p000004NtXvAAK</v>
      </c>
      <c r="B1311" s="766">
        <v>18</v>
      </c>
      <c r="C1311" s="760" t="str">
        <f>VLOOKUP(B1311,'Coverage Indicators - Section D'!$A$9:$AU$70,47,FALSE)</f>
        <v>HTS-3a⁽ᴹ⁾ Porcentaje de HSH a los que se les ha realizado una prueba de VIH durante el período de reporte y que conocen sus resultados</v>
      </c>
      <c r="D1311" s="768" t="str">
        <f>R1311</f>
        <v/>
      </c>
      <c r="E1311" s="768" t="str">
        <f>S1311</f>
        <v/>
      </c>
      <c r="F1311" s="413"/>
      <c r="G1311" s="762" t="str">
        <f ca="1">IF(OR(INDIRECT("'update Helper'!E"&amp;U1311)="",F1311&lt;&gt;0,F1312&lt;&gt;0),IF(IFERROR((F1311/F1312),"")="","",(F1311/F1312)),INDIRECT("'update Helper'!E"&amp;U1311)/100)</f>
        <v/>
      </c>
      <c r="H1311" s="743"/>
      <c r="I1311" s="764"/>
      <c r="J1311" s="729"/>
      <c r="K1311" s="760" t="str">
        <f>W1311</f>
        <v>HTS-3a⁽ᴹ⁾ Percentage of men who have sex with men that have received an HIV test during the reporting period and know their results</v>
      </c>
      <c r="L1311" s="760" t="str">
        <f>V1311</f>
        <v/>
      </c>
      <c r="M1311" s="729"/>
      <c r="N1311" s="729"/>
      <c r="P1311" s="194">
        <f>IF(AND(EXACT(C1311,C1309),C1309&lt;&gt;0),P1309+1,0)</f>
        <v>5</v>
      </c>
      <c r="Q1311" s="194" t="str">
        <f>IF(C1311&lt;&gt;"",C1311&amp;"-"&amp;P1311,"")</f>
        <v>HTS-3a⁽ᴹ⁾ Porcentaje de HSH a los que se les ha realizado una prueba de VIH durante el período de reporte y que conocen sus resultados-5</v>
      </c>
      <c r="R1311" s="194" t="str">
        <f t="array" ref="R1311">IFERROR(IF(INDEX('Disaggregation Records'!$E$155:$E$385,MATCH(RIGHT(Q1311,255),RIGHT('Disaggregation Records'!$D$155:$D$385,255),0))="","",INDEX('Disaggregation Records'!$E$155:$E$385,MATCH(RIGHT(Q1311,255),RIGHT('Disaggregation Records'!$D$155:$D$385,255),0))),"")</f>
        <v/>
      </c>
      <c r="S1311" s="194" t="str">
        <f t="array" ref="S1311">IFERROR(IF(INDEX('Disaggregation Records'!$F$155:$F$385,MATCH(RIGHT(Q1311,255),RIGHT('Disaggregation Records'!$D$155:$D$385,255),0))="","",INDEX('Disaggregation Records'!$F$155:$F$385,MATCH(RIGHT(Q1311,255),RIGHT('Disaggregation Records'!$D$155:$D$385,255),0))),"")</f>
        <v/>
      </c>
      <c r="T1311" s="194" t="str">
        <f t="array" ref="T1311">IFERROR(IF(INDEX('Disaggregation Records'!$H$155:$H$385,MATCH(RIGHT(Q1311,255),RIGHT('Disaggregation Records'!$D$155:$D$385,255),0))="","",INDEX('Disaggregation Records'!$H$155:$H$385,MATCH(RIGHT(Q1311,255),RIGHT('Disaggregation Records'!$D$155:$D$385,255),0))),"")</f>
        <v/>
      </c>
      <c r="U1311" s="194">
        <f>U1309+1</f>
        <v>2845</v>
      </c>
      <c r="V1311" s="194" t="str">
        <f t="array" ref="V1311">IFERROR(IF(INDEX('Disaggregation Records'!$I$155:$I$385,MATCH(RIGHT(Q1311,255),RIGHT('Disaggregation Records'!$D$155:$D$385,255),0))="","",INDEX('Disaggregation Records'!$I$155:$I$385,MATCH(RIGHT(Q1311,255),RIGHT('Disaggregation Records'!$D$155:$D$385,255),0))),"")</f>
        <v/>
      </c>
      <c r="W1311" s="194" t="str">
        <f>IFERROR(INDEX('Reference Records'!L$77:L$157,MATCH(LEFT(C1311,255),'Reference Records'!E$77:E$157,0)),"")</f>
        <v>HTS-3a⁽ᴹ⁾ Percentage of men who have sex with men that have received an HIV test during the reporting period and know their results</v>
      </c>
    </row>
    <row r="1312" spans="1:23" s="194" customFormat="1" ht="40.4" customHeight="1" x14ac:dyDescent="0.35">
      <c r="A1312" s="770"/>
      <c r="B1312" s="767"/>
      <c r="C1312" s="761"/>
      <c r="D1312" s="769"/>
      <c r="E1312" s="769"/>
      <c r="F1312" s="208"/>
      <c r="G1312" s="763"/>
      <c r="H1312" s="744"/>
      <c r="I1312" s="765"/>
      <c r="J1312" s="730"/>
      <c r="K1312" s="761"/>
      <c r="L1312" s="761"/>
      <c r="M1312" s="730"/>
      <c r="N1312" s="730"/>
    </row>
    <row r="1313" spans="1:23" s="194" customFormat="1" ht="40.4" customHeight="1" x14ac:dyDescent="0.35">
      <c r="A1313" s="770" t="str">
        <f ca="1">INDIRECT("'update Helper'!C"&amp;U1313)</f>
        <v>a163p000004NtXwAAK</v>
      </c>
      <c r="B1313" s="766">
        <v>18</v>
      </c>
      <c r="C1313" s="760" t="str">
        <f>VLOOKUP(B1313,'Coverage Indicators - Section D'!$A$9:$AU$70,47,FALSE)</f>
        <v>HTS-3a⁽ᴹ⁾ Porcentaje de HSH a los que se les ha realizado una prueba de VIH durante el período de reporte y que conocen sus resultados</v>
      </c>
      <c r="D1313" s="768" t="str">
        <f>R1313</f>
        <v/>
      </c>
      <c r="E1313" s="768" t="str">
        <f>S1313</f>
        <v/>
      </c>
      <c r="F1313" s="413"/>
      <c r="G1313" s="762" t="str">
        <f ca="1">IF(OR(INDIRECT("'update Helper'!E"&amp;U1313)="",F1313&lt;&gt;0,F1314&lt;&gt;0),IF(IFERROR((F1313/F1314),"")="","",(F1313/F1314)),INDIRECT("'update Helper'!E"&amp;U1313)/100)</f>
        <v/>
      </c>
      <c r="H1313" s="743"/>
      <c r="I1313" s="764"/>
      <c r="J1313" s="729"/>
      <c r="K1313" s="760" t="str">
        <f>W1313</f>
        <v>HTS-3a⁽ᴹ⁾ Percentage of men who have sex with men that have received an HIV test during the reporting period and know their results</v>
      </c>
      <c r="L1313" s="760" t="str">
        <f>V1313</f>
        <v/>
      </c>
      <c r="M1313" s="729"/>
      <c r="N1313" s="729"/>
      <c r="P1313" s="194">
        <f>IF(AND(EXACT(C1313,C1311),C1311&lt;&gt;0),P1311+1,0)</f>
        <v>6</v>
      </c>
      <c r="Q1313" s="194" t="str">
        <f>IF(C1313&lt;&gt;"",C1313&amp;"-"&amp;P1313,"")</f>
        <v>HTS-3a⁽ᴹ⁾ Porcentaje de HSH a los que se les ha realizado una prueba de VIH durante el período de reporte y que conocen sus resultados-6</v>
      </c>
      <c r="R1313" s="194" t="str">
        <f t="array" ref="R1313">IFERROR(IF(INDEX('Disaggregation Records'!$E$155:$E$385,MATCH(RIGHT(Q1313,255),RIGHT('Disaggregation Records'!$D$155:$D$385,255),0))="","",INDEX('Disaggregation Records'!$E$155:$E$385,MATCH(RIGHT(Q1313,255),RIGHT('Disaggregation Records'!$D$155:$D$385,255),0))),"")</f>
        <v/>
      </c>
      <c r="S1313" s="194" t="str">
        <f t="array" ref="S1313">IFERROR(IF(INDEX('Disaggregation Records'!$F$155:$F$385,MATCH(RIGHT(Q1313,255),RIGHT('Disaggregation Records'!$D$155:$D$385,255),0))="","",INDEX('Disaggregation Records'!$F$155:$F$385,MATCH(RIGHT(Q1313,255),RIGHT('Disaggregation Records'!$D$155:$D$385,255),0))),"")</f>
        <v/>
      </c>
      <c r="T1313" s="194" t="str">
        <f t="array" ref="T1313">IFERROR(IF(INDEX('Disaggregation Records'!$H$155:$H$385,MATCH(RIGHT(Q1313,255),RIGHT('Disaggregation Records'!$D$155:$D$385,255),0))="","",INDEX('Disaggregation Records'!$H$155:$H$385,MATCH(RIGHT(Q1313,255),RIGHT('Disaggregation Records'!$D$155:$D$385,255),0))),"")</f>
        <v/>
      </c>
      <c r="U1313" s="194">
        <f>U1311+1</f>
        <v>2846</v>
      </c>
      <c r="V1313" s="194" t="str">
        <f t="array" ref="V1313">IFERROR(IF(INDEX('Disaggregation Records'!$I$155:$I$385,MATCH(RIGHT(Q1313,255),RIGHT('Disaggregation Records'!$D$155:$D$385,255),0))="","",INDEX('Disaggregation Records'!$I$155:$I$385,MATCH(RIGHT(Q1313,255),RIGHT('Disaggregation Records'!$D$155:$D$385,255),0))),"")</f>
        <v/>
      </c>
      <c r="W1313" s="194" t="str">
        <f>IFERROR(INDEX('Reference Records'!L$77:L$157,MATCH(LEFT(C1313,255),'Reference Records'!E$77:E$157,0)),"")</f>
        <v>HTS-3a⁽ᴹ⁾ Percentage of men who have sex with men that have received an HIV test during the reporting period and know their results</v>
      </c>
    </row>
    <row r="1314" spans="1:23" s="194" customFormat="1" ht="40.4" customHeight="1" x14ac:dyDescent="0.35">
      <c r="A1314" s="770"/>
      <c r="B1314" s="767"/>
      <c r="C1314" s="761"/>
      <c r="D1314" s="769"/>
      <c r="E1314" s="769"/>
      <c r="F1314" s="208"/>
      <c r="G1314" s="763"/>
      <c r="H1314" s="744"/>
      <c r="I1314" s="765"/>
      <c r="J1314" s="730"/>
      <c r="K1314" s="761"/>
      <c r="L1314" s="761"/>
      <c r="M1314" s="730"/>
      <c r="N1314" s="730"/>
    </row>
    <row r="1315" spans="1:23" s="194" customFormat="1" ht="40.4" customHeight="1" x14ac:dyDescent="0.35">
      <c r="A1315" s="770" t="str">
        <f ca="1">INDIRECT("'update Helper'!C"&amp;U1315)</f>
        <v>a163p000004NtXxAAK</v>
      </c>
      <c r="B1315" s="766">
        <v>18</v>
      </c>
      <c r="C1315" s="760" t="str">
        <f>VLOOKUP(B1315,'Coverage Indicators - Section D'!$A$9:$AU$70,47,FALSE)</f>
        <v>HTS-3a⁽ᴹ⁾ Porcentaje de HSH a los que se les ha realizado una prueba de VIH durante el período de reporte y que conocen sus resultados</v>
      </c>
      <c r="D1315" s="768" t="str">
        <f>R1315</f>
        <v/>
      </c>
      <c r="E1315" s="768" t="str">
        <f>S1315</f>
        <v/>
      </c>
      <c r="F1315" s="413"/>
      <c r="G1315" s="762" t="str">
        <f ca="1">IF(OR(INDIRECT("'update Helper'!E"&amp;U1315)="",F1315&lt;&gt;0,F1316&lt;&gt;0),IF(IFERROR((F1315/F1316),"")="","",(F1315/F1316)),INDIRECT("'update Helper'!E"&amp;U1315)/100)</f>
        <v/>
      </c>
      <c r="H1315" s="743"/>
      <c r="I1315" s="764"/>
      <c r="J1315" s="729"/>
      <c r="K1315" s="760" t="str">
        <f>W1315</f>
        <v>HTS-3a⁽ᴹ⁾ Percentage of men who have sex with men that have received an HIV test during the reporting period and know their results</v>
      </c>
      <c r="L1315" s="760" t="str">
        <f>V1315</f>
        <v/>
      </c>
      <c r="M1315" s="729"/>
      <c r="N1315" s="729"/>
      <c r="P1315" s="194">
        <f>IF(AND(EXACT(C1315,C1313),C1313&lt;&gt;0),P1313+1,0)</f>
        <v>7</v>
      </c>
      <c r="Q1315" s="194" t="str">
        <f>IF(C1315&lt;&gt;"",C1315&amp;"-"&amp;P1315,"")</f>
        <v>HTS-3a⁽ᴹ⁾ Porcentaje de HSH a los que se les ha realizado una prueba de VIH durante el período de reporte y que conocen sus resultados-7</v>
      </c>
      <c r="R1315" s="194" t="str">
        <f t="array" ref="R1315">IFERROR(IF(INDEX('Disaggregation Records'!$E$155:$E$385,MATCH(RIGHT(Q1315,255),RIGHT('Disaggregation Records'!$D$155:$D$385,255),0))="","",INDEX('Disaggregation Records'!$E$155:$E$385,MATCH(RIGHT(Q1315,255),RIGHT('Disaggregation Records'!$D$155:$D$385,255),0))),"")</f>
        <v/>
      </c>
      <c r="S1315" s="194" t="str">
        <f t="array" ref="S1315">IFERROR(IF(INDEX('Disaggregation Records'!$F$155:$F$385,MATCH(RIGHT(Q1315,255),RIGHT('Disaggregation Records'!$D$155:$D$385,255),0))="","",INDEX('Disaggregation Records'!$F$155:$F$385,MATCH(RIGHT(Q1315,255),RIGHT('Disaggregation Records'!$D$155:$D$385,255),0))),"")</f>
        <v/>
      </c>
      <c r="T1315" s="194" t="str">
        <f t="array" ref="T1315">IFERROR(IF(INDEX('Disaggregation Records'!$H$155:$H$385,MATCH(RIGHT(Q1315,255),RIGHT('Disaggregation Records'!$D$155:$D$385,255),0))="","",INDEX('Disaggregation Records'!$H$155:$H$385,MATCH(RIGHT(Q1315,255),RIGHT('Disaggregation Records'!$D$155:$D$385,255),0))),"")</f>
        <v/>
      </c>
      <c r="U1315" s="194">
        <f>U1313+1</f>
        <v>2847</v>
      </c>
      <c r="V1315" s="194" t="str">
        <f t="array" ref="V1315">IFERROR(IF(INDEX('Disaggregation Records'!$I$155:$I$385,MATCH(RIGHT(Q1315,255),RIGHT('Disaggregation Records'!$D$155:$D$385,255),0))="","",INDEX('Disaggregation Records'!$I$155:$I$385,MATCH(RIGHT(Q1315,255),RIGHT('Disaggregation Records'!$D$155:$D$385,255),0))),"")</f>
        <v/>
      </c>
      <c r="W1315" s="194" t="str">
        <f>IFERROR(INDEX('Reference Records'!L$77:L$157,MATCH(LEFT(C1315,255),'Reference Records'!E$77:E$157,0)),"")</f>
        <v>HTS-3a⁽ᴹ⁾ Percentage of men who have sex with men that have received an HIV test during the reporting period and know their results</v>
      </c>
    </row>
    <row r="1316" spans="1:23" s="194" customFormat="1" ht="40.4" customHeight="1" x14ac:dyDescent="0.35">
      <c r="A1316" s="770"/>
      <c r="B1316" s="767"/>
      <c r="C1316" s="761"/>
      <c r="D1316" s="769"/>
      <c r="E1316" s="769"/>
      <c r="F1316" s="208"/>
      <c r="G1316" s="763"/>
      <c r="H1316" s="744"/>
      <c r="I1316" s="765"/>
      <c r="J1316" s="730"/>
      <c r="K1316" s="761"/>
      <c r="L1316" s="761"/>
      <c r="M1316" s="730"/>
      <c r="N1316" s="730"/>
    </row>
    <row r="1317" spans="1:23" s="194" customFormat="1" ht="40.4" customHeight="1" x14ac:dyDescent="0.35">
      <c r="A1317" s="770" t="str">
        <f ca="1">INDIRECT("'update Helper'!C"&amp;U1317)</f>
        <v>a163p000004NtXyAAK</v>
      </c>
      <c r="B1317" s="766">
        <v>18</v>
      </c>
      <c r="C1317" s="760" t="str">
        <f>VLOOKUP(B1317,'Coverage Indicators - Section D'!$A$9:$AU$70,47,FALSE)</f>
        <v>HTS-3a⁽ᴹ⁾ Porcentaje de HSH a los que se les ha realizado una prueba de VIH durante el período de reporte y que conocen sus resultados</v>
      </c>
      <c r="D1317" s="768" t="str">
        <f>R1317</f>
        <v/>
      </c>
      <c r="E1317" s="768" t="str">
        <f>S1317</f>
        <v/>
      </c>
      <c r="F1317" s="413"/>
      <c r="G1317" s="762" t="str">
        <f ca="1">IF(OR(INDIRECT("'update Helper'!E"&amp;U1317)="",F1317&lt;&gt;0,F1318&lt;&gt;0),IF(IFERROR((F1317/F1318),"")="","",(F1317/F1318)),INDIRECT("'update Helper'!E"&amp;U1317)/100)</f>
        <v/>
      </c>
      <c r="H1317" s="743"/>
      <c r="I1317" s="764"/>
      <c r="J1317" s="729"/>
      <c r="K1317" s="760" t="str">
        <f>W1317</f>
        <v>HTS-3a⁽ᴹ⁾ Percentage of men who have sex with men that have received an HIV test during the reporting period and know their results</v>
      </c>
      <c r="L1317" s="760" t="str">
        <f>V1317</f>
        <v/>
      </c>
      <c r="M1317" s="729"/>
      <c r="N1317" s="729"/>
      <c r="P1317" s="194">
        <f>IF(AND(EXACT(C1317,C1315),C1315&lt;&gt;0),P1315+1,0)</f>
        <v>8</v>
      </c>
      <c r="Q1317" s="194" t="str">
        <f>IF(C1317&lt;&gt;"",C1317&amp;"-"&amp;P1317,"")</f>
        <v>HTS-3a⁽ᴹ⁾ Porcentaje de HSH a los que se les ha realizado una prueba de VIH durante el período de reporte y que conocen sus resultados-8</v>
      </c>
      <c r="R1317" s="194" t="str">
        <f t="array" ref="R1317">IFERROR(IF(INDEX('Disaggregation Records'!$E$155:$E$385,MATCH(RIGHT(Q1317,255),RIGHT('Disaggregation Records'!$D$155:$D$385,255),0))="","",INDEX('Disaggregation Records'!$E$155:$E$385,MATCH(RIGHT(Q1317,255),RIGHT('Disaggregation Records'!$D$155:$D$385,255),0))),"")</f>
        <v/>
      </c>
      <c r="S1317" s="194" t="str">
        <f t="array" ref="S1317">IFERROR(IF(INDEX('Disaggregation Records'!$F$155:$F$385,MATCH(RIGHT(Q1317,255),RIGHT('Disaggregation Records'!$D$155:$D$385,255),0))="","",INDEX('Disaggregation Records'!$F$155:$F$385,MATCH(RIGHT(Q1317,255),RIGHT('Disaggregation Records'!$D$155:$D$385,255),0))),"")</f>
        <v/>
      </c>
      <c r="T1317" s="194" t="str">
        <f t="array" ref="T1317">IFERROR(IF(INDEX('Disaggregation Records'!$H$155:$H$385,MATCH(RIGHT(Q1317,255),RIGHT('Disaggregation Records'!$D$155:$D$385,255),0))="","",INDEX('Disaggregation Records'!$H$155:$H$385,MATCH(RIGHT(Q1317,255),RIGHT('Disaggregation Records'!$D$155:$D$385,255),0))),"")</f>
        <v/>
      </c>
      <c r="U1317" s="194">
        <f>U1315+1</f>
        <v>2848</v>
      </c>
      <c r="V1317" s="194" t="str">
        <f t="array" ref="V1317">IFERROR(IF(INDEX('Disaggregation Records'!$I$155:$I$385,MATCH(RIGHT(Q1317,255),RIGHT('Disaggregation Records'!$D$155:$D$385,255),0))="","",INDEX('Disaggregation Records'!$I$155:$I$385,MATCH(RIGHT(Q1317,255),RIGHT('Disaggregation Records'!$D$155:$D$385,255),0))),"")</f>
        <v/>
      </c>
      <c r="W1317" s="194" t="str">
        <f>IFERROR(INDEX('Reference Records'!L$77:L$157,MATCH(LEFT(C1317,255),'Reference Records'!E$77:E$157,0)),"")</f>
        <v>HTS-3a⁽ᴹ⁾ Percentage of men who have sex with men that have received an HIV test during the reporting period and know their results</v>
      </c>
    </row>
    <row r="1318" spans="1:23" s="194" customFormat="1" ht="40.4" customHeight="1" x14ac:dyDescent="0.35">
      <c r="A1318" s="770"/>
      <c r="B1318" s="767"/>
      <c r="C1318" s="761"/>
      <c r="D1318" s="769"/>
      <c r="E1318" s="769"/>
      <c r="F1318" s="208"/>
      <c r="G1318" s="763"/>
      <c r="H1318" s="744"/>
      <c r="I1318" s="765"/>
      <c r="J1318" s="730"/>
      <c r="K1318" s="761"/>
      <c r="L1318" s="761"/>
      <c r="M1318" s="730"/>
      <c r="N1318" s="730"/>
    </row>
    <row r="1319" spans="1:23" s="194" customFormat="1" ht="40.4" customHeight="1" x14ac:dyDescent="0.35">
      <c r="A1319" s="770" t="str">
        <f ca="1">INDIRECT("'update Helper'!C"&amp;U1319)</f>
        <v>a163p000004NtXzAAK</v>
      </c>
      <c r="B1319" s="766">
        <v>18</v>
      </c>
      <c r="C1319" s="760" t="str">
        <f>VLOOKUP(B1319,'Coverage Indicators - Section D'!$A$9:$AU$70,47,FALSE)</f>
        <v>HTS-3a⁽ᴹ⁾ Porcentaje de HSH a los que se les ha realizado una prueba de VIH durante el período de reporte y que conocen sus resultados</v>
      </c>
      <c r="D1319" s="768" t="str">
        <f>R1319</f>
        <v/>
      </c>
      <c r="E1319" s="768" t="str">
        <f>S1319</f>
        <v/>
      </c>
      <c r="F1319" s="413"/>
      <c r="G1319" s="762" t="str">
        <f ca="1">IF(OR(INDIRECT("'update Helper'!E"&amp;U1319)="",F1319&lt;&gt;0,F1320&lt;&gt;0),IF(IFERROR((F1319/F1320),"")="","",(F1319/F1320)),INDIRECT("'update Helper'!E"&amp;U1319)/100)</f>
        <v/>
      </c>
      <c r="H1319" s="743"/>
      <c r="I1319" s="764"/>
      <c r="J1319" s="729"/>
      <c r="K1319" s="760" t="str">
        <f>W1319</f>
        <v>HTS-3a⁽ᴹ⁾ Percentage of men who have sex with men that have received an HIV test during the reporting period and know their results</v>
      </c>
      <c r="L1319" s="760" t="str">
        <f>V1319</f>
        <v/>
      </c>
      <c r="M1319" s="729"/>
      <c r="N1319" s="729"/>
      <c r="P1319" s="194">
        <f>IF(AND(EXACT(C1319,C1317),C1317&lt;&gt;0),P1317+1,0)</f>
        <v>9</v>
      </c>
      <c r="Q1319" s="194" t="str">
        <f>IF(C1319&lt;&gt;"",C1319&amp;"-"&amp;P1319,"")</f>
        <v>HTS-3a⁽ᴹ⁾ Porcentaje de HSH a los que se les ha realizado una prueba de VIH durante el período de reporte y que conocen sus resultados-9</v>
      </c>
      <c r="R1319" s="194" t="str">
        <f t="array" ref="R1319">IFERROR(IF(INDEX('Disaggregation Records'!$E$155:$E$385,MATCH(RIGHT(Q1319,255),RIGHT('Disaggregation Records'!$D$155:$D$385,255),0))="","",INDEX('Disaggregation Records'!$E$155:$E$385,MATCH(RIGHT(Q1319,255),RIGHT('Disaggregation Records'!$D$155:$D$385,255),0))),"")</f>
        <v/>
      </c>
      <c r="S1319" s="194" t="str">
        <f t="array" ref="S1319">IFERROR(IF(INDEX('Disaggregation Records'!$F$155:$F$385,MATCH(RIGHT(Q1319,255),RIGHT('Disaggregation Records'!$D$155:$D$385,255),0))="","",INDEX('Disaggregation Records'!$F$155:$F$385,MATCH(RIGHT(Q1319,255),RIGHT('Disaggregation Records'!$D$155:$D$385,255),0))),"")</f>
        <v/>
      </c>
      <c r="T1319" s="194" t="str">
        <f t="array" ref="T1319">IFERROR(IF(INDEX('Disaggregation Records'!$H$155:$H$385,MATCH(RIGHT(Q1319,255),RIGHT('Disaggregation Records'!$D$155:$D$385,255),0))="","",INDEX('Disaggregation Records'!$H$155:$H$385,MATCH(RIGHT(Q1319,255),RIGHT('Disaggregation Records'!$D$155:$D$385,255),0))),"")</f>
        <v/>
      </c>
      <c r="U1319" s="194">
        <f>U1317+1</f>
        <v>2849</v>
      </c>
      <c r="V1319" s="194" t="str">
        <f t="array" ref="V1319">IFERROR(IF(INDEX('Disaggregation Records'!$I$155:$I$385,MATCH(RIGHT(Q1319,255),RIGHT('Disaggregation Records'!$D$155:$D$385,255),0))="","",INDEX('Disaggregation Records'!$I$155:$I$385,MATCH(RIGHT(Q1319,255),RIGHT('Disaggregation Records'!$D$155:$D$385,255),0))),"")</f>
        <v/>
      </c>
      <c r="W1319" s="194" t="str">
        <f>IFERROR(INDEX('Reference Records'!L$77:L$157,MATCH(LEFT(C1319,255),'Reference Records'!E$77:E$157,0)),"")</f>
        <v>HTS-3a⁽ᴹ⁾ Percentage of men who have sex with men that have received an HIV test during the reporting period and know their results</v>
      </c>
    </row>
    <row r="1320" spans="1:23" s="194" customFormat="1" ht="40.4" customHeight="1" x14ac:dyDescent="0.35">
      <c r="A1320" s="770"/>
      <c r="B1320" s="767"/>
      <c r="C1320" s="761"/>
      <c r="D1320" s="769"/>
      <c r="E1320" s="769"/>
      <c r="F1320" s="208"/>
      <c r="G1320" s="763"/>
      <c r="H1320" s="744"/>
      <c r="I1320" s="765"/>
      <c r="J1320" s="730"/>
      <c r="K1320" s="761"/>
      <c r="L1320" s="761"/>
      <c r="M1320" s="730"/>
      <c r="N1320" s="730"/>
    </row>
    <row r="1321" spans="1:23" s="194" customFormat="1" ht="40.4" customHeight="1" x14ac:dyDescent="0.35">
      <c r="A1321" s="770" t="str">
        <f ca="1">INDIRECT("'update Helper'!C"&amp;U1321)</f>
        <v>a163p000004NtY0AAK</v>
      </c>
      <c r="B1321" s="766">
        <v>18</v>
      </c>
      <c r="C1321" s="760" t="str">
        <f>VLOOKUP(B1321,'Coverage Indicators - Section D'!$A$9:$AU$70,47,FALSE)</f>
        <v>HTS-3a⁽ᴹ⁾ Porcentaje de HSH a los que se les ha realizado una prueba de VIH durante el período de reporte y que conocen sus resultados</v>
      </c>
      <c r="D1321" s="768" t="str">
        <f>R1321</f>
        <v/>
      </c>
      <c r="E1321" s="768" t="str">
        <f>S1321</f>
        <v/>
      </c>
      <c r="F1321" s="413"/>
      <c r="G1321" s="762" t="str">
        <f ca="1">IF(OR(INDIRECT("'update Helper'!E"&amp;U1321)="",F1321&lt;&gt;0,F1322&lt;&gt;0),IF(IFERROR((F1321/F1322),"")="","",(F1321/F1322)),INDIRECT("'update Helper'!E"&amp;U1321)/100)</f>
        <v/>
      </c>
      <c r="H1321" s="743"/>
      <c r="I1321" s="764"/>
      <c r="J1321" s="729"/>
      <c r="K1321" s="760" t="str">
        <f>W1321</f>
        <v>HTS-3a⁽ᴹ⁾ Percentage of men who have sex with men that have received an HIV test during the reporting period and know their results</v>
      </c>
      <c r="L1321" s="760" t="str">
        <f>V1321</f>
        <v/>
      </c>
      <c r="M1321" s="729"/>
      <c r="N1321" s="729"/>
      <c r="P1321" s="194">
        <f>IF(AND(EXACT(C1321,C1319),C1319&lt;&gt;0),P1319+1,0)</f>
        <v>10</v>
      </c>
      <c r="Q1321" s="194" t="str">
        <f>IF(C1321&lt;&gt;"",C1321&amp;"-"&amp;P1321,"")</f>
        <v>HTS-3a⁽ᴹ⁾ Porcentaje de HSH a los que se les ha realizado una prueba de VIH durante el período de reporte y que conocen sus resultados-10</v>
      </c>
      <c r="R1321" s="194" t="str">
        <f t="array" ref="R1321">IFERROR(IF(INDEX('Disaggregation Records'!$E$155:$E$385,MATCH(RIGHT(Q1321,255),RIGHT('Disaggregation Records'!$D$155:$D$385,255),0))="","",INDEX('Disaggregation Records'!$E$155:$E$385,MATCH(RIGHT(Q1321,255),RIGHT('Disaggregation Records'!$D$155:$D$385,255),0))),"")</f>
        <v/>
      </c>
      <c r="S1321" s="194" t="str">
        <f t="array" ref="S1321">IFERROR(IF(INDEX('Disaggregation Records'!$F$155:$F$385,MATCH(RIGHT(Q1321,255),RIGHT('Disaggregation Records'!$D$155:$D$385,255),0))="","",INDEX('Disaggregation Records'!$F$155:$F$385,MATCH(RIGHT(Q1321,255),RIGHT('Disaggregation Records'!$D$155:$D$385,255),0))),"")</f>
        <v/>
      </c>
      <c r="T1321" s="194" t="str">
        <f t="array" ref="T1321">IFERROR(IF(INDEX('Disaggregation Records'!$H$155:$H$385,MATCH(RIGHT(Q1321,255),RIGHT('Disaggregation Records'!$D$155:$D$385,255),0))="","",INDEX('Disaggregation Records'!$H$155:$H$385,MATCH(RIGHT(Q1321,255),RIGHT('Disaggregation Records'!$D$155:$D$385,255),0))),"")</f>
        <v/>
      </c>
      <c r="U1321" s="194">
        <f>U1319+1</f>
        <v>2850</v>
      </c>
      <c r="V1321" s="194" t="str">
        <f t="array" ref="V1321">IFERROR(IF(INDEX('Disaggregation Records'!$I$155:$I$385,MATCH(RIGHT(Q1321,255),RIGHT('Disaggregation Records'!$D$155:$D$385,255),0))="","",INDEX('Disaggregation Records'!$I$155:$I$385,MATCH(RIGHT(Q1321,255),RIGHT('Disaggregation Records'!$D$155:$D$385,255),0))),"")</f>
        <v/>
      </c>
      <c r="W1321" s="194" t="str">
        <f>IFERROR(INDEX('Reference Records'!L$77:L$157,MATCH(LEFT(C1321,255),'Reference Records'!E$77:E$157,0)),"")</f>
        <v>HTS-3a⁽ᴹ⁾ Percentage of men who have sex with men that have received an HIV test during the reporting period and know their results</v>
      </c>
    </row>
    <row r="1322" spans="1:23" s="194" customFormat="1" ht="40.4" customHeight="1" x14ac:dyDescent="0.35">
      <c r="A1322" s="770"/>
      <c r="B1322" s="767"/>
      <c r="C1322" s="761"/>
      <c r="D1322" s="769"/>
      <c r="E1322" s="769"/>
      <c r="F1322" s="208"/>
      <c r="G1322" s="763"/>
      <c r="H1322" s="744"/>
      <c r="I1322" s="765"/>
      <c r="J1322" s="730"/>
      <c r="K1322" s="761"/>
      <c r="L1322" s="761"/>
      <c r="M1322" s="730"/>
      <c r="N1322" s="730"/>
    </row>
    <row r="1323" spans="1:23" s="194" customFormat="1" ht="40.4" customHeight="1" x14ac:dyDescent="0.35">
      <c r="A1323" s="770" t="str">
        <f ca="1">INDIRECT("'update Helper'!C"&amp;U1323)</f>
        <v>a163p000004NtY1AAK</v>
      </c>
      <c r="B1323" s="766">
        <v>18</v>
      </c>
      <c r="C1323" s="760" t="str">
        <f>VLOOKUP(B1323,'Coverage Indicators - Section D'!$A$9:$AU$70,47,FALSE)</f>
        <v>HTS-3a⁽ᴹ⁾ Porcentaje de HSH a los que se les ha realizado una prueba de VIH durante el período de reporte y que conocen sus resultados</v>
      </c>
      <c r="D1323" s="768" t="str">
        <f>R1323</f>
        <v/>
      </c>
      <c r="E1323" s="768" t="str">
        <f>S1323</f>
        <v/>
      </c>
      <c r="F1323" s="413"/>
      <c r="G1323" s="762" t="str">
        <f ca="1">IF(OR(INDIRECT("'update Helper'!E"&amp;U1323)="",F1323&lt;&gt;0,F1324&lt;&gt;0),IF(IFERROR((F1323/F1324),"")="","",(F1323/F1324)),INDIRECT("'update Helper'!E"&amp;U1323)/100)</f>
        <v/>
      </c>
      <c r="H1323" s="743"/>
      <c r="I1323" s="764"/>
      <c r="J1323" s="729"/>
      <c r="K1323" s="760" t="str">
        <f>W1323</f>
        <v>HTS-3a⁽ᴹ⁾ Percentage of men who have sex with men that have received an HIV test during the reporting period and know their results</v>
      </c>
      <c r="L1323" s="760" t="str">
        <f>V1323</f>
        <v/>
      </c>
      <c r="M1323" s="729"/>
      <c r="N1323" s="729"/>
      <c r="P1323" s="194">
        <f>IF(AND(EXACT(C1323,C1321),C1321&lt;&gt;0),P1321+1,0)</f>
        <v>11</v>
      </c>
      <c r="Q1323" s="194" t="str">
        <f>IF(C1323&lt;&gt;"",C1323&amp;"-"&amp;P1323,"")</f>
        <v>HTS-3a⁽ᴹ⁾ Porcentaje de HSH a los que se les ha realizado una prueba de VIH durante el período de reporte y que conocen sus resultados-11</v>
      </c>
      <c r="R1323" s="194" t="str">
        <f t="array" ref="R1323">IFERROR(IF(INDEX('Disaggregation Records'!$E$155:$E$385,MATCH(RIGHT(Q1323,255),RIGHT('Disaggregation Records'!$D$155:$D$385,255),0))="","",INDEX('Disaggregation Records'!$E$155:$E$385,MATCH(RIGHT(Q1323,255),RIGHT('Disaggregation Records'!$D$155:$D$385,255),0))),"")</f>
        <v/>
      </c>
      <c r="S1323" s="194" t="str">
        <f t="array" ref="S1323">IFERROR(IF(INDEX('Disaggregation Records'!$F$155:$F$385,MATCH(RIGHT(Q1323,255),RIGHT('Disaggregation Records'!$D$155:$D$385,255),0))="","",INDEX('Disaggregation Records'!$F$155:$F$385,MATCH(RIGHT(Q1323,255),RIGHT('Disaggregation Records'!$D$155:$D$385,255),0))),"")</f>
        <v/>
      </c>
      <c r="T1323" s="194" t="str">
        <f t="array" ref="T1323">IFERROR(IF(INDEX('Disaggregation Records'!$H$155:$H$385,MATCH(RIGHT(Q1323,255),RIGHT('Disaggregation Records'!$D$155:$D$385,255),0))="","",INDEX('Disaggregation Records'!$H$155:$H$385,MATCH(RIGHT(Q1323,255),RIGHT('Disaggregation Records'!$D$155:$D$385,255),0))),"")</f>
        <v/>
      </c>
      <c r="U1323" s="194">
        <f>U1321+1</f>
        <v>2851</v>
      </c>
      <c r="V1323" s="194" t="str">
        <f t="array" ref="V1323">IFERROR(IF(INDEX('Disaggregation Records'!$I$155:$I$385,MATCH(RIGHT(Q1323,255),RIGHT('Disaggregation Records'!$D$155:$D$385,255),0))="","",INDEX('Disaggregation Records'!$I$155:$I$385,MATCH(RIGHT(Q1323,255),RIGHT('Disaggregation Records'!$D$155:$D$385,255),0))),"")</f>
        <v/>
      </c>
      <c r="W1323" s="194" t="str">
        <f>IFERROR(INDEX('Reference Records'!L$77:L$157,MATCH(LEFT(C1323,255),'Reference Records'!E$77:E$157,0)),"")</f>
        <v>HTS-3a⁽ᴹ⁾ Percentage of men who have sex with men that have received an HIV test during the reporting period and know their results</v>
      </c>
    </row>
    <row r="1324" spans="1:23" s="194" customFormat="1" ht="40.4" customHeight="1" x14ac:dyDescent="0.35">
      <c r="A1324" s="770"/>
      <c r="B1324" s="767"/>
      <c r="C1324" s="761"/>
      <c r="D1324" s="769"/>
      <c r="E1324" s="769"/>
      <c r="F1324" s="208"/>
      <c r="G1324" s="763"/>
      <c r="H1324" s="744"/>
      <c r="I1324" s="765"/>
      <c r="J1324" s="730"/>
      <c r="K1324" s="761"/>
      <c r="L1324" s="761"/>
      <c r="M1324" s="730"/>
      <c r="N1324" s="730"/>
    </row>
    <row r="1325" spans="1:23" s="194" customFormat="1" ht="40.4" customHeight="1" x14ac:dyDescent="0.35">
      <c r="A1325" s="770" t="str">
        <f ca="1">INDIRECT("'update Helper'!C"&amp;U1325)</f>
        <v>a163p000004NtY2AAK</v>
      </c>
      <c r="B1325" s="766">
        <v>18</v>
      </c>
      <c r="C1325" s="760" t="str">
        <f>VLOOKUP(B1325,'Coverage Indicators - Section D'!$A$9:$AU$70,47,FALSE)</f>
        <v>HTS-3a⁽ᴹ⁾ Porcentaje de HSH a los que se les ha realizado una prueba de VIH durante el período de reporte y que conocen sus resultados</v>
      </c>
      <c r="D1325" s="768" t="str">
        <f>R1325</f>
        <v/>
      </c>
      <c r="E1325" s="768" t="str">
        <f>S1325</f>
        <v/>
      </c>
      <c r="F1325" s="413"/>
      <c r="G1325" s="762" t="str">
        <f ca="1">IF(OR(INDIRECT("'update Helper'!E"&amp;U1325)="",F1325&lt;&gt;0,F1326&lt;&gt;0),IF(IFERROR((F1325/F1326),"")="","",(F1325/F1326)),INDIRECT("'update Helper'!E"&amp;U1325)/100)</f>
        <v/>
      </c>
      <c r="H1325" s="743"/>
      <c r="I1325" s="764"/>
      <c r="J1325" s="729"/>
      <c r="K1325" s="760" t="str">
        <f>W1325</f>
        <v>HTS-3a⁽ᴹ⁾ Percentage of men who have sex with men that have received an HIV test during the reporting period and know their results</v>
      </c>
      <c r="L1325" s="760" t="str">
        <f>V1325</f>
        <v/>
      </c>
      <c r="M1325" s="729"/>
      <c r="N1325" s="729"/>
      <c r="P1325" s="194">
        <f>IF(AND(EXACT(C1325,C1323),C1323&lt;&gt;0),P1323+1,0)</f>
        <v>12</v>
      </c>
      <c r="Q1325" s="194" t="str">
        <f>IF(C1325&lt;&gt;"",C1325&amp;"-"&amp;P1325,"")</f>
        <v>HTS-3a⁽ᴹ⁾ Porcentaje de HSH a los que se les ha realizado una prueba de VIH durante el período de reporte y que conocen sus resultados-12</v>
      </c>
      <c r="R1325" s="194" t="str">
        <f t="array" ref="R1325">IFERROR(IF(INDEX('Disaggregation Records'!$E$155:$E$385,MATCH(RIGHT(Q1325,255),RIGHT('Disaggregation Records'!$D$155:$D$385,255),0))="","",INDEX('Disaggregation Records'!$E$155:$E$385,MATCH(RIGHT(Q1325,255),RIGHT('Disaggregation Records'!$D$155:$D$385,255),0))),"")</f>
        <v/>
      </c>
      <c r="S1325" s="194" t="str">
        <f t="array" ref="S1325">IFERROR(IF(INDEX('Disaggregation Records'!$F$155:$F$385,MATCH(RIGHT(Q1325,255),RIGHT('Disaggregation Records'!$D$155:$D$385,255),0))="","",INDEX('Disaggregation Records'!$F$155:$F$385,MATCH(RIGHT(Q1325,255),RIGHT('Disaggregation Records'!$D$155:$D$385,255),0))),"")</f>
        <v/>
      </c>
      <c r="T1325" s="194" t="str">
        <f t="array" ref="T1325">IFERROR(IF(INDEX('Disaggregation Records'!$H$155:$H$385,MATCH(RIGHT(Q1325,255),RIGHT('Disaggregation Records'!$D$155:$D$385,255),0))="","",INDEX('Disaggregation Records'!$H$155:$H$385,MATCH(RIGHT(Q1325,255),RIGHT('Disaggregation Records'!$D$155:$D$385,255),0))),"")</f>
        <v/>
      </c>
      <c r="U1325" s="194">
        <f>U1323+1</f>
        <v>2852</v>
      </c>
      <c r="V1325" s="194" t="str">
        <f t="array" ref="V1325">IFERROR(IF(INDEX('Disaggregation Records'!$I$155:$I$385,MATCH(RIGHT(Q1325,255),RIGHT('Disaggregation Records'!$D$155:$D$385,255),0))="","",INDEX('Disaggregation Records'!$I$155:$I$385,MATCH(RIGHT(Q1325,255),RIGHT('Disaggregation Records'!$D$155:$D$385,255),0))),"")</f>
        <v/>
      </c>
      <c r="W1325" s="194" t="str">
        <f>IFERROR(INDEX('Reference Records'!L$77:L$157,MATCH(LEFT(C1325,255),'Reference Records'!E$77:E$157,0)),"")</f>
        <v>HTS-3a⁽ᴹ⁾ Percentage of men who have sex with men that have received an HIV test during the reporting period and know their results</v>
      </c>
    </row>
    <row r="1326" spans="1:23" s="194" customFormat="1" ht="40.4" customHeight="1" x14ac:dyDescent="0.35">
      <c r="A1326" s="770"/>
      <c r="B1326" s="767"/>
      <c r="C1326" s="761"/>
      <c r="D1326" s="769"/>
      <c r="E1326" s="769"/>
      <c r="F1326" s="208"/>
      <c r="G1326" s="763"/>
      <c r="H1326" s="744"/>
      <c r="I1326" s="765"/>
      <c r="J1326" s="730"/>
      <c r="K1326" s="761"/>
      <c r="L1326" s="761"/>
      <c r="M1326" s="730"/>
      <c r="N1326" s="730"/>
    </row>
    <row r="1327" spans="1:23" s="194" customFormat="1" ht="40.4" customHeight="1" x14ac:dyDescent="0.35">
      <c r="A1327" s="770" t="str">
        <f ca="1">INDIRECT("'update Helper'!C"&amp;U1327)</f>
        <v>a163p000004NtY3AAK</v>
      </c>
      <c r="B1327" s="766">
        <v>18</v>
      </c>
      <c r="C1327" s="760" t="str">
        <f>VLOOKUP(B1327,'Coverage Indicators - Section D'!$A$9:$AU$70,47,FALSE)</f>
        <v>HTS-3a⁽ᴹ⁾ Porcentaje de HSH a los que se les ha realizado una prueba de VIH durante el período de reporte y que conocen sus resultados</v>
      </c>
      <c r="D1327" s="768" t="str">
        <f>R1327</f>
        <v/>
      </c>
      <c r="E1327" s="768" t="str">
        <f>S1327</f>
        <v/>
      </c>
      <c r="F1327" s="413"/>
      <c r="G1327" s="762" t="str">
        <f ca="1">IF(OR(INDIRECT("'update Helper'!E"&amp;U1327)="",F1327&lt;&gt;0,F1328&lt;&gt;0),IF(IFERROR((F1327/F1328),"")="","",(F1327/F1328)),INDIRECT("'update Helper'!E"&amp;U1327)/100)</f>
        <v/>
      </c>
      <c r="H1327" s="743"/>
      <c r="I1327" s="764"/>
      <c r="J1327" s="729"/>
      <c r="K1327" s="760" t="str">
        <f>W1327</f>
        <v>HTS-3a⁽ᴹ⁾ Percentage of men who have sex with men that have received an HIV test during the reporting period and know their results</v>
      </c>
      <c r="L1327" s="760" t="str">
        <f>V1327</f>
        <v/>
      </c>
      <c r="M1327" s="729"/>
      <c r="N1327" s="729"/>
      <c r="P1327" s="194">
        <f>IF(AND(EXACT(C1327,C1325),C1325&lt;&gt;0),P1325+1,0)</f>
        <v>13</v>
      </c>
      <c r="Q1327" s="194" t="str">
        <f>IF(C1327&lt;&gt;"",C1327&amp;"-"&amp;P1327,"")</f>
        <v>HTS-3a⁽ᴹ⁾ Porcentaje de HSH a los que se les ha realizado una prueba de VIH durante el período de reporte y que conocen sus resultados-13</v>
      </c>
      <c r="R1327" s="194" t="str">
        <f t="array" ref="R1327">IFERROR(IF(INDEX('Disaggregation Records'!$E$155:$E$385,MATCH(RIGHT(Q1327,255),RIGHT('Disaggregation Records'!$D$155:$D$385,255),0))="","",INDEX('Disaggregation Records'!$E$155:$E$385,MATCH(RIGHT(Q1327,255),RIGHT('Disaggregation Records'!$D$155:$D$385,255),0))),"")</f>
        <v/>
      </c>
      <c r="S1327" s="194" t="str">
        <f t="array" ref="S1327">IFERROR(IF(INDEX('Disaggregation Records'!$F$155:$F$385,MATCH(RIGHT(Q1327,255),RIGHT('Disaggregation Records'!$D$155:$D$385,255),0))="","",INDEX('Disaggregation Records'!$F$155:$F$385,MATCH(RIGHT(Q1327,255),RIGHT('Disaggregation Records'!$D$155:$D$385,255),0))),"")</f>
        <v/>
      </c>
      <c r="T1327" s="194" t="str">
        <f t="array" ref="T1327">IFERROR(IF(INDEX('Disaggregation Records'!$H$155:$H$385,MATCH(RIGHT(Q1327,255),RIGHT('Disaggregation Records'!$D$155:$D$385,255),0))="","",INDEX('Disaggregation Records'!$H$155:$H$385,MATCH(RIGHT(Q1327,255),RIGHT('Disaggregation Records'!$D$155:$D$385,255),0))),"")</f>
        <v/>
      </c>
      <c r="U1327" s="194">
        <f>U1325+1</f>
        <v>2853</v>
      </c>
      <c r="V1327" s="194" t="str">
        <f t="array" ref="V1327">IFERROR(IF(INDEX('Disaggregation Records'!$I$155:$I$385,MATCH(RIGHT(Q1327,255),RIGHT('Disaggregation Records'!$D$155:$D$385,255),0))="","",INDEX('Disaggregation Records'!$I$155:$I$385,MATCH(RIGHT(Q1327,255),RIGHT('Disaggregation Records'!$D$155:$D$385,255),0))),"")</f>
        <v/>
      </c>
      <c r="W1327" s="194" t="str">
        <f>IFERROR(INDEX('Reference Records'!L$77:L$157,MATCH(LEFT(C1327,255),'Reference Records'!E$77:E$157,0)),"")</f>
        <v>HTS-3a⁽ᴹ⁾ Percentage of men who have sex with men that have received an HIV test during the reporting period and know their results</v>
      </c>
    </row>
    <row r="1328" spans="1:23" s="194" customFormat="1" ht="40.4" customHeight="1" x14ac:dyDescent="0.35">
      <c r="A1328" s="770"/>
      <c r="B1328" s="767"/>
      <c r="C1328" s="761"/>
      <c r="D1328" s="769"/>
      <c r="E1328" s="769"/>
      <c r="F1328" s="208"/>
      <c r="G1328" s="763"/>
      <c r="H1328" s="744"/>
      <c r="I1328" s="765"/>
      <c r="J1328" s="730"/>
      <c r="K1328" s="761"/>
      <c r="L1328" s="761"/>
      <c r="M1328" s="730"/>
      <c r="N1328" s="730"/>
    </row>
    <row r="1329" spans="1:23" s="194" customFormat="1" ht="40.4" customHeight="1" x14ac:dyDescent="0.35">
      <c r="A1329" s="770" t="str">
        <f ca="1">INDIRECT("'update Helper'!C"&amp;U1329)</f>
        <v>a163p000004NtY4AAK</v>
      </c>
      <c r="B1329" s="766">
        <v>18</v>
      </c>
      <c r="C1329" s="760" t="str">
        <f>VLOOKUP(B1329,'Coverage Indicators - Section D'!$A$9:$AU$70,47,FALSE)</f>
        <v>HTS-3a⁽ᴹ⁾ Porcentaje de HSH a los que se les ha realizado una prueba de VIH durante el período de reporte y que conocen sus resultados</v>
      </c>
      <c r="D1329" s="768" t="str">
        <f>R1329</f>
        <v/>
      </c>
      <c r="E1329" s="768" t="str">
        <f>S1329</f>
        <v/>
      </c>
      <c r="F1329" s="413"/>
      <c r="G1329" s="762" t="str">
        <f ca="1">IF(OR(INDIRECT("'update Helper'!E"&amp;U1329)="",F1329&lt;&gt;0,F1330&lt;&gt;0),IF(IFERROR((F1329/F1330),"")="","",(F1329/F1330)),INDIRECT("'update Helper'!E"&amp;U1329)/100)</f>
        <v/>
      </c>
      <c r="H1329" s="743"/>
      <c r="I1329" s="764"/>
      <c r="J1329" s="729"/>
      <c r="K1329" s="760" t="str">
        <f>W1329</f>
        <v>HTS-3a⁽ᴹ⁾ Percentage of men who have sex with men that have received an HIV test during the reporting period and know their results</v>
      </c>
      <c r="L1329" s="760" t="str">
        <f>V1329</f>
        <v/>
      </c>
      <c r="M1329" s="729"/>
      <c r="N1329" s="729"/>
      <c r="P1329" s="194">
        <f>IF(AND(EXACT(C1329,C1327),C1327&lt;&gt;0),P1327+1,0)</f>
        <v>14</v>
      </c>
      <c r="Q1329" s="194" t="str">
        <f>IF(C1329&lt;&gt;"",C1329&amp;"-"&amp;P1329,"")</f>
        <v>HTS-3a⁽ᴹ⁾ Porcentaje de HSH a los que se les ha realizado una prueba de VIH durante el período de reporte y que conocen sus resultados-14</v>
      </c>
      <c r="R1329" s="194" t="str">
        <f t="array" ref="R1329">IFERROR(IF(INDEX('Disaggregation Records'!$E$155:$E$385,MATCH(RIGHT(Q1329,255),RIGHT('Disaggregation Records'!$D$155:$D$385,255),0))="","",INDEX('Disaggregation Records'!$E$155:$E$385,MATCH(RIGHT(Q1329,255),RIGHT('Disaggregation Records'!$D$155:$D$385,255),0))),"")</f>
        <v/>
      </c>
      <c r="S1329" s="194" t="str">
        <f t="array" ref="S1329">IFERROR(IF(INDEX('Disaggregation Records'!$F$155:$F$385,MATCH(RIGHT(Q1329,255),RIGHT('Disaggregation Records'!$D$155:$D$385,255),0))="","",INDEX('Disaggregation Records'!$F$155:$F$385,MATCH(RIGHT(Q1329,255),RIGHT('Disaggregation Records'!$D$155:$D$385,255),0))),"")</f>
        <v/>
      </c>
      <c r="T1329" s="194" t="str">
        <f t="array" ref="T1329">IFERROR(IF(INDEX('Disaggregation Records'!$H$155:$H$385,MATCH(RIGHT(Q1329,255),RIGHT('Disaggregation Records'!$D$155:$D$385,255),0))="","",INDEX('Disaggregation Records'!$H$155:$H$385,MATCH(RIGHT(Q1329,255),RIGHT('Disaggregation Records'!$D$155:$D$385,255),0))),"")</f>
        <v/>
      </c>
      <c r="U1329" s="194">
        <f>U1327+1</f>
        <v>2854</v>
      </c>
      <c r="V1329" s="194" t="str">
        <f t="array" ref="V1329">IFERROR(IF(INDEX('Disaggregation Records'!$I$155:$I$385,MATCH(RIGHT(Q1329,255),RIGHT('Disaggregation Records'!$D$155:$D$385,255),0))="","",INDEX('Disaggregation Records'!$I$155:$I$385,MATCH(RIGHT(Q1329,255),RIGHT('Disaggregation Records'!$D$155:$D$385,255),0))),"")</f>
        <v/>
      </c>
      <c r="W1329" s="194" t="str">
        <f>IFERROR(INDEX('Reference Records'!L$77:L$157,MATCH(LEFT(C1329,255),'Reference Records'!E$77:E$157,0)),"")</f>
        <v>HTS-3a⁽ᴹ⁾ Percentage of men who have sex with men that have received an HIV test during the reporting period and know their results</v>
      </c>
    </row>
    <row r="1330" spans="1:23" s="194" customFormat="1" ht="40.4" customHeight="1" x14ac:dyDescent="0.35">
      <c r="A1330" s="770"/>
      <c r="B1330" s="767"/>
      <c r="C1330" s="761"/>
      <c r="D1330" s="769"/>
      <c r="E1330" s="769"/>
      <c r="F1330" s="208"/>
      <c r="G1330" s="763"/>
      <c r="H1330" s="744"/>
      <c r="I1330" s="765"/>
      <c r="J1330" s="730"/>
      <c r="K1330" s="761"/>
      <c r="L1330" s="761"/>
      <c r="M1330" s="730"/>
      <c r="N1330" s="730"/>
    </row>
    <row r="1331" spans="1:23" s="194" customFormat="1" ht="40.4" customHeight="1" x14ac:dyDescent="0.35">
      <c r="A1331" s="770" t="str">
        <f ca="1">INDIRECT("'update Helper'!C"&amp;U1331)</f>
        <v>a163p000004NtY5AAK</v>
      </c>
      <c r="B1331" s="766">
        <v>18</v>
      </c>
      <c r="C1331" s="760" t="str">
        <f>VLOOKUP(B1331,'Coverage Indicators - Section D'!$A$9:$AU$70,47,FALSE)</f>
        <v>HTS-3a⁽ᴹ⁾ Porcentaje de HSH a los que se les ha realizado una prueba de VIH durante el período de reporte y que conocen sus resultados</v>
      </c>
      <c r="D1331" s="768" t="str">
        <f>R1331</f>
        <v/>
      </c>
      <c r="E1331" s="768" t="str">
        <f>S1331</f>
        <v/>
      </c>
      <c r="F1331" s="413"/>
      <c r="G1331" s="762" t="str">
        <f ca="1">IF(OR(INDIRECT("'update Helper'!E"&amp;U1331)="",F1331&lt;&gt;0,F1332&lt;&gt;0),IF(IFERROR((F1331/F1332),"")="","",(F1331/F1332)),INDIRECT("'update Helper'!E"&amp;U1331)/100)</f>
        <v/>
      </c>
      <c r="H1331" s="743"/>
      <c r="I1331" s="764"/>
      <c r="J1331" s="729"/>
      <c r="K1331" s="760" t="str">
        <f>W1331</f>
        <v>HTS-3a⁽ᴹ⁾ Percentage of men who have sex with men that have received an HIV test during the reporting period and know their results</v>
      </c>
      <c r="L1331" s="760" t="str">
        <f>V1331</f>
        <v/>
      </c>
      <c r="M1331" s="729"/>
      <c r="N1331" s="729"/>
      <c r="P1331" s="194">
        <f>IF(AND(EXACT(C1331,C1329),C1329&lt;&gt;0),P1329+1,0)</f>
        <v>15</v>
      </c>
      <c r="Q1331" s="194" t="str">
        <f>IF(C1331&lt;&gt;"",C1331&amp;"-"&amp;P1331,"")</f>
        <v>HTS-3a⁽ᴹ⁾ Porcentaje de HSH a los que se les ha realizado una prueba de VIH durante el período de reporte y que conocen sus resultados-15</v>
      </c>
      <c r="R1331" s="194" t="str">
        <f t="array" ref="R1331">IFERROR(IF(INDEX('Disaggregation Records'!$E$155:$E$385,MATCH(RIGHT(Q1331,255),RIGHT('Disaggregation Records'!$D$155:$D$385,255),0))="","",INDEX('Disaggregation Records'!$E$155:$E$385,MATCH(RIGHT(Q1331,255),RIGHT('Disaggregation Records'!$D$155:$D$385,255),0))),"")</f>
        <v/>
      </c>
      <c r="S1331" s="194" t="str">
        <f t="array" ref="S1331">IFERROR(IF(INDEX('Disaggregation Records'!$F$155:$F$385,MATCH(RIGHT(Q1331,255),RIGHT('Disaggregation Records'!$D$155:$D$385,255),0))="","",INDEX('Disaggregation Records'!$F$155:$F$385,MATCH(RIGHT(Q1331,255),RIGHT('Disaggregation Records'!$D$155:$D$385,255),0))),"")</f>
        <v/>
      </c>
      <c r="T1331" s="194" t="str">
        <f t="array" ref="T1331">IFERROR(IF(INDEX('Disaggregation Records'!$H$155:$H$385,MATCH(RIGHT(Q1331,255),RIGHT('Disaggregation Records'!$D$155:$D$385,255),0))="","",INDEX('Disaggregation Records'!$H$155:$H$385,MATCH(RIGHT(Q1331,255),RIGHT('Disaggregation Records'!$D$155:$D$385,255),0))),"")</f>
        <v/>
      </c>
      <c r="U1331" s="194">
        <f>U1329+1</f>
        <v>2855</v>
      </c>
      <c r="V1331" s="194" t="str">
        <f t="array" ref="V1331">IFERROR(IF(INDEX('Disaggregation Records'!$I$155:$I$385,MATCH(RIGHT(Q1331,255),RIGHT('Disaggregation Records'!$D$155:$D$385,255),0))="","",INDEX('Disaggregation Records'!$I$155:$I$385,MATCH(RIGHT(Q1331,255),RIGHT('Disaggregation Records'!$D$155:$D$385,255),0))),"")</f>
        <v/>
      </c>
      <c r="W1331" s="194" t="str">
        <f>IFERROR(INDEX('Reference Records'!L$77:L$157,MATCH(LEFT(C1331,255),'Reference Records'!E$77:E$157,0)),"")</f>
        <v>HTS-3a⁽ᴹ⁾ Percentage of men who have sex with men that have received an HIV test during the reporting period and know their results</v>
      </c>
    </row>
    <row r="1332" spans="1:23" s="194" customFormat="1" ht="40.4" customHeight="1" x14ac:dyDescent="0.35">
      <c r="A1332" s="770"/>
      <c r="B1332" s="767"/>
      <c r="C1332" s="761"/>
      <c r="D1332" s="769"/>
      <c r="E1332" s="769"/>
      <c r="F1332" s="208"/>
      <c r="G1332" s="763"/>
      <c r="H1332" s="744"/>
      <c r="I1332" s="765"/>
      <c r="J1332" s="730"/>
      <c r="K1332" s="761"/>
      <c r="L1332" s="761"/>
      <c r="M1332" s="730"/>
      <c r="N1332" s="730"/>
    </row>
    <row r="1333" spans="1:23" s="194" customFormat="1" ht="40.4" customHeight="1" x14ac:dyDescent="0.35">
      <c r="A1333" s="770" t="str">
        <f ca="1">INDIRECT("'update Helper'!C"&amp;U1333)</f>
        <v>a163p000004NtY6AAK</v>
      </c>
      <c r="B1333" s="766">
        <v>18</v>
      </c>
      <c r="C1333" s="760" t="str">
        <f>VLOOKUP(B1333,'Coverage Indicators - Section D'!$A$9:$AU$70,47,FALSE)</f>
        <v>HTS-3a⁽ᴹ⁾ Porcentaje de HSH a los que se les ha realizado una prueba de VIH durante el período de reporte y que conocen sus resultados</v>
      </c>
      <c r="D1333" s="768" t="str">
        <f>R1333</f>
        <v/>
      </c>
      <c r="E1333" s="768" t="str">
        <f>S1333</f>
        <v/>
      </c>
      <c r="F1333" s="413"/>
      <c r="G1333" s="762" t="str">
        <f ca="1">IF(OR(INDIRECT("'update Helper'!E"&amp;U1333)="",F1333&lt;&gt;0,F1334&lt;&gt;0),IF(IFERROR((F1333/F1334),"")="","",(F1333/F1334)),INDIRECT("'update Helper'!E"&amp;U1333)/100)</f>
        <v/>
      </c>
      <c r="H1333" s="743"/>
      <c r="I1333" s="764"/>
      <c r="J1333" s="729"/>
      <c r="K1333" s="760" t="str">
        <f>W1333</f>
        <v>HTS-3a⁽ᴹ⁾ Percentage of men who have sex with men that have received an HIV test during the reporting period and know their results</v>
      </c>
      <c r="L1333" s="760" t="str">
        <f>V1333</f>
        <v/>
      </c>
      <c r="M1333" s="729"/>
      <c r="N1333" s="729"/>
      <c r="P1333" s="194">
        <f>IF(AND(EXACT(C1333,C1331),C1331&lt;&gt;0),P1331+1,0)</f>
        <v>16</v>
      </c>
      <c r="Q1333" s="194" t="str">
        <f>IF(C1333&lt;&gt;"",C1333&amp;"-"&amp;P1333,"")</f>
        <v>HTS-3a⁽ᴹ⁾ Porcentaje de HSH a los que se les ha realizado una prueba de VIH durante el período de reporte y que conocen sus resultados-16</v>
      </c>
      <c r="R1333" s="194" t="str">
        <f t="array" ref="R1333">IFERROR(IF(INDEX('Disaggregation Records'!$E$155:$E$385,MATCH(RIGHT(Q1333,255),RIGHT('Disaggregation Records'!$D$155:$D$385,255),0))="","",INDEX('Disaggregation Records'!$E$155:$E$385,MATCH(RIGHT(Q1333,255),RIGHT('Disaggregation Records'!$D$155:$D$385,255),0))),"")</f>
        <v/>
      </c>
      <c r="S1333" s="194" t="str">
        <f t="array" ref="S1333">IFERROR(IF(INDEX('Disaggregation Records'!$F$155:$F$385,MATCH(RIGHT(Q1333,255),RIGHT('Disaggregation Records'!$D$155:$D$385,255),0))="","",INDEX('Disaggregation Records'!$F$155:$F$385,MATCH(RIGHT(Q1333,255),RIGHT('Disaggregation Records'!$D$155:$D$385,255),0))),"")</f>
        <v/>
      </c>
      <c r="T1333" s="194" t="str">
        <f t="array" ref="T1333">IFERROR(IF(INDEX('Disaggregation Records'!$H$155:$H$385,MATCH(RIGHT(Q1333,255),RIGHT('Disaggregation Records'!$D$155:$D$385,255),0))="","",INDEX('Disaggregation Records'!$H$155:$H$385,MATCH(RIGHT(Q1333,255),RIGHT('Disaggregation Records'!$D$155:$D$385,255),0))),"")</f>
        <v/>
      </c>
      <c r="U1333" s="194">
        <f>U1331+1</f>
        <v>2856</v>
      </c>
      <c r="V1333" s="194" t="str">
        <f t="array" ref="V1333">IFERROR(IF(INDEX('Disaggregation Records'!$I$155:$I$385,MATCH(RIGHT(Q1333,255),RIGHT('Disaggregation Records'!$D$155:$D$385,255),0))="","",INDEX('Disaggregation Records'!$I$155:$I$385,MATCH(RIGHT(Q1333,255),RIGHT('Disaggregation Records'!$D$155:$D$385,255),0))),"")</f>
        <v/>
      </c>
      <c r="W1333" s="194" t="str">
        <f>IFERROR(INDEX('Reference Records'!L$77:L$157,MATCH(LEFT(C1333,255),'Reference Records'!E$77:E$157,0)),"")</f>
        <v>HTS-3a⁽ᴹ⁾ Percentage of men who have sex with men that have received an HIV test during the reporting period and know their results</v>
      </c>
    </row>
    <row r="1334" spans="1:23" s="194" customFormat="1" ht="40.4" customHeight="1" x14ac:dyDescent="0.35">
      <c r="A1334" s="770"/>
      <c r="B1334" s="767"/>
      <c r="C1334" s="761"/>
      <c r="D1334" s="769"/>
      <c r="E1334" s="769"/>
      <c r="F1334" s="208"/>
      <c r="G1334" s="763"/>
      <c r="H1334" s="744"/>
      <c r="I1334" s="765"/>
      <c r="J1334" s="730"/>
      <c r="K1334" s="761"/>
      <c r="L1334" s="761"/>
      <c r="M1334" s="730"/>
      <c r="N1334" s="730"/>
    </row>
    <row r="1335" spans="1:23" s="194" customFormat="1" ht="40.4" customHeight="1" x14ac:dyDescent="0.35">
      <c r="A1335" s="770" t="str">
        <f ca="1">INDIRECT("'update Helper'!C"&amp;U1335)</f>
        <v>a163p000004NtY7AAK</v>
      </c>
      <c r="B1335" s="766">
        <v>18</v>
      </c>
      <c r="C1335" s="760" t="str">
        <f>VLOOKUP(B1335,'Coverage Indicators - Section D'!$A$9:$AU$70,47,FALSE)</f>
        <v>HTS-3a⁽ᴹ⁾ Porcentaje de HSH a los que se les ha realizado una prueba de VIH durante el período de reporte y que conocen sus resultados</v>
      </c>
      <c r="D1335" s="768" t="str">
        <f>R1335</f>
        <v/>
      </c>
      <c r="E1335" s="768" t="str">
        <f>S1335</f>
        <v/>
      </c>
      <c r="F1335" s="413"/>
      <c r="G1335" s="762" t="str">
        <f ca="1">IF(OR(INDIRECT("'update Helper'!E"&amp;U1335)="",F1335&lt;&gt;0,F1336&lt;&gt;0),IF(IFERROR((F1335/F1336),"")="","",(F1335/F1336)),INDIRECT("'update Helper'!E"&amp;U1335)/100)</f>
        <v/>
      </c>
      <c r="H1335" s="743"/>
      <c r="I1335" s="764"/>
      <c r="J1335" s="729"/>
      <c r="K1335" s="760" t="str">
        <f>W1335</f>
        <v>HTS-3a⁽ᴹ⁾ Percentage of men who have sex with men that have received an HIV test during the reporting period and know their results</v>
      </c>
      <c r="L1335" s="760" t="str">
        <f>V1335</f>
        <v/>
      </c>
      <c r="M1335" s="729"/>
      <c r="N1335" s="729"/>
      <c r="P1335" s="194">
        <f>IF(AND(EXACT(C1335,C1333),C1333&lt;&gt;0),P1333+1,0)</f>
        <v>17</v>
      </c>
      <c r="Q1335" s="194" t="str">
        <f>IF(C1335&lt;&gt;"",C1335&amp;"-"&amp;P1335,"")</f>
        <v>HTS-3a⁽ᴹ⁾ Porcentaje de HSH a los que se les ha realizado una prueba de VIH durante el período de reporte y que conocen sus resultados-17</v>
      </c>
      <c r="R1335" s="194" t="str">
        <f t="array" ref="R1335">IFERROR(IF(INDEX('Disaggregation Records'!$E$155:$E$385,MATCH(RIGHT(Q1335,255),RIGHT('Disaggregation Records'!$D$155:$D$385,255),0))="","",INDEX('Disaggregation Records'!$E$155:$E$385,MATCH(RIGHT(Q1335,255),RIGHT('Disaggregation Records'!$D$155:$D$385,255),0))),"")</f>
        <v/>
      </c>
      <c r="S1335" s="194" t="str">
        <f t="array" ref="S1335">IFERROR(IF(INDEX('Disaggregation Records'!$F$155:$F$385,MATCH(RIGHT(Q1335,255),RIGHT('Disaggregation Records'!$D$155:$D$385,255),0))="","",INDEX('Disaggregation Records'!$F$155:$F$385,MATCH(RIGHT(Q1335,255),RIGHT('Disaggregation Records'!$D$155:$D$385,255),0))),"")</f>
        <v/>
      </c>
      <c r="T1335" s="194" t="str">
        <f t="array" ref="T1335">IFERROR(IF(INDEX('Disaggregation Records'!$H$155:$H$385,MATCH(RIGHT(Q1335,255),RIGHT('Disaggregation Records'!$D$155:$D$385,255),0))="","",INDEX('Disaggregation Records'!$H$155:$H$385,MATCH(RIGHT(Q1335,255),RIGHT('Disaggregation Records'!$D$155:$D$385,255),0))),"")</f>
        <v/>
      </c>
      <c r="U1335" s="194">
        <f>U1333+1</f>
        <v>2857</v>
      </c>
      <c r="V1335" s="194" t="str">
        <f t="array" ref="V1335">IFERROR(IF(INDEX('Disaggregation Records'!$I$155:$I$385,MATCH(RIGHT(Q1335,255),RIGHT('Disaggregation Records'!$D$155:$D$385,255),0))="","",INDEX('Disaggregation Records'!$I$155:$I$385,MATCH(RIGHT(Q1335,255),RIGHT('Disaggregation Records'!$D$155:$D$385,255),0))),"")</f>
        <v/>
      </c>
      <c r="W1335" s="194" t="str">
        <f>IFERROR(INDEX('Reference Records'!L$77:L$157,MATCH(LEFT(C1335,255),'Reference Records'!E$77:E$157,0)),"")</f>
        <v>HTS-3a⁽ᴹ⁾ Percentage of men who have sex with men that have received an HIV test during the reporting period and know their results</v>
      </c>
    </row>
    <row r="1336" spans="1:23" s="194" customFormat="1" ht="40.4" customHeight="1" x14ac:dyDescent="0.35">
      <c r="A1336" s="770"/>
      <c r="B1336" s="767"/>
      <c r="C1336" s="761"/>
      <c r="D1336" s="769"/>
      <c r="E1336" s="769"/>
      <c r="F1336" s="208"/>
      <c r="G1336" s="763"/>
      <c r="H1336" s="744"/>
      <c r="I1336" s="765"/>
      <c r="J1336" s="730"/>
      <c r="K1336" s="761"/>
      <c r="L1336" s="761"/>
      <c r="M1336" s="730"/>
      <c r="N1336" s="730"/>
    </row>
    <row r="1337" spans="1:23" s="194" customFormat="1" ht="40.4" customHeight="1" x14ac:dyDescent="0.35">
      <c r="A1337" s="770" t="str">
        <f ca="1">INDIRECT("'update Helper'!C"&amp;U1337)</f>
        <v>a163p000004NtY8AAK</v>
      </c>
      <c r="B1337" s="766">
        <v>18</v>
      </c>
      <c r="C1337" s="760" t="str">
        <f>VLOOKUP(B1337,'Coverage Indicators - Section D'!$A$9:$AU$70,47,FALSE)</f>
        <v>HTS-3a⁽ᴹ⁾ Porcentaje de HSH a los que se les ha realizado una prueba de VIH durante el período de reporte y que conocen sus resultados</v>
      </c>
      <c r="D1337" s="768" t="str">
        <f>R1337</f>
        <v/>
      </c>
      <c r="E1337" s="768" t="str">
        <f>S1337</f>
        <v/>
      </c>
      <c r="F1337" s="413"/>
      <c r="G1337" s="762" t="str">
        <f ca="1">IF(OR(INDIRECT("'update Helper'!E"&amp;U1337)="",F1337&lt;&gt;0,F1338&lt;&gt;0),IF(IFERROR((F1337/F1338),"")="","",(F1337/F1338)),INDIRECT("'update Helper'!E"&amp;U1337)/100)</f>
        <v/>
      </c>
      <c r="H1337" s="743"/>
      <c r="I1337" s="764"/>
      <c r="J1337" s="729"/>
      <c r="K1337" s="760" t="str">
        <f>W1337</f>
        <v>HTS-3a⁽ᴹ⁾ Percentage of men who have sex with men that have received an HIV test during the reporting period and know their results</v>
      </c>
      <c r="L1337" s="760" t="str">
        <f>V1337</f>
        <v/>
      </c>
      <c r="M1337" s="729"/>
      <c r="N1337" s="729"/>
      <c r="P1337" s="194">
        <f>IF(AND(EXACT(C1337,C1335),C1335&lt;&gt;0),P1335+1,0)</f>
        <v>18</v>
      </c>
      <c r="Q1337" s="194" t="str">
        <f>IF(C1337&lt;&gt;"",C1337&amp;"-"&amp;P1337,"")</f>
        <v>HTS-3a⁽ᴹ⁾ Porcentaje de HSH a los que se les ha realizado una prueba de VIH durante el período de reporte y que conocen sus resultados-18</v>
      </c>
      <c r="R1337" s="194" t="str">
        <f t="array" ref="R1337">IFERROR(IF(INDEX('Disaggregation Records'!$E$155:$E$385,MATCH(RIGHT(Q1337,255),RIGHT('Disaggregation Records'!$D$155:$D$385,255),0))="","",INDEX('Disaggregation Records'!$E$155:$E$385,MATCH(RIGHT(Q1337,255),RIGHT('Disaggregation Records'!$D$155:$D$385,255),0))),"")</f>
        <v/>
      </c>
      <c r="S1337" s="194" t="str">
        <f t="array" ref="S1337">IFERROR(IF(INDEX('Disaggregation Records'!$F$155:$F$385,MATCH(RIGHT(Q1337,255),RIGHT('Disaggregation Records'!$D$155:$D$385,255),0))="","",INDEX('Disaggregation Records'!$F$155:$F$385,MATCH(RIGHT(Q1337,255),RIGHT('Disaggregation Records'!$D$155:$D$385,255),0))),"")</f>
        <v/>
      </c>
      <c r="T1337" s="194" t="str">
        <f t="array" ref="T1337">IFERROR(IF(INDEX('Disaggregation Records'!$H$155:$H$385,MATCH(RIGHT(Q1337,255),RIGHT('Disaggregation Records'!$D$155:$D$385,255),0))="","",INDEX('Disaggregation Records'!$H$155:$H$385,MATCH(RIGHT(Q1337,255),RIGHT('Disaggregation Records'!$D$155:$D$385,255),0))),"")</f>
        <v/>
      </c>
      <c r="U1337" s="194">
        <f>U1335+1</f>
        <v>2858</v>
      </c>
      <c r="V1337" s="194" t="str">
        <f t="array" ref="V1337">IFERROR(IF(INDEX('Disaggregation Records'!$I$155:$I$385,MATCH(RIGHT(Q1337,255),RIGHT('Disaggregation Records'!$D$155:$D$385,255),0))="","",INDEX('Disaggregation Records'!$I$155:$I$385,MATCH(RIGHT(Q1337,255),RIGHT('Disaggregation Records'!$D$155:$D$385,255),0))),"")</f>
        <v/>
      </c>
      <c r="W1337" s="194" t="str">
        <f>IFERROR(INDEX('Reference Records'!L$77:L$157,MATCH(LEFT(C1337,255),'Reference Records'!E$77:E$157,0)),"")</f>
        <v>HTS-3a⁽ᴹ⁾ Percentage of men who have sex with men that have received an HIV test during the reporting period and know their results</v>
      </c>
    </row>
    <row r="1338" spans="1:23" s="194" customFormat="1" ht="40.4" customHeight="1" x14ac:dyDescent="0.35">
      <c r="A1338" s="770"/>
      <c r="B1338" s="767"/>
      <c r="C1338" s="761"/>
      <c r="D1338" s="769"/>
      <c r="E1338" s="769"/>
      <c r="F1338" s="208"/>
      <c r="G1338" s="763"/>
      <c r="H1338" s="744"/>
      <c r="I1338" s="765"/>
      <c r="J1338" s="730"/>
      <c r="K1338" s="761"/>
      <c r="L1338" s="761"/>
      <c r="M1338" s="730"/>
      <c r="N1338" s="730"/>
    </row>
    <row r="1339" spans="1:23" s="194" customFormat="1" ht="40.4" customHeight="1" x14ac:dyDescent="0.35">
      <c r="A1339" s="770" t="str">
        <f ca="1">INDIRECT("'update Helper'!C"&amp;U1339)</f>
        <v>a163p000004NtY9AAK</v>
      </c>
      <c r="B1339" s="766">
        <v>18</v>
      </c>
      <c r="C1339" s="760" t="str">
        <f>VLOOKUP(B1339,'Coverage Indicators - Section D'!$A$9:$AU$70,47,FALSE)</f>
        <v>HTS-3a⁽ᴹ⁾ Porcentaje de HSH a los que se les ha realizado una prueba de VIH durante el período de reporte y que conocen sus resultados</v>
      </c>
      <c r="D1339" s="768" t="str">
        <f>R1339</f>
        <v/>
      </c>
      <c r="E1339" s="768" t="str">
        <f>S1339</f>
        <v/>
      </c>
      <c r="F1339" s="413"/>
      <c r="G1339" s="762" t="str">
        <f ca="1">IF(OR(INDIRECT("'update Helper'!E"&amp;U1339)="",F1339&lt;&gt;0,F1340&lt;&gt;0),IF(IFERROR((F1339/F1340),"")="","",(F1339/F1340)),INDIRECT("'update Helper'!E"&amp;U1339)/100)</f>
        <v/>
      </c>
      <c r="H1339" s="743"/>
      <c r="I1339" s="764"/>
      <c r="J1339" s="729"/>
      <c r="K1339" s="760" t="str">
        <f>W1339</f>
        <v>HTS-3a⁽ᴹ⁾ Percentage of men who have sex with men that have received an HIV test during the reporting period and know their results</v>
      </c>
      <c r="L1339" s="760" t="str">
        <f>V1339</f>
        <v/>
      </c>
      <c r="M1339" s="729"/>
      <c r="N1339" s="729"/>
      <c r="P1339" s="194">
        <f>IF(AND(EXACT(C1339,C1337),C1337&lt;&gt;0),P1337+1,0)</f>
        <v>19</v>
      </c>
      <c r="Q1339" s="194" t="str">
        <f>IF(C1339&lt;&gt;"",C1339&amp;"-"&amp;P1339,"")</f>
        <v>HTS-3a⁽ᴹ⁾ Porcentaje de HSH a los que se les ha realizado una prueba de VIH durante el período de reporte y que conocen sus resultados-19</v>
      </c>
      <c r="R1339" s="194" t="str">
        <f t="array" ref="R1339">IFERROR(IF(INDEX('Disaggregation Records'!$E$155:$E$385,MATCH(RIGHT(Q1339,255),RIGHT('Disaggregation Records'!$D$155:$D$385,255),0))="","",INDEX('Disaggregation Records'!$E$155:$E$385,MATCH(RIGHT(Q1339,255),RIGHT('Disaggregation Records'!$D$155:$D$385,255),0))),"")</f>
        <v/>
      </c>
      <c r="S1339" s="194" t="str">
        <f t="array" ref="S1339">IFERROR(IF(INDEX('Disaggregation Records'!$F$155:$F$385,MATCH(RIGHT(Q1339,255),RIGHT('Disaggregation Records'!$D$155:$D$385,255),0))="","",INDEX('Disaggregation Records'!$F$155:$F$385,MATCH(RIGHT(Q1339,255),RIGHT('Disaggregation Records'!$D$155:$D$385,255),0))),"")</f>
        <v/>
      </c>
      <c r="T1339" s="194" t="str">
        <f t="array" ref="T1339">IFERROR(IF(INDEX('Disaggregation Records'!$H$155:$H$385,MATCH(RIGHT(Q1339,255),RIGHT('Disaggregation Records'!$D$155:$D$385,255),0))="","",INDEX('Disaggregation Records'!$H$155:$H$385,MATCH(RIGHT(Q1339,255),RIGHT('Disaggregation Records'!$D$155:$D$385,255),0))),"")</f>
        <v/>
      </c>
      <c r="U1339" s="194">
        <f>U1337+1</f>
        <v>2859</v>
      </c>
      <c r="V1339" s="194" t="str">
        <f t="array" ref="V1339">IFERROR(IF(INDEX('Disaggregation Records'!$I$155:$I$385,MATCH(RIGHT(Q1339,255),RIGHT('Disaggregation Records'!$D$155:$D$385,255),0))="","",INDEX('Disaggregation Records'!$I$155:$I$385,MATCH(RIGHT(Q1339,255),RIGHT('Disaggregation Records'!$D$155:$D$385,255),0))),"")</f>
        <v/>
      </c>
      <c r="W1339" s="194" t="str">
        <f>IFERROR(INDEX('Reference Records'!L$77:L$157,MATCH(LEFT(C1339,255),'Reference Records'!E$77:E$157,0)),"")</f>
        <v>HTS-3a⁽ᴹ⁾ Percentage of men who have sex with men that have received an HIV test during the reporting period and know their results</v>
      </c>
    </row>
    <row r="1340" spans="1:23" s="194" customFormat="1" ht="40.4" customHeight="1" x14ac:dyDescent="0.35">
      <c r="A1340" s="770"/>
      <c r="B1340" s="767"/>
      <c r="C1340" s="761"/>
      <c r="D1340" s="769"/>
      <c r="E1340" s="769"/>
      <c r="F1340" s="208"/>
      <c r="G1340" s="763"/>
      <c r="H1340" s="744"/>
      <c r="I1340" s="765"/>
      <c r="J1340" s="730"/>
      <c r="K1340" s="761"/>
      <c r="L1340" s="761"/>
      <c r="M1340" s="730"/>
      <c r="N1340" s="730"/>
    </row>
    <row r="1341" spans="1:23" s="194" customFormat="1" ht="40.4" customHeight="1" x14ac:dyDescent="0.35">
      <c r="A1341" s="770" t="str">
        <f ca="1">INDIRECT("'update Helper'!C"&amp;U1341)</f>
        <v>a163p000004NtOUAA0</v>
      </c>
      <c r="B1341" s="766">
        <v>19</v>
      </c>
      <c r="C1341" s="760" t="str">
        <f>VLOOKUP(B1341,'Coverage Indicators - Section D'!$A$9:$AU$70,47,FALSE)</f>
        <v/>
      </c>
      <c r="D1341" s="768" t="str">
        <f>R1341</f>
        <v/>
      </c>
      <c r="E1341" s="768" t="str">
        <f>S1341</f>
        <v/>
      </c>
      <c r="F1341" s="413"/>
      <c r="G1341" s="762" t="str">
        <f ca="1">IF(OR(INDIRECT("'update Helper'!E"&amp;U1341)="",F1341&lt;&gt;0,F1342&lt;&gt;0),IF(IFERROR((F1341/F1342),"")="","",(F1341/F1342)),INDIRECT("'update Helper'!E"&amp;U1341)/100)</f>
        <v/>
      </c>
      <c r="H1341" s="743"/>
      <c r="I1341" s="764"/>
      <c r="J1341" s="729"/>
      <c r="K1341" s="760" t="str">
        <f>W1341</f>
        <v/>
      </c>
      <c r="L1341" s="760" t="str">
        <f>V1341</f>
        <v/>
      </c>
      <c r="M1341" s="729"/>
      <c r="N1341" s="729"/>
      <c r="P1341" s="194">
        <f>IF(AND(EXACT(C1341,C1339),C1339&lt;&gt;0),P1339+1,0)</f>
        <v>0</v>
      </c>
      <c r="Q1341" s="194" t="str">
        <f>IF(C1341&lt;&gt;"",C1341&amp;"-"&amp;P1341,"")</f>
        <v/>
      </c>
      <c r="R1341" s="194" t="str">
        <f t="array" ref="R1341">IFERROR(IF(INDEX('Disaggregation Records'!$E$155:$E$385,MATCH(RIGHT(Q1341,255),RIGHT('Disaggregation Records'!$D$155:$D$385,255),0))="","",INDEX('Disaggregation Records'!$E$155:$E$385,MATCH(RIGHT(Q1341,255),RIGHT('Disaggregation Records'!$D$155:$D$385,255),0))),"")</f>
        <v/>
      </c>
      <c r="S1341" s="194" t="str">
        <f t="array" ref="S1341">IFERROR(IF(INDEX('Disaggregation Records'!$F$155:$F$385,MATCH(RIGHT(Q1341,255),RIGHT('Disaggregation Records'!$D$155:$D$385,255),0))="","",INDEX('Disaggregation Records'!$F$155:$F$385,MATCH(RIGHT(Q1341,255),RIGHT('Disaggregation Records'!$D$155:$D$385,255),0))),"")</f>
        <v/>
      </c>
      <c r="T1341" s="194" t="str">
        <f t="array" ref="T1341">IFERROR(IF(INDEX('Disaggregation Records'!$H$155:$H$385,MATCH(RIGHT(Q1341,255),RIGHT('Disaggregation Records'!$D$155:$D$385,255),0))="","",INDEX('Disaggregation Records'!$H$155:$H$385,MATCH(RIGHT(Q1341,255),RIGHT('Disaggregation Records'!$D$155:$D$385,255),0))),"")</f>
        <v/>
      </c>
      <c r="U1341" s="194">
        <f>U1339+1</f>
        <v>2860</v>
      </c>
      <c r="V1341" s="194" t="str">
        <f t="array" ref="V1341">IFERROR(IF(INDEX('Disaggregation Records'!$I$155:$I$385,MATCH(RIGHT(Q1341,255),RIGHT('Disaggregation Records'!$D$155:$D$385,255),0))="","",INDEX('Disaggregation Records'!$I$155:$I$385,MATCH(RIGHT(Q1341,255),RIGHT('Disaggregation Records'!$D$155:$D$385,255),0))),"")</f>
        <v/>
      </c>
      <c r="W1341" s="194" t="str">
        <f>IFERROR(INDEX('Reference Records'!L$77:L$157,MATCH(LEFT(C1341,255),'Reference Records'!E$77:E$157,0)),"")</f>
        <v/>
      </c>
    </row>
    <row r="1342" spans="1:23" s="194" customFormat="1" ht="40.4" customHeight="1" x14ac:dyDescent="0.35">
      <c r="A1342" s="770"/>
      <c r="B1342" s="767"/>
      <c r="C1342" s="761"/>
      <c r="D1342" s="769"/>
      <c r="E1342" s="769"/>
      <c r="F1342" s="208"/>
      <c r="G1342" s="763"/>
      <c r="H1342" s="744"/>
      <c r="I1342" s="765"/>
      <c r="J1342" s="730"/>
      <c r="K1342" s="761"/>
      <c r="L1342" s="761"/>
      <c r="M1342" s="730"/>
      <c r="N1342" s="730"/>
    </row>
    <row r="1343" spans="1:23" s="194" customFormat="1" ht="40.4" customHeight="1" x14ac:dyDescent="0.35">
      <c r="A1343" s="770" t="str">
        <f ca="1">INDIRECT("'update Helper'!C"&amp;U1343)</f>
        <v>a163p000004NtOVAA0</v>
      </c>
      <c r="B1343" s="766">
        <v>19</v>
      </c>
      <c r="C1343" s="760" t="str">
        <f>VLOOKUP(B1343,'Coverage Indicators - Section D'!$A$9:$AU$70,47,FALSE)</f>
        <v/>
      </c>
      <c r="D1343" s="768" t="str">
        <f>R1343</f>
        <v/>
      </c>
      <c r="E1343" s="768" t="str">
        <f>S1343</f>
        <v/>
      </c>
      <c r="F1343" s="413"/>
      <c r="G1343" s="762" t="str">
        <f ca="1">IF(OR(INDIRECT("'update Helper'!E"&amp;U1343)="",F1343&lt;&gt;0,F1344&lt;&gt;0),IF(IFERROR((F1343/F1344),"")="","",(F1343/F1344)),INDIRECT("'update Helper'!E"&amp;U1343)/100)</f>
        <v/>
      </c>
      <c r="H1343" s="743"/>
      <c r="I1343" s="764"/>
      <c r="J1343" s="729"/>
      <c r="K1343" s="760" t="str">
        <f>W1343</f>
        <v/>
      </c>
      <c r="L1343" s="760" t="str">
        <f>V1343</f>
        <v/>
      </c>
      <c r="M1343" s="729"/>
      <c r="N1343" s="729"/>
      <c r="P1343" s="194">
        <f>IF(AND(EXACT(C1343,C1341),C1341&lt;&gt;0),P1341+1,0)</f>
        <v>1</v>
      </c>
      <c r="Q1343" s="194" t="str">
        <f>IF(C1343&lt;&gt;"",C1343&amp;"-"&amp;P1343,"")</f>
        <v/>
      </c>
      <c r="R1343" s="194" t="str">
        <f t="array" ref="R1343">IFERROR(IF(INDEX('Disaggregation Records'!$E$155:$E$385,MATCH(RIGHT(Q1343,255),RIGHT('Disaggregation Records'!$D$155:$D$385,255),0))="","",INDEX('Disaggregation Records'!$E$155:$E$385,MATCH(RIGHT(Q1343,255),RIGHT('Disaggregation Records'!$D$155:$D$385,255),0))),"")</f>
        <v/>
      </c>
      <c r="S1343" s="194" t="str">
        <f t="array" ref="S1343">IFERROR(IF(INDEX('Disaggregation Records'!$F$155:$F$385,MATCH(RIGHT(Q1343,255),RIGHT('Disaggregation Records'!$D$155:$D$385,255),0))="","",INDEX('Disaggregation Records'!$F$155:$F$385,MATCH(RIGHT(Q1343,255),RIGHT('Disaggregation Records'!$D$155:$D$385,255),0))),"")</f>
        <v/>
      </c>
      <c r="T1343" s="194" t="str">
        <f t="array" ref="T1343">IFERROR(IF(INDEX('Disaggregation Records'!$H$155:$H$385,MATCH(RIGHT(Q1343,255),RIGHT('Disaggregation Records'!$D$155:$D$385,255),0))="","",INDEX('Disaggregation Records'!$H$155:$H$385,MATCH(RIGHT(Q1343,255),RIGHT('Disaggregation Records'!$D$155:$D$385,255),0))),"")</f>
        <v/>
      </c>
      <c r="U1343" s="194">
        <f>U1341+1</f>
        <v>2861</v>
      </c>
      <c r="V1343" s="194" t="str">
        <f t="array" ref="V1343">IFERROR(IF(INDEX('Disaggregation Records'!$I$155:$I$385,MATCH(RIGHT(Q1343,255),RIGHT('Disaggregation Records'!$D$155:$D$385,255),0))="","",INDEX('Disaggregation Records'!$I$155:$I$385,MATCH(RIGHT(Q1343,255),RIGHT('Disaggregation Records'!$D$155:$D$385,255),0))),"")</f>
        <v/>
      </c>
      <c r="W1343" s="194" t="str">
        <f>IFERROR(INDEX('Reference Records'!L$77:L$157,MATCH(LEFT(C1343,255),'Reference Records'!E$77:E$157,0)),"")</f>
        <v/>
      </c>
    </row>
    <row r="1344" spans="1:23" s="194" customFormat="1" ht="40.4" customHeight="1" x14ac:dyDescent="0.35">
      <c r="A1344" s="770"/>
      <c r="B1344" s="767"/>
      <c r="C1344" s="761"/>
      <c r="D1344" s="769"/>
      <c r="E1344" s="769"/>
      <c r="F1344" s="208"/>
      <c r="G1344" s="763"/>
      <c r="H1344" s="744"/>
      <c r="I1344" s="765"/>
      <c r="J1344" s="730"/>
      <c r="K1344" s="761"/>
      <c r="L1344" s="761"/>
      <c r="M1344" s="730"/>
      <c r="N1344" s="730"/>
    </row>
    <row r="1345" spans="1:23" s="194" customFormat="1" ht="40.4" customHeight="1" x14ac:dyDescent="0.35">
      <c r="A1345" s="770" t="str">
        <f ca="1">INDIRECT("'update Helper'!C"&amp;U1345)</f>
        <v>a163p000004NtOWAA0</v>
      </c>
      <c r="B1345" s="766">
        <v>19</v>
      </c>
      <c r="C1345" s="760" t="str">
        <f>VLOOKUP(B1345,'Coverage Indicators - Section D'!$A$9:$AU$70,47,FALSE)</f>
        <v/>
      </c>
      <c r="D1345" s="768" t="str">
        <f>R1345</f>
        <v/>
      </c>
      <c r="E1345" s="768" t="str">
        <f>S1345</f>
        <v/>
      </c>
      <c r="F1345" s="413"/>
      <c r="G1345" s="762" t="str">
        <f ca="1">IF(OR(INDIRECT("'update Helper'!E"&amp;U1345)="",F1345&lt;&gt;0,F1346&lt;&gt;0),IF(IFERROR((F1345/F1346),"")="","",(F1345/F1346)),INDIRECT("'update Helper'!E"&amp;U1345)/100)</f>
        <v/>
      </c>
      <c r="H1345" s="743"/>
      <c r="I1345" s="764"/>
      <c r="J1345" s="729"/>
      <c r="K1345" s="760" t="str">
        <f>W1345</f>
        <v/>
      </c>
      <c r="L1345" s="760" t="str">
        <f>V1345</f>
        <v/>
      </c>
      <c r="M1345" s="729"/>
      <c r="N1345" s="729"/>
      <c r="P1345" s="194">
        <f>IF(AND(EXACT(C1345,C1343),C1343&lt;&gt;0),P1343+1,0)</f>
        <v>2</v>
      </c>
      <c r="Q1345" s="194" t="str">
        <f>IF(C1345&lt;&gt;"",C1345&amp;"-"&amp;P1345,"")</f>
        <v/>
      </c>
      <c r="R1345" s="194" t="str">
        <f t="array" ref="R1345">IFERROR(IF(INDEX('Disaggregation Records'!$E$155:$E$385,MATCH(RIGHT(Q1345,255),RIGHT('Disaggregation Records'!$D$155:$D$385,255),0))="","",INDEX('Disaggregation Records'!$E$155:$E$385,MATCH(RIGHT(Q1345,255),RIGHT('Disaggregation Records'!$D$155:$D$385,255),0))),"")</f>
        <v/>
      </c>
      <c r="S1345" s="194" t="str">
        <f t="array" ref="S1345">IFERROR(IF(INDEX('Disaggregation Records'!$F$155:$F$385,MATCH(RIGHT(Q1345,255),RIGHT('Disaggregation Records'!$D$155:$D$385,255),0))="","",INDEX('Disaggregation Records'!$F$155:$F$385,MATCH(RIGHT(Q1345,255),RIGHT('Disaggregation Records'!$D$155:$D$385,255),0))),"")</f>
        <v/>
      </c>
      <c r="T1345" s="194" t="str">
        <f t="array" ref="T1345">IFERROR(IF(INDEX('Disaggregation Records'!$H$155:$H$385,MATCH(RIGHT(Q1345,255),RIGHT('Disaggregation Records'!$D$155:$D$385,255),0))="","",INDEX('Disaggregation Records'!$H$155:$H$385,MATCH(RIGHT(Q1345,255),RIGHT('Disaggregation Records'!$D$155:$D$385,255),0))),"")</f>
        <v/>
      </c>
      <c r="U1345" s="194">
        <f>U1343+1</f>
        <v>2862</v>
      </c>
      <c r="V1345" s="194" t="str">
        <f t="array" ref="V1345">IFERROR(IF(INDEX('Disaggregation Records'!$I$155:$I$385,MATCH(RIGHT(Q1345,255),RIGHT('Disaggregation Records'!$D$155:$D$385,255),0))="","",INDEX('Disaggregation Records'!$I$155:$I$385,MATCH(RIGHT(Q1345,255),RIGHT('Disaggregation Records'!$D$155:$D$385,255),0))),"")</f>
        <v/>
      </c>
      <c r="W1345" s="194" t="str">
        <f>IFERROR(INDEX('Reference Records'!L$77:L$157,MATCH(LEFT(C1345,255),'Reference Records'!E$77:E$157,0)),"")</f>
        <v/>
      </c>
    </row>
    <row r="1346" spans="1:23" s="194" customFormat="1" ht="40.4" customHeight="1" x14ac:dyDescent="0.35">
      <c r="A1346" s="770"/>
      <c r="B1346" s="767"/>
      <c r="C1346" s="761"/>
      <c r="D1346" s="769"/>
      <c r="E1346" s="769"/>
      <c r="F1346" s="208"/>
      <c r="G1346" s="763"/>
      <c r="H1346" s="744"/>
      <c r="I1346" s="765"/>
      <c r="J1346" s="730"/>
      <c r="K1346" s="761"/>
      <c r="L1346" s="761"/>
      <c r="M1346" s="730"/>
      <c r="N1346" s="730"/>
    </row>
    <row r="1347" spans="1:23" s="194" customFormat="1" ht="40.4" customHeight="1" x14ac:dyDescent="0.35">
      <c r="A1347" s="770" t="str">
        <f ca="1">INDIRECT("'update Helper'!C"&amp;U1347)</f>
        <v>a163p000004NtOXAA0</v>
      </c>
      <c r="B1347" s="766">
        <v>19</v>
      </c>
      <c r="C1347" s="760" t="str">
        <f>VLOOKUP(B1347,'Coverage Indicators - Section D'!$A$9:$AU$70,47,FALSE)</f>
        <v/>
      </c>
      <c r="D1347" s="768" t="str">
        <f>R1347</f>
        <v/>
      </c>
      <c r="E1347" s="768" t="str">
        <f>S1347</f>
        <v/>
      </c>
      <c r="F1347" s="413"/>
      <c r="G1347" s="762" t="str">
        <f ca="1">IF(OR(INDIRECT("'update Helper'!E"&amp;U1347)="",F1347&lt;&gt;0,F1348&lt;&gt;0),IF(IFERROR((F1347/F1348),"")="","",(F1347/F1348)),INDIRECT("'update Helper'!E"&amp;U1347)/100)</f>
        <v/>
      </c>
      <c r="H1347" s="743"/>
      <c r="I1347" s="764"/>
      <c r="J1347" s="729"/>
      <c r="K1347" s="760" t="str">
        <f>W1347</f>
        <v/>
      </c>
      <c r="L1347" s="760" t="str">
        <f>V1347</f>
        <v/>
      </c>
      <c r="M1347" s="729"/>
      <c r="N1347" s="729"/>
      <c r="P1347" s="194">
        <f>IF(AND(EXACT(C1347,C1345),C1345&lt;&gt;0),P1345+1,0)</f>
        <v>3</v>
      </c>
      <c r="Q1347" s="194" t="str">
        <f>IF(C1347&lt;&gt;"",C1347&amp;"-"&amp;P1347,"")</f>
        <v/>
      </c>
      <c r="R1347" s="194" t="str">
        <f t="array" ref="R1347">IFERROR(IF(INDEX('Disaggregation Records'!$E$155:$E$385,MATCH(RIGHT(Q1347,255),RIGHT('Disaggregation Records'!$D$155:$D$385,255),0))="","",INDEX('Disaggregation Records'!$E$155:$E$385,MATCH(RIGHT(Q1347,255),RIGHT('Disaggregation Records'!$D$155:$D$385,255),0))),"")</f>
        <v/>
      </c>
      <c r="S1347" s="194" t="str">
        <f t="array" ref="S1347">IFERROR(IF(INDEX('Disaggregation Records'!$F$155:$F$385,MATCH(RIGHT(Q1347,255),RIGHT('Disaggregation Records'!$D$155:$D$385,255),0))="","",INDEX('Disaggregation Records'!$F$155:$F$385,MATCH(RIGHT(Q1347,255),RIGHT('Disaggregation Records'!$D$155:$D$385,255),0))),"")</f>
        <v/>
      </c>
      <c r="T1347" s="194" t="str">
        <f t="array" ref="T1347">IFERROR(IF(INDEX('Disaggregation Records'!$H$155:$H$385,MATCH(RIGHT(Q1347,255),RIGHT('Disaggregation Records'!$D$155:$D$385,255),0))="","",INDEX('Disaggregation Records'!$H$155:$H$385,MATCH(RIGHT(Q1347,255),RIGHT('Disaggregation Records'!$D$155:$D$385,255),0))),"")</f>
        <v/>
      </c>
      <c r="U1347" s="194">
        <f>U1345+1</f>
        <v>2863</v>
      </c>
      <c r="V1347" s="194" t="str">
        <f t="array" ref="V1347">IFERROR(IF(INDEX('Disaggregation Records'!$I$155:$I$385,MATCH(RIGHT(Q1347,255),RIGHT('Disaggregation Records'!$D$155:$D$385,255),0))="","",INDEX('Disaggregation Records'!$I$155:$I$385,MATCH(RIGHT(Q1347,255),RIGHT('Disaggregation Records'!$D$155:$D$385,255),0))),"")</f>
        <v/>
      </c>
      <c r="W1347" s="194" t="str">
        <f>IFERROR(INDEX('Reference Records'!L$77:L$157,MATCH(LEFT(C1347,255),'Reference Records'!E$77:E$157,0)),"")</f>
        <v/>
      </c>
    </row>
    <row r="1348" spans="1:23" s="194" customFormat="1" ht="40.4" customHeight="1" x14ac:dyDescent="0.35">
      <c r="A1348" s="770"/>
      <c r="B1348" s="767"/>
      <c r="C1348" s="761"/>
      <c r="D1348" s="769"/>
      <c r="E1348" s="769"/>
      <c r="F1348" s="208"/>
      <c r="G1348" s="763"/>
      <c r="H1348" s="744"/>
      <c r="I1348" s="765"/>
      <c r="J1348" s="730"/>
      <c r="K1348" s="761"/>
      <c r="L1348" s="761"/>
      <c r="M1348" s="730"/>
      <c r="N1348" s="730"/>
    </row>
    <row r="1349" spans="1:23" s="194" customFormat="1" ht="40.4" customHeight="1" x14ac:dyDescent="0.35">
      <c r="A1349" s="770" t="str">
        <f ca="1">INDIRECT("'update Helper'!C"&amp;U1349)</f>
        <v>a163p000004NtOYAA0</v>
      </c>
      <c r="B1349" s="766">
        <v>19</v>
      </c>
      <c r="C1349" s="760" t="str">
        <f>VLOOKUP(B1349,'Coverage Indicators - Section D'!$A$9:$AU$70,47,FALSE)</f>
        <v/>
      </c>
      <c r="D1349" s="768" t="str">
        <f>R1349</f>
        <v/>
      </c>
      <c r="E1349" s="768" t="str">
        <f>S1349</f>
        <v/>
      </c>
      <c r="F1349" s="413"/>
      <c r="G1349" s="762" t="str">
        <f ca="1">IF(OR(INDIRECT("'update Helper'!E"&amp;U1349)="",F1349&lt;&gt;0,F1350&lt;&gt;0),IF(IFERROR((F1349/F1350),"")="","",(F1349/F1350)),INDIRECT("'update Helper'!E"&amp;U1349)/100)</f>
        <v/>
      </c>
      <c r="H1349" s="743"/>
      <c r="I1349" s="764"/>
      <c r="J1349" s="729"/>
      <c r="K1349" s="760" t="str">
        <f>W1349</f>
        <v/>
      </c>
      <c r="L1349" s="760" t="str">
        <f>V1349</f>
        <v/>
      </c>
      <c r="M1349" s="729"/>
      <c r="N1349" s="729"/>
      <c r="P1349" s="194">
        <f>IF(AND(EXACT(C1349,C1347),C1347&lt;&gt;0),P1347+1,0)</f>
        <v>4</v>
      </c>
      <c r="Q1349" s="194" t="str">
        <f>IF(C1349&lt;&gt;"",C1349&amp;"-"&amp;P1349,"")</f>
        <v/>
      </c>
      <c r="R1349" s="194" t="str">
        <f t="array" ref="R1349">IFERROR(IF(INDEX('Disaggregation Records'!$E$155:$E$385,MATCH(RIGHT(Q1349,255),RIGHT('Disaggregation Records'!$D$155:$D$385,255),0))="","",INDEX('Disaggregation Records'!$E$155:$E$385,MATCH(RIGHT(Q1349,255),RIGHT('Disaggregation Records'!$D$155:$D$385,255),0))),"")</f>
        <v/>
      </c>
      <c r="S1349" s="194" t="str">
        <f t="array" ref="S1349">IFERROR(IF(INDEX('Disaggregation Records'!$F$155:$F$385,MATCH(RIGHT(Q1349,255),RIGHT('Disaggregation Records'!$D$155:$D$385,255),0))="","",INDEX('Disaggregation Records'!$F$155:$F$385,MATCH(RIGHT(Q1349,255),RIGHT('Disaggregation Records'!$D$155:$D$385,255),0))),"")</f>
        <v/>
      </c>
      <c r="T1349" s="194" t="str">
        <f t="array" ref="T1349">IFERROR(IF(INDEX('Disaggregation Records'!$H$155:$H$385,MATCH(RIGHT(Q1349,255),RIGHT('Disaggregation Records'!$D$155:$D$385,255),0))="","",INDEX('Disaggregation Records'!$H$155:$H$385,MATCH(RIGHT(Q1349,255),RIGHT('Disaggregation Records'!$D$155:$D$385,255),0))),"")</f>
        <v/>
      </c>
      <c r="U1349" s="194">
        <f>U1347+1</f>
        <v>2864</v>
      </c>
      <c r="V1349" s="194" t="str">
        <f t="array" ref="V1349">IFERROR(IF(INDEX('Disaggregation Records'!$I$155:$I$385,MATCH(RIGHT(Q1349,255),RIGHT('Disaggregation Records'!$D$155:$D$385,255),0))="","",INDEX('Disaggregation Records'!$I$155:$I$385,MATCH(RIGHT(Q1349,255),RIGHT('Disaggregation Records'!$D$155:$D$385,255),0))),"")</f>
        <v/>
      </c>
      <c r="W1349" s="194" t="str">
        <f>IFERROR(INDEX('Reference Records'!L$77:L$157,MATCH(LEFT(C1349,255),'Reference Records'!E$77:E$157,0)),"")</f>
        <v/>
      </c>
    </row>
    <row r="1350" spans="1:23" s="194" customFormat="1" ht="40.4" customHeight="1" x14ac:dyDescent="0.35">
      <c r="A1350" s="770"/>
      <c r="B1350" s="767"/>
      <c r="C1350" s="761"/>
      <c r="D1350" s="769"/>
      <c r="E1350" s="769"/>
      <c r="F1350" s="208"/>
      <c r="G1350" s="763"/>
      <c r="H1350" s="744"/>
      <c r="I1350" s="765"/>
      <c r="J1350" s="730"/>
      <c r="K1350" s="761"/>
      <c r="L1350" s="761"/>
      <c r="M1350" s="730"/>
      <c r="N1350" s="730"/>
    </row>
    <row r="1351" spans="1:23" s="194" customFormat="1" ht="40.4" customHeight="1" x14ac:dyDescent="0.35">
      <c r="A1351" s="770" t="str">
        <f ca="1">INDIRECT("'update Helper'!C"&amp;U1351)</f>
        <v>a163p000004NtOZAA0</v>
      </c>
      <c r="B1351" s="766">
        <v>19</v>
      </c>
      <c r="C1351" s="760" t="str">
        <f>VLOOKUP(B1351,'Coverage Indicators - Section D'!$A$9:$AU$70,47,FALSE)</f>
        <v/>
      </c>
      <c r="D1351" s="768" t="str">
        <f>R1351</f>
        <v/>
      </c>
      <c r="E1351" s="768" t="str">
        <f>S1351</f>
        <v/>
      </c>
      <c r="F1351" s="413"/>
      <c r="G1351" s="762" t="str">
        <f ca="1">IF(OR(INDIRECT("'update Helper'!E"&amp;U1351)="",F1351&lt;&gt;0,F1352&lt;&gt;0),IF(IFERROR((F1351/F1352),"")="","",(F1351/F1352)),INDIRECT("'update Helper'!E"&amp;U1351)/100)</f>
        <v/>
      </c>
      <c r="H1351" s="743"/>
      <c r="I1351" s="764"/>
      <c r="J1351" s="729"/>
      <c r="K1351" s="760" t="str">
        <f>W1351</f>
        <v/>
      </c>
      <c r="L1351" s="760" t="str">
        <f>V1351</f>
        <v/>
      </c>
      <c r="M1351" s="729"/>
      <c r="N1351" s="729"/>
      <c r="P1351" s="194">
        <f>IF(AND(EXACT(C1351,C1349),C1349&lt;&gt;0),P1349+1,0)</f>
        <v>5</v>
      </c>
      <c r="Q1351" s="194" t="str">
        <f>IF(C1351&lt;&gt;"",C1351&amp;"-"&amp;P1351,"")</f>
        <v/>
      </c>
      <c r="R1351" s="194" t="str">
        <f t="array" ref="R1351">IFERROR(IF(INDEX('Disaggregation Records'!$E$155:$E$385,MATCH(RIGHT(Q1351,255),RIGHT('Disaggregation Records'!$D$155:$D$385,255),0))="","",INDEX('Disaggregation Records'!$E$155:$E$385,MATCH(RIGHT(Q1351,255),RIGHT('Disaggregation Records'!$D$155:$D$385,255),0))),"")</f>
        <v/>
      </c>
      <c r="S1351" s="194" t="str">
        <f t="array" ref="S1351">IFERROR(IF(INDEX('Disaggregation Records'!$F$155:$F$385,MATCH(RIGHT(Q1351,255),RIGHT('Disaggregation Records'!$D$155:$D$385,255),0))="","",INDEX('Disaggregation Records'!$F$155:$F$385,MATCH(RIGHT(Q1351,255),RIGHT('Disaggregation Records'!$D$155:$D$385,255),0))),"")</f>
        <v/>
      </c>
      <c r="T1351" s="194" t="str">
        <f t="array" ref="T1351">IFERROR(IF(INDEX('Disaggregation Records'!$H$155:$H$385,MATCH(RIGHT(Q1351,255),RIGHT('Disaggregation Records'!$D$155:$D$385,255),0))="","",INDEX('Disaggregation Records'!$H$155:$H$385,MATCH(RIGHT(Q1351,255),RIGHT('Disaggregation Records'!$D$155:$D$385,255),0))),"")</f>
        <v/>
      </c>
      <c r="U1351" s="194">
        <f>U1349+1</f>
        <v>2865</v>
      </c>
      <c r="V1351" s="194" t="str">
        <f t="array" ref="V1351">IFERROR(IF(INDEX('Disaggregation Records'!$I$155:$I$385,MATCH(RIGHT(Q1351,255),RIGHT('Disaggregation Records'!$D$155:$D$385,255),0))="","",INDEX('Disaggregation Records'!$I$155:$I$385,MATCH(RIGHT(Q1351,255),RIGHT('Disaggregation Records'!$D$155:$D$385,255),0))),"")</f>
        <v/>
      </c>
      <c r="W1351" s="194" t="str">
        <f>IFERROR(INDEX('Reference Records'!L$77:L$157,MATCH(LEFT(C1351,255),'Reference Records'!E$77:E$157,0)),"")</f>
        <v/>
      </c>
    </row>
    <row r="1352" spans="1:23" s="194" customFormat="1" ht="40.4" customHeight="1" x14ac:dyDescent="0.35">
      <c r="A1352" s="770"/>
      <c r="B1352" s="767"/>
      <c r="C1352" s="761"/>
      <c r="D1352" s="769"/>
      <c r="E1352" s="769"/>
      <c r="F1352" s="208"/>
      <c r="G1352" s="763"/>
      <c r="H1352" s="744"/>
      <c r="I1352" s="765"/>
      <c r="J1352" s="730"/>
      <c r="K1352" s="761"/>
      <c r="L1352" s="761"/>
      <c r="M1352" s="730"/>
      <c r="N1352" s="730"/>
    </row>
    <row r="1353" spans="1:23" s="194" customFormat="1" ht="40.4" customHeight="1" x14ac:dyDescent="0.35">
      <c r="A1353" s="770" t="str">
        <f ca="1">INDIRECT("'update Helper'!C"&amp;U1353)</f>
        <v>a163p000004NtOaAAK</v>
      </c>
      <c r="B1353" s="766">
        <v>19</v>
      </c>
      <c r="C1353" s="760" t="str">
        <f>VLOOKUP(B1353,'Coverage Indicators - Section D'!$A$9:$AU$70,47,FALSE)</f>
        <v/>
      </c>
      <c r="D1353" s="768" t="str">
        <f>R1353</f>
        <v/>
      </c>
      <c r="E1353" s="768" t="str">
        <f>S1353</f>
        <v/>
      </c>
      <c r="F1353" s="413"/>
      <c r="G1353" s="762" t="str">
        <f ca="1">IF(OR(INDIRECT("'update Helper'!E"&amp;U1353)="",F1353&lt;&gt;0,F1354&lt;&gt;0),IF(IFERROR((F1353/F1354),"")="","",(F1353/F1354)),INDIRECT("'update Helper'!E"&amp;U1353)/100)</f>
        <v/>
      </c>
      <c r="H1353" s="743"/>
      <c r="I1353" s="764"/>
      <c r="J1353" s="729"/>
      <c r="K1353" s="760" t="str">
        <f>W1353</f>
        <v/>
      </c>
      <c r="L1353" s="760" t="str">
        <f>V1353</f>
        <v/>
      </c>
      <c r="M1353" s="729"/>
      <c r="N1353" s="729"/>
      <c r="P1353" s="194">
        <f>IF(AND(EXACT(C1353,C1351),C1351&lt;&gt;0),P1351+1,0)</f>
        <v>6</v>
      </c>
      <c r="Q1353" s="194" t="str">
        <f>IF(C1353&lt;&gt;"",C1353&amp;"-"&amp;P1353,"")</f>
        <v/>
      </c>
      <c r="R1353" s="194" t="str">
        <f t="array" ref="R1353">IFERROR(IF(INDEX('Disaggregation Records'!$E$155:$E$385,MATCH(RIGHT(Q1353,255),RIGHT('Disaggregation Records'!$D$155:$D$385,255),0))="","",INDEX('Disaggregation Records'!$E$155:$E$385,MATCH(RIGHT(Q1353,255),RIGHT('Disaggregation Records'!$D$155:$D$385,255),0))),"")</f>
        <v/>
      </c>
      <c r="S1353" s="194" t="str">
        <f t="array" ref="S1353">IFERROR(IF(INDEX('Disaggregation Records'!$F$155:$F$385,MATCH(RIGHT(Q1353,255),RIGHT('Disaggregation Records'!$D$155:$D$385,255),0))="","",INDEX('Disaggregation Records'!$F$155:$F$385,MATCH(RIGHT(Q1353,255),RIGHT('Disaggregation Records'!$D$155:$D$385,255),0))),"")</f>
        <v/>
      </c>
      <c r="T1353" s="194" t="str">
        <f t="array" ref="T1353">IFERROR(IF(INDEX('Disaggregation Records'!$H$155:$H$385,MATCH(RIGHT(Q1353,255),RIGHT('Disaggregation Records'!$D$155:$D$385,255),0))="","",INDEX('Disaggregation Records'!$H$155:$H$385,MATCH(RIGHT(Q1353,255),RIGHT('Disaggregation Records'!$D$155:$D$385,255),0))),"")</f>
        <v/>
      </c>
      <c r="U1353" s="194">
        <f>U1351+1</f>
        <v>2866</v>
      </c>
      <c r="V1353" s="194" t="str">
        <f t="array" ref="V1353">IFERROR(IF(INDEX('Disaggregation Records'!$I$155:$I$385,MATCH(RIGHT(Q1353,255),RIGHT('Disaggregation Records'!$D$155:$D$385,255),0))="","",INDEX('Disaggregation Records'!$I$155:$I$385,MATCH(RIGHT(Q1353,255),RIGHT('Disaggregation Records'!$D$155:$D$385,255),0))),"")</f>
        <v/>
      </c>
      <c r="W1353" s="194" t="str">
        <f>IFERROR(INDEX('Reference Records'!L$77:L$157,MATCH(LEFT(C1353,255),'Reference Records'!E$77:E$157,0)),"")</f>
        <v/>
      </c>
    </row>
    <row r="1354" spans="1:23" s="194" customFormat="1" ht="40.4" customHeight="1" x14ac:dyDescent="0.35">
      <c r="A1354" s="770"/>
      <c r="B1354" s="767"/>
      <c r="C1354" s="761"/>
      <c r="D1354" s="769"/>
      <c r="E1354" s="769"/>
      <c r="F1354" s="208"/>
      <c r="G1354" s="763"/>
      <c r="H1354" s="744"/>
      <c r="I1354" s="765"/>
      <c r="J1354" s="730"/>
      <c r="K1354" s="761"/>
      <c r="L1354" s="761"/>
      <c r="M1354" s="730"/>
      <c r="N1354" s="730"/>
    </row>
    <row r="1355" spans="1:23" s="194" customFormat="1" ht="40.4" customHeight="1" x14ac:dyDescent="0.35">
      <c r="A1355" s="770" t="str">
        <f ca="1">INDIRECT("'update Helper'!C"&amp;U1355)</f>
        <v>a163p000004NtObAAK</v>
      </c>
      <c r="B1355" s="766">
        <v>19</v>
      </c>
      <c r="C1355" s="760" t="str">
        <f>VLOOKUP(B1355,'Coverage Indicators - Section D'!$A$9:$AU$70,47,FALSE)</f>
        <v/>
      </c>
      <c r="D1355" s="768" t="str">
        <f>R1355</f>
        <v/>
      </c>
      <c r="E1355" s="768" t="str">
        <f>S1355</f>
        <v/>
      </c>
      <c r="F1355" s="413"/>
      <c r="G1355" s="762" t="str">
        <f ca="1">IF(OR(INDIRECT("'update Helper'!E"&amp;U1355)="",F1355&lt;&gt;0,F1356&lt;&gt;0),IF(IFERROR((F1355/F1356),"")="","",(F1355/F1356)),INDIRECT("'update Helper'!E"&amp;U1355)/100)</f>
        <v/>
      </c>
      <c r="H1355" s="743"/>
      <c r="I1355" s="764"/>
      <c r="J1355" s="729"/>
      <c r="K1355" s="760" t="str">
        <f>W1355</f>
        <v/>
      </c>
      <c r="L1355" s="760" t="str">
        <f>V1355</f>
        <v/>
      </c>
      <c r="M1355" s="729"/>
      <c r="N1355" s="729"/>
      <c r="P1355" s="194">
        <f>IF(AND(EXACT(C1355,C1353),C1353&lt;&gt;0),P1353+1,0)</f>
        <v>7</v>
      </c>
      <c r="Q1355" s="194" t="str">
        <f>IF(C1355&lt;&gt;"",C1355&amp;"-"&amp;P1355,"")</f>
        <v/>
      </c>
      <c r="R1355" s="194" t="str">
        <f t="array" ref="R1355">IFERROR(IF(INDEX('Disaggregation Records'!$E$155:$E$385,MATCH(RIGHT(Q1355,255),RIGHT('Disaggregation Records'!$D$155:$D$385,255),0))="","",INDEX('Disaggregation Records'!$E$155:$E$385,MATCH(RIGHT(Q1355,255),RIGHT('Disaggregation Records'!$D$155:$D$385,255),0))),"")</f>
        <v/>
      </c>
      <c r="S1355" s="194" t="str">
        <f t="array" ref="S1355">IFERROR(IF(INDEX('Disaggregation Records'!$F$155:$F$385,MATCH(RIGHT(Q1355,255),RIGHT('Disaggregation Records'!$D$155:$D$385,255),0))="","",INDEX('Disaggregation Records'!$F$155:$F$385,MATCH(RIGHT(Q1355,255),RIGHT('Disaggregation Records'!$D$155:$D$385,255),0))),"")</f>
        <v/>
      </c>
      <c r="T1355" s="194" t="str">
        <f t="array" ref="T1355">IFERROR(IF(INDEX('Disaggregation Records'!$H$155:$H$385,MATCH(RIGHT(Q1355,255),RIGHT('Disaggregation Records'!$D$155:$D$385,255),0))="","",INDEX('Disaggregation Records'!$H$155:$H$385,MATCH(RIGHT(Q1355,255),RIGHT('Disaggregation Records'!$D$155:$D$385,255),0))),"")</f>
        <v/>
      </c>
      <c r="U1355" s="194">
        <f>U1353+1</f>
        <v>2867</v>
      </c>
      <c r="V1355" s="194" t="str">
        <f t="array" ref="V1355">IFERROR(IF(INDEX('Disaggregation Records'!$I$155:$I$385,MATCH(RIGHT(Q1355,255),RIGHT('Disaggregation Records'!$D$155:$D$385,255),0))="","",INDEX('Disaggregation Records'!$I$155:$I$385,MATCH(RIGHT(Q1355,255),RIGHT('Disaggregation Records'!$D$155:$D$385,255),0))),"")</f>
        <v/>
      </c>
      <c r="W1355" s="194" t="str">
        <f>IFERROR(INDEX('Reference Records'!L$77:L$157,MATCH(LEFT(C1355,255),'Reference Records'!E$77:E$157,0)),"")</f>
        <v/>
      </c>
    </row>
    <row r="1356" spans="1:23" s="194" customFormat="1" ht="40.4" customHeight="1" x14ac:dyDescent="0.35">
      <c r="A1356" s="770"/>
      <c r="B1356" s="767"/>
      <c r="C1356" s="761"/>
      <c r="D1356" s="769"/>
      <c r="E1356" s="769"/>
      <c r="F1356" s="208"/>
      <c r="G1356" s="763"/>
      <c r="H1356" s="744"/>
      <c r="I1356" s="765"/>
      <c r="J1356" s="730"/>
      <c r="K1356" s="761"/>
      <c r="L1356" s="761"/>
      <c r="M1356" s="730"/>
      <c r="N1356" s="730"/>
    </row>
    <row r="1357" spans="1:23" s="194" customFormat="1" ht="40.4" customHeight="1" x14ac:dyDescent="0.35">
      <c r="A1357" s="770" t="str">
        <f ca="1">INDIRECT("'update Helper'!C"&amp;U1357)</f>
        <v>a163p000004NtOcAAK</v>
      </c>
      <c r="B1357" s="766">
        <v>19</v>
      </c>
      <c r="C1357" s="760" t="str">
        <f>VLOOKUP(B1357,'Coverage Indicators - Section D'!$A$9:$AU$70,47,FALSE)</f>
        <v/>
      </c>
      <c r="D1357" s="768" t="str">
        <f>R1357</f>
        <v/>
      </c>
      <c r="E1357" s="768" t="str">
        <f>S1357</f>
        <v/>
      </c>
      <c r="F1357" s="413"/>
      <c r="G1357" s="762" t="str">
        <f ca="1">IF(OR(INDIRECT("'update Helper'!E"&amp;U1357)="",F1357&lt;&gt;0,F1358&lt;&gt;0),IF(IFERROR((F1357/F1358),"")="","",(F1357/F1358)),INDIRECT("'update Helper'!E"&amp;U1357)/100)</f>
        <v/>
      </c>
      <c r="H1357" s="743"/>
      <c r="I1357" s="764"/>
      <c r="J1357" s="729"/>
      <c r="K1357" s="760" t="str">
        <f>W1357</f>
        <v/>
      </c>
      <c r="L1357" s="760" t="str">
        <f>V1357</f>
        <v/>
      </c>
      <c r="M1357" s="729"/>
      <c r="N1357" s="729"/>
      <c r="P1357" s="194">
        <f>IF(AND(EXACT(C1357,C1355),C1355&lt;&gt;0),P1355+1,0)</f>
        <v>8</v>
      </c>
      <c r="Q1357" s="194" t="str">
        <f>IF(C1357&lt;&gt;"",C1357&amp;"-"&amp;P1357,"")</f>
        <v/>
      </c>
      <c r="R1357" s="194" t="str">
        <f t="array" ref="R1357">IFERROR(IF(INDEX('Disaggregation Records'!$E$155:$E$385,MATCH(RIGHT(Q1357,255),RIGHT('Disaggregation Records'!$D$155:$D$385,255),0))="","",INDEX('Disaggregation Records'!$E$155:$E$385,MATCH(RIGHT(Q1357,255),RIGHT('Disaggregation Records'!$D$155:$D$385,255),0))),"")</f>
        <v/>
      </c>
      <c r="S1357" s="194" t="str">
        <f t="array" ref="S1357">IFERROR(IF(INDEX('Disaggregation Records'!$F$155:$F$385,MATCH(RIGHT(Q1357,255),RIGHT('Disaggregation Records'!$D$155:$D$385,255),0))="","",INDEX('Disaggregation Records'!$F$155:$F$385,MATCH(RIGHT(Q1357,255),RIGHT('Disaggregation Records'!$D$155:$D$385,255),0))),"")</f>
        <v/>
      </c>
      <c r="T1357" s="194" t="str">
        <f t="array" ref="T1357">IFERROR(IF(INDEX('Disaggregation Records'!$H$155:$H$385,MATCH(RIGHT(Q1357,255),RIGHT('Disaggregation Records'!$D$155:$D$385,255),0))="","",INDEX('Disaggregation Records'!$H$155:$H$385,MATCH(RIGHT(Q1357,255),RIGHT('Disaggregation Records'!$D$155:$D$385,255),0))),"")</f>
        <v/>
      </c>
      <c r="U1357" s="194">
        <f>U1355+1</f>
        <v>2868</v>
      </c>
      <c r="V1357" s="194" t="str">
        <f t="array" ref="V1357">IFERROR(IF(INDEX('Disaggregation Records'!$I$155:$I$385,MATCH(RIGHT(Q1357,255),RIGHT('Disaggregation Records'!$D$155:$D$385,255),0))="","",INDEX('Disaggregation Records'!$I$155:$I$385,MATCH(RIGHT(Q1357,255),RIGHT('Disaggregation Records'!$D$155:$D$385,255),0))),"")</f>
        <v/>
      </c>
      <c r="W1357" s="194" t="str">
        <f>IFERROR(INDEX('Reference Records'!L$77:L$157,MATCH(LEFT(C1357,255),'Reference Records'!E$77:E$157,0)),"")</f>
        <v/>
      </c>
    </row>
    <row r="1358" spans="1:23" s="194" customFormat="1" ht="40.4" customHeight="1" x14ac:dyDescent="0.35">
      <c r="A1358" s="770"/>
      <c r="B1358" s="767"/>
      <c r="C1358" s="761"/>
      <c r="D1358" s="769"/>
      <c r="E1358" s="769"/>
      <c r="F1358" s="208"/>
      <c r="G1358" s="763"/>
      <c r="H1358" s="744"/>
      <c r="I1358" s="765"/>
      <c r="J1358" s="730"/>
      <c r="K1358" s="761"/>
      <c r="L1358" s="761"/>
      <c r="M1358" s="730"/>
      <c r="N1358" s="730"/>
    </row>
    <row r="1359" spans="1:23" s="194" customFormat="1" ht="40.4" customHeight="1" x14ac:dyDescent="0.35">
      <c r="A1359" s="770" t="str">
        <f ca="1">INDIRECT("'update Helper'!C"&amp;U1359)</f>
        <v>a163p000004NtOdAAK</v>
      </c>
      <c r="B1359" s="766">
        <v>19</v>
      </c>
      <c r="C1359" s="760" t="str">
        <f>VLOOKUP(B1359,'Coverage Indicators - Section D'!$A$9:$AU$70,47,FALSE)</f>
        <v/>
      </c>
      <c r="D1359" s="768" t="str">
        <f>R1359</f>
        <v/>
      </c>
      <c r="E1359" s="768" t="str">
        <f>S1359</f>
        <v/>
      </c>
      <c r="F1359" s="413"/>
      <c r="G1359" s="762" t="str">
        <f ca="1">IF(OR(INDIRECT("'update Helper'!E"&amp;U1359)="",F1359&lt;&gt;0,F1360&lt;&gt;0),IF(IFERROR((F1359/F1360),"")="","",(F1359/F1360)),INDIRECT("'update Helper'!E"&amp;U1359)/100)</f>
        <v/>
      </c>
      <c r="H1359" s="743"/>
      <c r="I1359" s="764"/>
      <c r="J1359" s="729"/>
      <c r="K1359" s="760" t="str">
        <f>W1359</f>
        <v/>
      </c>
      <c r="L1359" s="760" t="str">
        <f>V1359</f>
        <v/>
      </c>
      <c r="M1359" s="729"/>
      <c r="N1359" s="729"/>
      <c r="P1359" s="194">
        <f>IF(AND(EXACT(C1359,C1357),C1357&lt;&gt;0),P1357+1,0)</f>
        <v>9</v>
      </c>
      <c r="Q1359" s="194" t="str">
        <f>IF(C1359&lt;&gt;"",C1359&amp;"-"&amp;P1359,"")</f>
        <v/>
      </c>
      <c r="R1359" s="194" t="str">
        <f t="array" ref="R1359">IFERROR(IF(INDEX('Disaggregation Records'!$E$155:$E$385,MATCH(RIGHT(Q1359,255),RIGHT('Disaggregation Records'!$D$155:$D$385,255),0))="","",INDEX('Disaggregation Records'!$E$155:$E$385,MATCH(RIGHT(Q1359,255),RIGHT('Disaggregation Records'!$D$155:$D$385,255),0))),"")</f>
        <v/>
      </c>
      <c r="S1359" s="194" t="str">
        <f t="array" ref="S1359">IFERROR(IF(INDEX('Disaggregation Records'!$F$155:$F$385,MATCH(RIGHT(Q1359,255),RIGHT('Disaggregation Records'!$D$155:$D$385,255),0))="","",INDEX('Disaggregation Records'!$F$155:$F$385,MATCH(RIGHT(Q1359,255),RIGHT('Disaggregation Records'!$D$155:$D$385,255),0))),"")</f>
        <v/>
      </c>
      <c r="T1359" s="194" t="str">
        <f t="array" ref="T1359">IFERROR(IF(INDEX('Disaggregation Records'!$H$155:$H$385,MATCH(RIGHT(Q1359,255),RIGHT('Disaggregation Records'!$D$155:$D$385,255),0))="","",INDEX('Disaggregation Records'!$H$155:$H$385,MATCH(RIGHT(Q1359,255),RIGHT('Disaggregation Records'!$D$155:$D$385,255),0))),"")</f>
        <v/>
      </c>
      <c r="U1359" s="194">
        <f>U1357+1</f>
        <v>2869</v>
      </c>
      <c r="V1359" s="194" t="str">
        <f t="array" ref="V1359">IFERROR(IF(INDEX('Disaggregation Records'!$I$155:$I$385,MATCH(RIGHT(Q1359,255),RIGHT('Disaggregation Records'!$D$155:$D$385,255),0))="","",INDEX('Disaggregation Records'!$I$155:$I$385,MATCH(RIGHT(Q1359,255),RIGHT('Disaggregation Records'!$D$155:$D$385,255),0))),"")</f>
        <v/>
      </c>
      <c r="W1359" s="194" t="str">
        <f>IFERROR(INDEX('Reference Records'!L$77:L$157,MATCH(LEFT(C1359,255),'Reference Records'!E$77:E$157,0)),"")</f>
        <v/>
      </c>
    </row>
    <row r="1360" spans="1:23" s="194" customFormat="1" ht="40.4" customHeight="1" x14ac:dyDescent="0.35">
      <c r="A1360" s="770"/>
      <c r="B1360" s="767"/>
      <c r="C1360" s="761"/>
      <c r="D1360" s="769"/>
      <c r="E1360" s="769"/>
      <c r="F1360" s="208"/>
      <c r="G1360" s="763"/>
      <c r="H1360" s="744"/>
      <c r="I1360" s="765"/>
      <c r="J1360" s="730"/>
      <c r="K1360" s="761"/>
      <c r="L1360" s="761"/>
      <c r="M1360" s="730"/>
      <c r="N1360" s="730"/>
    </row>
    <row r="1361" spans="1:23" s="194" customFormat="1" ht="40.4" customHeight="1" x14ac:dyDescent="0.35">
      <c r="A1361" s="770" t="str">
        <f ca="1">INDIRECT("'update Helper'!C"&amp;U1361)</f>
        <v>a163p000004NtOeAAK</v>
      </c>
      <c r="B1361" s="766">
        <v>19</v>
      </c>
      <c r="C1361" s="760" t="str">
        <f>VLOOKUP(B1361,'Coverage Indicators - Section D'!$A$9:$AU$70,47,FALSE)</f>
        <v/>
      </c>
      <c r="D1361" s="768" t="str">
        <f>R1361</f>
        <v/>
      </c>
      <c r="E1361" s="768" t="str">
        <f>S1361</f>
        <v/>
      </c>
      <c r="F1361" s="413"/>
      <c r="G1361" s="762" t="str">
        <f ca="1">IF(OR(INDIRECT("'update Helper'!E"&amp;U1361)="",F1361&lt;&gt;0,F1362&lt;&gt;0),IF(IFERROR((F1361/F1362),"")="","",(F1361/F1362)),INDIRECT("'update Helper'!E"&amp;U1361)/100)</f>
        <v/>
      </c>
      <c r="H1361" s="743"/>
      <c r="I1361" s="764"/>
      <c r="J1361" s="729"/>
      <c r="K1361" s="760" t="str">
        <f>W1361</f>
        <v/>
      </c>
      <c r="L1361" s="760" t="str">
        <f>V1361</f>
        <v/>
      </c>
      <c r="M1361" s="729"/>
      <c r="N1361" s="729"/>
      <c r="P1361" s="194">
        <f>IF(AND(EXACT(C1361,C1359),C1359&lt;&gt;0),P1359+1,0)</f>
        <v>10</v>
      </c>
      <c r="Q1361" s="194" t="str">
        <f>IF(C1361&lt;&gt;"",C1361&amp;"-"&amp;P1361,"")</f>
        <v/>
      </c>
      <c r="R1361" s="194" t="str">
        <f t="array" ref="R1361">IFERROR(IF(INDEX('Disaggregation Records'!$E$155:$E$385,MATCH(RIGHT(Q1361,255),RIGHT('Disaggregation Records'!$D$155:$D$385,255),0))="","",INDEX('Disaggregation Records'!$E$155:$E$385,MATCH(RIGHT(Q1361,255),RIGHT('Disaggregation Records'!$D$155:$D$385,255),0))),"")</f>
        <v/>
      </c>
      <c r="S1361" s="194" t="str">
        <f t="array" ref="S1361">IFERROR(IF(INDEX('Disaggregation Records'!$F$155:$F$385,MATCH(RIGHT(Q1361,255),RIGHT('Disaggregation Records'!$D$155:$D$385,255),0))="","",INDEX('Disaggregation Records'!$F$155:$F$385,MATCH(RIGHT(Q1361,255),RIGHT('Disaggregation Records'!$D$155:$D$385,255),0))),"")</f>
        <v/>
      </c>
      <c r="T1361" s="194" t="str">
        <f t="array" ref="T1361">IFERROR(IF(INDEX('Disaggregation Records'!$H$155:$H$385,MATCH(RIGHT(Q1361,255),RIGHT('Disaggregation Records'!$D$155:$D$385,255),0))="","",INDEX('Disaggregation Records'!$H$155:$H$385,MATCH(RIGHT(Q1361,255),RIGHT('Disaggregation Records'!$D$155:$D$385,255),0))),"")</f>
        <v/>
      </c>
      <c r="U1361" s="194">
        <f>U1359+1</f>
        <v>2870</v>
      </c>
      <c r="V1361" s="194" t="str">
        <f t="array" ref="V1361">IFERROR(IF(INDEX('Disaggregation Records'!$I$155:$I$385,MATCH(RIGHT(Q1361,255),RIGHT('Disaggregation Records'!$D$155:$D$385,255),0))="","",INDEX('Disaggregation Records'!$I$155:$I$385,MATCH(RIGHT(Q1361,255),RIGHT('Disaggregation Records'!$D$155:$D$385,255),0))),"")</f>
        <v/>
      </c>
      <c r="W1361" s="194" t="str">
        <f>IFERROR(INDEX('Reference Records'!L$77:L$157,MATCH(LEFT(C1361,255),'Reference Records'!E$77:E$157,0)),"")</f>
        <v/>
      </c>
    </row>
    <row r="1362" spans="1:23" s="194" customFormat="1" ht="40.4" customHeight="1" x14ac:dyDescent="0.35">
      <c r="A1362" s="770"/>
      <c r="B1362" s="767"/>
      <c r="C1362" s="761"/>
      <c r="D1362" s="769"/>
      <c r="E1362" s="769"/>
      <c r="F1362" s="208"/>
      <c r="G1362" s="763"/>
      <c r="H1362" s="744"/>
      <c r="I1362" s="765"/>
      <c r="J1362" s="730"/>
      <c r="K1362" s="761"/>
      <c r="L1362" s="761"/>
      <c r="M1362" s="730"/>
      <c r="N1362" s="730"/>
    </row>
    <row r="1363" spans="1:23" s="194" customFormat="1" ht="40.4" customHeight="1" x14ac:dyDescent="0.35">
      <c r="A1363" s="770" t="str">
        <f ca="1">INDIRECT("'update Helper'!C"&amp;U1363)</f>
        <v>a163p000004NtOfAAK</v>
      </c>
      <c r="B1363" s="766">
        <v>19</v>
      </c>
      <c r="C1363" s="760" t="str">
        <f>VLOOKUP(B1363,'Coverage Indicators - Section D'!$A$9:$AU$70,47,FALSE)</f>
        <v/>
      </c>
      <c r="D1363" s="768" t="str">
        <f>R1363</f>
        <v/>
      </c>
      <c r="E1363" s="768" t="str">
        <f>S1363</f>
        <v/>
      </c>
      <c r="F1363" s="413"/>
      <c r="G1363" s="762" t="str">
        <f ca="1">IF(OR(INDIRECT("'update Helper'!E"&amp;U1363)="",F1363&lt;&gt;0,F1364&lt;&gt;0),IF(IFERROR((F1363/F1364),"")="","",(F1363/F1364)),INDIRECT("'update Helper'!E"&amp;U1363)/100)</f>
        <v/>
      </c>
      <c r="H1363" s="743"/>
      <c r="I1363" s="764"/>
      <c r="J1363" s="729"/>
      <c r="K1363" s="760" t="str">
        <f>W1363</f>
        <v/>
      </c>
      <c r="L1363" s="760" t="str">
        <f>V1363</f>
        <v/>
      </c>
      <c r="M1363" s="729"/>
      <c r="N1363" s="729"/>
      <c r="P1363" s="194">
        <f>IF(AND(EXACT(C1363,C1361),C1361&lt;&gt;0),P1361+1,0)</f>
        <v>11</v>
      </c>
      <c r="Q1363" s="194" t="str">
        <f>IF(C1363&lt;&gt;"",C1363&amp;"-"&amp;P1363,"")</f>
        <v/>
      </c>
      <c r="R1363" s="194" t="str">
        <f t="array" ref="R1363">IFERROR(IF(INDEX('Disaggregation Records'!$E$155:$E$385,MATCH(RIGHT(Q1363,255),RIGHT('Disaggregation Records'!$D$155:$D$385,255),0))="","",INDEX('Disaggregation Records'!$E$155:$E$385,MATCH(RIGHT(Q1363,255),RIGHT('Disaggregation Records'!$D$155:$D$385,255),0))),"")</f>
        <v/>
      </c>
      <c r="S1363" s="194" t="str">
        <f t="array" ref="S1363">IFERROR(IF(INDEX('Disaggregation Records'!$F$155:$F$385,MATCH(RIGHT(Q1363,255),RIGHT('Disaggregation Records'!$D$155:$D$385,255),0))="","",INDEX('Disaggregation Records'!$F$155:$F$385,MATCH(RIGHT(Q1363,255),RIGHT('Disaggregation Records'!$D$155:$D$385,255),0))),"")</f>
        <v/>
      </c>
      <c r="T1363" s="194" t="str">
        <f t="array" ref="T1363">IFERROR(IF(INDEX('Disaggregation Records'!$H$155:$H$385,MATCH(RIGHT(Q1363,255),RIGHT('Disaggregation Records'!$D$155:$D$385,255),0))="","",INDEX('Disaggregation Records'!$H$155:$H$385,MATCH(RIGHT(Q1363,255),RIGHT('Disaggregation Records'!$D$155:$D$385,255),0))),"")</f>
        <v/>
      </c>
      <c r="U1363" s="194">
        <f>U1361+1</f>
        <v>2871</v>
      </c>
      <c r="V1363" s="194" t="str">
        <f t="array" ref="V1363">IFERROR(IF(INDEX('Disaggregation Records'!$I$155:$I$385,MATCH(RIGHT(Q1363,255),RIGHT('Disaggregation Records'!$D$155:$D$385,255),0))="","",INDEX('Disaggregation Records'!$I$155:$I$385,MATCH(RIGHT(Q1363,255),RIGHT('Disaggregation Records'!$D$155:$D$385,255),0))),"")</f>
        <v/>
      </c>
      <c r="W1363" s="194" t="str">
        <f>IFERROR(INDEX('Reference Records'!L$77:L$157,MATCH(LEFT(C1363,255),'Reference Records'!E$77:E$157,0)),"")</f>
        <v/>
      </c>
    </row>
    <row r="1364" spans="1:23" s="194" customFormat="1" ht="40.4" customHeight="1" x14ac:dyDescent="0.35">
      <c r="A1364" s="770"/>
      <c r="B1364" s="767"/>
      <c r="C1364" s="761"/>
      <c r="D1364" s="769"/>
      <c r="E1364" s="769"/>
      <c r="F1364" s="208"/>
      <c r="G1364" s="763"/>
      <c r="H1364" s="744"/>
      <c r="I1364" s="765"/>
      <c r="J1364" s="730"/>
      <c r="K1364" s="761"/>
      <c r="L1364" s="761"/>
      <c r="M1364" s="730"/>
      <c r="N1364" s="730"/>
    </row>
    <row r="1365" spans="1:23" s="194" customFormat="1" ht="40.4" customHeight="1" x14ac:dyDescent="0.35">
      <c r="A1365" s="770" t="str">
        <f ca="1">INDIRECT("'update Helper'!C"&amp;U1365)</f>
        <v>a163p000004NtOgAAK</v>
      </c>
      <c r="B1365" s="766">
        <v>19</v>
      </c>
      <c r="C1365" s="760" t="str">
        <f>VLOOKUP(B1365,'Coverage Indicators - Section D'!$A$9:$AU$70,47,FALSE)</f>
        <v/>
      </c>
      <c r="D1365" s="768" t="str">
        <f>R1365</f>
        <v/>
      </c>
      <c r="E1365" s="768" t="str">
        <f>S1365</f>
        <v/>
      </c>
      <c r="F1365" s="413"/>
      <c r="G1365" s="762" t="str">
        <f ca="1">IF(OR(INDIRECT("'update Helper'!E"&amp;U1365)="",F1365&lt;&gt;0,F1366&lt;&gt;0),IF(IFERROR((F1365/F1366),"")="","",(F1365/F1366)),INDIRECT("'update Helper'!E"&amp;U1365)/100)</f>
        <v/>
      </c>
      <c r="H1365" s="743"/>
      <c r="I1365" s="764"/>
      <c r="J1365" s="729"/>
      <c r="K1365" s="760" t="str">
        <f>W1365</f>
        <v/>
      </c>
      <c r="L1365" s="760" t="str">
        <f>V1365</f>
        <v/>
      </c>
      <c r="M1365" s="729"/>
      <c r="N1365" s="729"/>
      <c r="P1365" s="194">
        <f>IF(AND(EXACT(C1365,C1363),C1363&lt;&gt;0),P1363+1,0)</f>
        <v>12</v>
      </c>
      <c r="Q1365" s="194" t="str">
        <f>IF(C1365&lt;&gt;"",C1365&amp;"-"&amp;P1365,"")</f>
        <v/>
      </c>
      <c r="R1365" s="194" t="str">
        <f t="array" ref="R1365">IFERROR(IF(INDEX('Disaggregation Records'!$E$155:$E$385,MATCH(RIGHT(Q1365,255),RIGHT('Disaggregation Records'!$D$155:$D$385,255),0))="","",INDEX('Disaggregation Records'!$E$155:$E$385,MATCH(RIGHT(Q1365,255),RIGHT('Disaggregation Records'!$D$155:$D$385,255),0))),"")</f>
        <v/>
      </c>
      <c r="S1365" s="194" t="str">
        <f t="array" ref="S1365">IFERROR(IF(INDEX('Disaggregation Records'!$F$155:$F$385,MATCH(RIGHT(Q1365,255),RIGHT('Disaggregation Records'!$D$155:$D$385,255),0))="","",INDEX('Disaggregation Records'!$F$155:$F$385,MATCH(RIGHT(Q1365,255),RIGHT('Disaggregation Records'!$D$155:$D$385,255),0))),"")</f>
        <v/>
      </c>
      <c r="T1365" s="194" t="str">
        <f t="array" ref="T1365">IFERROR(IF(INDEX('Disaggregation Records'!$H$155:$H$385,MATCH(RIGHT(Q1365,255),RIGHT('Disaggregation Records'!$D$155:$D$385,255),0))="","",INDEX('Disaggregation Records'!$H$155:$H$385,MATCH(RIGHT(Q1365,255),RIGHT('Disaggregation Records'!$D$155:$D$385,255),0))),"")</f>
        <v/>
      </c>
      <c r="U1365" s="194">
        <f>U1363+1</f>
        <v>2872</v>
      </c>
      <c r="V1365" s="194" t="str">
        <f t="array" ref="V1365">IFERROR(IF(INDEX('Disaggregation Records'!$I$155:$I$385,MATCH(RIGHT(Q1365,255),RIGHT('Disaggregation Records'!$D$155:$D$385,255),0))="","",INDEX('Disaggregation Records'!$I$155:$I$385,MATCH(RIGHT(Q1365,255),RIGHT('Disaggregation Records'!$D$155:$D$385,255),0))),"")</f>
        <v/>
      </c>
      <c r="W1365" s="194" t="str">
        <f>IFERROR(INDEX('Reference Records'!L$77:L$157,MATCH(LEFT(C1365,255),'Reference Records'!E$77:E$157,0)),"")</f>
        <v/>
      </c>
    </row>
    <row r="1366" spans="1:23" s="194" customFormat="1" ht="40.4" customHeight="1" x14ac:dyDescent="0.35">
      <c r="A1366" s="770"/>
      <c r="B1366" s="767"/>
      <c r="C1366" s="761"/>
      <c r="D1366" s="769"/>
      <c r="E1366" s="769"/>
      <c r="F1366" s="208"/>
      <c r="G1366" s="763"/>
      <c r="H1366" s="744"/>
      <c r="I1366" s="765"/>
      <c r="J1366" s="730"/>
      <c r="K1366" s="761"/>
      <c r="L1366" s="761"/>
      <c r="M1366" s="730"/>
      <c r="N1366" s="730"/>
    </row>
    <row r="1367" spans="1:23" s="194" customFormat="1" ht="40.4" customHeight="1" x14ac:dyDescent="0.35">
      <c r="A1367" s="770" t="str">
        <f ca="1">INDIRECT("'update Helper'!C"&amp;U1367)</f>
        <v>a163p000004NtOhAAK</v>
      </c>
      <c r="B1367" s="766">
        <v>19</v>
      </c>
      <c r="C1367" s="760" t="str">
        <f>VLOOKUP(B1367,'Coverage Indicators - Section D'!$A$9:$AU$70,47,FALSE)</f>
        <v/>
      </c>
      <c r="D1367" s="768" t="str">
        <f>R1367</f>
        <v/>
      </c>
      <c r="E1367" s="768" t="str">
        <f>S1367</f>
        <v/>
      </c>
      <c r="F1367" s="413"/>
      <c r="G1367" s="762" t="str">
        <f ca="1">IF(OR(INDIRECT("'update Helper'!E"&amp;U1367)="",F1367&lt;&gt;0,F1368&lt;&gt;0),IF(IFERROR((F1367/F1368),"")="","",(F1367/F1368)),INDIRECT("'update Helper'!E"&amp;U1367)/100)</f>
        <v/>
      </c>
      <c r="H1367" s="743"/>
      <c r="I1367" s="764"/>
      <c r="J1367" s="729"/>
      <c r="K1367" s="760" t="str">
        <f>W1367</f>
        <v/>
      </c>
      <c r="L1367" s="760" t="str">
        <f>V1367</f>
        <v/>
      </c>
      <c r="M1367" s="729"/>
      <c r="N1367" s="729"/>
      <c r="P1367" s="194">
        <f>IF(AND(EXACT(C1367,C1365),C1365&lt;&gt;0),P1365+1,0)</f>
        <v>13</v>
      </c>
      <c r="Q1367" s="194" t="str">
        <f>IF(C1367&lt;&gt;"",C1367&amp;"-"&amp;P1367,"")</f>
        <v/>
      </c>
      <c r="R1367" s="194" t="str">
        <f t="array" ref="R1367">IFERROR(IF(INDEX('Disaggregation Records'!$E$155:$E$385,MATCH(RIGHT(Q1367,255),RIGHT('Disaggregation Records'!$D$155:$D$385,255),0))="","",INDEX('Disaggregation Records'!$E$155:$E$385,MATCH(RIGHT(Q1367,255),RIGHT('Disaggregation Records'!$D$155:$D$385,255),0))),"")</f>
        <v/>
      </c>
      <c r="S1367" s="194" t="str">
        <f t="array" ref="S1367">IFERROR(IF(INDEX('Disaggregation Records'!$F$155:$F$385,MATCH(RIGHT(Q1367,255),RIGHT('Disaggregation Records'!$D$155:$D$385,255),0))="","",INDEX('Disaggregation Records'!$F$155:$F$385,MATCH(RIGHT(Q1367,255),RIGHT('Disaggregation Records'!$D$155:$D$385,255),0))),"")</f>
        <v/>
      </c>
      <c r="T1367" s="194" t="str">
        <f t="array" ref="T1367">IFERROR(IF(INDEX('Disaggregation Records'!$H$155:$H$385,MATCH(RIGHT(Q1367,255),RIGHT('Disaggregation Records'!$D$155:$D$385,255),0))="","",INDEX('Disaggregation Records'!$H$155:$H$385,MATCH(RIGHT(Q1367,255),RIGHT('Disaggregation Records'!$D$155:$D$385,255),0))),"")</f>
        <v/>
      </c>
      <c r="U1367" s="194">
        <f>U1365+1</f>
        <v>2873</v>
      </c>
      <c r="V1367" s="194" t="str">
        <f t="array" ref="V1367">IFERROR(IF(INDEX('Disaggregation Records'!$I$155:$I$385,MATCH(RIGHT(Q1367,255),RIGHT('Disaggregation Records'!$D$155:$D$385,255),0))="","",INDEX('Disaggregation Records'!$I$155:$I$385,MATCH(RIGHT(Q1367,255),RIGHT('Disaggregation Records'!$D$155:$D$385,255),0))),"")</f>
        <v/>
      </c>
      <c r="W1367" s="194" t="str">
        <f>IFERROR(INDEX('Reference Records'!L$77:L$157,MATCH(LEFT(C1367,255),'Reference Records'!E$77:E$157,0)),"")</f>
        <v/>
      </c>
    </row>
    <row r="1368" spans="1:23" s="194" customFormat="1" ht="40.4" customHeight="1" x14ac:dyDescent="0.35">
      <c r="A1368" s="770"/>
      <c r="B1368" s="767"/>
      <c r="C1368" s="761"/>
      <c r="D1368" s="769"/>
      <c r="E1368" s="769"/>
      <c r="F1368" s="208"/>
      <c r="G1368" s="763"/>
      <c r="H1368" s="744"/>
      <c r="I1368" s="765"/>
      <c r="J1368" s="730"/>
      <c r="K1368" s="761"/>
      <c r="L1368" s="761"/>
      <c r="M1368" s="730"/>
      <c r="N1368" s="730"/>
    </row>
    <row r="1369" spans="1:23" s="194" customFormat="1" ht="40.4" customHeight="1" x14ac:dyDescent="0.35">
      <c r="A1369" s="770" t="str">
        <f ca="1">INDIRECT("'update Helper'!C"&amp;U1369)</f>
        <v>a163p000004NtOiAAK</v>
      </c>
      <c r="B1369" s="766">
        <v>19</v>
      </c>
      <c r="C1369" s="760" t="str">
        <f>VLOOKUP(B1369,'Coverage Indicators - Section D'!$A$9:$AU$70,47,FALSE)</f>
        <v/>
      </c>
      <c r="D1369" s="768" t="str">
        <f>R1369</f>
        <v/>
      </c>
      <c r="E1369" s="768" t="str">
        <f>S1369</f>
        <v/>
      </c>
      <c r="F1369" s="413"/>
      <c r="G1369" s="762" t="str">
        <f ca="1">IF(OR(INDIRECT("'update Helper'!E"&amp;U1369)="",F1369&lt;&gt;0,F1370&lt;&gt;0),IF(IFERROR((F1369/F1370),"")="","",(F1369/F1370)),INDIRECT("'update Helper'!E"&amp;U1369)/100)</f>
        <v/>
      </c>
      <c r="H1369" s="743"/>
      <c r="I1369" s="764"/>
      <c r="J1369" s="729"/>
      <c r="K1369" s="760" t="str">
        <f>W1369</f>
        <v/>
      </c>
      <c r="L1369" s="760" t="str">
        <f>V1369</f>
        <v/>
      </c>
      <c r="M1369" s="729"/>
      <c r="N1369" s="729"/>
      <c r="P1369" s="194">
        <f>IF(AND(EXACT(C1369,C1367),C1367&lt;&gt;0),P1367+1,0)</f>
        <v>14</v>
      </c>
      <c r="Q1369" s="194" t="str">
        <f>IF(C1369&lt;&gt;"",C1369&amp;"-"&amp;P1369,"")</f>
        <v/>
      </c>
      <c r="R1369" s="194" t="str">
        <f t="array" ref="R1369">IFERROR(IF(INDEX('Disaggregation Records'!$E$155:$E$385,MATCH(RIGHT(Q1369,255),RIGHT('Disaggregation Records'!$D$155:$D$385,255),0))="","",INDEX('Disaggregation Records'!$E$155:$E$385,MATCH(RIGHT(Q1369,255),RIGHT('Disaggregation Records'!$D$155:$D$385,255),0))),"")</f>
        <v/>
      </c>
      <c r="S1369" s="194" t="str">
        <f t="array" ref="S1369">IFERROR(IF(INDEX('Disaggregation Records'!$F$155:$F$385,MATCH(RIGHT(Q1369,255),RIGHT('Disaggregation Records'!$D$155:$D$385,255),0))="","",INDEX('Disaggregation Records'!$F$155:$F$385,MATCH(RIGHT(Q1369,255),RIGHT('Disaggregation Records'!$D$155:$D$385,255),0))),"")</f>
        <v/>
      </c>
      <c r="T1369" s="194" t="str">
        <f t="array" ref="T1369">IFERROR(IF(INDEX('Disaggregation Records'!$H$155:$H$385,MATCH(RIGHT(Q1369,255),RIGHT('Disaggregation Records'!$D$155:$D$385,255),0))="","",INDEX('Disaggregation Records'!$H$155:$H$385,MATCH(RIGHT(Q1369,255),RIGHT('Disaggregation Records'!$D$155:$D$385,255),0))),"")</f>
        <v/>
      </c>
      <c r="U1369" s="194">
        <f>U1367+1</f>
        <v>2874</v>
      </c>
      <c r="V1369" s="194" t="str">
        <f t="array" ref="V1369">IFERROR(IF(INDEX('Disaggregation Records'!$I$155:$I$385,MATCH(RIGHT(Q1369,255),RIGHT('Disaggregation Records'!$D$155:$D$385,255),0))="","",INDEX('Disaggregation Records'!$I$155:$I$385,MATCH(RIGHT(Q1369,255),RIGHT('Disaggregation Records'!$D$155:$D$385,255),0))),"")</f>
        <v/>
      </c>
      <c r="W1369" s="194" t="str">
        <f>IFERROR(INDEX('Reference Records'!L$77:L$157,MATCH(LEFT(C1369,255),'Reference Records'!E$77:E$157,0)),"")</f>
        <v/>
      </c>
    </row>
    <row r="1370" spans="1:23" s="194" customFormat="1" ht="40.4" customHeight="1" x14ac:dyDescent="0.35">
      <c r="A1370" s="770"/>
      <c r="B1370" s="767"/>
      <c r="C1370" s="761"/>
      <c r="D1370" s="769"/>
      <c r="E1370" s="769"/>
      <c r="F1370" s="208"/>
      <c r="G1370" s="763"/>
      <c r="H1370" s="744"/>
      <c r="I1370" s="765"/>
      <c r="J1370" s="730"/>
      <c r="K1370" s="761"/>
      <c r="L1370" s="761"/>
      <c r="M1370" s="730"/>
      <c r="N1370" s="730"/>
    </row>
    <row r="1371" spans="1:23" s="194" customFormat="1" ht="40.4" customHeight="1" x14ac:dyDescent="0.35">
      <c r="A1371" s="770" t="str">
        <f ca="1">INDIRECT("'update Helper'!C"&amp;U1371)</f>
        <v>a163p000004NtOjAAK</v>
      </c>
      <c r="B1371" s="766">
        <v>19</v>
      </c>
      <c r="C1371" s="760" t="str">
        <f>VLOOKUP(B1371,'Coverage Indicators - Section D'!$A$9:$AU$70,47,FALSE)</f>
        <v/>
      </c>
      <c r="D1371" s="768" t="str">
        <f>R1371</f>
        <v/>
      </c>
      <c r="E1371" s="768" t="str">
        <f>S1371</f>
        <v/>
      </c>
      <c r="F1371" s="413"/>
      <c r="G1371" s="762" t="str">
        <f ca="1">IF(OR(INDIRECT("'update Helper'!E"&amp;U1371)="",F1371&lt;&gt;0,F1372&lt;&gt;0),IF(IFERROR((F1371/F1372),"")="","",(F1371/F1372)),INDIRECT("'update Helper'!E"&amp;U1371)/100)</f>
        <v/>
      </c>
      <c r="H1371" s="743"/>
      <c r="I1371" s="764"/>
      <c r="J1371" s="729"/>
      <c r="K1371" s="760" t="str">
        <f>W1371</f>
        <v/>
      </c>
      <c r="L1371" s="760" t="str">
        <f>V1371</f>
        <v/>
      </c>
      <c r="M1371" s="729"/>
      <c r="N1371" s="729"/>
      <c r="P1371" s="194">
        <f>IF(AND(EXACT(C1371,C1369),C1369&lt;&gt;0),P1369+1,0)</f>
        <v>15</v>
      </c>
      <c r="Q1371" s="194" t="str">
        <f>IF(C1371&lt;&gt;"",C1371&amp;"-"&amp;P1371,"")</f>
        <v/>
      </c>
      <c r="R1371" s="194" t="str">
        <f t="array" ref="R1371">IFERROR(IF(INDEX('Disaggregation Records'!$E$155:$E$385,MATCH(RIGHT(Q1371,255),RIGHT('Disaggregation Records'!$D$155:$D$385,255),0))="","",INDEX('Disaggregation Records'!$E$155:$E$385,MATCH(RIGHT(Q1371,255),RIGHT('Disaggregation Records'!$D$155:$D$385,255),0))),"")</f>
        <v/>
      </c>
      <c r="S1371" s="194" t="str">
        <f t="array" ref="S1371">IFERROR(IF(INDEX('Disaggregation Records'!$F$155:$F$385,MATCH(RIGHT(Q1371,255),RIGHT('Disaggregation Records'!$D$155:$D$385,255),0))="","",INDEX('Disaggregation Records'!$F$155:$F$385,MATCH(RIGHT(Q1371,255),RIGHT('Disaggregation Records'!$D$155:$D$385,255),0))),"")</f>
        <v/>
      </c>
      <c r="T1371" s="194" t="str">
        <f t="array" ref="T1371">IFERROR(IF(INDEX('Disaggregation Records'!$H$155:$H$385,MATCH(RIGHT(Q1371,255),RIGHT('Disaggregation Records'!$D$155:$D$385,255),0))="","",INDEX('Disaggregation Records'!$H$155:$H$385,MATCH(RIGHT(Q1371,255),RIGHT('Disaggregation Records'!$D$155:$D$385,255),0))),"")</f>
        <v/>
      </c>
      <c r="U1371" s="194">
        <f>U1369+1</f>
        <v>2875</v>
      </c>
      <c r="V1371" s="194" t="str">
        <f t="array" ref="V1371">IFERROR(IF(INDEX('Disaggregation Records'!$I$155:$I$385,MATCH(RIGHT(Q1371,255),RIGHT('Disaggregation Records'!$D$155:$D$385,255),0))="","",INDEX('Disaggregation Records'!$I$155:$I$385,MATCH(RIGHT(Q1371,255),RIGHT('Disaggregation Records'!$D$155:$D$385,255),0))),"")</f>
        <v/>
      </c>
      <c r="W1371" s="194" t="str">
        <f>IFERROR(INDEX('Reference Records'!L$77:L$157,MATCH(LEFT(C1371,255),'Reference Records'!E$77:E$157,0)),"")</f>
        <v/>
      </c>
    </row>
    <row r="1372" spans="1:23" s="194" customFormat="1" ht="40.4" customHeight="1" x14ac:dyDescent="0.35">
      <c r="A1372" s="770"/>
      <c r="B1372" s="767"/>
      <c r="C1372" s="761"/>
      <c r="D1372" s="769"/>
      <c r="E1372" s="769"/>
      <c r="F1372" s="208"/>
      <c r="G1372" s="763"/>
      <c r="H1372" s="744"/>
      <c r="I1372" s="765"/>
      <c r="J1372" s="730"/>
      <c r="K1372" s="761"/>
      <c r="L1372" s="761"/>
      <c r="M1372" s="730"/>
      <c r="N1372" s="730"/>
    </row>
    <row r="1373" spans="1:23" s="194" customFormat="1" ht="40.4" customHeight="1" x14ac:dyDescent="0.35">
      <c r="A1373" s="770" t="str">
        <f ca="1">INDIRECT("'update Helper'!C"&amp;U1373)</f>
        <v>a163p000004NtOkAAK</v>
      </c>
      <c r="B1373" s="766">
        <v>19</v>
      </c>
      <c r="C1373" s="760" t="str">
        <f>VLOOKUP(B1373,'Coverage Indicators - Section D'!$A$9:$AU$70,47,FALSE)</f>
        <v/>
      </c>
      <c r="D1373" s="768" t="str">
        <f>R1373</f>
        <v/>
      </c>
      <c r="E1373" s="768" t="str">
        <f>S1373</f>
        <v/>
      </c>
      <c r="F1373" s="413"/>
      <c r="G1373" s="762" t="str">
        <f ca="1">IF(OR(INDIRECT("'update Helper'!E"&amp;U1373)="",F1373&lt;&gt;0,F1374&lt;&gt;0),IF(IFERROR((F1373/F1374),"")="","",(F1373/F1374)),INDIRECT("'update Helper'!E"&amp;U1373)/100)</f>
        <v/>
      </c>
      <c r="H1373" s="743"/>
      <c r="I1373" s="764"/>
      <c r="J1373" s="729"/>
      <c r="K1373" s="760" t="str">
        <f>W1373</f>
        <v/>
      </c>
      <c r="L1373" s="760" t="str">
        <f>V1373</f>
        <v/>
      </c>
      <c r="M1373" s="729"/>
      <c r="N1373" s="729"/>
      <c r="P1373" s="194">
        <f>IF(AND(EXACT(C1373,C1371),C1371&lt;&gt;0),P1371+1,0)</f>
        <v>16</v>
      </c>
      <c r="Q1373" s="194" t="str">
        <f>IF(C1373&lt;&gt;"",C1373&amp;"-"&amp;P1373,"")</f>
        <v/>
      </c>
      <c r="R1373" s="194" t="str">
        <f t="array" ref="R1373">IFERROR(IF(INDEX('Disaggregation Records'!$E$155:$E$385,MATCH(RIGHT(Q1373,255),RIGHT('Disaggregation Records'!$D$155:$D$385,255),0))="","",INDEX('Disaggregation Records'!$E$155:$E$385,MATCH(RIGHT(Q1373,255),RIGHT('Disaggregation Records'!$D$155:$D$385,255),0))),"")</f>
        <v/>
      </c>
      <c r="S1373" s="194" t="str">
        <f t="array" ref="S1373">IFERROR(IF(INDEX('Disaggregation Records'!$F$155:$F$385,MATCH(RIGHT(Q1373,255),RIGHT('Disaggregation Records'!$D$155:$D$385,255),0))="","",INDEX('Disaggregation Records'!$F$155:$F$385,MATCH(RIGHT(Q1373,255),RIGHT('Disaggregation Records'!$D$155:$D$385,255),0))),"")</f>
        <v/>
      </c>
      <c r="T1373" s="194" t="str">
        <f t="array" ref="T1373">IFERROR(IF(INDEX('Disaggregation Records'!$H$155:$H$385,MATCH(RIGHT(Q1373,255),RIGHT('Disaggregation Records'!$D$155:$D$385,255),0))="","",INDEX('Disaggregation Records'!$H$155:$H$385,MATCH(RIGHT(Q1373,255),RIGHT('Disaggregation Records'!$D$155:$D$385,255),0))),"")</f>
        <v/>
      </c>
      <c r="U1373" s="194">
        <f>U1371+1</f>
        <v>2876</v>
      </c>
      <c r="V1373" s="194" t="str">
        <f t="array" ref="V1373">IFERROR(IF(INDEX('Disaggregation Records'!$I$155:$I$385,MATCH(RIGHT(Q1373,255),RIGHT('Disaggregation Records'!$D$155:$D$385,255),0))="","",INDEX('Disaggregation Records'!$I$155:$I$385,MATCH(RIGHT(Q1373,255),RIGHT('Disaggregation Records'!$D$155:$D$385,255),0))),"")</f>
        <v/>
      </c>
      <c r="W1373" s="194" t="str">
        <f>IFERROR(INDEX('Reference Records'!L$77:L$157,MATCH(LEFT(C1373,255),'Reference Records'!E$77:E$157,0)),"")</f>
        <v/>
      </c>
    </row>
    <row r="1374" spans="1:23" s="194" customFormat="1" ht="40.4" customHeight="1" x14ac:dyDescent="0.35">
      <c r="A1374" s="770"/>
      <c r="B1374" s="767"/>
      <c r="C1374" s="761"/>
      <c r="D1374" s="769"/>
      <c r="E1374" s="769"/>
      <c r="F1374" s="208"/>
      <c r="G1374" s="763"/>
      <c r="H1374" s="744"/>
      <c r="I1374" s="765"/>
      <c r="J1374" s="730"/>
      <c r="K1374" s="761"/>
      <c r="L1374" s="761"/>
      <c r="M1374" s="730"/>
      <c r="N1374" s="730"/>
    </row>
    <row r="1375" spans="1:23" s="194" customFormat="1" ht="40.4" customHeight="1" x14ac:dyDescent="0.35">
      <c r="A1375" s="770" t="str">
        <f ca="1">INDIRECT("'update Helper'!C"&amp;U1375)</f>
        <v>a163p000004NtOlAAK</v>
      </c>
      <c r="B1375" s="766">
        <v>19</v>
      </c>
      <c r="C1375" s="760" t="str">
        <f>VLOOKUP(B1375,'Coverage Indicators - Section D'!$A$9:$AU$70,47,FALSE)</f>
        <v/>
      </c>
      <c r="D1375" s="768" t="str">
        <f>R1375</f>
        <v/>
      </c>
      <c r="E1375" s="768" t="str">
        <f>S1375</f>
        <v/>
      </c>
      <c r="F1375" s="413"/>
      <c r="G1375" s="762" t="str">
        <f ca="1">IF(OR(INDIRECT("'update Helper'!E"&amp;U1375)="",F1375&lt;&gt;0,F1376&lt;&gt;0),IF(IFERROR((F1375/F1376),"")="","",(F1375/F1376)),INDIRECT("'update Helper'!E"&amp;U1375)/100)</f>
        <v/>
      </c>
      <c r="H1375" s="743"/>
      <c r="I1375" s="764"/>
      <c r="J1375" s="729"/>
      <c r="K1375" s="760" t="str">
        <f>W1375</f>
        <v/>
      </c>
      <c r="L1375" s="760" t="str">
        <f>V1375</f>
        <v/>
      </c>
      <c r="M1375" s="729"/>
      <c r="N1375" s="729"/>
      <c r="P1375" s="194">
        <f>IF(AND(EXACT(C1375,C1373),C1373&lt;&gt;0),P1373+1,0)</f>
        <v>17</v>
      </c>
      <c r="Q1375" s="194" t="str">
        <f>IF(C1375&lt;&gt;"",C1375&amp;"-"&amp;P1375,"")</f>
        <v/>
      </c>
      <c r="R1375" s="194" t="str">
        <f t="array" ref="R1375">IFERROR(IF(INDEX('Disaggregation Records'!$E$155:$E$385,MATCH(RIGHT(Q1375,255),RIGHT('Disaggregation Records'!$D$155:$D$385,255),0))="","",INDEX('Disaggregation Records'!$E$155:$E$385,MATCH(RIGHT(Q1375,255),RIGHT('Disaggregation Records'!$D$155:$D$385,255),0))),"")</f>
        <v/>
      </c>
      <c r="S1375" s="194" t="str">
        <f t="array" ref="S1375">IFERROR(IF(INDEX('Disaggregation Records'!$F$155:$F$385,MATCH(RIGHT(Q1375,255),RIGHT('Disaggregation Records'!$D$155:$D$385,255),0))="","",INDEX('Disaggregation Records'!$F$155:$F$385,MATCH(RIGHT(Q1375,255),RIGHT('Disaggregation Records'!$D$155:$D$385,255),0))),"")</f>
        <v/>
      </c>
      <c r="T1375" s="194" t="str">
        <f t="array" ref="T1375">IFERROR(IF(INDEX('Disaggregation Records'!$H$155:$H$385,MATCH(RIGHT(Q1375,255),RIGHT('Disaggregation Records'!$D$155:$D$385,255),0))="","",INDEX('Disaggregation Records'!$H$155:$H$385,MATCH(RIGHT(Q1375,255),RIGHT('Disaggregation Records'!$D$155:$D$385,255),0))),"")</f>
        <v/>
      </c>
      <c r="U1375" s="194">
        <f>U1373+1</f>
        <v>2877</v>
      </c>
      <c r="V1375" s="194" t="str">
        <f t="array" ref="V1375">IFERROR(IF(INDEX('Disaggregation Records'!$I$155:$I$385,MATCH(RIGHT(Q1375,255),RIGHT('Disaggregation Records'!$D$155:$D$385,255),0))="","",INDEX('Disaggregation Records'!$I$155:$I$385,MATCH(RIGHT(Q1375,255),RIGHT('Disaggregation Records'!$D$155:$D$385,255),0))),"")</f>
        <v/>
      </c>
      <c r="W1375" s="194" t="str">
        <f>IFERROR(INDEX('Reference Records'!L$77:L$157,MATCH(LEFT(C1375,255),'Reference Records'!E$77:E$157,0)),"")</f>
        <v/>
      </c>
    </row>
    <row r="1376" spans="1:23" s="194" customFormat="1" ht="40.4" customHeight="1" x14ac:dyDescent="0.35">
      <c r="A1376" s="770"/>
      <c r="B1376" s="767"/>
      <c r="C1376" s="761"/>
      <c r="D1376" s="769"/>
      <c r="E1376" s="769"/>
      <c r="F1376" s="208"/>
      <c r="G1376" s="763"/>
      <c r="H1376" s="744"/>
      <c r="I1376" s="765"/>
      <c r="J1376" s="730"/>
      <c r="K1376" s="761"/>
      <c r="L1376" s="761"/>
      <c r="M1376" s="730"/>
      <c r="N1376" s="730"/>
    </row>
    <row r="1377" spans="1:23" s="194" customFormat="1" ht="40.4" customHeight="1" x14ac:dyDescent="0.35">
      <c r="A1377" s="770" t="str">
        <f ca="1">INDIRECT("'update Helper'!C"&amp;U1377)</f>
        <v>a163p000004NtOmAAK</v>
      </c>
      <c r="B1377" s="766">
        <v>19</v>
      </c>
      <c r="C1377" s="760" t="str">
        <f>VLOOKUP(B1377,'Coverage Indicators - Section D'!$A$9:$AU$70,47,FALSE)</f>
        <v/>
      </c>
      <c r="D1377" s="768" t="str">
        <f>R1377</f>
        <v/>
      </c>
      <c r="E1377" s="768" t="str">
        <f>S1377</f>
        <v/>
      </c>
      <c r="F1377" s="413"/>
      <c r="G1377" s="762" t="str">
        <f ca="1">IF(OR(INDIRECT("'update Helper'!E"&amp;U1377)="",F1377&lt;&gt;0,F1378&lt;&gt;0),IF(IFERROR((F1377/F1378),"")="","",(F1377/F1378)),INDIRECT("'update Helper'!E"&amp;U1377)/100)</f>
        <v/>
      </c>
      <c r="H1377" s="743"/>
      <c r="I1377" s="764"/>
      <c r="J1377" s="729"/>
      <c r="K1377" s="760" t="str">
        <f>W1377</f>
        <v/>
      </c>
      <c r="L1377" s="760" t="str">
        <f>V1377</f>
        <v/>
      </c>
      <c r="M1377" s="729"/>
      <c r="N1377" s="729"/>
      <c r="P1377" s="194">
        <f>IF(AND(EXACT(C1377,C1375),C1375&lt;&gt;0),P1375+1,0)</f>
        <v>18</v>
      </c>
      <c r="Q1377" s="194" t="str">
        <f>IF(C1377&lt;&gt;"",C1377&amp;"-"&amp;P1377,"")</f>
        <v/>
      </c>
      <c r="R1377" s="194" t="str">
        <f t="array" ref="R1377">IFERROR(IF(INDEX('Disaggregation Records'!$E$155:$E$385,MATCH(RIGHT(Q1377,255),RIGHT('Disaggregation Records'!$D$155:$D$385,255),0))="","",INDEX('Disaggregation Records'!$E$155:$E$385,MATCH(RIGHT(Q1377,255),RIGHT('Disaggregation Records'!$D$155:$D$385,255),0))),"")</f>
        <v/>
      </c>
      <c r="S1377" s="194" t="str">
        <f t="array" ref="S1377">IFERROR(IF(INDEX('Disaggregation Records'!$F$155:$F$385,MATCH(RIGHT(Q1377,255),RIGHT('Disaggregation Records'!$D$155:$D$385,255),0))="","",INDEX('Disaggregation Records'!$F$155:$F$385,MATCH(RIGHT(Q1377,255),RIGHT('Disaggregation Records'!$D$155:$D$385,255),0))),"")</f>
        <v/>
      </c>
      <c r="T1377" s="194" t="str">
        <f t="array" ref="T1377">IFERROR(IF(INDEX('Disaggregation Records'!$H$155:$H$385,MATCH(RIGHT(Q1377,255),RIGHT('Disaggregation Records'!$D$155:$D$385,255),0))="","",INDEX('Disaggregation Records'!$H$155:$H$385,MATCH(RIGHT(Q1377,255),RIGHT('Disaggregation Records'!$D$155:$D$385,255),0))),"")</f>
        <v/>
      </c>
      <c r="U1377" s="194">
        <f>U1375+1</f>
        <v>2878</v>
      </c>
      <c r="V1377" s="194" t="str">
        <f t="array" ref="V1377">IFERROR(IF(INDEX('Disaggregation Records'!$I$155:$I$385,MATCH(RIGHT(Q1377,255),RIGHT('Disaggregation Records'!$D$155:$D$385,255),0))="","",INDEX('Disaggregation Records'!$I$155:$I$385,MATCH(RIGHT(Q1377,255),RIGHT('Disaggregation Records'!$D$155:$D$385,255),0))),"")</f>
        <v/>
      </c>
      <c r="W1377" s="194" t="str">
        <f>IFERROR(INDEX('Reference Records'!L$77:L$157,MATCH(LEFT(C1377,255),'Reference Records'!E$77:E$157,0)),"")</f>
        <v/>
      </c>
    </row>
    <row r="1378" spans="1:23" s="194" customFormat="1" ht="40.4" customHeight="1" x14ac:dyDescent="0.35">
      <c r="A1378" s="770"/>
      <c r="B1378" s="767"/>
      <c r="C1378" s="761"/>
      <c r="D1378" s="769"/>
      <c r="E1378" s="769"/>
      <c r="F1378" s="208"/>
      <c r="G1378" s="763"/>
      <c r="H1378" s="744"/>
      <c r="I1378" s="765"/>
      <c r="J1378" s="730"/>
      <c r="K1378" s="761"/>
      <c r="L1378" s="761"/>
      <c r="M1378" s="730"/>
      <c r="N1378" s="730"/>
    </row>
    <row r="1379" spans="1:23" s="194" customFormat="1" ht="40.4" customHeight="1" x14ac:dyDescent="0.35">
      <c r="A1379" s="770" t="str">
        <f ca="1">INDIRECT("'update Helper'!C"&amp;U1379)</f>
        <v>a163p000004NtOnAAK</v>
      </c>
      <c r="B1379" s="766">
        <v>19</v>
      </c>
      <c r="C1379" s="760" t="str">
        <f>VLOOKUP(B1379,'Coverage Indicators - Section D'!$A$9:$AU$70,47,FALSE)</f>
        <v/>
      </c>
      <c r="D1379" s="768" t="str">
        <f>R1379</f>
        <v/>
      </c>
      <c r="E1379" s="768" t="str">
        <f>S1379</f>
        <v/>
      </c>
      <c r="F1379" s="413"/>
      <c r="G1379" s="762" t="str">
        <f ca="1">IF(OR(INDIRECT("'update Helper'!E"&amp;U1379)="",F1379&lt;&gt;0,F1380&lt;&gt;0),IF(IFERROR((F1379/F1380),"")="","",(F1379/F1380)),INDIRECT("'update Helper'!E"&amp;U1379)/100)</f>
        <v/>
      </c>
      <c r="H1379" s="743"/>
      <c r="I1379" s="764"/>
      <c r="J1379" s="729"/>
      <c r="K1379" s="760" t="str">
        <f>W1379</f>
        <v/>
      </c>
      <c r="L1379" s="760" t="str">
        <f>V1379</f>
        <v/>
      </c>
      <c r="M1379" s="729"/>
      <c r="N1379" s="729"/>
      <c r="P1379" s="194">
        <f>IF(AND(EXACT(C1379,C1377),C1377&lt;&gt;0),P1377+1,0)</f>
        <v>19</v>
      </c>
      <c r="Q1379" s="194" t="str">
        <f>IF(C1379&lt;&gt;"",C1379&amp;"-"&amp;P1379,"")</f>
        <v/>
      </c>
      <c r="R1379" s="194" t="str">
        <f t="array" ref="R1379">IFERROR(IF(INDEX('Disaggregation Records'!$E$155:$E$385,MATCH(RIGHT(Q1379,255),RIGHT('Disaggregation Records'!$D$155:$D$385,255),0))="","",INDEX('Disaggregation Records'!$E$155:$E$385,MATCH(RIGHT(Q1379,255),RIGHT('Disaggregation Records'!$D$155:$D$385,255),0))),"")</f>
        <v/>
      </c>
      <c r="S1379" s="194" t="str">
        <f t="array" ref="S1379">IFERROR(IF(INDEX('Disaggregation Records'!$F$155:$F$385,MATCH(RIGHT(Q1379,255),RIGHT('Disaggregation Records'!$D$155:$D$385,255),0))="","",INDEX('Disaggregation Records'!$F$155:$F$385,MATCH(RIGHT(Q1379,255),RIGHT('Disaggregation Records'!$D$155:$D$385,255),0))),"")</f>
        <v/>
      </c>
      <c r="T1379" s="194" t="str">
        <f t="array" ref="T1379">IFERROR(IF(INDEX('Disaggregation Records'!$H$155:$H$385,MATCH(RIGHT(Q1379,255),RIGHT('Disaggregation Records'!$D$155:$D$385,255),0))="","",INDEX('Disaggregation Records'!$H$155:$H$385,MATCH(RIGHT(Q1379,255),RIGHT('Disaggregation Records'!$D$155:$D$385,255),0))),"")</f>
        <v/>
      </c>
      <c r="U1379" s="194">
        <f>U1377+1</f>
        <v>2879</v>
      </c>
      <c r="V1379" s="194" t="str">
        <f t="array" ref="V1379">IFERROR(IF(INDEX('Disaggregation Records'!$I$155:$I$385,MATCH(RIGHT(Q1379,255),RIGHT('Disaggregation Records'!$D$155:$D$385,255),0))="","",INDEX('Disaggregation Records'!$I$155:$I$385,MATCH(RIGHT(Q1379,255),RIGHT('Disaggregation Records'!$D$155:$D$385,255),0))),"")</f>
        <v/>
      </c>
      <c r="W1379" s="194" t="str">
        <f>IFERROR(INDEX('Reference Records'!L$77:L$157,MATCH(LEFT(C1379,255),'Reference Records'!E$77:E$157,0)),"")</f>
        <v/>
      </c>
    </row>
    <row r="1380" spans="1:23" s="194" customFormat="1" ht="40.4" customHeight="1" x14ac:dyDescent="0.35">
      <c r="A1380" s="770"/>
      <c r="B1380" s="767"/>
      <c r="C1380" s="761"/>
      <c r="D1380" s="769"/>
      <c r="E1380" s="769"/>
      <c r="F1380" s="208"/>
      <c r="G1380" s="763"/>
      <c r="H1380" s="744"/>
      <c r="I1380" s="765"/>
      <c r="J1380" s="730"/>
      <c r="K1380" s="761"/>
      <c r="L1380" s="761"/>
      <c r="M1380" s="730"/>
      <c r="N1380" s="730"/>
    </row>
    <row r="1381" spans="1:23" s="194" customFormat="1" ht="40.4" customHeight="1" x14ac:dyDescent="0.35">
      <c r="A1381" s="770" t="str">
        <f ca="1">INDIRECT("'update Helper'!C"&amp;U1381)</f>
        <v>a163p000004NtYAAA0</v>
      </c>
      <c r="B1381" s="766">
        <v>20</v>
      </c>
      <c r="C1381" s="760" t="str">
        <f>VLOOKUP(B1381,'Coverage Indicators - Section D'!$A$9:$AU$70,47,FALSE)</f>
        <v>HTS-3b⁽ᴹ⁾ Porcentaje de personas transgénero a los que se les ha realizado una prueba de VIH durante el período de reporte y que conocen sus resultados</v>
      </c>
      <c r="D1381" s="768" t="str">
        <f>R1381</f>
        <v>Resultado de prueba del VIH</v>
      </c>
      <c r="E1381" s="768" t="str">
        <f>S1381</f>
        <v>Negativo</v>
      </c>
      <c r="F1381" s="413"/>
      <c r="G1381" s="762" t="str">
        <f ca="1">IF(OR(INDIRECT("'update Helper'!E"&amp;U1381)="",F1381&lt;&gt;0,F1382&lt;&gt;0),IF(IFERROR((F1381/F1382),"")="","",(F1381/F1382)),INDIRECT("'update Helper'!E"&amp;U1381)/100)</f>
        <v/>
      </c>
      <c r="H1381" s="743"/>
      <c r="I1381" s="764"/>
      <c r="J1381" s="729"/>
      <c r="K1381" s="760" t="str">
        <f>W1381</f>
        <v>HTS-3b⁽ᴹ⁾ Percentage of transgender people that have received an HIV test during the reporting period and know their results</v>
      </c>
      <c r="L1381" s="760" t="str">
        <f>V1381</f>
        <v>HIV test status</v>
      </c>
      <c r="M1381" s="729"/>
      <c r="N1381" s="729"/>
      <c r="P1381" s="194">
        <f>IF(AND(EXACT(C1381,C1379),C1379&lt;&gt;0),P1379+1,0)</f>
        <v>0</v>
      </c>
      <c r="Q1381" s="194" t="str">
        <f>IF(C1381&lt;&gt;"",C1381&amp;"-"&amp;P1381,"")</f>
        <v>HTS-3b⁽ᴹ⁾ Porcentaje de personas transgénero a los que se les ha realizado una prueba de VIH durante el período de reporte y que conocen sus resultados-0</v>
      </c>
      <c r="R1381" s="194" t="str">
        <f t="array" ref="R1381">IFERROR(IF(INDEX('Disaggregation Records'!$E$155:$E$385,MATCH(RIGHT(Q1381,255),RIGHT('Disaggregation Records'!$D$155:$D$385,255),0))="","",INDEX('Disaggregation Records'!$E$155:$E$385,MATCH(RIGHT(Q1381,255),RIGHT('Disaggregation Records'!$D$155:$D$385,255),0))),"")</f>
        <v>Resultado de prueba del VIH</v>
      </c>
      <c r="S1381" s="194" t="str">
        <f t="array" ref="S1381">IFERROR(IF(INDEX('Disaggregation Records'!$F$155:$F$385,MATCH(RIGHT(Q1381,255),RIGHT('Disaggregation Records'!$D$155:$D$385,255),0))="","",INDEX('Disaggregation Records'!$F$155:$F$385,MATCH(RIGHT(Q1381,255),RIGHT('Disaggregation Records'!$D$155:$D$385,255),0))),"")</f>
        <v>Negativo</v>
      </c>
      <c r="T1381" s="194" t="str">
        <f t="array" ref="T1381">IFERROR(IF(INDEX('Disaggregation Records'!$H$155:$H$385,MATCH(RIGHT(Q1381,255),RIGHT('Disaggregation Records'!$D$155:$D$385,255),0))="","",INDEX('Disaggregation Records'!$H$155:$H$385,MATCH(RIGHT(Q1381,255),RIGHT('Disaggregation Records'!$D$155:$D$385,255),0))),"")</f>
        <v>IDR-00922</v>
      </c>
      <c r="U1381" s="194">
        <f>U1379+1</f>
        <v>2880</v>
      </c>
      <c r="V1381" s="194" t="str">
        <f t="array" ref="V1381">IFERROR(IF(INDEX('Disaggregation Records'!$I$155:$I$385,MATCH(RIGHT(Q1381,255),RIGHT('Disaggregation Records'!$D$155:$D$385,255),0))="","",INDEX('Disaggregation Records'!$I$155:$I$385,MATCH(RIGHT(Q1381,255),RIGHT('Disaggregation Records'!$D$155:$D$385,255),0))),"")</f>
        <v>HIV test status</v>
      </c>
      <c r="W1381" s="194" t="str">
        <f>IFERROR(INDEX('Reference Records'!L$77:L$157,MATCH(LEFT(C1381,255),'Reference Records'!E$77:E$157,0)),"")</f>
        <v>HTS-3b⁽ᴹ⁾ Percentage of transgender people that have received an HIV test during the reporting period and know their results</v>
      </c>
    </row>
    <row r="1382" spans="1:23" s="194" customFormat="1" ht="40.4" customHeight="1" x14ac:dyDescent="0.35">
      <c r="A1382" s="770"/>
      <c r="B1382" s="767"/>
      <c r="C1382" s="761"/>
      <c r="D1382" s="769"/>
      <c r="E1382" s="769"/>
      <c r="F1382" s="208"/>
      <c r="G1382" s="763"/>
      <c r="H1382" s="744"/>
      <c r="I1382" s="765"/>
      <c r="J1382" s="730"/>
      <c r="K1382" s="761"/>
      <c r="L1382" s="761"/>
      <c r="M1382" s="730"/>
      <c r="N1382" s="730"/>
    </row>
    <row r="1383" spans="1:23" s="194" customFormat="1" ht="40.4" customHeight="1" x14ac:dyDescent="0.35">
      <c r="A1383" s="770" t="str">
        <f ca="1">INDIRECT("'update Helper'!C"&amp;U1383)</f>
        <v>a163p000004NtYBAA0</v>
      </c>
      <c r="B1383" s="766">
        <v>20</v>
      </c>
      <c r="C1383" s="760" t="str">
        <f>VLOOKUP(B1383,'Coverage Indicators - Section D'!$A$9:$AU$70,47,FALSE)</f>
        <v>HTS-3b⁽ᴹ⁾ Porcentaje de personas transgénero a los que se les ha realizado una prueba de VIH durante el período de reporte y que conocen sus resultados</v>
      </c>
      <c r="D1383" s="768" t="str">
        <f>R1383</f>
        <v>Resultado de prueba del VIH</v>
      </c>
      <c r="E1383" s="768" t="str">
        <f>S1383</f>
        <v>Positivo</v>
      </c>
      <c r="F1383" s="413"/>
      <c r="G1383" s="762" t="str">
        <f ca="1">IF(OR(INDIRECT("'update Helper'!E"&amp;U1383)="",F1383&lt;&gt;0,F1384&lt;&gt;0),IF(IFERROR((F1383/F1384),"")="","",(F1383/F1384)),INDIRECT("'update Helper'!E"&amp;U1383)/100)</f>
        <v/>
      </c>
      <c r="H1383" s="743"/>
      <c r="I1383" s="764"/>
      <c r="J1383" s="729"/>
      <c r="K1383" s="760" t="str">
        <f>W1383</f>
        <v>HTS-3b⁽ᴹ⁾ Percentage of transgender people that have received an HIV test during the reporting period and know their results</v>
      </c>
      <c r="L1383" s="760" t="str">
        <f>V1383</f>
        <v>HIV test status</v>
      </c>
      <c r="M1383" s="729"/>
      <c r="N1383" s="729"/>
      <c r="P1383" s="194">
        <f>IF(AND(EXACT(C1383,C1381),C1381&lt;&gt;0),P1381+1,0)</f>
        <v>1</v>
      </c>
      <c r="Q1383" s="194" t="str">
        <f>IF(C1383&lt;&gt;"",C1383&amp;"-"&amp;P1383,"")</f>
        <v>HTS-3b⁽ᴹ⁾ Porcentaje de personas transgénero a los que se les ha realizado una prueba de VIH durante el período de reporte y que conocen sus resultados-1</v>
      </c>
      <c r="R1383" s="194" t="str">
        <f t="array" ref="R1383">IFERROR(IF(INDEX('Disaggregation Records'!$E$155:$E$385,MATCH(RIGHT(Q1383,255),RIGHT('Disaggregation Records'!$D$155:$D$385,255),0))="","",INDEX('Disaggregation Records'!$E$155:$E$385,MATCH(RIGHT(Q1383,255),RIGHT('Disaggregation Records'!$D$155:$D$385,255),0))),"")</f>
        <v>Resultado de prueba del VIH</v>
      </c>
      <c r="S1383" s="194" t="str">
        <f t="array" ref="S1383">IFERROR(IF(INDEX('Disaggregation Records'!$F$155:$F$385,MATCH(RIGHT(Q1383,255),RIGHT('Disaggregation Records'!$D$155:$D$385,255),0))="","",INDEX('Disaggregation Records'!$F$155:$F$385,MATCH(RIGHT(Q1383,255),RIGHT('Disaggregation Records'!$D$155:$D$385,255),0))),"")</f>
        <v>Positivo</v>
      </c>
      <c r="T1383" s="194" t="str">
        <f t="array" ref="T1383">IFERROR(IF(INDEX('Disaggregation Records'!$H$155:$H$385,MATCH(RIGHT(Q1383,255),RIGHT('Disaggregation Records'!$D$155:$D$385,255),0))="","",INDEX('Disaggregation Records'!$H$155:$H$385,MATCH(RIGHT(Q1383,255),RIGHT('Disaggregation Records'!$D$155:$D$385,255),0))),"")</f>
        <v>IDR-00921</v>
      </c>
      <c r="U1383" s="194">
        <f>U1381+1</f>
        <v>2881</v>
      </c>
      <c r="V1383" s="194" t="str">
        <f t="array" ref="V1383">IFERROR(IF(INDEX('Disaggregation Records'!$I$155:$I$385,MATCH(RIGHT(Q1383,255),RIGHT('Disaggregation Records'!$D$155:$D$385,255),0))="","",INDEX('Disaggregation Records'!$I$155:$I$385,MATCH(RIGHT(Q1383,255),RIGHT('Disaggregation Records'!$D$155:$D$385,255),0))),"")</f>
        <v>HIV test status</v>
      </c>
      <c r="W1383" s="194" t="str">
        <f>IFERROR(INDEX('Reference Records'!L$77:L$157,MATCH(LEFT(C1383,255),'Reference Records'!E$77:E$157,0)),"")</f>
        <v>HTS-3b⁽ᴹ⁾ Percentage of transgender people that have received an HIV test during the reporting period and know their results</v>
      </c>
    </row>
    <row r="1384" spans="1:23" s="194" customFormat="1" ht="40.4" customHeight="1" x14ac:dyDescent="0.35">
      <c r="A1384" s="770"/>
      <c r="B1384" s="767"/>
      <c r="C1384" s="761"/>
      <c r="D1384" s="769"/>
      <c r="E1384" s="769"/>
      <c r="F1384" s="208"/>
      <c r="G1384" s="763"/>
      <c r="H1384" s="744"/>
      <c r="I1384" s="765"/>
      <c r="J1384" s="730"/>
      <c r="K1384" s="761"/>
      <c r="L1384" s="761"/>
      <c r="M1384" s="730"/>
      <c r="N1384" s="730"/>
    </row>
    <row r="1385" spans="1:23" s="194" customFormat="1" ht="40.4" customHeight="1" x14ac:dyDescent="0.35">
      <c r="A1385" s="770" t="str">
        <f ca="1">INDIRECT("'update Helper'!C"&amp;U1385)</f>
        <v>a163p000004NtYCAA0</v>
      </c>
      <c r="B1385" s="766">
        <v>20</v>
      </c>
      <c r="C1385" s="760" t="str">
        <f>VLOOKUP(B1385,'Coverage Indicators - Section D'!$A$9:$AU$70,47,FALSE)</f>
        <v>HTS-3b⁽ᴹ⁾ Porcentaje de personas transgénero a los que se les ha realizado una prueba de VIH durante el período de reporte y que conocen sus resultados</v>
      </c>
      <c r="D1385" s="768" t="str">
        <f>R1385</f>
        <v>Edad</v>
      </c>
      <c r="E1385" s="768" t="str">
        <f>S1385</f>
        <v>25+</v>
      </c>
      <c r="F1385" s="413"/>
      <c r="G1385" s="762" t="str">
        <f ca="1">IF(OR(INDIRECT("'update Helper'!E"&amp;U1385)="",F1385&lt;&gt;0,F1386&lt;&gt;0),IF(IFERROR((F1385/F1386),"")="","",(F1385/F1386)),INDIRECT("'update Helper'!E"&amp;U1385)/100)</f>
        <v/>
      </c>
      <c r="H1385" s="743"/>
      <c r="I1385" s="764"/>
      <c r="J1385" s="729"/>
      <c r="K1385" s="760" t="str">
        <f>W1385</f>
        <v>HTS-3b⁽ᴹ⁾ Percentage of transgender people that have received an HIV test during the reporting period and know their results</v>
      </c>
      <c r="L1385" s="760" t="str">
        <f>V1385</f>
        <v>Age</v>
      </c>
      <c r="M1385" s="729"/>
      <c r="N1385" s="729"/>
      <c r="P1385" s="194">
        <f>IF(AND(EXACT(C1385,C1383),C1383&lt;&gt;0),P1383+1,0)</f>
        <v>2</v>
      </c>
      <c r="Q1385" s="194" t="str">
        <f>IF(C1385&lt;&gt;"",C1385&amp;"-"&amp;P1385,"")</f>
        <v>HTS-3b⁽ᴹ⁾ Porcentaje de personas transgénero a los que se les ha realizado una prueba de VIH durante el período de reporte y que conocen sus resultados-2</v>
      </c>
      <c r="R1385" s="194" t="str">
        <f t="array" ref="R1385">IFERROR(IF(INDEX('Disaggregation Records'!$E$155:$E$385,MATCH(RIGHT(Q1385,255),RIGHT('Disaggregation Records'!$D$155:$D$385,255),0))="","",INDEX('Disaggregation Records'!$E$155:$E$385,MATCH(RIGHT(Q1385,255),RIGHT('Disaggregation Records'!$D$155:$D$385,255),0))),"")</f>
        <v>Edad</v>
      </c>
      <c r="S1385" s="194" t="str">
        <f t="array" ref="S1385">IFERROR(IF(INDEX('Disaggregation Records'!$F$155:$F$385,MATCH(RIGHT(Q1385,255),RIGHT('Disaggregation Records'!$D$155:$D$385,255),0))="","",INDEX('Disaggregation Records'!$F$155:$F$385,MATCH(RIGHT(Q1385,255),RIGHT('Disaggregation Records'!$D$155:$D$385,255),0))),"")</f>
        <v>25+</v>
      </c>
      <c r="T1385" s="194" t="str">
        <f t="array" ref="T1385">IFERROR(IF(INDEX('Disaggregation Records'!$H$155:$H$385,MATCH(RIGHT(Q1385,255),RIGHT('Disaggregation Records'!$D$155:$D$385,255),0))="","",INDEX('Disaggregation Records'!$H$155:$H$385,MATCH(RIGHT(Q1385,255),RIGHT('Disaggregation Records'!$D$155:$D$385,255),0))),"")</f>
        <v>IDR-00716</v>
      </c>
      <c r="U1385" s="194">
        <f>U1383+1</f>
        <v>2882</v>
      </c>
      <c r="V1385" s="194" t="str">
        <f t="array" ref="V1385">IFERROR(IF(INDEX('Disaggregation Records'!$I$155:$I$385,MATCH(RIGHT(Q1385,255),RIGHT('Disaggregation Records'!$D$155:$D$385,255),0))="","",INDEX('Disaggregation Records'!$I$155:$I$385,MATCH(RIGHT(Q1385,255),RIGHT('Disaggregation Records'!$D$155:$D$385,255),0))),"")</f>
        <v>Age</v>
      </c>
      <c r="W1385" s="194" t="str">
        <f>IFERROR(INDEX('Reference Records'!L$77:L$157,MATCH(LEFT(C1385,255),'Reference Records'!E$77:E$157,0)),"")</f>
        <v>HTS-3b⁽ᴹ⁾ Percentage of transgender people that have received an HIV test during the reporting period and know their results</v>
      </c>
    </row>
    <row r="1386" spans="1:23" s="194" customFormat="1" ht="40.4" customHeight="1" x14ac:dyDescent="0.35">
      <c r="A1386" s="770"/>
      <c r="B1386" s="767"/>
      <c r="C1386" s="761"/>
      <c r="D1386" s="769"/>
      <c r="E1386" s="769"/>
      <c r="F1386" s="208"/>
      <c r="G1386" s="763"/>
      <c r="H1386" s="744"/>
      <c r="I1386" s="765"/>
      <c r="J1386" s="730"/>
      <c r="K1386" s="761"/>
      <c r="L1386" s="761"/>
      <c r="M1386" s="730"/>
      <c r="N1386" s="730"/>
    </row>
    <row r="1387" spans="1:23" s="194" customFormat="1" ht="40.4" customHeight="1" x14ac:dyDescent="0.35">
      <c r="A1387" s="770" t="str">
        <f ca="1">INDIRECT("'update Helper'!C"&amp;U1387)</f>
        <v>a163p000004NtYDAA0</v>
      </c>
      <c r="B1387" s="766">
        <v>20</v>
      </c>
      <c r="C1387" s="760" t="str">
        <f>VLOOKUP(B1387,'Coverage Indicators - Section D'!$A$9:$AU$70,47,FALSE)</f>
        <v>HTS-3b⁽ᴹ⁾ Porcentaje de personas transgénero a los que se les ha realizado una prueba de VIH durante el período de reporte y que conocen sus resultados</v>
      </c>
      <c r="D1387" s="768" t="str">
        <f>R1387</f>
        <v>Edad</v>
      </c>
      <c r="E1387" s="768" t="str">
        <f>S1387</f>
        <v>&lt;25</v>
      </c>
      <c r="F1387" s="413"/>
      <c r="G1387" s="762" t="str">
        <f ca="1">IF(OR(INDIRECT("'update Helper'!E"&amp;U1387)="",F1387&lt;&gt;0,F1388&lt;&gt;0),IF(IFERROR((F1387/F1388),"")="","",(F1387/F1388)),INDIRECT("'update Helper'!E"&amp;U1387)/100)</f>
        <v/>
      </c>
      <c r="H1387" s="743"/>
      <c r="I1387" s="764"/>
      <c r="J1387" s="729"/>
      <c r="K1387" s="760" t="str">
        <f>W1387</f>
        <v>HTS-3b⁽ᴹ⁾ Percentage of transgender people that have received an HIV test during the reporting period and know their results</v>
      </c>
      <c r="L1387" s="760" t="str">
        <f>V1387</f>
        <v>Age</v>
      </c>
      <c r="M1387" s="729"/>
      <c r="N1387" s="729"/>
      <c r="P1387" s="194">
        <f>IF(AND(EXACT(C1387,C1385),C1385&lt;&gt;0),P1385+1,0)</f>
        <v>3</v>
      </c>
      <c r="Q1387" s="194" t="str">
        <f>IF(C1387&lt;&gt;"",C1387&amp;"-"&amp;P1387,"")</f>
        <v>HTS-3b⁽ᴹ⁾ Porcentaje de personas transgénero a los que se les ha realizado una prueba de VIH durante el período de reporte y que conocen sus resultados-3</v>
      </c>
      <c r="R1387" s="194" t="str">
        <f t="array" ref="R1387">IFERROR(IF(INDEX('Disaggregation Records'!$E$155:$E$385,MATCH(RIGHT(Q1387,255),RIGHT('Disaggregation Records'!$D$155:$D$385,255),0))="","",INDEX('Disaggregation Records'!$E$155:$E$385,MATCH(RIGHT(Q1387,255),RIGHT('Disaggregation Records'!$D$155:$D$385,255),0))),"")</f>
        <v>Edad</v>
      </c>
      <c r="S1387" s="194" t="str">
        <f t="array" ref="S1387">IFERROR(IF(INDEX('Disaggregation Records'!$F$155:$F$385,MATCH(RIGHT(Q1387,255),RIGHT('Disaggregation Records'!$D$155:$D$385,255),0))="","",INDEX('Disaggregation Records'!$F$155:$F$385,MATCH(RIGHT(Q1387,255),RIGHT('Disaggregation Records'!$D$155:$D$385,255),0))),"")</f>
        <v>&lt;25</v>
      </c>
      <c r="T1387" s="194" t="str">
        <f t="array" ref="T1387">IFERROR(IF(INDEX('Disaggregation Records'!$H$155:$H$385,MATCH(RIGHT(Q1387,255),RIGHT('Disaggregation Records'!$D$155:$D$385,255),0))="","",INDEX('Disaggregation Records'!$H$155:$H$385,MATCH(RIGHT(Q1387,255),RIGHT('Disaggregation Records'!$D$155:$D$385,255),0))),"")</f>
        <v>IDR-00715</v>
      </c>
      <c r="U1387" s="194">
        <f>U1385+1</f>
        <v>2883</v>
      </c>
      <c r="V1387" s="194" t="str">
        <f t="array" ref="V1387">IFERROR(IF(INDEX('Disaggregation Records'!$I$155:$I$385,MATCH(RIGHT(Q1387,255),RIGHT('Disaggregation Records'!$D$155:$D$385,255),0))="","",INDEX('Disaggregation Records'!$I$155:$I$385,MATCH(RIGHT(Q1387,255),RIGHT('Disaggregation Records'!$D$155:$D$385,255),0))),"")</f>
        <v>Age</v>
      </c>
      <c r="W1387" s="194" t="str">
        <f>IFERROR(INDEX('Reference Records'!L$77:L$157,MATCH(LEFT(C1387,255),'Reference Records'!E$77:E$157,0)),"")</f>
        <v>HTS-3b⁽ᴹ⁾ Percentage of transgender people that have received an HIV test during the reporting period and know their results</v>
      </c>
    </row>
    <row r="1388" spans="1:23" s="194" customFormat="1" ht="40.4" customHeight="1" x14ac:dyDescent="0.35">
      <c r="A1388" s="770"/>
      <c r="B1388" s="767"/>
      <c r="C1388" s="761"/>
      <c r="D1388" s="769"/>
      <c r="E1388" s="769"/>
      <c r="F1388" s="208"/>
      <c r="G1388" s="763"/>
      <c r="H1388" s="744"/>
      <c r="I1388" s="765"/>
      <c r="J1388" s="730"/>
      <c r="K1388" s="761"/>
      <c r="L1388" s="761"/>
      <c r="M1388" s="730"/>
      <c r="N1388" s="730"/>
    </row>
    <row r="1389" spans="1:23" s="194" customFormat="1" ht="40.4" customHeight="1" x14ac:dyDescent="0.35">
      <c r="A1389" s="770" t="str">
        <f ca="1">INDIRECT("'update Helper'!C"&amp;U1389)</f>
        <v>a163p000004NtYEAA0</v>
      </c>
      <c r="B1389" s="766">
        <v>20</v>
      </c>
      <c r="C1389" s="760" t="str">
        <f>VLOOKUP(B1389,'Coverage Indicators - Section D'!$A$9:$AU$70,47,FALSE)</f>
        <v>HTS-3b⁽ᴹ⁾ Porcentaje de personas transgénero a los que se les ha realizado una prueba de VIH durante el período de reporte y que conocen sus resultados</v>
      </c>
      <c r="D1389" s="768" t="str">
        <f>R1389</f>
        <v/>
      </c>
      <c r="E1389" s="768" t="str">
        <f>S1389</f>
        <v/>
      </c>
      <c r="F1389" s="413"/>
      <c r="G1389" s="762" t="str">
        <f ca="1">IF(OR(INDIRECT("'update Helper'!E"&amp;U1389)="",F1389&lt;&gt;0,F1390&lt;&gt;0),IF(IFERROR((F1389/F1390),"")="","",(F1389/F1390)),INDIRECT("'update Helper'!E"&amp;U1389)/100)</f>
        <v/>
      </c>
      <c r="H1389" s="743"/>
      <c r="I1389" s="764"/>
      <c r="J1389" s="729"/>
      <c r="K1389" s="760" t="str">
        <f>W1389</f>
        <v>HTS-3b⁽ᴹ⁾ Percentage of transgender people that have received an HIV test during the reporting period and know their results</v>
      </c>
      <c r="L1389" s="760" t="str">
        <f>V1389</f>
        <v/>
      </c>
      <c r="M1389" s="729"/>
      <c r="N1389" s="729"/>
      <c r="P1389" s="194">
        <f>IF(AND(EXACT(C1389,C1387),C1387&lt;&gt;0),P1387+1,0)</f>
        <v>4</v>
      </c>
      <c r="Q1389" s="194" t="str">
        <f>IF(C1389&lt;&gt;"",C1389&amp;"-"&amp;P1389,"")</f>
        <v>HTS-3b⁽ᴹ⁾ Porcentaje de personas transgénero a los que se les ha realizado una prueba de VIH durante el período de reporte y que conocen sus resultados-4</v>
      </c>
      <c r="R1389" s="194" t="str">
        <f t="array" ref="R1389">IFERROR(IF(INDEX('Disaggregation Records'!$E$155:$E$385,MATCH(RIGHT(Q1389,255),RIGHT('Disaggregation Records'!$D$155:$D$385,255),0))="","",INDEX('Disaggregation Records'!$E$155:$E$385,MATCH(RIGHT(Q1389,255),RIGHT('Disaggregation Records'!$D$155:$D$385,255),0))),"")</f>
        <v/>
      </c>
      <c r="S1389" s="194" t="str">
        <f t="array" ref="S1389">IFERROR(IF(INDEX('Disaggregation Records'!$F$155:$F$385,MATCH(RIGHT(Q1389,255),RIGHT('Disaggregation Records'!$D$155:$D$385,255),0))="","",INDEX('Disaggregation Records'!$F$155:$F$385,MATCH(RIGHT(Q1389,255),RIGHT('Disaggregation Records'!$D$155:$D$385,255),0))),"")</f>
        <v/>
      </c>
      <c r="T1389" s="194" t="str">
        <f t="array" ref="T1389">IFERROR(IF(INDEX('Disaggregation Records'!$H$155:$H$385,MATCH(RIGHT(Q1389,255),RIGHT('Disaggregation Records'!$D$155:$D$385,255),0))="","",INDEX('Disaggregation Records'!$H$155:$H$385,MATCH(RIGHT(Q1389,255),RIGHT('Disaggregation Records'!$D$155:$D$385,255),0))),"")</f>
        <v/>
      </c>
      <c r="U1389" s="194">
        <f>U1387+1</f>
        <v>2884</v>
      </c>
      <c r="V1389" s="194" t="str">
        <f t="array" ref="V1389">IFERROR(IF(INDEX('Disaggregation Records'!$I$155:$I$385,MATCH(RIGHT(Q1389,255),RIGHT('Disaggregation Records'!$D$155:$D$385,255),0))="","",INDEX('Disaggregation Records'!$I$155:$I$385,MATCH(RIGHT(Q1389,255),RIGHT('Disaggregation Records'!$D$155:$D$385,255),0))),"")</f>
        <v/>
      </c>
      <c r="W1389" s="194" t="str">
        <f>IFERROR(INDEX('Reference Records'!L$77:L$157,MATCH(LEFT(C1389,255),'Reference Records'!E$77:E$157,0)),"")</f>
        <v>HTS-3b⁽ᴹ⁾ Percentage of transgender people that have received an HIV test during the reporting period and know their results</v>
      </c>
    </row>
    <row r="1390" spans="1:23" s="194" customFormat="1" ht="40.4" customHeight="1" x14ac:dyDescent="0.35">
      <c r="A1390" s="770"/>
      <c r="B1390" s="767"/>
      <c r="C1390" s="761"/>
      <c r="D1390" s="769"/>
      <c r="E1390" s="769"/>
      <c r="F1390" s="208"/>
      <c r="G1390" s="763"/>
      <c r="H1390" s="744"/>
      <c r="I1390" s="765"/>
      <c r="J1390" s="730"/>
      <c r="K1390" s="761"/>
      <c r="L1390" s="761"/>
      <c r="M1390" s="730"/>
      <c r="N1390" s="730"/>
    </row>
    <row r="1391" spans="1:23" s="194" customFormat="1" ht="40.4" customHeight="1" x14ac:dyDescent="0.35">
      <c r="A1391" s="770" t="str">
        <f ca="1">INDIRECT("'update Helper'!C"&amp;U1391)</f>
        <v>a163p000004NtYFAA0</v>
      </c>
      <c r="B1391" s="766">
        <v>20</v>
      </c>
      <c r="C1391" s="760" t="str">
        <f>VLOOKUP(B1391,'Coverage Indicators - Section D'!$A$9:$AU$70,47,FALSE)</f>
        <v>HTS-3b⁽ᴹ⁾ Porcentaje de personas transgénero a los que se les ha realizado una prueba de VIH durante el período de reporte y que conocen sus resultados</v>
      </c>
      <c r="D1391" s="768" t="str">
        <f>R1391</f>
        <v/>
      </c>
      <c r="E1391" s="768" t="str">
        <f>S1391</f>
        <v/>
      </c>
      <c r="F1391" s="413"/>
      <c r="G1391" s="762" t="str">
        <f ca="1">IF(OR(INDIRECT("'update Helper'!E"&amp;U1391)="",F1391&lt;&gt;0,F1392&lt;&gt;0),IF(IFERROR((F1391/F1392),"")="","",(F1391/F1392)),INDIRECT("'update Helper'!E"&amp;U1391)/100)</f>
        <v/>
      </c>
      <c r="H1391" s="743"/>
      <c r="I1391" s="764"/>
      <c r="J1391" s="729"/>
      <c r="K1391" s="760" t="str">
        <f>W1391</f>
        <v>HTS-3b⁽ᴹ⁾ Percentage of transgender people that have received an HIV test during the reporting period and know their results</v>
      </c>
      <c r="L1391" s="760" t="str">
        <f>V1391</f>
        <v/>
      </c>
      <c r="M1391" s="729"/>
      <c r="N1391" s="729"/>
      <c r="P1391" s="194">
        <f>IF(AND(EXACT(C1391,C1389),C1389&lt;&gt;0),P1389+1,0)</f>
        <v>5</v>
      </c>
      <c r="Q1391" s="194" t="str">
        <f>IF(C1391&lt;&gt;"",C1391&amp;"-"&amp;P1391,"")</f>
        <v>HTS-3b⁽ᴹ⁾ Porcentaje de personas transgénero a los que se les ha realizado una prueba de VIH durante el período de reporte y que conocen sus resultados-5</v>
      </c>
      <c r="R1391" s="194" t="str">
        <f t="array" ref="R1391">IFERROR(IF(INDEX('Disaggregation Records'!$E$155:$E$385,MATCH(RIGHT(Q1391,255),RIGHT('Disaggregation Records'!$D$155:$D$385,255),0))="","",INDEX('Disaggregation Records'!$E$155:$E$385,MATCH(RIGHT(Q1391,255),RIGHT('Disaggregation Records'!$D$155:$D$385,255),0))),"")</f>
        <v/>
      </c>
      <c r="S1391" s="194" t="str">
        <f t="array" ref="S1391">IFERROR(IF(INDEX('Disaggregation Records'!$F$155:$F$385,MATCH(RIGHT(Q1391,255),RIGHT('Disaggregation Records'!$D$155:$D$385,255),0))="","",INDEX('Disaggregation Records'!$F$155:$F$385,MATCH(RIGHT(Q1391,255),RIGHT('Disaggregation Records'!$D$155:$D$385,255),0))),"")</f>
        <v/>
      </c>
      <c r="T1391" s="194" t="str">
        <f t="array" ref="T1391">IFERROR(IF(INDEX('Disaggregation Records'!$H$155:$H$385,MATCH(RIGHT(Q1391,255),RIGHT('Disaggregation Records'!$D$155:$D$385,255),0))="","",INDEX('Disaggregation Records'!$H$155:$H$385,MATCH(RIGHT(Q1391,255),RIGHT('Disaggregation Records'!$D$155:$D$385,255),0))),"")</f>
        <v/>
      </c>
      <c r="U1391" s="194">
        <f>U1389+1</f>
        <v>2885</v>
      </c>
      <c r="V1391" s="194" t="str">
        <f t="array" ref="V1391">IFERROR(IF(INDEX('Disaggregation Records'!$I$155:$I$385,MATCH(RIGHT(Q1391,255),RIGHT('Disaggregation Records'!$D$155:$D$385,255),0))="","",INDEX('Disaggregation Records'!$I$155:$I$385,MATCH(RIGHT(Q1391,255),RIGHT('Disaggregation Records'!$D$155:$D$385,255),0))),"")</f>
        <v/>
      </c>
      <c r="W1391" s="194" t="str">
        <f>IFERROR(INDEX('Reference Records'!L$77:L$157,MATCH(LEFT(C1391,255),'Reference Records'!E$77:E$157,0)),"")</f>
        <v>HTS-3b⁽ᴹ⁾ Percentage of transgender people that have received an HIV test during the reporting period and know their results</v>
      </c>
    </row>
    <row r="1392" spans="1:23" s="194" customFormat="1" ht="40.4" customHeight="1" x14ac:dyDescent="0.35">
      <c r="A1392" s="770"/>
      <c r="B1392" s="767"/>
      <c r="C1392" s="761"/>
      <c r="D1392" s="769"/>
      <c r="E1392" s="769"/>
      <c r="F1392" s="208"/>
      <c r="G1392" s="763"/>
      <c r="H1392" s="744"/>
      <c r="I1392" s="765"/>
      <c r="J1392" s="730"/>
      <c r="K1392" s="761"/>
      <c r="L1392" s="761"/>
      <c r="M1392" s="730"/>
      <c r="N1392" s="730"/>
    </row>
    <row r="1393" spans="1:23" s="194" customFormat="1" ht="40.4" customHeight="1" x14ac:dyDescent="0.35">
      <c r="A1393" s="770" t="str">
        <f ca="1">INDIRECT("'update Helper'!C"&amp;U1393)</f>
        <v>a163p000004NtYGAA0</v>
      </c>
      <c r="B1393" s="766">
        <v>20</v>
      </c>
      <c r="C1393" s="760" t="str">
        <f>VLOOKUP(B1393,'Coverage Indicators - Section D'!$A$9:$AU$70,47,FALSE)</f>
        <v>HTS-3b⁽ᴹ⁾ Porcentaje de personas transgénero a los que se les ha realizado una prueba de VIH durante el período de reporte y que conocen sus resultados</v>
      </c>
      <c r="D1393" s="768" t="str">
        <f>R1393</f>
        <v/>
      </c>
      <c r="E1393" s="768" t="str">
        <f>S1393</f>
        <v/>
      </c>
      <c r="F1393" s="413"/>
      <c r="G1393" s="762" t="str">
        <f ca="1">IF(OR(INDIRECT("'update Helper'!E"&amp;U1393)="",F1393&lt;&gt;0,F1394&lt;&gt;0),IF(IFERROR((F1393/F1394),"")="","",(F1393/F1394)),INDIRECT("'update Helper'!E"&amp;U1393)/100)</f>
        <v/>
      </c>
      <c r="H1393" s="743"/>
      <c r="I1393" s="764"/>
      <c r="J1393" s="729"/>
      <c r="K1393" s="760" t="str">
        <f>W1393</f>
        <v>HTS-3b⁽ᴹ⁾ Percentage of transgender people that have received an HIV test during the reporting period and know their results</v>
      </c>
      <c r="L1393" s="760" t="str">
        <f>V1393</f>
        <v/>
      </c>
      <c r="M1393" s="729"/>
      <c r="N1393" s="729"/>
      <c r="P1393" s="194">
        <f>IF(AND(EXACT(C1393,C1391),C1391&lt;&gt;0),P1391+1,0)</f>
        <v>6</v>
      </c>
      <c r="Q1393" s="194" t="str">
        <f>IF(C1393&lt;&gt;"",C1393&amp;"-"&amp;P1393,"")</f>
        <v>HTS-3b⁽ᴹ⁾ Porcentaje de personas transgénero a los que se les ha realizado una prueba de VIH durante el período de reporte y que conocen sus resultados-6</v>
      </c>
      <c r="R1393" s="194" t="str">
        <f t="array" ref="R1393">IFERROR(IF(INDEX('Disaggregation Records'!$E$155:$E$385,MATCH(RIGHT(Q1393,255),RIGHT('Disaggregation Records'!$D$155:$D$385,255),0))="","",INDEX('Disaggregation Records'!$E$155:$E$385,MATCH(RIGHT(Q1393,255),RIGHT('Disaggregation Records'!$D$155:$D$385,255),0))),"")</f>
        <v/>
      </c>
      <c r="S1393" s="194" t="str">
        <f t="array" ref="S1393">IFERROR(IF(INDEX('Disaggregation Records'!$F$155:$F$385,MATCH(RIGHT(Q1393,255),RIGHT('Disaggregation Records'!$D$155:$D$385,255),0))="","",INDEX('Disaggregation Records'!$F$155:$F$385,MATCH(RIGHT(Q1393,255),RIGHT('Disaggregation Records'!$D$155:$D$385,255),0))),"")</f>
        <v/>
      </c>
      <c r="T1393" s="194" t="str">
        <f t="array" ref="T1393">IFERROR(IF(INDEX('Disaggregation Records'!$H$155:$H$385,MATCH(RIGHT(Q1393,255),RIGHT('Disaggregation Records'!$D$155:$D$385,255),0))="","",INDEX('Disaggregation Records'!$H$155:$H$385,MATCH(RIGHT(Q1393,255),RIGHT('Disaggregation Records'!$D$155:$D$385,255),0))),"")</f>
        <v/>
      </c>
      <c r="U1393" s="194">
        <f>U1391+1</f>
        <v>2886</v>
      </c>
      <c r="V1393" s="194" t="str">
        <f t="array" ref="V1393">IFERROR(IF(INDEX('Disaggregation Records'!$I$155:$I$385,MATCH(RIGHT(Q1393,255),RIGHT('Disaggregation Records'!$D$155:$D$385,255),0))="","",INDEX('Disaggregation Records'!$I$155:$I$385,MATCH(RIGHT(Q1393,255),RIGHT('Disaggregation Records'!$D$155:$D$385,255),0))),"")</f>
        <v/>
      </c>
      <c r="W1393" s="194" t="str">
        <f>IFERROR(INDEX('Reference Records'!L$77:L$157,MATCH(LEFT(C1393,255),'Reference Records'!E$77:E$157,0)),"")</f>
        <v>HTS-3b⁽ᴹ⁾ Percentage of transgender people that have received an HIV test during the reporting period and know their results</v>
      </c>
    </row>
    <row r="1394" spans="1:23" s="194" customFormat="1" ht="40.4" customHeight="1" x14ac:dyDescent="0.35">
      <c r="A1394" s="770"/>
      <c r="B1394" s="767"/>
      <c r="C1394" s="761"/>
      <c r="D1394" s="769"/>
      <c r="E1394" s="769"/>
      <c r="F1394" s="208"/>
      <c r="G1394" s="763"/>
      <c r="H1394" s="744"/>
      <c r="I1394" s="765"/>
      <c r="J1394" s="730"/>
      <c r="K1394" s="761"/>
      <c r="L1394" s="761"/>
      <c r="M1394" s="730"/>
      <c r="N1394" s="730"/>
    </row>
    <row r="1395" spans="1:23" s="194" customFormat="1" ht="40.4" customHeight="1" x14ac:dyDescent="0.35">
      <c r="A1395" s="770" t="str">
        <f ca="1">INDIRECT("'update Helper'!C"&amp;U1395)</f>
        <v>a163p000004NtYHAA0</v>
      </c>
      <c r="B1395" s="766">
        <v>20</v>
      </c>
      <c r="C1395" s="760" t="str">
        <f>VLOOKUP(B1395,'Coverage Indicators - Section D'!$A$9:$AU$70,47,FALSE)</f>
        <v>HTS-3b⁽ᴹ⁾ Porcentaje de personas transgénero a los que se les ha realizado una prueba de VIH durante el período de reporte y que conocen sus resultados</v>
      </c>
      <c r="D1395" s="768" t="str">
        <f>R1395</f>
        <v/>
      </c>
      <c r="E1395" s="768" t="str">
        <f>S1395</f>
        <v/>
      </c>
      <c r="F1395" s="413"/>
      <c r="G1395" s="762" t="str">
        <f ca="1">IF(OR(INDIRECT("'update Helper'!E"&amp;U1395)="",F1395&lt;&gt;0,F1396&lt;&gt;0),IF(IFERROR((F1395/F1396),"")="","",(F1395/F1396)),INDIRECT("'update Helper'!E"&amp;U1395)/100)</f>
        <v/>
      </c>
      <c r="H1395" s="743"/>
      <c r="I1395" s="764"/>
      <c r="J1395" s="729"/>
      <c r="K1395" s="760" t="str">
        <f>W1395</f>
        <v>HTS-3b⁽ᴹ⁾ Percentage of transgender people that have received an HIV test during the reporting period and know their results</v>
      </c>
      <c r="L1395" s="760" t="str">
        <f>V1395</f>
        <v/>
      </c>
      <c r="M1395" s="729"/>
      <c r="N1395" s="729"/>
      <c r="P1395" s="194">
        <f>IF(AND(EXACT(C1395,C1393),C1393&lt;&gt;0),P1393+1,0)</f>
        <v>7</v>
      </c>
      <c r="Q1395" s="194" t="str">
        <f>IF(C1395&lt;&gt;"",C1395&amp;"-"&amp;P1395,"")</f>
        <v>HTS-3b⁽ᴹ⁾ Porcentaje de personas transgénero a los que se les ha realizado una prueba de VIH durante el período de reporte y que conocen sus resultados-7</v>
      </c>
      <c r="R1395" s="194" t="str">
        <f t="array" ref="R1395">IFERROR(IF(INDEX('Disaggregation Records'!$E$155:$E$385,MATCH(RIGHT(Q1395,255),RIGHT('Disaggregation Records'!$D$155:$D$385,255),0))="","",INDEX('Disaggregation Records'!$E$155:$E$385,MATCH(RIGHT(Q1395,255),RIGHT('Disaggregation Records'!$D$155:$D$385,255),0))),"")</f>
        <v/>
      </c>
      <c r="S1395" s="194" t="str">
        <f t="array" ref="S1395">IFERROR(IF(INDEX('Disaggregation Records'!$F$155:$F$385,MATCH(RIGHT(Q1395,255),RIGHT('Disaggregation Records'!$D$155:$D$385,255),0))="","",INDEX('Disaggregation Records'!$F$155:$F$385,MATCH(RIGHT(Q1395,255),RIGHT('Disaggregation Records'!$D$155:$D$385,255),0))),"")</f>
        <v/>
      </c>
      <c r="T1395" s="194" t="str">
        <f t="array" ref="T1395">IFERROR(IF(INDEX('Disaggregation Records'!$H$155:$H$385,MATCH(RIGHT(Q1395,255),RIGHT('Disaggregation Records'!$D$155:$D$385,255),0))="","",INDEX('Disaggregation Records'!$H$155:$H$385,MATCH(RIGHT(Q1395,255),RIGHT('Disaggregation Records'!$D$155:$D$385,255),0))),"")</f>
        <v/>
      </c>
      <c r="U1395" s="194">
        <f>U1393+1</f>
        <v>2887</v>
      </c>
      <c r="V1395" s="194" t="str">
        <f t="array" ref="V1395">IFERROR(IF(INDEX('Disaggregation Records'!$I$155:$I$385,MATCH(RIGHT(Q1395,255),RIGHT('Disaggregation Records'!$D$155:$D$385,255),0))="","",INDEX('Disaggregation Records'!$I$155:$I$385,MATCH(RIGHT(Q1395,255),RIGHT('Disaggregation Records'!$D$155:$D$385,255),0))),"")</f>
        <v/>
      </c>
      <c r="W1395" s="194" t="str">
        <f>IFERROR(INDEX('Reference Records'!L$77:L$157,MATCH(LEFT(C1395,255),'Reference Records'!E$77:E$157,0)),"")</f>
        <v>HTS-3b⁽ᴹ⁾ Percentage of transgender people that have received an HIV test during the reporting period and know their results</v>
      </c>
    </row>
    <row r="1396" spans="1:23" s="194" customFormat="1" ht="40.4" customHeight="1" x14ac:dyDescent="0.35">
      <c r="A1396" s="770"/>
      <c r="B1396" s="767"/>
      <c r="C1396" s="761"/>
      <c r="D1396" s="769"/>
      <c r="E1396" s="769"/>
      <c r="F1396" s="208"/>
      <c r="G1396" s="763"/>
      <c r="H1396" s="744"/>
      <c r="I1396" s="765"/>
      <c r="J1396" s="730"/>
      <c r="K1396" s="761"/>
      <c r="L1396" s="761"/>
      <c r="M1396" s="730"/>
      <c r="N1396" s="730"/>
    </row>
    <row r="1397" spans="1:23" s="194" customFormat="1" ht="40.4" customHeight="1" x14ac:dyDescent="0.35">
      <c r="A1397" s="770" t="str">
        <f ca="1">INDIRECT("'update Helper'!C"&amp;U1397)</f>
        <v>a163p000004NtYIAA0</v>
      </c>
      <c r="B1397" s="766">
        <v>20</v>
      </c>
      <c r="C1397" s="760" t="str">
        <f>VLOOKUP(B1397,'Coverage Indicators - Section D'!$A$9:$AU$70,47,FALSE)</f>
        <v>HTS-3b⁽ᴹ⁾ Porcentaje de personas transgénero a los que se les ha realizado una prueba de VIH durante el período de reporte y que conocen sus resultados</v>
      </c>
      <c r="D1397" s="768" t="str">
        <f>R1397</f>
        <v/>
      </c>
      <c r="E1397" s="768" t="str">
        <f>S1397</f>
        <v/>
      </c>
      <c r="F1397" s="413"/>
      <c r="G1397" s="762" t="str">
        <f ca="1">IF(OR(INDIRECT("'update Helper'!E"&amp;U1397)="",F1397&lt;&gt;0,F1398&lt;&gt;0),IF(IFERROR((F1397/F1398),"")="","",(F1397/F1398)),INDIRECT("'update Helper'!E"&amp;U1397)/100)</f>
        <v/>
      </c>
      <c r="H1397" s="743"/>
      <c r="I1397" s="764"/>
      <c r="J1397" s="729"/>
      <c r="K1397" s="760" t="str">
        <f>W1397</f>
        <v>HTS-3b⁽ᴹ⁾ Percentage of transgender people that have received an HIV test during the reporting period and know their results</v>
      </c>
      <c r="L1397" s="760" t="str">
        <f>V1397</f>
        <v/>
      </c>
      <c r="M1397" s="729"/>
      <c r="N1397" s="729"/>
      <c r="P1397" s="194">
        <f>IF(AND(EXACT(C1397,C1395),C1395&lt;&gt;0),P1395+1,0)</f>
        <v>8</v>
      </c>
      <c r="Q1397" s="194" t="str">
        <f>IF(C1397&lt;&gt;"",C1397&amp;"-"&amp;P1397,"")</f>
        <v>HTS-3b⁽ᴹ⁾ Porcentaje de personas transgénero a los que se les ha realizado una prueba de VIH durante el período de reporte y que conocen sus resultados-8</v>
      </c>
      <c r="R1397" s="194" t="str">
        <f t="array" ref="R1397">IFERROR(IF(INDEX('Disaggregation Records'!$E$155:$E$385,MATCH(RIGHT(Q1397,255),RIGHT('Disaggregation Records'!$D$155:$D$385,255),0))="","",INDEX('Disaggregation Records'!$E$155:$E$385,MATCH(RIGHT(Q1397,255),RIGHT('Disaggregation Records'!$D$155:$D$385,255),0))),"")</f>
        <v/>
      </c>
      <c r="S1397" s="194" t="str">
        <f t="array" ref="S1397">IFERROR(IF(INDEX('Disaggregation Records'!$F$155:$F$385,MATCH(RIGHT(Q1397,255),RIGHT('Disaggregation Records'!$D$155:$D$385,255),0))="","",INDEX('Disaggregation Records'!$F$155:$F$385,MATCH(RIGHT(Q1397,255),RIGHT('Disaggregation Records'!$D$155:$D$385,255),0))),"")</f>
        <v/>
      </c>
      <c r="T1397" s="194" t="str">
        <f t="array" ref="T1397">IFERROR(IF(INDEX('Disaggregation Records'!$H$155:$H$385,MATCH(RIGHT(Q1397,255),RIGHT('Disaggregation Records'!$D$155:$D$385,255),0))="","",INDEX('Disaggregation Records'!$H$155:$H$385,MATCH(RIGHT(Q1397,255),RIGHT('Disaggregation Records'!$D$155:$D$385,255),0))),"")</f>
        <v/>
      </c>
      <c r="U1397" s="194">
        <f>U1395+1</f>
        <v>2888</v>
      </c>
      <c r="V1397" s="194" t="str">
        <f t="array" ref="V1397">IFERROR(IF(INDEX('Disaggregation Records'!$I$155:$I$385,MATCH(RIGHT(Q1397,255),RIGHT('Disaggregation Records'!$D$155:$D$385,255),0))="","",INDEX('Disaggregation Records'!$I$155:$I$385,MATCH(RIGHT(Q1397,255),RIGHT('Disaggregation Records'!$D$155:$D$385,255),0))),"")</f>
        <v/>
      </c>
      <c r="W1397" s="194" t="str">
        <f>IFERROR(INDEX('Reference Records'!L$77:L$157,MATCH(LEFT(C1397,255),'Reference Records'!E$77:E$157,0)),"")</f>
        <v>HTS-3b⁽ᴹ⁾ Percentage of transgender people that have received an HIV test during the reporting period and know their results</v>
      </c>
    </row>
    <row r="1398" spans="1:23" s="194" customFormat="1" ht="40.4" customHeight="1" x14ac:dyDescent="0.35">
      <c r="A1398" s="770"/>
      <c r="B1398" s="767"/>
      <c r="C1398" s="761"/>
      <c r="D1398" s="769"/>
      <c r="E1398" s="769"/>
      <c r="F1398" s="208"/>
      <c r="G1398" s="763"/>
      <c r="H1398" s="744"/>
      <c r="I1398" s="765"/>
      <c r="J1398" s="730"/>
      <c r="K1398" s="761"/>
      <c r="L1398" s="761"/>
      <c r="M1398" s="730"/>
      <c r="N1398" s="730"/>
    </row>
    <row r="1399" spans="1:23" s="194" customFormat="1" ht="40.4" customHeight="1" x14ac:dyDescent="0.35">
      <c r="A1399" s="770" t="str">
        <f ca="1">INDIRECT("'update Helper'!C"&amp;U1399)</f>
        <v>a163p000004NtYJAA0</v>
      </c>
      <c r="B1399" s="766">
        <v>20</v>
      </c>
      <c r="C1399" s="760" t="str">
        <f>VLOOKUP(B1399,'Coverage Indicators - Section D'!$A$9:$AU$70,47,FALSE)</f>
        <v>HTS-3b⁽ᴹ⁾ Porcentaje de personas transgénero a los que se les ha realizado una prueba de VIH durante el período de reporte y que conocen sus resultados</v>
      </c>
      <c r="D1399" s="768" t="str">
        <f>R1399</f>
        <v/>
      </c>
      <c r="E1399" s="768" t="str">
        <f>S1399</f>
        <v/>
      </c>
      <c r="F1399" s="413"/>
      <c r="G1399" s="762" t="str">
        <f ca="1">IF(OR(INDIRECT("'update Helper'!E"&amp;U1399)="",F1399&lt;&gt;0,F1400&lt;&gt;0),IF(IFERROR((F1399/F1400),"")="","",(F1399/F1400)),INDIRECT("'update Helper'!E"&amp;U1399)/100)</f>
        <v/>
      </c>
      <c r="H1399" s="743"/>
      <c r="I1399" s="764"/>
      <c r="J1399" s="729"/>
      <c r="K1399" s="760" t="str">
        <f>W1399</f>
        <v>HTS-3b⁽ᴹ⁾ Percentage of transgender people that have received an HIV test during the reporting period and know their results</v>
      </c>
      <c r="L1399" s="760" t="str">
        <f>V1399</f>
        <v/>
      </c>
      <c r="M1399" s="729"/>
      <c r="N1399" s="729"/>
      <c r="P1399" s="194">
        <f>IF(AND(EXACT(C1399,C1397),C1397&lt;&gt;0),P1397+1,0)</f>
        <v>9</v>
      </c>
      <c r="Q1399" s="194" t="str">
        <f>IF(C1399&lt;&gt;"",C1399&amp;"-"&amp;P1399,"")</f>
        <v>HTS-3b⁽ᴹ⁾ Porcentaje de personas transgénero a los que se les ha realizado una prueba de VIH durante el período de reporte y que conocen sus resultados-9</v>
      </c>
      <c r="R1399" s="194" t="str">
        <f t="array" ref="R1399">IFERROR(IF(INDEX('Disaggregation Records'!$E$155:$E$385,MATCH(RIGHT(Q1399,255),RIGHT('Disaggregation Records'!$D$155:$D$385,255),0))="","",INDEX('Disaggregation Records'!$E$155:$E$385,MATCH(RIGHT(Q1399,255),RIGHT('Disaggregation Records'!$D$155:$D$385,255),0))),"")</f>
        <v/>
      </c>
      <c r="S1399" s="194" t="str">
        <f t="array" ref="S1399">IFERROR(IF(INDEX('Disaggregation Records'!$F$155:$F$385,MATCH(RIGHT(Q1399,255),RIGHT('Disaggregation Records'!$D$155:$D$385,255),0))="","",INDEX('Disaggregation Records'!$F$155:$F$385,MATCH(RIGHT(Q1399,255),RIGHT('Disaggregation Records'!$D$155:$D$385,255),0))),"")</f>
        <v/>
      </c>
      <c r="T1399" s="194" t="str">
        <f t="array" ref="T1399">IFERROR(IF(INDEX('Disaggregation Records'!$H$155:$H$385,MATCH(RIGHT(Q1399,255),RIGHT('Disaggregation Records'!$D$155:$D$385,255),0))="","",INDEX('Disaggregation Records'!$H$155:$H$385,MATCH(RIGHT(Q1399,255),RIGHT('Disaggregation Records'!$D$155:$D$385,255),0))),"")</f>
        <v/>
      </c>
      <c r="U1399" s="194">
        <f>U1397+1</f>
        <v>2889</v>
      </c>
      <c r="V1399" s="194" t="str">
        <f t="array" ref="V1399">IFERROR(IF(INDEX('Disaggregation Records'!$I$155:$I$385,MATCH(RIGHT(Q1399,255),RIGHT('Disaggregation Records'!$D$155:$D$385,255),0))="","",INDEX('Disaggregation Records'!$I$155:$I$385,MATCH(RIGHT(Q1399,255),RIGHT('Disaggregation Records'!$D$155:$D$385,255),0))),"")</f>
        <v/>
      </c>
      <c r="W1399" s="194" t="str">
        <f>IFERROR(INDEX('Reference Records'!L$77:L$157,MATCH(LEFT(C1399,255),'Reference Records'!E$77:E$157,0)),"")</f>
        <v>HTS-3b⁽ᴹ⁾ Percentage of transgender people that have received an HIV test during the reporting period and know their results</v>
      </c>
    </row>
    <row r="1400" spans="1:23" s="194" customFormat="1" ht="40.4" customHeight="1" x14ac:dyDescent="0.35">
      <c r="A1400" s="770"/>
      <c r="B1400" s="767"/>
      <c r="C1400" s="761"/>
      <c r="D1400" s="769"/>
      <c r="E1400" s="769"/>
      <c r="F1400" s="208"/>
      <c r="G1400" s="763"/>
      <c r="H1400" s="744"/>
      <c r="I1400" s="765"/>
      <c r="J1400" s="730"/>
      <c r="K1400" s="761"/>
      <c r="L1400" s="761"/>
      <c r="M1400" s="730"/>
      <c r="N1400" s="730"/>
    </row>
    <row r="1401" spans="1:23" s="194" customFormat="1" ht="40.4" customHeight="1" x14ac:dyDescent="0.35">
      <c r="A1401" s="770" t="str">
        <f ca="1">INDIRECT("'update Helper'!C"&amp;U1401)</f>
        <v>a163p000004NtYKAA0</v>
      </c>
      <c r="B1401" s="766">
        <v>20</v>
      </c>
      <c r="C1401" s="760" t="str">
        <f>VLOOKUP(B1401,'Coverage Indicators - Section D'!$A$9:$AU$70,47,FALSE)</f>
        <v>HTS-3b⁽ᴹ⁾ Porcentaje de personas transgénero a los que se les ha realizado una prueba de VIH durante el período de reporte y que conocen sus resultados</v>
      </c>
      <c r="D1401" s="768" t="str">
        <f>R1401</f>
        <v/>
      </c>
      <c r="E1401" s="768" t="str">
        <f>S1401</f>
        <v/>
      </c>
      <c r="F1401" s="413"/>
      <c r="G1401" s="762" t="str">
        <f ca="1">IF(OR(INDIRECT("'update Helper'!E"&amp;U1401)="",F1401&lt;&gt;0,F1402&lt;&gt;0),IF(IFERROR((F1401/F1402),"")="","",(F1401/F1402)),INDIRECT("'update Helper'!E"&amp;U1401)/100)</f>
        <v/>
      </c>
      <c r="H1401" s="743"/>
      <c r="I1401" s="764"/>
      <c r="J1401" s="729"/>
      <c r="K1401" s="760" t="str">
        <f>W1401</f>
        <v>HTS-3b⁽ᴹ⁾ Percentage of transgender people that have received an HIV test during the reporting period and know their results</v>
      </c>
      <c r="L1401" s="760" t="str">
        <f>V1401</f>
        <v/>
      </c>
      <c r="M1401" s="729"/>
      <c r="N1401" s="729"/>
      <c r="P1401" s="194">
        <f>IF(AND(EXACT(C1401,C1399),C1399&lt;&gt;0),P1399+1,0)</f>
        <v>10</v>
      </c>
      <c r="Q1401" s="194" t="str">
        <f>IF(C1401&lt;&gt;"",C1401&amp;"-"&amp;P1401,"")</f>
        <v>HTS-3b⁽ᴹ⁾ Porcentaje de personas transgénero a los que se les ha realizado una prueba de VIH durante el período de reporte y que conocen sus resultados-10</v>
      </c>
      <c r="R1401" s="194" t="str">
        <f t="array" ref="R1401">IFERROR(IF(INDEX('Disaggregation Records'!$E$155:$E$385,MATCH(RIGHT(Q1401,255),RIGHT('Disaggregation Records'!$D$155:$D$385,255),0))="","",INDEX('Disaggregation Records'!$E$155:$E$385,MATCH(RIGHT(Q1401,255),RIGHT('Disaggregation Records'!$D$155:$D$385,255),0))),"")</f>
        <v/>
      </c>
      <c r="S1401" s="194" t="str">
        <f t="array" ref="S1401">IFERROR(IF(INDEX('Disaggregation Records'!$F$155:$F$385,MATCH(RIGHT(Q1401,255),RIGHT('Disaggregation Records'!$D$155:$D$385,255),0))="","",INDEX('Disaggregation Records'!$F$155:$F$385,MATCH(RIGHT(Q1401,255),RIGHT('Disaggregation Records'!$D$155:$D$385,255),0))),"")</f>
        <v/>
      </c>
      <c r="T1401" s="194" t="str">
        <f t="array" ref="T1401">IFERROR(IF(INDEX('Disaggregation Records'!$H$155:$H$385,MATCH(RIGHT(Q1401,255),RIGHT('Disaggregation Records'!$D$155:$D$385,255),0))="","",INDEX('Disaggregation Records'!$H$155:$H$385,MATCH(RIGHT(Q1401,255),RIGHT('Disaggregation Records'!$D$155:$D$385,255),0))),"")</f>
        <v/>
      </c>
      <c r="U1401" s="194">
        <f>U1399+1</f>
        <v>2890</v>
      </c>
      <c r="V1401" s="194" t="str">
        <f t="array" ref="V1401">IFERROR(IF(INDEX('Disaggregation Records'!$I$155:$I$385,MATCH(RIGHT(Q1401,255),RIGHT('Disaggregation Records'!$D$155:$D$385,255),0))="","",INDEX('Disaggregation Records'!$I$155:$I$385,MATCH(RIGHT(Q1401,255),RIGHT('Disaggregation Records'!$D$155:$D$385,255),0))),"")</f>
        <v/>
      </c>
      <c r="W1401" s="194" t="str">
        <f>IFERROR(INDEX('Reference Records'!L$77:L$157,MATCH(LEFT(C1401,255),'Reference Records'!E$77:E$157,0)),"")</f>
        <v>HTS-3b⁽ᴹ⁾ Percentage of transgender people that have received an HIV test during the reporting period and know their results</v>
      </c>
    </row>
    <row r="1402" spans="1:23" s="194" customFormat="1" ht="40.4" customHeight="1" x14ac:dyDescent="0.35">
      <c r="A1402" s="770"/>
      <c r="B1402" s="767"/>
      <c r="C1402" s="761"/>
      <c r="D1402" s="769"/>
      <c r="E1402" s="769"/>
      <c r="F1402" s="208"/>
      <c r="G1402" s="763"/>
      <c r="H1402" s="744"/>
      <c r="I1402" s="765"/>
      <c r="J1402" s="730"/>
      <c r="K1402" s="761"/>
      <c r="L1402" s="761"/>
      <c r="M1402" s="730"/>
      <c r="N1402" s="730"/>
    </row>
    <row r="1403" spans="1:23" s="194" customFormat="1" ht="40.4" customHeight="1" x14ac:dyDescent="0.35">
      <c r="A1403" s="770" t="str">
        <f ca="1">INDIRECT("'update Helper'!C"&amp;U1403)</f>
        <v>a163p000004NtYLAA0</v>
      </c>
      <c r="B1403" s="766">
        <v>20</v>
      </c>
      <c r="C1403" s="760" t="str">
        <f>VLOOKUP(B1403,'Coverage Indicators - Section D'!$A$9:$AU$70,47,FALSE)</f>
        <v>HTS-3b⁽ᴹ⁾ Porcentaje de personas transgénero a los que se les ha realizado una prueba de VIH durante el período de reporte y que conocen sus resultados</v>
      </c>
      <c r="D1403" s="768" t="str">
        <f>R1403</f>
        <v/>
      </c>
      <c r="E1403" s="768" t="str">
        <f>S1403</f>
        <v/>
      </c>
      <c r="F1403" s="413"/>
      <c r="G1403" s="762" t="str">
        <f ca="1">IF(OR(INDIRECT("'update Helper'!E"&amp;U1403)="",F1403&lt;&gt;0,F1404&lt;&gt;0),IF(IFERROR((F1403/F1404),"")="","",(F1403/F1404)),INDIRECT("'update Helper'!E"&amp;U1403)/100)</f>
        <v/>
      </c>
      <c r="H1403" s="743"/>
      <c r="I1403" s="764"/>
      <c r="J1403" s="729"/>
      <c r="K1403" s="760" t="str">
        <f>W1403</f>
        <v>HTS-3b⁽ᴹ⁾ Percentage of transgender people that have received an HIV test during the reporting period and know their results</v>
      </c>
      <c r="L1403" s="760" t="str">
        <f>V1403</f>
        <v/>
      </c>
      <c r="M1403" s="729"/>
      <c r="N1403" s="729"/>
      <c r="P1403" s="194">
        <f>IF(AND(EXACT(C1403,C1401),C1401&lt;&gt;0),P1401+1,0)</f>
        <v>11</v>
      </c>
      <c r="Q1403" s="194" t="str">
        <f>IF(C1403&lt;&gt;"",C1403&amp;"-"&amp;P1403,"")</f>
        <v>HTS-3b⁽ᴹ⁾ Porcentaje de personas transgénero a los que se les ha realizado una prueba de VIH durante el período de reporte y que conocen sus resultados-11</v>
      </c>
      <c r="R1403" s="194" t="str">
        <f t="array" ref="R1403">IFERROR(IF(INDEX('Disaggregation Records'!$E$155:$E$385,MATCH(RIGHT(Q1403,255),RIGHT('Disaggregation Records'!$D$155:$D$385,255),0))="","",INDEX('Disaggregation Records'!$E$155:$E$385,MATCH(RIGHT(Q1403,255),RIGHT('Disaggregation Records'!$D$155:$D$385,255),0))),"")</f>
        <v/>
      </c>
      <c r="S1403" s="194" t="str">
        <f t="array" ref="S1403">IFERROR(IF(INDEX('Disaggregation Records'!$F$155:$F$385,MATCH(RIGHT(Q1403,255),RIGHT('Disaggregation Records'!$D$155:$D$385,255),0))="","",INDEX('Disaggregation Records'!$F$155:$F$385,MATCH(RIGHT(Q1403,255),RIGHT('Disaggregation Records'!$D$155:$D$385,255),0))),"")</f>
        <v/>
      </c>
      <c r="T1403" s="194" t="str">
        <f t="array" ref="T1403">IFERROR(IF(INDEX('Disaggregation Records'!$H$155:$H$385,MATCH(RIGHT(Q1403,255),RIGHT('Disaggregation Records'!$D$155:$D$385,255),0))="","",INDEX('Disaggregation Records'!$H$155:$H$385,MATCH(RIGHT(Q1403,255),RIGHT('Disaggregation Records'!$D$155:$D$385,255),0))),"")</f>
        <v/>
      </c>
      <c r="U1403" s="194">
        <f>U1401+1</f>
        <v>2891</v>
      </c>
      <c r="V1403" s="194" t="str">
        <f t="array" ref="V1403">IFERROR(IF(INDEX('Disaggregation Records'!$I$155:$I$385,MATCH(RIGHT(Q1403,255),RIGHT('Disaggregation Records'!$D$155:$D$385,255),0))="","",INDEX('Disaggregation Records'!$I$155:$I$385,MATCH(RIGHT(Q1403,255),RIGHT('Disaggregation Records'!$D$155:$D$385,255),0))),"")</f>
        <v/>
      </c>
      <c r="W1403" s="194" t="str">
        <f>IFERROR(INDEX('Reference Records'!L$77:L$157,MATCH(LEFT(C1403,255),'Reference Records'!E$77:E$157,0)),"")</f>
        <v>HTS-3b⁽ᴹ⁾ Percentage of transgender people that have received an HIV test during the reporting period and know their results</v>
      </c>
    </row>
    <row r="1404" spans="1:23" s="194" customFormat="1" ht="40.4" customHeight="1" x14ac:dyDescent="0.35">
      <c r="A1404" s="770"/>
      <c r="B1404" s="767"/>
      <c r="C1404" s="761"/>
      <c r="D1404" s="769"/>
      <c r="E1404" s="769"/>
      <c r="F1404" s="208"/>
      <c r="G1404" s="763"/>
      <c r="H1404" s="744"/>
      <c r="I1404" s="765"/>
      <c r="J1404" s="730"/>
      <c r="K1404" s="761"/>
      <c r="L1404" s="761"/>
      <c r="M1404" s="730"/>
      <c r="N1404" s="730"/>
    </row>
    <row r="1405" spans="1:23" s="194" customFormat="1" ht="40.4" customHeight="1" x14ac:dyDescent="0.35">
      <c r="A1405" s="770" t="str">
        <f ca="1">INDIRECT("'update Helper'!C"&amp;U1405)</f>
        <v>a163p000004NtYMAA0</v>
      </c>
      <c r="B1405" s="766">
        <v>20</v>
      </c>
      <c r="C1405" s="760" t="str">
        <f>VLOOKUP(B1405,'Coverage Indicators - Section D'!$A$9:$AU$70,47,FALSE)</f>
        <v>HTS-3b⁽ᴹ⁾ Porcentaje de personas transgénero a los que se les ha realizado una prueba de VIH durante el período de reporte y que conocen sus resultados</v>
      </c>
      <c r="D1405" s="768" t="str">
        <f>R1405</f>
        <v/>
      </c>
      <c r="E1405" s="768" t="str">
        <f>S1405</f>
        <v/>
      </c>
      <c r="F1405" s="413"/>
      <c r="G1405" s="762" t="str">
        <f ca="1">IF(OR(INDIRECT("'update Helper'!E"&amp;U1405)="",F1405&lt;&gt;0,F1406&lt;&gt;0),IF(IFERROR((F1405/F1406),"")="","",(F1405/F1406)),INDIRECT("'update Helper'!E"&amp;U1405)/100)</f>
        <v/>
      </c>
      <c r="H1405" s="743"/>
      <c r="I1405" s="764"/>
      <c r="J1405" s="729"/>
      <c r="K1405" s="760" t="str">
        <f>W1405</f>
        <v>HTS-3b⁽ᴹ⁾ Percentage of transgender people that have received an HIV test during the reporting period and know their results</v>
      </c>
      <c r="L1405" s="760" t="str">
        <f>V1405</f>
        <v/>
      </c>
      <c r="M1405" s="729"/>
      <c r="N1405" s="729"/>
      <c r="P1405" s="194">
        <f>IF(AND(EXACT(C1405,C1403),C1403&lt;&gt;0),P1403+1,0)</f>
        <v>12</v>
      </c>
      <c r="Q1405" s="194" t="str">
        <f>IF(C1405&lt;&gt;"",C1405&amp;"-"&amp;P1405,"")</f>
        <v>HTS-3b⁽ᴹ⁾ Porcentaje de personas transgénero a los que se les ha realizado una prueba de VIH durante el período de reporte y que conocen sus resultados-12</v>
      </c>
      <c r="R1405" s="194" t="str">
        <f t="array" ref="R1405">IFERROR(IF(INDEX('Disaggregation Records'!$E$155:$E$385,MATCH(RIGHT(Q1405,255),RIGHT('Disaggregation Records'!$D$155:$D$385,255),0))="","",INDEX('Disaggregation Records'!$E$155:$E$385,MATCH(RIGHT(Q1405,255),RIGHT('Disaggregation Records'!$D$155:$D$385,255),0))),"")</f>
        <v/>
      </c>
      <c r="S1405" s="194" t="str">
        <f t="array" ref="S1405">IFERROR(IF(INDEX('Disaggregation Records'!$F$155:$F$385,MATCH(RIGHT(Q1405,255),RIGHT('Disaggregation Records'!$D$155:$D$385,255),0))="","",INDEX('Disaggregation Records'!$F$155:$F$385,MATCH(RIGHT(Q1405,255),RIGHT('Disaggregation Records'!$D$155:$D$385,255),0))),"")</f>
        <v/>
      </c>
      <c r="T1405" s="194" t="str">
        <f t="array" ref="T1405">IFERROR(IF(INDEX('Disaggregation Records'!$H$155:$H$385,MATCH(RIGHT(Q1405,255),RIGHT('Disaggregation Records'!$D$155:$D$385,255),0))="","",INDEX('Disaggregation Records'!$H$155:$H$385,MATCH(RIGHT(Q1405,255),RIGHT('Disaggregation Records'!$D$155:$D$385,255),0))),"")</f>
        <v/>
      </c>
      <c r="U1405" s="194">
        <f>U1403+1</f>
        <v>2892</v>
      </c>
      <c r="V1405" s="194" t="str">
        <f t="array" ref="V1405">IFERROR(IF(INDEX('Disaggregation Records'!$I$155:$I$385,MATCH(RIGHT(Q1405,255),RIGHT('Disaggregation Records'!$D$155:$D$385,255),0))="","",INDEX('Disaggregation Records'!$I$155:$I$385,MATCH(RIGHT(Q1405,255),RIGHT('Disaggregation Records'!$D$155:$D$385,255),0))),"")</f>
        <v/>
      </c>
      <c r="W1405" s="194" t="str">
        <f>IFERROR(INDEX('Reference Records'!L$77:L$157,MATCH(LEFT(C1405,255),'Reference Records'!E$77:E$157,0)),"")</f>
        <v>HTS-3b⁽ᴹ⁾ Percentage of transgender people that have received an HIV test during the reporting period and know their results</v>
      </c>
    </row>
    <row r="1406" spans="1:23" s="194" customFormat="1" ht="40.4" customHeight="1" x14ac:dyDescent="0.35">
      <c r="A1406" s="770"/>
      <c r="B1406" s="767"/>
      <c r="C1406" s="761"/>
      <c r="D1406" s="769"/>
      <c r="E1406" s="769"/>
      <c r="F1406" s="208"/>
      <c r="G1406" s="763"/>
      <c r="H1406" s="744"/>
      <c r="I1406" s="765"/>
      <c r="J1406" s="730"/>
      <c r="K1406" s="761"/>
      <c r="L1406" s="761"/>
      <c r="M1406" s="730"/>
      <c r="N1406" s="730"/>
    </row>
    <row r="1407" spans="1:23" s="194" customFormat="1" ht="40.4" customHeight="1" x14ac:dyDescent="0.35">
      <c r="A1407" s="770" t="str">
        <f ca="1">INDIRECT("'update Helper'!C"&amp;U1407)</f>
        <v>a163p000004NtYNAA0</v>
      </c>
      <c r="B1407" s="766">
        <v>20</v>
      </c>
      <c r="C1407" s="760" t="str">
        <f>VLOOKUP(B1407,'Coverage Indicators - Section D'!$A$9:$AU$70,47,FALSE)</f>
        <v>HTS-3b⁽ᴹ⁾ Porcentaje de personas transgénero a los que se les ha realizado una prueba de VIH durante el período de reporte y que conocen sus resultados</v>
      </c>
      <c r="D1407" s="768" t="str">
        <f>R1407</f>
        <v/>
      </c>
      <c r="E1407" s="768" t="str">
        <f>S1407</f>
        <v/>
      </c>
      <c r="F1407" s="413"/>
      <c r="G1407" s="762" t="str">
        <f ca="1">IF(OR(INDIRECT("'update Helper'!E"&amp;U1407)="",F1407&lt;&gt;0,F1408&lt;&gt;0),IF(IFERROR((F1407/F1408),"")="","",(F1407/F1408)),INDIRECT("'update Helper'!E"&amp;U1407)/100)</f>
        <v/>
      </c>
      <c r="H1407" s="743"/>
      <c r="I1407" s="764"/>
      <c r="J1407" s="729"/>
      <c r="K1407" s="760" t="str">
        <f>W1407</f>
        <v>HTS-3b⁽ᴹ⁾ Percentage of transgender people that have received an HIV test during the reporting period and know their results</v>
      </c>
      <c r="L1407" s="760" t="str">
        <f>V1407</f>
        <v/>
      </c>
      <c r="M1407" s="729"/>
      <c r="N1407" s="729"/>
      <c r="P1407" s="194">
        <f>IF(AND(EXACT(C1407,C1405),C1405&lt;&gt;0),P1405+1,0)</f>
        <v>13</v>
      </c>
      <c r="Q1407" s="194" t="str">
        <f>IF(C1407&lt;&gt;"",C1407&amp;"-"&amp;P1407,"")</f>
        <v>HTS-3b⁽ᴹ⁾ Porcentaje de personas transgénero a los que se les ha realizado una prueba de VIH durante el período de reporte y que conocen sus resultados-13</v>
      </c>
      <c r="R1407" s="194" t="str">
        <f t="array" ref="R1407">IFERROR(IF(INDEX('Disaggregation Records'!$E$155:$E$385,MATCH(RIGHT(Q1407,255),RIGHT('Disaggregation Records'!$D$155:$D$385,255),0))="","",INDEX('Disaggregation Records'!$E$155:$E$385,MATCH(RIGHT(Q1407,255),RIGHT('Disaggregation Records'!$D$155:$D$385,255),0))),"")</f>
        <v/>
      </c>
      <c r="S1407" s="194" t="str">
        <f t="array" ref="S1407">IFERROR(IF(INDEX('Disaggregation Records'!$F$155:$F$385,MATCH(RIGHT(Q1407,255),RIGHT('Disaggregation Records'!$D$155:$D$385,255),0))="","",INDEX('Disaggregation Records'!$F$155:$F$385,MATCH(RIGHT(Q1407,255),RIGHT('Disaggregation Records'!$D$155:$D$385,255),0))),"")</f>
        <v/>
      </c>
      <c r="T1407" s="194" t="str">
        <f t="array" ref="T1407">IFERROR(IF(INDEX('Disaggregation Records'!$H$155:$H$385,MATCH(RIGHT(Q1407,255),RIGHT('Disaggregation Records'!$D$155:$D$385,255),0))="","",INDEX('Disaggregation Records'!$H$155:$H$385,MATCH(RIGHT(Q1407,255),RIGHT('Disaggregation Records'!$D$155:$D$385,255),0))),"")</f>
        <v/>
      </c>
      <c r="U1407" s="194">
        <f>U1405+1</f>
        <v>2893</v>
      </c>
      <c r="V1407" s="194" t="str">
        <f t="array" ref="V1407">IFERROR(IF(INDEX('Disaggregation Records'!$I$155:$I$385,MATCH(RIGHT(Q1407,255),RIGHT('Disaggregation Records'!$D$155:$D$385,255),0))="","",INDEX('Disaggregation Records'!$I$155:$I$385,MATCH(RIGHT(Q1407,255),RIGHT('Disaggregation Records'!$D$155:$D$385,255),0))),"")</f>
        <v/>
      </c>
      <c r="W1407" s="194" t="str">
        <f>IFERROR(INDEX('Reference Records'!L$77:L$157,MATCH(LEFT(C1407,255),'Reference Records'!E$77:E$157,0)),"")</f>
        <v>HTS-3b⁽ᴹ⁾ Percentage of transgender people that have received an HIV test during the reporting period and know their results</v>
      </c>
    </row>
    <row r="1408" spans="1:23" s="194" customFormat="1" ht="40.4" customHeight="1" x14ac:dyDescent="0.35">
      <c r="A1408" s="770"/>
      <c r="B1408" s="767"/>
      <c r="C1408" s="761"/>
      <c r="D1408" s="769"/>
      <c r="E1408" s="769"/>
      <c r="F1408" s="208"/>
      <c r="G1408" s="763"/>
      <c r="H1408" s="744"/>
      <c r="I1408" s="765"/>
      <c r="J1408" s="730"/>
      <c r="K1408" s="761"/>
      <c r="L1408" s="761"/>
      <c r="M1408" s="730"/>
      <c r="N1408" s="730"/>
    </row>
    <row r="1409" spans="1:23" s="194" customFormat="1" ht="40.4" customHeight="1" x14ac:dyDescent="0.35">
      <c r="A1409" s="770" t="str">
        <f ca="1">INDIRECT("'update Helper'!C"&amp;U1409)</f>
        <v>a163p000004NtYOAA0</v>
      </c>
      <c r="B1409" s="766">
        <v>20</v>
      </c>
      <c r="C1409" s="760" t="str">
        <f>VLOOKUP(B1409,'Coverage Indicators - Section D'!$A$9:$AU$70,47,FALSE)</f>
        <v>HTS-3b⁽ᴹ⁾ Porcentaje de personas transgénero a los que se les ha realizado una prueba de VIH durante el período de reporte y que conocen sus resultados</v>
      </c>
      <c r="D1409" s="768" t="str">
        <f>R1409</f>
        <v/>
      </c>
      <c r="E1409" s="768" t="str">
        <f>S1409</f>
        <v/>
      </c>
      <c r="F1409" s="413"/>
      <c r="G1409" s="762" t="str">
        <f ca="1">IF(OR(INDIRECT("'update Helper'!E"&amp;U1409)="",F1409&lt;&gt;0,F1410&lt;&gt;0),IF(IFERROR((F1409/F1410),"")="","",(F1409/F1410)),INDIRECT("'update Helper'!E"&amp;U1409)/100)</f>
        <v/>
      </c>
      <c r="H1409" s="743"/>
      <c r="I1409" s="764"/>
      <c r="J1409" s="729"/>
      <c r="K1409" s="760" t="str">
        <f>W1409</f>
        <v>HTS-3b⁽ᴹ⁾ Percentage of transgender people that have received an HIV test during the reporting period and know their results</v>
      </c>
      <c r="L1409" s="760" t="str">
        <f>V1409</f>
        <v/>
      </c>
      <c r="M1409" s="729"/>
      <c r="N1409" s="729"/>
      <c r="P1409" s="194">
        <f>IF(AND(EXACT(C1409,C1407),C1407&lt;&gt;0),P1407+1,0)</f>
        <v>14</v>
      </c>
      <c r="Q1409" s="194" t="str">
        <f>IF(C1409&lt;&gt;"",C1409&amp;"-"&amp;P1409,"")</f>
        <v>HTS-3b⁽ᴹ⁾ Porcentaje de personas transgénero a los que se les ha realizado una prueba de VIH durante el período de reporte y que conocen sus resultados-14</v>
      </c>
      <c r="R1409" s="194" t="str">
        <f t="array" ref="R1409">IFERROR(IF(INDEX('Disaggregation Records'!$E$155:$E$385,MATCH(RIGHT(Q1409,255),RIGHT('Disaggregation Records'!$D$155:$D$385,255),0))="","",INDEX('Disaggregation Records'!$E$155:$E$385,MATCH(RIGHT(Q1409,255),RIGHT('Disaggregation Records'!$D$155:$D$385,255),0))),"")</f>
        <v/>
      </c>
      <c r="S1409" s="194" t="str">
        <f t="array" ref="S1409">IFERROR(IF(INDEX('Disaggregation Records'!$F$155:$F$385,MATCH(RIGHT(Q1409,255),RIGHT('Disaggregation Records'!$D$155:$D$385,255),0))="","",INDEX('Disaggregation Records'!$F$155:$F$385,MATCH(RIGHT(Q1409,255),RIGHT('Disaggregation Records'!$D$155:$D$385,255),0))),"")</f>
        <v/>
      </c>
      <c r="T1409" s="194" t="str">
        <f t="array" ref="T1409">IFERROR(IF(INDEX('Disaggregation Records'!$H$155:$H$385,MATCH(RIGHT(Q1409,255),RIGHT('Disaggregation Records'!$D$155:$D$385,255),0))="","",INDEX('Disaggregation Records'!$H$155:$H$385,MATCH(RIGHT(Q1409,255),RIGHT('Disaggregation Records'!$D$155:$D$385,255),0))),"")</f>
        <v/>
      </c>
      <c r="U1409" s="194">
        <f>U1407+1</f>
        <v>2894</v>
      </c>
      <c r="V1409" s="194" t="str">
        <f t="array" ref="V1409">IFERROR(IF(INDEX('Disaggregation Records'!$I$155:$I$385,MATCH(RIGHT(Q1409,255),RIGHT('Disaggregation Records'!$D$155:$D$385,255),0))="","",INDEX('Disaggregation Records'!$I$155:$I$385,MATCH(RIGHT(Q1409,255),RIGHT('Disaggregation Records'!$D$155:$D$385,255),0))),"")</f>
        <v/>
      </c>
      <c r="W1409" s="194" t="str">
        <f>IFERROR(INDEX('Reference Records'!L$77:L$157,MATCH(LEFT(C1409,255),'Reference Records'!E$77:E$157,0)),"")</f>
        <v>HTS-3b⁽ᴹ⁾ Percentage of transgender people that have received an HIV test during the reporting period and know their results</v>
      </c>
    </row>
    <row r="1410" spans="1:23" s="194" customFormat="1" ht="40.4" customHeight="1" x14ac:dyDescent="0.35">
      <c r="A1410" s="770"/>
      <c r="B1410" s="767"/>
      <c r="C1410" s="761"/>
      <c r="D1410" s="769"/>
      <c r="E1410" s="769"/>
      <c r="F1410" s="208"/>
      <c r="G1410" s="763"/>
      <c r="H1410" s="744"/>
      <c r="I1410" s="765"/>
      <c r="J1410" s="730"/>
      <c r="K1410" s="761"/>
      <c r="L1410" s="761"/>
      <c r="M1410" s="730"/>
      <c r="N1410" s="730"/>
    </row>
    <row r="1411" spans="1:23" s="194" customFormat="1" ht="40.4" customHeight="1" x14ac:dyDescent="0.35">
      <c r="A1411" s="770" t="str">
        <f ca="1">INDIRECT("'update Helper'!C"&amp;U1411)</f>
        <v>a163p000004NtYPAA0</v>
      </c>
      <c r="B1411" s="766">
        <v>20</v>
      </c>
      <c r="C1411" s="760" t="str">
        <f>VLOOKUP(B1411,'Coverage Indicators - Section D'!$A$9:$AU$70,47,FALSE)</f>
        <v>HTS-3b⁽ᴹ⁾ Porcentaje de personas transgénero a los que se les ha realizado una prueba de VIH durante el período de reporte y que conocen sus resultados</v>
      </c>
      <c r="D1411" s="768" t="str">
        <f>R1411</f>
        <v/>
      </c>
      <c r="E1411" s="768" t="str">
        <f>S1411</f>
        <v/>
      </c>
      <c r="F1411" s="413"/>
      <c r="G1411" s="762" t="str">
        <f ca="1">IF(OR(INDIRECT("'update Helper'!E"&amp;U1411)="",F1411&lt;&gt;0,F1412&lt;&gt;0),IF(IFERROR((F1411/F1412),"")="","",(F1411/F1412)),INDIRECT("'update Helper'!E"&amp;U1411)/100)</f>
        <v/>
      </c>
      <c r="H1411" s="743"/>
      <c r="I1411" s="764"/>
      <c r="J1411" s="729"/>
      <c r="K1411" s="760" t="str">
        <f>W1411</f>
        <v>HTS-3b⁽ᴹ⁾ Percentage of transgender people that have received an HIV test during the reporting period and know their results</v>
      </c>
      <c r="L1411" s="760" t="str">
        <f>V1411</f>
        <v/>
      </c>
      <c r="M1411" s="729"/>
      <c r="N1411" s="729"/>
      <c r="P1411" s="194">
        <f>IF(AND(EXACT(C1411,C1409),C1409&lt;&gt;0),P1409+1,0)</f>
        <v>15</v>
      </c>
      <c r="Q1411" s="194" t="str">
        <f>IF(C1411&lt;&gt;"",C1411&amp;"-"&amp;P1411,"")</f>
        <v>HTS-3b⁽ᴹ⁾ Porcentaje de personas transgénero a los que se les ha realizado una prueba de VIH durante el período de reporte y que conocen sus resultados-15</v>
      </c>
      <c r="R1411" s="194" t="str">
        <f t="array" ref="R1411">IFERROR(IF(INDEX('Disaggregation Records'!$E$155:$E$385,MATCH(RIGHT(Q1411,255),RIGHT('Disaggregation Records'!$D$155:$D$385,255),0))="","",INDEX('Disaggregation Records'!$E$155:$E$385,MATCH(RIGHT(Q1411,255),RIGHT('Disaggregation Records'!$D$155:$D$385,255),0))),"")</f>
        <v/>
      </c>
      <c r="S1411" s="194" t="str">
        <f t="array" ref="S1411">IFERROR(IF(INDEX('Disaggregation Records'!$F$155:$F$385,MATCH(RIGHT(Q1411,255),RIGHT('Disaggregation Records'!$D$155:$D$385,255),0))="","",INDEX('Disaggregation Records'!$F$155:$F$385,MATCH(RIGHT(Q1411,255),RIGHT('Disaggregation Records'!$D$155:$D$385,255),0))),"")</f>
        <v/>
      </c>
      <c r="T1411" s="194" t="str">
        <f t="array" ref="T1411">IFERROR(IF(INDEX('Disaggregation Records'!$H$155:$H$385,MATCH(RIGHT(Q1411,255),RIGHT('Disaggregation Records'!$D$155:$D$385,255),0))="","",INDEX('Disaggregation Records'!$H$155:$H$385,MATCH(RIGHT(Q1411,255),RIGHT('Disaggregation Records'!$D$155:$D$385,255),0))),"")</f>
        <v/>
      </c>
      <c r="U1411" s="194">
        <f>U1409+1</f>
        <v>2895</v>
      </c>
      <c r="V1411" s="194" t="str">
        <f t="array" ref="V1411">IFERROR(IF(INDEX('Disaggregation Records'!$I$155:$I$385,MATCH(RIGHT(Q1411,255),RIGHT('Disaggregation Records'!$D$155:$D$385,255),0))="","",INDEX('Disaggregation Records'!$I$155:$I$385,MATCH(RIGHT(Q1411,255),RIGHT('Disaggregation Records'!$D$155:$D$385,255),0))),"")</f>
        <v/>
      </c>
      <c r="W1411" s="194" t="str">
        <f>IFERROR(INDEX('Reference Records'!L$77:L$157,MATCH(LEFT(C1411,255),'Reference Records'!E$77:E$157,0)),"")</f>
        <v>HTS-3b⁽ᴹ⁾ Percentage of transgender people that have received an HIV test during the reporting period and know their results</v>
      </c>
    </row>
    <row r="1412" spans="1:23" s="194" customFormat="1" ht="40.4" customHeight="1" x14ac:dyDescent="0.35">
      <c r="A1412" s="770"/>
      <c r="B1412" s="767"/>
      <c r="C1412" s="761"/>
      <c r="D1412" s="769"/>
      <c r="E1412" s="769"/>
      <c r="F1412" s="208"/>
      <c r="G1412" s="763"/>
      <c r="H1412" s="744"/>
      <c r="I1412" s="765"/>
      <c r="J1412" s="730"/>
      <c r="K1412" s="761"/>
      <c r="L1412" s="761"/>
      <c r="M1412" s="730"/>
      <c r="N1412" s="730"/>
    </row>
    <row r="1413" spans="1:23" s="194" customFormat="1" ht="40.4" customHeight="1" x14ac:dyDescent="0.35">
      <c r="A1413" s="770" t="str">
        <f ca="1">INDIRECT("'update Helper'!C"&amp;U1413)</f>
        <v>a163p000004NtYQAA0</v>
      </c>
      <c r="B1413" s="766">
        <v>20</v>
      </c>
      <c r="C1413" s="760" t="str">
        <f>VLOOKUP(B1413,'Coverage Indicators - Section D'!$A$9:$AU$70,47,FALSE)</f>
        <v>HTS-3b⁽ᴹ⁾ Porcentaje de personas transgénero a los que se les ha realizado una prueba de VIH durante el período de reporte y que conocen sus resultados</v>
      </c>
      <c r="D1413" s="768" t="str">
        <f>R1413</f>
        <v/>
      </c>
      <c r="E1413" s="768" t="str">
        <f>S1413</f>
        <v/>
      </c>
      <c r="F1413" s="413"/>
      <c r="G1413" s="762" t="str">
        <f ca="1">IF(OR(INDIRECT("'update Helper'!E"&amp;U1413)="",F1413&lt;&gt;0,F1414&lt;&gt;0),IF(IFERROR((F1413/F1414),"")="","",(F1413/F1414)),INDIRECT("'update Helper'!E"&amp;U1413)/100)</f>
        <v/>
      </c>
      <c r="H1413" s="743"/>
      <c r="I1413" s="764"/>
      <c r="J1413" s="729"/>
      <c r="K1413" s="760" t="str">
        <f>W1413</f>
        <v>HTS-3b⁽ᴹ⁾ Percentage of transgender people that have received an HIV test during the reporting period and know their results</v>
      </c>
      <c r="L1413" s="760" t="str">
        <f>V1413</f>
        <v/>
      </c>
      <c r="M1413" s="729"/>
      <c r="N1413" s="729"/>
      <c r="P1413" s="194">
        <f>IF(AND(EXACT(C1413,C1411),C1411&lt;&gt;0),P1411+1,0)</f>
        <v>16</v>
      </c>
      <c r="Q1413" s="194" t="str">
        <f>IF(C1413&lt;&gt;"",C1413&amp;"-"&amp;P1413,"")</f>
        <v>HTS-3b⁽ᴹ⁾ Porcentaje de personas transgénero a los que se les ha realizado una prueba de VIH durante el período de reporte y que conocen sus resultados-16</v>
      </c>
      <c r="R1413" s="194" t="str">
        <f t="array" ref="R1413">IFERROR(IF(INDEX('Disaggregation Records'!$E$155:$E$385,MATCH(RIGHT(Q1413,255),RIGHT('Disaggregation Records'!$D$155:$D$385,255),0))="","",INDEX('Disaggregation Records'!$E$155:$E$385,MATCH(RIGHT(Q1413,255),RIGHT('Disaggregation Records'!$D$155:$D$385,255),0))),"")</f>
        <v/>
      </c>
      <c r="S1413" s="194" t="str">
        <f t="array" ref="S1413">IFERROR(IF(INDEX('Disaggregation Records'!$F$155:$F$385,MATCH(RIGHT(Q1413,255),RIGHT('Disaggregation Records'!$D$155:$D$385,255),0))="","",INDEX('Disaggregation Records'!$F$155:$F$385,MATCH(RIGHT(Q1413,255),RIGHT('Disaggregation Records'!$D$155:$D$385,255),0))),"")</f>
        <v/>
      </c>
      <c r="T1413" s="194" t="str">
        <f t="array" ref="T1413">IFERROR(IF(INDEX('Disaggregation Records'!$H$155:$H$385,MATCH(RIGHT(Q1413,255),RIGHT('Disaggregation Records'!$D$155:$D$385,255),0))="","",INDEX('Disaggregation Records'!$H$155:$H$385,MATCH(RIGHT(Q1413,255),RIGHT('Disaggregation Records'!$D$155:$D$385,255),0))),"")</f>
        <v/>
      </c>
      <c r="U1413" s="194">
        <f>U1411+1</f>
        <v>2896</v>
      </c>
      <c r="V1413" s="194" t="str">
        <f t="array" ref="V1413">IFERROR(IF(INDEX('Disaggregation Records'!$I$155:$I$385,MATCH(RIGHT(Q1413,255),RIGHT('Disaggregation Records'!$D$155:$D$385,255),0))="","",INDEX('Disaggregation Records'!$I$155:$I$385,MATCH(RIGHT(Q1413,255),RIGHT('Disaggregation Records'!$D$155:$D$385,255),0))),"")</f>
        <v/>
      </c>
      <c r="W1413" s="194" t="str">
        <f>IFERROR(INDEX('Reference Records'!L$77:L$157,MATCH(LEFT(C1413,255),'Reference Records'!E$77:E$157,0)),"")</f>
        <v>HTS-3b⁽ᴹ⁾ Percentage of transgender people that have received an HIV test during the reporting period and know their results</v>
      </c>
    </row>
    <row r="1414" spans="1:23" s="194" customFormat="1" ht="40.4" customHeight="1" x14ac:dyDescent="0.35">
      <c r="A1414" s="770"/>
      <c r="B1414" s="767"/>
      <c r="C1414" s="761"/>
      <c r="D1414" s="769"/>
      <c r="E1414" s="769"/>
      <c r="F1414" s="208"/>
      <c r="G1414" s="763"/>
      <c r="H1414" s="744"/>
      <c r="I1414" s="765"/>
      <c r="J1414" s="730"/>
      <c r="K1414" s="761"/>
      <c r="L1414" s="761"/>
      <c r="M1414" s="730"/>
      <c r="N1414" s="730"/>
    </row>
    <row r="1415" spans="1:23" s="194" customFormat="1" ht="40.4" customHeight="1" x14ac:dyDescent="0.35">
      <c r="A1415" s="770" t="str">
        <f ca="1">INDIRECT("'update Helper'!C"&amp;U1415)</f>
        <v>a163p000004NtYRAA0</v>
      </c>
      <c r="B1415" s="766">
        <v>20</v>
      </c>
      <c r="C1415" s="760" t="str">
        <f>VLOOKUP(B1415,'Coverage Indicators - Section D'!$A$9:$AU$70,47,FALSE)</f>
        <v>HTS-3b⁽ᴹ⁾ Porcentaje de personas transgénero a los que se les ha realizado una prueba de VIH durante el período de reporte y que conocen sus resultados</v>
      </c>
      <c r="D1415" s="768" t="str">
        <f>R1415</f>
        <v/>
      </c>
      <c r="E1415" s="768" t="str">
        <f>S1415</f>
        <v/>
      </c>
      <c r="F1415" s="413"/>
      <c r="G1415" s="762" t="str">
        <f ca="1">IF(OR(INDIRECT("'update Helper'!E"&amp;U1415)="",F1415&lt;&gt;0,F1416&lt;&gt;0),IF(IFERROR((F1415/F1416),"")="","",(F1415/F1416)),INDIRECT("'update Helper'!E"&amp;U1415)/100)</f>
        <v/>
      </c>
      <c r="H1415" s="743"/>
      <c r="I1415" s="764"/>
      <c r="J1415" s="729"/>
      <c r="K1415" s="760" t="str">
        <f>W1415</f>
        <v>HTS-3b⁽ᴹ⁾ Percentage of transgender people that have received an HIV test during the reporting period and know their results</v>
      </c>
      <c r="L1415" s="760" t="str">
        <f>V1415</f>
        <v/>
      </c>
      <c r="M1415" s="729"/>
      <c r="N1415" s="729"/>
      <c r="P1415" s="194">
        <f>IF(AND(EXACT(C1415,C1413),C1413&lt;&gt;0),P1413+1,0)</f>
        <v>17</v>
      </c>
      <c r="Q1415" s="194" t="str">
        <f>IF(C1415&lt;&gt;"",C1415&amp;"-"&amp;P1415,"")</f>
        <v>HTS-3b⁽ᴹ⁾ Porcentaje de personas transgénero a los que se les ha realizado una prueba de VIH durante el período de reporte y que conocen sus resultados-17</v>
      </c>
      <c r="R1415" s="194" t="str">
        <f t="array" ref="R1415">IFERROR(IF(INDEX('Disaggregation Records'!$E$155:$E$385,MATCH(RIGHT(Q1415,255),RIGHT('Disaggregation Records'!$D$155:$D$385,255),0))="","",INDEX('Disaggregation Records'!$E$155:$E$385,MATCH(RIGHT(Q1415,255),RIGHT('Disaggregation Records'!$D$155:$D$385,255),0))),"")</f>
        <v/>
      </c>
      <c r="S1415" s="194" t="str">
        <f t="array" ref="S1415">IFERROR(IF(INDEX('Disaggregation Records'!$F$155:$F$385,MATCH(RIGHT(Q1415,255),RIGHT('Disaggregation Records'!$D$155:$D$385,255),0))="","",INDEX('Disaggregation Records'!$F$155:$F$385,MATCH(RIGHT(Q1415,255),RIGHT('Disaggregation Records'!$D$155:$D$385,255),0))),"")</f>
        <v/>
      </c>
      <c r="T1415" s="194" t="str">
        <f t="array" ref="T1415">IFERROR(IF(INDEX('Disaggregation Records'!$H$155:$H$385,MATCH(RIGHT(Q1415,255),RIGHT('Disaggregation Records'!$D$155:$D$385,255),0))="","",INDEX('Disaggregation Records'!$H$155:$H$385,MATCH(RIGHT(Q1415,255),RIGHT('Disaggregation Records'!$D$155:$D$385,255),0))),"")</f>
        <v/>
      </c>
      <c r="U1415" s="194">
        <f>U1413+1</f>
        <v>2897</v>
      </c>
      <c r="V1415" s="194" t="str">
        <f t="array" ref="V1415">IFERROR(IF(INDEX('Disaggregation Records'!$I$155:$I$385,MATCH(RIGHT(Q1415,255),RIGHT('Disaggregation Records'!$D$155:$D$385,255),0))="","",INDEX('Disaggregation Records'!$I$155:$I$385,MATCH(RIGHT(Q1415,255),RIGHT('Disaggregation Records'!$D$155:$D$385,255),0))),"")</f>
        <v/>
      </c>
      <c r="W1415" s="194" t="str">
        <f>IFERROR(INDEX('Reference Records'!L$77:L$157,MATCH(LEFT(C1415,255),'Reference Records'!E$77:E$157,0)),"")</f>
        <v>HTS-3b⁽ᴹ⁾ Percentage of transgender people that have received an HIV test during the reporting period and know their results</v>
      </c>
    </row>
    <row r="1416" spans="1:23" s="194" customFormat="1" ht="40.4" customHeight="1" x14ac:dyDescent="0.35">
      <c r="A1416" s="770"/>
      <c r="B1416" s="767"/>
      <c r="C1416" s="761"/>
      <c r="D1416" s="769"/>
      <c r="E1416" s="769"/>
      <c r="F1416" s="208"/>
      <c r="G1416" s="763"/>
      <c r="H1416" s="744"/>
      <c r="I1416" s="765"/>
      <c r="J1416" s="730"/>
      <c r="K1416" s="761"/>
      <c r="L1416" s="761"/>
      <c r="M1416" s="730"/>
      <c r="N1416" s="730"/>
    </row>
    <row r="1417" spans="1:23" s="194" customFormat="1" ht="40.4" customHeight="1" x14ac:dyDescent="0.35">
      <c r="A1417" s="770" t="str">
        <f ca="1">INDIRECT("'update Helper'!C"&amp;U1417)</f>
        <v>a163p000004NtYSAA0</v>
      </c>
      <c r="B1417" s="766">
        <v>20</v>
      </c>
      <c r="C1417" s="760" t="str">
        <f>VLOOKUP(B1417,'Coverage Indicators - Section D'!$A$9:$AU$70,47,FALSE)</f>
        <v>HTS-3b⁽ᴹ⁾ Porcentaje de personas transgénero a los que se les ha realizado una prueba de VIH durante el período de reporte y que conocen sus resultados</v>
      </c>
      <c r="D1417" s="768" t="str">
        <f>R1417</f>
        <v/>
      </c>
      <c r="E1417" s="768" t="str">
        <f>S1417</f>
        <v/>
      </c>
      <c r="F1417" s="413"/>
      <c r="G1417" s="762" t="str">
        <f ca="1">IF(OR(INDIRECT("'update Helper'!E"&amp;U1417)="",F1417&lt;&gt;0,F1418&lt;&gt;0),IF(IFERROR((F1417/F1418),"")="","",(F1417/F1418)),INDIRECT("'update Helper'!E"&amp;U1417)/100)</f>
        <v/>
      </c>
      <c r="H1417" s="743"/>
      <c r="I1417" s="764"/>
      <c r="J1417" s="729"/>
      <c r="K1417" s="760" t="str">
        <f>W1417</f>
        <v>HTS-3b⁽ᴹ⁾ Percentage of transgender people that have received an HIV test during the reporting period and know their results</v>
      </c>
      <c r="L1417" s="760" t="str">
        <f>V1417</f>
        <v/>
      </c>
      <c r="M1417" s="729"/>
      <c r="N1417" s="729"/>
      <c r="P1417" s="194">
        <f>IF(AND(EXACT(C1417,C1415),C1415&lt;&gt;0),P1415+1,0)</f>
        <v>18</v>
      </c>
      <c r="Q1417" s="194" t="str">
        <f>IF(C1417&lt;&gt;"",C1417&amp;"-"&amp;P1417,"")</f>
        <v>HTS-3b⁽ᴹ⁾ Porcentaje de personas transgénero a los que se les ha realizado una prueba de VIH durante el período de reporte y que conocen sus resultados-18</v>
      </c>
      <c r="R1417" s="194" t="str">
        <f t="array" ref="R1417">IFERROR(IF(INDEX('Disaggregation Records'!$E$155:$E$385,MATCH(RIGHT(Q1417,255),RIGHT('Disaggregation Records'!$D$155:$D$385,255),0))="","",INDEX('Disaggregation Records'!$E$155:$E$385,MATCH(RIGHT(Q1417,255),RIGHT('Disaggregation Records'!$D$155:$D$385,255),0))),"")</f>
        <v/>
      </c>
      <c r="S1417" s="194" t="str">
        <f t="array" ref="S1417">IFERROR(IF(INDEX('Disaggregation Records'!$F$155:$F$385,MATCH(RIGHT(Q1417,255),RIGHT('Disaggregation Records'!$D$155:$D$385,255),0))="","",INDEX('Disaggregation Records'!$F$155:$F$385,MATCH(RIGHT(Q1417,255),RIGHT('Disaggregation Records'!$D$155:$D$385,255),0))),"")</f>
        <v/>
      </c>
      <c r="T1417" s="194" t="str">
        <f t="array" ref="T1417">IFERROR(IF(INDEX('Disaggregation Records'!$H$155:$H$385,MATCH(RIGHT(Q1417,255),RIGHT('Disaggregation Records'!$D$155:$D$385,255),0))="","",INDEX('Disaggregation Records'!$H$155:$H$385,MATCH(RIGHT(Q1417,255),RIGHT('Disaggregation Records'!$D$155:$D$385,255),0))),"")</f>
        <v/>
      </c>
      <c r="U1417" s="194">
        <f>U1415+1</f>
        <v>2898</v>
      </c>
      <c r="V1417" s="194" t="str">
        <f t="array" ref="V1417">IFERROR(IF(INDEX('Disaggregation Records'!$I$155:$I$385,MATCH(RIGHT(Q1417,255),RIGHT('Disaggregation Records'!$D$155:$D$385,255),0))="","",INDEX('Disaggregation Records'!$I$155:$I$385,MATCH(RIGHT(Q1417,255),RIGHT('Disaggregation Records'!$D$155:$D$385,255),0))),"")</f>
        <v/>
      </c>
      <c r="W1417" s="194" t="str">
        <f>IFERROR(INDEX('Reference Records'!L$77:L$157,MATCH(LEFT(C1417,255),'Reference Records'!E$77:E$157,0)),"")</f>
        <v>HTS-3b⁽ᴹ⁾ Percentage of transgender people that have received an HIV test during the reporting period and know their results</v>
      </c>
    </row>
    <row r="1418" spans="1:23" s="194" customFormat="1" ht="40.4" customHeight="1" x14ac:dyDescent="0.35">
      <c r="A1418" s="770"/>
      <c r="B1418" s="767"/>
      <c r="C1418" s="761"/>
      <c r="D1418" s="769"/>
      <c r="E1418" s="769"/>
      <c r="F1418" s="208"/>
      <c r="G1418" s="763"/>
      <c r="H1418" s="744"/>
      <c r="I1418" s="765"/>
      <c r="J1418" s="730"/>
      <c r="K1418" s="761"/>
      <c r="L1418" s="761"/>
      <c r="M1418" s="730"/>
      <c r="N1418" s="730"/>
    </row>
    <row r="1419" spans="1:23" s="194" customFormat="1" ht="40.4" customHeight="1" x14ac:dyDescent="0.35">
      <c r="A1419" s="770" t="str">
        <f ca="1">INDIRECT("'update Helper'!C"&amp;U1419)</f>
        <v>a163p000004NtYTAA0</v>
      </c>
      <c r="B1419" s="766">
        <v>20</v>
      </c>
      <c r="C1419" s="760" t="str">
        <f>VLOOKUP(B1419,'Coverage Indicators - Section D'!$A$9:$AU$70,47,FALSE)</f>
        <v>HTS-3b⁽ᴹ⁾ Porcentaje de personas transgénero a los que se les ha realizado una prueba de VIH durante el período de reporte y que conocen sus resultados</v>
      </c>
      <c r="D1419" s="768" t="str">
        <f>R1419</f>
        <v/>
      </c>
      <c r="E1419" s="768" t="str">
        <f>S1419</f>
        <v/>
      </c>
      <c r="F1419" s="413"/>
      <c r="G1419" s="762" t="str">
        <f ca="1">IF(OR(INDIRECT("'update Helper'!E"&amp;U1419)="",F1419&lt;&gt;0,F1420&lt;&gt;0),IF(IFERROR((F1419/F1420),"")="","",(F1419/F1420)),INDIRECT("'update Helper'!E"&amp;U1419)/100)</f>
        <v/>
      </c>
      <c r="H1419" s="743"/>
      <c r="I1419" s="764"/>
      <c r="J1419" s="729"/>
      <c r="K1419" s="760" t="str">
        <f>W1419</f>
        <v>HTS-3b⁽ᴹ⁾ Percentage of transgender people that have received an HIV test during the reporting period and know their results</v>
      </c>
      <c r="L1419" s="760" t="str">
        <f>V1419</f>
        <v/>
      </c>
      <c r="M1419" s="729"/>
      <c r="N1419" s="729"/>
      <c r="P1419" s="194">
        <f>IF(AND(EXACT(C1419,C1417),C1417&lt;&gt;0),P1417+1,0)</f>
        <v>19</v>
      </c>
      <c r="Q1419" s="194" t="str">
        <f>IF(C1419&lt;&gt;"",C1419&amp;"-"&amp;P1419,"")</f>
        <v>HTS-3b⁽ᴹ⁾ Porcentaje de personas transgénero a los que se les ha realizado una prueba de VIH durante el período de reporte y que conocen sus resultados-19</v>
      </c>
      <c r="R1419" s="194" t="str">
        <f t="array" ref="R1419">IFERROR(IF(INDEX('Disaggregation Records'!$E$155:$E$385,MATCH(RIGHT(Q1419,255),RIGHT('Disaggregation Records'!$D$155:$D$385,255),0))="","",INDEX('Disaggregation Records'!$E$155:$E$385,MATCH(RIGHT(Q1419,255),RIGHT('Disaggregation Records'!$D$155:$D$385,255),0))),"")</f>
        <v/>
      </c>
      <c r="S1419" s="194" t="str">
        <f t="array" ref="S1419">IFERROR(IF(INDEX('Disaggregation Records'!$F$155:$F$385,MATCH(RIGHT(Q1419,255),RIGHT('Disaggregation Records'!$D$155:$D$385,255),0))="","",INDEX('Disaggregation Records'!$F$155:$F$385,MATCH(RIGHT(Q1419,255),RIGHT('Disaggregation Records'!$D$155:$D$385,255),0))),"")</f>
        <v/>
      </c>
      <c r="T1419" s="194" t="str">
        <f t="array" ref="T1419">IFERROR(IF(INDEX('Disaggregation Records'!$H$155:$H$385,MATCH(RIGHT(Q1419,255),RIGHT('Disaggregation Records'!$D$155:$D$385,255),0))="","",INDEX('Disaggregation Records'!$H$155:$H$385,MATCH(RIGHT(Q1419,255),RIGHT('Disaggregation Records'!$D$155:$D$385,255),0))),"")</f>
        <v/>
      </c>
      <c r="U1419" s="194">
        <f>U1417+1</f>
        <v>2899</v>
      </c>
      <c r="V1419" s="194" t="str">
        <f t="array" ref="V1419">IFERROR(IF(INDEX('Disaggregation Records'!$I$155:$I$385,MATCH(RIGHT(Q1419,255),RIGHT('Disaggregation Records'!$D$155:$D$385,255),0))="","",INDEX('Disaggregation Records'!$I$155:$I$385,MATCH(RIGHT(Q1419,255),RIGHT('Disaggregation Records'!$D$155:$D$385,255),0))),"")</f>
        <v/>
      </c>
      <c r="W1419" s="194" t="str">
        <f>IFERROR(INDEX('Reference Records'!L$77:L$157,MATCH(LEFT(C1419,255),'Reference Records'!E$77:E$157,0)),"")</f>
        <v>HTS-3b⁽ᴹ⁾ Percentage of transgender people that have received an HIV test during the reporting period and know their results</v>
      </c>
    </row>
    <row r="1420" spans="1:23" s="194" customFormat="1" ht="40.4" customHeight="1" x14ac:dyDescent="0.35">
      <c r="A1420" s="770"/>
      <c r="B1420" s="767"/>
      <c r="C1420" s="761"/>
      <c r="D1420" s="769"/>
      <c r="E1420" s="769"/>
      <c r="F1420" s="208"/>
      <c r="G1420" s="763"/>
      <c r="H1420" s="744"/>
      <c r="I1420" s="765"/>
      <c r="J1420" s="730"/>
      <c r="K1420" s="761"/>
      <c r="L1420" s="761"/>
      <c r="M1420" s="730"/>
      <c r="N1420" s="730"/>
    </row>
    <row r="1421" spans="1:23" s="194" customFormat="1" ht="40.4" customHeight="1" x14ac:dyDescent="0.35">
      <c r="A1421" s="770" t="str">
        <f ca="1">INDIRECT("'update Helper'!C"&amp;U1421)</f>
        <v>a163p000004NtOoAAK</v>
      </c>
      <c r="B1421" s="766">
        <v>21</v>
      </c>
      <c r="C1421" s="760" t="str">
        <f>VLOOKUP(B1421,'Coverage Indicators - Section D'!$A$9:$AU$70,47,FALSE)</f>
        <v/>
      </c>
      <c r="D1421" s="768" t="str">
        <f>R1421</f>
        <v/>
      </c>
      <c r="E1421" s="768" t="str">
        <f>S1421</f>
        <v/>
      </c>
      <c r="F1421" s="413"/>
      <c r="G1421" s="762" t="str">
        <f ca="1">IF(OR(INDIRECT("'update Helper'!E"&amp;U1421)="",F1421&lt;&gt;0,F1422&lt;&gt;0),IF(IFERROR((F1421/F1422),"")="","",(F1421/F1422)),INDIRECT("'update Helper'!E"&amp;U1421)/100)</f>
        <v/>
      </c>
      <c r="H1421" s="743"/>
      <c r="I1421" s="764"/>
      <c r="J1421" s="729"/>
      <c r="K1421" s="760" t="str">
        <f>W1421</f>
        <v/>
      </c>
      <c r="L1421" s="760" t="str">
        <f>V1421</f>
        <v/>
      </c>
      <c r="M1421" s="729"/>
      <c r="N1421" s="729"/>
      <c r="P1421" s="194">
        <f>IF(AND(EXACT(C1421,C1419),C1419&lt;&gt;0),P1419+1,0)</f>
        <v>0</v>
      </c>
      <c r="Q1421" s="194" t="str">
        <f>IF(C1421&lt;&gt;"",C1421&amp;"-"&amp;P1421,"")</f>
        <v/>
      </c>
      <c r="R1421" s="194" t="str">
        <f t="array" ref="R1421">IFERROR(IF(INDEX('Disaggregation Records'!$E$155:$E$385,MATCH(RIGHT(Q1421,255),RIGHT('Disaggregation Records'!$D$155:$D$385,255),0))="","",INDEX('Disaggregation Records'!$E$155:$E$385,MATCH(RIGHT(Q1421,255),RIGHT('Disaggregation Records'!$D$155:$D$385,255),0))),"")</f>
        <v/>
      </c>
      <c r="S1421" s="194" t="str">
        <f t="array" ref="S1421">IFERROR(IF(INDEX('Disaggregation Records'!$F$155:$F$385,MATCH(RIGHT(Q1421,255),RIGHT('Disaggregation Records'!$D$155:$D$385,255),0))="","",INDEX('Disaggregation Records'!$F$155:$F$385,MATCH(RIGHT(Q1421,255),RIGHT('Disaggregation Records'!$D$155:$D$385,255),0))),"")</f>
        <v/>
      </c>
      <c r="T1421" s="194" t="str">
        <f t="array" ref="T1421">IFERROR(IF(INDEX('Disaggregation Records'!$H$155:$H$385,MATCH(RIGHT(Q1421,255),RIGHT('Disaggregation Records'!$D$155:$D$385,255),0))="","",INDEX('Disaggregation Records'!$H$155:$H$385,MATCH(RIGHT(Q1421,255),RIGHT('Disaggregation Records'!$D$155:$D$385,255),0))),"")</f>
        <v/>
      </c>
      <c r="U1421" s="194">
        <f>U1419+1</f>
        <v>2900</v>
      </c>
      <c r="V1421" s="194" t="str">
        <f t="array" ref="V1421">IFERROR(IF(INDEX('Disaggregation Records'!$I$155:$I$385,MATCH(RIGHT(Q1421,255),RIGHT('Disaggregation Records'!$D$155:$D$385,255),0))="","",INDEX('Disaggregation Records'!$I$155:$I$385,MATCH(RIGHT(Q1421,255),RIGHT('Disaggregation Records'!$D$155:$D$385,255),0))),"")</f>
        <v/>
      </c>
      <c r="W1421" s="194" t="str">
        <f>IFERROR(INDEX('Reference Records'!L$77:L$157,MATCH(LEFT(C1421,255),'Reference Records'!E$77:E$157,0)),"")</f>
        <v/>
      </c>
    </row>
    <row r="1422" spans="1:23" s="194" customFormat="1" ht="40.4" customHeight="1" x14ac:dyDescent="0.35">
      <c r="A1422" s="770"/>
      <c r="B1422" s="767"/>
      <c r="C1422" s="761"/>
      <c r="D1422" s="769"/>
      <c r="E1422" s="769"/>
      <c r="F1422" s="208"/>
      <c r="G1422" s="763"/>
      <c r="H1422" s="744"/>
      <c r="I1422" s="765"/>
      <c r="J1422" s="730"/>
      <c r="K1422" s="761"/>
      <c r="L1422" s="761"/>
      <c r="M1422" s="730"/>
      <c r="N1422" s="730"/>
    </row>
    <row r="1423" spans="1:23" s="194" customFormat="1" ht="40.4" customHeight="1" x14ac:dyDescent="0.35">
      <c r="A1423" s="770" t="str">
        <f ca="1">INDIRECT("'update Helper'!C"&amp;U1423)</f>
        <v>a163p000004NtOpAAK</v>
      </c>
      <c r="B1423" s="766">
        <v>21</v>
      </c>
      <c r="C1423" s="760" t="str">
        <f>VLOOKUP(B1423,'Coverage Indicators - Section D'!$A$9:$AU$70,47,FALSE)</f>
        <v/>
      </c>
      <c r="D1423" s="768" t="str">
        <f>R1423</f>
        <v/>
      </c>
      <c r="E1423" s="768" t="str">
        <f>S1423</f>
        <v/>
      </c>
      <c r="F1423" s="413"/>
      <c r="G1423" s="762" t="str">
        <f ca="1">IF(OR(INDIRECT("'update Helper'!E"&amp;U1423)="",F1423&lt;&gt;0,F1424&lt;&gt;0),IF(IFERROR((F1423/F1424),"")="","",(F1423/F1424)),INDIRECT("'update Helper'!E"&amp;U1423)/100)</f>
        <v/>
      </c>
      <c r="H1423" s="743"/>
      <c r="I1423" s="764"/>
      <c r="J1423" s="729"/>
      <c r="K1423" s="760" t="str">
        <f>W1423</f>
        <v/>
      </c>
      <c r="L1423" s="760" t="str">
        <f>V1423</f>
        <v/>
      </c>
      <c r="M1423" s="729"/>
      <c r="N1423" s="729"/>
      <c r="P1423" s="194">
        <f>IF(AND(EXACT(C1423,C1421),C1421&lt;&gt;0),P1421+1,0)</f>
        <v>1</v>
      </c>
      <c r="Q1423" s="194" t="str">
        <f>IF(C1423&lt;&gt;"",C1423&amp;"-"&amp;P1423,"")</f>
        <v/>
      </c>
      <c r="R1423" s="194" t="str">
        <f t="array" ref="R1423">IFERROR(IF(INDEX('Disaggregation Records'!$E$155:$E$385,MATCH(RIGHT(Q1423,255),RIGHT('Disaggregation Records'!$D$155:$D$385,255),0))="","",INDEX('Disaggregation Records'!$E$155:$E$385,MATCH(RIGHT(Q1423,255),RIGHT('Disaggregation Records'!$D$155:$D$385,255),0))),"")</f>
        <v/>
      </c>
      <c r="S1423" s="194" t="str">
        <f t="array" ref="S1423">IFERROR(IF(INDEX('Disaggregation Records'!$F$155:$F$385,MATCH(RIGHT(Q1423,255),RIGHT('Disaggregation Records'!$D$155:$D$385,255),0))="","",INDEX('Disaggregation Records'!$F$155:$F$385,MATCH(RIGHT(Q1423,255),RIGHT('Disaggregation Records'!$D$155:$D$385,255),0))),"")</f>
        <v/>
      </c>
      <c r="T1423" s="194" t="str">
        <f t="array" ref="T1423">IFERROR(IF(INDEX('Disaggregation Records'!$H$155:$H$385,MATCH(RIGHT(Q1423,255),RIGHT('Disaggregation Records'!$D$155:$D$385,255),0))="","",INDEX('Disaggregation Records'!$H$155:$H$385,MATCH(RIGHT(Q1423,255),RIGHT('Disaggregation Records'!$D$155:$D$385,255),0))),"")</f>
        <v/>
      </c>
      <c r="U1423" s="194">
        <f>U1421+1</f>
        <v>2901</v>
      </c>
      <c r="V1423" s="194" t="str">
        <f t="array" ref="V1423">IFERROR(IF(INDEX('Disaggregation Records'!$I$155:$I$385,MATCH(RIGHT(Q1423,255),RIGHT('Disaggregation Records'!$D$155:$D$385,255),0))="","",INDEX('Disaggregation Records'!$I$155:$I$385,MATCH(RIGHT(Q1423,255),RIGHT('Disaggregation Records'!$D$155:$D$385,255),0))),"")</f>
        <v/>
      </c>
      <c r="W1423" s="194" t="str">
        <f>IFERROR(INDEX('Reference Records'!L$77:L$157,MATCH(LEFT(C1423,255),'Reference Records'!E$77:E$157,0)),"")</f>
        <v/>
      </c>
    </row>
    <row r="1424" spans="1:23" s="194" customFormat="1" ht="40.4" customHeight="1" x14ac:dyDescent="0.35">
      <c r="A1424" s="770"/>
      <c r="B1424" s="767"/>
      <c r="C1424" s="761"/>
      <c r="D1424" s="769"/>
      <c r="E1424" s="769"/>
      <c r="F1424" s="208"/>
      <c r="G1424" s="763"/>
      <c r="H1424" s="744"/>
      <c r="I1424" s="765"/>
      <c r="J1424" s="730"/>
      <c r="K1424" s="761"/>
      <c r="L1424" s="761"/>
      <c r="M1424" s="730"/>
      <c r="N1424" s="730"/>
    </row>
    <row r="1425" spans="1:23" s="194" customFormat="1" ht="40.4" customHeight="1" x14ac:dyDescent="0.35">
      <c r="A1425" s="770" t="str">
        <f ca="1">INDIRECT("'update Helper'!C"&amp;U1425)</f>
        <v>a163p000004NtOqAAK</v>
      </c>
      <c r="B1425" s="766">
        <v>21</v>
      </c>
      <c r="C1425" s="760" t="str">
        <f>VLOOKUP(B1425,'Coverage Indicators - Section D'!$A$9:$AU$70,47,FALSE)</f>
        <v/>
      </c>
      <c r="D1425" s="768" t="str">
        <f>R1425</f>
        <v/>
      </c>
      <c r="E1425" s="768" t="str">
        <f>S1425</f>
        <v/>
      </c>
      <c r="F1425" s="413"/>
      <c r="G1425" s="762" t="str">
        <f ca="1">IF(OR(INDIRECT("'update Helper'!E"&amp;U1425)="",F1425&lt;&gt;0,F1426&lt;&gt;0),IF(IFERROR((F1425/F1426),"")="","",(F1425/F1426)),INDIRECT("'update Helper'!E"&amp;U1425)/100)</f>
        <v/>
      </c>
      <c r="H1425" s="743"/>
      <c r="I1425" s="764"/>
      <c r="J1425" s="729"/>
      <c r="K1425" s="760" t="str">
        <f>W1425</f>
        <v/>
      </c>
      <c r="L1425" s="760" t="str">
        <f>V1425</f>
        <v/>
      </c>
      <c r="M1425" s="729"/>
      <c r="N1425" s="729"/>
      <c r="P1425" s="194">
        <f>IF(AND(EXACT(C1425,C1423),C1423&lt;&gt;0),P1423+1,0)</f>
        <v>2</v>
      </c>
      <c r="Q1425" s="194" t="str">
        <f>IF(C1425&lt;&gt;"",C1425&amp;"-"&amp;P1425,"")</f>
        <v/>
      </c>
      <c r="R1425" s="194" t="str">
        <f t="array" ref="R1425">IFERROR(IF(INDEX('Disaggregation Records'!$E$155:$E$385,MATCH(RIGHT(Q1425,255),RIGHT('Disaggregation Records'!$D$155:$D$385,255),0))="","",INDEX('Disaggregation Records'!$E$155:$E$385,MATCH(RIGHT(Q1425,255),RIGHT('Disaggregation Records'!$D$155:$D$385,255),0))),"")</f>
        <v/>
      </c>
      <c r="S1425" s="194" t="str">
        <f t="array" ref="S1425">IFERROR(IF(INDEX('Disaggregation Records'!$F$155:$F$385,MATCH(RIGHT(Q1425,255),RIGHT('Disaggregation Records'!$D$155:$D$385,255),0))="","",INDEX('Disaggregation Records'!$F$155:$F$385,MATCH(RIGHT(Q1425,255),RIGHT('Disaggregation Records'!$D$155:$D$385,255),0))),"")</f>
        <v/>
      </c>
      <c r="T1425" s="194" t="str">
        <f t="array" ref="T1425">IFERROR(IF(INDEX('Disaggregation Records'!$H$155:$H$385,MATCH(RIGHT(Q1425,255),RIGHT('Disaggregation Records'!$D$155:$D$385,255),0))="","",INDEX('Disaggregation Records'!$H$155:$H$385,MATCH(RIGHT(Q1425,255),RIGHT('Disaggregation Records'!$D$155:$D$385,255),0))),"")</f>
        <v/>
      </c>
      <c r="U1425" s="194">
        <f>U1423+1</f>
        <v>2902</v>
      </c>
      <c r="V1425" s="194" t="str">
        <f t="array" ref="V1425">IFERROR(IF(INDEX('Disaggregation Records'!$I$155:$I$385,MATCH(RIGHT(Q1425,255),RIGHT('Disaggregation Records'!$D$155:$D$385,255),0))="","",INDEX('Disaggregation Records'!$I$155:$I$385,MATCH(RIGHT(Q1425,255),RIGHT('Disaggregation Records'!$D$155:$D$385,255),0))),"")</f>
        <v/>
      </c>
      <c r="W1425" s="194" t="str">
        <f>IFERROR(INDEX('Reference Records'!L$77:L$157,MATCH(LEFT(C1425,255),'Reference Records'!E$77:E$157,0)),"")</f>
        <v/>
      </c>
    </row>
    <row r="1426" spans="1:23" s="194" customFormat="1" ht="40.4" customHeight="1" x14ac:dyDescent="0.35">
      <c r="A1426" s="770"/>
      <c r="B1426" s="767"/>
      <c r="C1426" s="761"/>
      <c r="D1426" s="769"/>
      <c r="E1426" s="769"/>
      <c r="F1426" s="208"/>
      <c r="G1426" s="763"/>
      <c r="H1426" s="744"/>
      <c r="I1426" s="765"/>
      <c r="J1426" s="730"/>
      <c r="K1426" s="761"/>
      <c r="L1426" s="761"/>
      <c r="M1426" s="730"/>
      <c r="N1426" s="730"/>
    </row>
    <row r="1427" spans="1:23" s="194" customFormat="1" ht="40.4" customHeight="1" x14ac:dyDescent="0.35">
      <c r="A1427" s="770" t="str">
        <f ca="1">INDIRECT("'update Helper'!C"&amp;U1427)</f>
        <v>a163p000004NtOrAAK</v>
      </c>
      <c r="B1427" s="766">
        <v>21</v>
      </c>
      <c r="C1427" s="760" t="str">
        <f>VLOOKUP(B1427,'Coverage Indicators - Section D'!$A$9:$AU$70,47,FALSE)</f>
        <v/>
      </c>
      <c r="D1427" s="768" t="str">
        <f>R1427</f>
        <v/>
      </c>
      <c r="E1427" s="768" t="str">
        <f>S1427</f>
        <v/>
      </c>
      <c r="F1427" s="413"/>
      <c r="G1427" s="762" t="str">
        <f ca="1">IF(OR(INDIRECT("'update Helper'!E"&amp;U1427)="",F1427&lt;&gt;0,F1428&lt;&gt;0),IF(IFERROR((F1427/F1428),"")="","",(F1427/F1428)),INDIRECT("'update Helper'!E"&amp;U1427)/100)</f>
        <v/>
      </c>
      <c r="H1427" s="743"/>
      <c r="I1427" s="764"/>
      <c r="J1427" s="729"/>
      <c r="K1427" s="760" t="str">
        <f>W1427</f>
        <v/>
      </c>
      <c r="L1427" s="760" t="str">
        <f>V1427</f>
        <v/>
      </c>
      <c r="M1427" s="729"/>
      <c r="N1427" s="729"/>
      <c r="P1427" s="194">
        <f>IF(AND(EXACT(C1427,C1425),C1425&lt;&gt;0),P1425+1,0)</f>
        <v>3</v>
      </c>
      <c r="Q1427" s="194" t="str">
        <f>IF(C1427&lt;&gt;"",C1427&amp;"-"&amp;P1427,"")</f>
        <v/>
      </c>
      <c r="R1427" s="194" t="str">
        <f t="array" ref="R1427">IFERROR(IF(INDEX('Disaggregation Records'!$E$155:$E$385,MATCH(RIGHT(Q1427,255),RIGHT('Disaggregation Records'!$D$155:$D$385,255),0))="","",INDEX('Disaggregation Records'!$E$155:$E$385,MATCH(RIGHT(Q1427,255),RIGHT('Disaggregation Records'!$D$155:$D$385,255),0))),"")</f>
        <v/>
      </c>
      <c r="S1427" s="194" t="str">
        <f t="array" ref="S1427">IFERROR(IF(INDEX('Disaggregation Records'!$F$155:$F$385,MATCH(RIGHT(Q1427,255),RIGHT('Disaggregation Records'!$D$155:$D$385,255),0))="","",INDEX('Disaggregation Records'!$F$155:$F$385,MATCH(RIGHT(Q1427,255),RIGHT('Disaggregation Records'!$D$155:$D$385,255),0))),"")</f>
        <v/>
      </c>
      <c r="T1427" s="194" t="str">
        <f t="array" ref="T1427">IFERROR(IF(INDEX('Disaggregation Records'!$H$155:$H$385,MATCH(RIGHT(Q1427,255),RIGHT('Disaggregation Records'!$D$155:$D$385,255),0))="","",INDEX('Disaggregation Records'!$H$155:$H$385,MATCH(RIGHT(Q1427,255),RIGHT('Disaggregation Records'!$D$155:$D$385,255),0))),"")</f>
        <v/>
      </c>
      <c r="U1427" s="194">
        <f>U1425+1</f>
        <v>2903</v>
      </c>
      <c r="V1427" s="194" t="str">
        <f t="array" ref="V1427">IFERROR(IF(INDEX('Disaggregation Records'!$I$155:$I$385,MATCH(RIGHT(Q1427,255),RIGHT('Disaggregation Records'!$D$155:$D$385,255),0))="","",INDEX('Disaggregation Records'!$I$155:$I$385,MATCH(RIGHT(Q1427,255),RIGHT('Disaggregation Records'!$D$155:$D$385,255),0))),"")</f>
        <v/>
      </c>
      <c r="W1427" s="194" t="str">
        <f>IFERROR(INDEX('Reference Records'!L$77:L$157,MATCH(LEFT(C1427,255),'Reference Records'!E$77:E$157,0)),"")</f>
        <v/>
      </c>
    </row>
    <row r="1428" spans="1:23" s="194" customFormat="1" ht="40.4" customHeight="1" x14ac:dyDescent="0.35">
      <c r="A1428" s="770"/>
      <c r="B1428" s="767"/>
      <c r="C1428" s="761"/>
      <c r="D1428" s="769"/>
      <c r="E1428" s="769"/>
      <c r="F1428" s="208"/>
      <c r="G1428" s="763"/>
      <c r="H1428" s="744"/>
      <c r="I1428" s="765"/>
      <c r="J1428" s="730"/>
      <c r="K1428" s="761"/>
      <c r="L1428" s="761"/>
      <c r="M1428" s="730"/>
      <c r="N1428" s="730"/>
    </row>
    <row r="1429" spans="1:23" s="194" customFormat="1" ht="40.4" customHeight="1" x14ac:dyDescent="0.35">
      <c r="A1429" s="770" t="str">
        <f ca="1">INDIRECT("'update Helper'!C"&amp;U1429)</f>
        <v>a163p000004NtOsAAK</v>
      </c>
      <c r="B1429" s="766">
        <v>21</v>
      </c>
      <c r="C1429" s="760" t="str">
        <f>VLOOKUP(B1429,'Coverage Indicators - Section D'!$A$9:$AU$70,47,FALSE)</f>
        <v/>
      </c>
      <c r="D1429" s="768" t="str">
        <f>R1429</f>
        <v/>
      </c>
      <c r="E1429" s="768" t="str">
        <f>S1429</f>
        <v/>
      </c>
      <c r="F1429" s="413"/>
      <c r="G1429" s="762" t="str">
        <f ca="1">IF(OR(INDIRECT("'update Helper'!E"&amp;U1429)="",F1429&lt;&gt;0,F1430&lt;&gt;0),IF(IFERROR((F1429/F1430),"")="","",(F1429/F1430)),INDIRECT("'update Helper'!E"&amp;U1429)/100)</f>
        <v/>
      </c>
      <c r="H1429" s="743"/>
      <c r="I1429" s="764"/>
      <c r="J1429" s="729"/>
      <c r="K1429" s="760" t="str">
        <f>W1429</f>
        <v/>
      </c>
      <c r="L1429" s="760" t="str">
        <f>V1429</f>
        <v/>
      </c>
      <c r="M1429" s="729"/>
      <c r="N1429" s="729"/>
      <c r="P1429" s="194">
        <f>IF(AND(EXACT(C1429,C1427),C1427&lt;&gt;0),P1427+1,0)</f>
        <v>4</v>
      </c>
      <c r="Q1429" s="194" t="str">
        <f>IF(C1429&lt;&gt;"",C1429&amp;"-"&amp;P1429,"")</f>
        <v/>
      </c>
      <c r="R1429" s="194" t="str">
        <f t="array" ref="R1429">IFERROR(IF(INDEX('Disaggregation Records'!$E$155:$E$385,MATCH(RIGHT(Q1429,255),RIGHT('Disaggregation Records'!$D$155:$D$385,255),0))="","",INDEX('Disaggregation Records'!$E$155:$E$385,MATCH(RIGHT(Q1429,255),RIGHT('Disaggregation Records'!$D$155:$D$385,255),0))),"")</f>
        <v/>
      </c>
      <c r="S1429" s="194" t="str">
        <f t="array" ref="S1429">IFERROR(IF(INDEX('Disaggregation Records'!$F$155:$F$385,MATCH(RIGHT(Q1429,255),RIGHT('Disaggregation Records'!$D$155:$D$385,255),0))="","",INDEX('Disaggregation Records'!$F$155:$F$385,MATCH(RIGHT(Q1429,255),RIGHT('Disaggregation Records'!$D$155:$D$385,255),0))),"")</f>
        <v/>
      </c>
      <c r="T1429" s="194" t="str">
        <f t="array" ref="T1429">IFERROR(IF(INDEX('Disaggregation Records'!$H$155:$H$385,MATCH(RIGHT(Q1429,255),RIGHT('Disaggregation Records'!$D$155:$D$385,255),0))="","",INDEX('Disaggregation Records'!$H$155:$H$385,MATCH(RIGHT(Q1429,255),RIGHT('Disaggregation Records'!$D$155:$D$385,255),0))),"")</f>
        <v/>
      </c>
      <c r="U1429" s="194">
        <f>U1427+1</f>
        <v>2904</v>
      </c>
      <c r="V1429" s="194" t="str">
        <f t="array" ref="V1429">IFERROR(IF(INDEX('Disaggregation Records'!$I$155:$I$385,MATCH(RIGHT(Q1429,255),RIGHT('Disaggregation Records'!$D$155:$D$385,255),0))="","",INDEX('Disaggregation Records'!$I$155:$I$385,MATCH(RIGHT(Q1429,255),RIGHT('Disaggregation Records'!$D$155:$D$385,255),0))),"")</f>
        <v/>
      </c>
      <c r="W1429" s="194" t="str">
        <f>IFERROR(INDEX('Reference Records'!L$77:L$157,MATCH(LEFT(C1429,255),'Reference Records'!E$77:E$157,0)),"")</f>
        <v/>
      </c>
    </row>
    <row r="1430" spans="1:23" s="194" customFormat="1" ht="40.4" customHeight="1" x14ac:dyDescent="0.35">
      <c r="A1430" s="770"/>
      <c r="B1430" s="767"/>
      <c r="C1430" s="761"/>
      <c r="D1430" s="769"/>
      <c r="E1430" s="769"/>
      <c r="F1430" s="208"/>
      <c r="G1430" s="763"/>
      <c r="H1430" s="744"/>
      <c r="I1430" s="765"/>
      <c r="J1430" s="730"/>
      <c r="K1430" s="761"/>
      <c r="L1430" s="761"/>
      <c r="M1430" s="730"/>
      <c r="N1430" s="730"/>
    </row>
    <row r="1431" spans="1:23" s="194" customFormat="1" ht="40.4" customHeight="1" x14ac:dyDescent="0.35">
      <c r="A1431" s="770" t="str">
        <f ca="1">INDIRECT("'update Helper'!C"&amp;U1431)</f>
        <v>a163p000004NtOtAAK</v>
      </c>
      <c r="B1431" s="766">
        <v>21</v>
      </c>
      <c r="C1431" s="760" t="str">
        <f>VLOOKUP(B1431,'Coverage Indicators - Section D'!$A$9:$AU$70,47,FALSE)</f>
        <v/>
      </c>
      <c r="D1431" s="768" t="str">
        <f>R1431</f>
        <v/>
      </c>
      <c r="E1431" s="768" t="str">
        <f>S1431</f>
        <v/>
      </c>
      <c r="F1431" s="413"/>
      <c r="G1431" s="762" t="str">
        <f ca="1">IF(OR(INDIRECT("'update Helper'!E"&amp;U1431)="",F1431&lt;&gt;0,F1432&lt;&gt;0),IF(IFERROR((F1431/F1432),"")="","",(F1431/F1432)),INDIRECT("'update Helper'!E"&amp;U1431)/100)</f>
        <v/>
      </c>
      <c r="H1431" s="743"/>
      <c r="I1431" s="764"/>
      <c r="J1431" s="729"/>
      <c r="K1431" s="760" t="str">
        <f>W1431</f>
        <v/>
      </c>
      <c r="L1431" s="760" t="str">
        <f>V1431</f>
        <v/>
      </c>
      <c r="M1431" s="729"/>
      <c r="N1431" s="729"/>
      <c r="P1431" s="194">
        <f>IF(AND(EXACT(C1431,C1429),C1429&lt;&gt;0),P1429+1,0)</f>
        <v>5</v>
      </c>
      <c r="Q1431" s="194" t="str">
        <f>IF(C1431&lt;&gt;"",C1431&amp;"-"&amp;P1431,"")</f>
        <v/>
      </c>
      <c r="R1431" s="194" t="str">
        <f t="array" ref="R1431">IFERROR(IF(INDEX('Disaggregation Records'!$E$155:$E$385,MATCH(RIGHT(Q1431,255),RIGHT('Disaggregation Records'!$D$155:$D$385,255),0))="","",INDEX('Disaggregation Records'!$E$155:$E$385,MATCH(RIGHT(Q1431,255),RIGHT('Disaggregation Records'!$D$155:$D$385,255),0))),"")</f>
        <v/>
      </c>
      <c r="S1431" s="194" t="str">
        <f t="array" ref="S1431">IFERROR(IF(INDEX('Disaggregation Records'!$F$155:$F$385,MATCH(RIGHT(Q1431,255),RIGHT('Disaggregation Records'!$D$155:$D$385,255),0))="","",INDEX('Disaggregation Records'!$F$155:$F$385,MATCH(RIGHT(Q1431,255),RIGHT('Disaggregation Records'!$D$155:$D$385,255),0))),"")</f>
        <v/>
      </c>
      <c r="T1431" s="194" t="str">
        <f t="array" ref="T1431">IFERROR(IF(INDEX('Disaggregation Records'!$H$155:$H$385,MATCH(RIGHT(Q1431,255),RIGHT('Disaggregation Records'!$D$155:$D$385,255),0))="","",INDEX('Disaggregation Records'!$H$155:$H$385,MATCH(RIGHT(Q1431,255),RIGHT('Disaggregation Records'!$D$155:$D$385,255),0))),"")</f>
        <v/>
      </c>
      <c r="U1431" s="194">
        <f>U1429+1</f>
        <v>2905</v>
      </c>
      <c r="V1431" s="194" t="str">
        <f t="array" ref="V1431">IFERROR(IF(INDEX('Disaggregation Records'!$I$155:$I$385,MATCH(RIGHT(Q1431,255),RIGHT('Disaggregation Records'!$D$155:$D$385,255),0))="","",INDEX('Disaggregation Records'!$I$155:$I$385,MATCH(RIGHT(Q1431,255),RIGHT('Disaggregation Records'!$D$155:$D$385,255),0))),"")</f>
        <v/>
      </c>
      <c r="W1431" s="194" t="str">
        <f>IFERROR(INDEX('Reference Records'!L$77:L$157,MATCH(LEFT(C1431,255),'Reference Records'!E$77:E$157,0)),"")</f>
        <v/>
      </c>
    </row>
    <row r="1432" spans="1:23" s="194" customFormat="1" ht="40.4" customHeight="1" x14ac:dyDescent="0.35">
      <c r="A1432" s="770"/>
      <c r="B1432" s="767"/>
      <c r="C1432" s="761"/>
      <c r="D1432" s="769"/>
      <c r="E1432" s="769"/>
      <c r="F1432" s="208"/>
      <c r="G1432" s="763"/>
      <c r="H1432" s="744"/>
      <c r="I1432" s="765"/>
      <c r="J1432" s="730"/>
      <c r="K1432" s="761"/>
      <c r="L1432" s="761"/>
      <c r="M1432" s="730"/>
      <c r="N1432" s="730"/>
    </row>
    <row r="1433" spans="1:23" s="194" customFormat="1" ht="40.4" customHeight="1" x14ac:dyDescent="0.35">
      <c r="A1433" s="770" t="str">
        <f ca="1">INDIRECT("'update Helper'!C"&amp;U1433)</f>
        <v>a163p000004NtOuAAK</v>
      </c>
      <c r="B1433" s="766">
        <v>21</v>
      </c>
      <c r="C1433" s="760" t="str">
        <f>VLOOKUP(B1433,'Coverage Indicators - Section D'!$A$9:$AU$70,47,FALSE)</f>
        <v/>
      </c>
      <c r="D1433" s="768" t="str">
        <f>R1433</f>
        <v/>
      </c>
      <c r="E1433" s="768" t="str">
        <f>S1433</f>
        <v/>
      </c>
      <c r="F1433" s="413"/>
      <c r="G1433" s="762" t="str">
        <f ca="1">IF(OR(INDIRECT("'update Helper'!E"&amp;U1433)="",F1433&lt;&gt;0,F1434&lt;&gt;0),IF(IFERROR((F1433/F1434),"")="","",(F1433/F1434)),INDIRECT("'update Helper'!E"&amp;U1433)/100)</f>
        <v/>
      </c>
      <c r="H1433" s="743"/>
      <c r="I1433" s="764"/>
      <c r="J1433" s="729"/>
      <c r="K1433" s="760" t="str">
        <f>W1433</f>
        <v/>
      </c>
      <c r="L1433" s="760" t="str">
        <f>V1433</f>
        <v/>
      </c>
      <c r="M1433" s="729"/>
      <c r="N1433" s="729"/>
      <c r="P1433" s="194">
        <f>IF(AND(EXACT(C1433,C1431),C1431&lt;&gt;0),P1431+1,0)</f>
        <v>6</v>
      </c>
      <c r="Q1433" s="194" t="str">
        <f>IF(C1433&lt;&gt;"",C1433&amp;"-"&amp;P1433,"")</f>
        <v/>
      </c>
      <c r="R1433" s="194" t="str">
        <f t="array" ref="R1433">IFERROR(IF(INDEX('Disaggregation Records'!$E$155:$E$385,MATCH(RIGHT(Q1433,255),RIGHT('Disaggregation Records'!$D$155:$D$385,255),0))="","",INDEX('Disaggregation Records'!$E$155:$E$385,MATCH(RIGHT(Q1433,255),RIGHT('Disaggregation Records'!$D$155:$D$385,255),0))),"")</f>
        <v/>
      </c>
      <c r="S1433" s="194" t="str">
        <f t="array" ref="S1433">IFERROR(IF(INDEX('Disaggregation Records'!$F$155:$F$385,MATCH(RIGHT(Q1433,255),RIGHT('Disaggregation Records'!$D$155:$D$385,255),0))="","",INDEX('Disaggregation Records'!$F$155:$F$385,MATCH(RIGHT(Q1433,255),RIGHT('Disaggregation Records'!$D$155:$D$385,255),0))),"")</f>
        <v/>
      </c>
      <c r="T1433" s="194" t="str">
        <f t="array" ref="T1433">IFERROR(IF(INDEX('Disaggregation Records'!$H$155:$H$385,MATCH(RIGHT(Q1433,255),RIGHT('Disaggregation Records'!$D$155:$D$385,255),0))="","",INDEX('Disaggregation Records'!$H$155:$H$385,MATCH(RIGHT(Q1433,255),RIGHT('Disaggregation Records'!$D$155:$D$385,255),0))),"")</f>
        <v/>
      </c>
      <c r="U1433" s="194">
        <f>U1431+1</f>
        <v>2906</v>
      </c>
      <c r="V1433" s="194" t="str">
        <f t="array" ref="V1433">IFERROR(IF(INDEX('Disaggregation Records'!$I$155:$I$385,MATCH(RIGHT(Q1433,255),RIGHT('Disaggregation Records'!$D$155:$D$385,255),0))="","",INDEX('Disaggregation Records'!$I$155:$I$385,MATCH(RIGHT(Q1433,255),RIGHT('Disaggregation Records'!$D$155:$D$385,255),0))),"")</f>
        <v/>
      </c>
      <c r="W1433" s="194" t="str">
        <f>IFERROR(INDEX('Reference Records'!L$77:L$157,MATCH(LEFT(C1433,255),'Reference Records'!E$77:E$157,0)),"")</f>
        <v/>
      </c>
    </row>
    <row r="1434" spans="1:23" s="194" customFormat="1" ht="40.4" customHeight="1" x14ac:dyDescent="0.35">
      <c r="A1434" s="770"/>
      <c r="B1434" s="767"/>
      <c r="C1434" s="761"/>
      <c r="D1434" s="769"/>
      <c r="E1434" s="769"/>
      <c r="F1434" s="208"/>
      <c r="G1434" s="763"/>
      <c r="H1434" s="744"/>
      <c r="I1434" s="765"/>
      <c r="J1434" s="730"/>
      <c r="K1434" s="761"/>
      <c r="L1434" s="761"/>
      <c r="M1434" s="730"/>
      <c r="N1434" s="730"/>
    </row>
    <row r="1435" spans="1:23" s="194" customFormat="1" ht="40.4" customHeight="1" x14ac:dyDescent="0.35">
      <c r="A1435" s="770" t="str">
        <f ca="1">INDIRECT("'update Helper'!C"&amp;U1435)</f>
        <v>a163p000004NtOvAAK</v>
      </c>
      <c r="B1435" s="766">
        <v>21</v>
      </c>
      <c r="C1435" s="760" t="str">
        <f>VLOOKUP(B1435,'Coverage Indicators - Section D'!$A$9:$AU$70,47,FALSE)</f>
        <v/>
      </c>
      <c r="D1435" s="768" t="str">
        <f>R1435</f>
        <v/>
      </c>
      <c r="E1435" s="768" t="str">
        <f>S1435</f>
        <v/>
      </c>
      <c r="F1435" s="413"/>
      <c r="G1435" s="762" t="str">
        <f ca="1">IF(OR(INDIRECT("'update Helper'!E"&amp;U1435)="",F1435&lt;&gt;0,F1436&lt;&gt;0),IF(IFERROR((F1435/F1436),"")="","",(F1435/F1436)),INDIRECT("'update Helper'!E"&amp;U1435)/100)</f>
        <v/>
      </c>
      <c r="H1435" s="743"/>
      <c r="I1435" s="764"/>
      <c r="J1435" s="729"/>
      <c r="K1435" s="760" t="str">
        <f>W1435</f>
        <v/>
      </c>
      <c r="L1435" s="760" t="str">
        <f>V1435</f>
        <v/>
      </c>
      <c r="M1435" s="729"/>
      <c r="N1435" s="729"/>
      <c r="P1435" s="194">
        <f>IF(AND(EXACT(C1435,C1433),C1433&lt;&gt;0),P1433+1,0)</f>
        <v>7</v>
      </c>
      <c r="Q1435" s="194" t="str">
        <f>IF(C1435&lt;&gt;"",C1435&amp;"-"&amp;P1435,"")</f>
        <v/>
      </c>
      <c r="R1435" s="194" t="str">
        <f t="array" ref="R1435">IFERROR(IF(INDEX('Disaggregation Records'!$E$155:$E$385,MATCH(RIGHT(Q1435,255),RIGHT('Disaggregation Records'!$D$155:$D$385,255),0))="","",INDEX('Disaggregation Records'!$E$155:$E$385,MATCH(RIGHT(Q1435,255),RIGHT('Disaggregation Records'!$D$155:$D$385,255),0))),"")</f>
        <v/>
      </c>
      <c r="S1435" s="194" t="str">
        <f t="array" ref="S1435">IFERROR(IF(INDEX('Disaggregation Records'!$F$155:$F$385,MATCH(RIGHT(Q1435,255),RIGHT('Disaggregation Records'!$D$155:$D$385,255),0))="","",INDEX('Disaggregation Records'!$F$155:$F$385,MATCH(RIGHT(Q1435,255),RIGHT('Disaggregation Records'!$D$155:$D$385,255),0))),"")</f>
        <v/>
      </c>
      <c r="T1435" s="194" t="str">
        <f t="array" ref="T1435">IFERROR(IF(INDEX('Disaggregation Records'!$H$155:$H$385,MATCH(RIGHT(Q1435,255),RIGHT('Disaggregation Records'!$D$155:$D$385,255),0))="","",INDEX('Disaggregation Records'!$H$155:$H$385,MATCH(RIGHT(Q1435,255),RIGHT('Disaggregation Records'!$D$155:$D$385,255),0))),"")</f>
        <v/>
      </c>
      <c r="U1435" s="194">
        <f>U1433+1</f>
        <v>2907</v>
      </c>
      <c r="V1435" s="194" t="str">
        <f t="array" ref="V1435">IFERROR(IF(INDEX('Disaggregation Records'!$I$155:$I$385,MATCH(RIGHT(Q1435,255),RIGHT('Disaggregation Records'!$D$155:$D$385,255),0))="","",INDEX('Disaggregation Records'!$I$155:$I$385,MATCH(RIGHT(Q1435,255),RIGHT('Disaggregation Records'!$D$155:$D$385,255),0))),"")</f>
        <v/>
      </c>
      <c r="W1435" s="194" t="str">
        <f>IFERROR(INDEX('Reference Records'!L$77:L$157,MATCH(LEFT(C1435,255),'Reference Records'!E$77:E$157,0)),"")</f>
        <v/>
      </c>
    </row>
    <row r="1436" spans="1:23" s="194" customFormat="1" ht="40.4" customHeight="1" x14ac:dyDescent="0.35">
      <c r="A1436" s="770"/>
      <c r="B1436" s="767"/>
      <c r="C1436" s="761"/>
      <c r="D1436" s="769"/>
      <c r="E1436" s="769"/>
      <c r="F1436" s="208"/>
      <c r="G1436" s="763"/>
      <c r="H1436" s="744"/>
      <c r="I1436" s="765"/>
      <c r="J1436" s="730"/>
      <c r="K1436" s="761"/>
      <c r="L1436" s="761"/>
      <c r="M1436" s="730"/>
      <c r="N1436" s="730"/>
    </row>
    <row r="1437" spans="1:23" s="194" customFormat="1" ht="40.4" customHeight="1" x14ac:dyDescent="0.35">
      <c r="A1437" s="770" t="str">
        <f ca="1">INDIRECT("'update Helper'!C"&amp;U1437)</f>
        <v>a163p000004NtOwAAK</v>
      </c>
      <c r="B1437" s="766">
        <v>21</v>
      </c>
      <c r="C1437" s="760" t="str">
        <f>VLOOKUP(B1437,'Coverage Indicators - Section D'!$A$9:$AU$70,47,FALSE)</f>
        <v/>
      </c>
      <c r="D1437" s="768" t="str">
        <f>R1437</f>
        <v/>
      </c>
      <c r="E1437" s="768" t="str">
        <f>S1437</f>
        <v/>
      </c>
      <c r="F1437" s="413"/>
      <c r="G1437" s="762" t="str">
        <f ca="1">IF(OR(INDIRECT("'update Helper'!E"&amp;U1437)="",F1437&lt;&gt;0,F1438&lt;&gt;0),IF(IFERROR((F1437/F1438),"")="","",(F1437/F1438)),INDIRECT("'update Helper'!E"&amp;U1437)/100)</f>
        <v/>
      </c>
      <c r="H1437" s="743"/>
      <c r="I1437" s="764"/>
      <c r="J1437" s="729"/>
      <c r="K1437" s="760" t="str">
        <f>W1437</f>
        <v/>
      </c>
      <c r="L1437" s="760" t="str">
        <f>V1437</f>
        <v/>
      </c>
      <c r="M1437" s="729"/>
      <c r="N1437" s="729"/>
      <c r="P1437" s="194">
        <f>IF(AND(EXACT(C1437,C1435),C1435&lt;&gt;0),P1435+1,0)</f>
        <v>8</v>
      </c>
      <c r="Q1437" s="194" t="str">
        <f>IF(C1437&lt;&gt;"",C1437&amp;"-"&amp;P1437,"")</f>
        <v/>
      </c>
      <c r="R1437" s="194" t="str">
        <f t="array" ref="R1437">IFERROR(IF(INDEX('Disaggregation Records'!$E$155:$E$385,MATCH(RIGHT(Q1437,255),RIGHT('Disaggregation Records'!$D$155:$D$385,255),0))="","",INDEX('Disaggregation Records'!$E$155:$E$385,MATCH(RIGHT(Q1437,255),RIGHT('Disaggregation Records'!$D$155:$D$385,255),0))),"")</f>
        <v/>
      </c>
      <c r="S1437" s="194" t="str">
        <f t="array" ref="S1437">IFERROR(IF(INDEX('Disaggregation Records'!$F$155:$F$385,MATCH(RIGHT(Q1437,255),RIGHT('Disaggregation Records'!$D$155:$D$385,255),0))="","",INDEX('Disaggregation Records'!$F$155:$F$385,MATCH(RIGHT(Q1437,255),RIGHT('Disaggregation Records'!$D$155:$D$385,255),0))),"")</f>
        <v/>
      </c>
      <c r="T1437" s="194" t="str">
        <f t="array" ref="T1437">IFERROR(IF(INDEX('Disaggregation Records'!$H$155:$H$385,MATCH(RIGHT(Q1437,255),RIGHT('Disaggregation Records'!$D$155:$D$385,255),0))="","",INDEX('Disaggregation Records'!$H$155:$H$385,MATCH(RIGHT(Q1437,255),RIGHT('Disaggregation Records'!$D$155:$D$385,255),0))),"")</f>
        <v/>
      </c>
      <c r="U1437" s="194">
        <f>U1435+1</f>
        <v>2908</v>
      </c>
      <c r="V1437" s="194" t="str">
        <f t="array" ref="V1437">IFERROR(IF(INDEX('Disaggregation Records'!$I$155:$I$385,MATCH(RIGHT(Q1437,255),RIGHT('Disaggregation Records'!$D$155:$D$385,255),0))="","",INDEX('Disaggregation Records'!$I$155:$I$385,MATCH(RIGHT(Q1437,255),RIGHT('Disaggregation Records'!$D$155:$D$385,255),0))),"")</f>
        <v/>
      </c>
      <c r="W1437" s="194" t="str">
        <f>IFERROR(INDEX('Reference Records'!L$77:L$157,MATCH(LEFT(C1437,255),'Reference Records'!E$77:E$157,0)),"")</f>
        <v/>
      </c>
    </row>
    <row r="1438" spans="1:23" s="194" customFormat="1" ht="40.4" customHeight="1" x14ac:dyDescent="0.35">
      <c r="A1438" s="770"/>
      <c r="B1438" s="767"/>
      <c r="C1438" s="761"/>
      <c r="D1438" s="769"/>
      <c r="E1438" s="769"/>
      <c r="F1438" s="208"/>
      <c r="G1438" s="763"/>
      <c r="H1438" s="744"/>
      <c r="I1438" s="765"/>
      <c r="J1438" s="730"/>
      <c r="K1438" s="761"/>
      <c r="L1438" s="761"/>
      <c r="M1438" s="730"/>
      <c r="N1438" s="730"/>
    </row>
    <row r="1439" spans="1:23" s="194" customFormat="1" ht="40.4" customHeight="1" x14ac:dyDescent="0.35">
      <c r="A1439" s="770" t="str">
        <f ca="1">INDIRECT("'update Helper'!C"&amp;U1439)</f>
        <v>a163p000004NtOxAAK</v>
      </c>
      <c r="B1439" s="766">
        <v>21</v>
      </c>
      <c r="C1439" s="760" t="str">
        <f>VLOOKUP(B1439,'Coverage Indicators - Section D'!$A$9:$AU$70,47,FALSE)</f>
        <v/>
      </c>
      <c r="D1439" s="768" t="str">
        <f>R1439</f>
        <v/>
      </c>
      <c r="E1439" s="768" t="str">
        <f>S1439</f>
        <v/>
      </c>
      <c r="F1439" s="413"/>
      <c r="G1439" s="762" t="str">
        <f ca="1">IF(OR(INDIRECT("'update Helper'!E"&amp;U1439)="",F1439&lt;&gt;0,F1440&lt;&gt;0),IF(IFERROR((F1439/F1440),"")="","",(F1439/F1440)),INDIRECT("'update Helper'!E"&amp;U1439)/100)</f>
        <v/>
      </c>
      <c r="H1439" s="743"/>
      <c r="I1439" s="764"/>
      <c r="J1439" s="729"/>
      <c r="K1439" s="760" t="str">
        <f>W1439</f>
        <v/>
      </c>
      <c r="L1439" s="760" t="str">
        <f>V1439</f>
        <v/>
      </c>
      <c r="M1439" s="729"/>
      <c r="N1439" s="729"/>
      <c r="P1439" s="194">
        <f>IF(AND(EXACT(C1439,C1437),C1437&lt;&gt;0),P1437+1,0)</f>
        <v>9</v>
      </c>
      <c r="Q1439" s="194" t="str">
        <f>IF(C1439&lt;&gt;"",C1439&amp;"-"&amp;P1439,"")</f>
        <v/>
      </c>
      <c r="R1439" s="194" t="str">
        <f t="array" ref="R1439">IFERROR(IF(INDEX('Disaggregation Records'!$E$155:$E$385,MATCH(RIGHT(Q1439,255),RIGHT('Disaggregation Records'!$D$155:$D$385,255),0))="","",INDEX('Disaggregation Records'!$E$155:$E$385,MATCH(RIGHT(Q1439,255),RIGHT('Disaggregation Records'!$D$155:$D$385,255),0))),"")</f>
        <v/>
      </c>
      <c r="S1439" s="194" t="str">
        <f t="array" ref="S1439">IFERROR(IF(INDEX('Disaggregation Records'!$F$155:$F$385,MATCH(RIGHT(Q1439,255),RIGHT('Disaggregation Records'!$D$155:$D$385,255),0))="","",INDEX('Disaggregation Records'!$F$155:$F$385,MATCH(RIGHT(Q1439,255),RIGHT('Disaggregation Records'!$D$155:$D$385,255),0))),"")</f>
        <v/>
      </c>
      <c r="T1439" s="194" t="str">
        <f t="array" ref="T1439">IFERROR(IF(INDEX('Disaggregation Records'!$H$155:$H$385,MATCH(RIGHT(Q1439,255),RIGHT('Disaggregation Records'!$D$155:$D$385,255),0))="","",INDEX('Disaggregation Records'!$H$155:$H$385,MATCH(RIGHT(Q1439,255),RIGHT('Disaggregation Records'!$D$155:$D$385,255),0))),"")</f>
        <v/>
      </c>
      <c r="U1439" s="194">
        <f>U1437+1</f>
        <v>2909</v>
      </c>
      <c r="V1439" s="194" t="str">
        <f t="array" ref="V1439">IFERROR(IF(INDEX('Disaggregation Records'!$I$155:$I$385,MATCH(RIGHT(Q1439,255),RIGHT('Disaggregation Records'!$D$155:$D$385,255),0))="","",INDEX('Disaggregation Records'!$I$155:$I$385,MATCH(RIGHT(Q1439,255),RIGHT('Disaggregation Records'!$D$155:$D$385,255),0))),"")</f>
        <v/>
      </c>
      <c r="W1439" s="194" t="str">
        <f>IFERROR(INDEX('Reference Records'!L$77:L$157,MATCH(LEFT(C1439,255),'Reference Records'!E$77:E$157,0)),"")</f>
        <v/>
      </c>
    </row>
    <row r="1440" spans="1:23" s="194" customFormat="1" ht="40.4" customHeight="1" x14ac:dyDescent="0.35">
      <c r="A1440" s="770"/>
      <c r="B1440" s="767"/>
      <c r="C1440" s="761"/>
      <c r="D1440" s="769"/>
      <c r="E1440" s="769"/>
      <c r="F1440" s="208"/>
      <c r="G1440" s="763"/>
      <c r="H1440" s="744"/>
      <c r="I1440" s="765"/>
      <c r="J1440" s="730"/>
      <c r="K1440" s="761"/>
      <c r="L1440" s="761"/>
      <c r="M1440" s="730"/>
      <c r="N1440" s="730"/>
    </row>
    <row r="1441" spans="1:23" s="194" customFormat="1" ht="40.4" customHeight="1" x14ac:dyDescent="0.35">
      <c r="A1441" s="770" t="str">
        <f ca="1">INDIRECT("'update Helper'!C"&amp;U1441)</f>
        <v>a163p000004NtOyAAK</v>
      </c>
      <c r="B1441" s="766">
        <v>21</v>
      </c>
      <c r="C1441" s="760" t="str">
        <f>VLOOKUP(B1441,'Coverage Indicators - Section D'!$A$9:$AU$70,47,FALSE)</f>
        <v/>
      </c>
      <c r="D1441" s="768" t="str">
        <f>R1441</f>
        <v/>
      </c>
      <c r="E1441" s="768" t="str">
        <f>S1441</f>
        <v/>
      </c>
      <c r="F1441" s="413"/>
      <c r="G1441" s="762" t="str">
        <f ca="1">IF(OR(INDIRECT("'update Helper'!E"&amp;U1441)="",F1441&lt;&gt;0,F1442&lt;&gt;0),IF(IFERROR((F1441/F1442),"")="","",(F1441/F1442)),INDIRECT("'update Helper'!E"&amp;U1441)/100)</f>
        <v/>
      </c>
      <c r="H1441" s="743"/>
      <c r="I1441" s="764"/>
      <c r="J1441" s="729"/>
      <c r="K1441" s="760" t="str">
        <f>W1441</f>
        <v/>
      </c>
      <c r="L1441" s="760" t="str">
        <f>V1441</f>
        <v/>
      </c>
      <c r="M1441" s="729"/>
      <c r="N1441" s="729"/>
      <c r="P1441" s="194">
        <f>IF(AND(EXACT(C1441,C1439),C1439&lt;&gt;0),P1439+1,0)</f>
        <v>10</v>
      </c>
      <c r="Q1441" s="194" t="str">
        <f>IF(C1441&lt;&gt;"",C1441&amp;"-"&amp;P1441,"")</f>
        <v/>
      </c>
      <c r="R1441" s="194" t="str">
        <f t="array" ref="R1441">IFERROR(IF(INDEX('Disaggregation Records'!$E$155:$E$385,MATCH(RIGHT(Q1441,255),RIGHT('Disaggregation Records'!$D$155:$D$385,255),0))="","",INDEX('Disaggregation Records'!$E$155:$E$385,MATCH(RIGHT(Q1441,255),RIGHT('Disaggregation Records'!$D$155:$D$385,255),0))),"")</f>
        <v/>
      </c>
      <c r="S1441" s="194" t="str">
        <f t="array" ref="S1441">IFERROR(IF(INDEX('Disaggregation Records'!$F$155:$F$385,MATCH(RIGHT(Q1441,255),RIGHT('Disaggregation Records'!$D$155:$D$385,255),0))="","",INDEX('Disaggregation Records'!$F$155:$F$385,MATCH(RIGHT(Q1441,255),RIGHT('Disaggregation Records'!$D$155:$D$385,255),0))),"")</f>
        <v/>
      </c>
      <c r="T1441" s="194" t="str">
        <f t="array" ref="T1441">IFERROR(IF(INDEX('Disaggregation Records'!$H$155:$H$385,MATCH(RIGHT(Q1441,255),RIGHT('Disaggregation Records'!$D$155:$D$385,255),0))="","",INDEX('Disaggregation Records'!$H$155:$H$385,MATCH(RIGHT(Q1441,255),RIGHT('Disaggregation Records'!$D$155:$D$385,255),0))),"")</f>
        <v/>
      </c>
      <c r="U1441" s="194">
        <f>U1439+1</f>
        <v>2910</v>
      </c>
      <c r="V1441" s="194" t="str">
        <f t="array" ref="V1441">IFERROR(IF(INDEX('Disaggregation Records'!$I$155:$I$385,MATCH(RIGHT(Q1441,255),RIGHT('Disaggregation Records'!$D$155:$D$385,255),0))="","",INDEX('Disaggregation Records'!$I$155:$I$385,MATCH(RIGHT(Q1441,255),RIGHT('Disaggregation Records'!$D$155:$D$385,255),0))),"")</f>
        <v/>
      </c>
      <c r="W1441" s="194" t="str">
        <f>IFERROR(INDEX('Reference Records'!L$77:L$157,MATCH(LEFT(C1441,255),'Reference Records'!E$77:E$157,0)),"")</f>
        <v/>
      </c>
    </row>
    <row r="1442" spans="1:23" s="194" customFormat="1" ht="40.4" customHeight="1" x14ac:dyDescent="0.35">
      <c r="A1442" s="770"/>
      <c r="B1442" s="767"/>
      <c r="C1442" s="761"/>
      <c r="D1442" s="769"/>
      <c r="E1442" s="769"/>
      <c r="F1442" s="208"/>
      <c r="G1442" s="763"/>
      <c r="H1442" s="744"/>
      <c r="I1442" s="765"/>
      <c r="J1442" s="730"/>
      <c r="K1442" s="761"/>
      <c r="L1442" s="761"/>
      <c r="M1442" s="730"/>
      <c r="N1442" s="730"/>
    </row>
    <row r="1443" spans="1:23" s="194" customFormat="1" ht="40.4" customHeight="1" x14ac:dyDescent="0.35">
      <c r="A1443" s="770" t="str">
        <f ca="1">INDIRECT("'update Helper'!C"&amp;U1443)</f>
        <v>a163p000004NtOzAAK</v>
      </c>
      <c r="B1443" s="766">
        <v>21</v>
      </c>
      <c r="C1443" s="760" t="str">
        <f>VLOOKUP(B1443,'Coverage Indicators - Section D'!$A$9:$AU$70,47,FALSE)</f>
        <v/>
      </c>
      <c r="D1443" s="768" t="str">
        <f>R1443</f>
        <v/>
      </c>
      <c r="E1443" s="768" t="str">
        <f>S1443</f>
        <v/>
      </c>
      <c r="F1443" s="413"/>
      <c r="G1443" s="762" t="str">
        <f ca="1">IF(OR(INDIRECT("'update Helper'!E"&amp;U1443)="",F1443&lt;&gt;0,F1444&lt;&gt;0),IF(IFERROR((F1443/F1444),"")="","",(F1443/F1444)),INDIRECT("'update Helper'!E"&amp;U1443)/100)</f>
        <v/>
      </c>
      <c r="H1443" s="743"/>
      <c r="I1443" s="764"/>
      <c r="J1443" s="729"/>
      <c r="K1443" s="760" t="str">
        <f>W1443</f>
        <v/>
      </c>
      <c r="L1443" s="760" t="str">
        <f>V1443</f>
        <v/>
      </c>
      <c r="M1443" s="729"/>
      <c r="N1443" s="729"/>
      <c r="P1443" s="194">
        <f>IF(AND(EXACT(C1443,C1441),C1441&lt;&gt;0),P1441+1,0)</f>
        <v>11</v>
      </c>
      <c r="Q1443" s="194" t="str">
        <f>IF(C1443&lt;&gt;"",C1443&amp;"-"&amp;P1443,"")</f>
        <v/>
      </c>
      <c r="R1443" s="194" t="str">
        <f t="array" ref="R1443">IFERROR(IF(INDEX('Disaggregation Records'!$E$155:$E$385,MATCH(RIGHT(Q1443,255),RIGHT('Disaggregation Records'!$D$155:$D$385,255),0))="","",INDEX('Disaggregation Records'!$E$155:$E$385,MATCH(RIGHT(Q1443,255),RIGHT('Disaggregation Records'!$D$155:$D$385,255),0))),"")</f>
        <v/>
      </c>
      <c r="S1443" s="194" t="str">
        <f t="array" ref="S1443">IFERROR(IF(INDEX('Disaggregation Records'!$F$155:$F$385,MATCH(RIGHT(Q1443,255),RIGHT('Disaggregation Records'!$D$155:$D$385,255),0))="","",INDEX('Disaggregation Records'!$F$155:$F$385,MATCH(RIGHT(Q1443,255),RIGHT('Disaggregation Records'!$D$155:$D$385,255),0))),"")</f>
        <v/>
      </c>
      <c r="T1443" s="194" t="str">
        <f t="array" ref="T1443">IFERROR(IF(INDEX('Disaggregation Records'!$H$155:$H$385,MATCH(RIGHT(Q1443,255),RIGHT('Disaggregation Records'!$D$155:$D$385,255),0))="","",INDEX('Disaggregation Records'!$H$155:$H$385,MATCH(RIGHT(Q1443,255),RIGHT('Disaggregation Records'!$D$155:$D$385,255),0))),"")</f>
        <v/>
      </c>
      <c r="U1443" s="194">
        <f>U1441+1</f>
        <v>2911</v>
      </c>
      <c r="V1443" s="194" t="str">
        <f t="array" ref="V1443">IFERROR(IF(INDEX('Disaggregation Records'!$I$155:$I$385,MATCH(RIGHT(Q1443,255),RIGHT('Disaggregation Records'!$D$155:$D$385,255),0))="","",INDEX('Disaggregation Records'!$I$155:$I$385,MATCH(RIGHT(Q1443,255),RIGHT('Disaggregation Records'!$D$155:$D$385,255),0))),"")</f>
        <v/>
      </c>
      <c r="W1443" s="194" t="str">
        <f>IFERROR(INDEX('Reference Records'!L$77:L$157,MATCH(LEFT(C1443,255),'Reference Records'!E$77:E$157,0)),"")</f>
        <v/>
      </c>
    </row>
    <row r="1444" spans="1:23" s="194" customFormat="1" ht="40.4" customHeight="1" x14ac:dyDescent="0.35">
      <c r="A1444" s="770"/>
      <c r="B1444" s="767"/>
      <c r="C1444" s="761"/>
      <c r="D1444" s="769"/>
      <c r="E1444" s="769"/>
      <c r="F1444" s="208"/>
      <c r="G1444" s="763"/>
      <c r="H1444" s="744"/>
      <c r="I1444" s="765"/>
      <c r="J1444" s="730"/>
      <c r="K1444" s="761"/>
      <c r="L1444" s="761"/>
      <c r="M1444" s="730"/>
      <c r="N1444" s="730"/>
    </row>
    <row r="1445" spans="1:23" s="194" customFormat="1" ht="40.4" customHeight="1" x14ac:dyDescent="0.35">
      <c r="A1445" s="770" t="str">
        <f ca="1">INDIRECT("'update Helper'!C"&amp;U1445)</f>
        <v>a163p000004NtP0AAK</v>
      </c>
      <c r="B1445" s="766">
        <v>21</v>
      </c>
      <c r="C1445" s="760" t="str">
        <f>VLOOKUP(B1445,'Coverage Indicators - Section D'!$A$9:$AU$70,47,FALSE)</f>
        <v/>
      </c>
      <c r="D1445" s="768" t="str">
        <f>R1445</f>
        <v/>
      </c>
      <c r="E1445" s="768" t="str">
        <f>S1445</f>
        <v/>
      </c>
      <c r="F1445" s="413"/>
      <c r="G1445" s="762" t="str">
        <f ca="1">IF(OR(INDIRECT("'update Helper'!E"&amp;U1445)="",F1445&lt;&gt;0,F1446&lt;&gt;0),IF(IFERROR((F1445/F1446),"")="","",(F1445/F1446)),INDIRECT("'update Helper'!E"&amp;U1445)/100)</f>
        <v/>
      </c>
      <c r="H1445" s="743"/>
      <c r="I1445" s="764"/>
      <c r="J1445" s="729"/>
      <c r="K1445" s="760" t="str">
        <f>W1445</f>
        <v/>
      </c>
      <c r="L1445" s="760" t="str">
        <f>V1445</f>
        <v/>
      </c>
      <c r="M1445" s="729"/>
      <c r="N1445" s="729"/>
      <c r="P1445" s="194">
        <f>IF(AND(EXACT(C1445,C1443),C1443&lt;&gt;0),P1443+1,0)</f>
        <v>12</v>
      </c>
      <c r="Q1445" s="194" t="str">
        <f>IF(C1445&lt;&gt;"",C1445&amp;"-"&amp;P1445,"")</f>
        <v/>
      </c>
      <c r="R1445" s="194" t="str">
        <f t="array" ref="R1445">IFERROR(IF(INDEX('Disaggregation Records'!$E$155:$E$385,MATCH(RIGHT(Q1445,255),RIGHT('Disaggregation Records'!$D$155:$D$385,255),0))="","",INDEX('Disaggregation Records'!$E$155:$E$385,MATCH(RIGHT(Q1445,255),RIGHT('Disaggregation Records'!$D$155:$D$385,255),0))),"")</f>
        <v/>
      </c>
      <c r="S1445" s="194" t="str">
        <f t="array" ref="S1445">IFERROR(IF(INDEX('Disaggregation Records'!$F$155:$F$385,MATCH(RIGHT(Q1445,255),RIGHT('Disaggregation Records'!$D$155:$D$385,255),0))="","",INDEX('Disaggregation Records'!$F$155:$F$385,MATCH(RIGHT(Q1445,255),RIGHT('Disaggregation Records'!$D$155:$D$385,255),0))),"")</f>
        <v/>
      </c>
      <c r="T1445" s="194" t="str">
        <f t="array" ref="T1445">IFERROR(IF(INDEX('Disaggregation Records'!$H$155:$H$385,MATCH(RIGHT(Q1445,255),RIGHT('Disaggregation Records'!$D$155:$D$385,255),0))="","",INDEX('Disaggregation Records'!$H$155:$H$385,MATCH(RIGHT(Q1445,255),RIGHT('Disaggregation Records'!$D$155:$D$385,255),0))),"")</f>
        <v/>
      </c>
      <c r="U1445" s="194">
        <f>U1443+1</f>
        <v>2912</v>
      </c>
      <c r="V1445" s="194" t="str">
        <f t="array" ref="V1445">IFERROR(IF(INDEX('Disaggregation Records'!$I$155:$I$385,MATCH(RIGHT(Q1445,255),RIGHT('Disaggregation Records'!$D$155:$D$385,255),0))="","",INDEX('Disaggregation Records'!$I$155:$I$385,MATCH(RIGHT(Q1445,255),RIGHT('Disaggregation Records'!$D$155:$D$385,255),0))),"")</f>
        <v/>
      </c>
      <c r="W1445" s="194" t="str">
        <f>IFERROR(INDEX('Reference Records'!L$77:L$157,MATCH(LEFT(C1445,255),'Reference Records'!E$77:E$157,0)),"")</f>
        <v/>
      </c>
    </row>
    <row r="1446" spans="1:23" s="194" customFormat="1" ht="40.4" customHeight="1" x14ac:dyDescent="0.35">
      <c r="A1446" s="770"/>
      <c r="B1446" s="767"/>
      <c r="C1446" s="761"/>
      <c r="D1446" s="769"/>
      <c r="E1446" s="769"/>
      <c r="F1446" s="208"/>
      <c r="G1446" s="763"/>
      <c r="H1446" s="744"/>
      <c r="I1446" s="765"/>
      <c r="J1446" s="730"/>
      <c r="K1446" s="761"/>
      <c r="L1446" s="761"/>
      <c r="M1446" s="730"/>
      <c r="N1446" s="730"/>
    </row>
    <row r="1447" spans="1:23" s="194" customFormat="1" ht="40.4" customHeight="1" x14ac:dyDescent="0.35">
      <c r="A1447" s="770" t="str">
        <f ca="1">INDIRECT("'update Helper'!C"&amp;U1447)</f>
        <v>a163p000004NtP1AAK</v>
      </c>
      <c r="B1447" s="766">
        <v>21</v>
      </c>
      <c r="C1447" s="760" t="str">
        <f>VLOOKUP(B1447,'Coverage Indicators - Section D'!$A$9:$AU$70,47,FALSE)</f>
        <v/>
      </c>
      <c r="D1447" s="768" t="str">
        <f>R1447</f>
        <v/>
      </c>
      <c r="E1447" s="768" t="str">
        <f>S1447</f>
        <v/>
      </c>
      <c r="F1447" s="413"/>
      <c r="G1447" s="762" t="str">
        <f ca="1">IF(OR(INDIRECT("'update Helper'!E"&amp;U1447)="",F1447&lt;&gt;0,F1448&lt;&gt;0),IF(IFERROR((F1447/F1448),"")="","",(F1447/F1448)),INDIRECT("'update Helper'!E"&amp;U1447)/100)</f>
        <v/>
      </c>
      <c r="H1447" s="743"/>
      <c r="I1447" s="764"/>
      <c r="J1447" s="729"/>
      <c r="K1447" s="760" t="str">
        <f>W1447</f>
        <v/>
      </c>
      <c r="L1447" s="760" t="str">
        <f>V1447</f>
        <v/>
      </c>
      <c r="M1447" s="729"/>
      <c r="N1447" s="729"/>
      <c r="P1447" s="194">
        <f>IF(AND(EXACT(C1447,C1445),C1445&lt;&gt;0),P1445+1,0)</f>
        <v>13</v>
      </c>
      <c r="Q1447" s="194" t="str">
        <f>IF(C1447&lt;&gt;"",C1447&amp;"-"&amp;P1447,"")</f>
        <v/>
      </c>
      <c r="R1447" s="194" t="str">
        <f t="array" ref="R1447">IFERROR(IF(INDEX('Disaggregation Records'!$E$155:$E$385,MATCH(RIGHT(Q1447,255),RIGHT('Disaggregation Records'!$D$155:$D$385,255),0))="","",INDEX('Disaggregation Records'!$E$155:$E$385,MATCH(RIGHT(Q1447,255),RIGHT('Disaggregation Records'!$D$155:$D$385,255),0))),"")</f>
        <v/>
      </c>
      <c r="S1447" s="194" t="str">
        <f t="array" ref="S1447">IFERROR(IF(INDEX('Disaggregation Records'!$F$155:$F$385,MATCH(RIGHT(Q1447,255),RIGHT('Disaggregation Records'!$D$155:$D$385,255),0))="","",INDEX('Disaggregation Records'!$F$155:$F$385,MATCH(RIGHT(Q1447,255),RIGHT('Disaggregation Records'!$D$155:$D$385,255),0))),"")</f>
        <v/>
      </c>
      <c r="T1447" s="194" t="str">
        <f t="array" ref="T1447">IFERROR(IF(INDEX('Disaggregation Records'!$H$155:$H$385,MATCH(RIGHT(Q1447,255),RIGHT('Disaggregation Records'!$D$155:$D$385,255),0))="","",INDEX('Disaggregation Records'!$H$155:$H$385,MATCH(RIGHT(Q1447,255),RIGHT('Disaggregation Records'!$D$155:$D$385,255),0))),"")</f>
        <v/>
      </c>
      <c r="U1447" s="194">
        <f>U1445+1</f>
        <v>2913</v>
      </c>
      <c r="V1447" s="194" t="str">
        <f t="array" ref="V1447">IFERROR(IF(INDEX('Disaggregation Records'!$I$155:$I$385,MATCH(RIGHT(Q1447,255),RIGHT('Disaggregation Records'!$D$155:$D$385,255),0))="","",INDEX('Disaggregation Records'!$I$155:$I$385,MATCH(RIGHT(Q1447,255),RIGHT('Disaggregation Records'!$D$155:$D$385,255),0))),"")</f>
        <v/>
      </c>
      <c r="W1447" s="194" t="str">
        <f>IFERROR(INDEX('Reference Records'!L$77:L$157,MATCH(LEFT(C1447,255),'Reference Records'!E$77:E$157,0)),"")</f>
        <v/>
      </c>
    </row>
    <row r="1448" spans="1:23" s="194" customFormat="1" ht="40.4" customHeight="1" x14ac:dyDescent="0.35">
      <c r="A1448" s="770"/>
      <c r="B1448" s="767"/>
      <c r="C1448" s="761"/>
      <c r="D1448" s="769"/>
      <c r="E1448" s="769"/>
      <c r="F1448" s="208"/>
      <c r="G1448" s="763"/>
      <c r="H1448" s="744"/>
      <c r="I1448" s="765"/>
      <c r="J1448" s="730"/>
      <c r="K1448" s="761"/>
      <c r="L1448" s="761"/>
      <c r="M1448" s="730"/>
      <c r="N1448" s="730"/>
    </row>
    <row r="1449" spans="1:23" s="194" customFormat="1" ht="40.4" customHeight="1" x14ac:dyDescent="0.35">
      <c r="A1449" s="770" t="str">
        <f ca="1">INDIRECT("'update Helper'!C"&amp;U1449)</f>
        <v>a163p000004NtP2AAK</v>
      </c>
      <c r="B1449" s="766">
        <v>21</v>
      </c>
      <c r="C1449" s="760" t="str">
        <f>VLOOKUP(B1449,'Coverage Indicators - Section D'!$A$9:$AU$70,47,FALSE)</f>
        <v/>
      </c>
      <c r="D1449" s="768" t="str">
        <f>R1449</f>
        <v/>
      </c>
      <c r="E1449" s="768" t="str">
        <f>S1449</f>
        <v/>
      </c>
      <c r="F1449" s="413"/>
      <c r="G1449" s="762" t="str">
        <f ca="1">IF(OR(INDIRECT("'update Helper'!E"&amp;U1449)="",F1449&lt;&gt;0,F1450&lt;&gt;0),IF(IFERROR((F1449/F1450),"")="","",(F1449/F1450)),INDIRECT("'update Helper'!E"&amp;U1449)/100)</f>
        <v/>
      </c>
      <c r="H1449" s="743"/>
      <c r="I1449" s="764"/>
      <c r="J1449" s="729"/>
      <c r="K1449" s="760" t="str">
        <f>W1449</f>
        <v/>
      </c>
      <c r="L1449" s="760" t="str">
        <f>V1449</f>
        <v/>
      </c>
      <c r="M1449" s="729"/>
      <c r="N1449" s="729"/>
      <c r="P1449" s="194">
        <f>IF(AND(EXACT(C1449,C1447),C1447&lt;&gt;0),P1447+1,0)</f>
        <v>14</v>
      </c>
      <c r="Q1449" s="194" t="str">
        <f>IF(C1449&lt;&gt;"",C1449&amp;"-"&amp;P1449,"")</f>
        <v/>
      </c>
      <c r="R1449" s="194" t="str">
        <f t="array" ref="R1449">IFERROR(IF(INDEX('Disaggregation Records'!$E$155:$E$385,MATCH(RIGHT(Q1449,255),RIGHT('Disaggregation Records'!$D$155:$D$385,255),0))="","",INDEX('Disaggregation Records'!$E$155:$E$385,MATCH(RIGHT(Q1449,255),RIGHT('Disaggregation Records'!$D$155:$D$385,255),0))),"")</f>
        <v/>
      </c>
      <c r="S1449" s="194" t="str">
        <f t="array" ref="S1449">IFERROR(IF(INDEX('Disaggregation Records'!$F$155:$F$385,MATCH(RIGHT(Q1449,255),RIGHT('Disaggregation Records'!$D$155:$D$385,255),0))="","",INDEX('Disaggregation Records'!$F$155:$F$385,MATCH(RIGHT(Q1449,255),RIGHT('Disaggregation Records'!$D$155:$D$385,255),0))),"")</f>
        <v/>
      </c>
      <c r="T1449" s="194" t="str">
        <f t="array" ref="T1449">IFERROR(IF(INDEX('Disaggregation Records'!$H$155:$H$385,MATCH(RIGHT(Q1449,255),RIGHT('Disaggregation Records'!$D$155:$D$385,255),0))="","",INDEX('Disaggregation Records'!$H$155:$H$385,MATCH(RIGHT(Q1449,255),RIGHT('Disaggregation Records'!$D$155:$D$385,255),0))),"")</f>
        <v/>
      </c>
      <c r="U1449" s="194">
        <f>U1447+1</f>
        <v>2914</v>
      </c>
      <c r="V1449" s="194" t="str">
        <f t="array" ref="V1449">IFERROR(IF(INDEX('Disaggregation Records'!$I$155:$I$385,MATCH(RIGHT(Q1449,255),RIGHT('Disaggregation Records'!$D$155:$D$385,255),0))="","",INDEX('Disaggregation Records'!$I$155:$I$385,MATCH(RIGHT(Q1449,255),RIGHT('Disaggregation Records'!$D$155:$D$385,255),0))),"")</f>
        <v/>
      </c>
      <c r="W1449" s="194" t="str">
        <f>IFERROR(INDEX('Reference Records'!L$77:L$157,MATCH(LEFT(C1449,255),'Reference Records'!E$77:E$157,0)),"")</f>
        <v/>
      </c>
    </row>
    <row r="1450" spans="1:23" s="194" customFormat="1" ht="40.4" customHeight="1" x14ac:dyDescent="0.35">
      <c r="A1450" s="770"/>
      <c r="B1450" s="767"/>
      <c r="C1450" s="761"/>
      <c r="D1450" s="769"/>
      <c r="E1450" s="769"/>
      <c r="F1450" s="208"/>
      <c r="G1450" s="763"/>
      <c r="H1450" s="744"/>
      <c r="I1450" s="765"/>
      <c r="J1450" s="730"/>
      <c r="K1450" s="761"/>
      <c r="L1450" s="761"/>
      <c r="M1450" s="730"/>
      <c r="N1450" s="730"/>
    </row>
    <row r="1451" spans="1:23" s="194" customFormat="1" ht="40.4" customHeight="1" x14ac:dyDescent="0.35">
      <c r="A1451" s="770" t="str">
        <f ca="1">INDIRECT("'update Helper'!C"&amp;U1451)</f>
        <v>a163p000004NtP3AAK</v>
      </c>
      <c r="B1451" s="766">
        <v>21</v>
      </c>
      <c r="C1451" s="760" t="str">
        <f>VLOOKUP(B1451,'Coverage Indicators - Section D'!$A$9:$AU$70,47,FALSE)</f>
        <v/>
      </c>
      <c r="D1451" s="768" t="str">
        <f>R1451</f>
        <v/>
      </c>
      <c r="E1451" s="768" t="str">
        <f>S1451</f>
        <v/>
      </c>
      <c r="F1451" s="413"/>
      <c r="G1451" s="762" t="str">
        <f ca="1">IF(OR(INDIRECT("'update Helper'!E"&amp;U1451)="",F1451&lt;&gt;0,F1452&lt;&gt;0),IF(IFERROR((F1451/F1452),"")="","",(F1451/F1452)),INDIRECT("'update Helper'!E"&amp;U1451)/100)</f>
        <v/>
      </c>
      <c r="H1451" s="743"/>
      <c r="I1451" s="764"/>
      <c r="J1451" s="729"/>
      <c r="K1451" s="760" t="str">
        <f>W1451</f>
        <v/>
      </c>
      <c r="L1451" s="760" t="str">
        <f>V1451</f>
        <v/>
      </c>
      <c r="M1451" s="729"/>
      <c r="N1451" s="729"/>
      <c r="P1451" s="194">
        <f>IF(AND(EXACT(C1451,C1449),C1449&lt;&gt;0),P1449+1,0)</f>
        <v>15</v>
      </c>
      <c r="Q1451" s="194" t="str">
        <f>IF(C1451&lt;&gt;"",C1451&amp;"-"&amp;P1451,"")</f>
        <v/>
      </c>
      <c r="R1451" s="194" t="str">
        <f t="array" ref="R1451">IFERROR(IF(INDEX('Disaggregation Records'!$E$155:$E$385,MATCH(RIGHT(Q1451,255),RIGHT('Disaggregation Records'!$D$155:$D$385,255),0))="","",INDEX('Disaggregation Records'!$E$155:$E$385,MATCH(RIGHT(Q1451,255),RIGHT('Disaggregation Records'!$D$155:$D$385,255),0))),"")</f>
        <v/>
      </c>
      <c r="S1451" s="194" t="str">
        <f t="array" ref="S1451">IFERROR(IF(INDEX('Disaggregation Records'!$F$155:$F$385,MATCH(RIGHT(Q1451,255),RIGHT('Disaggregation Records'!$D$155:$D$385,255),0))="","",INDEX('Disaggregation Records'!$F$155:$F$385,MATCH(RIGHT(Q1451,255),RIGHT('Disaggregation Records'!$D$155:$D$385,255),0))),"")</f>
        <v/>
      </c>
      <c r="T1451" s="194" t="str">
        <f t="array" ref="T1451">IFERROR(IF(INDEX('Disaggregation Records'!$H$155:$H$385,MATCH(RIGHT(Q1451,255),RIGHT('Disaggregation Records'!$D$155:$D$385,255),0))="","",INDEX('Disaggregation Records'!$H$155:$H$385,MATCH(RIGHT(Q1451,255),RIGHT('Disaggregation Records'!$D$155:$D$385,255),0))),"")</f>
        <v/>
      </c>
      <c r="U1451" s="194">
        <f>U1449+1</f>
        <v>2915</v>
      </c>
      <c r="V1451" s="194" t="str">
        <f t="array" ref="V1451">IFERROR(IF(INDEX('Disaggregation Records'!$I$155:$I$385,MATCH(RIGHT(Q1451,255),RIGHT('Disaggregation Records'!$D$155:$D$385,255),0))="","",INDEX('Disaggregation Records'!$I$155:$I$385,MATCH(RIGHT(Q1451,255),RIGHT('Disaggregation Records'!$D$155:$D$385,255),0))),"")</f>
        <v/>
      </c>
      <c r="W1451" s="194" t="str">
        <f>IFERROR(INDEX('Reference Records'!L$77:L$157,MATCH(LEFT(C1451,255),'Reference Records'!E$77:E$157,0)),"")</f>
        <v/>
      </c>
    </row>
    <row r="1452" spans="1:23" s="194" customFormat="1" ht="40.4" customHeight="1" x14ac:dyDescent="0.35">
      <c r="A1452" s="770"/>
      <c r="B1452" s="767"/>
      <c r="C1452" s="761"/>
      <c r="D1452" s="769"/>
      <c r="E1452" s="769"/>
      <c r="F1452" s="208"/>
      <c r="G1452" s="763"/>
      <c r="H1452" s="744"/>
      <c r="I1452" s="765"/>
      <c r="J1452" s="730"/>
      <c r="K1452" s="761"/>
      <c r="L1452" s="761"/>
      <c r="M1452" s="730"/>
      <c r="N1452" s="730"/>
    </row>
    <row r="1453" spans="1:23" s="194" customFormat="1" ht="40.4" customHeight="1" x14ac:dyDescent="0.35">
      <c r="A1453" s="770" t="str">
        <f ca="1">INDIRECT("'update Helper'!C"&amp;U1453)</f>
        <v>a163p000004NtP4AAK</v>
      </c>
      <c r="B1453" s="766">
        <v>21</v>
      </c>
      <c r="C1453" s="760" t="str">
        <f>VLOOKUP(B1453,'Coverage Indicators - Section D'!$A$9:$AU$70,47,FALSE)</f>
        <v/>
      </c>
      <c r="D1453" s="768" t="str">
        <f>R1453</f>
        <v/>
      </c>
      <c r="E1453" s="768" t="str">
        <f>S1453</f>
        <v/>
      </c>
      <c r="F1453" s="413"/>
      <c r="G1453" s="762" t="str">
        <f ca="1">IF(OR(INDIRECT("'update Helper'!E"&amp;U1453)="",F1453&lt;&gt;0,F1454&lt;&gt;0),IF(IFERROR((F1453/F1454),"")="","",(F1453/F1454)),INDIRECT("'update Helper'!E"&amp;U1453)/100)</f>
        <v/>
      </c>
      <c r="H1453" s="743"/>
      <c r="I1453" s="764"/>
      <c r="J1453" s="729"/>
      <c r="K1453" s="760" t="str">
        <f>W1453</f>
        <v/>
      </c>
      <c r="L1453" s="760" t="str">
        <f>V1453</f>
        <v/>
      </c>
      <c r="M1453" s="729"/>
      <c r="N1453" s="729"/>
      <c r="P1453" s="194">
        <f>IF(AND(EXACT(C1453,C1451),C1451&lt;&gt;0),P1451+1,0)</f>
        <v>16</v>
      </c>
      <c r="Q1453" s="194" t="str">
        <f>IF(C1453&lt;&gt;"",C1453&amp;"-"&amp;P1453,"")</f>
        <v/>
      </c>
      <c r="R1453" s="194" t="str">
        <f t="array" ref="R1453">IFERROR(IF(INDEX('Disaggregation Records'!$E$155:$E$385,MATCH(RIGHT(Q1453,255),RIGHT('Disaggregation Records'!$D$155:$D$385,255),0))="","",INDEX('Disaggregation Records'!$E$155:$E$385,MATCH(RIGHT(Q1453,255),RIGHT('Disaggregation Records'!$D$155:$D$385,255),0))),"")</f>
        <v/>
      </c>
      <c r="S1453" s="194" t="str">
        <f t="array" ref="S1453">IFERROR(IF(INDEX('Disaggregation Records'!$F$155:$F$385,MATCH(RIGHT(Q1453,255),RIGHT('Disaggregation Records'!$D$155:$D$385,255),0))="","",INDEX('Disaggregation Records'!$F$155:$F$385,MATCH(RIGHT(Q1453,255),RIGHT('Disaggregation Records'!$D$155:$D$385,255),0))),"")</f>
        <v/>
      </c>
      <c r="T1453" s="194" t="str">
        <f t="array" ref="T1453">IFERROR(IF(INDEX('Disaggregation Records'!$H$155:$H$385,MATCH(RIGHT(Q1453,255),RIGHT('Disaggregation Records'!$D$155:$D$385,255),0))="","",INDEX('Disaggregation Records'!$H$155:$H$385,MATCH(RIGHT(Q1453,255),RIGHT('Disaggregation Records'!$D$155:$D$385,255),0))),"")</f>
        <v/>
      </c>
      <c r="U1453" s="194">
        <f>U1451+1</f>
        <v>2916</v>
      </c>
      <c r="V1453" s="194" t="str">
        <f t="array" ref="V1453">IFERROR(IF(INDEX('Disaggregation Records'!$I$155:$I$385,MATCH(RIGHT(Q1453,255),RIGHT('Disaggregation Records'!$D$155:$D$385,255),0))="","",INDEX('Disaggregation Records'!$I$155:$I$385,MATCH(RIGHT(Q1453,255),RIGHT('Disaggregation Records'!$D$155:$D$385,255),0))),"")</f>
        <v/>
      </c>
      <c r="W1453" s="194" t="str">
        <f>IFERROR(INDEX('Reference Records'!L$77:L$157,MATCH(LEFT(C1453,255),'Reference Records'!E$77:E$157,0)),"")</f>
        <v/>
      </c>
    </row>
    <row r="1454" spans="1:23" s="194" customFormat="1" ht="40.4" customHeight="1" x14ac:dyDescent="0.35">
      <c r="A1454" s="770"/>
      <c r="B1454" s="767"/>
      <c r="C1454" s="761"/>
      <c r="D1454" s="769"/>
      <c r="E1454" s="769"/>
      <c r="F1454" s="208"/>
      <c r="G1454" s="763"/>
      <c r="H1454" s="744"/>
      <c r="I1454" s="765"/>
      <c r="J1454" s="730"/>
      <c r="K1454" s="761"/>
      <c r="L1454" s="761"/>
      <c r="M1454" s="730"/>
      <c r="N1454" s="730"/>
    </row>
    <row r="1455" spans="1:23" s="194" customFormat="1" ht="40.4" customHeight="1" x14ac:dyDescent="0.35">
      <c r="A1455" s="770" t="str">
        <f ca="1">INDIRECT("'update Helper'!C"&amp;U1455)</f>
        <v>a163p000004NtP5AAK</v>
      </c>
      <c r="B1455" s="766">
        <v>21</v>
      </c>
      <c r="C1455" s="760" t="str">
        <f>VLOOKUP(B1455,'Coverage Indicators - Section D'!$A$9:$AU$70,47,FALSE)</f>
        <v/>
      </c>
      <c r="D1455" s="768" t="str">
        <f>R1455</f>
        <v/>
      </c>
      <c r="E1455" s="768" t="str">
        <f>S1455</f>
        <v/>
      </c>
      <c r="F1455" s="413"/>
      <c r="G1455" s="762" t="str">
        <f ca="1">IF(OR(INDIRECT("'update Helper'!E"&amp;U1455)="",F1455&lt;&gt;0,F1456&lt;&gt;0),IF(IFERROR((F1455/F1456),"")="","",(F1455/F1456)),INDIRECT("'update Helper'!E"&amp;U1455)/100)</f>
        <v/>
      </c>
      <c r="H1455" s="743"/>
      <c r="I1455" s="764"/>
      <c r="J1455" s="729"/>
      <c r="K1455" s="760" t="str">
        <f>W1455</f>
        <v/>
      </c>
      <c r="L1455" s="760" t="str">
        <f>V1455</f>
        <v/>
      </c>
      <c r="M1455" s="729"/>
      <c r="N1455" s="729"/>
      <c r="P1455" s="194">
        <f>IF(AND(EXACT(C1455,C1453),C1453&lt;&gt;0),P1453+1,0)</f>
        <v>17</v>
      </c>
      <c r="Q1455" s="194" t="str">
        <f>IF(C1455&lt;&gt;"",C1455&amp;"-"&amp;P1455,"")</f>
        <v/>
      </c>
      <c r="R1455" s="194" t="str">
        <f t="array" ref="R1455">IFERROR(IF(INDEX('Disaggregation Records'!$E$155:$E$385,MATCH(RIGHT(Q1455,255),RIGHT('Disaggregation Records'!$D$155:$D$385,255),0))="","",INDEX('Disaggregation Records'!$E$155:$E$385,MATCH(RIGHT(Q1455,255),RIGHT('Disaggregation Records'!$D$155:$D$385,255),0))),"")</f>
        <v/>
      </c>
      <c r="S1455" s="194" t="str">
        <f t="array" ref="S1455">IFERROR(IF(INDEX('Disaggregation Records'!$F$155:$F$385,MATCH(RIGHT(Q1455,255),RIGHT('Disaggregation Records'!$D$155:$D$385,255),0))="","",INDEX('Disaggregation Records'!$F$155:$F$385,MATCH(RIGHT(Q1455,255),RIGHT('Disaggregation Records'!$D$155:$D$385,255),0))),"")</f>
        <v/>
      </c>
      <c r="T1455" s="194" t="str">
        <f t="array" ref="T1455">IFERROR(IF(INDEX('Disaggregation Records'!$H$155:$H$385,MATCH(RIGHT(Q1455,255),RIGHT('Disaggregation Records'!$D$155:$D$385,255),0))="","",INDEX('Disaggregation Records'!$H$155:$H$385,MATCH(RIGHT(Q1455,255),RIGHT('Disaggregation Records'!$D$155:$D$385,255),0))),"")</f>
        <v/>
      </c>
      <c r="U1455" s="194">
        <f>U1453+1</f>
        <v>2917</v>
      </c>
      <c r="V1455" s="194" t="str">
        <f t="array" ref="V1455">IFERROR(IF(INDEX('Disaggregation Records'!$I$155:$I$385,MATCH(RIGHT(Q1455,255),RIGHT('Disaggregation Records'!$D$155:$D$385,255),0))="","",INDEX('Disaggregation Records'!$I$155:$I$385,MATCH(RIGHT(Q1455,255),RIGHT('Disaggregation Records'!$D$155:$D$385,255),0))),"")</f>
        <v/>
      </c>
      <c r="W1455" s="194" t="str">
        <f>IFERROR(INDEX('Reference Records'!L$77:L$157,MATCH(LEFT(C1455,255),'Reference Records'!E$77:E$157,0)),"")</f>
        <v/>
      </c>
    </row>
    <row r="1456" spans="1:23" s="194" customFormat="1" ht="40.4" customHeight="1" x14ac:dyDescent="0.35">
      <c r="A1456" s="770"/>
      <c r="B1456" s="767"/>
      <c r="C1456" s="761"/>
      <c r="D1456" s="769"/>
      <c r="E1456" s="769"/>
      <c r="F1456" s="208"/>
      <c r="G1456" s="763"/>
      <c r="H1456" s="744"/>
      <c r="I1456" s="765"/>
      <c r="J1456" s="730"/>
      <c r="K1456" s="761"/>
      <c r="L1456" s="761"/>
      <c r="M1456" s="730"/>
      <c r="N1456" s="730"/>
    </row>
    <row r="1457" spans="1:23" s="194" customFormat="1" ht="40.4" customHeight="1" x14ac:dyDescent="0.35">
      <c r="A1457" s="770" t="str">
        <f ca="1">INDIRECT("'update Helper'!C"&amp;U1457)</f>
        <v>a163p000004NtP6AAK</v>
      </c>
      <c r="B1457" s="766">
        <v>21</v>
      </c>
      <c r="C1457" s="760" t="str">
        <f>VLOOKUP(B1457,'Coverage Indicators - Section D'!$A$9:$AU$70,47,FALSE)</f>
        <v/>
      </c>
      <c r="D1457" s="768" t="str">
        <f>R1457</f>
        <v/>
      </c>
      <c r="E1457" s="768" t="str">
        <f>S1457</f>
        <v/>
      </c>
      <c r="F1457" s="413"/>
      <c r="G1457" s="762" t="str">
        <f ca="1">IF(OR(INDIRECT("'update Helper'!E"&amp;U1457)="",F1457&lt;&gt;0,F1458&lt;&gt;0),IF(IFERROR((F1457/F1458),"")="","",(F1457/F1458)),INDIRECT("'update Helper'!E"&amp;U1457)/100)</f>
        <v/>
      </c>
      <c r="H1457" s="743"/>
      <c r="I1457" s="764"/>
      <c r="J1457" s="729"/>
      <c r="K1457" s="760" t="str">
        <f>W1457</f>
        <v/>
      </c>
      <c r="L1457" s="760" t="str">
        <f>V1457</f>
        <v/>
      </c>
      <c r="M1457" s="729"/>
      <c r="N1457" s="729"/>
      <c r="P1457" s="194">
        <f>IF(AND(EXACT(C1457,C1455),C1455&lt;&gt;0),P1455+1,0)</f>
        <v>18</v>
      </c>
      <c r="Q1457" s="194" t="str">
        <f>IF(C1457&lt;&gt;"",C1457&amp;"-"&amp;P1457,"")</f>
        <v/>
      </c>
      <c r="R1457" s="194" t="str">
        <f t="array" ref="R1457">IFERROR(IF(INDEX('Disaggregation Records'!$E$155:$E$385,MATCH(RIGHT(Q1457,255),RIGHT('Disaggregation Records'!$D$155:$D$385,255),0))="","",INDEX('Disaggregation Records'!$E$155:$E$385,MATCH(RIGHT(Q1457,255),RIGHT('Disaggregation Records'!$D$155:$D$385,255),0))),"")</f>
        <v/>
      </c>
      <c r="S1457" s="194" t="str">
        <f t="array" ref="S1457">IFERROR(IF(INDEX('Disaggregation Records'!$F$155:$F$385,MATCH(RIGHT(Q1457,255),RIGHT('Disaggregation Records'!$D$155:$D$385,255),0))="","",INDEX('Disaggregation Records'!$F$155:$F$385,MATCH(RIGHT(Q1457,255),RIGHT('Disaggregation Records'!$D$155:$D$385,255),0))),"")</f>
        <v/>
      </c>
      <c r="T1457" s="194" t="str">
        <f t="array" ref="T1457">IFERROR(IF(INDEX('Disaggregation Records'!$H$155:$H$385,MATCH(RIGHT(Q1457,255),RIGHT('Disaggregation Records'!$D$155:$D$385,255),0))="","",INDEX('Disaggregation Records'!$H$155:$H$385,MATCH(RIGHT(Q1457,255),RIGHT('Disaggregation Records'!$D$155:$D$385,255),0))),"")</f>
        <v/>
      </c>
      <c r="U1457" s="194">
        <f>U1455+1</f>
        <v>2918</v>
      </c>
      <c r="V1457" s="194" t="str">
        <f t="array" ref="V1457">IFERROR(IF(INDEX('Disaggregation Records'!$I$155:$I$385,MATCH(RIGHT(Q1457,255),RIGHT('Disaggregation Records'!$D$155:$D$385,255),0))="","",INDEX('Disaggregation Records'!$I$155:$I$385,MATCH(RIGHT(Q1457,255),RIGHT('Disaggregation Records'!$D$155:$D$385,255),0))),"")</f>
        <v/>
      </c>
      <c r="W1457" s="194" t="str">
        <f>IFERROR(INDEX('Reference Records'!L$77:L$157,MATCH(LEFT(C1457,255),'Reference Records'!E$77:E$157,0)),"")</f>
        <v/>
      </c>
    </row>
    <row r="1458" spans="1:23" s="194" customFormat="1" ht="40.4" customHeight="1" x14ac:dyDescent="0.35">
      <c r="A1458" s="770"/>
      <c r="B1458" s="767"/>
      <c r="C1458" s="761"/>
      <c r="D1458" s="769"/>
      <c r="E1458" s="769"/>
      <c r="F1458" s="208"/>
      <c r="G1458" s="763"/>
      <c r="H1458" s="744"/>
      <c r="I1458" s="765"/>
      <c r="J1458" s="730"/>
      <c r="K1458" s="761"/>
      <c r="L1458" s="761"/>
      <c r="M1458" s="730"/>
      <c r="N1458" s="730"/>
    </row>
    <row r="1459" spans="1:23" s="194" customFormat="1" ht="40.4" customHeight="1" x14ac:dyDescent="0.35">
      <c r="A1459" s="770" t="str">
        <f ca="1">INDIRECT("'update Helper'!C"&amp;U1459)</f>
        <v>a163p000004NtP7AAK</v>
      </c>
      <c r="B1459" s="766">
        <v>21</v>
      </c>
      <c r="C1459" s="760" t="str">
        <f>VLOOKUP(B1459,'Coverage Indicators - Section D'!$A$9:$AU$70,47,FALSE)</f>
        <v/>
      </c>
      <c r="D1459" s="768" t="str">
        <f>R1459</f>
        <v/>
      </c>
      <c r="E1459" s="768" t="str">
        <f>S1459</f>
        <v/>
      </c>
      <c r="F1459" s="413"/>
      <c r="G1459" s="762" t="str">
        <f ca="1">IF(OR(INDIRECT("'update Helper'!E"&amp;U1459)="",F1459&lt;&gt;0,F1460&lt;&gt;0),IF(IFERROR((F1459/F1460),"")="","",(F1459/F1460)),INDIRECT("'update Helper'!E"&amp;U1459)/100)</f>
        <v/>
      </c>
      <c r="H1459" s="743"/>
      <c r="I1459" s="764"/>
      <c r="J1459" s="729"/>
      <c r="K1459" s="760" t="str">
        <f>W1459</f>
        <v/>
      </c>
      <c r="L1459" s="760" t="str">
        <f>V1459</f>
        <v/>
      </c>
      <c r="M1459" s="729"/>
      <c r="N1459" s="729"/>
      <c r="P1459" s="194">
        <f>IF(AND(EXACT(C1459,C1457),C1457&lt;&gt;0),P1457+1,0)</f>
        <v>19</v>
      </c>
      <c r="Q1459" s="194" t="str">
        <f>IF(C1459&lt;&gt;"",C1459&amp;"-"&amp;P1459,"")</f>
        <v/>
      </c>
      <c r="R1459" s="194" t="str">
        <f t="array" ref="R1459">IFERROR(IF(INDEX('Disaggregation Records'!$E$155:$E$385,MATCH(RIGHT(Q1459,255),RIGHT('Disaggregation Records'!$D$155:$D$385,255),0))="","",INDEX('Disaggregation Records'!$E$155:$E$385,MATCH(RIGHT(Q1459,255),RIGHT('Disaggregation Records'!$D$155:$D$385,255),0))),"")</f>
        <v/>
      </c>
      <c r="S1459" s="194" t="str">
        <f t="array" ref="S1459">IFERROR(IF(INDEX('Disaggregation Records'!$F$155:$F$385,MATCH(RIGHT(Q1459,255),RIGHT('Disaggregation Records'!$D$155:$D$385,255),0))="","",INDEX('Disaggregation Records'!$F$155:$F$385,MATCH(RIGHT(Q1459,255),RIGHT('Disaggregation Records'!$D$155:$D$385,255),0))),"")</f>
        <v/>
      </c>
      <c r="T1459" s="194" t="str">
        <f t="array" ref="T1459">IFERROR(IF(INDEX('Disaggregation Records'!$H$155:$H$385,MATCH(RIGHT(Q1459,255),RIGHT('Disaggregation Records'!$D$155:$D$385,255),0))="","",INDEX('Disaggregation Records'!$H$155:$H$385,MATCH(RIGHT(Q1459,255),RIGHT('Disaggregation Records'!$D$155:$D$385,255),0))),"")</f>
        <v/>
      </c>
      <c r="U1459" s="194">
        <f>U1457+1</f>
        <v>2919</v>
      </c>
      <c r="V1459" s="194" t="str">
        <f t="array" ref="V1459">IFERROR(IF(INDEX('Disaggregation Records'!$I$155:$I$385,MATCH(RIGHT(Q1459,255),RIGHT('Disaggregation Records'!$D$155:$D$385,255),0))="","",INDEX('Disaggregation Records'!$I$155:$I$385,MATCH(RIGHT(Q1459,255),RIGHT('Disaggregation Records'!$D$155:$D$385,255),0))),"")</f>
        <v/>
      </c>
      <c r="W1459" s="194" t="str">
        <f>IFERROR(INDEX('Reference Records'!L$77:L$157,MATCH(LEFT(C1459,255),'Reference Records'!E$77:E$157,0)),"")</f>
        <v/>
      </c>
    </row>
    <row r="1460" spans="1:23" s="194" customFormat="1" ht="40.4" customHeight="1" x14ac:dyDescent="0.35">
      <c r="A1460" s="770"/>
      <c r="B1460" s="767"/>
      <c r="C1460" s="761"/>
      <c r="D1460" s="769"/>
      <c r="E1460" s="769"/>
      <c r="F1460" s="208"/>
      <c r="G1460" s="763"/>
      <c r="H1460" s="744"/>
      <c r="I1460" s="765"/>
      <c r="J1460" s="730"/>
      <c r="K1460" s="761"/>
      <c r="L1460" s="761"/>
      <c r="M1460" s="730"/>
      <c r="N1460" s="730"/>
    </row>
    <row r="1461" spans="1:23" s="194" customFormat="1" ht="40.4" customHeight="1" x14ac:dyDescent="0.35">
      <c r="A1461" s="770" t="str">
        <f ca="1">INDIRECT("'update Helper'!C"&amp;U1461)</f>
        <v>a163p000004NtYUAA0</v>
      </c>
      <c r="B1461" s="766">
        <v>22</v>
      </c>
      <c r="C1461" s="760" t="str">
        <f>VLOOKUP(B1461,'Coverage Indicators - Section D'!$A$9:$AU$70,47,FALSE)</f>
        <v>HTS-3c⁽ᴹ⁾ Porcentaje de trabajadores sexuales a los que se les ha realizado una prueba de VIH durante el período de reporte y que conocen sus resultados</v>
      </c>
      <c r="D1461" s="768" t="str">
        <f>R1461</f>
        <v>Resultado de prueba del VIH</v>
      </c>
      <c r="E1461" s="768" t="str">
        <f>S1461</f>
        <v>Negativo</v>
      </c>
      <c r="F1461" s="413"/>
      <c r="G1461" s="762" t="str">
        <f ca="1">IF(OR(INDIRECT("'update Helper'!E"&amp;U1461)="",F1461&lt;&gt;0,F1462&lt;&gt;0),IF(IFERROR((F1461/F1462),"")="","",(F1461/F1462)),INDIRECT("'update Helper'!E"&amp;U1461)/100)</f>
        <v/>
      </c>
      <c r="H1461" s="743"/>
      <c r="I1461" s="764"/>
      <c r="J1461" s="729"/>
      <c r="K1461" s="760" t="str">
        <f>W1461</f>
        <v>HTS-3c⁽ᴹ⁾ Percentage of sex workers that have received an HIV test during the reporting period and know their results</v>
      </c>
      <c r="L1461" s="760" t="str">
        <f>V1461</f>
        <v>HIV test status</v>
      </c>
      <c r="M1461" s="729"/>
      <c r="N1461" s="729"/>
      <c r="P1461" s="194">
        <f>IF(AND(EXACT(C1461,C1459),C1459&lt;&gt;0),P1459+1,0)</f>
        <v>0</v>
      </c>
      <c r="Q1461" s="194" t="str">
        <f>IF(C1461&lt;&gt;"",C1461&amp;"-"&amp;P1461,"")</f>
        <v>HTS-3c⁽ᴹ⁾ Porcentaje de trabajadores sexuales a los que se les ha realizado una prueba de VIH durante el período de reporte y que conocen sus resultados-0</v>
      </c>
      <c r="R1461" s="194" t="str">
        <f t="array" ref="R1461">IFERROR(IF(INDEX('Disaggregation Records'!$E$155:$E$385,MATCH(RIGHT(Q1461,255),RIGHT('Disaggregation Records'!$D$155:$D$385,255),0))="","",INDEX('Disaggregation Records'!$E$155:$E$385,MATCH(RIGHT(Q1461,255),RIGHT('Disaggregation Records'!$D$155:$D$385,255),0))),"")</f>
        <v>Resultado de prueba del VIH</v>
      </c>
      <c r="S1461" s="194" t="str">
        <f t="array" ref="S1461">IFERROR(IF(INDEX('Disaggregation Records'!$F$155:$F$385,MATCH(RIGHT(Q1461,255),RIGHT('Disaggregation Records'!$D$155:$D$385,255),0))="","",INDEX('Disaggregation Records'!$F$155:$F$385,MATCH(RIGHT(Q1461,255),RIGHT('Disaggregation Records'!$D$155:$D$385,255),0))),"")</f>
        <v>Negativo</v>
      </c>
      <c r="T1461" s="194" t="str">
        <f t="array" ref="T1461">IFERROR(IF(INDEX('Disaggregation Records'!$H$155:$H$385,MATCH(RIGHT(Q1461,255),RIGHT('Disaggregation Records'!$D$155:$D$385,255),0))="","",INDEX('Disaggregation Records'!$H$155:$H$385,MATCH(RIGHT(Q1461,255),RIGHT('Disaggregation Records'!$D$155:$D$385,255),0))),"")</f>
        <v>IDR-00924</v>
      </c>
      <c r="U1461" s="194">
        <f>U1459+1</f>
        <v>2920</v>
      </c>
      <c r="V1461" s="194" t="str">
        <f t="array" ref="V1461">IFERROR(IF(INDEX('Disaggregation Records'!$I$155:$I$385,MATCH(RIGHT(Q1461,255),RIGHT('Disaggregation Records'!$D$155:$D$385,255),0))="","",INDEX('Disaggregation Records'!$I$155:$I$385,MATCH(RIGHT(Q1461,255),RIGHT('Disaggregation Records'!$D$155:$D$385,255),0))),"")</f>
        <v>HIV test status</v>
      </c>
      <c r="W1461" s="194" t="str">
        <f>IFERROR(INDEX('Reference Records'!L$77:L$157,MATCH(LEFT(C1461,255),'Reference Records'!E$77:E$157,0)),"")</f>
        <v>HTS-3c⁽ᴹ⁾ Percentage of sex workers that have received an HIV test during the reporting period and know their results</v>
      </c>
    </row>
    <row r="1462" spans="1:23" s="194" customFormat="1" ht="40.4" customHeight="1" x14ac:dyDescent="0.35">
      <c r="A1462" s="770"/>
      <c r="B1462" s="767"/>
      <c r="C1462" s="761"/>
      <c r="D1462" s="769"/>
      <c r="E1462" s="769"/>
      <c r="F1462" s="208"/>
      <c r="G1462" s="763"/>
      <c r="H1462" s="744"/>
      <c r="I1462" s="765"/>
      <c r="J1462" s="730"/>
      <c r="K1462" s="761"/>
      <c r="L1462" s="761"/>
      <c r="M1462" s="730"/>
      <c r="N1462" s="730"/>
    </row>
    <row r="1463" spans="1:23" s="194" customFormat="1" ht="40.4" customHeight="1" x14ac:dyDescent="0.35">
      <c r="A1463" s="770" t="str">
        <f ca="1">INDIRECT("'update Helper'!C"&amp;U1463)</f>
        <v>a163p000004NtYVAA0</v>
      </c>
      <c r="B1463" s="766">
        <v>22</v>
      </c>
      <c r="C1463" s="760" t="str">
        <f>VLOOKUP(B1463,'Coverage Indicators - Section D'!$A$9:$AU$70,47,FALSE)</f>
        <v>HTS-3c⁽ᴹ⁾ Porcentaje de trabajadores sexuales a los que se les ha realizado una prueba de VIH durante el período de reporte y que conocen sus resultados</v>
      </c>
      <c r="D1463" s="768" t="str">
        <f>R1463</f>
        <v>Resultado de prueba del VIH</v>
      </c>
      <c r="E1463" s="768" t="str">
        <f>S1463</f>
        <v>Positivo</v>
      </c>
      <c r="F1463" s="413"/>
      <c r="G1463" s="762" t="str">
        <f ca="1">IF(OR(INDIRECT("'update Helper'!E"&amp;U1463)="",F1463&lt;&gt;0,F1464&lt;&gt;0),IF(IFERROR((F1463/F1464),"")="","",(F1463/F1464)),INDIRECT("'update Helper'!E"&amp;U1463)/100)</f>
        <v/>
      </c>
      <c r="H1463" s="743"/>
      <c r="I1463" s="764"/>
      <c r="J1463" s="729"/>
      <c r="K1463" s="760" t="str">
        <f>W1463</f>
        <v>HTS-3c⁽ᴹ⁾ Percentage of sex workers that have received an HIV test during the reporting period and know their results</v>
      </c>
      <c r="L1463" s="760" t="str">
        <f>V1463</f>
        <v>HIV test status</v>
      </c>
      <c r="M1463" s="729"/>
      <c r="N1463" s="729"/>
      <c r="P1463" s="194">
        <f>IF(AND(EXACT(C1463,C1461),C1461&lt;&gt;0),P1461+1,0)</f>
        <v>1</v>
      </c>
      <c r="Q1463" s="194" t="str">
        <f>IF(C1463&lt;&gt;"",C1463&amp;"-"&amp;P1463,"")</f>
        <v>HTS-3c⁽ᴹ⁾ Porcentaje de trabajadores sexuales a los que se les ha realizado una prueba de VIH durante el período de reporte y que conocen sus resultados-1</v>
      </c>
      <c r="R1463" s="194" t="str">
        <f t="array" ref="R1463">IFERROR(IF(INDEX('Disaggregation Records'!$E$155:$E$385,MATCH(RIGHT(Q1463,255),RIGHT('Disaggregation Records'!$D$155:$D$385,255),0))="","",INDEX('Disaggregation Records'!$E$155:$E$385,MATCH(RIGHT(Q1463,255),RIGHT('Disaggregation Records'!$D$155:$D$385,255),0))),"")</f>
        <v>Resultado de prueba del VIH</v>
      </c>
      <c r="S1463" s="194" t="str">
        <f t="array" ref="S1463">IFERROR(IF(INDEX('Disaggregation Records'!$F$155:$F$385,MATCH(RIGHT(Q1463,255),RIGHT('Disaggregation Records'!$D$155:$D$385,255),0))="","",INDEX('Disaggregation Records'!$F$155:$F$385,MATCH(RIGHT(Q1463,255),RIGHT('Disaggregation Records'!$D$155:$D$385,255),0))),"")</f>
        <v>Positivo</v>
      </c>
      <c r="T1463" s="194" t="str">
        <f t="array" ref="T1463">IFERROR(IF(INDEX('Disaggregation Records'!$H$155:$H$385,MATCH(RIGHT(Q1463,255),RIGHT('Disaggregation Records'!$D$155:$D$385,255),0))="","",INDEX('Disaggregation Records'!$H$155:$H$385,MATCH(RIGHT(Q1463,255),RIGHT('Disaggregation Records'!$D$155:$D$385,255),0))),"")</f>
        <v>IDR-00923</v>
      </c>
      <c r="U1463" s="194">
        <f>U1461+1</f>
        <v>2921</v>
      </c>
      <c r="V1463" s="194" t="str">
        <f t="array" ref="V1463">IFERROR(IF(INDEX('Disaggregation Records'!$I$155:$I$385,MATCH(RIGHT(Q1463,255),RIGHT('Disaggregation Records'!$D$155:$D$385,255),0))="","",INDEX('Disaggregation Records'!$I$155:$I$385,MATCH(RIGHT(Q1463,255),RIGHT('Disaggregation Records'!$D$155:$D$385,255),0))),"")</f>
        <v>HIV test status</v>
      </c>
      <c r="W1463" s="194" t="str">
        <f>IFERROR(INDEX('Reference Records'!L$77:L$157,MATCH(LEFT(C1463,255),'Reference Records'!E$77:E$157,0)),"")</f>
        <v>HTS-3c⁽ᴹ⁾ Percentage of sex workers that have received an HIV test during the reporting period and know their results</v>
      </c>
    </row>
    <row r="1464" spans="1:23" s="194" customFormat="1" ht="40.4" customHeight="1" x14ac:dyDescent="0.35">
      <c r="A1464" s="770"/>
      <c r="B1464" s="767"/>
      <c r="C1464" s="761"/>
      <c r="D1464" s="769"/>
      <c r="E1464" s="769"/>
      <c r="F1464" s="208"/>
      <c r="G1464" s="763"/>
      <c r="H1464" s="744"/>
      <c r="I1464" s="765"/>
      <c r="J1464" s="730"/>
      <c r="K1464" s="761"/>
      <c r="L1464" s="761"/>
      <c r="M1464" s="730"/>
      <c r="N1464" s="730"/>
    </row>
    <row r="1465" spans="1:23" s="194" customFormat="1" ht="40.4" customHeight="1" x14ac:dyDescent="0.35">
      <c r="A1465" s="770" t="str">
        <f ca="1">INDIRECT("'update Helper'!C"&amp;U1465)</f>
        <v>a163p000004NtYWAA0</v>
      </c>
      <c r="B1465" s="766">
        <v>22</v>
      </c>
      <c r="C1465" s="760" t="str">
        <f>VLOOKUP(B1465,'Coverage Indicators - Section D'!$A$9:$AU$70,47,FALSE)</f>
        <v>HTS-3c⁽ᴹ⁾ Porcentaje de trabajadores sexuales a los que se les ha realizado una prueba de VIH durante el período de reporte y que conocen sus resultados</v>
      </c>
      <c r="D1465" s="768" t="str">
        <f>R1465</f>
        <v>Género</v>
      </c>
      <c r="E1465" s="768" t="str">
        <f>S1465</f>
        <v>Transgénero</v>
      </c>
      <c r="F1465" s="413"/>
      <c r="G1465" s="762" t="str">
        <f ca="1">IF(OR(INDIRECT("'update Helper'!E"&amp;U1465)="",F1465&lt;&gt;0,F1466&lt;&gt;0),IF(IFERROR((F1465/F1466),"")="","",(F1465/F1466)),INDIRECT("'update Helper'!E"&amp;U1465)/100)</f>
        <v/>
      </c>
      <c r="H1465" s="743"/>
      <c r="I1465" s="764"/>
      <c r="J1465" s="729"/>
      <c r="K1465" s="760" t="str">
        <f>W1465</f>
        <v>HTS-3c⁽ᴹ⁾ Percentage of sex workers that have received an HIV test during the reporting period and know their results</v>
      </c>
      <c r="L1465" s="760" t="str">
        <f>V1465</f>
        <v>Gender</v>
      </c>
      <c r="M1465" s="729"/>
      <c r="N1465" s="729"/>
      <c r="P1465" s="194">
        <f>IF(AND(EXACT(C1465,C1463),C1463&lt;&gt;0),P1463+1,0)</f>
        <v>2</v>
      </c>
      <c r="Q1465" s="194" t="str">
        <f>IF(C1465&lt;&gt;"",C1465&amp;"-"&amp;P1465,"")</f>
        <v>HTS-3c⁽ᴹ⁾ Porcentaje de trabajadores sexuales a los que se les ha realizado una prueba de VIH durante el período de reporte y que conocen sus resultados-2</v>
      </c>
      <c r="R1465" s="194" t="str">
        <f t="array" ref="R1465">IFERROR(IF(INDEX('Disaggregation Records'!$E$155:$E$385,MATCH(RIGHT(Q1465,255),RIGHT('Disaggregation Records'!$D$155:$D$385,255),0))="","",INDEX('Disaggregation Records'!$E$155:$E$385,MATCH(RIGHT(Q1465,255),RIGHT('Disaggregation Records'!$D$155:$D$385,255),0))),"")</f>
        <v>Género</v>
      </c>
      <c r="S1465" s="194" t="str">
        <f t="array" ref="S1465">IFERROR(IF(INDEX('Disaggregation Records'!$F$155:$F$385,MATCH(RIGHT(Q1465,255),RIGHT('Disaggregation Records'!$D$155:$D$385,255),0))="","",INDEX('Disaggregation Records'!$F$155:$F$385,MATCH(RIGHT(Q1465,255),RIGHT('Disaggregation Records'!$D$155:$D$385,255),0))),"")</f>
        <v>Transgénero</v>
      </c>
      <c r="T1465" s="194" t="str">
        <f t="array" ref="T1465">IFERROR(IF(INDEX('Disaggregation Records'!$H$155:$H$385,MATCH(RIGHT(Q1465,255),RIGHT('Disaggregation Records'!$D$155:$D$385,255),0))="","",INDEX('Disaggregation Records'!$H$155:$H$385,MATCH(RIGHT(Q1465,255),RIGHT('Disaggregation Records'!$D$155:$D$385,255),0))),"")</f>
        <v>IDR-00835</v>
      </c>
      <c r="U1465" s="194">
        <f>U1463+1</f>
        <v>2922</v>
      </c>
      <c r="V1465" s="194" t="str">
        <f t="array" ref="V1465">IFERROR(IF(INDEX('Disaggregation Records'!$I$155:$I$385,MATCH(RIGHT(Q1465,255),RIGHT('Disaggregation Records'!$D$155:$D$385,255),0))="","",INDEX('Disaggregation Records'!$I$155:$I$385,MATCH(RIGHT(Q1465,255),RIGHT('Disaggregation Records'!$D$155:$D$385,255),0))),"")</f>
        <v>Gender</v>
      </c>
      <c r="W1465" s="194" t="str">
        <f>IFERROR(INDEX('Reference Records'!L$77:L$157,MATCH(LEFT(C1465,255),'Reference Records'!E$77:E$157,0)),"")</f>
        <v>HTS-3c⁽ᴹ⁾ Percentage of sex workers that have received an HIV test during the reporting period and know their results</v>
      </c>
    </row>
    <row r="1466" spans="1:23" s="194" customFormat="1" ht="40.4" customHeight="1" x14ac:dyDescent="0.35">
      <c r="A1466" s="770"/>
      <c r="B1466" s="767"/>
      <c r="C1466" s="761"/>
      <c r="D1466" s="769"/>
      <c r="E1466" s="769"/>
      <c r="F1466" s="208"/>
      <c r="G1466" s="763"/>
      <c r="H1466" s="744"/>
      <c r="I1466" s="765"/>
      <c r="J1466" s="730"/>
      <c r="K1466" s="761"/>
      <c r="L1466" s="761"/>
      <c r="M1466" s="730"/>
      <c r="N1466" s="730"/>
    </row>
    <row r="1467" spans="1:23" s="194" customFormat="1" ht="40.4" customHeight="1" x14ac:dyDescent="0.35">
      <c r="A1467" s="770" t="str">
        <f ca="1">INDIRECT("'update Helper'!C"&amp;U1467)</f>
        <v>a163p000004NtYXAA0</v>
      </c>
      <c r="B1467" s="766">
        <v>22</v>
      </c>
      <c r="C1467" s="760" t="str">
        <f>VLOOKUP(B1467,'Coverage Indicators - Section D'!$A$9:$AU$70,47,FALSE)</f>
        <v>HTS-3c⁽ᴹ⁾ Porcentaje de trabajadores sexuales a los que se les ha realizado una prueba de VIH durante el período de reporte y que conocen sus resultados</v>
      </c>
      <c r="D1467" s="768" t="str">
        <f>R1467</f>
        <v>Género</v>
      </c>
      <c r="E1467" s="768" t="str">
        <f>S1467</f>
        <v>Mujeres</v>
      </c>
      <c r="F1467" s="413"/>
      <c r="G1467" s="762" t="str">
        <f ca="1">IF(OR(INDIRECT("'update Helper'!E"&amp;U1467)="",F1467&lt;&gt;0,F1468&lt;&gt;0),IF(IFERROR((F1467/F1468),"")="","",(F1467/F1468)),INDIRECT("'update Helper'!E"&amp;U1467)/100)</f>
        <v/>
      </c>
      <c r="H1467" s="743"/>
      <c r="I1467" s="764"/>
      <c r="J1467" s="729"/>
      <c r="K1467" s="760" t="str">
        <f>W1467</f>
        <v>HTS-3c⁽ᴹ⁾ Percentage of sex workers that have received an HIV test during the reporting period and know their results</v>
      </c>
      <c r="L1467" s="760" t="str">
        <f>V1467</f>
        <v>Gender</v>
      </c>
      <c r="M1467" s="729"/>
      <c r="N1467" s="729"/>
      <c r="P1467" s="194">
        <f>IF(AND(EXACT(C1467,C1465),C1465&lt;&gt;0),P1465+1,0)</f>
        <v>3</v>
      </c>
      <c r="Q1467" s="194" t="str">
        <f>IF(C1467&lt;&gt;"",C1467&amp;"-"&amp;P1467,"")</f>
        <v>HTS-3c⁽ᴹ⁾ Porcentaje de trabajadores sexuales a los que se les ha realizado una prueba de VIH durante el período de reporte y que conocen sus resultados-3</v>
      </c>
      <c r="R1467" s="194" t="str">
        <f t="array" ref="R1467">IFERROR(IF(INDEX('Disaggregation Records'!$E$155:$E$385,MATCH(RIGHT(Q1467,255),RIGHT('Disaggregation Records'!$D$155:$D$385,255),0))="","",INDEX('Disaggregation Records'!$E$155:$E$385,MATCH(RIGHT(Q1467,255),RIGHT('Disaggregation Records'!$D$155:$D$385,255),0))),"")</f>
        <v>Género</v>
      </c>
      <c r="S1467" s="194" t="str">
        <f t="array" ref="S1467">IFERROR(IF(INDEX('Disaggregation Records'!$F$155:$F$385,MATCH(RIGHT(Q1467,255),RIGHT('Disaggregation Records'!$D$155:$D$385,255),0))="","",INDEX('Disaggregation Records'!$F$155:$F$385,MATCH(RIGHT(Q1467,255),RIGHT('Disaggregation Records'!$D$155:$D$385,255),0))),"")</f>
        <v>Mujeres</v>
      </c>
      <c r="T1467" s="194" t="str">
        <f t="array" ref="T1467">IFERROR(IF(INDEX('Disaggregation Records'!$H$155:$H$385,MATCH(RIGHT(Q1467,255),RIGHT('Disaggregation Records'!$D$155:$D$385,255),0))="","",INDEX('Disaggregation Records'!$H$155:$H$385,MATCH(RIGHT(Q1467,255),RIGHT('Disaggregation Records'!$D$155:$D$385,255),0))),"")</f>
        <v>IDR-00834</v>
      </c>
      <c r="U1467" s="194">
        <f>U1465+1</f>
        <v>2923</v>
      </c>
      <c r="V1467" s="194" t="str">
        <f t="array" ref="V1467">IFERROR(IF(INDEX('Disaggregation Records'!$I$155:$I$385,MATCH(RIGHT(Q1467,255),RIGHT('Disaggregation Records'!$D$155:$D$385,255),0))="","",INDEX('Disaggregation Records'!$I$155:$I$385,MATCH(RIGHT(Q1467,255),RIGHT('Disaggregation Records'!$D$155:$D$385,255),0))),"")</f>
        <v>Gender</v>
      </c>
      <c r="W1467" s="194" t="str">
        <f>IFERROR(INDEX('Reference Records'!L$77:L$157,MATCH(LEFT(C1467,255),'Reference Records'!E$77:E$157,0)),"")</f>
        <v>HTS-3c⁽ᴹ⁾ Percentage of sex workers that have received an HIV test during the reporting period and know their results</v>
      </c>
    </row>
    <row r="1468" spans="1:23" s="194" customFormat="1" ht="40.4" customHeight="1" x14ac:dyDescent="0.35">
      <c r="A1468" s="770"/>
      <c r="B1468" s="767"/>
      <c r="C1468" s="761"/>
      <c r="D1468" s="769"/>
      <c r="E1468" s="769"/>
      <c r="F1468" s="208"/>
      <c r="G1468" s="763"/>
      <c r="H1468" s="744"/>
      <c r="I1468" s="765"/>
      <c r="J1468" s="730"/>
      <c r="K1468" s="761"/>
      <c r="L1468" s="761"/>
      <c r="M1468" s="730"/>
      <c r="N1468" s="730"/>
    </row>
    <row r="1469" spans="1:23" s="194" customFormat="1" ht="40.4" customHeight="1" x14ac:dyDescent="0.35">
      <c r="A1469" s="770" t="str">
        <f ca="1">INDIRECT("'update Helper'!C"&amp;U1469)</f>
        <v>a163p000004NtYYAA0</v>
      </c>
      <c r="B1469" s="766">
        <v>22</v>
      </c>
      <c r="C1469" s="760" t="str">
        <f>VLOOKUP(B1469,'Coverage Indicators - Section D'!$A$9:$AU$70,47,FALSE)</f>
        <v>HTS-3c⁽ᴹ⁾ Porcentaje de trabajadores sexuales a los que se les ha realizado una prueba de VIH durante el período de reporte y que conocen sus resultados</v>
      </c>
      <c r="D1469" s="768" t="str">
        <f>R1469</f>
        <v>Género</v>
      </c>
      <c r="E1469" s="768" t="str">
        <f>S1469</f>
        <v>Hombres</v>
      </c>
      <c r="F1469" s="413"/>
      <c r="G1469" s="762" t="str">
        <f ca="1">IF(OR(INDIRECT("'update Helper'!E"&amp;U1469)="",F1469&lt;&gt;0,F1470&lt;&gt;0),IF(IFERROR((F1469/F1470),"")="","",(F1469/F1470)),INDIRECT("'update Helper'!E"&amp;U1469)/100)</f>
        <v/>
      </c>
      <c r="H1469" s="743"/>
      <c r="I1469" s="764"/>
      <c r="J1469" s="729"/>
      <c r="K1469" s="760" t="str">
        <f>W1469</f>
        <v>HTS-3c⁽ᴹ⁾ Percentage of sex workers that have received an HIV test during the reporting period and know their results</v>
      </c>
      <c r="L1469" s="760" t="str">
        <f>V1469</f>
        <v>Gender</v>
      </c>
      <c r="M1469" s="729"/>
      <c r="N1469" s="729"/>
      <c r="P1469" s="194">
        <f>IF(AND(EXACT(C1469,C1467),C1467&lt;&gt;0),P1467+1,0)</f>
        <v>4</v>
      </c>
      <c r="Q1469" s="194" t="str">
        <f>IF(C1469&lt;&gt;"",C1469&amp;"-"&amp;P1469,"")</f>
        <v>HTS-3c⁽ᴹ⁾ Porcentaje de trabajadores sexuales a los que se les ha realizado una prueba de VIH durante el período de reporte y que conocen sus resultados-4</v>
      </c>
      <c r="R1469" s="194" t="str">
        <f t="array" ref="R1469">IFERROR(IF(INDEX('Disaggregation Records'!$E$155:$E$385,MATCH(RIGHT(Q1469,255),RIGHT('Disaggregation Records'!$D$155:$D$385,255),0))="","",INDEX('Disaggregation Records'!$E$155:$E$385,MATCH(RIGHT(Q1469,255),RIGHT('Disaggregation Records'!$D$155:$D$385,255),0))),"")</f>
        <v>Género</v>
      </c>
      <c r="S1469" s="194" t="str">
        <f t="array" ref="S1469">IFERROR(IF(INDEX('Disaggregation Records'!$F$155:$F$385,MATCH(RIGHT(Q1469,255),RIGHT('Disaggregation Records'!$D$155:$D$385,255),0))="","",INDEX('Disaggregation Records'!$F$155:$F$385,MATCH(RIGHT(Q1469,255),RIGHT('Disaggregation Records'!$D$155:$D$385,255),0))),"")</f>
        <v>Hombres</v>
      </c>
      <c r="T1469" s="194" t="str">
        <f t="array" ref="T1469">IFERROR(IF(INDEX('Disaggregation Records'!$H$155:$H$385,MATCH(RIGHT(Q1469,255),RIGHT('Disaggregation Records'!$D$155:$D$385,255),0))="","",INDEX('Disaggregation Records'!$H$155:$H$385,MATCH(RIGHT(Q1469,255),RIGHT('Disaggregation Records'!$D$155:$D$385,255),0))),"")</f>
        <v>IDR-00833</v>
      </c>
      <c r="U1469" s="194">
        <f>U1467+1</f>
        <v>2924</v>
      </c>
      <c r="V1469" s="194" t="str">
        <f t="array" ref="V1469">IFERROR(IF(INDEX('Disaggregation Records'!$I$155:$I$385,MATCH(RIGHT(Q1469,255),RIGHT('Disaggregation Records'!$D$155:$D$385,255),0))="","",INDEX('Disaggregation Records'!$I$155:$I$385,MATCH(RIGHT(Q1469,255),RIGHT('Disaggregation Records'!$D$155:$D$385,255),0))),"")</f>
        <v>Gender</v>
      </c>
      <c r="W1469" s="194" t="str">
        <f>IFERROR(INDEX('Reference Records'!L$77:L$157,MATCH(LEFT(C1469,255),'Reference Records'!E$77:E$157,0)),"")</f>
        <v>HTS-3c⁽ᴹ⁾ Percentage of sex workers that have received an HIV test during the reporting period and know their results</v>
      </c>
    </row>
    <row r="1470" spans="1:23" s="194" customFormat="1" ht="40.4" customHeight="1" x14ac:dyDescent="0.35">
      <c r="A1470" s="770"/>
      <c r="B1470" s="767"/>
      <c r="C1470" s="761"/>
      <c r="D1470" s="769"/>
      <c r="E1470" s="769"/>
      <c r="F1470" s="208"/>
      <c r="G1470" s="763"/>
      <c r="H1470" s="744"/>
      <c r="I1470" s="765"/>
      <c r="J1470" s="730"/>
      <c r="K1470" s="761"/>
      <c r="L1470" s="761"/>
      <c r="M1470" s="730"/>
      <c r="N1470" s="730"/>
    </row>
    <row r="1471" spans="1:23" s="194" customFormat="1" ht="40.4" customHeight="1" x14ac:dyDescent="0.35">
      <c r="A1471" s="770" t="str">
        <f ca="1">INDIRECT("'update Helper'!C"&amp;U1471)</f>
        <v>a163p000004NtYZAA0</v>
      </c>
      <c r="B1471" s="766">
        <v>22</v>
      </c>
      <c r="C1471" s="760" t="str">
        <f>VLOOKUP(B1471,'Coverage Indicators - Section D'!$A$9:$AU$70,47,FALSE)</f>
        <v>HTS-3c⁽ᴹ⁾ Porcentaje de trabajadores sexuales a los que se les ha realizado una prueba de VIH durante el período de reporte y que conocen sus resultados</v>
      </c>
      <c r="D1471" s="768" t="str">
        <f>R1471</f>
        <v>Edad</v>
      </c>
      <c r="E1471" s="768" t="str">
        <f>S1471</f>
        <v>25+</v>
      </c>
      <c r="F1471" s="413"/>
      <c r="G1471" s="762" t="str">
        <f ca="1">IF(OR(INDIRECT("'update Helper'!E"&amp;U1471)="",F1471&lt;&gt;0,F1472&lt;&gt;0),IF(IFERROR((F1471/F1472),"")="","",(F1471/F1472)),INDIRECT("'update Helper'!E"&amp;U1471)/100)</f>
        <v/>
      </c>
      <c r="H1471" s="743"/>
      <c r="I1471" s="764"/>
      <c r="J1471" s="729"/>
      <c r="K1471" s="760" t="str">
        <f>W1471</f>
        <v>HTS-3c⁽ᴹ⁾ Percentage of sex workers that have received an HIV test during the reporting period and know their results</v>
      </c>
      <c r="L1471" s="760" t="str">
        <f>V1471</f>
        <v>Age</v>
      </c>
      <c r="M1471" s="729"/>
      <c r="N1471" s="729"/>
      <c r="P1471" s="194">
        <f>IF(AND(EXACT(C1471,C1469),C1469&lt;&gt;0),P1469+1,0)</f>
        <v>5</v>
      </c>
      <c r="Q1471" s="194" t="str">
        <f>IF(C1471&lt;&gt;"",C1471&amp;"-"&amp;P1471,"")</f>
        <v>HTS-3c⁽ᴹ⁾ Porcentaje de trabajadores sexuales a los que se les ha realizado una prueba de VIH durante el período de reporte y que conocen sus resultados-5</v>
      </c>
      <c r="R1471" s="194" t="str">
        <f t="array" ref="R1471">IFERROR(IF(INDEX('Disaggregation Records'!$E$155:$E$385,MATCH(RIGHT(Q1471,255),RIGHT('Disaggregation Records'!$D$155:$D$385,255),0))="","",INDEX('Disaggregation Records'!$E$155:$E$385,MATCH(RIGHT(Q1471,255),RIGHT('Disaggregation Records'!$D$155:$D$385,255),0))),"")</f>
        <v>Edad</v>
      </c>
      <c r="S1471" s="194" t="str">
        <f t="array" ref="S1471">IFERROR(IF(INDEX('Disaggregation Records'!$F$155:$F$385,MATCH(RIGHT(Q1471,255),RIGHT('Disaggregation Records'!$D$155:$D$385,255),0))="","",INDEX('Disaggregation Records'!$F$155:$F$385,MATCH(RIGHT(Q1471,255),RIGHT('Disaggregation Records'!$D$155:$D$385,255),0))),"")</f>
        <v>25+</v>
      </c>
      <c r="T1471" s="194" t="str">
        <f t="array" ref="T1471">IFERROR(IF(INDEX('Disaggregation Records'!$H$155:$H$385,MATCH(RIGHT(Q1471,255),RIGHT('Disaggregation Records'!$D$155:$D$385,255),0))="","",INDEX('Disaggregation Records'!$H$155:$H$385,MATCH(RIGHT(Q1471,255),RIGHT('Disaggregation Records'!$D$155:$D$385,255),0))),"")</f>
        <v>IDR-00718</v>
      </c>
      <c r="U1471" s="194">
        <f>U1469+1</f>
        <v>2925</v>
      </c>
      <c r="V1471" s="194" t="str">
        <f t="array" ref="V1471">IFERROR(IF(INDEX('Disaggregation Records'!$I$155:$I$385,MATCH(RIGHT(Q1471,255),RIGHT('Disaggregation Records'!$D$155:$D$385,255),0))="","",INDEX('Disaggregation Records'!$I$155:$I$385,MATCH(RIGHT(Q1471,255),RIGHT('Disaggregation Records'!$D$155:$D$385,255),0))),"")</f>
        <v>Age</v>
      </c>
      <c r="W1471" s="194" t="str">
        <f>IFERROR(INDEX('Reference Records'!L$77:L$157,MATCH(LEFT(C1471,255),'Reference Records'!E$77:E$157,0)),"")</f>
        <v>HTS-3c⁽ᴹ⁾ Percentage of sex workers that have received an HIV test during the reporting period and know their results</v>
      </c>
    </row>
    <row r="1472" spans="1:23" s="194" customFormat="1" ht="40.4" customHeight="1" x14ac:dyDescent="0.35">
      <c r="A1472" s="770"/>
      <c r="B1472" s="767"/>
      <c r="C1472" s="761"/>
      <c r="D1472" s="769"/>
      <c r="E1472" s="769"/>
      <c r="F1472" s="208"/>
      <c r="G1472" s="763"/>
      <c r="H1472" s="744"/>
      <c r="I1472" s="765"/>
      <c r="J1472" s="730"/>
      <c r="K1472" s="761"/>
      <c r="L1472" s="761"/>
      <c r="M1472" s="730"/>
      <c r="N1472" s="730"/>
    </row>
    <row r="1473" spans="1:23" s="194" customFormat="1" ht="40.4" customHeight="1" x14ac:dyDescent="0.35">
      <c r="A1473" s="770" t="str">
        <f ca="1">INDIRECT("'update Helper'!C"&amp;U1473)</f>
        <v>a163p000004NtYaAAK</v>
      </c>
      <c r="B1473" s="766">
        <v>22</v>
      </c>
      <c r="C1473" s="760" t="str">
        <f>VLOOKUP(B1473,'Coverage Indicators - Section D'!$A$9:$AU$70,47,FALSE)</f>
        <v>HTS-3c⁽ᴹ⁾ Porcentaje de trabajadores sexuales a los que se les ha realizado una prueba de VIH durante el período de reporte y que conocen sus resultados</v>
      </c>
      <c r="D1473" s="768" t="str">
        <f>R1473</f>
        <v>Edad</v>
      </c>
      <c r="E1473" s="768" t="str">
        <f>S1473</f>
        <v>&lt;25</v>
      </c>
      <c r="F1473" s="413"/>
      <c r="G1473" s="762" t="str">
        <f ca="1">IF(OR(INDIRECT("'update Helper'!E"&amp;U1473)="",F1473&lt;&gt;0,F1474&lt;&gt;0),IF(IFERROR((F1473/F1474),"")="","",(F1473/F1474)),INDIRECT("'update Helper'!E"&amp;U1473)/100)</f>
        <v/>
      </c>
      <c r="H1473" s="743"/>
      <c r="I1473" s="764"/>
      <c r="J1473" s="729"/>
      <c r="K1473" s="760" t="str">
        <f>W1473</f>
        <v>HTS-3c⁽ᴹ⁾ Percentage of sex workers that have received an HIV test during the reporting period and know their results</v>
      </c>
      <c r="L1473" s="760" t="str">
        <f>V1473</f>
        <v>Age</v>
      </c>
      <c r="M1473" s="729"/>
      <c r="N1473" s="729"/>
      <c r="P1473" s="194">
        <f>IF(AND(EXACT(C1473,C1471),C1471&lt;&gt;0),P1471+1,0)</f>
        <v>6</v>
      </c>
      <c r="Q1473" s="194" t="str">
        <f>IF(C1473&lt;&gt;"",C1473&amp;"-"&amp;P1473,"")</f>
        <v>HTS-3c⁽ᴹ⁾ Porcentaje de trabajadores sexuales a los que se les ha realizado una prueba de VIH durante el período de reporte y que conocen sus resultados-6</v>
      </c>
      <c r="R1473" s="194" t="str">
        <f t="array" ref="R1473">IFERROR(IF(INDEX('Disaggregation Records'!$E$155:$E$385,MATCH(RIGHT(Q1473,255),RIGHT('Disaggregation Records'!$D$155:$D$385,255),0))="","",INDEX('Disaggregation Records'!$E$155:$E$385,MATCH(RIGHT(Q1473,255),RIGHT('Disaggregation Records'!$D$155:$D$385,255),0))),"")</f>
        <v>Edad</v>
      </c>
      <c r="S1473" s="194" t="str">
        <f t="array" ref="S1473">IFERROR(IF(INDEX('Disaggregation Records'!$F$155:$F$385,MATCH(RIGHT(Q1473,255),RIGHT('Disaggregation Records'!$D$155:$D$385,255),0))="","",INDEX('Disaggregation Records'!$F$155:$F$385,MATCH(RIGHT(Q1473,255),RIGHT('Disaggregation Records'!$D$155:$D$385,255),0))),"")</f>
        <v>&lt;25</v>
      </c>
      <c r="T1473" s="194" t="str">
        <f t="array" ref="T1473">IFERROR(IF(INDEX('Disaggregation Records'!$H$155:$H$385,MATCH(RIGHT(Q1473,255),RIGHT('Disaggregation Records'!$D$155:$D$385,255),0))="","",INDEX('Disaggregation Records'!$H$155:$H$385,MATCH(RIGHT(Q1473,255),RIGHT('Disaggregation Records'!$D$155:$D$385,255),0))),"")</f>
        <v>IDR-00717</v>
      </c>
      <c r="U1473" s="194">
        <f>U1471+1</f>
        <v>2926</v>
      </c>
      <c r="V1473" s="194" t="str">
        <f t="array" ref="V1473">IFERROR(IF(INDEX('Disaggregation Records'!$I$155:$I$385,MATCH(RIGHT(Q1473,255),RIGHT('Disaggregation Records'!$D$155:$D$385,255),0))="","",INDEX('Disaggregation Records'!$I$155:$I$385,MATCH(RIGHT(Q1473,255),RIGHT('Disaggregation Records'!$D$155:$D$385,255),0))),"")</f>
        <v>Age</v>
      </c>
      <c r="W1473" s="194" t="str">
        <f>IFERROR(INDEX('Reference Records'!L$77:L$157,MATCH(LEFT(C1473,255),'Reference Records'!E$77:E$157,0)),"")</f>
        <v>HTS-3c⁽ᴹ⁾ Percentage of sex workers that have received an HIV test during the reporting period and know their results</v>
      </c>
    </row>
    <row r="1474" spans="1:23" s="194" customFormat="1" ht="40.4" customHeight="1" x14ac:dyDescent="0.35">
      <c r="A1474" s="770"/>
      <c r="B1474" s="767"/>
      <c r="C1474" s="761"/>
      <c r="D1474" s="769"/>
      <c r="E1474" s="769"/>
      <c r="F1474" s="208"/>
      <c r="G1474" s="763"/>
      <c r="H1474" s="744"/>
      <c r="I1474" s="765"/>
      <c r="J1474" s="730"/>
      <c r="K1474" s="761"/>
      <c r="L1474" s="761"/>
      <c r="M1474" s="730"/>
      <c r="N1474" s="730"/>
    </row>
    <row r="1475" spans="1:23" s="194" customFormat="1" ht="40.4" customHeight="1" x14ac:dyDescent="0.35">
      <c r="A1475" s="770" t="str">
        <f ca="1">INDIRECT("'update Helper'!C"&amp;U1475)</f>
        <v>a163p000004NtYbAAK</v>
      </c>
      <c r="B1475" s="766">
        <v>22</v>
      </c>
      <c r="C1475" s="760" t="str">
        <f>VLOOKUP(B1475,'Coverage Indicators - Section D'!$A$9:$AU$70,47,FALSE)</f>
        <v>HTS-3c⁽ᴹ⁾ Porcentaje de trabajadores sexuales a los que se les ha realizado una prueba de VIH durante el período de reporte y que conocen sus resultados</v>
      </c>
      <c r="D1475" s="768" t="str">
        <f>R1475</f>
        <v/>
      </c>
      <c r="E1475" s="768" t="str">
        <f>S1475</f>
        <v/>
      </c>
      <c r="F1475" s="413"/>
      <c r="G1475" s="762" t="str">
        <f ca="1">IF(OR(INDIRECT("'update Helper'!E"&amp;U1475)="",F1475&lt;&gt;0,F1476&lt;&gt;0),IF(IFERROR((F1475/F1476),"")="","",(F1475/F1476)),INDIRECT("'update Helper'!E"&amp;U1475)/100)</f>
        <v/>
      </c>
      <c r="H1475" s="743"/>
      <c r="I1475" s="764"/>
      <c r="J1475" s="729"/>
      <c r="K1475" s="760" t="str">
        <f>W1475</f>
        <v>HTS-3c⁽ᴹ⁾ Percentage of sex workers that have received an HIV test during the reporting period and know their results</v>
      </c>
      <c r="L1475" s="760" t="str">
        <f>V1475</f>
        <v/>
      </c>
      <c r="M1475" s="729"/>
      <c r="N1475" s="729"/>
      <c r="P1475" s="194">
        <f>IF(AND(EXACT(C1475,C1473),C1473&lt;&gt;0),P1473+1,0)</f>
        <v>7</v>
      </c>
      <c r="Q1475" s="194" t="str">
        <f>IF(C1475&lt;&gt;"",C1475&amp;"-"&amp;P1475,"")</f>
        <v>HTS-3c⁽ᴹ⁾ Porcentaje de trabajadores sexuales a los que se les ha realizado una prueba de VIH durante el período de reporte y que conocen sus resultados-7</v>
      </c>
      <c r="R1475" s="194" t="str">
        <f t="array" ref="R1475">IFERROR(IF(INDEX('Disaggregation Records'!$E$155:$E$385,MATCH(RIGHT(Q1475,255),RIGHT('Disaggregation Records'!$D$155:$D$385,255),0))="","",INDEX('Disaggregation Records'!$E$155:$E$385,MATCH(RIGHT(Q1475,255),RIGHT('Disaggregation Records'!$D$155:$D$385,255),0))),"")</f>
        <v/>
      </c>
      <c r="S1475" s="194" t="str">
        <f t="array" ref="S1475">IFERROR(IF(INDEX('Disaggregation Records'!$F$155:$F$385,MATCH(RIGHT(Q1475,255),RIGHT('Disaggregation Records'!$D$155:$D$385,255),0))="","",INDEX('Disaggregation Records'!$F$155:$F$385,MATCH(RIGHT(Q1475,255),RIGHT('Disaggregation Records'!$D$155:$D$385,255),0))),"")</f>
        <v/>
      </c>
      <c r="T1475" s="194" t="str">
        <f t="array" ref="T1475">IFERROR(IF(INDEX('Disaggregation Records'!$H$155:$H$385,MATCH(RIGHT(Q1475,255),RIGHT('Disaggregation Records'!$D$155:$D$385,255),0))="","",INDEX('Disaggregation Records'!$H$155:$H$385,MATCH(RIGHT(Q1475,255),RIGHT('Disaggregation Records'!$D$155:$D$385,255),0))),"")</f>
        <v/>
      </c>
      <c r="U1475" s="194">
        <f>U1473+1</f>
        <v>2927</v>
      </c>
      <c r="V1475" s="194" t="str">
        <f t="array" ref="V1475">IFERROR(IF(INDEX('Disaggregation Records'!$I$155:$I$385,MATCH(RIGHT(Q1475,255),RIGHT('Disaggregation Records'!$D$155:$D$385,255),0))="","",INDEX('Disaggregation Records'!$I$155:$I$385,MATCH(RIGHT(Q1475,255),RIGHT('Disaggregation Records'!$D$155:$D$385,255),0))),"")</f>
        <v/>
      </c>
      <c r="W1475" s="194" t="str">
        <f>IFERROR(INDEX('Reference Records'!L$77:L$157,MATCH(LEFT(C1475,255),'Reference Records'!E$77:E$157,0)),"")</f>
        <v>HTS-3c⁽ᴹ⁾ Percentage of sex workers that have received an HIV test during the reporting period and know their results</v>
      </c>
    </row>
    <row r="1476" spans="1:23" s="194" customFormat="1" ht="40.4" customHeight="1" x14ac:dyDescent="0.35">
      <c r="A1476" s="770"/>
      <c r="B1476" s="767"/>
      <c r="C1476" s="761"/>
      <c r="D1476" s="769"/>
      <c r="E1476" s="769"/>
      <c r="F1476" s="208"/>
      <c r="G1476" s="763"/>
      <c r="H1476" s="744"/>
      <c r="I1476" s="765"/>
      <c r="J1476" s="730"/>
      <c r="K1476" s="761"/>
      <c r="L1476" s="761"/>
      <c r="M1476" s="730"/>
      <c r="N1476" s="730"/>
    </row>
    <row r="1477" spans="1:23" s="194" customFormat="1" ht="40.4" customHeight="1" x14ac:dyDescent="0.35">
      <c r="A1477" s="770" t="str">
        <f ca="1">INDIRECT("'update Helper'!C"&amp;U1477)</f>
        <v>a163p000004NtYcAAK</v>
      </c>
      <c r="B1477" s="766">
        <v>22</v>
      </c>
      <c r="C1477" s="760" t="str">
        <f>VLOOKUP(B1477,'Coverage Indicators - Section D'!$A$9:$AU$70,47,FALSE)</f>
        <v>HTS-3c⁽ᴹ⁾ Porcentaje de trabajadores sexuales a los que se les ha realizado una prueba de VIH durante el período de reporte y que conocen sus resultados</v>
      </c>
      <c r="D1477" s="768" t="str">
        <f>R1477</f>
        <v/>
      </c>
      <c r="E1477" s="768" t="str">
        <f>S1477</f>
        <v/>
      </c>
      <c r="F1477" s="413"/>
      <c r="G1477" s="762" t="str">
        <f ca="1">IF(OR(INDIRECT("'update Helper'!E"&amp;U1477)="",F1477&lt;&gt;0,F1478&lt;&gt;0),IF(IFERROR((F1477/F1478),"")="","",(F1477/F1478)),INDIRECT("'update Helper'!E"&amp;U1477)/100)</f>
        <v/>
      </c>
      <c r="H1477" s="743"/>
      <c r="I1477" s="764"/>
      <c r="J1477" s="729"/>
      <c r="K1477" s="760" t="str">
        <f>W1477</f>
        <v>HTS-3c⁽ᴹ⁾ Percentage of sex workers that have received an HIV test during the reporting period and know their results</v>
      </c>
      <c r="L1477" s="760" t="str">
        <f>V1477</f>
        <v/>
      </c>
      <c r="M1477" s="729"/>
      <c r="N1477" s="729"/>
      <c r="P1477" s="194">
        <f>IF(AND(EXACT(C1477,C1475),C1475&lt;&gt;0),P1475+1,0)</f>
        <v>8</v>
      </c>
      <c r="Q1477" s="194" t="str">
        <f>IF(C1477&lt;&gt;"",C1477&amp;"-"&amp;P1477,"")</f>
        <v>HTS-3c⁽ᴹ⁾ Porcentaje de trabajadores sexuales a los que se les ha realizado una prueba de VIH durante el período de reporte y que conocen sus resultados-8</v>
      </c>
      <c r="R1477" s="194" t="str">
        <f t="array" ref="R1477">IFERROR(IF(INDEX('Disaggregation Records'!$E$155:$E$385,MATCH(RIGHT(Q1477,255),RIGHT('Disaggregation Records'!$D$155:$D$385,255),0))="","",INDEX('Disaggregation Records'!$E$155:$E$385,MATCH(RIGHT(Q1477,255),RIGHT('Disaggregation Records'!$D$155:$D$385,255),0))),"")</f>
        <v/>
      </c>
      <c r="S1477" s="194" t="str">
        <f t="array" ref="S1477">IFERROR(IF(INDEX('Disaggregation Records'!$F$155:$F$385,MATCH(RIGHT(Q1477,255),RIGHT('Disaggregation Records'!$D$155:$D$385,255),0))="","",INDEX('Disaggregation Records'!$F$155:$F$385,MATCH(RIGHT(Q1477,255),RIGHT('Disaggregation Records'!$D$155:$D$385,255),0))),"")</f>
        <v/>
      </c>
      <c r="T1477" s="194" t="str">
        <f t="array" ref="T1477">IFERROR(IF(INDEX('Disaggregation Records'!$H$155:$H$385,MATCH(RIGHT(Q1477,255),RIGHT('Disaggregation Records'!$D$155:$D$385,255),0))="","",INDEX('Disaggregation Records'!$H$155:$H$385,MATCH(RIGHT(Q1477,255),RIGHT('Disaggregation Records'!$D$155:$D$385,255),0))),"")</f>
        <v/>
      </c>
      <c r="U1477" s="194">
        <f>U1475+1</f>
        <v>2928</v>
      </c>
      <c r="V1477" s="194" t="str">
        <f t="array" ref="V1477">IFERROR(IF(INDEX('Disaggregation Records'!$I$155:$I$385,MATCH(RIGHT(Q1477,255),RIGHT('Disaggregation Records'!$D$155:$D$385,255),0))="","",INDEX('Disaggregation Records'!$I$155:$I$385,MATCH(RIGHT(Q1477,255),RIGHT('Disaggregation Records'!$D$155:$D$385,255),0))),"")</f>
        <v/>
      </c>
      <c r="W1477" s="194" t="str">
        <f>IFERROR(INDEX('Reference Records'!L$77:L$157,MATCH(LEFT(C1477,255),'Reference Records'!E$77:E$157,0)),"")</f>
        <v>HTS-3c⁽ᴹ⁾ Percentage of sex workers that have received an HIV test during the reporting period and know their results</v>
      </c>
    </row>
    <row r="1478" spans="1:23" s="194" customFormat="1" ht="40.4" customHeight="1" x14ac:dyDescent="0.35">
      <c r="A1478" s="770"/>
      <c r="B1478" s="767"/>
      <c r="C1478" s="761"/>
      <c r="D1478" s="769"/>
      <c r="E1478" s="769"/>
      <c r="F1478" s="208"/>
      <c r="G1478" s="763"/>
      <c r="H1478" s="744"/>
      <c r="I1478" s="765"/>
      <c r="J1478" s="730"/>
      <c r="K1478" s="761"/>
      <c r="L1478" s="761"/>
      <c r="M1478" s="730"/>
      <c r="N1478" s="730"/>
    </row>
    <row r="1479" spans="1:23" s="194" customFormat="1" ht="40.4" customHeight="1" x14ac:dyDescent="0.35">
      <c r="A1479" s="770" t="str">
        <f ca="1">INDIRECT("'update Helper'!C"&amp;U1479)</f>
        <v>a163p000004NtYdAAK</v>
      </c>
      <c r="B1479" s="766">
        <v>22</v>
      </c>
      <c r="C1479" s="760" t="str">
        <f>VLOOKUP(B1479,'Coverage Indicators - Section D'!$A$9:$AU$70,47,FALSE)</f>
        <v>HTS-3c⁽ᴹ⁾ Porcentaje de trabajadores sexuales a los que se les ha realizado una prueba de VIH durante el período de reporte y que conocen sus resultados</v>
      </c>
      <c r="D1479" s="768" t="str">
        <f>R1479</f>
        <v/>
      </c>
      <c r="E1479" s="768" t="str">
        <f>S1479</f>
        <v/>
      </c>
      <c r="F1479" s="413"/>
      <c r="G1479" s="762" t="str">
        <f ca="1">IF(OR(INDIRECT("'update Helper'!E"&amp;U1479)="",F1479&lt;&gt;0,F1480&lt;&gt;0),IF(IFERROR((F1479/F1480),"")="","",(F1479/F1480)),INDIRECT("'update Helper'!E"&amp;U1479)/100)</f>
        <v/>
      </c>
      <c r="H1479" s="743"/>
      <c r="I1479" s="764"/>
      <c r="J1479" s="729"/>
      <c r="K1479" s="760" t="str">
        <f>W1479</f>
        <v>HTS-3c⁽ᴹ⁾ Percentage of sex workers that have received an HIV test during the reporting period and know their results</v>
      </c>
      <c r="L1479" s="760" t="str">
        <f>V1479</f>
        <v/>
      </c>
      <c r="M1479" s="729"/>
      <c r="N1479" s="729"/>
      <c r="P1479" s="194">
        <f>IF(AND(EXACT(C1479,C1477),C1477&lt;&gt;0),P1477+1,0)</f>
        <v>9</v>
      </c>
      <c r="Q1479" s="194" t="str">
        <f>IF(C1479&lt;&gt;"",C1479&amp;"-"&amp;P1479,"")</f>
        <v>HTS-3c⁽ᴹ⁾ Porcentaje de trabajadores sexuales a los que se les ha realizado una prueba de VIH durante el período de reporte y que conocen sus resultados-9</v>
      </c>
      <c r="R1479" s="194" t="str">
        <f t="array" ref="R1479">IFERROR(IF(INDEX('Disaggregation Records'!$E$155:$E$385,MATCH(RIGHT(Q1479,255),RIGHT('Disaggregation Records'!$D$155:$D$385,255),0))="","",INDEX('Disaggregation Records'!$E$155:$E$385,MATCH(RIGHT(Q1479,255),RIGHT('Disaggregation Records'!$D$155:$D$385,255),0))),"")</f>
        <v/>
      </c>
      <c r="S1479" s="194" t="str">
        <f t="array" ref="S1479">IFERROR(IF(INDEX('Disaggregation Records'!$F$155:$F$385,MATCH(RIGHT(Q1479,255),RIGHT('Disaggregation Records'!$D$155:$D$385,255),0))="","",INDEX('Disaggregation Records'!$F$155:$F$385,MATCH(RIGHT(Q1479,255),RIGHT('Disaggregation Records'!$D$155:$D$385,255),0))),"")</f>
        <v/>
      </c>
      <c r="T1479" s="194" t="str">
        <f t="array" ref="T1479">IFERROR(IF(INDEX('Disaggregation Records'!$H$155:$H$385,MATCH(RIGHT(Q1479,255),RIGHT('Disaggregation Records'!$D$155:$D$385,255),0))="","",INDEX('Disaggregation Records'!$H$155:$H$385,MATCH(RIGHT(Q1479,255),RIGHT('Disaggregation Records'!$D$155:$D$385,255),0))),"")</f>
        <v/>
      </c>
      <c r="U1479" s="194">
        <f>U1477+1</f>
        <v>2929</v>
      </c>
      <c r="V1479" s="194" t="str">
        <f t="array" ref="V1479">IFERROR(IF(INDEX('Disaggregation Records'!$I$155:$I$385,MATCH(RIGHT(Q1479,255),RIGHT('Disaggregation Records'!$D$155:$D$385,255),0))="","",INDEX('Disaggregation Records'!$I$155:$I$385,MATCH(RIGHT(Q1479,255),RIGHT('Disaggregation Records'!$D$155:$D$385,255),0))),"")</f>
        <v/>
      </c>
      <c r="W1479" s="194" t="str">
        <f>IFERROR(INDEX('Reference Records'!L$77:L$157,MATCH(LEFT(C1479,255),'Reference Records'!E$77:E$157,0)),"")</f>
        <v>HTS-3c⁽ᴹ⁾ Percentage of sex workers that have received an HIV test during the reporting period and know their results</v>
      </c>
    </row>
    <row r="1480" spans="1:23" s="194" customFormat="1" ht="40.4" customHeight="1" x14ac:dyDescent="0.35">
      <c r="A1480" s="770"/>
      <c r="B1480" s="767"/>
      <c r="C1480" s="761"/>
      <c r="D1480" s="769"/>
      <c r="E1480" s="769"/>
      <c r="F1480" s="208"/>
      <c r="G1480" s="763"/>
      <c r="H1480" s="744"/>
      <c r="I1480" s="765"/>
      <c r="J1480" s="730"/>
      <c r="K1480" s="761"/>
      <c r="L1480" s="761"/>
      <c r="M1480" s="730"/>
      <c r="N1480" s="730"/>
    </row>
    <row r="1481" spans="1:23" s="194" customFormat="1" ht="40.4" customHeight="1" x14ac:dyDescent="0.35">
      <c r="A1481" s="770" t="str">
        <f ca="1">INDIRECT("'update Helper'!C"&amp;U1481)</f>
        <v>a163p000004NtYeAAK</v>
      </c>
      <c r="B1481" s="766">
        <v>22</v>
      </c>
      <c r="C1481" s="760" t="str">
        <f>VLOOKUP(B1481,'Coverage Indicators - Section D'!$A$9:$AU$70,47,FALSE)</f>
        <v>HTS-3c⁽ᴹ⁾ Porcentaje de trabajadores sexuales a los que se les ha realizado una prueba de VIH durante el período de reporte y que conocen sus resultados</v>
      </c>
      <c r="D1481" s="768" t="str">
        <f>R1481</f>
        <v/>
      </c>
      <c r="E1481" s="768" t="str">
        <f>S1481</f>
        <v/>
      </c>
      <c r="F1481" s="413"/>
      <c r="G1481" s="762" t="str">
        <f ca="1">IF(OR(INDIRECT("'update Helper'!E"&amp;U1481)="",F1481&lt;&gt;0,F1482&lt;&gt;0),IF(IFERROR((F1481/F1482),"")="","",(F1481/F1482)),INDIRECT("'update Helper'!E"&amp;U1481)/100)</f>
        <v/>
      </c>
      <c r="H1481" s="743"/>
      <c r="I1481" s="764"/>
      <c r="J1481" s="729"/>
      <c r="K1481" s="760" t="str">
        <f>W1481</f>
        <v>HTS-3c⁽ᴹ⁾ Percentage of sex workers that have received an HIV test during the reporting period and know their results</v>
      </c>
      <c r="L1481" s="760" t="str">
        <f>V1481</f>
        <v/>
      </c>
      <c r="M1481" s="729"/>
      <c r="N1481" s="729"/>
      <c r="P1481" s="194">
        <f>IF(AND(EXACT(C1481,C1479),C1479&lt;&gt;0),P1479+1,0)</f>
        <v>10</v>
      </c>
      <c r="Q1481" s="194" t="str">
        <f>IF(C1481&lt;&gt;"",C1481&amp;"-"&amp;P1481,"")</f>
        <v>HTS-3c⁽ᴹ⁾ Porcentaje de trabajadores sexuales a los que se les ha realizado una prueba de VIH durante el período de reporte y que conocen sus resultados-10</v>
      </c>
      <c r="R1481" s="194" t="str">
        <f t="array" ref="R1481">IFERROR(IF(INDEX('Disaggregation Records'!$E$155:$E$385,MATCH(RIGHT(Q1481,255),RIGHT('Disaggregation Records'!$D$155:$D$385,255),0))="","",INDEX('Disaggregation Records'!$E$155:$E$385,MATCH(RIGHT(Q1481,255),RIGHT('Disaggregation Records'!$D$155:$D$385,255),0))),"")</f>
        <v/>
      </c>
      <c r="S1481" s="194" t="str">
        <f t="array" ref="S1481">IFERROR(IF(INDEX('Disaggregation Records'!$F$155:$F$385,MATCH(RIGHT(Q1481,255),RIGHT('Disaggregation Records'!$D$155:$D$385,255),0))="","",INDEX('Disaggregation Records'!$F$155:$F$385,MATCH(RIGHT(Q1481,255),RIGHT('Disaggregation Records'!$D$155:$D$385,255),0))),"")</f>
        <v/>
      </c>
      <c r="T1481" s="194" t="str">
        <f t="array" ref="T1481">IFERROR(IF(INDEX('Disaggregation Records'!$H$155:$H$385,MATCH(RIGHT(Q1481,255),RIGHT('Disaggregation Records'!$D$155:$D$385,255),0))="","",INDEX('Disaggregation Records'!$H$155:$H$385,MATCH(RIGHT(Q1481,255),RIGHT('Disaggregation Records'!$D$155:$D$385,255),0))),"")</f>
        <v/>
      </c>
      <c r="U1481" s="194">
        <f>U1479+1</f>
        <v>2930</v>
      </c>
      <c r="V1481" s="194" t="str">
        <f t="array" ref="V1481">IFERROR(IF(INDEX('Disaggregation Records'!$I$155:$I$385,MATCH(RIGHT(Q1481,255),RIGHT('Disaggregation Records'!$D$155:$D$385,255),0))="","",INDEX('Disaggregation Records'!$I$155:$I$385,MATCH(RIGHT(Q1481,255),RIGHT('Disaggregation Records'!$D$155:$D$385,255),0))),"")</f>
        <v/>
      </c>
      <c r="W1481" s="194" t="str">
        <f>IFERROR(INDEX('Reference Records'!L$77:L$157,MATCH(LEFT(C1481,255),'Reference Records'!E$77:E$157,0)),"")</f>
        <v>HTS-3c⁽ᴹ⁾ Percentage of sex workers that have received an HIV test during the reporting period and know their results</v>
      </c>
    </row>
    <row r="1482" spans="1:23" s="194" customFormat="1" ht="40.4" customHeight="1" x14ac:dyDescent="0.35">
      <c r="A1482" s="770"/>
      <c r="B1482" s="767"/>
      <c r="C1482" s="761"/>
      <c r="D1482" s="769"/>
      <c r="E1482" s="769"/>
      <c r="F1482" s="208"/>
      <c r="G1482" s="763"/>
      <c r="H1482" s="744"/>
      <c r="I1482" s="765"/>
      <c r="J1482" s="730"/>
      <c r="K1482" s="761"/>
      <c r="L1482" s="761"/>
      <c r="M1482" s="730"/>
      <c r="N1482" s="730"/>
    </row>
    <row r="1483" spans="1:23" s="194" customFormat="1" ht="40.4" customHeight="1" x14ac:dyDescent="0.35">
      <c r="A1483" s="770" t="str">
        <f ca="1">INDIRECT("'update Helper'!C"&amp;U1483)</f>
        <v>a163p000004NtYfAAK</v>
      </c>
      <c r="B1483" s="766">
        <v>22</v>
      </c>
      <c r="C1483" s="760" t="str">
        <f>VLOOKUP(B1483,'Coverage Indicators - Section D'!$A$9:$AU$70,47,FALSE)</f>
        <v>HTS-3c⁽ᴹ⁾ Porcentaje de trabajadores sexuales a los que se les ha realizado una prueba de VIH durante el período de reporte y que conocen sus resultados</v>
      </c>
      <c r="D1483" s="768" t="str">
        <f>R1483</f>
        <v/>
      </c>
      <c r="E1483" s="768" t="str">
        <f>S1483</f>
        <v/>
      </c>
      <c r="F1483" s="413"/>
      <c r="G1483" s="762" t="str">
        <f ca="1">IF(OR(INDIRECT("'update Helper'!E"&amp;U1483)="",F1483&lt;&gt;0,F1484&lt;&gt;0),IF(IFERROR((F1483/F1484),"")="","",(F1483/F1484)),INDIRECT("'update Helper'!E"&amp;U1483)/100)</f>
        <v/>
      </c>
      <c r="H1483" s="743"/>
      <c r="I1483" s="764"/>
      <c r="J1483" s="729"/>
      <c r="K1483" s="760" t="str">
        <f>W1483</f>
        <v>HTS-3c⁽ᴹ⁾ Percentage of sex workers that have received an HIV test during the reporting period and know their results</v>
      </c>
      <c r="L1483" s="760" t="str">
        <f>V1483</f>
        <v/>
      </c>
      <c r="M1483" s="729"/>
      <c r="N1483" s="729"/>
      <c r="P1483" s="194">
        <f>IF(AND(EXACT(C1483,C1481),C1481&lt;&gt;0),P1481+1,0)</f>
        <v>11</v>
      </c>
      <c r="Q1483" s="194" t="str">
        <f>IF(C1483&lt;&gt;"",C1483&amp;"-"&amp;P1483,"")</f>
        <v>HTS-3c⁽ᴹ⁾ Porcentaje de trabajadores sexuales a los que se les ha realizado una prueba de VIH durante el período de reporte y que conocen sus resultados-11</v>
      </c>
      <c r="R1483" s="194" t="str">
        <f t="array" ref="R1483">IFERROR(IF(INDEX('Disaggregation Records'!$E$155:$E$385,MATCH(RIGHT(Q1483,255),RIGHT('Disaggregation Records'!$D$155:$D$385,255),0))="","",INDEX('Disaggregation Records'!$E$155:$E$385,MATCH(RIGHT(Q1483,255),RIGHT('Disaggregation Records'!$D$155:$D$385,255),0))),"")</f>
        <v/>
      </c>
      <c r="S1483" s="194" t="str">
        <f t="array" ref="S1483">IFERROR(IF(INDEX('Disaggregation Records'!$F$155:$F$385,MATCH(RIGHT(Q1483,255),RIGHT('Disaggregation Records'!$D$155:$D$385,255),0))="","",INDEX('Disaggregation Records'!$F$155:$F$385,MATCH(RIGHT(Q1483,255),RIGHT('Disaggregation Records'!$D$155:$D$385,255),0))),"")</f>
        <v/>
      </c>
      <c r="T1483" s="194" t="str">
        <f t="array" ref="T1483">IFERROR(IF(INDEX('Disaggregation Records'!$H$155:$H$385,MATCH(RIGHT(Q1483,255),RIGHT('Disaggregation Records'!$D$155:$D$385,255),0))="","",INDEX('Disaggregation Records'!$H$155:$H$385,MATCH(RIGHT(Q1483,255),RIGHT('Disaggregation Records'!$D$155:$D$385,255),0))),"")</f>
        <v/>
      </c>
      <c r="U1483" s="194">
        <f>U1481+1</f>
        <v>2931</v>
      </c>
      <c r="V1483" s="194" t="str">
        <f t="array" ref="V1483">IFERROR(IF(INDEX('Disaggregation Records'!$I$155:$I$385,MATCH(RIGHT(Q1483,255),RIGHT('Disaggregation Records'!$D$155:$D$385,255),0))="","",INDEX('Disaggregation Records'!$I$155:$I$385,MATCH(RIGHT(Q1483,255),RIGHT('Disaggregation Records'!$D$155:$D$385,255),0))),"")</f>
        <v/>
      </c>
      <c r="W1483" s="194" t="str">
        <f>IFERROR(INDEX('Reference Records'!L$77:L$157,MATCH(LEFT(C1483,255),'Reference Records'!E$77:E$157,0)),"")</f>
        <v>HTS-3c⁽ᴹ⁾ Percentage of sex workers that have received an HIV test during the reporting period and know their results</v>
      </c>
    </row>
    <row r="1484" spans="1:23" s="194" customFormat="1" ht="40.4" customHeight="1" x14ac:dyDescent="0.35">
      <c r="A1484" s="770"/>
      <c r="B1484" s="767"/>
      <c r="C1484" s="761"/>
      <c r="D1484" s="769"/>
      <c r="E1484" s="769"/>
      <c r="F1484" s="208"/>
      <c r="G1484" s="763"/>
      <c r="H1484" s="744"/>
      <c r="I1484" s="765"/>
      <c r="J1484" s="730"/>
      <c r="K1484" s="761"/>
      <c r="L1484" s="761"/>
      <c r="M1484" s="730"/>
      <c r="N1484" s="730"/>
    </row>
    <row r="1485" spans="1:23" s="194" customFormat="1" ht="40.4" customHeight="1" x14ac:dyDescent="0.35">
      <c r="A1485" s="770" t="str">
        <f ca="1">INDIRECT("'update Helper'!C"&amp;U1485)</f>
        <v>a163p000004NtYgAAK</v>
      </c>
      <c r="B1485" s="766">
        <v>22</v>
      </c>
      <c r="C1485" s="760" t="str">
        <f>VLOOKUP(B1485,'Coverage Indicators - Section D'!$A$9:$AU$70,47,FALSE)</f>
        <v>HTS-3c⁽ᴹ⁾ Porcentaje de trabajadores sexuales a los que se les ha realizado una prueba de VIH durante el período de reporte y que conocen sus resultados</v>
      </c>
      <c r="D1485" s="768" t="str">
        <f>R1485</f>
        <v/>
      </c>
      <c r="E1485" s="768" t="str">
        <f>S1485</f>
        <v/>
      </c>
      <c r="F1485" s="413"/>
      <c r="G1485" s="762" t="str">
        <f ca="1">IF(OR(INDIRECT("'update Helper'!E"&amp;U1485)="",F1485&lt;&gt;0,F1486&lt;&gt;0),IF(IFERROR((F1485/F1486),"")="","",(F1485/F1486)),INDIRECT("'update Helper'!E"&amp;U1485)/100)</f>
        <v/>
      </c>
      <c r="H1485" s="743"/>
      <c r="I1485" s="764"/>
      <c r="J1485" s="729"/>
      <c r="K1485" s="760" t="str">
        <f>W1485</f>
        <v>HTS-3c⁽ᴹ⁾ Percentage of sex workers that have received an HIV test during the reporting period and know their results</v>
      </c>
      <c r="L1485" s="760" t="str">
        <f>V1485</f>
        <v/>
      </c>
      <c r="M1485" s="729"/>
      <c r="N1485" s="729"/>
      <c r="P1485" s="194">
        <f>IF(AND(EXACT(C1485,C1483),C1483&lt;&gt;0),P1483+1,0)</f>
        <v>12</v>
      </c>
      <c r="Q1485" s="194" t="str">
        <f>IF(C1485&lt;&gt;"",C1485&amp;"-"&amp;P1485,"")</f>
        <v>HTS-3c⁽ᴹ⁾ Porcentaje de trabajadores sexuales a los que se les ha realizado una prueba de VIH durante el período de reporte y que conocen sus resultados-12</v>
      </c>
      <c r="R1485" s="194" t="str">
        <f t="array" ref="R1485">IFERROR(IF(INDEX('Disaggregation Records'!$E$155:$E$385,MATCH(RIGHT(Q1485,255),RIGHT('Disaggregation Records'!$D$155:$D$385,255),0))="","",INDEX('Disaggregation Records'!$E$155:$E$385,MATCH(RIGHT(Q1485,255),RIGHT('Disaggregation Records'!$D$155:$D$385,255),0))),"")</f>
        <v/>
      </c>
      <c r="S1485" s="194" t="str">
        <f t="array" ref="S1485">IFERROR(IF(INDEX('Disaggregation Records'!$F$155:$F$385,MATCH(RIGHT(Q1485,255),RIGHT('Disaggregation Records'!$D$155:$D$385,255),0))="","",INDEX('Disaggregation Records'!$F$155:$F$385,MATCH(RIGHT(Q1485,255),RIGHT('Disaggregation Records'!$D$155:$D$385,255),0))),"")</f>
        <v/>
      </c>
      <c r="T1485" s="194" t="str">
        <f t="array" ref="T1485">IFERROR(IF(INDEX('Disaggregation Records'!$H$155:$H$385,MATCH(RIGHT(Q1485,255),RIGHT('Disaggregation Records'!$D$155:$D$385,255),0))="","",INDEX('Disaggregation Records'!$H$155:$H$385,MATCH(RIGHT(Q1485,255),RIGHT('Disaggregation Records'!$D$155:$D$385,255),0))),"")</f>
        <v/>
      </c>
      <c r="U1485" s="194">
        <f>U1483+1</f>
        <v>2932</v>
      </c>
      <c r="V1485" s="194" t="str">
        <f t="array" ref="V1485">IFERROR(IF(INDEX('Disaggregation Records'!$I$155:$I$385,MATCH(RIGHT(Q1485,255),RIGHT('Disaggregation Records'!$D$155:$D$385,255),0))="","",INDEX('Disaggregation Records'!$I$155:$I$385,MATCH(RIGHT(Q1485,255),RIGHT('Disaggregation Records'!$D$155:$D$385,255),0))),"")</f>
        <v/>
      </c>
      <c r="W1485" s="194" t="str">
        <f>IFERROR(INDEX('Reference Records'!L$77:L$157,MATCH(LEFT(C1485,255),'Reference Records'!E$77:E$157,0)),"")</f>
        <v>HTS-3c⁽ᴹ⁾ Percentage of sex workers that have received an HIV test during the reporting period and know their results</v>
      </c>
    </row>
    <row r="1486" spans="1:23" s="194" customFormat="1" ht="40.4" customHeight="1" x14ac:dyDescent="0.35">
      <c r="A1486" s="770"/>
      <c r="B1486" s="767"/>
      <c r="C1486" s="761"/>
      <c r="D1486" s="769"/>
      <c r="E1486" s="769"/>
      <c r="F1486" s="208"/>
      <c r="G1486" s="763"/>
      <c r="H1486" s="744"/>
      <c r="I1486" s="765"/>
      <c r="J1486" s="730"/>
      <c r="K1486" s="761"/>
      <c r="L1486" s="761"/>
      <c r="M1486" s="730"/>
      <c r="N1486" s="730"/>
    </row>
    <row r="1487" spans="1:23" s="194" customFormat="1" ht="40.4" customHeight="1" x14ac:dyDescent="0.35">
      <c r="A1487" s="770" t="str">
        <f ca="1">INDIRECT("'update Helper'!C"&amp;U1487)</f>
        <v>a163p000004NtYhAAK</v>
      </c>
      <c r="B1487" s="766">
        <v>22</v>
      </c>
      <c r="C1487" s="760" t="str">
        <f>VLOOKUP(B1487,'Coverage Indicators - Section D'!$A$9:$AU$70,47,FALSE)</f>
        <v>HTS-3c⁽ᴹ⁾ Porcentaje de trabajadores sexuales a los que se les ha realizado una prueba de VIH durante el período de reporte y que conocen sus resultados</v>
      </c>
      <c r="D1487" s="768" t="str">
        <f>R1487</f>
        <v/>
      </c>
      <c r="E1487" s="768" t="str">
        <f>S1487</f>
        <v/>
      </c>
      <c r="F1487" s="413"/>
      <c r="G1487" s="762" t="str">
        <f ca="1">IF(OR(INDIRECT("'update Helper'!E"&amp;U1487)="",F1487&lt;&gt;0,F1488&lt;&gt;0),IF(IFERROR((F1487/F1488),"")="","",(F1487/F1488)),INDIRECT("'update Helper'!E"&amp;U1487)/100)</f>
        <v/>
      </c>
      <c r="H1487" s="743"/>
      <c r="I1487" s="764"/>
      <c r="J1487" s="729"/>
      <c r="K1487" s="760" t="str">
        <f>W1487</f>
        <v>HTS-3c⁽ᴹ⁾ Percentage of sex workers that have received an HIV test during the reporting period and know their results</v>
      </c>
      <c r="L1487" s="760" t="str">
        <f>V1487</f>
        <v/>
      </c>
      <c r="M1487" s="729"/>
      <c r="N1487" s="729"/>
      <c r="P1487" s="194">
        <f>IF(AND(EXACT(C1487,C1485),C1485&lt;&gt;0),P1485+1,0)</f>
        <v>13</v>
      </c>
      <c r="Q1487" s="194" t="str">
        <f>IF(C1487&lt;&gt;"",C1487&amp;"-"&amp;P1487,"")</f>
        <v>HTS-3c⁽ᴹ⁾ Porcentaje de trabajadores sexuales a los que se les ha realizado una prueba de VIH durante el período de reporte y que conocen sus resultados-13</v>
      </c>
      <c r="R1487" s="194" t="str">
        <f t="array" ref="R1487">IFERROR(IF(INDEX('Disaggregation Records'!$E$155:$E$385,MATCH(RIGHT(Q1487,255),RIGHT('Disaggregation Records'!$D$155:$D$385,255),0))="","",INDEX('Disaggregation Records'!$E$155:$E$385,MATCH(RIGHT(Q1487,255),RIGHT('Disaggregation Records'!$D$155:$D$385,255),0))),"")</f>
        <v/>
      </c>
      <c r="S1487" s="194" t="str">
        <f t="array" ref="S1487">IFERROR(IF(INDEX('Disaggregation Records'!$F$155:$F$385,MATCH(RIGHT(Q1487,255),RIGHT('Disaggregation Records'!$D$155:$D$385,255),0))="","",INDEX('Disaggregation Records'!$F$155:$F$385,MATCH(RIGHT(Q1487,255),RIGHT('Disaggregation Records'!$D$155:$D$385,255),0))),"")</f>
        <v/>
      </c>
      <c r="T1487" s="194" t="str">
        <f t="array" ref="T1487">IFERROR(IF(INDEX('Disaggregation Records'!$H$155:$H$385,MATCH(RIGHT(Q1487,255),RIGHT('Disaggregation Records'!$D$155:$D$385,255),0))="","",INDEX('Disaggregation Records'!$H$155:$H$385,MATCH(RIGHT(Q1487,255),RIGHT('Disaggregation Records'!$D$155:$D$385,255),0))),"")</f>
        <v/>
      </c>
      <c r="U1487" s="194">
        <f>U1485+1</f>
        <v>2933</v>
      </c>
      <c r="V1487" s="194" t="str">
        <f t="array" ref="V1487">IFERROR(IF(INDEX('Disaggregation Records'!$I$155:$I$385,MATCH(RIGHT(Q1487,255),RIGHT('Disaggregation Records'!$D$155:$D$385,255),0))="","",INDEX('Disaggregation Records'!$I$155:$I$385,MATCH(RIGHT(Q1487,255),RIGHT('Disaggregation Records'!$D$155:$D$385,255),0))),"")</f>
        <v/>
      </c>
      <c r="W1487" s="194" t="str">
        <f>IFERROR(INDEX('Reference Records'!L$77:L$157,MATCH(LEFT(C1487,255),'Reference Records'!E$77:E$157,0)),"")</f>
        <v>HTS-3c⁽ᴹ⁾ Percentage of sex workers that have received an HIV test during the reporting period and know their results</v>
      </c>
    </row>
    <row r="1488" spans="1:23" s="194" customFormat="1" ht="40.4" customHeight="1" x14ac:dyDescent="0.35">
      <c r="A1488" s="770"/>
      <c r="B1488" s="767"/>
      <c r="C1488" s="761"/>
      <c r="D1488" s="769"/>
      <c r="E1488" s="769"/>
      <c r="F1488" s="208"/>
      <c r="G1488" s="763"/>
      <c r="H1488" s="744"/>
      <c r="I1488" s="765"/>
      <c r="J1488" s="730"/>
      <c r="K1488" s="761"/>
      <c r="L1488" s="761"/>
      <c r="M1488" s="730"/>
      <c r="N1488" s="730"/>
    </row>
    <row r="1489" spans="1:23" s="194" customFormat="1" ht="40.4" customHeight="1" x14ac:dyDescent="0.35">
      <c r="A1489" s="770" t="str">
        <f ca="1">INDIRECT("'update Helper'!C"&amp;U1489)</f>
        <v>a163p000004NtYiAAK</v>
      </c>
      <c r="B1489" s="766">
        <v>22</v>
      </c>
      <c r="C1489" s="760" t="str">
        <f>VLOOKUP(B1489,'Coverage Indicators - Section D'!$A$9:$AU$70,47,FALSE)</f>
        <v>HTS-3c⁽ᴹ⁾ Porcentaje de trabajadores sexuales a los que se les ha realizado una prueba de VIH durante el período de reporte y que conocen sus resultados</v>
      </c>
      <c r="D1489" s="768" t="str">
        <f>R1489</f>
        <v/>
      </c>
      <c r="E1489" s="768" t="str">
        <f>S1489</f>
        <v/>
      </c>
      <c r="F1489" s="413"/>
      <c r="G1489" s="762" t="str">
        <f ca="1">IF(OR(INDIRECT("'update Helper'!E"&amp;U1489)="",F1489&lt;&gt;0,F1490&lt;&gt;0),IF(IFERROR((F1489/F1490),"")="","",(F1489/F1490)),INDIRECT("'update Helper'!E"&amp;U1489)/100)</f>
        <v/>
      </c>
      <c r="H1489" s="743"/>
      <c r="I1489" s="764"/>
      <c r="J1489" s="729"/>
      <c r="K1489" s="760" t="str">
        <f>W1489</f>
        <v>HTS-3c⁽ᴹ⁾ Percentage of sex workers that have received an HIV test during the reporting period and know their results</v>
      </c>
      <c r="L1489" s="760" t="str">
        <f>V1489</f>
        <v/>
      </c>
      <c r="M1489" s="729"/>
      <c r="N1489" s="729"/>
      <c r="P1489" s="194">
        <f>IF(AND(EXACT(C1489,C1487),C1487&lt;&gt;0),P1487+1,0)</f>
        <v>14</v>
      </c>
      <c r="Q1489" s="194" t="str">
        <f>IF(C1489&lt;&gt;"",C1489&amp;"-"&amp;P1489,"")</f>
        <v>HTS-3c⁽ᴹ⁾ Porcentaje de trabajadores sexuales a los que se les ha realizado una prueba de VIH durante el período de reporte y que conocen sus resultados-14</v>
      </c>
      <c r="R1489" s="194" t="str">
        <f t="array" ref="R1489">IFERROR(IF(INDEX('Disaggregation Records'!$E$155:$E$385,MATCH(RIGHT(Q1489,255),RIGHT('Disaggregation Records'!$D$155:$D$385,255),0))="","",INDEX('Disaggregation Records'!$E$155:$E$385,MATCH(RIGHT(Q1489,255),RIGHT('Disaggregation Records'!$D$155:$D$385,255),0))),"")</f>
        <v/>
      </c>
      <c r="S1489" s="194" t="str">
        <f t="array" ref="S1489">IFERROR(IF(INDEX('Disaggregation Records'!$F$155:$F$385,MATCH(RIGHT(Q1489,255),RIGHT('Disaggregation Records'!$D$155:$D$385,255),0))="","",INDEX('Disaggregation Records'!$F$155:$F$385,MATCH(RIGHT(Q1489,255),RIGHT('Disaggregation Records'!$D$155:$D$385,255),0))),"")</f>
        <v/>
      </c>
      <c r="T1489" s="194" t="str">
        <f t="array" ref="T1489">IFERROR(IF(INDEX('Disaggregation Records'!$H$155:$H$385,MATCH(RIGHT(Q1489,255),RIGHT('Disaggregation Records'!$D$155:$D$385,255),0))="","",INDEX('Disaggregation Records'!$H$155:$H$385,MATCH(RIGHT(Q1489,255),RIGHT('Disaggregation Records'!$D$155:$D$385,255),0))),"")</f>
        <v/>
      </c>
      <c r="U1489" s="194">
        <f>U1487+1</f>
        <v>2934</v>
      </c>
      <c r="V1489" s="194" t="str">
        <f t="array" ref="V1489">IFERROR(IF(INDEX('Disaggregation Records'!$I$155:$I$385,MATCH(RIGHT(Q1489,255),RIGHT('Disaggregation Records'!$D$155:$D$385,255),0))="","",INDEX('Disaggregation Records'!$I$155:$I$385,MATCH(RIGHT(Q1489,255),RIGHT('Disaggregation Records'!$D$155:$D$385,255),0))),"")</f>
        <v/>
      </c>
      <c r="W1489" s="194" t="str">
        <f>IFERROR(INDEX('Reference Records'!L$77:L$157,MATCH(LEFT(C1489,255),'Reference Records'!E$77:E$157,0)),"")</f>
        <v>HTS-3c⁽ᴹ⁾ Percentage of sex workers that have received an HIV test during the reporting period and know their results</v>
      </c>
    </row>
    <row r="1490" spans="1:23" s="194" customFormat="1" ht="40.4" customHeight="1" x14ac:dyDescent="0.35">
      <c r="A1490" s="770"/>
      <c r="B1490" s="767"/>
      <c r="C1490" s="761"/>
      <c r="D1490" s="769"/>
      <c r="E1490" s="769"/>
      <c r="F1490" s="208"/>
      <c r="G1490" s="763"/>
      <c r="H1490" s="744"/>
      <c r="I1490" s="765"/>
      <c r="J1490" s="730"/>
      <c r="K1490" s="761"/>
      <c r="L1490" s="761"/>
      <c r="M1490" s="730"/>
      <c r="N1490" s="730"/>
    </row>
    <row r="1491" spans="1:23" s="194" customFormat="1" ht="40.4" customHeight="1" x14ac:dyDescent="0.35">
      <c r="A1491" s="770" t="str">
        <f ca="1">INDIRECT("'update Helper'!C"&amp;U1491)</f>
        <v>a163p000004NtYjAAK</v>
      </c>
      <c r="B1491" s="766">
        <v>22</v>
      </c>
      <c r="C1491" s="760" t="str">
        <f>VLOOKUP(B1491,'Coverage Indicators - Section D'!$A$9:$AU$70,47,FALSE)</f>
        <v>HTS-3c⁽ᴹ⁾ Porcentaje de trabajadores sexuales a los que se les ha realizado una prueba de VIH durante el período de reporte y que conocen sus resultados</v>
      </c>
      <c r="D1491" s="768" t="str">
        <f>R1491</f>
        <v/>
      </c>
      <c r="E1491" s="768" t="str">
        <f>S1491</f>
        <v/>
      </c>
      <c r="F1491" s="413"/>
      <c r="G1491" s="762" t="str">
        <f ca="1">IF(OR(INDIRECT("'update Helper'!E"&amp;U1491)="",F1491&lt;&gt;0,F1492&lt;&gt;0),IF(IFERROR((F1491/F1492),"")="","",(F1491/F1492)),INDIRECT("'update Helper'!E"&amp;U1491)/100)</f>
        <v/>
      </c>
      <c r="H1491" s="743"/>
      <c r="I1491" s="764"/>
      <c r="J1491" s="729"/>
      <c r="K1491" s="760" t="str">
        <f>W1491</f>
        <v>HTS-3c⁽ᴹ⁾ Percentage of sex workers that have received an HIV test during the reporting period and know their results</v>
      </c>
      <c r="L1491" s="760" t="str">
        <f>V1491</f>
        <v/>
      </c>
      <c r="M1491" s="729"/>
      <c r="N1491" s="729"/>
      <c r="P1491" s="194">
        <f>IF(AND(EXACT(C1491,C1489),C1489&lt;&gt;0),P1489+1,0)</f>
        <v>15</v>
      </c>
      <c r="Q1491" s="194" t="str">
        <f>IF(C1491&lt;&gt;"",C1491&amp;"-"&amp;P1491,"")</f>
        <v>HTS-3c⁽ᴹ⁾ Porcentaje de trabajadores sexuales a los que se les ha realizado una prueba de VIH durante el período de reporte y que conocen sus resultados-15</v>
      </c>
      <c r="R1491" s="194" t="str">
        <f t="array" ref="R1491">IFERROR(IF(INDEX('Disaggregation Records'!$E$155:$E$385,MATCH(RIGHT(Q1491,255),RIGHT('Disaggregation Records'!$D$155:$D$385,255),0))="","",INDEX('Disaggregation Records'!$E$155:$E$385,MATCH(RIGHT(Q1491,255),RIGHT('Disaggregation Records'!$D$155:$D$385,255),0))),"")</f>
        <v/>
      </c>
      <c r="S1491" s="194" t="str">
        <f t="array" ref="S1491">IFERROR(IF(INDEX('Disaggregation Records'!$F$155:$F$385,MATCH(RIGHT(Q1491,255),RIGHT('Disaggregation Records'!$D$155:$D$385,255),0))="","",INDEX('Disaggregation Records'!$F$155:$F$385,MATCH(RIGHT(Q1491,255),RIGHT('Disaggregation Records'!$D$155:$D$385,255),0))),"")</f>
        <v/>
      </c>
      <c r="T1491" s="194" t="str">
        <f t="array" ref="T1491">IFERROR(IF(INDEX('Disaggregation Records'!$H$155:$H$385,MATCH(RIGHT(Q1491,255),RIGHT('Disaggregation Records'!$D$155:$D$385,255),0))="","",INDEX('Disaggregation Records'!$H$155:$H$385,MATCH(RIGHT(Q1491,255),RIGHT('Disaggregation Records'!$D$155:$D$385,255),0))),"")</f>
        <v/>
      </c>
      <c r="U1491" s="194">
        <f>U1489+1</f>
        <v>2935</v>
      </c>
      <c r="V1491" s="194" t="str">
        <f t="array" ref="V1491">IFERROR(IF(INDEX('Disaggregation Records'!$I$155:$I$385,MATCH(RIGHT(Q1491,255),RIGHT('Disaggregation Records'!$D$155:$D$385,255),0))="","",INDEX('Disaggregation Records'!$I$155:$I$385,MATCH(RIGHT(Q1491,255),RIGHT('Disaggregation Records'!$D$155:$D$385,255),0))),"")</f>
        <v/>
      </c>
      <c r="W1491" s="194" t="str">
        <f>IFERROR(INDEX('Reference Records'!L$77:L$157,MATCH(LEFT(C1491,255),'Reference Records'!E$77:E$157,0)),"")</f>
        <v>HTS-3c⁽ᴹ⁾ Percentage of sex workers that have received an HIV test during the reporting period and know their results</v>
      </c>
    </row>
    <row r="1492" spans="1:23" s="194" customFormat="1" ht="40.4" customHeight="1" x14ac:dyDescent="0.35">
      <c r="A1492" s="770"/>
      <c r="B1492" s="767"/>
      <c r="C1492" s="761"/>
      <c r="D1492" s="769"/>
      <c r="E1492" s="769"/>
      <c r="F1492" s="208"/>
      <c r="G1492" s="763"/>
      <c r="H1492" s="744"/>
      <c r="I1492" s="765"/>
      <c r="J1492" s="730"/>
      <c r="K1492" s="761"/>
      <c r="L1492" s="761"/>
      <c r="M1492" s="730"/>
      <c r="N1492" s="730"/>
    </row>
    <row r="1493" spans="1:23" s="194" customFormat="1" ht="40.4" customHeight="1" x14ac:dyDescent="0.35">
      <c r="A1493" s="770" t="str">
        <f ca="1">INDIRECT("'update Helper'!C"&amp;U1493)</f>
        <v>a163p000004NtYkAAK</v>
      </c>
      <c r="B1493" s="766">
        <v>22</v>
      </c>
      <c r="C1493" s="760" t="str">
        <f>VLOOKUP(B1493,'Coverage Indicators - Section D'!$A$9:$AU$70,47,FALSE)</f>
        <v>HTS-3c⁽ᴹ⁾ Porcentaje de trabajadores sexuales a los que se les ha realizado una prueba de VIH durante el período de reporte y que conocen sus resultados</v>
      </c>
      <c r="D1493" s="768" t="str">
        <f>R1493</f>
        <v/>
      </c>
      <c r="E1493" s="768" t="str">
        <f>S1493</f>
        <v/>
      </c>
      <c r="F1493" s="413"/>
      <c r="G1493" s="762" t="str">
        <f ca="1">IF(OR(INDIRECT("'update Helper'!E"&amp;U1493)="",F1493&lt;&gt;0,F1494&lt;&gt;0),IF(IFERROR((F1493/F1494),"")="","",(F1493/F1494)),INDIRECT("'update Helper'!E"&amp;U1493)/100)</f>
        <v/>
      </c>
      <c r="H1493" s="743"/>
      <c r="I1493" s="764"/>
      <c r="J1493" s="729"/>
      <c r="K1493" s="760" t="str">
        <f>W1493</f>
        <v>HTS-3c⁽ᴹ⁾ Percentage of sex workers that have received an HIV test during the reporting period and know their results</v>
      </c>
      <c r="L1493" s="760" t="str">
        <f>V1493</f>
        <v/>
      </c>
      <c r="M1493" s="729"/>
      <c r="N1493" s="729"/>
      <c r="P1493" s="194">
        <f>IF(AND(EXACT(C1493,C1491),C1491&lt;&gt;0),P1491+1,0)</f>
        <v>16</v>
      </c>
      <c r="Q1493" s="194" t="str">
        <f>IF(C1493&lt;&gt;"",C1493&amp;"-"&amp;P1493,"")</f>
        <v>HTS-3c⁽ᴹ⁾ Porcentaje de trabajadores sexuales a los que se les ha realizado una prueba de VIH durante el período de reporte y que conocen sus resultados-16</v>
      </c>
      <c r="R1493" s="194" t="str">
        <f t="array" ref="R1493">IFERROR(IF(INDEX('Disaggregation Records'!$E$155:$E$385,MATCH(RIGHT(Q1493,255),RIGHT('Disaggregation Records'!$D$155:$D$385,255),0))="","",INDEX('Disaggregation Records'!$E$155:$E$385,MATCH(RIGHT(Q1493,255),RIGHT('Disaggregation Records'!$D$155:$D$385,255),0))),"")</f>
        <v/>
      </c>
      <c r="S1493" s="194" t="str">
        <f t="array" ref="S1493">IFERROR(IF(INDEX('Disaggregation Records'!$F$155:$F$385,MATCH(RIGHT(Q1493,255),RIGHT('Disaggregation Records'!$D$155:$D$385,255),0))="","",INDEX('Disaggregation Records'!$F$155:$F$385,MATCH(RIGHT(Q1493,255),RIGHT('Disaggregation Records'!$D$155:$D$385,255),0))),"")</f>
        <v/>
      </c>
      <c r="T1493" s="194" t="str">
        <f t="array" ref="T1493">IFERROR(IF(INDEX('Disaggregation Records'!$H$155:$H$385,MATCH(RIGHT(Q1493,255),RIGHT('Disaggregation Records'!$D$155:$D$385,255),0))="","",INDEX('Disaggregation Records'!$H$155:$H$385,MATCH(RIGHT(Q1493,255),RIGHT('Disaggregation Records'!$D$155:$D$385,255),0))),"")</f>
        <v/>
      </c>
      <c r="U1493" s="194">
        <f>U1491+1</f>
        <v>2936</v>
      </c>
      <c r="V1493" s="194" t="str">
        <f t="array" ref="V1493">IFERROR(IF(INDEX('Disaggregation Records'!$I$155:$I$385,MATCH(RIGHT(Q1493,255),RIGHT('Disaggregation Records'!$D$155:$D$385,255),0))="","",INDEX('Disaggregation Records'!$I$155:$I$385,MATCH(RIGHT(Q1493,255),RIGHT('Disaggregation Records'!$D$155:$D$385,255),0))),"")</f>
        <v/>
      </c>
      <c r="W1493" s="194" t="str">
        <f>IFERROR(INDEX('Reference Records'!L$77:L$157,MATCH(LEFT(C1493,255),'Reference Records'!E$77:E$157,0)),"")</f>
        <v>HTS-3c⁽ᴹ⁾ Percentage of sex workers that have received an HIV test during the reporting period and know their results</v>
      </c>
    </row>
    <row r="1494" spans="1:23" s="194" customFormat="1" ht="40.4" customHeight="1" x14ac:dyDescent="0.35">
      <c r="A1494" s="770"/>
      <c r="B1494" s="767"/>
      <c r="C1494" s="761"/>
      <c r="D1494" s="769"/>
      <c r="E1494" s="769"/>
      <c r="F1494" s="208"/>
      <c r="G1494" s="763"/>
      <c r="H1494" s="744"/>
      <c r="I1494" s="765"/>
      <c r="J1494" s="730"/>
      <c r="K1494" s="761"/>
      <c r="L1494" s="761"/>
      <c r="M1494" s="730"/>
      <c r="N1494" s="730"/>
    </row>
    <row r="1495" spans="1:23" s="194" customFormat="1" ht="40.4" customHeight="1" x14ac:dyDescent="0.35">
      <c r="A1495" s="770" t="str">
        <f ca="1">INDIRECT("'update Helper'!C"&amp;U1495)</f>
        <v>a163p000004NtYlAAK</v>
      </c>
      <c r="B1495" s="766">
        <v>22</v>
      </c>
      <c r="C1495" s="760" t="str">
        <f>VLOOKUP(B1495,'Coverage Indicators - Section D'!$A$9:$AU$70,47,FALSE)</f>
        <v>HTS-3c⁽ᴹ⁾ Porcentaje de trabajadores sexuales a los que se les ha realizado una prueba de VIH durante el período de reporte y que conocen sus resultados</v>
      </c>
      <c r="D1495" s="768" t="str">
        <f>R1495</f>
        <v/>
      </c>
      <c r="E1495" s="768" t="str">
        <f>S1495</f>
        <v/>
      </c>
      <c r="F1495" s="413"/>
      <c r="G1495" s="762" t="str">
        <f ca="1">IF(OR(INDIRECT("'update Helper'!E"&amp;U1495)="",F1495&lt;&gt;0,F1496&lt;&gt;0),IF(IFERROR((F1495/F1496),"")="","",(F1495/F1496)),INDIRECT("'update Helper'!E"&amp;U1495)/100)</f>
        <v/>
      </c>
      <c r="H1495" s="743"/>
      <c r="I1495" s="764"/>
      <c r="J1495" s="729"/>
      <c r="K1495" s="760" t="str">
        <f>W1495</f>
        <v>HTS-3c⁽ᴹ⁾ Percentage of sex workers that have received an HIV test during the reporting period and know their results</v>
      </c>
      <c r="L1495" s="760" t="str">
        <f>V1495</f>
        <v/>
      </c>
      <c r="M1495" s="729"/>
      <c r="N1495" s="729"/>
      <c r="P1495" s="194">
        <f>IF(AND(EXACT(C1495,C1493),C1493&lt;&gt;0),P1493+1,0)</f>
        <v>17</v>
      </c>
      <c r="Q1495" s="194" t="str">
        <f>IF(C1495&lt;&gt;"",C1495&amp;"-"&amp;P1495,"")</f>
        <v>HTS-3c⁽ᴹ⁾ Porcentaje de trabajadores sexuales a los que se les ha realizado una prueba de VIH durante el período de reporte y que conocen sus resultados-17</v>
      </c>
      <c r="R1495" s="194" t="str">
        <f t="array" ref="R1495">IFERROR(IF(INDEX('Disaggregation Records'!$E$155:$E$385,MATCH(RIGHT(Q1495,255),RIGHT('Disaggregation Records'!$D$155:$D$385,255),0))="","",INDEX('Disaggregation Records'!$E$155:$E$385,MATCH(RIGHT(Q1495,255),RIGHT('Disaggregation Records'!$D$155:$D$385,255),0))),"")</f>
        <v/>
      </c>
      <c r="S1495" s="194" t="str">
        <f t="array" ref="S1495">IFERROR(IF(INDEX('Disaggregation Records'!$F$155:$F$385,MATCH(RIGHT(Q1495,255),RIGHT('Disaggregation Records'!$D$155:$D$385,255),0))="","",INDEX('Disaggregation Records'!$F$155:$F$385,MATCH(RIGHT(Q1495,255),RIGHT('Disaggregation Records'!$D$155:$D$385,255),0))),"")</f>
        <v/>
      </c>
      <c r="T1495" s="194" t="str">
        <f t="array" ref="T1495">IFERROR(IF(INDEX('Disaggregation Records'!$H$155:$H$385,MATCH(RIGHT(Q1495,255),RIGHT('Disaggregation Records'!$D$155:$D$385,255),0))="","",INDEX('Disaggregation Records'!$H$155:$H$385,MATCH(RIGHT(Q1495,255),RIGHT('Disaggregation Records'!$D$155:$D$385,255),0))),"")</f>
        <v/>
      </c>
      <c r="U1495" s="194">
        <f>U1493+1</f>
        <v>2937</v>
      </c>
      <c r="V1495" s="194" t="str">
        <f t="array" ref="V1495">IFERROR(IF(INDEX('Disaggregation Records'!$I$155:$I$385,MATCH(RIGHT(Q1495,255),RIGHT('Disaggregation Records'!$D$155:$D$385,255),0))="","",INDEX('Disaggregation Records'!$I$155:$I$385,MATCH(RIGHT(Q1495,255),RIGHT('Disaggregation Records'!$D$155:$D$385,255),0))),"")</f>
        <v/>
      </c>
      <c r="W1495" s="194" t="str">
        <f>IFERROR(INDEX('Reference Records'!L$77:L$157,MATCH(LEFT(C1495,255),'Reference Records'!E$77:E$157,0)),"")</f>
        <v>HTS-3c⁽ᴹ⁾ Percentage of sex workers that have received an HIV test during the reporting period and know their results</v>
      </c>
    </row>
    <row r="1496" spans="1:23" s="194" customFormat="1" ht="40.4" customHeight="1" x14ac:dyDescent="0.35">
      <c r="A1496" s="770"/>
      <c r="B1496" s="767"/>
      <c r="C1496" s="761"/>
      <c r="D1496" s="769"/>
      <c r="E1496" s="769"/>
      <c r="F1496" s="208"/>
      <c r="G1496" s="763"/>
      <c r="H1496" s="744"/>
      <c r="I1496" s="765"/>
      <c r="J1496" s="730"/>
      <c r="K1496" s="761"/>
      <c r="L1496" s="761"/>
      <c r="M1496" s="730"/>
      <c r="N1496" s="730"/>
    </row>
    <row r="1497" spans="1:23" s="194" customFormat="1" ht="40.4" customHeight="1" x14ac:dyDescent="0.35">
      <c r="A1497" s="770" t="str">
        <f ca="1">INDIRECT("'update Helper'!C"&amp;U1497)</f>
        <v>a163p000004NtYmAAK</v>
      </c>
      <c r="B1497" s="766">
        <v>22</v>
      </c>
      <c r="C1497" s="760" t="str">
        <f>VLOOKUP(B1497,'Coverage Indicators - Section D'!$A$9:$AU$70,47,FALSE)</f>
        <v>HTS-3c⁽ᴹ⁾ Porcentaje de trabajadores sexuales a los que se les ha realizado una prueba de VIH durante el período de reporte y que conocen sus resultados</v>
      </c>
      <c r="D1497" s="768" t="str">
        <f>R1497</f>
        <v/>
      </c>
      <c r="E1497" s="768" t="str">
        <f>S1497</f>
        <v/>
      </c>
      <c r="F1497" s="413"/>
      <c r="G1497" s="762" t="str">
        <f ca="1">IF(OR(INDIRECT("'update Helper'!E"&amp;U1497)="",F1497&lt;&gt;0,F1498&lt;&gt;0),IF(IFERROR((F1497/F1498),"")="","",(F1497/F1498)),INDIRECT("'update Helper'!E"&amp;U1497)/100)</f>
        <v/>
      </c>
      <c r="H1497" s="743"/>
      <c r="I1497" s="764"/>
      <c r="J1497" s="729"/>
      <c r="K1497" s="760" t="str">
        <f>W1497</f>
        <v>HTS-3c⁽ᴹ⁾ Percentage of sex workers that have received an HIV test during the reporting period and know their results</v>
      </c>
      <c r="L1497" s="760" t="str">
        <f>V1497</f>
        <v/>
      </c>
      <c r="M1497" s="729"/>
      <c r="N1497" s="729"/>
      <c r="P1497" s="194">
        <f>IF(AND(EXACT(C1497,C1495),C1495&lt;&gt;0),P1495+1,0)</f>
        <v>18</v>
      </c>
      <c r="Q1497" s="194" t="str">
        <f>IF(C1497&lt;&gt;"",C1497&amp;"-"&amp;P1497,"")</f>
        <v>HTS-3c⁽ᴹ⁾ Porcentaje de trabajadores sexuales a los que se les ha realizado una prueba de VIH durante el período de reporte y que conocen sus resultados-18</v>
      </c>
      <c r="R1497" s="194" t="str">
        <f t="array" ref="R1497">IFERROR(IF(INDEX('Disaggregation Records'!$E$155:$E$385,MATCH(RIGHT(Q1497,255),RIGHT('Disaggregation Records'!$D$155:$D$385,255),0))="","",INDEX('Disaggregation Records'!$E$155:$E$385,MATCH(RIGHT(Q1497,255),RIGHT('Disaggregation Records'!$D$155:$D$385,255),0))),"")</f>
        <v/>
      </c>
      <c r="S1497" s="194" t="str">
        <f t="array" ref="S1497">IFERROR(IF(INDEX('Disaggregation Records'!$F$155:$F$385,MATCH(RIGHT(Q1497,255),RIGHT('Disaggregation Records'!$D$155:$D$385,255),0))="","",INDEX('Disaggregation Records'!$F$155:$F$385,MATCH(RIGHT(Q1497,255),RIGHT('Disaggregation Records'!$D$155:$D$385,255),0))),"")</f>
        <v/>
      </c>
      <c r="T1497" s="194" t="str">
        <f t="array" ref="T1497">IFERROR(IF(INDEX('Disaggregation Records'!$H$155:$H$385,MATCH(RIGHT(Q1497,255),RIGHT('Disaggregation Records'!$D$155:$D$385,255),0))="","",INDEX('Disaggregation Records'!$H$155:$H$385,MATCH(RIGHT(Q1497,255),RIGHT('Disaggregation Records'!$D$155:$D$385,255),0))),"")</f>
        <v/>
      </c>
      <c r="U1497" s="194">
        <f>U1495+1</f>
        <v>2938</v>
      </c>
      <c r="V1497" s="194" t="str">
        <f t="array" ref="V1497">IFERROR(IF(INDEX('Disaggregation Records'!$I$155:$I$385,MATCH(RIGHT(Q1497,255),RIGHT('Disaggregation Records'!$D$155:$D$385,255),0))="","",INDEX('Disaggregation Records'!$I$155:$I$385,MATCH(RIGHT(Q1497,255),RIGHT('Disaggregation Records'!$D$155:$D$385,255),0))),"")</f>
        <v/>
      </c>
      <c r="W1497" s="194" t="str">
        <f>IFERROR(INDEX('Reference Records'!L$77:L$157,MATCH(LEFT(C1497,255),'Reference Records'!E$77:E$157,0)),"")</f>
        <v>HTS-3c⁽ᴹ⁾ Percentage of sex workers that have received an HIV test during the reporting period and know their results</v>
      </c>
    </row>
    <row r="1498" spans="1:23" s="194" customFormat="1" ht="40.4" customHeight="1" x14ac:dyDescent="0.35">
      <c r="A1498" s="770"/>
      <c r="B1498" s="767"/>
      <c r="C1498" s="761"/>
      <c r="D1498" s="769"/>
      <c r="E1498" s="769"/>
      <c r="F1498" s="208"/>
      <c r="G1498" s="763"/>
      <c r="H1498" s="744"/>
      <c r="I1498" s="765"/>
      <c r="J1498" s="730"/>
      <c r="K1498" s="761"/>
      <c r="L1498" s="761"/>
      <c r="M1498" s="730"/>
      <c r="N1498" s="730"/>
    </row>
    <row r="1499" spans="1:23" s="194" customFormat="1" ht="40.4" customHeight="1" x14ac:dyDescent="0.35">
      <c r="A1499" s="770" t="str">
        <f ca="1">INDIRECT("'update Helper'!C"&amp;U1499)</f>
        <v>a163p000004NtYnAAK</v>
      </c>
      <c r="B1499" s="766">
        <v>22</v>
      </c>
      <c r="C1499" s="760" t="str">
        <f>VLOOKUP(B1499,'Coverage Indicators - Section D'!$A$9:$AU$70,47,FALSE)</f>
        <v>HTS-3c⁽ᴹ⁾ Porcentaje de trabajadores sexuales a los que se les ha realizado una prueba de VIH durante el período de reporte y que conocen sus resultados</v>
      </c>
      <c r="D1499" s="768" t="str">
        <f>R1499</f>
        <v/>
      </c>
      <c r="E1499" s="768" t="str">
        <f>S1499</f>
        <v/>
      </c>
      <c r="F1499" s="413"/>
      <c r="G1499" s="762" t="str">
        <f ca="1">IF(OR(INDIRECT("'update Helper'!E"&amp;U1499)="",F1499&lt;&gt;0,F1500&lt;&gt;0),IF(IFERROR((F1499/F1500),"")="","",(F1499/F1500)),INDIRECT("'update Helper'!E"&amp;U1499)/100)</f>
        <v/>
      </c>
      <c r="H1499" s="743"/>
      <c r="I1499" s="764"/>
      <c r="J1499" s="729"/>
      <c r="K1499" s="760" t="str">
        <f>W1499</f>
        <v>HTS-3c⁽ᴹ⁾ Percentage of sex workers that have received an HIV test during the reporting period and know their results</v>
      </c>
      <c r="L1499" s="760" t="str">
        <f>V1499</f>
        <v/>
      </c>
      <c r="M1499" s="729"/>
      <c r="N1499" s="729"/>
      <c r="P1499" s="194">
        <f>IF(AND(EXACT(C1499,C1497),C1497&lt;&gt;0),P1497+1,0)</f>
        <v>19</v>
      </c>
      <c r="Q1499" s="194" t="str">
        <f>IF(C1499&lt;&gt;"",C1499&amp;"-"&amp;P1499,"")</f>
        <v>HTS-3c⁽ᴹ⁾ Porcentaje de trabajadores sexuales a los que se les ha realizado una prueba de VIH durante el período de reporte y que conocen sus resultados-19</v>
      </c>
      <c r="R1499" s="194" t="str">
        <f t="array" ref="R1499">IFERROR(IF(INDEX('Disaggregation Records'!$E$155:$E$385,MATCH(RIGHT(Q1499,255),RIGHT('Disaggregation Records'!$D$155:$D$385,255),0))="","",INDEX('Disaggregation Records'!$E$155:$E$385,MATCH(RIGHT(Q1499,255),RIGHT('Disaggregation Records'!$D$155:$D$385,255),0))),"")</f>
        <v/>
      </c>
      <c r="S1499" s="194" t="str">
        <f t="array" ref="S1499">IFERROR(IF(INDEX('Disaggregation Records'!$F$155:$F$385,MATCH(RIGHT(Q1499,255),RIGHT('Disaggregation Records'!$D$155:$D$385,255),0))="","",INDEX('Disaggregation Records'!$F$155:$F$385,MATCH(RIGHT(Q1499,255),RIGHT('Disaggregation Records'!$D$155:$D$385,255),0))),"")</f>
        <v/>
      </c>
      <c r="T1499" s="194" t="str">
        <f t="array" ref="T1499">IFERROR(IF(INDEX('Disaggregation Records'!$H$155:$H$385,MATCH(RIGHT(Q1499,255),RIGHT('Disaggregation Records'!$D$155:$D$385,255),0))="","",INDEX('Disaggregation Records'!$H$155:$H$385,MATCH(RIGHT(Q1499,255),RIGHT('Disaggregation Records'!$D$155:$D$385,255),0))),"")</f>
        <v/>
      </c>
      <c r="U1499" s="194">
        <f>U1497+1</f>
        <v>2939</v>
      </c>
      <c r="V1499" s="194" t="str">
        <f t="array" ref="V1499">IFERROR(IF(INDEX('Disaggregation Records'!$I$155:$I$385,MATCH(RIGHT(Q1499,255),RIGHT('Disaggregation Records'!$D$155:$D$385,255),0))="","",INDEX('Disaggregation Records'!$I$155:$I$385,MATCH(RIGHT(Q1499,255),RIGHT('Disaggregation Records'!$D$155:$D$385,255),0))),"")</f>
        <v/>
      </c>
      <c r="W1499" s="194" t="str">
        <f>IFERROR(INDEX('Reference Records'!L$77:L$157,MATCH(LEFT(C1499,255),'Reference Records'!E$77:E$157,0)),"")</f>
        <v>HTS-3c⁽ᴹ⁾ Percentage of sex workers that have received an HIV test during the reporting period and know their results</v>
      </c>
    </row>
    <row r="1500" spans="1:23" s="194" customFormat="1" ht="40.4" customHeight="1" x14ac:dyDescent="0.35">
      <c r="A1500" s="770"/>
      <c r="B1500" s="767"/>
      <c r="C1500" s="761"/>
      <c r="D1500" s="769"/>
      <c r="E1500" s="769"/>
      <c r="F1500" s="208"/>
      <c r="G1500" s="763"/>
      <c r="H1500" s="744"/>
      <c r="I1500" s="765"/>
      <c r="J1500" s="730"/>
      <c r="K1500" s="761"/>
      <c r="L1500" s="761"/>
      <c r="M1500" s="730"/>
      <c r="N1500" s="730"/>
    </row>
    <row r="1501" spans="1:23" s="194" customFormat="1" ht="40.4" customHeight="1" x14ac:dyDescent="0.35">
      <c r="A1501" s="770" t="str">
        <f ca="1">INDIRECT("'update Helper'!C"&amp;U1501)</f>
        <v>a163p000004NtP8AAK</v>
      </c>
      <c r="B1501" s="766">
        <v>23</v>
      </c>
      <c r="C1501" s="760" t="str">
        <f>VLOOKUP(B1501,'Coverage Indicators - Section D'!$A$9:$AU$70,47,FALSE)</f>
        <v/>
      </c>
      <c r="D1501" s="768" t="str">
        <f>R1501</f>
        <v/>
      </c>
      <c r="E1501" s="768" t="str">
        <f>S1501</f>
        <v/>
      </c>
      <c r="F1501" s="413"/>
      <c r="G1501" s="762" t="str">
        <f ca="1">IF(OR(INDIRECT("'update Helper'!E"&amp;U1501)="",F1501&lt;&gt;0,F1502&lt;&gt;0),IF(IFERROR((F1501/F1502),"")="","",(F1501/F1502)),INDIRECT("'update Helper'!E"&amp;U1501)/100)</f>
        <v/>
      </c>
      <c r="H1501" s="743"/>
      <c r="I1501" s="764"/>
      <c r="J1501" s="729"/>
      <c r="K1501" s="760" t="str">
        <f>W1501</f>
        <v/>
      </c>
      <c r="L1501" s="760" t="str">
        <f>V1501</f>
        <v/>
      </c>
      <c r="M1501" s="729"/>
      <c r="N1501" s="729"/>
      <c r="P1501" s="194">
        <f>IF(AND(EXACT(C1501,C1499),C1499&lt;&gt;0),P1499+1,0)</f>
        <v>0</v>
      </c>
      <c r="Q1501" s="194" t="str">
        <f>IF(C1501&lt;&gt;"",C1501&amp;"-"&amp;P1501,"")</f>
        <v/>
      </c>
      <c r="R1501" s="194" t="str">
        <f t="array" ref="R1501">IFERROR(IF(INDEX('Disaggregation Records'!$E$155:$E$385,MATCH(RIGHT(Q1501,255),RIGHT('Disaggregation Records'!$D$155:$D$385,255),0))="","",INDEX('Disaggregation Records'!$E$155:$E$385,MATCH(RIGHT(Q1501,255),RIGHT('Disaggregation Records'!$D$155:$D$385,255),0))),"")</f>
        <v/>
      </c>
      <c r="S1501" s="194" t="str">
        <f t="array" ref="S1501">IFERROR(IF(INDEX('Disaggregation Records'!$F$155:$F$385,MATCH(RIGHT(Q1501,255),RIGHT('Disaggregation Records'!$D$155:$D$385,255),0))="","",INDEX('Disaggregation Records'!$F$155:$F$385,MATCH(RIGHT(Q1501,255),RIGHT('Disaggregation Records'!$D$155:$D$385,255),0))),"")</f>
        <v/>
      </c>
      <c r="T1501" s="194" t="str">
        <f t="array" ref="T1501">IFERROR(IF(INDEX('Disaggregation Records'!$H$155:$H$385,MATCH(RIGHT(Q1501,255),RIGHT('Disaggregation Records'!$D$155:$D$385,255),0))="","",INDEX('Disaggregation Records'!$H$155:$H$385,MATCH(RIGHT(Q1501,255),RIGHT('Disaggregation Records'!$D$155:$D$385,255),0))),"")</f>
        <v/>
      </c>
      <c r="U1501" s="194">
        <f>U1499+1</f>
        <v>2940</v>
      </c>
      <c r="V1501" s="194" t="str">
        <f t="array" ref="V1501">IFERROR(IF(INDEX('Disaggregation Records'!$I$155:$I$385,MATCH(RIGHT(Q1501,255),RIGHT('Disaggregation Records'!$D$155:$D$385,255),0))="","",INDEX('Disaggregation Records'!$I$155:$I$385,MATCH(RIGHT(Q1501,255),RIGHT('Disaggregation Records'!$D$155:$D$385,255),0))),"")</f>
        <v/>
      </c>
      <c r="W1501" s="194" t="str">
        <f>IFERROR(INDEX('Reference Records'!L$77:L$157,MATCH(LEFT(C1501,255),'Reference Records'!E$77:E$157,0)),"")</f>
        <v/>
      </c>
    </row>
    <row r="1502" spans="1:23" s="194" customFormat="1" ht="40.4" customHeight="1" x14ac:dyDescent="0.35">
      <c r="A1502" s="770"/>
      <c r="B1502" s="767"/>
      <c r="C1502" s="761"/>
      <c r="D1502" s="769"/>
      <c r="E1502" s="769"/>
      <c r="F1502" s="208"/>
      <c r="G1502" s="763"/>
      <c r="H1502" s="744"/>
      <c r="I1502" s="765"/>
      <c r="J1502" s="730"/>
      <c r="K1502" s="761"/>
      <c r="L1502" s="761"/>
      <c r="M1502" s="730"/>
      <c r="N1502" s="730"/>
    </row>
    <row r="1503" spans="1:23" s="194" customFormat="1" ht="40.4" customHeight="1" x14ac:dyDescent="0.35">
      <c r="A1503" s="770" t="str">
        <f ca="1">INDIRECT("'update Helper'!C"&amp;U1503)</f>
        <v>a163p000004NtP9AAK</v>
      </c>
      <c r="B1503" s="766">
        <v>23</v>
      </c>
      <c r="C1503" s="760" t="str">
        <f>VLOOKUP(B1503,'Coverage Indicators - Section D'!$A$9:$AU$70,47,FALSE)</f>
        <v/>
      </c>
      <c r="D1503" s="768" t="str">
        <f>R1503</f>
        <v/>
      </c>
      <c r="E1503" s="768" t="str">
        <f>S1503</f>
        <v/>
      </c>
      <c r="F1503" s="413"/>
      <c r="G1503" s="762" t="str">
        <f ca="1">IF(OR(INDIRECT("'update Helper'!E"&amp;U1503)="",F1503&lt;&gt;0,F1504&lt;&gt;0),IF(IFERROR((F1503/F1504),"")="","",(F1503/F1504)),INDIRECT("'update Helper'!E"&amp;U1503)/100)</f>
        <v/>
      </c>
      <c r="H1503" s="743"/>
      <c r="I1503" s="764"/>
      <c r="J1503" s="729"/>
      <c r="K1503" s="760" t="str">
        <f>W1503</f>
        <v/>
      </c>
      <c r="L1503" s="760" t="str">
        <f>V1503</f>
        <v/>
      </c>
      <c r="M1503" s="729"/>
      <c r="N1503" s="729"/>
      <c r="P1503" s="194">
        <f>IF(AND(EXACT(C1503,C1501),C1501&lt;&gt;0),P1501+1,0)</f>
        <v>1</v>
      </c>
      <c r="Q1503" s="194" t="str">
        <f>IF(C1503&lt;&gt;"",C1503&amp;"-"&amp;P1503,"")</f>
        <v/>
      </c>
      <c r="R1503" s="194" t="str">
        <f t="array" ref="R1503">IFERROR(IF(INDEX('Disaggregation Records'!$E$155:$E$385,MATCH(RIGHT(Q1503,255),RIGHT('Disaggregation Records'!$D$155:$D$385,255),0))="","",INDEX('Disaggregation Records'!$E$155:$E$385,MATCH(RIGHT(Q1503,255),RIGHT('Disaggregation Records'!$D$155:$D$385,255),0))),"")</f>
        <v/>
      </c>
      <c r="S1503" s="194" t="str">
        <f t="array" ref="S1503">IFERROR(IF(INDEX('Disaggregation Records'!$F$155:$F$385,MATCH(RIGHT(Q1503,255),RIGHT('Disaggregation Records'!$D$155:$D$385,255),0))="","",INDEX('Disaggregation Records'!$F$155:$F$385,MATCH(RIGHT(Q1503,255),RIGHT('Disaggregation Records'!$D$155:$D$385,255),0))),"")</f>
        <v/>
      </c>
      <c r="T1503" s="194" t="str">
        <f t="array" ref="T1503">IFERROR(IF(INDEX('Disaggregation Records'!$H$155:$H$385,MATCH(RIGHT(Q1503,255),RIGHT('Disaggregation Records'!$D$155:$D$385,255),0))="","",INDEX('Disaggregation Records'!$H$155:$H$385,MATCH(RIGHT(Q1503,255),RIGHT('Disaggregation Records'!$D$155:$D$385,255),0))),"")</f>
        <v/>
      </c>
      <c r="U1503" s="194">
        <f>U1501+1</f>
        <v>2941</v>
      </c>
      <c r="V1503" s="194" t="str">
        <f t="array" ref="V1503">IFERROR(IF(INDEX('Disaggregation Records'!$I$155:$I$385,MATCH(RIGHT(Q1503,255),RIGHT('Disaggregation Records'!$D$155:$D$385,255),0))="","",INDEX('Disaggregation Records'!$I$155:$I$385,MATCH(RIGHT(Q1503,255),RIGHT('Disaggregation Records'!$D$155:$D$385,255),0))),"")</f>
        <v/>
      </c>
      <c r="W1503" s="194" t="str">
        <f>IFERROR(INDEX('Reference Records'!L$77:L$157,MATCH(LEFT(C1503,255),'Reference Records'!E$77:E$157,0)),"")</f>
        <v/>
      </c>
    </row>
    <row r="1504" spans="1:23" s="194" customFormat="1" ht="40.4" customHeight="1" x14ac:dyDescent="0.35">
      <c r="A1504" s="770"/>
      <c r="B1504" s="767"/>
      <c r="C1504" s="761"/>
      <c r="D1504" s="769"/>
      <c r="E1504" s="769"/>
      <c r="F1504" s="208"/>
      <c r="G1504" s="763"/>
      <c r="H1504" s="744"/>
      <c r="I1504" s="765"/>
      <c r="J1504" s="730"/>
      <c r="K1504" s="761"/>
      <c r="L1504" s="761"/>
      <c r="M1504" s="730"/>
      <c r="N1504" s="730"/>
    </row>
    <row r="1505" spans="1:23" s="194" customFormat="1" ht="40.4" customHeight="1" x14ac:dyDescent="0.35">
      <c r="A1505" s="770" t="str">
        <f ca="1">INDIRECT("'update Helper'!C"&amp;U1505)</f>
        <v>a163p000004NtPAAA0</v>
      </c>
      <c r="B1505" s="766">
        <v>23</v>
      </c>
      <c r="C1505" s="760" t="str">
        <f>VLOOKUP(B1505,'Coverage Indicators - Section D'!$A$9:$AU$70,47,FALSE)</f>
        <v/>
      </c>
      <c r="D1505" s="768" t="str">
        <f>R1505</f>
        <v/>
      </c>
      <c r="E1505" s="768" t="str">
        <f>S1505</f>
        <v/>
      </c>
      <c r="F1505" s="413"/>
      <c r="G1505" s="762" t="str">
        <f ca="1">IF(OR(INDIRECT("'update Helper'!E"&amp;U1505)="",F1505&lt;&gt;0,F1506&lt;&gt;0),IF(IFERROR((F1505/F1506),"")="","",(F1505/F1506)),INDIRECT("'update Helper'!E"&amp;U1505)/100)</f>
        <v/>
      </c>
      <c r="H1505" s="743"/>
      <c r="I1505" s="764"/>
      <c r="J1505" s="729"/>
      <c r="K1505" s="760" t="str">
        <f>W1505</f>
        <v/>
      </c>
      <c r="L1505" s="760" t="str">
        <f>V1505</f>
        <v/>
      </c>
      <c r="M1505" s="729"/>
      <c r="N1505" s="729"/>
      <c r="P1505" s="194">
        <f>IF(AND(EXACT(C1505,C1503),C1503&lt;&gt;0),P1503+1,0)</f>
        <v>2</v>
      </c>
      <c r="Q1505" s="194" t="str">
        <f>IF(C1505&lt;&gt;"",C1505&amp;"-"&amp;P1505,"")</f>
        <v/>
      </c>
      <c r="R1505" s="194" t="str">
        <f t="array" ref="R1505">IFERROR(IF(INDEX('Disaggregation Records'!$E$155:$E$385,MATCH(RIGHT(Q1505,255),RIGHT('Disaggregation Records'!$D$155:$D$385,255),0))="","",INDEX('Disaggregation Records'!$E$155:$E$385,MATCH(RIGHT(Q1505,255),RIGHT('Disaggregation Records'!$D$155:$D$385,255),0))),"")</f>
        <v/>
      </c>
      <c r="S1505" s="194" t="str">
        <f t="array" ref="S1505">IFERROR(IF(INDEX('Disaggregation Records'!$F$155:$F$385,MATCH(RIGHT(Q1505,255),RIGHT('Disaggregation Records'!$D$155:$D$385,255),0))="","",INDEX('Disaggregation Records'!$F$155:$F$385,MATCH(RIGHT(Q1505,255),RIGHT('Disaggregation Records'!$D$155:$D$385,255),0))),"")</f>
        <v/>
      </c>
      <c r="T1505" s="194" t="str">
        <f t="array" ref="T1505">IFERROR(IF(INDEX('Disaggregation Records'!$H$155:$H$385,MATCH(RIGHT(Q1505,255),RIGHT('Disaggregation Records'!$D$155:$D$385,255),0))="","",INDEX('Disaggregation Records'!$H$155:$H$385,MATCH(RIGHT(Q1505,255),RIGHT('Disaggregation Records'!$D$155:$D$385,255),0))),"")</f>
        <v/>
      </c>
      <c r="U1505" s="194">
        <f>U1503+1</f>
        <v>2942</v>
      </c>
      <c r="V1505" s="194" t="str">
        <f t="array" ref="V1505">IFERROR(IF(INDEX('Disaggregation Records'!$I$155:$I$385,MATCH(RIGHT(Q1505,255),RIGHT('Disaggregation Records'!$D$155:$D$385,255),0))="","",INDEX('Disaggregation Records'!$I$155:$I$385,MATCH(RIGHT(Q1505,255),RIGHT('Disaggregation Records'!$D$155:$D$385,255),0))),"")</f>
        <v/>
      </c>
      <c r="W1505" s="194" t="str">
        <f>IFERROR(INDEX('Reference Records'!L$77:L$157,MATCH(LEFT(C1505,255),'Reference Records'!E$77:E$157,0)),"")</f>
        <v/>
      </c>
    </row>
    <row r="1506" spans="1:23" s="194" customFormat="1" ht="40.4" customHeight="1" x14ac:dyDescent="0.35">
      <c r="A1506" s="770"/>
      <c r="B1506" s="767"/>
      <c r="C1506" s="761"/>
      <c r="D1506" s="769"/>
      <c r="E1506" s="769"/>
      <c r="F1506" s="208"/>
      <c r="G1506" s="763"/>
      <c r="H1506" s="744"/>
      <c r="I1506" s="765"/>
      <c r="J1506" s="730"/>
      <c r="K1506" s="761"/>
      <c r="L1506" s="761"/>
      <c r="M1506" s="730"/>
      <c r="N1506" s="730"/>
    </row>
    <row r="1507" spans="1:23" s="194" customFormat="1" ht="40.4" customHeight="1" x14ac:dyDescent="0.35">
      <c r="A1507" s="770" t="str">
        <f ca="1">INDIRECT("'update Helper'!C"&amp;U1507)</f>
        <v>a163p000004NtPBAA0</v>
      </c>
      <c r="B1507" s="766">
        <v>23</v>
      </c>
      <c r="C1507" s="760" t="str">
        <f>VLOOKUP(B1507,'Coverage Indicators - Section D'!$A$9:$AU$70,47,FALSE)</f>
        <v/>
      </c>
      <c r="D1507" s="768" t="str">
        <f>R1507</f>
        <v/>
      </c>
      <c r="E1507" s="768" t="str">
        <f>S1507</f>
        <v/>
      </c>
      <c r="F1507" s="413"/>
      <c r="G1507" s="762" t="str">
        <f ca="1">IF(OR(INDIRECT("'update Helper'!E"&amp;U1507)="",F1507&lt;&gt;0,F1508&lt;&gt;0),IF(IFERROR((F1507/F1508),"")="","",(F1507/F1508)),INDIRECT("'update Helper'!E"&amp;U1507)/100)</f>
        <v/>
      </c>
      <c r="H1507" s="743"/>
      <c r="I1507" s="764"/>
      <c r="J1507" s="729"/>
      <c r="K1507" s="760" t="str">
        <f>W1507</f>
        <v/>
      </c>
      <c r="L1507" s="760" t="str">
        <f>V1507</f>
        <v/>
      </c>
      <c r="M1507" s="729"/>
      <c r="N1507" s="729"/>
      <c r="P1507" s="194">
        <f>IF(AND(EXACT(C1507,C1505),C1505&lt;&gt;0),P1505+1,0)</f>
        <v>3</v>
      </c>
      <c r="Q1507" s="194" t="str">
        <f>IF(C1507&lt;&gt;"",C1507&amp;"-"&amp;P1507,"")</f>
        <v/>
      </c>
      <c r="R1507" s="194" t="str">
        <f t="array" ref="R1507">IFERROR(IF(INDEX('Disaggregation Records'!$E$155:$E$385,MATCH(RIGHT(Q1507,255),RIGHT('Disaggregation Records'!$D$155:$D$385,255),0))="","",INDEX('Disaggregation Records'!$E$155:$E$385,MATCH(RIGHT(Q1507,255),RIGHT('Disaggregation Records'!$D$155:$D$385,255),0))),"")</f>
        <v/>
      </c>
      <c r="S1507" s="194" t="str">
        <f t="array" ref="S1507">IFERROR(IF(INDEX('Disaggregation Records'!$F$155:$F$385,MATCH(RIGHT(Q1507,255),RIGHT('Disaggregation Records'!$D$155:$D$385,255),0))="","",INDEX('Disaggregation Records'!$F$155:$F$385,MATCH(RIGHT(Q1507,255),RIGHT('Disaggregation Records'!$D$155:$D$385,255),0))),"")</f>
        <v/>
      </c>
      <c r="T1507" s="194" t="str">
        <f t="array" ref="T1507">IFERROR(IF(INDEX('Disaggregation Records'!$H$155:$H$385,MATCH(RIGHT(Q1507,255),RIGHT('Disaggregation Records'!$D$155:$D$385,255),0))="","",INDEX('Disaggregation Records'!$H$155:$H$385,MATCH(RIGHT(Q1507,255),RIGHT('Disaggregation Records'!$D$155:$D$385,255),0))),"")</f>
        <v/>
      </c>
      <c r="U1507" s="194">
        <f>U1505+1</f>
        <v>2943</v>
      </c>
      <c r="V1507" s="194" t="str">
        <f t="array" ref="V1507">IFERROR(IF(INDEX('Disaggregation Records'!$I$155:$I$385,MATCH(RIGHT(Q1507,255),RIGHT('Disaggregation Records'!$D$155:$D$385,255),0))="","",INDEX('Disaggregation Records'!$I$155:$I$385,MATCH(RIGHT(Q1507,255),RIGHT('Disaggregation Records'!$D$155:$D$385,255),0))),"")</f>
        <v/>
      </c>
      <c r="W1507" s="194" t="str">
        <f>IFERROR(INDEX('Reference Records'!L$77:L$157,MATCH(LEFT(C1507,255),'Reference Records'!E$77:E$157,0)),"")</f>
        <v/>
      </c>
    </row>
    <row r="1508" spans="1:23" s="194" customFormat="1" ht="40.4" customHeight="1" x14ac:dyDescent="0.35">
      <c r="A1508" s="770"/>
      <c r="B1508" s="767"/>
      <c r="C1508" s="761"/>
      <c r="D1508" s="769"/>
      <c r="E1508" s="769"/>
      <c r="F1508" s="208"/>
      <c r="G1508" s="763"/>
      <c r="H1508" s="744"/>
      <c r="I1508" s="765"/>
      <c r="J1508" s="730"/>
      <c r="K1508" s="761"/>
      <c r="L1508" s="761"/>
      <c r="M1508" s="730"/>
      <c r="N1508" s="730"/>
    </row>
    <row r="1509" spans="1:23" s="194" customFormat="1" ht="40.4" customHeight="1" x14ac:dyDescent="0.35">
      <c r="A1509" s="770" t="str">
        <f ca="1">INDIRECT("'update Helper'!C"&amp;U1509)</f>
        <v>a163p000004NtPCAA0</v>
      </c>
      <c r="B1509" s="766">
        <v>23</v>
      </c>
      <c r="C1509" s="760" t="str">
        <f>VLOOKUP(B1509,'Coverage Indicators - Section D'!$A$9:$AU$70,47,FALSE)</f>
        <v/>
      </c>
      <c r="D1509" s="768" t="str">
        <f>R1509</f>
        <v/>
      </c>
      <c r="E1509" s="768" t="str">
        <f>S1509</f>
        <v/>
      </c>
      <c r="F1509" s="413"/>
      <c r="G1509" s="762" t="str">
        <f ca="1">IF(OR(INDIRECT("'update Helper'!E"&amp;U1509)="",F1509&lt;&gt;0,F1510&lt;&gt;0),IF(IFERROR((F1509/F1510),"")="","",(F1509/F1510)),INDIRECT("'update Helper'!E"&amp;U1509)/100)</f>
        <v/>
      </c>
      <c r="H1509" s="743"/>
      <c r="I1509" s="764"/>
      <c r="J1509" s="729"/>
      <c r="K1509" s="760" t="str">
        <f>W1509</f>
        <v/>
      </c>
      <c r="L1509" s="760" t="str">
        <f>V1509</f>
        <v/>
      </c>
      <c r="M1509" s="729"/>
      <c r="N1509" s="729"/>
      <c r="P1509" s="194">
        <f>IF(AND(EXACT(C1509,C1507),C1507&lt;&gt;0),P1507+1,0)</f>
        <v>4</v>
      </c>
      <c r="Q1509" s="194" t="str">
        <f>IF(C1509&lt;&gt;"",C1509&amp;"-"&amp;P1509,"")</f>
        <v/>
      </c>
      <c r="R1509" s="194" t="str">
        <f t="array" ref="R1509">IFERROR(IF(INDEX('Disaggregation Records'!$E$155:$E$385,MATCH(RIGHT(Q1509,255),RIGHT('Disaggregation Records'!$D$155:$D$385,255),0))="","",INDEX('Disaggregation Records'!$E$155:$E$385,MATCH(RIGHT(Q1509,255),RIGHT('Disaggregation Records'!$D$155:$D$385,255),0))),"")</f>
        <v/>
      </c>
      <c r="S1509" s="194" t="str">
        <f t="array" ref="S1509">IFERROR(IF(INDEX('Disaggregation Records'!$F$155:$F$385,MATCH(RIGHT(Q1509,255),RIGHT('Disaggregation Records'!$D$155:$D$385,255),0))="","",INDEX('Disaggregation Records'!$F$155:$F$385,MATCH(RIGHT(Q1509,255),RIGHT('Disaggregation Records'!$D$155:$D$385,255),0))),"")</f>
        <v/>
      </c>
      <c r="T1509" s="194" t="str">
        <f t="array" ref="T1509">IFERROR(IF(INDEX('Disaggregation Records'!$H$155:$H$385,MATCH(RIGHT(Q1509,255),RIGHT('Disaggregation Records'!$D$155:$D$385,255),0))="","",INDEX('Disaggregation Records'!$H$155:$H$385,MATCH(RIGHT(Q1509,255),RIGHT('Disaggregation Records'!$D$155:$D$385,255),0))),"")</f>
        <v/>
      </c>
      <c r="U1509" s="194">
        <f>U1507+1</f>
        <v>2944</v>
      </c>
      <c r="V1509" s="194" t="str">
        <f t="array" ref="V1509">IFERROR(IF(INDEX('Disaggregation Records'!$I$155:$I$385,MATCH(RIGHT(Q1509,255),RIGHT('Disaggregation Records'!$D$155:$D$385,255),0))="","",INDEX('Disaggregation Records'!$I$155:$I$385,MATCH(RIGHT(Q1509,255),RIGHT('Disaggregation Records'!$D$155:$D$385,255),0))),"")</f>
        <v/>
      </c>
      <c r="W1509" s="194" t="str">
        <f>IFERROR(INDEX('Reference Records'!L$77:L$157,MATCH(LEFT(C1509,255),'Reference Records'!E$77:E$157,0)),"")</f>
        <v/>
      </c>
    </row>
    <row r="1510" spans="1:23" s="194" customFormat="1" ht="40.4" customHeight="1" x14ac:dyDescent="0.35">
      <c r="A1510" s="770"/>
      <c r="B1510" s="767"/>
      <c r="C1510" s="761"/>
      <c r="D1510" s="769"/>
      <c r="E1510" s="769"/>
      <c r="F1510" s="208"/>
      <c r="G1510" s="763"/>
      <c r="H1510" s="744"/>
      <c r="I1510" s="765"/>
      <c r="J1510" s="730"/>
      <c r="K1510" s="761"/>
      <c r="L1510" s="761"/>
      <c r="M1510" s="730"/>
      <c r="N1510" s="730"/>
    </row>
    <row r="1511" spans="1:23" s="194" customFormat="1" ht="40.4" customHeight="1" x14ac:dyDescent="0.35">
      <c r="A1511" s="770" t="str">
        <f ca="1">INDIRECT("'update Helper'!C"&amp;U1511)</f>
        <v>a163p000004NtPDAA0</v>
      </c>
      <c r="B1511" s="766">
        <v>23</v>
      </c>
      <c r="C1511" s="760" t="str">
        <f>VLOOKUP(B1511,'Coverage Indicators - Section D'!$A$9:$AU$70,47,FALSE)</f>
        <v/>
      </c>
      <c r="D1511" s="768" t="str">
        <f>R1511</f>
        <v/>
      </c>
      <c r="E1511" s="768" t="str">
        <f>S1511</f>
        <v/>
      </c>
      <c r="F1511" s="413"/>
      <c r="G1511" s="762" t="str">
        <f ca="1">IF(OR(INDIRECT("'update Helper'!E"&amp;U1511)="",F1511&lt;&gt;0,F1512&lt;&gt;0),IF(IFERROR((F1511/F1512),"")="","",(F1511/F1512)),INDIRECT("'update Helper'!E"&amp;U1511)/100)</f>
        <v/>
      </c>
      <c r="H1511" s="743"/>
      <c r="I1511" s="764"/>
      <c r="J1511" s="729"/>
      <c r="K1511" s="760" t="str">
        <f>W1511</f>
        <v/>
      </c>
      <c r="L1511" s="760" t="str">
        <f>V1511</f>
        <v/>
      </c>
      <c r="M1511" s="729"/>
      <c r="N1511" s="729"/>
      <c r="P1511" s="194">
        <f>IF(AND(EXACT(C1511,C1509),C1509&lt;&gt;0),P1509+1,0)</f>
        <v>5</v>
      </c>
      <c r="Q1511" s="194" t="str">
        <f>IF(C1511&lt;&gt;"",C1511&amp;"-"&amp;P1511,"")</f>
        <v/>
      </c>
      <c r="R1511" s="194" t="str">
        <f t="array" ref="R1511">IFERROR(IF(INDEX('Disaggregation Records'!$E$155:$E$385,MATCH(RIGHT(Q1511,255),RIGHT('Disaggregation Records'!$D$155:$D$385,255),0))="","",INDEX('Disaggregation Records'!$E$155:$E$385,MATCH(RIGHT(Q1511,255),RIGHT('Disaggregation Records'!$D$155:$D$385,255),0))),"")</f>
        <v/>
      </c>
      <c r="S1511" s="194" t="str">
        <f t="array" ref="S1511">IFERROR(IF(INDEX('Disaggregation Records'!$F$155:$F$385,MATCH(RIGHT(Q1511,255),RIGHT('Disaggregation Records'!$D$155:$D$385,255),0))="","",INDEX('Disaggregation Records'!$F$155:$F$385,MATCH(RIGHT(Q1511,255),RIGHT('Disaggregation Records'!$D$155:$D$385,255),0))),"")</f>
        <v/>
      </c>
      <c r="T1511" s="194" t="str">
        <f t="array" ref="T1511">IFERROR(IF(INDEX('Disaggregation Records'!$H$155:$H$385,MATCH(RIGHT(Q1511,255),RIGHT('Disaggregation Records'!$D$155:$D$385,255),0))="","",INDEX('Disaggregation Records'!$H$155:$H$385,MATCH(RIGHT(Q1511,255),RIGHT('Disaggregation Records'!$D$155:$D$385,255),0))),"")</f>
        <v/>
      </c>
      <c r="U1511" s="194">
        <f>U1509+1</f>
        <v>2945</v>
      </c>
      <c r="V1511" s="194" t="str">
        <f t="array" ref="V1511">IFERROR(IF(INDEX('Disaggregation Records'!$I$155:$I$385,MATCH(RIGHT(Q1511,255),RIGHT('Disaggregation Records'!$D$155:$D$385,255),0))="","",INDEX('Disaggregation Records'!$I$155:$I$385,MATCH(RIGHT(Q1511,255),RIGHT('Disaggregation Records'!$D$155:$D$385,255),0))),"")</f>
        <v/>
      </c>
      <c r="W1511" s="194" t="str">
        <f>IFERROR(INDEX('Reference Records'!L$77:L$157,MATCH(LEFT(C1511,255),'Reference Records'!E$77:E$157,0)),"")</f>
        <v/>
      </c>
    </row>
    <row r="1512" spans="1:23" s="194" customFormat="1" ht="40.4" customHeight="1" x14ac:dyDescent="0.35">
      <c r="A1512" s="770"/>
      <c r="B1512" s="767"/>
      <c r="C1512" s="761"/>
      <c r="D1512" s="769"/>
      <c r="E1512" s="769"/>
      <c r="F1512" s="208"/>
      <c r="G1512" s="763"/>
      <c r="H1512" s="744"/>
      <c r="I1512" s="765"/>
      <c r="J1512" s="730"/>
      <c r="K1512" s="761"/>
      <c r="L1512" s="761"/>
      <c r="M1512" s="730"/>
      <c r="N1512" s="730"/>
    </row>
    <row r="1513" spans="1:23" s="194" customFormat="1" ht="40.4" customHeight="1" x14ac:dyDescent="0.35">
      <c r="A1513" s="770" t="str">
        <f ca="1">INDIRECT("'update Helper'!C"&amp;U1513)</f>
        <v>a163p000004NtPEAA0</v>
      </c>
      <c r="B1513" s="766">
        <v>23</v>
      </c>
      <c r="C1513" s="760" t="str">
        <f>VLOOKUP(B1513,'Coverage Indicators - Section D'!$A$9:$AU$70,47,FALSE)</f>
        <v/>
      </c>
      <c r="D1513" s="768" t="str">
        <f>R1513</f>
        <v/>
      </c>
      <c r="E1513" s="768" t="str">
        <f>S1513</f>
        <v/>
      </c>
      <c r="F1513" s="413"/>
      <c r="G1513" s="762" t="str">
        <f ca="1">IF(OR(INDIRECT("'update Helper'!E"&amp;U1513)="",F1513&lt;&gt;0,F1514&lt;&gt;0),IF(IFERROR((F1513/F1514),"")="","",(F1513/F1514)),INDIRECT("'update Helper'!E"&amp;U1513)/100)</f>
        <v/>
      </c>
      <c r="H1513" s="743"/>
      <c r="I1513" s="764"/>
      <c r="J1513" s="729"/>
      <c r="K1513" s="760" t="str">
        <f>W1513</f>
        <v/>
      </c>
      <c r="L1513" s="760" t="str">
        <f>V1513</f>
        <v/>
      </c>
      <c r="M1513" s="729"/>
      <c r="N1513" s="729"/>
      <c r="P1513" s="194">
        <f>IF(AND(EXACT(C1513,C1511),C1511&lt;&gt;0),P1511+1,0)</f>
        <v>6</v>
      </c>
      <c r="Q1513" s="194" t="str">
        <f>IF(C1513&lt;&gt;"",C1513&amp;"-"&amp;P1513,"")</f>
        <v/>
      </c>
      <c r="R1513" s="194" t="str">
        <f t="array" ref="R1513">IFERROR(IF(INDEX('Disaggregation Records'!$E$155:$E$385,MATCH(RIGHT(Q1513,255),RIGHT('Disaggregation Records'!$D$155:$D$385,255),0))="","",INDEX('Disaggregation Records'!$E$155:$E$385,MATCH(RIGHT(Q1513,255),RIGHT('Disaggregation Records'!$D$155:$D$385,255),0))),"")</f>
        <v/>
      </c>
      <c r="S1513" s="194" t="str">
        <f t="array" ref="S1513">IFERROR(IF(INDEX('Disaggregation Records'!$F$155:$F$385,MATCH(RIGHT(Q1513,255),RIGHT('Disaggregation Records'!$D$155:$D$385,255),0))="","",INDEX('Disaggregation Records'!$F$155:$F$385,MATCH(RIGHT(Q1513,255),RIGHT('Disaggregation Records'!$D$155:$D$385,255),0))),"")</f>
        <v/>
      </c>
      <c r="T1513" s="194" t="str">
        <f t="array" ref="T1513">IFERROR(IF(INDEX('Disaggregation Records'!$H$155:$H$385,MATCH(RIGHT(Q1513,255),RIGHT('Disaggregation Records'!$D$155:$D$385,255),0))="","",INDEX('Disaggregation Records'!$H$155:$H$385,MATCH(RIGHT(Q1513,255),RIGHT('Disaggregation Records'!$D$155:$D$385,255),0))),"")</f>
        <v/>
      </c>
      <c r="U1513" s="194">
        <f>U1511+1</f>
        <v>2946</v>
      </c>
      <c r="V1513" s="194" t="str">
        <f t="array" ref="V1513">IFERROR(IF(INDEX('Disaggregation Records'!$I$155:$I$385,MATCH(RIGHT(Q1513,255),RIGHT('Disaggregation Records'!$D$155:$D$385,255),0))="","",INDEX('Disaggregation Records'!$I$155:$I$385,MATCH(RIGHT(Q1513,255),RIGHT('Disaggregation Records'!$D$155:$D$385,255),0))),"")</f>
        <v/>
      </c>
      <c r="W1513" s="194" t="str">
        <f>IFERROR(INDEX('Reference Records'!L$77:L$157,MATCH(LEFT(C1513,255),'Reference Records'!E$77:E$157,0)),"")</f>
        <v/>
      </c>
    </row>
    <row r="1514" spans="1:23" s="194" customFormat="1" ht="40.4" customHeight="1" x14ac:dyDescent="0.35">
      <c r="A1514" s="770"/>
      <c r="B1514" s="767"/>
      <c r="C1514" s="761"/>
      <c r="D1514" s="769"/>
      <c r="E1514" s="769"/>
      <c r="F1514" s="208"/>
      <c r="G1514" s="763"/>
      <c r="H1514" s="744"/>
      <c r="I1514" s="765"/>
      <c r="J1514" s="730"/>
      <c r="K1514" s="761"/>
      <c r="L1514" s="761"/>
      <c r="M1514" s="730"/>
      <c r="N1514" s="730"/>
    </row>
    <row r="1515" spans="1:23" s="194" customFormat="1" ht="40.4" customHeight="1" x14ac:dyDescent="0.35">
      <c r="A1515" s="770" t="str">
        <f ca="1">INDIRECT("'update Helper'!C"&amp;U1515)</f>
        <v>a163p000004NtPFAA0</v>
      </c>
      <c r="B1515" s="766">
        <v>23</v>
      </c>
      <c r="C1515" s="760" t="str">
        <f>VLOOKUP(B1515,'Coverage Indicators - Section D'!$A$9:$AU$70,47,FALSE)</f>
        <v/>
      </c>
      <c r="D1515" s="768" t="str">
        <f>R1515</f>
        <v/>
      </c>
      <c r="E1515" s="768" t="str">
        <f>S1515</f>
        <v/>
      </c>
      <c r="F1515" s="413"/>
      <c r="G1515" s="762" t="str">
        <f ca="1">IF(OR(INDIRECT("'update Helper'!E"&amp;U1515)="",F1515&lt;&gt;0,F1516&lt;&gt;0),IF(IFERROR((F1515/F1516),"")="","",(F1515/F1516)),INDIRECT("'update Helper'!E"&amp;U1515)/100)</f>
        <v/>
      </c>
      <c r="H1515" s="743"/>
      <c r="I1515" s="764"/>
      <c r="J1515" s="729"/>
      <c r="K1515" s="760" t="str">
        <f>W1515</f>
        <v/>
      </c>
      <c r="L1515" s="760" t="str">
        <f>V1515</f>
        <v/>
      </c>
      <c r="M1515" s="729"/>
      <c r="N1515" s="729"/>
      <c r="P1515" s="194">
        <f>IF(AND(EXACT(C1515,C1513),C1513&lt;&gt;0),P1513+1,0)</f>
        <v>7</v>
      </c>
      <c r="Q1515" s="194" t="str">
        <f>IF(C1515&lt;&gt;"",C1515&amp;"-"&amp;P1515,"")</f>
        <v/>
      </c>
      <c r="R1515" s="194" t="str">
        <f t="array" ref="R1515">IFERROR(IF(INDEX('Disaggregation Records'!$E$155:$E$385,MATCH(RIGHT(Q1515,255),RIGHT('Disaggregation Records'!$D$155:$D$385,255),0))="","",INDEX('Disaggregation Records'!$E$155:$E$385,MATCH(RIGHT(Q1515,255),RIGHT('Disaggregation Records'!$D$155:$D$385,255),0))),"")</f>
        <v/>
      </c>
      <c r="S1515" s="194" t="str">
        <f t="array" ref="S1515">IFERROR(IF(INDEX('Disaggregation Records'!$F$155:$F$385,MATCH(RIGHT(Q1515,255),RIGHT('Disaggregation Records'!$D$155:$D$385,255),0))="","",INDEX('Disaggregation Records'!$F$155:$F$385,MATCH(RIGHT(Q1515,255),RIGHT('Disaggregation Records'!$D$155:$D$385,255),0))),"")</f>
        <v/>
      </c>
      <c r="T1515" s="194" t="str">
        <f t="array" ref="T1515">IFERROR(IF(INDEX('Disaggregation Records'!$H$155:$H$385,MATCH(RIGHT(Q1515,255),RIGHT('Disaggregation Records'!$D$155:$D$385,255),0))="","",INDEX('Disaggregation Records'!$H$155:$H$385,MATCH(RIGHT(Q1515,255),RIGHT('Disaggregation Records'!$D$155:$D$385,255),0))),"")</f>
        <v/>
      </c>
      <c r="U1515" s="194">
        <f>U1513+1</f>
        <v>2947</v>
      </c>
      <c r="V1515" s="194" t="str">
        <f t="array" ref="V1515">IFERROR(IF(INDEX('Disaggregation Records'!$I$155:$I$385,MATCH(RIGHT(Q1515,255),RIGHT('Disaggregation Records'!$D$155:$D$385,255),0))="","",INDEX('Disaggregation Records'!$I$155:$I$385,MATCH(RIGHT(Q1515,255),RIGHT('Disaggregation Records'!$D$155:$D$385,255),0))),"")</f>
        <v/>
      </c>
      <c r="W1515" s="194" t="str">
        <f>IFERROR(INDEX('Reference Records'!L$77:L$157,MATCH(LEFT(C1515,255),'Reference Records'!E$77:E$157,0)),"")</f>
        <v/>
      </c>
    </row>
    <row r="1516" spans="1:23" s="194" customFormat="1" ht="40.4" customHeight="1" x14ac:dyDescent="0.35">
      <c r="A1516" s="770"/>
      <c r="B1516" s="767"/>
      <c r="C1516" s="761"/>
      <c r="D1516" s="769"/>
      <c r="E1516" s="769"/>
      <c r="F1516" s="208"/>
      <c r="G1516" s="763"/>
      <c r="H1516" s="744"/>
      <c r="I1516" s="765"/>
      <c r="J1516" s="730"/>
      <c r="K1516" s="761"/>
      <c r="L1516" s="761"/>
      <c r="M1516" s="730"/>
      <c r="N1516" s="730"/>
    </row>
    <row r="1517" spans="1:23" s="194" customFormat="1" ht="40.4" customHeight="1" x14ac:dyDescent="0.35">
      <c r="A1517" s="770" t="str">
        <f ca="1">INDIRECT("'update Helper'!C"&amp;U1517)</f>
        <v>a163p000004NtPGAA0</v>
      </c>
      <c r="B1517" s="766">
        <v>23</v>
      </c>
      <c r="C1517" s="760" t="str">
        <f>VLOOKUP(B1517,'Coverage Indicators - Section D'!$A$9:$AU$70,47,FALSE)</f>
        <v/>
      </c>
      <c r="D1517" s="768" t="str">
        <f>R1517</f>
        <v/>
      </c>
      <c r="E1517" s="768" t="str">
        <f>S1517</f>
        <v/>
      </c>
      <c r="F1517" s="413"/>
      <c r="G1517" s="762" t="str">
        <f ca="1">IF(OR(INDIRECT("'update Helper'!E"&amp;U1517)="",F1517&lt;&gt;0,F1518&lt;&gt;0),IF(IFERROR((F1517/F1518),"")="","",(F1517/F1518)),INDIRECT("'update Helper'!E"&amp;U1517)/100)</f>
        <v/>
      </c>
      <c r="H1517" s="743"/>
      <c r="I1517" s="764"/>
      <c r="J1517" s="729"/>
      <c r="K1517" s="760" t="str">
        <f>W1517</f>
        <v/>
      </c>
      <c r="L1517" s="760" t="str">
        <f>V1517</f>
        <v/>
      </c>
      <c r="M1517" s="729"/>
      <c r="N1517" s="729"/>
      <c r="P1517" s="194">
        <f>IF(AND(EXACT(C1517,C1515),C1515&lt;&gt;0),P1515+1,0)</f>
        <v>8</v>
      </c>
      <c r="Q1517" s="194" t="str">
        <f>IF(C1517&lt;&gt;"",C1517&amp;"-"&amp;P1517,"")</f>
        <v/>
      </c>
      <c r="R1517" s="194" t="str">
        <f t="array" ref="R1517">IFERROR(IF(INDEX('Disaggregation Records'!$E$155:$E$385,MATCH(RIGHT(Q1517,255),RIGHT('Disaggregation Records'!$D$155:$D$385,255),0))="","",INDEX('Disaggregation Records'!$E$155:$E$385,MATCH(RIGHT(Q1517,255),RIGHT('Disaggregation Records'!$D$155:$D$385,255),0))),"")</f>
        <v/>
      </c>
      <c r="S1517" s="194" t="str">
        <f t="array" ref="S1517">IFERROR(IF(INDEX('Disaggregation Records'!$F$155:$F$385,MATCH(RIGHT(Q1517,255),RIGHT('Disaggregation Records'!$D$155:$D$385,255),0))="","",INDEX('Disaggregation Records'!$F$155:$F$385,MATCH(RIGHT(Q1517,255),RIGHT('Disaggregation Records'!$D$155:$D$385,255),0))),"")</f>
        <v/>
      </c>
      <c r="T1517" s="194" t="str">
        <f t="array" ref="T1517">IFERROR(IF(INDEX('Disaggregation Records'!$H$155:$H$385,MATCH(RIGHT(Q1517,255),RIGHT('Disaggregation Records'!$D$155:$D$385,255),0))="","",INDEX('Disaggregation Records'!$H$155:$H$385,MATCH(RIGHT(Q1517,255),RIGHT('Disaggregation Records'!$D$155:$D$385,255),0))),"")</f>
        <v/>
      </c>
      <c r="U1517" s="194">
        <f>U1515+1</f>
        <v>2948</v>
      </c>
      <c r="V1517" s="194" t="str">
        <f t="array" ref="V1517">IFERROR(IF(INDEX('Disaggregation Records'!$I$155:$I$385,MATCH(RIGHT(Q1517,255),RIGHT('Disaggregation Records'!$D$155:$D$385,255),0))="","",INDEX('Disaggregation Records'!$I$155:$I$385,MATCH(RIGHT(Q1517,255),RIGHT('Disaggregation Records'!$D$155:$D$385,255),0))),"")</f>
        <v/>
      </c>
      <c r="W1517" s="194" t="str">
        <f>IFERROR(INDEX('Reference Records'!L$77:L$157,MATCH(LEFT(C1517,255),'Reference Records'!E$77:E$157,0)),"")</f>
        <v/>
      </c>
    </row>
    <row r="1518" spans="1:23" s="194" customFormat="1" ht="40.4" customHeight="1" x14ac:dyDescent="0.35">
      <c r="A1518" s="770"/>
      <c r="B1518" s="767"/>
      <c r="C1518" s="761"/>
      <c r="D1518" s="769"/>
      <c r="E1518" s="769"/>
      <c r="F1518" s="208"/>
      <c r="G1518" s="763"/>
      <c r="H1518" s="744"/>
      <c r="I1518" s="765"/>
      <c r="J1518" s="730"/>
      <c r="K1518" s="761"/>
      <c r="L1518" s="761"/>
      <c r="M1518" s="730"/>
      <c r="N1518" s="730"/>
    </row>
    <row r="1519" spans="1:23" s="194" customFormat="1" ht="40.4" customHeight="1" x14ac:dyDescent="0.35">
      <c r="A1519" s="770" t="str">
        <f ca="1">INDIRECT("'update Helper'!C"&amp;U1519)</f>
        <v>a163p000004NtPHAA0</v>
      </c>
      <c r="B1519" s="766">
        <v>23</v>
      </c>
      <c r="C1519" s="760" t="str">
        <f>VLOOKUP(B1519,'Coverage Indicators - Section D'!$A$9:$AU$70,47,FALSE)</f>
        <v/>
      </c>
      <c r="D1519" s="768" t="str">
        <f>R1519</f>
        <v/>
      </c>
      <c r="E1519" s="768" t="str">
        <f>S1519</f>
        <v/>
      </c>
      <c r="F1519" s="413"/>
      <c r="G1519" s="762" t="str">
        <f ca="1">IF(OR(INDIRECT("'update Helper'!E"&amp;U1519)="",F1519&lt;&gt;0,F1520&lt;&gt;0),IF(IFERROR((F1519/F1520),"")="","",(F1519/F1520)),INDIRECT("'update Helper'!E"&amp;U1519)/100)</f>
        <v/>
      </c>
      <c r="H1519" s="743"/>
      <c r="I1519" s="764"/>
      <c r="J1519" s="729"/>
      <c r="K1519" s="760" t="str">
        <f>W1519</f>
        <v/>
      </c>
      <c r="L1519" s="760" t="str">
        <f>V1519</f>
        <v/>
      </c>
      <c r="M1519" s="729"/>
      <c r="N1519" s="729"/>
      <c r="P1519" s="194">
        <f>IF(AND(EXACT(C1519,C1517),C1517&lt;&gt;0),P1517+1,0)</f>
        <v>9</v>
      </c>
      <c r="Q1519" s="194" t="str">
        <f>IF(C1519&lt;&gt;"",C1519&amp;"-"&amp;P1519,"")</f>
        <v/>
      </c>
      <c r="R1519" s="194" t="str">
        <f t="array" ref="R1519">IFERROR(IF(INDEX('Disaggregation Records'!$E$155:$E$385,MATCH(RIGHT(Q1519,255),RIGHT('Disaggregation Records'!$D$155:$D$385,255),0))="","",INDEX('Disaggregation Records'!$E$155:$E$385,MATCH(RIGHT(Q1519,255),RIGHT('Disaggregation Records'!$D$155:$D$385,255),0))),"")</f>
        <v/>
      </c>
      <c r="S1519" s="194" t="str">
        <f t="array" ref="S1519">IFERROR(IF(INDEX('Disaggregation Records'!$F$155:$F$385,MATCH(RIGHT(Q1519,255),RIGHT('Disaggregation Records'!$D$155:$D$385,255),0))="","",INDEX('Disaggregation Records'!$F$155:$F$385,MATCH(RIGHT(Q1519,255),RIGHT('Disaggregation Records'!$D$155:$D$385,255),0))),"")</f>
        <v/>
      </c>
      <c r="T1519" s="194" t="str">
        <f t="array" ref="T1519">IFERROR(IF(INDEX('Disaggregation Records'!$H$155:$H$385,MATCH(RIGHT(Q1519,255),RIGHT('Disaggregation Records'!$D$155:$D$385,255),0))="","",INDEX('Disaggregation Records'!$H$155:$H$385,MATCH(RIGHT(Q1519,255),RIGHT('Disaggregation Records'!$D$155:$D$385,255),0))),"")</f>
        <v/>
      </c>
      <c r="U1519" s="194">
        <f>U1517+1</f>
        <v>2949</v>
      </c>
      <c r="V1519" s="194" t="str">
        <f t="array" ref="V1519">IFERROR(IF(INDEX('Disaggregation Records'!$I$155:$I$385,MATCH(RIGHT(Q1519,255),RIGHT('Disaggregation Records'!$D$155:$D$385,255),0))="","",INDEX('Disaggregation Records'!$I$155:$I$385,MATCH(RIGHT(Q1519,255),RIGHT('Disaggregation Records'!$D$155:$D$385,255),0))),"")</f>
        <v/>
      </c>
      <c r="W1519" s="194" t="str">
        <f>IFERROR(INDEX('Reference Records'!L$77:L$157,MATCH(LEFT(C1519,255),'Reference Records'!E$77:E$157,0)),"")</f>
        <v/>
      </c>
    </row>
    <row r="1520" spans="1:23" s="194" customFormat="1" ht="40.4" customHeight="1" x14ac:dyDescent="0.35">
      <c r="A1520" s="770"/>
      <c r="B1520" s="767"/>
      <c r="C1520" s="761"/>
      <c r="D1520" s="769"/>
      <c r="E1520" s="769"/>
      <c r="F1520" s="208"/>
      <c r="G1520" s="763"/>
      <c r="H1520" s="744"/>
      <c r="I1520" s="765"/>
      <c r="J1520" s="730"/>
      <c r="K1520" s="761"/>
      <c r="L1520" s="761"/>
      <c r="M1520" s="730"/>
      <c r="N1520" s="730"/>
    </row>
    <row r="1521" spans="1:23" s="194" customFormat="1" ht="40.4" customHeight="1" x14ac:dyDescent="0.35">
      <c r="A1521" s="770" t="str">
        <f ca="1">INDIRECT("'update Helper'!C"&amp;U1521)</f>
        <v>a163p000004NtPIAA0</v>
      </c>
      <c r="B1521" s="766">
        <v>23</v>
      </c>
      <c r="C1521" s="760" t="str">
        <f>VLOOKUP(B1521,'Coverage Indicators - Section D'!$A$9:$AU$70,47,FALSE)</f>
        <v/>
      </c>
      <c r="D1521" s="768" t="str">
        <f>R1521</f>
        <v/>
      </c>
      <c r="E1521" s="768" t="str">
        <f>S1521</f>
        <v/>
      </c>
      <c r="F1521" s="413"/>
      <c r="G1521" s="762" t="str">
        <f ca="1">IF(OR(INDIRECT("'update Helper'!E"&amp;U1521)="",F1521&lt;&gt;0,F1522&lt;&gt;0),IF(IFERROR((F1521/F1522),"")="","",(F1521/F1522)),INDIRECT("'update Helper'!E"&amp;U1521)/100)</f>
        <v/>
      </c>
      <c r="H1521" s="743"/>
      <c r="I1521" s="764"/>
      <c r="J1521" s="729"/>
      <c r="K1521" s="760" t="str">
        <f>W1521</f>
        <v/>
      </c>
      <c r="L1521" s="760" t="str">
        <f>V1521</f>
        <v/>
      </c>
      <c r="M1521" s="729"/>
      <c r="N1521" s="729"/>
      <c r="P1521" s="194">
        <f>IF(AND(EXACT(C1521,C1519),C1519&lt;&gt;0),P1519+1,0)</f>
        <v>10</v>
      </c>
      <c r="Q1521" s="194" t="str">
        <f>IF(C1521&lt;&gt;"",C1521&amp;"-"&amp;P1521,"")</f>
        <v/>
      </c>
      <c r="R1521" s="194" t="str">
        <f t="array" ref="R1521">IFERROR(IF(INDEX('Disaggregation Records'!$E$155:$E$385,MATCH(RIGHT(Q1521,255),RIGHT('Disaggregation Records'!$D$155:$D$385,255),0))="","",INDEX('Disaggregation Records'!$E$155:$E$385,MATCH(RIGHT(Q1521,255),RIGHT('Disaggregation Records'!$D$155:$D$385,255),0))),"")</f>
        <v/>
      </c>
      <c r="S1521" s="194" t="str">
        <f t="array" ref="S1521">IFERROR(IF(INDEX('Disaggregation Records'!$F$155:$F$385,MATCH(RIGHT(Q1521,255),RIGHT('Disaggregation Records'!$D$155:$D$385,255),0))="","",INDEX('Disaggregation Records'!$F$155:$F$385,MATCH(RIGHT(Q1521,255),RIGHT('Disaggregation Records'!$D$155:$D$385,255),0))),"")</f>
        <v/>
      </c>
      <c r="T1521" s="194" t="str">
        <f t="array" ref="T1521">IFERROR(IF(INDEX('Disaggregation Records'!$H$155:$H$385,MATCH(RIGHT(Q1521,255),RIGHT('Disaggregation Records'!$D$155:$D$385,255),0))="","",INDEX('Disaggregation Records'!$H$155:$H$385,MATCH(RIGHT(Q1521,255),RIGHT('Disaggregation Records'!$D$155:$D$385,255),0))),"")</f>
        <v/>
      </c>
      <c r="U1521" s="194">
        <f>U1519+1</f>
        <v>2950</v>
      </c>
      <c r="V1521" s="194" t="str">
        <f t="array" ref="V1521">IFERROR(IF(INDEX('Disaggregation Records'!$I$155:$I$385,MATCH(RIGHT(Q1521,255),RIGHT('Disaggregation Records'!$D$155:$D$385,255),0))="","",INDEX('Disaggregation Records'!$I$155:$I$385,MATCH(RIGHT(Q1521,255),RIGHT('Disaggregation Records'!$D$155:$D$385,255),0))),"")</f>
        <v/>
      </c>
      <c r="W1521" s="194" t="str">
        <f>IFERROR(INDEX('Reference Records'!L$77:L$157,MATCH(LEFT(C1521,255),'Reference Records'!E$77:E$157,0)),"")</f>
        <v/>
      </c>
    </row>
    <row r="1522" spans="1:23" s="194" customFormat="1" ht="40.4" customHeight="1" x14ac:dyDescent="0.35">
      <c r="A1522" s="770"/>
      <c r="B1522" s="767"/>
      <c r="C1522" s="761"/>
      <c r="D1522" s="769"/>
      <c r="E1522" s="769"/>
      <c r="F1522" s="208"/>
      <c r="G1522" s="763"/>
      <c r="H1522" s="744"/>
      <c r="I1522" s="765"/>
      <c r="J1522" s="730"/>
      <c r="K1522" s="761"/>
      <c r="L1522" s="761"/>
      <c r="M1522" s="730"/>
      <c r="N1522" s="730"/>
    </row>
    <row r="1523" spans="1:23" s="194" customFormat="1" ht="40.4" customHeight="1" x14ac:dyDescent="0.35">
      <c r="A1523" s="770" t="str">
        <f ca="1">INDIRECT("'update Helper'!C"&amp;U1523)</f>
        <v>a163p000004NtPJAA0</v>
      </c>
      <c r="B1523" s="766">
        <v>23</v>
      </c>
      <c r="C1523" s="760" t="str">
        <f>VLOOKUP(B1523,'Coverage Indicators - Section D'!$A$9:$AU$70,47,FALSE)</f>
        <v/>
      </c>
      <c r="D1523" s="768" t="str">
        <f>R1523</f>
        <v/>
      </c>
      <c r="E1523" s="768" t="str">
        <f>S1523</f>
        <v/>
      </c>
      <c r="F1523" s="413"/>
      <c r="G1523" s="762" t="str">
        <f ca="1">IF(OR(INDIRECT("'update Helper'!E"&amp;U1523)="",F1523&lt;&gt;0,F1524&lt;&gt;0),IF(IFERROR((F1523/F1524),"")="","",(F1523/F1524)),INDIRECT("'update Helper'!E"&amp;U1523)/100)</f>
        <v/>
      </c>
      <c r="H1523" s="743"/>
      <c r="I1523" s="764"/>
      <c r="J1523" s="729"/>
      <c r="K1523" s="760" t="str">
        <f>W1523</f>
        <v/>
      </c>
      <c r="L1523" s="760" t="str">
        <f>V1523</f>
        <v/>
      </c>
      <c r="M1523" s="729"/>
      <c r="N1523" s="729"/>
      <c r="P1523" s="194">
        <f>IF(AND(EXACT(C1523,C1521),C1521&lt;&gt;0),P1521+1,0)</f>
        <v>11</v>
      </c>
      <c r="Q1523" s="194" t="str">
        <f>IF(C1523&lt;&gt;"",C1523&amp;"-"&amp;P1523,"")</f>
        <v/>
      </c>
      <c r="R1523" s="194" t="str">
        <f t="array" ref="R1523">IFERROR(IF(INDEX('Disaggregation Records'!$E$155:$E$385,MATCH(RIGHT(Q1523,255),RIGHT('Disaggregation Records'!$D$155:$D$385,255),0))="","",INDEX('Disaggregation Records'!$E$155:$E$385,MATCH(RIGHT(Q1523,255),RIGHT('Disaggregation Records'!$D$155:$D$385,255),0))),"")</f>
        <v/>
      </c>
      <c r="S1523" s="194" t="str">
        <f t="array" ref="S1523">IFERROR(IF(INDEX('Disaggregation Records'!$F$155:$F$385,MATCH(RIGHT(Q1523,255),RIGHT('Disaggregation Records'!$D$155:$D$385,255),0))="","",INDEX('Disaggregation Records'!$F$155:$F$385,MATCH(RIGHT(Q1523,255),RIGHT('Disaggregation Records'!$D$155:$D$385,255),0))),"")</f>
        <v/>
      </c>
      <c r="T1523" s="194" t="str">
        <f t="array" ref="T1523">IFERROR(IF(INDEX('Disaggregation Records'!$H$155:$H$385,MATCH(RIGHT(Q1523,255),RIGHT('Disaggregation Records'!$D$155:$D$385,255),0))="","",INDEX('Disaggregation Records'!$H$155:$H$385,MATCH(RIGHT(Q1523,255),RIGHT('Disaggregation Records'!$D$155:$D$385,255),0))),"")</f>
        <v/>
      </c>
      <c r="U1523" s="194">
        <f>U1521+1</f>
        <v>2951</v>
      </c>
      <c r="V1523" s="194" t="str">
        <f t="array" ref="V1523">IFERROR(IF(INDEX('Disaggregation Records'!$I$155:$I$385,MATCH(RIGHT(Q1523,255),RIGHT('Disaggregation Records'!$D$155:$D$385,255),0))="","",INDEX('Disaggregation Records'!$I$155:$I$385,MATCH(RIGHT(Q1523,255),RIGHT('Disaggregation Records'!$D$155:$D$385,255),0))),"")</f>
        <v/>
      </c>
      <c r="W1523" s="194" t="str">
        <f>IFERROR(INDEX('Reference Records'!L$77:L$157,MATCH(LEFT(C1523,255),'Reference Records'!E$77:E$157,0)),"")</f>
        <v/>
      </c>
    </row>
    <row r="1524" spans="1:23" s="194" customFormat="1" ht="40.4" customHeight="1" x14ac:dyDescent="0.35">
      <c r="A1524" s="770"/>
      <c r="B1524" s="767"/>
      <c r="C1524" s="761"/>
      <c r="D1524" s="769"/>
      <c r="E1524" s="769"/>
      <c r="F1524" s="208"/>
      <c r="G1524" s="763"/>
      <c r="H1524" s="744"/>
      <c r="I1524" s="765"/>
      <c r="J1524" s="730"/>
      <c r="K1524" s="761"/>
      <c r="L1524" s="761"/>
      <c r="M1524" s="730"/>
      <c r="N1524" s="730"/>
    </row>
    <row r="1525" spans="1:23" s="194" customFormat="1" ht="40.4" customHeight="1" x14ac:dyDescent="0.35">
      <c r="A1525" s="770" t="str">
        <f ca="1">INDIRECT("'update Helper'!C"&amp;U1525)</f>
        <v>a163p000004NtPKAA0</v>
      </c>
      <c r="B1525" s="766">
        <v>23</v>
      </c>
      <c r="C1525" s="760" t="str">
        <f>VLOOKUP(B1525,'Coverage Indicators - Section D'!$A$9:$AU$70,47,FALSE)</f>
        <v/>
      </c>
      <c r="D1525" s="768" t="str">
        <f>R1525</f>
        <v/>
      </c>
      <c r="E1525" s="768" t="str">
        <f>S1525</f>
        <v/>
      </c>
      <c r="F1525" s="413"/>
      <c r="G1525" s="762" t="str">
        <f ca="1">IF(OR(INDIRECT("'update Helper'!E"&amp;U1525)="",F1525&lt;&gt;0,F1526&lt;&gt;0),IF(IFERROR((F1525/F1526),"")="","",(F1525/F1526)),INDIRECT("'update Helper'!E"&amp;U1525)/100)</f>
        <v/>
      </c>
      <c r="H1525" s="743"/>
      <c r="I1525" s="764"/>
      <c r="J1525" s="729"/>
      <c r="K1525" s="760" t="str">
        <f>W1525</f>
        <v/>
      </c>
      <c r="L1525" s="760" t="str">
        <f>V1525</f>
        <v/>
      </c>
      <c r="M1525" s="729"/>
      <c r="N1525" s="729"/>
      <c r="P1525" s="194">
        <f>IF(AND(EXACT(C1525,C1523),C1523&lt;&gt;0),P1523+1,0)</f>
        <v>12</v>
      </c>
      <c r="Q1525" s="194" t="str">
        <f>IF(C1525&lt;&gt;"",C1525&amp;"-"&amp;P1525,"")</f>
        <v/>
      </c>
      <c r="R1525" s="194" t="str">
        <f t="array" ref="R1525">IFERROR(IF(INDEX('Disaggregation Records'!$E$155:$E$385,MATCH(RIGHT(Q1525,255),RIGHT('Disaggregation Records'!$D$155:$D$385,255),0))="","",INDEX('Disaggregation Records'!$E$155:$E$385,MATCH(RIGHT(Q1525,255),RIGHT('Disaggregation Records'!$D$155:$D$385,255),0))),"")</f>
        <v/>
      </c>
      <c r="S1525" s="194" t="str">
        <f t="array" ref="S1525">IFERROR(IF(INDEX('Disaggregation Records'!$F$155:$F$385,MATCH(RIGHT(Q1525,255),RIGHT('Disaggregation Records'!$D$155:$D$385,255),0))="","",INDEX('Disaggregation Records'!$F$155:$F$385,MATCH(RIGHT(Q1525,255),RIGHT('Disaggregation Records'!$D$155:$D$385,255),0))),"")</f>
        <v/>
      </c>
      <c r="T1525" s="194" t="str">
        <f t="array" ref="T1525">IFERROR(IF(INDEX('Disaggregation Records'!$H$155:$H$385,MATCH(RIGHT(Q1525,255),RIGHT('Disaggregation Records'!$D$155:$D$385,255),0))="","",INDEX('Disaggregation Records'!$H$155:$H$385,MATCH(RIGHT(Q1525,255),RIGHT('Disaggregation Records'!$D$155:$D$385,255),0))),"")</f>
        <v/>
      </c>
      <c r="U1525" s="194">
        <f>U1523+1</f>
        <v>2952</v>
      </c>
      <c r="V1525" s="194" t="str">
        <f t="array" ref="V1525">IFERROR(IF(INDEX('Disaggregation Records'!$I$155:$I$385,MATCH(RIGHT(Q1525,255),RIGHT('Disaggregation Records'!$D$155:$D$385,255),0))="","",INDEX('Disaggregation Records'!$I$155:$I$385,MATCH(RIGHT(Q1525,255),RIGHT('Disaggregation Records'!$D$155:$D$385,255),0))),"")</f>
        <v/>
      </c>
      <c r="W1525" s="194" t="str">
        <f>IFERROR(INDEX('Reference Records'!L$77:L$157,MATCH(LEFT(C1525,255),'Reference Records'!E$77:E$157,0)),"")</f>
        <v/>
      </c>
    </row>
    <row r="1526" spans="1:23" s="194" customFormat="1" ht="40.4" customHeight="1" x14ac:dyDescent="0.35">
      <c r="A1526" s="770"/>
      <c r="B1526" s="767"/>
      <c r="C1526" s="761"/>
      <c r="D1526" s="769"/>
      <c r="E1526" s="769"/>
      <c r="F1526" s="208"/>
      <c r="G1526" s="763"/>
      <c r="H1526" s="744"/>
      <c r="I1526" s="765"/>
      <c r="J1526" s="730"/>
      <c r="K1526" s="761"/>
      <c r="L1526" s="761"/>
      <c r="M1526" s="730"/>
      <c r="N1526" s="730"/>
    </row>
    <row r="1527" spans="1:23" s="194" customFormat="1" ht="40.4" customHeight="1" x14ac:dyDescent="0.35">
      <c r="A1527" s="770" t="str">
        <f ca="1">INDIRECT("'update Helper'!C"&amp;U1527)</f>
        <v>a163p000004NtPLAA0</v>
      </c>
      <c r="B1527" s="766">
        <v>23</v>
      </c>
      <c r="C1527" s="760" t="str">
        <f>VLOOKUP(B1527,'Coverage Indicators - Section D'!$A$9:$AU$70,47,FALSE)</f>
        <v/>
      </c>
      <c r="D1527" s="768" t="str">
        <f>R1527</f>
        <v/>
      </c>
      <c r="E1527" s="768" t="str">
        <f>S1527</f>
        <v/>
      </c>
      <c r="F1527" s="413"/>
      <c r="G1527" s="762" t="str">
        <f ca="1">IF(OR(INDIRECT("'update Helper'!E"&amp;U1527)="",F1527&lt;&gt;0,F1528&lt;&gt;0),IF(IFERROR((F1527/F1528),"")="","",(F1527/F1528)),INDIRECT("'update Helper'!E"&amp;U1527)/100)</f>
        <v/>
      </c>
      <c r="H1527" s="743"/>
      <c r="I1527" s="764"/>
      <c r="J1527" s="729"/>
      <c r="K1527" s="760" t="str">
        <f>W1527</f>
        <v/>
      </c>
      <c r="L1527" s="760" t="str">
        <f>V1527</f>
        <v/>
      </c>
      <c r="M1527" s="729"/>
      <c r="N1527" s="729"/>
      <c r="P1527" s="194">
        <f>IF(AND(EXACT(C1527,C1525),C1525&lt;&gt;0),P1525+1,0)</f>
        <v>13</v>
      </c>
      <c r="Q1527" s="194" t="str">
        <f>IF(C1527&lt;&gt;"",C1527&amp;"-"&amp;P1527,"")</f>
        <v/>
      </c>
      <c r="R1527" s="194" t="str">
        <f t="array" ref="R1527">IFERROR(IF(INDEX('Disaggregation Records'!$E$155:$E$385,MATCH(RIGHT(Q1527,255),RIGHT('Disaggregation Records'!$D$155:$D$385,255),0))="","",INDEX('Disaggregation Records'!$E$155:$E$385,MATCH(RIGHT(Q1527,255),RIGHT('Disaggregation Records'!$D$155:$D$385,255),0))),"")</f>
        <v/>
      </c>
      <c r="S1527" s="194" t="str">
        <f t="array" ref="S1527">IFERROR(IF(INDEX('Disaggregation Records'!$F$155:$F$385,MATCH(RIGHT(Q1527,255),RIGHT('Disaggregation Records'!$D$155:$D$385,255),0))="","",INDEX('Disaggregation Records'!$F$155:$F$385,MATCH(RIGHT(Q1527,255),RIGHT('Disaggregation Records'!$D$155:$D$385,255),0))),"")</f>
        <v/>
      </c>
      <c r="T1527" s="194" t="str">
        <f t="array" ref="T1527">IFERROR(IF(INDEX('Disaggregation Records'!$H$155:$H$385,MATCH(RIGHT(Q1527,255),RIGHT('Disaggregation Records'!$D$155:$D$385,255),0))="","",INDEX('Disaggregation Records'!$H$155:$H$385,MATCH(RIGHT(Q1527,255),RIGHT('Disaggregation Records'!$D$155:$D$385,255),0))),"")</f>
        <v/>
      </c>
      <c r="U1527" s="194">
        <f>U1525+1</f>
        <v>2953</v>
      </c>
      <c r="V1527" s="194" t="str">
        <f t="array" ref="V1527">IFERROR(IF(INDEX('Disaggregation Records'!$I$155:$I$385,MATCH(RIGHT(Q1527,255),RIGHT('Disaggregation Records'!$D$155:$D$385,255),0))="","",INDEX('Disaggregation Records'!$I$155:$I$385,MATCH(RIGHT(Q1527,255),RIGHT('Disaggregation Records'!$D$155:$D$385,255),0))),"")</f>
        <v/>
      </c>
      <c r="W1527" s="194" t="str">
        <f>IFERROR(INDEX('Reference Records'!L$77:L$157,MATCH(LEFT(C1527,255),'Reference Records'!E$77:E$157,0)),"")</f>
        <v/>
      </c>
    </row>
    <row r="1528" spans="1:23" s="194" customFormat="1" ht="40.4" customHeight="1" x14ac:dyDescent="0.35">
      <c r="A1528" s="770"/>
      <c r="B1528" s="767"/>
      <c r="C1528" s="761"/>
      <c r="D1528" s="769"/>
      <c r="E1528" s="769"/>
      <c r="F1528" s="208"/>
      <c r="G1528" s="763"/>
      <c r="H1528" s="744"/>
      <c r="I1528" s="765"/>
      <c r="J1528" s="730"/>
      <c r="K1528" s="761"/>
      <c r="L1528" s="761"/>
      <c r="M1528" s="730"/>
      <c r="N1528" s="730"/>
    </row>
    <row r="1529" spans="1:23" s="194" customFormat="1" ht="40.4" customHeight="1" x14ac:dyDescent="0.35">
      <c r="A1529" s="770" t="str">
        <f ca="1">INDIRECT("'update Helper'!C"&amp;U1529)</f>
        <v>a163p000004NtPMAA0</v>
      </c>
      <c r="B1529" s="766">
        <v>23</v>
      </c>
      <c r="C1529" s="760" t="str">
        <f>VLOOKUP(B1529,'Coverage Indicators - Section D'!$A$9:$AU$70,47,FALSE)</f>
        <v/>
      </c>
      <c r="D1529" s="768" t="str">
        <f>R1529</f>
        <v/>
      </c>
      <c r="E1529" s="768" t="str">
        <f>S1529</f>
        <v/>
      </c>
      <c r="F1529" s="413"/>
      <c r="G1529" s="762" t="str">
        <f ca="1">IF(OR(INDIRECT("'update Helper'!E"&amp;U1529)="",F1529&lt;&gt;0,F1530&lt;&gt;0),IF(IFERROR((F1529/F1530),"")="","",(F1529/F1530)),INDIRECT("'update Helper'!E"&amp;U1529)/100)</f>
        <v/>
      </c>
      <c r="H1529" s="743"/>
      <c r="I1529" s="764"/>
      <c r="J1529" s="729"/>
      <c r="K1529" s="760" t="str">
        <f>W1529</f>
        <v/>
      </c>
      <c r="L1529" s="760" t="str">
        <f>V1529</f>
        <v/>
      </c>
      <c r="M1529" s="729"/>
      <c r="N1529" s="729"/>
      <c r="P1529" s="194">
        <f>IF(AND(EXACT(C1529,C1527),C1527&lt;&gt;0),P1527+1,0)</f>
        <v>14</v>
      </c>
      <c r="Q1529" s="194" t="str">
        <f>IF(C1529&lt;&gt;"",C1529&amp;"-"&amp;P1529,"")</f>
        <v/>
      </c>
      <c r="R1529" s="194" t="str">
        <f t="array" ref="R1529">IFERROR(IF(INDEX('Disaggregation Records'!$E$155:$E$385,MATCH(RIGHT(Q1529,255),RIGHT('Disaggregation Records'!$D$155:$D$385,255),0))="","",INDEX('Disaggregation Records'!$E$155:$E$385,MATCH(RIGHT(Q1529,255),RIGHT('Disaggregation Records'!$D$155:$D$385,255),0))),"")</f>
        <v/>
      </c>
      <c r="S1529" s="194" t="str">
        <f t="array" ref="S1529">IFERROR(IF(INDEX('Disaggregation Records'!$F$155:$F$385,MATCH(RIGHT(Q1529,255),RIGHT('Disaggregation Records'!$D$155:$D$385,255),0))="","",INDEX('Disaggregation Records'!$F$155:$F$385,MATCH(RIGHT(Q1529,255),RIGHT('Disaggregation Records'!$D$155:$D$385,255),0))),"")</f>
        <v/>
      </c>
      <c r="T1529" s="194" t="str">
        <f t="array" ref="T1529">IFERROR(IF(INDEX('Disaggregation Records'!$H$155:$H$385,MATCH(RIGHT(Q1529,255),RIGHT('Disaggregation Records'!$D$155:$D$385,255),0))="","",INDEX('Disaggregation Records'!$H$155:$H$385,MATCH(RIGHT(Q1529,255),RIGHT('Disaggregation Records'!$D$155:$D$385,255),0))),"")</f>
        <v/>
      </c>
      <c r="U1529" s="194">
        <f>U1527+1</f>
        <v>2954</v>
      </c>
      <c r="V1529" s="194" t="str">
        <f t="array" ref="V1529">IFERROR(IF(INDEX('Disaggregation Records'!$I$155:$I$385,MATCH(RIGHT(Q1529,255),RIGHT('Disaggregation Records'!$D$155:$D$385,255),0))="","",INDEX('Disaggregation Records'!$I$155:$I$385,MATCH(RIGHT(Q1529,255),RIGHT('Disaggregation Records'!$D$155:$D$385,255),0))),"")</f>
        <v/>
      </c>
      <c r="W1529" s="194" t="str">
        <f>IFERROR(INDEX('Reference Records'!L$77:L$157,MATCH(LEFT(C1529,255),'Reference Records'!E$77:E$157,0)),"")</f>
        <v/>
      </c>
    </row>
    <row r="1530" spans="1:23" s="194" customFormat="1" ht="40.4" customHeight="1" x14ac:dyDescent="0.35">
      <c r="A1530" s="770"/>
      <c r="B1530" s="767"/>
      <c r="C1530" s="761"/>
      <c r="D1530" s="769"/>
      <c r="E1530" s="769"/>
      <c r="F1530" s="208"/>
      <c r="G1530" s="763"/>
      <c r="H1530" s="744"/>
      <c r="I1530" s="765"/>
      <c r="J1530" s="730"/>
      <c r="K1530" s="761"/>
      <c r="L1530" s="761"/>
      <c r="M1530" s="730"/>
      <c r="N1530" s="730"/>
    </row>
    <row r="1531" spans="1:23" s="194" customFormat="1" ht="40.4" customHeight="1" x14ac:dyDescent="0.35">
      <c r="A1531" s="770" t="str">
        <f ca="1">INDIRECT("'update Helper'!C"&amp;U1531)</f>
        <v>a163p000004NtPNAA0</v>
      </c>
      <c r="B1531" s="766">
        <v>23</v>
      </c>
      <c r="C1531" s="760" t="str">
        <f>VLOOKUP(B1531,'Coverage Indicators - Section D'!$A$9:$AU$70,47,FALSE)</f>
        <v/>
      </c>
      <c r="D1531" s="768" t="str">
        <f>R1531</f>
        <v/>
      </c>
      <c r="E1531" s="768" t="str">
        <f>S1531</f>
        <v/>
      </c>
      <c r="F1531" s="413"/>
      <c r="G1531" s="762" t="str">
        <f ca="1">IF(OR(INDIRECT("'update Helper'!E"&amp;U1531)="",F1531&lt;&gt;0,F1532&lt;&gt;0),IF(IFERROR((F1531/F1532),"")="","",(F1531/F1532)),INDIRECT("'update Helper'!E"&amp;U1531)/100)</f>
        <v/>
      </c>
      <c r="H1531" s="743"/>
      <c r="I1531" s="764"/>
      <c r="J1531" s="729"/>
      <c r="K1531" s="760" t="str">
        <f>W1531</f>
        <v/>
      </c>
      <c r="L1531" s="760" t="str">
        <f>V1531</f>
        <v/>
      </c>
      <c r="M1531" s="729"/>
      <c r="N1531" s="729"/>
      <c r="P1531" s="194">
        <f>IF(AND(EXACT(C1531,C1529),C1529&lt;&gt;0),P1529+1,0)</f>
        <v>15</v>
      </c>
      <c r="Q1531" s="194" t="str">
        <f>IF(C1531&lt;&gt;"",C1531&amp;"-"&amp;P1531,"")</f>
        <v/>
      </c>
      <c r="R1531" s="194" t="str">
        <f t="array" ref="R1531">IFERROR(IF(INDEX('Disaggregation Records'!$E$155:$E$385,MATCH(RIGHT(Q1531,255),RIGHT('Disaggregation Records'!$D$155:$D$385,255),0))="","",INDEX('Disaggregation Records'!$E$155:$E$385,MATCH(RIGHT(Q1531,255),RIGHT('Disaggregation Records'!$D$155:$D$385,255),0))),"")</f>
        <v/>
      </c>
      <c r="S1531" s="194" t="str">
        <f t="array" ref="S1531">IFERROR(IF(INDEX('Disaggregation Records'!$F$155:$F$385,MATCH(RIGHT(Q1531,255),RIGHT('Disaggregation Records'!$D$155:$D$385,255),0))="","",INDEX('Disaggregation Records'!$F$155:$F$385,MATCH(RIGHT(Q1531,255),RIGHT('Disaggregation Records'!$D$155:$D$385,255),0))),"")</f>
        <v/>
      </c>
      <c r="T1531" s="194" t="str">
        <f t="array" ref="T1531">IFERROR(IF(INDEX('Disaggregation Records'!$H$155:$H$385,MATCH(RIGHT(Q1531,255),RIGHT('Disaggregation Records'!$D$155:$D$385,255),0))="","",INDEX('Disaggregation Records'!$H$155:$H$385,MATCH(RIGHT(Q1531,255),RIGHT('Disaggregation Records'!$D$155:$D$385,255),0))),"")</f>
        <v/>
      </c>
      <c r="U1531" s="194">
        <f>U1529+1</f>
        <v>2955</v>
      </c>
      <c r="V1531" s="194" t="str">
        <f t="array" ref="V1531">IFERROR(IF(INDEX('Disaggregation Records'!$I$155:$I$385,MATCH(RIGHT(Q1531,255),RIGHT('Disaggregation Records'!$D$155:$D$385,255),0))="","",INDEX('Disaggregation Records'!$I$155:$I$385,MATCH(RIGHT(Q1531,255),RIGHT('Disaggregation Records'!$D$155:$D$385,255),0))),"")</f>
        <v/>
      </c>
      <c r="W1531" s="194" t="str">
        <f>IFERROR(INDEX('Reference Records'!L$77:L$157,MATCH(LEFT(C1531,255),'Reference Records'!E$77:E$157,0)),"")</f>
        <v/>
      </c>
    </row>
    <row r="1532" spans="1:23" s="194" customFormat="1" ht="40.4" customHeight="1" x14ac:dyDescent="0.35">
      <c r="A1532" s="770"/>
      <c r="B1532" s="767"/>
      <c r="C1532" s="761"/>
      <c r="D1532" s="769"/>
      <c r="E1532" s="769"/>
      <c r="F1532" s="208"/>
      <c r="G1532" s="763"/>
      <c r="H1532" s="744"/>
      <c r="I1532" s="765"/>
      <c r="J1532" s="730"/>
      <c r="K1532" s="761"/>
      <c r="L1532" s="761"/>
      <c r="M1532" s="730"/>
      <c r="N1532" s="730"/>
    </row>
    <row r="1533" spans="1:23" s="194" customFormat="1" ht="40.4" customHeight="1" x14ac:dyDescent="0.35">
      <c r="A1533" s="770" t="str">
        <f ca="1">INDIRECT("'update Helper'!C"&amp;U1533)</f>
        <v>a163p000004NtPOAA0</v>
      </c>
      <c r="B1533" s="766">
        <v>23</v>
      </c>
      <c r="C1533" s="760" t="str">
        <f>VLOOKUP(B1533,'Coverage Indicators - Section D'!$A$9:$AU$70,47,FALSE)</f>
        <v/>
      </c>
      <c r="D1533" s="768" t="str">
        <f>R1533</f>
        <v/>
      </c>
      <c r="E1533" s="768" t="str">
        <f>S1533</f>
        <v/>
      </c>
      <c r="F1533" s="413"/>
      <c r="G1533" s="762" t="str">
        <f ca="1">IF(OR(INDIRECT("'update Helper'!E"&amp;U1533)="",F1533&lt;&gt;0,F1534&lt;&gt;0),IF(IFERROR((F1533/F1534),"")="","",(F1533/F1534)),INDIRECT("'update Helper'!E"&amp;U1533)/100)</f>
        <v/>
      </c>
      <c r="H1533" s="743"/>
      <c r="I1533" s="764"/>
      <c r="J1533" s="729"/>
      <c r="K1533" s="760" t="str">
        <f>W1533</f>
        <v/>
      </c>
      <c r="L1533" s="760" t="str">
        <f>V1533</f>
        <v/>
      </c>
      <c r="M1533" s="729"/>
      <c r="N1533" s="729"/>
      <c r="P1533" s="194">
        <f>IF(AND(EXACT(C1533,C1531),C1531&lt;&gt;0),P1531+1,0)</f>
        <v>16</v>
      </c>
      <c r="Q1533" s="194" t="str">
        <f>IF(C1533&lt;&gt;"",C1533&amp;"-"&amp;P1533,"")</f>
        <v/>
      </c>
      <c r="R1533" s="194" t="str">
        <f t="array" ref="R1533">IFERROR(IF(INDEX('Disaggregation Records'!$E$155:$E$385,MATCH(RIGHT(Q1533,255),RIGHT('Disaggregation Records'!$D$155:$D$385,255),0))="","",INDEX('Disaggregation Records'!$E$155:$E$385,MATCH(RIGHT(Q1533,255),RIGHT('Disaggregation Records'!$D$155:$D$385,255),0))),"")</f>
        <v/>
      </c>
      <c r="S1533" s="194" t="str">
        <f t="array" ref="S1533">IFERROR(IF(INDEX('Disaggregation Records'!$F$155:$F$385,MATCH(RIGHT(Q1533,255),RIGHT('Disaggregation Records'!$D$155:$D$385,255),0))="","",INDEX('Disaggregation Records'!$F$155:$F$385,MATCH(RIGHT(Q1533,255),RIGHT('Disaggregation Records'!$D$155:$D$385,255),0))),"")</f>
        <v/>
      </c>
      <c r="T1533" s="194" t="str">
        <f t="array" ref="T1533">IFERROR(IF(INDEX('Disaggregation Records'!$H$155:$H$385,MATCH(RIGHT(Q1533,255),RIGHT('Disaggregation Records'!$D$155:$D$385,255),0))="","",INDEX('Disaggregation Records'!$H$155:$H$385,MATCH(RIGHT(Q1533,255),RIGHT('Disaggregation Records'!$D$155:$D$385,255),0))),"")</f>
        <v/>
      </c>
      <c r="U1533" s="194">
        <f>U1531+1</f>
        <v>2956</v>
      </c>
      <c r="V1533" s="194" t="str">
        <f t="array" ref="V1533">IFERROR(IF(INDEX('Disaggregation Records'!$I$155:$I$385,MATCH(RIGHT(Q1533,255),RIGHT('Disaggregation Records'!$D$155:$D$385,255),0))="","",INDEX('Disaggregation Records'!$I$155:$I$385,MATCH(RIGHT(Q1533,255),RIGHT('Disaggregation Records'!$D$155:$D$385,255),0))),"")</f>
        <v/>
      </c>
      <c r="W1533" s="194" t="str">
        <f>IFERROR(INDEX('Reference Records'!L$77:L$157,MATCH(LEFT(C1533,255),'Reference Records'!E$77:E$157,0)),"")</f>
        <v/>
      </c>
    </row>
    <row r="1534" spans="1:23" s="194" customFormat="1" ht="40.4" customHeight="1" x14ac:dyDescent="0.35">
      <c r="A1534" s="770"/>
      <c r="B1534" s="767"/>
      <c r="C1534" s="761"/>
      <c r="D1534" s="769"/>
      <c r="E1534" s="769"/>
      <c r="F1534" s="208"/>
      <c r="G1534" s="763"/>
      <c r="H1534" s="744"/>
      <c r="I1534" s="765"/>
      <c r="J1534" s="730"/>
      <c r="K1534" s="761"/>
      <c r="L1534" s="761"/>
      <c r="M1534" s="730"/>
      <c r="N1534" s="730"/>
    </row>
    <row r="1535" spans="1:23" s="194" customFormat="1" ht="40.4" customHeight="1" x14ac:dyDescent="0.35">
      <c r="A1535" s="770" t="str">
        <f ca="1">INDIRECT("'update Helper'!C"&amp;U1535)</f>
        <v>a163p000004NtPPAA0</v>
      </c>
      <c r="B1535" s="766">
        <v>23</v>
      </c>
      <c r="C1535" s="760" t="str">
        <f>VLOOKUP(B1535,'Coverage Indicators - Section D'!$A$9:$AU$70,47,FALSE)</f>
        <v/>
      </c>
      <c r="D1535" s="768" t="str">
        <f>R1535</f>
        <v/>
      </c>
      <c r="E1535" s="768" t="str">
        <f>S1535</f>
        <v/>
      </c>
      <c r="F1535" s="413"/>
      <c r="G1535" s="762" t="str">
        <f ca="1">IF(OR(INDIRECT("'update Helper'!E"&amp;U1535)="",F1535&lt;&gt;0,F1536&lt;&gt;0),IF(IFERROR((F1535/F1536),"")="","",(F1535/F1536)),INDIRECT("'update Helper'!E"&amp;U1535)/100)</f>
        <v/>
      </c>
      <c r="H1535" s="743"/>
      <c r="I1535" s="764"/>
      <c r="J1535" s="729"/>
      <c r="K1535" s="760" t="str">
        <f>W1535</f>
        <v/>
      </c>
      <c r="L1535" s="760" t="str">
        <f>V1535</f>
        <v/>
      </c>
      <c r="M1535" s="729"/>
      <c r="N1535" s="729"/>
      <c r="P1535" s="194">
        <f>IF(AND(EXACT(C1535,C1533),C1533&lt;&gt;0),P1533+1,0)</f>
        <v>17</v>
      </c>
      <c r="Q1535" s="194" t="str">
        <f>IF(C1535&lt;&gt;"",C1535&amp;"-"&amp;P1535,"")</f>
        <v/>
      </c>
      <c r="R1535" s="194" t="str">
        <f t="array" ref="R1535">IFERROR(IF(INDEX('Disaggregation Records'!$E$155:$E$385,MATCH(RIGHT(Q1535,255),RIGHT('Disaggregation Records'!$D$155:$D$385,255),0))="","",INDEX('Disaggregation Records'!$E$155:$E$385,MATCH(RIGHT(Q1535,255),RIGHT('Disaggregation Records'!$D$155:$D$385,255),0))),"")</f>
        <v/>
      </c>
      <c r="S1535" s="194" t="str">
        <f t="array" ref="S1535">IFERROR(IF(INDEX('Disaggregation Records'!$F$155:$F$385,MATCH(RIGHT(Q1535,255),RIGHT('Disaggregation Records'!$D$155:$D$385,255),0))="","",INDEX('Disaggregation Records'!$F$155:$F$385,MATCH(RIGHT(Q1535,255),RIGHT('Disaggregation Records'!$D$155:$D$385,255),0))),"")</f>
        <v/>
      </c>
      <c r="T1535" s="194" t="str">
        <f t="array" ref="T1535">IFERROR(IF(INDEX('Disaggregation Records'!$H$155:$H$385,MATCH(RIGHT(Q1535,255),RIGHT('Disaggregation Records'!$D$155:$D$385,255),0))="","",INDEX('Disaggregation Records'!$H$155:$H$385,MATCH(RIGHT(Q1535,255),RIGHT('Disaggregation Records'!$D$155:$D$385,255),0))),"")</f>
        <v/>
      </c>
      <c r="U1535" s="194">
        <f>U1533+1</f>
        <v>2957</v>
      </c>
      <c r="V1535" s="194" t="str">
        <f t="array" ref="V1535">IFERROR(IF(INDEX('Disaggregation Records'!$I$155:$I$385,MATCH(RIGHT(Q1535,255),RIGHT('Disaggregation Records'!$D$155:$D$385,255),0))="","",INDEX('Disaggregation Records'!$I$155:$I$385,MATCH(RIGHT(Q1535,255),RIGHT('Disaggregation Records'!$D$155:$D$385,255),0))),"")</f>
        <v/>
      </c>
      <c r="W1535" s="194" t="str">
        <f>IFERROR(INDEX('Reference Records'!L$77:L$157,MATCH(LEFT(C1535,255),'Reference Records'!E$77:E$157,0)),"")</f>
        <v/>
      </c>
    </row>
    <row r="1536" spans="1:23" s="194" customFormat="1" ht="40.4" customHeight="1" x14ac:dyDescent="0.35">
      <c r="A1536" s="770"/>
      <c r="B1536" s="767"/>
      <c r="C1536" s="761"/>
      <c r="D1536" s="769"/>
      <c r="E1536" s="769"/>
      <c r="F1536" s="208"/>
      <c r="G1536" s="763"/>
      <c r="H1536" s="744"/>
      <c r="I1536" s="765"/>
      <c r="J1536" s="730"/>
      <c r="K1536" s="761"/>
      <c r="L1536" s="761"/>
      <c r="M1536" s="730"/>
      <c r="N1536" s="730"/>
    </row>
    <row r="1537" spans="1:23" s="194" customFormat="1" ht="40.4" customHeight="1" x14ac:dyDescent="0.35">
      <c r="A1537" s="770" t="str">
        <f ca="1">INDIRECT("'update Helper'!C"&amp;U1537)</f>
        <v>a163p000004NtPQAA0</v>
      </c>
      <c r="B1537" s="766">
        <v>23</v>
      </c>
      <c r="C1537" s="760" t="str">
        <f>VLOOKUP(B1537,'Coverage Indicators - Section D'!$A$9:$AU$70,47,FALSE)</f>
        <v/>
      </c>
      <c r="D1537" s="768" t="str">
        <f>R1537</f>
        <v/>
      </c>
      <c r="E1537" s="768" t="str">
        <f>S1537</f>
        <v/>
      </c>
      <c r="F1537" s="413"/>
      <c r="G1537" s="762" t="str">
        <f ca="1">IF(OR(INDIRECT("'update Helper'!E"&amp;U1537)="",F1537&lt;&gt;0,F1538&lt;&gt;0),IF(IFERROR((F1537/F1538),"")="","",(F1537/F1538)),INDIRECT("'update Helper'!E"&amp;U1537)/100)</f>
        <v/>
      </c>
      <c r="H1537" s="743"/>
      <c r="I1537" s="764"/>
      <c r="J1537" s="729"/>
      <c r="K1537" s="760" t="str">
        <f>W1537</f>
        <v/>
      </c>
      <c r="L1537" s="760" t="str">
        <f>V1537</f>
        <v/>
      </c>
      <c r="M1537" s="729"/>
      <c r="N1537" s="729"/>
      <c r="P1537" s="194">
        <f>IF(AND(EXACT(C1537,C1535),C1535&lt;&gt;0),P1535+1,0)</f>
        <v>18</v>
      </c>
      <c r="Q1537" s="194" t="str">
        <f>IF(C1537&lt;&gt;"",C1537&amp;"-"&amp;P1537,"")</f>
        <v/>
      </c>
      <c r="R1537" s="194" t="str">
        <f t="array" ref="R1537">IFERROR(IF(INDEX('Disaggregation Records'!$E$155:$E$385,MATCH(RIGHT(Q1537,255),RIGHT('Disaggregation Records'!$D$155:$D$385,255),0))="","",INDEX('Disaggregation Records'!$E$155:$E$385,MATCH(RIGHT(Q1537,255),RIGHT('Disaggregation Records'!$D$155:$D$385,255),0))),"")</f>
        <v/>
      </c>
      <c r="S1537" s="194" t="str">
        <f t="array" ref="S1537">IFERROR(IF(INDEX('Disaggregation Records'!$F$155:$F$385,MATCH(RIGHT(Q1537,255),RIGHT('Disaggregation Records'!$D$155:$D$385,255),0))="","",INDEX('Disaggregation Records'!$F$155:$F$385,MATCH(RIGHT(Q1537,255),RIGHT('Disaggregation Records'!$D$155:$D$385,255),0))),"")</f>
        <v/>
      </c>
      <c r="T1537" s="194" t="str">
        <f t="array" ref="T1537">IFERROR(IF(INDEX('Disaggregation Records'!$H$155:$H$385,MATCH(RIGHT(Q1537,255),RIGHT('Disaggregation Records'!$D$155:$D$385,255),0))="","",INDEX('Disaggregation Records'!$H$155:$H$385,MATCH(RIGHT(Q1537,255),RIGHT('Disaggregation Records'!$D$155:$D$385,255),0))),"")</f>
        <v/>
      </c>
      <c r="U1537" s="194">
        <f>U1535+1</f>
        <v>2958</v>
      </c>
      <c r="V1537" s="194" t="str">
        <f t="array" ref="V1537">IFERROR(IF(INDEX('Disaggregation Records'!$I$155:$I$385,MATCH(RIGHT(Q1537,255),RIGHT('Disaggregation Records'!$D$155:$D$385,255),0))="","",INDEX('Disaggregation Records'!$I$155:$I$385,MATCH(RIGHT(Q1537,255),RIGHT('Disaggregation Records'!$D$155:$D$385,255),0))),"")</f>
        <v/>
      </c>
      <c r="W1537" s="194" t="str">
        <f>IFERROR(INDEX('Reference Records'!L$77:L$157,MATCH(LEFT(C1537,255),'Reference Records'!E$77:E$157,0)),"")</f>
        <v/>
      </c>
    </row>
    <row r="1538" spans="1:23" s="194" customFormat="1" ht="40.4" customHeight="1" x14ac:dyDescent="0.35">
      <c r="A1538" s="770"/>
      <c r="B1538" s="767"/>
      <c r="C1538" s="761"/>
      <c r="D1538" s="769"/>
      <c r="E1538" s="769"/>
      <c r="F1538" s="208"/>
      <c r="G1538" s="763"/>
      <c r="H1538" s="744"/>
      <c r="I1538" s="765"/>
      <c r="J1538" s="730"/>
      <c r="K1538" s="761"/>
      <c r="L1538" s="761"/>
      <c r="M1538" s="730"/>
      <c r="N1538" s="730"/>
    </row>
    <row r="1539" spans="1:23" s="194" customFormat="1" ht="40.4" customHeight="1" x14ac:dyDescent="0.35">
      <c r="A1539" s="770" t="str">
        <f ca="1">INDIRECT("'update Helper'!C"&amp;U1539)</f>
        <v>a163p000004NtPRAA0</v>
      </c>
      <c r="B1539" s="766">
        <v>23</v>
      </c>
      <c r="C1539" s="760" t="str">
        <f>VLOOKUP(B1539,'Coverage Indicators - Section D'!$A$9:$AU$70,47,FALSE)</f>
        <v/>
      </c>
      <c r="D1539" s="768" t="str">
        <f>R1539</f>
        <v/>
      </c>
      <c r="E1539" s="768" t="str">
        <f>S1539</f>
        <v/>
      </c>
      <c r="F1539" s="413"/>
      <c r="G1539" s="762" t="str">
        <f ca="1">IF(OR(INDIRECT("'update Helper'!E"&amp;U1539)="",F1539&lt;&gt;0,F1540&lt;&gt;0),IF(IFERROR((F1539/F1540),"")="","",(F1539/F1540)),INDIRECT("'update Helper'!E"&amp;U1539)/100)</f>
        <v/>
      </c>
      <c r="H1539" s="743"/>
      <c r="I1539" s="764"/>
      <c r="J1539" s="729"/>
      <c r="K1539" s="760" t="str">
        <f>W1539</f>
        <v/>
      </c>
      <c r="L1539" s="760" t="str">
        <f>V1539</f>
        <v/>
      </c>
      <c r="M1539" s="729"/>
      <c r="N1539" s="729"/>
      <c r="P1539" s="194">
        <f>IF(AND(EXACT(C1539,C1537),C1537&lt;&gt;0),P1537+1,0)</f>
        <v>19</v>
      </c>
      <c r="Q1539" s="194" t="str">
        <f>IF(C1539&lt;&gt;"",C1539&amp;"-"&amp;P1539,"")</f>
        <v/>
      </c>
      <c r="R1539" s="194" t="str">
        <f t="array" ref="R1539">IFERROR(IF(INDEX('Disaggregation Records'!$E$155:$E$385,MATCH(RIGHT(Q1539,255),RIGHT('Disaggregation Records'!$D$155:$D$385,255),0))="","",INDEX('Disaggregation Records'!$E$155:$E$385,MATCH(RIGHT(Q1539,255),RIGHT('Disaggregation Records'!$D$155:$D$385,255),0))),"")</f>
        <v/>
      </c>
      <c r="S1539" s="194" t="str">
        <f t="array" ref="S1539">IFERROR(IF(INDEX('Disaggregation Records'!$F$155:$F$385,MATCH(RIGHT(Q1539,255),RIGHT('Disaggregation Records'!$D$155:$D$385,255),0))="","",INDEX('Disaggregation Records'!$F$155:$F$385,MATCH(RIGHT(Q1539,255),RIGHT('Disaggregation Records'!$D$155:$D$385,255),0))),"")</f>
        <v/>
      </c>
      <c r="T1539" s="194" t="str">
        <f t="array" ref="T1539">IFERROR(IF(INDEX('Disaggregation Records'!$H$155:$H$385,MATCH(RIGHT(Q1539,255),RIGHT('Disaggregation Records'!$D$155:$D$385,255),0))="","",INDEX('Disaggregation Records'!$H$155:$H$385,MATCH(RIGHT(Q1539,255),RIGHT('Disaggregation Records'!$D$155:$D$385,255),0))),"")</f>
        <v/>
      </c>
      <c r="U1539" s="194">
        <f>U1537+1</f>
        <v>2959</v>
      </c>
      <c r="V1539" s="194" t="str">
        <f t="array" ref="V1539">IFERROR(IF(INDEX('Disaggregation Records'!$I$155:$I$385,MATCH(RIGHT(Q1539,255),RIGHT('Disaggregation Records'!$D$155:$D$385,255),0))="","",INDEX('Disaggregation Records'!$I$155:$I$385,MATCH(RIGHT(Q1539,255),RIGHT('Disaggregation Records'!$D$155:$D$385,255),0))),"")</f>
        <v/>
      </c>
      <c r="W1539" s="194" t="str">
        <f>IFERROR(INDEX('Reference Records'!L$77:L$157,MATCH(LEFT(C1539,255),'Reference Records'!E$77:E$157,0)),"")</f>
        <v/>
      </c>
    </row>
    <row r="1540" spans="1:23" s="194" customFormat="1" ht="40.4" customHeight="1" x14ac:dyDescent="0.35">
      <c r="A1540" s="770"/>
      <c r="B1540" s="767"/>
      <c r="C1540" s="761"/>
      <c r="D1540" s="769"/>
      <c r="E1540" s="769"/>
      <c r="F1540" s="208"/>
      <c r="G1540" s="763"/>
      <c r="H1540" s="744"/>
      <c r="I1540" s="765"/>
      <c r="J1540" s="730"/>
      <c r="K1540" s="761"/>
      <c r="L1540" s="761"/>
      <c r="M1540" s="730"/>
      <c r="N1540" s="730"/>
    </row>
    <row r="1541" spans="1:23" s="194" customFormat="1" ht="40.4" customHeight="1" x14ac:dyDescent="0.35">
      <c r="A1541" s="770" t="str">
        <f ca="1">INDIRECT("'update Helper'!C"&amp;U1541)</f>
        <v>a163p000004NtYoAAK</v>
      </c>
      <c r="B1541" s="766">
        <v>24</v>
      </c>
      <c r="C1541" s="760" t="str">
        <f>VLOOKUP(B1541,'Coverage Indicators - Section D'!$A$9:$AU$70,47,FALSE)</f>
        <v/>
      </c>
      <c r="D1541" s="768" t="str">
        <f>R1541</f>
        <v/>
      </c>
      <c r="E1541" s="768" t="str">
        <f>S1541</f>
        <v/>
      </c>
      <c r="F1541" s="413"/>
      <c r="G1541" s="762" t="str">
        <f ca="1">IF(OR(INDIRECT("'update Helper'!E"&amp;U1541)="",F1541&lt;&gt;0,F1542&lt;&gt;0),IF(IFERROR((F1541/F1542),"")="","",(F1541/F1542)),INDIRECT("'update Helper'!E"&amp;U1541)/100)</f>
        <v/>
      </c>
      <c r="H1541" s="743"/>
      <c r="I1541" s="764"/>
      <c r="J1541" s="729"/>
      <c r="K1541" s="760" t="str">
        <f>W1541</f>
        <v/>
      </c>
      <c r="L1541" s="760" t="str">
        <f>V1541</f>
        <v/>
      </c>
      <c r="M1541" s="729"/>
      <c r="N1541" s="729"/>
      <c r="P1541" s="194">
        <f>IF(AND(EXACT(C1541,C1539),C1539&lt;&gt;0),P1539+1,0)</f>
        <v>20</v>
      </c>
      <c r="Q1541" s="194" t="str">
        <f>IF(C1541&lt;&gt;"",C1541&amp;"-"&amp;P1541,"")</f>
        <v/>
      </c>
      <c r="R1541" s="194" t="str">
        <f t="array" ref="R1541">IFERROR(IF(INDEX('Disaggregation Records'!$E$155:$E$385,MATCH(RIGHT(Q1541,255),RIGHT('Disaggregation Records'!$D$155:$D$385,255),0))="","",INDEX('Disaggregation Records'!$E$155:$E$385,MATCH(RIGHT(Q1541,255),RIGHT('Disaggregation Records'!$D$155:$D$385,255),0))),"")</f>
        <v/>
      </c>
      <c r="S1541" s="194" t="str">
        <f t="array" ref="S1541">IFERROR(IF(INDEX('Disaggregation Records'!$F$155:$F$385,MATCH(RIGHT(Q1541,255),RIGHT('Disaggregation Records'!$D$155:$D$385,255),0))="","",INDEX('Disaggregation Records'!$F$155:$F$385,MATCH(RIGHT(Q1541,255),RIGHT('Disaggregation Records'!$D$155:$D$385,255),0))),"")</f>
        <v/>
      </c>
      <c r="T1541" s="194" t="str">
        <f t="array" ref="T1541">IFERROR(IF(INDEX('Disaggregation Records'!$H$155:$H$385,MATCH(RIGHT(Q1541,255),RIGHT('Disaggregation Records'!$D$155:$D$385,255),0))="","",INDEX('Disaggregation Records'!$H$155:$H$385,MATCH(RIGHT(Q1541,255),RIGHT('Disaggregation Records'!$D$155:$D$385,255),0))),"")</f>
        <v/>
      </c>
      <c r="U1541" s="194">
        <f>U1539+1</f>
        <v>2960</v>
      </c>
      <c r="V1541" s="194" t="str">
        <f t="array" ref="V1541">IFERROR(IF(INDEX('Disaggregation Records'!$I$155:$I$385,MATCH(RIGHT(Q1541,255),RIGHT('Disaggregation Records'!$D$155:$D$385,255),0))="","",INDEX('Disaggregation Records'!$I$155:$I$385,MATCH(RIGHT(Q1541,255),RIGHT('Disaggregation Records'!$D$155:$D$385,255),0))),"")</f>
        <v/>
      </c>
      <c r="W1541" s="194" t="str">
        <f>IFERROR(INDEX('Reference Records'!L$77:L$157,MATCH(LEFT(C1541,255),'Reference Records'!E$77:E$157,0)),"")</f>
        <v/>
      </c>
    </row>
    <row r="1542" spans="1:23" s="194" customFormat="1" ht="40.4" customHeight="1" x14ac:dyDescent="0.35">
      <c r="A1542" s="770"/>
      <c r="B1542" s="767"/>
      <c r="C1542" s="761"/>
      <c r="D1542" s="769"/>
      <c r="E1542" s="769"/>
      <c r="F1542" s="208"/>
      <c r="G1542" s="763"/>
      <c r="H1542" s="744"/>
      <c r="I1542" s="765"/>
      <c r="J1542" s="730"/>
      <c r="K1542" s="761"/>
      <c r="L1542" s="761"/>
      <c r="M1542" s="730"/>
      <c r="N1542" s="730"/>
    </row>
    <row r="1543" spans="1:23" s="194" customFormat="1" ht="40.4" customHeight="1" x14ac:dyDescent="0.35">
      <c r="A1543" s="770" t="str">
        <f ca="1">INDIRECT("'update Helper'!C"&amp;U1543)</f>
        <v>a163p000004NtYpAAK</v>
      </c>
      <c r="B1543" s="766">
        <v>24</v>
      </c>
      <c r="C1543" s="760" t="str">
        <f>VLOOKUP(B1543,'Coverage Indicators - Section D'!$A$9:$AU$70,47,FALSE)</f>
        <v/>
      </c>
      <c r="D1543" s="768" t="str">
        <f>R1543</f>
        <v/>
      </c>
      <c r="E1543" s="768" t="str">
        <f>S1543</f>
        <v/>
      </c>
      <c r="F1543" s="413"/>
      <c r="G1543" s="762" t="str">
        <f ca="1">IF(OR(INDIRECT("'update Helper'!E"&amp;U1543)="",F1543&lt;&gt;0,F1544&lt;&gt;0),IF(IFERROR((F1543/F1544),"")="","",(F1543/F1544)),INDIRECT("'update Helper'!E"&amp;U1543)/100)</f>
        <v/>
      </c>
      <c r="H1543" s="743"/>
      <c r="I1543" s="764"/>
      <c r="J1543" s="729"/>
      <c r="K1543" s="760" t="str">
        <f>W1543</f>
        <v/>
      </c>
      <c r="L1543" s="760" t="str">
        <f>V1543</f>
        <v/>
      </c>
      <c r="M1543" s="729"/>
      <c r="N1543" s="729"/>
      <c r="P1543" s="194">
        <f>IF(AND(EXACT(C1543,C1541),C1541&lt;&gt;0),P1541+1,0)</f>
        <v>21</v>
      </c>
      <c r="Q1543" s="194" t="str">
        <f>IF(C1543&lt;&gt;"",C1543&amp;"-"&amp;P1543,"")</f>
        <v/>
      </c>
      <c r="R1543" s="194" t="str">
        <f t="array" ref="R1543">IFERROR(IF(INDEX('Disaggregation Records'!$E$155:$E$385,MATCH(RIGHT(Q1543,255),RIGHT('Disaggregation Records'!$D$155:$D$385,255),0))="","",INDEX('Disaggregation Records'!$E$155:$E$385,MATCH(RIGHT(Q1543,255),RIGHT('Disaggregation Records'!$D$155:$D$385,255),0))),"")</f>
        <v/>
      </c>
      <c r="S1543" s="194" t="str">
        <f t="array" ref="S1543">IFERROR(IF(INDEX('Disaggregation Records'!$F$155:$F$385,MATCH(RIGHT(Q1543,255),RIGHT('Disaggregation Records'!$D$155:$D$385,255),0))="","",INDEX('Disaggregation Records'!$F$155:$F$385,MATCH(RIGHT(Q1543,255),RIGHT('Disaggregation Records'!$D$155:$D$385,255),0))),"")</f>
        <v/>
      </c>
      <c r="T1543" s="194" t="str">
        <f t="array" ref="T1543">IFERROR(IF(INDEX('Disaggregation Records'!$H$155:$H$385,MATCH(RIGHT(Q1543,255),RIGHT('Disaggregation Records'!$D$155:$D$385,255),0))="","",INDEX('Disaggregation Records'!$H$155:$H$385,MATCH(RIGHT(Q1543,255),RIGHT('Disaggregation Records'!$D$155:$D$385,255),0))),"")</f>
        <v/>
      </c>
      <c r="U1543" s="194">
        <f>U1541+1</f>
        <v>2961</v>
      </c>
      <c r="V1543" s="194" t="str">
        <f t="array" ref="V1543">IFERROR(IF(INDEX('Disaggregation Records'!$I$155:$I$385,MATCH(RIGHT(Q1543,255),RIGHT('Disaggregation Records'!$D$155:$D$385,255),0))="","",INDEX('Disaggregation Records'!$I$155:$I$385,MATCH(RIGHT(Q1543,255),RIGHT('Disaggregation Records'!$D$155:$D$385,255),0))),"")</f>
        <v/>
      </c>
      <c r="W1543" s="194" t="str">
        <f>IFERROR(INDEX('Reference Records'!L$77:L$157,MATCH(LEFT(C1543,255),'Reference Records'!E$77:E$157,0)),"")</f>
        <v/>
      </c>
    </row>
    <row r="1544" spans="1:23" s="194" customFormat="1" ht="40.4" customHeight="1" x14ac:dyDescent="0.35">
      <c r="A1544" s="770"/>
      <c r="B1544" s="767"/>
      <c r="C1544" s="761"/>
      <c r="D1544" s="769"/>
      <c r="E1544" s="769"/>
      <c r="F1544" s="208"/>
      <c r="G1544" s="763"/>
      <c r="H1544" s="744"/>
      <c r="I1544" s="765"/>
      <c r="J1544" s="730"/>
      <c r="K1544" s="761"/>
      <c r="L1544" s="761"/>
      <c r="M1544" s="730"/>
      <c r="N1544" s="730"/>
    </row>
    <row r="1545" spans="1:23" s="194" customFormat="1" ht="40.4" customHeight="1" x14ac:dyDescent="0.35">
      <c r="A1545" s="770" t="str">
        <f ca="1">INDIRECT("'update Helper'!C"&amp;U1545)</f>
        <v>a163p000004NtYqAAK</v>
      </c>
      <c r="B1545" s="766">
        <v>24</v>
      </c>
      <c r="C1545" s="760" t="str">
        <f>VLOOKUP(B1545,'Coverage Indicators - Section D'!$A$9:$AU$70,47,FALSE)</f>
        <v/>
      </c>
      <c r="D1545" s="768" t="str">
        <f>R1545</f>
        <v/>
      </c>
      <c r="E1545" s="768" t="str">
        <f>S1545</f>
        <v/>
      </c>
      <c r="F1545" s="413"/>
      <c r="G1545" s="762" t="str">
        <f ca="1">IF(OR(INDIRECT("'update Helper'!E"&amp;U1545)="",F1545&lt;&gt;0,F1546&lt;&gt;0),IF(IFERROR((F1545/F1546),"")="","",(F1545/F1546)),INDIRECT("'update Helper'!E"&amp;U1545)/100)</f>
        <v/>
      </c>
      <c r="H1545" s="743"/>
      <c r="I1545" s="764"/>
      <c r="J1545" s="729"/>
      <c r="K1545" s="760" t="str">
        <f>W1545</f>
        <v/>
      </c>
      <c r="L1545" s="760" t="str">
        <f>V1545</f>
        <v/>
      </c>
      <c r="M1545" s="729"/>
      <c r="N1545" s="729"/>
      <c r="P1545" s="194">
        <f>IF(AND(EXACT(C1545,C1543),C1543&lt;&gt;0),P1543+1,0)</f>
        <v>22</v>
      </c>
      <c r="Q1545" s="194" t="str">
        <f>IF(C1545&lt;&gt;"",C1545&amp;"-"&amp;P1545,"")</f>
        <v/>
      </c>
      <c r="R1545" s="194" t="str">
        <f t="array" ref="R1545">IFERROR(IF(INDEX('Disaggregation Records'!$E$155:$E$385,MATCH(RIGHT(Q1545,255),RIGHT('Disaggregation Records'!$D$155:$D$385,255),0))="","",INDEX('Disaggregation Records'!$E$155:$E$385,MATCH(RIGHT(Q1545,255),RIGHT('Disaggregation Records'!$D$155:$D$385,255),0))),"")</f>
        <v/>
      </c>
      <c r="S1545" s="194" t="str">
        <f t="array" ref="S1545">IFERROR(IF(INDEX('Disaggregation Records'!$F$155:$F$385,MATCH(RIGHT(Q1545,255),RIGHT('Disaggregation Records'!$D$155:$D$385,255),0))="","",INDEX('Disaggregation Records'!$F$155:$F$385,MATCH(RIGHT(Q1545,255),RIGHT('Disaggregation Records'!$D$155:$D$385,255),0))),"")</f>
        <v/>
      </c>
      <c r="T1545" s="194" t="str">
        <f t="array" ref="T1545">IFERROR(IF(INDEX('Disaggregation Records'!$H$155:$H$385,MATCH(RIGHT(Q1545,255),RIGHT('Disaggregation Records'!$D$155:$D$385,255),0))="","",INDEX('Disaggregation Records'!$H$155:$H$385,MATCH(RIGHT(Q1545,255),RIGHT('Disaggregation Records'!$D$155:$D$385,255),0))),"")</f>
        <v/>
      </c>
      <c r="U1545" s="194">
        <f>U1543+1</f>
        <v>2962</v>
      </c>
      <c r="V1545" s="194" t="str">
        <f t="array" ref="V1545">IFERROR(IF(INDEX('Disaggregation Records'!$I$155:$I$385,MATCH(RIGHT(Q1545,255),RIGHT('Disaggregation Records'!$D$155:$D$385,255),0))="","",INDEX('Disaggregation Records'!$I$155:$I$385,MATCH(RIGHT(Q1545,255),RIGHT('Disaggregation Records'!$D$155:$D$385,255),0))),"")</f>
        <v/>
      </c>
      <c r="W1545" s="194" t="str">
        <f>IFERROR(INDEX('Reference Records'!L$77:L$157,MATCH(LEFT(C1545,255),'Reference Records'!E$77:E$157,0)),"")</f>
        <v/>
      </c>
    </row>
    <row r="1546" spans="1:23" s="194" customFormat="1" ht="40.4" customHeight="1" x14ac:dyDescent="0.35">
      <c r="A1546" s="770"/>
      <c r="B1546" s="767"/>
      <c r="C1546" s="761"/>
      <c r="D1546" s="769"/>
      <c r="E1546" s="769"/>
      <c r="F1546" s="208"/>
      <c r="G1546" s="763"/>
      <c r="H1546" s="744"/>
      <c r="I1546" s="765"/>
      <c r="J1546" s="730"/>
      <c r="K1546" s="761"/>
      <c r="L1546" s="761"/>
      <c r="M1546" s="730"/>
      <c r="N1546" s="730"/>
    </row>
    <row r="1547" spans="1:23" s="194" customFormat="1" ht="40.4" customHeight="1" x14ac:dyDescent="0.35">
      <c r="A1547" s="770" t="str">
        <f ca="1">INDIRECT("'update Helper'!C"&amp;U1547)</f>
        <v>a163p000004NtYrAAK</v>
      </c>
      <c r="B1547" s="766">
        <v>24</v>
      </c>
      <c r="C1547" s="760" t="str">
        <f>VLOOKUP(B1547,'Coverage Indicators - Section D'!$A$9:$AU$70,47,FALSE)</f>
        <v/>
      </c>
      <c r="D1547" s="768" t="str">
        <f>R1547</f>
        <v/>
      </c>
      <c r="E1547" s="768" t="str">
        <f>S1547</f>
        <v/>
      </c>
      <c r="F1547" s="413"/>
      <c r="G1547" s="762" t="str">
        <f ca="1">IF(OR(INDIRECT("'update Helper'!E"&amp;U1547)="",F1547&lt;&gt;0,F1548&lt;&gt;0),IF(IFERROR((F1547/F1548),"")="","",(F1547/F1548)),INDIRECT("'update Helper'!E"&amp;U1547)/100)</f>
        <v/>
      </c>
      <c r="H1547" s="743"/>
      <c r="I1547" s="764"/>
      <c r="J1547" s="729"/>
      <c r="K1547" s="760" t="str">
        <f>W1547</f>
        <v/>
      </c>
      <c r="L1547" s="760" t="str">
        <f>V1547</f>
        <v/>
      </c>
      <c r="M1547" s="729"/>
      <c r="N1547" s="729"/>
      <c r="P1547" s="194">
        <f>IF(AND(EXACT(C1547,C1545),C1545&lt;&gt;0),P1545+1,0)</f>
        <v>23</v>
      </c>
      <c r="Q1547" s="194" t="str">
        <f>IF(C1547&lt;&gt;"",C1547&amp;"-"&amp;P1547,"")</f>
        <v/>
      </c>
      <c r="R1547" s="194" t="str">
        <f t="array" ref="R1547">IFERROR(IF(INDEX('Disaggregation Records'!$E$155:$E$385,MATCH(RIGHT(Q1547,255),RIGHT('Disaggregation Records'!$D$155:$D$385,255),0))="","",INDEX('Disaggregation Records'!$E$155:$E$385,MATCH(RIGHT(Q1547,255),RIGHT('Disaggregation Records'!$D$155:$D$385,255),0))),"")</f>
        <v/>
      </c>
      <c r="S1547" s="194" t="str">
        <f t="array" ref="S1547">IFERROR(IF(INDEX('Disaggregation Records'!$F$155:$F$385,MATCH(RIGHT(Q1547,255),RIGHT('Disaggregation Records'!$D$155:$D$385,255),0))="","",INDEX('Disaggregation Records'!$F$155:$F$385,MATCH(RIGHT(Q1547,255),RIGHT('Disaggregation Records'!$D$155:$D$385,255),0))),"")</f>
        <v/>
      </c>
      <c r="T1547" s="194" t="str">
        <f t="array" ref="T1547">IFERROR(IF(INDEX('Disaggregation Records'!$H$155:$H$385,MATCH(RIGHT(Q1547,255),RIGHT('Disaggregation Records'!$D$155:$D$385,255),0))="","",INDEX('Disaggregation Records'!$H$155:$H$385,MATCH(RIGHT(Q1547,255),RIGHT('Disaggregation Records'!$D$155:$D$385,255),0))),"")</f>
        <v/>
      </c>
      <c r="U1547" s="194">
        <f>U1545+1</f>
        <v>2963</v>
      </c>
      <c r="V1547" s="194" t="str">
        <f t="array" ref="V1547">IFERROR(IF(INDEX('Disaggregation Records'!$I$155:$I$385,MATCH(RIGHT(Q1547,255),RIGHT('Disaggregation Records'!$D$155:$D$385,255),0))="","",INDEX('Disaggregation Records'!$I$155:$I$385,MATCH(RIGHT(Q1547,255),RIGHT('Disaggregation Records'!$D$155:$D$385,255),0))),"")</f>
        <v/>
      </c>
      <c r="W1547" s="194" t="str">
        <f>IFERROR(INDEX('Reference Records'!L$77:L$157,MATCH(LEFT(C1547,255),'Reference Records'!E$77:E$157,0)),"")</f>
        <v/>
      </c>
    </row>
    <row r="1548" spans="1:23" s="194" customFormat="1" ht="40.4" customHeight="1" x14ac:dyDescent="0.35">
      <c r="A1548" s="770"/>
      <c r="B1548" s="767"/>
      <c r="C1548" s="761"/>
      <c r="D1548" s="769"/>
      <c r="E1548" s="769"/>
      <c r="F1548" s="208"/>
      <c r="G1548" s="763"/>
      <c r="H1548" s="744"/>
      <c r="I1548" s="765"/>
      <c r="J1548" s="730"/>
      <c r="K1548" s="761"/>
      <c r="L1548" s="761"/>
      <c r="M1548" s="730"/>
      <c r="N1548" s="730"/>
    </row>
    <row r="1549" spans="1:23" s="194" customFormat="1" ht="40.4" customHeight="1" x14ac:dyDescent="0.35">
      <c r="A1549" s="770" t="str">
        <f ca="1">INDIRECT("'update Helper'!C"&amp;U1549)</f>
        <v>a163p000004NtYsAAK</v>
      </c>
      <c r="B1549" s="766">
        <v>24</v>
      </c>
      <c r="C1549" s="760" t="str">
        <f>VLOOKUP(B1549,'Coverage Indicators - Section D'!$A$9:$AU$70,47,FALSE)</f>
        <v/>
      </c>
      <c r="D1549" s="768" t="str">
        <f>R1549</f>
        <v/>
      </c>
      <c r="E1549" s="768" t="str">
        <f>S1549</f>
        <v/>
      </c>
      <c r="F1549" s="413"/>
      <c r="G1549" s="762" t="str">
        <f ca="1">IF(OR(INDIRECT("'update Helper'!E"&amp;U1549)="",F1549&lt;&gt;0,F1550&lt;&gt;0),IF(IFERROR((F1549/F1550),"")="","",(F1549/F1550)),INDIRECT("'update Helper'!E"&amp;U1549)/100)</f>
        <v/>
      </c>
      <c r="H1549" s="743"/>
      <c r="I1549" s="764"/>
      <c r="J1549" s="729"/>
      <c r="K1549" s="760" t="str">
        <f>W1549</f>
        <v/>
      </c>
      <c r="L1549" s="760" t="str">
        <f>V1549</f>
        <v/>
      </c>
      <c r="M1549" s="729"/>
      <c r="N1549" s="729"/>
      <c r="P1549" s="194">
        <f>IF(AND(EXACT(C1549,C1547),C1547&lt;&gt;0),P1547+1,0)</f>
        <v>24</v>
      </c>
      <c r="Q1549" s="194" t="str">
        <f>IF(C1549&lt;&gt;"",C1549&amp;"-"&amp;P1549,"")</f>
        <v/>
      </c>
      <c r="R1549" s="194" t="str">
        <f t="array" ref="R1549">IFERROR(IF(INDEX('Disaggregation Records'!$E$155:$E$385,MATCH(RIGHT(Q1549,255),RIGHT('Disaggregation Records'!$D$155:$D$385,255),0))="","",INDEX('Disaggregation Records'!$E$155:$E$385,MATCH(RIGHT(Q1549,255),RIGHT('Disaggregation Records'!$D$155:$D$385,255),0))),"")</f>
        <v/>
      </c>
      <c r="S1549" s="194" t="str">
        <f t="array" ref="S1549">IFERROR(IF(INDEX('Disaggregation Records'!$F$155:$F$385,MATCH(RIGHT(Q1549,255),RIGHT('Disaggregation Records'!$D$155:$D$385,255),0))="","",INDEX('Disaggregation Records'!$F$155:$F$385,MATCH(RIGHT(Q1549,255),RIGHT('Disaggregation Records'!$D$155:$D$385,255),0))),"")</f>
        <v/>
      </c>
      <c r="T1549" s="194" t="str">
        <f t="array" ref="T1549">IFERROR(IF(INDEX('Disaggregation Records'!$H$155:$H$385,MATCH(RIGHT(Q1549,255),RIGHT('Disaggregation Records'!$D$155:$D$385,255),0))="","",INDEX('Disaggregation Records'!$H$155:$H$385,MATCH(RIGHT(Q1549,255),RIGHT('Disaggregation Records'!$D$155:$D$385,255),0))),"")</f>
        <v/>
      </c>
      <c r="U1549" s="194">
        <f>U1547+1</f>
        <v>2964</v>
      </c>
      <c r="V1549" s="194" t="str">
        <f t="array" ref="V1549">IFERROR(IF(INDEX('Disaggregation Records'!$I$155:$I$385,MATCH(RIGHT(Q1549,255),RIGHT('Disaggregation Records'!$D$155:$D$385,255),0))="","",INDEX('Disaggregation Records'!$I$155:$I$385,MATCH(RIGHT(Q1549,255),RIGHT('Disaggregation Records'!$D$155:$D$385,255),0))),"")</f>
        <v/>
      </c>
      <c r="W1549" s="194" t="str">
        <f>IFERROR(INDEX('Reference Records'!L$77:L$157,MATCH(LEFT(C1549,255),'Reference Records'!E$77:E$157,0)),"")</f>
        <v/>
      </c>
    </row>
    <row r="1550" spans="1:23" s="194" customFormat="1" ht="40.4" customHeight="1" x14ac:dyDescent="0.35">
      <c r="A1550" s="770"/>
      <c r="B1550" s="767"/>
      <c r="C1550" s="761"/>
      <c r="D1550" s="769"/>
      <c r="E1550" s="769"/>
      <c r="F1550" s="208"/>
      <c r="G1550" s="763"/>
      <c r="H1550" s="744"/>
      <c r="I1550" s="765"/>
      <c r="J1550" s="730"/>
      <c r="K1550" s="761"/>
      <c r="L1550" s="761"/>
      <c r="M1550" s="730"/>
      <c r="N1550" s="730"/>
    </row>
    <row r="1551" spans="1:23" s="194" customFormat="1" ht="40.4" customHeight="1" x14ac:dyDescent="0.35">
      <c r="A1551" s="770" t="str">
        <f ca="1">INDIRECT("'update Helper'!C"&amp;U1551)</f>
        <v>a163p000004NtYtAAK</v>
      </c>
      <c r="B1551" s="766">
        <v>24</v>
      </c>
      <c r="C1551" s="760" t="str">
        <f>VLOOKUP(B1551,'Coverage Indicators - Section D'!$A$9:$AU$70,47,FALSE)</f>
        <v/>
      </c>
      <c r="D1551" s="768" t="str">
        <f>R1551</f>
        <v/>
      </c>
      <c r="E1551" s="768" t="str">
        <f>S1551</f>
        <v/>
      </c>
      <c r="F1551" s="413"/>
      <c r="G1551" s="762" t="str">
        <f ca="1">IF(OR(INDIRECT("'update Helper'!E"&amp;U1551)="",F1551&lt;&gt;0,F1552&lt;&gt;0),IF(IFERROR((F1551/F1552),"")="","",(F1551/F1552)),INDIRECT("'update Helper'!E"&amp;U1551)/100)</f>
        <v/>
      </c>
      <c r="H1551" s="743"/>
      <c r="I1551" s="764"/>
      <c r="J1551" s="729"/>
      <c r="K1551" s="760" t="str">
        <f>W1551</f>
        <v/>
      </c>
      <c r="L1551" s="760" t="str">
        <f>V1551</f>
        <v/>
      </c>
      <c r="M1551" s="729"/>
      <c r="N1551" s="729"/>
      <c r="P1551" s="194">
        <f>IF(AND(EXACT(C1551,C1549),C1549&lt;&gt;0),P1549+1,0)</f>
        <v>25</v>
      </c>
      <c r="Q1551" s="194" t="str">
        <f>IF(C1551&lt;&gt;"",C1551&amp;"-"&amp;P1551,"")</f>
        <v/>
      </c>
      <c r="R1551" s="194" t="str">
        <f t="array" ref="R1551">IFERROR(IF(INDEX('Disaggregation Records'!$E$155:$E$385,MATCH(RIGHT(Q1551,255),RIGHT('Disaggregation Records'!$D$155:$D$385,255),0))="","",INDEX('Disaggregation Records'!$E$155:$E$385,MATCH(RIGHT(Q1551,255),RIGHT('Disaggregation Records'!$D$155:$D$385,255),0))),"")</f>
        <v/>
      </c>
      <c r="S1551" s="194" t="str">
        <f t="array" ref="S1551">IFERROR(IF(INDEX('Disaggregation Records'!$F$155:$F$385,MATCH(RIGHT(Q1551,255),RIGHT('Disaggregation Records'!$D$155:$D$385,255),0))="","",INDEX('Disaggregation Records'!$F$155:$F$385,MATCH(RIGHT(Q1551,255),RIGHT('Disaggregation Records'!$D$155:$D$385,255),0))),"")</f>
        <v/>
      </c>
      <c r="T1551" s="194" t="str">
        <f t="array" ref="T1551">IFERROR(IF(INDEX('Disaggregation Records'!$H$155:$H$385,MATCH(RIGHT(Q1551,255),RIGHT('Disaggregation Records'!$D$155:$D$385,255),0))="","",INDEX('Disaggregation Records'!$H$155:$H$385,MATCH(RIGHT(Q1551,255),RIGHT('Disaggregation Records'!$D$155:$D$385,255),0))),"")</f>
        <v/>
      </c>
      <c r="U1551" s="194">
        <f>U1549+1</f>
        <v>2965</v>
      </c>
      <c r="V1551" s="194" t="str">
        <f t="array" ref="V1551">IFERROR(IF(INDEX('Disaggregation Records'!$I$155:$I$385,MATCH(RIGHT(Q1551,255),RIGHT('Disaggregation Records'!$D$155:$D$385,255),0))="","",INDEX('Disaggregation Records'!$I$155:$I$385,MATCH(RIGHT(Q1551,255),RIGHT('Disaggregation Records'!$D$155:$D$385,255),0))),"")</f>
        <v/>
      </c>
      <c r="W1551" s="194" t="str">
        <f>IFERROR(INDEX('Reference Records'!L$77:L$157,MATCH(LEFT(C1551,255),'Reference Records'!E$77:E$157,0)),"")</f>
        <v/>
      </c>
    </row>
    <row r="1552" spans="1:23" s="194" customFormat="1" ht="40.4" customHeight="1" x14ac:dyDescent="0.35">
      <c r="A1552" s="770"/>
      <c r="B1552" s="767"/>
      <c r="C1552" s="761"/>
      <c r="D1552" s="769"/>
      <c r="E1552" s="769"/>
      <c r="F1552" s="208"/>
      <c r="G1552" s="763"/>
      <c r="H1552" s="744"/>
      <c r="I1552" s="765"/>
      <c r="J1552" s="730"/>
      <c r="K1552" s="761"/>
      <c r="L1552" s="761"/>
      <c r="M1552" s="730"/>
      <c r="N1552" s="730"/>
    </row>
    <row r="1553" spans="1:23" s="194" customFormat="1" ht="40.4" customHeight="1" x14ac:dyDescent="0.35">
      <c r="A1553" s="770" t="str">
        <f ca="1">INDIRECT("'update Helper'!C"&amp;U1553)</f>
        <v>a163p000004NtYuAAK</v>
      </c>
      <c r="B1553" s="766">
        <v>24</v>
      </c>
      <c r="C1553" s="760" t="str">
        <f>VLOOKUP(B1553,'Coverage Indicators - Section D'!$A$9:$AU$70,47,FALSE)</f>
        <v/>
      </c>
      <c r="D1553" s="768" t="str">
        <f>R1553</f>
        <v/>
      </c>
      <c r="E1553" s="768" t="str">
        <f>S1553</f>
        <v/>
      </c>
      <c r="F1553" s="413"/>
      <c r="G1553" s="762" t="str">
        <f ca="1">IF(OR(INDIRECT("'update Helper'!E"&amp;U1553)="",F1553&lt;&gt;0,F1554&lt;&gt;0),IF(IFERROR((F1553/F1554),"")="","",(F1553/F1554)),INDIRECT("'update Helper'!E"&amp;U1553)/100)</f>
        <v/>
      </c>
      <c r="H1553" s="743"/>
      <c r="I1553" s="764"/>
      <c r="J1553" s="729"/>
      <c r="K1553" s="760" t="str">
        <f>W1553</f>
        <v/>
      </c>
      <c r="L1553" s="760" t="str">
        <f>V1553</f>
        <v/>
      </c>
      <c r="M1553" s="729"/>
      <c r="N1553" s="729"/>
      <c r="P1553" s="194">
        <f>IF(AND(EXACT(C1553,C1551),C1551&lt;&gt;0),P1551+1,0)</f>
        <v>26</v>
      </c>
      <c r="Q1553" s="194" t="str">
        <f>IF(C1553&lt;&gt;"",C1553&amp;"-"&amp;P1553,"")</f>
        <v/>
      </c>
      <c r="R1553" s="194" t="str">
        <f t="array" ref="R1553">IFERROR(IF(INDEX('Disaggregation Records'!$E$155:$E$385,MATCH(RIGHT(Q1553,255),RIGHT('Disaggregation Records'!$D$155:$D$385,255),0))="","",INDEX('Disaggregation Records'!$E$155:$E$385,MATCH(RIGHT(Q1553,255),RIGHT('Disaggregation Records'!$D$155:$D$385,255),0))),"")</f>
        <v/>
      </c>
      <c r="S1553" s="194" t="str">
        <f t="array" ref="S1553">IFERROR(IF(INDEX('Disaggregation Records'!$F$155:$F$385,MATCH(RIGHT(Q1553,255),RIGHT('Disaggregation Records'!$D$155:$D$385,255),0))="","",INDEX('Disaggregation Records'!$F$155:$F$385,MATCH(RIGHT(Q1553,255),RIGHT('Disaggregation Records'!$D$155:$D$385,255),0))),"")</f>
        <v/>
      </c>
      <c r="T1553" s="194" t="str">
        <f t="array" ref="T1553">IFERROR(IF(INDEX('Disaggregation Records'!$H$155:$H$385,MATCH(RIGHT(Q1553,255),RIGHT('Disaggregation Records'!$D$155:$D$385,255),0))="","",INDEX('Disaggregation Records'!$H$155:$H$385,MATCH(RIGHT(Q1553,255),RIGHT('Disaggregation Records'!$D$155:$D$385,255),0))),"")</f>
        <v/>
      </c>
      <c r="U1553" s="194">
        <f>U1551+1</f>
        <v>2966</v>
      </c>
      <c r="V1553" s="194" t="str">
        <f t="array" ref="V1553">IFERROR(IF(INDEX('Disaggregation Records'!$I$155:$I$385,MATCH(RIGHT(Q1553,255),RIGHT('Disaggregation Records'!$D$155:$D$385,255),0))="","",INDEX('Disaggregation Records'!$I$155:$I$385,MATCH(RIGHT(Q1553,255),RIGHT('Disaggregation Records'!$D$155:$D$385,255),0))),"")</f>
        <v/>
      </c>
      <c r="W1553" s="194" t="str">
        <f>IFERROR(INDEX('Reference Records'!L$77:L$157,MATCH(LEFT(C1553,255),'Reference Records'!E$77:E$157,0)),"")</f>
        <v/>
      </c>
    </row>
    <row r="1554" spans="1:23" s="194" customFormat="1" ht="40.4" customHeight="1" x14ac:dyDescent="0.35">
      <c r="A1554" s="770"/>
      <c r="B1554" s="767"/>
      <c r="C1554" s="761"/>
      <c r="D1554" s="769"/>
      <c r="E1554" s="769"/>
      <c r="F1554" s="208"/>
      <c r="G1554" s="763"/>
      <c r="H1554" s="744"/>
      <c r="I1554" s="765"/>
      <c r="J1554" s="730"/>
      <c r="K1554" s="761"/>
      <c r="L1554" s="761"/>
      <c r="M1554" s="730"/>
      <c r="N1554" s="730"/>
    </row>
    <row r="1555" spans="1:23" s="194" customFormat="1" ht="40.4" customHeight="1" x14ac:dyDescent="0.35">
      <c r="A1555" s="770" t="str">
        <f ca="1">INDIRECT("'update Helper'!C"&amp;U1555)</f>
        <v>a163p000004NtYvAAK</v>
      </c>
      <c r="B1555" s="766">
        <v>24</v>
      </c>
      <c r="C1555" s="760" t="str">
        <f>VLOOKUP(B1555,'Coverage Indicators - Section D'!$A$9:$AU$70,47,FALSE)</f>
        <v/>
      </c>
      <c r="D1555" s="768" t="str">
        <f>R1555</f>
        <v/>
      </c>
      <c r="E1555" s="768" t="str">
        <f>S1555</f>
        <v/>
      </c>
      <c r="F1555" s="413"/>
      <c r="G1555" s="762" t="str">
        <f ca="1">IF(OR(INDIRECT("'update Helper'!E"&amp;U1555)="",F1555&lt;&gt;0,F1556&lt;&gt;0),IF(IFERROR((F1555/F1556),"")="","",(F1555/F1556)),INDIRECT("'update Helper'!E"&amp;U1555)/100)</f>
        <v/>
      </c>
      <c r="H1555" s="743"/>
      <c r="I1555" s="764"/>
      <c r="J1555" s="729"/>
      <c r="K1555" s="760" t="str">
        <f>W1555</f>
        <v/>
      </c>
      <c r="L1555" s="760" t="str">
        <f>V1555</f>
        <v/>
      </c>
      <c r="M1555" s="729"/>
      <c r="N1555" s="729"/>
      <c r="P1555" s="194">
        <f>IF(AND(EXACT(C1555,C1553),C1553&lt;&gt;0),P1553+1,0)</f>
        <v>27</v>
      </c>
      <c r="Q1555" s="194" t="str">
        <f>IF(C1555&lt;&gt;"",C1555&amp;"-"&amp;P1555,"")</f>
        <v/>
      </c>
      <c r="R1555" s="194" t="str">
        <f t="array" ref="R1555">IFERROR(IF(INDEX('Disaggregation Records'!$E$155:$E$385,MATCH(RIGHT(Q1555,255),RIGHT('Disaggregation Records'!$D$155:$D$385,255),0))="","",INDEX('Disaggregation Records'!$E$155:$E$385,MATCH(RIGHT(Q1555,255),RIGHT('Disaggregation Records'!$D$155:$D$385,255),0))),"")</f>
        <v/>
      </c>
      <c r="S1555" s="194" t="str">
        <f t="array" ref="S1555">IFERROR(IF(INDEX('Disaggregation Records'!$F$155:$F$385,MATCH(RIGHT(Q1555,255),RIGHT('Disaggregation Records'!$D$155:$D$385,255),0))="","",INDEX('Disaggregation Records'!$F$155:$F$385,MATCH(RIGHT(Q1555,255),RIGHT('Disaggregation Records'!$D$155:$D$385,255),0))),"")</f>
        <v/>
      </c>
      <c r="T1555" s="194" t="str">
        <f t="array" ref="T1555">IFERROR(IF(INDEX('Disaggregation Records'!$H$155:$H$385,MATCH(RIGHT(Q1555,255),RIGHT('Disaggregation Records'!$D$155:$D$385,255),0))="","",INDEX('Disaggregation Records'!$H$155:$H$385,MATCH(RIGHT(Q1555,255),RIGHT('Disaggregation Records'!$D$155:$D$385,255),0))),"")</f>
        <v/>
      </c>
      <c r="U1555" s="194">
        <f>U1553+1</f>
        <v>2967</v>
      </c>
      <c r="V1555" s="194" t="str">
        <f t="array" ref="V1555">IFERROR(IF(INDEX('Disaggregation Records'!$I$155:$I$385,MATCH(RIGHT(Q1555,255),RIGHT('Disaggregation Records'!$D$155:$D$385,255),0))="","",INDEX('Disaggregation Records'!$I$155:$I$385,MATCH(RIGHT(Q1555,255),RIGHT('Disaggregation Records'!$D$155:$D$385,255),0))),"")</f>
        <v/>
      </c>
      <c r="W1555" s="194" t="str">
        <f>IFERROR(INDEX('Reference Records'!L$77:L$157,MATCH(LEFT(C1555,255),'Reference Records'!E$77:E$157,0)),"")</f>
        <v/>
      </c>
    </row>
    <row r="1556" spans="1:23" s="194" customFormat="1" ht="40.4" customHeight="1" x14ac:dyDescent="0.35">
      <c r="A1556" s="770"/>
      <c r="B1556" s="767"/>
      <c r="C1556" s="761"/>
      <c r="D1556" s="769"/>
      <c r="E1556" s="769"/>
      <c r="F1556" s="208"/>
      <c r="G1556" s="763"/>
      <c r="H1556" s="744"/>
      <c r="I1556" s="765"/>
      <c r="J1556" s="730"/>
      <c r="K1556" s="761"/>
      <c r="L1556" s="761"/>
      <c r="M1556" s="730"/>
      <c r="N1556" s="730"/>
    </row>
    <row r="1557" spans="1:23" s="194" customFormat="1" ht="40.4" customHeight="1" x14ac:dyDescent="0.35">
      <c r="A1557" s="770" t="str">
        <f ca="1">INDIRECT("'update Helper'!C"&amp;U1557)</f>
        <v>a163p000004NtYwAAK</v>
      </c>
      <c r="B1557" s="766">
        <v>24</v>
      </c>
      <c r="C1557" s="760" t="str">
        <f>VLOOKUP(B1557,'Coverage Indicators - Section D'!$A$9:$AU$70,47,FALSE)</f>
        <v/>
      </c>
      <c r="D1557" s="768" t="str">
        <f>R1557</f>
        <v/>
      </c>
      <c r="E1557" s="768" t="str">
        <f>S1557</f>
        <v/>
      </c>
      <c r="F1557" s="413"/>
      <c r="G1557" s="762" t="str">
        <f ca="1">IF(OR(INDIRECT("'update Helper'!E"&amp;U1557)="",F1557&lt;&gt;0,F1558&lt;&gt;0),IF(IFERROR((F1557/F1558),"")="","",(F1557/F1558)),INDIRECT("'update Helper'!E"&amp;U1557)/100)</f>
        <v/>
      </c>
      <c r="H1557" s="743"/>
      <c r="I1557" s="764"/>
      <c r="J1557" s="729"/>
      <c r="K1557" s="760" t="str">
        <f>W1557</f>
        <v/>
      </c>
      <c r="L1557" s="760" t="str">
        <f>V1557</f>
        <v/>
      </c>
      <c r="M1557" s="729"/>
      <c r="N1557" s="729"/>
      <c r="P1557" s="194">
        <f>IF(AND(EXACT(C1557,C1555),C1555&lt;&gt;0),P1555+1,0)</f>
        <v>28</v>
      </c>
      <c r="Q1557" s="194" t="str">
        <f>IF(C1557&lt;&gt;"",C1557&amp;"-"&amp;P1557,"")</f>
        <v/>
      </c>
      <c r="R1557" s="194" t="str">
        <f t="array" ref="R1557">IFERROR(IF(INDEX('Disaggregation Records'!$E$155:$E$385,MATCH(RIGHT(Q1557,255),RIGHT('Disaggregation Records'!$D$155:$D$385,255),0))="","",INDEX('Disaggregation Records'!$E$155:$E$385,MATCH(RIGHT(Q1557,255),RIGHT('Disaggregation Records'!$D$155:$D$385,255),0))),"")</f>
        <v/>
      </c>
      <c r="S1557" s="194" t="str">
        <f t="array" ref="S1557">IFERROR(IF(INDEX('Disaggregation Records'!$F$155:$F$385,MATCH(RIGHT(Q1557,255),RIGHT('Disaggregation Records'!$D$155:$D$385,255),0))="","",INDEX('Disaggregation Records'!$F$155:$F$385,MATCH(RIGHT(Q1557,255),RIGHT('Disaggregation Records'!$D$155:$D$385,255),0))),"")</f>
        <v/>
      </c>
      <c r="T1557" s="194" t="str">
        <f t="array" ref="T1557">IFERROR(IF(INDEX('Disaggregation Records'!$H$155:$H$385,MATCH(RIGHT(Q1557,255),RIGHT('Disaggregation Records'!$D$155:$D$385,255),0))="","",INDEX('Disaggregation Records'!$H$155:$H$385,MATCH(RIGHT(Q1557,255),RIGHT('Disaggregation Records'!$D$155:$D$385,255),0))),"")</f>
        <v/>
      </c>
      <c r="U1557" s="194">
        <f>U1555+1</f>
        <v>2968</v>
      </c>
      <c r="V1557" s="194" t="str">
        <f t="array" ref="V1557">IFERROR(IF(INDEX('Disaggregation Records'!$I$155:$I$385,MATCH(RIGHT(Q1557,255),RIGHT('Disaggregation Records'!$D$155:$D$385,255),0))="","",INDEX('Disaggregation Records'!$I$155:$I$385,MATCH(RIGHT(Q1557,255),RIGHT('Disaggregation Records'!$D$155:$D$385,255),0))),"")</f>
        <v/>
      </c>
      <c r="W1557" s="194" t="str">
        <f>IFERROR(INDEX('Reference Records'!L$77:L$157,MATCH(LEFT(C1557,255),'Reference Records'!E$77:E$157,0)),"")</f>
        <v/>
      </c>
    </row>
    <row r="1558" spans="1:23" s="194" customFormat="1" ht="40.4" customHeight="1" x14ac:dyDescent="0.35">
      <c r="A1558" s="770"/>
      <c r="B1558" s="767"/>
      <c r="C1558" s="761"/>
      <c r="D1558" s="769"/>
      <c r="E1558" s="769"/>
      <c r="F1558" s="208"/>
      <c r="G1558" s="763"/>
      <c r="H1558" s="744"/>
      <c r="I1558" s="765"/>
      <c r="J1558" s="730"/>
      <c r="K1558" s="761"/>
      <c r="L1558" s="761"/>
      <c r="M1558" s="730"/>
      <c r="N1558" s="730"/>
    </row>
    <row r="1559" spans="1:23" s="194" customFormat="1" ht="40.4" customHeight="1" x14ac:dyDescent="0.35">
      <c r="A1559" s="770" t="str">
        <f ca="1">INDIRECT("'update Helper'!C"&amp;U1559)</f>
        <v>a163p000004NtYxAAK</v>
      </c>
      <c r="B1559" s="766">
        <v>24</v>
      </c>
      <c r="C1559" s="760" t="str">
        <f>VLOOKUP(B1559,'Coverage Indicators - Section D'!$A$9:$AU$70,47,FALSE)</f>
        <v/>
      </c>
      <c r="D1559" s="768" t="str">
        <f>R1559</f>
        <v/>
      </c>
      <c r="E1559" s="768" t="str">
        <f>S1559</f>
        <v/>
      </c>
      <c r="F1559" s="413"/>
      <c r="G1559" s="762" t="str">
        <f ca="1">IF(OR(INDIRECT("'update Helper'!E"&amp;U1559)="",F1559&lt;&gt;0,F1560&lt;&gt;0),IF(IFERROR((F1559/F1560),"")="","",(F1559/F1560)),INDIRECT("'update Helper'!E"&amp;U1559)/100)</f>
        <v/>
      </c>
      <c r="H1559" s="743"/>
      <c r="I1559" s="764"/>
      <c r="J1559" s="729"/>
      <c r="K1559" s="760" t="str">
        <f>W1559</f>
        <v/>
      </c>
      <c r="L1559" s="760" t="str">
        <f>V1559</f>
        <v/>
      </c>
      <c r="M1559" s="729"/>
      <c r="N1559" s="729"/>
      <c r="P1559" s="194">
        <f>IF(AND(EXACT(C1559,C1557),C1557&lt;&gt;0),P1557+1,0)</f>
        <v>29</v>
      </c>
      <c r="Q1559" s="194" t="str">
        <f>IF(C1559&lt;&gt;"",C1559&amp;"-"&amp;P1559,"")</f>
        <v/>
      </c>
      <c r="R1559" s="194" t="str">
        <f t="array" ref="R1559">IFERROR(IF(INDEX('Disaggregation Records'!$E$155:$E$385,MATCH(RIGHT(Q1559,255),RIGHT('Disaggregation Records'!$D$155:$D$385,255),0))="","",INDEX('Disaggregation Records'!$E$155:$E$385,MATCH(RIGHT(Q1559,255),RIGHT('Disaggregation Records'!$D$155:$D$385,255),0))),"")</f>
        <v/>
      </c>
      <c r="S1559" s="194" t="str">
        <f t="array" ref="S1559">IFERROR(IF(INDEX('Disaggregation Records'!$F$155:$F$385,MATCH(RIGHT(Q1559,255),RIGHT('Disaggregation Records'!$D$155:$D$385,255),0))="","",INDEX('Disaggregation Records'!$F$155:$F$385,MATCH(RIGHT(Q1559,255),RIGHT('Disaggregation Records'!$D$155:$D$385,255),0))),"")</f>
        <v/>
      </c>
      <c r="T1559" s="194" t="str">
        <f t="array" ref="T1559">IFERROR(IF(INDEX('Disaggregation Records'!$H$155:$H$385,MATCH(RIGHT(Q1559,255),RIGHT('Disaggregation Records'!$D$155:$D$385,255),0))="","",INDEX('Disaggregation Records'!$H$155:$H$385,MATCH(RIGHT(Q1559,255),RIGHT('Disaggregation Records'!$D$155:$D$385,255),0))),"")</f>
        <v/>
      </c>
      <c r="U1559" s="194">
        <f>U1557+1</f>
        <v>2969</v>
      </c>
      <c r="V1559" s="194" t="str">
        <f t="array" ref="V1559">IFERROR(IF(INDEX('Disaggregation Records'!$I$155:$I$385,MATCH(RIGHT(Q1559,255),RIGHT('Disaggregation Records'!$D$155:$D$385,255),0))="","",INDEX('Disaggregation Records'!$I$155:$I$385,MATCH(RIGHT(Q1559,255),RIGHT('Disaggregation Records'!$D$155:$D$385,255),0))),"")</f>
        <v/>
      </c>
      <c r="W1559" s="194" t="str">
        <f>IFERROR(INDEX('Reference Records'!L$77:L$157,MATCH(LEFT(C1559,255),'Reference Records'!E$77:E$157,0)),"")</f>
        <v/>
      </c>
    </row>
    <row r="1560" spans="1:23" s="194" customFormat="1" ht="40.4" customHeight="1" x14ac:dyDescent="0.35">
      <c r="A1560" s="770"/>
      <c r="B1560" s="767"/>
      <c r="C1560" s="761"/>
      <c r="D1560" s="769"/>
      <c r="E1560" s="769"/>
      <c r="F1560" s="208"/>
      <c r="G1560" s="763"/>
      <c r="H1560" s="744"/>
      <c r="I1560" s="765"/>
      <c r="J1560" s="730"/>
      <c r="K1560" s="761"/>
      <c r="L1560" s="761"/>
      <c r="M1560" s="730"/>
      <c r="N1560" s="730"/>
    </row>
    <row r="1561" spans="1:23" s="194" customFormat="1" ht="40.4" customHeight="1" x14ac:dyDescent="0.35">
      <c r="A1561" s="770" t="str">
        <f ca="1">INDIRECT("'update Helper'!C"&amp;U1561)</f>
        <v>a163p000004NtYyAAK</v>
      </c>
      <c r="B1561" s="766">
        <v>24</v>
      </c>
      <c r="C1561" s="760" t="str">
        <f>VLOOKUP(B1561,'Coverage Indicators - Section D'!$A$9:$AU$70,47,FALSE)</f>
        <v/>
      </c>
      <c r="D1561" s="768" t="str">
        <f>R1561</f>
        <v/>
      </c>
      <c r="E1561" s="768" t="str">
        <f>S1561</f>
        <v/>
      </c>
      <c r="F1561" s="413"/>
      <c r="G1561" s="762" t="str">
        <f ca="1">IF(OR(INDIRECT("'update Helper'!E"&amp;U1561)="",F1561&lt;&gt;0,F1562&lt;&gt;0),IF(IFERROR((F1561/F1562),"")="","",(F1561/F1562)),INDIRECT("'update Helper'!E"&amp;U1561)/100)</f>
        <v/>
      </c>
      <c r="H1561" s="743"/>
      <c r="I1561" s="764"/>
      <c r="J1561" s="729"/>
      <c r="K1561" s="760" t="str">
        <f>W1561</f>
        <v/>
      </c>
      <c r="L1561" s="760" t="str">
        <f>V1561</f>
        <v/>
      </c>
      <c r="M1561" s="729"/>
      <c r="N1561" s="729"/>
      <c r="P1561" s="194">
        <f>IF(AND(EXACT(C1561,C1559),C1559&lt;&gt;0),P1559+1,0)</f>
        <v>30</v>
      </c>
      <c r="Q1561" s="194" t="str">
        <f>IF(C1561&lt;&gt;"",C1561&amp;"-"&amp;P1561,"")</f>
        <v/>
      </c>
      <c r="R1561" s="194" t="str">
        <f t="array" ref="R1561">IFERROR(IF(INDEX('Disaggregation Records'!$E$155:$E$385,MATCH(RIGHT(Q1561,255),RIGHT('Disaggregation Records'!$D$155:$D$385,255),0))="","",INDEX('Disaggregation Records'!$E$155:$E$385,MATCH(RIGHT(Q1561,255),RIGHT('Disaggregation Records'!$D$155:$D$385,255),0))),"")</f>
        <v/>
      </c>
      <c r="S1561" s="194" t="str">
        <f t="array" ref="S1561">IFERROR(IF(INDEX('Disaggregation Records'!$F$155:$F$385,MATCH(RIGHT(Q1561,255),RIGHT('Disaggregation Records'!$D$155:$D$385,255),0))="","",INDEX('Disaggregation Records'!$F$155:$F$385,MATCH(RIGHT(Q1561,255),RIGHT('Disaggregation Records'!$D$155:$D$385,255),0))),"")</f>
        <v/>
      </c>
      <c r="T1561" s="194" t="str">
        <f t="array" ref="T1561">IFERROR(IF(INDEX('Disaggregation Records'!$H$155:$H$385,MATCH(RIGHT(Q1561,255),RIGHT('Disaggregation Records'!$D$155:$D$385,255),0))="","",INDEX('Disaggregation Records'!$H$155:$H$385,MATCH(RIGHT(Q1561,255),RIGHT('Disaggregation Records'!$D$155:$D$385,255),0))),"")</f>
        <v/>
      </c>
      <c r="U1561" s="194">
        <f>U1559+1</f>
        <v>2970</v>
      </c>
      <c r="V1561" s="194" t="str">
        <f t="array" ref="V1561">IFERROR(IF(INDEX('Disaggregation Records'!$I$155:$I$385,MATCH(RIGHT(Q1561,255),RIGHT('Disaggregation Records'!$D$155:$D$385,255),0))="","",INDEX('Disaggregation Records'!$I$155:$I$385,MATCH(RIGHT(Q1561,255),RIGHT('Disaggregation Records'!$D$155:$D$385,255),0))),"")</f>
        <v/>
      </c>
      <c r="W1561" s="194" t="str">
        <f>IFERROR(INDEX('Reference Records'!L$77:L$157,MATCH(LEFT(C1561,255),'Reference Records'!E$77:E$157,0)),"")</f>
        <v/>
      </c>
    </row>
    <row r="1562" spans="1:23" s="194" customFormat="1" ht="40.4" customHeight="1" x14ac:dyDescent="0.35">
      <c r="A1562" s="770"/>
      <c r="B1562" s="767"/>
      <c r="C1562" s="761"/>
      <c r="D1562" s="769"/>
      <c r="E1562" s="769"/>
      <c r="F1562" s="208"/>
      <c r="G1562" s="763"/>
      <c r="H1562" s="744"/>
      <c r="I1562" s="765"/>
      <c r="J1562" s="730"/>
      <c r="K1562" s="761"/>
      <c r="L1562" s="761"/>
      <c r="M1562" s="730"/>
      <c r="N1562" s="730"/>
    </row>
    <row r="1563" spans="1:23" s="194" customFormat="1" ht="40.4" customHeight="1" x14ac:dyDescent="0.35">
      <c r="A1563" s="770" t="str">
        <f ca="1">INDIRECT("'update Helper'!C"&amp;U1563)</f>
        <v>a163p000004NtYzAAK</v>
      </c>
      <c r="B1563" s="766">
        <v>24</v>
      </c>
      <c r="C1563" s="760" t="str">
        <f>VLOOKUP(B1563,'Coverage Indicators - Section D'!$A$9:$AU$70,47,FALSE)</f>
        <v/>
      </c>
      <c r="D1563" s="768" t="str">
        <f>R1563</f>
        <v/>
      </c>
      <c r="E1563" s="768" t="str">
        <f>S1563</f>
        <v/>
      </c>
      <c r="F1563" s="413"/>
      <c r="G1563" s="762" t="str">
        <f ca="1">IF(OR(INDIRECT("'update Helper'!E"&amp;U1563)="",F1563&lt;&gt;0,F1564&lt;&gt;0),IF(IFERROR((F1563/F1564),"")="","",(F1563/F1564)),INDIRECT("'update Helper'!E"&amp;U1563)/100)</f>
        <v/>
      </c>
      <c r="H1563" s="743"/>
      <c r="I1563" s="764"/>
      <c r="J1563" s="729"/>
      <c r="K1563" s="760" t="str">
        <f>W1563</f>
        <v/>
      </c>
      <c r="L1563" s="760" t="str">
        <f>V1563</f>
        <v/>
      </c>
      <c r="M1563" s="729"/>
      <c r="N1563" s="729"/>
      <c r="P1563" s="194">
        <f>IF(AND(EXACT(C1563,C1561),C1561&lt;&gt;0),P1561+1,0)</f>
        <v>31</v>
      </c>
      <c r="Q1563" s="194" t="str">
        <f>IF(C1563&lt;&gt;"",C1563&amp;"-"&amp;P1563,"")</f>
        <v/>
      </c>
      <c r="R1563" s="194" t="str">
        <f t="array" ref="R1563">IFERROR(IF(INDEX('Disaggregation Records'!$E$155:$E$385,MATCH(RIGHT(Q1563,255),RIGHT('Disaggregation Records'!$D$155:$D$385,255),0))="","",INDEX('Disaggregation Records'!$E$155:$E$385,MATCH(RIGHT(Q1563,255),RIGHT('Disaggregation Records'!$D$155:$D$385,255),0))),"")</f>
        <v/>
      </c>
      <c r="S1563" s="194" t="str">
        <f t="array" ref="S1563">IFERROR(IF(INDEX('Disaggregation Records'!$F$155:$F$385,MATCH(RIGHT(Q1563,255),RIGHT('Disaggregation Records'!$D$155:$D$385,255),0))="","",INDEX('Disaggregation Records'!$F$155:$F$385,MATCH(RIGHT(Q1563,255),RIGHT('Disaggregation Records'!$D$155:$D$385,255),0))),"")</f>
        <v/>
      </c>
      <c r="T1563" s="194" t="str">
        <f t="array" ref="T1563">IFERROR(IF(INDEX('Disaggregation Records'!$H$155:$H$385,MATCH(RIGHT(Q1563,255),RIGHT('Disaggregation Records'!$D$155:$D$385,255),0))="","",INDEX('Disaggregation Records'!$H$155:$H$385,MATCH(RIGHT(Q1563,255),RIGHT('Disaggregation Records'!$D$155:$D$385,255),0))),"")</f>
        <v/>
      </c>
      <c r="U1563" s="194">
        <f>U1561+1</f>
        <v>2971</v>
      </c>
      <c r="V1563" s="194" t="str">
        <f t="array" ref="V1563">IFERROR(IF(INDEX('Disaggregation Records'!$I$155:$I$385,MATCH(RIGHT(Q1563,255),RIGHT('Disaggregation Records'!$D$155:$D$385,255),0))="","",INDEX('Disaggregation Records'!$I$155:$I$385,MATCH(RIGHT(Q1563,255),RIGHT('Disaggregation Records'!$D$155:$D$385,255),0))),"")</f>
        <v/>
      </c>
      <c r="W1563" s="194" t="str">
        <f>IFERROR(INDEX('Reference Records'!L$77:L$157,MATCH(LEFT(C1563,255),'Reference Records'!E$77:E$157,0)),"")</f>
        <v/>
      </c>
    </row>
    <row r="1564" spans="1:23" s="194" customFormat="1" ht="40.4" customHeight="1" x14ac:dyDescent="0.35">
      <c r="A1564" s="770"/>
      <c r="B1564" s="767"/>
      <c r="C1564" s="761"/>
      <c r="D1564" s="769"/>
      <c r="E1564" s="769"/>
      <c r="F1564" s="208"/>
      <c r="G1564" s="763"/>
      <c r="H1564" s="744"/>
      <c r="I1564" s="765"/>
      <c r="J1564" s="730"/>
      <c r="K1564" s="761"/>
      <c r="L1564" s="761"/>
      <c r="M1564" s="730"/>
      <c r="N1564" s="730"/>
    </row>
    <row r="1565" spans="1:23" s="194" customFormat="1" ht="40.4" customHeight="1" x14ac:dyDescent="0.35">
      <c r="A1565" s="770" t="str">
        <f ca="1">INDIRECT("'update Helper'!C"&amp;U1565)</f>
        <v>a163p000004NtZ0AAK</v>
      </c>
      <c r="B1565" s="766">
        <v>24</v>
      </c>
      <c r="C1565" s="760" t="str">
        <f>VLOOKUP(B1565,'Coverage Indicators - Section D'!$A$9:$AU$70,47,FALSE)</f>
        <v/>
      </c>
      <c r="D1565" s="768" t="str">
        <f>R1565</f>
        <v/>
      </c>
      <c r="E1565" s="768" t="str">
        <f>S1565</f>
        <v/>
      </c>
      <c r="F1565" s="413"/>
      <c r="G1565" s="762" t="str">
        <f ca="1">IF(OR(INDIRECT("'update Helper'!E"&amp;U1565)="",F1565&lt;&gt;0,F1566&lt;&gt;0),IF(IFERROR((F1565/F1566),"")="","",(F1565/F1566)),INDIRECT("'update Helper'!E"&amp;U1565)/100)</f>
        <v/>
      </c>
      <c r="H1565" s="743"/>
      <c r="I1565" s="764"/>
      <c r="J1565" s="729"/>
      <c r="K1565" s="760" t="str">
        <f>W1565</f>
        <v/>
      </c>
      <c r="L1565" s="760" t="str">
        <f>V1565</f>
        <v/>
      </c>
      <c r="M1565" s="729"/>
      <c r="N1565" s="729"/>
      <c r="P1565" s="194">
        <f>IF(AND(EXACT(C1565,C1563),C1563&lt;&gt;0),P1563+1,0)</f>
        <v>32</v>
      </c>
      <c r="Q1565" s="194" t="str">
        <f>IF(C1565&lt;&gt;"",C1565&amp;"-"&amp;P1565,"")</f>
        <v/>
      </c>
      <c r="R1565" s="194" t="str">
        <f t="array" ref="R1565">IFERROR(IF(INDEX('Disaggregation Records'!$E$155:$E$385,MATCH(RIGHT(Q1565,255),RIGHT('Disaggregation Records'!$D$155:$D$385,255),0))="","",INDEX('Disaggregation Records'!$E$155:$E$385,MATCH(RIGHT(Q1565,255),RIGHT('Disaggregation Records'!$D$155:$D$385,255),0))),"")</f>
        <v/>
      </c>
      <c r="S1565" s="194" t="str">
        <f t="array" ref="S1565">IFERROR(IF(INDEX('Disaggregation Records'!$F$155:$F$385,MATCH(RIGHT(Q1565,255),RIGHT('Disaggregation Records'!$D$155:$D$385,255),0))="","",INDEX('Disaggregation Records'!$F$155:$F$385,MATCH(RIGHT(Q1565,255),RIGHT('Disaggregation Records'!$D$155:$D$385,255),0))),"")</f>
        <v/>
      </c>
      <c r="T1565" s="194" t="str">
        <f t="array" ref="T1565">IFERROR(IF(INDEX('Disaggregation Records'!$H$155:$H$385,MATCH(RIGHT(Q1565,255),RIGHT('Disaggregation Records'!$D$155:$D$385,255),0))="","",INDEX('Disaggregation Records'!$H$155:$H$385,MATCH(RIGHT(Q1565,255),RIGHT('Disaggregation Records'!$D$155:$D$385,255),0))),"")</f>
        <v/>
      </c>
      <c r="U1565" s="194">
        <f>U1563+1</f>
        <v>2972</v>
      </c>
      <c r="V1565" s="194" t="str">
        <f t="array" ref="V1565">IFERROR(IF(INDEX('Disaggregation Records'!$I$155:$I$385,MATCH(RIGHT(Q1565,255),RIGHT('Disaggregation Records'!$D$155:$D$385,255),0))="","",INDEX('Disaggregation Records'!$I$155:$I$385,MATCH(RIGHT(Q1565,255),RIGHT('Disaggregation Records'!$D$155:$D$385,255),0))),"")</f>
        <v/>
      </c>
      <c r="W1565" s="194" t="str">
        <f>IFERROR(INDEX('Reference Records'!L$77:L$157,MATCH(LEFT(C1565,255),'Reference Records'!E$77:E$157,0)),"")</f>
        <v/>
      </c>
    </row>
    <row r="1566" spans="1:23" s="194" customFormat="1" ht="40.4" customHeight="1" x14ac:dyDescent="0.35">
      <c r="A1566" s="770"/>
      <c r="B1566" s="767"/>
      <c r="C1566" s="761"/>
      <c r="D1566" s="769"/>
      <c r="E1566" s="769"/>
      <c r="F1566" s="208"/>
      <c r="G1566" s="763"/>
      <c r="H1566" s="744"/>
      <c r="I1566" s="765"/>
      <c r="J1566" s="730"/>
      <c r="K1566" s="761"/>
      <c r="L1566" s="761"/>
      <c r="M1566" s="730"/>
      <c r="N1566" s="730"/>
    </row>
    <row r="1567" spans="1:23" s="194" customFormat="1" ht="40.4" customHeight="1" x14ac:dyDescent="0.35">
      <c r="A1567" s="770" t="str">
        <f ca="1">INDIRECT("'update Helper'!C"&amp;U1567)</f>
        <v>a163p000004NtZ1AAK</v>
      </c>
      <c r="B1567" s="766">
        <v>24</v>
      </c>
      <c r="C1567" s="760" t="str">
        <f>VLOOKUP(B1567,'Coverage Indicators - Section D'!$A$9:$AU$70,47,FALSE)</f>
        <v/>
      </c>
      <c r="D1567" s="768" t="str">
        <f>R1567</f>
        <v/>
      </c>
      <c r="E1567" s="768" t="str">
        <f>S1567</f>
        <v/>
      </c>
      <c r="F1567" s="413"/>
      <c r="G1567" s="762" t="str">
        <f ca="1">IF(OR(INDIRECT("'update Helper'!E"&amp;U1567)="",F1567&lt;&gt;0,F1568&lt;&gt;0),IF(IFERROR((F1567/F1568),"")="","",(F1567/F1568)),INDIRECT("'update Helper'!E"&amp;U1567)/100)</f>
        <v/>
      </c>
      <c r="H1567" s="743"/>
      <c r="I1567" s="764"/>
      <c r="J1567" s="729"/>
      <c r="K1567" s="760" t="str">
        <f>W1567</f>
        <v/>
      </c>
      <c r="L1567" s="760" t="str">
        <f>V1567</f>
        <v/>
      </c>
      <c r="M1567" s="729"/>
      <c r="N1567" s="729"/>
      <c r="P1567" s="194">
        <f>IF(AND(EXACT(C1567,C1565),C1565&lt;&gt;0),P1565+1,0)</f>
        <v>33</v>
      </c>
      <c r="Q1567" s="194" t="str">
        <f>IF(C1567&lt;&gt;"",C1567&amp;"-"&amp;P1567,"")</f>
        <v/>
      </c>
      <c r="R1567" s="194" t="str">
        <f t="array" ref="R1567">IFERROR(IF(INDEX('Disaggregation Records'!$E$155:$E$385,MATCH(RIGHT(Q1567,255),RIGHT('Disaggregation Records'!$D$155:$D$385,255),0))="","",INDEX('Disaggregation Records'!$E$155:$E$385,MATCH(RIGHT(Q1567,255),RIGHT('Disaggregation Records'!$D$155:$D$385,255),0))),"")</f>
        <v/>
      </c>
      <c r="S1567" s="194" t="str">
        <f t="array" ref="S1567">IFERROR(IF(INDEX('Disaggregation Records'!$F$155:$F$385,MATCH(RIGHT(Q1567,255),RIGHT('Disaggregation Records'!$D$155:$D$385,255),0))="","",INDEX('Disaggregation Records'!$F$155:$F$385,MATCH(RIGHT(Q1567,255),RIGHT('Disaggregation Records'!$D$155:$D$385,255),0))),"")</f>
        <v/>
      </c>
      <c r="T1567" s="194" t="str">
        <f t="array" ref="T1567">IFERROR(IF(INDEX('Disaggregation Records'!$H$155:$H$385,MATCH(RIGHT(Q1567,255),RIGHT('Disaggregation Records'!$D$155:$D$385,255),0))="","",INDEX('Disaggregation Records'!$H$155:$H$385,MATCH(RIGHT(Q1567,255),RIGHT('Disaggregation Records'!$D$155:$D$385,255),0))),"")</f>
        <v/>
      </c>
      <c r="U1567" s="194">
        <f>U1565+1</f>
        <v>2973</v>
      </c>
      <c r="V1567" s="194" t="str">
        <f t="array" ref="V1567">IFERROR(IF(INDEX('Disaggregation Records'!$I$155:$I$385,MATCH(RIGHT(Q1567,255),RIGHT('Disaggregation Records'!$D$155:$D$385,255),0))="","",INDEX('Disaggregation Records'!$I$155:$I$385,MATCH(RIGHT(Q1567,255),RIGHT('Disaggregation Records'!$D$155:$D$385,255),0))),"")</f>
        <v/>
      </c>
      <c r="W1567" s="194" t="str">
        <f>IFERROR(INDEX('Reference Records'!L$77:L$157,MATCH(LEFT(C1567,255),'Reference Records'!E$77:E$157,0)),"")</f>
        <v/>
      </c>
    </row>
    <row r="1568" spans="1:23" s="194" customFormat="1" ht="40.4" customHeight="1" x14ac:dyDescent="0.35">
      <c r="A1568" s="770"/>
      <c r="B1568" s="767"/>
      <c r="C1568" s="761"/>
      <c r="D1568" s="769"/>
      <c r="E1568" s="769"/>
      <c r="F1568" s="208"/>
      <c r="G1568" s="763"/>
      <c r="H1568" s="744"/>
      <c r="I1568" s="765"/>
      <c r="J1568" s="730"/>
      <c r="K1568" s="761"/>
      <c r="L1568" s="761"/>
      <c r="M1568" s="730"/>
      <c r="N1568" s="730"/>
    </row>
    <row r="1569" spans="1:23" s="194" customFormat="1" ht="40.4" customHeight="1" x14ac:dyDescent="0.35">
      <c r="A1569" s="770" t="str">
        <f ca="1">INDIRECT("'update Helper'!C"&amp;U1569)</f>
        <v>a163p000004NtZ2AAK</v>
      </c>
      <c r="B1569" s="766">
        <v>24</v>
      </c>
      <c r="C1569" s="760" t="str">
        <f>VLOOKUP(B1569,'Coverage Indicators - Section D'!$A$9:$AU$70,47,FALSE)</f>
        <v/>
      </c>
      <c r="D1569" s="768" t="str">
        <f>R1569</f>
        <v/>
      </c>
      <c r="E1569" s="768" t="str">
        <f>S1569</f>
        <v/>
      </c>
      <c r="F1569" s="413"/>
      <c r="G1569" s="762" t="str">
        <f ca="1">IF(OR(INDIRECT("'update Helper'!E"&amp;U1569)="",F1569&lt;&gt;0,F1570&lt;&gt;0),IF(IFERROR((F1569/F1570),"")="","",(F1569/F1570)),INDIRECT("'update Helper'!E"&amp;U1569)/100)</f>
        <v/>
      </c>
      <c r="H1569" s="743"/>
      <c r="I1569" s="764"/>
      <c r="J1569" s="729"/>
      <c r="K1569" s="760" t="str">
        <f>W1569</f>
        <v/>
      </c>
      <c r="L1569" s="760" t="str">
        <f>V1569</f>
        <v/>
      </c>
      <c r="M1569" s="729"/>
      <c r="N1569" s="729"/>
      <c r="P1569" s="194">
        <f>IF(AND(EXACT(C1569,C1567),C1567&lt;&gt;0),P1567+1,0)</f>
        <v>34</v>
      </c>
      <c r="Q1569" s="194" t="str">
        <f>IF(C1569&lt;&gt;"",C1569&amp;"-"&amp;P1569,"")</f>
        <v/>
      </c>
      <c r="R1569" s="194" t="str">
        <f t="array" ref="R1569">IFERROR(IF(INDEX('Disaggregation Records'!$E$155:$E$385,MATCH(RIGHT(Q1569,255),RIGHT('Disaggregation Records'!$D$155:$D$385,255),0))="","",INDEX('Disaggregation Records'!$E$155:$E$385,MATCH(RIGHT(Q1569,255),RIGHT('Disaggregation Records'!$D$155:$D$385,255),0))),"")</f>
        <v/>
      </c>
      <c r="S1569" s="194" t="str">
        <f t="array" ref="S1569">IFERROR(IF(INDEX('Disaggregation Records'!$F$155:$F$385,MATCH(RIGHT(Q1569,255),RIGHT('Disaggregation Records'!$D$155:$D$385,255),0))="","",INDEX('Disaggregation Records'!$F$155:$F$385,MATCH(RIGHT(Q1569,255),RIGHT('Disaggregation Records'!$D$155:$D$385,255),0))),"")</f>
        <v/>
      </c>
      <c r="T1569" s="194" t="str">
        <f t="array" ref="T1569">IFERROR(IF(INDEX('Disaggregation Records'!$H$155:$H$385,MATCH(RIGHT(Q1569,255),RIGHT('Disaggregation Records'!$D$155:$D$385,255),0))="","",INDEX('Disaggregation Records'!$H$155:$H$385,MATCH(RIGHT(Q1569,255),RIGHT('Disaggregation Records'!$D$155:$D$385,255),0))),"")</f>
        <v/>
      </c>
      <c r="U1569" s="194">
        <f>U1567+1</f>
        <v>2974</v>
      </c>
      <c r="V1569" s="194" t="str">
        <f t="array" ref="V1569">IFERROR(IF(INDEX('Disaggregation Records'!$I$155:$I$385,MATCH(RIGHT(Q1569,255),RIGHT('Disaggregation Records'!$D$155:$D$385,255),0))="","",INDEX('Disaggregation Records'!$I$155:$I$385,MATCH(RIGHT(Q1569,255),RIGHT('Disaggregation Records'!$D$155:$D$385,255),0))),"")</f>
        <v/>
      </c>
      <c r="W1569" s="194" t="str">
        <f>IFERROR(INDEX('Reference Records'!L$77:L$157,MATCH(LEFT(C1569,255),'Reference Records'!E$77:E$157,0)),"")</f>
        <v/>
      </c>
    </row>
    <row r="1570" spans="1:23" s="194" customFormat="1" ht="40.4" customHeight="1" x14ac:dyDescent="0.35">
      <c r="A1570" s="770"/>
      <c r="B1570" s="767"/>
      <c r="C1570" s="761"/>
      <c r="D1570" s="769"/>
      <c r="E1570" s="769"/>
      <c r="F1570" s="208"/>
      <c r="G1570" s="763"/>
      <c r="H1570" s="744"/>
      <c r="I1570" s="765"/>
      <c r="J1570" s="730"/>
      <c r="K1570" s="761"/>
      <c r="L1570" s="761"/>
      <c r="M1570" s="730"/>
      <c r="N1570" s="730"/>
    </row>
    <row r="1571" spans="1:23" s="194" customFormat="1" ht="40.4" customHeight="1" x14ac:dyDescent="0.35">
      <c r="A1571" s="770" t="str">
        <f ca="1">INDIRECT("'update Helper'!C"&amp;U1571)</f>
        <v>a163p000004NtZ3AAK</v>
      </c>
      <c r="B1571" s="766">
        <v>24</v>
      </c>
      <c r="C1571" s="760" t="str">
        <f>VLOOKUP(B1571,'Coverage Indicators - Section D'!$A$9:$AU$70,47,FALSE)</f>
        <v/>
      </c>
      <c r="D1571" s="768" t="str">
        <f>R1571</f>
        <v/>
      </c>
      <c r="E1571" s="768" t="str">
        <f>S1571</f>
        <v/>
      </c>
      <c r="F1571" s="413"/>
      <c r="G1571" s="762" t="str">
        <f ca="1">IF(OR(INDIRECT("'update Helper'!E"&amp;U1571)="",F1571&lt;&gt;0,F1572&lt;&gt;0),IF(IFERROR((F1571/F1572),"")="","",(F1571/F1572)),INDIRECT("'update Helper'!E"&amp;U1571)/100)</f>
        <v/>
      </c>
      <c r="H1571" s="743"/>
      <c r="I1571" s="764"/>
      <c r="J1571" s="729"/>
      <c r="K1571" s="760" t="str">
        <f>W1571</f>
        <v/>
      </c>
      <c r="L1571" s="760" t="str">
        <f>V1571</f>
        <v/>
      </c>
      <c r="M1571" s="729"/>
      <c r="N1571" s="729"/>
      <c r="P1571" s="194">
        <f>IF(AND(EXACT(C1571,C1569),C1569&lt;&gt;0),P1569+1,0)</f>
        <v>35</v>
      </c>
      <c r="Q1571" s="194" t="str">
        <f>IF(C1571&lt;&gt;"",C1571&amp;"-"&amp;P1571,"")</f>
        <v/>
      </c>
      <c r="R1571" s="194" t="str">
        <f t="array" ref="R1571">IFERROR(IF(INDEX('Disaggregation Records'!$E$155:$E$385,MATCH(RIGHT(Q1571,255),RIGHT('Disaggregation Records'!$D$155:$D$385,255),0))="","",INDEX('Disaggregation Records'!$E$155:$E$385,MATCH(RIGHT(Q1571,255),RIGHT('Disaggregation Records'!$D$155:$D$385,255),0))),"")</f>
        <v/>
      </c>
      <c r="S1571" s="194" t="str">
        <f t="array" ref="S1571">IFERROR(IF(INDEX('Disaggregation Records'!$F$155:$F$385,MATCH(RIGHT(Q1571,255),RIGHT('Disaggregation Records'!$D$155:$D$385,255),0))="","",INDEX('Disaggregation Records'!$F$155:$F$385,MATCH(RIGHT(Q1571,255),RIGHT('Disaggregation Records'!$D$155:$D$385,255),0))),"")</f>
        <v/>
      </c>
      <c r="T1571" s="194" t="str">
        <f t="array" ref="T1571">IFERROR(IF(INDEX('Disaggregation Records'!$H$155:$H$385,MATCH(RIGHT(Q1571,255),RIGHT('Disaggregation Records'!$D$155:$D$385,255),0))="","",INDEX('Disaggregation Records'!$H$155:$H$385,MATCH(RIGHT(Q1571,255),RIGHT('Disaggregation Records'!$D$155:$D$385,255),0))),"")</f>
        <v/>
      </c>
      <c r="U1571" s="194">
        <f>U1569+1</f>
        <v>2975</v>
      </c>
      <c r="V1571" s="194" t="str">
        <f t="array" ref="V1571">IFERROR(IF(INDEX('Disaggregation Records'!$I$155:$I$385,MATCH(RIGHT(Q1571,255),RIGHT('Disaggregation Records'!$D$155:$D$385,255),0))="","",INDEX('Disaggregation Records'!$I$155:$I$385,MATCH(RIGHT(Q1571,255),RIGHT('Disaggregation Records'!$D$155:$D$385,255),0))),"")</f>
        <v/>
      </c>
      <c r="W1571" s="194" t="str">
        <f>IFERROR(INDEX('Reference Records'!L$77:L$157,MATCH(LEFT(C1571,255),'Reference Records'!E$77:E$157,0)),"")</f>
        <v/>
      </c>
    </row>
    <row r="1572" spans="1:23" s="194" customFormat="1" ht="40.4" customHeight="1" x14ac:dyDescent="0.35">
      <c r="A1572" s="770"/>
      <c r="B1572" s="767"/>
      <c r="C1572" s="761"/>
      <c r="D1572" s="769"/>
      <c r="E1572" s="769"/>
      <c r="F1572" s="208"/>
      <c r="G1572" s="763"/>
      <c r="H1572" s="744"/>
      <c r="I1572" s="765"/>
      <c r="J1572" s="730"/>
      <c r="K1572" s="761"/>
      <c r="L1572" s="761"/>
      <c r="M1572" s="730"/>
      <c r="N1572" s="730"/>
    </row>
    <row r="1573" spans="1:23" s="194" customFormat="1" ht="40.4" customHeight="1" x14ac:dyDescent="0.35">
      <c r="A1573" s="770" t="str">
        <f ca="1">INDIRECT("'update Helper'!C"&amp;U1573)</f>
        <v>a163p000004NtZ4AAK</v>
      </c>
      <c r="B1573" s="766">
        <v>24</v>
      </c>
      <c r="C1573" s="760" t="str">
        <f>VLOOKUP(B1573,'Coverage Indicators - Section D'!$A$9:$AU$70,47,FALSE)</f>
        <v/>
      </c>
      <c r="D1573" s="768" t="str">
        <f>R1573</f>
        <v/>
      </c>
      <c r="E1573" s="768" t="str">
        <f>S1573</f>
        <v/>
      </c>
      <c r="F1573" s="413"/>
      <c r="G1573" s="762" t="str">
        <f ca="1">IF(OR(INDIRECT("'update Helper'!E"&amp;U1573)="",F1573&lt;&gt;0,F1574&lt;&gt;0),IF(IFERROR((F1573/F1574),"")="","",(F1573/F1574)),INDIRECT("'update Helper'!E"&amp;U1573)/100)</f>
        <v/>
      </c>
      <c r="H1573" s="743"/>
      <c r="I1573" s="764"/>
      <c r="J1573" s="729"/>
      <c r="K1573" s="760" t="str">
        <f>W1573</f>
        <v/>
      </c>
      <c r="L1573" s="760" t="str">
        <f>V1573</f>
        <v/>
      </c>
      <c r="M1573" s="729"/>
      <c r="N1573" s="729"/>
      <c r="P1573" s="194">
        <f>IF(AND(EXACT(C1573,C1571),C1571&lt;&gt;0),P1571+1,0)</f>
        <v>36</v>
      </c>
      <c r="Q1573" s="194" t="str">
        <f>IF(C1573&lt;&gt;"",C1573&amp;"-"&amp;P1573,"")</f>
        <v/>
      </c>
      <c r="R1573" s="194" t="str">
        <f t="array" ref="R1573">IFERROR(IF(INDEX('Disaggregation Records'!$E$155:$E$385,MATCH(RIGHT(Q1573,255),RIGHT('Disaggregation Records'!$D$155:$D$385,255),0))="","",INDEX('Disaggregation Records'!$E$155:$E$385,MATCH(RIGHT(Q1573,255),RIGHT('Disaggregation Records'!$D$155:$D$385,255),0))),"")</f>
        <v/>
      </c>
      <c r="S1573" s="194" t="str">
        <f t="array" ref="S1573">IFERROR(IF(INDEX('Disaggregation Records'!$F$155:$F$385,MATCH(RIGHT(Q1573,255),RIGHT('Disaggregation Records'!$D$155:$D$385,255),0))="","",INDEX('Disaggregation Records'!$F$155:$F$385,MATCH(RIGHT(Q1573,255),RIGHT('Disaggregation Records'!$D$155:$D$385,255),0))),"")</f>
        <v/>
      </c>
      <c r="T1573" s="194" t="str">
        <f t="array" ref="T1573">IFERROR(IF(INDEX('Disaggregation Records'!$H$155:$H$385,MATCH(RIGHT(Q1573,255),RIGHT('Disaggregation Records'!$D$155:$D$385,255),0))="","",INDEX('Disaggregation Records'!$H$155:$H$385,MATCH(RIGHT(Q1573,255),RIGHT('Disaggregation Records'!$D$155:$D$385,255),0))),"")</f>
        <v/>
      </c>
      <c r="U1573" s="194">
        <f>U1571+1</f>
        <v>2976</v>
      </c>
      <c r="V1573" s="194" t="str">
        <f t="array" ref="V1573">IFERROR(IF(INDEX('Disaggregation Records'!$I$155:$I$385,MATCH(RIGHT(Q1573,255),RIGHT('Disaggregation Records'!$D$155:$D$385,255),0))="","",INDEX('Disaggregation Records'!$I$155:$I$385,MATCH(RIGHT(Q1573,255),RIGHT('Disaggregation Records'!$D$155:$D$385,255),0))),"")</f>
        <v/>
      </c>
      <c r="W1573" s="194" t="str">
        <f>IFERROR(INDEX('Reference Records'!L$77:L$157,MATCH(LEFT(C1573,255),'Reference Records'!E$77:E$157,0)),"")</f>
        <v/>
      </c>
    </row>
    <row r="1574" spans="1:23" s="194" customFormat="1" ht="40.4" customHeight="1" x14ac:dyDescent="0.35">
      <c r="A1574" s="770"/>
      <c r="B1574" s="767"/>
      <c r="C1574" s="761"/>
      <c r="D1574" s="769"/>
      <c r="E1574" s="769"/>
      <c r="F1574" s="208"/>
      <c r="G1574" s="763"/>
      <c r="H1574" s="744"/>
      <c r="I1574" s="765"/>
      <c r="J1574" s="730"/>
      <c r="K1574" s="761"/>
      <c r="L1574" s="761"/>
      <c r="M1574" s="730"/>
      <c r="N1574" s="730"/>
    </row>
    <row r="1575" spans="1:23" s="194" customFormat="1" ht="40.4" customHeight="1" x14ac:dyDescent="0.35">
      <c r="A1575" s="770" t="str">
        <f ca="1">INDIRECT("'update Helper'!C"&amp;U1575)</f>
        <v>a163p000004NtZ5AAK</v>
      </c>
      <c r="B1575" s="766">
        <v>24</v>
      </c>
      <c r="C1575" s="760" t="str">
        <f>VLOOKUP(B1575,'Coverage Indicators - Section D'!$A$9:$AU$70,47,FALSE)</f>
        <v/>
      </c>
      <c r="D1575" s="768" t="str">
        <f>R1575</f>
        <v/>
      </c>
      <c r="E1575" s="768" t="str">
        <f>S1575</f>
        <v/>
      </c>
      <c r="F1575" s="413"/>
      <c r="G1575" s="762" t="str">
        <f ca="1">IF(OR(INDIRECT("'update Helper'!E"&amp;U1575)="",F1575&lt;&gt;0,F1576&lt;&gt;0),IF(IFERROR((F1575/F1576),"")="","",(F1575/F1576)),INDIRECT("'update Helper'!E"&amp;U1575)/100)</f>
        <v/>
      </c>
      <c r="H1575" s="743"/>
      <c r="I1575" s="764"/>
      <c r="J1575" s="729"/>
      <c r="K1575" s="760" t="str">
        <f>W1575</f>
        <v/>
      </c>
      <c r="L1575" s="760" t="str">
        <f>V1575</f>
        <v/>
      </c>
      <c r="M1575" s="729"/>
      <c r="N1575" s="729"/>
      <c r="P1575" s="194">
        <f>IF(AND(EXACT(C1575,C1573),C1573&lt;&gt;0),P1573+1,0)</f>
        <v>37</v>
      </c>
      <c r="Q1575" s="194" t="str">
        <f>IF(C1575&lt;&gt;"",C1575&amp;"-"&amp;P1575,"")</f>
        <v/>
      </c>
      <c r="R1575" s="194" t="str">
        <f t="array" ref="R1575">IFERROR(IF(INDEX('Disaggregation Records'!$E$155:$E$385,MATCH(RIGHT(Q1575,255),RIGHT('Disaggregation Records'!$D$155:$D$385,255),0))="","",INDEX('Disaggregation Records'!$E$155:$E$385,MATCH(RIGHT(Q1575,255),RIGHT('Disaggregation Records'!$D$155:$D$385,255),0))),"")</f>
        <v/>
      </c>
      <c r="S1575" s="194" t="str">
        <f t="array" ref="S1575">IFERROR(IF(INDEX('Disaggregation Records'!$F$155:$F$385,MATCH(RIGHT(Q1575,255),RIGHT('Disaggregation Records'!$D$155:$D$385,255),0))="","",INDEX('Disaggregation Records'!$F$155:$F$385,MATCH(RIGHT(Q1575,255),RIGHT('Disaggregation Records'!$D$155:$D$385,255),0))),"")</f>
        <v/>
      </c>
      <c r="T1575" s="194" t="str">
        <f t="array" ref="T1575">IFERROR(IF(INDEX('Disaggregation Records'!$H$155:$H$385,MATCH(RIGHT(Q1575,255),RIGHT('Disaggregation Records'!$D$155:$D$385,255),0))="","",INDEX('Disaggregation Records'!$H$155:$H$385,MATCH(RIGHT(Q1575,255),RIGHT('Disaggregation Records'!$D$155:$D$385,255),0))),"")</f>
        <v/>
      </c>
      <c r="U1575" s="194">
        <f>U1573+1</f>
        <v>2977</v>
      </c>
      <c r="V1575" s="194" t="str">
        <f t="array" ref="V1575">IFERROR(IF(INDEX('Disaggregation Records'!$I$155:$I$385,MATCH(RIGHT(Q1575,255),RIGHT('Disaggregation Records'!$D$155:$D$385,255),0))="","",INDEX('Disaggregation Records'!$I$155:$I$385,MATCH(RIGHT(Q1575,255),RIGHT('Disaggregation Records'!$D$155:$D$385,255),0))),"")</f>
        <v/>
      </c>
      <c r="W1575" s="194" t="str">
        <f>IFERROR(INDEX('Reference Records'!L$77:L$157,MATCH(LEFT(C1575,255),'Reference Records'!E$77:E$157,0)),"")</f>
        <v/>
      </c>
    </row>
    <row r="1576" spans="1:23" s="194" customFormat="1" ht="40.4" customHeight="1" x14ac:dyDescent="0.35">
      <c r="A1576" s="770"/>
      <c r="B1576" s="767"/>
      <c r="C1576" s="761"/>
      <c r="D1576" s="769"/>
      <c r="E1576" s="769"/>
      <c r="F1576" s="208"/>
      <c r="G1576" s="763"/>
      <c r="H1576" s="744"/>
      <c r="I1576" s="765"/>
      <c r="J1576" s="730"/>
      <c r="K1576" s="761"/>
      <c r="L1576" s="761"/>
      <c r="M1576" s="730"/>
      <c r="N1576" s="730"/>
    </row>
    <row r="1577" spans="1:23" s="194" customFormat="1" ht="40.4" customHeight="1" x14ac:dyDescent="0.35">
      <c r="A1577" s="770" t="str">
        <f ca="1">INDIRECT("'update Helper'!C"&amp;U1577)</f>
        <v>a163p000004NtZ6AAK</v>
      </c>
      <c r="B1577" s="766">
        <v>24</v>
      </c>
      <c r="C1577" s="760" t="str">
        <f>VLOOKUP(B1577,'Coverage Indicators - Section D'!$A$9:$AU$70,47,FALSE)</f>
        <v/>
      </c>
      <c r="D1577" s="768" t="str">
        <f>R1577</f>
        <v/>
      </c>
      <c r="E1577" s="768" t="str">
        <f>S1577</f>
        <v/>
      </c>
      <c r="F1577" s="413"/>
      <c r="G1577" s="762" t="str">
        <f ca="1">IF(OR(INDIRECT("'update Helper'!E"&amp;U1577)="",F1577&lt;&gt;0,F1578&lt;&gt;0),IF(IFERROR((F1577/F1578),"")="","",(F1577/F1578)),INDIRECT("'update Helper'!E"&amp;U1577)/100)</f>
        <v/>
      </c>
      <c r="H1577" s="743"/>
      <c r="I1577" s="764"/>
      <c r="J1577" s="729"/>
      <c r="K1577" s="760" t="str">
        <f>W1577</f>
        <v/>
      </c>
      <c r="L1577" s="760" t="str">
        <f>V1577</f>
        <v/>
      </c>
      <c r="M1577" s="729"/>
      <c r="N1577" s="729"/>
      <c r="P1577" s="194">
        <f>IF(AND(EXACT(C1577,C1575),C1575&lt;&gt;0),P1575+1,0)</f>
        <v>38</v>
      </c>
      <c r="Q1577" s="194" t="str">
        <f>IF(C1577&lt;&gt;"",C1577&amp;"-"&amp;P1577,"")</f>
        <v/>
      </c>
      <c r="R1577" s="194" t="str">
        <f t="array" ref="R1577">IFERROR(IF(INDEX('Disaggregation Records'!$E$155:$E$385,MATCH(RIGHT(Q1577,255),RIGHT('Disaggregation Records'!$D$155:$D$385,255),0))="","",INDEX('Disaggregation Records'!$E$155:$E$385,MATCH(RIGHT(Q1577,255),RIGHT('Disaggregation Records'!$D$155:$D$385,255),0))),"")</f>
        <v/>
      </c>
      <c r="S1577" s="194" t="str">
        <f t="array" ref="S1577">IFERROR(IF(INDEX('Disaggregation Records'!$F$155:$F$385,MATCH(RIGHT(Q1577,255),RIGHT('Disaggregation Records'!$D$155:$D$385,255),0))="","",INDEX('Disaggregation Records'!$F$155:$F$385,MATCH(RIGHT(Q1577,255),RIGHT('Disaggregation Records'!$D$155:$D$385,255),0))),"")</f>
        <v/>
      </c>
      <c r="T1577" s="194" t="str">
        <f t="array" ref="T1577">IFERROR(IF(INDEX('Disaggregation Records'!$H$155:$H$385,MATCH(RIGHT(Q1577,255),RIGHT('Disaggregation Records'!$D$155:$D$385,255),0))="","",INDEX('Disaggregation Records'!$H$155:$H$385,MATCH(RIGHT(Q1577,255),RIGHT('Disaggregation Records'!$D$155:$D$385,255),0))),"")</f>
        <v/>
      </c>
      <c r="U1577" s="194">
        <f>U1575+1</f>
        <v>2978</v>
      </c>
      <c r="V1577" s="194" t="str">
        <f t="array" ref="V1577">IFERROR(IF(INDEX('Disaggregation Records'!$I$155:$I$385,MATCH(RIGHT(Q1577,255),RIGHT('Disaggregation Records'!$D$155:$D$385,255),0))="","",INDEX('Disaggregation Records'!$I$155:$I$385,MATCH(RIGHT(Q1577,255),RIGHT('Disaggregation Records'!$D$155:$D$385,255),0))),"")</f>
        <v/>
      </c>
      <c r="W1577" s="194" t="str">
        <f>IFERROR(INDEX('Reference Records'!L$77:L$157,MATCH(LEFT(C1577,255),'Reference Records'!E$77:E$157,0)),"")</f>
        <v/>
      </c>
    </row>
    <row r="1578" spans="1:23" s="194" customFormat="1" ht="40.4" customHeight="1" x14ac:dyDescent="0.35">
      <c r="A1578" s="770"/>
      <c r="B1578" s="767"/>
      <c r="C1578" s="761"/>
      <c r="D1578" s="769"/>
      <c r="E1578" s="769"/>
      <c r="F1578" s="208"/>
      <c r="G1578" s="763"/>
      <c r="H1578" s="744"/>
      <c r="I1578" s="765"/>
      <c r="J1578" s="730"/>
      <c r="K1578" s="761"/>
      <c r="L1578" s="761"/>
      <c r="M1578" s="730"/>
      <c r="N1578" s="730"/>
    </row>
    <row r="1579" spans="1:23" s="194" customFormat="1" ht="40.4" customHeight="1" x14ac:dyDescent="0.35">
      <c r="A1579" s="770" t="str">
        <f ca="1">INDIRECT("'update Helper'!C"&amp;U1579)</f>
        <v>a163p000004NtZ7AAK</v>
      </c>
      <c r="B1579" s="766">
        <v>24</v>
      </c>
      <c r="C1579" s="760" t="str">
        <f>VLOOKUP(B1579,'Coverage Indicators - Section D'!$A$9:$AU$70,47,FALSE)</f>
        <v/>
      </c>
      <c r="D1579" s="768" t="str">
        <f>R1579</f>
        <v/>
      </c>
      <c r="E1579" s="768" t="str">
        <f>S1579</f>
        <v/>
      </c>
      <c r="F1579" s="413"/>
      <c r="G1579" s="762" t="str">
        <f ca="1">IF(OR(INDIRECT("'update Helper'!E"&amp;U1579)="",F1579&lt;&gt;0,F1580&lt;&gt;0),IF(IFERROR((F1579/F1580),"")="","",(F1579/F1580)),INDIRECT("'update Helper'!E"&amp;U1579)/100)</f>
        <v/>
      </c>
      <c r="H1579" s="743"/>
      <c r="I1579" s="764"/>
      <c r="J1579" s="729"/>
      <c r="K1579" s="760" t="str">
        <f>W1579</f>
        <v/>
      </c>
      <c r="L1579" s="760" t="str">
        <f>V1579</f>
        <v/>
      </c>
      <c r="M1579" s="729"/>
      <c r="N1579" s="729"/>
      <c r="P1579" s="194">
        <f>IF(AND(EXACT(C1579,C1577),C1577&lt;&gt;0),P1577+1,0)</f>
        <v>39</v>
      </c>
      <c r="Q1579" s="194" t="str">
        <f>IF(C1579&lt;&gt;"",C1579&amp;"-"&amp;P1579,"")</f>
        <v/>
      </c>
      <c r="R1579" s="194" t="str">
        <f t="array" ref="R1579">IFERROR(IF(INDEX('Disaggregation Records'!$E$155:$E$385,MATCH(RIGHT(Q1579,255),RIGHT('Disaggregation Records'!$D$155:$D$385,255),0))="","",INDEX('Disaggregation Records'!$E$155:$E$385,MATCH(RIGHT(Q1579,255),RIGHT('Disaggregation Records'!$D$155:$D$385,255),0))),"")</f>
        <v/>
      </c>
      <c r="S1579" s="194" t="str">
        <f t="array" ref="S1579">IFERROR(IF(INDEX('Disaggregation Records'!$F$155:$F$385,MATCH(RIGHT(Q1579,255),RIGHT('Disaggregation Records'!$D$155:$D$385,255),0))="","",INDEX('Disaggregation Records'!$F$155:$F$385,MATCH(RIGHT(Q1579,255),RIGHT('Disaggregation Records'!$D$155:$D$385,255),0))),"")</f>
        <v/>
      </c>
      <c r="T1579" s="194" t="str">
        <f t="array" ref="T1579">IFERROR(IF(INDEX('Disaggregation Records'!$H$155:$H$385,MATCH(RIGHT(Q1579,255),RIGHT('Disaggregation Records'!$D$155:$D$385,255),0))="","",INDEX('Disaggregation Records'!$H$155:$H$385,MATCH(RIGHT(Q1579,255),RIGHT('Disaggregation Records'!$D$155:$D$385,255),0))),"")</f>
        <v/>
      </c>
      <c r="U1579" s="194">
        <f>U1577+1</f>
        <v>2979</v>
      </c>
      <c r="V1579" s="194" t="str">
        <f t="array" ref="V1579">IFERROR(IF(INDEX('Disaggregation Records'!$I$155:$I$385,MATCH(RIGHT(Q1579,255),RIGHT('Disaggregation Records'!$D$155:$D$385,255),0))="","",INDEX('Disaggregation Records'!$I$155:$I$385,MATCH(RIGHT(Q1579,255),RIGHT('Disaggregation Records'!$D$155:$D$385,255),0))),"")</f>
        <v/>
      </c>
      <c r="W1579" s="194" t="str">
        <f>IFERROR(INDEX('Reference Records'!L$77:L$157,MATCH(LEFT(C1579,255),'Reference Records'!E$77:E$157,0)),"")</f>
        <v/>
      </c>
    </row>
    <row r="1580" spans="1:23" s="194" customFormat="1" ht="40.4" customHeight="1" x14ac:dyDescent="0.35">
      <c r="A1580" s="770"/>
      <c r="B1580" s="767"/>
      <c r="C1580" s="761"/>
      <c r="D1580" s="769"/>
      <c r="E1580" s="769"/>
      <c r="F1580" s="208"/>
      <c r="G1580" s="763"/>
      <c r="H1580" s="744"/>
      <c r="I1580" s="765"/>
      <c r="J1580" s="730"/>
      <c r="K1580" s="761"/>
      <c r="L1580" s="761"/>
      <c r="M1580" s="730"/>
      <c r="N1580" s="730"/>
    </row>
    <row r="1581" spans="1:23" s="194" customFormat="1" ht="40.4" customHeight="1" x14ac:dyDescent="0.35">
      <c r="A1581" s="770" t="str">
        <f ca="1">INDIRECT("'update Helper'!C"&amp;U1581)</f>
        <v>a163p000004NtPSAA0</v>
      </c>
      <c r="B1581" s="766">
        <v>25</v>
      </c>
      <c r="C1581" s="760" t="str">
        <f>VLOOKUP(B1581,'Coverage Indicators - Section D'!$A$9:$AU$70,47,FALSE)</f>
        <v/>
      </c>
      <c r="D1581" s="768" t="str">
        <f>R1581</f>
        <v/>
      </c>
      <c r="E1581" s="768" t="str">
        <f>S1581</f>
        <v/>
      </c>
      <c r="F1581" s="413"/>
      <c r="G1581" s="762" t="str">
        <f ca="1">IF(OR(INDIRECT("'update Helper'!E"&amp;U1581)="",F1581&lt;&gt;0,F1582&lt;&gt;0),IF(IFERROR((F1581/F1582),"")="","",(F1581/F1582)),INDIRECT("'update Helper'!E"&amp;U1581)/100)</f>
        <v/>
      </c>
      <c r="H1581" s="743"/>
      <c r="I1581" s="764"/>
      <c r="J1581" s="729"/>
      <c r="K1581" s="760" t="str">
        <f>W1581</f>
        <v/>
      </c>
      <c r="L1581" s="760" t="str">
        <f>V1581</f>
        <v/>
      </c>
      <c r="M1581" s="729"/>
      <c r="N1581" s="729"/>
      <c r="P1581" s="194">
        <f>IF(AND(EXACT(C1581,C1579),C1579&lt;&gt;0),P1579+1,0)</f>
        <v>40</v>
      </c>
      <c r="Q1581" s="194" t="str">
        <f>IF(C1581&lt;&gt;"",C1581&amp;"-"&amp;P1581,"")</f>
        <v/>
      </c>
      <c r="R1581" s="194" t="str">
        <f t="array" ref="R1581">IFERROR(IF(INDEX('Disaggregation Records'!$E$155:$E$385,MATCH(RIGHT(Q1581,255),RIGHT('Disaggregation Records'!$D$155:$D$385,255),0))="","",INDEX('Disaggregation Records'!$E$155:$E$385,MATCH(RIGHT(Q1581,255),RIGHT('Disaggregation Records'!$D$155:$D$385,255),0))),"")</f>
        <v/>
      </c>
      <c r="S1581" s="194" t="str">
        <f t="array" ref="S1581">IFERROR(IF(INDEX('Disaggregation Records'!$F$155:$F$385,MATCH(RIGHT(Q1581,255),RIGHT('Disaggregation Records'!$D$155:$D$385,255),0))="","",INDEX('Disaggregation Records'!$F$155:$F$385,MATCH(RIGHT(Q1581,255),RIGHT('Disaggregation Records'!$D$155:$D$385,255),0))),"")</f>
        <v/>
      </c>
      <c r="T1581" s="194" t="str">
        <f t="array" ref="T1581">IFERROR(IF(INDEX('Disaggregation Records'!$H$155:$H$385,MATCH(RIGHT(Q1581,255),RIGHT('Disaggregation Records'!$D$155:$D$385,255),0))="","",INDEX('Disaggregation Records'!$H$155:$H$385,MATCH(RIGHT(Q1581,255),RIGHT('Disaggregation Records'!$D$155:$D$385,255),0))),"")</f>
        <v/>
      </c>
      <c r="U1581" s="194">
        <f>U1579+1</f>
        <v>2980</v>
      </c>
      <c r="V1581" s="194" t="str">
        <f t="array" ref="V1581">IFERROR(IF(INDEX('Disaggregation Records'!$I$155:$I$385,MATCH(RIGHT(Q1581,255),RIGHT('Disaggregation Records'!$D$155:$D$385,255),0))="","",INDEX('Disaggregation Records'!$I$155:$I$385,MATCH(RIGHT(Q1581,255),RIGHT('Disaggregation Records'!$D$155:$D$385,255),0))),"")</f>
        <v/>
      </c>
      <c r="W1581" s="194" t="str">
        <f>IFERROR(INDEX('Reference Records'!L$77:L$157,MATCH(LEFT(C1581,255),'Reference Records'!E$77:E$157,0)),"")</f>
        <v/>
      </c>
    </row>
    <row r="1582" spans="1:23" s="194" customFormat="1" ht="40.4" customHeight="1" x14ac:dyDescent="0.35">
      <c r="A1582" s="770"/>
      <c r="B1582" s="767"/>
      <c r="C1582" s="761"/>
      <c r="D1582" s="769"/>
      <c r="E1582" s="769"/>
      <c r="F1582" s="208"/>
      <c r="G1582" s="763"/>
      <c r="H1582" s="744"/>
      <c r="I1582" s="765"/>
      <c r="J1582" s="730"/>
      <c r="K1582" s="761"/>
      <c r="L1582" s="761"/>
      <c r="M1582" s="730"/>
      <c r="N1582" s="730"/>
    </row>
    <row r="1583" spans="1:23" s="194" customFormat="1" ht="40.4" customHeight="1" x14ac:dyDescent="0.35">
      <c r="A1583" s="770" t="str">
        <f ca="1">INDIRECT("'update Helper'!C"&amp;U1583)</f>
        <v>a163p000004NtPTAA0</v>
      </c>
      <c r="B1583" s="766">
        <v>25</v>
      </c>
      <c r="C1583" s="760" t="str">
        <f>VLOOKUP(B1583,'Coverage Indicators - Section D'!$A$9:$AU$70,47,FALSE)</f>
        <v/>
      </c>
      <c r="D1583" s="768" t="str">
        <f>R1583</f>
        <v/>
      </c>
      <c r="E1583" s="768" t="str">
        <f>S1583</f>
        <v/>
      </c>
      <c r="F1583" s="413"/>
      <c r="G1583" s="762" t="str">
        <f ca="1">IF(OR(INDIRECT("'update Helper'!E"&amp;U1583)="",F1583&lt;&gt;0,F1584&lt;&gt;0),IF(IFERROR((F1583/F1584),"")="","",(F1583/F1584)),INDIRECT("'update Helper'!E"&amp;U1583)/100)</f>
        <v/>
      </c>
      <c r="H1583" s="743"/>
      <c r="I1583" s="764"/>
      <c r="J1583" s="729"/>
      <c r="K1583" s="760" t="str">
        <f>W1583</f>
        <v/>
      </c>
      <c r="L1583" s="760" t="str">
        <f>V1583</f>
        <v/>
      </c>
      <c r="M1583" s="729"/>
      <c r="N1583" s="729"/>
      <c r="P1583" s="194">
        <f>IF(AND(EXACT(C1583,C1581),C1581&lt;&gt;0),P1581+1,0)</f>
        <v>41</v>
      </c>
      <c r="Q1583" s="194" t="str">
        <f>IF(C1583&lt;&gt;"",C1583&amp;"-"&amp;P1583,"")</f>
        <v/>
      </c>
      <c r="R1583" s="194" t="str">
        <f t="array" ref="R1583">IFERROR(IF(INDEX('Disaggregation Records'!$E$155:$E$385,MATCH(RIGHT(Q1583,255),RIGHT('Disaggregation Records'!$D$155:$D$385,255),0))="","",INDEX('Disaggregation Records'!$E$155:$E$385,MATCH(RIGHT(Q1583,255),RIGHT('Disaggregation Records'!$D$155:$D$385,255),0))),"")</f>
        <v/>
      </c>
      <c r="S1583" s="194" t="str">
        <f t="array" ref="S1583">IFERROR(IF(INDEX('Disaggregation Records'!$F$155:$F$385,MATCH(RIGHT(Q1583,255),RIGHT('Disaggregation Records'!$D$155:$D$385,255),0))="","",INDEX('Disaggregation Records'!$F$155:$F$385,MATCH(RIGHT(Q1583,255),RIGHT('Disaggregation Records'!$D$155:$D$385,255),0))),"")</f>
        <v/>
      </c>
      <c r="T1583" s="194" t="str">
        <f t="array" ref="T1583">IFERROR(IF(INDEX('Disaggregation Records'!$H$155:$H$385,MATCH(RIGHT(Q1583,255),RIGHT('Disaggregation Records'!$D$155:$D$385,255),0))="","",INDEX('Disaggregation Records'!$H$155:$H$385,MATCH(RIGHT(Q1583,255),RIGHT('Disaggregation Records'!$D$155:$D$385,255),0))),"")</f>
        <v/>
      </c>
      <c r="U1583" s="194">
        <f>U1581+1</f>
        <v>2981</v>
      </c>
      <c r="V1583" s="194" t="str">
        <f t="array" ref="V1583">IFERROR(IF(INDEX('Disaggregation Records'!$I$155:$I$385,MATCH(RIGHT(Q1583,255),RIGHT('Disaggregation Records'!$D$155:$D$385,255),0))="","",INDEX('Disaggregation Records'!$I$155:$I$385,MATCH(RIGHT(Q1583,255),RIGHT('Disaggregation Records'!$D$155:$D$385,255),0))),"")</f>
        <v/>
      </c>
      <c r="W1583" s="194" t="str">
        <f>IFERROR(INDEX('Reference Records'!L$77:L$157,MATCH(LEFT(C1583,255),'Reference Records'!E$77:E$157,0)),"")</f>
        <v/>
      </c>
    </row>
    <row r="1584" spans="1:23" s="194" customFormat="1" ht="40.4" customHeight="1" x14ac:dyDescent="0.35">
      <c r="A1584" s="770"/>
      <c r="B1584" s="767"/>
      <c r="C1584" s="761"/>
      <c r="D1584" s="769"/>
      <c r="E1584" s="769"/>
      <c r="F1584" s="208"/>
      <c r="G1584" s="763"/>
      <c r="H1584" s="744"/>
      <c r="I1584" s="765"/>
      <c r="J1584" s="730"/>
      <c r="K1584" s="761"/>
      <c r="L1584" s="761"/>
      <c r="M1584" s="730"/>
      <c r="N1584" s="730"/>
    </row>
    <row r="1585" spans="1:23" s="194" customFormat="1" ht="40.4" customHeight="1" x14ac:dyDescent="0.35">
      <c r="A1585" s="770" t="str">
        <f ca="1">INDIRECT("'update Helper'!C"&amp;U1585)</f>
        <v>a163p000004NtPUAA0</v>
      </c>
      <c r="B1585" s="766">
        <v>25</v>
      </c>
      <c r="C1585" s="760" t="str">
        <f>VLOOKUP(B1585,'Coverage Indicators - Section D'!$A$9:$AU$70,47,FALSE)</f>
        <v/>
      </c>
      <c r="D1585" s="768" t="str">
        <f>R1585</f>
        <v/>
      </c>
      <c r="E1585" s="768" t="str">
        <f>S1585</f>
        <v/>
      </c>
      <c r="F1585" s="413"/>
      <c r="G1585" s="762" t="str">
        <f ca="1">IF(OR(INDIRECT("'update Helper'!E"&amp;U1585)="",F1585&lt;&gt;0,F1586&lt;&gt;0),IF(IFERROR((F1585/F1586),"")="","",(F1585/F1586)),INDIRECT("'update Helper'!E"&amp;U1585)/100)</f>
        <v/>
      </c>
      <c r="H1585" s="743"/>
      <c r="I1585" s="764"/>
      <c r="J1585" s="729"/>
      <c r="K1585" s="760" t="str">
        <f>W1585</f>
        <v/>
      </c>
      <c r="L1585" s="760" t="str">
        <f>V1585</f>
        <v/>
      </c>
      <c r="M1585" s="729"/>
      <c r="N1585" s="729"/>
      <c r="P1585" s="194">
        <f>IF(AND(EXACT(C1585,C1583),C1583&lt;&gt;0),P1583+1,0)</f>
        <v>42</v>
      </c>
      <c r="Q1585" s="194" t="str">
        <f>IF(C1585&lt;&gt;"",C1585&amp;"-"&amp;P1585,"")</f>
        <v/>
      </c>
      <c r="R1585" s="194" t="str">
        <f t="array" ref="R1585">IFERROR(IF(INDEX('Disaggregation Records'!$E$155:$E$385,MATCH(RIGHT(Q1585,255),RIGHT('Disaggregation Records'!$D$155:$D$385,255),0))="","",INDEX('Disaggregation Records'!$E$155:$E$385,MATCH(RIGHT(Q1585,255),RIGHT('Disaggregation Records'!$D$155:$D$385,255),0))),"")</f>
        <v/>
      </c>
      <c r="S1585" s="194" t="str">
        <f t="array" ref="S1585">IFERROR(IF(INDEX('Disaggregation Records'!$F$155:$F$385,MATCH(RIGHT(Q1585,255),RIGHT('Disaggregation Records'!$D$155:$D$385,255),0))="","",INDEX('Disaggregation Records'!$F$155:$F$385,MATCH(RIGHT(Q1585,255),RIGHT('Disaggregation Records'!$D$155:$D$385,255),0))),"")</f>
        <v/>
      </c>
      <c r="T1585" s="194" t="str">
        <f t="array" ref="T1585">IFERROR(IF(INDEX('Disaggregation Records'!$H$155:$H$385,MATCH(RIGHT(Q1585,255),RIGHT('Disaggregation Records'!$D$155:$D$385,255),0))="","",INDEX('Disaggregation Records'!$H$155:$H$385,MATCH(RIGHT(Q1585,255),RIGHT('Disaggregation Records'!$D$155:$D$385,255),0))),"")</f>
        <v/>
      </c>
      <c r="U1585" s="194">
        <f>U1583+1</f>
        <v>2982</v>
      </c>
      <c r="V1585" s="194" t="str">
        <f t="array" ref="V1585">IFERROR(IF(INDEX('Disaggregation Records'!$I$155:$I$385,MATCH(RIGHT(Q1585,255),RIGHT('Disaggregation Records'!$D$155:$D$385,255),0))="","",INDEX('Disaggregation Records'!$I$155:$I$385,MATCH(RIGHT(Q1585,255),RIGHT('Disaggregation Records'!$D$155:$D$385,255),0))),"")</f>
        <v/>
      </c>
      <c r="W1585" s="194" t="str">
        <f>IFERROR(INDEX('Reference Records'!L$77:L$157,MATCH(LEFT(C1585,255),'Reference Records'!E$77:E$157,0)),"")</f>
        <v/>
      </c>
    </row>
    <row r="1586" spans="1:23" s="194" customFormat="1" ht="40.4" customHeight="1" x14ac:dyDescent="0.35">
      <c r="A1586" s="770"/>
      <c r="B1586" s="767"/>
      <c r="C1586" s="761"/>
      <c r="D1586" s="769"/>
      <c r="E1586" s="769"/>
      <c r="F1586" s="208"/>
      <c r="G1586" s="763"/>
      <c r="H1586" s="744"/>
      <c r="I1586" s="765"/>
      <c r="J1586" s="730"/>
      <c r="K1586" s="761"/>
      <c r="L1586" s="761"/>
      <c r="M1586" s="730"/>
      <c r="N1586" s="730"/>
    </row>
    <row r="1587" spans="1:23" s="194" customFormat="1" ht="40.4" customHeight="1" x14ac:dyDescent="0.35">
      <c r="A1587" s="770" t="str">
        <f ca="1">INDIRECT("'update Helper'!C"&amp;U1587)</f>
        <v>a163p000004NtPVAA0</v>
      </c>
      <c r="B1587" s="766">
        <v>25</v>
      </c>
      <c r="C1587" s="760" t="str">
        <f>VLOOKUP(B1587,'Coverage Indicators - Section D'!$A$9:$AU$70,47,FALSE)</f>
        <v/>
      </c>
      <c r="D1587" s="768" t="str">
        <f>R1587</f>
        <v/>
      </c>
      <c r="E1587" s="768" t="str">
        <f>S1587</f>
        <v/>
      </c>
      <c r="F1587" s="413"/>
      <c r="G1587" s="762" t="str">
        <f ca="1">IF(OR(INDIRECT("'update Helper'!E"&amp;U1587)="",F1587&lt;&gt;0,F1588&lt;&gt;0),IF(IFERROR((F1587/F1588),"")="","",(F1587/F1588)),INDIRECT("'update Helper'!E"&amp;U1587)/100)</f>
        <v/>
      </c>
      <c r="H1587" s="743"/>
      <c r="I1587" s="764"/>
      <c r="J1587" s="729"/>
      <c r="K1587" s="760" t="str">
        <f>W1587</f>
        <v/>
      </c>
      <c r="L1587" s="760" t="str">
        <f>V1587</f>
        <v/>
      </c>
      <c r="M1587" s="729"/>
      <c r="N1587" s="729"/>
      <c r="P1587" s="194">
        <f>IF(AND(EXACT(C1587,C1585),C1585&lt;&gt;0),P1585+1,0)</f>
        <v>43</v>
      </c>
      <c r="Q1587" s="194" t="str">
        <f>IF(C1587&lt;&gt;"",C1587&amp;"-"&amp;P1587,"")</f>
        <v/>
      </c>
      <c r="R1587" s="194" t="str">
        <f t="array" ref="R1587">IFERROR(IF(INDEX('Disaggregation Records'!$E$155:$E$385,MATCH(RIGHT(Q1587,255),RIGHT('Disaggregation Records'!$D$155:$D$385,255),0))="","",INDEX('Disaggregation Records'!$E$155:$E$385,MATCH(RIGHT(Q1587,255),RIGHT('Disaggregation Records'!$D$155:$D$385,255),0))),"")</f>
        <v/>
      </c>
      <c r="S1587" s="194" t="str">
        <f t="array" ref="S1587">IFERROR(IF(INDEX('Disaggregation Records'!$F$155:$F$385,MATCH(RIGHT(Q1587,255),RIGHT('Disaggregation Records'!$D$155:$D$385,255),0))="","",INDEX('Disaggregation Records'!$F$155:$F$385,MATCH(RIGHT(Q1587,255),RIGHT('Disaggregation Records'!$D$155:$D$385,255),0))),"")</f>
        <v/>
      </c>
      <c r="T1587" s="194" t="str">
        <f t="array" ref="T1587">IFERROR(IF(INDEX('Disaggregation Records'!$H$155:$H$385,MATCH(RIGHT(Q1587,255),RIGHT('Disaggregation Records'!$D$155:$D$385,255),0))="","",INDEX('Disaggregation Records'!$H$155:$H$385,MATCH(RIGHT(Q1587,255),RIGHT('Disaggregation Records'!$D$155:$D$385,255),0))),"")</f>
        <v/>
      </c>
      <c r="U1587" s="194">
        <f>U1585+1</f>
        <v>2983</v>
      </c>
      <c r="V1587" s="194" t="str">
        <f t="array" ref="V1587">IFERROR(IF(INDEX('Disaggregation Records'!$I$155:$I$385,MATCH(RIGHT(Q1587,255),RIGHT('Disaggregation Records'!$D$155:$D$385,255),0))="","",INDEX('Disaggregation Records'!$I$155:$I$385,MATCH(RIGHT(Q1587,255),RIGHT('Disaggregation Records'!$D$155:$D$385,255),0))),"")</f>
        <v/>
      </c>
      <c r="W1587" s="194" t="str">
        <f>IFERROR(INDEX('Reference Records'!L$77:L$157,MATCH(LEFT(C1587,255),'Reference Records'!E$77:E$157,0)),"")</f>
        <v/>
      </c>
    </row>
    <row r="1588" spans="1:23" s="194" customFormat="1" ht="40.4" customHeight="1" x14ac:dyDescent="0.35">
      <c r="A1588" s="770"/>
      <c r="B1588" s="767"/>
      <c r="C1588" s="761"/>
      <c r="D1588" s="769"/>
      <c r="E1588" s="769"/>
      <c r="F1588" s="208"/>
      <c r="G1588" s="763"/>
      <c r="H1588" s="744"/>
      <c r="I1588" s="765"/>
      <c r="J1588" s="730"/>
      <c r="K1588" s="761"/>
      <c r="L1588" s="761"/>
      <c r="M1588" s="730"/>
      <c r="N1588" s="730"/>
    </row>
    <row r="1589" spans="1:23" s="194" customFormat="1" ht="40.4" customHeight="1" x14ac:dyDescent="0.35">
      <c r="A1589" s="770" t="str">
        <f ca="1">INDIRECT("'update Helper'!C"&amp;U1589)</f>
        <v>a163p000004NtPWAA0</v>
      </c>
      <c r="B1589" s="766">
        <v>25</v>
      </c>
      <c r="C1589" s="760" t="str">
        <f>VLOOKUP(B1589,'Coverage Indicators - Section D'!$A$9:$AU$70,47,FALSE)</f>
        <v/>
      </c>
      <c r="D1589" s="768" t="str">
        <f>R1589</f>
        <v/>
      </c>
      <c r="E1589" s="768" t="str">
        <f>S1589</f>
        <v/>
      </c>
      <c r="F1589" s="413"/>
      <c r="G1589" s="762" t="str">
        <f ca="1">IF(OR(INDIRECT("'update Helper'!E"&amp;U1589)="",F1589&lt;&gt;0,F1590&lt;&gt;0),IF(IFERROR((F1589/F1590),"")="","",(F1589/F1590)),INDIRECT("'update Helper'!E"&amp;U1589)/100)</f>
        <v/>
      </c>
      <c r="H1589" s="743"/>
      <c r="I1589" s="764"/>
      <c r="J1589" s="729"/>
      <c r="K1589" s="760" t="str">
        <f>W1589</f>
        <v/>
      </c>
      <c r="L1589" s="760" t="str">
        <f>V1589</f>
        <v/>
      </c>
      <c r="M1589" s="729"/>
      <c r="N1589" s="729"/>
      <c r="P1589" s="194">
        <f>IF(AND(EXACT(C1589,C1587),C1587&lt;&gt;0),P1587+1,0)</f>
        <v>44</v>
      </c>
      <c r="Q1589" s="194" t="str">
        <f>IF(C1589&lt;&gt;"",C1589&amp;"-"&amp;P1589,"")</f>
        <v/>
      </c>
      <c r="R1589" s="194" t="str">
        <f t="array" ref="R1589">IFERROR(IF(INDEX('Disaggregation Records'!$E$155:$E$385,MATCH(RIGHT(Q1589,255),RIGHT('Disaggregation Records'!$D$155:$D$385,255),0))="","",INDEX('Disaggregation Records'!$E$155:$E$385,MATCH(RIGHT(Q1589,255),RIGHT('Disaggregation Records'!$D$155:$D$385,255),0))),"")</f>
        <v/>
      </c>
      <c r="S1589" s="194" t="str">
        <f t="array" ref="S1589">IFERROR(IF(INDEX('Disaggregation Records'!$F$155:$F$385,MATCH(RIGHT(Q1589,255),RIGHT('Disaggregation Records'!$D$155:$D$385,255),0))="","",INDEX('Disaggregation Records'!$F$155:$F$385,MATCH(RIGHT(Q1589,255),RIGHT('Disaggregation Records'!$D$155:$D$385,255),0))),"")</f>
        <v/>
      </c>
      <c r="T1589" s="194" t="str">
        <f t="array" ref="T1589">IFERROR(IF(INDEX('Disaggregation Records'!$H$155:$H$385,MATCH(RIGHT(Q1589,255),RIGHT('Disaggregation Records'!$D$155:$D$385,255),0))="","",INDEX('Disaggregation Records'!$H$155:$H$385,MATCH(RIGHT(Q1589,255),RIGHT('Disaggregation Records'!$D$155:$D$385,255),0))),"")</f>
        <v/>
      </c>
      <c r="U1589" s="194">
        <f>U1587+1</f>
        <v>2984</v>
      </c>
      <c r="V1589" s="194" t="str">
        <f t="array" ref="V1589">IFERROR(IF(INDEX('Disaggregation Records'!$I$155:$I$385,MATCH(RIGHT(Q1589,255),RIGHT('Disaggregation Records'!$D$155:$D$385,255),0))="","",INDEX('Disaggregation Records'!$I$155:$I$385,MATCH(RIGHT(Q1589,255),RIGHT('Disaggregation Records'!$D$155:$D$385,255),0))),"")</f>
        <v/>
      </c>
      <c r="W1589" s="194" t="str">
        <f>IFERROR(INDEX('Reference Records'!L$77:L$157,MATCH(LEFT(C1589,255),'Reference Records'!E$77:E$157,0)),"")</f>
        <v/>
      </c>
    </row>
    <row r="1590" spans="1:23" s="194" customFormat="1" ht="40.4" customHeight="1" x14ac:dyDescent="0.35">
      <c r="A1590" s="770"/>
      <c r="B1590" s="767"/>
      <c r="C1590" s="761"/>
      <c r="D1590" s="769"/>
      <c r="E1590" s="769"/>
      <c r="F1590" s="208"/>
      <c r="G1590" s="763"/>
      <c r="H1590" s="744"/>
      <c r="I1590" s="765"/>
      <c r="J1590" s="730"/>
      <c r="K1590" s="761"/>
      <c r="L1590" s="761"/>
      <c r="M1590" s="730"/>
      <c r="N1590" s="730"/>
    </row>
    <row r="1591" spans="1:23" s="194" customFormat="1" ht="40.4" customHeight="1" x14ac:dyDescent="0.35">
      <c r="A1591" s="770" t="str">
        <f ca="1">INDIRECT("'update Helper'!C"&amp;U1591)</f>
        <v>a163p000004NtPXAA0</v>
      </c>
      <c r="B1591" s="766">
        <v>25</v>
      </c>
      <c r="C1591" s="760" t="str">
        <f>VLOOKUP(B1591,'Coverage Indicators - Section D'!$A$9:$AU$70,47,FALSE)</f>
        <v/>
      </c>
      <c r="D1591" s="768" t="str">
        <f>R1591</f>
        <v/>
      </c>
      <c r="E1591" s="768" t="str">
        <f>S1591</f>
        <v/>
      </c>
      <c r="F1591" s="413"/>
      <c r="G1591" s="762" t="str">
        <f ca="1">IF(OR(INDIRECT("'update Helper'!E"&amp;U1591)="",F1591&lt;&gt;0,F1592&lt;&gt;0),IF(IFERROR((F1591/F1592),"")="","",(F1591/F1592)),INDIRECT("'update Helper'!E"&amp;U1591)/100)</f>
        <v/>
      </c>
      <c r="H1591" s="743"/>
      <c r="I1591" s="764"/>
      <c r="J1591" s="729"/>
      <c r="K1591" s="760" t="str">
        <f>W1591</f>
        <v/>
      </c>
      <c r="L1591" s="760" t="str">
        <f>V1591</f>
        <v/>
      </c>
      <c r="M1591" s="729"/>
      <c r="N1591" s="729"/>
      <c r="P1591" s="194">
        <f>IF(AND(EXACT(C1591,C1589),C1589&lt;&gt;0),P1589+1,0)</f>
        <v>45</v>
      </c>
      <c r="Q1591" s="194" t="str">
        <f>IF(C1591&lt;&gt;"",C1591&amp;"-"&amp;P1591,"")</f>
        <v/>
      </c>
      <c r="R1591" s="194" t="str">
        <f t="array" ref="R1591">IFERROR(IF(INDEX('Disaggregation Records'!$E$155:$E$385,MATCH(RIGHT(Q1591,255),RIGHT('Disaggregation Records'!$D$155:$D$385,255),0))="","",INDEX('Disaggregation Records'!$E$155:$E$385,MATCH(RIGHT(Q1591,255),RIGHT('Disaggregation Records'!$D$155:$D$385,255),0))),"")</f>
        <v/>
      </c>
      <c r="S1591" s="194" t="str">
        <f t="array" ref="S1591">IFERROR(IF(INDEX('Disaggregation Records'!$F$155:$F$385,MATCH(RIGHT(Q1591,255),RIGHT('Disaggregation Records'!$D$155:$D$385,255),0))="","",INDEX('Disaggregation Records'!$F$155:$F$385,MATCH(RIGHT(Q1591,255),RIGHT('Disaggregation Records'!$D$155:$D$385,255),0))),"")</f>
        <v/>
      </c>
      <c r="T1591" s="194" t="str">
        <f t="array" ref="T1591">IFERROR(IF(INDEX('Disaggregation Records'!$H$155:$H$385,MATCH(RIGHT(Q1591,255),RIGHT('Disaggregation Records'!$D$155:$D$385,255),0))="","",INDEX('Disaggregation Records'!$H$155:$H$385,MATCH(RIGHT(Q1591,255),RIGHT('Disaggregation Records'!$D$155:$D$385,255),0))),"")</f>
        <v/>
      </c>
      <c r="U1591" s="194">
        <f>U1589+1</f>
        <v>2985</v>
      </c>
      <c r="V1591" s="194" t="str">
        <f t="array" ref="V1591">IFERROR(IF(INDEX('Disaggregation Records'!$I$155:$I$385,MATCH(RIGHT(Q1591,255),RIGHT('Disaggregation Records'!$D$155:$D$385,255),0))="","",INDEX('Disaggregation Records'!$I$155:$I$385,MATCH(RIGHT(Q1591,255),RIGHT('Disaggregation Records'!$D$155:$D$385,255),0))),"")</f>
        <v/>
      </c>
      <c r="W1591" s="194" t="str">
        <f>IFERROR(INDEX('Reference Records'!L$77:L$157,MATCH(LEFT(C1591,255),'Reference Records'!E$77:E$157,0)),"")</f>
        <v/>
      </c>
    </row>
    <row r="1592" spans="1:23" s="194" customFormat="1" ht="40.4" customHeight="1" x14ac:dyDescent="0.35">
      <c r="A1592" s="770"/>
      <c r="B1592" s="767"/>
      <c r="C1592" s="761"/>
      <c r="D1592" s="769"/>
      <c r="E1592" s="769"/>
      <c r="F1592" s="208"/>
      <c r="G1592" s="763"/>
      <c r="H1592" s="744"/>
      <c r="I1592" s="765"/>
      <c r="J1592" s="730"/>
      <c r="K1592" s="761"/>
      <c r="L1592" s="761"/>
      <c r="M1592" s="730"/>
      <c r="N1592" s="730"/>
    </row>
    <row r="1593" spans="1:23" s="194" customFormat="1" ht="40.4" customHeight="1" x14ac:dyDescent="0.35">
      <c r="A1593" s="770" t="str">
        <f ca="1">INDIRECT("'update Helper'!C"&amp;U1593)</f>
        <v>a163p000004NtPYAA0</v>
      </c>
      <c r="B1593" s="766">
        <v>25</v>
      </c>
      <c r="C1593" s="760" t="str">
        <f>VLOOKUP(B1593,'Coverage Indicators - Section D'!$A$9:$AU$70,47,FALSE)</f>
        <v/>
      </c>
      <c r="D1593" s="768" t="str">
        <f>R1593</f>
        <v/>
      </c>
      <c r="E1593" s="768" t="str">
        <f>S1593</f>
        <v/>
      </c>
      <c r="F1593" s="413"/>
      <c r="G1593" s="762" t="str">
        <f ca="1">IF(OR(INDIRECT("'update Helper'!E"&amp;U1593)="",F1593&lt;&gt;0,F1594&lt;&gt;0),IF(IFERROR((F1593/F1594),"")="","",(F1593/F1594)),INDIRECT("'update Helper'!E"&amp;U1593)/100)</f>
        <v/>
      </c>
      <c r="H1593" s="743"/>
      <c r="I1593" s="764"/>
      <c r="J1593" s="729"/>
      <c r="K1593" s="760" t="str">
        <f>W1593</f>
        <v/>
      </c>
      <c r="L1593" s="760" t="str">
        <f>V1593</f>
        <v/>
      </c>
      <c r="M1593" s="729"/>
      <c r="N1593" s="729"/>
      <c r="P1593" s="194">
        <f>IF(AND(EXACT(C1593,C1591),C1591&lt;&gt;0),P1591+1,0)</f>
        <v>46</v>
      </c>
      <c r="Q1593" s="194" t="str">
        <f>IF(C1593&lt;&gt;"",C1593&amp;"-"&amp;P1593,"")</f>
        <v/>
      </c>
      <c r="R1593" s="194" t="str">
        <f t="array" ref="R1593">IFERROR(IF(INDEX('Disaggregation Records'!$E$155:$E$385,MATCH(RIGHT(Q1593,255),RIGHT('Disaggregation Records'!$D$155:$D$385,255),0))="","",INDEX('Disaggregation Records'!$E$155:$E$385,MATCH(RIGHT(Q1593,255),RIGHT('Disaggregation Records'!$D$155:$D$385,255),0))),"")</f>
        <v/>
      </c>
      <c r="S1593" s="194" t="str">
        <f t="array" ref="S1593">IFERROR(IF(INDEX('Disaggregation Records'!$F$155:$F$385,MATCH(RIGHT(Q1593,255),RIGHT('Disaggregation Records'!$D$155:$D$385,255),0))="","",INDEX('Disaggregation Records'!$F$155:$F$385,MATCH(RIGHT(Q1593,255),RIGHT('Disaggregation Records'!$D$155:$D$385,255),0))),"")</f>
        <v/>
      </c>
      <c r="T1593" s="194" t="str">
        <f t="array" ref="T1593">IFERROR(IF(INDEX('Disaggregation Records'!$H$155:$H$385,MATCH(RIGHT(Q1593,255),RIGHT('Disaggregation Records'!$D$155:$D$385,255),0))="","",INDEX('Disaggregation Records'!$H$155:$H$385,MATCH(RIGHT(Q1593,255),RIGHT('Disaggregation Records'!$D$155:$D$385,255),0))),"")</f>
        <v/>
      </c>
      <c r="U1593" s="194">
        <f>U1591+1</f>
        <v>2986</v>
      </c>
      <c r="V1593" s="194" t="str">
        <f t="array" ref="V1593">IFERROR(IF(INDEX('Disaggregation Records'!$I$155:$I$385,MATCH(RIGHT(Q1593,255),RIGHT('Disaggregation Records'!$D$155:$D$385,255),0))="","",INDEX('Disaggregation Records'!$I$155:$I$385,MATCH(RIGHT(Q1593,255),RIGHT('Disaggregation Records'!$D$155:$D$385,255),0))),"")</f>
        <v/>
      </c>
      <c r="W1593" s="194" t="str">
        <f>IFERROR(INDEX('Reference Records'!L$77:L$157,MATCH(LEFT(C1593,255),'Reference Records'!E$77:E$157,0)),"")</f>
        <v/>
      </c>
    </row>
    <row r="1594" spans="1:23" s="194" customFormat="1" ht="40.4" customHeight="1" x14ac:dyDescent="0.35">
      <c r="A1594" s="770"/>
      <c r="B1594" s="767"/>
      <c r="C1594" s="761"/>
      <c r="D1594" s="769"/>
      <c r="E1594" s="769"/>
      <c r="F1594" s="208"/>
      <c r="G1594" s="763"/>
      <c r="H1594" s="744"/>
      <c r="I1594" s="765"/>
      <c r="J1594" s="730"/>
      <c r="K1594" s="761"/>
      <c r="L1594" s="761"/>
      <c r="M1594" s="730"/>
      <c r="N1594" s="730"/>
    </row>
    <row r="1595" spans="1:23" s="194" customFormat="1" ht="40.4" customHeight="1" x14ac:dyDescent="0.35">
      <c r="A1595" s="770" t="str">
        <f ca="1">INDIRECT("'update Helper'!C"&amp;U1595)</f>
        <v>a163p000004NtPZAA0</v>
      </c>
      <c r="B1595" s="766">
        <v>25</v>
      </c>
      <c r="C1595" s="760" t="str">
        <f>VLOOKUP(B1595,'Coverage Indicators - Section D'!$A$9:$AU$70,47,FALSE)</f>
        <v/>
      </c>
      <c r="D1595" s="768" t="str">
        <f>R1595</f>
        <v/>
      </c>
      <c r="E1595" s="768" t="str">
        <f>S1595</f>
        <v/>
      </c>
      <c r="F1595" s="413"/>
      <c r="G1595" s="762" t="str">
        <f ca="1">IF(OR(INDIRECT("'update Helper'!E"&amp;U1595)="",F1595&lt;&gt;0,F1596&lt;&gt;0),IF(IFERROR((F1595/F1596),"")="","",(F1595/F1596)),INDIRECT("'update Helper'!E"&amp;U1595)/100)</f>
        <v/>
      </c>
      <c r="H1595" s="743"/>
      <c r="I1595" s="764"/>
      <c r="J1595" s="729"/>
      <c r="K1595" s="760" t="str">
        <f>W1595</f>
        <v/>
      </c>
      <c r="L1595" s="760" t="str">
        <f>V1595</f>
        <v/>
      </c>
      <c r="M1595" s="729"/>
      <c r="N1595" s="729"/>
      <c r="P1595" s="194">
        <f>IF(AND(EXACT(C1595,C1593),C1593&lt;&gt;0),P1593+1,0)</f>
        <v>47</v>
      </c>
      <c r="Q1595" s="194" t="str">
        <f>IF(C1595&lt;&gt;"",C1595&amp;"-"&amp;P1595,"")</f>
        <v/>
      </c>
      <c r="R1595" s="194" t="str">
        <f t="array" ref="R1595">IFERROR(IF(INDEX('Disaggregation Records'!$E$155:$E$385,MATCH(RIGHT(Q1595,255),RIGHT('Disaggregation Records'!$D$155:$D$385,255),0))="","",INDEX('Disaggregation Records'!$E$155:$E$385,MATCH(RIGHT(Q1595,255),RIGHT('Disaggregation Records'!$D$155:$D$385,255),0))),"")</f>
        <v/>
      </c>
      <c r="S1595" s="194" t="str">
        <f t="array" ref="S1595">IFERROR(IF(INDEX('Disaggregation Records'!$F$155:$F$385,MATCH(RIGHT(Q1595,255),RIGHT('Disaggregation Records'!$D$155:$D$385,255),0))="","",INDEX('Disaggregation Records'!$F$155:$F$385,MATCH(RIGHT(Q1595,255),RIGHT('Disaggregation Records'!$D$155:$D$385,255),0))),"")</f>
        <v/>
      </c>
      <c r="T1595" s="194" t="str">
        <f t="array" ref="T1595">IFERROR(IF(INDEX('Disaggregation Records'!$H$155:$H$385,MATCH(RIGHT(Q1595,255),RIGHT('Disaggregation Records'!$D$155:$D$385,255),0))="","",INDEX('Disaggregation Records'!$H$155:$H$385,MATCH(RIGHT(Q1595,255),RIGHT('Disaggregation Records'!$D$155:$D$385,255),0))),"")</f>
        <v/>
      </c>
      <c r="U1595" s="194">
        <f>U1593+1</f>
        <v>2987</v>
      </c>
      <c r="V1595" s="194" t="str">
        <f t="array" ref="V1595">IFERROR(IF(INDEX('Disaggregation Records'!$I$155:$I$385,MATCH(RIGHT(Q1595,255),RIGHT('Disaggregation Records'!$D$155:$D$385,255),0))="","",INDEX('Disaggregation Records'!$I$155:$I$385,MATCH(RIGHT(Q1595,255),RIGHT('Disaggregation Records'!$D$155:$D$385,255),0))),"")</f>
        <v/>
      </c>
      <c r="W1595" s="194" t="str">
        <f>IFERROR(INDEX('Reference Records'!L$77:L$157,MATCH(LEFT(C1595,255),'Reference Records'!E$77:E$157,0)),"")</f>
        <v/>
      </c>
    </row>
    <row r="1596" spans="1:23" s="194" customFormat="1" ht="40.4" customHeight="1" x14ac:dyDescent="0.35">
      <c r="A1596" s="770"/>
      <c r="B1596" s="767"/>
      <c r="C1596" s="761"/>
      <c r="D1596" s="769"/>
      <c r="E1596" s="769"/>
      <c r="F1596" s="208"/>
      <c r="G1596" s="763"/>
      <c r="H1596" s="744"/>
      <c r="I1596" s="765"/>
      <c r="J1596" s="730"/>
      <c r="K1596" s="761"/>
      <c r="L1596" s="761"/>
      <c r="M1596" s="730"/>
      <c r="N1596" s="730"/>
    </row>
    <row r="1597" spans="1:23" s="194" customFormat="1" ht="40.4" customHeight="1" x14ac:dyDescent="0.35">
      <c r="A1597" s="770" t="str">
        <f ca="1">INDIRECT("'update Helper'!C"&amp;U1597)</f>
        <v>a163p000004NtPaAAK</v>
      </c>
      <c r="B1597" s="766">
        <v>25</v>
      </c>
      <c r="C1597" s="760" t="str">
        <f>VLOOKUP(B1597,'Coverage Indicators - Section D'!$A$9:$AU$70,47,FALSE)</f>
        <v/>
      </c>
      <c r="D1597" s="768" t="str">
        <f>R1597</f>
        <v/>
      </c>
      <c r="E1597" s="768" t="str">
        <f>S1597</f>
        <v/>
      </c>
      <c r="F1597" s="413"/>
      <c r="G1597" s="762" t="str">
        <f ca="1">IF(OR(INDIRECT("'update Helper'!E"&amp;U1597)="",F1597&lt;&gt;0,F1598&lt;&gt;0),IF(IFERROR((F1597/F1598),"")="","",(F1597/F1598)),INDIRECT("'update Helper'!E"&amp;U1597)/100)</f>
        <v/>
      </c>
      <c r="H1597" s="743"/>
      <c r="I1597" s="764"/>
      <c r="J1597" s="729"/>
      <c r="K1597" s="760" t="str">
        <f>W1597</f>
        <v/>
      </c>
      <c r="L1597" s="760" t="str">
        <f>V1597</f>
        <v/>
      </c>
      <c r="M1597" s="729"/>
      <c r="N1597" s="729"/>
      <c r="P1597" s="194">
        <f>IF(AND(EXACT(C1597,C1595),C1595&lt;&gt;0),P1595+1,0)</f>
        <v>48</v>
      </c>
      <c r="Q1597" s="194" t="str">
        <f>IF(C1597&lt;&gt;"",C1597&amp;"-"&amp;P1597,"")</f>
        <v/>
      </c>
      <c r="R1597" s="194" t="str">
        <f t="array" ref="R1597">IFERROR(IF(INDEX('Disaggregation Records'!$E$155:$E$385,MATCH(RIGHT(Q1597,255),RIGHT('Disaggregation Records'!$D$155:$D$385,255),0))="","",INDEX('Disaggregation Records'!$E$155:$E$385,MATCH(RIGHT(Q1597,255),RIGHT('Disaggregation Records'!$D$155:$D$385,255),0))),"")</f>
        <v/>
      </c>
      <c r="S1597" s="194" t="str">
        <f t="array" ref="S1597">IFERROR(IF(INDEX('Disaggregation Records'!$F$155:$F$385,MATCH(RIGHT(Q1597,255),RIGHT('Disaggregation Records'!$D$155:$D$385,255),0))="","",INDEX('Disaggregation Records'!$F$155:$F$385,MATCH(RIGHT(Q1597,255),RIGHT('Disaggregation Records'!$D$155:$D$385,255),0))),"")</f>
        <v/>
      </c>
      <c r="T1597" s="194" t="str">
        <f t="array" ref="T1597">IFERROR(IF(INDEX('Disaggregation Records'!$H$155:$H$385,MATCH(RIGHT(Q1597,255),RIGHT('Disaggregation Records'!$D$155:$D$385,255),0))="","",INDEX('Disaggregation Records'!$H$155:$H$385,MATCH(RIGHT(Q1597,255),RIGHT('Disaggregation Records'!$D$155:$D$385,255),0))),"")</f>
        <v/>
      </c>
      <c r="U1597" s="194">
        <f>U1595+1</f>
        <v>2988</v>
      </c>
      <c r="V1597" s="194" t="str">
        <f t="array" ref="V1597">IFERROR(IF(INDEX('Disaggregation Records'!$I$155:$I$385,MATCH(RIGHT(Q1597,255),RIGHT('Disaggregation Records'!$D$155:$D$385,255),0))="","",INDEX('Disaggregation Records'!$I$155:$I$385,MATCH(RIGHT(Q1597,255),RIGHT('Disaggregation Records'!$D$155:$D$385,255),0))),"")</f>
        <v/>
      </c>
      <c r="W1597" s="194" t="str">
        <f>IFERROR(INDEX('Reference Records'!L$77:L$157,MATCH(LEFT(C1597,255),'Reference Records'!E$77:E$157,0)),"")</f>
        <v/>
      </c>
    </row>
    <row r="1598" spans="1:23" s="194" customFormat="1" ht="40.4" customHeight="1" x14ac:dyDescent="0.35">
      <c r="A1598" s="770"/>
      <c r="B1598" s="767"/>
      <c r="C1598" s="761"/>
      <c r="D1598" s="769"/>
      <c r="E1598" s="769"/>
      <c r="F1598" s="208"/>
      <c r="G1598" s="763"/>
      <c r="H1598" s="744"/>
      <c r="I1598" s="765"/>
      <c r="J1598" s="730"/>
      <c r="K1598" s="761"/>
      <c r="L1598" s="761"/>
      <c r="M1598" s="730"/>
      <c r="N1598" s="730"/>
    </row>
    <row r="1599" spans="1:23" s="194" customFormat="1" ht="40.4" customHeight="1" x14ac:dyDescent="0.35">
      <c r="A1599" s="770" t="str">
        <f ca="1">INDIRECT("'update Helper'!C"&amp;U1599)</f>
        <v>a163p000004NtPbAAK</v>
      </c>
      <c r="B1599" s="766">
        <v>25</v>
      </c>
      <c r="C1599" s="760" t="str">
        <f>VLOOKUP(B1599,'Coverage Indicators - Section D'!$A$9:$AU$70,47,FALSE)</f>
        <v/>
      </c>
      <c r="D1599" s="768" t="str">
        <f>R1599</f>
        <v/>
      </c>
      <c r="E1599" s="768" t="str">
        <f>S1599</f>
        <v/>
      </c>
      <c r="F1599" s="413"/>
      <c r="G1599" s="762" t="str">
        <f ca="1">IF(OR(INDIRECT("'update Helper'!E"&amp;U1599)="",F1599&lt;&gt;0,F1600&lt;&gt;0),IF(IFERROR((F1599/F1600),"")="","",(F1599/F1600)),INDIRECT("'update Helper'!E"&amp;U1599)/100)</f>
        <v/>
      </c>
      <c r="H1599" s="743"/>
      <c r="I1599" s="764"/>
      <c r="J1599" s="729"/>
      <c r="K1599" s="760" t="str">
        <f>W1599</f>
        <v/>
      </c>
      <c r="L1599" s="760" t="str">
        <f>V1599</f>
        <v/>
      </c>
      <c r="M1599" s="729"/>
      <c r="N1599" s="729"/>
      <c r="P1599" s="194">
        <f>IF(AND(EXACT(C1599,C1597),C1597&lt;&gt;0),P1597+1,0)</f>
        <v>49</v>
      </c>
      <c r="Q1599" s="194" t="str">
        <f>IF(C1599&lt;&gt;"",C1599&amp;"-"&amp;P1599,"")</f>
        <v/>
      </c>
      <c r="R1599" s="194" t="str">
        <f t="array" ref="R1599">IFERROR(IF(INDEX('Disaggregation Records'!$E$155:$E$385,MATCH(RIGHT(Q1599,255),RIGHT('Disaggregation Records'!$D$155:$D$385,255),0))="","",INDEX('Disaggregation Records'!$E$155:$E$385,MATCH(RIGHT(Q1599,255),RIGHT('Disaggregation Records'!$D$155:$D$385,255),0))),"")</f>
        <v/>
      </c>
      <c r="S1599" s="194" t="str">
        <f t="array" ref="S1599">IFERROR(IF(INDEX('Disaggregation Records'!$F$155:$F$385,MATCH(RIGHT(Q1599,255),RIGHT('Disaggregation Records'!$D$155:$D$385,255),0))="","",INDEX('Disaggregation Records'!$F$155:$F$385,MATCH(RIGHT(Q1599,255),RIGHT('Disaggregation Records'!$D$155:$D$385,255),0))),"")</f>
        <v/>
      </c>
      <c r="T1599" s="194" t="str">
        <f t="array" ref="T1599">IFERROR(IF(INDEX('Disaggregation Records'!$H$155:$H$385,MATCH(RIGHT(Q1599,255),RIGHT('Disaggregation Records'!$D$155:$D$385,255),0))="","",INDEX('Disaggregation Records'!$H$155:$H$385,MATCH(RIGHT(Q1599,255),RIGHT('Disaggregation Records'!$D$155:$D$385,255),0))),"")</f>
        <v/>
      </c>
      <c r="U1599" s="194">
        <f>U1597+1</f>
        <v>2989</v>
      </c>
      <c r="V1599" s="194" t="str">
        <f t="array" ref="V1599">IFERROR(IF(INDEX('Disaggregation Records'!$I$155:$I$385,MATCH(RIGHT(Q1599,255),RIGHT('Disaggregation Records'!$D$155:$D$385,255),0))="","",INDEX('Disaggregation Records'!$I$155:$I$385,MATCH(RIGHT(Q1599,255),RIGHT('Disaggregation Records'!$D$155:$D$385,255),0))),"")</f>
        <v/>
      </c>
      <c r="W1599" s="194" t="str">
        <f>IFERROR(INDEX('Reference Records'!L$77:L$157,MATCH(LEFT(C1599,255),'Reference Records'!E$77:E$157,0)),"")</f>
        <v/>
      </c>
    </row>
    <row r="1600" spans="1:23" s="194" customFormat="1" ht="40.4" customHeight="1" x14ac:dyDescent="0.35">
      <c r="A1600" s="770"/>
      <c r="B1600" s="767"/>
      <c r="C1600" s="761"/>
      <c r="D1600" s="769"/>
      <c r="E1600" s="769"/>
      <c r="F1600" s="208"/>
      <c r="G1600" s="763"/>
      <c r="H1600" s="744"/>
      <c r="I1600" s="765"/>
      <c r="J1600" s="730"/>
      <c r="K1600" s="761"/>
      <c r="L1600" s="761"/>
      <c r="M1600" s="730"/>
      <c r="N1600" s="730"/>
    </row>
    <row r="1601" spans="1:23" s="194" customFormat="1" ht="40.4" customHeight="1" x14ac:dyDescent="0.35">
      <c r="A1601" s="770" t="str">
        <f ca="1">INDIRECT("'update Helper'!C"&amp;U1601)</f>
        <v>a163p000004NtPcAAK</v>
      </c>
      <c r="B1601" s="766">
        <v>25</v>
      </c>
      <c r="C1601" s="760" t="str">
        <f>VLOOKUP(B1601,'Coverage Indicators - Section D'!$A$9:$AU$70,47,FALSE)</f>
        <v/>
      </c>
      <c r="D1601" s="768" t="str">
        <f>R1601</f>
        <v/>
      </c>
      <c r="E1601" s="768" t="str">
        <f>S1601</f>
        <v/>
      </c>
      <c r="F1601" s="413"/>
      <c r="G1601" s="762" t="str">
        <f ca="1">IF(OR(INDIRECT("'update Helper'!E"&amp;U1601)="",F1601&lt;&gt;0,F1602&lt;&gt;0),IF(IFERROR((F1601/F1602),"")="","",(F1601/F1602)),INDIRECT("'update Helper'!E"&amp;U1601)/100)</f>
        <v/>
      </c>
      <c r="H1601" s="743"/>
      <c r="I1601" s="764"/>
      <c r="J1601" s="729"/>
      <c r="K1601" s="760" t="str">
        <f>W1601</f>
        <v/>
      </c>
      <c r="L1601" s="760" t="str">
        <f>V1601</f>
        <v/>
      </c>
      <c r="M1601" s="729"/>
      <c r="N1601" s="729"/>
      <c r="P1601" s="194">
        <f>IF(AND(EXACT(C1601,C1599),C1599&lt;&gt;0),P1599+1,0)</f>
        <v>50</v>
      </c>
      <c r="Q1601" s="194" t="str">
        <f>IF(C1601&lt;&gt;"",C1601&amp;"-"&amp;P1601,"")</f>
        <v/>
      </c>
      <c r="R1601" s="194" t="str">
        <f t="array" ref="R1601">IFERROR(IF(INDEX('Disaggregation Records'!$E$155:$E$385,MATCH(RIGHT(Q1601,255),RIGHT('Disaggregation Records'!$D$155:$D$385,255),0))="","",INDEX('Disaggregation Records'!$E$155:$E$385,MATCH(RIGHT(Q1601,255),RIGHT('Disaggregation Records'!$D$155:$D$385,255),0))),"")</f>
        <v/>
      </c>
      <c r="S1601" s="194" t="str">
        <f t="array" ref="S1601">IFERROR(IF(INDEX('Disaggregation Records'!$F$155:$F$385,MATCH(RIGHT(Q1601,255),RIGHT('Disaggregation Records'!$D$155:$D$385,255),0))="","",INDEX('Disaggregation Records'!$F$155:$F$385,MATCH(RIGHT(Q1601,255),RIGHT('Disaggregation Records'!$D$155:$D$385,255),0))),"")</f>
        <v/>
      </c>
      <c r="T1601" s="194" t="str">
        <f t="array" ref="T1601">IFERROR(IF(INDEX('Disaggregation Records'!$H$155:$H$385,MATCH(RIGHT(Q1601,255),RIGHT('Disaggregation Records'!$D$155:$D$385,255),0))="","",INDEX('Disaggregation Records'!$H$155:$H$385,MATCH(RIGHT(Q1601,255),RIGHT('Disaggregation Records'!$D$155:$D$385,255),0))),"")</f>
        <v/>
      </c>
      <c r="U1601" s="194">
        <f>U1599+1</f>
        <v>2990</v>
      </c>
      <c r="V1601" s="194" t="str">
        <f t="array" ref="V1601">IFERROR(IF(INDEX('Disaggregation Records'!$I$155:$I$385,MATCH(RIGHT(Q1601,255),RIGHT('Disaggregation Records'!$D$155:$D$385,255),0))="","",INDEX('Disaggregation Records'!$I$155:$I$385,MATCH(RIGHT(Q1601,255),RIGHT('Disaggregation Records'!$D$155:$D$385,255),0))),"")</f>
        <v/>
      </c>
      <c r="W1601" s="194" t="str">
        <f>IFERROR(INDEX('Reference Records'!L$77:L$157,MATCH(LEFT(C1601,255),'Reference Records'!E$77:E$157,0)),"")</f>
        <v/>
      </c>
    </row>
    <row r="1602" spans="1:23" s="194" customFormat="1" ht="40.4" customHeight="1" x14ac:dyDescent="0.35">
      <c r="A1602" s="770"/>
      <c r="B1602" s="767"/>
      <c r="C1602" s="761"/>
      <c r="D1602" s="769"/>
      <c r="E1602" s="769"/>
      <c r="F1602" s="208"/>
      <c r="G1602" s="763"/>
      <c r="H1602" s="744"/>
      <c r="I1602" s="765"/>
      <c r="J1602" s="730"/>
      <c r="K1602" s="761"/>
      <c r="L1602" s="761"/>
      <c r="M1602" s="730"/>
      <c r="N1602" s="730"/>
    </row>
    <row r="1603" spans="1:23" s="194" customFormat="1" ht="40.4" customHeight="1" x14ac:dyDescent="0.35">
      <c r="A1603" s="770" t="str">
        <f ca="1">INDIRECT("'update Helper'!C"&amp;U1603)</f>
        <v>a163p000004NtPdAAK</v>
      </c>
      <c r="B1603" s="766">
        <v>25</v>
      </c>
      <c r="C1603" s="760" t="str">
        <f>VLOOKUP(B1603,'Coverage Indicators - Section D'!$A$9:$AU$70,47,FALSE)</f>
        <v/>
      </c>
      <c r="D1603" s="768" t="str">
        <f>R1603</f>
        <v/>
      </c>
      <c r="E1603" s="768" t="str">
        <f>S1603</f>
        <v/>
      </c>
      <c r="F1603" s="413"/>
      <c r="G1603" s="762" t="str">
        <f ca="1">IF(OR(INDIRECT("'update Helper'!E"&amp;U1603)="",F1603&lt;&gt;0,F1604&lt;&gt;0),IF(IFERROR((F1603/F1604),"")="","",(F1603/F1604)),INDIRECT("'update Helper'!E"&amp;U1603)/100)</f>
        <v/>
      </c>
      <c r="H1603" s="743"/>
      <c r="I1603" s="764"/>
      <c r="J1603" s="729"/>
      <c r="K1603" s="760" t="str">
        <f>W1603</f>
        <v/>
      </c>
      <c r="L1603" s="760" t="str">
        <f>V1603</f>
        <v/>
      </c>
      <c r="M1603" s="729"/>
      <c r="N1603" s="729"/>
      <c r="P1603" s="194">
        <f>IF(AND(EXACT(C1603,C1601),C1601&lt;&gt;0),P1601+1,0)</f>
        <v>51</v>
      </c>
      <c r="Q1603" s="194" t="str">
        <f>IF(C1603&lt;&gt;"",C1603&amp;"-"&amp;P1603,"")</f>
        <v/>
      </c>
      <c r="R1603" s="194" t="str">
        <f t="array" ref="R1603">IFERROR(IF(INDEX('Disaggregation Records'!$E$155:$E$385,MATCH(RIGHT(Q1603,255),RIGHT('Disaggregation Records'!$D$155:$D$385,255),0))="","",INDEX('Disaggregation Records'!$E$155:$E$385,MATCH(RIGHT(Q1603,255),RIGHT('Disaggregation Records'!$D$155:$D$385,255),0))),"")</f>
        <v/>
      </c>
      <c r="S1603" s="194" t="str">
        <f t="array" ref="S1603">IFERROR(IF(INDEX('Disaggregation Records'!$F$155:$F$385,MATCH(RIGHT(Q1603,255),RIGHT('Disaggregation Records'!$D$155:$D$385,255),0))="","",INDEX('Disaggregation Records'!$F$155:$F$385,MATCH(RIGHT(Q1603,255),RIGHT('Disaggregation Records'!$D$155:$D$385,255),0))),"")</f>
        <v/>
      </c>
      <c r="T1603" s="194" t="str">
        <f t="array" ref="T1603">IFERROR(IF(INDEX('Disaggregation Records'!$H$155:$H$385,MATCH(RIGHT(Q1603,255),RIGHT('Disaggregation Records'!$D$155:$D$385,255),0))="","",INDEX('Disaggregation Records'!$H$155:$H$385,MATCH(RIGHT(Q1603,255),RIGHT('Disaggregation Records'!$D$155:$D$385,255),0))),"")</f>
        <v/>
      </c>
      <c r="U1603" s="194">
        <f>U1601+1</f>
        <v>2991</v>
      </c>
      <c r="V1603" s="194" t="str">
        <f t="array" ref="V1603">IFERROR(IF(INDEX('Disaggregation Records'!$I$155:$I$385,MATCH(RIGHT(Q1603,255),RIGHT('Disaggregation Records'!$D$155:$D$385,255),0))="","",INDEX('Disaggregation Records'!$I$155:$I$385,MATCH(RIGHT(Q1603,255),RIGHT('Disaggregation Records'!$D$155:$D$385,255),0))),"")</f>
        <v/>
      </c>
      <c r="W1603" s="194" t="str">
        <f>IFERROR(INDEX('Reference Records'!L$77:L$157,MATCH(LEFT(C1603,255),'Reference Records'!E$77:E$157,0)),"")</f>
        <v/>
      </c>
    </row>
    <row r="1604" spans="1:23" s="194" customFormat="1" ht="40.4" customHeight="1" x14ac:dyDescent="0.35">
      <c r="A1604" s="770"/>
      <c r="B1604" s="767"/>
      <c r="C1604" s="761"/>
      <c r="D1604" s="769"/>
      <c r="E1604" s="769"/>
      <c r="F1604" s="208"/>
      <c r="G1604" s="763"/>
      <c r="H1604" s="744"/>
      <c r="I1604" s="765"/>
      <c r="J1604" s="730"/>
      <c r="K1604" s="761"/>
      <c r="L1604" s="761"/>
      <c r="M1604" s="730"/>
      <c r="N1604" s="730"/>
    </row>
    <row r="1605" spans="1:23" s="194" customFormat="1" ht="40.4" customHeight="1" x14ac:dyDescent="0.35">
      <c r="A1605" s="770" t="str">
        <f ca="1">INDIRECT("'update Helper'!C"&amp;U1605)</f>
        <v>a163p000004NtPeAAK</v>
      </c>
      <c r="B1605" s="766">
        <v>25</v>
      </c>
      <c r="C1605" s="760" t="str">
        <f>VLOOKUP(B1605,'Coverage Indicators - Section D'!$A$9:$AU$70,47,FALSE)</f>
        <v/>
      </c>
      <c r="D1605" s="768" t="str">
        <f>R1605</f>
        <v/>
      </c>
      <c r="E1605" s="768" t="str">
        <f>S1605</f>
        <v/>
      </c>
      <c r="F1605" s="413"/>
      <c r="G1605" s="762" t="str">
        <f ca="1">IF(OR(INDIRECT("'update Helper'!E"&amp;U1605)="",F1605&lt;&gt;0,F1606&lt;&gt;0),IF(IFERROR((F1605/F1606),"")="","",(F1605/F1606)),INDIRECT("'update Helper'!E"&amp;U1605)/100)</f>
        <v/>
      </c>
      <c r="H1605" s="743"/>
      <c r="I1605" s="764"/>
      <c r="J1605" s="729"/>
      <c r="K1605" s="760" t="str">
        <f>W1605</f>
        <v/>
      </c>
      <c r="L1605" s="760" t="str">
        <f>V1605</f>
        <v/>
      </c>
      <c r="M1605" s="729"/>
      <c r="N1605" s="729"/>
      <c r="P1605" s="194">
        <f>IF(AND(EXACT(C1605,C1603),C1603&lt;&gt;0),P1603+1,0)</f>
        <v>52</v>
      </c>
      <c r="Q1605" s="194" t="str">
        <f>IF(C1605&lt;&gt;"",C1605&amp;"-"&amp;P1605,"")</f>
        <v/>
      </c>
      <c r="R1605" s="194" t="str">
        <f t="array" ref="R1605">IFERROR(IF(INDEX('Disaggregation Records'!$E$155:$E$385,MATCH(RIGHT(Q1605,255),RIGHT('Disaggregation Records'!$D$155:$D$385,255),0))="","",INDEX('Disaggregation Records'!$E$155:$E$385,MATCH(RIGHT(Q1605,255),RIGHT('Disaggregation Records'!$D$155:$D$385,255),0))),"")</f>
        <v/>
      </c>
      <c r="S1605" s="194" t="str">
        <f t="array" ref="S1605">IFERROR(IF(INDEX('Disaggregation Records'!$F$155:$F$385,MATCH(RIGHT(Q1605,255),RIGHT('Disaggregation Records'!$D$155:$D$385,255),0))="","",INDEX('Disaggregation Records'!$F$155:$F$385,MATCH(RIGHT(Q1605,255),RIGHT('Disaggregation Records'!$D$155:$D$385,255),0))),"")</f>
        <v/>
      </c>
      <c r="T1605" s="194" t="str">
        <f t="array" ref="T1605">IFERROR(IF(INDEX('Disaggregation Records'!$H$155:$H$385,MATCH(RIGHT(Q1605,255),RIGHT('Disaggregation Records'!$D$155:$D$385,255),0))="","",INDEX('Disaggregation Records'!$H$155:$H$385,MATCH(RIGHT(Q1605,255),RIGHT('Disaggregation Records'!$D$155:$D$385,255),0))),"")</f>
        <v/>
      </c>
      <c r="U1605" s="194">
        <f>U1603+1</f>
        <v>2992</v>
      </c>
      <c r="V1605" s="194" t="str">
        <f t="array" ref="V1605">IFERROR(IF(INDEX('Disaggregation Records'!$I$155:$I$385,MATCH(RIGHT(Q1605,255),RIGHT('Disaggregation Records'!$D$155:$D$385,255),0))="","",INDEX('Disaggregation Records'!$I$155:$I$385,MATCH(RIGHT(Q1605,255),RIGHT('Disaggregation Records'!$D$155:$D$385,255),0))),"")</f>
        <v/>
      </c>
      <c r="W1605" s="194" t="str">
        <f>IFERROR(INDEX('Reference Records'!L$77:L$157,MATCH(LEFT(C1605,255),'Reference Records'!E$77:E$157,0)),"")</f>
        <v/>
      </c>
    </row>
    <row r="1606" spans="1:23" s="194" customFormat="1" ht="40.4" customHeight="1" x14ac:dyDescent="0.35">
      <c r="A1606" s="770"/>
      <c r="B1606" s="767"/>
      <c r="C1606" s="761"/>
      <c r="D1606" s="769"/>
      <c r="E1606" s="769"/>
      <c r="F1606" s="208"/>
      <c r="G1606" s="763"/>
      <c r="H1606" s="744"/>
      <c r="I1606" s="765"/>
      <c r="J1606" s="730"/>
      <c r="K1606" s="761"/>
      <c r="L1606" s="761"/>
      <c r="M1606" s="730"/>
      <c r="N1606" s="730"/>
    </row>
    <row r="1607" spans="1:23" s="194" customFormat="1" ht="40.4" customHeight="1" x14ac:dyDescent="0.35">
      <c r="A1607" s="770" t="str">
        <f ca="1">INDIRECT("'update Helper'!C"&amp;U1607)</f>
        <v>a163p000004NtPfAAK</v>
      </c>
      <c r="B1607" s="766">
        <v>25</v>
      </c>
      <c r="C1607" s="760" t="str">
        <f>VLOOKUP(B1607,'Coverage Indicators - Section D'!$A$9:$AU$70,47,FALSE)</f>
        <v/>
      </c>
      <c r="D1607" s="768" t="str">
        <f>R1607</f>
        <v/>
      </c>
      <c r="E1607" s="768" t="str">
        <f>S1607</f>
        <v/>
      </c>
      <c r="F1607" s="413"/>
      <c r="G1607" s="762" t="str">
        <f ca="1">IF(OR(INDIRECT("'update Helper'!E"&amp;U1607)="",F1607&lt;&gt;0,F1608&lt;&gt;0),IF(IFERROR((F1607/F1608),"")="","",(F1607/F1608)),INDIRECT("'update Helper'!E"&amp;U1607)/100)</f>
        <v/>
      </c>
      <c r="H1607" s="743"/>
      <c r="I1607" s="764"/>
      <c r="J1607" s="729"/>
      <c r="K1607" s="760" t="str">
        <f>W1607</f>
        <v/>
      </c>
      <c r="L1607" s="760" t="str">
        <f>V1607</f>
        <v/>
      </c>
      <c r="M1607" s="729"/>
      <c r="N1607" s="729"/>
      <c r="P1607" s="194">
        <f>IF(AND(EXACT(C1607,C1605),C1605&lt;&gt;0),P1605+1,0)</f>
        <v>53</v>
      </c>
      <c r="Q1607" s="194" t="str">
        <f>IF(C1607&lt;&gt;"",C1607&amp;"-"&amp;P1607,"")</f>
        <v/>
      </c>
      <c r="R1607" s="194" t="str">
        <f t="array" ref="R1607">IFERROR(IF(INDEX('Disaggregation Records'!$E$155:$E$385,MATCH(RIGHT(Q1607,255),RIGHT('Disaggregation Records'!$D$155:$D$385,255),0))="","",INDEX('Disaggregation Records'!$E$155:$E$385,MATCH(RIGHT(Q1607,255),RIGHT('Disaggregation Records'!$D$155:$D$385,255),0))),"")</f>
        <v/>
      </c>
      <c r="S1607" s="194" t="str">
        <f t="array" ref="S1607">IFERROR(IF(INDEX('Disaggregation Records'!$F$155:$F$385,MATCH(RIGHT(Q1607,255),RIGHT('Disaggregation Records'!$D$155:$D$385,255),0))="","",INDEX('Disaggregation Records'!$F$155:$F$385,MATCH(RIGHT(Q1607,255),RIGHT('Disaggregation Records'!$D$155:$D$385,255),0))),"")</f>
        <v/>
      </c>
      <c r="T1607" s="194" t="str">
        <f t="array" ref="T1607">IFERROR(IF(INDEX('Disaggregation Records'!$H$155:$H$385,MATCH(RIGHT(Q1607,255),RIGHT('Disaggregation Records'!$D$155:$D$385,255),0))="","",INDEX('Disaggregation Records'!$H$155:$H$385,MATCH(RIGHT(Q1607,255),RIGHT('Disaggregation Records'!$D$155:$D$385,255),0))),"")</f>
        <v/>
      </c>
      <c r="U1607" s="194">
        <f>U1605+1</f>
        <v>2993</v>
      </c>
      <c r="V1607" s="194" t="str">
        <f t="array" ref="V1607">IFERROR(IF(INDEX('Disaggregation Records'!$I$155:$I$385,MATCH(RIGHT(Q1607,255),RIGHT('Disaggregation Records'!$D$155:$D$385,255),0))="","",INDEX('Disaggregation Records'!$I$155:$I$385,MATCH(RIGHT(Q1607,255),RIGHT('Disaggregation Records'!$D$155:$D$385,255),0))),"")</f>
        <v/>
      </c>
      <c r="W1607" s="194" t="str">
        <f>IFERROR(INDEX('Reference Records'!L$77:L$157,MATCH(LEFT(C1607,255),'Reference Records'!E$77:E$157,0)),"")</f>
        <v/>
      </c>
    </row>
    <row r="1608" spans="1:23" s="194" customFormat="1" ht="40.4" customHeight="1" x14ac:dyDescent="0.35">
      <c r="A1608" s="770"/>
      <c r="B1608" s="767"/>
      <c r="C1608" s="761"/>
      <c r="D1608" s="769"/>
      <c r="E1608" s="769"/>
      <c r="F1608" s="208"/>
      <c r="G1608" s="763"/>
      <c r="H1608" s="744"/>
      <c r="I1608" s="765"/>
      <c r="J1608" s="730"/>
      <c r="K1608" s="761"/>
      <c r="L1608" s="761"/>
      <c r="M1608" s="730"/>
      <c r="N1608" s="730"/>
    </row>
    <row r="1609" spans="1:23" s="194" customFormat="1" ht="40.4" customHeight="1" x14ac:dyDescent="0.35">
      <c r="A1609" s="770" t="str">
        <f ca="1">INDIRECT("'update Helper'!C"&amp;U1609)</f>
        <v>a163p000004NtPgAAK</v>
      </c>
      <c r="B1609" s="766">
        <v>25</v>
      </c>
      <c r="C1609" s="760" t="str">
        <f>VLOOKUP(B1609,'Coverage Indicators - Section D'!$A$9:$AU$70,47,FALSE)</f>
        <v/>
      </c>
      <c r="D1609" s="768" t="str">
        <f>R1609</f>
        <v/>
      </c>
      <c r="E1609" s="768" t="str">
        <f>S1609</f>
        <v/>
      </c>
      <c r="F1609" s="413"/>
      <c r="G1609" s="762" t="str">
        <f ca="1">IF(OR(INDIRECT("'update Helper'!E"&amp;U1609)="",F1609&lt;&gt;0,F1610&lt;&gt;0),IF(IFERROR((F1609/F1610),"")="","",(F1609/F1610)),INDIRECT("'update Helper'!E"&amp;U1609)/100)</f>
        <v/>
      </c>
      <c r="H1609" s="743"/>
      <c r="I1609" s="764"/>
      <c r="J1609" s="729"/>
      <c r="K1609" s="760" t="str">
        <f>W1609</f>
        <v/>
      </c>
      <c r="L1609" s="760" t="str">
        <f>V1609</f>
        <v/>
      </c>
      <c r="M1609" s="729"/>
      <c r="N1609" s="729"/>
      <c r="P1609" s="194">
        <f>IF(AND(EXACT(C1609,C1607),C1607&lt;&gt;0),P1607+1,0)</f>
        <v>54</v>
      </c>
      <c r="Q1609" s="194" t="str">
        <f>IF(C1609&lt;&gt;"",C1609&amp;"-"&amp;P1609,"")</f>
        <v/>
      </c>
      <c r="R1609" s="194" t="str">
        <f t="array" ref="R1609">IFERROR(IF(INDEX('Disaggregation Records'!$E$155:$E$385,MATCH(RIGHT(Q1609,255),RIGHT('Disaggregation Records'!$D$155:$D$385,255),0))="","",INDEX('Disaggregation Records'!$E$155:$E$385,MATCH(RIGHT(Q1609,255),RIGHT('Disaggregation Records'!$D$155:$D$385,255),0))),"")</f>
        <v/>
      </c>
      <c r="S1609" s="194" t="str">
        <f t="array" ref="S1609">IFERROR(IF(INDEX('Disaggregation Records'!$F$155:$F$385,MATCH(RIGHT(Q1609,255),RIGHT('Disaggregation Records'!$D$155:$D$385,255),0))="","",INDEX('Disaggregation Records'!$F$155:$F$385,MATCH(RIGHT(Q1609,255),RIGHT('Disaggregation Records'!$D$155:$D$385,255),0))),"")</f>
        <v/>
      </c>
      <c r="T1609" s="194" t="str">
        <f t="array" ref="T1609">IFERROR(IF(INDEX('Disaggregation Records'!$H$155:$H$385,MATCH(RIGHT(Q1609,255),RIGHT('Disaggregation Records'!$D$155:$D$385,255),0))="","",INDEX('Disaggregation Records'!$H$155:$H$385,MATCH(RIGHT(Q1609,255),RIGHT('Disaggregation Records'!$D$155:$D$385,255),0))),"")</f>
        <v/>
      </c>
      <c r="U1609" s="194">
        <f>U1607+1</f>
        <v>2994</v>
      </c>
      <c r="V1609" s="194" t="str">
        <f t="array" ref="V1609">IFERROR(IF(INDEX('Disaggregation Records'!$I$155:$I$385,MATCH(RIGHT(Q1609,255),RIGHT('Disaggregation Records'!$D$155:$D$385,255),0))="","",INDEX('Disaggregation Records'!$I$155:$I$385,MATCH(RIGHT(Q1609,255),RIGHT('Disaggregation Records'!$D$155:$D$385,255),0))),"")</f>
        <v/>
      </c>
      <c r="W1609" s="194" t="str">
        <f>IFERROR(INDEX('Reference Records'!L$77:L$157,MATCH(LEFT(C1609,255),'Reference Records'!E$77:E$157,0)),"")</f>
        <v/>
      </c>
    </row>
    <row r="1610" spans="1:23" s="194" customFormat="1" ht="40.4" customHeight="1" x14ac:dyDescent="0.35">
      <c r="A1610" s="770"/>
      <c r="B1610" s="767"/>
      <c r="C1610" s="761"/>
      <c r="D1610" s="769"/>
      <c r="E1610" s="769"/>
      <c r="F1610" s="208"/>
      <c r="G1610" s="763"/>
      <c r="H1610" s="744"/>
      <c r="I1610" s="765"/>
      <c r="J1610" s="730"/>
      <c r="K1610" s="761"/>
      <c r="L1610" s="761"/>
      <c r="M1610" s="730"/>
      <c r="N1610" s="730"/>
    </row>
    <row r="1611" spans="1:23" s="194" customFormat="1" ht="40.4" customHeight="1" x14ac:dyDescent="0.35">
      <c r="A1611" s="770" t="str">
        <f ca="1">INDIRECT("'update Helper'!C"&amp;U1611)</f>
        <v>a163p000004NtPhAAK</v>
      </c>
      <c r="B1611" s="766">
        <v>25</v>
      </c>
      <c r="C1611" s="760" t="str">
        <f>VLOOKUP(B1611,'Coverage Indicators - Section D'!$A$9:$AU$70,47,FALSE)</f>
        <v/>
      </c>
      <c r="D1611" s="768" t="str">
        <f>R1611</f>
        <v/>
      </c>
      <c r="E1611" s="768" t="str">
        <f>S1611</f>
        <v/>
      </c>
      <c r="F1611" s="413"/>
      <c r="G1611" s="762" t="str">
        <f ca="1">IF(OR(INDIRECT("'update Helper'!E"&amp;U1611)="",F1611&lt;&gt;0,F1612&lt;&gt;0),IF(IFERROR((F1611/F1612),"")="","",(F1611/F1612)),INDIRECT("'update Helper'!E"&amp;U1611)/100)</f>
        <v/>
      </c>
      <c r="H1611" s="743"/>
      <c r="I1611" s="764"/>
      <c r="J1611" s="729"/>
      <c r="K1611" s="760" t="str">
        <f>W1611</f>
        <v/>
      </c>
      <c r="L1611" s="760" t="str">
        <f>V1611</f>
        <v/>
      </c>
      <c r="M1611" s="729"/>
      <c r="N1611" s="729"/>
      <c r="P1611" s="194">
        <f>IF(AND(EXACT(C1611,C1609),C1609&lt;&gt;0),P1609+1,0)</f>
        <v>55</v>
      </c>
      <c r="Q1611" s="194" t="str">
        <f>IF(C1611&lt;&gt;"",C1611&amp;"-"&amp;P1611,"")</f>
        <v/>
      </c>
      <c r="R1611" s="194" t="str">
        <f t="array" ref="R1611">IFERROR(IF(INDEX('Disaggregation Records'!$E$155:$E$385,MATCH(RIGHT(Q1611,255),RIGHT('Disaggregation Records'!$D$155:$D$385,255),0))="","",INDEX('Disaggregation Records'!$E$155:$E$385,MATCH(RIGHT(Q1611,255),RIGHT('Disaggregation Records'!$D$155:$D$385,255),0))),"")</f>
        <v/>
      </c>
      <c r="S1611" s="194" t="str">
        <f t="array" ref="S1611">IFERROR(IF(INDEX('Disaggregation Records'!$F$155:$F$385,MATCH(RIGHT(Q1611,255),RIGHT('Disaggregation Records'!$D$155:$D$385,255),0))="","",INDEX('Disaggregation Records'!$F$155:$F$385,MATCH(RIGHT(Q1611,255),RIGHT('Disaggregation Records'!$D$155:$D$385,255),0))),"")</f>
        <v/>
      </c>
      <c r="T1611" s="194" t="str">
        <f t="array" ref="T1611">IFERROR(IF(INDEX('Disaggregation Records'!$H$155:$H$385,MATCH(RIGHT(Q1611,255),RIGHT('Disaggregation Records'!$D$155:$D$385,255),0))="","",INDEX('Disaggregation Records'!$H$155:$H$385,MATCH(RIGHT(Q1611,255),RIGHT('Disaggregation Records'!$D$155:$D$385,255),0))),"")</f>
        <v/>
      </c>
      <c r="U1611" s="194">
        <f>U1609+1</f>
        <v>2995</v>
      </c>
      <c r="V1611" s="194" t="str">
        <f t="array" ref="V1611">IFERROR(IF(INDEX('Disaggregation Records'!$I$155:$I$385,MATCH(RIGHT(Q1611,255),RIGHT('Disaggregation Records'!$D$155:$D$385,255),0))="","",INDEX('Disaggregation Records'!$I$155:$I$385,MATCH(RIGHT(Q1611,255),RIGHT('Disaggregation Records'!$D$155:$D$385,255),0))),"")</f>
        <v/>
      </c>
      <c r="W1611" s="194" t="str">
        <f>IFERROR(INDEX('Reference Records'!L$77:L$157,MATCH(LEFT(C1611,255),'Reference Records'!E$77:E$157,0)),"")</f>
        <v/>
      </c>
    </row>
    <row r="1612" spans="1:23" s="194" customFormat="1" ht="40.4" customHeight="1" x14ac:dyDescent="0.35">
      <c r="A1612" s="770"/>
      <c r="B1612" s="767"/>
      <c r="C1612" s="761"/>
      <c r="D1612" s="769"/>
      <c r="E1612" s="769"/>
      <c r="F1612" s="208"/>
      <c r="G1612" s="763"/>
      <c r="H1612" s="744"/>
      <c r="I1612" s="765"/>
      <c r="J1612" s="730"/>
      <c r="K1612" s="761"/>
      <c r="L1612" s="761"/>
      <c r="M1612" s="730"/>
      <c r="N1612" s="730"/>
    </row>
    <row r="1613" spans="1:23" s="194" customFormat="1" ht="40.4" customHeight="1" x14ac:dyDescent="0.35">
      <c r="A1613" s="770" t="str">
        <f ca="1">INDIRECT("'update Helper'!C"&amp;U1613)</f>
        <v>a163p000004NtPiAAK</v>
      </c>
      <c r="B1613" s="766">
        <v>25</v>
      </c>
      <c r="C1613" s="760" t="str">
        <f>VLOOKUP(B1613,'Coverage Indicators - Section D'!$A$9:$AU$70,47,FALSE)</f>
        <v/>
      </c>
      <c r="D1613" s="768" t="str">
        <f>R1613</f>
        <v/>
      </c>
      <c r="E1613" s="768" t="str">
        <f>S1613</f>
        <v/>
      </c>
      <c r="F1613" s="413"/>
      <c r="G1613" s="762" t="str">
        <f ca="1">IF(OR(INDIRECT("'update Helper'!E"&amp;U1613)="",F1613&lt;&gt;0,F1614&lt;&gt;0),IF(IFERROR((F1613/F1614),"")="","",(F1613/F1614)),INDIRECT("'update Helper'!E"&amp;U1613)/100)</f>
        <v/>
      </c>
      <c r="H1613" s="743"/>
      <c r="I1613" s="764"/>
      <c r="J1613" s="729"/>
      <c r="K1613" s="760" t="str">
        <f>W1613</f>
        <v/>
      </c>
      <c r="L1613" s="760" t="str">
        <f>V1613</f>
        <v/>
      </c>
      <c r="M1613" s="729"/>
      <c r="N1613" s="729"/>
      <c r="P1613" s="194">
        <f>IF(AND(EXACT(C1613,C1611),C1611&lt;&gt;0),P1611+1,0)</f>
        <v>56</v>
      </c>
      <c r="Q1613" s="194" t="str">
        <f>IF(C1613&lt;&gt;"",C1613&amp;"-"&amp;P1613,"")</f>
        <v/>
      </c>
      <c r="R1613" s="194" t="str">
        <f t="array" ref="R1613">IFERROR(IF(INDEX('Disaggregation Records'!$E$155:$E$385,MATCH(RIGHT(Q1613,255),RIGHT('Disaggregation Records'!$D$155:$D$385,255),0))="","",INDEX('Disaggregation Records'!$E$155:$E$385,MATCH(RIGHT(Q1613,255),RIGHT('Disaggregation Records'!$D$155:$D$385,255),0))),"")</f>
        <v/>
      </c>
      <c r="S1613" s="194" t="str">
        <f t="array" ref="S1613">IFERROR(IF(INDEX('Disaggregation Records'!$F$155:$F$385,MATCH(RIGHT(Q1613,255),RIGHT('Disaggregation Records'!$D$155:$D$385,255),0))="","",INDEX('Disaggregation Records'!$F$155:$F$385,MATCH(RIGHT(Q1613,255),RIGHT('Disaggregation Records'!$D$155:$D$385,255),0))),"")</f>
        <v/>
      </c>
      <c r="T1613" s="194" t="str">
        <f t="array" ref="T1613">IFERROR(IF(INDEX('Disaggregation Records'!$H$155:$H$385,MATCH(RIGHT(Q1613,255),RIGHT('Disaggregation Records'!$D$155:$D$385,255),0))="","",INDEX('Disaggregation Records'!$H$155:$H$385,MATCH(RIGHT(Q1613,255),RIGHT('Disaggregation Records'!$D$155:$D$385,255),0))),"")</f>
        <v/>
      </c>
      <c r="U1613" s="194">
        <f>U1611+1</f>
        <v>2996</v>
      </c>
      <c r="V1613" s="194" t="str">
        <f t="array" ref="V1613">IFERROR(IF(INDEX('Disaggregation Records'!$I$155:$I$385,MATCH(RIGHT(Q1613,255),RIGHT('Disaggregation Records'!$D$155:$D$385,255),0))="","",INDEX('Disaggregation Records'!$I$155:$I$385,MATCH(RIGHT(Q1613,255),RIGHT('Disaggregation Records'!$D$155:$D$385,255),0))),"")</f>
        <v/>
      </c>
      <c r="W1613" s="194" t="str">
        <f>IFERROR(INDEX('Reference Records'!L$77:L$157,MATCH(LEFT(C1613,255),'Reference Records'!E$77:E$157,0)),"")</f>
        <v/>
      </c>
    </row>
    <row r="1614" spans="1:23" s="194" customFormat="1" ht="40.4" customHeight="1" x14ac:dyDescent="0.35">
      <c r="A1614" s="770"/>
      <c r="B1614" s="767"/>
      <c r="C1614" s="761"/>
      <c r="D1614" s="769"/>
      <c r="E1614" s="769"/>
      <c r="F1614" s="208"/>
      <c r="G1614" s="763"/>
      <c r="H1614" s="744"/>
      <c r="I1614" s="765"/>
      <c r="J1614" s="730"/>
      <c r="K1614" s="761"/>
      <c r="L1614" s="761"/>
      <c r="M1614" s="730"/>
      <c r="N1614" s="730"/>
    </row>
    <row r="1615" spans="1:23" s="194" customFormat="1" ht="40.4" customHeight="1" x14ac:dyDescent="0.35">
      <c r="A1615" s="770" t="str">
        <f ca="1">INDIRECT("'update Helper'!C"&amp;U1615)</f>
        <v>a163p000004NtPjAAK</v>
      </c>
      <c r="B1615" s="766">
        <v>25</v>
      </c>
      <c r="C1615" s="760" t="str">
        <f>VLOOKUP(B1615,'Coverage Indicators - Section D'!$A$9:$AU$70,47,FALSE)</f>
        <v/>
      </c>
      <c r="D1615" s="768" t="str">
        <f>R1615</f>
        <v/>
      </c>
      <c r="E1615" s="768" t="str">
        <f>S1615</f>
        <v/>
      </c>
      <c r="F1615" s="413"/>
      <c r="G1615" s="762" t="str">
        <f ca="1">IF(OR(INDIRECT("'update Helper'!E"&amp;U1615)="",F1615&lt;&gt;0,F1616&lt;&gt;0),IF(IFERROR((F1615/F1616),"")="","",(F1615/F1616)),INDIRECT("'update Helper'!E"&amp;U1615)/100)</f>
        <v/>
      </c>
      <c r="H1615" s="743"/>
      <c r="I1615" s="764"/>
      <c r="J1615" s="729"/>
      <c r="K1615" s="760" t="str">
        <f>W1615</f>
        <v/>
      </c>
      <c r="L1615" s="760" t="str">
        <f>V1615</f>
        <v/>
      </c>
      <c r="M1615" s="729"/>
      <c r="N1615" s="729"/>
      <c r="P1615" s="194">
        <f>IF(AND(EXACT(C1615,C1613),C1613&lt;&gt;0),P1613+1,0)</f>
        <v>57</v>
      </c>
      <c r="Q1615" s="194" t="str">
        <f>IF(C1615&lt;&gt;"",C1615&amp;"-"&amp;P1615,"")</f>
        <v/>
      </c>
      <c r="R1615" s="194" t="str">
        <f t="array" ref="R1615">IFERROR(IF(INDEX('Disaggregation Records'!$E$155:$E$385,MATCH(RIGHT(Q1615,255),RIGHT('Disaggregation Records'!$D$155:$D$385,255),0))="","",INDEX('Disaggregation Records'!$E$155:$E$385,MATCH(RIGHT(Q1615,255),RIGHT('Disaggregation Records'!$D$155:$D$385,255),0))),"")</f>
        <v/>
      </c>
      <c r="S1615" s="194" t="str">
        <f t="array" ref="S1615">IFERROR(IF(INDEX('Disaggregation Records'!$F$155:$F$385,MATCH(RIGHT(Q1615,255),RIGHT('Disaggregation Records'!$D$155:$D$385,255),0))="","",INDEX('Disaggregation Records'!$F$155:$F$385,MATCH(RIGHT(Q1615,255),RIGHT('Disaggregation Records'!$D$155:$D$385,255),0))),"")</f>
        <v/>
      </c>
      <c r="T1615" s="194" t="str">
        <f t="array" ref="T1615">IFERROR(IF(INDEX('Disaggregation Records'!$H$155:$H$385,MATCH(RIGHT(Q1615,255),RIGHT('Disaggregation Records'!$D$155:$D$385,255),0))="","",INDEX('Disaggregation Records'!$H$155:$H$385,MATCH(RIGHT(Q1615,255),RIGHT('Disaggregation Records'!$D$155:$D$385,255),0))),"")</f>
        <v/>
      </c>
      <c r="U1615" s="194">
        <f>U1613+1</f>
        <v>2997</v>
      </c>
      <c r="V1615" s="194" t="str">
        <f t="array" ref="V1615">IFERROR(IF(INDEX('Disaggregation Records'!$I$155:$I$385,MATCH(RIGHT(Q1615,255),RIGHT('Disaggregation Records'!$D$155:$D$385,255),0))="","",INDEX('Disaggregation Records'!$I$155:$I$385,MATCH(RIGHT(Q1615,255),RIGHT('Disaggregation Records'!$D$155:$D$385,255),0))),"")</f>
        <v/>
      </c>
      <c r="W1615" s="194" t="str">
        <f>IFERROR(INDEX('Reference Records'!L$77:L$157,MATCH(LEFT(C1615,255),'Reference Records'!E$77:E$157,0)),"")</f>
        <v/>
      </c>
    </row>
    <row r="1616" spans="1:23" s="194" customFormat="1" ht="40.4" customHeight="1" x14ac:dyDescent="0.35">
      <c r="A1616" s="770"/>
      <c r="B1616" s="767"/>
      <c r="C1616" s="761"/>
      <c r="D1616" s="769"/>
      <c r="E1616" s="769"/>
      <c r="F1616" s="208"/>
      <c r="G1616" s="763"/>
      <c r="H1616" s="744"/>
      <c r="I1616" s="765"/>
      <c r="J1616" s="730"/>
      <c r="K1616" s="761"/>
      <c r="L1616" s="761"/>
      <c r="M1616" s="730"/>
      <c r="N1616" s="730"/>
    </row>
    <row r="1617" spans="1:23" s="194" customFormat="1" ht="40.4" customHeight="1" x14ac:dyDescent="0.35">
      <c r="A1617" s="770" t="str">
        <f ca="1">INDIRECT("'update Helper'!C"&amp;U1617)</f>
        <v>a163p000004NtPkAAK</v>
      </c>
      <c r="B1617" s="766">
        <v>25</v>
      </c>
      <c r="C1617" s="760" t="str">
        <f>VLOOKUP(B1617,'Coverage Indicators - Section D'!$A$9:$AU$70,47,FALSE)</f>
        <v/>
      </c>
      <c r="D1617" s="768" t="str">
        <f>R1617</f>
        <v/>
      </c>
      <c r="E1617" s="768" t="str">
        <f>S1617</f>
        <v/>
      </c>
      <c r="F1617" s="413"/>
      <c r="G1617" s="762" t="str">
        <f ca="1">IF(OR(INDIRECT("'update Helper'!E"&amp;U1617)="",F1617&lt;&gt;0,F1618&lt;&gt;0),IF(IFERROR((F1617/F1618),"")="","",(F1617/F1618)),INDIRECT("'update Helper'!E"&amp;U1617)/100)</f>
        <v/>
      </c>
      <c r="H1617" s="743"/>
      <c r="I1617" s="764"/>
      <c r="J1617" s="729"/>
      <c r="K1617" s="760" t="str">
        <f>W1617</f>
        <v/>
      </c>
      <c r="L1617" s="760" t="str">
        <f>V1617</f>
        <v/>
      </c>
      <c r="M1617" s="729"/>
      <c r="N1617" s="729"/>
      <c r="P1617" s="194">
        <f>IF(AND(EXACT(C1617,C1615),C1615&lt;&gt;0),P1615+1,0)</f>
        <v>58</v>
      </c>
      <c r="Q1617" s="194" t="str">
        <f>IF(C1617&lt;&gt;"",C1617&amp;"-"&amp;P1617,"")</f>
        <v/>
      </c>
      <c r="R1617" s="194" t="str">
        <f t="array" ref="R1617">IFERROR(IF(INDEX('Disaggregation Records'!$E$155:$E$385,MATCH(RIGHT(Q1617,255),RIGHT('Disaggregation Records'!$D$155:$D$385,255),0))="","",INDEX('Disaggregation Records'!$E$155:$E$385,MATCH(RIGHT(Q1617,255),RIGHT('Disaggregation Records'!$D$155:$D$385,255),0))),"")</f>
        <v/>
      </c>
      <c r="S1617" s="194" t="str">
        <f t="array" ref="S1617">IFERROR(IF(INDEX('Disaggregation Records'!$F$155:$F$385,MATCH(RIGHT(Q1617,255),RIGHT('Disaggregation Records'!$D$155:$D$385,255),0))="","",INDEX('Disaggregation Records'!$F$155:$F$385,MATCH(RIGHT(Q1617,255),RIGHT('Disaggregation Records'!$D$155:$D$385,255),0))),"")</f>
        <v/>
      </c>
      <c r="T1617" s="194" t="str">
        <f t="array" ref="T1617">IFERROR(IF(INDEX('Disaggregation Records'!$H$155:$H$385,MATCH(RIGHT(Q1617,255),RIGHT('Disaggregation Records'!$D$155:$D$385,255),0))="","",INDEX('Disaggregation Records'!$H$155:$H$385,MATCH(RIGHT(Q1617,255),RIGHT('Disaggregation Records'!$D$155:$D$385,255),0))),"")</f>
        <v/>
      </c>
      <c r="U1617" s="194">
        <f>U1615+1</f>
        <v>2998</v>
      </c>
      <c r="V1617" s="194" t="str">
        <f t="array" ref="V1617">IFERROR(IF(INDEX('Disaggregation Records'!$I$155:$I$385,MATCH(RIGHT(Q1617,255),RIGHT('Disaggregation Records'!$D$155:$D$385,255),0))="","",INDEX('Disaggregation Records'!$I$155:$I$385,MATCH(RIGHT(Q1617,255),RIGHT('Disaggregation Records'!$D$155:$D$385,255),0))),"")</f>
        <v/>
      </c>
      <c r="W1617" s="194" t="str">
        <f>IFERROR(INDEX('Reference Records'!L$77:L$157,MATCH(LEFT(C1617,255),'Reference Records'!E$77:E$157,0)),"")</f>
        <v/>
      </c>
    </row>
    <row r="1618" spans="1:23" s="194" customFormat="1" ht="40.4" customHeight="1" x14ac:dyDescent="0.35">
      <c r="A1618" s="770"/>
      <c r="B1618" s="767"/>
      <c r="C1618" s="761"/>
      <c r="D1618" s="769"/>
      <c r="E1618" s="769"/>
      <c r="F1618" s="208"/>
      <c r="G1618" s="763"/>
      <c r="H1618" s="744"/>
      <c r="I1618" s="765"/>
      <c r="J1618" s="730"/>
      <c r="K1618" s="761"/>
      <c r="L1618" s="761"/>
      <c r="M1618" s="730"/>
      <c r="N1618" s="730"/>
    </row>
    <row r="1619" spans="1:23" s="194" customFormat="1" ht="40.4" customHeight="1" x14ac:dyDescent="0.35">
      <c r="A1619" s="770" t="str">
        <f ca="1">INDIRECT("'update Helper'!C"&amp;U1619)</f>
        <v>a163p000004NtPlAAK</v>
      </c>
      <c r="B1619" s="766">
        <v>25</v>
      </c>
      <c r="C1619" s="760" t="str">
        <f>VLOOKUP(B1619,'Coverage Indicators - Section D'!$A$9:$AU$70,47,FALSE)</f>
        <v/>
      </c>
      <c r="D1619" s="768" t="str">
        <f>R1619</f>
        <v/>
      </c>
      <c r="E1619" s="768" t="str">
        <f>S1619</f>
        <v/>
      </c>
      <c r="F1619" s="413"/>
      <c r="G1619" s="762" t="str">
        <f ca="1">IF(OR(INDIRECT("'update Helper'!E"&amp;U1619)="",F1619&lt;&gt;0,F1620&lt;&gt;0),IF(IFERROR((F1619/F1620),"")="","",(F1619/F1620)),INDIRECT("'update Helper'!E"&amp;U1619)/100)</f>
        <v/>
      </c>
      <c r="H1619" s="743"/>
      <c r="I1619" s="764"/>
      <c r="J1619" s="729"/>
      <c r="K1619" s="760" t="str">
        <f>W1619</f>
        <v/>
      </c>
      <c r="L1619" s="760" t="str">
        <f>V1619</f>
        <v/>
      </c>
      <c r="M1619" s="729"/>
      <c r="N1619" s="729"/>
      <c r="P1619" s="194">
        <f>IF(AND(EXACT(C1619,C1617),C1617&lt;&gt;0),P1617+1,0)</f>
        <v>59</v>
      </c>
      <c r="Q1619" s="194" t="str">
        <f>IF(C1619&lt;&gt;"",C1619&amp;"-"&amp;P1619,"")</f>
        <v/>
      </c>
      <c r="R1619" s="194" t="str">
        <f t="array" ref="R1619">IFERROR(IF(INDEX('Disaggregation Records'!$E$155:$E$385,MATCH(RIGHT(Q1619,255),RIGHT('Disaggregation Records'!$D$155:$D$385,255),0))="","",INDEX('Disaggregation Records'!$E$155:$E$385,MATCH(RIGHT(Q1619,255),RIGHT('Disaggregation Records'!$D$155:$D$385,255),0))),"")</f>
        <v/>
      </c>
      <c r="S1619" s="194" t="str">
        <f t="array" ref="S1619">IFERROR(IF(INDEX('Disaggregation Records'!$F$155:$F$385,MATCH(RIGHT(Q1619,255),RIGHT('Disaggregation Records'!$D$155:$D$385,255),0))="","",INDEX('Disaggregation Records'!$F$155:$F$385,MATCH(RIGHT(Q1619,255),RIGHT('Disaggregation Records'!$D$155:$D$385,255),0))),"")</f>
        <v/>
      </c>
      <c r="T1619" s="194" t="str">
        <f t="array" ref="T1619">IFERROR(IF(INDEX('Disaggregation Records'!$H$155:$H$385,MATCH(RIGHT(Q1619,255),RIGHT('Disaggregation Records'!$D$155:$D$385,255),0))="","",INDEX('Disaggregation Records'!$H$155:$H$385,MATCH(RIGHT(Q1619,255),RIGHT('Disaggregation Records'!$D$155:$D$385,255),0))),"")</f>
        <v/>
      </c>
      <c r="U1619" s="194">
        <f>U1617+1</f>
        <v>2999</v>
      </c>
      <c r="V1619" s="194" t="str">
        <f t="array" ref="V1619">IFERROR(IF(INDEX('Disaggregation Records'!$I$155:$I$385,MATCH(RIGHT(Q1619,255),RIGHT('Disaggregation Records'!$D$155:$D$385,255),0))="","",INDEX('Disaggregation Records'!$I$155:$I$385,MATCH(RIGHT(Q1619,255),RIGHT('Disaggregation Records'!$D$155:$D$385,255),0))),"")</f>
        <v/>
      </c>
      <c r="W1619" s="194" t="str">
        <f>IFERROR(INDEX('Reference Records'!L$77:L$157,MATCH(LEFT(C1619,255),'Reference Records'!E$77:E$157,0)),"")</f>
        <v/>
      </c>
    </row>
    <row r="1620" spans="1:23" s="194" customFormat="1" ht="40.4" customHeight="1" x14ac:dyDescent="0.35">
      <c r="A1620" s="770"/>
      <c r="B1620" s="767"/>
      <c r="C1620" s="761"/>
      <c r="D1620" s="769"/>
      <c r="E1620" s="769"/>
      <c r="F1620" s="208"/>
      <c r="G1620" s="763"/>
      <c r="H1620" s="744"/>
      <c r="I1620" s="765"/>
      <c r="J1620" s="730"/>
      <c r="K1620" s="761"/>
      <c r="L1620" s="761"/>
      <c r="M1620" s="730"/>
      <c r="N1620" s="730"/>
    </row>
    <row r="1621" spans="1:23" s="194" customFormat="1" ht="40.4" customHeight="1" x14ac:dyDescent="0.35">
      <c r="A1621" s="770" t="str">
        <f ca="1">INDIRECT("'update Helper'!C"&amp;U1621)</f>
        <v>a163p000004NtZ8AAK</v>
      </c>
      <c r="B1621" s="766">
        <v>26</v>
      </c>
      <c r="C1621" s="760" t="str">
        <f>VLOOKUP(B1621,'Coverage Indicators - Section D'!$A$9:$AU$70,47,FALSE)</f>
        <v/>
      </c>
      <c r="D1621" s="768" t="str">
        <f>R1621</f>
        <v/>
      </c>
      <c r="E1621" s="768" t="str">
        <f>S1621</f>
        <v/>
      </c>
      <c r="F1621" s="413"/>
      <c r="G1621" s="762" t="str">
        <f ca="1">IF(OR(INDIRECT("'update Helper'!E"&amp;U1621)="",F1621&lt;&gt;0,F1622&lt;&gt;0),IF(IFERROR((F1621/F1622),"")="","",(F1621/F1622)),INDIRECT("'update Helper'!E"&amp;U1621)/100)</f>
        <v/>
      </c>
      <c r="H1621" s="743"/>
      <c r="I1621" s="764"/>
      <c r="J1621" s="729"/>
      <c r="K1621" s="760" t="str">
        <f>W1621</f>
        <v/>
      </c>
      <c r="L1621" s="760" t="str">
        <f>V1621</f>
        <v/>
      </c>
      <c r="M1621" s="729"/>
      <c r="N1621" s="729"/>
      <c r="P1621" s="194">
        <f>IF(AND(EXACT(C1621,C1619),C1619&lt;&gt;0),P1619+1,0)</f>
        <v>60</v>
      </c>
      <c r="Q1621" s="194" t="str">
        <f>IF(C1621&lt;&gt;"",C1621&amp;"-"&amp;P1621,"")</f>
        <v/>
      </c>
      <c r="R1621" s="194" t="str">
        <f t="array" ref="R1621">IFERROR(IF(INDEX('Disaggregation Records'!$E$155:$E$385,MATCH(RIGHT(Q1621,255),RIGHT('Disaggregation Records'!$D$155:$D$385,255),0))="","",INDEX('Disaggregation Records'!$E$155:$E$385,MATCH(RIGHT(Q1621,255),RIGHT('Disaggregation Records'!$D$155:$D$385,255),0))),"")</f>
        <v/>
      </c>
      <c r="S1621" s="194" t="str">
        <f t="array" ref="S1621">IFERROR(IF(INDEX('Disaggregation Records'!$F$155:$F$385,MATCH(RIGHT(Q1621,255),RIGHT('Disaggregation Records'!$D$155:$D$385,255),0))="","",INDEX('Disaggregation Records'!$F$155:$F$385,MATCH(RIGHT(Q1621,255),RIGHT('Disaggregation Records'!$D$155:$D$385,255),0))),"")</f>
        <v/>
      </c>
      <c r="T1621" s="194" t="str">
        <f t="array" ref="T1621">IFERROR(IF(INDEX('Disaggregation Records'!$H$155:$H$385,MATCH(RIGHT(Q1621,255),RIGHT('Disaggregation Records'!$D$155:$D$385,255),0))="","",INDEX('Disaggregation Records'!$H$155:$H$385,MATCH(RIGHT(Q1621,255),RIGHT('Disaggregation Records'!$D$155:$D$385,255),0))),"")</f>
        <v/>
      </c>
      <c r="U1621" s="194">
        <f>U1619+1</f>
        <v>3000</v>
      </c>
      <c r="V1621" s="194" t="str">
        <f t="array" ref="V1621">IFERROR(IF(INDEX('Disaggregation Records'!$I$155:$I$385,MATCH(RIGHT(Q1621,255),RIGHT('Disaggregation Records'!$D$155:$D$385,255),0))="","",INDEX('Disaggregation Records'!$I$155:$I$385,MATCH(RIGHT(Q1621,255),RIGHT('Disaggregation Records'!$D$155:$D$385,255),0))),"")</f>
        <v/>
      </c>
      <c r="W1621" s="194" t="str">
        <f>IFERROR(INDEX('Reference Records'!L$77:L$157,MATCH(LEFT(C1621,255),'Reference Records'!E$77:E$157,0)),"")</f>
        <v/>
      </c>
    </row>
    <row r="1622" spans="1:23" s="194" customFormat="1" ht="40.4" customHeight="1" x14ac:dyDescent="0.35">
      <c r="A1622" s="770"/>
      <c r="B1622" s="767"/>
      <c r="C1622" s="761"/>
      <c r="D1622" s="769"/>
      <c r="E1622" s="769"/>
      <c r="F1622" s="208"/>
      <c r="G1622" s="763"/>
      <c r="H1622" s="744"/>
      <c r="I1622" s="765"/>
      <c r="J1622" s="730"/>
      <c r="K1622" s="761"/>
      <c r="L1622" s="761"/>
      <c r="M1622" s="730"/>
      <c r="N1622" s="730"/>
    </row>
    <row r="1623" spans="1:23" s="194" customFormat="1" ht="40.4" customHeight="1" x14ac:dyDescent="0.35">
      <c r="A1623" s="770" t="str">
        <f ca="1">INDIRECT("'update Helper'!C"&amp;U1623)</f>
        <v>a163p000004NtZ9AAK</v>
      </c>
      <c r="B1623" s="766">
        <v>26</v>
      </c>
      <c r="C1623" s="760" t="str">
        <f>VLOOKUP(B1623,'Coverage Indicators - Section D'!$A$9:$AU$70,47,FALSE)</f>
        <v/>
      </c>
      <c r="D1623" s="768" t="str">
        <f>R1623</f>
        <v/>
      </c>
      <c r="E1623" s="768" t="str">
        <f>S1623</f>
        <v/>
      </c>
      <c r="F1623" s="413"/>
      <c r="G1623" s="762" t="str">
        <f ca="1">IF(OR(INDIRECT("'update Helper'!E"&amp;U1623)="",F1623&lt;&gt;0,F1624&lt;&gt;0),IF(IFERROR((F1623/F1624),"")="","",(F1623/F1624)),INDIRECT("'update Helper'!E"&amp;U1623)/100)</f>
        <v/>
      </c>
      <c r="H1623" s="743"/>
      <c r="I1623" s="764"/>
      <c r="J1623" s="729"/>
      <c r="K1623" s="760" t="str">
        <f>W1623</f>
        <v/>
      </c>
      <c r="L1623" s="760" t="str">
        <f>V1623</f>
        <v/>
      </c>
      <c r="M1623" s="729"/>
      <c r="N1623" s="729"/>
      <c r="P1623" s="194">
        <f>IF(AND(EXACT(C1623,C1621),C1621&lt;&gt;0),P1621+1,0)</f>
        <v>61</v>
      </c>
      <c r="Q1623" s="194" t="str">
        <f>IF(C1623&lt;&gt;"",C1623&amp;"-"&amp;P1623,"")</f>
        <v/>
      </c>
      <c r="R1623" s="194" t="str">
        <f t="array" ref="R1623">IFERROR(IF(INDEX('Disaggregation Records'!$E$155:$E$385,MATCH(RIGHT(Q1623,255),RIGHT('Disaggregation Records'!$D$155:$D$385,255),0))="","",INDEX('Disaggregation Records'!$E$155:$E$385,MATCH(RIGHT(Q1623,255),RIGHT('Disaggregation Records'!$D$155:$D$385,255),0))),"")</f>
        <v/>
      </c>
      <c r="S1623" s="194" t="str">
        <f t="array" ref="S1623">IFERROR(IF(INDEX('Disaggregation Records'!$F$155:$F$385,MATCH(RIGHT(Q1623,255),RIGHT('Disaggregation Records'!$D$155:$D$385,255),0))="","",INDEX('Disaggregation Records'!$F$155:$F$385,MATCH(RIGHT(Q1623,255),RIGHT('Disaggregation Records'!$D$155:$D$385,255),0))),"")</f>
        <v/>
      </c>
      <c r="T1623" s="194" t="str">
        <f t="array" ref="T1623">IFERROR(IF(INDEX('Disaggregation Records'!$H$155:$H$385,MATCH(RIGHT(Q1623,255),RIGHT('Disaggregation Records'!$D$155:$D$385,255),0))="","",INDEX('Disaggregation Records'!$H$155:$H$385,MATCH(RIGHT(Q1623,255),RIGHT('Disaggregation Records'!$D$155:$D$385,255),0))),"")</f>
        <v/>
      </c>
      <c r="U1623" s="194">
        <f>U1621+1</f>
        <v>3001</v>
      </c>
      <c r="V1623" s="194" t="str">
        <f t="array" ref="V1623">IFERROR(IF(INDEX('Disaggregation Records'!$I$155:$I$385,MATCH(RIGHT(Q1623,255),RIGHT('Disaggregation Records'!$D$155:$D$385,255),0))="","",INDEX('Disaggregation Records'!$I$155:$I$385,MATCH(RIGHT(Q1623,255),RIGHT('Disaggregation Records'!$D$155:$D$385,255),0))),"")</f>
        <v/>
      </c>
      <c r="W1623" s="194" t="str">
        <f>IFERROR(INDEX('Reference Records'!L$77:L$157,MATCH(LEFT(C1623,255),'Reference Records'!E$77:E$157,0)),"")</f>
        <v/>
      </c>
    </row>
    <row r="1624" spans="1:23" s="194" customFormat="1" ht="40.4" customHeight="1" x14ac:dyDescent="0.35">
      <c r="A1624" s="770"/>
      <c r="B1624" s="767"/>
      <c r="C1624" s="761"/>
      <c r="D1624" s="769"/>
      <c r="E1624" s="769"/>
      <c r="F1624" s="208"/>
      <c r="G1624" s="763"/>
      <c r="H1624" s="744"/>
      <c r="I1624" s="765"/>
      <c r="J1624" s="730"/>
      <c r="K1624" s="761"/>
      <c r="L1624" s="761"/>
      <c r="M1624" s="730"/>
      <c r="N1624" s="730"/>
    </row>
    <row r="1625" spans="1:23" s="194" customFormat="1" ht="40.4" customHeight="1" x14ac:dyDescent="0.35">
      <c r="A1625" s="770" t="str">
        <f ca="1">INDIRECT("'update Helper'!C"&amp;U1625)</f>
        <v>a163p000004NtZAAA0</v>
      </c>
      <c r="B1625" s="766">
        <v>26</v>
      </c>
      <c r="C1625" s="760" t="str">
        <f>VLOOKUP(B1625,'Coverage Indicators - Section D'!$A$9:$AU$70,47,FALSE)</f>
        <v/>
      </c>
      <c r="D1625" s="768" t="str">
        <f>R1625</f>
        <v/>
      </c>
      <c r="E1625" s="768" t="str">
        <f>S1625</f>
        <v/>
      </c>
      <c r="F1625" s="413"/>
      <c r="G1625" s="762" t="str">
        <f ca="1">IF(OR(INDIRECT("'update Helper'!E"&amp;U1625)="",F1625&lt;&gt;0,F1626&lt;&gt;0),IF(IFERROR((F1625/F1626),"")="","",(F1625/F1626)),INDIRECT("'update Helper'!E"&amp;U1625)/100)</f>
        <v/>
      </c>
      <c r="H1625" s="743"/>
      <c r="I1625" s="764"/>
      <c r="J1625" s="729"/>
      <c r="K1625" s="760" t="str">
        <f>W1625</f>
        <v/>
      </c>
      <c r="L1625" s="760" t="str">
        <f>V1625</f>
        <v/>
      </c>
      <c r="M1625" s="729"/>
      <c r="N1625" s="729"/>
      <c r="P1625" s="194">
        <f>IF(AND(EXACT(C1625,C1623),C1623&lt;&gt;0),P1623+1,0)</f>
        <v>62</v>
      </c>
      <c r="Q1625" s="194" t="str">
        <f>IF(C1625&lt;&gt;"",C1625&amp;"-"&amp;P1625,"")</f>
        <v/>
      </c>
      <c r="R1625" s="194" t="str">
        <f t="array" ref="R1625">IFERROR(IF(INDEX('Disaggregation Records'!$E$155:$E$385,MATCH(RIGHT(Q1625,255),RIGHT('Disaggregation Records'!$D$155:$D$385,255),0))="","",INDEX('Disaggregation Records'!$E$155:$E$385,MATCH(RIGHT(Q1625,255),RIGHT('Disaggregation Records'!$D$155:$D$385,255),0))),"")</f>
        <v/>
      </c>
      <c r="S1625" s="194" t="str">
        <f t="array" ref="S1625">IFERROR(IF(INDEX('Disaggregation Records'!$F$155:$F$385,MATCH(RIGHT(Q1625,255),RIGHT('Disaggregation Records'!$D$155:$D$385,255),0))="","",INDEX('Disaggregation Records'!$F$155:$F$385,MATCH(RIGHT(Q1625,255),RIGHT('Disaggregation Records'!$D$155:$D$385,255),0))),"")</f>
        <v/>
      </c>
      <c r="T1625" s="194" t="str">
        <f t="array" ref="T1625">IFERROR(IF(INDEX('Disaggregation Records'!$H$155:$H$385,MATCH(RIGHT(Q1625,255),RIGHT('Disaggregation Records'!$D$155:$D$385,255),0))="","",INDEX('Disaggregation Records'!$H$155:$H$385,MATCH(RIGHT(Q1625,255),RIGHT('Disaggregation Records'!$D$155:$D$385,255),0))),"")</f>
        <v/>
      </c>
      <c r="U1625" s="194">
        <f>U1623+1</f>
        <v>3002</v>
      </c>
      <c r="V1625" s="194" t="str">
        <f t="array" ref="V1625">IFERROR(IF(INDEX('Disaggregation Records'!$I$155:$I$385,MATCH(RIGHT(Q1625,255),RIGHT('Disaggregation Records'!$D$155:$D$385,255),0))="","",INDEX('Disaggregation Records'!$I$155:$I$385,MATCH(RIGHT(Q1625,255),RIGHT('Disaggregation Records'!$D$155:$D$385,255),0))),"")</f>
        <v/>
      </c>
      <c r="W1625" s="194" t="str">
        <f>IFERROR(INDEX('Reference Records'!L$77:L$157,MATCH(LEFT(C1625,255),'Reference Records'!E$77:E$157,0)),"")</f>
        <v/>
      </c>
    </row>
    <row r="1626" spans="1:23" s="194" customFormat="1" ht="40.4" customHeight="1" x14ac:dyDescent="0.35">
      <c r="A1626" s="770"/>
      <c r="B1626" s="767"/>
      <c r="C1626" s="761"/>
      <c r="D1626" s="769"/>
      <c r="E1626" s="769"/>
      <c r="F1626" s="208"/>
      <c r="G1626" s="763"/>
      <c r="H1626" s="744"/>
      <c r="I1626" s="765"/>
      <c r="J1626" s="730"/>
      <c r="K1626" s="761"/>
      <c r="L1626" s="761"/>
      <c r="M1626" s="730"/>
      <c r="N1626" s="730"/>
    </row>
    <row r="1627" spans="1:23" s="194" customFormat="1" ht="40.4" customHeight="1" x14ac:dyDescent="0.35">
      <c r="A1627" s="770" t="str">
        <f ca="1">INDIRECT("'update Helper'!C"&amp;U1627)</f>
        <v>a163p000004NtZBAA0</v>
      </c>
      <c r="B1627" s="766">
        <v>26</v>
      </c>
      <c r="C1627" s="760" t="str">
        <f>VLOOKUP(B1627,'Coverage Indicators - Section D'!$A$9:$AU$70,47,FALSE)</f>
        <v/>
      </c>
      <c r="D1627" s="768" t="str">
        <f>R1627</f>
        <v/>
      </c>
      <c r="E1627" s="768" t="str">
        <f>S1627</f>
        <v/>
      </c>
      <c r="F1627" s="413"/>
      <c r="G1627" s="762" t="str">
        <f ca="1">IF(OR(INDIRECT("'update Helper'!E"&amp;U1627)="",F1627&lt;&gt;0,F1628&lt;&gt;0),IF(IFERROR((F1627/F1628),"")="","",(F1627/F1628)),INDIRECT("'update Helper'!E"&amp;U1627)/100)</f>
        <v/>
      </c>
      <c r="H1627" s="743"/>
      <c r="I1627" s="764"/>
      <c r="J1627" s="729"/>
      <c r="K1627" s="760" t="str">
        <f>W1627</f>
        <v/>
      </c>
      <c r="L1627" s="760" t="str">
        <f>V1627</f>
        <v/>
      </c>
      <c r="M1627" s="729"/>
      <c r="N1627" s="729"/>
      <c r="P1627" s="194">
        <f>IF(AND(EXACT(C1627,C1625),C1625&lt;&gt;0),P1625+1,0)</f>
        <v>63</v>
      </c>
      <c r="Q1627" s="194" t="str">
        <f>IF(C1627&lt;&gt;"",C1627&amp;"-"&amp;P1627,"")</f>
        <v/>
      </c>
      <c r="R1627" s="194" t="str">
        <f t="array" ref="R1627">IFERROR(IF(INDEX('Disaggregation Records'!$E$155:$E$385,MATCH(RIGHT(Q1627,255),RIGHT('Disaggregation Records'!$D$155:$D$385,255),0))="","",INDEX('Disaggregation Records'!$E$155:$E$385,MATCH(RIGHT(Q1627,255),RIGHT('Disaggregation Records'!$D$155:$D$385,255),0))),"")</f>
        <v/>
      </c>
      <c r="S1627" s="194" t="str">
        <f t="array" ref="S1627">IFERROR(IF(INDEX('Disaggregation Records'!$F$155:$F$385,MATCH(RIGHT(Q1627,255),RIGHT('Disaggregation Records'!$D$155:$D$385,255),0))="","",INDEX('Disaggregation Records'!$F$155:$F$385,MATCH(RIGHT(Q1627,255),RIGHT('Disaggregation Records'!$D$155:$D$385,255),0))),"")</f>
        <v/>
      </c>
      <c r="T1627" s="194" t="str">
        <f t="array" ref="T1627">IFERROR(IF(INDEX('Disaggregation Records'!$H$155:$H$385,MATCH(RIGHT(Q1627,255),RIGHT('Disaggregation Records'!$D$155:$D$385,255),0))="","",INDEX('Disaggregation Records'!$H$155:$H$385,MATCH(RIGHT(Q1627,255),RIGHT('Disaggregation Records'!$D$155:$D$385,255),0))),"")</f>
        <v/>
      </c>
      <c r="U1627" s="194">
        <f>U1625+1</f>
        <v>3003</v>
      </c>
      <c r="V1627" s="194" t="str">
        <f t="array" ref="V1627">IFERROR(IF(INDEX('Disaggregation Records'!$I$155:$I$385,MATCH(RIGHT(Q1627,255),RIGHT('Disaggregation Records'!$D$155:$D$385,255),0))="","",INDEX('Disaggregation Records'!$I$155:$I$385,MATCH(RIGHT(Q1627,255),RIGHT('Disaggregation Records'!$D$155:$D$385,255),0))),"")</f>
        <v/>
      </c>
      <c r="W1627" s="194" t="str">
        <f>IFERROR(INDEX('Reference Records'!L$77:L$157,MATCH(LEFT(C1627,255),'Reference Records'!E$77:E$157,0)),"")</f>
        <v/>
      </c>
    </row>
    <row r="1628" spans="1:23" s="194" customFormat="1" ht="40.4" customHeight="1" x14ac:dyDescent="0.35">
      <c r="A1628" s="770"/>
      <c r="B1628" s="767"/>
      <c r="C1628" s="761"/>
      <c r="D1628" s="769"/>
      <c r="E1628" s="769"/>
      <c r="F1628" s="208"/>
      <c r="G1628" s="763"/>
      <c r="H1628" s="744"/>
      <c r="I1628" s="765"/>
      <c r="J1628" s="730"/>
      <c r="K1628" s="761"/>
      <c r="L1628" s="761"/>
      <c r="M1628" s="730"/>
      <c r="N1628" s="730"/>
    </row>
    <row r="1629" spans="1:23" s="194" customFormat="1" ht="40.4" customHeight="1" x14ac:dyDescent="0.35">
      <c r="A1629" s="770" t="str">
        <f ca="1">INDIRECT("'update Helper'!C"&amp;U1629)</f>
        <v>a163p000004NtZCAA0</v>
      </c>
      <c r="B1629" s="766">
        <v>26</v>
      </c>
      <c r="C1629" s="760" t="str">
        <f>VLOOKUP(B1629,'Coverage Indicators - Section D'!$A$9:$AU$70,47,FALSE)</f>
        <v/>
      </c>
      <c r="D1629" s="768" t="str">
        <f>R1629</f>
        <v/>
      </c>
      <c r="E1629" s="768" t="str">
        <f>S1629</f>
        <v/>
      </c>
      <c r="F1629" s="413"/>
      <c r="G1629" s="762" t="str">
        <f ca="1">IF(OR(INDIRECT("'update Helper'!E"&amp;U1629)="",F1629&lt;&gt;0,F1630&lt;&gt;0),IF(IFERROR((F1629/F1630),"")="","",(F1629/F1630)),INDIRECT("'update Helper'!E"&amp;U1629)/100)</f>
        <v/>
      </c>
      <c r="H1629" s="743"/>
      <c r="I1629" s="764"/>
      <c r="J1629" s="729"/>
      <c r="K1629" s="760" t="str">
        <f>W1629</f>
        <v/>
      </c>
      <c r="L1629" s="760" t="str">
        <f>V1629</f>
        <v/>
      </c>
      <c r="M1629" s="729"/>
      <c r="N1629" s="729"/>
      <c r="P1629" s="194">
        <f>IF(AND(EXACT(C1629,C1627),C1627&lt;&gt;0),P1627+1,0)</f>
        <v>64</v>
      </c>
      <c r="Q1629" s="194" t="str">
        <f>IF(C1629&lt;&gt;"",C1629&amp;"-"&amp;P1629,"")</f>
        <v/>
      </c>
      <c r="R1629" s="194" t="str">
        <f t="array" ref="R1629">IFERROR(IF(INDEX('Disaggregation Records'!$E$155:$E$385,MATCH(RIGHT(Q1629,255),RIGHT('Disaggregation Records'!$D$155:$D$385,255),0))="","",INDEX('Disaggregation Records'!$E$155:$E$385,MATCH(RIGHT(Q1629,255),RIGHT('Disaggregation Records'!$D$155:$D$385,255),0))),"")</f>
        <v/>
      </c>
      <c r="S1629" s="194" t="str">
        <f t="array" ref="S1629">IFERROR(IF(INDEX('Disaggregation Records'!$F$155:$F$385,MATCH(RIGHT(Q1629,255),RIGHT('Disaggregation Records'!$D$155:$D$385,255),0))="","",INDEX('Disaggregation Records'!$F$155:$F$385,MATCH(RIGHT(Q1629,255),RIGHT('Disaggregation Records'!$D$155:$D$385,255),0))),"")</f>
        <v/>
      </c>
      <c r="T1629" s="194" t="str">
        <f t="array" ref="T1629">IFERROR(IF(INDEX('Disaggregation Records'!$H$155:$H$385,MATCH(RIGHT(Q1629,255),RIGHT('Disaggregation Records'!$D$155:$D$385,255),0))="","",INDEX('Disaggregation Records'!$H$155:$H$385,MATCH(RIGHT(Q1629,255),RIGHT('Disaggregation Records'!$D$155:$D$385,255),0))),"")</f>
        <v/>
      </c>
      <c r="U1629" s="194">
        <f>U1627+1</f>
        <v>3004</v>
      </c>
      <c r="V1629" s="194" t="str">
        <f t="array" ref="V1629">IFERROR(IF(INDEX('Disaggregation Records'!$I$155:$I$385,MATCH(RIGHT(Q1629,255),RIGHT('Disaggregation Records'!$D$155:$D$385,255),0))="","",INDEX('Disaggregation Records'!$I$155:$I$385,MATCH(RIGHT(Q1629,255),RIGHT('Disaggregation Records'!$D$155:$D$385,255),0))),"")</f>
        <v/>
      </c>
      <c r="W1629" s="194" t="str">
        <f>IFERROR(INDEX('Reference Records'!L$77:L$157,MATCH(LEFT(C1629,255),'Reference Records'!E$77:E$157,0)),"")</f>
        <v/>
      </c>
    </row>
    <row r="1630" spans="1:23" s="194" customFormat="1" ht="40.4" customHeight="1" x14ac:dyDescent="0.35">
      <c r="A1630" s="770"/>
      <c r="B1630" s="767"/>
      <c r="C1630" s="761"/>
      <c r="D1630" s="769"/>
      <c r="E1630" s="769"/>
      <c r="F1630" s="208"/>
      <c r="G1630" s="763"/>
      <c r="H1630" s="744"/>
      <c r="I1630" s="765"/>
      <c r="J1630" s="730"/>
      <c r="K1630" s="761"/>
      <c r="L1630" s="761"/>
      <c r="M1630" s="730"/>
      <c r="N1630" s="730"/>
    </row>
    <row r="1631" spans="1:23" s="194" customFormat="1" ht="40.4" customHeight="1" x14ac:dyDescent="0.35">
      <c r="A1631" s="770" t="str">
        <f ca="1">INDIRECT("'update Helper'!C"&amp;U1631)</f>
        <v>a163p000004NtZDAA0</v>
      </c>
      <c r="B1631" s="766">
        <v>26</v>
      </c>
      <c r="C1631" s="760" t="str">
        <f>VLOOKUP(B1631,'Coverage Indicators - Section D'!$A$9:$AU$70,47,FALSE)</f>
        <v/>
      </c>
      <c r="D1631" s="768" t="str">
        <f>R1631</f>
        <v/>
      </c>
      <c r="E1631" s="768" t="str">
        <f>S1631</f>
        <v/>
      </c>
      <c r="F1631" s="413"/>
      <c r="G1631" s="762" t="str">
        <f ca="1">IF(OR(INDIRECT("'update Helper'!E"&amp;U1631)="",F1631&lt;&gt;0,F1632&lt;&gt;0),IF(IFERROR((F1631/F1632),"")="","",(F1631/F1632)),INDIRECT("'update Helper'!E"&amp;U1631)/100)</f>
        <v/>
      </c>
      <c r="H1631" s="743"/>
      <c r="I1631" s="764"/>
      <c r="J1631" s="729"/>
      <c r="K1631" s="760" t="str">
        <f>W1631</f>
        <v/>
      </c>
      <c r="L1631" s="760" t="str">
        <f>V1631</f>
        <v/>
      </c>
      <c r="M1631" s="729"/>
      <c r="N1631" s="729"/>
      <c r="P1631" s="194">
        <f>IF(AND(EXACT(C1631,C1629),C1629&lt;&gt;0),P1629+1,0)</f>
        <v>65</v>
      </c>
      <c r="Q1631" s="194" t="str">
        <f>IF(C1631&lt;&gt;"",C1631&amp;"-"&amp;P1631,"")</f>
        <v/>
      </c>
      <c r="R1631" s="194" t="str">
        <f t="array" ref="R1631">IFERROR(IF(INDEX('Disaggregation Records'!$E$155:$E$385,MATCH(RIGHT(Q1631,255),RIGHT('Disaggregation Records'!$D$155:$D$385,255),0))="","",INDEX('Disaggregation Records'!$E$155:$E$385,MATCH(RIGHT(Q1631,255),RIGHT('Disaggregation Records'!$D$155:$D$385,255),0))),"")</f>
        <v/>
      </c>
      <c r="S1631" s="194" t="str">
        <f t="array" ref="S1631">IFERROR(IF(INDEX('Disaggregation Records'!$F$155:$F$385,MATCH(RIGHT(Q1631,255),RIGHT('Disaggregation Records'!$D$155:$D$385,255),0))="","",INDEX('Disaggregation Records'!$F$155:$F$385,MATCH(RIGHT(Q1631,255),RIGHT('Disaggregation Records'!$D$155:$D$385,255),0))),"")</f>
        <v/>
      </c>
      <c r="T1631" s="194" t="str">
        <f t="array" ref="T1631">IFERROR(IF(INDEX('Disaggregation Records'!$H$155:$H$385,MATCH(RIGHT(Q1631,255),RIGHT('Disaggregation Records'!$D$155:$D$385,255),0))="","",INDEX('Disaggregation Records'!$H$155:$H$385,MATCH(RIGHT(Q1631,255),RIGHT('Disaggregation Records'!$D$155:$D$385,255),0))),"")</f>
        <v/>
      </c>
      <c r="U1631" s="194">
        <f>U1629+1</f>
        <v>3005</v>
      </c>
      <c r="V1631" s="194" t="str">
        <f t="array" ref="V1631">IFERROR(IF(INDEX('Disaggregation Records'!$I$155:$I$385,MATCH(RIGHT(Q1631,255),RIGHT('Disaggregation Records'!$D$155:$D$385,255),0))="","",INDEX('Disaggregation Records'!$I$155:$I$385,MATCH(RIGHT(Q1631,255),RIGHT('Disaggregation Records'!$D$155:$D$385,255),0))),"")</f>
        <v/>
      </c>
      <c r="W1631" s="194" t="str">
        <f>IFERROR(INDEX('Reference Records'!L$77:L$157,MATCH(LEFT(C1631,255),'Reference Records'!E$77:E$157,0)),"")</f>
        <v/>
      </c>
    </row>
    <row r="1632" spans="1:23" s="194" customFormat="1" ht="40.4" customHeight="1" x14ac:dyDescent="0.35">
      <c r="A1632" s="770"/>
      <c r="B1632" s="767"/>
      <c r="C1632" s="761"/>
      <c r="D1632" s="769"/>
      <c r="E1632" s="769"/>
      <c r="F1632" s="208"/>
      <c r="G1632" s="763"/>
      <c r="H1632" s="744"/>
      <c r="I1632" s="765"/>
      <c r="J1632" s="730"/>
      <c r="K1632" s="761"/>
      <c r="L1632" s="761"/>
      <c r="M1632" s="730"/>
      <c r="N1632" s="730"/>
    </row>
    <row r="1633" spans="1:23" s="194" customFormat="1" ht="40.4" customHeight="1" x14ac:dyDescent="0.35">
      <c r="A1633" s="770" t="str">
        <f ca="1">INDIRECT("'update Helper'!C"&amp;U1633)</f>
        <v>a163p000004NtZEAA0</v>
      </c>
      <c r="B1633" s="766">
        <v>26</v>
      </c>
      <c r="C1633" s="760" t="str">
        <f>VLOOKUP(B1633,'Coverage Indicators - Section D'!$A$9:$AU$70,47,FALSE)</f>
        <v/>
      </c>
      <c r="D1633" s="768" t="str">
        <f>R1633</f>
        <v/>
      </c>
      <c r="E1633" s="768" t="str">
        <f>S1633</f>
        <v/>
      </c>
      <c r="F1633" s="413"/>
      <c r="G1633" s="762" t="str">
        <f ca="1">IF(OR(INDIRECT("'update Helper'!E"&amp;U1633)="",F1633&lt;&gt;0,F1634&lt;&gt;0),IF(IFERROR((F1633/F1634),"")="","",(F1633/F1634)),INDIRECT("'update Helper'!E"&amp;U1633)/100)</f>
        <v/>
      </c>
      <c r="H1633" s="743"/>
      <c r="I1633" s="764"/>
      <c r="J1633" s="729"/>
      <c r="K1633" s="760" t="str">
        <f>W1633</f>
        <v/>
      </c>
      <c r="L1633" s="760" t="str">
        <f>V1633</f>
        <v/>
      </c>
      <c r="M1633" s="729"/>
      <c r="N1633" s="729"/>
      <c r="P1633" s="194">
        <f>IF(AND(EXACT(C1633,C1631),C1631&lt;&gt;0),P1631+1,0)</f>
        <v>66</v>
      </c>
      <c r="Q1633" s="194" t="str">
        <f>IF(C1633&lt;&gt;"",C1633&amp;"-"&amp;P1633,"")</f>
        <v/>
      </c>
      <c r="R1633" s="194" t="str">
        <f t="array" ref="R1633">IFERROR(IF(INDEX('Disaggregation Records'!$E$155:$E$385,MATCH(RIGHT(Q1633,255),RIGHT('Disaggregation Records'!$D$155:$D$385,255),0))="","",INDEX('Disaggregation Records'!$E$155:$E$385,MATCH(RIGHT(Q1633,255),RIGHT('Disaggregation Records'!$D$155:$D$385,255),0))),"")</f>
        <v/>
      </c>
      <c r="S1633" s="194" t="str">
        <f t="array" ref="S1633">IFERROR(IF(INDEX('Disaggregation Records'!$F$155:$F$385,MATCH(RIGHT(Q1633,255),RIGHT('Disaggregation Records'!$D$155:$D$385,255),0))="","",INDEX('Disaggregation Records'!$F$155:$F$385,MATCH(RIGHT(Q1633,255),RIGHT('Disaggregation Records'!$D$155:$D$385,255),0))),"")</f>
        <v/>
      </c>
      <c r="T1633" s="194" t="str">
        <f t="array" ref="T1633">IFERROR(IF(INDEX('Disaggregation Records'!$H$155:$H$385,MATCH(RIGHT(Q1633,255),RIGHT('Disaggregation Records'!$D$155:$D$385,255),0))="","",INDEX('Disaggregation Records'!$H$155:$H$385,MATCH(RIGHT(Q1633,255),RIGHT('Disaggregation Records'!$D$155:$D$385,255),0))),"")</f>
        <v/>
      </c>
      <c r="U1633" s="194">
        <f>U1631+1</f>
        <v>3006</v>
      </c>
      <c r="V1633" s="194" t="str">
        <f t="array" ref="V1633">IFERROR(IF(INDEX('Disaggregation Records'!$I$155:$I$385,MATCH(RIGHT(Q1633,255),RIGHT('Disaggregation Records'!$D$155:$D$385,255),0))="","",INDEX('Disaggregation Records'!$I$155:$I$385,MATCH(RIGHT(Q1633,255),RIGHT('Disaggregation Records'!$D$155:$D$385,255),0))),"")</f>
        <v/>
      </c>
      <c r="W1633" s="194" t="str">
        <f>IFERROR(INDEX('Reference Records'!L$77:L$157,MATCH(LEFT(C1633,255),'Reference Records'!E$77:E$157,0)),"")</f>
        <v/>
      </c>
    </row>
    <row r="1634" spans="1:23" s="194" customFormat="1" ht="40.4" customHeight="1" x14ac:dyDescent="0.35">
      <c r="A1634" s="770"/>
      <c r="B1634" s="767"/>
      <c r="C1634" s="761"/>
      <c r="D1634" s="769"/>
      <c r="E1634" s="769"/>
      <c r="F1634" s="208"/>
      <c r="G1634" s="763"/>
      <c r="H1634" s="744"/>
      <c r="I1634" s="765"/>
      <c r="J1634" s="730"/>
      <c r="K1634" s="761"/>
      <c r="L1634" s="761"/>
      <c r="M1634" s="730"/>
      <c r="N1634" s="730"/>
    </row>
    <row r="1635" spans="1:23" s="194" customFormat="1" ht="40.4" customHeight="1" x14ac:dyDescent="0.35">
      <c r="A1635" s="770" t="str">
        <f ca="1">INDIRECT("'update Helper'!C"&amp;U1635)</f>
        <v>a163p000004NtZFAA0</v>
      </c>
      <c r="B1635" s="766">
        <v>26</v>
      </c>
      <c r="C1635" s="760" t="str">
        <f>VLOOKUP(B1635,'Coverage Indicators - Section D'!$A$9:$AU$70,47,FALSE)</f>
        <v/>
      </c>
      <c r="D1635" s="768" t="str">
        <f>R1635</f>
        <v/>
      </c>
      <c r="E1635" s="768" t="str">
        <f>S1635</f>
        <v/>
      </c>
      <c r="F1635" s="413"/>
      <c r="G1635" s="762" t="str">
        <f ca="1">IF(OR(INDIRECT("'update Helper'!E"&amp;U1635)="",F1635&lt;&gt;0,F1636&lt;&gt;0),IF(IFERROR((F1635/F1636),"")="","",(F1635/F1636)),INDIRECT("'update Helper'!E"&amp;U1635)/100)</f>
        <v/>
      </c>
      <c r="H1635" s="743"/>
      <c r="I1635" s="764"/>
      <c r="J1635" s="729"/>
      <c r="K1635" s="760" t="str">
        <f>W1635</f>
        <v/>
      </c>
      <c r="L1635" s="760" t="str">
        <f>V1635</f>
        <v/>
      </c>
      <c r="M1635" s="729"/>
      <c r="N1635" s="729"/>
      <c r="P1635" s="194">
        <f>IF(AND(EXACT(C1635,C1633),C1633&lt;&gt;0),P1633+1,0)</f>
        <v>67</v>
      </c>
      <c r="Q1635" s="194" t="str">
        <f>IF(C1635&lt;&gt;"",C1635&amp;"-"&amp;P1635,"")</f>
        <v/>
      </c>
      <c r="R1635" s="194" t="str">
        <f t="array" ref="R1635">IFERROR(IF(INDEX('Disaggregation Records'!$E$155:$E$385,MATCH(RIGHT(Q1635,255),RIGHT('Disaggregation Records'!$D$155:$D$385,255),0))="","",INDEX('Disaggregation Records'!$E$155:$E$385,MATCH(RIGHT(Q1635,255),RIGHT('Disaggregation Records'!$D$155:$D$385,255),0))),"")</f>
        <v/>
      </c>
      <c r="S1635" s="194" t="str">
        <f t="array" ref="S1635">IFERROR(IF(INDEX('Disaggregation Records'!$F$155:$F$385,MATCH(RIGHT(Q1635,255),RIGHT('Disaggregation Records'!$D$155:$D$385,255),0))="","",INDEX('Disaggregation Records'!$F$155:$F$385,MATCH(RIGHT(Q1635,255),RIGHT('Disaggregation Records'!$D$155:$D$385,255),0))),"")</f>
        <v/>
      </c>
      <c r="T1635" s="194" t="str">
        <f t="array" ref="T1635">IFERROR(IF(INDEX('Disaggregation Records'!$H$155:$H$385,MATCH(RIGHT(Q1635,255),RIGHT('Disaggregation Records'!$D$155:$D$385,255),0))="","",INDEX('Disaggregation Records'!$H$155:$H$385,MATCH(RIGHT(Q1635,255),RIGHT('Disaggregation Records'!$D$155:$D$385,255),0))),"")</f>
        <v/>
      </c>
      <c r="U1635" s="194">
        <f>U1633+1</f>
        <v>3007</v>
      </c>
      <c r="V1635" s="194" t="str">
        <f t="array" ref="V1635">IFERROR(IF(INDEX('Disaggregation Records'!$I$155:$I$385,MATCH(RIGHT(Q1635,255),RIGHT('Disaggregation Records'!$D$155:$D$385,255),0))="","",INDEX('Disaggregation Records'!$I$155:$I$385,MATCH(RIGHT(Q1635,255),RIGHT('Disaggregation Records'!$D$155:$D$385,255),0))),"")</f>
        <v/>
      </c>
      <c r="W1635" s="194" t="str">
        <f>IFERROR(INDEX('Reference Records'!L$77:L$157,MATCH(LEFT(C1635,255),'Reference Records'!E$77:E$157,0)),"")</f>
        <v/>
      </c>
    </row>
    <row r="1636" spans="1:23" s="194" customFormat="1" ht="40.4" customHeight="1" x14ac:dyDescent="0.35">
      <c r="A1636" s="770"/>
      <c r="B1636" s="767"/>
      <c r="C1636" s="761"/>
      <c r="D1636" s="769"/>
      <c r="E1636" s="769"/>
      <c r="F1636" s="208"/>
      <c r="G1636" s="763"/>
      <c r="H1636" s="744"/>
      <c r="I1636" s="765"/>
      <c r="J1636" s="730"/>
      <c r="K1636" s="761"/>
      <c r="L1636" s="761"/>
      <c r="M1636" s="730"/>
      <c r="N1636" s="730"/>
    </row>
    <row r="1637" spans="1:23" s="194" customFormat="1" ht="40.4" customHeight="1" x14ac:dyDescent="0.35">
      <c r="A1637" s="770" t="str">
        <f ca="1">INDIRECT("'update Helper'!C"&amp;U1637)</f>
        <v>a163p000004NtZGAA0</v>
      </c>
      <c r="B1637" s="766">
        <v>26</v>
      </c>
      <c r="C1637" s="760" t="str">
        <f>VLOOKUP(B1637,'Coverage Indicators - Section D'!$A$9:$AU$70,47,FALSE)</f>
        <v/>
      </c>
      <c r="D1637" s="768" t="str">
        <f>R1637</f>
        <v/>
      </c>
      <c r="E1637" s="768" t="str">
        <f>S1637</f>
        <v/>
      </c>
      <c r="F1637" s="413"/>
      <c r="G1637" s="762" t="str">
        <f ca="1">IF(OR(INDIRECT("'update Helper'!E"&amp;U1637)="",F1637&lt;&gt;0,F1638&lt;&gt;0),IF(IFERROR((F1637/F1638),"")="","",(F1637/F1638)),INDIRECT("'update Helper'!E"&amp;U1637)/100)</f>
        <v/>
      </c>
      <c r="H1637" s="743"/>
      <c r="I1637" s="764"/>
      <c r="J1637" s="729"/>
      <c r="K1637" s="760" t="str">
        <f>W1637</f>
        <v/>
      </c>
      <c r="L1637" s="760" t="str">
        <f>V1637</f>
        <v/>
      </c>
      <c r="M1637" s="729"/>
      <c r="N1637" s="729"/>
      <c r="P1637" s="194">
        <f>IF(AND(EXACT(C1637,C1635),C1635&lt;&gt;0),P1635+1,0)</f>
        <v>68</v>
      </c>
      <c r="Q1637" s="194" t="str">
        <f>IF(C1637&lt;&gt;"",C1637&amp;"-"&amp;P1637,"")</f>
        <v/>
      </c>
      <c r="R1637" s="194" t="str">
        <f t="array" ref="R1637">IFERROR(IF(INDEX('Disaggregation Records'!$E$155:$E$385,MATCH(RIGHT(Q1637,255),RIGHT('Disaggregation Records'!$D$155:$D$385,255),0))="","",INDEX('Disaggregation Records'!$E$155:$E$385,MATCH(RIGHT(Q1637,255),RIGHT('Disaggregation Records'!$D$155:$D$385,255),0))),"")</f>
        <v/>
      </c>
      <c r="S1637" s="194" t="str">
        <f t="array" ref="S1637">IFERROR(IF(INDEX('Disaggregation Records'!$F$155:$F$385,MATCH(RIGHT(Q1637,255),RIGHT('Disaggregation Records'!$D$155:$D$385,255),0))="","",INDEX('Disaggregation Records'!$F$155:$F$385,MATCH(RIGHT(Q1637,255),RIGHT('Disaggregation Records'!$D$155:$D$385,255),0))),"")</f>
        <v/>
      </c>
      <c r="T1637" s="194" t="str">
        <f t="array" ref="T1637">IFERROR(IF(INDEX('Disaggregation Records'!$H$155:$H$385,MATCH(RIGHT(Q1637,255),RIGHT('Disaggregation Records'!$D$155:$D$385,255),0))="","",INDEX('Disaggregation Records'!$H$155:$H$385,MATCH(RIGHT(Q1637,255),RIGHT('Disaggregation Records'!$D$155:$D$385,255),0))),"")</f>
        <v/>
      </c>
      <c r="U1637" s="194">
        <f>U1635+1</f>
        <v>3008</v>
      </c>
      <c r="V1637" s="194" t="str">
        <f t="array" ref="V1637">IFERROR(IF(INDEX('Disaggregation Records'!$I$155:$I$385,MATCH(RIGHT(Q1637,255),RIGHT('Disaggregation Records'!$D$155:$D$385,255),0))="","",INDEX('Disaggregation Records'!$I$155:$I$385,MATCH(RIGHT(Q1637,255),RIGHT('Disaggregation Records'!$D$155:$D$385,255),0))),"")</f>
        <v/>
      </c>
      <c r="W1637" s="194" t="str">
        <f>IFERROR(INDEX('Reference Records'!L$77:L$157,MATCH(LEFT(C1637,255),'Reference Records'!E$77:E$157,0)),"")</f>
        <v/>
      </c>
    </row>
    <row r="1638" spans="1:23" s="194" customFormat="1" ht="40.4" customHeight="1" x14ac:dyDescent="0.35">
      <c r="A1638" s="770"/>
      <c r="B1638" s="767"/>
      <c r="C1638" s="761"/>
      <c r="D1638" s="769"/>
      <c r="E1638" s="769"/>
      <c r="F1638" s="208"/>
      <c r="G1638" s="763"/>
      <c r="H1638" s="744"/>
      <c r="I1638" s="765"/>
      <c r="J1638" s="730"/>
      <c r="K1638" s="761"/>
      <c r="L1638" s="761"/>
      <c r="M1638" s="730"/>
      <c r="N1638" s="730"/>
    </row>
    <row r="1639" spans="1:23" s="194" customFormat="1" ht="40.4" customHeight="1" x14ac:dyDescent="0.35">
      <c r="A1639" s="770" t="str">
        <f ca="1">INDIRECT("'update Helper'!C"&amp;U1639)</f>
        <v>a163p000004NtZHAA0</v>
      </c>
      <c r="B1639" s="766">
        <v>26</v>
      </c>
      <c r="C1639" s="760" t="str">
        <f>VLOOKUP(B1639,'Coverage Indicators - Section D'!$A$9:$AU$70,47,FALSE)</f>
        <v/>
      </c>
      <c r="D1639" s="768" t="str">
        <f>R1639</f>
        <v/>
      </c>
      <c r="E1639" s="768" t="str">
        <f>S1639</f>
        <v/>
      </c>
      <c r="F1639" s="413"/>
      <c r="G1639" s="762" t="str">
        <f ca="1">IF(OR(INDIRECT("'update Helper'!E"&amp;U1639)="",F1639&lt;&gt;0,F1640&lt;&gt;0),IF(IFERROR((F1639/F1640),"")="","",(F1639/F1640)),INDIRECT("'update Helper'!E"&amp;U1639)/100)</f>
        <v/>
      </c>
      <c r="H1639" s="743"/>
      <c r="I1639" s="764"/>
      <c r="J1639" s="729"/>
      <c r="K1639" s="760" t="str">
        <f>W1639</f>
        <v/>
      </c>
      <c r="L1639" s="760" t="str">
        <f>V1639</f>
        <v/>
      </c>
      <c r="M1639" s="729"/>
      <c r="N1639" s="729"/>
      <c r="P1639" s="194">
        <f>IF(AND(EXACT(C1639,C1637),C1637&lt;&gt;0),P1637+1,0)</f>
        <v>69</v>
      </c>
      <c r="Q1639" s="194" t="str">
        <f>IF(C1639&lt;&gt;"",C1639&amp;"-"&amp;P1639,"")</f>
        <v/>
      </c>
      <c r="R1639" s="194" t="str">
        <f t="array" ref="R1639">IFERROR(IF(INDEX('Disaggregation Records'!$E$155:$E$385,MATCH(RIGHT(Q1639,255),RIGHT('Disaggregation Records'!$D$155:$D$385,255),0))="","",INDEX('Disaggregation Records'!$E$155:$E$385,MATCH(RIGHT(Q1639,255),RIGHT('Disaggregation Records'!$D$155:$D$385,255),0))),"")</f>
        <v/>
      </c>
      <c r="S1639" s="194" t="str">
        <f t="array" ref="S1639">IFERROR(IF(INDEX('Disaggregation Records'!$F$155:$F$385,MATCH(RIGHT(Q1639,255),RIGHT('Disaggregation Records'!$D$155:$D$385,255),0))="","",INDEX('Disaggregation Records'!$F$155:$F$385,MATCH(RIGHT(Q1639,255),RIGHT('Disaggregation Records'!$D$155:$D$385,255),0))),"")</f>
        <v/>
      </c>
      <c r="T1639" s="194" t="str">
        <f t="array" ref="T1639">IFERROR(IF(INDEX('Disaggregation Records'!$H$155:$H$385,MATCH(RIGHT(Q1639,255),RIGHT('Disaggregation Records'!$D$155:$D$385,255),0))="","",INDEX('Disaggregation Records'!$H$155:$H$385,MATCH(RIGHT(Q1639,255),RIGHT('Disaggregation Records'!$D$155:$D$385,255),0))),"")</f>
        <v/>
      </c>
      <c r="U1639" s="194">
        <f>U1637+1</f>
        <v>3009</v>
      </c>
      <c r="V1639" s="194" t="str">
        <f t="array" ref="V1639">IFERROR(IF(INDEX('Disaggregation Records'!$I$155:$I$385,MATCH(RIGHT(Q1639,255),RIGHT('Disaggregation Records'!$D$155:$D$385,255),0))="","",INDEX('Disaggregation Records'!$I$155:$I$385,MATCH(RIGHT(Q1639,255),RIGHT('Disaggregation Records'!$D$155:$D$385,255),0))),"")</f>
        <v/>
      </c>
      <c r="W1639" s="194" t="str">
        <f>IFERROR(INDEX('Reference Records'!L$77:L$157,MATCH(LEFT(C1639,255),'Reference Records'!E$77:E$157,0)),"")</f>
        <v/>
      </c>
    </row>
    <row r="1640" spans="1:23" s="194" customFormat="1" ht="40.4" customHeight="1" x14ac:dyDescent="0.35">
      <c r="A1640" s="770"/>
      <c r="B1640" s="767"/>
      <c r="C1640" s="761"/>
      <c r="D1640" s="769"/>
      <c r="E1640" s="769"/>
      <c r="F1640" s="208"/>
      <c r="G1640" s="763"/>
      <c r="H1640" s="744"/>
      <c r="I1640" s="765"/>
      <c r="J1640" s="730"/>
      <c r="K1640" s="761"/>
      <c r="L1640" s="761"/>
      <c r="M1640" s="730"/>
      <c r="N1640" s="730"/>
    </row>
    <row r="1641" spans="1:23" s="194" customFormat="1" ht="40.4" customHeight="1" x14ac:dyDescent="0.35">
      <c r="A1641" s="770" t="str">
        <f ca="1">INDIRECT("'update Helper'!C"&amp;U1641)</f>
        <v>a163p000004NtZIAA0</v>
      </c>
      <c r="B1641" s="766">
        <v>26</v>
      </c>
      <c r="C1641" s="760" t="str">
        <f>VLOOKUP(B1641,'Coverage Indicators - Section D'!$A$9:$AU$70,47,FALSE)</f>
        <v/>
      </c>
      <c r="D1641" s="768" t="str">
        <f>R1641</f>
        <v/>
      </c>
      <c r="E1641" s="768" t="str">
        <f>S1641</f>
        <v/>
      </c>
      <c r="F1641" s="413"/>
      <c r="G1641" s="762" t="str">
        <f ca="1">IF(OR(INDIRECT("'update Helper'!E"&amp;U1641)="",F1641&lt;&gt;0,F1642&lt;&gt;0),IF(IFERROR((F1641/F1642),"")="","",(F1641/F1642)),INDIRECT("'update Helper'!E"&amp;U1641)/100)</f>
        <v/>
      </c>
      <c r="H1641" s="743"/>
      <c r="I1641" s="764"/>
      <c r="J1641" s="729"/>
      <c r="K1641" s="760" t="str">
        <f>W1641</f>
        <v/>
      </c>
      <c r="L1641" s="760" t="str">
        <f>V1641</f>
        <v/>
      </c>
      <c r="M1641" s="729"/>
      <c r="N1641" s="729"/>
      <c r="P1641" s="194">
        <f>IF(AND(EXACT(C1641,C1639),C1639&lt;&gt;0),P1639+1,0)</f>
        <v>70</v>
      </c>
      <c r="Q1641" s="194" t="str">
        <f>IF(C1641&lt;&gt;"",C1641&amp;"-"&amp;P1641,"")</f>
        <v/>
      </c>
      <c r="R1641" s="194" t="str">
        <f t="array" ref="R1641">IFERROR(IF(INDEX('Disaggregation Records'!$E$155:$E$385,MATCH(RIGHT(Q1641,255),RIGHT('Disaggregation Records'!$D$155:$D$385,255),0))="","",INDEX('Disaggregation Records'!$E$155:$E$385,MATCH(RIGHT(Q1641,255),RIGHT('Disaggregation Records'!$D$155:$D$385,255),0))),"")</f>
        <v/>
      </c>
      <c r="S1641" s="194" t="str">
        <f t="array" ref="S1641">IFERROR(IF(INDEX('Disaggregation Records'!$F$155:$F$385,MATCH(RIGHT(Q1641,255),RIGHT('Disaggregation Records'!$D$155:$D$385,255),0))="","",INDEX('Disaggregation Records'!$F$155:$F$385,MATCH(RIGHT(Q1641,255),RIGHT('Disaggregation Records'!$D$155:$D$385,255),0))),"")</f>
        <v/>
      </c>
      <c r="T1641" s="194" t="str">
        <f t="array" ref="T1641">IFERROR(IF(INDEX('Disaggregation Records'!$H$155:$H$385,MATCH(RIGHT(Q1641,255),RIGHT('Disaggregation Records'!$D$155:$D$385,255),0))="","",INDEX('Disaggregation Records'!$H$155:$H$385,MATCH(RIGHT(Q1641,255),RIGHT('Disaggregation Records'!$D$155:$D$385,255),0))),"")</f>
        <v/>
      </c>
      <c r="U1641" s="194">
        <f>U1639+1</f>
        <v>3010</v>
      </c>
      <c r="V1641" s="194" t="str">
        <f t="array" ref="V1641">IFERROR(IF(INDEX('Disaggregation Records'!$I$155:$I$385,MATCH(RIGHT(Q1641,255),RIGHT('Disaggregation Records'!$D$155:$D$385,255),0))="","",INDEX('Disaggregation Records'!$I$155:$I$385,MATCH(RIGHT(Q1641,255),RIGHT('Disaggregation Records'!$D$155:$D$385,255),0))),"")</f>
        <v/>
      </c>
      <c r="W1641" s="194" t="str">
        <f>IFERROR(INDEX('Reference Records'!L$77:L$157,MATCH(LEFT(C1641,255),'Reference Records'!E$77:E$157,0)),"")</f>
        <v/>
      </c>
    </row>
    <row r="1642" spans="1:23" s="194" customFormat="1" ht="40.4" customHeight="1" x14ac:dyDescent="0.35">
      <c r="A1642" s="770"/>
      <c r="B1642" s="767"/>
      <c r="C1642" s="761"/>
      <c r="D1642" s="769"/>
      <c r="E1642" s="769"/>
      <c r="F1642" s="208"/>
      <c r="G1642" s="763"/>
      <c r="H1642" s="744"/>
      <c r="I1642" s="765"/>
      <c r="J1642" s="730"/>
      <c r="K1642" s="761"/>
      <c r="L1642" s="761"/>
      <c r="M1642" s="730"/>
      <c r="N1642" s="730"/>
    </row>
    <row r="1643" spans="1:23" s="194" customFormat="1" ht="40.4" customHeight="1" x14ac:dyDescent="0.35">
      <c r="A1643" s="770" t="str">
        <f ca="1">INDIRECT("'update Helper'!C"&amp;U1643)</f>
        <v>a163p000004NtZJAA0</v>
      </c>
      <c r="B1643" s="766">
        <v>26</v>
      </c>
      <c r="C1643" s="760" t="str">
        <f>VLOOKUP(B1643,'Coverage Indicators - Section D'!$A$9:$AU$70,47,FALSE)</f>
        <v/>
      </c>
      <c r="D1643" s="768" t="str">
        <f>R1643</f>
        <v/>
      </c>
      <c r="E1643" s="768" t="str">
        <f>S1643</f>
        <v/>
      </c>
      <c r="F1643" s="413"/>
      <c r="G1643" s="762" t="str">
        <f ca="1">IF(OR(INDIRECT("'update Helper'!E"&amp;U1643)="",F1643&lt;&gt;0,F1644&lt;&gt;0),IF(IFERROR((F1643/F1644),"")="","",(F1643/F1644)),INDIRECT("'update Helper'!E"&amp;U1643)/100)</f>
        <v/>
      </c>
      <c r="H1643" s="743"/>
      <c r="I1643" s="764"/>
      <c r="J1643" s="729"/>
      <c r="K1643" s="760" t="str">
        <f>W1643</f>
        <v/>
      </c>
      <c r="L1643" s="760" t="str">
        <f>V1643</f>
        <v/>
      </c>
      <c r="M1643" s="729"/>
      <c r="N1643" s="729"/>
      <c r="P1643" s="194">
        <f>IF(AND(EXACT(C1643,C1641),C1641&lt;&gt;0),P1641+1,0)</f>
        <v>71</v>
      </c>
      <c r="Q1643" s="194" t="str">
        <f>IF(C1643&lt;&gt;"",C1643&amp;"-"&amp;P1643,"")</f>
        <v/>
      </c>
      <c r="R1643" s="194" t="str">
        <f t="array" ref="R1643">IFERROR(IF(INDEX('Disaggregation Records'!$E$155:$E$385,MATCH(RIGHT(Q1643,255),RIGHT('Disaggregation Records'!$D$155:$D$385,255),0))="","",INDEX('Disaggregation Records'!$E$155:$E$385,MATCH(RIGHT(Q1643,255),RIGHT('Disaggregation Records'!$D$155:$D$385,255),0))),"")</f>
        <v/>
      </c>
      <c r="S1643" s="194" t="str">
        <f t="array" ref="S1643">IFERROR(IF(INDEX('Disaggregation Records'!$F$155:$F$385,MATCH(RIGHT(Q1643,255),RIGHT('Disaggregation Records'!$D$155:$D$385,255),0))="","",INDEX('Disaggregation Records'!$F$155:$F$385,MATCH(RIGHT(Q1643,255),RIGHT('Disaggregation Records'!$D$155:$D$385,255),0))),"")</f>
        <v/>
      </c>
      <c r="T1643" s="194" t="str">
        <f t="array" ref="T1643">IFERROR(IF(INDEX('Disaggregation Records'!$H$155:$H$385,MATCH(RIGHT(Q1643,255),RIGHT('Disaggregation Records'!$D$155:$D$385,255),0))="","",INDEX('Disaggregation Records'!$H$155:$H$385,MATCH(RIGHT(Q1643,255),RIGHT('Disaggregation Records'!$D$155:$D$385,255),0))),"")</f>
        <v/>
      </c>
      <c r="U1643" s="194">
        <f>U1641+1</f>
        <v>3011</v>
      </c>
      <c r="V1643" s="194" t="str">
        <f t="array" ref="V1643">IFERROR(IF(INDEX('Disaggregation Records'!$I$155:$I$385,MATCH(RIGHT(Q1643,255),RIGHT('Disaggregation Records'!$D$155:$D$385,255),0))="","",INDEX('Disaggregation Records'!$I$155:$I$385,MATCH(RIGHT(Q1643,255),RIGHT('Disaggregation Records'!$D$155:$D$385,255),0))),"")</f>
        <v/>
      </c>
      <c r="W1643" s="194" t="str">
        <f>IFERROR(INDEX('Reference Records'!L$77:L$157,MATCH(LEFT(C1643,255),'Reference Records'!E$77:E$157,0)),"")</f>
        <v/>
      </c>
    </row>
    <row r="1644" spans="1:23" s="194" customFormat="1" ht="40.4" customHeight="1" x14ac:dyDescent="0.35">
      <c r="A1644" s="770"/>
      <c r="B1644" s="767"/>
      <c r="C1644" s="761"/>
      <c r="D1644" s="769"/>
      <c r="E1644" s="769"/>
      <c r="F1644" s="208"/>
      <c r="G1644" s="763"/>
      <c r="H1644" s="744"/>
      <c r="I1644" s="765"/>
      <c r="J1644" s="730"/>
      <c r="K1644" s="761"/>
      <c r="L1644" s="761"/>
      <c r="M1644" s="730"/>
      <c r="N1644" s="730"/>
    </row>
    <row r="1645" spans="1:23" s="194" customFormat="1" ht="40.4" customHeight="1" x14ac:dyDescent="0.35">
      <c r="A1645" s="770" t="str">
        <f ca="1">INDIRECT("'update Helper'!C"&amp;U1645)</f>
        <v>a163p000004NtZKAA0</v>
      </c>
      <c r="B1645" s="766">
        <v>26</v>
      </c>
      <c r="C1645" s="760" t="str">
        <f>VLOOKUP(B1645,'Coverage Indicators - Section D'!$A$9:$AU$70,47,FALSE)</f>
        <v/>
      </c>
      <c r="D1645" s="768" t="str">
        <f>R1645</f>
        <v/>
      </c>
      <c r="E1645" s="768" t="str">
        <f>S1645</f>
        <v/>
      </c>
      <c r="F1645" s="413"/>
      <c r="G1645" s="762" t="str">
        <f ca="1">IF(OR(INDIRECT("'update Helper'!E"&amp;U1645)="",F1645&lt;&gt;0,F1646&lt;&gt;0),IF(IFERROR((F1645/F1646),"")="","",(F1645/F1646)),INDIRECT("'update Helper'!E"&amp;U1645)/100)</f>
        <v/>
      </c>
      <c r="H1645" s="743"/>
      <c r="I1645" s="764"/>
      <c r="J1645" s="729"/>
      <c r="K1645" s="760" t="str">
        <f>W1645</f>
        <v/>
      </c>
      <c r="L1645" s="760" t="str">
        <f>V1645</f>
        <v/>
      </c>
      <c r="M1645" s="729"/>
      <c r="N1645" s="729"/>
      <c r="P1645" s="194">
        <f>IF(AND(EXACT(C1645,C1643),C1643&lt;&gt;0),P1643+1,0)</f>
        <v>72</v>
      </c>
      <c r="Q1645" s="194" t="str">
        <f>IF(C1645&lt;&gt;"",C1645&amp;"-"&amp;P1645,"")</f>
        <v/>
      </c>
      <c r="R1645" s="194" t="str">
        <f t="array" ref="R1645">IFERROR(IF(INDEX('Disaggregation Records'!$E$155:$E$385,MATCH(RIGHT(Q1645,255),RIGHT('Disaggregation Records'!$D$155:$D$385,255),0))="","",INDEX('Disaggregation Records'!$E$155:$E$385,MATCH(RIGHT(Q1645,255),RIGHT('Disaggregation Records'!$D$155:$D$385,255),0))),"")</f>
        <v/>
      </c>
      <c r="S1645" s="194" t="str">
        <f t="array" ref="S1645">IFERROR(IF(INDEX('Disaggregation Records'!$F$155:$F$385,MATCH(RIGHT(Q1645,255),RIGHT('Disaggregation Records'!$D$155:$D$385,255),0))="","",INDEX('Disaggregation Records'!$F$155:$F$385,MATCH(RIGHT(Q1645,255),RIGHT('Disaggregation Records'!$D$155:$D$385,255),0))),"")</f>
        <v/>
      </c>
      <c r="T1645" s="194" t="str">
        <f t="array" ref="T1645">IFERROR(IF(INDEX('Disaggregation Records'!$H$155:$H$385,MATCH(RIGHT(Q1645,255),RIGHT('Disaggregation Records'!$D$155:$D$385,255),0))="","",INDEX('Disaggregation Records'!$H$155:$H$385,MATCH(RIGHT(Q1645,255),RIGHT('Disaggregation Records'!$D$155:$D$385,255),0))),"")</f>
        <v/>
      </c>
      <c r="U1645" s="194">
        <f>U1643+1</f>
        <v>3012</v>
      </c>
      <c r="V1645" s="194" t="str">
        <f t="array" ref="V1645">IFERROR(IF(INDEX('Disaggregation Records'!$I$155:$I$385,MATCH(RIGHT(Q1645,255),RIGHT('Disaggregation Records'!$D$155:$D$385,255),0))="","",INDEX('Disaggregation Records'!$I$155:$I$385,MATCH(RIGHT(Q1645,255),RIGHT('Disaggregation Records'!$D$155:$D$385,255),0))),"")</f>
        <v/>
      </c>
      <c r="W1645" s="194" t="str">
        <f>IFERROR(INDEX('Reference Records'!L$77:L$157,MATCH(LEFT(C1645,255),'Reference Records'!E$77:E$157,0)),"")</f>
        <v/>
      </c>
    </row>
    <row r="1646" spans="1:23" s="194" customFormat="1" ht="40.4" customHeight="1" x14ac:dyDescent="0.35">
      <c r="A1646" s="770"/>
      <c r="B1646" s="767"/>
      <c r="C1646" s="761"/>
      <c r="D1646" s="769"/>
      <c r="E1646" s="769"/>
      <c r="F1646" s="208"/>
      <c r="G1646" s="763"/>
      <c r="H1646" s="744"/>
      <c r="I1646" s="765"/>
      <c r="J1646" s="730"/>
      <c r="K1646" s="761"/>
      <c r="L1646" s="761"/>
      <c r="M1646" s="730"/>
      <c r="N1646" s="730"/>
    </row>
    <row r="1647" spans="1:23" s="194" customFormat="1" ht="40.4" customHeight="1" x14ac:dyDescent="0.35">
      <c r="A1647" s="770" t="str">
        <f ca="1">INDIRECT("'update Helper'!C"&amp;U1647)</f>
        <v>a163p000004NtZLAA0</v>
      </c>
      <c r="B1647" s="766">
        <v>26</v>
      </c>
      <c r="C1647" s="760" t="str">
        <f>VLOOKUP(B1647,'Coverage Indicators - Section D'!$A$9:$AU$70,47,FALSE)</f>
        <v/>
      </c>
      <c r="D1647" s="768" t="str">
        <f>R1647</f>
        <v/>
      </c>
      <c r="E1647" s="768" t="str">
        <f>S1647</f>
        <v/>
      </c>
      <c r="F1647" s="413"/>
      <c r="G1647" s="762" t="str">
        <f ca="1">IF(OR(INDIRECT("'update Helper'!E"&amp;U1647)="",F1647&lt;&gt;0,F1648&lt;&gt;0),IF(IFERROR((F1647/F1648),"")="","",(F1647/F1648)),INDIRECT("'update Helper'!E"&amp;U1647)/100)</f>
        <v/>
      </c>
      <c r="H1647" s="743"/>
      <c r="I1647" s="764"/>
      <c r="J1647" s="729"/>
      <c r="K1647" s="760" t="str">
        <f>W1647</f>
        <v/>
      </c>
      <c r="L1647" s="760" t="str">
        <f>V1647</f>
        <v/>
      </c>
      <c r="M1647" s="729"/>
      <c r="N1647" s="729"/>
      <c r="P1647" s="194">
        <f>IF(AND(EXACT(C1647,C1645),C1645&lt;&gt;0),P1645+1,0)</f>
        <v>73</v>
      </c>
      <c r="Q1647" s="194" t="str">
        <f>IF(C1647&lt;&gt;"",C1647&amp;"-"&amp;P1647,"")</f>
        <v/>
      </c>
      <c r="R1647" s="194" t="str">
        <f t="array" ref="R1647">IFERROR(IF(INDEX('Disaggregation Records'!$E$155:$E$385,MATCH(RIGHT(Q1647,255),RIGHT('Disaggregation Records'!$D$155:$D$385,255),0))="","",INDEX('Disaggregation Records'!$E$155:$E$385,MATCH(RIGHT(Q1647,255),RIGHT('Disaggregation Records'!$D$155:$D$385,255),0))),"")</f>
        <v/>
      </c>
      <c r="S1647" s="194" t="str">
        <f t="array" ref="S1647">IFERROR(IF(INDEX('Disaggregation Records'!$F$155:$F$385,MATCH(RIGHT(Q1647,255),RIGHT('Disaggregation Records'!$D$155:$D$385,255),0))="","",INDEX('Disaggregation Records'!$F$155:$F$385,MATCH(RIGHT(Q1647,255),RIGHT('Disaggregation Records'!$D$155:$D$385,255),0))),"")</f>
        <v/>
      </c>
      <c r="T1647" s="194" t="str">
        <f t="array" ref="T1647">IFERROR(IF(INDEX('Disaggregation Records'!$H$155:$H$385,MATCH(RIGHT(Q1647,255),RIGHT('Disaggregation Records'!$D$155:$D$385,255),0))="","",INDEX('Disaggregation Records'!$H$155:$H$385,MATCH(RIGHT(Q1647,255),RIGHT('Disaggregation Records'!$D$155:$D$385,255),0))),"")</f>
        <v/>
      </c>
      <c r="U1647" s="194">
        <f>U1645+1</f>
        <v>3013</v>
      </c>
      <c r="V1647" s="194" t="str">
        <f t="array" ref="V1647">IFERROR(IF(INDEX('Disaggregation Records'!$I$155:$I$385,MATCH(RIGHT(Q1647,255),RIGHT('Disaggregation Records'!$D$155:$D$385,255),0))="","",INDEX('Disaggregation Records'!$I$155:$I$385,MATCH(RIGHT(Q1647,255),RIGHT('Disaggregation Records'!$D$155:$D$385,255),0))),"")</f>
        <v/>
      </c>
      <c r="W1647" s="194" t="str">
        <f>IFERROR(INDEX('Reference Records'!L$77:L$157,MATCH(LEFT(C1647,255),'Reference Records'!E$77:E$157,0)),"")</f>
        <v/>
      </c>
    </row>
    <row r="1648" spans="1:23" s="194" customFormat="1" ht="40.4" customHeight="1" x14ac:dyDescent="0.35">
      <c r="A1648" s="770"/>
      <c r="B1648" s="767"/>
      <c r="C1648" s="761"/>
      <c r="D1648" s="769"/>
      <c r="E1648" s="769"/>
      <c r="F1648" s="208"/>
      <c r="G1648" s="763"/>
      <c r="H1648" s="744"/>
      <c r="I1648" s="765"/>
      <c r="J1648" s="730"/>
      <c r="K1648" s="761"/>
      <c r="L1648" s="761"/>
      <c r="M1648" s="730"/>
      <c r="N1648" s="730"/>
    </row>
    <row r="1649" spans="1:23" s="194" customFormat="1" ht="40.4" customHeight="1" x14ac:dyDescent="0.35">
      <c r="A1649" s="770" t="str">
        <f ca="1">INDIRECT("'update Helper'!C"&amp;U1649)</f>
        <v>a163p000004NtZMAA0</v>
      </c>
      <c r="B1649" s="766">
        <v>26</v>
      </c>
      <c r="C1649" s="760" t="str">
        <f>VLOOKUP(B1649,'Coverage Indicators - Section D'!$A$9:$AU$70,47,FALSE)</f>
        <v/>
      </c>
      <c r="D1649" s="768" t="str">
        <f>R1649</f>
        <v/>
      </c>
      <c r="E1649" s="768" t="str">
        <f>S1649</f>
        <v/>
      </c>
      <c r="F1649" s="413"/>
      <c r="G1649" s="762" t="str">
        <f ca="1">IF(OR(INDIRECT("'update Helper'!E"&amp;U1649)="",F1649&lt;&gt;0,F1650&lt;&gt;0),IF(IFERROR((F1649/F1650),"")="","",(F1649/F1650)),INDIRECT("'update Helper'!E"&amp;U1649)/100)</f>
        <v/>
      </c>
      <c r="H1649" s="743"/>
      <c r="I1649" s="764"/>
      <c r="J1649" s="729"/>
      <c r="K1649" s="760" t="str">
        <f>W1649</f>
        <v/>
      </c>
      <c r="L1649" s="760" t="str">
        <f>V1649</f>
        <v/>
      </c>
      <c r="M1649" s="729"/>
      <c r="N1649" s="729"/>
      <c r="P1649" s="194">
        <f>IF(AND(EXACT(C1649,C1647),C1647&lt;&gt;0),P1647+1,0)</f>
        <v>74</v>
      </c>
      <c r="Q1649" s="194" t="str">
        <f>IF(C1649&lt;&gt;"",C1649&amp;"-"&amp;P1649,"")</f>
        <v/>
      </c>
      <c r="R1649" s="194" t="str">
        <f t="array" ref="R1649">IFERROR(IF(INDEX('Disaggregation Records'!$E$155:$E$385,MATCH(RIGHT(Q1649,255),RIGHT('Disaggregation Records'!$D$155:$D$385,255),0))="","",INDEX('Disaggregation Records'!$E$155:$E$385,MATCH(RIGHT(Q1649,255),RIGHT('Disaggregation Records'!$D$155:$D$385,255),0))),"")</f>
        <v/>
      </c>
      <c r="S1649" s="194" t="str">
        <f t="array" ref="S1649">IFERROR(IF(INDEX('Disaggregation Records'!$F$155:$F$385,MATCH(RIGHT(Q1649,255),RIGHT('Disaggregation Records'!$D$155:$D$385,255),0))="","",INDEX('Disaggregation Records'!$F$155:$F$385,MATCH(RIGHT(Q1649,255),RIGHT('Disaggregation Records'!$D$155:$D$385,255),0))),"")</f>
        <v/>
      </c>
      <c r="T1649" s="194" t="str">
        <f t="array" ref="T1649">IFERROR(IF(INDEX('Disaggregation Records'!$H$155:$H$385,MATCH(RIGHT(Q1649,255),RIGHT('Disaggregation Records'!$D$155:$D$385,255),0))="","",INDEX('Disaggregation Records'!$H$155:$H$385,MATCH(RIGHT(Q1649,255),RIGHT('Disaggregation Records'!$D$155:$D$385,255),0))),"")</f>
        <v/>
      </c>
      <c r="U1649" s="194">
        <f>U1647+1</f>
        <v>3014</v>
      </c>
      <c r="V1649" s="194" t="str">
        <f t="array" ref="V1649">IFERROR(IF(INDEX('Disaggregation Records'!$I$155:$I$385,MATCH(RIGHT(Q1649,255),RIGHT('Disaggregation Records'!$D$155:$D$385,255),0))="","",INDEX('Disaggregation Records'!$I$155:$I$385,MATCH(RIGHT(Q1649,255),RIGHT('Disaggregation Records'!$D$155:$D$385,255),0))),"")</f>
        <v/>
      </c>
      <c r="W1649" s="194" t="str">
        <f>IFERROR(INDEX('Reference Records'!L$77:L$157,MATCH(LEFT(C1649,255),'Reference Records'!E$77:E$157,0)),"")</f>
        <v/>
      </c>
    </row>
    <row r="1650" spans="1:23" s="194" customFormat="1" ht="40.4" customHeight="1" x14ac:dyDescent="0.35">
      <c r="A1650" s="770"/>
      <c r="B1650" s="767"/>
      <c r="C1650" s="761"/>
      <c r="D1650" s="769"/>
      <c r="E1650" s="769"/>
      <c r="F1650" s="208"/>
      <c r="G1650" s="763"/>
      <c r="H1650" s="744"/>
      <c r="I1650" s="765"/>
      <c r="J1650" s="730"/>
      <c r="K1650" s="761"/>
      <c r="L1650" s="761"/>
      <c r="M1650" s="730"/>
      <c r="N1650" s="730"/>
    </row>
    <row r="1651" spans="1:23" s="194" customFormat="1" ht="40.4" customHeight="1" x14ac:dyDescent="0.35">
      <c r="A1651" s="770" t="str">
        <f ca="1">INDIRECT("'update Helper'!C"&amp;U1651)</f>
        <v>a163p000004NtZNAA0</v>
      </c>
      <c r="B1651" s="766">
        <v>26</v>
      </c>
      <c r="C1651" s="760" t="str">
        <f>VLOOKUP(B1651,'Coverage Indicators - Section D'!$A$9:$AU$70,47,FALSE)</f>
        <v/>
      </c>
      <c r="D1651" s="768" t="str">
        <f>R1651</f>
        <v/>
      </c>
      <c r="E1651" s="768" t="str">
        <f>S1651</f>
        <v/>
      </c>
      <c r="F1651" s="413"/>
      <c r="G1651" s="762" t="str">
        <f ca="1">IF(OR(INDIRECT("'update Helper'!E"&amp;U1651)="",F1651&lt;&gt;0,F1652&lt;&gt;0),IF(IFERROR((F1651/F1652),"")="","",(F1651/F1652)),INDIRECT("'update Helper'!E"&amp;U1651)/100)</f>
        <v/>
      </c>
      <c r="H1651" s="743"/>
      <c r="I1651" s="764"/>
      <c r="J1651" s="729"/>
      <c r="K1651" s="760" t="str">
        <f>W1651</f>
        <v/>
      </c>
      <c r="L1651" s="760" t="str">
        <f>V1651</f>
        <v/>
      </c>
      <c r="M1651" s="729"/>
      <c r="N1651" s="729"/>
      <c r="P1651" s="194">
        <f>IF(AND(EXACT(C1651,C1649),C1649&lt;&gt;0),P1649+1,0)</f>
        <v>75</v>
      </c>
      <c r="Q1651" s="194" t="str">
        <f>IF(C1651&lt;&gt;"",C1651&amp;"-"&amp;P1651,"")</f>
        <v/>
      </c>
      <c r="R1651" s="194" t="str">
        <f t="array" ref="R1651">IFERROR(IF(INDEX('Disaggregation Records'!$E$155:$E$385,MATCH(RIGHT(Q1651,255),RIGHT('Disaggregation Records'!$D$155:$D$385,255),0))="","",INDEX('Disaggregation Records'!$E$155:$E$385,MATCH(RIGHT(Q1651,255),RIGHT('Disaggregation Records'!$D$155:$D$385,255),0))),"")</f>
        <v/>
      </c>
      <c r="S1651" s="194" t="str">
        <f t="array" ref="S1651">IFERROR(IF(INDEX('Disaggregation Records'!$F$155:$F$385,MATCH(RIGHT(Q1651,255),RIGHT('Disaggregation Records'!$D$155:$D$385,255),0))="","",INDEX('Disaggregation Records'!$F$155:$F$385,MATCH(RIGHT(Q1651,255),RIGHT('Disaggregation Records'!$D$155:$D$385,255),0))),"")</f>
        <v/>
      </c>
      <c r="T1651" s="194" t="str">
        <f t="array" ref="T1651">IFERROR(IF(INDEX('Disaggregation Records'!$H$155:$H$385,MATCH(RIGHT(Q1651,255),RIGHT('Disaggregation Records'!$D$155:$D$385,255),0))="","",INDEX('Disaggregation Records'!$H$155:$H$385,MATCH(RIGHT(Q1651,255),RIGHT('Disaggregation Records'!$D$155:$D$385,255),0))),"")</f>
        <v/>
      </c>
      <c r="U1651" s="194">
        <f>U1649+1</f>
        <v>3015</v>
      </c>
      <c r="V1651" s="194" t="str">
        <f t="array" ref="V1651">IFERROR(IF(INDEX('Disaggregation Records'!$I$155:$I$385,MATCH(RIGHT(Q1651,255),RIGHT('Disaggregation Records'!$D$155:$D$385,255),0))="","",INDEX('Disaggregation Records'!$I$155:$I$385,MATCH(RIGHT(Q1651,255),RIGHT('Disaggregation Records'!$D$155:$D$385,255),0))),"")</f>
        <v/>
      </c>
      <c r="W1651" s="194" t="str">
        <f>IFERROR(INDEX('Reference Records'!L$77:L$157,MATCH(LEFT(C1651,255),'Reference Records'!E$77:E$157,0)),"")</f>
        <v/>
      </c>
    </row>
    <row r="1652" spans="1:23" s="194" customFormat="1" ht="40.4" customHeight="1" x14ac:dyDescent="0.35">
      <c r="A1652" s="770"/>
      <c r="B1652" s="767"/>
      <c r="C1652" s="761"/>
      <c r="D1652" s="769"/>
      <c r="E1652" s="769"/>
      <c r="F1652" s="208"/>
      <c r="G1652" s="763"/>
      <c r="H1652" s="744"/>
      <c r="I1652" s="765"/>
      <c r="J1652" s="730"/>
      <c r="K1652" s="761"/>
      <c r="L1652" s="761"/>
      <c r="M1652" s="730"/>
      <c r="N1652" s="730"/>
    </row>
    <row r="1653" spans="1:23" s="194" customFormat="1" ht="40.4" customHeight="1" x14ac:dyDescent="0.35">
      <c r="A1653" s="770" t="str">
        <f ca="1">INDIRECT("'update Helper'!C"&amp;U1653)</f>
        <v>a163p000004NtZOAA0</v>
      </c>
      <c r="B1653" s="766">
        <v>26</v>
      </c>
      <c r="C1653" s="760" t="str">
        <f>VLOOKUP(B1653,'Coverage Indicators - Section D'!$A$9:$AU$70,47,FALSE)</f>
        <v/>
      </c>
      <c r="D1653" s="768" t="str">
        <f>R1653</f>
        <v/>
      </c>
      <c r="E1653" s="768" t="str">
        <f>S1653</f>
        <v/>
      </c>
      <c r="F1653" s="413"/>
      <c r="G1653" s="762" t="str">
        <f ca="1">IF(OR(INDIRECT("'update Helper'!E"&amp;U1653)="",F1653&lt;&gt;0,F1654&lt;&gt;0),IF(IFERROR((F1653/F1654),"")="","",(F1653/F1654)),INDIRECT("'update Helper'!E"&amp;U1653)/100)</f>
        <v/>
      </c>
      <c r="H1653" s="743"/>
      <c r="I1653" s="764"/>
      <c r="J1653" s="729"/>
      <c r="K1653" s="760" t="str">
        <f>W1653</f>
        <v/>
      </c>
      <c r="L1653" s="760" t="str">
        <f>V1653</f>
        <v/>
      </c>
      <c r="M1653" s="729"/>
      <c r="N1653" s="729"/>
      <c r="P1653" s="194">
        <f>IF(AND(EXACT(C1653,C1651),C1651&lt;&gt;0),P1651+1,0)</f>
        <v>76</v>
      </c>
      <c r="Q1653" s="194" t="str">
        <f>IF(C1653&lt;&gt;"",C1653&amp;"-"&amp;P1653,"")</f>
        <v/>
      </c>
      <c r="R1653" s="194" t="str">
        <f t="array" ref="R1653">IFERROR(IF(INDEX('Disaggregation Records'!$E$155:$E$385,MATCH(RIGHT(Q1653,255),RIGHT('Disaggregation Records'!$D$155:$D$385,255),0))="","",INDEX('Disaggregation Records'!$E$155:$E$385,MATCH(RIGHT(Q1653,255),RIGHT('Disaggregation Records'!$D$155:$D$385,255),0))),"")</f>
        <v/>
      </c>
      <c r="S1653" s="194" t="str">
        <f t="array" ref="S1653">IFERROR(IF(INDEX('Disaggregation Records'!$F$155:$F$385,MATCH(RIGHT(Q1653,255),RIGHT('Disaggregation Records'!$D$155:$D$385,255),0))="","",INDEX('Disaggregation Records'!$F$155:$F$385,MATCH(RIGHT(Q1653,255),RIGHT('Disaggregation Records'!$D$155:$D$385,255),0))),"")</f>
        <v/>
      </c>
      <c r="T1653" s="194" t="str">
        <f t="array" ref="T1653">IFERROR(IF(INDEX('Disaggregation Records'!$H$155:$H$385,MATCH(RIGHT(Q1653,255),RIGHT('Disaggregation Records'!$D$155:$D$385,255),0))="","",INDEX('Disaggregation Records'!$H$155:$H$385,MATCH(RIGHT(Q1653,255),RIGHT('Disaggregation Records'!$D$155:$D$385,255),0))),"")</f>
        <v/>
      </c>
      <c r="U1653" s="194">
        <f>U1651+1</f>
        <v>3016</v>
      </c>
      <c r="V1653" s="194" t="str">
        <f t="array" ref="V1653">IFERROR(IF(INDEX('Disaggregation Records'!$I$155:$I$385,MATCH(RIGHT(Q1653,255),RIGHT('Disaggregation Records'!$D$155:$D$385,255),0))="","",INDEX('Disaggregation Records'!$I$155:$I$385,MATCH(RIGHT(Q1653,255),RIGHT('Disaggregation Records'!$D$155:$D$385,255),0))),"")</f>
        <v/>
      </c>
      <c r="W1653" s="194" t="str">
        <f>IFERROR(INDEX('Reference Records'!L$77:L$157,MATCH(LEFT(C1653,255),'Reference Records'!E$77:E$157,0)),"")</f>
        <v/>
      </c>
    </row>
    <row r="1654" spans="1:23" s="194" customFormat="1" ht="40.4" customHeight="1" x14ac:dyDescent="0.35">
      <c r="A1654" s="770"/>
      <c r="B1654" s="767"/>
      <c r="C1654" s="761"/>
      <c r="D1654" s="769"/>
      <c r="E1654" s="769"/>
      <c r="F1654" s="208"/>
      <c r="G1654" s="763"/>
      <c r="H1654" s="744"/>
      <c r="I1654" s="765"/>
      <c r="J1654" s="730"/>
      <c r="K1654" s="761"/>
      <c r="L1654" s="761"/>
      <c r="M1654" s="730"/>
      <c r="N1654" s="730"/>
    </row>
    <row r="1655" spans="1:23" s="194" customFormat="1" ht="40.4" customHeight="1" x14ac:dyDescent="0.35">
      <c r="A1655" s="770" t="str">
        <f ca="1">INDIRECT("'update Helper'!C"&amp;U1655)</f>
        <v>a163p000004NtZPAA0</v>
      </c>
      <c r="B1655" s="766">
        <v>26</v>
      </c>
      <c r="C1655" s="760" t="str">
        <f>VLOOKUP(B1655,'Coverage Indicators - Section D'!$A$9:$AU$70,47,FALSE)</f>
        <v/>
      </c>
      <c r="D1655" s="768" t="str">
        <f>R1655</f>
        <v/>
      </c>
      <c r="E1655" s="768" t="str">
        <f>S1655</f>
        <v/>
      </c>
      <c r="F1655" s="413"/>
      <c r="G1655" s="762" t="str">
        <f ca="1">IF(OR(INDIRECT("'update Helper'!E"&amp;U1655)="",F1655&lt;&gt;0,F1656&lt;&gt;0),IF(IFERROR((F1655/F1656),"")="","",(F1655/F1656)),INDIRECT("'update Helper'!E"&amp;U1655)/100)</f>
        <v/>
      </c>
      <c r="H1655" s="743"/>
      <c r="I1655" s="764"/>
      <c r="J1655" s="729"/>
      <c r="K1655" s="760" t="str">
        <f>W1655</f>
        <v/>
      </c>
      <c r="L1655" s="760" t="str">
        <f>V1655</f>
        <v/>
      </c>
      <c r="M1655" s="729"/>
      <c r="N1655" s="729"/>
      <c r="P1655" s="194">
        <f>IF(AND(EXACT(C1655,C1653),C1653&lt;&gt;0),P1653+1,0)</f>
        <v>77</v>
      </c>
      <c r="Q1655" s="194" t="str">
        <f>IF(C1655&lt;&gt;"",C1655&amp;"-"&amp;P1655,"")</f>
        <v/>
      </c>
      <c r="R1655" s="194" t="str">
        <f t="array" ref="R1655">IFERROR(IF(INDEX('Disaggregation Records'!$E$155:$E$385,MATCH(RIGHT(Q1655,255),RIGHT('Disaggregation Records'!$D$155:$D$385,255),0))="","",INDEX('Disaggregation Records'!$E$155:$E$385,MATCH(RIGHT(Q1655,255),RIGHT('Disaggregation Records'!$D$155:$D$385,255),0))),"")</f>
        <v/>
      </c>
      <c r="S1655" s="194" t="str">
        <f t="array" ref="S1655">IFERROR(IF(INDEX('Disaggregation Records'!$F$155:$F$385,MATCH(RIGHT(Q1655,255),RIGHT('Disaggregation Records'!$D$155:$D$385,255),0))="","",INDEX('Disaggregation Records'!$F$155:$F$385,MATCH(RIGHT(Q1655,255),RIGHT('Disaggregation Records'!$D$155:$D$385,255),0))),"")</f>
        <v/>
      </c>
      <c r="T1655" s="194" t="str">
        <f t="array" ref="T1655">IFERROR(IF(INDEX('Disaggregation Records'!$H$155:$H$385,MATCH(RIGHT(Q1655,255),RIGHT('Disaggregation Records'!$D$155:$D$385,255),0))="","",INDEX('Disaggregation Records'!$H$155:$H$385,MATCH(RIGHT(Q1655,255),RIGHT('Disaggregation Records'!$D$155:$D$385,255),0))),"")</f>
        <v/>
      </c>
      <c r="U1655" s="194">
        <f>U1653+1</f>
        <v>3017</v>
      </c>
      <c r="V1655" s="194" t="str">
        <f t="array" ref="V1655">IFERROR(IF(INDEX('Disaggregation Records'!$I$155:$I$385,MATCH(RIGHT(Q1655,255),RIGHT('Disaggregation Records'!$D$155:$D$385,255),0))="","",INDEX('Disaggregation Records'!$I$155:$I$385,MATCH(RIGHT(Q1655,255),RIGHT('Disaggregation Records'!$D$155:$D$385,255),0))),"")</f>
        <v/>
      </c>
      <c r="W1655" s="194" t="str">
        <f>IFERROR(INDEX('Reference Records'!L$77:L$157,MATCH(LEFT(C1655,255),'Reference Records'!E$77:E$157,0)),"")</f>
        <v/>
      </c>
    </row>
    <row r="1656" spans="1:23" s="194" customFormat="1" ht="40.4" customHeight="1" x14ac:dyDescent="0.35">
      <c r="A1656" s="770"/>
      <c r="B1656" s="767"/>
      <c r="C1656" s="761"/>
      <c r="D1656" s="769"/>
      <c r="E1656" s="769"/>
      <c r="F1656" s="208"/>
      <c r="G1656" s="763"/>
      <c r="H1656" s="744"/>
      <c r="I1656" s="765"/>
      <c r="J1656" s="730"/>
      <c r="K1656" s="761"/>
      <c r="L1656" s="761"/>
      <c r="M1656" s="730"/>
      <c r="N1656" s="730"/>
    </row>
    <row r="1657" spans="1:23" s="194" customFormat="1" ht="40.4" customHeight="1" x14ac:dyDescent="0.35">
      <c r="A1657" s="770" t="str">
        <f ca="1">INDIRECT("'update Helper'!C"&amp;U1657)</f>
        <v>a163p000004NtZQAA0</v>
      </c>
      <c r="B1657" s="766">
        <v>26</v>
      </c>
      <c r="C1657" s="760" t="str">
        <f>VLOOKUP(B1657,'Coverage Indicators - Section D'!$A$9:$AU$70,47,FALSE)</f>
        <v/>
      </c>
      <c r="D1657" s="768" t="str">
        <f>R1657</f>
        <v/>
      </c>
      <c r="E1657" s="768" t="str">
        <f>S1657</f>
        <v/>
      </c>
      <c r="F1657" s="413"/>
      <c r="G1657" s="762" t="str">
        <f ca="1">IF(OR(INDIRECT("'update Helper'!E"&amp;U1657)="",F1657&lt;&gt;0,F1658&lt;&gt;0),IF(IFERROR((F1657/F1658),"")="","",(F1657/F1658)),INDIRECT("'update Helper'!E"&amp;U1657)/100)</f>
        <v/>
      </c>
      <c r="H1657" s="743"/>
      <c r="I1657" s="764"/>
      <c r="J1657" s="729"/>
      <c r="K1657" s="760" t="str">
        <f>W1657</f>
        <v/>
      </c>
      <c r="L1657" s="760" t="str">
        <f>V1657</f>
        <v/>
      </c>
      <c r="M1657" s="729"/>
      <c r="N1657" s="729"/>
      <c r="P1657" s="194">
        <f>IF(AND(EXACT(C1657,C1655),C1655&lt;&gt;0),P1655+1,0)</f>
        <v>78</v>
      </c>
      <c r="Q1657" s="194" t="str">
        <f>IF(C1657&lt;&gt;"",C1657&amp;"-"&amp;P1657,"")</f>
        <v/>
      </c>
      <c r="R1657" s="194" t="str">
        <f t="array" ref="R1657">IFERROR(IF(INDEX('Disaggregation Records'!$E$155:$E$385,MATCH(RIGHT(Q1657,255),RIGHT('Disaggregation Records'!$D$155:$D$385,255),0))="","",INDEX('Disaggregation Records'!$E$155:$E$385,MATCH(RIGHT(Q1657,255),RIGHT('Disaggregation Records'!$D$155:$D$385,255),0))),"")</f>
        <v/>
      </c>
      <c r="S1657" s="194" t="str">
        <f t="array" ref="S1657">IFERROR(IF(INDEX('Disaggregation Records'!$F$155:$F$385,MATCH(RIGHT(Q1657,255),RIGHT('Disaggregation Records'!$D$155:$D$385,255),0))="","",INDEX('Disaggregation Records'!$F$155:$F$385,MATCH(RIGHT(Q1657,255),RIGHT('Disaggregation Records'!$D$155:$D$385,255),0))),"")</f>
        <v/>
      </c>
      <c r="T1657" s="194" t="str">
        <f t="array" ref="T1657">IFERROR(IF(INDEX('Disaggregation Records'!$H$155:$H$385,MATCH(RIGHT(Q1657,255),RIGHT('Disaggregation Records'!$D$155:$D$385,255),0))="","",INDEX('Disaggregation Records'!$H$155:$H$385,MATCH(RIGHT(Q1657,255),RIGHT('Disaggregation Records'!$D$155:$D$385,255),0))),"")</f>
        <v/>
      </c>
      <c r="U1657" s="194">
        <f>U1655+1</f>
        <v>3018</v>
      </c>
      <c r="V1657" s="194" t="str">
        <f t="array" ref="V1657">IFERROR(IF(INDEX('Disaggregation Records'!$I$155:$I$385,MATCH(RIGHT(Q1657,255),RIGHT('Disaggregation Records'!$D$155:$D$385,255),0))="","",INDEX('Disaggregation Records'!$I$155:$I$385,MATCH(RIGHT(Q1657,255),RIGHT('Disaggregation Records'!$D$155:$D$385,255),0))),"")</f>
        <v/>
      </c>
      <c r="W1657" s="194" t="str">
        <f>IFERROR(INDEX('Reference Records'!L$77:L$157,MATCH(LEFT(C1657,255),'Reference Records'!E$77:E$157,0)),"")</f>
        <v/>
      </c>
    </row>
    <row r="1658" spans="1:23" s="194" customFormat="1" ht="40.4" customHeight="1" x14ac:dyDescent="0.35">
      <c r="A1658" s="770"/>
      <c r="B1658" s="767"/>
      <c r="C1658" s="761"/>
      <c r="D1658" s="769"/>
      <c r="E1658" s="769"/>
      <c r="F1658" s="208"/>
      <c r="G1658" s="763"/>
      <c r="H1658" s="744"/>
      <c r="I1658" s="765"/>
      <c r="J1658" s="730"/>
      <c r="K1658" s="761"/>
      <c r="L1658" s="761"/>
      <c r="M1658" s="730"/>
      <c r="N1658" s="730"/>
    </row>
    <row r="1659" spans="1:23" s="194" customFormat="1" ht="40.4" customHeight="1" x14ac:dyDescent="0.35">
      <c r="A1659" s="770" t="str">
        <f ca="1">INDIRECT("'update Helper'!C"&amp;U1659)</f>
        <v>a163p000004NtZRAA0</v>
      </c>
      <c r="B1659" s="766">
        <v>26</v>
      </c>
      <c r="C1659" s="760" t="str">
        <f>VLOOKUP(B1659,'Coverage Indicators - Section D'!$A$9:$AU$70,47,FALSE)</f>
        <v/>
      </c>
      <c r="D1659" s="768" t="str">
        <f>R1659</f>
        <v/>
      </c>
      <c r="E1659" s="768" t="str">
        <f>S1659</f>
        <v/>
      </c>
      <c r="F1659" s="413"/>
      <c r="G1659" s="762" t="str">
        <f ca="1">IF(OR(INDIRECT("'update Helper'!E"&amp;U1659)="",F1659&lt;&gt;0,F1660&lt;&gt;0),IF(IFERROR((F1659/F1660),"")="","",(F1659/F1660)),INDIRECT("'update Helper'!E"&amp;U1659)/100)</f>
        <v/>
      </c>
      <c r="H1659" s="743"/>
      <c r="I1659" s="764"/>
      <c r="J1659" s="729"/>
      <c r="K1659" s="760" t="str">
        <f>W1659</f>
        <v/>
      </c>
      <c r="L1659" s="760" t="str">
        <f>V1659</f>
        <v/>
      </c>
      <c r="M1659" s="729"/>
      <c r="N1659" s="729"/>
      <c r="P1659" s="194">
        <f>IF(AND(EXACT(C1659,C1657),C1657&lt;&gt;0),P1657+1,0)</f>
        <v>79</v>
      </c>
      <c r="Q1659" s="194" t="str">
        <f>IF(C1659&lt;&gt;"",C1659&amp;"-"&amp;P1659,"")</f>
        <v/>
      </c>
      <c r="R1659" s="194" t="str">
        <f t="array" ref="R1659">IFERROR(IF(INDEX('Disaggregation Records'!$E$155:$E$385,MATCH(RIGHT(Q1659,255),RIGHT('Disaggregation Records'!$D$155:$D$385,255),0))="","",INDEX('Disaggregation Records'!$E$155:$E$385,MATCH(RIGHT(Q1659,255),RIGHT('Disaggregation Records'!$D$155:$D$385,255),0))),"")</f>
        <v/>
      </c>
      <c r="S1659" s="194" t="str">
        <f t="array" ref="S1659">IFERROR(IF(INDEX('Disaggregation Records'!$F$155:$F$385,MATCH(RIGHT(Q1659,255),RIGHT('Disaggregation Records'!$D$155:$D$385,255),0))="","",INDEX('Disaggregation Records'!$F$155:$F$385,MATCH(RIGHT(Q1659,255),RIGHT('Disaggregation Records'!$D$155:$D$385,255),0))),"")</f>
        <v/>
      </c>
      <c r="T1659" s="194" t="str">
        <f t="array" ref="T1659">IFERROR(IF(INDEX('Disaggregation Records'!$H$155:$H$385,MATCH(RIGHT(Q1659,255),RIGHT('Disaggregation Records'!$D$155:$D$385,255),0))="","",INDEX('Disaggregation Records'!$H$155:$H$385,MATCH(RIGHT(Q1659,255),RIGHT('Disaggregation Records'!$D$155:$D$385,255),0))),"")</f>
        <v/>
      </c>
      <c r="U1659" s="194">
        <f>U1657+1</f>
        <v>3019</v>
      </c>
      <c r="V1659" s="194" t="str">
        <f t="array" ref="V1659">IFERROR(IF(INDEX('Disaggregation Records'!$I$155:$I$385,MATCH(RIGHT(Q1659,255),RIGHT('Disaggregation Records'!$D$155:$D$385,255),0))="","",INDEX('Disaggregation Records'!$I$155:$I$385,MATCH(RIGHT(Q1659,255),RIGHT('Disaggregation Records'!$D$155:$D$385,255),0))),"")</f>
        <v/>
      </c>
      <c r="W1659" s="194" t="str">
        <f>IFERROR(INDEX('Reference Records'!L$77:L$157,MATCH(LEFT(C1659,255),'Reference Records'!E$77:E$157,0)),"")</f>
        <v/>
      </c>
    </row>
    <row r="1660" spans="1:23" s="194" customFormat="1" ht="40.4" customHeight="1" x14ac:dyDescent="0.35">
      <c r="A1660" s="770"/>
      <c r="B1660" s="767"/>
      <c r="C1660" s="761"/>
      <c r="D1660" s="769"/>
      <c r="E1660" s="769"/>
      <c r="F1660" s="208"/>
      <c r="G1660" s="763"/>
      <c r="H1660" s="744"/>
      <c r="I1660" s="765"/>
      <c r="J1660" s="730"/>
      <c r="K1660" s="761"/>
      <c r="L1660" s="761"/>
      <c r="M1660" s="730"/>
      <c r="N1660" s="730"/>
    </row>
    <row r="1661" spans="1:23" s="194" customFormat="1" ht="40.4" customHeight="1" x14ac:dyDescent="0.35">
      <c r="A1661" s="770" t="str">
        <f ca="1">INDIRECT("'update Helper'!C"&amp;U1661)</f>
        <v>a163p000004NtPmAAK</v>
      </c>
      <c r="B1661" s="766">
        <v>27</v>
      </c>
      <c r="C1661" s="760" t="str">
        <f>VLOOKUP(B1661,'Coverage Indicators - Section D'!$A$9:$AU$70,47,FALSE)</f>
        <v/>
      </c>
      <c r="D1661" s="768" t="str">
        <f>R1661</f>
        <v/>
      </c>
      <c r="E1661" s="768" t="str">
        <f>S1661</f>
        <v/>
      </c>
      <c r="F1661" s="413"/>
      <c r="G1661" s="762" t="str">
        <f ca="1">IF(OR(INDIRECT("'update Helper'!E"&amp;U1661)="",F1661&lt;&gt;0,F1662&lt;&gt;0),IF(IFERROR((F1661/F1662),"")="","",(F1661/F1662)),INDIRECT("'update Helper'!E"&amp;U1661)/100)</f>
        <v/>
      </c>
      <c r="H1661" s="743"/>
      <c r="I1661" s="764"/>
      <c r="J1661" s="729"/>
      <c r="K1661" s="760" t="str">
        <f>W1661</f>
        <v/>
      </c>
      <c r="L1661" s="760" t="str">
        <f>V1661</f>
        <v/>
      </c>
      <c r="M1661" s="729"/>
      <c r="N1661" s="729"/>
      <c r="P1661" s="194">
        <f>IF(AND(EXACT(C1661,C1659),C1659&lt;&gt;0),P1659+1,0)</f>
        <v>80</v>
      </c>
      <c r="Q1661" s="194" t="str">
        <f>IF(C1661&lt;&gt;"",C1661&amp;"-"&amp;P1661,"")</f>
        <v/>
      </c>
      <c r="R1661" s="194" t="str">
        <f t="array" ref="R1661">IFERROR(IF(INDEX('Disaggregation Records'!$E$155:$E$385,MATCH(RIGHT(Q1661,255),RIGHT('Disaggregation Records'!$D$155:$D$385,255),0))="","",INDEX('Disaggregation Records'!$E$155:$E$385,MATCH(RIGHT(Q1661,255),RIGHT('Disaggregation Records'!$D$155:$D$385,255),0))),"")</f>
        <v/>
      </c>
      <c r="S1661" s="194" t="str">
        <f t="array" ref="S1661">IFERROR(IF(INDEX('Disaggregation Records'!$F$155:$F$385,MATCH(RIGHT(Q1661,255),RIGHT('Disaggregation Records'!$D$155:$D$385,255),0))="","",INDEX('Disaggregation Records'!$F$155:$F$385,MATCH(RIGHT(Q1661,255),RIGHT('Disaggregation Records'!$D$155:$D$385,255),0))),"")</f>
        <v/>
      </c>
      <c r="T1661" s="194" t="str">
        <f t="array" ref="T1661">IFERROR(IF(INDEX('Disaggregation Records'!$H$155:$H$385,MATCH(RIGHT(Q1661,255),RIGHT('Disaggregation Records'!$D$155:$D$385,255),0))="","",INDEX('Disaggregation Records'!$H$155:$H$385,MATCH(RIGHT(Q1661,255),RIGHT('Disaggregation Records'!$D$155:$D$385,255),0))),"")</f>
        <v/>
      </c>
      <c r="U1661" s="194">
        <f>U1659+1</f>
        <v>3020</v>
      </c>
      <c r="V1661" s="194" t="str">
        <f t="array" ref="V1661">IFERROR(IF(INDEX('Disaggregation Records'!$I$155:$I$385,MATCH(RIGHT(Q1661,255),RIGHT('Disaggregation Records'!$D$155:$D$385,255),0))="","",INDEX('Disaggregation Records'!$I$155:$I$385,MATCH(RIGHT(Q1661,255),RIGHT('Disaggregation Records'!$D$155:$D$385,255),0))),"")</f>
        <v/>
      </c>
      <c r="W1661" s="194" t="str">
        <f>IFERROR(INDEX('Reference Records'!L$77:L$157,MATCH(LEFT(C1661,255),'Reference Records'!E$77:E$157,0)),"")</f>
        <v/>
      </c>
    </row>
    <row r="1662" spans="1:23" s="194" customFormat="1" ht="40.4" customHeight="1" x14ac:dyDescent="0.35">
      <c r="A1662" s="770"/>
      <c r="B1662" s="767"/>
      <c r="C1662" s="761"/>
      <c r="D1662" s="769"/>
      <c r="E1662" s="769"/>
      <c r="F1662" s="208"/>
      <c r="G1662" s="763"/>
      <c r="H1662" s="744"/>
      <c r="I1662" s="765"/>
      <c r="J1662" s="730"/>
      <c r="K1662" s="761"/>
      <c r="L1662" s="761"/>
      <c r="M1662" s="730"/>
      <c r="N1662" s="730"/>
    </row>
    <row r="1663" spans="1:23" s="194" customFormat="1" ht="40.4" customHeight="1" x14ac:dyDescent="0.35">
      <c r="A1663" s="770" t="str">
        <f ca="1">INDIRECT("'update Helper'!C"&amp;U1663)</f>
        <v>a163p000004NtPnAAK</v>
      </c>
      <c r="B1663" s="766">
        <v>27</v>
      </c>
      <c r="C1663" s="760" t="str">
        <f>VLOOKUP(B1663,'Coverage Indicators - Section D'!$A$9:$AU$70,47,FALSE)</f>
        <v/>
      </c>
      <c r="D1663" s="768" t="str">
        <f>R1663</f>
        <v/>
      </c>
      <c r="E1663" s="768" t="str">
        <f>S1663</f>
        <v/>
      </c>
      <c r="F1663" s="413"/>
      <c r="G1663" s="762" t="str">
        <f ca="1">IF(OR(INDIRECT("'update Helper'!E"&amp;U1663)="",F1663&lt;&gt;0,F1664&lt;&gt;0),IF(IFERROR((F1663/F1664),"")="","",(F1663/F1664)),INDIRECT("'update Helper'!E"&amp;U1663)/100)</f>
        <v/>
      </c>
      <c r="H1663" s="743"/>
      <c r="I1663" s="764"/>
      <c r="J1663" s="729"/>
      <c r="K1663" s="760" t="str">
        <f>W1663</f>
        <v/>
      </c>
      <c r="L1663" s="760" t="str">
        <f>V1663</f>
        <v/>
      </c>
      <c r="M1663" s="729"/>
      <c r="N1663" s="729"/>
      <c r="P1663" s="194">
        <f>IF(AND(EXACT(C1663,C1661),C1661&lt;&gt;0),P1661+1,0)</f>
        <v>81</v>
      </c>
      <c r="Q1663" s="194" t="str">
        <f>IF(C1663&lt;&gt;"",C1663&amp;"-"&amp;P1663,"")</f>
        <v/>
      </c>
      <c r="R1663" s="194" t="str">
        <f t="array" ref="R1663">IFERROR(IF(INDEX('Disaggregation Records'!$E$155:$E$385,MATCH(RIGHT(Q1663,255),RIGHT('Disaggregation Records'!$D$155:$D$385,255),0))="","",INDEX('Disaggregation Records'!$E$155:$E$385,MATCH(RIGHT(Q1663,255),RIGHT('Disaggregation Records'!$D$155:$D$385,255),0))),"")</f>
        <v/>
      </c>
      <c r="S1663" s="194" t="str">
        <f t="array" ref="S1663">IFERROR(IF(INDEX('Disaggregation Records'!$F$155:$F$385,MATCH(RIGHT(Q1663,255),RIGHT('Disaggregation Records'!$D$155:$D$385,255),0))="","",INDEX('Disaggregation Records'!$F$155:$F$385,MATCH(RIGHT(Q1663,255),RIGHT('Disaggregation Records'!$D$155:$D$385,255),0))),"")</f>
        <v/>
      </c>
      <c r="T1663" s="194" t="str">
        <f t="array" ref="T1663">IFERROR(IF(INDEX('Disaggregation Records'!$H$155:$H$385,MATCH(RIGHT(Q1663,255),RIGHT('Disaggregation Records'!$D$155:$D$385,255),0))="","",INDEX('Disaggregation Records'!$H$155:$H$385,MATCH(RIGHT(Q1663,255),RIGHT('Disaggregation Records'!$D$155:$D$385,255),0))),"")</f>
        <v/>
      </c>
      <c r="U1663" s="194">
        <f>U1661+1</f>
        <v>3021</v>
      </c>
      <c r="V1663" s="194" t="str">
        <f t="array" ref="V1663">IFERROR(IF(INDEX('Disaggregation Records'!$I$155:$I$385,MATCH(RIGHT(Q1663,255),RIGHT('Disaggregation Records'!$D$155:$D$385,255),0))="","",INDEX('Disaggregation Records'!$I$155:$I$385,MATCH(RIGHT(Q1663,255),RIGHT('Disaggregation Records'!$D$155:$D$385,255),0))),"")</f>
        <v/>
      </c>
      <c r="W1663" s="194" t="str">
        <f>IFERROR(INDEX('Reference Records'!L$77:L$157,MATCH(LEFT(C1663,255),'Reference Records'!E$77:E$157,0)),"")</f>
        <v/>
      </c>
    </row>
    <row r="1664" spans="1:23" s="194" customFormat="1" ht="40.4" customHeight="1" x14ac:dyDescent="0.35">
      <c r="A1664" s="770"/>
      <c r="B1664" s="767"/>
      <c r="C1664" s="761"/>
      <c r="D1664" s="769"/>
      <c r="E1664" s="769"/>
      <c r="F1664" s="208"/>
      <c r="G1664" s="763"/>
      <c r="H1664" s="744"/>
      <c r="I1664" s="765"/>
      <c r="J1664" s="730"/>
      <c r="K1664" s="761"/>
      <c r="L1664" s="761"/>
      <c r="M1664" s="730"/>
      <c r="N1664" s="730"/>
    </row>
    <row r="1665" spans="1:23" s="194" customFormat="1" ht="40.4" customHeight="1" x14ac:dyDescent="0.35">
      <c r="A1665" s="770" t="str">
        <f ca="1">INDIRECT("'update Helper'!C"&amp;U1665)</f>
        <v>a163p000004NtPoAAK</v>
      </c>
      <c r="B1665" s="766">
        <v>27</v>
      </c>
      <c r="C1665" s="760" t="str">
        <f>VLOOKUP(B1665,'Coverage Indicators - Section D'!$A$9:$AU$70,47,FALSE)</f>
        <v/>
      </c>
      <c r="D1665" s="768" t="str">
        <f>R1665</f>
        <v/>
      </c>
      <c r="E1665" s="768" t="str">
        <f>S1665</f>
        <v/>
      </c>
      <c r="F1665" s="413"/>
      <c r="G1665" s="762" t="str">
        <f ca="1">IF(OR(INDIRECT("'update Helper'!E"&amp;U1665)="",F1665&lt;&gt;0,F1666&lt;&gt;0),IF(IFERROR((F1665/F1666),"")="","",(F1665/F1666)),INDIRECT("'update Helper'!E"&amp;U1665)/100)</f>
        <v/>
      </c>
      <c r="H1665" s="743"/>
      <c r="I1665" s="764"/>
      <c r="J1665" s="729"/>
      <c r="K1665" s="760" t="str">
        <f>W1665</f>
        <v/>
      </c>
      <c r="L1665" s="760" t="str">
        <f>V1665</f>
        <v/>
      </c>
      <c r="M1665" s="729"/>
      <c r="N1665" s="729"/>
      <c r="P1665" s="194">
        <f>IF(AND(EXACT(C1665,C1663),C1663&lt;&gt;0),P1663+1,0)</f>
        <v>82</v>
      </c>
      <c r="Q1665" s="194" t="str">
        <f>IF(C1665&lt;&gt;"",C1665&amp;"-"&amp;P1665,"")</f>
        <v/>
      </c>
      <c r="R1665" s="194" t="str">
        <f t="array" ref="R1665">IFERROR(IF(INDEX('Disaggregation Records'!$E$155:$E$385,MATCH(RIGHT(Q1665,255),RIGHT('Disaggregation Records'!$D$155:$D$385,255),0))="","",INDEX('Disaggregation Records'!$E$155:$E$385,MATCH(RIGHT(Q1665,255),RIGHT('Disaggregation Records'!$D$155:$D$385,255),0))),"")</f>
        <v/>
      </c>
      <c r="S1665" s="194" t="str">
        <f t="array" ref="S1665">IFERROR(IF(INDEX('Disaggregation Records'!$F$155:$F$385,MATCH(RIGHT(Q1665,255),RIGHT('Disaggregation Records'!$D$155:$D$385,255),0))="","",INDEX('Disaggregation Records'!$F$155:$F$385,MATCH(RIGHT(Q1665,255),RIGHT('Disaggregation Records'!$D$155:$D$385,255),0))),"")</f>
        <v/>
      </c>
      <c r="T1665" s="194" t="str">
        <f t="array" ref="T1665">IFERROR(IF(INDEX('Disaggregation Records'!$H$155:$H$385,MATCH(RIGHT(Q1665,255),RIGHT('Disaggregation Records'!$D$155:$D$385,255),0))="","",INDEX('Disaggregation Records'!$H$155:$H$385,MATCH(RIGHT(Q1665,255),RIGHT('Disaggregation Records'!$D$155:$D$385,255),0))),"")</f>
        <v/>
      </c>
      <c r="U1665" s="194">
        <f>U1663+1</f>
        <v>3022</v>
      </c>
      <c r="V1665" s="194" t="str">
        <f t="array" ref="V1665">IFERROR(IF(INDEX('Disaggregation Records'!$I$155:$I$385,MATCH(RIGHT(Q1665,255),RIGHT('Disaggregation Records'!$D$155:$D$385,255),0))="","",INDEX('Disaggregation Records'!$I$155:$I$385,MATCH(RIGHT(Q1665,255),RIGHT('Disaggregation Records'!$D$155:$D$385,255),0))),"")</f>
        <v/>
      </c>
      <c r="W1665" s="194" t="str">
        <f>IFERROR(INDEX('Reference Records'!L$77:L$157,MATCH(LEFT(C1665,255),'Reference Records'!E$77:E$157,0)),"")</f>
        <v/>
      </c>
    </row>
    <row r="1666" spans="1:23" s="194" customFormat="1" ht="40.4" customHeight="1" x14ac:dyDescent="0.35">
      <c r="A1666" s="770"/>
      <c r="B1666" s="767"/>
      <c r="C1666" s="761"/>
      <c r="D1666" s="769"/>
      <c r="E1666" s="769"/>
      <c r="F1666" s="208"/>
      <c r="G1666" s="763"/>
      <c r="H1666" s="744"/>
      <c r="I1666" s="765"/>
      <c r="J1666" s="730"/>
      <c r="K1666" s="761"/>
      <c r="L1666" s="761"/>
      <c r="M1666" s="730"/>
      <c r="N1666" s="730"/>
    </row>
    <row r="1667" spans="1:23" s="194" customFormat="1" ht="40.4" customHeight="1" x14ac:dyDescent="0.35">
      <c r="A1667" s="770" t="str">
        <f ca="1">INDIRECT("'update Helper'!C"&amp;U1667)</f>
        <v>a163p000004NtPpAAK</v>
      </c>
      <c r="B1667" s="766">
        <v>27</v>
      </c>
      <c r="C1667" s="760" t="str">
        <f>VLOOKUP(B1667,'Coverage Indicators - Section D'!$A$9:$AU$70,47,FALSE)</f>
        <v/>
      </c>
      <c r="D1667" s="768" t="str">
        <f>R1667</f>
        <v/>
      </c>
      <c r="E1667" s="768" t="str">
        <f>S1667</f>
        <v/>
      </c>
      <c r="F1667" s="413"/>
      <c r="G1667" s="762" t="str">
        <f ca="1">IF(OR(INDIRECT("'update Helper'!E"&amp;U1667)="",F1667&lt;&gt;0,F1668&lt;&gt;0),IF(IFERROR((F1667/F1668),"")="","",(F1667/F1668)),INDIRECT("'update Helper'!E"&amp;U1667)/100)</f>
        <v/>
      </c>
      <c r="H1667" s="743"/>
      <c r="I1667" s="764"/>
      <c r="J1667" s="729"/>
      <c r="K1667" s="760" t="str">
        <f>W1667</f>
        <v/>
      </c>
      <c r="L1667" s="760" t="str">
        <f>V1667</f>
        <v/>
      </c>
      <c r="M1667" s="729"/>
      <c r="N1667" s="729"/>
      <c r="P1667" s="194">
        <f>IF(AND(EXACT(C1667,C1665),C1665&lt;&gt;0),P1665+1,0)</f>
        <v>83</v>
      </c>
      <c r="Q1667" s="194" t="str">
        <f>IF(C1667&lt;&gt;"",C1667&amp;"-"&amp;P1667,"")</f>
        <v/>
      </c>
      <c r="R1667" s="194" t="str">
        <f t="array" ref="R1667">IFERROR(IF(INDEX('Disaggregation Records'!$E$155:$E$385,MATCH(RIGHT(Q1667,255),RIGHT('Disaggregation Records'!$D$155:$D$385,255),0))="","",INDEX('Disaggregation Records'!$E$155:$E$385,MATCH(RIGHT(Q1667,255),RIGHT('Disaggregation Records'!$D$155:$D$385,255),0))),"")</f>
        <v/>
      </c>
      <c r="S1667" s="194" t="str">
        <f t="array" ref="S1667">IFERROR(IF(INDEX('Disaggregation Records'!$F$155:$F$385,MATCH(RIGHT(Q1667,255),RIGHT('Disaggregation Records'!$D$155:$D$385,255),0))="","",INDEX('Disaggregation Records'!$F$155:$F$385,MATCH(RIGHT(Q1667,255),RIGHT('Disaggregation Records'!$D$155:$D$385,255),0))),"")</f>
        <v/>
      </c>
      <c r="T1667" s="194" t="str">
        <f t="array" ref="T1667">IFERROR(IF(INDEX('Disaggregation Records'!$H$155:$H$385,MATCH(RIGHT(Q1667,255),RIGHT('Disaggregation Records'!$D$155:$D$385,255),0))="","",INDEX('Disaggregation Records'!$H$155:$H$385,MATCH(RIGHT(Q1667,255),RIGHT('Disaggregation Records'!$D$155:$D$385,255),0))),"")</f>
        <v/>
      </c>
      <c r="U1667" s="194">
        <f>U1665+1</f>
        <v>3023</v>
      </c>
      <c r="V1667" s="194" t="str">
        <f t="array" ref="V1667">IFERROR(IF(INDEX('Disaggregation Records'!$I$155:$I$385,MATCH(RIGHT(Q1667,255),RIGHT('Disaggregation Records'!$D$155:$D$385,255),0))="","",INDEX('Disaggregation Records'!$I$155:$I$385,MATCH(RIGHT(Q1667,255),RIGHT('Disaggregation Records'!$D$155:$D$385,255),0))),"")</f>
        <v/>
      </c>
      <c r="W1667" s="194" t="str">
        <f>IFERROR(INDEX('Reference Records'!L$77:L$157,MATCH(LEFT(C1667,255),'Reference Records'!E$77:E$157,0)),"")</f>
        <v/>
      </c>
    </row>
    <row r="1668" spans="1:23" s="194" customFormat="1" ht="40.4" customHeight="1" x14ac:dyDescent="0.35">
      <c r="A1668" s="770"/>
      <c r="B1668" s="767"/>
      <c r="C1668" s="761"/>
      <c r="D1668" s="769"/>
      <c r="E1668" s="769"/>
      <c r="F1668" s="208"/>
      <c r="G1668" s="763"/>
      <c r="H1668" s="744"/>
      <c r="I1668" s="765"/>
      <c r="J1668" s="730"/>
      <c r="K1668" s="761"/>
      <c r="L1668" s="761"/>
      <c r="M1668" s="730"/>
      <c r="N1668" s="730"/>
    </row>
    <row r="1669" spans="1:23" s="194" customFormat="1" ht="40.4" customHeight="1" x14ac:dyDescent="0.35">
      <c r="A1669" s="770" t="str">
        <f ca="1">INDIRECT("'update Helper'!C"&amp;U1669)</f>
        <v>a163p000004NtPqAAK</v>
      </c>
      <c r="B1669" s="766">
        <v>27</v>
      </c>
      <c r="C1669" s="760" t="str">
        <f>VLOOKUP(B1669,'Coverage Indicators - Section D'!$A$9:$AU$70,47,FALSE)</f>
        <v/>
      </c>
      <c r="D1669" s="768" t="str">
        <f>R1669</f>
        <v/>
      </c>
      <c r="E1669" s="768" t="str">
        <f>S1669</f>
        <v/>
      </c>
      <c r="F1669" s="413"/>
      <c r="G1669" s="762" t="str">
        <f ca="1">IF(OR(INDIRECT("'update Helper'!E"&amp;U1669)="",F1669&lt;&gt;0,F1670&lt;&gt;0),IF(IFERROR((F1669/F1670),"")="","",(F1669/F1670)),INDIRECT("'update Helper'!E"&amp;U1669)/100)</f>
        <v/>
      </c>
      <c r="H1669" s="743"/>
      <c r="I1669" s="764"/>
      <c r="J1669" s="729"/>
      <c r="K1669" s="760" t="str">
        <f>W1669</f>
        <v/>
      </c>
      <c r="L1669" s="760" t="str">
        <f>V1669</f>
        <v/>
      </c>
      <c r="M1669" s="729"/>
      <c r="N1669" s="729"/>
      <c r="P1669" s="194">
        <f>IF(AND(EXACT(C1669,C1667),C1667&lt;&gt;0),P1667+1,0)</f>
        <v>84</v>
      </c>
      <c r="Q1669" s="194" t="str">
        <f>IF(C1669&lt;&gt;"",C1669&amp;"-"&amp;P1669,"")</f>
        <v/>
      </c>
      <c r="R1669" s="194" t="str">
        <f t="array" ref="R1669">IFERROR(IF(INDEX('Disaggregation Records'!$E$155:$E$385,MATCH(RIGHT(Q1669,255),RIGHT('Disaggregation Records'!$D$155:$D$385,255),0))="","",INDEX('Disaggregation Records'!$E$155:$E$385,MATCH(RIGHT(Q1669,255),RIGHT('Disaggregation Records'!$D$155:$D$385,255),0))),"")</f>
        <v/>
      </c>
      <c r="S1669" s="194" t="str">
        <f t="array" ref="S1669">IFERROR(IF(INDEX('Disaggregation Records'!$F$155:$F$385,MATCH(RIGHT(Q1669,255),RIGHT('Disaggregation Records'!$D$155:$D$385,255),0))="","",INDEX('Disaggregation Records'!$F$155:$F$385,MATCH(RIGHT(Q1669,255),RIGHT('Disaggregation Records'!$D$155:$D$385,255),0))),"")</f>
        <v/>
      </c>
      <c r="T1669" s="194" t="str">
        <f t="array" ref="T1669">IFERROR(IF(INDEX('Disaggregation Records'!$H$155:$H$385,MATCH(RIGHT(Q1669,255),RIGHT('Disaggregation Records'!$D$155:$D$385,255),0))="","",INDEX('Disaggregation Records'!$H$155:$H$385,MATCH(RIGHT(Q1669,255),RIGHT('Disaggregation Records'!$D$155:$D$385,255),0))),"")</f>
        <v/>
      </c>
      <c r="U1669" s="194">
        <f>U1667+1</f>
        <v>3024</v>
      </c>
      <c r="V1669" s="194" t="str">
        <f t="array" ref="V1669">IFERROR(IF(INDEX('Disaggregation Records'!$I$155:$I$385,MATCH(RIGHT(Q1669,255),RIGHT('Disaggregation Records'!$D$155:$D$385,255),0))="","",INDEX('Disaggregation Records'!$I$155:$I$385,MATCH(RIGHT(Q1669,255),RIGHT('Disaggregation Records'!$D$155:$D$385,255),0))),"")</f>
        <v/>
      </c>
      <c r="W1669" s="194" t="str">
        <f>IFERROR(INDEX('Reference Records'!L$77:L$157,MATCH(LEFT(C1669,255),'Reference Records'!E$77:E$157,0)),"")</f>
        <v/>
      </c>
    </row>
    <row r="1670" spans="1:23" s="194" customFormat="1" ht="40.4" customHeight="1" x14ac:dyDescent="0.35">
      <c r="A1670" s="770"/>
      <c r="B1670" s="767"/>
      <c r="C1670" s="761"/>
      <c r="D1670" s="769"/>
      <c r="E1670" s="769"/>
      <c r="F1670" s="208"/>
      <c r="G1670" s="763"/>
      <c r="H1670" s="744"/>
      <c r="I1670" s="765"/>
      <c r="J1670" s="730"/>
      <c r="K1670" s="761"/>
      <c r="L1670" s="761"/>
      <c r="M1670" s="730"/>
      <c r="N1670" s="730"/>
    </row>
    <row r="1671" spans="1:23" s="194" customFormat="1" ht="40.4" customHeight="1" x14ac:dyDescent="0.35">
      <c r="A1671" s="770" t="str">
        <f ca="1">INDIRECT("'update Helper'!C"&amp;U1671)</f>
        <v>a163p000004NtPrAAK</v>
      </c>
      <c r="B1671" s="766">
        <v>27</v>
      </c>
      <c r="C1671" s="760" t="str">
        <f>VLOOKUP(B1671,'Coverage Indicators - Section D'!$A$9:$AU$70,47,FALSE)</f>
        <v/>
      </c>
      <c r="D1671" s="768" t="str">
        <f>R1671</f>
        <v/>
      </c>
      <c r="E1671" s="768" t="str">
        <f>S1671</f>
        <v/>
      </c>
      <c r="F1671" s="413"/>
      <c r="G1671" s="762" t="str">
        <f ca="1">IF(OR(INDIRECT("'update Helper'!E"&amp;U1671)="",F1671&lt;&gt;0,F1672&lt;&gt;0),IF(IFERROR((F1671/F1672),"")="","",(F1671/F1672)),INDIRECT("'update Helper'!E"&amp;U1671)/100)</f>
        <v/>
      </c>
      <c r="H1671" s="743"/>
      <c r="I1671" s="764"/>
      <c r="J1671" s="729"/>
      <c r="K1671" s="760" t="str">
        <f>W1671</f>
        <v/>
      </c>
      <c r="L1671" s="760" t="str">
        <f>V1671</f>
        <v/>
      </c>
      <c r="M1671" s="729"/>
      <c r="N1671" s="729"/>
      <c r="P1671" s="194">
        <f>IF(AND(EXACT(C1671,C1669),C1669&lt;&gt;0),P1669+1,0)</f>
        <v>85</v>
      </c>
      <c r="Q1671" s="194" t="str">
        <f>IF(C1671&lt;&gt;"",C1671&amp;"-"&amp;P1671,"")</f>
        <v/>
      </c>
      <c r="R1671" s="194" t="str">
        <f t="array" ref="R1671">IFERROR(IF(INDEX('Disaggregation Records'!$E$155:$E$385,MATCH(RIGHT(Q1671,255),RIGHT('Disaggregation Records'!$D$155:$D$385,255),0))="","",INDEX('Disaggregation Records'!$E$155:$E$385,MATCH(RIGHT(Q1671,255),RIGHT('Disaggregation Records'!$D$155:$D$385,255),0))),"")</f>
        <v/>
      </c>
      <c r="S1671" s="194" t="str">
        <f t="array" ref="S1671">IFERROR(IF(INDEX('Disaggregation Records'!$F$155:$F$385,MATCH(RIGHT(Q1671,255),RIGHT('Disaggregation Records'!$D$155:$D$385,255),0))="","",INDEX('Disaggregation Records'!$F$155:$F$385,MATCH(RIGHT(Q1671,255),RIGHT('Disaggregation Records'!$D$155:$D$385,255),0))),"")</f>
        <v/>
      </c>
      <c r="T1671" s="194" t="str">
        <f t="array" ref="T1671">IFERROR(IF(INDEX('Disaggregation Records'!$H$155:$H$385,MATCH(RIGHT(Q1671,255),RIGHT('Disaggregation Records'!$D$155:$D$385,255),0))="","",INDEX('Disaggregation Records'!$H$155:$H$385,MATCH(RIGHT(Q1671,255),RIGHT('Disaggregation Records'!$D$155:$D$385,255),0))),"")</f>
        <v/>
      </c>
      <c r="U1671" s="194">
        <f>U1669+1</f>
        <v>3025</v>
      </c>
      <c r="V1671" s="194" t="str">
        <f t="array" ref="V1671">IFERROR(IF(INDEX('Disaggregation Records'!$I$155:$I$385,MATCH(RIGHT(Q1671,255),RIGHT('Disaggregation Records'!$D$155:$D$385,255),0))="","",INDEX('Disaggregation Records'!$I$155:$I$385,MATCH(RIGHT(Q1671,255),RIGHT('Disaggregation Records'!$D$155:$D$385,255),0))),"")</f>
        <v/>
      </c>
      <c r="W1671" s="194" t="str">
        <f>IFERROR(INDEX('Reference Records'!L$77:L$157,MATCH(LEFT(C1671,255),'Reference Records'!E$77:E$157,0)),"")</f>
        <v/>
      </c>
    </row>
    <row r="1672" spans="1:23" s="194" customFormat="1" ht="40.4" customHeight="1" x14ac:dyDescent="0.35">
      <c r="A1672" s="770"/>
      <c r="B1672" s="767"/>
      <c r="C1672" s="761"/>
      <c r="D1672" s="769"/>
      <c r="E1672" s="769"/>
      <c r="F1672" s="208"/>
      <c r="G1672" s="763"/>
      <c r="H1672" s="744"/>
      <c r="I1672" s="765"/>
      <c r="J1672" s="730"/>
      <c r="K1672" s="761"/>
      <c r="L1672" s="761"/>
      <c r="M1672" s="730"/>
      <c r="N1672" s="730"/>
    </row>
    <row r="1673" spans="1:23" s="194" customFormat="1" ht="40.4" customHeight="1" x14ac:dyDescent="0.35">
      <c r="A1673" s="770" t="str">
        <f ca="1">INDIRECT("'update Helper'!C"&amp;U1673)</f>
        <v>a163p000004NtPsAAK</v>
      </c>
      <c r="B1673" s="766">
        <v>27</v>
      </c>
      <c r="C1673" s="760" t="str">
        <f>VLOOKUP(B1673,'Coverage Indicators - Section D'!$A$9:$AU$70,47,FALSE)</f>
        <v/>
      </c>
      <c r="D1673" s="768" t="str">
        <f>R1673</f>
        <v/>
      </c>
      <c r="E1673" s="768" t="str">
        <f>S1673</f>
        <v/>
      </c>
      <c r="F1673" s="413"/>
      <c r="G1673" s="762" t="str">
        <f ca="1">IF(OR(INDIRECT("'update Helper'!E"&amp;U1673)="",F1673&lt;&gt;0,F1674&lt;&gt;0),IF(IFERROR((F1673/F1674),"")="","",(F1673/F1674)),INDIRECT("'update Helper'!E"&amp;U1673)/100)</f>
        <v/>
      </c>
      <c r="H1673" s="743"/>
      <c r="I1673" s="764"/>
      <c r="J1673" s="729"/>
      <c r="K1673" s="760" t="str">
        <f>W1673</f>
        <v/>
      </c>
      <c r="L1673" s="760" t="str">
        <f>V1673</f>
        <v/>
      </c>
      <c r="M1673" s="729"/>
      <c r="N1673" s="729"/>
      <c r="P1673" s="194">
        <f>IF(AND(EXACT(C1673,C1671),C1671&lt;&gt;0),P1671+1,0)</f>
        <v>86</v>
      </c>
      <c r="Q1673" s="194" t="str">
        <f>IF(C1673&lt;&gt;"",C1673&amp;"-"&amp;P1673,"")</f>
        <v/>
      </c>
      <c r="R1673" s="194" t="str">
        <f t="array" ref="R1673">IFERROR(IF(INDEX('Disaggregation Records'!$E$155:$E$385,MATCH(RIGHT(Q1673,255),RIGHT('Disaggregation Records'!$D$155:$D$385,255),0))="","",INDEX('Disaggregation Records'!$E$155:$E$385,MATCH(RIGHT(Q1673,255),RIGHT('Disaggregation Records'!$D$155:$D$385,255),0))),"")</f>
        <v/>
      </c>
      <c r="S1673" s="194" t="str">
        <f t="array" ref="S1673">IFERROR(IF(INDEX('Disaggregation Records'!$F$155:$F$385,MATCH(RIGHT(Q1673,255),RIGHT('Disaggregation Records'!$D$155:$D$385,255),0))="","",INDEX('Disaggregation Records'!$F$155:$F$385,MATCH(RIGHT(Q1673,255),RIGHT('Disaggregation Records'!$D$155:$D$385,255),0))),"")</f>
        <v/>
      </c>
      <c r="T1673" s="194" t="str">
        <f t="array" ref="T1673">IFERROR(IF(INDEX('Disaggregation Records'!$H$155:$H$385,MATCH(RIGHT(Q1673,255),RIGHT('Disaggregation Records'!$D$155:$D$385,255),0))="","",INDEX('Disaggregation Records'!$H$155:$H$385,MATCH(RIGHT(Q1673,255),RIGHT('Disaggregation Records'!$D$155:$D$385,255),0))),"")</f>
        <v/>
      </c>
      <c r="U1673" s="194">
        <f>U1671+1</f>
        <v>3026</v>
      </c>
      <c r="V1673" s="194" t="str">
        <f t="array" ref="V1673">IFERROR(IF(INDEX('Disaggregation Records'!$I$155:$I$385,MATCH(RIGHT(Q1673,255),RIGHT('Disaggregation Records'!$D$155:$D$385,255),0))="","",INDEX('Disaggregation Records'!$I$155:$I$385,MATCH(RIGHT(Q1673,255),RIGHT('Disaggregation Records'!$D$155:$D$385,255),0))),"")</f>
        <v/>
      </c>
      <c r="W1673" s="194" t="str">
        <f>IFERROR(INDEX('Reference Records'!L$77:L$157,MATCH(LEFT(C1673,255),'Reference Records'!E$77:E$157,0)),"")</f>
        <v/>
      </c>
    </row>
    <row r="1674" spans="1:23" s="194" customFormat="1" ht="40.4" customHeight="1" x14ac:dyDescent="0.35">
      <c r="A1674" s="770"/>
      <c r="B1674" s="767"/>
      <c r="C1674" s="761"/>
      <c r="D1674" s="769"/>
      <c r="E1674" s="769"/>
      <c r="F1674" s="208"/>
      <c r="G1674" s="763"/>
      <c r="H1674" s="744"/>
      <c r="I1674" s="765"/>
      <c r="J1674" s="730"/>
      <c r="K1674" s="761"/>
      <c r="L1674" s="761"/>
      <c r="M1674" s="730"/>
      <c r="N1674" s="730"/>
    </row>
    <row r="1675" spans="1:23" s="194" customFormat="1" ht="40.4" customHeight="1" x14ac:dyDescent="0.35">
      <c r="A1675" s="770" t="str">
        <f ca="1">INDIRECT("'update Helper'!C"&amp;U1675)</f>
        <v>a163p000004NtPtAAK</v>
      </c>
      <c r="B1675" s="766">
        <v>27</v>
      </c>
      <c r="C1675" s="760" t="str">
        <f>VLOOKUP(B1675,'Coverage Indicators - Section D'!$A$9:$AU$70,47,FALSE)</f>
        <v/>
      </c>
      <c r="D1675" s="768" t="str">
        <f>R1675</f>
        <v/>
      </c>
      <c r="E1675" s="768" t="str">
        <f>S1675</f>
        <v/>
      </c>
      <c r="F1675" s="413"/>
      <c r="G1675" s="762" t="str">
        <f ca="1">IF(OR(INDIRECT("'update Helper'!E"&amp;U1675)="",F1675&lt;&gt;0,F1676&lt;&gt;0),IF(IFERROR((F1675/F1676),"")="","",(F1675/F1676)),INDIRECT("'update Helper'!E"&amp;U1675)/100)</f>
        <v/>
      </c>
      <c r="H1675" s="743"/>
      <c r="I1675" s="764"/>
      <c r="J1675" s="729"/>
      <c r="K1675" s="760" t="str">
        <f>W1675</f>
        <v/>
      </c>
      <c r="L1675" s="760" t="str">
        <f>V1675</f>
        <v/>
      </c>
      <c r="M1675" s="729"/>
      <c r="N1675" s="729"/>
      <c r="P1675" s="194">
        <f>IF(AND(EXACT(C1675,C1673),C1673&lt;&gt;0),P1673+1,0)</f>
        <v>87</v>
      </c>
      <c r="Q1675" s="194" t="str">
        <f>IF(C1675&lt;&gt;"",C1675&amp;"-"&amp;P1675,"")</f>
        <v/>
      </c>
      <c r="R1675" s="194" t="str">
        <f t="array" ref="R1675">IFERROR(IF(INDEX('Disaggregation Records'!$E$155:$E$385,MATCH(RIGHT(Q1675,255),RIGHT('Disaggregation Records'!$D$155:$D$385,255),0))="","",INDEX('Disaggregation Records'!$E$155:$E$385,MATCH(RIGHT(Q1675,255),RIGHT('Disaggregation Records'!$D$155:$D$385,255),0))),"")</f>
        <v/>
      </c>
      <c r="S1675" s="194" t="str">
        <f t="array" ref="S1675">IFERROR(IF(INDEX('Disaggregation Records'!$F$155:$F$385,MATCH(RIGHT(Q1675,255),RIGHT('Disaggregation Records'!$D$155:$D$385,255),0))="","",INDEX('Disaggregation Records'!$F$155:$F$385,MATCH(RIGHT(Q1675,255),RIGHT('Disaggregation Records'!$D$155:$D$385,255),0))),"")</f>
        <v/>
      </c>
      <c r="T1675" s="194" t="str">
        <f t="array" ref="T1675">IFERROR(IF(INDEX('Disaggregation Records'!$H$155:$H$385,MATCH(RIGHT(Q1675,255),RIGHT('Disaggregation Records'!$D$155:$D$385,255),0))="","",INDEX('Disaggregation Records'!$H$155:$H$385,MATCH(RIGHT(Q1675,255),RIGHT('Disaggregation Records'!$D$155:$D$385,255),0))),"")</f>
        <v/>
      </c>
      <c r="U1675" s="194">
        <f>U1673+1</f>
        <v>3027</v>
      </c>
      <c r="V1675" s="194" t="str">
        <f t="array" ref="V1675">IFERROR(IF(INDEX('Disaggregation Records'!$I$155:$I$385,MATCH(RIGHT(Q1675,255),RIGHT('Disaggregation Records'!$D$155:$D$385,255),0))="","",INDEX('Disaggregation Records'!$I$155:$I$385,MATCH(RIGHT(Q1675,255),RIGHT('Disaggregation Records'!$D$155:$D$385,255),0))),"")</f>
        <v/>
      </c>
      <c r="W1675" s="194" t="str">
        <f>IFERROR(INDEX('Reference Records'!L$77:L$157,MATCH(LEFT(C1675,255),'Reference Records'!E$77:E$157,0)),"")</f>
        <v/>
      </c>
    </row>
    <row r="1676" spans="1:23" s="194" customFormat="1" ht="40.4" customHeight="1" x14ac:dyDescent="0.35">
      <c r="A1676" s="770"/>
      <c r="B1676" s="767"/>
      <c r="C1676" s="761"/>
      <c r="D1676" s="769"/>
      <c r="E1676" s="769"/>
      <c r="F1676" s="208"/>
      <c r="G1676" s="763"/>
      <c r="H1676" s="744"/>
      <c r="I1676" s="765"/>
      <c r="J1676" s="730"/>
      <c r="K1676" s="761"/>
      <c r="L1676" s="761"/>
      <c r="M1676" s="730"/>
      <c r="N1676" s="730"/>
    </row>
    <row r="1677" spans="1:23" s="194" customFormat="1" ht="40.4" customHeight="1" x14ac:dyDescent="0.35">
      <c r="A1677" s="770" t="str">
        <f ca="1">INDIRECT("'update Helper'!C"&amp;U1677)</f>
        <v>a163p000004NtPuAAK</v>
      </c>
      <c r="B1677" s="766">
        <v>27</v>
      </c>
      <c r="C1677" s="760" t="str">
        <f>VLOOKUP(B1677,'Coverage Indicators - Section D'!$A$9:$AU$70,47,FALSE)</f>
        <v/>
      </c>
      <c r="D1677" s="768" t="str">
        <f>R1677</f>
        <v/>
      </c>
      <c r="E1677" s="768" t="str">
        <f>S1677</f>
        <v/>
      </c>
      <c r="F1677" s="413"/>
      <c r="G1677" s="762" t="str">
        <f ca="1">IF(OR(INDIRECT("'update Helper'!E"&amp;U1677)="",F1677&lt;&gt;0,F1678&lt;&gt;0),IF(IFERROR((F1677/F1678),"")="","",(F1677/F1678)),INDIRECT("'update Helper'!E"&amp;U1677)/100)</f>
        <v/>
      </c>
      <c r="H1677" s="743"/>
      <c r="I1677" s="764"/>
      <c r="J1677" s="729"/>
      <c r="K1677" s="760" t="str">
        <f>W1677</f>
        <v/>
      </c>
      <c r="L1677" s="760" t="str">
        <f>V1677</f>
        <v/>
      </c>
      <c r="M1677" s="729"/>
      <c r="N1677" s="729"/>
      <c r="P1677" s="194">
        <f>IF(AND(EXACT(C1677,C1675),C1675&lt;&gt;0),P1675+1,0)</f>
        <v>88</v>
      </c>
      <c r="Q1677" s="194" t="str">
        <f>IF(C1677&lt;&gt;"",C1677&amp;"-"&amp;P1677,"")</f>
        <v/>
      </c>
      <c r="R1677" s="194" t="str">
        <f t="array" ref="R1677">IFERROR(IF(INDEX('Disaggregation Records'!$E$155:$E$385,MATCH(RIGHT(Q1677,255),RIGHT('Disaggregation Records'!$D$155:$D$385,255),0))="","",INDEX('Disaggregation Records'!$E$155:$E$385,MATCH(RIGHT(Q1677,255),RIGHT('Disaggregation Records'!$D$155:$D$385,255),0))),"")</f>
        <v/>
      </c>
      <c r="S1677" s="194" t="str">
        <f t="array" ref="S1677">IFERROR(IF(INDEX('Disaggregation Records'!$F$155:$F$385,MATCH(RIGHT(Q1677,255),RIGHT('Disaggregation Records'!$D$155:$D$385,255),0))="","",INDEX('Disaggregation Records'!$F$155:$F$385,MATCH(RIGHT(Q1677,255),RIGHT('Disaggregation Records'!$D$155:$D$385,255),0))),"")</f>
        <v/>
      </c>
      <c r="T1677" s="194" t="str">
        <f t="array" ref="T1677">IFERROR(IF(INDEX('Disaggregation Records'!$H$155:$H$385,MATCH(RIGHT(Q1677,255),RIGHT('Disaggregation Records'!$D$155:$D$385,255),0))="","",INDEX('Disaggregation Records'!$H$155:$H$385,MATCH(RIGHT(Q1677,255),RIGHT('Disaggregation Records'!$D$155:$D$385,255),0))),"")</f>
        <v/>
      </c>
      <c r="U1677" s="194">
        <f>U1675+1</f>
        <v>3028</v>
      </c>
      <c r="V1677" s="194" t="str">
        <f t="array" ref="V1677">IFERROR(IF(INDEX('Disaggregation Records'!$I$155:$I$385,MATCH(RIGHT(Q1677,255),RIGHT('Disaggregation Records'!$D$155:$D$385,255),0))="","",INDEX('Disaggregation Records'!$I$155:$I$385,MATCH(RIGHT(Q1677,255),RIGHT('Disaggregation Records'!$D$155:$D$385,255),0))),"")</f>
        <v/>
      </c>
      <c r="W1677" s="194" t="str">
        <f>IFERROR(INDEX('Reference Records'!L$77:L$157,MATCH(LEFT(C1677,255),'Reference Records'!E$77:E$157,0)),"")</f>
        <v/>
      </c>
    </row>
    <row r="1678" spans="1:23" s="194" customFormat="1" ht="40.4" customHeight="1" x14ac:dyDescent="0.35">
      <c r="A1678" s="770"/>
      <c r="B1678" s="767"/>
      <c r="C1678" s="761"/>
      <c r="D1678" s="769"/>
      <c r="E1678" s="769"/>
      <c r="F1678" s="208"/>
      <c r="G1678" s="763"/>
      <c r="H1678" s="744"/>
      <c r="I1678" s="765"/>
      <c r="J1678" s="730"/>
      <c r="K1678" s="761"/>
      <c r="L1678" s="761"/>
      <c r="M1678" s="730"/>
      <c r="N1678" s="730"/>
    </row>
    <row r="1679" spans="1:23" s="194" customFormat="1" ht="40.4" customHeight="1" x14ac:dyDescent="0.35">
      <c r="A1679" s="770" t="str">
        <f ca="1">INDIRECT("'update Helper'!C"&amp;U1679)</f>
        <v>a163p000004NtPvAAK</v>
      </c>
      <c r="B1679" s="766">
        <v>27</v>
      </c>
      <c r="C1679" s="760" t="str">
        <f>VLOOKUP(B1679,'Coverage Indicators - Section D'!$A$9:$AU$70,47,FALSE)</f>
        <v/>
      </c>
      <c r="D1679" s="768" t="str">
        <f>R1679</f>
        <v/>
      </c>
      <c r="E1679" s="768" t="str">
        <f>S1679</f>
        <v/>
      </c>
      <c r="F1679" s="413"/>
      <c r="G1679" s="762" t="str">
        <f ca="1">IF(OR(INDIRECT("'update Helper'!E"&amp;U1679)="",F1679&lt;&gt;0,F1680&lt;&gt;0),IF(IFERROR((F1679/F1680),"")="","",(F1679/F1680)),INDIRECT("'update Helper'!E"&amp;U1679)/100)</f>
        <v/>
      </c>
      <c r="H1679" s="743"/>
      <c r="I1679" s="764"/>
      <c r="J1679" s="729"/>
      <c r="K1679" s="760" t="str">
        <f>W1679</f>
        <v/>
      </c>
      <c r="L1679" s="760" t="str">
        <f>V1679</f>
        <v/>
      </c>
      <c r="M1679" s="729"/>
      <c r="N1679" s="729"/>
      <c r="P1679" s="194">
        <f>IF(AND(EXACT(C1679,C1677),C1677&lt;&gt;0),P1677+1,0)</f>
        <v>89</v>
      </c>
      <c r="Q1679" s="194" t="str">
        <f>IF(C1679&lt;&gt;"",C1679&amp;"-"&amp;P1679,"")</f>
        <v/>
      </c>
      <c r="R1679" s="194" t="str">
        <f t="array" ref="R1679">IFERROR(IF(INDEX('Disaggregation Records'!$E$155:$E$385,MATCH(RIGHT(Q1679,255),RIGHT('Disaggregation Records'!$D$155:$D$385,255),0))="","",INDEX('Disaggregation Records'!$E$155:$E$385,MATCH(RIGHT(Q1679,255),RIGHT('Disaggregation Records'!$D$155:$D$385,255),0))),"")</f>
        <v/>
      </c>
      <c r="S1679" s="194" t="str">
        <f t="array" ref="S1679">IFERROR(IF(INDEX('Disaggregation Records'!$F$155:$F$385,MATCH(RIGHT(Q1679,255),RIGHT('Disaggregation Records'!$D$155:$D$385,255),0))="","",INDEX('Disaggregation Records'!$F$155:$F$385,MATCH(RIGHT(Q1679,255),RIGHT('Disaggregation Records'!$D$155:$D$385,255),0))),"")</f>
        <v/>
      </c>
      <c r="T1679" s="194" t="str">
        <f t="array" ref="T1679">IFERROR(IF(INDEX('Disaggregation Records'!$H$155:$H$385,MATCH(RIGHT(Q1679,255),RIGHT('Disaggregation Records'!$D$155:$D$385,255),0))="","",INDEX('Disaggregation Records'!$H$155:$H$385,MATCH(RIGHT(Q1679,255),RIGHT('Disaggregation Records'!$D$155:$D$385,255),0))),"")</f>
        <v/>
      </c>
      <c r="U1679" s="194">
        <f>U1677+1</f>
        <v>3029</v>
      </c>
      <c r="V1679" s="194" t="str">
        <f t="array" ref="V1679">IFERROR(IF(INDEX('Disaggregation Records'!$I$155:$I$385,MATCH(RIGHT(Q1679,255),RIGHT('Disaggregation Records'!$D$155:$D$385,255),0))="","",INDEX('Disaggregation Records'!$I$155:$I$385,MATCH(RIGHT(Q1679,255),RIGHT('Disaggregation Records'!$D$155:$D$385,255),0))),"")</f>
        <v/>
      </c>
      <c r="W1679" s="194" t="str">
        <f>IFERROR(INDEX('Reference Records'!L$77:L$157,MATCH(LEFT(C1679,255),'Reference Records'!E$77:E$157,0)),"")</f>
        <v/>
      </c>
    </row>
    <row r="1680" spans="1:23" s="194" customFormat="1" ht="40.4" customHeight="1" x14ac:dyDescent="0.35">
      <c r="A1680" s="770"/>
      <c r="B1680" s="767"/>
      <c r="C1680" s="761"/>
      <c r="D1680" s="769"/>
      <c r="E1680" s="769"/>
      <c r="F1680" s="208"/>
      <c r="G1680" s="763"/>
      <c r="H1680" s="744"/>
      <c r="I1680" s="765"/>
      <c r="J1680" s="730"/>
      <c r="K1680" s="761"/>
      <c r="L1680" s="761"/>
      <c r="M1680" s="730"/>
      <c r="N1680" s="730"/>
    </row>
    <row r="1681" spans="1:23" s="194" customFormat="1" ht="40.4" customHeight="1" x14ac:dyDescent="0.35">
      <c r="A1681" s="770" t="str">
        <f ca="1">INDIRECT("'update Helper'!C"&amp;U1681)</f>
        <v>a163p000004NtPwAAK</v>
      </c>
      <c r="B1681" s="766">
        <v>27</v>
      </c>
      <c r="C1681" s="760" t="str">
        <f>VLOOKUP(B1681,'Coverage Indicators - Section D'!$A$9:$AU$70,47,FALSE)</f>
        <v/>
      </c>
      <c r="D1681" s="768" t="str">
        <f>R1681</f>
        <v/>
      </c>
      <c r="E1681" s="768" t="str">
        <f>S1681</f>
        <v/>
      </c>
      <c r="F1681" s="413"/>
      <c r="G1681" s="762" t="str">
        <f ca="1">IF(OR(INDIRECT("'update Helper'!E"&amp;U1681)="",F1681&lt;&gt;0,F1682&lt;&gt;0),IF(IFERROR((F1681/F1682),"")="","",(F1681/F1682)),INDIRECT("'update Helper'!E"&amp;U1681)/100)</f>
        <v/>
      </c>
      <c r="H1681" s="743"/>
      <c r="I1681" s="764"/>
      <c r="J1681" s="729"/>
      <c r="K1681" s="760" t="str">
        <f>W1681</f>
        <v/>
      </c>
      <c r="L1681" s="760" t="str">
        <f>V1681</f>
        <v/>
      </c>
      <c r="M1681" s="729"/>
      <c r="N1681" s="729"/>
      <c r="P1681" s="194">
        <f>IF(AND(EXACT(C1681,C1679),C1679&lt;&gt;0),P1679+1,0)</f>
        <v>90</v>
      </c>
      <c r="Q1681" s="194" t="str">
        <f>IF(C1681&lt;&gt;"",C1681&amp;"-"&amp;P1681,"")</f>
        <v/>
      </c>
      <c r="R1681" s="194" t="str">
        <f t="array" ref="R1681">IFERROR(IF(INDEX('Disaggregation Records'!$E$155:$E$385,MATCH(RIGHT(Q1681,255),RIGHT('Disaggregation Records'!$D$155:$D$385,255),0))="","",INDEX('Disaggregation Records'!$E$155:$E$385,MATCH(RIGHT(Q1681,255),RIGHT('Disaggregation Records'!$D$155:$D$385,255),0))),"")</f>
        <v/>
      </c>
      <c r="S1681" s="194" t="str">
        <f t="array" ref="S1681">IFERROR(IF(INDEX('Disaggregation Records'!$F$155:$F$385,MATCH(RIGHT(Q1681,255),RIGHT('Disaggregation Records'!$D$155:$D$385,255),0))="","",INDEX('Disaggregation Records'!$F$155:$F$385,MATCH(RIGHT(Q1681,255),RIGHT('Disaggregation Records'!$D$155:$D$385,255),0))),"")</f>
        <v/>
      </c>
      <c r="T1681" s="194" t="str">
        <f t="array" ref="T1681">IFERROR(IF(INDEX('Disaggregation Records'!$H$155:$H$385,MATCH(RIGHT(Q1681,255),RIGHT('Disaggregation Records'!$D$155:$D$385,255),0))="","",INDEX('Disaggregation Records'!$H$155:$H$385,MATCH(RIGHT(Q1681,255),RIGHT('Disaggregation Records'!$D$155:$D$385,255),0))),"")</f>
        <v/>
      </c>
      <c r="U1681" s="194">
        <f>U1679+1</f>
        <v>3030</v>
      </c>
      <c r="V1681" s="194" t="str">
        <f t="array" ref="V1681">IFERROR(IF(INDEX('Disaggregation Records'!$I$155:$I$385,MATCH(RIGHT(Q1681,255),RIGHT('Disaggregation Records'!$D$155:$D$385,255),0))="","",INDEX('Disaggregation Records'!$I$155:$I$385,MATCH(RIGHT(Q1681,255),RIGHT('Disaggregation Records'!$D$155:$D$385,255),0))),"")</f>
        <v/>
      </c>
      <c r="W1681" s="194" t="str">
        <f>IFERROR(INDEX('Reference Records'!L$77:L$157,MATCH(LEFT(C1681,255),'Reference Records'!E$77:E$157,0)),"")</f>
        <v/>
      </c>
    </row>
    <row r="1682" spans="1:23" s="194" customFormat="1" ht="40.4" customHeight="1" x14ac:dyDescent="0.35">
      <c r="A1682" s="770"/>
      <c r="B1682" s="767"/>
      <c r="C1682" s="761"/>
      <c r="D1682" s="769"/>
      <c r="E1682" s="769"/>
      <c r="F1682" s="208"/>
      <c r="G1682" s="763"/>
      <c r="H1682" s="744"/>
      <c r="I1682" s="765"/>
      <c r="J1682" s="730"/>
      <c r="K1682" s="761"/>
      <c r="L1682" s="761"/>
      <c r="M1682" s="730"/>
      <c r="N1682" s="730"/>
    </row>
    <row r="1683" spans="1:23" s="194" customFormat="1" ht="40.4" customHeight="1" x14ac:dyDescent="0.35">
      <c r="A1683" s="770" t="str">
        <f ca="1">INDIRECT("'update Helper'!C"&amp;U1683)</f>
        <v>a163p000004NtPxAAK</v>
      </c>
      <c r="B1683" s="766">
        <v>27</v>
      </c>
      <c r="C1683" s="760" t="str">
        <f>VLOOKUP(B1683,'Coverage Indicators - Section D'!$A$9:$AU$70,47,FALSE)</f>
        <v/>
      </c>
      <c r="D1683" s="768" t="str">
        <f>R1683</f>
        <v/>
      </c>
      <c r="E1683" s="768" t="str">
        <f>S1683</f>
        <v/>
      </c>
      <c r="F1683" s="413"/>
      <c r="G1683" s="762" t="str">
        <f ca="1">IF(OR(INDIRECT("'update Helper'!E"&amp;U1683)="",F1683&lt;&gt;0,F1684&lt;&gt;0),IF(IFERROR((F1683/F1684),"")="","",(F1683/F1684)),INDIRECT("'update Helper'!E"&amp;U1683)/100)</f>
        <v/>
      </c>
      <c r="H1683" s="743"/>
      <c r="I1683" s="764"/>
      <c r="J1683" s="729"/>
      <c r="K1683" s="760" t="str">
        <f>W1683</f>
        <v/>
      </c>
      <c r="L1683" s="760" t="str">
        <f>V1683</f>
        <v/>
      </c>
      <c r="M1683" s="729"/>
      <c r="N1683" s="729"/>
      <c r="P1683" s="194">
        <f>IF(AND(EXACT(C1683,C1681),C1681&lt;&gt;0),P1681+1,0)</f>
        <v>91</v>
      </c>
      <c r="Q1683" s="194" t="str">
        <f>IF(C1683&lt;&gt;"",C1683&amp;"-"&amp;P1683,"")</f>
        <v/>
      </c>
      <c r="R1683" s="194" t="str">
        <f t="array" ref="R1683">IFERROR(IF(INDEX('Disaggregation Records'!$E$155:$E$385,MATCH(RIGHT(Q1683,255),RIGHT('Disaggregation Records'!$D$155:$D$385,255),0))="","",INDEX('Disaggregation Records'!$E$155:$E$385,MATCH(RIGHT(Q1683,255),RIGHT('Disaggregation Records'!$D$155:$D$385,255),0))),"")</f>
        <v/>
      </c>
      <c r="S1683" s="194" t="str">
        <f t="array" ref="S1683">IFERROR(IF(INDEX('Disaggregation Records'!$F$155:$F$385,MATCH(RIGHT(Q1683,255),RIGHT('Disaggregation Records'!$D$155:$D$385,255),0))="","",INDEX('Disaggregation Records'!$F$155:$F$385,MATCH(RIGHT(Q1683,255),RIGHT('Disaggregation Records'!$D$155:$D$385,255),0))),"")</f>
        <v/>
      </c>
      <c r="T1683" s="194" t="str">
        <f t="array" ref="T1683">IFERROR(IF(INDEX('Disaggregation Records'!$H$155:$H$385,MATCH(RIGHT(Q1683,255),RIGHT('Disaggregation Records'!$D$155:$D$385,255),0))="","",INDEX('Disaggregation Records'!$H$155:$H$385,MATCH(RIGHT(Q1683,255),RIGHT('Disaggregation Records'!$D$155:$D$385,255),0))),"")</f>
        <v/>
      </c>
      <c r="U1683" s="194">
        <f>U1681+1</f>
        <v>3031</v>
      </c>
      <c r="V1683" s="194" t="str">
        <f t="array" ref="V1683">IFERROR(IF(INDEX('Disaggregation Records'!$I$155:$I$385,MATCH(RIGHT(Q1683,255),RIGHT('Disaggregation Records'!$D$155:$D$385,255),0))="","",INDEX('Disaggregation Records'!$I$155:$I$385,MATCH(RIGHT(Q1683,255),RIGHT('Disaggregation Records'!$D$155:$D$385,255),0))),"")</f>
        <v/>
      </c>
      <c r="W1683" s="194" t="str">
        <f>IFERROR(INDEX('Reference Records'!L$77:L$157,MATCH(LEFT(C1683,255),'Reference Records'!E$77:E$157,0)),"")</f>
        <v/>
      </c>
    </row>
    <row r="1684" spans="1:23" s="194" customFormat="1" ht="40.4" customHeight="1" x14ac:dyDescent="0.35">
      <c r="A1684" s="770"/>
      <c r="B1684" s="767"/>
      <c r="C1684" s="761"/>
      <c r="D1684" s="769"/>
      <c r="E1684" s="769"/>
      <c r="F1684" s="208"/>
      <c r="G1684" s="763"/>
      <c r="H1684" s="744"/>
      <c r="I1684" s="765"/>
      <c r="J1684" s="730"/>
      <c r="K1684" s="761"/>
      <c r="L1684" s="761"/>
      <c r="M1684" s="730"/>
      <c r="N1684" s="730"/>
    </row>
    <row r="1685" spans="1:23" s="194" customFormat="1" ht="40.4" customHeight="1" x14ac:dyDescent="0.35">
      <c r="A1685" s="770" t="str">
        <f ca="1">INDIRECT("'update Helper'!C"&amp;U1685)</f>
        <v>a163p000004NtPyAAK</v>
      </c>
      <c r="B1685" s="766">
        <v>27</v>
      </c>
      <c r="C1685" s="760" t="str">
        <f>VLOOKUP(B1685,'Coverage Indicators - Section D'!$A$9:$AU$70,47,FALSE)</f>
        <v/>
      </c>
      <c r="D1685" s="768" t="str">
        <f>R1685</f>
        <v/>
      </c>
      <c r="E1685" s="768" t="str">
        <f>S1685</f>
        <v/>
      </c>
      <c r="F1685" s="413"/>
      <c r="G1685" s="762" t="str">
        <f ca="1">IF(OR(INDIRECT("'update Helper'!E"&amp;U1685)="",F1685&lt;&gt;0,F1686&lt;&gt;0),IF(IFERROR((F1685/F1686),"")="","",(F1685/F1686)),INDIRECT("'update Helper'!E"&amp;U1685)/100)</f>
        <v/>
      </c>
      <c r="H1685" s="743"/>
      <c r="I1685" s="764"/>
      <c r="J1685" s="729"/>
      <c r="K1685" s="760" t="str">
        <f>W1685</f>
        <v/>
      </c>
      <c r="L1685" s="760" t="str">
        <f>V1685</f>
        <v/>
      </c>
      <c r="M1685" s="729"/>
      <c r="N1685" s="729"/>
      <c r="P1685" s="194">
        <f>IF(AND(EXACT(C1685,C1683),C1683&lt;&gt;0),P1683+1,0)</f>
        <v>92</v>
      </c>
      <c r="Q1685" s="194" t="str">
        <f>IF(C1685&lt;&gt;"",C1685&amp;"-"&amp;P1685,"")</f>
        <v/>
      </c>
      <c r="R1685" s="194" t="str">
        <f t="array" ref="R1685">IFERROR(IF(INDEX('Disaggregation Records'!$E$155:$E$385,MATCH(RIGHT(Q1685,255),RIGHT('Disaggregation Records'!$D$155:$D$385,255),0))="","",INDEX('Disaggregation Records'!$E$155:$E$385,MATCH(RIGHT(Q1685,255),RIGHT('Disaggregation Records'!$D$155:$D$385,255),0))),"")</f>
        <v/>
      </c>
      <c r="S1685" s="194" t="str">
        <f t="array" ref="S1685">IFERROR(IF(INDEX('Disaggregation Records'!$F$155:$F$385,MATCH(RIGHT(Q1685,255),RIGHT('Disaggregation Records'!$D$155:$D$385,255),0))="","",INDEX('Disaggregation Records'!$F$155:$F$385,MATCH(RIGHT(Q1685,255),RIGHT('Disaggregation Records'!$D$155:$D$385,255),0))),"")</f>
        <v/>
      </c>
      <c r="T1685" s="194" t="str">
        <f t="array" ref="T1685">IFERROR(IF(INDEX('Disaggregation Records'!$H$155:$H$385,MATCH(RIGHT(Q1685,255),RIGHT('Disaggregation Records'!$D$155:$D$385,255),0))="","",INDEX('Disaggregation Records'!$H$155:$H$385,MATCH(RIGHT(Q1685,255),RIGHT('Disaggregation Records'!$D$155:$D$385,255),0))),"")</f>
        <v/>
      </c>
      <c r="U1685" s="194">
        <f>U1683+1</f>
        <v>3032</v>
      </c>
      <c r="V1685" s="194" t="str">
        <f t="array" ref="V1685">IFERROR(IF(INDEX('Disaggregation Records'!$I$155:$I$385,MATCH(RIGHT(Q1685,255),RIGHT('Disaggregation Records'!$D$155:$D$385,255),0))="","",INDEX('Disaggregation Records'!$I$155:$I$385,MATCH(RIGHT(Q1685,255),RIGHT('Disaggregation Records'!$D$155:$D$385,255),0))),"")</f>
        <v/>
      </c>
      <c r="W1685" s="194" t="str">
        <f>IFERROR(INDEX('Reference Records'!L$77:L$157,MATCH(LEFT(C1685,255),'Reference Records'!E$77:E$157,0)),"")</f>
        <v/>
      </c>
    </row>
    <row r="1686" spans="1:23" s="194" customFormat="1" ht="40.4" customHeight="1" x14ac:dyDescent="0.35">
      <c r="A1686" s="770"/>
      <c r="B1686" s="767"/>
      <c r="C1686" s="761"/>
      <c r="D1686" s="769"/>
      <c r="E1686" s="769"/>
      <c r="F1686" s="208"/>
      <c r="G1686" s="763"/>
      <c r="H1686" s="744"/>
      <c r="I1686" s="765"/>
      <c r="J1686" s="730"/>
      <c r="K1686" s="761"/>
      <c r="L1686" s="761"/>
      <c r="M1686" s="730"/>
      <c r="N1686" s="730"/>
    </row>
    <row r="1687" spans="1:23" s="194" customFormat="1" ht="40.4" customHeight="1" x14ac:dyDescent="0.35">
      <c r="A1687" s="770" t="str">
        <f ca="1">INDIRECT("'update Helper'!C"&amp;U1687)</f>
        <v>a163p000004NtPzAAK</v>
      </c>
      <c r="B1687" s="766">
        <v>27</v>
      </c>
      <c r="C1687" s="760" t="str">
        <f>VLOOKUP(B1687,'Coverage Indicators - Section D'!$A$9:$AU$70,47,FALSE)</f>
        <v/>
      </c>
      <c r="D1687" s="768" t="str">
        <f>R1687</f>
        <v/>
      </c>
      <c r="E1687" s="768" t="str">
        <f>S1687</f>
        <v/>
      </c>
      <c r="F1687" s="413"/>
      <c r="G1687" s="762" t="str">
        <f ca="1">IF(OR(INDIRECT("'update Helper'!E"&amp;U1687)="",F1687&lt;&gt;0,F1688&lt;&gt;0),IF(IFERROR((F1687/F1688),"")="","",(F1687/F1688)),INDIRECT("'update Helper'!E"&amp;U1687)/100)</f>
        <v/>
      </c>
      <c r="H1687" s="743"/>
      <c r="I1687" s="764"/>
      <c r="J1687" s="729"/>
      <c r="K1687" s="760" t="str">
        <f>W1687</f>
        <v/>
      </c>
      <c r="L1687" s="760" t="str">
        <f>V1687</f>
        <v/>
      </c>
      <c r="M1687" s="729"/>
      <c r="N1687" s="729"/>
      <c r="P1687" s="194">
        <f>IF(AND(EXACT(C1687,C1685),C1685&lt;&gt;0),P1685+1,0)</f>
        <v>93</v>
      </c>
      <c r="Q1687" s="194" t="str">
        <f>IF(C1687&lt;&gt;"",C1687&amp;"-"&amp;P1687,"")</f>
        <v/>
      </c>
      <c r="R1687" s="194" t="str">
        <f t="array" ref="R1687">IFERROR(IF(INDEX('Disaggregation Records'!$E$155:$E$385,MATCH(RIGHT(Q1687,255),RIGHT('Disaggregation Records'!$D$155:$D$385,255),0))="","",INDEX('Disaggregation Records'!$E$155:$E$385,MATCH(RIGHT(Q1687,255),RIGHT('Disaggregation Records'!$D$155:$D$385,255),0))),"")</f>
        <v/>
      </c>
      <c r="S1687" s="194" t="str">
        <f t="array" ref="S1687">IFERROR(IF(INDEX('Disaggregation Records'!$F$155:$F$385,MATCH(RIGHT(Q1687,255),RIGHT('Disaggregation Records'!$D$155:$D$385,255),0))="","",INDEX('Disaggregation Records'!$F$155:$F$385,MATCH(RIGHT(Q1687,255),RIGHT('Disaggregation Records'!$D$155:$D$385,255),0))),"")</f>
        <v/>
      </c>
      <c r="T1687" s="194" t="str">
        <f t="array" ref="T1687">IFERROR(IF(INDEX('Disaggregation Records'!$H$155:$H$385,MATCH(RIGHT(Q1687,255),RIGHT('Disaggregation Records'!$D$155:$D$385,255),0))="","",INDEX('Disaggregation Records'!$H$155:$H$385,MATCH(RIGHT(Q1687,255),RIGHT('Disaggregation Records'!$D$155:$D$385,255),0))),"")</f>
        <v/>
      </c>
      <c r="U1687" s="194">
        <f>U1685+1</f>
        <v>3033</v>
      </c>
      <c r="V1687" s="194" t="str">
        <f t="array" ref="V1687">IFERROR(IF(INDEX('Disaggregation Records'!$I$155:$I$385,MATCH(RIGHT(Q1687,255),RIGHT('Disaggregation Records'!$D$155:$D$385,255),0))="","",INDEX('Disaggregation Records'!$I$155:$I$385,MATCH(RIGHT(Q1687,255),RIGHT('Disaggregation Records'!$D$155:$D$385,255),0))),"")</f>
        <v/>
      </c>
      <c r="W1687" s="194" t="str">
        <f>IFERROR(INDEX('Reference Records'!L$77:L$157,MATCH(LEFT(C1687,255),'Reference Records'!E$77:E$157,0)),"")</f>
        <v/>
      </c>
    </row>
    <row r="1688" spans="1:23" s="194" customFormat="1" ht="40.4" customHeight="1" x14ac:dyDescent="0.35">
      <c r="A1688" s="770"/>
      <c r="B1688" s="767"/>
      <c r="C1688" s="761"/>
      <c r="D1688" s="769"/>
      <c r="E1688" s="769"/>
      <c r="F1688" s="208"/>
      <c r="G1688" s="763"/>
      <c r="H1688" s="744"/>
      <c r="I1688" s="765"/>
      <c r="J1688" s="730"/>
      <c r="K1688" s="761"/>
      <c r="L1688" s="761"/>
      <c r="M1688" s="730"/>
      <c r="N1688" s="730"/>
    </row>
    <row r="1689" spans="1:23" s="194" customFormat="1" ht="40.4" customHeight="1" x14ac:dyDescent="0.35">
      <c r="A1689" s="770" t="str">
        <f ca="1">INDIRECT("'update Helper'!C"&amp;U1689)</f>
        <v>a163p000004NtQ0AAK</v>
      </c>
      <c r="B1689" s="766">
        <v>27</v>
      </c>
      <c r="C1689" s="760" t="str">
        <f>VLOOKUP(B1689,'Coverage Indicators - Section D'!$A$9:$AU$70,47,FALSE)</f>
        <v/>
      </c>
      <c r="D1689" s="768" t="str">
        <f>R1689</f>
        <v/>
      </c>
      <c r="E1689" s="768" t="str">
        <f>S1689</f>
        <v/>
      </c>
      <c r="F1689" s="413"/>
      <c r="G1689" s="762" t="str">
        <f ca="1">IF(OR(INDIRECT("'update Helper'!E"&amp;U1689)="",F1689&lt;&gt;0,F1690&lt;&gt;0),IF(IFERROR((F1689/F1690),"")="","",(F1689/F1690)),INDIRECT("'update Helper'!E"&amp;U1689)/100)</f>
        <v/>
      </c>
      <c r="H1689" s="743"/>
      <c r="I1689" s="764"/>
      <c r="J1689" s="729"/>
      <c r="K1689" s="760" t="str">
        <f>W1689</f>
        <v/>
      </c>
      <c r="L1689" s="760" t="str">
        <f>V1689</f>
        <v/>
      </c>
      <c r="M1689" s="729"/>
      <c r="N1689" s="729"/>
      <c r="P1689" s="194">
        <f>IF(AND(EXACT(C1689,C1687),C1687&lt;&gt;0),P1687+1,0)</f>
        <v>94</v>
      </c>
      <c r="Q1689" s="194" t="str">
        <f>IF(C1689&lt;&gt;"",C1689&amp;"-"&amp;P1689,"")</f>
        <v/>
      </c>
      <c r="R1689" s="194" t="str">
        <f t="array" ref="R1689">IFERROR(IF(INDEX('Disaggregation Records'!$E$155:$E$385,MATCH(RIGHT(Q1689,255),RIGHT('Disaggregation Records'!$D$155:$D$385,255),0))="","",INDEX('Disaggregation Records'!$E$155:$E$385,MATCH(RIGHT(Q1689,255),RIGHT('Disaggregation Records'!$D$155:$D$385,255),0))),"")</f>
        <v/>
      </c>
      <c r="S1689" s="194" t="str">
        <f t="array" ref="S1689">IFERROR(IF(INDEX('Disaggregation Records'!$F$155:$F$385,MATCH(RIGHT(Q1689,255),RIGHT('Disaggregation Records'!$D$155:$D$385,255),0))="","",INDEX('Disaggregation Records'!$F$155:$F$385,MATCH(RIGHT(Q1689,255),RIGHT('Disaggregation Records'!$D$155:$D$385,255),0))),"")</f>
        <v/>
      </c>
      <c r="T1689" s="194" t="str">
        <f t="array" ref="T1689">IFERROR(IF(INDEX('Disaggregation Records'!$H$155:$H$385,MATCH(RIGHT(Q1689,255),RIGHT('Disaggregation Records'!$D$155:$D$385,255),0))="","",INDEX('Disaggregation Records'!$H$155:$H$385,MATCH(RIGHT(Q1689,255),RIGHT('Disaggregation Records'!$D$155:$D$385,255),0))),"")</f>
        <v/>
      </c>
      <c r="U1689" s="194">
        <f>U1687+1</f>
        <v>3034</v>
      </c>
      <c r="V1689" s="194" t="str">
        <f t="array" ref="V1689">IFERROR(IF(INDEX('Disaggregation Records'!$I$155:$I$385,MATCH(RIGHT(Q1689,255),RIGHT('Disaggregation Records'!$D$155:$D$385,255),0))="","",INDEX('Disaggregation Records'!$I$155:$I$385,MATCH(RIGHT(Q1689,255),RIGHT('Disaggregation Records'!$D$155:$D$385,255),0))),"")</f>
        <v/>
      </c>
      <c r="W1689" s="194" t="str">
        <f>IFERROR(INDEX('Reference Records'!L$77:L$157,MATCH(LEFT(C1689,255),'Reference Records'!E$77:E$157,0)),"")</f>
        <v/>
      </c>
    </row>
    <row r="1690" spans="1:23" s="194" customFormat="1" ht="40.4" customHeight="1" x14ac:dyDescent="0.35">
      <c r="A1690" s="770"/>
      <c r="B1690" s="767"/>
      <c r="C1690" s="761"/>
      <c r="D1690" s="769"/>
      <c r="E1690" s="769"/>
      <c r="F1690" s="208"/>
      <c r="G1690" s="763"/>
      <c r="H1690" s="744"/>
      <c r="I1690" s="765"/>
      <c r="J1690" s="730"/>
      <c r="K1690" s="761"/>
      <c r="L1690" s="761"/>
      <c r="M1690" s="730"/>
      <c r="N1690" s="730"/>
    </row>
    <row r="1691" spans="1:23" s="194" customFormat="1" ht="40.4" customHeight="1" x14ac:dyDescent="0.35">
      <c r="A1691" s="770" t="str">
        <f ca="1">INDIRECT("'update Helper'!C"&amp;U1691)</f>
        <v>a163p000004NtQ1AAK</v>
      </c>
      <c r="B1691" s="766">
        <v>27</v>
      </c>
      <c r="C1691" s="760" t="str">
        <f>VLOOKUP(B1691,'Coverage Indicators - Section D'!$A$9:$AU$70,47,FALSE)</f>
        <v/>
      </c>
      <c r="D1691" s="768" t="str">
        <f>R1691</f>
        <v/>
      </c>
      <c r="E1691" s="768" t="str">
        <f>S1691</f>
        <v/>
      </c>
      <c r="F1691" s="413"/>
      <c r="G1691" s="762" t="str">
        <f ca="1">IF(OR(INDIRECT("'update Helper'!E"&amp;U1691)="",F1691&lt;&gt;0,F1692&lt;&gt;0),IF(IFERROR((F1691/F1692),"")="","",(F1691/F1692)),INDIRECT("'update Helper'!E"&amp;U1691)/100)</f>
        <v/>
      </c>
      <c r="H1691" s="743"/>
      <c r="I1691" s="764"/>
      <c r="J1691" s="729"/>
      <c r="K1691" s="760" t="str">
        <f>W1691</f>
        <v/>
      </c>
      <c r="L1691" s="760" t="str">
        <f>V1691</f>
        <v/>
      </c>
      <c r="M1691" s="729"/>
      <c r="N1691" s="729"/>
      <c r="P1691" s="194">
        <f>IF(AND(EXACT(C1691,C1689),C1689&lt;&gt;0),P1689+1,0)</f>
        <v>95</v>
      </c>
      <c r="Q1691" s="194" t="str">
        <f>IF(C1691&lt;&gt;"",C1691&amp;"-"&amp;P1691,"")</f>
        <v/>
      </c>
      <c r="R1691" s="194" t="str">
        <f t="array" ref="R1691">IFERROR(IF(INDEX('Disaggregation Records'!$E$155:$E$385,MATCH(RIGHT(Q1691,255),RIGHT('Disaggregation Records'!$D$155:$D$385,255),0))="","",INDEX('Disaggregation Records'!$E$155:$E$385,MATCH(RIGHT(Q1691,255),RIGHT('Disaggregation Records'!$D$155:$D$385,255),0))),"")</f>
        <v/>
      </c>
      <c r="S1691" s="194" t="str">
        <f t="array" ref="S1691">IFERROR(IF(INDEX('Disaggregation Records'!$F$155:$F$385,MATCH(RIGHT(Q1691,255),RIGHT('Disaggregation Records'!$D$155:$D$385,255),0))="","",INDEX('Disaggregation Records'!$F$155:$F$385,MATCH(RIGHT(Q1691,255),RIGHT('Disaggregation Records'!$D$155:$D$385,255),0))),"")</f>
        <v/>
      </c>
      <c r="T1691" s="194" t="str">
        <f t="array" ref="T1691">IFERROR(IF(INDEX('Disaggregation Records'!$H$155:$H$385,MATCH(RIGHT(Q1691,255),RIGHT('Disaggregation Records'!$D$155:$D$385,255),0))="","",INDEX('Disaggregation Records'!$H$155:$H$385,MATCH(RIGHT(Q1691,255),RIGHT('Disaggregation Records'!$D$155:$D$385,255),0))),"")</f>
        <v/>
      </c>
      <c r="U1691" s="194">
        <f>U1689+1</f>
        <v>3035</v>
      </c>
      <c r="V1691" s="194" t="str">
        <f t="array" ref="V1691">IFERROR(IF(INDEX('Disaggregation Records'!$I$155:$I$385,MATCH(RIGHT(Q1691,255),RIGHT('Disaggregation Records'!$D$155:$D$385,255),0))="","",INDEX('Disaggregation Records'!$I$155:$I$385,MATCH(RIGHT(Q1691,255),RIGHT('Disaggregation Records'!$D$155:$D$385,255),0))),"")</f>
        <v/>
      </c>
      <c r="W1691" s="194" t="str">
        <f>IFERROR(INDEX('Reference Records'!L$77:L$157,MATCH(LEFT(C1691,255),'Reference Records'!E$77:E$157,0)),"")</f>
        <v/>
      </c>
    </row>
    <row r="1692" spans="1:23" s="194" customFormat="1" ht="40.4" customHeight="1" x14ac:dyDescent="0.35">
      <c r="A1692" s="770"/>
      <c r="B1692" s="767"/>
      <c r="C1692" s="761"/>
      <c r="D1692" s="769"/>
      <c r="E1692" s="769"/>
      <c r="F1692" s="208"/>
      <c r="G1692" s="763"/>
      <c r="H1692" s="744"/>
      <c r="I1692" s="765"/>
      <c r="J1692" s="730"/>
      <c r="K1692" s="761"/>
      <c r="L1692" s="761"/>
      <c r="M1692" s="730"/>
      <c r="N1692" s="730"/>
    </row>
    <row r="1693" spans="1:23" s="194" customFormat="1" ht="40.4" customHeight="1" x14ac:dyDescent="0.35">
      <c r="A1693" s="770" t="str">
        <f ca="1">INDIRECT("'update Helper'!C"&amp;U1693)</f>
        <v>a163p000004NtQ2AAK</v>
      </c>
      <c r="B1693" s="766">
        <v>27</v>
      </c>
      <c r="C1693" s="760" t="str">
        <f>VLOOKUP(B1693,'Coverage Indicators - Section D'!$A$9:$AU$70,47,FALSE)</f>
        <v/>
      </c>
      <c r="D1693" s="768" t="str">
        <f>R1693</f>
        <v/>
      </c>
      <c r="E1693" s="768" t="str">
        <f>S1693</f>
        <v/>
      </c>
      <c r="F1693" s="413"/>
      <c r="G1693" s="762" t="str">
        <f ca="1">IF(OR(INDIRECT("'update Helper'!E"&amp;U1693)="",F1693&lt;&gt;0,F1694&lt;&gt;0),IF(IFERROR((F1693/F1694),"")="","",(F1693/F1694)),INDIRECT("'update Helper'!E"&amp;U1693)/100)</f>
        <v/>
      </c>
      <c r="H1693" s="743"/>
      <c r="I1693" s="764"/>
      <c r="J1693" s="729"/>
      <c r="K1693" s="760" t="str">
        <f>W1693</f>
        <v/>
      </c>
      <c r="L1693" s="760" t="str">
        <f>V1693</f>
        <v/>
      </c>
      <c r="M1693" s="729"/>
      <c r="N1693" s="729"/>
      <c r="P1693" s="194">
        <f>IF(AND(EXACT(C1693,C1691),C1691&lt;&gt;0),P1691+1,0)</f>
        <v>96</v>
      </c>
      <c r="Q1693" s="194" t="str">
        <f>IF(C1693&lt;&gt;"",C1693&amp;"-"&amp;P1693,"")</f>
        <v/>
      </c>
      <c r="R1693" s="194" t="str">
        <f t="array" ref="R1693">IFERROR(IF(INDEX('Disaggregation Records'!$E$155:$E$385,MATCH(RIGHT(Q1693,255),RIGHT('Disaggregation Records'!$D$155:$D$385,255),0))="","",INDEX('Disaggregation Records'!$E$155:$E$385,MATCH(RIGHT(Q1693,255),RIGHT('Disaggregation Records'!$D$155:$D$385,255),0))),"")</f>
        <v/>
      </c>
      <c r="S1693" s="194" t="str">
        <f t="array" ref="S1693">IFERROR(IF(INDEX('Disaggregation Records'!$F$155:$F$385,MATCH(RIGHT(Q1693,255),RIGHT('Disaggregation Records'!$D$155:$D$385,255),0))="","",INDEX('Disaggregation Records'!$F$155:$F$385,MATCH(RIGHT(Q1693,255),RIGHT('Disaggregation Records'!$D$155:$D$385,255),0))),"")</f>
        <v/>
      </c>
      <c r="T1693" s="194" t="str">
        <f t="array" ref="T1693">IFERROR(IF(INDEX('Disaggregation Records'!$H$155:$H$385,MATCH(RIGHT(Q1693,255),RIGHT('Disaggregation Records'!$D$155:$D$385,255),0))="","",INDEX('Disaggregation Records'!$H$155:$H$385,MATCH(RIGHT(Q1693,255),RIGHT('Disaggregation Records'!$D$155:$D$385,255),0))),"")</f>
        <v/>
      </c>
      <c r="U1693" s="194">
        <f>U1691+1</f>
        <v>3036</v>
      </c>
      <c r="V1693" s="194" t="str">
        <f t="array" ref="V1693">IFERROR(IF(INDEX('Disaggregation Records'!$I$155:$I$385,MATCH(RIGHT(Q1693,255),RIGHT('Disaggregation Records'!$D$155:$D$385,255),0))="","",INDEX('Disaggregation Records'!$I$155:$I$385,MATCH(RIGHT(Q1693,255),RIGHT('Disaggregation Records'!$D$155:$D$385,255),0))),"")</f>
        <v/>
      </c>
      <c r="W1693" s="194" t="str">
        <f>IFERROR(INDEX('Reference Records'!L$77:L$157,MATCH(LEFT(C1693,255),'Reference Records'!E$77:E$157,0)),"")</f>
        <v/>
      </c>
    </row>
    <row r="1694" spans="1:23" s="194" customFormat="1" ht="40.4" customHeight="1" x14ac:dyDescent="0.35">
      <c r="A1694" s="770"/>
      <c r="B1694" s="767"/>
      <c r="C1694" s="761"/>
      <c r="D1694" s="769"/>
      <c r="E1694" s="769"/>
      <c r="F1694" s="208"/>
      <c r="G1694" s="763"/>
      <c r="H1694" s="744"/>
      <c r="I1694" s="765"/>
      <c r="J1694" s="730"/>
      <c r="K1694" s="761"/>
      <c r="L1694" s="761"/>
      <c r="M1694" s="730"/>
      <c r="N1694" s="730"/>
    </row>
    <row r="1695" spans="1:23" s="194" customFormat="1" ht="40.4" customHeight="1" x14ac:dyDescent="0.35">
      <c r="A1695" s="770" t="str">
        <f ca="1">INDIRECT("'update Helper'!C"&amp;U1695)</f>
        <v>a163p000004NtQ3AAK</v>
      </c>
      <c r="B1695" s="766">
        <v>27</v>
      </c>
      <c r="C1695" s="760" t="str">
        <f>VLOOKUP(B1695,'Coverage Indicators - Section D'!$A$9:$AU$70,47,FALSE)</f>
        <v/>
      </c>
      <c r="D1695" s="768" t="str">
        <f>R1695</f>
        <v/>
      </c>
      <c r="E1695" s="768" t="str">
        <f>S1695</f>
        <v/>
      </c>
      <c r="F1695" s="413"/>
      <c r="G1695" s="762" t="str">
        <f ca="1">IF(OR(INDIRECT("'update Helper'!E"&amp;U1695)="",F1695&lt;&gt;0,F1696&lt;&gt;0),IF(IFERROR((F1695/F1696),"")="","",(F1695/F1696)),INDIRECT("'update Helper'!E"&amp;U1695)/100)</f>
        <v/>
      </c>
      <c r="H1695" s="743"/>
      <c r="I1695" s="764"/>
      <c r="J1695" s="729"/>
      <c r="K1695" s="760" t="str">
        <f>W1695</f>
        <v/>
      </c>
      <c r="L1695" s="760" t="str">
        <f>V1695</f>
        <v/>
      </c>
      <c r="M1695" s="729"/>
      <c r="N1695" s="729"/>
      <c r="P1695" s="194">
        <f>IF(AND(EXACT(C1695,C1693),C1693&lt;&gt;0),P1693+1,0)</f>
        <v>97</v>
      </c>
      <c r="Q1695" s="194" t="str">
        <f>IF(C1695&lt;&gt;"",C1695&amp;"-"&amp;P1695,"")</f>
        <v/>
      </c>
      <c r="R1695" s="194" t="str">
        <f t="array" ref="R1695">IFERROR(IF(INDEX('Disaggregation Records'!$E$155:$E$385,MATCH(RIGHT(Q1695,255),RIGHT('Disaggregation Records'!$D$155:$D$385,255),0))="","",INDEX('Disaggregation Records'!$E$155:$E$385,MATCH(RIGHT(Q1695,255),RIGHT('Disaggregation Records'!$D$155:$D$385,255),0))),"")</f>
        <v/>
      </c>
      <c r="S1695" s="194" t="str">
        <f t="array" ref="S1695">IFERROR(IF(INDEX('Disaggregation Records'!$F$155:$F$385,MATCH(RIGHT(Q1695,255),RIGHT('Disaggregation Records'!$D$155:$D$385,255),0))="","",INDEX('Disaggregation Records'!$F$155:$F$385,MATCH(RIGHT(Q1695,255),RIGHT('Disaggregation Records'!$D$155:$D$385,255),0))),"")</f>
        <v/>
      </c>
      <c r="T1695" s="194" t="str">
        <f t="array" ref="T1695">IFERROR(IF(INDEX('Disaggregation Records'!$H$155:$H$385,MATCH(RIGHT(Q1695,255),RIGHT('Disaggregation Records'!$D$155:$D$385,255),0))="","",INDEX('Disaggregation Records'!$H$155:$H$385,MATCH(RIGHT(Q1695,255),RIGHT('Disaggregation Records'!$D$155:$D$385,255),0))),"")</f>
        <v/>
      </c>
      <c r="U1695" s="194">
        <f>U1693+1</f>
        <v>3037</v>
      </c>
      <c r="V1695" s="194" t="str">
        <f t="array" ref="V1695">IFERROR(IF(INDEX('Disaggregation Records'!$I$155:$I$385,MATCH(RIGHT(Q1695,255),RIGHT('Disaggregation Records'!$D$155:$D$385,255),0))="","",INDEX('Disaggregation Records'!$I$155:$I$385,MATCH(RIGHT(Q1695,255),RIGHT('Disaggregation Records'!$D$155:$D$385,255),0))),"")</f>
        <v/>
      </c>
      <c r="W1695" s="194" t="str">
        <f>IFERROR(INDEX('Reference Records'!L$77:L$157,MATCH(LEFT(C1695,255),'Reference Records'!E$77:E$157,0)),"")</f>
        <v/>
      </c>
    </row>
    <row r="1696" spans="1:23" s="194" customFormat="1" ht="40.4" customHeight="1" x14ac:dyDescent="0.35">
      <c r="A1696" s="770"/>
      <c r="B1696" s="767"/>
      <c r="C1696" s="761"/>
      <c r="D1696" s="769"/>
      <c r="E1696" s="769"/>
      <c r="F1696" s="208"/>
      <c r="G1696" s="763"/>
      <c r="H1696" s="744"/>
      <c r="I1696" s="765"/>
      <c r="J1696" s="730"/>
      <c r="K1696" s="761"/>
      <c r="L1696" s="761"/>
      <c r="M1696" s="730"/>
      <c r="N1696" s="730"/>
    </row>
    <row r="1697" spans="1:23" s="194" customFormat="1" ht="40.4" customHeight="1" x14ac:dyDescent="0.35">
      <c r="A1697" s="770" t="str">
        <f ca="1">INDIRECT("'update Helper'!C"&amp;U1697)</f>
        <v>a163p000004NtQ4AAK</v>
      </c>
      <c r="B1697" s="766">
        <v>27</v>
      </c>
      <c r="C1697" s="760" t="str">
        <f>VLOOKUP(B1697,'Coverage Indicators - Section D'!$A$9:$AU$70,47,FALSE)</f>
        <v/>
      </c>
      <c r="D1697" s="768" t="str">
        <f>R1697</f>
        <v/>
      </c>
      <c r="E1697" s="768" t="str">
        <f>S1697</f>
        <v/>
      </c>
      <c r="F1697" s="413"/>
      <c r="G1697" s="762" t="str">
        <f ca="1">IF(OR(INDIRECT("'update Helper'!E"&amp;U1697)="",F1697&lt;&gt;0,F1698&lt;&gt;0),IF(IFERROR((F1697/F1698),"")="","",(F1697/F1698)),INDIRECT("'update Helper'!E"&amp;U1697)/100)</f>
        <v/>
      </c>
      <c r="H1697" s="743"/>
      <c r="I1697" s="764"/>
      <c r="J1697" s="729"/>
      <c r="K1697" s="760" t="str">
        <f>W1697</f>
        <v/>
      </c>
      <c r="L1697" s="760" t="str">
        <f>V1697</f>
        <v/>
      </c>
      <c r="M1697" s="729"/>
      <c r="N1697" s="729"/>
      <c r="P1697" s="194">
        <f>IF(AND(EXACT(C1697,C1695),C1695&lt;&gt;0),P1695+1,0)</f>
        <v>98</v>
      </c>
      <c r="Q1697" s="194" t="str">
        <f>IF(C1697&lt;&gt;"",C1697&amp;"-"&amp;P1697,"")</f>
        <v/>
      </c>
      <c r="R1697" s="194" t="str">
        <f t="array" ref="R1697">IFERROR(IF(INDEX('Disaggregation Records'!$E$155:$E$385,MATCH(RIGHT(Q1697,255),RIGHT('Disaggregation Records'!$D$155:$D$385,255),0))="","",INDEX('Disaggregation Records'!$E$155:$E$385,MATCH(RIGHT(Q1697,255),RIGHT('Disaggregation Records'!$D$155:$D$385,255),0))),"")</f>
        <v/>
      </c>
      <c r="S1697" s="194" t="str">
        <f t="array" ref="S1697">IFERROR(IF(INDEX('Disaggregation Records'!$F$155:$F$385,MATCH(RIGHT(Q1697,255),RIGHT('Disaggregation Records'!$D$155:$D$385,255),0))="","",INDEX('Disaggregation Records'!$F$155:$F$385,MATCH(RIGHT(Q1697,255),RIGHT('Disaggregation Records'!$D$155:$D$385,255),0))),"")</f>
        <v/>
      </c>
      <c r="T1697" s="194" t="str">
        <f t="array" ref="T1697">IFERROR(IF(INDEX('Disaggregation Records'!$H$155:$H$385,MATCH(RIGHT(Q1697,255),RIGHT('Disaggregation Records'!$D$155:$D$385,255),0))="","",INDEX('Disaggregation Records'!$H$155:$H$385,MATCH(RIGHT(Q1697,255),RIGHT('Disaggregation Records'!$D$155:$D$385,255),0))),"")</f>
        <v/>
      </c>
      <c r="U1697" s="194">
        <f>U1695+1</f>
        <v>3038</v>
      </c>
      <c r="V1697" s="194" t="str">
        <f t="array" ref="V1697">IFERROR(IF(INDEX('Disaggregation Records'!$I$155:$I$385,MATCH(RIGHT(Q1697,255),RIGHT('Disaggregation Records'!$D$155:$D$385,255),0))="","",INDEX('Disaggregation Records'!$I$155:$I$385,MATCH(RIGHT(Q1697,255),RIGHT('Disaggregation Records'!$D$155:$D$385,255),0))),"")</f>
        <v/>
      </c>
      <c r="W1697" s="194" t="str">
        <f>IFERROR(INDEX('Reference Records'!L$77:L$157,MATCH(LEFT(C1697,255),'Reference Records'!E$77:E$157,0)),"")</f>
        <v/>
      </c>
    </row>
    <row r="1698" spans="1:23" s="194" customFormat="1" ht="40.4" customHeight="1" x14ac:dyDescent="0.35">
      <c r="A1698" s="770"/>
      <c r="B1698" s="767"/>
      <c r="C1698" s="761"/>
      <c r="D1698" s="769"/>
      <c r="E1698" s="769"/>
      <c r="F1698" s="208"/>
      <c r="G1698" s="763"/>
      <c r="H1698" s="744"/>
      <c r="I1698" s="765"/>
      <c r="J1698" s="730"/>
      <c r="K1698" s="761"/>
      <c r="L1698" s="761"/>
      <c r="M1698" s="730"/>
      <c r="N1698" s="730"/>
    </row>
    <row r="1699" spans="1:23" s="194" customFormat="1" ht="40.4" customHeight="1" x14ac:dyDescent="0.35">
      <c r="A1699" s="770" t="str">
        <f ca="1">INDIRECT("'update Helper'!C"&amp;U1699)</f>
        <v>a163p000004NtQ5AAK</v>
      </c>
      <c r="B1699" s="766">
        <v>27</v>
      </c>
      <c r="C1699" s="760" t="str">
        <f>VLOOKUP(B1699,'Coverage Indicators - Section D'!$A$9:$AU$70,47,FALSE)</f>
        <v/>
      </c>
      <c r="D1699" s="768" t="str">
        <f>R1699</f>
        <v/>
      </c>
      <c r="E1699" s="768" t="str">
        <f>S1699</f>
        <v/>
      </c>
      <c r="F1699" s="413"/>
      <c r="G1699" s="762" t="str">
        <f ca="1">IF(OR(INDIRECT("'update Helper'!E"&amp;U1699)="",F1699&lt;&gt;0,F1700&lt;&gt;0),IF(IFERROR((F1699/F1700),"")="","",(F1699/F1700)),INDIRECT("'update Helper'!E"&amp;U1699)/100)</f>
        <v/>
      </c>
      <c r="H1699" s="743"/>
      <c r="I1699" s="764"/>
      <c r="J1699" s="729"/>
      <c r="K1699" s="760" t="str">
        <f>W1699</f>
        <v/>
      </c>
      <c r="L1699" s="760" t="str">
        <f>V1699</f>
        <v/>
      </c>
      <c r="M1699" s="729"/>
      <c r="N1699" s="729"/>
      <c r="P1699" s="194">
        <f>IF(AND(EXACT(C1699,C1697),C1697&lt;&gt;0),P1697+1,0)</f>
        <v>99</v>
      </c>
      <c r="Q1699" s="194" t="str">
        <f>IF(C1699&lt;&gt;"",C1699&amp;"-"&amp;P1699,"")</f>
        <v/>
      </c>
      <c r="R1699" s="194" t="str">
        <f t="array" ref="R1699">IFERROR(IF(INDEX('Disaggregation Records'!$E$155:$E$385,MATCH(RIGHT(Q1699,255),RIGHT('Disaggregation Records'!$D$155:$D$385,255),0))="","",INDEX('Disaggregation Records'!$E$155:$E$385,MATCH(RIGHT(Q1699,255),RIGHT('Disaggregation Records'!$D$155:$D$385,255),0))),"")</f>
        <v/>
      </c>
      <c r="S1699" s="194" t="str">
        <f t="array" ref="S1699">IFERROR(IF(INDEX('Disaggregation Records'!$F$155:$F$385,MATCH(RIGHT(Q1699,255),RIGHT('Disaggregation Records'!$D$155:$D$385,255),0))="","",INDEX('Disaggregation Records'!$F$155:$F$385,MATCH(RIGHT(Q1699,255),RIGHT('Disaggregation Records'!$D$155:$D$385,255),0))),"")</f>
        <v/>
      </c>
      <c r="T1699" s="194" t="str">
        <f t="array" ref="T1699">IFERROR(IF(INDEX('Disaggregation Records'!$H$155:$H$385,MATCH(RIGHT(Q1699,255),RIGHT('Disaggregation Records'!$D$155:$D$385,255),0))="","",INDEX('Disaggregation Records'!$H$155:$H$385,MATCH(RIGHT(Q1699,255),RIGHT('Disaggregation Records'!$D$155:$D$385,255),0))),"")</f>
        <v/>
      </c>
      <c r="U1699" s="194">
        <f>U1697+1</f>
        <v>3039</v>
      </c>
      <c r="V1699" s="194" t="str">
        <f t="array" ref="V1699">IFERROR(IF(INDEX('Disaggregation Records'!$I$155:$I$385,MATCH(RIGHT(Q1699,255),RIGHT('Disaggregation Records'!$D$155:$D$385,255),0))="","",INDEX('Disaggregation Records'!$I$155:$I$385,MATCH(RIGHT(Q1699,255),RIGHT('Disaggregation Records'!$D$155:$D$385,255),0))),"")</f>
        <v/>
      </c>
      <c r="W1699" s="194" t="str">
        <f>IFERROR(INDEX('Reference Records'!L$77:L$157,MATCH(LEFT(C1699,255),'Reference Records'!E$77:E$157,0)),"")</f>
        <v/>
      </c>
    </row>
    <row r="1700" spans="1:23" s="194" customFormat="1" ht="40.4" customHeight="1" x14ac:dyDescent="0.35">
      <c r="A1700" s="770"/>
      <c r="B1700" s="767"/>
      <c r="C1700" s="761"/>
      <c r="D1700" s="769"/>
      <c r="E1700" s="769"/>
      <c r="F1700" s="208"/>
      <c r="G1700" s="763"/>
      <c r="H1700" s="744"/>
      <c r="I1700" s="765"/>
      <c r="J1700" s="730"/>
      <c r="K1700" s="761"/>
      <c r="L1700" s="761"/>
      <c r="M1700" s="730"/>
      <c r="N1700" s="730"/>
    </row>
    <row r="1701" spans="1:23" s="194" customFormat="1" ht="40.4" customHeight="1" x14ac:dyDescent="0.35">
      <c r="A1701" s="770" t="str">
        <f ca="1">INDIRECT("'update Helper'!C"&amp;U1701)</f>
        <v>a163p000004NtZSAA0</v>
      </c>
      <c r="B1701" s="766">
        <v>28</v>
      </c>
      <c r="C1701" s="760" t="str">
        <f>VLOOKUP(B1701,'Coverage Indicators - Section D'!$A$9:$AU$70,47,FALSE)</f>
        <v/>
      </c>
      <c r="D1701" s="768" t="str">
        <f>R1701</f>
        <v/>
      </c>
      <c r="E1701" s="768" t="str">
        <f>S1701</f>
        <v/>
      </c>
      <c r="F1701" s="413"/>
      <c r="G1701" s="762" t="str">
        <f ca="1">IF(OR(INDIRECT("'update Helper'!E"&amp;U1701)="",F1701&lt;&gt;0,F1702&lt;&gt;0),IF(IFERROR((F1701/F1702),"")="","",(F1701/F1702)),INDIRECT("'update Helper'!E"&amp;U1701)/100)</f>
        <v/>
      </c>
      <c r="H1701" s="743"/>
      <c r="I1701" s="764"/>
      <c r="J1701" s="729"/>
      <c r="K1701" s="760" t="str">
        <f>W1701</f>
        <v/>
      </c>
      <c r="L1701" s="760" t="str">
        <f>V1701</f>
        <v/>
      </c>
      <c r="M1701" s="729"/>
      <c r="N1701" s="729"/>
      <c r="P1701" s="194">
        <f>IF(AND(EXACT(C1701,C1699),C1699&lt;&gt;0),P1699+1,0)</f>
        <v>100</v>
      </c>
      <c r="Q1701" s="194" t="str">
        <f>IF(C1701&lt;&gt;"",C1701&amp;"-"&amp;P1701,"")</f>
        <v/>
      </c>
      <c r="R1701" s="194" t="str">
        <f t="array" ref="R1701">IFERROR(IF(INDEX('Disaggregation Records'!$E$155:$E$385,MATCH(RIGHT(Q1701,255),RIGHT('Disaggregation Records'!$D$155:$D$385,255),0))="","",INDEX('Disaggregation Records'!$E$155:$E$385,MATCH(RIGHT(Q1701,255),RIGHT('Disaggregation Records'!$D$155:$D$385,255),0))),"")</f>
        <v/>
      </c>
      <c r="S1701" s="194" t="str">
        <f t="array" ref="S1701">IFERROR(IF(INDEX('Disaggregation Records'!$F$155:$F$385,MATCH(RIGHT(Q1701,255),RIGHT('Disaggregation Records'!$D$155:$D$385,255),0))="","",INDEX('Disaggregation Records'!$F$155:$F$385,MATCH(RIGHT(Q1701,255),RIGHT('Disaggregation Records'!$D$155:$D$385,255),0))),"")</f>
        <v/>
      </c>
      <c r="T1701" s="194" t="str">
        <f t="array" ref="T1701">IFERROR(IF(INDEX('Disaggregation Records'!$H$155:$H$385,MATCH(RIGHT(Q1701,255),RIGHT('Disaggregation Records'!$D$155:$D$385,255),0))="","",INDEX('Disaggregation Records'!$H$155:$H$385,MATCH(RIGHT(Q1701,255),RIGHT('Disaggregation Records'!$D$155:$D$385,255),0))),"")</f>
        <v/>
      </c>
      <c r="U1701" s="194">
        <f>U1699+1</f>
        <v>3040</v>
      </c>
      <c r="V1701" s="194" t="str">
        <f t="array" ref="V1701">IFERROR(IF(INDEX('Disaggregation Records'!$I$155:$I$385,MATCH(RIGHT(Q1701,255),RIGHT('Disaggregation Records'!$D$155:$D$385,255),0))="","",INDEX('Disaggregation Records'!$I$155:$I$385,MATCH(RIGHT(Q1701,255),RIGHT('Disaggregation Records'!$D$155:$D$385,255),0))),"")</f>
        <v/>
      </c>
      <c r="W1701" s="194" t="str">
        <f>IFERROR(INDEX('Reference Records'!L$77:L$157,MATCH(LEFT(C1701,255),'Reference Records'!E$77:E$157,0)),"")</f>
        <v/>
      </c>
    </row>
    <row r="1702" spans="1:23" s="194" customFormat="1" ht="40.4" customHeight="1" x14ac:dyDescent="0.35">
      <c r="A1702" s="770"/>
      <c r="B1702" s="767"/>
      <c r="C1702" s="761"/>
      <c r="D1702" s="769"/>
      <c r="E1702" s="769"/>
      <c r="F1702" s="208"/>
      <c r="G1702" s="763"/>
      <c r="H1702" s="744"/>
      <c r="I1702" s="765"/>
      <c r="J1702" s="730"/>
      <c r="K1702" s="761"/>
      <c r="L1702" s="761"/>
      <c r="M1702" s="730"/>
      <c r="N1702" s="730"/>
    </row>
    <row r="1703" spans="1:23" s="194" customFormat="1" ht="40.4" customHeight="1" x14ac:dyDescent="0.35">
      <c r="A1703" s="770" t="str">
        <f ca="1">INDIRECT("'update Helper'!C"&amp;U1703)</f>
        <v>a163p000004NtZTAA0</v>
      </c>
      <c r="B1703" s="766">
        <v>28</v>
      </c>
      <c r="C1703" s="760" t="str">
        <f>VLOOKUP(B1703,'Coverage Indicators - Section D'!$A$9:$AU$70,47,FALSE)</f>
        <v/>
      </c>
      <c r="D1703" s="768" t="str">
        <f>R1703</f>
        <v/>
      </c>
      <c r="E1703" s="768" t="str">
        <f>S1703</f>
        <v/>
      </c>
      <c r="F1703" s="413"/>
      <c r="G1703" s="762" t="str">
        <f ca="1">IF(OR(INDIRECT("'update Helper'!E"&amp;U1703)="",F1703&lt;&gt;0,F1704&lt;&gt;0),IF(IFERROR((F1703/F1704),"")="","",(F1703/F1704)),INDIRECT("'update Helper'!E"&amp;U1703)/100)</f>
        <v/>
      </c>
      <c r="H1703" s="743"/>
      <c r="I1703" s="764"/>
      <c r="J1703" s="729"/>
      <c r="K1703" s="760" t="str">
        <f>W1703</f>
        <v/>
      </c>
      <c r="L1703" s="760" t="str">
        <f>V1703</f>
        <v/>
      </c>
      <c r="M1703" s="729"/>
      <c r="N1703" s="729"/>
      <c r="P1703" s="194">
        <f>IF(AND(EXACT(C1703,C1701),C1701&lt;&gt;0),P1701+1,0)</f>
        <v>101</v>
      </c>
      <c r="Q1703" s="194" t="str">
        <f>IF(C1703&lt;&gt;"",C1703&amp;"-"&amp;P1703,"")</f>
        <v/>
      </c>
      <c r="R1703" s="194" t="str">
        <f t="array" ref="R1703">IFERROR(IF(INDEX('Disaggregation Records'!$E$155:$E$385,MATCH(RIGHT(Q1703,255),RIGHT('Disaggregation Records'!$D$155:$D$385,255),0))="","",INDEX('Disaggregation Records'!$E$155:$E$385,MATCH(RIGHT(Q1703,255),RIGHT('Disaggregation Records'!$D$155:$D$385,255),0))),"")</f>
        <v/>
      </c>
      <c r="S1703" s="194" t="str">
        <f t="array" ref="S1703">IFERROR(IF(INDEX('Disaggregation Records'!$F$155:$F$385,MATCH(RIGHT(Q1703,255),RIGHT('Disaggregation Records'!$D$155:$D$385,255),0))="","",INDEX('Disaggregation Records'!$F$155:$F$385,MATCH(RIGHT(Q1703,255),RIGHT('Disaggregation Records'!$D$155:$D$385,255),0))),"")</f>
        <v/>
      </c>
      <c r="T1703" s="194" t="str">
        <f t="array" ref="T1703">IFERROR(IF(INDEX('Disaggregation Records'!$H$155:$H$385,MATCH(RIGHT(Q1703,255),RIGHT('Disaggregation Records'!$D$155:$D$385,255),0))="","",INDEX('Disaggregation Records'!$H$155:$H$385,MATCH(RIGHT(Q1703,255),RIGHT('Disaggregation Records'!$D$155:$D$385,255),0))),"")</f>
        <v/>
      </c>
      <c r="U1703" s="194">
        <f>U1701+1</f>
        <v>3041</v>
      </c>
      <c r="V1703" s="194" t="str">
        <f t="array" ref="V1703">IFERROR(IF(INDEX('Disaggregation Records'!$I$155:$I$385,MATCH(RIGHT(Q1703,255),RIGHT('Disaggregation Records'!$D$155:$D$385,255),0))="","",INDEX('Disaggregation Records'!$I$155:$I$385,MATCH(RIGHT(Q1703,255),RIGHT('Disaggregation Records'!$D$155:$D$385,255),0))),"")</f>
        <v/>
      </c>
      <c r="W1703" s="194" t="str">
        <f>IFERROR(INDEX('Reference Records'!L$77:L$157,MATCH(LEFT(C1703,255),'Reference Records'!E$77:E$157,0)),"")</f>
        <v/>
      </c>
    </row>
    <row r="1704" spans="1:23" s="194" customFormat="1" ht="40.4" customHeight="1" x14ac:dyDescent="0.35">
      <c r="A1704" s="770"/>
      <c r="B1704" s="767"/>
      <c r="C1704" s="761"/>
      <c r="D1704" s="769"/>
      <c r="E1704" s="769"/>
      <c r="F1704" s="208"/>
      <c r="G1704" s="763"/>
      <c r="H1704" s="744"/>
      <c r="I1704" s="765"/>
      <c r="J1704" s="730"/>
      <c r="K1704" s="761"/>
      <c r="L1704" s="761"/>
      <c r="M1704" s="730"/>
      <c r="N1704" s="730"/>
    </row>
    <row r="1705" spans="1:23" s="194" customFormat="1" ht="40.4" customHeight="1" x14ac:dyDescent="0.35">
      <c r="A1705" s="770" t="str">
        <f ca="1">INDIRECT("'update Helper'!C"&amp;U1705)</f>
        <v>a163p000004NtZUAA0</v>
      </c>
      <c r="B1705" s="766">
        <v>28</v>
      </c>
      <c r="C1705" s="760" t="str">
        <f>VLOOKUP(B1705,'Coverage Indicators - Section D'!$A$9:$AU$70,47,FALSE)</f>
        <v/>
      </c>
      <c r="D1705" s="768" t="str">
        <f>R1705</f>
        <v/>
      </c>
      <c r="E1705" s="768" t="str">
        <f>S1705</f>
        <v/>
      </c>
      <c r="F1705" s="413"/>
      <c r="G1705" s="762" t="str">
        <f ca="1">IF(OR(INDIRECT("'update Helper'!E"&amp;U1705)="",F1705&lt;&gt;0,F1706&lt;&gt;0),IF(IFERROR((F1705/F1706),"")="","",(F1705/F1706)),INDIRECT("'update Helper'!E"&amp;U1705)/100)</f>
        <v/>
      </c>
      <c r="H1705" s="743"/>
      <c r="I1705" s="764"/>
      <c r="J1705" s="729"/>
      <c r="K1705" s="760" t="str">
        <f>W1705</f>
        <v/>
      </c>
      <c r="L1705" s="760" t="str">
        <f>V1705</f>
        <v/>
      </c>
      <c r="M1705" s="729"/>
      <c r="N1705" s="729"/>
      <c r="P1705" s="194">
        <f>IF(AND(EXACT(C1705,C1703),C1703&lt;&gt;0),P1703+1,0)</f>
        <v>102</v>
      </c>
      <c r="Q1705" s="194" t="str">
        <f>IF(C1705&lt;&gt;"",C1705&amp;"-"&amp;P1705,"")</f>
        <v/>
      </c>
      <c r="R1705" s="194" t="str">
        <f t="array" ref="R1705">IFERROR(IF(INDEX('Disaggregation Records'!$E$155:$E$385,MATCH(RIGHT(Q1705,255),RIGHT('Disaggregation Records'!$D$155:$D$385,255),0))="","",INDEX('Disaggregation Records'!$E$155:$E$385,MATCH(RIGHT(Q1705,255),RIGHT('Disaggregation Records'!$D$155:$D$385,255),0))),"")</f>
        <v/>
      </c>
      <c r="S1705" s="194" t="str">
        <f t="array" ref="S1705">IFERROR(IF(INDEX('Disaggregation Records'!$F$155:$F$385,MATCH(RIGHT(Q1705,255),RIGHT('Disaggregation Records'!$D$155:$D$385,255),0))="","",INDEX('Disaggregation Records'!$F$155:$F$385,MATCH(RIGHT(Q1705,255),RIGHT('Disaggregation Records'!$D$155:$D$385,255),0))),"")</f>
        <v/>
      </c>
      <c r="T1705" s="194" t="str">
        <f t="array" ref="T1705">IFERROR(IF(INDEX('Disaggregation Records'!$H$155:$H$385,MATCH(RIGHT(Q1705,255),RIGHT('Disaggregation Records'!$D$155:$D$385,255),0))="","",INDEX('Disaggregation Records'!$H$155:$H$385,MATCH(RIGHT(Q1705,255),RIGHT('Disaggregation Records'!$D$155:$D$385,255),0))),"")</f>
        <v/>
      </c>
      <c r="U1705" s="194">
        <f>U1703+1</f>
        <v>3042</v>
      </c>
      <c r="V1705" s="194" t="str">
        <f t="array" ref="V1705">IFERROR(IF(INDEX('Disaggregation Records'!$I$155:$I$385,MATCH(RIGHT(Q1705,255),RIGHT('Disaggregation Records'!$D$155:$D$385,255),0))="","",INDEX('Disaggregation Records'!$I$155:$I$385,MATCH(RIGHT(Q1705,255),RIGHT('Disaggregation Records'!$D$155:$D$385,255),0))),"")</f>
        <v/>
      </c>
      <c r="W1705" s="194" t="str">
        <f>IFERROR(INDEX('Reference Records'!L$77:L$157,MATCH(LEFT(C1705,255),'Reference Records'!E$77:E$157,0)),"")</f>
        <v/>
      </c>
    </row>
    <row r="1706" spans="1:23" s="194" customFormat="1" ht="40.4" customHeight="1" x14ac:dyDescent="0.35">
      <c r="A1706" s="770"/>
      <c r="B1706" s="767"/>
      <c r="C1706" s="761"/>
      <c r="D1706" s="769"/>
      <c r="E1706" s="769"/>
      <c r="F1706" s="208"/>
      <c r="G1706" s="763"/>
      <c r="H1706" s="744"/>
      <c r="I1706" s="765"/>
      <c r="J1706" s="730"/>
      <c r="K1706" s="761"/>
      <c r="L1706" s="761"/>
      <c r="M1706" s="730"/>
      <c r="N1706" s="730"/>
    </row>
    <row r="1707" spans="1:23" s="194" customFormat="1" ht="40.4" customHeight="1" x14ac:dyDescent="0.35">
      <c r="A1707" s="770" t="str">
        <f ca="1">INDIRECT("'update Helper'!C"&amp;U1707)</f>
        <v>a163p000004NtZVAA0</v>
      </c>
      <c r="B1707" s="766">
        <v>28</v>
      </c>
      <c r="C1707" s="760" t="str">
        <f>VLOOKUP(B1707,'Coverage Indicators - Section D'!$A$9:$AU$70,47,FALSE)</f>
        <v/>
      </c>
      <c r="D1707" s="768" t="str">
        <f>R1707</f>
        <v/>
      </c>
      <c r="E1707" s="768" t="str">
        <f>S1707</f>
        <v/>
      </c>
      <c r="F1707" s="413"/>
      <c r="G1707" s="762" t="str">
        <f ca="1">IF(OR(INDIRECT("'update Helper'!E"&amp;U1707)="",F1707&lt;&gt;0,F1708&lt;&gt;0),IF(IFERROR((F1707/F1708),"")="","",(F1707/F1708)),INDIRECT("'update Helper'!E"&amp;U1707)/100)</f>
        <v/>
      </c>
      <c r="H1707" s="743"/>
      <c r="I1707" s="764"/>
      <c r="J1707" s="729"/>
      <c r="K1707" s="760" t="str">
        <f>W1707</f>
        <v/>
      </c>
      <c r="L1707" s="760" t="str">
        <f>V1707</f>
        <v/>
      </c>
      <c r="M1707" s="729"/>
      <c r="N1707" s="729"/>
      <c r="P1707" s="194">
        <f>IF(AND(EXACT(C1707,C1705),C1705&lt;&gt;0),P1705+1,0)</f>
        <v>103</v>
      </c>
      <c r="Q1707" s="194" t="str">
        <f>IF(C1707&lt;&gt;"",C1707&amp;"-"&amp;P1707,"")</f>
        <v/>
      </c>
      <c r="R1707" s="194" t="str">
        <f t="array" ref="R1707">IFERROR(IF(INDEX('Disaggregation Records'!$E$155:$E$385,MATCH(RIGHT(Q1707,255),RIGHT('Disaggregation Records'!$D$155:$D$385,255),0))="","",INDEX('Disaggregation Records'!$E$155:$E$385,MATCH(RIGHT(Q1707,255),RIGHT('Disaggregation Records'!$D$155:$D$385,255),0))),"")</f>
        <v/>
      </c>
      <c r="S1707" s="194" t="str">
        <f t="array" ref="S1707">IFERROR(IF(INDEX('Disaggregation Records'!$F$155:$F$385,MATCH(RIGHT(Q1707,255),RIGHT('Disaggregation Records'!$D$155:$D$385,255),0))="","",INDEX('Disaggregation Records'!$F$155:$F$385,MATCH(RIGHT(Q1707,255),RIGHT('Disaggregation Records'!$D$155:$D$385,255),0))),"")</f>
        <v/>
      </c>
      <c r="T1707" s="194" t="str">
        <f t="array" ref="T1707">IFERROR(IF(INDEX('Disaggregation Records'!$H$155:$H$385,MATCH(RIGHT(Q1707,255),RIGHT('Disaggregation Records'!$D$155:$D$385,255),0))="","",INDEX('Disaggregation Records'!$H$155:$H$385,MATCH(RIGHT(Q1707,255),RIGHT('Disaggregation Records'!$D$155:$D$385,255),0))),"")</f>
        <v/>
      </c>
      <c r="U1707" s="194">
        <f>U1705+1</f>
        <v>3043</v>
      </c>
      <c r="V1707" s="194" t="str">
        <f t="array" ref="V1707">IFERROR(IF(INDEX('Disaggregation Records'!$I$155:$I$385,MATCH(RIGHT(Q1707,255),RIGHT('Disaggregation Records'!$D$155:$D$385,255),0))="","",INDEX('Disaggregation Records'!$I$155:$I$385,MATCH(RIGHT(Q1707,255),RIGHT('Disaggregation Records'!$D$155:$D$385,255),0))),"")</f>
        <v/>
      </c>
      <c r="W1707" s="194" t="str">
        <f>IFERROR(INDEX('Reference Records'!L$77:L$157,MATCH(LEFT(C1707,255),'Reference Records'!E$77:E$157,0)),"")</f>
        <v/>
      </c>
    </row>
    <row r="1708" spans="1:23" s="194" customFormat="1" ht="40.4" customHeight="1" x14ac:dyDescent="0.35">
      <c r="A1708" s="770"/>
      <c r="B1708" s="767"/>
      <c r="C1708" s="761"/>
      <c r="D1708" s="769"/>
      <c r="E1708" s="769"/>
      <c r="F1708" s="208"/>
      <c r="G1708" s="763"/>
      <c r="H1708" s="744"/>
      <c r="I1708" s="765"/>
      <c r="J1708" s="730"/>
      <c r="K1708" s="761"/>
      <c r="L1708" s="761"/>
      <c r="M1708" s="730"/>
      <c r="N1708" s="730"/>
    </row>
    <row r="1709" spans="1:23" s="194" customFormat="1" ht="40.4" customHeight="1" x14ac:dyDescent="0.35">
      <c r="A1709" s="770" t="str">
        <f ca="1">INDIRECT("'update Helper'!C"&amp;U1709)</f>
        <v>a163p000004NtZWAA0</v>
      </c>
      <c r="B1709" s="766">
        <v>28</v>
      </c>
      <c r="C1709" s="760" t="str">
        <f>VLOOKUP(B1709,'Coverage Indicators - Section D'!$A$9:$AU$70,47,FALSE)</f>
        <v/>
      </c>
      <c r="D1709" s="768" t="str">
        <f>R1709</f>
        <v/>
      </c>
      <c r="E1709" s="768" t="str">
        <f>S1709</f>
        <v/>
      </c>
      <c r="F1709" s="413"/>
      <c r="G1709" s="762" t="str">
        <f ca="1">IF(OR(INDIRECT("'update Helper'!E"&amp;U1709)="",F1709&lt;&gt;0,F1710&lt;&gt;0),IF(IFERROR((F1709/F1710),"")="","",(F1709/F1710)),INDIRECT("'update Helper'!E"&amp;U1709)/100)</f>
        <v/>
      </c>
      <c r="H1709" s="743"/>
      <c r="I1709" s="764"/>
      <c r="J1709" s="729"/>
      <c r="K1709" s="760" t="str">
        <f>W1709</f>
        <v/>
      </c>
      <c r="L1709" s="760" t="str">
        <f>V1709</f>
        <v/>
      </c>
      <c r="M1709" s="729"/>
      <c r="N1709" s="729"/>
      <c r="P1709" s="194">
        <f>IF(AND(EXACT(C1709,C1707),C1707&lt;&gt;0),P1707+1,0)</f>
        <v>104</v>
      </c>
      <c r="Q1709" s="194" t="str">
        <f>IF(C1709&lt;&gt;"",C1709&amp;"-"&amp;P1709,"")</f>
        <v/>
      </c>
      <c r="R1709" s="194" t="str">
        <f t="array" ref="R1709">IFERROR(IF(INDEX('Disaggregation Records'!$E$155:$E$385,MATCH(RIGHT(Q1709,255),RIGHT('Disaggregation Records'!$D$155:$D$385,255),0))="","",INDEX('Disaggregation Records'!$E$155:$E$385,MATCH(RIGHT(Q1709,255),RIGHT('Disaggregation Records'!$D$155:$D$385,255),0))),"")</f>
        <v/>
      </c>
      <c r="S1709" s="194" t="str">
        <f t="array" ref="S1709">IFERROR(IF(INDEX('Disaggregation Records'!$F$155:$F$385,MATCH(RIGHT(Q1709,255),RIGHT('Disaggregation Records'!$D$155:$D$385,255),0))="","",INDEX('Disaggregation Records'!$F$155:$F$385,MATCH(RIGHT(Q1709,255),RIGHT('Disaggregation Records'!$D$155:$D$385,255),0))),"")</f>
        <v/>
      </c>
      <c r="T1709" s="194" t="str">
        <f t="array" ref="T1709">IFERROR(IF(INDEX('Disaggregation Records'!$H$155:$H$385,MATCH(RIGHT(Q1709,255),RIGHT('Disaggregation Records'!$D$155:$D$385,255),0))="","",INDEX('Disaggregation Records'!$H$155:$H$385,MATCH(RIGHT(Q1709,255),RIGHT('Disaggregation Records'!$D$155:$D$385,255),0))),"")</f>
        <v/>
      </c>
      <c r="U1709" s="194">
        <f>U1707+1</f>
        <v>3044</v>
      </c>
      <c r="V1709" s="194" t="str">
        <f t="array" ref="V1709">IFERROR(IF(INDEX('Disaggregation Records'!$I$155:$I$385,MATCH(RIGHT(Q1709,255),RIGHT('Disaggregation Records'!$D$155:$D$385,255),0))="","",INDEX('Disaggregation Records'!$I$155:$I$385,MATCH(RIGHT(Q1709,255),RIGHT('Disaggregation Records'!$D$155:$D$385,255),0))),"")</f>
        <v/>
      </c>
      <c r="W1709" s="194" t="str">
        <f>IFERROR(INDEX('Reference Records'!L$77:L$157,MATCH(LEFT(C1709,255),'Reference Records'!E$77:E$157,0)),"")</f>
        <v/>
      </c>
    </row>
    <row r="1710" spans="1:23" s="194" customFormat="1" ht="40.4" customHeight="1" x14ac:dyDescent="0.35">
      <c r="A1710" s="770"/>
      <c r="B1710" s="767"/>
      <c r="C1710" s="761"/>
      <c r="D1710" s="769"/>
      <c r="E1710" s="769"/>
      <c r="F1710" s="208"/>
      <c r="G1710" s="763"/>
      <c r="H1710" s="744"/>
      <c r="I1710" s="765"/>
      <c r="J1710" s="730"/>
      <c r="K1710" s="761"/>
      <c r="L1710" s="761"/>
      <c r="M1710" s="730"/>
      <c r="N1710" s="730"/>
    </row>
    <row r="1711" spans="1:23" s="194" customFormat="1" ht="40.4" customHeight="1" x14ac:dyDescent="0.35">
      <c r="A1711" s="770" t="str">
        <f ca="1">INDIRECT("'update Helper'!C"&amp;U1711)</f>
        <v>a163p000004NtZXAA0</v>
      </c>
      <c r="B1711" s="766">
        <v>28</v>
      </c>
      <c r="C1711" s="760" t="str">
        <f>VLOOKUP(B1711,'Coverage Indicators - Section D'!$A$9:$AU$70,47,FALSE)</f>
        <v/>
      </c>
      <c r="D1711" s="768" t="str">
        <f>R1711</f>
        <v/>
      </c>
      <c r="E1711" s="768" t="str">
        <f>S1711</f>
        <v/>
      </c>
      <c r="F1711" s="413"/>
      <c r="G1711" s="762" t="str">
        <f ca="1">IF(OR(INDIRECT("'update Helper'!E"&amp;U1711)="",F1711&lt;&gt;0,F1712&lt;&gt;0),IF(IFERROR((F1711/F1712),"")="","",(F1711/F1712)),INDIRECT("'update Helper'!E"&amp;U1711)/100)</f>
        <v/>
      </c>
      <c r="H1711" s="743"/>
      <c r="I1711" s="764"/>
      <c r="J1711" s="729"/>
      <c r="K1711" s="760" t="str">
        <f>W1711</f>
        <v/>
      </c>
      <c r="L1711" s="760" t="str">
        <f>V1711</f>
        <v/>
      </c>
      <c r="M1711" s="729"/>
      <c r="N1711" s="729"/>
      <c r="P1711" s="194">
        <f>IF(AND(EXACT(C1711,C1709),C1709&lt;&gt;0),P1709+1,0)</f>
        <v>105</v>
      </c>
      <c r="Q1711" s="194" t="str">
        <f>IF(C1711&lt;&gt;"",C1711&amp;"-"&amp;P1711,"")</f>
        <v/>
      </c>
      <c r="R1711" s="194" t="str">
        <f t="array" ref="R1711">IFERROR(IF(INDEX('Disaggregation Records'!$E$155:$E$385,MATCH(RIGHT(Q1711,255),RIGHT('Disaggregation Records'!$D$155:$D$385,255),0))="","",INDEX('Disaggregation Records'!$E$155:$E$385,MATCH(RIGHT(Q1711,255),RIGHT('Disaggregation Records'!$D$155:$D$385,255),0))),"")</f>
        <v/>
      </c>
      <c r="S1711" s="194" t="str">
        <f t="array" ref="S1711">IFERROR(IF(INDEX('Disaggregation Records'!$F$155:$F$385,MATCH(RIGHT(Q1711,255),RIGHT('Disaggregation Records'!$D$155:$D$385,255),0))="","",INDEX('Disaggregation Records'!$F$155:$F$385,MATCH(RIGHT(Q1711,255),RIGHT('Disaggregation Records'!$D$155:$D$385,255),0))),"")</f>
        <v/>
      </c>
      <c r="T1711" s="194" t="str">
        <f t="array" ref="T1711">IFERROR(IF(INDEX('Disaggregation Records'!$H$155:$H$385,MATCH(RIGHT(Q1711,255),RIGHT('Disaggregation Records'!$D$155:$D$385,255),0))="","",INDEX('Disaggregation Records'!$H$155:$H$385,MATCH(RIGHT(Q1711,255),RIGHT('Disaggregation Records'!$D$155:$D$385,255),0))),"")</f>
        <v/>
      </c>
      <c r="U1711" s="194">
        <f>U1709+1</f>
        <v>3045</v>
      </c>
      <c r="V1711" s="194" t="str">
        <f t="array" ref="V1711">IFERROR(IF(INDEX('Disaggregation Records'!$I$155:$I$385,MATCH(RIGHT(Q1711,255),RIGHT('Disaggregation Records'!$D$155:$D$385,255),0))="","",INDEX('Disaggregation Records'!$I$155:$I$385,MATCH(RIGHT(Q1711,255),RIGHT('Disaggregation Records'!$D$155:$D$385,255),0))),"")</f>
        <v/>
      </c>
      <c r="W1711" s="194" t="str">
        <f>IFERROR(INDEX('Reference Records'!L$77:L$157,MATCH(LEFT(C1711,255),'Reference Records'!E$77:E$157,0)),"")</f>
        <v/>
      </c>
    </row>
    <row r="1712" spans="1:23" s="194" customFormat="1" ht="40.4" customHeight="1" x14ac:dyDescent="0.35">
      <c r="A1712" s="770"/>
      <c r="B1712" s="767"/>
      <c r="C1712" s="761"/>
      <c r="D1712" s="769"/>
      <c r="E1712" s="769"/>
      <c r="F1712" s="208"/>
      <c r="G1712" s="763"/>
      <c r="H1712" s="744"/>
      <c r="I1712" s="765"/>
      <c r="J1712" s="730"/>
      <c r="K1712" s="761"/>
      <c r="L1712" s="761"/>
      <c r="M1712" s="730"/>
      <c r="N1712" s="730"/>
    </row>
    <row r="1713" spans="1:23" s="194" customFormat="1" ht="40.4" customHeight="1" x14ac:dyDescent="0.35">
      <c r="A1713" s="770" t="str">
        <f ca="1">INDIRECT("'update Helper'!C"&amp;U1713)</f>
        <v>a163p000004NtZYAA0</v>
      </c>
      <c r="B1713" s="766">
        <v>28</v>
      </c>
      <c r="C1713" s="760" t="str">
        <f>VLOOKUP(B1713,'Coverage Indicators - Section D'!$A$9:$AU$70,47,FALSE)</f>
        <v/>
      </c>
      <c r="D1713" s="768" t="str">
        <f>R1713</f>
        <v/>
      </c>
      <c r="E1713" s="768" t="str">
        <f>S1713</f>
        <v/>
      </c>
      <c r="F1713" s="413"/>
      <c r="G1713" s="762" t="str">
        <f ca="1">IF(OR(INDIRECT("'update Helper'!E"&amp;U1713)="",F1713&lt;&gt;0,F1714&lt;&gt;0),IF(IFERROR((F1713/F1714),"")="","",(F1713/F1714)),INDIRECT("'update Helper'!E"&amp;U1713)/100)</f>
        <v/>
      </c>
      <c r="H1713" s="743"/>
      <c r="I1713" s="764"/>
      <c r="J1713" s="729"/>
      <c r="K1713" s="760" t="str">
        <f>W1713</f>
        <v/>
      </c>
      <c r="L1713" s="760" t="str">
        <f>V1713</f>
        <v/>
      </c>
      <c r="M1713" s="729"/>
      <c r="N1713" s="729"/>
      <c r="P1713" s="194">
        <f>IF(AND(EXACT(C1713,C1711),C1711&lt;&gt;0),P1711+1,0)</f>
        <v>106</v>
      </c>
      <c r="Q1713" s="194" t="str">
        <f>IF(C1713&lt;&gt;"",C1713&amp;"-"&amp;P1713,"")</f>
        <v/>
      </c>
      <c r="R1713" s="194" t="str">
        <f t="array" ref="R1713">IFERROR(IF(INDEX('Disaggregation Records'!$E$155:$E$385,MATCH(RIGHT(Q1713,255),RIGHT('Disaggregation Records'!$D$155:$D$385,255),0))="","",INDEX('Disaggregation Records'!$E$155:$E$385,MATCH(RIGHT(Q1713,255),RIGHT('Disaggregation Records'!$D$155:$D$385,255),0))),"")</f>
        <v/>
      </c>
      <c r="S1713" s="194" t="str">
        <f t="array" ref="S1713">IFERROR(IF(INDEX('Disaggregation Records'!$F$155:$F$385,MATCH(RIGHT(Q1713,255),RIGHT('Disaggregation Records'!$D$155:$D$385,255),0))="","",INDEX('Disaggregation Records'!$F$155:$F$385,MATCH(RIGHT(Q1713,255),RIGHT('Disaggregation Records'!$D$155:$D$385,255),0))),"")</f>
        <v/>
      </c>
      <c r="T1713" s="194" t="str">
        <f t="array" ref="T1713">IFERROR(IF(INDEX('Disaggregation Records'!$H$155:$H$385,MATCH(RIGHT(Q1713,255),RIGHT('Disaggregation Records'!$D$155:$D$385,255),0))="","",INDEX('Disaggregation Records'!$H$155:$H$385,MATCH(RIGHT(Q1713,255),RIGHT('Disaggregation Records'!$D$155:$D$385,255),0))),"")</f>
        <v/>
      </c>
      <c r="U1713" s="194">
        <f>U1711+1</f>
        <v>3046</v>
      </c>
      <c r="V1713" s="194" t="str">
        <f t="array" ref="V1713">IFERROR(IF(INDEX('Disaggregation Records'!$I$155:$I$385,MATCH(RIGHT(Q1713,255),RIGHT('Disaggregation Records'!$D$155:$D$385,255),0))="","",INDEX('Disaggregation Records'!$I$155:$I$385,MATCH(RIGHT(Q1713,255),RIGHT('Disaggregation Records'!$D$155:$D$385,255),0))),"")</f>
        <v/>
      </c>
      <c r="W1713" s="194" t="str">
        <f>IFERROR(INDEX('Reference Records'!L$77:L$157,MATCH(LEFT(C1713,255),'Reference Records'!E$77:E$157,0)),"")</f>
        <v/>
      </c>
    </row>
    <row r="1714" spans="1:23" s="194" customFormat="1" ht="40.4" customHeight="1" x14ac:dyDescent="0.35">
      <c r="A1714" s="770"/>
      <c r="B1714" s="767"/>
      <c r="C1714" s="761"/>
      <c r="D1714" s="769"/>
      <c r="E1714" s="769"/>
      <c r="F1714" s="208"/>
      <c r="G1714" s="763"/>
      <c r="H1714" s="744"/>
      <c r="I1714" s="765"/>
      <c r="J1714" s="730"/>
      <c r="K1714" s="761"/>
      <c r="L1714" s="761"/>
      <c r="M1714" s="730"/>
      <c r="N1714" s="730"/>
    </row>
    <row r="1715" spans="1:23" s="194" customFormat="1" ht="40.4" customHeight="1" x14ac:dyDescent="0.35">
      <c r="A1715" s="770" t="str">
        <f ca="1">INDIRECT("'update Helper'!C"&amp;U1715)</f>
        <v>a163p000004NtZZAA0</v>
      </c>
      <c r="B1715" s="766">
        <v>28</v>
      </c>
      <c r="C1715" s="760" t="str">
        <f>VLOOKUP(B1715,'Coverage Indicators - Section D'!$A$9:$AU$70,47,FALSE)</f>
        <v/>
      </c>
      <c r="D1715" s="768" t="str">
        <f>R1715</f>
        <v/>
      </c>
      <c r="E1715" s="768" t="str">
        <f>S1715</f>
        <v/>
      </c>
      <c r="F1715" s="413"/>
      <c r="G1715" s="762" t="str">
        <f ca="1">IF(OR(INDIRECT("'update Helper'!E"&amp;U1715)="",F1715&lt;&gt;0,F1716&lt;&gt;0),IF(IFERROR((F1715/F1716),"")="","",(F1715/F1716)),INDIRECT("'update Helper'!E"&amp;U1715)/100)</f>
        <v/>
      </c>
      <c r="H1715" s="743"/>
      <c r="I1715" s="764"/>
      <c r="J1715" s="729"/>
      <c r="K1715" s="760" t="str">
        <f>W1715</f>
        <v/>
      </c>
      <c r="L1715" s="760" t="str">
        <f>V1715</f>
        <v/>
      </c>
      <c r="M1715" s="729"/>
      <c r="N1715" s="729"/>
      <c r="P1715" s="194">
        <f>IF(AND(EXACT(C1715,C1713),C1713&lt;&gt;0),P1713+1,0)</f>
        <v>107</v>
      </c>
      <c r="Q1715" s="194" t="str">
        <f>IF(C1715&lt;&gt;"",C1715&amp;"-"&amp;P1715,"")</f>
        <v/>
      </c>
      <c r="R1715" s="194" t="str">
        <f t="array" ref="R1715">IFERROR(IF(INDEX('Disaggregation Records'!$E$155:$E$385,MATCH(RIGHT(Q1715,255),RIGHT('Disaggregation Records'!$D$155:$D$385,255),0))="","",INDEX('Disaggregation Records'!$E$155:$E$385,MATCH(RIGHT(Q1715,255),RIGHT('Disaggregation Records'!$D$155:$D$385,255),0))),"")</f>
        <v/>
      </c>
      <c r="S1715" s="194" t="str">
        <f t="array" ref="S1715">IFERROR(IF(INDEX('Disaggregation Records'!$F$155:$F$385,MATCH(RIGHT(Q1715,255),RIGHT('Disaggregation Records'!$D$155:$D$385,255),0))="","",INDEX('Disaggregation Records'!$F$155:$F$385,MATCH(RIGHT(Q1715,255),RIGHT('Disaggregation Records'!$D$155:$D$385,255),0))),"")</f>
        <v/>
      </c>
      <c r="T1715" s="194" t="str">
        <f t="array" ref="T1715">IFERROR(IF(INDEX('Disaggregation Records'!$H$155:$H$385,MATCH(RIGHT(Q1715,255),RIGHT('Disaggregation Records'!$D$155:$D$385,255),0))="","",INDEX('Disaggregation Records'!$H$155:$H$385,MATCH(RIGHT(Q1715,255),RIGHT('Disaggregation Records'!$D$155:$D$385,255),0))),"")</f>
        <v/>
      </c>
      <c r="U1715" s="194">
        <f>U1713+1</f>
        <v>3047</v>
      </c>
      <c r="V1715" s="194" t="str">
        <f t="array" ref="V1715">IFERROR(IF(INDEX('Disaggregation Records'!$I$155:$I$385,MATCH(RIGHT(Q1715,255),RIGHT('Disaggregation Records'!$D$155:$D$385,255),0))="","",INDEX('Disaggregation Records'!$I$155:$I$385,MATCH(RIGHT(Q1715,255),RIGHT('Disaggregation Records'!$D$155:$D$385,255),0))),"")</f>
        <v/>
      </c>
      <c r="W1715" s="194" t="str">
        <f>IFERROR(INDEX('Reference Records'!L$77:L$157,MATCH(LEFT(C1715,255),'Reference Records'!E$77:E$157,0)),"")</f>
        <v/>
      </c>
    </row>
    <row r="1716" spans="1:23" s="194" customFormat="1" ht="40.4" customHeight="1" x14ac:dyDescent="0.35">
      <c r="A1716" s="770"/>
      <c r="B1716" s="767"/>
      <c r="C1716" s="761"/>
      <c r="D1716" s="769"/>
      <c r="E1716" s="769"/>
      <c r="F1716" s="208"/>
      <c r="G1716" s="763"/>
      <c r="H1716" s="744"/>
      <c r="I1716" s="765"/>
      <c r="J1716" s="730"/>
      <c r="K1716" s="761"/>
      <c r="L1716" s="761"/>
      <c r="M1716" s="730"/>
      <c r="N1716" s="730"/>
    </row>
    <row r="1717" spans="1:23" s="194" customFormat="1" ht="40.4" customHeight="1" x14ac:dyDescent="0.35">
      <c r="A1717" s="770" t="str">
        <f ca="1">INDIRECT("'update Helper'!C"&amp;U1717)</f>
        <v>a163p000004NtZaAAK</v>
      </c>
      <c r="B1717" s="766">
        <v>28</v>
      </c>
      <c r="C1717" s="760" t="str">
        <f>VLOOKUP(B1717,'Coverage Indicators - Section D'!$A$9:$AU$70,47,FALSE)</f>
        <v/>
      </c>
      <c r="D1717" s="768" t="str">
        <f>R1717</f>
        <v/>
      </c>
      <c r="E1717" s="768" t="str">
        <f>S1717</f>
        <v/>
      </c>
      <c r="F1717" s="413"/>
      <c r="G1717" s="762" t="str">
        <f ca="1">IF(OR(INDIRECT("'update Helper'!E"&amp;U1717)="",F1717&lt;&gt;0,F1718&lt;&gt;0),IF(IFERROR((F1717/F1718),"")="","",(F1717/F1718)),INDIRECT("'update Helper'!E"&amp;U1717)/100)</f>
        <v/>
      </c>
      <c r="H1717" s="743"/>
      <c r="I1717" s="764"/>
      <c r="J1717" s="729"/>
      <c r="K1717" s="760" t="str">
        <f>W1717</f>
        <v/>
      </c>
      <c r="L1717" s="760" t="str">
        <f>V1717</f>
        <v/>
      </c>
      <c r="M1717" s="729"/>
      <c r="N1717" s="729"/>
      <c r="P1717" s="194">
        <f>IF(AND(EXACT(C1717,C1715),C1715&lt;&gt;0),P1715+1,0)</f>
        <v>108</v>
      </c>
      <c r="Q1717" s="194" t="str">
        <f>IF(C1717&lt;&gt;"",C1717&amp;"-"&amp;P1717,"")</f>
        <v/>
      </c>
      <c r="R1717" s="194" t="str">
        <f t="array" ref="R1717">IFERROR(IF(INDEX('Disaggregation Records'!$E$155:$E$385,MATCH(RIGHT(Q1717,255),RIGHT('Disaggregation Records'!$D$155:$D$385,255),0))="","",INDEX('Disaggregation Records'!$E$155:$E$385,MATCH(RIGHT(Q1717,255),RIGHT('Disaggregation Records'!$D$155:$D$385,255),0))),"")</f>
        <v/>
      </c>
      <c r="S1717" s="194" t="str">
        <f t="array" ref="S1717">IFERROR(IF(INDEX('Disaggregation Records'!$F$155:$F$385,MATCH(RIGHT(Q1717,255),RIGHT('Disaggregation Records'!$D$155:$D$385,255),0))="","",INDEX('Disaggregation Records'!$F$155:$F$385,MATCH(RIGHT(Q1717,255),RIGHT('Disaggregation Records'!$D$155:$D$385,255),0))),"")</f>
        <v/>
      </c>
      <c r="T1717" s="194" t="str">
        <f t="array" ref="T1717">IFERROR(IF(INDEX('Disaggregation Records'!$H$155:$H$385,MATCH(RIGHT(Q1717,255),RIGHT('Disaggregation Records'!$D$155:$D$385,255),0))="","",INDEX('Disaggregation Records'!$H$155:$H$385,MATCH(RIGHT(Q1717,255),RIGHT('Disaggregation Records'!$D$155:$D$385,255),0))),"")</f>
        <v/>
      </c>
      <c r="U1717" s="194">
        <f>U1715+1</f>
        <v>3048</v>
      </c>
      <c r="V1717" s="194" t="str">
        <f t="array" ref="V1717">IFERROR(IF(INDEX('Disaggregation Records'!$I$155:$I$385,MATCH(RIGHT(Q1717,255),RIGHT('Disaggregation Records'!$D$155:$D$385,255),0))="","",INDEX('Disaggregation Records'!$I$155:$I$385,MATCH(RIGHT(Q1717,255),RIGHT('Disaggregation Records'!$D$155:$D$385,255),0))),"")</f>
        <v/>
      </c>
      <c r="W1717" s="194" t="str">
        <f>IFERROR(INDEX('Reference Records'!L$77:L$157,MATCH(LEFT(C1717,255),'Reference Records'!E$77:E$157,0)),"")</f>
        <v/>
      </c>
    </row>
    <row r="1718" spans="1:23" s="194" customFormat="1" ht="40.4" customHeight="1" x14ac:dyDescent="0.35">
      <c r="A1718" s="770"/>
      <c r="B1718" s="767"/>
      <c r="C1718" s="761"/>
      <c r="D1718" s="769"/>
      <c r="E1718" s="769"/>
      <c r="F1718" s="208"/>
      <c r="G1718" s="763"/>
      <c r="H1718" s="744"/>
      <c r="I1718" s="765"/>
      <c r="J1718" s="730"/>
      <c r="K1718" s="761"/>
      <c r="L1718" s="761"/>
      <c r="M1718" s="730"/>
      <c r="N1718" s="730"/>
    </row>
    <row r="1719" spans="1:23" s="194" customFormat="1" ht="40.4" customHeight="1" x14ac:dyDescent="0.35">
      <c r="A1719" s="770" t="str">
        <f ca="1">INDIRECT("'update Helper'!C"&amp;U1719)</f>
        <v>a163p000004NtZbAAK</v>
      </c>
      <c r="B1719" s="766">
        <v>28</v>
      </c>
      <c r="C1719" s="760" t="str">
        <f>VLOOKUP(B1719,'Coverage Indicators - Section D'!$A$9:$AU$70,47,FALSE)</f>
        <v/>
      </c>
      <c r="D1719" s="768" t="str">
        <f>R1719</f>
        <v/>
      </c>
      <c r="E1719" s="768" t="str">
        <f>S1719</f>
        <v/>
      </c>
      <c r="F1719" s="413"/>
      <c r="G1719" s="762" t="str">
        <f ca="1">IF(OR(INDIRECT("'update Helper'!E"&amp;U1719)="",F1719&lt;&gt;0,F1720&lt;&gt;0),IF(IFERROR((F1719/F1720),"")="","",(F1719/F1720)),INDIRECT("'update Helper'!E"&amp;U1719)/100)</f>
        <v/>
      </c>
      <c r="H1719" s="743"/>
      <c r="I1719" s="764"/>
      <c r="J1719" s="729"/>
      <c r="K1719" s="760" t="str">
        <f>W1719</f>
        <v/>
      </c>
      <c r="L1719" s="760" t="str">
        <f>V1719</f>
        <v/>
      </c>
      <c r="M1719" s="729"/>
      <c r="N1719" s="729"/>
      <c r="P1719" s="194">
        <f>IF(AND(EXACT(C1719,C1717),C1717&lt;&gt;0),P1717+1,0)</f>
        <v>109</v>
      </c>
      <c r="Q1719" s="194" t="str">
        <f>IF(C1719&lt;&gt;"",C1719&amp;"-"&amp;P1719,"")</f>
        <v/>
      </c>
      <c r="R1719" s="194" t="str">
        <f t="array" ref="R1719">IFERROR(IF(INDEX('Disaggregation Records'!$E$155:$E$385,MATCH(RIGHT(Q1719,255),RIGHT('Disaggregation Records'!$D$155:$D$385,255),0))="","",INDEX('Disaggregation Records'!$E$155:$E$385,MATCH(RIGHT(Q1719,255),RIGHT('Disaggregation Records'!$D$155:$D$385,255),0))),"")</f>
        <v/>
      </c>
      <c r="S1719" s="194" t="str">
        <f t="array" ref="S1719">IFERROR(IF(INDEX('Disaggregation Records'!$F$155:$F$385,MATCH(RIGHT(Q1719,255),RIGHT('Disaggregation Records'!$D$155:$D$385,255),0))="","",INDEX('Disaggregation Records'!$F$155:$F$385,MATCH(RIGHT(Q1719,255),RIGHT('Disaggregation Records'!$D$155:$D$385,255),0))),"")</f>
        <v/>
      </c>
      <c r="T1719" s="194" t="str">
        <f t="array" ref="T1719">IFERROR(IF(INDEX('Disaggregation Records'!$H$155:$H$385,MATCH(RIGHT(Q1719,255),RIGHT('Disaggregation Records'!$D$155:$D$385,255),0))="","",INDEX('Disaggregation Records'!$H$155:$H$385,MATCH(RIGHT(Q1719,255),RIGHT('Disaggregation Records'!$D$155:$D$385,255),0))),"")</f>
        <v/>
      </c>
      <c r="U1719" s="194">
        <f>U1717+1</f>
        <v>3049</v>
      </c>
      <c r="V1719" s="194" t="str">
        <f t="array" ref="V1719">IFERROR(IF(INDEX('Disaggregation Records'!$I$155:$I$385,MATCH(RIGHT(Q1719,255),RIGHT('Disaggregation Records'!$D$155:$D$385,255),0))="","",INDEX('Disaggregation Records'!$I$155:$I$385,MATCH(RIGHT(Q1719,255),RIGHT('Disaggregation Records'!$D$155:$D$385,255),0))),"")</f>
        <v/>
      </c>
      <c r="W1719" s="194" t="str">
        <f>IFERROR(INDEX('Reference Records'!L$77:L$157,MATCH(LEFT(C1719,255),'Reference Records'!E$77:E$157,0)),"")</f>
        <v/>
      </c>
    </row>
    <row r="1720" spans="1:23" s="194" customFormat="1" ht="40.4" customHeight="1" x14ac:dyDescent="0.35">
      <c r="A1720" s="770"/>
      <c r="B1720" s="767"/>
      <c r="C1720" s="761"/>
      <c r="D1720" s="769"/>
      <c r="E1720" s="769"/>
      <c r="F1720" s="208"/>
      <c r="G1720" s="763"/>
      <c r="H1720" s="744"/>
      <c r="I1720" s="765"/>
      <c r="J1720" s="730"/>
      <c r="K1720" s="761"/>
      <c r="L1720" s="761"/>
      <c r="M1720" s="730"/>
      <c r="N1720" s="730"/>
    </row>
    <row r="1721" spans="1:23" s="194" customFormat="1" ht="40.4" customHeight="1" x14ac:dyDescent="0.35">
      <c r="A1721" s="770" t="str">
        <f ca="1">INDIRECT("'update Helper'!C"&amp;U1721)</f>
        <v>a163p000004NtZcAAK</v>
      </c>
      <c r="B1721" s="766">
        <v>28</v>
      </c>
      <c r="C1721" s="760" t="str">
        <f>VLOOKUP(B1721,'Coverage Indicators - Section D'!$A$9:$AU$70,47,FALSE)</f>
        <v/>
      </c>
      <c r="D1721" s="768" t="str">
        <f>R1721</f>
        <v/>
      </c>
      <c r="E1721" s="768" t="str">
        <f>S1721</f>
        <v/>
      </c>
      <c r="F1721" s="413"/>
      <c r="G1721" s="762" t="str">
        <f ca="1">IF(OR(INDIRECT("'update Helper'!E"&amp;U1721)="",F1721&lt;&gt;0,F1722&lt;&gt;0),IF(IFERROR((F1721/F1722),"")="","",(F1721/F1722)),INDIRECT("'update Helper'!E"&amp;U1721)/100)</f>
        <v/>
      </c>
      <c r="H1721" s="743"/>
      <c r="I1721" s="764"/>
      <c r="J1721" s="729"/>
      <c r="K1721" s="760" t="str">
        <f>W1721</f>
        <v/>
      </c>
      <c r="L1721" s="760" t="str">
        <f>V1721</f>
        <v/>
      </c>
      <c r="M1721" s="729"/>
      <c r="N1721" s="729"/>
      <c r="P1721" s="194">
        <f>IF(AND(EXACT(C1721,C1719),C1719&lt;&gt;0),P1719+1,0)</f>
        <v>110</v>
      </c>
      <c r="Q1721" s="194" t="str">
        <f>IF(C1721&lt;&gt;"",C1721&amp;"-"&amp;P1721,"")</f>
        <v/>
      </c>
      <c r="R1721" s="194" t="str">
        <f t="array" ref="R1721">IFERROR(IF(INDEX('Disaggregation Records'!$E$155:$E$385,MATCH(RIGHT(Q1721,255),RIGHT('Disaggregation Records'!$D$155:$D$385,255),0))="","",INDEX('Disaggregation Records'!$E$155:$E$385,MATCH(RIGHT(Q1721,255),RIGHT('Disaggregation Records'!$D$155:$D$385,255),0))),"")</f>
        <v/>
      </c>
      <c r="S1721" s="194" t="str">
        <f t="array" ref="S1721">IFERROR(IF(INDEX('Disaggregation Records'!$F$155:$F$385,MATCH(RIGHT(Q1721,255),RIGHT('Disaggregation Records'!$D$155:$D$385,255),0))="","",INDEX('Disaggregation Records'!$F$155:$F$385,MATCH(RIGHT(Q1721,255),RIGHT('Disaggregation Records'!$D$155:$D$385,255),0))),"")</f>
        <v/>
      </c>
      <c r="T1721" s="194" t="str">
        <f t="array" ref="T1721">IFERROR(IF(INDEX('Disaggregation Records'!$H$155:$H$385,MATCH(RIGHT(Q1721,255),RIGHT('Disaggregation Records'!$D$155:$D$385,255),0))="","",INDEX('Disaggregation Records'!$H$155:$H$385,MATCH(RIGHT(Q1721,255),RIGHT('Disaggregation Records'!$D$155:$D$385,255),0))),"")</f>
        <v/>
      </c>
      <c r="U1721" s="194">
        <f>U1719+1</f>
        <v>3050</v>
      </c>
      <c r="V1721" s="194" t="str">
        <f t="array" ref="V1721">IFERROR(IF(INDEX('Disaggregation Records'!$I$155:$I$385,MATCH(RIGHT(Q1721,255),RIGHT('Disaggregation Records'!$D$155:$D$385,255),0))="","",INDEX('Disaggregation Records'!$I$155:$I$385,MATCH(RIGHT(Q1721,255),RIGHT('Disaggregation Records'!$D$155:$D$385,255),0))),"")</f>
        <v/>
      </c>
      <c r="W1721" s="194" t="str">
        <f>IFERROR(INDEX('Reference Records'!L$77:L$157,MATCH(LEFT(C1721,255),'Reference Records'!E$77:E$157,0)),"")</f>
        <v/>
      </c>
    </row>
    <row r="1722" spans="1:23" s="194" customFormat="1" ht="40.4" customHeight="1" x14ac:dyDescent="0.35">
      <c r="A1722" s="770"/>
      <c r="B1722" s="767"/>
      <c r="C1722" s="761"/>
      <c r="D1722" s="769"/>
      <c r="E1722" s="769"/>
      <c r="F1722" s="208"/>
      <c r="G1722" s="763"/>
      <c r="H1722" s="744"/>
      <c r="I1722" s="765"/>
      <c r="J1722" s="730"/>
      <c r="K1722" s="761"/>
      <c r="L1722" s="761"/>
      <c r="M1722" s="730"/>
      <c r="N1722" s="730"/>
    </row>
    <row r="1723" spans="1:23" s="194" customFormat="1" ht="40.4" customHeight="1" x14ac:dyDescent="0.35">
      <c r="A1723" s="770" t="str">
        <f ca="1">INDIRECT("'update Helper'!C"&amp;U1723)</f>
        <v>a163p000004NtZdAAK</v>
      </c>
      <c r="B1723" s="766">
        <v>28</v>
      </c>
      <c r="C1723" s="760" t="str">
        <f>VLOOKUP(B1723,'Coverage Indicators - Section D'!$A$9:$AU$70,47,FALSE)</f>
        <v/>
      </c>
      <c r="D1723" s="768" t="str">
        <f>R1723</f>
        <v/>
      </c>
      <c r="E1723" s="768" t="str">
        <f>S1723</f>
        <v/>
      </c>
      <c r="F1723" s="413"/>
      <c r="G1723" s="762" t="str">
        <f ca="1">IF(OR(INDIRECT("'update Helper'!E"&amp;U1723)="",F1723&lt;&gt;0,F1724&lt;&gt;0),IF(IFERROR((F1723/F1724),"")="","",(F1723/F1724)),INDIRECT("'update Helper'!E"&amp;U1723)/100)</f>
        <v/>
      </c>
      <c r="H1723" s="743"/>
      <c r="I1723" s="764"/>
      <c r="J1723" s="729"/>
      <c r="K1723" s="760" t="str">
        <f>W1723</f>
        <v/>
      </c>
      <c r="L1723" s="760" t="str">
        <f>V1723</f>
        <v/>
      </c>
      <c r="M1723" s="729"/>
      <c r="N1723" s="729"/>
      <c r="P1723" s="194">
        <f>IF(AND(EXACT(C1723,C1721),C1721&lt;&gt;0),P1721+1,0)</f>
        <v>111</v>
      </c>
      <c r="Q1723" s="194" t="str">
        <f>IF(C1723&lt;&gt;"",C1723&amp;"-"&amp;P1723,"")</f>
        <v/>
      </c>
      <c r="R1723" s="194" t="str">
        <f t="array" ref="R1723">IFERROR(IF(INDEX('Disaggregation Records'!$E$155:$E$385,MATCH(RIGHT(Q1723,255),RIGHT('Disaggregation Records'!$D$155:$D$385,255),0))="","",INDEX('Disaggregation Records'!$E$155:$E$385,MATCH(RIGHT(Q1723,255),RIGHT('Disaggregation Records'!$D$155:$D$385,255),0))),"")</f>
        <v/>
      </c>
      <c r="S1723" s="194" t="str">
        <f t="array" ref="S1723">IFERROR(IF(INDEX('Disaggregation Records'!$F$155:$F$385,MATCH(RIGHT(Q1723,255),RIGHT('Disaggregation Records'!$D$155:$D$385,255),0))="","",INDEX('Disaggregation Records'!$F$155:$F$385,MATCH(RIGHT(Q1723,255),RIGHT('Disaggregation Records'!$D$155:$D$385,255),0))),"")</f>
        <v/>
      </c>
      <c r="T1723" s="194" t="str">
        <f t="array" ref="T1723">IFERROR(IF(INDEX('Disaggregation Records'!$H$155:$H$385,MATCH(RIGHT(Q1723,255),RIGHT('Disaggregation Records'!$D$155:$D$385,255),0))="","",INDEX('Disaggregation Records'!$H$155:$H$385,MATCH(RIGHT(Q1723,255),RIGHT('Disaggregation Records'!$D$155:$D$385,255),0))),"")</f>
        <v/>
      </c>
      <c r="U1723" s="194">
        <f>U1721+1</f>
        <v>3051</v>
      </c>
      <c r="V1723" s="194" t="str">
        <f t="array" ref="V1723">IFERROR(IF(INDEX('Disaggregation Records'!$I$155:$I$385,MATCH(RIGHT(Q1723,255),RIGHT('Disaggregation Records'!$D$155:$D$385,255),0))="","",INDEX('Disaggregation Records'!$I$155:$I$385,MATCH(RIGHT(Q1723,255),RIGHT('Disaggregation Records'!$D$155:$D$385,255),0))),"")</f>
        <v/>
      </c>
      <c r="W1723" s="194" t="str">
        <f>IFERROR(INDEX('Reference Records'!L$77:L$157,MATCH(LEFT(C1723,255),'Reference Records'!E$77:E$157,0)),"")</f>
        <v/>
      </c>
    </row>
    <row r="1724" spans="1:23" s="194" customFormat="1" ht="40.4" customHeight="1" x14ac:dyDescent="0.35">
      <c r="A1724" s="770"/>
      <c r="B1724" s="767"/>
      <c r="C1724" s="761"/>
      <c r="D1724" s="769"/>
      <c r="E1724" s="769"/>
      <c r="F1724" s="208"/>
      <c r="G1724" s="763"/>
      <c r="H1724" s="744"/>
      <c r="I1724" s="765"/>
      <c r="J1724" s="730"/>
      <c r="K1724" s="761"/>
      <c r="L1724" s="761"/>
      <c r="M1724" s="730"/>
      <c r="N1724" s="730"/>
    </row>
    <row r="1725" spans="1:23" s="194" customFormat="1" ht="40.4" customHeight="1" x14ac:dyDescent="0.35">
      <c r="A1725" s="770" t="str">
        <f ca="1">INDIRECT("'update Helper'!C"&amp;U1725)</f>
        <v>a163p000004NtZeAAK</v>
      </c>
      <c r="B1725" s="766">
        <v>28</v>
      </c>
      <c r="C1725" s="760" t="str">
        <f>VLOOKUP(B1725,'Coverage Indicators - Section D'!$A$9:$AU$70,47,FALSE)</f>
        <v/>
      </c>
      <c r="D1725" s="768" t="str">
        <f>R1725</f>
        <v/>
      </c>
      <c r="E1725" s="768" t="str">
        <f>S1725</f>
        <v/>
      </c>
      <c r="F1725" s="413"/>
      <c r="G1725" s="762" t="str">
        <f ca="1">IF(OR(INDIRECT("'update Helper'!E"&amp;U1725)="",F1725&lt;&gt;0,F1726&lt;&gt;0),IF(IFERROR((F1725/F1726),"")="","",(F1725/F1726)),INDIRECT("'update Helper'!E"&amp;U1725)/100)</f>
        <v/>
      </c>
      <c r="H1725" s="743"/>
      <c r="I1725" s="764"/>
      <c r="J1725" s="729"/>
      <c r="K1725" s="760" t="str">
        <f>W1725</f>
        <v/>
      </c>
      <c r="L1725" s="760" t="str">
        <f>V1725</f>
        <v/>
      </c>
      <c r="M1725" s="729"/>
      <c r="N1725" s="729"/>
      <c r="P1725" s="194">
        <f>IF(AND(EXACT(C1725,C1723),C1723&lt;&gt;0),P1723+1,0)</f>
        <v>112</v>
      </c>
      <c r="Q1725" s="194" t="str">
        <f>IF(C1725&lt;&gt;"",C1725&amp;"-"&amp;P1725,"")</f>
        <v/>
      </c>
      <c r="R1725" s="194" t="str">
        <f t="array" ref="R1725">IFERROR(IF(INDEX('Disaggregation Records'!$E$155:$E$385,MATCH(RIGHT(Q1725,255),RIGHT('Disaggregation Records'!$D$155:$D$385,255),0))="","",INDEX('Disaggregation Records'!$E$155:$E$385,MATCH(RIGHT(Q1725,255),RIGHT('Disaggregation Records'!$D$155:$D$385,255),0))),"")</f>
        <v/>
      </c>
      <c r="S1725" s="194" t="str">
        <f t="array" ref="S1725">IFERROR(IF(INDEX('Disaggregation Records'!$F$155:$F$385,MATCH(RIGHT(Q1725,255),RIGHT('Disaggregation Records'!$D$155:$D$385,255),0))="","",INDEX('Disaggregation Records'!$F$155:$F$385,MATCH(RIGHT(Q1725,255),RIGHT('Disaggregation Records'!$D$155:$D$385,255),0))),"")</f>
        <v/>
      </c>
      <c r="T1725" s="194" t="str">
        <f t="array" ref="T1725">IFERROR(IF(INDEX('Disaggregation Records'!$H$155:$H$385,MATCH(RIGHT(Q1725,255),RIGHT('Disaggregation Records'!$D$155:$D$385,255),0))="","",INDEX('Disaggregation Records'!$H$155:$H$385,MATCH(RIGHT(Q1725,255),RIGHT('Disaggregation Records'!$D$155:$D$385,255),0))),"")</f>
        <v/>
      </c>
      <c r="U1725" s="194">
        <f>U1723+1</f>
        <v>3052</v>
      </c>
      <c r="V1725" s="194" t="str">
        <f t="array" ref="V1725">IFERROR(IF(INDEX('Disaggregation Records'!$I$155:$I$385,MATCH(RIGHT(Q1725,255),RIGHT('Disaggregation Records'!$D$155:$D$385,255),0))="","",INDEX('Disaggregation Records'!$I$155:$I$385,MATCH(RIGHT(Q1725,255),RIGHT('Disaggregation Records'!$D$155:$D$385,255),0))),"")</f>
        <v/>
      </c>
      <c r="W1725" s="194" t="str">
        <f>IFERROR(INDEX('Reference Records'!L$77:L$157,MATCH(LEFT(C1725,255),'Reference Records'!E$77:E$157,0)),"")</f>
        <v/>
      </c>
    </row>
    <row r="1726" spans="1:23" s="194" customFormat="1" ht="40.4" customHeight="1" x14ac:dyDescent="0.35">
      <c r="A1726" s="770"/>
      <c r="B1726" s="767"/>
      <c r="C1726" s="761"/>
      <c r="D1726" s="769"/>
      <c r="E1726" s="769"/>
      <c r="F1726" s="208"/>
      <c r="G1726" s="763"/>
      <c r="H1726" s="744"/>
      <c r="I1726" s="765"/>
      <c r="J1726" s="730"/>
      <c r="K1726" s="761"/>
      <c r="L1726" s="761"/>
      <c r="M1726" s="730"/>
      <c r="N1726" s="730"/>
    </row>
    <row r="1727" spans="1:23" s="194" customFormat="1" ht="40.4" customHeight="1" x14ac:dyDescent="0.35">
      <c r="A1727" s="770" t="str">
        <f ca="1">INDIRECT("'update Helper'!C"&amp;U1727)</f>
        <v>a163p000004NtZfAAK</v>
      </c>
      <c r="B1727" s="766">
        <v>28</v>
      </c>
      <c r="C1727" s="760" t="str">
        <f>VLOOKUP(B1727,'Coverage Indicators - Section D'!$A$9:$AU$70,47,FALSE)</f>
        <v/>
      </c>
      <c r="D1727" s="768" t="str">
        <f>R1727</f>
        <v/>
      </c>
      <c r="E1727" s="768" t="str">
        <f>S1727</f>
        <v/>
      </c>
      <c r="F1727" s="413"/>
      <c r="G1727" s="762" t="str">
        <f ca="1">IF(OR(INDIRECT("'update Helper'!E"&amp;U1727)="",F1727&lt;&gt;0,F1728&lt;&gt;0),IF(IFERROR((F1727/F1728),"")="","",(F1727/F1728)),INDIRECT("'update Helper'!E"&amp;U1727)/100)</f>
        <v/>
      </c>
      <c r="H1727" s="743"/>
      <c r="I1727" s="764"/>
      <c r="J1727" s="729"/>
      <c r="K1727" s="760" t="str">
        <f>W1727</f>
        <v/>
      </c>
      <c r="L1727" s="760" t="str">
        <f>V1727</f>
        <v/>
      </c>
      <c r="M1727" s="729"/>
      <c r="N1727" s="729"/>
      <c r="P1727" s="194">
        <f>IF(AND(EXACT(C1727,C1725),C1725&lt;&gt;0),P1725+1,0)</f>
        <v>113</v>
      </c>
      <c r="Q1727" s="194" t="str">
        <f>IF(C1727&lt;&gt;"",C1727&amp;"-"&amp;P1727,"")</f>
        <v/>
      </c>
      <c r="R1727" s="194" t="str">
        <f t="array" ref="R1727">IFERROR(IF(INDEX('Disaggregation Records'!$E$155:$E$385,MATCH(RIGHT(Q1727,255),RIGHT('Disaggregation Records'!$D$155:$D$385,255),0))="","",INDEX('Disaggregation Records'!$E$155:$E$385,MATCH(RIGHT(Q1727,255),RIGHT('Disaggregation Records'!$D$155:$D$385,255),0))),"")</f>
        <v/>
      </c>
      <c r="S1727" s="194" t="str">
        <f t="array" ref="S1727">IFERROR(IF(INDEX('Disaggregation Records'!$F$155:$F$385,MATCH(RIGHT(Q1727,255),RIGHT('Disaggregation Records'!$D$155:$D$385,255),0))="","",INDEX('Disaggregation Records'!$F$155:$F$385,MATCH(RIGHT(Q1727,255),RIGHT('Disaggregation Records'!$D$155:$D$385,255),0))),"")</f>
        <v/>
      </c>
      <c r="T1727" s="194" t="str">
        <f t="array" ref="T1727">IFERROR(IF(INDEX('Disaggregation Records'!$H$155:$H$385,MATCH(RIGHT(Q1727,255),RIGHT('Disaggregation Records'!$D$155:$D$385,255),0))="","",INDEX('Disaggregation Records'!$H$155:$H$385,MATCH(RIGHT(Q1727,255),RIGHT('Disaggregation Records'!$D$155:$D$385,255),0))),"")</f>
        <v/>
      </c>
      <c r="U1727" s="194">
        <f>U1725+1</f>
        <v>3053</v>
      </c>
      <c r="V1727" s="194" t="str">
        <f t="array" ref="V1727">IFERROR(IF(INDEX('Disaggregation Records'!$I$155:$I$385,MATCH(RIGHT(Q1727,255),RIGHT('Disaggregation Records'!$D$155:$D$385,255),0))="","",INDEX('Disaggregation Records'!$I$155:$I$385,MATCH(RIGHT(Q1727,255),RIGHT('Disaggregation Records'!$D$155:$D$385,255),0))),"")</f>
        <v/>
      </c>
      <c r="W1727" s="194" t="str">
        <f>IFERROR(INDEX('Reference Records'!L$77:L$157,MATCH(LEFT(C1727,255),'Reference Records'!E$77:E$157,0)),"")</f>
        <v/>
      </c>
    </row>
    <row r="1728" spans="1:23" s="194" customFormat="1" ht="40.4" customHeight="1" x14ac:dyDescent="0.35">
      <c r="A1728" s="770"/>
      <c r="B1728" s="767"/>
      <c r="C1728" s="761"/>
      <c r="D1728" s="769"/>
      <c r="E1728" s="769"/>
      <c r="F1728" s="208"/>
      <c r="G1728" s="763"/>
      <c r="H1728" s="744"/>
      <c r="I1728" s="765"/>
      <c r="J1728" s="730"/>
      <c r="K1728" s="761"/>
      <c r="L1728" s="761"/>
      <c r="M1728" s="730"/>
      <c r="N1728" s="730"/>
    </row>
    <row r="1729" spans="1:23" s="194" customFormat="1" ht="40.4" customHeight="1" x14ac:dyDescent="0.35">
      <c r="A1729" s="770" t="str">
        <f ca="1">INDIRECT("'update Helper'!C"&amp;U1729)</f>
        <v>a163p000004NtZgAAK</v>
      </c>
      <c r="B1729" s="766">
        <v>28</v>
      </c>
      <c r="C1729" s="760" t="str">
        <f>VLOOKUP(B1729,'Coverage Indicators - Section D'!$A$9:$AU$70,47,FALSE)</f>
        <v/>
      </c>
      <c r="D1729" s="768" t="str">
        <f>R1729</f>
        <v/>
      </c>
      <c r="E1729" s="768" t="str">
        <f>S1729</f>
        <v/>
      </c>
      <c r="F1729" s="413"/>
      <c r="G1729" s="762" t="str">
        <f ca="1">IF(OR(INDIRECT("'update Helper'!E"&amp;U1729)="",F1729&lt;&gt;0,F1730&lt;&gt;0),IF(IFERROR((F1729/F1730),"")="","",(F1729/F1730)),INDIRECT("'update Helper'!E"&amp;U1729)/100)</f>
        <v/>
      </c>
      <c r="H1729" s="743"/>
      <c r="I1729" s="764"/>
      <c r="J1729" s="729"/>
      <c r="K1729" s="760" t="str">
        <f>W1729</f>
        <v/>
      </c>
      <c r="L1729" s="760" t="str">
        <f>V1729</f>
        <v/>
      </c>
      <c r="M1729" s="729"/>
      <c r="N1729" s="729"/>
      <c r="P1729" s="194">
        <f>IF(AND(EXACT(C1729,C1727),C1727&lt;&gt;0),P1727+1,0)</f>
        <v>114</v>
      </c>
      <c r="Q1729" s="194" t="str">
        <f>IF(C1729&lt;&gt;"",C1729&amp;"-"&amp;P1729,"")</f>
        <v/>
      </c>
      <c r="R1729" s="194" t="str">
        <f t="array" ref="R1729">IFERROR(IF(INDEX('Disaggregation Records'!$E$155:$E$385,MATCH(RIGHT(Q1729,255),RIGHT('Disaggregation Records'!$D$155:$D$385,255),0))="","",INDEX('Disaggregation Records'!$E$155:$E$385,MATCH(RIGHT(Q1729,255),RIGHT('Disaggregation Records'!$D$155:$D$385,255),0))),"")</f>
        <v/>
      </c>
      <c r="S1729" s="194" t="str">
        <f t="array" ref="S1729">IFERROR(IF(INDEX('Disaggregation Records'!$F$155:$F$385,MATCH(RIGHT(Q1729,255),RIGHT('Disaggregation Records'!$D$155:$D$385,255),0))="","",INDEX('Disaggregation Records'!$F$155:$F$385,MATCH(RIGHT(Q1729,255),RIGHT('Disaggregation Records'!$D$155:$D$385,255),0))),"")</f>
        <v/>
      </c>
      <c r="T1729" s="194" t="str">
        <f t="array" ref="T1729">IFERROR(IF(INDEX('Disaggregation Records'!$H$155:$H$385,MATCH(RIGHT(Q1729,255),RIGHT('Disaggregation Records'!$D$155:$D$385,255),0))="","",INDEX('Disaggregation Records'!$H$155:$H$385,MATCH(RIGHT(Q1729,255),RIGHT('Disaggregation Records'!$D$155:$D$385,255),0))),"")</f>
        <v/>
      </c>
      <c r="U1729" s="194">
        <f>U1727+1</f>
        <v>3054</v>
      </c>
      <c r="V1729" s="194" t="str">
        <f t="array" ref="V1729">IFERROR(IF(INDEX('Disaggregation Records'!$I$155:$I$385,MATCH(RIGHT(Q1729,255),RIGHT('Disaggregation Records'!$D$155:$D$385,255),0))="","",INDEX('Disaggregation Records'!$I$155:$I$385,MATCH(RIGHT(Q1729,255),RIGHT('Disaggregation Records'!$D$155:$D$385,255),0))),"")</f>
        <v/>
      </c>
      <c r="W1729" s="194" t="str">
        <f>IFERROR(INDEX('Reference Records'!L$77:L$157,MATCH(LEFT(C1729,255),'Reference Records'!E$77:E$157,0)),"")</f>
        <v/>
      </c>
    </row>
    <row r="1730" spans="1:23" s="194" customFormat="1" ht="40.4" customHeight="1" x14ac:dyDescent="0.35">
      <c r="A1730" s="770"/>
      <c r="B1730" s="767"/>
      <c r="C1730" s="761"/>
      <c r="D1730" s="769"/>
      <c r="E1730" s="769"/>
      <c r="F1730" s="208"/>
      <c r="G1730" s="763"/>
      <c r="H1730" s="744"/>
      <c r="I1730" s="765"/>
      <c r="J1730" s="730"/>
      <c r="K1730" s="761"/>
      <c r="L1730" s="761"/>
      <c r="M1730" s="730"/>
      <c r="N1730" s="730"/>
    </row>
    <row r="1731" spans="1:23" s="194" customFormat="1" ht="40.4" customHeight="1" x14ac:dyDescent="0.35">
      <c r="A1731" s="770" t="str">
        <f ca="1">INDIRECT("'update Helper'!C"&amp;U1731)</f>
        <v>a163p000004NtZhAAK</v>
      </c>
      <c r="B1731" s="766">
        <v>28</v>
      </c>
      <c r="C1731" s="760" t="str">
        <f>VLOOKUP(B1731,'Coverage Indicators - Section D'!$A$9:$AU$70,47,FALSE)</f>
        <v/>
      </c>
      <c r="D1731" s="768" t="str">
        <f>R1731</f>
        <v/>
      </c>
      <c r="E1731" s="768" t="str">
        <f>S1731</f>
        <v/>
      </c>
      <c r="F1731" s="413"/>
      <c r="G1731" s="762" t="str">
        <f ca="1">IF(OR(INDIRECT("'update Helper'!E"&amp;U1731)="",F1731&lt;&gt;0,F1732&lt;&gt;0),IF(IFERROR((F1731/F1732),"")="","",(F1731/F1732)),INDIRECT("'update Helper'!E"&amp;U1731)/100)</f>
        <v/>
      </c>
      <c r="H1731" s="743"/>
      <c r="I1731" s="764"/>
      <c r="J1731" s="729"/>
      <c r="K1731" s="760" t="str">
        <f>W1731</f>
        <v/>
      </c>
      <c r="L1731" s="760" t="str">
        <f>V1731</f>
        <v/>
      </c>
      <c r="M1731" s="729"/>
      <c r="N1731" s="729"/>
      <c r="P1731" s="194">
        <f>IF(AND(EXACT(C1731,C1729),C1729&lt;&gt;0),P1729+1,0)</f>
        <v>115</v>
      </c>
      <c r="Q1731" s="194" t="str">
        <f>IF(C1731&lt;&gt;"",C1731&amp;"-"&amp;P1731,"")</f>
        <v/>
      </c>
      <c r="R1731" s="194" t="str">
        <f t="array" ref="R1731">IFERROR(IF(INDEX('Disaggregation Records'!$E$155:$E$385,MATCH(RIGHT(Q1731,255),RIGHT('Disaggregation Records'!$D$155:$D$385,255),0))="","",INDEX('Disaggregation Records'!$E$155:$E$385,MATCH(RIGHT(Q1731,255),RIGHT('Disaggregation Records'!$D$155:$D$385,255),0))),"")</f>
        <v/>
      </c>
      <c r="S1731" s="194" t="str">
        <f t="array" ref="S1731">IFERROR(IF(INDEX('Disaggregation Records'!$F$155:$F$385,MATCH(RIGHT(Q1731,255),RIGHT('Disaggregation Records'!$D$155:$D$385,255),0))="","",INDEX('Disaggregation Records'!$F$155:$F$385,MATCH(RIGHT(Q1731,255),RIGHT('Disaggregation Records'!$D$155:$D$385,255),0))),"")</f>
        <v/>
      </c>
      <c r="T1731" s="194" t="str">
        <f t="array" ref="T1731">IFERROR(IF(INDEX('Disaggregation Records'!$H$155:$H$385,MATCH(RIGHT(Q1731,255),RIGHT('Disaggregation Records'!$D$155:$D$385,255),0))="","",INDEX('Disaggregation Records'!$H$155:$H$385,MATCH(RIGHT(Q1731,255),RIGHT('Disaggregation Records'!$D$155:$D$385,255),0))),"")</f>
        <v/>
      </c>
      <c r="U1731" s="194">
        <f>U1729+1</f>
        <v>3055</v>
      </c>
      <c r="V1731" s="194" t="str">
        <f t="array" ref="V1731">IFERROR(IF(INDEX('Disaggregation Records'!$I$155:$I$385,MATCH(RIGHT(Q1731,255),RIGHT('Disaggregation Records'!$D$155:$D$385,255),0))="","",INDEX('Disaggregation Records'!$I$155:$I$385,MATCH(RIGHT(Q1731,255),RIGHT('Disaggregation Records'!$D$155:$D$385,255),0))),"")</f>
        <v/>
      </c>
      <c r="W1731" s="194" t="str">
        <f>IFERROR(INDEX('Reference Records'!L$77:L$157,MATCH(LEFT(C1731,255),'Reference Records'!E$77:E$157,0)),"")</f>
        <v/>
      </c>
    </row>
    <row r="1732" spans="1:23" s="194" customFormat="1" ht="40.4" customHeight="1" x14ac:dyDescent="0.35">
      <c r="A1732" s="770"/>
      <c r="B1732" s="767"/>
      <c r="C1732" s="761"/>
      <c r="D1732" s="769"/>
      <c r="E1732" s="769"/>
      <c r="F1732" s="208"/>
      <c r="G1732" s="763"/>
      <c r="H1732" s="744"/>
      <c r="I1732" s="765"/>
      <c r="J1732" s="730"/>
      <c r="K1732" s="761"/>
      <c r="L1732" s="761"/>
      <c r="M1732" s="730"/>
      <c r="N1732" s="730"/>
    </row>
    <row r="1733" spans="1:23" s="194" customFormat="1" ht="40.4" customHeight="1" x14ac:dyDescent="0.35">
      <c r="A1733" s="770" t="str">
        <f ca="1">INDIRECT("'update Helper'!C"&amp;U1733)</f>
        <v>a163p000004NtZiAAK</v>
      </c>
      <c r="B1733" s="766">
        <v>28</v>
      </c>
      <c r="C1733" s="760" t="str">
        <f>VLOOKUP(B1733,'Coverage Indicators - Section D'!$A$9:$AU$70,47,FALSE)</f>
        <v/>
      </c>
      <c r="D1733" s="768" t="str">
        <f>R1733</f>
        <v/>
      </c>
      <c r="E1733" s="768" t="str">
        <f>S1733</f>
        <v/>
      </c>
      <c r="F1733" s="413"/>
      <c r="G1733" s="762" t="str">
        <f ca="1">IF(OR(INDIRECT("'update Helper'!E"&amp;U1733)="",F1733&lt;&gt;0,F1734&lt;&gt;0),IF(IFERROR((F1733/F1734),"")="","",(F1733/F1734)),INDIRECT("'update Helper'!E"&amp;U1733)/100)</f>
        <v/>
      </c>
      <c r="H1733" s="743"/>
      <c r="I1733" s="764"/>
      <c r="J1733" s="729"/>
      <c r="K1733" s="760" t="str">
        <f>W1733</f>
        <v/>
      </c>
      <c r="L1733" s="760" t="str">
        <f>V1733</f>
        <v/>
      </c>
      <c r="M1733" s="729"/>
      <c r="N1733" s="729"/>
      <c r="P1733" s="194">
        <f>IF(AND(EXACT(C1733,C1731),C1731&lt;&gt;0),P1731+1,0)</f>
        <v>116</v>
      </c>
      <c r="Q1733" s="194" t="str">
        <f>IF(C1733&lt;&gt;"",C1733&amp;"-"&amp;P1733,"")</f>
        <v/>
      </c>
      <c r="R1733" s="194" t="str">
        <f t="array" ref="R1733">IFERROR(IF(INDEX('Disaggregation Records'!$E$155:$E$385,MATCH(RIGHT(Q1733,255),RIGHT('Disaggregation Records'!$D$155:$D$385,255),0))="","",INDEX('Disaggregation Records'!$E$155:$E$385,MATCH(RIGHT(Q1733,255),RIGHT('Disaggregation Records'!$D$155:$D$385,255),0))),"")</f>
        <v/>
      </c>
      <c r="S1733" s="194" t="str">
        <f t="array" ref="S1733">IFERROR(IF(INDEX('Disaggregation Records'!$F$155:$F$385,MATCH(RIGHT(Q1733,255),RIGHT('Disaggregation Records'!$D$155:$D$385,255),0))="","",INDEX('Disaggregation Records'!$F$155:$F$385,MATCH(RIGHT(Q1733,255),RIGHT('Disaggregation Records'!$D$155:$D$385,255),0))),"")</f>
        <v/>
      </c>
      <c r="T1733" s="194" t="str">
        <f t="array" ref="T1733">IFERROR(IF(INDEX('Disaggregation Records'!$H$155:$H$385,MATCH(RIGHT(Q1733,255),RIGHT('Disaggregation Records'!$D$155:$D$385,255),0))="","",INDEX('Disaggregation Records'!$H$155:$H$385,MATCH(RIGHT(Q1733,255),RIGHT('Disaggregation Records'!$D$155:$D$385,255),0))),"")</f>
        <v/>
      </c>
      <c r="U1733" s="194">
        <f>U1731+1</f>
        <v>3056</v>
      </c>
      <c r="V1733" s="194" t="str">
        <f t="array" ref="V1733">IFERROR(IF(INDEX('Disaggregation Records'!$I$155:$I$385,MATCH(RIGHT(Q1733,255),RIGHT('Disaggregation Records'!$D$155:$D$385,255),0))="","",INDEX('Disaggregation Records'!$I$155:$I$385,MATCH(RIGHT(Q1733,255),RIGHT('Disaggregation Records'!$D$155:$D$385,255),0))),"")</f>
        <v/>
      </c>
      <c r="W1733" s="194" t="str">
        <f>IFERROR(INDEX('Reference Records'!L$77:L$157,MATCH(LEFT(C1733,255),'Reference Records'!E$77:E$157,0)),"")</f>
        <v/>
      </c>
    </row>
    <row r="1734" spans="1:23" s="194" customFormat="1" ht="40.4" customHeight="1" x14ac:dyDescent="0.35">
      <c r="A1734" s="770"/>
      <c r="B1734" s="767"/>
      <c r="C1734" s="761"/>
      <c r="D1734" s="769"/>
      <c r="E1734" s="769"/>
      <c r="F1734" s="208"/>
      <c r="G1734" s="763"/>
      <c r="H1734" s="744"/>
      <c r="I1734" s="765"/>
      <c r="J1734" s="730"/>
      <c r="K1734" s="761"/>
      <c r="L1734" s="761"/>
      <c r="M1734" s="730"/>
      <c r="N1734" s="730"/>
    </row>
    <row r="1735" spans="1:23" s="194" customFormat="1" ht="40.4" customHeight="1" x14ac:dyDescent="0.35">
      <c r="A1735" s="770" t="str">
        <f ca="1">INDIRECT("'update Helper'!C"&amp;U1735)</f>
        <v>a163p000004NtZjAAK</v>
      </c>
      <c r="B1735" s="766">
        <v>28</v>
      </c>
      <c r="C1735" s="760" t="str">
        <f>VLOOKUP(B1735,'Coverage Indicators - Section D'!$A$9:$AU$70,47,FALSE)</f>
        <v/>
      </c>
      <c r="D1735" s="768" t="str">
        <f>R1735</f>
        <v/>
      </c>
      <c r="E1735" s="768" t="str">
        <f>S1735</f>
        <v/>
      </c>
      <c r="F1735" s="413"/>
      <c r="G1735" s="762" t="str">
        <f ca="1">IF(OR(INDIRECT("'update Helper'!E"&amp;U1735)="",F1735&lt;&gt;0,F1736&lt;&gt;0),IF(IFERROR((F1735/F1736),"")="","",(F1735/F1736)),INDIRECT("'update Helper'!E"&amp;U1735)/100)</f>
        <v/>
      </c>
      <c r="H1735" s="743"/>
      <c r="I1735" s="764"/>
      <c r="J1735" s="729"/>
      <c r="K1735" s="760" t="str">
        <f>W1735</f>
        <v/>
      </c>
      <c r="L1735" s="760" t="str">
        <f>V1735</f>
        <v/>
      </c>
      <c r="M1735" s="729"/>
      <c r="N1735" s="729"/>
      <c r="P1735" s="194">
        <f>IF(AND(EXACT(C1735,C1733),C1733&lt;&gt;0),P1733+1,0)</f>
        <v>117</v>
      </c>
      <c r="Q1735" s="194" t="str">
        <f>IF(C1735&lt;&gt;"",C1735&amp;"-"&amp;P1735,"")</f>
        <v/>
      </c>
      <c r="R1735" s="194" t="str">
        <f t="array" ref="R1735">IFERROR(IF(INDEX('Disaggregation Records'!$E$155:$E$385,MATCH(RIGHT(Q1735,255),RIGHT('Disaggregation Records'!$D$155:$D$385,255),0))="","",INDEX('Disaggregation Records'!$E$155:$E$385,MATCH(RIGHT(Q1735,255),RIGHT('Disaggregation Records'!$D$155:$D$385,255),0))),"")</f>
        <v/>
      </c>
      <c r="S1735" s="194" t="str">
        <f t="array" ref="S1735">IFERROR(IF(INDEX('Disaggregation Records'!$F$155:$F$385,MATCH(RIGHT(Q1735,255),RIGHT('Disaggregation Records'!$D$155:$D$385,255),0))="","",INDEX('Disaggregation Records'!$F$155:$F$385,MATCH(RIGHT(Q1735,255),RIGHT('Disaggregation Records'!$D$155:$D$385,255),0))),"")</f>
        <v/>
      </c>
      <c r="T1735" s="194" t="str">
        <f t="array" ref="T1735">IFERROR(IF(INDEX('Disaggregation Records'!$H$155:$H$385,MATCH(RIGHT(Q1735,255),RIGHT('Disaggregation Records'!$D$155:$D$385,255),0))="","",INDEX('Disaggregation Records'!$H$155:$H$385,MATCH(RIGHT(Q1735,255),RIGHT('Disaggregation Records'!$D$155:$D$385,255),0))),"")</f>
        <v/>
      </c>
      <c r="U1735" s="194">
        <f>U1733+1</f>
        <v>3057</v>
      </c>
      <c r="V1735" s="194" t="str">
        <f t="array" ref="V1735">IFERROR(IF(INDEX('Disaggregation Records'!$I$155:$I$385,MATCH(RIGHT(Q1735,255),RIGHT('Disaggregation Records'!$D$155:$D$385,255),0))="","",INDEX('Disaggregation Records'!$I$155:$I$385,MATCH(RIGHT(Q1735,255),RIGHT('Disaggregation Records'!$D$155:$D$385,255),0))),"")</f>
        <v/>
      </c>
      <c r="W1735" s="194" t="str">
        <f>IFERROR(INDEX('Reference Records'!L$77:L$157,MATCH(LEFT(C1735,255),'Reference Records'!E$77:E$157,0)),"")</f>
        <v/>
      </c>
    </row>
    <row r="1736" spans="1:23" s="194" customFormat="1" ht="40.4" customHeight="1" x14ac:dyDescent="0.35">
      <c r="A1736" s="770"/>
      <c r="B1736" s="767"/>
      <c r="C1736" s="761"/>
      <c r="D1736" s="769"/>
      <c r="E1736" s="769"/>
      <c r="F1736" s="208"/>
      <c r="G1736" s="763"/>
      <c r="H1736" s="744"/>
      <c r="I1736" s="765"/>
      <c r="J1736" s="730"/>
      <c r="K1736" s="761"/>
      <c r="L1736" s="761"/>
      <c r="M1736" s="730"/>
      <c r="N1736" s="730"/>
    </row>
    <row r="1737" spans="1:23" s="194" customFormat="1" ht="40.4" customHeight="1" x14ac:dyDescent="0.35">
      <c r="A1737" s="770" t="str">
        <f ca="1">INDIRECT("'update Helper'!C"&amp;U1737)</f>
        <v>a163p000004NtZkAAK</v>
      </c>
      <c r="B1737" s="766">
        <v>28</v>
      </c>
      <c r="C1737" s="760" t="str">
        <f>VLOOKUP(B1737,'Coverage Indicators - Section D'!$A$9:$AU$70,47,FALSE)</f>
        <v/>
      </c>
      <c r="D1737" s="768" t="str">
        <f>R1737</f>
        <v/>
      </c>
      <c r="E1737" s="768" t="str">
        <f>S1737</f>
        <v/>
      </c>
      <c r="F1737" s="413"/>
      <c r="G1737" s="762" t="str">
        <f ca="1">IF(OR(INDIRECT("'update Helper'!E"&amp;U1737)="",F1737&lt;&gt;0,F1738&lt;&gt;0),IF(IFERROR((F1737/F1738),"")="","",(F1737/F1738)),INDIRECT("'update Helper'!E"&amp;U1737)/100)</f>
        <v/>
      </c>
      <c r="H1737" s="743"/>
      <c r="I1737" s="764"/>
      <c r="J1737" s="729"/>
      <c r="K1737" s="760" t="str">
        <f>W1737</f>
        <v/>
      </c>
      <c r="L1737" s="760" t="str">
        <f>V1737</f>
        <v/>
      </c>
      <c r="M1737" s="729"/>
      <c r="N1737" s="729"/>
      <c r="P1737" s="194">
        <f>IF(AND(EXACT(C1737,C1735),C1735&lt;&gt;0),P1735+1,0)</f>
        <v>118</v>
      </c>
      <c r="Q1737" s="194" t="str">
        <f>IF(C1737&lt;&gt;"",C1737&amp;"-"&amp;P1737,"")</f>
        <v/>
      </c>
      <c r="R1737" s="194" t="str">
        <f t="array" ref="R1737">IFERROR(IF(INDEX('Disaggregation Records'!$E$155:$E$385,MATCH(RIGHT(Q1737,255),RIGHT('Disaggregation Records'!$D$155:$D$385,255),0))="","",INDEX('Disaggregation Records'!$E$155:$E$385,MATCH(RIGHT(Q1737,255),RIGHT('Disaggregation Records'!$D$155:$D$385,255),0))),"")</f>
        <v/>
      </c>
      <c r="S1737" s="194" t="str">
        <f t="array" ref="S1737">IFERROR(IF(INDEX('Disaggregation Records'!$F$155:$F$385,MATCH(RIGHT(Q1737,255),RIGHT('Disaggregation Records'!$D$155:$D$385,255),0))="","",INDEX('Disaggregation Records'!$F$155:$F$385,MATCH(RIGHT(Q1737,255),RIGHT('Disaggregation Records'!$D$155:$D$385,255),0))),"")</f>
        <v/>
      </c>
      <c r="T1737" s="194" t="str">
        <f t="array" ref="T1737">IFERROR(IF(INDEX('Disaggregation Records'!$H$155:$H$385,MATCH(RIGHT(Q1737,255),RIGHT('Disaggregation Records'!$D$155:$D$385,255),0))="","",INDEX('Disaggregation Records'!$H$155:$H$385,MATCH(RIGHT(Q1737,255),RIGHT('Disaggregation Records'!$D$155:$D$385,255),0))),"")</f>
        <v/>
      </c>
      <c r="U1737" s="194">
        <f>U1735+1</f>
        <v>3058</v>
      </c>
      <c r="V1737" s="194" t="str">
        <f t="array" ref="V1737">IFERROR(IF(INDEX('Disaggregation Records'!$I$155:$I$385,MATCH(RIGHT(Q1737,255),RIGHT('Disaggregation Records'!$D$155:$D$385,255),0))="","",INDEX('Disaggregation Records'!$I$155:$I$385,MATCH(RIGHT(Q1737,255),RIGHT('Disaggregation Records'!$D$155:$D$385,255),0))),"")</f>
        <v/>
      </c>
      <c r="W1737" s="194" t="str">
        <f>IFERROR(INDEX('Reference Records'!L$77:L$157,MATCH(LEFT(C1737,255),'Reference Records'!E$77:E$157,0)),"")</f>
        <v/>
      </c>
    </row>
    <row r="1738" spans="1:23" s="194" customFormat="1" ht="40.4" customHeight="1" x14ac:dyDescent="0.35">
      <c r="A1738" s="770"/>
      <c r="B1738" s="767"/>
      <c r="C1738" s="761"/>
      <c r="D1738" s="769"/>
      <c r="E1738" s="769"/>
      <c r="F1738" s="208"/>
      <c r="G1738" s="763"/>
      <c r="H1738" s="744"/>
      <c r="I1738" s="765"/>
      <c r="J1738" s="730"/>
      <c r="K1738" s="761"/>
      <c r="L1738" s="761"/>
      <c r="M1738" s="730"/>
      <c r="N1738" s="730"/>
    </row>
    <row r="1739" spans="1:23" s="194" customFormat="1" ht="40.4" customHeight="1" x14ac:dyDescent="0.35">
      <c r="A1739" s="770" t="str">
        <f ca="1">INDIRECT("'update Helper'!C"&amp;U1739)</f>
        <v>a163p000004NtZlAAK</v>
      </c>
      <c r="B1739" s="766">
        <v>28</v>
      </c>
      <c r="C1739" s="760" t="str">
        <f>VLOOKUP(B1739,'Coverage Indicators - Section D'!$A$9:$AU$70,47,FALSE)</f>
        <v/>
      </c>
      <c r="D1739" s="768" t="str">
        <f>R1739</f>
        <v/>
      </c>
      <c r="E1739" s="768" t="str">
        <f>S1739</f>
        <v/>
      </c>
      <c r="F1739" s="413"/>
      <c r="G1739" s="762" t="str">
        <f ca="1">IF(OR(INDIRECT("'update Helper'!E"&amp;U1739)="",F1739&lt;&gt;0,F1740&lt;&gt;0),IF(IFERROR((F1739/F1740),"")="","",(F1739/F1740)),INDIRECT("'update Helper'!E"&amp;U1739)/100)</f>
        <v/>
      </c>
      <c r="H1739" s="743"/>
      <c r="I1739" s="764"/>
      <c r="J1739" s="729"/>
      <c r="K1739" s="760" t="str">
        <f>W1739</f>
        <v/>
      </c>
      <c r="L1739" s="760" t="str">
        <f>V1739</f>
        <v/>
      </c>
      <c r="M1739" s="729"/>
      <c r="N1739" s="729"/>
      <c r="P1739" s="194">
        <f>IF(AND(EXACT(C1739,C1737),C1737&lt;&gt;0),P1737+1,0)</f>
        <v>119</v>
      </c>
      <c r="Q1739" s="194" t="str">
        <f>IF(C1739&lt;&gt;"",C1739&amp;"-"&amp;P1739,"")</f>
        <v/>
      </c>
      <c r="R1739" s="194" t="str">
        <f t="array" ref="R1739">IFERROR(IF(INDEX('Disaggregation Records'!$E$155:$E$385,MATCH(RIGHT(Q1739,255),RIGHT('Disaggregation Records'!$D$155:$D$385,255),0))="","",INDEX('Disaggregation Records'!$E$155:$E$385,MATCH(RIGHT(Q1739,255),RIGHT('Disaggregation Records'!$D$155:$D$385,255),0))),"")</f>
        <v/>
      </c>
      <c r="S1739" s="194" t="str">
        <f t="array" ref="S1739">IFERROR(IF(INDEX('Disaggregation Records'!$F$155:$F$385,MATCH(RIGHT(Q1739,255),RIGHT('Disaggregation Records'!$D$155:$D$385,255),0))="","",INDEX('Disaggregation Records'!$F$155:$F$385,MATCH(RIGHT(Q1739,255),RIGHT('Disaggregation Records'!$D$155:$D$385,255),0))),"")</f>
        <v/>
      </c>
      <c r="T1739" s="194" t="str">
        <f t="array" ref="T1739">IFERROR(IF(INDEX('Disaggregation Records'!$H$155:$H$385,MATCH(RIGHT(Q1739,255),RIGHT('Disaggregation Records'!$D$155:$D$385,255),0))="","",INDEX('Disaggregation Records'!$H$155:$H$385,MATCH(RIGHT(Q1739,255),RIGHT('Disaggregation Records'!$D$155:$D$385,255),0))),"")</f>
        <v/>
      </c>
      <c r="U1739" s="194">
        <f>U1737+1</f>
        <v>3059</v>
      </c>
      <c r="V1739" s="194" t="str">
        <f t="array" ref="V1739">IFERROR(IF(INDEX('Disaggregation Records'!$I$155:$I$385,MATCH(RIGHT(Q1739,255),RIGHT('Disaggregation Records'!$D$155:$D$385,255),0))="","",INDEX('Disaggregation Records'!$I$155:$I$385,MATCH(RIGHT(Q1739,255),RIGHT('Disaggregation Records'!$D$155:$D$385,255),0))),"")</f>
        <v/>
      </c>
      <c r="W1739" s="194" t="str">
        <f>IFERROR(INDEX('Reference Records'!L$77:L$157,MATCH(LEFT(C1739,255),'Reference Records'!E$77:E$157,0)),"")</f>
        <v/>
      </c>
    </row>
    <row r="1740" spans="1:23" s="194" customFormat="1" ht="40.4" customHeight="1" x14ac:dyDescent="0.35">
      <c r="A1740" s="770"/>
      <c r="B1740" s="767"/>
      <c r="C1740" s="761"/>
      <c r="D1740" s="769"/>
      <c r="E1740" s="769"/>
      <c r="F1740" s="208"/>
      <c r="G1740" s="763"/>
      <c r="H1740" s="744"/>
      <c r="I1740" s="765"/>
      <c r="J1740" s="730"/>
      <c r="K1740" s="761"/>
      <c r="L1740" s="761"/>
      <c r="M1740" s="730"/>
      <c r="N1740" s="730"/>
    </row>
    <row r="1741" spans="1:23" s="194" customFormat="1" ht="40.4" customHeight="1" x14ac:dyDescent="0.35">
      <c r="A1741" s="770" t="str">
        <f ca="1">INDIRECT("'update Helper'!C"&amp;U1741)</f>
        <v>a163p000004NtQ6AAK</v>
      </c>
      <c r="B1741" s="766">
        <v>29</v>
      </c>
      <c r="C1741" s="760" t="str">
        <f>VLOOKUP(B1741,'Coverage Indicators - Section D'!$A$9:$AU$70,47,FALSE)</f>
        <v/>
      </c>
      <c r="D1741" s="768" t="str">
        <f>R1741</f>
        <v/>
      </c>
      <c r="E1741" s="768" t="str">
        <f>S1741</f>
        <v/>
      </c>
      <c r="F1741" s="413"/>
      <c r="G1741" s="762" t="str">
        <f ca="1">IF(OR(INDIRECT("'update Helper'!E"&amp;U1741)="",F1741&lt;&gt;0,F1742&lt;&gt;0),IF(IFERROR((F1741/F1742),"")="","",(F1741/F1742)),INDIRECT("'update Helper'!E"&amp;U1741)/100)</f>
        <v/>
      </c>
      <c r="H1741" s="743"/>
      <c r="I1741" s="764"/>
      <c r="J1741" s="729"/>
      <c r="K1741" s="760" t="str">
        <f>W1741</f>
        <v/>
      </c>
      <c r="L1741" s="760" t="str">
        <f>V1741</f>
        <v/>
      </c>
      <c r="M1741" s="729"/>
      <c r="N1741" s="729"/>
      <c r="P1741" s="194">
        <f>IF(AND(EXACT(C1741,C1739),C1739&lt;&gt;0),P1739+1,0)</f>
        <v>120</v>
      </c>
      <c r="Q1741" s="194" t="str">
        <f>IF(C1741&lt;&gt;"",C1741&amp;"-"&amp;P1741,"")</f>
        <v/>
      </c>
      <c r="R1741" s="194" t="str">
        <f t="array" ref="R1741">IFERROR(IF(INDEX('Disaggregation Records'!$E$155:$E$385,MATCH(RIGHT(Q1741,255),RIGHT('Disaggregation Records'!$D$155:$D$385,255),0))="","",INDEX('Disaggregation Records'!$E$155:$E$385,MATCH(RIGHT(Q1741,255),RIGHT('Disaggregation Records'!$D$155:$D$385,255),0))),"")</f>
        <v/>
      </c>
      <c r="S1741" s="194" t="str">
        <f t="array" ref="S1741">IFERROR(IF(INDEX('Disaggregation Records'!$F$155:$F$385,MATCH(RIGHT(Q1741,255),RIGHT('Disaggregation Records'!$D$155:$D$385,255),0))="","",INDEX('Disaggregation Records'!$F$155:$F$385,MATCH(RIGHT(Q1741,255),RIGHT('Disaggregation Records'!$D$155:$D$385,255),0))),"")</f>
        <v/>
      </c>
      <c r="T1741" s="194" t="str">
        <f t="array" ref="T1741">IFERROR(IF(INDEX('Disaggregation Records'!$H$155:$H$385,MATCH(RIGHT(Q1741,255),RIGHT('Disaggregation Records'!$D$155:$D$385,255),0))="","",INDEX('Disaggregation Records'!$H$155:$H$385,MATCH(RIGHT(Q1741,255),RIGHT('Disaggregation Records'!$D$155:$D$385,255),0))),"")</f>
        <v/>
      </c>
      <c r="U1741" s="194">
        <f>U1739+1</f>
        <v>3060</v>
      </c>
      <c r="V1741" s="194" t="str">
        <f t="array" ref="V1741">IFERROR(IF(INDEX('Disaggregation Records'!$I$155:$I$385,MATCH(RIGHT(Q1741,255),RIGHT('Disaggregation Records'!$D$155:$D$385,255),0))="","",INDEX('Disaggregation Records'!$I$155:$I$385,MATCH(RIGHT(Q1741,255),RIGHT('Disaggregation Records'!$D$155:$D$385,255),0))),"")</f>
        <v/>
      </c>
      <c r="W1741" s="194" t="str">
        <f>IFERROR(INDEX('Reference Records'!L$77:L$157,MATCH(LEFT(C1741,255),'Reference Records'!E$77:E$157,0)),"")</f>
        <v/>
      </c>
    </row>
    <row r="1742" spans="1:23" s="194" customFormat="1" ht="40.4" customHeight="1" x14ac:dyDescent="0.35">
      <c r="A1742" s="770"/>
      <c r="B1742" s="767"/>
      <c r="C1742" s="761"/>
      <c r="D1742" s="769"/>
      <c r="E1742" s="769"/>
      <c r="F1742" s="208"/>
      <c r="G1742" s="763"/>
      <c r="H1742" s="744"/>
      <c r="I1742" s="765"/>
      <c r="J1742" s="730"/>
      <c r="K1742" s="761"/>
      <c r="L1742" s="761"/>
      <c r="M1742" s="730"/>
      <c r="N1742" s="730"/>
    </row>
    <row r="1743" spans="1:23" s="194" customFormat="1" ht="40.4" customHeight="1" x14ac:dyDescent="0.35">
      <c r="A1743" s="770" t="str">
        <f ca="1">INDIRECT("'update Helper'!C"&amp;U1743)</f>
        <v>a163p000004NtQ7AAK</v>
      </c>
      <c r="B1743" s="766">
        <v>29</v>
      </c>
      <c r="C1743" s="760" t="str">
        <f>VLOOKUP(B1743,'Coverage Indicators - Section D'!$A$9:$AU$70,47,FALSE)</f>
        <v/>
      </c>
      <c r="D1743" s="768" t="str">
        <f>R1743</f>
        <v/>
      </c>
      <c r="E1743" s="768" t="str">
        <f>S1743</f>
        <v/>
      </c>
      <c r="F1743" s="413"/>
      <c r="G1743" s="762" t="str">
        <f ca="1">IF(OR(INDIRECT("'update Helper'!E"&amp;U1743)="",F1743&lt;&gt;0,F1744&lt;&gt;0),IF(IFERROR((F1743/F1744),"")="","",(F1743/F1744)),INDIRECT("'update Helper'!E"&amp;U1743)/100)</f>
        <v/>
      </c>
      <c r="H1743" s="743"/>
      <c r="I1743" s="764"/>
      <c r="J1743" s="729"/>
      <c r="K1743" s="760" t="str">
        <f>W1743</f>
        <v/>
      </c>
      <c r="L1743" s="760" t="str">
        <f>V1743</f>
        <v/>
      </c>
      <c r="M1743" s="729"/>
      <c r="N1743" s="729"/>
      <c r="P1743" s="194">
        <f>IF(AND(EXACT(C1743,C1741),C1741&lt;&gt;0),P1741+1,0)</f>
        <v>121</v>
      </c>
      <c r="Q1743" s="194" t="str">
        <f>IF(C1743&lt;&gt;"",C1743&amp;"-"&amp;P1743,"")</f>
        <v/>
      </c>
      <c r="R1743" s="194" t="str">
        <f t="array" ref="R1743">IFERROR(IF(INDEX('Disaggregation Records'!$E$155:$E$385,MATCH(RIGHT(Q1743,255),RIGHT('Disaggregation Records'!$D$155:$D$385,255),0))="","",INDEX('Disaggregation Records'!$E$155:$E$385,MATCH(RIGHT(Q1743,255),RIGHT('Disaggregation Records'!$D$155:$D$385,255),0))),"")</f>
        <v/>
      </c>
      <c r="S1743" s="194" t="str">
        <f t="array" ref="S1743">IFERROR(IF(INDEX('Disaggregation Records'!$F$155:$F$385,MATCH(RIGHT(Q1743,255),RIGHT('Disaggregation Records'!$D$155:$D$385,255),0))="","",INDEX('Disaggregation Records'!$F$155:$F$385,MATCH(RIGHT(Q1743,255),RIGHT('Disaggregation Records'!$D$155:$D$385,255),0))),"")</f>
        <v/>
      </c>
      <c r="T1743" s="194" t="str">
        <f t="array" ref="T1743">IFERROR(IF(INDEX('Disaggregation Records'!$H$155:$H$385,MATCH(RIGHT(Q1743,255),RIGHT('Disaggregation Records'!$D$155:$D$385,255),0))="","",INDEX('Disaggregation Records'!$H$155:$H$385,MATCH(RIGHT(Q1743,255),RIGHT('Disaggregation Records'!$D$155:$D$385,255),0))),"")</f>
        <v/>
      </c>
      <c r="U1743" s="194">
        <f>U1741+1</f>
        <v>3061</v>
      </c>
      <c r="V1743" s="194" t="str">
        <f t="array" ref="V1743">IFERROR(IF(INDEX('Disaggregation Records'!$I$155:$I$385,MATCH(RIGHT(Q1743,255),RIGHT('Disaggregation Records'!$D$155:$D$385,255),0))="","",INDEX('Disaggregation Records'!$I$155:$I$385,MATCH(RIGHT(Q1743,255),RIGHT('Disaggregation Records'!$D$155:$D$385,255),0))),"")</f>
        <v/>
      </c>
      <c r="W1743" s="194" t="str">
        <f>IFERROR(INDEX('Reference Records'!L$77:L$157,MATCH(LEFT(C1743,255),'Reference Records'!E$77:E$157,0)),"")</f>
        <v/>
      </c>
    </row>
    <row r="1744" spans="1:23" s="194" customFormat="1" ht="40.4" customHeight="1" x14ac:dyDescent="0.35">
      <c r="A1744" s="770"/>
      <c r="B1744" s="767"/>
      <c r="C1744" s="761"/>
      <c r="D1744" s="769"/>
      <c r="E1744" s="769"/>
      <c r="F1744" s="208"/>
      <c r="G1744" s="763"/>
      <c r="H1744" s="744"/>
      <c r="I1744" s="765"/>
      <c r="J1744" s="730"/>
      <c r="K1744" s="761"/>
      <c r="L1744" s="761"/>
      <c r="M1744" s="730"/>
      <c r="N1744" s="730"/>
    </row>
    <row r="1745" spans="1:23" s="194" customFormat="1" ht="40.4" customHeight="1" x14ac:dyDescent="0.35">
      <c r="A1745" s="770" t="str">
        <f ca="1">INDIRECT("'update Helper'!C"&amp;U1745)</f>
        <v>a163p000004NtQ8AAK</v>
      </c>
      <c r="B1745" s="766">
        <v>29</v>
      </c>
      <c r="C1745" s="760" t="str">
        <f>VLOOKUP(B1745,'Coverage Indicators - Section D'!$A$9:$AU$70,47,FALSE)</f>
        <v/>
      </c>
      <c r="D1745" s="768" t="str">
        <f>R1745</f>
        <v/>
      </c>
      <c r="E1745" s="768" t="str">
        <f>S1745</f>
        <v/>
      </c>
      <c r="F1745" s="413"/>
      <c r="G1745" s="762" t="str">
        <f ca="1">IF(OR(INDIRECT("'update Helper'!E"&amp;U1745)="",F1745&lt;&gt;0,F1746&lt;&gt;0),IF(IFERROR((F1745/F1746),"")="","",(F1745/F1746)),INDIRECT("'update Helper'!E"&amp;U1745)/100)</f>
        <v/>
      </c>
      <c r="H1745" s="743"/>
      <c r="I1745" s="764"/>
      <c r="J1745" s="729"/>
      <c r="K1745" s="760" t="str">
        <f>W1745</f>
        <v/>
      </c>
      <c r="L1745" s="760" t="str">
        <f>V1745</f>
        <v/>
      </c>
      <c r="M1745" s="729"/>
      <c r="N1745" s="729"/>
      <c r="P1745" s="194">
        <f>IF(AND(EXACT(C1745,C1743),C1743&lt;&gt;0),P1743+1,0)</f>
        <v>122</v>
      </c>
      <c r="Q1745" s="194" t="str">
        <f>IF(C1745&lt;&gt;"",C1745&amp;"-"&amp;P1745,"")</f>
        <v/>
      </c>
      <c r="R1745" s="194" t="str">
        <f t="array" ref="R1745">IFERROR(IF(INDEX('Disaggregation Records'!$E$155:$E$385,MATCH(RIGHT(Q1745,255),RIGHT('Disaggregation Records'!$D$155:$D$385,255),0))="","",INDEX('Disaggregation Records'!$E$155:$E$385,MATCH(RIGHT(Q1745,255),RIGHT('Disaggregation Records'!$D$155:$D$385,255),0))),"")</f>
        <v/>
      </c>
      <c r="S1745" s="194" t="str">
        <f t="array" ref="S1745">IFERROR(IF(INDEX('Disaggregation Records'!$F$155:$F$385,MATCH(RIGHT(Q1745,255),RIGHT('Disaggregation Records'!$D$155:$D$385,255),0))="","",INDEX('Disaggregation Records'!$F$155:$F$385,MATCH(RIGHT(Q1745,255),RIGHT('Disaggregation Records'!$D$155:$D$385,255),0))),"")</f>
        <v/>
      </c>
      <c r="T1745" s="194" t="str">
        <f t="array" ref="T1745">IFERROR(IF(INDEX('Disaggregation Records'!$H$155:$H$385,MATCH(RIGHT(Q1745,255),RIGHT('Disaggregation Records'!$D$155:$D$385,255),0))="","",INDEX('Disaggregation Records'!$H$155:$H$385,MATCH(RIGHT(Q1745,255),RIGHT('Disaggregation Records'!$D$155:$D$385,255),0))),"")</f>
        <v/>
      </c>
      <c r="U1745" s="194">
        <f>U1743+1</f>
        <v>3062</v>
      </c>
      <c r="V1745" s="194" t="str">
        <f t="array" ref="V1745">IFERROR(IF(INDEX('Disaggregation Records'!$I$155:$I$385,MATCH(RIGHT(Q1745,255),RIGHT('Disaggregation Records'!$D$155:$D$385,255),0))="","",INDEX('Disaggregation Records'!$I$155:$I$385,MATCH(RIGHT(Q1745,255),RIGHT('Disaggregation Records'!$D$155:$D$385,255),0))),"")</f>
        <v/>
      </c>
      <c r="W1745" s="194" t="str">
        <f>IFERROR(INDEX('Reference Records'!L$77:L$157,MATCH(LEFT(C1745,255),'Reference Records'!E$77:E$157,0)),"")</f>
        <v/>
      </c>
    </row>
    <row r="1746" spans="1:23" s="194" customFormat="1" ht="40.4" customHeight="1" x14ac:dyDescent="0.35">
      <c r="A1746" s="770"/>
      <c r="B1746" s="767"/>
      <c r="C1746" s="761"/>
      <c r="D1746" s="769"/>
      <c r="E1746" s="769"/>
      <c r="F1746" s="208"/>
      <c r="G1746" s="763"/>
      <c r="H1746" s="744"/>
      <c r="I1746" s="765"/>
      <c r="J1746" s="730"/>
      <c r="K1746" s="761"/>
      <c r="L1746" s="761"/>
      <c r="M1746" s="730"/>
      <c r="N1746" s="730"/>
    </row>
    <row r="1747" spans="1:23" s="194" customFormat="1" ht="40.4" customHeight="1" x14ac:dyDescent="0.35">
      <c r="A1747" s="770" t="str">
        <f ca="1">INDIRECT("'update Helper'!C"&amp;U1747)</f>
        <v>a163p000004NtQ9AAK</v>
      </c>
      <c r="B1747" s="766">
        <v>29</v>
      </c>
      <c r="C1747" s="760" t="str">
        <f>VLOOKUP(B1747,'Coverage Indicators - Section D'!$A$9:$AU$70,47,FALSE)</f>
        <v/>
      </c>
      <c r="D1747" s="768" t="str">
        <f>R1747</f>
        <v/>
      </c>
      <c r="E1747" s="768" t="str">
        <f>S1747</f>
        <v/>
      </c>
      <c r="F1747" s="413"/>
      <c r="G1747" s="762" t="str">
        <f ca="1">IF(OR(INDIRECT("'update Helper'!E"&amp;U1747)="",F1747&lt;&gt;0,F1748&lt;&gt;0),IF(IFERROR((F1747/F1748),"")="","",(F1747/F1748)),INDIRECT("'update Helper'!E"&amp;U1747)/100)</f>
        <v/>
      </c>
      <c r="H1747" s="743"/>
      <c r="I1747" s="764"/>
      <c r="J1747" s="729"/>
      <c r="K1747" s="760" t="str">
        <f>W1747</f>
        <v/>
      </c>
      <c r="L1747" s="760" t="str">
        <f>V1747</f>
        <v/>
      </c>
      <c r="M1747" s="729"/>
      <c r="N1747" s="729"/>
      <c r="P1747" s="194">
        <f>IF(AND(EXACT(C1747,C1745),C1745&lt;&gt;0),P1745+1,0)</f>
        <v>123</v>
      </c>
      <c r="Q1747" s="194" t="str">
        <f>IF(C1747&lt;&gt;"",C1747&amp;"-"&amp;P1747,"")</f>
        <v/>
      </c>
      <c r="R1747" s="194" t="str">
        <f t="array" ref="R1747">IFERROR(IF(INDEX('Disaggregation Records'!$E$155:$E$385,MATCH(RIGHT(Q1747,255),RIGHT('Disaggregation Records'!$D$155:$D$385,255),0))="","",INDEX('Disaggregation Records'!$E$155:$E$385,MATCH(RIGHT(Q1747,255),RIGHT('Disaggregation Records'!$D$155:$D$385,255),0))),"")</f>
        <v/>
      </c>
      <c r="S1747" s="194" t="str">
        <f t="array" ref="S1747">IFERROR(IF(INDEX('Disaggregation Records'!$F$155:$F$385,MATCH(RIGHT(Q1747,255),RIGHT('Disaggregation Records'!$D$155:$D$385,255),0))="","",INDEX('Disaggregation Records'!$F$155:$F$385,MATCH(RIGHT(Q1747,255),RIGHT('Disaggregation Records'!$D$155:$D$385,255),0))),"")</f>
        <v/>
      </c>
      <c r="T1747" s="194" t="str">
        <f t="array" ref="T1747">IFERROR(IF(INDEX('Disaggregation Records'!$H$155:$H$385,MATCH(RIGHT(Q1747,255),RIGHT('Disaggregation Records'!$D$155:$D$385,255),0))="","",INDEX('Disaggregation Records'!$H$155:$H$385,MATCH(RIGHT(Q1747,255),RIGHT('Disaggregation Records'!$D$155:$D$385,255),0))),"")</f>
        <v/>
      </c>
      <c r="U1747" s="194">
        <f>U1745+1</f>
        <v>3063</v>
      </c>
      <c r="V1747" s="194" t="str">
        <f t="array" ref="V1747">IFERROR(IF(INDEX('Disaggregation Records'!$I$155:$I$385,MATCH(RIGHT(Q1747,255),RIGHT('Disaggregation Records'!$D$155:$D$385,255),0))="","",INDEX('Disaggregation Records'!$I$155:$I$385,MATCH(RIGHT(Q1747,255),RIGHT('Disaggregation Records'!$D$155:$D$385,255),0))),"")</f>
        <v/>
      </c>
      <c r="W1747" s="194" t="str">
        <f>IFERROR(INDEX('Reference Records'!L$77:L$157,MATCH(LEFT(C1747,255),'Reference Records'!E$77:E$157,0)),"")</f>
        <v/>
      </c>
    </row>
    <row r="1748" spans="1:23" s="194" customFormat="1" ht="40.4" customHeight="1" x14ac:dyDescent="0.35">
      <c r="A1748" s="770"/>
      <c r="B1748" s="767"/>
      <c r="C1748" s="761"/>
      <c r="D1748" s="769"/>
      <c r="E1748" s="769"/>
      <c r="F1748" s="208"/>
      <c r="G1748" s="763"/>
      <c r="H1748" s="744"/>
      <c r="I1748" s="765"/>
      <c r="J1748" s="730"/>
      <c r="K1748" s="761"/>
      <c r="L1748" s="761"/>
      <c r="M1748" s="730"/>
      <c r="N1748" s="730"/>
    </row>
    <row r="1749" spans="1:23" s="194" customFormat="1" ht="40.4" customHeight="1" x14ac:dyDescent="0.35">
      <c r="A1749" s="770" t="str">
        <f ca="1">INDIRECT("'update Helper'!C"&amp;U1749)</f>
        <v>a163p000004NtQAAA0</v>
      </c>
      <c r="B1749" s="766">
        <v>29</v>
      </c>
      <c r="C1749" s="760" t="str">
        <f>VLOOKUP(B1749,'Coverage Indicators - Section D'!$A$9:$AU$70,47,FALSE)</f>
        <v/>
      </c>
      <c r="D1749" s="768" t="str">
        <f>R1749</f>
        <v/>
      </c>
      <c r="E1749" s="768" t="str">
        <f>S1749</f>
        <v/>
      </c>
      <c r="F1749" s="413"/>
      <c r="G1749" s="762" t="str">
        <f ca="1">IF(OR(INDIRECT("'update Helper'!E"&amp;U1749)="",F1749&lt;&gt;0,F1750&lt;&gt;0),IF(IFERROR((F1749/F1750),"")="","",(F1749/F1750)),INDIRECT("'update Helper'!E"&amp;U1749)/100)</f>
        <v/>
      </c>
      <c r="H1749" s="743"/>
      <c r="I1749" s="764"/>
      <c r="J1749" s="729"/>
      <c r="K1749" s="760" t="str">
        <f>W1749</f>
        <v/>
      </c>
      <c r="L1749" s="760" t="str">
        <f>V1749</f>
        <v/>
      </c>
      <c r="M1749" s="729"/>
      <c r="N1749" s="729"/>
      <c r="P1749" s="194">
        <f>IF(AND(EXACT(C1749,C1747),C1747&lt;&gt;0),P1747+1,0)</f>
        <v>124</v>
      </c>
      <c r="Q1749" s="194" t="str">
        <f>IF(C1749&lt;&gt;"",C1749&amp;"-"&amp;P1749,"")</f>
        <v/>
      </c>
      <c r="R1749" s="194" t="str">
        <f t="array" ref="R1749">IFERROR(IF(INDEX('Disaggregation Records'!$E$155:$E$385,MATCH(RIGHT(Q1749,255),RIGHT('Disaggregation Records'!$D$155:$D$385,255),0))="","",INDEX('Disaggregation Records'!$E$155:$E$385,MATCH(RIGHT(Q1749,255),RIGHT('Disaggregation Records'!$D$155:$D$385,255),0))),"")</f>
        <v/>
      </c>
      <c r="S1749" s="194" t="str">
        <f t="array" ref="S1749">IFERROR(IF(INDEX('Disaggregation Records'!$F$155:$F$385,MATCH(RIGHT(Q1749,255),RIGHT('Disaggregation Records'!$D$155:$D$385,255),0))="","",INDEX('Disaggregation Records'!$F$155:$F$385,MATCH(RIGHT(Q1749,255),RIGHT('Disaggregation Records'!$D$155:$D$385,255),0))),"")</f>
        <v/>
      </c>
      <c r="T1749" s="194" t="str">
        <f t="array" ref="T1749">IFERROR(IF(INDEX('Disaggregation Records'!$H$155:$H$385,MATCH(RIGHT(Q1749,255),RIGHT('Disaggregation Records'!$D$155:$D$385,255),0))="","",INDEX('Disaggregation Records'!$H$155:$H$385,MATCH(RIGHT(Q1749,255),RIGHT('Disaggregation Records'!$D$155:$D$385,255),0))),"")</f>
        <v/>
      </c>
      <c r="U1749" s="194">
        <f>U1747+1</f>
        <v>3064</v>
      </c>
      <c r="V1749" s="194" t="str">
        <f t="array" ref="V1749">IFERROR(IF(INDEX('Disaggregation Records'!$I$155:$I$385,MATCH(RIGHT(Q1749,255),RIGHT('Disaggregation Records'!$D$155:$D$385,255),0))="","",INDEX('Disaggregation Records'!$I$155:$I$385,MATCH(RIGHT(Q1749,255),RIGHT('Disaggregation Records'!$D$155:$D$385,255),0))),"")</f>
        <v/>
      </c>
      <c r="W1749" s="194" t="str">
        <f>IFERROR(INDEX('Reference Records'!L$77:L$157,MATCH(LEFT(C1749,255),'Reference Records'!E$77:E$157,0)),"")</f>
        <v/>
      </c>
    </row>
    <row r="1750" spans="1:23" s="194" customFormat="1" ht="40.4" customHeight="1" x14ac:dyDescent="0.35">
      <c r="A1750" s="770"/>
      <c r="B1750" s="767"/>
      <c r="C1750" s="761"/>
      <c r="D1750" s="769"/>
      <c r="E1750" s="769"/>
      <c r="F1750" s="208"/>
      <c r="G1750" s="763"/>
      <c r="H1750" s="744"/>
      <c r="I1750" s="765"/>
      <c r="J1750" s="730"/>
      <c r="K1750" s="761"/>
      <c r="L1750" s="761"/>
      <c r="M1750" s="730"/>
      <c r="N1750" s="730"/>
    </row>
    <row r="1751" spans="1:23" s="194" customFormat="1" ht="40.4" customHeight="1" x14ac:dyDescent="0.35">
      <c r="A1751" s="770" t="str">
        <f ca="1">INDIRECT("'update Helper'!C"&amp;U1751)</f>
        <v>a163p000004NtQBAA0</v>
      </c>
      <c r="B1751" s="766">
        <v>29</v>
      </c>
      <c r="C1751" s="760" t="str">
        <f>VLOOKUP(B1751,'Coverage Indicators - Section D'!$A$9:$AU$70,47,FALSE)</f>
        <v/>
      </c>
      <c r="D1751" s="768" t="str">
        <f>R1751</f>
        <v/>
      </c>
      <c r="E1751" s="768" t="str">
        <f>S1751</f>
        <v/>
      </c>
      <c r="F1751" s="413"/>
      <c r="G1751" s="762" t="str">
        <f ca="1">IF(OR(INDIRECT("'update Helper'!E"&amp;U1751)="",F1751&lt;&gt;0,F1752&lt;&gt;0),IF(IFERROR((F1751/F1752),"")="","",(F1751/F1752)),INDIRECT("'update Helper'!E"&amp;U1751)/100)</f>
        <v/>
      </c>
      <c r="H1751" s="743"/>
      <c r="I1751" s="764"/>
      <c r="J1751" s="729"/>
      <c r="K1751" s="760" t="str">
        <f>W1751</f>
        <v/>
      </c>
      <c r="L1751" s="760" t="str">
        <f>V1751</f>
        <v/>
      </c>
      <c r="M1751" s="729"/>
      <c r="N1751" s="729"/>
      <c r="P1751" s="194">
        <f>IF(AND(EXACT(C1751,C1749),C1749&lt;&gt;0),P1749+1,0)</f>
        <v>125</v>
      </c>
      <c r="Q1751" s="194" t="str">
        <f>IF(C1751&lt;&gt;"",C1751&amp;"-"&amp;P1751,"")</f>
        <v/>
      </c>
      <c r="R1751" s="194" t="str">
        <f t="array" ref="R1751">IFERROR(IF(INDEX('Disaggregation Records'!$E$155:$E$385,MATCH(RIGHT(Q1751,255),RIGHT('Disaggregation Records'!$D$155:$D$385,255),0))="","",INDEX('Disaggregation Records'!$E$155:$E$385,MATCH(RIGHT(Q1751,255),RIGHT('Disaggregation Records'!$D$155:$D$385,255),0))),"")</f>
        <v/>
      </c>
      <c r="S1751" s="194" t="str">
        <f t="array" ref="S1751">IFERROR(IF(INDEX('Disaggregation Records'!$F$155:$F$385,MATCH(RIGHT(Q1751,255),RIGHT('Disaggregation Records'!$D$155:$D$385,255),0))="","",INDEX('Disaggregation Records'!$F$155:$F$385,MATCH(RIGHT(Q1751,255),RIGHT('Disaggregation Records'!$D$155:$D$385,255),0))),"")</f>
        <v/>
      </c>
      <c r="T1751" s="194" t="str">
        <f t="array" ref="T1751">IFERROR(IF(INDEX('Disaggregation Records'!$H$155:$H$385,MATCH(RIGHT(Q1751,255),RIGHT('Disaggregation Records'!$D$155:$D$385,255),0))="","",INDEX('Disaggregation Records'!$H$155:$H$385,MATCH(RIGHT(Q1751,255),RIGHT('Disaggregation Records'!$D$155:$D$385,255),0))),"")</f>
        <v/>
      </c>
      <c r="U1751" s="194">
        <f>U1749+1</f>
        <v>3065</v>
      </c>
      <c r="V1751" s="194" t="str">
        <f t="array" ref="V1751">IFERROR(IF(INDEX('Disaggregation Records'!$I$155:$I$385,MATCH(RIGHT(Q1751,255),RIGHT('Disaggregation Records'!$D$155:$D$385,255),0))="","",INDEX('Disaggregation Records'!$I$155:$I$385,MATCH(RIGHT(Q1751,255),RIGHT('Disaggregation Records'!$D$155:$D$385,255),0))),"")</f>
        <v/>
      </c>
      <c r="W1751" s="194" t="str">
        <f>IFERROR(INDEX('Reference Records'!L$77:L$157,MATCH(LEFT(C1751,255),'Reference Records'!E$77:E$157,0)),"")</f>
        <v/>
      </c>
    </row>
    <row r="1752" spans="1:23" s="194" customFormat="1" ht="40.4" customHeight="1" x14ac:dyDescent="0.35">
      <c r="A1752" s="770"/>
      <c r="B1752" s="767"/>
      <c r="C1752" s="761"/>
      <c r="D1752" s="769"/>
      <c r="E1752" s="769"/>
      <c r="F1752" s="208"/>
      <c r="G1752" s="763"/>
      <c r="H1752" s="744"/>
      <c r="I1752" s="765"/>
      <c r="J1752" s="730"/>
      <c r="K1752" s="761"/>
      <c r="L1752" s="761"/>
      <c r="M1752" s="730"/>
      <c r="N1752" s="730"/>
    </row>
    <row r="1753" spans="1:23" s="194" customFormat="1" ht="40.4" customHeight="1" x14ac:dyDescent="0.35">
      <c r="A1753" s="770" t="str">
        <f ca="1">INDIRECT("'update Helper'!C"&amp;U1753)</f>
        <v>a163p000004NtQCAA0</v>
      </c>
      <c r="B1753" s="766">
        <v>29</v>
      </c>
      <c r="C1753" s="760" t="str">
        <f>VLOOKUP(B1753,'Coverage Indicators - Section D'!$A$9:$AU$70,47,FALSE)</f>
        <v/>
      </c>
      <c r="D1753" s="768" t="str">
        <f>R1753</f>
        <v/>
      </c>
      <c r="E1753" s="768" t="str">
        <f>S1753</f>
        <v/>
      </c>
      <c r="F1753" s="413"/>
      <c r="G1753" s="762" t="str">
        <f ca="1">IF(OR(INDIRECT("'update Helper'!E"&amp;U1753)="",F1753&lt;&gt;0,F1754&lt;&gt;0),IF(IFERROR((F1753/F1754),"")="","",(F1753/F1754)),INDIRECT("'update Helper'!E"&amp;U1753)/100)</f>
        <v/>
      </c>
      <c r="H1753" s="743"/>
      <c r="I1753" s="764"/>
      <c r="J1753" s="729"/>
      <c r="K1753" s="760" t="str">
        <f>W1753</f>
        <v/>
      </c>
      <c r="L1753" s="760" t="str">
        <f>V1753</f>
        <v/>
      </c>
      <c r="M1753" s="729"/>
      <c r="N1753" s="729"/>
      <c r="P1753" s="194">
        <f>IF(AND(EXACT(C1753,C1751),C1751&lt;&gt;0),P1751+1,0)</f>
        <v>126</v>
      </c>
      <c r="Q1753" s="194" t="str">
        <f>IF(C1753&lt;&gt;"",C1753&amp;"-"&amp;P1753,"")</f>
        <v/>
      </c>
      <c r="R1753" s="194" t="str">
        <f t="array" ref="R1753">IFERROR(IF(INDEX('Disaggregation Records'!$E$155:$E$385,MATCH(RIGHT(Q1753,255),RIGHT('Disaggregation Records'!$D$155:$D$385,255),0))="","",INDEX('Disaggregation Records'!$E$155:$E$385,MATCH(RIGHT(Q1753,255),RIGHT('Disaggregation Records'!$D$155:$D$385,255),0))),"")</f>
        <v/>
      </c>
      <c r="S1753" s="194" t="str">
        <f t="array" ref="S1753">IFERROR(IF(INDEX('Disaggregation Records'!$F$155:$F$385,MATCH(RIGHT(Q1753,255),RIGHT('Disaggregation Records'!$D$155:$D$385,255),0))="","",INDEX('Disaggregation Records'!$F$155:$F$385,MATCH(RIGHT(Q1753,255),RIGHT('Disaggregation Records'!$D$155:$D$385,255),0))),"")</f>
        <v/>
      </c>
      <c r="T1753" s="194" t="str">
        <f t="array" ref="T1753">IFERROR(IF(INDEX('Disaggregation Records'!$H$155:$H$385,MATCH(RIGHT(Q1753,255),RIGHT('Disaggregation Records'!$D$155:$D$385,255),0))="","",INDEX('Disaggregation Records'!$H$155:$H$385,MATCH(RIGHT(Q1753,255),RIGHT('Disaggregation Records'!$D$155:$D$385,255),0))),"")</f>
        <v/>
      </c>
      <c r="U1753" s="194">
        <f>U1751+1</f>
        <v>3066</v>
      </c>
      <c r="V1753" s="194" t="str">
        <f t="array" ref="V1753">IFERROR(IF(INDEX('Disaggregation Records'!$I$155:$I$385,MATCH(RIGHT(Q1753,255),RIGHT('Disaggregation Records'!$D$155:$D$385,255),0))="","",INDEX('Disaggregation Records'!$I$155:$I$385,MATCH(RIGHT(Q1753,255),RIGHT('Disaggregation Records'!$D$155:$D$385,255),0))),"")</f>
        <v/>
      </c>
      <c r="W1753" s="194" t="str">
        <f>IFERROR(INDEX('Reference Records'!L$77:L$157,MATCH(LEFT(C1753,255),'Reference Records'!E$77:E$157,0)),"")</f>
        <v/>
      </c>
    </row>
    <row r="1754" spans="1:23" s="194" customFormat="1" ht="40.4" customHeight="1" x14ac:dyDescent="0.35">
      <c r="A1754" s="770"/>
      <c r="B1754" s="767"/>
      <c r="C1754" s="761"/>
      <c r="D1754" s="769"/>
      <c r="E1754" s="769"/>
      <c r="F1754" s="208"/>
      <c r="G1754" s="763"/>
      <c r="H1754" s="744"/>
      <c r="I1754" s="765"/>
      <c r="J1754" s="730"/>
      <c r="K1754" s="761"/>
      <c r="L1754" s="761"/>
      <c r="M1754" s="730"/>
      <c r="N1754" s="730"/>
    </row>
    <row r="1755" spans="1:23" s="194" customFormat="1" ht="40.4" customHeight="1" x14ac:dyDescent="0.35">
      <c r="A1755" s="770" t="str">
        <f ca="1">INDIRECT("'update Helper'!C"&amp;U1755)</f>
        <v>a163p000004NtQDAA0</v>
      </c>
      <c r="B1755" s="766">
        <v>29</v>
      </c>
      <c r="C1755" s="760" t="str">
        <f>VLOOKUP(B1755,'Coverage Indicators - Section D'!$A$9:$AU$70,47,FALSE)</f>
        <v/>
      </c>
      <c r="D1755" s="768" t="str">
        <f>R1755</f>
        <v/>
      </c>
      <c r="E1755" s="768" t="str">
        <f>S1755</f>
        <v/>
      </c>
      <c r="F1755" s="413"/>
      <c r="G1755" s="762" t="str">
        <f ca="1">IF(OR(INDIRECT("'update Helper'!E"&amp;U1755)="",F1755&lt;&gt;0,F1756&lt;&gt;0),IF(IFERROR((F1755/F1756),"")="","",(F1755/F1756)),INDIRECT("'update Helper'!E"&amp;U1755)/100)</f>
        <v/>
      </c>
      <c r="H1755" s="743"/>
      <c r="I1755" s="764"/>
      <c r="J1755" s="729"/>
      <c r="K1755" s="760" t="str">
        <f>W1755</f>
        <v/>
      </c>
      <c r="L1755" s="760" t="str">
        <f>V1755</f>
        <v/>
      </c>
      <c r="M1755" s="729"/>
      <c r="N1755" s="729"/>
      <c r="P1755" s="194">
        <f>IF(AND(EXACT(C1755,C1753),C1753&lt;&gt;0),P1753+1,0)</f>
        <v>127</v>
      </c>
      <c r="Q1755" s="194" t="str">
        <f>IF(C1755&lt;&gt;"",C1755&amp;"-"&amp;P1755,"")</f>
        <v/>
      </c>
      <c r="R1755" s="194" t="str">
        <f t="array" ref="R1755">IFERROR(IF(INDEX('Disaggregation Records'!$E$155:$E$385,MATCH(RIGHT(Q1755,255),RIGHT('Disaggregation Records'!$D$155:$D$385,255),0))="","",INDEX('Disaggregation Records'!$E$155:$E$385,MATCH(RIGHT(Q1755,255),RIGHT('Disaggregation Records'!$D$155:$D$385,255),0))),"")</f>
        <v/>
      </c>
      <c r="S1755" s="194" t="str">
        <f t="array" ref="S1755">IFERROR(IF(INDEX('Disaggregation Records'!$F$155:$F$385,MATCH(RIGHT(Q1755,255),RIGHT('Disaggregation Records'!$D$155:$D$385,255),0))="","",INDEX('Disaggregation Records'!$F$155:$F$385,MATCH(RIGHT(Q1755,255),RIGHT('Disaggregation Records'!$D$155:$D$385,255),0))),"")</f>
        <v/>
      </c>
      <c r="T1755" s="194" t="str">
        <f t="array" ref="T1755">IFERROR(IF(INDEX('Disaggregation Records'!$H$155:$H$385,MATCH(RIGHT(Q1755,255),RIGHT('Disaggregation Records'!$D$155:$D$385,255),0))="","",INDEX('Disaggregation Records'!$H$155:$H$385,MATCH(RIGHT(Q1755,255),RIGHT('Disaggregation Records'!$D$155:$D$385,255),0))),"")</f>
        <v/>
      </c>
      <c r="U1755" s="194">
        <f>U1753+1</f>
        <v>3067</v>
      </c>
      <c r="V1755" s="194" t="str">
        <f t="array" ref="V1755">IFERROR(IF(INDEX('Disaggregation Records'!$I$155:$I$385,MATCH(RIGHT(Q1755,255),RIGHT('Disaggregation Records'!$D$155:$D$385,255),0))="","",INDEX('Disaggregation Records'!$I$155:$I$385,MATCH(RIGHT(Q1755,255),RIGHT('Disaggregation Records'!$D$155:$D$385,255),0))),"")</f>
        <v/>
      </c>
      <c r="W1755" s="194" t="str">
        <f>IFERROR(INDEX('Reference Records'!L$77:L$157,MATCH(LEFT(C1755,255),'Reference Records'!E$77:E$157,0)),"")</f>
        <v/>
      </c>
    </row>
    <row r="1756" spans="1:23" s="194" customFormat="1" ht="40.4" customHeight="1" x14ac:dyDescent="0.35">
      <c r="A1756" s="770"/>
      <c r="B1756" s="767"/>
      <c r="C1756" s="761"/>
      <c r="D1756" s="769"/>
      <c r="E1756" s="769"/>
      <c r="F1756" s="208"/>
      <c r="G1756" s="763"/>
      <c r="H1756" s="744"/>
      <c r="I1756" s="765"/>
      <c r="J1756" s="730"/>
      <c r="K1756" s="761"/>
      <c r="L1756" s="761"/>
      <c r="M1756" s="730"/>
      <c r="N1756" s="730"/>
    </row>
    <row r="1757" spans="1:23" s="194" customFormat="1" ht="40.4" customHeight="1" x14ac:dyDescent="0.35">
      <c r="A1757" s="770" t="str">
        <f ca="1">INDIRECT("'update Helper'!C"&amp;U1757)</f>
        <v>a163p000004NtQEAA0</v>
      </c>
      <c r="B1757" s="766">
        <v>29</v>
      </c>
      <c r="C1757" s="760" t="str">
        <f>VLOOKUP(B1757,'Coverage Indicators - Section D'!$A$9:$AU$70,47,FALSE)</f>
        <v/>
      </c>
      <c r="D1757" s="768" t="str">
        <f>R1757</f>
        <v/>
      </c>
      <c r="E1757" s="768" t="str">
        <f>S1757</f>
        <v/>
      </c>
      <c r="F1757" s="413"/>
      <c r="G1757" s="762" t="str">
        <f ca="1">IF(OR(INDIRECT("'update Helper'!E"&amp;U1757)="",F1757&lt;&gt;0,F1758&lt;&gt;0),IF(IFERROR((F1757/F1758),"")="","",(F1757/F1758)),INDIRECT("'update Helper'!E"&amp;U1757)/100)</f>
        <v/>
      </c>
      <c r="H1757" s="743"/>
      <c r="I1757" s="764"/>
      <c r="J1757" s="729"/>
      <c r="K1757" s="760" t="str">
        <f>W1757</f>
        <v/>
      </c>
      <c r="L1757" s="760" t="str">
        <f>V1757</f>
        <v/>
      </c>
      <c r="M1757" s="729"/>
      <c r="N1757" s="729"/>
      <c r="P1757" s="194">
        <f>IF(AND(EXACT(C1757,C1755),C1755&lt;&gt;0),P1755+1,0)</f>
        <v>128</v>
      </c>
      <c r="Q1757" s="194" t="str">
        <f>IF(C1757&lt;&gt;"",C1757&amp;"-"&amp;P1757,"")</f>
        <v/>
      </c>
      <c r="R1757" s="194" t="str">
        <f t="array" ref="R1757">IFERROR(IF(INDEX('Disaggregation Records'!$E$155:$E$385,MATCH(RIGHT(Q1757,255),RIGHT('Disaggregation Records'!$D$155:$D$385,255),0))="","",INDEX('Disaggregation Records'!$E$155:$E$385,MATCH(RIGHT(Q1757,255),RIGHT('Disaggregation Records'!$D$155:$D$385,255),0))),"")</f>
        <v/>
      </c>
      <c r="S1757" s="194" t="str">
        <f t="array" ref="S1757">IFERROR(IF(INDEX('Disaggregation Records'!$F$155:$F$385,MATCH(RIGHT(Q1757,255),RIGHT('Disaggregation Records'!$D$155:$D$385,255),0))="","",INDEX('Disaggregation Records'!$F$155:$F$385,MATCH(RIGHT(Q1757,255),RIGHT('Disaggregation Records'!$D$155:$D$385,255),0))),"")</f>
        <v/>
      </c>
      <c r="T1757" s="194" t="str">
        <f t="array" ref="T1757">IFERROR(IF(INDEX('Disaggregation Records'!$H$155:$H$385,MATCH(RIGHT(Q1757,255),RIGHT('Disaggregation Records'!$D$155:$D$385,255),0))="","",INDEX('Disaggregation Records'!$H$155:$H$385,MATCH(RIGHT(Q1757,255),RIGHT('Disaggregation Records'!$D$155:$D$385,255),0))),"")</f>
        <v/>
      </c>
      <c r="U1757" s="194">
        <f>U1755+1</f>
        <v>3068</v>
      </c>
      <c r="V1757" s="194" t="str">
        <f t="array" ref="V1757">IFERROR(IF(INDEX('Disaggregation Records'!$I$155:$I$385,MATCH(RIGHT(Q1757,255),RIGHT('Disaggregation Records'!$D$155:$D$385,255),0))="","",INDEX('Disaggregation Records'!$I$155:$I$385,MATCH(RIGHT(Q1757,255),RIGHT('Disaggregation Records'!$D$155:$D$385,255),0))),"")</f>
        <v/>
      </c>
      <c r="W1757" s="194" t="str">
        <f>IFERROR(INDEX('Reference Records'!L$77:L$157,MATCH(LEFT(C1757,255),'Reference Records'!E$77:E$157,0)),"")</f>
        <v/>
      </c>
    </row>
    <row r="1758" spans="1:23" s="194" customFormat="1" ht="40.4" customHeight="1" x14ac:dyDescent="0.35">
      <c r="A1758" s="770"/>
      <c r="B1758" s="767"/>
      <c r="C1758" s="761"/>
      <c r="D1758" s="769"/>
      <c r="E1758" s="769"/>
      <c r="F1758" s="208"/>
      <c r="G1758" s="763"/>
      <c r="H1758" s="744"/>
      <c r="I1758" s="765"/>
      <c r="J1758" s="730"/>
      <c r="K1758" s="761"/>
      <c r="L1758" s="761"/>
      <c r="M1758" s="730"/>
      <c r="N1758" s="730"/>
    </row>
    <row r="1759" spans="1:23" s="194" customFormat="1" ht="40.4" customHeight="1" x14ac:dyDescent="0.35">
      <c r="A1759" s="770" t="str">
        <f ca="1">INDIRECT("'update Helper'!C"&amp;U1759)</f>
        <v>a163p000004NtQFAA0</v>
      </c>
      <c r="B1759" s="766">
        <v>29</v>
      </c>
      <c r="C1759" s="760" t="str">
        <f>VLOOKUP(B1759,'Coverage Indicators - Section D'!$A$9:$AU$70,47,FALSE)</f>
        <v/>
      </c>
      <c r="D1759" s="768" t="str">
        <f>R1759</f>
        <v/>
      </c>
      <c r="E1759" s="768" t="str">
        <f>S1759</f>
        <v/>
      </c>
      <c r="F1759" s="413"/>
      <c r="G1759" s="762" t="str">
        <f ca="1">IF(OR(INDIRECT("'update Helper'!E"&amp;U1759)="",F1759&lt;&gt;0,F1760&lt;&gt;0),IF(IFERROR((F1759/F1760),"")="","",(F1759/F1760)),INDIRECT("'update Helper'!E"&amp;U1759)/100)</f>
        <v/>
      </c>
      <c r="H1759" s="743"/>
      <c r="I1759" s="764"/>
      <c r="J1759" s="729"/>
      <c r="K1759" s="760" t="str">
        <f>W1759</f>
        <v/>
      </c>
      <c r="L1759" s="760" t="str">
        <f>V1759</f>
        <v/>
      </c>
      <c r="M1759" s="729"/>
      <c r="N1759" s="729"/>
      <c r="P1759" s="194">
        <f>IF(AND(EXACT(C1759,C1757),C1757&lt;&gt;0),P1757+1,0)</f>
        <v>129</v>
      </c>
      <c r="Q1759" s="194" t="str">
        <f>IF(C1759&lt;&gt;"",C1759&amp;"-"&amp;P1759,"")</f>
        <v/>
      </c>
      <c r="R1759" s="194" t="str">
        <f t="array" ref="R1759">IFERROR(IF(INDEX('Disaggregation Records'!$E$155:$E$385,MATCH(RIGHT(Q1759,255),RIGHT('Disaggregation Records'!$D$155:$D$385,255),0))="","",INDEX('Disaggregation Records'!$E$155:$E$385,MATCH(RIGHT(Q1759,255),RIGHT('Disaggregation Records'!$D$155:$D$385,255),0))),"")</f>
        <v/>
      </c>
      <c r="S1759" s="194" t="str">
        <f t="array" ref="S1759">IFERROR(IF(INDEX('Disaggregation Records'!$F$155:$F$385,MATCH(RIGHT(Q1759,255),RIGHT('Disaggregation Records'!$D$155:$D$385,255),0))="","",INDEX('Disaggregation Records'!$F$155:$F$385,MATCH(RIGHT(Q1759,255),RIGHT('Disaggregation Records'!$D$155:$D$385,255),0))),"")</f>
        <v/>
      </c>
      <c r="T1759" s="194" t="str">
        <f t="array" ref="T1759">IFERROR(IF(INDEX('Disaggregation Records'!$H$155:$H$385,MATCH(RIGHT(Q1759,255),RIGHT('Disaggregation Records'!$D$155:$D$385,255),0))="","",INDEX('Disaggregation Records'!$H$155:$H$385,MATCH(RIGHT(Q1759,255),RIGHT('Disaggregation Records'!$D$155:$D$385,255),0))),"")</f>
        <v/>
      </c>
      <c r="U1759" s="194">
        <f>U1757+1</f>
        <v>3069</v>
      </c>
      <c r="V1759" s="194" t="str">
        <f t="array" ref="V1759">IFERROR(IF(INDEX('Disaggregation Records'!$I$155:$I$385,MATCH(RIGHT(Q1759,255),RIGHT('Disaggregation Records'!$D$155:$D$385,255),0))="","",INDEX('Disaggregation Records'!$I$155:$I$385,MATCH(RIGHT(Q1759,255),RIGHT('Disaggregation Records'!$D$155:$D$385,255),0))),"")</f>
        <v/>
      </c>
      <c r="W1759" s="194" t="str">
        <f>IFERROR(INDEX('Reference Records'!L$77:L$157,MATCH(LEFT(C1759,255),'Reference Records'!E$77:E$157,0)),"")</f>
        <v/>
      </c>
    </row>
    <row r="1760" spans="1:23" s="194" customFormat="1" ht="40.4" customHeight="1" x14ac:dyDescent="0.35">
      <c r="A1760" s="770"/>
      <c r="B1760" s="767"/>
      <c r="C1760" s="761"/>
      <c r="D1760" s="769"/>
      <c r="E1760" s="769"/>
      <c r="F1760" s="208"/>
      <c r="G1760" s="763"/>
      <c r="H1760" s="744"/>
      <c r="I1760" s="765"/>
      <c r="J1760" s="730"/>
      <c r="K1760" s="761"/>
      <c r="L1760" s="761"/>
      <c r="M1760" s="730"/>
      <c r="N1760" s="730"/>
    </row>
    <row r="1761" spans="1:23" s="194" customFormat="1" ht="40.4" customHeight="1" x14ac:dyDescent="0.35">
      <c r="A1761" s="770" t="str">
        <f ca="1">INDIRECT("'update Helper'!C"&amp;U1761)</f>
        <v>a163p000004NtQGAA0</v>
      </c>
      <c r="B1761" s="766">
        <v>29</v>
      </c>
      <c r="C1761" s="760" t="str">
        <f>VLOOKUP(B1761,'Coverage Indicators - Section D'!$A$9:$AU$70,47,FALSE)</f>
        <v/>
      </c>
      <c r="D1761" s="768" t="str">
        <f>R1761</f>
        <v/>
      </c>
      <c r="E1761" s="768" t="str">
        <f>S1761</f>
        <v/>
      </c>
      <c r="F1761" s="413"/>
      <c r="G1761" s="762" t="str">
        <f ca="1">IF(OR(INDIRECT("'update Helper'!E"&amp;U1761)="",F1761&lt;&gt;0,F1762&lt;&gt;0),IF(IFERROR((F1761/F1762),"")="","",(F1761/F1762)),INDIRECT("'update Helper'!E"&amp;U1761)/100)</f>
        <v/>
      </c>
      <c r="H1761" s="743"/>
      <c r="I1761" s="764"/>
      <c r="J1761" s="729"/>
      <c r="K1761" s="760" t="str">
        <f>W1761</f>
        <v/>
      </c>
      <c r="L1761" s="760" t="str">
        <f>V1761</f>
        <v/>
      </c>
      <c r="M1761" s="729"/>
      <c r="N1761" s="729"/>
      <c r="P1761" s="194">
        <f>IF(AND(EXACT(C1761,C1759),C1759&lt;&gt;0),P1759+1,0)</f>
        <v>130</v>
      </c>
      <c r="Q1761" s="194" t="str">
        <f>IF(C1761&lt;&gt;"",C1761&amp;"-"&amp;P1761,"")</f>
        <v/>
      </c>
      <c r="R1761" s="194" t="str">
        <f t="array" ref="R1761">IFERROR(IF(INDEX('Disaggregation Records'!$E$155:$E$385,MATCH(RIGHT(Q1761,255),RIGHT('Disaggregation Records'!$D$155:$D$385,255),0))="","",INDEX('Disaggregation Records'!$E$155:$E$385,MATCH(RIGHT(Q1761,255),RIGHT('Disaggregation Records'!$D$155:$D$385,255),0))),"")</f>
        <v/>
      </c>
      <c r="S1761" s="194" t="str">
        <f t="array" ref="S1761">IFERROR(IF(INDEX('Disaggregation Records'!$F$155:$F$385,MATCH(RIGHT(Q1761,255),RIGHT('Disaggregation Records'!$D$155:$D$385,255),0))="","",INDEX('Disaggregation Records'!$F$155:$F$385,MATCH(RIGHT(Q1761,255),RIGHT('Disaggregation Records'!$D$155:$D$385,255),0))),"")</f>
        <v/>
      </c>
      <c r="T1761" s="194" t="str">
        <f t="array" ref="T1761">IFERROR(IF(INDEX('Disaggregation Records'!$H$155:$H$385,MATCH(RIGHT(Q1761,255),RIGHT('Disaggregation Records'!$D$155:$D$385,255),0))="","",INDEX('Disaggregation Records'!$H$155:$H$385,MATCH(RIGHT(Q1761,255),RIGHT('Disaggregation Records'!$D$155:$D$385,255),0))),"")</f>
        <v/>
      </c>
      <c r="U1761" s="194">
        <f>U1759+1</f>
        <v>3070</v>
      </c>
      <c r="V1761" s="194" t="str">
        <f t="array" ref="V1761">IFERROR(IF(INDEX('Disaggregation Records'!$I$155:$I$385,MATCH(RIGHT(Q1761,255),RIGHT('Disaggregation Records'!$D$155:$D$385,255),0))="","",INDEX('Disaggregation Records'!$I$155:$I$385,MATCH(RIGHT(Q1761,255),RIGHT('Disaggregation Records'!$D$155:$D$385,255),0))),"")</f>
        <v/>
      </c>
      <c r="W1761" s="194" t="str">
        <f>IFERROR(INDEX('Reference Records'!L$77:L$157,MATCH(LEFT(C1761,255),'Reference Records'!E$77:E$157,0)),"")</f>
        <v/>
      </c>
    </row>
    <row r="1762" spans="1:23" s="194" customFormat="1" ht="40.4" customHeight="1" x14ac:dyDescent="0.35">
      <c r="A1762" s="770"/>
      <c r="B1762" s="767"/>
      <c r="C1762" s="761"/>
      <c r="D1762" s="769"/>
      <c r="E1762" s="769"/>
      <c r="F1762" s="208"/>
      <c r="G1762" s="763"/>
      <c r="H1762" s="744"/>
      <c r="I1762" s="765"/>
      <c r="J1762" s="730"/>
      <c r="K1762" s="761"/>
      <c r="L1762" s="761"/>
      <c r="M1762" s="730"/>
      <c r="N1762" s="730"/>
    </row>
    <row r="1763" spans="1:23" s="194" customFormat="1" ht="40.4" customHeight="1" x14ac:dyDescent="0.35">
      <c r="A1763" s="770" t="str">
        <f ca="1">INDIRECT("'update Helper'!C"&amp;U1763)</f>
        <v>a163p000004NtQHAA0</v>
      </c>
      <c r="B1763" s="766">
        <v>29</v>
      </c>
      <c r="C1763" s="760" t="str">
        <f>VLOOKUP(B1763,'Coverage Indicators - Section D'!$A$9:$AU$70,47,FALSE)</f>
        <v/>
      </c>
      <c r="D1763" s="768" t="str">
        <f>R1763</f>
        <v/>
      </c>
      <c r="E1763" s="768" t="str">
        <f>S1763</f>
        <v/>
      </c>
      <c r="F1763" s="413"/>
      <c r="G1763" s="762" t="str">
        <f ca="1">IF(OR(INDIRECT("'update Helper'!E"&amp;U1763)="",F1763&lt;&gt;0,F1764&lt;&gt;0),IF(IFERROR((F1763/F1764),"")="","",(F1763/F1764)),INDIRECT("'update Helper'!E"&amp;U1763)/100)</f>
        <v/>
      </c>
      <c r="H1763" s="743"/>
      <c r="I1763" s="764"/>
      <c r="J1763" s="729"/>
      <c r="K1763" s="760" t="str">
        <f>W1763</f>
        <v/>
      </c>
      <c r="L1763" s="760" t="str">
        <f>V1763</f>
        <v/>
      </c>
      <c r="M1763" s="729"/>
      <c r="N1763" s="729"/>
      <c r="P1763" s="194">
        <f>IF(AND(EXACT(C1763,C1761),C1761&lt;&gt;0),P1761+1,0)</f>
        <v>131</v>
      </c>
      <c r="Q1763" s="194" t="str">
        <f>IF(C1763&lt;&gt;"",C1763&amp;"-"&amp;P1763,"")</f>
        <v/>
      </c>
      <c r="R1763" s="194" t="str">
        <f t="array" ref="R1763">IFERROR(IF(INDEX('Disaggregation Records'!$E$155:$E$385,MATCH(RIGHT(Q1763,255),RIGHT('Disaggregation Records'!$D$155:$D$385,255),0))="","",INDEX('Disaggregation Records'!$E$155:$E$385,MATCH(RIGHT(Q1763,255),RIGHT('Disaggregation Records'!$D$155:$D$385,255),0))),"")</f>
        <v/>
      </c>
      <c r="S1763" s="194" t="str">
        <f t="array" ref="S1763">IFERROR(IF(INDEX('Disaggregation Records'!$F$155:$F$385,MATCH(RIGHT(Q1763,255),RIGHT('Disaggregation Records'!$D$155:$D$385,255),0))="","",INDEX('Disaggregation Records'!$F$155:$F$385,MATCH(RIGHT(Q1763,255),RIGHT('Disaggregation Records'!$D$155:$D$385,255),0))),"")</f>
        <v/>
      </c>
      <c r="T1763" s="194" t="str">
        <f t="array" ref="T1763">IFERROR(IF(INDEX('Disaggregation Records'!$H$155:$H$385,MATCH(RIGHT(Q1763,255),RIGHT('Disaggregation Records'!$D$155:$D$385,255),0))="","",INDEX('Disaggregation Records'!$H$155:$H$385,MATCH(RIGHT(Q1763,255),RIGHT('Disaggregation Records'!$D$155:$D$385,255),0))),"")</f>
        <v/>
      </c>
      <c r="U1763" s="194">
        <f>U1761+1</f>
        <v>3071</v>
      </c>
      <c r="V1763" s="194" t="str">
        <f t="array" ref="V1763">IFERROR(IF(INDEX('Disaggregation Records'!$I$155:$I$385,MATCH(RIGHT(Q1763,255),RIGHT('Disaggregation Records'!$D$155:$D$385,255),0))="","",INDEX('Disaggregation Records'!$I$155:$I$385,MATCH(RIGHT(Q1763,255),RIGHT('Disaggregation Records'!$D$155:$D$385,255),0))),"")</f>
        <v/>
      </c>
      <c r="W1763" s="194" t="str">
        <f>IFERROR(INDEX('Reference Records'!L$77:L$157,MATCH(LEFT(C1763,255),'Reference Records'!E$77:E$157,0)),"")</f>
        <v/>
      </c>
    </row>
    <row r="1764" spans="1:23" s="194" customFormat="1" ht="40.4" customHeight="1" x14ac:dyDescent="0.35">
      <c r="A1764" s="770"/>
      <c r="B1764" s="767"/>
      <c r="C1764" s="761"/>
      <c r="D1764" s="769"/>
      <c r="E1764" s="769"/>
      <c r="F1764" s="208"/>
      <c r="G1764" s="763"/>
      <c r="H1764" s="744"/>
      <c r="I1764" s="765"/>
      <c r="J1764" s="730"/>
      <c r="K1764" s="761"/>
      <c r="L1764" s="761"/>
      <c r="M1764" s="730"/>
      <c r="N1764" s="730"/>
    </row>
    <row r="1765" spans="1:23" s="194" customFormat="1" ht="40.4" customHeight="1" x14ac:dyDescent="0.35">
      <c r="A1765" s="770" t="str">
        <f ca="1">INDIRECT("'update Helper'!C"&amp;U1765)</f>
        <v>a163p000004NtQIAA0</v>
      </c>
      <c r="B1765" s="766">
        <v>29</v>
      </c>
      <c r="C1765" s="760" t="str">
        <f>VLOOKUP(B1765,'Coverage Indicators - Section D'!$A$9:$AU$70,47,FALSE)</f>
        <v/>
      </c>
      <c r="D1765" s="768" t="str">
        <f>R1765</f>
        <v/>
      </c>
      <c r="E1765" s="768" t="str">
        <f>S1765</f>
        <v/>
      </c>
      <c r="F1765" s="413"/>
      <c r="G1765" s="762" t="str">
        <f ca="1">IF(OR(INDIRECT("'update Helper'!E"&amp;U1765)="",F1765&lt;&gt;0,F1766&lt;&gt;0),IF(IFERROR((F1765/F1766),"")="","",(F1765/F1766)),INDIRECT("'update Helper'!E"&amp;U1765)/100)</f>
        <v/>
      </c>
      <c r="H1765" s="743"/>
      <c r="I1765" s="764"/>
      <c r="J1765" s="729"/>
      <c r="K1765" s="760" t="str">
        <f>W1765</f>
        <v/>
      </c>
      <c r="L1765" s="760" t="str">
        <f>V1765</f>
        <v/>
      </c>
      <c r="M1765" s="729"/>
      <c r="N1765" s="729"/>
      <c r="P1765" s="194">
        <f>IF(AND(EXACT(C1765,C1763),C1763&lt;&gt;0),P1763+1,0)</f>
        <v>132</v>
      </c>
      <c r="Q1765" s="194" t="str">
        <f>IF(C1765&lt;&gt;"",C1765&amp;"-"&amp;P1765,"")</f>
        <v/>
      </c>
      <c r="R1765" s="194" t="str">
        <f t="array" ref="R1765">IFERROR(IF(INDEX('Disaggregation Records'!$E$155:$E$385,MATCH(RIGHT(Q1765,255),RIGHT('Disaggregation Records'!$D$155:$D$385,255),0))="","",INDEX('Disaggregation Records'!$E$155:$E$385,MATCH(RIGHT(Q1765,255),RIGHT('Disaggregation Records'!$D$155:$D$385,255),0))),"")</f>
        <v/>
      </c>
      <c r="S1765" s="194" t="str">
        <f t="array" ref="S1765">IFERROR(IF(INDEX('Disaggregation Records'!$F$155:$F$385,MATCH(RIGHT(Q1765,255),RIGHT('Disaggregation Records'!$D$155:$D$385,255),0))="","",INDEX('Disaggregation Records'!$F$155:$F$385,MATCH(RIGHT(Q1765,255),RIGHT('Disaggregation Records'!$D$155:$D$385,255),0))),"")</f>
        <v/>
      </c>
      <c r="T1765" s="194" t="str">
        <f t="array" ref="T1765">IFERROR(IF(INDEX('Disaggregation Records'!$H$155:$H$385,MATCH(RIGHT(Q1765,255),RIGHT('Disaggregation Records'!$D$155:$D$385,255),0))="","",INDEX('Disaggregation Records'!$H$155:$H$385,MATCH(RIGHT(Q1765,255),RIGHT('Disaggregation Records'!$D$155:$D$385,255),0))),"")</f>
        <v/>
      </c>
      <c r="U1765" s="194">
        <f>U1763+1</f>
        <v>3072</v>
      </c>
      <c r="V1765" s="194" t="str">
        <f t="array" ref="V1765">IFERROR(IF(INDEX('Disaggregation Records'!$I$155:$I$385,MATCH(RIGHT(Q1765,255),RIGHT('Disaggregation Records'!$D$155:$D$385,255),0))="","",INDEX('Disaggregation Records'!$I$155:$I$385,MATCH(RIGHT(Q1765,255),RIGHT('Disaggregation Records'!$D$155:$D$385,255),0))),"")</f>
        <v/>
      </c>
      <c r="W1765" s="194" t="str">
        <f>IFERROR(INDEX('Reference Records'!L$77:L$157,MATCH(LEFT(C1765,255),'Reference Records'!E$77:E$157,0)),"")</f>
        <v/>
      </c>
    </row>
    <row r="1766" spans="1:23" s="194" customFormat="1" ht="40.4" customHeight="1" x14ac:dyDescent="0.35">
      <c r="A1766" s="770"/>
      <c r="B1766" s="767"/>
      <c r="C1766" s="761"/>
      <c r="D1766" s="769"/>
      <c r="E1766" s="769"/>
      <c r="F1766" s="208"/>
      <c r="G1766" s="763"/>
      <c r="H1766" s="744"/>
      <c r="I1766" s="765"/>
      <c r="J1766" s="730"/>
      <c r="K1766" s="761"/>
      <c r="L1766" s="761"/>
      <c r="M1766" s="730"/>
      <c r="N1766" s="730"/>
    </row>
    <row r="1767" spans="1:23" s="194" customFormat="1" ht="40.4" customHeight="1" x14ac:dyDescent="0.35">
      <c r="A1767" s="770" t="str">
        <f ca="1">INDIRECT("'update Helper'!C"&amp;U1767)</f>
        <v>a163p000004NtQJAA0</v>
      </c>
      <c r="B1767" s="766">
        <v>29</v>
      </c>
      <c r="C1767" s="760" t="str">
        <f>VLOOKUP(B1767,'Coverage Indicators - Section D'!$A$9:$AU$70,47,FALSE)</f>
        <v/>
      </c>
      <c r="D1767" s="768" t="str">
        <f>R1767</f>
        <v/>
      </c>
      <c r="E1767" s="768" t="str">
        <f>S1767</f>
        <v/>
      </c>
      <c r="F1767" s="413"/>
      <c r="G1767" s="762" t="str">
        <f ca="1">IF(OR(INDIRECT("'update Helper'!E"&amp;U1767)="",F1767&lt;&gt;0,F1768&lt;&gt;0),IF(IFERROR((F1767/F1768),"")="","",(F1767/F1768)),INDIRECT("'update Helper'!E"&amp;U1767)/100)</f>
        <v/>
      </c>
      <c r="H1767" s="743"/>
      <c r="I1767" s="764"/>
      <c r="J1767" s="729"/>
      <c r="K1767" s="760" t="str">
        <f>W1767</f>
        <v/>
      </c>
      <c r="L1767" s="760" t="str">
        <f>V1767</f>
        <v/>
      </c>
      <c r="M1767" s="729"/>
      <c r="N1767" s="729"/>
      <c r="P1767" s="194">
        <f>IF(AND(EXACT(C1767,C1765),C1765&lt;&gt;0),P1765+1,0)</f>
        <v>133</v>
      </c>
      <c r="Q1767" s="194" t="str">
        <f>IF(C1767&lt;&gt;"",C1767&amp;"-"&amp;P1767,"")</f>
        <v/>
      </c>
      <c r="R1767" s="194" t="str">
        <f t="array" ref="R1767">IFERROR(IF(INDEX('Disaggregation Records'!$E$155:$E$385,MATCH(RIGHT(Q1767,255),RIGHT('Disaggregation Records'!$D$155:$D$385,255),0))="","",INDEX('Disaggregation Records'!$E$155:$E$385,MATCH(RIGHT(Q1767,255),RIGHT('Disaggregation Records'!$D$155:$D$385,255),0))),"")</f>
        <v/>
      </c>
      <c r="S1767" s="194" t="str">
        <f t="array" ref="S1767">IFERROR(IF(INDEX('Disaggregation Records'!$F$155:$F$385,MATCH(RIGHT(Q1767,255),RIGHT('Disaggregation Records'!$D$155:$D$385,255),0))="","",INDEX('Disaggregation Records'!$F$155:$F$385,MATCH(RIGHT(Q1767,255),RIGHT('Disaggregation Records'!$D$155:$D$385,255),0))),"")</f>
        <v/>
      </c>
      <c r="T1767" s="194" t="str">
        <f t="array" ref="T1767">IFERROR(IF(INDEX('Disaggregation Records'!$H$155:$H$385,MATCH(RIGHT(Q1767,255),RIGHT('Disaggregation Records'!$D$155:$D$385,255),0))="","",INDEX('Disaggregation Records'!$H$155:$H$385,MATCH(RIGHT(Q1767,255),RIGHT('Disaggregation Records'!$D$155:$D$385,255),0))),"")</f>
        <v/>
      </c>
      <c r="U1767" s="194">
        <f>U1765+1</f>
        <v>3073</v>
      </c>
      <c r="V1767" s="194" t="str">
        <f t="array" ref="V1767">IFERROR(IF(INDEX('Disaggregation Records'!$I$155:$I$385,MATCH(RIGHT(Q1767,255),RIGHT('Disaggregation Records'!$D$155:$D$385,255),0))="","",INDEX('Disaggregation Records'!$I$155:$I$385,MATCH(RIGHT(Q1767,255),RIGHT('Disaggregation Records'!$D$155:$D$385,255),0))),"")</f>
        <v/>
      </c>
      <c r="W1767" s="194" t="str">
        <f>IFERROR(INDEX('Reference Records'!L$77:L$157,MATCH(LEFT(C1767,255),'Reference Records'!E$77:E$157,0)),"")</f>
        <v/>
      </c>
    </row>
    <row r="1768" spans="1:23" s="194" customFormat="1" ht="40.4" customHeight="1" x14ac:dyDescent="0.35">
      <c r="A1768" s="770"/>
      <c r="B1768" s="767"/>
      <c r="C1768" s="761"/>
      <c r="D1768" s="769"/>
      <c r="E1768" s="769"/>
      <c r="F1768" s="208"/>
      <c r="G1768" s="763"/>
      <c r="H1768" s="744"/>
      <c r="I1768" s="765"/>
      <c r="J1768" s="730"/>
      <c r="K1768" s="761"/>
      <c r="L1768" s="761"/>
      <c r="M1768" s="730"/>
      <c r="N1768" s="730"/>
    </row>
    <row r="1769" spans="1:23" s="194" customFormat="1" ht="40.4" customHeight="1" x14ac:dyDescent="0.35">
      <c r="A1769" s="770" t="str">
        <f ca="1">INDIRECT("'update Helper'!C"&amp;U1769)</f>
        <v>a163p000004NtQKAA0</v>
      </c>
      <c r="B1769" s="766">
        <v>29</v>
      </c>
      <c r="C1769" s="760" t="str">
        <f>VLOOKUP(B1769,'Coverage Indicators - Section D'!$A$9:$AU$70,47,FALSE)</f>
        <v/>
      </c>
      <c r="D1769" s="768" t="str">
        <f>R1769</f>
        <v/>
      </c>
      <c r="E1769" s="768" t="str">
        <f>S1769</f>
        <v/>
      </c>
      <c r="F1769" s="413"/>
      <c r="G1769" s="762" t="str">
        <f ca="1">IF(OR(INDIRECT("'update Helper'!E"&amp;U1769)="",F1769&lt;&gt;0,F1770&lt;&gt;0),IF(IFERROR((F1769/F1770),"")="","",(F1769/F1770)),INDIRECT("'update Helper'!E"&amp;U1769)/100)</f>
        <v/>
      </c>
      <c r="H1769" s="743"/>
      <c r="I1769" s="764"/>
      <c r="J1769" s="729"/>
      <c r="K1769" s="760" t="str">
        <f>W1769</f>
        <v/>
      </c>
      <c r="L1769" s="760" t="str">
        <f>V1769</f>
        <v/>
      </c>
      <c r="M1769" s="729"/>
      <c r="N1769" s="729"/>
      <c r="P1769" s="194">
        <f>IF(AND(EXACT(C1769,C1767),C1767&lt;&gt;0),P1767+1,0)</f>
        <v>134</v>
      </c>
      <c r="Q1769" s="194" t="str">
        <f>IF(C1769&lt;&gt;"",C1769&amp;"-"&amp;P1769,"")</f>
        <v/>
      </c>
      <c r="R1769" s="194" t="str">
        <f t="array" ref="R1769">IFERROR(IF(INDEX('Disaggregation Records'!$E$155:$E$385,MATCH(RIGHT(Q1769,255),RIGHT('Disaggregation Records'!$D$155:$D$385,255),0))="","",INDEX('Disaggregation Records'!$E$155:$E$385,MATCH(RIGHT(Q1769,255),RIGHT('Disaggregation Records'!$D$155:$D$385,255),0))),"")</f>
        <v/>
      </c>
      <c r="S1769" s="194" t="str">
        <f t="array" ref="S1769">IFERROR(IF(INDEX('Disaggregation Records'!$F$155:$F$385,MATCH(RIGHT(Q1769,255),RIGHT('Disaggregation Records'!$D$155:$D$385,255),0))="","",INDEX('Disaggregation Records'!$F$155:$F$385,MATCH(RIGHT(Q1769,255),RIGHT('Disaggregation Records'!$D$155:$D$385,255),0))),"")</f>
        <v/>
      </c>
      <c r="T1769" s="194" t="str">
        <f t="array" ref="T1769">IFERROR(IF(INDEX('Disaggregation Records'!$H$155:$H$385,MATCH(RIGHT(Q1769,255),RIGHT('Disaggregation Records'!$D$155:$D$385,255),0))="","",INDEX('Disaggregation Records'!$H$155:$H$385,MATCH(RIGHT(Q1769,255),RIGHT('Disaggregation Records'!$D$155:$D$385,255),0))),"")</f>
        <v/>
      </c>
      <c r="U1769" s="194">
        <f>U1767+1</f>
        <v>3074</v>
      </c>
      <c r="V1769" s="194" t="str">
        <f t="array" ref="V1769">IFERROR(IF(INDEX('Disaggregation Records'!$I$155:$I$385,MATCH(RIGHT(Q1769,255),RIGHT('Disaggregation Records'!$D$155:$D$385,255),0))="","",INDEX('Disaggregation Records'!$I$155:$I$385,MATCH(RIGHT(Q1769,255),RIGHT('Disaggregation Records'!$D$155:$D$385,255),0))),"")</f>
        <v/>
      </c>
      <c r="W1769" s="194" t="str">
        <f>IFERROR(INDEX('Reference Records'!L$77:L$157,MATCH(LEFT(C1769,255),'Reference Records'!E$77:E$157,0)),"")</f>
        <v/>
      </c>
    </row>
    <row r="1770" spans="1:23" s="194" customFormat="1" ht="40.4" customHeight="1" x14ac:dyDescent="0.35">
      <c r="A1770" s="770"/>
      <c r="B1770" s="767"/>
      <c r="C1770" s="761"/>
      <c r="D1770" s="769"/>
      <c r="E1770" s="769"/>
      <c r="F1770" s="208"/>
      <c r="G1770" s="763"/>
      <c r="H1770" s="744"/>
      <c r="I1770" s="765"/>
      <c r="J1770" s="730"/>
      <c r="K1770" s="761"/>
      <c r="L1770" s="761"/>
      <c r="M1770" s="730"/>
      <c r="N1770" s="730"/>
    </row>
    <row r="1771" spans="1:23" s="194" customFormat="1" ht="40.4" customHeight="1" x14ac:dyDescent="0.35">
      <c r="A1771" s="770" t="str">
        <f ca="1">INDIRECT("'update Helper'!C"&amp;U1771)</f>
        <v>a163p000004NtQLAA0</v>
      </c>
      <c r="B1771" s="766">
        <v>29</v>
      </c>
      <c r="C1771" s="760" t="str">
        <f>VLOOKUP(B1771,'Coverage Indicators - Section D'!$A$9:$AU$70,47,FALSE)</f>
        <v/>
      </c>
      <c r="D1771" s="768" t="str">
        <f>R1771</f>
        <v/>
      </c>
      <c r="E1771" s="768" t="str">
        <f>S1771</f>
        <v/>
      </c>
      <c r="F1771" s="413"/>
      <c r="G1771" s="762" t="str">
        <f ca="1">IF(OR(INDIRECT("'update Helper'!E"&amp;U1771)="",F1771&lt;&gt;0,F1772&lt;&gt;0),IF(IFERROR((F1771/F1772),"")="","",(F1771/F1772)),INDIRECT("'update Helper'!E"&amp;U1771)/100)</f>
        <v/>
      </c>
      <c r="H1771" s="743"/>
      <c r="I1771" s="764"/>
      <c r="J1771" s="729"/>
      <c r="K1771" s="760" t="str">
        <f>W1771</f>
        <v/>
      </c>
      <c r="L1771" s="760" t="str">
        <f>V1771</f>
        <v/>
      </c>
      <c r="M1771" s="729"/>
      <c r="N1771" s="729"/>
      <c r="P1771" s="194">
        <f>IF(AND(EXACT(C1771,C1769),C1769&lt;&gt;0),P1769+1,0)</f>
        <v>135</v>
      </c>
      <c r="Q1771" s="194" t="str">
        <f>IF(C1771&lt;&gt;"",C1771&amp;"-"&amp;P1771,"")</f>
        <v/>
      </c>
      <c r="R1771" s="194" t="str">
        <f t="array" ref="R1771">IFERROR(IF(INDEX('Disaggregation Records'!$E$155:$E$385,MATCH(RIGHT(Q1771,255),RIGHT('Disaggregation Records'!$D$155:$D$385,255),0))="","",INDEX('Disaggregation Records'!$E$155:$E$385,MATCH(RIGHT(Q1771,255),RIGHT('Disaggregation Records'!$D$155:$D$385,255),0))),"")</f>
        <v/>
      </c>
      <c r="S1771" s="194" t="str">
        <f t="array" ref="S1771">IFERROR(IF(INDEX('Disaggregation Records'!$F$155:$F$385,MATCH(RIGHT(Q1771,255),RIGHT('Disaggregation Records'!$D$155:$D$385,255),0))="","",INDEX('Disaggregation Records'!$F$155:$F$385,MATCH(RIGHT(Q1771,255),RIGHT('Disaggregation Records'!$D$155:$D$385,255),0))),"")</f>
        <v/>
      </c>
      <c r="T1771" s="194" t="str">
        <f t="array" ref="T1771">IFERROR(IF(INDEX('Disaggregation Records'!$H$155:$H$385,MATCH(RIGHT(Q1771,255),RIGHT('Disaggregation Records'!$D$155:$D$385,255),0))="","",INDEX('Disaggregation Records'!$H$155:$H$385,MATCH(RIGHT(Q1771,255),RIGHT('Disaggregation Records'!$D$155:$D$385,255),0))),"")</f>
        <v/>
      </c>
      <c r="U1771" s="194">
        <f>U1769+1</f>
        <v>3075</v>
      </c>
      <c r="V1771" s="194" t="str">
        <f t="array" ref="V1771">IFERROR(IF(INDEX('Disaggregation Records'!$I$155:$I$385,MATCH(RIGHT(Q1771,255),RIGHT('Disaggregation Records'!$D$155:$D$385,255),0))="","",INDEX('Disaggregation Records'!$I$155:$I$385,MATCH(RIGHT(Q1771,255),RIGHT('Disaggregation Records'!$D$155:$D$385,255),0))),"")</f>
        <v/>
      </c>
      <c r="W1771" s="194" t="str">
        <f>IFERROR(INDEX('Reference Records'!L$77:L$157,MATCH(LEFT(C1771,255),'Reference Records'!E$77:E$157,0)),"")</f>
        <v/>
      </c>
    </row>
    <row r="1772" spans="1:23" s="194" customFormat="1" ht="40.4" customHeight="1" x14ac:dyDescent="0.35">
      <c r="A1772" s="770"/>
      <c r="B1772" s="767"/>
      <c r="C1772" s="761"/>
      <c r="D1772" s="769"/>
      <c r="E1772" s="769"/>
      <c r="F1772" s="208"/>
      <c r="G1772" s="763"/>
      <c r="H1772" s="744"/>
      <c r="I1772" s="765"/>
      <c r="J1772" s="730"/>
      <c r="K1772" s="761"/>
      <c r="L1772" s="761"/>
      <c r="M1772" s="730"/>
      <c r="N1772" s="730"/>
    </row>
    <row r="1773" spans="1:23" s="194" customFormat="1" ht="40.4" customHeight="1" x14ac:dyDescent="0.35">
      <c r="A1773" s="770" t="str">
        <f ca="1">INDIRECT("'update Helper'!C"&amp;U1773)</f>
        <v>a163p000004NtQMAA0</v>
      </c>
      <c r="B1773" s="766">
        <v>29</v>
      </c>
      <c r="C1773" s="760" t="str">
        <f>VLOOKUP(B1773,'Coverage Indicators - Section D'!$A$9:$AU$70,47,FALSE)</f>
        <v/>
      </c>
      <c r="D1773" s="768" t="str">
        <f>R1773</f>
        <v/>
      </c>
      <c r="E1773" s="768" t="str">
        <f>S1773</f>
        <v/>
      </c>
      <c r="F1773" s="413"/>
      <c r="G1773" s="762" t="str">
        <f ca="1">IF(OR(INDIRECT("'update Helper'!E"&amp;U1773)="",F1773&lt;&gt;0,F1774&lt;&gt;0),IF(IFERROR((F1773/F1774),"")="","",(F1773/F1774)),INDIRECT("'update Helper'!E"&amp;U1773)/100)</f>
        <v/>
      </c>
      <c r="H1773" s="743"/>
      <c r="I1773" s="764"/>
      <c r="J1773" s="729"/>
      <c r="K1773" s="760" t="str">
        <f>W1773</f>
        <v/>
      </c>
      <c r="L1773" s="760" t="str">
        <f>V1773</f>
        <v/>
      </c>
      <c r="M1773" s="729"/>
      <c r="N1773" s="729"/>
      <c r="P1773" s="194">
        <f>IF(AND(EXACT(C1773,C1771),C1771&lt;&gt;0),P1771+1,0)</f>
        <v>136</v>
      </c>
      <c r="Q1773" s="194" t="str">
        <f>IF(C1773&lt;&gt;"",C1773&amp;"-"&amp;P1773,"")</f>
        <v/>
      </c>
      <c r="R1773" s="194" t="str">
        <f t="array" ref="R1773">IFERROR(IF(INDEX('Disaggregation Records'!$E$155:$E$385,MATCH(RIGHT(Q1773,255),RIGHT('Disaggregation Records'!$D$155:$D$385,255),0))="","",INDEX('Disaggregation Records'!$E$155:$E$385,MATCH(RIGHT(Q1773,255),RIGHT('Disaggregation Records'!$D$155:$D$385,255),0))),"")</f>
        <v/>
      </c>
      <c r="S1773" s="194" t="str">
        <f t="array" ref="S1773">IFERROR(IF(INDEX('Disaggregation Records'!$F$155:$F$385,MATCH(RIGHT(Q1773,255),RIGHT('Disaggregation Records'!$D$155:$D$385,255),0))="","",INDEX('Disaggregation Records'!$F$155:$F$385,MATCH(RIGHT(Q1773,255),RIGHT('Disaggregation Records'!$D$155:$D$385,255),0))),"")</f>
        <v/>
      </c>
      <c r="T1773" s="194" t="str">
        <f t="array" ref="T1773">IFERROR(IF(INDEX('Disaggregation Records'!$H$155:$H$385,MATCH(RIGHT(Q1773,255),RIGHT('Disaggregation Records'!$D$155:$D$385,255),0))="","",INDEX('Disaggregation Records'!$H$155:$H$385,MATCH(RIGHT(Q1773,255),RIGHT('Disaggregation Records'!$D$155:$D$385,255),0))),"")</f>
        <v/>
      </c>
      <c r="U1773" s="194">
        <f>U1771+1</f>
        <v>3076</v>
      </c>
      <c r="V1773" s="194" t="str">
        <f t="array" ref="V1773">IFERROR(IF(INDEX('Disaggregation Records'!$I$155:$I$385,MATCH(RIGHT(Q1773,255),RIGHT('Disaggregation Records'!$D$155:$D$385,255),0))="","",INDEX('Disaggregation Records'!$I$155:$I$385,MATCH(RIGHT(Q1773,255),RIGHT('Disaggregation Records'!$D$155:$D$385,255),0))),"")</f>
        <v/>
      </c>
      <c r="W1773" s="194" t="str">
        <f>IFERROR(INDEX('Reference Records'!L$77:L$157,MATCH(LEFT(C1773,255),'Reference Records'!E$77:E$157,0)),"")</f>
        <v/>
      </c>
    </row>
    <row r="1774" spans="1:23" s="194" customFormat="1" ht="40.4" customHeight="1" x14ac:dyDescent="0.35">
      <c r="A1774" s="770"/>
      <c r="B1774" s="767"/>
      <c r="C1774" s="761"/>
      <c r="D1774" s="769"/>
      <c r="E1774" s="769"/>
      <c r="F1774" s="208"/>
      <c r="G1774" s="763"/>
      <c r="H1774" s="744"/>
      <c r="I1774" s="765"/>
      <c r="J1774" s="730"/>
      <c r="K1774" s="761"/>
      <c r="L1774" s="761"/>
      <c r="M1774" s="730"/>
      <c r="N1774" s="730"/>
    </row>
    <row r="1775" spans="1:23" s="194" customFormat="1" ht="40.4" customHeight="1" x14ac:dyDescent="0.35">
      <c r="A1775" s="770" t="str">
        <f ca="1">INDIRECT("'update Helper'!C"&amp;U1775)</f>
        <v>a163p000004NtQNAA0</v>
      </c>
      <c r="B1775" s="766">
        <v>29</v>
      </c>
      <c r="C1775" s="760" t="str">
        <f>VLOOKUP(B1775,'Coverage Indicators - Section D'!$A$9:$AU$70,47,FALSE)</f>
        <v/>
      </c>
      <c r="D1775" s="768" t="str">
        <f>R1775</f>
        <v/>
      </c>
      <c r="E1775" s="768" t="str">
        <f>S1775</f>
        <v/>
      </c>
      <c r="F1775" s="413"/>
      <c r="G1775" s="762" t="str">
        <f ca="1">IF(OR(INDIRECT("'update Helper'!E"&amp;U1775)="",F1775&lt;&gt;0,F1776&lt;&gt;0),IF(IFERROR((F1775/F1776),"")="","",(F1775/F1776)),INDIRECT("'update Helper'!E"&amp;U1775)/100)</f>
        <v/>
      </c>
      <c r="H1775" s="743"/>
      <c r="I1775" s="764"/>
      <c r="J1775" s="729"/>
      <c r="K1775" s="760" t="str">
        <f>W1775</f>
        <v/>
      </c>
      <c r="L1775" s="760" t="str">
        <f>V1775</f>
        <v/>
      </c>
      <c r="M1775" s="729"/>
      <c r="N1775" s="729"/>
      <c r="P1775" s="194">
        <f>IF(AND(EXACT(C1775,C1773),C1773&lt;&gt;0),P1773+1,0)</f>
        <v>137</v>
      </c>
      <c r="Q1775" s="194" t="str">
        <f>IF(C1775&lt;&gt;"",C1775&amp;"-"&amp;P1775,"")</f>
        <v/>
      </c>
      <c r="R1775" s="194" t="str">
        <f t="array" ref="R1775">IFERROR(IF(INDEX('Disaggregation Records'!$E$155:$E$385,MATCH(RIGHT(Q1775,255),RIGHT('Disaggregation Records'!$D$155:$D$385,255),0))="","",INDEX('Disaggregation Records'!$E$155:$E$385,MATCH(RIGHT(Q1775,255),RIGHT('Disaggregation Records'!$D$155:$D$385,255),0))),"")</f>
        <v/>
      </c>
      <c r="S1775" s="194" t="str">
        <f t="array" ref="S1775">IFERROR(IF(INDEX('Disaggregation Records'!$F$155:$F$385,MATCH(RIGHT(Q1775,255),RIGHT('Disaggregation Records'!$D$155:$D$385,255),0))="","",INDEX('Disaggregation Records'!$F$155:$F$385,MATCH(RIGHT(Q1775,255),RIGHT('Disaggregation Records'!$D$155:$D$385,255),0))),"")</f>
        <v/>
      </c>
      <c r="T1775" s="194" t="str">
        <f t="array" ref="T1775">IFERROR(IF(INDEX('Disaggregation Records'!$H$155:$H$385,MATCH(RIGHT(Q1775,255),RIGHT('Disaggregation Records'!$D$155:$D$385,255),0))="","",INDEX('Disaggregation Records'!$H$155:$H$385,MATCH(RIGHT(Q1775,255),RIGHT('Disaggregation Records'!$D$155:$D$385,255),0))),"")</f>
        <v/>
      </c>
      <c r="U1775" s="194">
        <f>U1773+1</f>
        <v>3077</v>
      </c>
      <c r="V1775" s="194" t="str">
        <f t="array" ref="V1775">IFERROR(IF(INDEX('Disaggregation Records'!$I$155:$I$385,MATCH(RIGHT(Q1775,255),RIGHT('Disaggregation Records'!$D$155:$D$385,255),0))="","",INDEX('Disaggregation Records'!$I$155:$I$385,MATCH(RIGHT(Q1775,255),RIGHT('Disaggregation Records'!$D$155:$D$385,255),0))),"")</f>
        <v/>
      </c>
      <c r="W1775" s="194" t="str">
        <f>IFERROR(INDEX('Reference Records'!L$77:L$157,MATCH(LEFT(C1775,255),'Reference Records'!E$77:E$157,0)),"")</f>
        <v/>
      </c>
    </row>
    <row r="1776" spans="1:23" s="194" customFormat="1" ht="40.4" customHeight="1" x14ac:dyDescent="0.35">
      <c r="A1776" s="770"/>
      <c r="B1776" s="767"/>
      <c r="C1776" s="761"/>
      <c r="D1776" s="769"/>
      <c r="E1776" s="769"/>
      <c r="F1776" s="208"/>
      <c r="G1776" s="763"/>
      <c r="H1776" s="744"/>
      <c r="I1776" s="765"/>
      <c r="J1776" s="730"/>
      <c r="K1776" s="761"/>
      <c r="L1776" s="761"/>
      <c r="M1776" s="730"/>
      <c r="N1776" s="730"/>
    </row>
    <row r="1777" spans="1:23" s="194" customFormat="1" ht="40.4" customHeight="1" x14ac:dyDescent="0.35">
      <c r="A1777" s="770" t="str">
        <f ca="1">INDIRECT("'update Helper'!C"&amp;U1777)</f>
        <v>a163p000004NtQOAA0</v>
      </c>
      <c r="B1777" s="766">
        <v>29</v>
      </c>
      <c r="C1777" s="760" t="str">
        <f>VLOOKUP(B1777,'Coverage Indicators - Section D'!$A$9:$AU$70,47,FALSE)</f>
        <v/>
      </c>
      <c r="D1777" s="768" t="str">
        <f>R1777</f>
        <v/>
      </c>
      <c r="E1777" s="768" t="str">
        <f>S1777</f>
        <v/>
      </c>
      <c r="F1777" s="413"/>
      <c r="G1777" s="762" t="str">
        <f ca="1">IF(OR(INDIRECT("'update Helper'!E"&amp;U1777)="",F1777&lt;&gt;0,F1778&lt;&gt;0),IF(IFERROR((F1777/F1778),"")="","",(F1777/F1778)),INDIRECT("'update Helper'!E"&amp;U1777)/100)</f>
        <v/>
      </c>
      <c r="H1777" s="743"/>
      <c r="I1777" s="764"/>
      <c r="J1777" s="729"/>
      <c r="K1777" s="760" t="str">
        <f>W1777</f>
        <v/>
      </c>
      <c r="L1777" s="760" t="str">
        <f>V1777</f>
        <v/>
      </c>
      <c r="M1777" s="729"/>
      <c r="N1777" s="729"/>
      <c r="P1777" s="194">
        <f>IF(AND(EXACT(C1777,C1775),C1775&lt;&gt;0),P1775+1,0)</f>
        <v>138</v>
      </c>
      <c r="Q1777" s="194" t="str">
        <f>IF(C1777&lt;&gt;"",C1777&amp;"-"&amp;P1777,"")</f>
        <v/>
      </c>
      <c r="R1777" s="194" t="str">
        <f t="array" ref="R1777">IFERROR(IF(INDEX('Disaggregation Records'!$E$155:$E$385,MATCH(RIGHT(Q1777,255),RIGHT('Disaggregation Records'!$D$155:$D$385,255),0))="","",INDEX('Disaggregation Records'!$E$155:$E$385,MATCH(RIGHT(Q1777,255),RIGHT('Disaggregation Records'!$D$155:$D$385,255),0))),"")</f>
        <v/>
      </c>
      <c r="S1777" s="194" t="str">
        <f t="array" ref="S1777">IFERROR(IF(INDEX('Disaggregation Records'!$F$155:$F$385,MATCH(RIGHT(Q1777,255),RIGHT('Disaggregation Records'!$D$155:$D$385,255),0))="","",INDEX('Disaggregation Records'!$F$155:$F$385,MATCH(RIGHT(Q1777,255),RIGHT('Disaggregation Records'!$D$155:$D$385,255),0))),"")</f>
        <v/>
      </c>
      <c r="T1777" s="194" t="str">
        <f t="array" ref="T1777">IFERROR(IF(INDEX('Disaggregation Records'!$H$155:$H$385,MATCH(RIGHT(Q1777,255),RIGHT('Disaggregation Records'!$D$155:$D$385,255),0))="","",INDEX('Disaggregation Records'!$H$155:$H$385,MATCH(RIGHT(Q1777,255),RIGHT('Disaggregation Records'!$D$155:$D$385,255),0))),"")</f>
        <v/>
      </c>
      <c r="U1777" s="194">
        <f>U1775+1</f>
        <v>3078</v>
      </c>
      <c r="V1777" s="194" t="str">
        <f t="array" ref="V1777">IFERROR(IF(INDEX('Disaggregation Records'!$I$155:$I$385,MATCH(RIGHT(Q1777,255),RIGHT('Disaggregation Records'!$D$155:$D$385,255),0))="","",INDEX('Disaggregation Records'!$I$155:$I$385,MATCH(RIGHT(Q1777,255),RIGHT('Disaggregation Records'!$D$155:$D$385,255),0))),"")</f>
        <v/>
      </c>
      <c r="W1777" s="194" t="str">
        <f>IFERROR(INDEX('Reference Records'!L$77:L$157,MATCH(LEFT(C1777,255),'Reference Records'!E$77:E$157,0)),"")</f>
        <v/>
      </c>
    </row>
    <row r="1778" spans="1:23" s="194" customFormat="1" ht="40.4" customHeight="1" x14ac:dyDescent="0.35">
      <c r="A1778" s="770"/>
      <c r="B1778" s="767"/>
      <c r="C1778" s="761"/>
      <c r="D1778" s="769"/>
      <c r="E1778" s="769"/>
      <c r="F1778" s="208"/>
      <c r="G1778" s="763"/>
      <c r="H1778" s="744"/>
      <c r="I1778" s="765"/>
      <c r="J1778" s="730"/>
      <c r="K1778" s="761"/>
      <c r="L1778" s="761"/>
      <c r="M1778" s="730"/>
      <c r="N1778" s="730"/>
    </row>
    <row r="1779" spans="1:23" s="194" customFormat="1" ht="40.4" customHeight="1" x14ac:dyDescent="0.35">
      <c r="A1779" s="770" t="str">
        <f ca="1">INDIRECT("'update Helper'!C"&amp;U1779)</f>
        <v>a163p000004NtQPAA0</v>
      </c>
      <c r="B1779" s="766">
        <v>29</v>
      </c>
      <c r="C1779" s="760" t="str">
        <f>VLOOKUP(B1779,'Coverage Indicators - Section D'!$A$9:$AU$70,47,FALSE)</f>
        <v/>
      </c>
      <c r="D1779" s="768" t="str">
        <f>R1779</f>
        <v/>
      </c>
      <c r="E1779" s="768" t="str">
        <f>S1779</f>
        <v/>
      </c>
      <c r="F1779" s="413"/>
      <c r="G1779" s="762" t="str">
        <f ca="1">IF(OR(INDIRECT("'update Helper'!E"&amp;U1779)="",F1779&lt;&gt;0,F1780&lt;&gt;0),IF(IFERROR((F1779/F1780),"")="","",(F1779/F1780)),INDIRECT("'update Helper'!E"&amp;U1779)/100)</f>
        <v/>
      </c>
      <c r="H1779" s="743"/>
      <c r="I1779" s="764"/>
      <c r="J1779" s="729"/>
      <c r="K1779" s="760" t="str">
        <f>W1779</f>
        <v/>
      </c>
      <c r="L1779" s="760" t="str">
        <f>V1779</f>
        <v/>
      </c>
      <c r="M1779" s="729"/>
      <c r="N1779" s="729"/>
      <c r="P1779" s="194">
        <f>IF(AND(EXACT(C1779,C1777),C1777&lt;&gt;0),P1777+1,0)</f>
        <v>139</v>
      </c>
      <c r="Q1779" s="194" t="str">
        <f>IF(C1779&lt;&gt;"",C1779&amp;"-"&amp;P1779,"")</f>
        <v/>
      </c>
      <c r="R1779" s="194" t="str">
        <f t="array" ref="R1779">IFERROR(IF(INDEX('Disaggregation Records'!$E$155:$E$385,MATCH(RIGHT(Q1779,255),RIGHT('Disaggregation Records'!$D$155:$D$385,255),0))="","",INDEX('Disaggregation Records'!$E$155:$E$385,MATCH(RIGHT(Q1779,255),RIGHT('Disaggregation Records'!$D$155:$D$385,255),0))),"")</f>
        <v/>
      </c>
      <c r="S1779" s="194" t="str">
        <f t="array" ref="S1779">IFERROR(IF(INDEX('Disaggregation Records'!$F$155:$F$385,MATCH(RIGHT(Q1779,255),RIGHT('Disaggregation Records'!$D$155:$D$385,255),0))="","",INDEX('Disaggregation Records'!$F$155:$F$385,MATCH(RIGHT(Q1779,255),RIGHT('Disaggregation Records'!$D$155:$D$385,255),0))),"")</f>
        <v/>
      </c>
      <c r="T1779" s="194" t="str">
        <f t="array" ref="T1779">IFERROR(IF(INDEX('Disaggregation Records'!$H$155:$H$385,MATCH(RIGHT(Q1779,255),RIGHT('Disaggregation Records'!$D$155:$D$385,255),0))="","",INDEX('Disaggregation Records'!$H$155:$H$385,MATCH(RIGHT(Q1779,255),RIGHT('Disaggregation Records'!$D$155:$D$385,255),0))),"")</f>
        <v/>
      </c>
      <c r="U1779" s="194">
        <f>U1777+1</f>
        <v>3079</v>
      </c>
      <c r="V1779" s="194" t="str">
        <f t="array" ref="V1779">IFERROR(IF(INDEX('Disaggregation Records'!$I$155:$I$385,MATCH(RIGHT(Q1779,255),RIGHT('Disaggregation Records'!$D$155:$D$385,255),0))="","",INDEX('Disaggregation Records'!$I$155:$I$385,MATCH(RIGHT(Q1779,255),RIGHT('Disaggregation Records'!$D$155:$D$385,255),0))),"")</f>
        <v/>
      </c>
      <c r="W1779" s="194" t="str">
        <f>IFERROR(INDEX('Reference Records'!L$77:L$157,MATCH(LEFT(C1779,255),'Reference Records'!E$77:E$157,0)),"")</f>
        <v/>
      </c>
    </row>
    <row r="1780" spans="1:23" s="194" customFormat="1" ht="40.4" customHeight="1" x14ac:dyDescent="0.35">
      <c r="A1780" s="770"/>
      <c r="B1780" s="767"/>
      <c r="C1780" s="761"/>
      <c r="D1780" s="769"/>
      <c r="E1780" s="769"/>
      <c r="F1780" s="208"/>
      <c r="G1780" s="763"/>
      <c r="H1780" s="744"/>
      <c r="I1780" s="765"/>
      <c r="J1780" s="730"/>
      <c r="K1780" s="761"/>
      <c r="L1780" s="761"/>
      <c r="M1780" s="730"/>
      <c r="N1780" s="730"/>
    </row>
    <row r="1781" spans="1:23" s="194" customFormat="1" ht="40.4" customHeight="1" x14ac:dyDescent="0.35">
      <c r="A1781" s="770" t="str">
        <f ca="1">INDIRECT("'update Helper'!C"&amp;U1781)</f>
        <v>a163p000004NtZmAAK</v>
      </c>
      <c r="B1781" s="766">
        <v>30</v>
      </c>
      <c r="C1781" s="760" t="str">
        <f ca="1">VLOOKUP(B1781,'Coverage Indicators - Section D'!$A$9:$AU$70,47,FALSE)</f>
        <v/>
      </c>
      <c r="D1781" s="768" t="str">
        <f ca="1">R1781</f>
        <v/>
      </c>
      <c r="E1781" s="768" t="str">
        <f ca="1">S1781</f>
        <v/>
      </c>
      <c r="F1781" s="413"/>
      <c r="G1781" s="762" t="str">
        <f ca="1">IF(OR(INDIRECT("'update Helper'!E"&amp;U1781)="",F1781&lt;&gt;0,F1782&lt;&gt;0),IF(IFERROR((F1781/F1782),"")="","",(F1781/F1782)),INDIRECT("'update Helper'!E"&amp;U1781)/100)</f>
        <v/>
      </c>
      <c r="H1781" s="743"/>
      <c r="I1781" s="764"/>
      <c r="J1781" s="729"/>
      <c r="K1781" s="760" t="str">
        <f ca="1">W1781</f>
        <v/>
      </c>
      <c r="L1781" s="760" t="str">
        <f ca="1">V1781</f>
        <v/>
      </c>
      <c r="M1781" s="729"/>
      <c r="N1781" s="729"/>
      <c r="P1781" s="194">
        <f ca="1">IF(AND(EXACT(C1781,C1779),C1779&lt;&gt;0),P1779+1,0)</f>
        <v>140</v>
      </c>
      <c r="Q1781" s="194" t="str">
        <f ca="1">IF(C1781&lt;&gt;"",C1781&amp;"-"&amp;P1781,"")</f>
        <v/>
      </c>
      <c r="R1781" s="194" t="str">
        <f t="array" aca="1" ref="R1781" ca="1">IFERROR(IF(INDEX('Disaggregation Records'!$E$155:$E$385,MATCH(RIGHT(Q1781,255),RIGHT('Disaggregation Records'!$D$155:$D$385,255),0))="","",INDEX('Disaggregation Records'!$E$155:$E$385,MATCH(RIGHT(Q1781,255),RIGHT('Disaggregation Records'!$D$155:$D$385,255),0))),"")</f>
        <v/>
      </c>
      <c r="S1781" s="194" t="str">
        <f t="array" aca="1" ref="S1781" ca="1">IFERROR(IF(INDEX('Disaggregation Records'!$F$155:$F$385,MATCH(RIGHT(Q1781,255),RIGHT('Disaggregation Records'!$D$155:$D$385,255),0))="","",INDEX('Disaggregation Records'!$F$155:$F$385,MATCH(RIGHT(Q1781,255),RIGHT('Disaggregation Records'!$D$155:$D$385,255),0))),"")</f>
        <v/>
      </c>
      <c r="T1781" s="194" t="str">
        <f t="array" aca="1" ref="T1781" ca="1">IFERROR(IF(INDEX('Disaggregation Records'!$H$155:$H$385,MATCH(RIGHT(Q1781,255),RIGHT('Disaggregation Records'!$D$155:$D$385,255),0))="","",INDEX('Disaggregation Records'!$H$155:$H$385,MATCH(RIGHT(Q1781,255),RIGHT('Disaggregation Records'!$D$155:$D$385,255),0))),"")</f>
        <v/>
      </c>
      <c r="U1781" s="194">
        <f>U1779+1</f>
        <v>3080</v>
      </c>
      <c r="V1781" s="194" t="str">
        <f t="array" aca="1" ref="V1781" ca="1">IFERROR(IF(INDEX('Disaggregation Records'!$I$155:$I$385,MATCH(RIGHT(Q1781,255),RIGHT('Disaggregation Records'!$D$155:$D$385,255),0))="","",INDEX('Disaggregation Records'!$I$155:$I$385,MATCH(RIGHT(Q1781,255),RIGHT('Disaggregation Records'!$D$155:$D$385,255),0))),"")</f>
        <v/>
      </c>
      <c r="W1781" s="194" t="str">
        <f ca="1">IFERROR(INDEX('Reference Records'!L$77:L$157,MATCH(LEFT(C1781,255),'Reference Records'!E$77:E$157,0)),"")</f>
        <v/>
      </c>
    </row>
    <row r="1782" spans="1:23" s="194" customFormat="1" ht="40.4" customHeight="1" x14ac:dyDescent="0.35">
      <c r="A1782" s="770"/>
      <c r="B1782" s="767"/>
      <c r="C1782" s="761"/>
      <c r="D1782" s="769"/>
      <c r="E1782" s="769"/>
      <c r="F1782" s="208"/>
      <c r="G1782" s="763"/>
      <c r="H1782" s="744"/>
      <c r="I1782" s="765"/>
      <c r="J1782" s="730"/>
      <c r="K1782" s="761"/>
      <c r="L1782" s="761"/>
      <c r="M1782" s="730"/>
      <c r="N1782" s="730"/>
    </row>
    <row r="1783" spans="1:23" s="194" customFormat="1" ht="40.4" customHeight="1" x14ac:dyDescent="0.35">
      <c r="A1783" s="770" t="str">
        <f ca="1">INDIRECT("'update Helper'!C"&amp;U1783)</f>
        <v>a163p000004NtZnAAK</v>
      </c>
      <c r="B1783" s="766">
        <v>30</v>
      </c>
      <c r="C1783" s="760" t="str">
        <f ca="1">VLOOKUP(B1783,'Coverage Indicators - Section D'!$A$9:$AU$70,47,FALSE)</f>
        <v/>
      </c>
      <c r="D1783" s="768" t="str">
        <f ca="1">R1783</f>
        <v/>
      </c>
      <c r="E1783" s="768" t="str">
        <f ca="1">S1783</f>
        <v/>
      </c>
      <c r="F1783" s="413"/>
      <c r="G1783" s="762" t="str">
        <f ca="1">IF(OR(INDIRECT("'update Helper'!E"&amp;U1783)="",F1783&lt;&gt;0,F1784&lt;&gt;0),IF(IFERROR((F1783/F1784),"")="","",(F1783/F1784)),INDIRECT("'update Helper'!E"&amp;U1783)/100)</f>
        <v/>
      </c>
      <c r="H1783" s="743"/>
      <c r="I1783" s="764"/>
      <c r="J1783" s="729"/>
      <c r="K1783" s="760" t="str">
        <f ca="1">W1783</f>
        <v/>
      </c>
      <c r="L1783" s="760" t="str">
        <f ca="1">V1783</f>
        <v/>
      </c>
      <c r="M1783" s="729"/>
      <c r="N1783" s="729"/>
      <c r="P1783" s="194">
        <f ca="1">IF(AND(EXACT(C1783,C1781),C1781&lt;&gt;0),P1781+1,0)</f>
        <v>141</v>
      </c>
      <c r="Q1783" s="194" t="str">
        <f ca="1">IF(C1783&lt;&gt;"",C1783&amp;"-"&amp;P1783,"")</f>
        <v/>
      </c>
      <c r="R1783" s="194" t="str">
        <f t="array" aca="1" ref="R1783" ca="1">IFERROR(IF(INDEX('Disaggregation Records'!$E$155:$E$385,MATCH(RIGHT(Q1783,255),RIGHT('Disaggregation Records'!$D$155:$D$385,255),0))="","",INDEX('Disaggregation Records'!$E$155:$E$385,MATCH(RIGHT(Q1783,255),RIGHT('Disaggregation Records'!$D$155:$D$385,255),0))),"")</f>
        <v/>
      </c>
      <c r="S1783" s="194" t="str">
        <f t="array" aca="1" ref="S1783" ca="1">IFERROR(IF(INDEX('Disaggregation Records'!$F$155:$F$385,MATCH(RIGHT(Q1783,255),RIGHT('Disaggregation Records'!$D$155:$D$385,255),0))="","",INDEX('Disaggregation Records'!$F$155:$F$385,MATCH(RIGHT(Q1783,255),RIGHT('Disaggregation Records'!$D$155:$D$385,255),0))),"")</f>
        <v/>
      </c>
      <c r="T1783" s="194" t="str">
        <f t="array" aca="1" ref="T1783" ca="1">IFERROR(IF(INDEX('Disaggregation Records'!$H$155:$H$385,MATCH(RIGHT(Q1783,255),RIGHT('Disaggregation Records'!$D$155:$D$385,255),0))="","",INDEX('Disaggregation Records'!$H$155:$H$385,MATCH(RIGHT(Q1783,255),RIGHT('Disaggregation Records'!$D$155:$D$385,255),0))),"")</f>
        <v/>
      </c>
      <c r="U1783" s="194">
        <f>U1781+1</f>
        <v>3081</v>
      </c>
      <c r="V1783" s="194" t="str">
        <f t="array" aca="1" ref="V1783" ca="1">IFERROR(IF(INDEX('Disaggregation Records'!$I$155:$I$385,MATCH(RIGHT(Q1783,255),RIGHT('Disaggregation Records'!$D$155:$D$385,255),0))="","",INDEX('Disaggregation Records'!$I$155:$I$385,MATCH(RIGHT(Q1783,255),RIGHT('Disaggregation Records'!$D$155:$D$385,255),0))),"")</f>
        <v/>
      </c>
      <c r="W1783" s="194" t="str">
        <f ca="1">IFERROR(INDEX('Reference Records'!L$77:L$157,MATCH(LEFT(C1783,255),'Reference Records'!E$77:E$157,0)),"")</f>
        <v/>
      </c>
    </row>
    <row r="1784" spans="1:23" s="194" customFormat="1" ht="40.4" customHeight="1" x14ac:dyDescent="0.35">
      <c r="A1784" s="770"/>
      <c r="B1784" s="767"/>
      <c r="C1784" s="761"/>
      <c r="D1784" s="769"/>
      <c r="E1784" s="769"/>
      <c r="F1784" s="208"/>
      <c r="G1784" s="763"/>
      <c r="H1784" s="744"/>
      <c r="I1784" s="765"/>
      <c r="J1784" s="730"/>
      <c r="K1784" s="761"/>
      <c r="L1784" s="761"/>
      <c r="M1784" s="730"/>
      <c r="N1784" s="730"/>
    </row>
    <row r="1785" spans="1:23" s="194" customFormat="1" ht="40.4" customHeight="1" x14ac:dyDescent="0.35">
      <c r="A1785" s="770" t="str">
        <f ca="1">INDIRECT("'update Helper'!C"&amp;U1785)</f>
        <v>a163p000004NtZoAAK</v>
      </c>
      <c r="B1785" s="766">
        <v>30</v>
      </c>
      <c r="C1785" s="760" t="str">
        <f ca="1">VLOOKUP(B1785,'Coverage Indicators - Section D'!$A$9:$AU$70,47,FALSE)</f>
        <v/>
      </c>
      <c r="D1785" s="768" t="str">
        <f ca="1">R1785</f>
        <v/>
      </c>
      <c r="E1785" s="768" t="str">
        <f ca="1">S1785</f>
        <v/>
      </c>
      <c r="F1785" s="413"/>
      <c r="G1785" s="762" t="str">
        <f ca="1">IF(OR(INDIRECT("'update Helper'!E"&amp;U1785)="",F1785&lt;&gt;0,F1786&lt;&gt;0),IF(IFERROR((F1785/F1786),"")="","",(F1785/F1786)),INDIRECT("'update Helper'!E"&amp;U1785)/100)</f>
        <v/>
      </c>
      <c r="H1785" s="743"/>
      <c r="I1785" s="764"/>
      <c r="J1785" s="729"/>
      <c r="K1785" s="760" t="str">
        <f ca="1">W1785</f>
        <v/>
      </c>
      <c r="L1785" s="760" t="str">
        <f ca="1">V1785</f>
        <v/>
      </c>
      <c r="M1785" s="729"/>
      <c r="N1785" s="729"/>
      <c r="P1785" s="194">
        <f ca="1">IF(AND(EXACT(C1785,C1783),C1783&lt;&gt;0),P1783+1,0)</f>
        <v>142</v>
      </c>
      <c r="Q1785" s="194" t="str">
        <f ca="1">IF(C1785&lt;&gt;"",C1785&amp;"-"&amp;P1785,"")</f>
        <v/>
      </c>
      <c r="R1785" s="194" t="str">
        <f t="array" aca="1" ref="R1785" ca="1">IFERROR(IF(INDEX('Disaggregation Records'!$E$155:$E$385,MATCH(RIGHT(Q1785,255),RIGHT('Disaggregation Records'!$D$155:$D$385,255),0))="","",INDEX('Disaggregation Records'!$E$155:$E$385,MATCH(RIGHT(Q1785,255),RIGHT('Disaggregation Records'!$D$155:$D$385,255),0))),"")</f>
        <v/>
      </c>
      <c r="S1785" s="194" t="str">
        <f t="array" aca="1" ref="S1785" ca="1">IFERROR(IF(INDEX('Disaggregation Records'!$F$155:$F$385,MATCH(RIGHT(Q1785,255),RIGHT('Disaggregation Records'!$D$155:$D$385,255),0))="","",INDEX('Disaggregation Records'!$F$155:$F$385,MATCH(RIGHT(Q1785,255),RIGHT('Disaggregation Records'!$D$155:$D$385,255),0))),"")</f>
        <v/>
      </c>
      <c r="T1785" s="194" t="str">
        <f t="array" aca="1" ref="T1785" ca="1">IFERROR(IF(INDEX('Disaggregation Records'!$H$155:$H$385,MATCH(RIGHT(Q1785,255),RIGHT('Disaggregation Records'!$D$155:$D$385,255),0))="","",INDEX('Disaggregation Records'!$H$155:$H$385,MATCH(RIGHT(Q1785,255),RIGHT('Disaggregation Records'!$D$155:$D$385,255),0))),"")</f>
        <v/>
      </c>
      <c r="U1785" s="194">
        <f>U1783+1</f>
        <v>3082</v>
      </c>
      <c r="V1785" s="194" t="str">
        <f t="array" aca="1" ref="V1785" ca="1">IFERROR(IF(INDEX('Disaggregation Records'!$I$155:$I$385,MATCH(RIGHT(Q1785,255),RIGHT('Disaggregation Records'!$D$155:$D$385,255),0))="","",INDEX('Disaggregation Records'!$I$155:$I$385,MATCH(RIGHT(Q1785,255),RIGHT('Disaggregation Records'!$D$155:$D$385,255),0))),"")</f>
        <v/>
      </c>
      <c r="W1785" s="194" t="str">
        <f ca="1">IFERROR(INDEX('Reference Records'!L$77:L$157,MATCH(LEFT(C1785,255),'Reference Records'!E$77:E$157,0)),"")</f>
        <v/>
      </c>
    </row>
    <row r="1786" spans="1:23" s="194" customFormat="1" ht="40.4" customHeight="1" x14ac:dyDescent="0.35">
      <c r="A1786" s="770"/>
      <c r="B1786" s="767"/>
      <c r="C1786" s="761"/>
      <c r="D1786" s="769"/>
      <c r="E1786" s="769"/>
      <c r="F1786" s="208"/>
      <c r="G1786" s="763"/>
      <c r="H1786" s="744"/>
      <c r="I1786" s="765"/>
      <c r="J1786" s="730"/>
      <c r="K1786" s="761"/>
      <c r="L1786" s="761"/>
      <c r="M1786" s="730"/>
      <c r="N1786" s="730"/>
    </row>
    <row r="1787" spans="1:23" s="194" customFormat="1" ht="40.4" customHeight="1" x14ac:dyDescent="0.35">
      <c r="A1787" s="770" t="str">
        <f ca="1">INDIRECT("'update Helper'!C"&amp;U1787)</f>
        <v>a163p000004NtZpAAK</v>
      </c>
      <c r="B1787" s="766">
        <v>30</v>
      </c>
      <c r="C1787" s="760" t="str">
        <f ca="1">VLOOKUP(B1787,'Coverage Indicators - Section D'!$A$9:$AU$70,47,FALSE)</f>
        <v/>
      </c>
      <c r="D1787" s="768" t="str">
        <f ca="1">R1787</f>
        <v/>
      </c>
      <c r="E1787" s="768" t="str">
        <f ca="1">S1787</f>
        <v/>
      </c>
      <c r="F1787" s="413"/>
      <c r="G1787" s="762" t="str">
        <f ca="1">IF(OR(INDIRECT("'update Helper'!E"&amp;U1787)="",F1787&lt;&gt;0,F1788&lt;&gt;0),IF(IFERROR((F1787/F1788),"")="","",(F1787/F1788)),INDIRECT("'update Helper'!E"&amp;U1787)/100)</f>
        <v/>
      </c>
      <c r="H1787" s="743"/>
      <c r="I1787" s="764"/>
      <c r="J1787" s="729"/>
      <c r="K1787" s="760" t="str">
        <f ca="1">W1787</f>
        <v/>
      </c>
      <c r="L1787" s="760" t="str">
        <f ca="1">V1787</f>
        <v/>
      </c>
      <c r="M1787" s="729"/>
      <c r="N1787" s="729"/>
      <c r="P1787" s="194">
        <f ca="1">IF(AND(EXACT(C1787,C1785),C1785&lt;&gt;0),P1785+1,0)</f>
        <v>143</v>
      </c>
      <c r="Q1787" s="194" t="str">
        <f ca="1">IF(C1787&lt;&gt;"",C1787&amp;"-"&amp;P1787,"")</f>
        <v/>
      </c>
      <c r="R1787" s="194" t="str">
        <f t="array" aca="1" ref="R1787" ca="1">IFERROR(IF(INDEX('Disaggregation Records'!$E$155:$E$385,MATCH(RIGHT(Q1787,255),RIGHT('Disaggregation Records'!$D$155:$D$385,255),0))="","",INDEX('Disaggregation Records'!$E$155:$E$385,MATCH(RIGHT(Q1787,255),RIGHT('Disaggregation Records'!$D$155:$D$385,255),0))),"")</f>
        <v/>
      </c>
      <c r="S1787" s="194" t="str">
        <f t="array" aca="1" ref="S1787" ca="1">IFERROR(IF(INDEX('Disaggregation Records'!$F$155:$F$385,MATCH(RIGHT(Q1787,255),RIGHT('Disaggregation Records'!$D$155:$D$385,255),0))="","",INDEX('Disaggregation Records'!$F$155:$F$385,MATCH(RIGHT(Q1787,255),RIGHT('Disaggregation Records'!$D$155:$D$385,255),0))),"")</f>
        <v/>
      </c>
      <c r="T1787" s="194" t="str">
        <f t="array" aca="1" ref="T1787" ca="1">IFERROR(IF(INDEX('Disaggregation Records'!$H$155:$H$385,MATCH(RIGHT(Q1787,255),RIGHT('Disaggregation Records'!$D$155:$D$385,255),0))="","",INDEX('Disaggregation Records'!$H$155:$H$385,MATCH(RIGHT(Q1787,255),RIGHT('Disaggregation Records'!$D$155:$D$385,255),0))),"")</f>
        <v/>
      </c>
      <c r="U1787" s="194">
        <f>U1785+1</f>
        <v>3083</v>
      </c>
      <c r="V1787" s="194" t="str">
        <f t="array" aca="1" ref="V1787" ca="1">IFERROR(IF(INDEX('Disaggregation Records'!$I$155:$I$385,MATCH(RIGHT(Q1787,255),RIGHT('Disaggregation Records'!$D$155:$D$385,255),0))="","",INDEX('Disaggregation Records'!$I$155:$I$385,MATCH(RIGHT(Q1787,255),RIGHT('Disaggregation Records'!$D$155:$D$385,255),0))),"")</f>
        <v/>
      </c>
      <c r="W1787" s="194" t="str">
        <f ca="1">IFERROR(INDEX('Reference Records'!L$77:L$157,MATCH(LEFT(C1787,255),'Reference Records'!E$77:E$157,0)),"")</f>
        <v/>
      </c>
    </row>
    <row r="1788" spans="1:23" s="194" customFormat="1" ht="40.4" customHeight="1" x14ac:dyDescent="0.35">
      <c r="A1788" s="770"/>
      <c r="B1788" s="767"/>
      <c r="C1788" s="761"/>
      <c r="D1788" s="769"/>
      <c r="E1788" s="769"/>
      <c r="F1788" s="208"/>
      <c r="G1788" s="763"/>
      <c r="H1788" s="744"/>
      <c r="I1788" s="765"/>
      <c r="J1788" s="730"/>
      <c r="K1788" s="761"/>
      <c r="L1788" s="761"/>
      <c r="M1788" s="730"/>
      <c r="N1788" s="730"/>
    </row>
    <row r="1789" spans="1:23" s="194" customFormat="1" ht="40.4" customHeight="1" x14ac:dyDescent="0.35">
      <c r="A1789" s="770" t="str">
        <f ca="1">INDIRECT("'update Helper'!C"&amp;U1789)</f>
        <v>a163p000004NtZqAAK</v>
      </c>
      <c r="B1789" s="766">
        <v>30</v>
      </c>
      <c r="C1789" s="760" t="str">
        <f ca="1">VLOOKUP(B1789,'Coverage Indicators - Section D'!$A$9:$AU$70,47,FALSE)</f>
        <v/>
      </c>
      <c r="D1789" s="768" t="str">
        <f ca="1">R1789</f>
        <v/>
      </c>
      <c r="E1789" s="768" t="str">
        <f ca="1">S1789</f>
        <v/>
      </c>
      <c r="F1789" s="413"/>
      <c r="G1789" s="762" t="str">
        <f ca="1">IF(OR(INDIRECT("'update Helper'!E"&amp;U1789)="",F1789&lt;&gt;0,F1790&lt;&gt;0),IF(IFERROR((F1789/F1790),"")="","",(F1789/F1790)),INDIRECT("'update Helper'!E"&amp;U1789)/100)</f>
        <v/>
      </c>
      <c r="H1789" s="743"/>
      <c r="I1789" s="764"/>
      <c r="J1789" s="729"/>
      <c r="K1789" s="760" t="str">
        <f ca="1">W1789</f>
        <v/>
      </c>
      <c r="L1789" s="760" t="str">
        <f ca="1">V1789</f>
        <v/>
      </c>
      <c r="M1789" s="729"/>
      <c r="N1789" s="729"/>
      <c r="P1789" s="194">
        <f ca="1">IF(AND(EXACT(C1789,C1787),C1787&lt;&gt;0),P1787+1,0)</f>
        <v>144</v>
      </c>
      <c r="Q1789" s="194" t="str">
        <f ca="1">IF(C1789&lt;&gt;"",C1789&amp;"-"&amp;P1789,"")</f>
        <v/>
      </c>
      <c r="R1789" s="194" t="str">
        <f t="array" aca="1" ref="R1789" ca="1">IFERROR(IF(INDEX('Disaggregation Records'!$E$155:$E$385,MATCH(RIGHT(Q1789,255),RIGHT('Disaggregation Records'!$D$155:$D$385,255),0))="","",INDEX('Disaggregation Records'!$E$155:$E$385,MATCH(RIGHT(Q1789,255),RIGHT('Disaggregation Records'!$D$155:$D$385,255),0))),"")</f>
        <v/>
      </c>
      <c r="S1789" s="194" t="str">
        <f t="array" aca="1" ref="S1789" ca="1">IFERROR(IF(INDEX('Disaggregation Records'!$F$155:$F$385,MATCH(RIGHT(Q1789,255),RIGHT('Disaggregation Records'!$D$155:$D$385,255),0))="","",INDEX('Disaggregation Records'!$F$155:$F$385,MATCH(RIGHT(Q1789,255),RIGHT('Disaggregation Records'!$D$155:$D$385,255),0))),"")</f>
        <v/>
      </c>
      <c r="T1789" s="194" t="str">
        <f t="array" aca="1" ref="T1789" ca="1">IFERROR(IF(INDEX('Disaggregation Records'!$H$155:$H$385,MATCH(RIGHT(Q1789,255),RIGHT('Disaggregation Records'!$D$155:$D$385,255),0))="","",INDEX('Disaggregation Records'!$H$155:$H$385,MATCH(RIGHT(Q1789,255),RIGHT('Disaggregation Records'!$D$155:$D$385,255),0))),"")</f>
        <v/>
      </c>
      <c r="U1789" s="194">
        <f>U1787+1</f>
        <v>3084</v>
      </c>
      <c r="V1789" s="194" t="str">
        <f t="array" aca="1" ref="V1789" ca="1">IFERROR(IF(INDEX('Disaggregation Records'!$I$155:$I$385,MATCH(RIGHT(Q1789,255),RIGHT('Disaggregation Records'!$D$155:$D$385,255),0))="","",INDEX('Disaggregation Records'!$I$155:$I$385,MATCH(RIGHT(Q1789,255),RIGHT('Disaggregation Records'!$D$155:$D$385,255),0))),"")</f>
        <v/>
      </c>
      <c r="W1789" s="194" t="str">
        <f ca="1">IFERROR(INDEX('Reference Records'!L$77:L$157,MATCH(LEFT(C1789,255),'Reference Records'!E$77:E$157,0)),"")</f>
        <v/>
      </c>
    </row>
    <row r="1790" spans="1:23" s="194" customFormat="1" ht="40.4" customHeight="1" x14ac:dyDescent="0.35">
      <c r="A1790" s="770"/>
      <c r="B1790" s="767"/>
      <c r="C1790" s="761"/>
      <c r="D1790" s="769"/>
      <c r="E1790" s="769"/>
      <c r="F1790" s="208"/>
      <c r="G1790" s="763"/>
      <c r="H1790" s="744"/>
      <c r="I1790" s="765"/>
      <c r="J1790" s="730"/>
      <c r="K1790" s="761"/>
      <c r="L1790" s="761"/>
      <c r="M1790" s="730"/>
      <c r="N1790" s="730"/>
    </row>
    <row r="1791" spans="1:23" s="194" customFormat="1" ht="40.4" customHeight="1" x14ac:dyDescent="0.35">
      <c r="A1791" s="770" t="str">
        <f ca="1">INDIRECT("'update Helper'!C"&amp;U1791)</f>
        <v>a163p000004NtZrAAK</v>
      </c>
      <c r="B1791" s="766">
        <v>30</v>
      </c>
      <c r="C1791" s="760" t="str">
        <f ca="1">VLOOKUP(B1791,'Coverage Indicators - Section D'!$A$9:$AU$70,47,FALSE)</f>
        <v/>
      </c>
      <c r="D1791" s="768" t="str">
        <f ca="1">R1791</f>
        <v/>
      </c>
      <c r="E1791" s="768" t="str">
        <f ca="1">S1791</f>
        <v/>
      </c>
      <c r="F1791" s="413"/>
      <c r="G1791" s="762" t="str">
        <f ca="1">IF(OR(INDIRECT("'update Helper'!E"&amp;U1791)="",F1791&lt;&gt;0,F1792&lt;&gt;0),IF(IFERROR((F1791/F1792),"")="","",(F1791/F1792)),INDIRECT("'update Helper'!E"&amp;U1791)/100)</f>
        <v/>
      </c>
      <c r="H1791" s="743"/>
      <c r="I1791" s="764"/>
      <c r="J1791" s="729"/>
      <c r="K1791" s="760" t="str">
        <f ca="1">W1791</f>
        <v/>
      </c>
      <c r="L1791" s="760" t="str">
        <f ca="1">V1791</f>
        <v/>
      </c>
      <c r="M1791" s="729"/>
      <c r="N1791" s="729"/>
      <c r="P1791" s="194">
        <f ca="1">IF(AND(EXACT(C1791,C1789),C1789&lt;&gt;0),P1789+1,0)</f>
        <v>145</v>
      </c>
      <c r="Q1791" s="194" t="str">
        <f ca="1">IF(C1791&lt;&gt;"",C1791&amp;"-"&amp;P1791,"")</f>
        <v/>
      </c>
      <c r="R1791" s="194" t="str">
        <f t="array" aca="1" ref="R1791" ca="1">IFERROR(IF(INDEX('Disaggregation Records'!$E$155:$E$385,MATCH(RIGHT(Q1791,255),RIGHT('Disaggregation Records'!$D$155:$D$385,255),0))="","",INDEX('Disaggregation Records'!$E$155:$E$385,MATCH(RIGHT(Q1791,255),RIGHT('Disaggregation Records'!$D$155:$D$385,255),0))),"")</f>
        <v/>
      </c>
      <c r="S1791" s="194" t="str">
        <f t="array" aca="1" ref="S1791" ca="1">IFERROR(IF(INDEX('Disaggregation Records'!$F$155:$F$385,MATCH(RIGHT(Q1791,255),RIGHT('Disaggregation Records'!$D$155:$D$385,255),0))="","",INDEX('Disaggregation Records'!$F$155:$F$385,MATCH(RIGHT(Q1791,255),RIGHT('Disaggregation Records'!$D$155:$D$385,255),0))),"")</f>
        <v/>
      </c>
      <c r="T1791" s="194" t="str">
        <f t="array" aca="1" ref="T1791" ca="1">IFERROR(IF(INDEX('Disaggregation Records'!$H$155:$H$385,MATCH(RIGHT(Q1791,255),RIGHT('Disaggregation Records'!$D$155:$D$385,255),0))="","",INDEX('Disaggregation Records'!$H$155:$H$385,MATCH(RIGHT(Q1791,255),RIGHT('Disaggregation Records'!$D$155:$D$385,255),0))),"")</f>
        <v/>
      </c>
      <c r="U1791" s="194">
        <f>U1789+1</f>
        <v>3085</v>
      </c>
      <c r="V1791" s="194" t="str">
        <f t="array" aca="1" ref="V1791" ca="1">IFERROR(IF(INDEX('Disaggregation Records'!$I$155:$I$385,MATCH(RIGHT(Q1791,255),RIGHT('Disaggregation Records'!$D$155:$D$385,255),0))="","",INDEX('Disaggregation Records'!$I$155:$I$385,MATCH(RIGHT(Q1791,255),RIGHT('Disaggregation Records'!$D$155:$D$385,255),0))),"")</f>
        <v/>
      </c>
      <c r="W1791" s="194" t="str">
        <f ca="1">IFERROR(INDEX('Reference Records'!L$77:L$157,MATCH(LEFT(C1791,255),'Reference Records'!E$77:E$157,0)),"")</f>
        <v/>
      </c>
    </row>
    <row r="1792" spans="1:23" s="194" customFormat="1" ht="40.4" customHeight="1" x14ac:dyDescent="0.35">
      <c r="A1792" s="770"/>
      <c r="B1792" s="767"/>
      <c r="C1792" s="761"/>
      <c r="D1792" s="769"/>
      <c r="E1792" s="769"/>
      <c r="F1792" s="208"/>
      <c r="G1792" s="763"/>
      <c r="H1792" s="744"/>
      <c r="I1792" s="765"/>
      <c r="J1792" s="730"/>
      <c r="K1792" s="761"/>
      <c r="L1792" s="761"/>
      <c r="M1792" s="730"/>
      <c r="N1792" s="730"/>
    </row>
    <row r="1793" spans="1:23" s="194" customFormat="1" ht="40.4" customHeight="1" x14ac:dyDescent="0.35">
      <c r="A1793" s="770" t="str">
        <f ca="1">INDIRECT("'update Helper'!C"&amp;U1793)</f>
        <v>a163p000004NtZsAAK</v>
      </c>
      <c r="B1793" s="766">
        <v>30</v>
      </c>
      <c r="C1793" s="760" t="str">
        <f ca="1">VLOOKUP(B1793,'Coverage Indicators - Section D'!$A$9:$AU$70,47,FALSE)</f>
        <v/>
      </c>
      <c r="D1793" s="768" t="str">
        <f ca="1">R1793</f>
        <v/>
      </c>
      <c r="E1793" s="768" t="str">
        <f ca="1">S1793</f>
        <v/>
      </c>
      <c r="F1793" s="413"/>
      <c r="G1793" s="762" t="str">
        <f ca="1">IF(OR(INDIRECT("'update Helper'!E"&amp;U1793)="",F1793&lt;&gt;0,F1794&lt;&gt;0),IF(IFERROR((F1793/F1794),"")="","",(F1793/F1794)),INDIRECT("'update Helper'!E"&amp;U1793)/100)</f>
        <v/>
      </c>
      <c r="H1793" s="743"/>
      <c r="I1793" s="764"/>
      <c r="J1793" s="729"/>
      <c r="K1793" s="760" t="str">
        <f ca="1">W1793</f>
        <v/>
      </c>
      <c r="L1793" s="760" t="str">
        <f ca="1">V1793</f>
        <v/>
      </c>
      <c r="M1793" s="729"/>
      <c r="N1793" s="729"/>
      <c r="P1793" s="194">
        <f ca="1">IF(AND(EXACT(C1793,C1791),C1791&lt;&gt;0),P1791+1,0)</f>
        <v>146</v>
      </c>
      <c r="Q1793" s="194" t="str">
        <f ca="1">IF(C1793&lt;&gt;"",C1793&amp;"-"&amp;P1793,"")</f>
        <v/>
      </c>
      <c r="R1793" s="194" t="str">
        <f t="array" aca="1" ref="R1793" ca="1">IFERROR(IF(INDEX('Disaggregation Records'!$E$155:$E$385,MATCH(RIGHT(Q1793,255),RIGHT('Disaggregation Records'!$D$155:$D$385,255),0))="","",INDEX('Disaggregation Records'!$E$155:$E$385,MATCH(RIGHT(Q1793,255),RIGHT('Disaggregation Records'!$D$155:$D$385,255),0))),"")</f>
        <v/>
      </c>
      <c r="S1793" s="194" t="str">
        <f t="array" aca="1" ref="S1793" ca="1">IFERROR(IF(INDEX('Disaggregation Records'!$F$155:$F$385,MATCH(RIGHT(Q1793,255),RIGHT('Disaggregation Records'!$D$155:$D$385,255),0))="","",INDEX('Disaggregation Records'!$F$155:$F$385,MATCH(RIGHT(Q1793,255),RIGHT('Disaggregation Records'!$D$155:$D$385,255),0))),"")</f>
        <v/>
      </c>
      <c r="T1793" s="194" t="str">
        <f t="array" aca="1" ref="T1793" ca="1">IFERROR(IF(INDEX('Disaggregation Records'!$H$155:$H$385,MATCH(RIGHT(Q1793,255),RIGHT('Disaggregation Records'!$D$155:$D$385,255),0))="","",INDEX('Disaggregation Records'!$H$155:$H$385,MATCH(RIGHT(Q1793,255),RIGHT('Disaggregation Records'!$D$155:$D$385,255),0))),"")</f>
        <v/>
      </c>
      <c r="U1793" s="194">
        <f>U1791+1</f>
        <v>3086</v>
      </c>
      <c r="V1793" s="194" t="str">
        <f t="array" aca="1" ref="V1793" ca="1">IFERROR(IF(INDEX('Disaggregation Records'!$I$155:$I$385,MATCH(RIGHT(Q1793,255),RIGHT('Disaggregation Records'!$D$155:$D$385,255),0))="","",INDEX('Disaggregation Records'!$I$155:$I$385,MATCH(RIGHT(Q1793,255),RIGHT('Disaggregation Records'!$D$155:$D$385,255),0))),"")</f>
        <v/>
      </c>
      <c r="W1793" s="194" t="str">
        <f ca="1">IFERROR(INDEX('Reference Records'!L$77:L$157,MATCH(LEFT(C1793,255),'Reference Records'!E$77:E$157,0)),"")</f>
        <v/>
      </c>
    </row>
    <row r="1794" spans="1:23" s="194" customFormat="1" ht="40.4" customHeight="1" x14ac:dyDescent="0.35">
      <c r="A1794" s="770"/>
      <c r="B1794" s="767"/>
      <c r="C1794" s="761"/>
      <c r="D1794" s="769"/>
      <c r="E1794" s="769"/>
      <c r="F1794" s="208"/>
      <c r="G1794" s="763"/>
      <c r="H1794" s="744"/>
      <c r="I1794" s="765"/>
      <c r="J1794" s="730"/>
      <c r="K1794" s="761"/>
      <c r="L1794" s="761"/>
      <c r="M1794" s="730"/>
      <c r="N1794" s="730"/>
    </row>
    <row r="1795" spans="1:23" s="194" customFormat="1" ht="40.4" customHeight="1" x14ac:dyDescent="0.35">
      <c r="A1795" s="770" t="str">
        <f ca="1">INDIRECT("'update Helper'!C"&amp;U1795)</f>
        <v>a163p000004NtZtAAK</v>
      </c>
      <c r="B1795" s="766">
        <v>30</v>
      </c>
      <c r="C1795" s="760" t="str">
        <f ca="1">VLOOKUP(B1795,'Coverage Indicators - Section D'!$A$9:$AU$70,47,FALSE)</f>
        <v/>
      </c>
      <c r="D1795" s="768" t="str">
        <f ca="1">R1795</f>
        <v/>
      </c>
      <c r="E1795" s="768" t="str">
        <f ca="1">S1795</f>
        <v/>
      </c>
      <c r="F1795" s="413"/>
      <c r="G1795" s="762" t="str">
        <f ca="1">IF(OR(INDIRECT("'update Helper'!E"&amp;U1795)="",F1795&lt;&gt;0,F1796&lt;&gt;0),IF(IFERROR((F1795/F1796),"")="","",(F1795/F1796)),INDIRECT("'update Helper'!E"&amp;U1795)/100)</f>
        <v/>
      </c>
      <c r="H1795" s="743"/>
      <c r="I1795" s="764"/>
      <c r="J1795" s="729"/>
      <c r="K1795" s="760" t="str">
        <f ca="1">W1795</f>
        <v/>
      </c>
      <c r="L1795" s="760" t="str">
        <f ca="1">V1795</f>
        <v/>
      </c>
      <c r="M1795" s="729"/>
      <c r="N1795" s="729"/>
      <c r="P1795" s="194">
        <f ca="1">IF(AND(EXACT(C1795,C1793),C1793&lt;&gt;0),P1793+1,0)</f>
        <v>147</v>
      </c>
      <c r="Q1795" s="194" t="str">
        <f ca="1">IF(C1795&lt;&gt;"",C1795&amp;"-"&amp;P1795,"")</f>
        <v/>
      </c>
      <c r="R1795" s="194" t="str">
        <f t="array" aca="1" ref="R1795" ca="1">IFERROR(IF(INDEX('Disaggregation Records'!$E$155:$E$385,MATCH(RIGHT(Q1795,255),RIGHT('Disaggregation Records'!$D$155:$D$385,255),0))="","",INDEX('Disaggregation Records'!$E$155:$E$385,MATCH(RIGHT(Q1795,255),RIGHT('Disaggregation Records'!$D$155:$D$385,255),0))),"")</f>
        <v/>
      </c>
      <c r="S1795" s="194" t="str">
        <f t="array" aca="1" ref="S1795" ca="1">IFERROR(IF(INDEX('Disaggregation Records'!$F$155:$F$385,MATCH(RIGHT(Q1795,255),RIGHT('Disaggregation Records'!$D$155:$D$385,255),0))="","",INDEX('Disaggregation Records'!$F$155:$F$385,MATCH(RIGHT(Q1795,255),RIGHT('Disaggregation Records'!$D$155:$D$385,255),0))),"")</f>
        <v/>
      </c>
      <c r="T1795" s="194" t="str">
        <f t="array" aca="1" ref="T1795" ca="1">IFERROR(IF(INDEX('Disaggregation Records'!$H$155:$H$385,MATCH(RIGHT(Q1795,255),RIGHT('Disaggregation Records'!$D$155:$D$385,255),0))="","",INDEX('Disaggregation Records'!$H$155:$H$385,MATCH(RIGHT(Q1795,255),RIGHT('Disaggregation Records'!$D$155:$D$385,255),0))),"")</f>
        <v/>
      </c>
      <c r="U1795" s="194">
        <f>U1793+1</f>
        <v>3087</v>
      </c>
      <c r="V1795" s="194" t="str">
        <f t="array" aca="1" ref="V1795" ca="1">IFERROR(IF(INDEX('Disaggregation Records'!$I$155:$I$385,MATCH(RIGHT(Q1795,255),RIGHT('Disaggregation Records'!$D$155:$D$385,255),0))="","",INDEX('Disaggregation Records'!$I$155:$I$385,MATCH(RIGHT(Q1795,255),RIGHT('Disaggregation Records'!$D$155:$D$385,255),0))),"")</f>
        <v/>
      </c>
      <c r="W1795" s="194" t="str">
        <f ca="1">IFERROR(INDEX('Reference Records'!L$77:L$157,MATCH(LEFT(C1795,255),'Reference Records'!E$77:E$157,0)),"")</f>
        <v/>
      </c>
    </row>
    <row r="1796" spans="1:23" s="194" customFormat="1" ht="40.4" customHeight="1" x14ac:dyDescent="0.35">
      <c r="A1796" s="770"/>
      <c r="B1796" s="767"/>
      <c r="C1796" s="761"/>
      <c r="D1796" s="769"/>
      <c r="E1796" s="769"/>
      <c r="F1796" s="208"/>
      <c r="G1796" s="763"/>
      <c r="H1796" s="744"/>
      <c r="I1796" s="765"/>
      <c r="J1796" s="730"/>
      <c r="K1796" s="761"/>
      <c r="L1796" s="761"/>
      <c r="M1796" s="730"/>
      <c r="N1796" s="730"/>
    </row>
    <row r="1797" spans="1:23" s="194" customFormat="1" ht="40.4" customHeight="1" x14ac:dyDescent="0.35">
      <c r="A1797" s="770" t="str">
        <f ca="1">INDIRECT("'update Helper'!C"&amp;U1797)</f>
        <v>a163p000004NtZuAAK</v>
      </c>
      <c r="B1797" s="766">
        <v>30</v>
      </c>
      <c r="C1797" s="760" t="str">
        <f ca="1">VLOOKUP(B1797,'Coverage Indicators - Section D'!$A$9:$AU$70,47,FALSE)</f>
        <v/>
      </c>
      <c r="D1797" s="768" t="str">
        <f ca="1">R1797</f>
        <v/>
      </c>
      <c r="E1797" s="768" t="str">
        <f ca="1">S1797</f>
        <v/>
      </c>
      <c r="F1797" s="413"/>
      <c r="G1797" s="762" t="str">
        <f ca="1">IF(OR(INDIRECT("'update Helper'!E"&amp;U1797)="",F1797&lt;&gt;0,F1798&lt;&gt;0),IF(IFERROR((F1797/F1798),"")="","",(F1797/F1798)),INDIRECT("'update Helper'!E"&amp;U1797)/100)</f>
        <v/>
      </c>
      <c r="H1797" s="743"/>
      <c r="I1797" s="764"/>
      <c r="J1797" s="729"/>
      <c r="K1797" s="760" t="str">
        <f ca="1">W1797</f>
        <v/>
      </c>
      <c r="L1797" s="760" t="str">
        <f ca="1">V1797</f>
        <v/>
      </c>
      <c r="M1797" s="729"/>
      <c r="N1797" s="729"/>
      <c r="P1797" s="194">
        <f ca="1">IF(AND(EXACT(C1797,C1795),C1795&lt;&gt;0),P1795+1,0)</f>
        <v>148</v>
      </c>
      <c r="Q1797" s="194" t="str">
        <f ca="1">IF(C1797&lt;&gt;"",C1797&amp;"-"&amp;P1797,"")</f>
        <v/>
      </c>
      <c r="R1797" s="194" t="str">
        <f t="array" aca="1" ref="R1797" ca="1">IFERROR(IF(INDEX('Disaggregation Records'!$E$155:$E$385,MATCH(RIGHT(Q1797,255),RIGHT('Disaggregation Records'!$D$155:$D$385,255),0))="","",INDEX('Disaggregation Records'!$E$155:$E$385,MATCH(RIGHT(Q1797,255),RIGHT('Disaggregation Records'!$D$155:$D$385,255),0))),"")</f>
        <v/>
      </c>
      <c r="S1797" s="194" t="str">
        <f t="array" aca="1" ref="S1797" ca="1">IFERROR(IF(INDEX('Disaggregation Records'!$F$155:$F$385,MATCH(RIGHT(Q1797,255),RIGHT('Disaggregation Records'!$D$155:$D$385,255),0))="","",INDEX('Disaggregation Records'!$F$155:$F$385,MATCH(RIGHT(Q1797,255),RIGHT('Disaggregation Records'!$D$155:$D$385,255),0))),"")</f>
        <v/>
      </c>
      <c r="T1797" s="194" t="str">
        <f t="array" aca="1" ref="T1797" ca="1">IFERROR(IF(INDEX('Disaggregation Records'!$H$155:$H$385,MATCH(RIGHT(Q1797,255),RIGHT('Disaggregation Records'!$D$155:$D$385,255),0))="","",INDEX('Disaggregation Records'!$H$155:$H$385,MATCH(RIGHT(Q1797,255),RIGHT('Disaggregation Records'!$D$155:$D$385,255),0))),"")</f>
        <v/>
      </c>
      <c r="U1797" s="194">
        <f>U1795+1</f>
        <v>3088</v>
      </c>
      <c r="V1797" s="194" t="str">
        <f t="array" aca="1" ref="V1797" ca="1">IFERROR(IF(INDEX('Disaggregation Records'!$I$155:$I$385,MATCH(RIGHT(Q1797,255),RIGHT('Disaggregation Records'!$D$155:$D$385,255),0))="","",INDEX('Disaggregation Records'!$I$155:$I$385,MATCH(RIGHT(Q1797,255),RIGHT('Disaggregation Records'!$D$155:$D$385,255),0))),"")</f>
        <v/>
      </c>
      <c r="W1797" s="194" t="str">
        <f ca="1">IFERROR(INDEX('Reference Records'!L$77:L$157,MATCH(LEFT(C1797,255),'Reference Records'!E$77:E$157,0)),"")</f>
        <v/>
      </c>
    </row>
    <row r="1798" spans="1:23" s="194" customFormat="1" ht="40.4" customHeight="1" x14ac:dyDescent="0.35">
      <c r="A1798" s="770"/>
      <c r="B1798" s="767"/>
      <c r="C1798" s="761"/>
      <c r="D1798" s="769"/>
      <c r="E1798" s="769"/>
      <c r="F1798" s="208"/>
      <c r="G1798" s="763"/>
      <c r="H1798" s="744"/>
      <c r="I1798" s="765"/>
      <c r="J1798" s="730"/>
      <c r="K1798" s="761"/>
      <c r="L1798" s="761"/>
      <c r="M1798" s="730"/>
      <c r="N1798" s="730"/>
    </row>
    <row r="1799" spans="1:23" s="194" customFormat="1" ht="40.4" customHeight="1" x14ac:dyDescent="0.35">
      <c r="A1799" s="770" t="str">
        <f ca="1">INDIRECT("'update Helper'!C"&amp;U1799)</f>
        <v>a163p000004NtZvAAK</v>
      </c>
      <c r="B1799" s="766">
        <v>30</v>
      </c>
      <c r="C1799" s="760" t="str">
        <f ca="1">VLOOKUP(B1799,'Coverage Indicators - Section D'!$A$9:$AU$70,47,FALSE)</f>
        <v/>
      </c>
      <c r="D1799" s="768" t="str">
        <f ca="1">R1799</f>
        <v/>
      </c>
      <c r="E1799" s="768" t="str">
        <f ca="1">S1799</f>
        <v/>
      </c>
      <c r="F1799" s="413"/>
      <c r="G1799" s="762" t="str">
        <f ca="1">IF(OR(INDIRECT("'update Helper'!E"&amp;U1799)="",F1799&lt;&gt;0,F1800&lt;&gt;0),IF(IFERROR((F1799/F1800),"")="","",(F1799/F1800)),INDIRECT("'update Helper'!E"&amp;U1799)/100)</f>
        <v/>
      </c>
      <c r="H1799" s="743"/>
      <c r="I1799" s="764"/>
      <c r="J1799" s="729"/>
      <c r="K1799" s="760" t="str">
        <f ca="1">W1799</f>
        <v/>
      </c>
      <c r="L1799" s="760" t="str">
        <f ca="1">V1799</f>
        <v/>
      </c>
      <c r="M1799" s="729"/>
      <c r="N1799" s="729"/>
      <c r="P1799" s="194">
        <f ca="1">IF(AND(EXACT(C1799,C1797),C1797&lt;&gt;0),P1797+1,0)</f>
        <v>149</v>
      </c>
      <c r="Q1799" s="194" t="str">
        <f ca="1">IF(C1799&lt;&gt;"",C1799&amp;"-"&amp;P1799,"")</f>
        <v/>
      </c>
      <c r="R1799" s="194" t="str">
        <f t="array" aca="1" ref="R1799" ca="1">IFERROR(IF(INDEX('Disaggregation Records'!$E$155:$E$385,MATCH(RIGHT(Q1799,255),RIGHT('Disaggregation Records'!$D$155:$D$385,255),0))="","",INDEX('Disaggregation Records'!$E$155:$E$385,MATCH(RIGHT(Q1799,255),RIGHT('Disaggregation Records'!$D$155:$D$385,255),0))),"")</f>
        <v/>
      </c>
      <c r="S1799" s="194" t="str">
        <f t="array" aca="1" ref="S1799" ca="1">IFERROR(IF(INDEX('Disaggregation Records'!$F$155:$F$385,MATCH(RIGHT(Q1799,255),RIGHT('Disaggregation Records'!$D$155:$D$385,255),0))="","",INDEX('Disaggregation Records'!$F$155:$F$385,MATCH(RIGHT(Q1799,255),RIGHT('Disaggregation Records'!$D$155:$D$385,255),0))),"")</f>
        <v/>
      </c>
      <c r="T1799" s="194" t="str">
        <f t="array" aca="1" ref="T1799" ca="1">IFERROR(IF(INDEX('Disaggregation Records'!$H$155:$H$385,MATCH(RIGHT(Q1799,255),RIGHT('Disaggregation Records'!$D$155:$D$385,255),0))="","",INDEX('Disaggregation Records'!$H$155:$H$385,MATCH(RIGHT(Q1799,255),RIGHT('Disaggregation Records'!$D$155:$D$385,255),0))),"")</f>
        <v/>
      </c>
      <c r="U1799" s="194">
        <f>U1797+1</f>
        <v>3089</v>
      </c>
      <c r="V1799" s="194" t="str">
        <f t="array" aca="1" ref="V1799" ca="1">IFERROR(IF(INDEX('Disaggregation Records'!$I$155:$I$385,MATCH(RIGHT(Q1799,255),RIGHT('Disaggregation Records'!$D$155:$D$385,255),0))="","",INDEX('Disaggregation Records'!$I$155:$I$385,MATCH(RIGHT(Q1799,255),RIGHT('Disaggregation Records'!$D$155:$D$385,255),0))),"")</f>
        <v/>
      </c>
      <c r="W1799" s="194" t="str">
        <f ca="1">IFERROR(INDEX('Reference Records'!L$77:L$157,MATCH(LEFT(C1799,255),'Reference Records'!E$77:E$157,0)),"")</f>
        <v/>
      </c>
    </row>
    <row r="1800" spans="1:23" s="194" customFormat="1" ht="40.4" customHeight="1" x14ac:dyDescent="0.35">
      <c r="A1800" s="770"/>
      <c r="B1800" s="767"/>
      <c r="C1800" s="761"/>
      <c r="D1800" s="769"/>
      <c r="E1800" s="769"/>
      <c r="F1800" s="208"/>
      <c r="G1800" s="763"/>
      <c r="H1800" s="744"/>
      <c r="I1800" s="765"/>
      <c r="J1800" s="730"/>
      <c r="K1800" s="761"/>
      <c r="L1800" s="761"/>
      <c r="M1800" s="730"/>
      <c r="N1800" s="730"/>
    </row>
    <row r="1801" spans="1:23" s="194" customFormat="1" ht="40.4" customHeight="1" x14ac:dyDescent="0.35">
      <c r="A1801" s="770" t="str">
        <f ca="1">INDIRECT("'update Helper'!C"&amp;U1801)</f>
        <v>a163p000004NtZwAAK</v>
      </c>
      <c r="B1801" s="766">
        <v>30</v>
      </c>
      <c r="C1801" s="760" t="str">
        <f ca="1">VLOOKUP(B1801,'Coverage Indicators - Section D'!$A$9:$AU$70,47,FALSE)</f>
        <v/>
      </c>
      <c r="D1801" s="768" t="str">
        <f ca="1">R1801</f>
        <v/>
      </c>
      <c r="E1801" s="768" t="str">
        <f ca="1">S1801</f>
        <v/>
      </c>
      <c r="F1801" s="413"/>
      <c r="G1801" s="762" t="str">
        <f ca="1">IF(OR(INDIRECT("'update Helper'!E"&amp;U1801)="",F1801&lt;&gt;0,F1802&lt;&gt;0),IF(IFERROR((F1801/F1802),"")="","",(F1801/F1802)),INDIRECT("'update Helper'!E"&amp;U1801)/100)</f>
        <v/>
      </c>
      <c r="H1801" s="743"/>
      <c r="I1801" s="764"/>
      <c r="J1801" s="729"/>
      <c r="K1801" s="760" t="str">
        <f ca="1">W1801</f>
        <v/>
      </c>
      <c r="L1801" s="760" t="str">
        <f ca="1">V1801</f>
        <v/>
      </c>
      <c r="M1801" s="729"/>
      <c r="N1801" s="729"/>
      <c r="P1801" s="194">
        <f ca="1">IF(AND(EXACT(C1801,C1799),C1799&lt;&gt;0),P1799+1,0)</f>
        <v>150</v>
      </c>
      <c r="Q1801" s="194" t="str">
        <f ca="1">IF(C1801&lt;&gt;"",C1801&amp;"-"&amp;P1801,"")</f>
        <v/>
      </c>
      <c r="R1801" s="194" t="str">
        <f t="array" aca="1" ref="R1801" ca="1">IFERROR(IF(INDEX('Disaggregation Records'!$E$155:$E$385,MATCH(RIGHT(Q1801,255),RIGHT('Disaggregation Records'!$D$155:$D$385,255),0))="","",INDEX('Disaggregation Records'!$E$155:$E$385,MATCH(RIGHT(Q1801,255),RIGHT('Disaggregation Records'!$D$155:$D$385,255),0))),"")</f>
        <v/>
      </c>
      <c r="S1801" s="194" t="str">
        <f t="array" aca="1" ref="S1801" ca="1">IFERROR(IF(INDEX('Disaggregation Records'!$F$155:$F$385,MATCH(RIGHT(Q1801,255),RIGHT('Disaggregation Records'!$D$155:$D$385,255),0))="","",INDEX('Disaggregation Records'!$F$155:$F$385,MATCH(RIGHT(Q1801,255),RIGHT('Disaggregation Records'!$D$155:$D$385,255),0))),"")</f>
        <v/>
      </c>
      <c r="T1801" s="194" t="str">
        <f t="array" aca="1" ref="T1801" ca="1">IFERROR(IF(INDEX('Disaggregation Records'!$H$155:$H$385,MATCH(RIGHT(Q1801,255),RIGHT('Disaggregation Records'!$D$155:$D$385,255),0))="","",INDEX('Disaggregation Records'!$H$155:$H$385,MATCH(RIGHT(Q1801,255),RIGHT('Disaggregation Records'!$D$155:$D$385,255),0))),"")</f>
        <v/>
      </c>
      <c r="U1801" s="194">
        <f>U1799+1</f>
        <v>3090</v>
      </c>
      <c r="V1801" s="194" t="str">
        <f t="array" aca="1" ref="V1801" ca="1">IFERROR(IF(INDEX('Disaggregation Records'!$I$155:$I$385,MATCH(RIGHT(Q1801,255),RIGHT('Disaggregation Records'!$D$155:$D$385,255),0))="","",INDEX('Disaggregation Records'!$I$155:$I$385,MATCH(RIGHT(Q1801,255),RIGHT('Disaggregation Records'!$D$155:$D$385,255),0))),"")</f>
        <v/>
      </c>
      <c r="W1801" s="194" t="str">
        <f ca="1">IFERROR(INDEX('Reference Records'!L$77:L$157,MATCH(LEFT(C1801,255),'Reference Records'!E$77:E$157,0)),"")</f>
        <v/>
      </c>
    </row>
    <row r="1802" spans="1:23" s="194" customFormat="1" ht="40.4" customHeight="1" x14ac:dyDescent="0.35">
      <c r="A1802" s="770"/>
      <c r="B1802" s="767"/>
      <c r="C1802" s="761"/>
      <c r="D1802" s="769"/>
      <c r="E1802" s="769"/>
      <c r="F1802" s="208"/>
      <c r="G1802" s="763"/>
      <c r="H1802" s="744"/>
      <c r="I1802" s="765"/>
      <c r="J1802" s="730"/>
      <c r="K1802" s="761"/>
      <c r="L1802" s="761"/>
      <c r="M1802" s="730"/>
      <c r="N1802" s="730"/>
    </row>
    <row r="1803" spans="1:23" s="194" customFormat="1" ht="40.4" customHeight="1" x14ac:dyDescent="0.35">
      <c r="A1803" s="770" t="str">
        <f ca="1">INDIRECT("'update Helper'!C"&amp;U1803)</f>
        <v>a163p000004NtZxAAK</v>
      </c>
      <c r="B1803" s="766">
        <v>30</v>
      </c>
      <c r="C1803" s="760" t="str">
        <f ca="1">VLOOKUP(B1803,'Coverage Indicators - Section D'!$A$9:$AU$70,47,FALSE)</f>
        <v/>
      </c>
      <c r="D1803" s="768" t="str">
        <f ca="1">R1803</f>
        <v/>
      </c>
      <c r="E1803" s="768" t="str">
        <f ca="1">S1803</f>
        <v/>
      </c>
      <c r="F1803" s="413"/>
      <c r="G1803" s="762" t="str">
        <f ca="1">IF(OR(INDIRECT("'update Helper'!E"&amp;U1803)="",F1803&lt;&gt;0,F1804&lt;&gt;0),IF(IFERROR((F1803/F1804),"")="","",(F1803/F1804)),INDIRECT("'update Helper'!E"&amp;U1803)/100)</f>
        <v/>
      </c>
      <c r="H1803" s="743"/>
      <c r="I1803" s="764"/>
      <c r="J1803" s="729"/>
      <c r="K1803" s="760" t="str">
        <f ca="1">W1803</f>
        <v/>
      </c>
      <c r="L1803" s="760" t="str">
        <f ca="1">V1803</f>
        <v/>
      </c>
      <c r="M1803" s="729"/>
      <c r="N1803" s="729"/>
      <c r="P1803" s="194">
        <f ca="1">IF(AND(EXACT(C1803,C1801),C1801&lt;&gt;0),P1801+1,0)</f>
        <v>151</v>
      </c>
      <c r="Q1803" s="194" t="str">
        <f ca="1">IF(C1803&lt;&gt;"",C1803&amp;"-"&amp;P1803,"")</f>
        <v/>
      </c>
      <c r="R1803" s="194" t="str">
        <f t="array" aca="1" ref="R1803" ca="1">IFERROR(IF(INDEX('Disaggregation Records'!$E$155:$E$385,MATCH(RIGHT(Q1803,255),RIGHT('Disaggregation Records'!$D$155:$D$385,255),0))="","",INDEX('Disaggregation Records'!$E$155:$E$385,MATCH(RIGHT(Q1803,255),RIGHT('Disaggregation Records'!$D$155:$D$385,255),0))),"")</f>
        <v/>
      </c>
      <c r="S1803" s="194" t="str">
        <f t="array" aca="1" ref="S1803" ca="1">IFERROR(IF(INDEX('Disaggregation Records'!$F$155:$F$385,MATCH(RIGHT(Q1803,255),RIGHT('Disaggregation Records'!$D$155:$D$385,255),0))="","",INDEX('Disaggregation Records'!$F$155:$F$385,MATCH(RIGHT(Q1803,255),RIGHT('Disaggregation Records'!$D$155:$D$385,255),0))),"")</f>
        <v/>
      </c>
      <c r="T1803" s="194" t="str">
        <f t="array" aca="1" ref="T1803" ca="1">IFERROR(IF(INDEX('Disaggregation Records'!$H$155:$H$385,MATCH(RIGHT(Q1803,255),RIGHT('Disaggregation Records'!$D$155:$D$385,255),0))="","",INDEX('Disaggregation Records'!$H$155:$H$385,MATCH(RIGHT(Q1803,255),RIGHT('Disaggregation Records'!$D$155:$D$385,255),0))),"")</f>
        <v/>
      </c>
      <c r="U1803" s="194">
        <f>U1801+1</f>
        <v>3091</v>
      </c>
      <c r="V1803" s="194" t="str">
        <f t="array" aca="1" ref="V1803" ca="1">IFERROR(IF(INDEX('Disaggregation Records'!$I$155:$I$385,MATCH(RIGHT(Q1803,255),RIGHT('Disaggregation Records'!$D$155:$D$385,255),0))="","",INDEX('Disaggregation Records'!$I$155:$I$385,MATCH(RIGHT(Q1803,255),RIGHT('Disaggregation Records'!$D$155:$D$385,255),0))),"")</f>
        <v/>
      </c>
      <c r="W1803" s="194" t="str">
        <f ca="1">IFERROR(INDEX('Reference Records'!L$77:L$157,MATCH(LEFT(C1803,255),'Reference Records'!E$77:E$157,0)),"")</f>
        <v/>
      </c>
    </row>
    <row r="1804" spans="1:23" s="194" customFormat="1" ht="40.4" customHeight="1" x14ac:dyDescent="0.35">
      <c r="A1804" s="770"/>
      <c r="B1804" s="767"/>
      <c r="C1804" s="761"/>
      <c r="D1804" s="769"/>
      <c r="E1804" s="769"/>
      <c r="F1804" s="208"/>
      <c r="G1804" s="763"/>
      <c r="H1804" s="744"/>
      <c r="I1804" s="765"/>
      <c r="J1804" s="730"/>
      <c r="K1804" s="761"/>
      <c r="L1804" s="761"/>
      <c r="M1804" s="730"/>
      <c r="N1804" s="730"/>
    </row>
    <row r="1805" spans="1:23" s="194" customFormat="1" ht="40.4" customHeight="1" x14ac:dyDescent="0.35">
      <c r="A1805" s="770" t="str">
        <f ca="1">INDIRECT("'update Helper'!C"&amp;U1805)</f>
        <v>a163p000004NtZyAAK</v>
      </c>
      <c r="B1805" s="766">
        <v>30</v>
      </c>
      <c r="C1805" s="760" t="str">
        <f ca="1">VLOOKUP(B1805,'Coverage Indicators - Section D'!$A$9:$AU$70,47,FALSE)</f>
        <v/>
      </c>
      <c r="D1805" s="768" t="str">
        <f ca="1">R1805</f>
        <v/>
      </c>
      <c r="E1805" s="768" t="str">
        <f ca="1">S1805</f>
        <v/>
      </c>
      <c r="F1805" s="413"/>
      <c r="G1805" s="762" t="str">
        <f ca="1">IF(OR(INDIRECT("'update Helper'!E"&amp;U1805)="",F1805&lt;&gt;0,F1806&lt;&gt;0),IF(IFERROR((F1805/F1806),"")="","",(F1805/F1806)),INDIRECT("'update Helper'!E"&amp;U1805)/100)</f>
        <v/>
      </c>
      <c r="H1805" s="743"/>
      <c r="I1805" s="764"/>
      <c r="J1805" s="729"/>
      <c r="K1805" s="760" t="str">
        <f ca="1">W1805</f>
        <v/>
      </c>
      <c r="L1805" s="760" t="str">
        <f ca="1">V1805</f>
        <v/>
      </c>
      <c r="M1805" s="729"/>
      <c r="N1805" s="729"/>
      <c r="P1805" s="194">
        <f ca="1">IF(AND(EXACT(C1805,C1803),C1803&lt;&gt;0),P1803+1,0)</f>
        <v>152</v>
      </c>
      <c r="Q1805" s="194" t="str">
        <f ca="1">IF(C1805&lt;&gt;"",C1805&amp;"-"&amp;P1805,"")</f>
        <v/>
      </c>
      <c r="R1805" s="194" t="str">
        <f t="array" aca="1" ref="R1805" ca="1">IFERROR(IF(INDEX('Disaggregation Records'!$E$155:$E$385,MATCH(RIGHT(Q1805,255),RIGHT('Disaggregation Records'!$D$155:$D$385,255),0))="","",INDEX('Disaggregation Records'!$E$155:$E$385,MATCH(RIGHT(Q1805,255),RIGHT('Disaggregation Records'!$D$155:$D$385,255),0))),"")</f>
        <v/>
      </c>
      <c r="S1805" s="194" t="str">
        <f t="array" aca="1" ref="S1805" ca="1">IFERROR(IF(INDEX('Disaggregation Records'!$F$155:$F$385,MATCH(RIGHT(Q1805,255),RIGHT('Disaggregation Records'!$D$155:$D$385,255),0))="","",INDEX('Disaggregation Records'!$F$155:$F$385,MATCH(RIGHT(Q1805,255),RIGHT('Disaggregation Records'!$D$155:$D$385,255),0))),"")</f>
        <v/>
      </c>
      <c r="T1805" s="194" t="str">
        <f t="array" aca="1" ref="T1805" ca="1">IFERROR(IF(INDEX('Disaggregation Records'!$H$155:$H$385,MATCH(RIGHT(Q1805,255),RIGHT('Disaggregation Records'!$D$155:$D$385,255),0))="","",INDEX('Disaggregation Records'!$H$155:$H$385,MATCH(RIGHT(Q1805,255),RIGHT('Disaggregation Records'!$D$155:$D$385,255),0))),"")</f>
        <v/>
      </c>
      <c r="U1805" s="194">
        <f>U1803+1</f>
        <v>3092</v>
      </c>
      <c r="V1805" s="194" t="str">
        <f t="array" aca="1" ref="V1805" ca="1">IFERROR(IF(INDEX('Disaggregation Records'!$I$155:$I$385,MATCH(RIGHT(Q1805,255),RIGHT('Disaggregation Records'!$D$155:$D$385,255),0))="","",INDEX('Disaggregation Records'!$I$155:$I$385,MATCH(RIGHT(Q1805,255),RIGHT('Disaggregation Records'!$D$155:$D$385,255),0))),"")</f>
        <v/>
      </c>
      <c r="W1805" s="194" t="str">
        <f ca="1">IFERROR(INDEX('Reference Records'!L$77:L$157,MATCH(LEFT(C1805,255),'Reference Records'!E$77:E$157,0)),"")</f>
        <v/>
      </c>
    </row>
    <row r="1806" spans="1:23" s="194" customFormat="1" ht="40.4" customHeight="1" x14ac:dyDescent="0.35">
      <c r="A1806" s="770"/>
      <c r="B1806" s="767"/>
      <c r="C1806" s="761"/>
      <c r="D1806" s="769"/>
      <c r="E1806" s="769"/>
      <c r="F1806" s="208"/>
      <c r="G1806" s="763"/>
      <c r="H1806" s="744"/>
      <c r="I1806" s="765"/>
      <c r="J1806" s="730"/>
      <c r="K1806" s="761"/>
      <c r="L1806" s="761"/>
      <c r="M1806" s="730"/>
      <c r="N1806" s="730"/>
    </row>
    <row r="1807" spans="1:23" s="194" customFormat="1" ht="40.4" customHeight="1" x14ac:dyDescent="0.35">
      <c r="A1807" s="770" t="str">
        <f ca="1">INDIRECT("'update Helper'!C"&amp;U1807)</f>
        <v>a163p000004NtZzAAK</v>
      </c>
      <c r="B1807" s="766">
        <v>30</v>
      </c>
      <c r="C1807" s="760" t="str">
        <f ca="1">VLOOKUP(B1807,'Coverage Indicators - Section D'!$A$9:$AU$70,47,FALSE)</f>
        <v/>
      </c>
      <c r="D1807" s="768" t="str">
        <f ca="1">R1807</f>
        <v/>
      </c>
      <c r="E1807" s="768" t="str">
        <f ca="1">S1807</f>
        <v/>
      </c>
      <c r="F1807" s="413"/>
      <c r="G1807" s="762" t="str">
        <f ca="1">IF(OR(INDIRECT("'update Helper'!E"&amp;U1807)="",F1807&lt;&gt;0,F1808&lt;&gt;0),IF(IFERROR((F1807/F1808),"")="","",(F1807/F1808)),INDIRECT("'update Helper'!E"&amp;U1807)/100)</f>
        <v/>
      </c>
      <c r="H1807" s="743"/>
      <c r="I1807" s="764"/>
      <c r="J1807" s="729"/>
      <c r="K1807" s="760" t="str">
        <f ca="1">W1807</f>
        <v/>
      </c>
      <c r="L1807" s="760" t="str">
        <f ca="1">V1807</f>
        <v/>
      </c>
      <c r="M1807" s="729"/>
      <c r="N1807" s="729"/>
      <c r="P1807" s="194">
        <f ca="1">IF(AND(EXACT(C1807,C1805),C1805&lt;&gt;0),P1805+1,0)</f>
        <v>153</v>
      </c>
      <c r="Q1807" s="194" t="str">
        <f ca="1">IF(C1807&lt;&gt;"",C1807&amp;"-"&amp;P1807,"")</f>
        <v/>
      </c>
      <c r="R1807" s="194" t="str">
        <f t="array" aca="1" ref="R1807" ca="1">IFERROR(IF(INDEX('Disaggregation Records'!$E$155:$E$385,MATCH(RIGHT(Q1807,255),RIGHT('Disaggregation Records'!$D$155:$D$385,255),0))="","",INDEX('Disaggregation Records'!$E$155:$E$385,MATCH(RIGHT(Q1807,255),RIGHT('Disaggregation Records'!$D$155:$D$385,255),0))),"")</f>
        <v/>
      </c>
      <c r="S1807" s="194" t="str">
        <f t="array" aca="1" ref="S1807" ca="1">IFERROR(IF(INDEX('Disaggregation Records'!$F$155:$F$385,MATCH(RIGHT(Q1807,255),RIGHT('Disaggregation Records'!$D$155:$D$385,255),0))="","",INDEX('Disaggregation Records'!$F$155:$F$385,MATCH(RIGHT(Q1807,255),RIGHT('Disaggregation Records'!$D$155:$D$385,255),0))),"")</f>
        <v/>
      </c>
      <c r="T1807" s="194" t="str">
        <f t="array" aca="1" ref="T1807" ca="1">IFERROR(IF(INDEX('Disaggregation Records'!$H$155:$H$385,MATCH(RIGHT(Q1807,255),RIGHT('Disaggregation Records'!$D$155:$D$385,255),0))="","",INDEX('Disaggregation Records'!$H$155:$H$385,MATCH(RIGHT(Q1807,255),RIGHT('Disaggregation Records'!$D$155:$D$385,255),0))),"")</f>
        <v/>
      </c>
      <c r="U1807" s="194">
        <f>U1805+1</f>
        <v>3093</v>
      </c>
      <c r="V1807" s="194" t="str">
        <f t="array" aca="1" ref="V1807" ca="1">IFERROR(IF(INDEX('Disaggregation Records'!$I$155:$I$385,MATCH(RIGHT(Q1807,255),RIGHT('Disaggregation Records'!$D$155:$D$385,255),0))="","",INDEX('Disaggregation Records'!$I$155:$I$385,MATCH(RIGHT(Q1807,255),RIGHT('Disaggregation Records'!$D$155:$D$385,255),0))),"")</f>
        <v/>
      </c>
      <c r="W1807" s="194" t="str">
        <f ca="1">IFERROR(INDEX('Reference Records'!L$77:L$157,MATCH(LEFT(C1807,255),'Reference Records'!E$77:E$157,0)),"")</f>
        <v/>
      </c>
    </row>
    <row r="1808" spans="1:23" s="194" customFormat="1" ht="40.4" customHeight="1" x14ac:dyDescent="0.35">
      <c r="A1808" s="770"/>
      <c r="B1808" s="767"/>
      <c r="C1808" s="761"/>
      <c r="D1808" s="769"/>
      <c r="E1808" s="769"/>
      <c r="F1808" s="208"/>
      <c r="G1808" s="763"/>
      <c r="H1808" s="744"/>
      <c r="I1808" s="765"/>
      <c r="J1808" s="730"/>
      <c r="K1808" s="761"/>
      <c r="L1808" s="761"/>
      <c r="M1808" s="730"/>
      <c r="N1808" s="730"/>
    </row>
    <row r="1809" spans="1:23" s="194" customFormat="1" ht="40.4" customHeight="1" x14ac:dyDescent="0.35">
      <c r="A1809" s="770" t="str">
        <f ca="1">INDIRECT("'update Helper'!C"&amp;U1809)</f>
        <v>a163p000004Nta0AAC</v>
      </c>
      <c r="B1809" s="766">
        <v>30</v>
      </c>
      <c r="C1809" s="760" t="str">
        <f ca="1">VLOOKUP(B1809,'Coverage Indicators - Section D'!$A$9:$AU$70,47,FALSE)</f>
        <v/>
      </c>
      <c r="D1809" s="768" t="str">
        <f ca="1">R1809</f>
        <v/>
      </c>
      <c r="E1809" s="768" t="str">
        <f ca="1">S1809</f>
        <v/>
      </c>
      <c r="F1809" s="413"/>
      <c r="G1809" s="762" t="str">
        <f ca="1">IF(OR(INDIRECT("'update Helper'!E"&amp;U1809)="",F1809&lt;&gt;0,F1810&lt;&gt;0),IF(IFERROR((F1809/F1810),"")="","",(F1809/F1810)),INDIRECT("'update Helper'!E"&amp;U1809)/100)</f>
        <v/>
      </c>
      <c r="H1809" s="743"/>
      <c r="I1809" s="764"/>
      <c r="J1809" s="729"/>
      <c r="K1809" s="760" t="str">
        <f ca="1">W1809</f>
        <v/>
      </c>
      <c r="L1809" s="760" t="str">
        <f ca="1">V1809</f>
        <v/>
      </c>
      <c r="M1809" s="729"/>
      <c r="N1809" s="729"/>
      <c r="P1809" s="194">
        <f ca="1">IF(AND(EXACT(C1809,C1807),C1807&lt;&gt;0),P1807+1,0)</f>
        <v>154</v>
      </c>
      <c r="Q1809" s="194" t="str">
        <f ca="1">IF(C1809&lt;&gt;"",C1809&amp;"-"&amp;P1809,"")</f>
        <v/>
      </c>
      <c r="R1809" s="194" t="str">
        <f t="array" aca="1" ref="R1809" ca="1">IFERROR(IF(INDEX('Disaggregation Records'!$E$155:$E$385,MATCH(RIGHT(Q1809,255),RIGHT('Disaggregation Records'!$D$155:$D$385,255),0))="","",INDEX('Disaggregation Records'!$E$155:$E$385,MATCH(RIGHT(Q1809,255),RIGHT('Disaggregation Records'!$D$155:$D$385,255),0))),"")</f>
        <v/>
      </c>
      <c r="S1809" s="194" t="str">
        <f t="array" aca="1" ref="S1809" ca="1">IFERROR(IF(INDEX('Disaggregation Records'!$F$155:$F$385,MATCH(RIGHT(Q1809,255),RIGHT('Disaggregation Records'!$D$155:$D$385,255),0))="","",INDEX('Disaggregation Records'!$F$155:$F$385,MATCH(RIGHT(Q1809,255),RIGHT('Disaggregation Records'!$D$155:$D$385,255),0))),"")</f>
        <v/>
      </c>
      <c r="T1809" s="194" t="str">
        <f t="array" aca="1" ref="T1809" ca="1">IFERROR(IF(INDEX('Disaggregation Records'!$H$155:$H$385,MATCH(RIGHT(Q1809,255),RIGHT('Disaggregation Records'!$D$155:$D$385,255),0))="","",INDEX('Disaggregation Records'!$H$155:$H$385,MATCH(RIGHT(Q1809,255),RIGHT('Disaggregation Records'!$D$155:$D$385,255),0))),"")</f>
        <v/>
      </c>
      <c r="U1809" s="194">
        <f>U1807+1</f>
        <v>3094</v>
      </c>
      <c r="V1809" s="194" t="str">
        <f t="array" aca="1" ref="V1809" ca="1">IFERROR(IF(INDEX('Disaggregation Records'!$I$155:$I$385,MATCH(RIGHT(Q1809,255),RIGHT('Disaggregation Records'!$D$155:$D$385,255),0))="","",INDEX('Disaggregation Records'!$I$155:$I$385,MATCH(RIGHT(Q1809,255),RIGHT('Disaggregation Records'!$D$155:$D$385,255),0))),"")</f>
        <v/>
      </c>
      <c r="W1809" s="194" t="str">
        <f ca="1">IFERROR(INDEX('Reference Records'!L$77:L$157,MATCH(LEFT(C1809,255),'Reference Records'!E$77:E$157,0)),"")</f>
        <v/>
      </c>
    </row>
    <row r="1810" spans="1:23" s="194" customFormat="1" ht="40.4" customHeight="1" x14ac:dyDescent="0.35">
      <c r="A1810" s="770"/>
      <c r="B1810" s="767"/>
      <c r="C1810" s="761"/>
      <c r="D1810" s="769"/>
      <c r="E1810" s="769"/>
      <c r="F1810" s="208"/>
      <c r="G1810" s="763"/>
      <c r="H1810" s="744"/>
      <c r="I1810" s="765"/>
      <c r="J1810" s="730"/>
      <c r="K1810" s="761"/>
      <c r="L1810" s="761"/>
      <c r="M1810" s="730"/>
      <c r="N1810" s="730"/>
    </row>
    <row r="1811" spans="1:23" s="194" customFormat="1" ht="40.4" customHeight="1" x14ac:dyDescent="0.35">
      <c r="A1811" s="770" t="str">
        <f ca="1">INDIRECT("'update Helper'!C"&amp;U1811)</f>
        <v>a163p000004Nta1AAC</v>
      </c>
      <c r="B1811" s="766">
        <v>30</v>
      </c>
      <c r="C1811" s="760" t="str">
        <f ca="1">VLOOKUP(B1811,'Coverage Indicators - Section D'!$A$9:$AU$70,47,FALSE)</f>
        <v/>
      </c>
      <c r="D1811" s="768" t="str">
        <f ca="1">R1811</f>
        <v/>
      </c>
      <c r="E1811" s="768" t="str">
        <f ca="1">S1811</f>
        <v/>
      </c>
      <c r="F1811" s="413"/>
      <c r="G1811" s="762" t="str">
        <f ca="1">IF(OR(INDIRECT("'update Helper'!E"&amp;U1811)="",F1811&lt;&gt;0,F1812&lt;&gt;0),IF(IFERROR((F1811/F1812),"")="","",(F1811/F1812)),INDIRECT("'update Helper'!E"&amp;U1811)/100)</f>
        <v/>
      </c>
      <c r="H1811" s="743"/>
      <c r="I1811" s="764"/>
      <c r="J1811" s="729"/>
      <c r="K1811" s="760" t="str">
        <f ca="1">W1811</f>
        <v/>
      </c>
      <c r="L1811" s="760" t="str">
        <f ca="1">V1811</f>
        <v/>
      </c>
      <c r="M1811" s="729"/>
      <c r="N1811" s="729"/>
      <c r="P1811" s="194">
        <f ca="1">IF(AND(EXACT(C1811,C1809),C1809&lt;&gt;0),P1809+1,0)</f>
        <v>155</v>
      </c>
      <c r="Q1811" s="194" t="str">
        <f ca="1">IF(C1811&lt;&gt;"",C1811&amp;"-"&amp;P1811,"")</f>
        <v/>
      </c>
      <c r="R1811" s="194" t="str">
        <f t="array" aca="1" ref="R1811" ca="1">IFERROR(IF(INDEX('Disaggregation Records'!$E$155:$E$385,MATCH(RIGHT(Q1811,255),RIGHT('Disaggregation Records'!$D$155:$D$385,255),0))="","",INDEX('Disaggregation Records'!$E$155:$E$385,MATCH(RIGHT(Q1811,255),RIGHT('Disaggregation Records'!$D$155:$D$385,255),0))),"")</f>
        <v/>
      </c>
      <c r="S1811" s="194" t="str">
        <f t="array" aca="1" ref="S1811" ca="1">IFERROR(IF(INDEX('Disaggregation Records'!$F$155:$F$385,MATCH(RIGHT(Q1811,255),RIGHT('Disaggregation Records'!$D$155:$D$385,255),0))="","",INDEX('Disaggregation Records'!$F$155:$F$385,MATCH(RIGHT(Q1811,255),RIGHT('Disaggregation Records'!$D$155:$D$385,255),0))),"")</f>
        <v/>
      </c>
      <c r="T1811" s="194" t="str">
        <f t="array" aca="1" ref="T1811" ca="1">IFERROR(IF(INDEX('Disaggregation Records'!$H$155:$H$385,MATCH(RIGHT(Q1811,255),RIGHT('Disaggregation Records'!$D$155:$D$385,255),0))="","",INDEX('Disaggregation Records'!$H$155:$H$385,MATCH(RIGHT(Q1811,255),RIGHT('Disaggregation Records'!$D$155:$D$385,255),0))),"")</f>
        <v/>
      </c>
      <c r="U1811" s="194">
        <f>U1809+1</f>
        <v>3095</v>
      </c>
      <c r="V1811" s="194" t="str">
        <f t="array" aca="1" ref="V1811" ca="1">IFERROR(IF(INDEX('Disaggregation Records'!$I$155:$I$385,MATCH(RIGHT(Q1811,255),RIGHT('Disaggregation Records'!$D$155:$D$385,255),0))="","",INDEX('Disaggregation Records'!$I$155:$I$385,MATCH(RIGHT(Q1811,255),RIGHT('Disaggregation Records'!$D$155:$D$385,255),0))),"")</f>
        <v/>
      </c>
      <c r="W1811" s="194" t="str">
        <f ca="1">IFERROR(INDEX('Reference Records'!L$77:L$157,MATCH(LEFT(C1811,255),'Reference Records'!E$77:E$157,0)),"")</f>
        <v/>
      </c>
    </row>
    <row r="1812" spans="1:23" s="194" customFormat="1" ht="40.4" customHeight="1" x14ac:dyDescent="0.35">
      <c r="A1812" s="770"/>
      <c r="B1812" s="767"/>
      <c r="C1812" s="761"/>
      <c r="D1812" s="769"/>
      <c r="E1812" s="769"/>
      <c r="F1812" s="208"/>
      <c r="G1812" s="763"/>
      <c r="H1812" s="744"/>
      <c r="I1812" s="765"/>
      <c r="J1812" s="730"/>
      <c r="K1812" s="761"/>
      <c r="L1812" s="761"/>
      <c r="M1812" s="730"/>
      <c r="N1812" s="730"/>
    </row>
    <row r="1813" spans="1:23" s="194" customFormat="1" ht="40.4" customHeight="1" x14ac:dyDescent="0.35">
      <c r="A1813" s="770" t="str">
        <f ca="1">INDIRECT("'update Helper'!C"&amp;U1813)</f>
        <v>a163p000004Nta2AAC</v>
      </c>
      <c r="B1813" s="766">
        <v>30</v>
      </c>
      <c r="C1813" s="760" t="str">
        <f ca="1">VLOOKUP(B1813,'Coverage Indicators - Section D'!$A$9:$AU$70,47,FALSE)</f>
        <v/>
      </c>
      <c r="D1813" s="768" t="str">
        <f ca="1">R1813</f>
        <v/>
      </c>
      <c r="E1813" s="768" t="str">
        <f ca="1">S1813</f>
        <v/>
      </c>
      <c r="F1813" s="413"/>
      <c r="G1813" s="762" t="str">
        <f ca="1">IF(OR(INDIRECT("'update Helper'!E"&amp;U1813)="",F1813&lt;&gt;0,F1814&lt;&gt;0),IF(IFERROR((F1813/F1814),"")="","",(F1813/F1814)),INDIRECT("'update Helper'!E"&amp;U1813)/100)</f>
        <v/>
      </c>
      <c r="H1813" s="743"/>
      <c r="I1813" s="764"/>
      <c r="J1813" s="729"/>
      <c r="K1813" s="760" t="str">
        <f ca="1">W1813</f>
        <v/>
      </c>
      <c r="L1813" s="760" t="str">
        <f ca="1">V1813</f>
        <v/>
      </c>
      <c r="M1813" s="729"/>
      <c r="N1813" s="729"/>
      <c r="P1813" s="194">
        <f ca="1">IF(AND(EXACT(C1813,C1811),C1811&lt;&gt;0),P1811+1,0)</f>
        <v>156</v>
      </c>
      <c r="Q1813" s="194" t="str">
        <f ca="1">IF(C1813&lt;&gt;"",C1813&amp;"-"&amp;P1813,"")</f>
        <v/>
      </c>
      <c r="R1813" s="194" t="str">
        <f t="array" aca="1" ref="R1813" ca="1">IFERROR(IF(INDEX('Disaggregation Records'!$E$155:$E$385,MATCH(RIGHT(Q1813,255),RIGHT('Disaggregation Records'!$D$155:$D$385,255),0))="","",INDEX('Disaggregation Records'!$E$155:$E$385,MATCH(RIGHT(Q1813,255),RIGHT('Disaggregation Records'!$D$155:$D$385,255),0))),"")</f>
        <v/>
      </c>
      <c r="S1813" s="194" t="str">
        <f t="array" aca="1" ref="S1813" ca="1">IFERROR(IF(INDEX('Disaggregation Records'!$F$155:$F$385,MATCH(RIGHT(Q1813,255),RIGHT('Disaggregation Records'!$D$155:$D$385,255),0))="","",INDEX('Disaggregation Records'!$F$155:$F$385,MATCH(RIGHT(Q1813,255),RIGHT('Disaggregation Records'!$D$155:$D$385,255),0))),"")</f>
        <v/>
      </c>
      <c r="T1813" s="194" t="str">
        <f t="array" aca="1" ref="T1813" ca="1">IFERROR(IF(INDEX('Disaggregation Records'!$H$155:$H$385,MATCH(RIGHT(Q1813,255),RIGHT('Disaggregation Records'!$D$155:$D$385,255),0))="","",INDEX('Disaggregation Records'!$H$155:$H$385,MATCH(RIGHT(Q1813,255),RIGHT('Disaggregation Records'!$D$155:$D$385,255),0))),"")</f>
        <v/>
      </c>
      <c r="U1813" s="194">
        <f>U1811+1</f>
        <v>3096</v>
      </c>
      <c r="V1813" s="194" t="str">
        <f t="array" aca="1" ref="V1813" ca="1">IFERROR(IF(INDEX('Disaggregation Records'!$I$155:$I$385,MATCH(RIGHT(Q1813,255),RIGHT('Disaggregation Records'!$D$155:$D$385,255),0))="","",INDEX('Disaggregation Records'!$I$155:$I$385,MATCH(RIGHT(Q1813,255),RIGHT('Disaggregation Records'!$D$155:$D$385,255),0))),"")</f>
        <v/>
      </c>
      <c r="W1813" s="194" t="str">
        <f ca="1">IFERROR(INDEX('Reference Records'!L$77:L$157,MATCH(LEFT(C1813,255),'Reference Records'!E$77:E$157,0)),"")</f>
        <v/>
      </c>
    </row>
    <row r="1814" spans="1:23" s="194" customFormat="1" ht="40.4" customHeight="1" x14ac:dyDescent="0.35">
      <c r="A1814" s="770"/>
      <c r="B1814" s="767"/>
      <c r="C1814" s="761"/>
      <c r="D1814" s="769"/>
      <c r="E1814" s="769"/>
      <c r="F1814" s="208"/>
      <c r="G1814" s="763"/>
      <c r="H1814" s="744"/>
      <c r="I1814" s="765"/>
      <c r="J1814" s="730"/>
      <c r="K1814" s="761"/>
      <c r="L1814" s="761"/>
      <c r="M1814" s="730"/>
      <c r="N1814" s="730"/>
    </row>
    <row r="1815" spans="1:23" s="194" customFormat="1" ht="40.4" customHeight="1" x14ac:dyDescent="0.35">
      <c r="A1815" s="770" t="str">
        <f ca="1">INDIRECT("'update Helper'!C"&amp;U1815)</f>
        <v>a163p000004Nta3AAC</v>
      </c>
      <c r="B1815" s="766">
        <v>30</v>
      </c>
      <c r="C1815" s="760" t="str">
        <f ca="1">VLOOKUP(B1815,'Coverage Indicators - Section D'!$A$9:$AU$70,47,FALSE)</f>
        <v/>
      </c>
      <c r="D1815" s="768" t="str">
        <f ca="1">R1815</f>
        <v/>
      </c>
      <c r="E1815" s="768" t="str">
        <f ca="1">S1815</f>
        <v/>
      </c>
      <c r="F1815" s="413"/>
      <c r="G1815" s="762" t="str">
        <f ca="1">IF(OR(INDIRECT("'update Helper'!E"&amp;U1815)="",F1815&lt;&gt;0,F1816&lt;&gt;0),IF(IFERROR((F1815/F1816),"")="","",(F1815/F1816)),INDIRECT("'update Helper'!E"&amp;U1815)/100)</f>
        <v/>
      </c>
      <c r="H1815" s="743"/>
      <c r="I1815" s="764"/>
      <c r="J1815" s="729"/>
      <c r="K1815" s="760" t="str">
        <f ca="1">W1815</f>
        <v/>
      </c>
      <c r="L1815" s="760" t="str">
        <f ca="1">V1815</f>
        <v/>
      </c>
      <c r="M1815" s="729"/>
      <c r="N1815" s="729"/>
      <c r="P1815" s="194">
        <f ca="1">IF(AND(EXACT(C1815,C1813),C1813&lt;&gt;0),P1813+1,0)</f>
        <v>157</v>
      </c>
      <c r="Q1815" s="194" t="str">
        <f ca="1">IF(C1815&lt;&gt;"",C1815&amp;"-"&amp;P1815,"")</f>
        <v/>
      </c>
      <c r="R1815" s="194" t="str">
        <f t="array" aca="1" ref="R1815" ca="1">IFERROR(IF(INDEX('Disaggregation Records'!$E$155:$E$385,MATCH(RIGHT(Q1815,255),RIGHT('Disaggregation Records'!$D$155:$D$385,255),0))="","",INDEX('Disaggregation Records'!$E$155:$E$385,MATCH(RIGHT(Q1815,255),RIGHT('Disaggregation Records'!$D$155:$D$385,255),0))),"")</f>
        <v/>
      </c>
      <c r="S1815" s="194" t="str">
        <f t="array" aca="1" ref="S1815" ca="1">IFERROR(IF(INDEX('Disaggregation Records'!$F$155:$F$385,MATCH(RIGHT(Q1815,255),RIGHT('Disaggregation Records'!$D$155:$D$385,255),0))="","",INDEX('Disaggregation Records'!$F$155:$F$385,MATCH(RIGHT(Q1815,255),RIGHT('Disaggregation Records'!$D$155:$D$385,255),0))),"")</f>
        <v/>
      </c>
      <c r="T1815" s="194" t="str">
        <f t="array" aca="1" ref="T1815" ca="1">IFERROR(IF(INDEX('Disaggregation Records'!$H$155:$H$385,MATCH(RIGHT(Q1815,255),RIGHT('Disaggregation Records'!$D$155:$D$385,255),0))="","",INDEX('Disaggregation Records'!$H$155:$H$385,MATCH(RIGHT(Q1815,255),RIGHT('Disaggregation Records'!$D$155:$D$385,255),0))),"")</f>
        <v/>
      </c>
      <c r="U1815" s="194">
        <f>U1813+1</f>
        <v>3097</v>
      </c>
      <c r="V1815" s="194" t="str">
        <f t="array" aca="1" ref="V1815" ca="1">IFERROR(IF(INDEX('Disaggregation Records'!$I$155:$I$385,MATCH(RIGHT(Q1815,255),RIGHT('Disaggregation Records'!$D$155:$D$385,255),0))="","",INDEX('Disaggregation Records'!$I$155:$I$385,MATCH(RIGHT(Q1815,255),RIGHT('Disaggregation Records'!$D$155:$D$385,255),0))),"")</f>
        <v/>
      </c>
      <c r="W1815" s="194" t="str">
        <f ca="1">IFERROR(INDEX('Reference Records'!L$77:L$157,MATCH(LEFT(C1815,255),'Reference Records'!E$77:E$157,0)),"")</f>
        <v/>
      </c>
    </row>
    <row r="1816" spans="1:23" s="194" customFormat="1" ht="40.4" customHeight="1" x14ac:dyDescent="0.35">
      <c r="A1816" s="770"/>
      <c r="B1816" s="767"/>
      <c r="C1816" s="761"/>
      <c r="D1816" s="769"/>
      <c r="E1816" s="769"/>
      <c r="F1816" s="208"/>
      <c r="G1816" s="763"/>
      <c r="H1816" s="744"/>
      <c r="I1816" s="765"/>
      <c r="J1816" s="730"/>
      <c r="K1816" s="761"/>
      <c r="L1816" s="761"/>
      <c r="M1816" s="730"/>
      <c r="N1816" s="730"/>
    </row>
    <row r="1817" spans="1:23" s="194" customFormat="1" ht="40.4" customHeight="1" x14ac:dyDescent="0.35">
      <c r="A1817" s="770" t="str">
        <f ca="1">INDIRECT("'update Helper'!C"&amp;U1817)</f>
        <v>a163p000004Nta4AAC</v>
      </c>
      <c r="B1817" s="766">
        <v>30</v>
      </c>
      <c r="C1817" s="760" t="str">
        <f ca="1">VLOOKUP(B1817,'Coverage Indicators - Section D'!$A$9:$AU$70,47,FALSE)</f>
        <v/>
      </c>
      <c r="D1817" s="768" t="str">
        <f ca="1">R1817</f>
        <v/>
      </c>
      <c r="E1817" s="768" t="str">
        <f ca="1">S1817</f>
        <v/>
      </c>
      <c r="F1817" s="413"/>
      <c r="G1817" s="762" t="str">
        <f ca="1">IF(OR(INDIRECT("'update Helper'!E"&amp;U1817)="",F1817&lt;&gt;0,F1818&lt;&gt;0),IF(IFERROR((F1817/F1818),"")="","",(F1817/F1818)),INDIRECT("'update Helper'!E"&amp;U1817)/100)</f>
        <v/>
      </c>
      <c r="H1817" s="743"/>
      <c r="I1817" s="764"/>
      <c r="J1817" s="729"/>
      <c r="K1817" s="760" t="str">
        <f ca="1">W1817</f>
        <v/>
      </c>
      <c r="L1817" s="760" t="str">
        <f ca="1">V1817</f>
        <v/>
      </c>
      <c r="M1817" s="729"/>
      <c r="N1817" s="729"/>
      <c r="P1817" s="194">
        <f ca="1">IF(AND(EXACT(C1817,C1815),C1815&lt;&gt;0),P1815+1,0)</f>
        <v>158</v>
      </c>
      <c r="Q1817" s="194" t="str">
        <f ca="1">IF(C1817&lt;&gt;"",C1817&amp;"-"&amp;P1817,"")</f>
        <v/>
      </c>
      <c r="R1817" s="194" t="str">
        <f t="array" aca="1" ref="R1817" ca="1">IFERROR(IF(INDEX('Disaggregation Records'!$E$155:$E$385,MATCH(RIGHT(Q1817,255),RIGHT('Disaggregation Records'!$D$155:$D$385,255),0))="","",INDEX('Disaggregation Records'!$E$155:$E$385,MATCH(RIGHT(Q1817,255),RIGHT('Disaggregation Records'!$D$155:$D$385,255),0))),"")</f>
        <v/>
      </c>
      <c r="S1817" s="194" t="str">
        <f t="array" aca="1" ref="S1817" ca="1">IFERROR(IF(INDEX('Disaggregation Records'!$F$155:$F$385,MATCH(RIGHT(Q1817,255),RIGHT('Disaggregation Records'!$D$155:$D$385,255),0))="","",INDEX('Disaggregation Records'!$F$155:$F$385,MATCH(RIGHT(Q1817,255),RIGHT('Disaggregation Records'!$D$155:$D$385,255),0))),"")</f>
        <v/>
      </c>
      <c r="T1817" s="194" t="str">
        <f t="array" aca="1" ref="T1817" ca="1">IFERROR(IF(INDEX('Disaggregation Records'!$H$155:$H$385,MATCH(RIGHT(Q1817,255),RIGHT('Disaggregation Records'!$D$155:$D$385,255),0))="","",INDEX('Disaggregation Records'!$H$155:$H$385,MATCH(RIGHT(Q1817,255),RIGHT('Disaggregation Records'!$D$155:$D$385,255),0))),"")</f>
        <v/>
      </c>
      <c r="U1817" s="194">
        <f>U1815+1</f>
        <v>3098</v>
      </c>
      <c r="V1817" s="194" t="str">
        <f t="array" aca="1" ref="V1817" ca="1">IFERROR(IF(INDEX('Disaggregation Records'!$I$155:$I$385,MATCH(RIGHT(Q1817,255),RIGHT('Disaggregation Records'!$D$155:$D$385,255),0))="","",INDEX('Disaggregation Records'!$I$155:$I$385,MATCH(RIGHT(Q1817,255),RIGHT('Disaggregation Records'!$D$155:$D$385,255),0))),"")</f>
        <v/>
      </c>
      <c r="W1817" s="194" t="str">
        <f ca="1">IFERROR(INDEX('Reference Records'!L$77:L$157,MATCH(LEFT(C1817,255),'Reference Records'!E$77:E$157,0)),"")</f>
        <v/>
      </c>
    </row>
    <row r="1818" spans="1:23" s="194" customFormat="1" ht="40.4" customHeight="1" x14ac:dyDescent="0.35">
      <c r="A1818" s="770"/>
      <c r="B1818" s="767"/>
      <c r="C1818" s="761"/>
      <c r="D1818" s="769"/>
      <c r="E1818" s="769"/>
      <c r="F1818" s="208"/>
      <c r="G1818" s="763"/>
      <c r="H1818" s="744"/>
      <c r="I1818" s="765"/>
      <c r="J1818" s="730"/>
      <c r="K1818" s="761"/>
      <c r="L1818" s="761"/>
      <c r="M1818" s="730"/>
      <c r="N1818" s="730"/>
    </row>
    <row r="1819" spans="1:23" s="194" customFormat="1" ht="40.4" customHeight="1" x14ac:dyDescent="0.35">
      <c r="A1819" s="770" t="str">
        <f ca="1">INDIRECT("'update Helper'!C"&amp;U1819)</f>
        <v>a163p000004Nta5AAC</v>
      </c>
      <c r="B1819" s="766">
        <v>30</v>
      </c>
      <c r="C1819" s="760" t="str">
        <f ca="1">VLOOKUP(B1819,'Coverage Indicators - Section D'!$A$9:$AU$70,47,FALSE)</f>
        <v/>
      </c>
      <c r="D1819" s="768" t="str">
        <f ca="1">R1819</f>
        <v/>
      </c>
      <c r="E1819" s="768" t="str">
        <f ca="1">S1819</f>
        <v/>
      </c>
      <c r="F1819" s="413"/>
      <c r="G1819" s="762" t="str">
        <f ca="1">IF(OR(INDIRECT("'update Helper'!E"&amp;U1819)="",F1819&lt;&gt;0,F1820&lt;&gt;0),IF(IFERROR((F1819/F1820),"")="","",(F1819/F1820)),INDIRECT("'update Helper'!E"&amp;U1819)/100)</f>
        <v/>
      </c>
      <c r="H1819" s="743"/>
      <c r="I1819" s="764"/>
      <c r="J1819" s="729"/>
      <c r="K1819" s="760" t="str">
        <f ca="1">W1819</f>
        <v/>
      </c>
      <c r="L1819" s="760" t="str">
        <f ca="1">V1819</f>
        <v/>
      </c>
      <c r="M1819" s="729"/>
      <c r="N1819" s="729"/>
      <c r="P1819" s="194">
        <f ca="1">IF(AND(EXACT(C1819,C1817),C1817&lt;&gt;0),P1817+1,0)</f>
        <v>159</v>
      </c>
      <c r="Q1819" s="194" t="str">
        <f ca="1">IF(C1819&lt;&gt;"",C1819&amp;"-"&amp;P1819,"")</f>
        <v/>
      </c>
      <c r="R1819" s="194" t="str">
        <f t="array" aca="1" ref="R1819" ca="1">IFERROR(IF(INDEX('Disaggregation Records'!$E$155:$E$385,MATCH(RIGHT(Q1819,255),RIGHT('Disaggregation Records'!$D$155:$D$385,255),0))="","",INDEX('Disaggregation Records'!$E$155:$E$385,MATCH(RIGHT(Q1819,255),RIGHT('Disaggregation Records'!$D$155:$D$385,255),0))),"")</f>
        <v/>
      </c>
      <c r="S1819" s="194" t="str">
        <f t="array" aca="1" ref="S1819" ca="1">IFERROR(IF(INDEX('Disaggregation Records'!$F$155:$F$385,MATCH(RIGHT(Q1819,255),RIGHT('Disaggregation Records'!$D$155:$D$385,255),0))="","",INDEX('Disaggregation Records'!$F$155:$F$385,MATCH(RIGHT(Q1819,255),RIGHT('Disaggregation Records'!$D$155:$D$385,255),0))),"")</f>
        <v/>
      </c>
      <c r="T1819" s="194" t="str">
        <f t="array" aca="1" ref="T1819" ca="1">IFERROR(IF(INDEX('Disaggregation Records'!$H$155:$H$385,MATCH(RIGHT(Q1819,255),RIGHT('Disaggregation Records'!$D$155:$D$385,255),0))="","",INDEX('Disaggregation Records'!$H$155:$H$385,MATCH(RIGHT(Q1819,255),RIGHT('Disaggregation Records'!$D$155:$D$385,255),0))),"")</f>
        <v/>
      </c>
      <c r="U1819" s="194">
        <f>U1817+1</f>
        <v>3099</v>
      </c>
      <c r="V1819" s="194" t="str">
        <f t="array" aca="1" ref="V1819" ca="1">IFERROR(IF(INDEX('Disaggregation Records'!$I$155:$I$385,MATCH(RIGHT(Q1819,255),RIGHT('Disaggregation Records'!$D$155:$D$385,255),0))="","",INDEX('Disaggregation Records'!$I$155:$I$385,MATCH(RIGHT(Q1819,255),RIGHT('Disaggregation Records'!$D$155:$D$385,255),0))),"")</f>
        <v/>
      </c>
      <c r="W1819" s="194" t="str">
        <f ca="1">IFERROR(INDEX('Reference Records'!L$77:L$157,MATCH(LEFT(C1819,255),'Reference Records'!E$77:E$157,0)),"")</f>
        <v/>
      </c>
    </row>
    <row r="1820" spans="1:23" s="194" customFormat="1" ht="40.4" customHeight="1" x14ac:dyDescent="0.35">
      <c r="A1820" s="770"/>
      <c r="B1820" s="767"/>
      <c r="C1820" s="761"/>
      <c r="D1820" s="769"/>
      <c r="E1820" s="769"/>
      <c r="F1820" s="208"/>
      <c r="G1820" s="763"/>
      <c r="H1820" s="744"/>
      <c r="I1820" s="765"/>
      <c r="J1820" s="730"/>
      <c r="K1820" s="761"/>
      <c r="L1820" s="761"/>
      <c r="M1820" s="730"/>
      <c r="N1820" s="730"/>
    </row>
  </sheetData>
  <sheetProtection password="FB8C" sheet="1" objects="1" scenarios="1" formatCells="0" formatColumns="0" formatRows="0"/>
  <mergeCells count="11707">
    <mergeCell ref="A156:A157"/>
    <mergeCell ref="A154:A155"/>
    <mergeCell ref="A152:A153"/>
    <mergeCell ref="A150:A151"/>
    <mergeCell ref="A148:A149"/>
    <mergeCell ref="A146:A147"/>
    <mergeCell ref="A144:A145"/>
    <mergeCell ref="A142:A143"/>
    <mergeCell ref="A140:A141"/>
    <mergeCell ref="A138:A139"/>
    <mergeCell ref="A136:A137"/>
    <mergeCell ref="A134:A135"/>
    <mergeCell ref="A132:A133"/>
    <mergeCell ref="A130:A131"/>
    <mergeCell ref="A128:A129"/>
    <mergeCell ref="A126:A127"/>
    <mergeCell ref="A124:A125"/>
    <mergeCell ref="A122:A123"/>
    <mergeCell ref="A120:A121"/>
    <mergeCell ref="A118:A119"/>
    <mergeCell ref="A116:A117"/>
    <mergeCell ref="A114:A115"/>
    <mergeCell ref="A112:A113"/>
    <mergeCell ref="A110:A111"/>
    <mergeCell ref="A108:A109"/>
    <mergeCell ref="A106:A107"/>
    <mergeCell ref="A104:A105"/>
    <mergeCell ref="A102:A103"/>
    <mergeCell ref="A100:A101"/>
    <mergeCell ref="A98:A99"/>
    <mergeCell ref="A96:A97"/>
    <mergeCell ref="A222:A223"/>
    <mergeCell ref="A220:A221"/>
    <mergeCell ref="A218:A219"/>
    <mergeCell ref="A216:A217"/>
    <mergeCell ref="A214:A215"/>
    <mergeCell ref="A212:A213"/>
    <mergeCell ref="A210:A211"/>
    <mergeCell ref="A208:A209"/>
    <mergeCell ref="A206:A207"/>
    <mergeCell ref="A204:A205"/>
    <mergeCell ref="A202:A203"/>
    <mergeCell ref="A200:A201"/>
    <mergeCell ref="A198:A199"/>
    <mergeCell ref="A196:A197"/>
    <mergeCell ref="A194:A195"/>
    <mergeCell ref="A192:A193"/>
    <mergeCell ref="A190:A191"/>
    <mergeCell ref="A188:A189"/>
    <mergeCell ref="A186:A187"/>
    <mergeCell ref="A184:A185"/>
    <mergeCell ref="A182:A183"/>
    <mergeCell ref="A180:A181"/>
    <mergeCell ref="A178:A179"/>
    <mergeCell ref="A176:A177"/>
    <mergeCell ref="A174:A175"/>
    <mergeCell ref="A172:A173"/>
    <mergeCell ref="A170:A171"/>
    <mergeCell ref="A168:A169"/>
    <mergeCell ref="A166:A167"/>
    <mergeCell ref="A164:A165"/>
    <mergeCell ref="A162:A163"/>
    <mergeCell ref="A160:A161"/>
    <mergeCell ref="A158:A159"/>
    <mergeCell ref="A288:A289"/>
    <mergeCell ref="A286:A287"/>
    <mergeCell ref="A284:A285"/>
    <mergeCell ref="A282:A283"/>
    <mergeCell ref="A280:A281"/>
    <mergeCell ref="A278:A279"/>
    <mergeCell ref="A276:A277"/>
    <mergeCell ref="A274:A275"/>
    <mergeCell ref="A272:A273"/>
    <mergeCell ref="A270:A271"/>
    <mergeCell ref="A268:A269"/>
    <mergeCell ref="A266:A267"/>
    <mergeCell ref="A264:A265"/>
    <mergeCell ref="A262:A263"/>
    <mergeCell ref="A260:A261"/>
    <mergeCell ref="A258:A259"/>
    <mergeCell ref="A256:A257"/>
    <mergeCell ref="A254:A255"/>
    <mergeCell ref="A252:A253"/>
    <mergeCell ref="A250:A251"/>
    <mergeCell ref="A248:A249"/>
    <mergeCell ref="A246:A247"/>
    <mergeCell ref="A244:A245"/>
    <mergeCell ref="A242:A243"/>
    <mergeCell ref="A240:A241"/>
    <mergeCell ref="A238:A239"/>
    <mergeCell ref="A236:A237"/>
    <mergeCell ref="A234:A235"/>
    <mergeCell ref="A232:A233"/>
    <mergeCell ref="A230:A231"/>
    <mergeCell ref="A228:A229"/>
    <mergeCell ref="A226:A227"/>
    <mergeCell ref="A224:A225"/>
    <mergeCell ref="A360:A361"/>
    <mergeCell ref="A358:A359"/>
    <mergeCell ref="A356:A357"/>
    <mergeCell ref="A354:A355"/>
    <mergeCell ref="A352:A353"/>
    <mergeCell ref="A350:A351"/>
    <mergeCell ref="A348:A349"/>
    <mergeCell ref="A346:A347"/>
    <mergeCell ref="A344:A345"/>
    <mergeCell ref="A342:A343"/>
    <mergeCell ref="A340:A341"/>
    <mergeCell ref="A338:A339"/>
    <mergeCell ref="A336:A337"/>
    <mergeCell ref="A334:A335"/>
    <mergeCell ref="A332:A333"/>
    <mergeCell ref="A330:A331"/>
    <mergeCell ref="A328:A329"/>
    <mergeCell ref="A326:A327"/>
    <mergeCell ref="A324:A325"/>
    <mergeCell ref="A322:A323"/>
    <mergeCell ref="A320:A321"/>
    <mergeCell ref="A318:A319"/>
    <mergeCell ref="A316:A317"/>
    <mergeCell ref="A308:A309"/>
    <mergeCell ref="A306:A307"/>
    <mergeCell ref="A304:A305"/>
    <mergeCell ref="A302:A303"/>
    <mergeCell ref="A300:A301"/>
    <mergeCell ref="A298:A299"/>
    <mergeCell ref="A296:A297"/>
    <mergeCell ref="A294:A295"/>
    <mergeCell ref="A292:A293"/>
    <mergeCell ref="A290:A291"/>
    <mergeCell ref="A426:A427"/>
    <mergeCell ref="A424:A425"/>
    <mergeCell ref="A422:A423"/>
    <mergeCell ref="A420:A421"/>
    <mergeCell ref="A418:A419"/>
    <mergeCell ref="A416:A417"/>
    <mergeCell ref="A414:A415"/>
    <mergeCell ref="A412:A413"/>
    <mergeCell ref="A410:A411"/>
    <mergeCell ref="A408:A409"/>
    <mergeCell ref="A406:A407"/>
    <mergeCell ref="A404:A405"/>
    <mergeCell ref="A402:A403"/>
    <mergeCell ref="A400:A401"/>
    <mergeCell ref="A398:A399"/>
    <mergeCell ref="A396:A397"/>
    <mergeCell ref="A394:A395"/>
    <mergeCell ref="A392:A393"/>
    <mergeCell ref="A390:A391"/>
    <mergeCell ref="A388:A389"/>
    <mergeCell ref="A386:A387"/>
    <mergeCell ref="A384:A385"/>
    <mergeCell ref="A382:A383"/>
    <mergeCell ref="A380:A381"/>
    <mergeCell ref="A378:A379"/>
    <mergeCell ref="A376:A377"/>
    <mergeCell ref="A374:A375"/>
    <mergeCell ref="A372:A373"/>
    <mergeCell ref="A370:A371"/>
    <mergeCell ref="A368:A369"/>
    <mergeCell ref="A366:A367"/>
    <mergeCell ref="A364:A365"/>
    <mergeCell ref="A362:A363"/>
    <mergeCell ref="A492:A493"/>
    <mergeCell ref="A490:A491"/>
    <mergeCell ref="A488:A489"/>
    <mergeCell ref="A486:A487"/>
    <mergeCell ref="A484:A485"/>
    <mergeCell ref="A482:A483"/>
    <mergeCell ref="A480:A481"/>
    <mergeCell ref="A478:A479"/>
    <mergeCell ref="A476:A477"/>
    <mergeCell ref="A474:A475"/>
    <mergeCell ref="A472:A473"/>
    <mergeCell ref="A470:A471"/>
    <mergeCell ref="A468:A469"/>
    <mergeCell ref="A466:A467"/>
    <mergeCell ref="A464:A465"/>
    <mergeCell ref="A462:A463"/>
    <mergeCell ref="A460:A461"/>
    <mergeCell ref="A458:A459"/>
    <mergeCell ref="A456:A457"/>
    <mergeCell ref="A454:A455"/>
    <mergeCell ref="A452:A453"/>
    <mergeCell ref="A450:A451"/>
    <mergeCell ref="A448:A449"/>
    <mergeCell ref="A446:A447"/>
    <mergeCell ref="A444:A445"/>
    <mergeCell ref="A442:A443"/>
    <mergeCell ref="A440:A441"/>
    <mergeCell ref="A438:A439"/>
    <mergeCell ref="A436:A437"/>
    <mergeCell ref="A434:A435"/>
    <mergeCell ref="A432:A433"/>
    <mergeCell ref="A430:A431"/>
    <mergeCell ref="A428:A429"/>
    <mergeCell ref="A558:A559"/>
    <mergeCell ref="A556:A557"/>
    <mergeCell ref="A554:A555"/>
    <mergeCell ref="A552:A553"/>
    <mergeCell ref="A550:A551"/>
    <mergeCell ref="A548:A549"/>
    <mergeCell ref="A546:A547"/>
    <mergeCell ref="A544:A545"/>
    <mergeCell ref="A542:A543"/>
    <mergeCell ref="A540:A541"/>
    <mergeCell ref="A538:A539"/>
    <mergeCell ref="A536:A537"/>
    <mergeCell ref="A534:A535"/>
    <mergeCell ref="A532:A533"/>
    <mergeCell ref="A530:A531"/>
    <mergeCell ref="A528:A529"/>
    <mergeCell ref="A526:A527"/>
    <mergeCell ref="A524:A525"/>
    <mergeCell ref="A522:A523"/>
    <mergeCell ref="A520:A521"/>
    <mergeCell ref="A518:A519"/>
    <mergeCell ref="A516:A517"/>
    <mergeCell ref="A514:A515"/>
    <mergeCell ref="A512:A513"/>
    <mergeCell ref="A510:A511"/>
    <mergeCell ref="A508:A509"/>
    <mergeCell ref="A506:A507"/>
    <mergeCell ref="A504:A505"/>
    <mergeCell ref="A502:A503"/>
    <mergeCell ref="A500:A501"/>
    <mergeCell ref="A498:A499"/>
    <mergeCell ref="A496:A497"/>
    <mergeCell ref="A494:A495"/>
    <mergeCell ref="A631:A632"/>
    <mergeCell ref="A629:A630"/>
    <mergeCell ref="A627:A628"/>
    <mergeCell ref="A625:A626"/>
    <mergeCell ref="A623:A624"/>
    <mergeCell ref="A614:A615"/>
    <mergeCell ref="A612:A613"/>
    <mergeCell ref="A610:A611"/>
    <mergeCell ref="A608:A609"/>
    <mergeCell ref="A606:A607"/>
    <mergeCell ref="A604:A605"/>
    <mergeCell ref="A602:A603"/>
    <mergeCell ref="A600:A601"/>
    <mergeCell ref="A598:A599"/>
    <mergeCell ref="A596:A597"/>
    <mergeCell ref="A594:A595"/>
    <mergeCell ref="A592:A593"/>
    <mergeCell ref="A590:A591"/>
    <mergeCell ref="A588:A589"/>
    <mergeCell ref="A586:A587"/>
    <mergeCell ref="A584:A585"/>
    <mergeCell ref="A582:A583"/>
    <mergeCell ref="A580:A581"/>
    <mergeCell ref="A578:A579"/>
    <mergeCell ref="A576:A577"/>
    <mergeCell ref="A574:A575"/>
    <mergeCell ref="A572:A573"/>
    <mergeCell ref="A570:A571"/>
    <mergeCell ref="A568:A569"/>
    <mergeCell ref="A566:A567"/>
    <mergeCell ref="A564:A565"/>
    <mergeCell ref="A562:A563"/>
    <mergeCell ref="A560:A561"/>
    <mergeCell ref="A697:A698"/>
    <mergeCell ref="A695:A696"/>
    <mergeCell ref="A693:A694"/>
    <mergeCell ref="A691:A692"/>
    <mergeCell ref="A689:A690"/>
    <mergeCell ref="A687:A688"/>
    <mergeCell ref="A685:A686"/>
    <mergeCell ref="A683:A684"/>
    <mergeCell ref="A681:A682"/>
    <mergeCell ref="A679:A680"/>
    <mergeCell ref="A677:A678"/>
    <mergeCell ref="A675:A676"/>
    <mergeCell ref="A673:A674"/>
    <mergeCell ref="A671:A672"/>
    <mergeCell ref="A669:A670"/>
    <mergeCell ref="A667:A668"/>
    <mergeCell ref="A665:A666"/>
    <mergeCell ref="A663:A664"/>
    <mergeCell ref="A661:A662"/>
    <mergeCell ref="A659:A660"/>
    <mergeCell ref="A657:A658"/>
    <mergeCell ref="A655:A656"/>
    <mergeCell ref="A653:A654"/>
    <mergeCell ref="A651:A652"/>
    <mergeCell ref="A649:A650"/>
    <mergeCell ref="A647:A648"/>
    <mergeCell ref="A645:A646"/>
    <mergeCell ref="A643:A644"/>
    <mergeCell ref="A641:A642"/>
    <mergeCell ref="A639:A640"/>
    <mergeCell ref="A637:A638"/>
    <mergeCell ref="A635:A636"/>
    <mergeCell ref="A633:A634"/>
    <mergeCell ref="A763:A764"/>
    <mergeCell ref="A761:A762"/>
    <mergeCell ref="A759:A760"/>
    <mergeCell ref="A757:A758"/>
    <mergeCell ref="A755:A756"/>
    <mergeCell ref="A753:A754"/>
    <mergeCell ref="A751:A752"/>
    <mergeCell ref="A749:A750"/>
    <mergeCell ref="A747:A748"/>
    <mergeCell ref="A745:A746"/>
    <mergeCell ref="A743:A744"/>
    <mergeCell ref="A741:A742"/>
    <mergeCell ref="A739:A740"/>
    <mergeCell ref="A737:A738"/>
    <mergeCell ref="A735:A736"/>
    <mergeCell ref="A733:A734"/>
    <mergeCell ref="A731:A732"/>
    <mergeCell ref="A729:A730"/>
    <mergeCell ref="A727:A728"/>
    <mergeCell ref="A725:A726"/>
    <mergeCell ref="A723:A724"/>
    <mergeCell ref="A721:A722"/>
    <mergeCell ref="A719:A720"/>
    <mergeCell ref="A717:A718"/>
    <mergeCell ref="A715:A716"/>
    <mergeCell ref="A713:A714"/>
    <mergeCell ref="A711:A712"/>
    <mergeCell ref="A709:A710"/>
    <mergeCell ref="A707:A708"/>
    <mergeCell ref="A705:A706"/>
    <mergeCell ref="A703:A704"/>
    <mergeCell ref="A701:A702"/>
    <mergeCell ref="A699:A700"/>
    <mergeCell ref="A829:A830"/>
    <mergeCell ref="A827:A828"/>
    <mergeCell ref="A825:A826"/>
    <mergeCell ref="A823:A824"/>
    <mergeCell ref="A821:A822"/>
    <mergeCell ref="A819:A820"/>
    <mergeCell ref="A817:A818"/>
    <mergeCell ref="A815:A816"/>
    <mergeCell ref="A813:A814"/>
    <mergeCell ref="A811:A812"/>
    <mergeCell ref="A809:A810"/>
    <mergeCell ref="A807:A808"/>
    <mergeCell ref="A805:A806"/>
    <mergeCell ref="A803:A804"/>
    <mergeCell ref="A801:A802"/>
    <mergeCell ref="A799:A800"/>
    <mergeCell ref="A797:A798"/>
    <mergeCell ref="A795:A796"/>
    <mergeCell ref="A793:A794"/>
    <mergeCell ref="A791:A792"/>
    <mergeCell ref="A789:A790"/>
    <mergeCell ref="A787:A788"/>
    <mergeCell ref="A785:A786"/>
    <mergeCell ref="A783:A784"/>
    <mergeCell ref="A781:A782"/>
    <mergeCell ref="A779:A780"/>
    <mergeCell ref="A777:A778"/>
    <mergeCell ref="A775:A776"/>
    <mergeCell ref="A773:A774"/>
    <mergeCell ref="A771:A772"/>
    <mergeCell ref="A769:A770"/>
    <mergeCell ref="A767:A768"/>
    <mergeCell ref="A765:A766"/>
    <mergeCell ref="A895:A896"/>
    <mergeCell ref="A893:A894"/>
    <mergeCell ref="A891:A892"/>
    <mergeCell ref="A889:A890"/>
    <mergeCell ref="A887:A888"/>
    <mergeCell ref="A885:A886"/>
    <mergeCell ref="A883:A884"/>
    <mergeCell ref="A881:A882"/>
    <mergeCell ref="A879:A880"/>
    <mergeCell ref="A877:A878"/>
    <mergeCell ref="A875:A876"/>
    <mergeCell ref="A873:A874"/>
    <mergeCell ref="A871:A872"/>
    <mergeCell ref="A869:A870"/>
    <mergeCell ref="A867:A868"/>
    <mergeCell ref="A865:A866"/>
    <mergeCell ref="A863:A864"/>
    <mergeCell ref="A861:A862"/>
    <mergeCell ref="A859:A860"/>
    <mergeCell ref="A857:A858"/>
    <mergeCell ref="A855:A856"/>
    <mergeCell ref="A853:A854"/>
    <mergeCell ref="A851:A852"/>
    <mergeCell ref="A849:A850"/>
    <mergeCell ref="A847:A848"/>
    <mergeCell ref="A845:A846"/>
    <mergeCell ref="A843:A844"/>
    <mergeCell ref="A841:A842"/>
    <mergeCell ref="A839:A840"/>
    <mergeCell ref="A837:A838"/>
    <mergeCell ref="A835:A836"/>
    <mergeCell ref="A833:A834"/>
    <mergeCell ref="A831:A832"/>
    <mergeCell ref="A961:A962"/>
    <mergeCell ref="A959:A960"/>
    <mergeCell ref="A957:A958"/>
    <mergeCell ref="A955:A956"/>
    <mergeCell ref="A953:A954"/>
    <mergeCell ref="A951:A952"/>
    <mergeCell ref="A949:A950"/>
    <mergeCell ref="A947:A948"/>
    <mergeCell ref="A945:A946"/>
    <mergeCell ref="A943:A944"/>
    <mergeCell ref="A941:A942"/>
    <mergeCell ref="A939:A940"/>
    <mergeCell ref="A937:A938"/>
    <mergeCell ref="A935:A936"/>
    <mergeCell ref="A933:A934"/>
    <mergeCell ref="A931:A932"/>
    <mergeCell ref="A929:A930"/>
    <mergeCell ref="A927:A928"/>
    <mergeCell ref="A925:A926"/>
    <mergeCell ref="A923:A924"/>
    <mergeCell ref="A921:A922"/>
    <mergeCell ref="A919:A920"/>
    <mergeCell ref="A917:A918"/>
    <mergeCell ref="A915:A916"/>
    <mergeCell ref="A913:A914"/>
    <mergeCell ref="A911:A912"/>
    <mergeCell ref="A909:A910"/>
    <mergeCell ref="A907:A908"/>
    <mergeCell ref="A905:A906"/>
    <mergeCell ref="A903:A904"/>
    <mergeCell ref="A901:A902"/>
    <mergeCell ref="A899:A900"/>
    <mergeCell ref="A897:A898"/>
    <mergeCell ref="A1027:A1028"/>
    <mergeCell ref="A1025:A1026"/>
    <mergeCell ref="A1023:A1024"/>
    <mergeCell ref="A1021:A1022"/>
    <mergeCell ref="A1019:A1020"/>
    <mergeCell ref="A1017:A1018"/>
    <mergeCell ref="A1015:A1016"/>
    <mergeCell ref="A1013:A1014"/>
    <mergeCell ref="A1011:A1012"/>
    <mergeCell ref="A1009:A1010"/>
    <mergeCell ref="A1007:A1008"/>
    <mergeCell ref="A1005:A1006"/>
    <mergeCell ref="A1003:A1004"/>
    <mergeCell ref="A1001:A1002"/>
    <mergeCell ref="A999:A1000"/>
    <mergeCell ref="A997:A998"/>
    <mergeCell ref="A995:A996"/>
    <mergeCell ref="A993:A994"/>
    <mergeCell ref="A991:A992"/>
    <mergeCell ref="A989:A990"/>
    <mergeCell ref="A987:A988"/>
    <mergeCell ref="A985:A986"/>
    <mergeCell ref="A983:A984"/>
    <mergeCell ref="A981:A982"/>
    <mergeCell ref="A979:A980"/>
    <mergeCell ref="A977:A978"/>
    <mergeCell ref="A975:A976"/>
    <mergeCell ref="A973:A974"/>
    <mergeCell ref="A971:A972"/>
    <mergeCell ref="A969:A970"/>
    <mergeCell ref="A967:A968"/>
    <mergeCell ref="A965:A966"/>
    <mergeCell ref="A963:A964"/>
    <mergeCell ref="A1093:A1094"/>
    <mergeCell ref="A1091:A1092"/>
    <mergeCell ref="A1089:A1090"/>
    <mergeCell ref="A1087:A1088"/>
    <mergeCell ref="A1085:A1086"/>
    <mergeCell ref="A1083:A1084"/>
    <mergeCell ref="A1081:A1082"/>
    <mergeCell ref="A1079:A1080"/>
    <mergeCell ref="A1077:A1078"/>
    <mergeCell ref="A1075:A1076"/>
    <mergeCell ref="A1073:A1074"/>
    <mergeCell ref="A1071:A1072"/>
    <mergeCell ref="A1069:A1070"/>
    <mergeCell ref="A1067:A1068"/>
    <mergeCell ref="A1065:A1066"/>
    <mergeCell ref="A1063:A1064"/>
    <mergeCell ref="A1061:A1062"/>
    <mergeCell ref="A1059:A1060"/>
    <mergeCell ref="A1057:A1058"/>
    <mergeCell ref="A1055:A1056"/>
    <mergeCell ref="A1053:A1054"/>
    <mergeCell ref="A1051:A1052"/>
    <mergeCell ref="A1049:A1050"/>
    <mergeCell ref="A1047:A1048"/>
    <mergeCell ref="A1045:A1046"/>
    <mergeCell ref="A1043:A1044"/>
    <mergeCell ref="A1041:A1042"/>
    <mergeCell ref="A1039:A1040"/>
    <mergeCell ref="A1037:A1038"/>
    <mergeCell ref="A1035:A1036"/>
    <mergeCell ref="A1033:A1034"/>
    <mergeCell ref="A1031:A1032"/>
    <mergeCell ref="A1029:A1030"/>
    <mergeCell ref="A1159:A1160"/>
    <mergeCell ref="A1157:A1158"/>
    <mergeCell ref="A1155:A1156"/>
    <mergeCell ref="A1153:A1154"/>
    <mergeCell ref="A1151:A1152"/>
    <mergeCell ref="A1149:A1150"/>
    <mergeCell ref="A1147:A1148"/>
    <mergeCell ref="A1145:A1146"/>
    <mergeCell ref="A1143:A1144"/>
    <mergeCell ref="A1141:A1142"/>
    <mergeCell ref="A1139:A1140"/>
    <mergeCell ref="A1137:A1138"/>
    <mergeCell ref="A1135:A1136"/>
    <mergeCell ref="A1133:A1134"/>
    <mergeCell ref="A1131:A1132"/>
    <mergeCell ref="A1129:A1130"/>
    <mergeCell ref="A1127:A1128"/>
    <mergeCell ref="A1125:A1126"/>
    <mergeCell ref="A1123:A1124"/>
    <mergeCell ref="A1121:A1122"/>
    <mergeCell ref="A1119:A1120"/>
    <mergeCell ref="A1117:A1118"/>
    <mergeCell ref="A1115:A1116"/>
    <mergeCell ref="A1113:A1114"/>
    <mergeCell ref="A1111:A1112"/>
    <mergeCell ref="A1109:A1110"/>
    <mergeCell ref="A1107:A1108"/>
    <mergeCell ref="A1105:A1106"/>
    <mergeCell ref="A1103:A1104"/>
    <mergeCell ref="A1101:A1102"/>
    <mergeCell ref="A1099:A1100"/>
    <mergeCell ref="A1097:A1098"/>
    <mergeCell ref="A1095:A1096"/>
    <mergeCell ref="A1225:A1226"/>
    <mergeCell ref="A1223:A1224"/>
    <mergeCell ref="A1221:A1222"/>
    <mergeCell ref="A1219:A1220"/>
    <mergeCell ref="A1217:A1218"/>
    <mergeCell ref="A1215:A1216"/>
    <mergeCell ref="A1213:A1214"/>
    <mergeCell ref="A1211:A1212"/>
    <mergeCell ref="A1209:A1210"/>
    <mergeCell ref="A1207:A1208"/>
    <mergeCell ref="A1205:A1206"/>
    <mergeCell ref="A1203:A1204"/>
    <mergeCell ref="A1201:A1202"/>
    <mergeCell ref="A1199:A1200"/>
    <mergeCell ref="A1197:A1198"/>
    <mergeCell ref="A1195:A1196"/>
    <mergeCell ref="A1193:A1194"/>
    <mergeCell ref="A1191:A1192"/>
    <mergeCell ref="A1189:A1190"/>
    <mergeCell ref="A1187:A1188"/>
    <mergeCell ref="A1185:A1186"/>
    <mergeCell ref="A1183:A1184"/>
    <mergeCell ref="A1181:A1182"/>
    <mergeCell ref="A1179:A1180"/>
    <mergeCell ref="A1177:A1178"/>
    <mergeCell ref="A1175:A1176"/>
    <mergeCell ref="A1173:A1174"/>
    <mergeCell ref="A1171:A1172"/>
    <mergeCell ref="A1169:A1170"/>
    <mergeCell ref="A1167:A1168"/>
    <mergeCell ref="A1165:A1166"/>
    <mergeCell ref="A1163:A1164"/>
    <mergeCell ref="A1161:A1162"/>
    <mergeCell ref="A1291:A1292"/>
    <mergeCell ref="A1289:A1290"/>
    <mergeCell ref="A1287:A1288"/>
    <mergeCell ref="A1285:A1286"/>
    <mergeCell ref="A1283:A1284"/>
    <mergeCell ref="A1281:A1282"/>
    <mergeCell ref="A1279:A1280"/>
    <mergeCell ref="A1277:A1278"/>
    <mergeCell ref="A1275:A1276"/>
    <mergeCell ref="A1273:A1274"/>
    <mergeCell ref="A1271:A1272"/>
    <mergeCell ref="A1269:A1270"/>
    <mergeCell ref="A1267:A1268"/>
    <mergeCell ref="A1265:A1266"/>
    <mergeCell ref="A1263:A1264"/>
    <mergeCell ref="A1261:A1262"/>
    <mergeCell ref="A1259:A1260"/>
    <mergeCell ref="A1257:A1258"/>
    <mergeCell ref="A1255:A1256"/>
    <mergeCell ref="A1253:A1254"/>
    <mergeCell ref="A1251:A1252"/>
    <mergeCell ref="A1249:A1250"/>
    <mergeCell ref="A1247:A1248"/>
    <mergeCell ref="A1245:A1246"/>
    <mergeCell ref="A1243:A1244"/>
    <mergeCell ref="A1241:A1242"/>
    <mergeCell ref="A1239:A1240"/>
    <mergeCell ref="A1237:A1238"/>
    <mergeCell ref="A1235:A1236"/>
    <mergeCell ref="A1233:A1234"/>
    <mergeCell ref="A1231:A1232"/>
    <mergeCell ref="A1229:A1230"/>
    <mergeCell ref="A1227:A1228"/>
    <mergeCell ref="A1357:A1358"/>
    <mergeCell ref="A1355:A1356"/>
    <mergeCell ref="A1353:A1354"/>
    <mergeCell ref="A1351:A1352"/>
    <mergeCell ref="A1349:A1350"/>
    <mergeCell ref="A1347:A1348"/>
    <mergeCell ref="A1345:A1346"/>
    <mergeCell ref="A1343:A1344"/>
    <mergeCell ref="A1341:A1342"/>
    <mergeCell ref="A1339:A1340"/>
    <mergeCell ref="A1337:A1338"/>
    <mergeCell ref="A1335:A1336"/>
    <mergeCell ref="A1333:A1334"/>
    <mergeCell ref="A1331:A1332"/>
    <mergeCell ref="A1329:A1330"/>
    <mergeCell ref="A1327:A1328"/>
    <mergeCell ref="A1325:A1326"/>
    <mergeCell ref="A1323:A1324"/>
    <mergeCell ref="A1321:A1322"/>
    <mergeCell ref="A1319:A1320"/>
    <mergeCell ref="A1317:A1318"/>
    <mergeCell ref="A1315:A1316"/>
    <mergeCell ref="A1313:A1314"/>
    <mergeCell ref="A1311:A1312"/>
    <mergeCell ref="A1309:A1310"/>
    <mergeCell ref="A1307:A1308"/>
    <mergeCell ref="A1305:A1306"/>
    <mergeCell ref="A1303:A1304"/>
    <mergeCell ref="A1301:A1302"/>
    <mergeCell ref="A1299:A1300"/>
    <mergeCell ref="A1297:A1298"/>
    <mergeCell ref="A1295:A1296"/>
    <mergeCell ref="A1293:A1294"/>
    <mergeCell ref="A1423:A1424"/>
    <mergeCell ref="A1421:A1422"/>
    <mergeCell ref="A1419:A1420"/>
    <mergeCell ref="A1417:A1418"/>
    <mergeCell ref="A1415:A1416"/>
    <mergeCell ref="A1413:A1414"/>
    <mergeCell ref="A1411:A1412"/>
    <mergeCell ref="A1409:A1410"/>
    <mergeCell ref="A1407:A1408"/>
    <mergeCell ref="A1405:A1406"/>
    <mergeCell ref="A1403:A1404"/>
    <mergeCell ref="A1401:A1402"/>
    <mergeCell ref="A1399:A1400"/>
    <mergeCell ref="A1397:A1398"/>
    <mergeCell ref="A1395:A1396"/>
    <mergeCell ref="A1393:A1394"/>
    <mergeCell ref="A1391:A1392"/>
    <mergeCell ref="A1389:A1390"/>
    <mergeCell ref="A1387:A1388"/>
    <mergeCell ref="A1385:A1386"/>
    <mergeCell ref="A1383:A1384"/>
    <mergeCell ref="A1381:A1382"/>
    <mergeCell ref="A1379:A1380"/>
    <mergeCell ref="A1377:A1378"/>
    <mergeCell ref="A1375:A1376"/>
    <mergeCell ref="A1373:A1374"/>
    <mergeCell ref="A1371:A1372"/>
    <mergeCell ref="A1369:A1370"/>
    <mergeCell ref="A1367:A1368"/>
    <mergeCell ref="A1365:A1366"/>
    <mergeCell ref="A1363:A1364"/>
    <mergeCell ref="A1361:A1362"/>
    <mergeCell ref="A1359:A1360"/>
    <mergeCell ref="A1489:A1490"/>
    <mergeCell ref="A1487:A1488"/>
    <mergeCell ref="A1485:A1486"/>
    <mergeCell ref="A1483:A1484"/>
    <mergeCell ref="A1481:A1482"/>
    <mergeCell ref="A1479:A1480"/>
    <mergeCell ref="A1477:A1478"/>
    <mergeCell ref="A1475:A1476"/>
    <mergeCell ref="A1473:A1474"/>
    <mergeCell ref="A1471:A1472"/>
    <mergeCell ref="A1469:A1470"/>
    <mergeCell ref="A1467:A1468"/>
    <mergeCell ref="A1465:A1466"/>
    <mergeCell ref="A1463:A1464"/>
    <mergeCell ref="A1461:A1462"/>
    <mergeCell ref="A1459:A1460"/>
    <mergeCell ref="A1457:A1458"/>
    <mergeCell ref="A1455:A1456"/>
    <mergeCell ref="A1453:A1454"/>
    <mergeCell ref="A1451:A1452"/>
    <mergeCell ref="A1449:A1450"/>
    <mergeCell ref="A1447:A1448"/>
    <mergeCell ref="A1445:A1446"/>
    <mergeCell ref="A1443:A1444"/>
    <mergeCell ref="A1441:A1442"/>
    <mergeCell ref="A1439:A1440"/>
    <mergeCell ref="A1437:A1438"/>
    <mergeCell ref="A1435:A1436"/>
    <mergeCell ref="A1433:A1434"/>
    <mergeCell ref="A1431:A1432"/>
    <mergeCell ref="A1429:A1430"/>
    <mergeCell ref="A1427:A1428"/>
    <mergeCell ref="A1425:A1426"/>
    <mergeCell ref="A1555:A1556"/>
    <mergeCell ref="A1553:A1554"/>
    <mergeCell ref="A1551:A1552"/>
    <mergeCell ref="A1549:A1550"/>
    <mergeCell ref="A1547:A1548"/>
    <mergeCell ref="A1545:A1546"/>
    <mergeCell ref="A1543:A1544"/>
    <mergeCell ref="A1541:A1542"/>
    <mergeCell ref="A1539:A1540"/>
    <mergeCell ref="A1537:A1538"/>
    <mergeCell ref="A1535:A1536"/>
    <mergeCell ref="A1533:A1534"/>
    <mergeCell ref="A1531:A1532"/>
    <mergeCell ref="A1529:A1530"/>
    <mergeCell ref="A1527:A1528"/>
    <mergeCell ref="A1525:A1526"/>
    <mergeCell ref="A1523:A1524"/>
    <mergeCell ref="A1521:A1522"/>
    <mergeCell ref="A1519:A1520"/>
    <mergeCell ref="A1517:A1518"/>
    <mergeCell ref="A1515:A1516"/>
    <mergeCell ref="A1513:A1514"/>
    <mergeCell ref="A1511:A1512"/>
    <mergeCell ref="A1509:A1510"/>
    <mergeCell ref="A1507:A1508"/>
    <mergeCell ref="A1505:A1506"/>
    <mergeCell ref="A1503:A1504"/>
    <mergeCell ref="A1501:A1502"/>
    <mergeCell ref="A1499:A1500"/>
    <mergeCell ref="A1497:A1498"/>
    <mergeCell ref="A1495:A1496"/>
    <mergeCell ref="A1493:A1494"/>
    <mergeCell ref="A1491:A1492"/>
    <mergeCell ref="A1621:A1622"/>
    <mergeCell ref="A1619:A1620"/>
    <mergeCell ref="A1617:A1618"/>
    <mergeCell ref="A1615:A1616"/>
    <mergeCell ref="A1613:A1614"/>
    <mergeCell ref="A1611:A1612"/>
    <mergeCell ref="A1609:A1610"/>
    <mergeCell ref="A1607:A1608"/>
    <mergeCell ref="A1605:A1606"/>
    <mergeCell ref="A1603:A1604"/>
    <mergeCell ref="A1601:A1602"/>
    <mergeCell ref="A1599:A1600"/>
    <mergeCell ref="A1597:A1598"/>
    <mergeCell ref="A1595:A1596"/>
    <mergeCell ref="A1593:A1594"/>
    <mergeCell ref="A1591:A1592"/>
    <mergeCell ref="A1589:A1590"/>
    <mergeCell ref="A1587:A1588"/>
    <mergeCell ref="A1585:A1586"/>
    <mergeCell ref="A1583:A1584"/>
    <mergeCell ref="A1581:A1582"/>
    <mergeCell ref="A1579:A1580"/>
    <mergeCell ref="A1577:A1578"/>
    <mergeCell ref="A1575:A1576"/>
    <mergeCell ref="A1573:A1574"/>
    <mergeCell ref="A1571:A1572"/>
    <mergeCell ref="A1569:A1570"/>
    <mergeCell ref="A1567:A1568"/>
    <mergeCell ref="A1565:A1566"/>
    <mergeCell ref="A1563:A1564"/>
    <mergeCell ref="A1561:A1562"/>
    <mergeCell ref="A1559:A1560"/>
    <mergeCell ref="A1557:A1558"/>
    <mergeCell ref="A1687:A1688"/>
    <mergeCell ref="A1685:A1686"/>
    <mergeCell ref="A1683:A1684"/>
    <mergeCell ref="A1681:A1682"/>
    <mergeCell ref="A1679:A1680"/>
    <mergeCell ref="A1677:A1678"/>
    <mergeCell ref="A1675:A1676"/>
    <mergeCell ref="A1673:A1674"/>
    <mergeCell ref="A1671:A1672"/>
    <mergeCell ref="A1669:A1670"/>
    <mergeCell ref="A1667:A1668"/>
    <mergeCell ref="A1665:A1666"/>
    <mergeCell ref="A1663:A1664"/>
    <mergeCell ref="A1661:A1662"/>
    <mergeCell ref="A1659:A1660"/>
    <mergeCell ref="A1657:A1658"/>
    <mergeCell ref="A1655:A1656"/>
    <mergeCell ref="A1653:A1654"/>
    <mergeCell ref="A1651:A1652"/>
    <mergeCell ref="A1649:A1650"/>
    <mergeCell ref="A1647:A1648"/>
    <mergeCell ref="A1645:A1646"/>
    <mergeCell ref="A1643:A1644"/>
    <mergeCell ref="A1641:A1642"/>
    <mergeCell ref="A1639:A1640"/>
    <mergeCell ref="A1637:A1638"/>
    <mergeCell ref="A1635:A1636"/>
    <mergeCell ref="A1633:A1634"/>
    <mergeCell ref="A1631:A1632"/>
    <mergeCell ref="A1629:A1630"/>
    <mergeCell ref="A1627:A1628"/>
    <mergeCell ref="A1625:A1626"/>
    <mergeCell ref="A1623:A1624"/>
    <mergeCell ref="A1753:A1754"/>
    <mergeCell ref="A1751:A1752"/>
    <mergeCell ref="A1749:A1750"/>
    <mergeCell ref="A1747:A1748"/>
    <mergeCell ref="A1745:A1746"/>
    <mergeCell ref="A1743:A1744"/>
    <mergeCell ref="A1741:A1742"/>
    <mergeCell ref="A1739:A1740"/>
    <mergeCell ref="A1737:A1738"/>
    <mergeCell ref="A1735:A1736"/>
    <mergeCell ref="A1733:A1734"/>
    <mergeCell ref="A1731:A1732"/>
    <mergeCell ref="A1729:A1730"/>
    <mergeCell ref="A1727:A1728"/>
    <mergeCell ref="A1725:A1726"/>
    <mergeCell ref="A1723:A1724"/>
    <mergeCell ref="A1721:A1722"/>
    <mergeCell ref="A1719:A1720"/>
    <mergeCell ref="A1717:A1718"/>
    <mergeCell ref="A1715:A1716"/>
    <mergeCell ref="A1713:A1714"/>
    <mergeCell ref="A1711:A1712"/>
    <mergeCell ref="A1709:A1710"/>
    <mergeCell ref="A1707:A1708"/>
    <mergeCell ref="A1705:A1706"/>
    <mergeCell ref="A1703:A1704"/>
    <mergeCell ref="A1701:A1702"/>
    <mergeCell ref="A1699:A1700"/>
    <mergeCell ref="A1697:A1698"/>
    <mergeCell ref="A1695:A1696"/>
    <mergeCell ref="A1693:A1694"/>
    <mergeCell ref="A1691:A1692"/>
    <mergeCell ref="A1689:A1690"/>
    <mergeCell ref="A1819:A1820"/>
    <mergeCell ref="A1817:A1818"/>
    <mergeCell ref="A1815:A1816"/>
    <mergeCell ref="A1813:A1814"/>
    <mergeCell ref="A1811:A1812"/>
    <mergeCell ref="A1809:A1810"/>
    <mergeCell ref="A1807:A1808"/>
    <mergeCell ref="A1805:A1806"/>
    <mergeCell ref="A1803:A1804"/>
    <mergeCell ref="A1801:A1802"/>
    <mergeCell ref="A1799:A1800"/>
    <mergeCell ref="A1797:A1798"/>
    <mergeCell ref="A1795:A1796"/>
    <mergeCell ref="A1793:A1794"/>
    <mergeCell ref="A1791:A1792"/>
    <mergeCell ref="A1789:A1790"/>
    <mergeCell ref="A1787:A1788"/>
    <mergeCell ref="A1785:A1786"/>
    <mergeCell ref="A1783:A1784"/>
    <mergeCell ref="A1781:A1782"/>
    <mergeCell ref="A1779:A1780"/>
    <mergeCell ref="A1777:A1778"/>
    <mergeCell ref="A1775:A1776"/>
    <mergeCell ref="A1773:A1774"/>
    <mergeCell ref="A1771:A1772"/>
    <mergeCell ref="A1769:A1770"/>
    <mergeCell ref="A1767:A1768"/>
    <mergeCell ref="A1765:A1766"/>
    <mergeCell ref="A1763:A1764"/>
    <mergeCell ref="A1761:A1762"/>
    <mergeCell ref="A1759:A1760"/>
    <mergeCell ref="A1757:A1758"/>
    <mergeCell ref="A1755:A1756"/>
    <mergeCell ref="K10:K11"/>
    <mergeCell ref="L10:L11"/>
    <mergeCell ref="M10:M11"/>
    <mergeCell ref="N10:N11"/>
    <mergeCell ref="K314:N314"/>
    <mergeCell ref="K316:K317"/>
    <mergeCell ref="L316:L317"/>
    <mergeCell ref="M316:M317"/>
    <mergeCell ref="N316:N317"/>
    <mergeCell ref="K619:N619"/>
    <mergeCell ref="K621:K622"/>
    <mergeCell ref="L621:L622"/>
    <mergeCell ref="M621:M622"/>
    <mergeCell ref="N621:N622"/>
    <mergeCell ref="J621:J622"/>
    <mergeCell ref="G621:G622"/>
    <mergeCell ref="C621:C622"/>
    <mergeCell ref="D621:D622"/>
    <mergeCell ref="E621:E622"/>
    <mergeCell ref="H621:H622"/>
    <mergeCell ref="I621:I622"/>
    <mergeCell ref="H10:H11"/>
    <mergeCell ref="I10:I11"/>
    <mergeCell ref="J10:J11"/>
    <mergeCell ref="B619:J619"/>
    <mergeCell ref="D10:D11"/>
    <mergeCell ref="E10:E11"/>
    <mergeCell ref="G10:G11"/>
    <mergeCell ref="C10:C11"/>
    <mergeCell ref="G12:G13"/>
    <mergeCell ref="H12:H13"/>
    <mergeCell ref="I12:I13"/>
    <mergeCell ref="J12:J13"/>
    <mergeCell ref="G18:G19"/>
    <mergeCell ref="H18:H19"/>
    <mergeCell ref="I18:I19"/>
    <mergeCell ref="J18:J19"/>
    <mergeCell ref="N22:N23"/>
    <mergeCell ref="K18:K19"/>
    <mergeCell ref="L18:L19"/>
    <mergeCell ref="M18:M19"/>
    <mergeCell ref="N18:N19"/>
    <mergeCell ref="L44:L45"/>
    <mergeCell ref="M44:M45"/>
    <mergeCell ref="N44:N45"/>
    <mergeCell ref="L52:L53"/>
    <mergeCell ref="M52:M53"/>
    <mergeCell ref="N52:N53"/>
    <mergeCell ref="L60:L61"/>
    <mergeCell ref="M60:M61"/>
    <mergeCell ref="N60:N61"/>
    <mergeCell ref="L68:L69"/>
    <mergeCell ref="M68:M69"/>
    <mergeCell ref="N68:N69"/>
    <mergeCell ref="L76:L77"/>
    <mergeCell ref="M76:M77"/>
    <mergeCell ref="N76:N77"/>
    <mergeCell ref="L84:L85"/>
    <mergeCell ref="M84:M85"/>
    <mergeCell ref="N84:N85"/>
    <mergeCell ref="L92:L93"/>
    <mergeCell ref="M92:M93"/>
    <mergeCell ref="N92:N93"/>
    <mergeCell ref="L100:L101"/>
    <mergeCell ref="A10:A11"/>
    <mergeCell ref="A621:A622"/>
    <mergeCell ref="B1:J3"/>
    <mergeCell ref="B8:J8"/>
    <mergeCell ref="B314:J314"/>
    <mergeCell ref="B316:B317"/>
    <mergeCell ref="C316:C317"/>
    <mergeCell ref="D316:D317"/>
    <mergeCell ref="E316:E317"/>
    <mergeCell ref="G316:G317"/>
    <mergeCell ref="H316:H317"/>
    <mergeCell ref="I316:I317"/>
    <mergeCell ref="J316:J317"/>
    <mergeCell ref="B10:B11"/>
    <mergeCell ref="B621:B622"/>
    <mergeCell ref="N14:N15"/>
    <mergeCell ref="A16:A17"/>
    <mergeCell ref="B16:B17"/>
    <mergeCell ref="C16:C17"/>
    <mergeCell ref="D16:D17"/>
    <mergeCell ref="E16:E17"/>
    <mergeCell ref="G16:G17"/>
    <mergeCell ref="H16:H17"/>
    <mergeCell ref="I16:I17"/>
    <mergeCell ref="J16:J17"/>
    <mergeCell ref="K16:K17"/>
    <mergeCell ref="L16:L17"/>
    <mergeCell ref="M16:M17"/>
    <mergeCell ref="N16:N17"/>
    <mergeCell ref="K12:K13"/>
    <mergeCell ref="L12:L13"/>
    <mergeCell ref="M12:M13"/>
    <mergeCell ref="N12:N13"/>
    <mergeCell ref="A14:A15"/>
    <mergeCell ref="B14:B15"/>
    <mergeCell ref="C14:C15"/>
    <mergeCell ref="D14:D15"/>
    <mergeCell ref="E14:E15"/>
    <mergeCell ref="G14:G15"/>
    <mergeCell ref="H14:H15"/>
    <mergeCell ref="I14:I15"/>
    <mergeCell ref="J14:J15"/>
    <mergeCell ref="K14:K15"/>
    <mergeCell ref="L14:L15"/>
    <mergeCell ref="M14:M15"/>
    <mergeCell ref="A12:A13"/>
    <mergeCell ref="B12:B13"/>
    <mergeCell ref="C12:C13"/>
    <mergeCell ref="D12:D13"/>
    <mergeCell ref="E12:E13"/>
    <mergeCell ref="N20:N21"/>
    <mergeCell ref="A22:A23"/>
    <mergeCell ref="B22:B23"/>
    <mergeCell ref="C22:C23"/>
    <mergeCell ref="D22:D23"/>
    <mergeCell ref="E22:E23"/>
    <mergeCell ref="G22:G23"/>
    <mergeCell ref="H22:H23"/>
    <mergeCell ref="I22:I23"/>
    <mergeCell ref="J22:J23"/>
    <mergeCell ref="K22:K23"/>
    <mergeCell ref="L22:L23"/>
    <mergeCell ref="M22:M23"/>
    <mergeCell ref="K8:N8"/>
    <mergeCell ref="A20:A21"/>
    <mergeCell ref="B20:B21"/>
    <mergeCell ref="C20:C21"/>
    <mergeCell ref="D20:D21"/>
    <mergeCell ref="E20:E21"/>
    <mergeCell ref="G20:G21"/>
    <mergeCell ref="H20:H21"/>
    <mergeCell ref="I20:I21"/>
    <mergeCell ref="J20:J21"/>
    <mergeCell ref="K20:K21"/>
    <mergeCell ref="L20:L21"/>
    <mergeCell ref="M20:M21"/>
    <mergeCell ref="A18:A19"/>
    <mergeCell ref="B18:B19"/>
    <mergeCell ref="C18:C19"/>
    <mergeCell ref="D18:D19"/>
    <mergeCell ref="E18:E19"/>
    <mergeCell ref="L28:L29"/>
    <mergeCell ref="M28:M29"/>
    <mergeCell ref="N28:N29"/>
    <mergeCell ref="A30:A31"/>
    <mergeCell ref="B30:B31"/>
    <mergeCell ref="C30:C31"/>
    <mergeCell ref="D30:D31"/>
    <mergeCell ref="E30:E31"/>
    <mergeCell ref="G30:G31"/>
    <mergeCell ref="H30:H31"/>
    <mergeCell ref="I30:I31"/>
    <mergeCell ref="J30:J31"/>
    <mergeCell ref="K30:K31"/>
    <mergeCell ref="L30:L31"/>
    <mergeCell ref="M30:M31"/>
    <mergeCell ref="N30:N31"/>
    <mergeCell ref="G28:G29"/>
    <mergeCell ref="H28:H29"/>
    <mergeCell ref="I28:I29"/>
    <mergeCell ref="J28:J29"/>
    <mergeCell ref="K28:K29"/>
    <mergeCell ref="A28:A29"/>
    <mergeCell ref="B28:B29"/>
    <mergeCell ref="C28:C29"/>
    <mergeCell ref="D28:D29"/>
    <mergeCell ref="E28:E29"/>
    <mergeCell ref="L24:L25"/>
    <mergeCell ref="M24:M25"/>
    <mergeCell ref="N24:N25"/>
    <mergeCell ref="A26:A27"/>
    <mergeCell ref="B26:B27"/>
    <mergeCell ref="C26:C27"/>
    <mergeCell ref="D26:D27"/>
    <mergeCell ref="E26:E27"/>
    <mergeCell ref="G26:G27"/>
    <mergeCell ref="H26:H27"/>
    <mergeCell ref="I26:I27"/>
    <mergeCell ref="J26:J27"/>
    <mergeCell ref="K26:K27"/>
    <mergeCell ref="L26:L27"/>
    <mergeCell ref="M26:M27"/>
    <mergeCell ref="N26:N27"/>
    <mergeCell ref="G24:G25"/>
    <mergeCell ref="H24:H25"/>
    <mergeCell ref="I24:I25"/>
    <mergeCell ref="J24:J25"/>
    <mergeCell ref="K24:K25"/>
    <mergeCell ref="A24:A25"/>
    <mergeCell ref="B24:B25"/>
    <mergeCell ref="C24:C25"/>
    <mergeCell ref="D24:D25"/>
    <mergeCell ref="E24:E25"/>
    <mergeCell ref="L36:L37"/>
    <mergeCell ref="M36:M37"/>
    <mergeCell ref="N36:N37"/>
    <mergeCell ref="A38:A39"/>
    <mergeCell ref="B38:B39"/>
    <mergeCell ref="C38:C39"/>
    <mergeCell ref="D38:D39"/>
    <mergeCell ref="E38:E39"/>
    <mergeCell ref="G38:G39"/>
    <mergeCell ref="H38:H39"/>
    <mergeCell ref="I38:I39"/>
    <mergeCell ref="J38:J39"/>
    <mergeCell ref="K38:K39"/>
    <mergeCell ref="L38:L39"/>
    <mergeCell ref="M38:M39"/>
    <mergeCell ref="N38:N39"/>
    <mergeCell ref="G36:G37"/>
    <mergeCell ref="H36:H37"/>
    <mergeCell ref="I36:I37"/>
    <mergeCell ref="J36:J37"/>
    <mergeCell ref="K36:K37"/>
    <mergeCell ref="A36:A37"/>
    <mergeCell ref="B36:B37"/>
    <mergeCell ref="C36:C37"/>
    <mergeCell ref="D36:D37"/>
    <mergeCell ref="E36:E37"/>
    <mergeCell ref="L32:L33"/>
    <mergeCell ref="M32:M33"/>
    <mergeCell ref="N32:N33"/>
    <mergeCell ref="A34:A35"/>
    <mergeCell ref="B34:B35"/>
    <mergeCell ref="C34:C35"/>
    <mergeCell ref="D34:D35"/>
    <mergeCell ref="E34:E35"/>
    <mergeCell ref="G34:G35"/>
    <mergeCell ref="H34:H35"/>
    <mergeCell ref="I34:I35"/>
    <mergeCell ref="J34:J35"/>
    <mergeCell ref="K34:K35"/>
    <mergeCell ref="L34:L35"/>
    <mergeCell ref="M34:M35"/>
    <mergeCell ref="N34:N35"/>
    <mergeCell ref="G32:G33"/>
    <mergeCell ref="H32:H33"/>
    <mergeCell ref="I32:I33"/>
    <mergeCell ref="J32:J33"/>
    <mergeCell ref="K32:K33"/>
    <mergeCell ref="A32:A33"/>
    <mergeCell ref="B32:B33"/>
    <mergeCell ref="C32:C33"/>
    <mergeCell ref="D32:D33"/>
    <mergeCell ref="E32:E33"/>
    <mergeCell ref="A46:A47"/>
    <mergeCell ref="B46:B47"/>
    <mergeCell ref="C46:C47"/>
    <mergeCell ref="D46:D47"/>
    <mergeCell ref="E46:E47"/>
    <mergeCell ref="G46:G47"/>
    <mergeCell ref="H46:H47"/>
    <mergeCell ref="I46:I47"/>
    <mergeCell ref="J46:J47"/>
    <mergeCell ref="K46:K47"/>
    <mergeCell ref="L46:L47"/>
    <mergeCell ref="M46:M47"/>
    <mergeCell ref="N46:N47"/>
    <mergeCell ref="G44:G45"/>
    <mergeCell ref="H44:H45"/>
    <mergeCell ref="I44:I45"/>
    <mergeCell ref="J44:J45"/>
    <mergeCell ref="K44:K45"/>
    <mergeCell ref="A44:A45"/>
    <mergeCell ref="B44:B45"/>
    <mergeCell ref="C44:C45"/>
    <mergeCell ref="D44:D45"/>
    <mergeCell ref="E44:E45"/>
    <mergeCell ref="L40:L41"/>
    <mergeCell ref="M40:M41"/>
    <mergeCell ref="N40:N41"/>
    <mergeCell ref="A42:A43"/>
    <mergeCell ref="B42:B43"/>
    <mergeCell ref="C42:C43"/>
    <mergeCell ref="D42:D43"/>
    <mergeCell ref="E42:E43"/>
    <mergeCell ref="G42:G43"/>
    <mergeCell ref="H42:H43"/>
    <mergeCell ref="I42:I43"/>
    <mergeCell ref="J42:J43"/>
    <mergeCell ref="K42:K43"/>
    <mergeCell ref="L42:L43"/>
    <mergeCell ref="M42:M43"/>
    <mergeCell ref="N42:N43"/>
    <mergeCell ref="G40:G41"/>
    <mergeCell ref="H40:H41"/>
    <mergeCell ref="I40:I41"/>
    <mergeCell ref="J40:J41"/>
    <mergeCell ref="K40:K41"/>
    <mergeCell ref="A40:A41"/>
    <mergeCell ref="B40:B41"/>
    <mergeCell ref="C40:C41"/>
    <mergeCell ref="D40:D41"/>
    <mergeCell ref="E40:E41"/>
    <mergeCell ref="A54:A55"/>
    <mergeCell ref="B54:B55"/>
    <mergeCell ref="C54:C55"/>
    <mergeCell ref="D54:D55"/>
    <mergeCell ref="E54:E55"/>
    <mergeCell ref="G54:G55"/>
    <mergeCell ref="H54:H55"/>
    <mergeCell ref="I54:I55"/>
    <mergeCell ref="J54:J55"/>
    <mergeCell ref="K54:K55"/>
    <mergeCell ref="L54:L55"/>
    <mergeCell ref="M54:M55"/>
    <mergeCell ref="N54:N55"/>
    <mergeCell ref="G52:G53"/>
    <mergeCell ref="H52:H53"/>
    <mergeCell ref="I52:I53"/>
    <mergeCell ref="J52:J53"/>
    <mergeCell ref="K52:K53"/>
    <mergeCell ref="A52:A53"/>
    <mergeCell ref="B52:B53"/>
    <mergeCell ref="C52:C53"/>
    <mergeCell ref="D52:D53"/>
    <mergeCell ref="E52:E53"/>
    <mergeCell ref="L48:L49"/>
    <mergeCell ref="M48:M49"/>
    <mergeCell ref="N48:N49"/>
    <mergeCell ref="A50:A51"/>
    <mergeCell ref="B50:B51"/>
    <mergeCell ref="C50:C51"/>
    <mergeCell ref="D50:D51"/>
    <mergeCell ref="E50:E51"/>
    <mergeCell ref="G50:G51"/>
    <mergeCell ref="H50:H51"/>
    <mergeCell ref="I50:I51"/>
    <mergeCell ref="J50:J51"/>
    <mergeCell ref="K50:K51"/>
    <mergeCell ref="L50:L51"/>
    <mergeCell ref="M50:M51"/>
    <mergeCell ref="N50:N51"/>
    <mergeCell ref="G48:G49"/>
    <mergeCell ref="H48:H49"/>
    <mergeCell ref="I48:I49"/>
    <mergeCell ref="J48:J49"/>
    <mergeCell ref="K48:K49"/>
    <mergeCell ref="A48:A49"/>
    <mergeCell ref="B48:B49"/>
    <mergeCell ref="C48:C49"/>
    <mergeCell ref="D48:D49"/>
    <mergeCell ref="E48:E49"/>
    <mergeCell ref="A62:A63"/>
    <mergeCell ref="B62:B63"/>
    <mergeCell ref="C62:C63"/>
    <mergeCell ref="D62:D63"/>
    <mergeCell ref="E62:E63"/>
    <mergeCell ref="G62:G63"/>
    <mergeCell ref="H62:H63"/>
    <mergeCell ref="I62:I63"/>
    <mergeCell ref="J62:J63"/>
    <mergeCell ref="K62:K63"/>
    <mergeCell ref="L62:L63"/>
    <mergeCell ref="M62:M63"/>
    <mergeCell ref="N62:N63"/>
    <mergeCell ref="G60:G61"/>
    <mergeCell ref="H60:H61"/>
    <mergeCell ref="I60:I61"/>
    <mergeCell ref="J60:J61"/>
    <mergeCell ref="K60:K61"/>
    <mergeCell ref="A60:A61"/>
    <mergeCell ref="B60:B61"/>
    <mergeCell ref="C60:C61"/>
    <mergeCell ref="D60:D61"/>
    <mergeCell ref="E60:E61"/>
    <mergeCell ref="L56:L57"/>
    <mergeCell ref="M56:M57"/>
    <mergeCell ref="N56:N57"/>
    <mergeCell ref="A58:A59"/>
    <mergeCell ref="B58:B59"/>
    <mergeCell ref="C58:C59"/>
    <mergeCell ref="D58:D59"/>
    <mergeCell ref="E58:E59"/>
    <mergeCell ref="G58:G59"/>
    <mergeCell ref="H58:H59"/>
    <mergeCell ref="I58:I59"/>
    <mergeCell ref="J58:J59"/>
    <mergeCell ref="K58:K59"/>
    <mergeCell ref="L58:L59"/>
    <mergeCell ref="M58:M59"/>
    <mergeCell ref="N58:N59"/>
    <mergeCell ref="G56:G57"/>
    <mergeCell ref="H56:H57"/>
    <mergeCell ref="I56:I57"/>
    <mergeCell ref="J56:J57"/>
    <mergeCell ref="K56:K57"/>
    <mergeCell ref="A56:A57"/>
    <mergeCell ref="B56:B57"/>
    <mergeCell ref="C56:C57"/>
    <mergeCell ref="D56:D57"/>
    <mergeCell ref="E56:E57"/>
    <mergeCell ref="A70:A71"/>
    <mergeCell ref="B70:B71"/>
    <mergeCell ref="C70:C71"/>
    <mergeCell ref="D70:D71"/>
    <mergeCell ref="E70:E71"/>
    <mergeCell ref="G70:G71"/>
    <mergeCell ref="H70:H71"/>
    <mergeCell ref="I70:I71"/>
    <mergeCell ref="J70:J71"/>
    <mergeCell ref="K70:K71"/>
    <mergeCell ref="L70:L71"/>
    <mergeCell ref="M70:M71"/>
    <mergeCell ref="N70:N71"/>
    <mergeCell ref="G68:G69"/>
    <mergeCell ref="H68:H69"/>
    <mergeCell ref="I68:I69"/>
    <mergeCell ref="J68:J69"/>
    <mergeCell ref="K68:K69"/>
    <mergeCell ref="A68:A69"/>
    <mergeCell ref="B68:B69"/>
    <mergeCell ref="C68:C69"/>
    <mergeCell ref="D68:D69"/>
    <mergeCell ref="E68:E69"/>
    <mergeCell ref="L64:L65"/>
    <mergeCell ref="M64:M65"/>
    <mergeCell ref="N64:N65"/>
    <mergeCell ref="A66:A67"/>
    <mergeCell ref="B66:B67"/>
    <mergeCell ref="C66:C67"/>
    <mergeCell ref="D66:D67"/>
    <mergeCell ref="E66:E67"/>
    <mergeCell ref="G66:G67"/>
    <mergeCell ref="H66:H67"/>
    <mergeCell ref="I66:I67"/>
    <mergeCell ref="J66:J67"/>
    <mergeCell ref="K66:K67"/>
    <mergeCell ref="L66:L67"/>
    <mergeCell ref="M66:M67"/>
    <mergeCell ref="N66:N67"/>
    <mergeCell ref="G64:G65"/>
    <mergeCell ref="H64:H65"/>
    <mergeCell ref="I64:I65"/>
    <mergeCell ref="J64:J65"/>
    <mergeCell ref="K64:K65"/>
    <mergeCell ref="A64:A65"/>
    <mergeCell ref="B64:B65"/>
    <mergeCell ref="C64:C65"/>
    <mergeCell ref="D64:D65"/>
    <mergeCell ref="E64:E65"/>
    <mergeCell ref="A78:A79"/>
    <mergeCell ref="B78:B79"/>
    <mergeCell ref="C78:C79"/>
    <mergeCell ref="D78:D79"/>
    <mergeCell ref="E78:E79"/>
    <mergeCell ref="G78:G79"/>
    <mergeCell ref="H78:H79"/>
    <mergeCell ref="I78:I79"/>
    <mergeCell ref="J78:J79"/>
    <mergeCell ref="K78:K79"/>
    <mergeCell ref="L78:L79"/>
    <mergeCell ref="M78:M79"/>
    <mergeCell ref="N78:N79"/>
    <mergeCell ref="G76:G77"/>
    <mergeCell ref="H76:H77"/>
    <mergeCell ref="I76:I77"/>
    <mergeCell ref="J76:J77"/>
    <mergeCell ref="K76:K77"/>
    <mergeCell ref="A76:A77"/>
    <mergeCell ref="B76:B77"/>
    <mergeCell ref="C76:C77"/>
    <mergeCell ref="D76:D77"/>
    <mergeCell ref="E76:E77"/>
    <mergeCell ref="L72:L73"/>
    <mergeCell ref="M72:M73"/>
    <mergeCell ref="N72:N73"/>
    <mergeCell ref="A74:A75"/>
    <mergeCell ref="B74:B75"/>
    <mergeCell ref="C74:C75"/>
    <mergeCell ref="D74:D75"/>
    <mergeCell ref="E74:E75"/>
    <mergeCell ref="G74:G75"/>
    <mergeCell ref="H74:H75"/>
    <mergeCell ref="I74:I75"/>
    <mergeCell ref="J74:J75"/>
    <mergeCell ref="K74:K75"/>
    <mergeCell ref="L74:L75"/>
    <mergeCell ref="M74:M75"/>
    <mergeCell ref="N74:N75"/>
    <mergeCell ref="G72:G73"/>
    <mergeCell ref="H72:H73"/>
    <mergeCell ref="I72:I73"/>
    <mergeCell ref="J72:J73"/>
    <mergeCell ref="K72:K73"/>
    <mergeCell ref="A72:A73"/>
    <mergeCell ref="B72:B73"/>
    <mergeCell ref="C72:C73"/>
    <mergeCell ref="D72:D73"/>
    <mergeCell ref="E72:E73"/>
    <mergeCell ref="A86:A87"/>
    <mergeCell ref="B86:B87"/>
    <mergeCell ref="C86:C87"/>
    <mergeCell ref="D86:D87"/>
    <mergeCell ref="E86:E87"/>
    <mergeCell ref="G86:G87"/>
    <mergeCell ref="H86:H87"/>
    <mergeCell ref="I86:I87"/>
    <mergeCell ref="J86:J87"/>
    <mergeCell ref="K86:K87"/>
    <mergeCell ref="L86:L87"/>
    <mergeCell ref="M86:M87"/>
    <mergeCell ref="N86:N87"/>
    <mergeCell ref="G84:G85"/>
    <mergeCell ref="H84:H85"/>
    <mergeCell ref="I84:I85"/>
    <mergeCell ref="J84:J85"/>
    <mergeCell ref="K84:K85"/>
    <mergeCell ref="A84:A85"/>
    <mergeCell ref="B84:B85"/>
    <mergeCell ref="C84:C85"/>
    <mergeCell ref="D84:D85"/>
    <mergeCell ref="E84:E85"/>
    <mergeCell ref="L80:L81"/>
    <mergeCell ref="M80:M81"/>
    <mergeCell ref="N80:N81"/>
    <mergeCell ref="A82:A83"/>
    <mergeCell ref="B82:B83"/>
    <mergeCell ref="C82:C83"/>
    <mergeCell ref="D82:D83"/>
    <mergeCell ref="E82:E83"/>
    <mergeCell ref="G82:G83"/>
    <mergeCell ref="H82:H83"/>
    <mergeCell ref="I82:I83"/>
    <mergeCell ref="J82:J83"/>
    <mergeCell ref="K82:K83"/>
    <mergeCell ref="L82:L83"/>
    <mergeCell ref="M82:M83"/>
    <mergeCell ref="N82:N83"/>
    <mergeCell ref="G80:G81"/>
    <mergeCell ref="H80:H81"/>
    <mergeCell ref="I80:I81"/>
    <mergeCell ref="J80:J81"/>
    <mergeCell ref="K80:K81"/>
    <mergeCell ref="A80:A81"/>
    <mergeCell ref="B80:B81"/>
    <mergeCell ref="C80:C81"/>
    <mergeCell ref="D80:D81"/>
    <mergeCell ref="E80:E81"/>
    <mergeCell ref="A94:A95"/>
    <mergeCell ref="B94:B95"/>
    <mergeCell ref="C94:C95"/>
    <mergeCell ref="D94:D95"/>
    <mergeCell ref="E94:E95"/>
    <mergeCell ref="G94:G95"/>
    <mergeCell ref="H94:H95"/>
    <mergeCell ref="I94:I95"/>
    <mergeCell ref="J94:J95"/>
    <mergeCell ref="K94:K95"/>
    <mergeCell ref="L94:L95"/>
    <mergeCell ref="M94:M95"/>
    <mergeCell ref="N94:N95"/>
    <mergeCell ref="G92:G93"/>
    <mergeCell ref="H92:H93"/>
    <mergeCell ref="I92:I93"/>
    <mergeCell ref="J92:J93"/>
    <mergeCell ref="K92:K93"/>
    <mergeCell ref="A92:A93"/>
    <mergeCell ref="B92:B93"/>
    <mergeCell ref="C92:C93"/>
    <mergeCell ref="D92:D93"/>
    <mergeCell ref="E92:E93"/>
    <mergeCell ref="L88:L89"/>
    <mergeCell ref="M88:M89"/>
    <mergeCell ref="N88:N89"/>
    <mergeCell ref="A90:A91"/>
    <mergeCell ref="B90:B91"/>
    <mergeCell ref="C90:C91"/>
    <mergeCell ref="D90:D91"/>
    <mergeCell ref="E90:E91"/>
    <mergeCell ref="G90:G91"/>
    <mergeCell ref="H90:H91"/>
    <mergeCell ref="I90:I91"/>
    <mergeCell ref="J90:J91"/>
    <mergeCell ref="K90:K91"/>
    <mergeCell ref="L90:L91"/>
    <mergeCell ref="M90:M91"/>
    <mergeCell ref="N90:N91"/>
    <mergeCell ref="G88:G89"/>
    <mergeCell ref="H88:H89"/>
    <mergeCell ref="I88:I89"/>
    <mergeCell ref="J88:J89"/>
    <mergeCell ref="K88:K89"/>
    <mergeCell ref="A88:A89"/>
    <mergeCell ref="B88:B89"/>
    <mergeCell ref="C88:C89"/>
    <mergeCell ref="D88:D89"/>
    <mergeCell ref="E88:E89"/>
    <mergeCell ref="M100:M101"/>
    <mergeCell ref="N100:N101"/>
    <mergeCell ref="B102:B103"/>
    <mergeCell ref="C102:C103"/>
    <mergeCell ref="D102:D103"/>
    <mergeCell ref="E102:E103"/>
    <mergeCell ref="G102:G103"/>
    <mergeCell ref="H102:H103"/>
    <mergeCell ref="I102:I103"/>
    <mergeCell ref="J102:J103"/>
    <mergeCell ref="K102:K103"/>
    <mergeCell ref="L102:L103"/>
    <mergeCell ref="M102:M103"/>
    <mergeCell ref="N102:N103"/>
    <mergeCell ref="G100:G101"/>
    <mergeCell ref="H100:H101"/>
    <mergeCell ref="I100:I101"/>
    <mergeCell ref="J100:J101"/>
    <mergeCell ref="K100:K101"/>
    <mergeCell ref="B100:B101"/>
    <mergeCell ref="C100:C101"/>
    <mergeCell ref="D100:D101"/>
    <mergeCell ref="E100:E101"/>
    <mergeCell ref="L96:L97"/>
    <mergeCell ref="M96:M97"/>
    <mergeCell ref="N96:N97"/>
    <mergeCell ref="B98:B99"/>
    <mergeCell ref="C98:C99"/>
    <mergeCell ref="D98:D99"/>
    <mergeCell ref="E98:E99"/>
    <mergeCell ref="G98:G99"/>
    <mergeCell ref="H98:H99"/>
    <mergeCell ref="I98:I99"/>
    <mergeCell ref="J98:J99"/>
    <mergeCell ref="K98:K99"/>
    <mergeCell ref="L98:L99"/>
    <mergeCell ref="M98:M99"/>
    <mergeCell ref="N98:N99"/>
    <mergeCell ref="G96:G97"/>
    <mergeCell ref="H96:H97"/>
    <mergeCell ref="I96:I97"/>
    <mergeCell ref="J96:J97"/>
    <mergeCell ref="K96:K97"/>
    <mergeCell ref="B96:B97"/>
    <mergeCell ref="C96:C97"/>
    <mergeCell ref="D96:D97"/>
    <mergeCell ref="E96:E97"/>
    <mergeCell ref="L108:L109"/>
    <mergeCell ref="M108:M109"/>
    <mergeCell ref="N108:N109"/>
    <mergeCell ref="B110:B111"/>
    <mergeCell ref="C110:C111"/>
    <mergeCell ref="D110:D111"/>
    <mergeCell ref="E110:E111"/>
    <mergeCell ref="G110:G111"/>
    <mergeCell ref="H110:H111"/>
    <mergeCell ref="I110:I111"/>
    <mergeCell ref="J110:J111"/>
    <mergeCell ref="K110:K111"/>
    <mergeCell ref="L110:L111"/>
    <mergeCell ref="M110:M111"/>
    <mergeCell ref="N110:N111"/>
    <mergeCell ref="G108:G109"/>
    <mergeCell ref="H108:H109"/>
    <mergeCell ref="I108:I109"/>
    <mergeCell ref="J108:J109"/>
    <mergeCell ref="K108:K109"/>
    <mergeCell ref="B108:B109"/>
    <mergeCell ref="C108:C109"/>
    <mergeCell ref="D108:D109"/>
    <mergeCell ref="E108:E109"/>
    <mergeCell ref="L104:L105"/>
    <mergeCell ref="M104:M105"/>
    <mergeCell ref="N104:N105"/>
    <mergeCell ref="B106:B107"/>
    <mergeCell ref="C106:C107"/>
    <mergeCell ref="D106:D107"/>
    <mergeCell ref="E106:E107"/>
    <mergeCell ref="G106:G107"/>
    <mergeCell ref="H106:H107"/>
    <mergeCell ref="I106:I107"/>
    <mergeCell ref="J106:J107"/>
    <mergeCell ref="K106:K107"/>
    <mergeCell ref="L106:L107"/>
    <mergeCell ref="M106:M107"/>
    <mergeCell ref="N106:N107"/>
    <mergeCell ref="G104:G105"/>
    <mergeCell ref="H104:H105"/>
    <mergeCell ref="I104:I105"/>
    <mergeCell ref="J104:J105"/>
    <mergeCell ref="K104:K105"/>
    <mergeCell ref="B104:B105"/>
    <mergeCell ref="C104:C105"/>
    <mergeCell ref="D104:D105"/>
    <mergeCell ref="E104:E105"/>
    <mergeCell ref="L116:L117"/>
    <mergeCell ref="M116:M117"/>
    <mergeCell ref="N116:N117"/>
    <mergeCell ref="B118:B119"/>
    <mergeCell ref="C118:C119"/>
    <mergeCell ref="D118:D119"/>
    <mergeCell ref="E118:E119"/>
    <mergeCell ref="G118:G119"/>
    <mergeCell ref="H118:H119"/>
    <mergeCell ref="I118:I119"/>
    <mergeCell ref="J118:J119"/>
    <mergeCell ref="K118:K119"/>
    <mergeCell ref="L118:L119"/>
    <mergeCell ref="M118:M119"/>
    <mergeCell ref="N118:N119"/>
    <mergeCell ref="G116:G117"/>
    <mergeCell ref="H116:H117"/>
    <mergeCell ref="I116:I117"/>
    <mergeCell ref="J116:J117"/>
    <mergeCell ref="K116:K117"/>
    <mergeCell ref="B116:B117"/>
    <mergeCell ref="C116:C117"/>
    <mergeCell ref="D116:D117"/>
    <mergeCell ref="E116:E117"/>
    <mergeCell ref="L112:L113"/>
    <mergeCell ref="M112:M113"/>
    <mergeCell ref="N112:N113"/>
    <mergeCell ref="B114:B115"/>
    <mergeCell ref="C114:C115"/>
    <mergeCell ref="D114:D115"/>
    <mergeCell ref="E114:E115"/>
    <mergeCell ref="G114:G115"/>
    <mergeCell ref="H114:H115"/>
    <mergeCell ref="I114:I115"/>
    <mergeCell ref="J114:J115"/>
    <mergeCell ref="K114:K115"/>
    <mergeCell ref="L114:L115"/>
    <mergeCell ref="M114:M115"/>
    <mergeCell ref="N114:N115"/>
    <mergeCell ref="G112:G113"/>
    <mergeCell ref="H112:H113"/>
    <mergeCell ref="I112:I113"/>
    <mergeCell ref="J112:J113"/>
    <mergeCell ref="K112:K113"/>
    <mergeCell ref="B112:B113"/>
    <mergeCell ref="C112:C113"/>
    <mergeCell ref="D112:D113"/>
    <mergeCell ref="E112:E113"/>
    <mergeCell ref="L124:L125"/>
    <mergeCell ref="M124:M125"/>
    <mergeCell ref="N124:N125"/>
    <mergeCell ref="B126:B127"/>
    <mergeCell ref="C126:C127"/>
    <mergeCell ref="D126:D127"/>
    <mergeCell ref="E126:E127"/>
    <mergeCell ref="G126:G127"/>
    <mergeCell ref="H126:H127"/>
    <mergeCell ref="I126:I127"/>
    <mergeCell ref="J126:J127"/>
    <mergeCell ref="K126:K127"/>
    <mergeCell ref="L126:L127"/>
    <mergeCell ref="M126:M127"/>
    <mergeCell ref="N126:N127"/>
    <mergeCell ref="G124:G125"/>
    <mergeCell ref="H124:H125"/>
    <mergeCell ref="I124:I125"/>
    <mergeCell ref="J124:J125"/>
    <mergeCell ref="K124:K125"/>
    <mergeCell ref="B124:B125"/>
    <mergeCell ref="C124:C125"/>
    <mergeCell ref="D124:D125"/>
    <mergeCell ref="E124:E125"/>
    <mergeCell ref="L120:L121"/>
    <mergeCell ref="M120:M121"/>
    <mergeCell ref="N120:N121"/>
    <mergeCell ref="B122:B123"/>
    <mergeCell ref="C122:C123"/>
    <mergeCell ref="D122:D123"/>
    <mergeCell ref="E122:E123"/>
    <mergeCell ref="G122:G123"/>
    <mergeCell ref="H122:H123"/>
    <mergeCell ref="I122:I123"/>
    <mergeCell ref="J122:J123"/>
    <mergeCell ref="K122:K123"/>
    <mergeCell ref="L122:L123"/>
    <mergeCell ref="M122:M123"/>
    <mergeCell ref="N122:N123"/>
    <mergeCell ref="G120:G121"/>
    <mergeCell ref="H120:H121"/>
    <mergeCell ref="I120:I121"/>
    <mergeCell ref="J120:J121"/>
    <mergeCell ref="K120:K121"/>
    <mergeCell ref="B120:B121"/>
    <mergeCell ref="C120:C121"/>
    <mergeCell ref="D120:D121"/>
    <mergeCell ref="E120:E121"/>
    <mergeCell ref="L132:L133"/>
    <mergeCell ref="M132:M133"/>
    <mergeCell ref="N132:N133"/>
    <mergeCell ref="B134:B135"/>
    <mergeCell ref="C134:C135"/>
    <mergeCell ref="D134:D135"/>
    <mergeCell ref="E134:E135"/>
    <mergeCell ref="G134:G135"/>
    <mergeCell ref="H134:H135"/>
    <mergeCell ref="I134:I135"/>
    <mergeCell ref="J134:J135"/>
    <mergeCell ref="K134:K135"/>
    <mergeCell ref="L134:L135"/>
    <mergeCell ref="M134:M135"/>
    <mergeCell ref="N134:N135"/>
    <mergeCell ref="G132:G133"/>
    <mergeCell ref="H132:H133"/>
    <mergeCell ref="I132:I133"/>
    <mergeCell ref="J132:J133"/>
    <mergeCell ref="K132:K133"/>
    <mergeCell ref="B132:B133"/>
    <mergeCell ref="C132:C133"/>
    <mergeCell ref="D132:D133"/>
    <mergeCell ref="E132:E133"/>
    <mergeCell ref="L128:L129"/>
    <mergeCell ref="M128:M129"/>
    <mergeCell ref="N128:N129"/>
    <mergeCell ref="B130:B131"/>
    <mergeCell ref="C130:C131"/>
    <mergeCell ref="D130:D131"/>
    <mergeCell ref="E130:E131"/>
    <mergeCell ref="G130:G131"/>
    <mergeCell ref="H130:H131"/>
    <mergeCell ref="I130:I131"/>
    <mergeCell ref="J130:J131"/>
    <mergeCell ref="K130:K131"/>
    <mergeCell ref="L130:L131"/>
    <mergeCell ref="M130:M131"/>
    <mergeCell ref="N130:N131"/>
    <mergeCell ref="G128:G129"/>
    <mergeCell ref="H128:H129"/>
    <mergeCell ref="I128:I129"/>
    <mergeCell ref="J128:J129"/>
    <mergeCell ref="K128:K129"/>
    <mergeCell ref="B128:B129"/>
    <mergeCell ref="C128:C129"/>
    <mergeCell ref="D128:D129"/>
    <mergeCell ref="E128:E129"/>
    <mergeCell ref="L140:L141"/>
    <mergeCell ref="M140:M141"/>
    <mergeCell ref="N140:N141"/>
    <mergeCell ref="B142:B143"/>
    <mergeCell ref="C142:C143"/>
    <mergeCell ref="D142:D143"/>
    <mergeCell ref="E142:E143"/>
    <mergeCell ref="G142:G143"/>
    <mergeCell ref="H142:H143"/>
    <mergeCell ref="I142:I143"/>
    <mergeCell ref="J142:J143"/>
    <mergeCell ref="K142:K143"/>
    <mergeCell ref="L142:L143"/>
    <mergeCell ref="M142:M143"/>
    <mergeCell ref="N142:N143"/>
    <mergeCell ref="G140:G141"/>
    <mergeCell ref="H140:H141"/>
    <mergeCell ref="I140:I141"/>
    <mergeCell ref="J140:J141"/>
    <mergeCell ref="K140:K141"/>
    <mergeCell ref="B140:B141"/>
    <mergeCell ref="C140:C141"/>
    <mergeCell ref="D140:D141"/>
    <mergeCell ref="E140:E141"/>
    <mergeCell ref="L136:L137"/>
    <mergeCell ref="M136:M137"/>
    <mergeCell ref="N136:N137"/>
    <mergeCell ref="B138:B139"/>
    <mergeCell ref="C138:C139"/>
    <mergeCell ref="D138:D139"/>
    <mergeCell ref="E138:E139"/>
    <mergeCell ref="G138:G139"/>
    <mergeCell ref="H138:H139"/>
    <mergeCell ref="I138:I139"/>
    <mergeCell ref="J138:J139"/>
    <mergeCell ref="K138:K139"/>
    <mergeCell ref="L138:L139"/>
    <mergeCell ref="M138:M139"/>
    <mergeCell ref="N138:N139"/>
    <mergeCell ref="G136:G137"/>
    <mergeCell ref="H136:H137"/>
    <mergeCell ref="I136:I137"/>
    <mergeCell ref="J136:J137"/>
    <mergeCell ref="K136:K137"/>
    <mergeCell ref="B136:B137"/>
    <mergeCell ref="C136:C137"/>
    <mergeCell ref="D136:D137"/>
    <mergeCell ref="E136:E137"/>
    <mergeCell ref="L148:L149"/>
    <mergeCell ref="M148:M149"/>
    <mergeCell ref="N148:N149"/>
    <mergeCell ref="B150:B151"/>
    <mergeCell ref="C150:C151"/>
    <mergeCell ref="D150:D151"/>
    <mergeCell ref="E150:E151"/>
    <mergeCell ref="G150:G151"/>
    <mergeCell ref="H150:H151"/>
    <mergeCell ref="I150:I151"/>
    <mergeCell ref="J150:J151"/>
    <mergeCell ref="K150:K151"/>
    <mergeCell ref="L150:L151"/>
    <mergeCell ref="M150:M151"/>
    <mergeCell ref="N150:N151"/>
    <mergeCell ref="G148:G149"/>
    <mergeCell ref="H148:H149"/>
    <mergeCell ref="I148:I149"/>
    <mergeCell ref="J148:J149"/>
    <mergeCell ref="K148:K149"/>
    <mergeCell ref="B148:B149"/>
    <mergeCell ref="C148:C149"/>
    <mergeCell ref="D148:D149"/>
    <mergeCell ref="E148:E149"/>
    <mergeCell ref="L144:L145"/>
    <mergeCell ref="M144:M145"/>
    <mergeCell ref="N144:N145"/>
    <mergeCell ref="B146:B147"/>
    <mergeCell ref="C146:C147"/>
    <mergeCell ref="D146:D147"/>
    <mergeCell ref="E146:E147"/>
    <mergeCell ref="G146:G147"/>
    <mergeCell ref="H146:H147"/>
    <mergeCell ref="I146:I147"/>
    <mergeCell ref="J146:J147"/>
    <mergeCell ref="K146:K147"/>
    <mergeCell ref="L146:L147"/>
    <mergeCell ref="M146:M147"/>
    <mergeCell ref="N146:N147"/>
    <mergeCell ref="G144:G145"/>
    <mergeCell ref="H144:H145"/>
    <mergeCell ref="I144:I145"/>
    <mergeCell ref="J144:J145"/>
    <mergeCell ref="K144:K145"/>
    <mergeCell ref="B144:B145"/>
    <mergeCell ref="C144:C145"/>
    <mergeCell ref="D144:D145"/>
    <mergeCell ref="E144:E145"/>
    <mergeCell ref="L156:L157"/>
    <mergeCell ref="M156:M157"/>
    <mergeCell ref="N156:N157"/>
    <mergeCell ref="B158:B159"/>
    <mergeCell ref="C158:C159"/>
    <mergeCell ref="D158:D159"/>
    <mergeCell ref="E158:E159"/>
    <mergeCell ref="G158:G159"/>
    <mergeCell ref="H158:H159"/>
    <mergeCell ref="I158:I159"/>
    <mergeCell ref="J158:J159"/>
    <mergeCell ref="K158:K159"/>
    <mergeCell ref="L158:L159"/>
    <mergeCell ref="M158:M159"/>
    <mergeCell ref="N158:N159"/>
    <mergeCell ref="G156:G157"/>
    <mergeCell ref="H156:H157"/>
    <mergeCell ref="I156:I157"/>
    <mergeCell ref="J156:J157"/>
    <mergeCell ref="K156:K157"/>
    <mergeCell ref="B156:B157"/>
    <mergeCell ref="C156:C157"/>
    <mergeCell ref="D156:D157"/>
    <mergeCell ref="E156:E157"/>
    <mergeCell ref="L152:L153"/>
    <mergeCell ref="M152:M153"/>
    <mergeCell ref="N152:N153"/>
    <mergeCell ref="B154:B155"/>
    <mergeCell ref="C154:C155"/>
    <mergeCell ref="D154:D155"/>
    <mergeCell ref="E154:E155"/>
    <mergeCell ref="G154:G155"/>
    <mergeCell ref="H154:H155"/>
    <mergeCell ref="I154:I155"/>
    <mergeCell ref="J154:J155"/>
    <mergeCell ref="K154:K155"/>
    <mergeCell ref="L154:L155"/>
    <mergeCell ref="M154:M155"/>
    <mergeCell ref="N154:N155"/>
    <mergeCell ref="G152:G153"/>
    <mergeCell ref="H152:H153"/>
    <mergeCell ref="I152:I153"/>
    <mergeCell ref="J152:J153"/>
    <mergeCell ref="K152:K153"/>
    <mergeCell ref="B152:B153"/>
    <mergeCell ref="C152:C153"/>
    <mergeCell ref="D152:D153"/>
    <mergeCell ref="E152:E153"/>
    <mergeCell ref="L164:L165"/>
    <mergeCell ref="M164:M165"/>
    <mergeCell ref="N164:N165"/>
    <mergeCell ref="B166:B167"/>
    <mergeCell ref="C166:C167"/>
    <mergeCell ref="D166:D167"/>
    <mergeCell ref="E166:E167"/>
    <mergeCell ref="G166:G167"/>
    <mergeCell ref="H166:H167"/>
    <mergeCell ref="I166:I167"/>
    <mergeCell ref="J166:J167"/>
    <mergeCell ref="K166:K167"/>
    <mergeCell ref="L166:L167"/>
    <mergeCell ref="M166:M167"/>
    <mergeCell ref="N166:N167"/>
    <mergeCell ref="G164:G165"/>
    <mergeCell ref="H164:H165"/>
    <mergeCell ref="I164:I165"/>
    <mergeCell ref="J164:J165"/>
    <mergeCell ref="K164:K165"/>
    <mergeCell ref="B164:B165"/>
    <mergeCell ref="C164:C165"/>
    <mergeCell ref="D164:D165"/>
    <mergeCell ref="E164:E165"/>
    <mergeCell ref="L160:L161"/>
    <mergeCell ref="M160:M161"/>
    <mergeCell ref="N160:N161"/>
    <mergeCell ref="B162:B163"/>
    <mergeCell ref="C162:C163"/>
    <mergeCell ref="D162:D163"/>
    <mergeCell ref="E162:E163"/>
    <mergeCell ref="G162:G163"/>
    <mergeCell ref="H162:H163"/>
    <mergeCell ref="I162:I163"/>
    <mergeCell ref="J162:J163"/>
    <mergeCell ref="K162:K163"/>
    <mergeCell ref="L162:L163"/>
    <mergeCell ref="M162:M163"/>
    <mergeCell ref="N162:N163"/>
    <mergeCell ref="G160:G161"/>
    <mergeCell ref="H160:H161"/>
    <mergeCell ref="I160:I161"/>
    <mergeCell ref="J160:J161"/>
    <mergeCell ref="K160:K161"/>
    <mergeCell ref="B160:B161"/>
    <mergeCell ref="C160:C161"/>
    <mergeCell ref="D160:D161"/>
    <mergeCell ref="E160:E161"/>
    <mergeCell ref="L172:L173"/>
    <mergeCell ref="M172:M173"/>
    <mergeCell ref="N172:N173"/>
    <mergeCell ref="B174:B175"/>
    <mergeCell ref="C174:C175"/>
    <mergeCell ref="D174:D175"/>
    <mergeCell ref="E174:E175"/>
    <mergeCell ref="G174:G175"/>
    <mergeCell ref="H174:H175"/>
    <mergeCell ref="I174:I175"/>
    <mergeCell ref="J174:J175"/>
    <mergeCell ref="K174:K175"/>
    <mergeCell ref="L174:L175"/>
    <mergeCell ref="M174:M175"/>
    <mergeCell ref="N174:N175"/>
    <mergeCell ref="G172:G173"/>
    <mergeCell ref="H172:H173"/>
    <mergeCell ref="I172:I173"/>
    <mergeCell ref="J172:J173"/>
    <mergeCell ref="K172:K173"/>
    <mergeCell ref="B172:B173"/>
    <mergeCell ref="C172:C173"/>
    <mergeCell ref="D172:D173"/>
    <mergeCell ref="E172:E173"/>
    <mergeCell ref="L168:L169"/>
    <mergeCell ref="M168:M169"/>
    <mergeCell ref="N168:N169"/>
    <mergeCell ref="B170:B171"/>
    <mergeCell ref="C170:C171"/>
    <mergeCell ref="D170:D171"/>
    <mergeCell ref="E170:E171"/>
    <mergeCell ref="G170:G171"/>
    <mergeCell ref="H170:H171"/>
    <mergeCell ref="I170:I171"/>
    <mergeCell ref="J170:J171"/>
    <mergeCell ref="K170:K171"/>
    <mergeCell ref="L170:L171"/>
    <mergeCell ref="M170:M171"/>
    <mergeCell ref="N170:N171"/>
    <mergeCell ref="G168:G169"/>
    <mergeCell ref="H168:H169"/>
    <mergeCell ref="I168:I169"/>
    <mergeCell ref="J168:J169"/>
    <mergeCell ref="K168:K169"/>
    <mergeCell ref="B168:B169"/>
    <mergeCell ref="C168:C169"/>
    <mergeCell ref="D168:D169"/>
    <mergeCell ref="E168:E169"/>
    <mergeCell ref="L180:L181"/>
    <mergeCell ref="M180:M181"/>
    <mergeCell ref="N180:N181"/>
    <mergeCell ref="B182:B183"/>
    <mergeCell ref="C182:C183"/>
    <mergeCell ref="D182:D183"/>
    <mergeCell ref="E182:E183"/>
    <mergeCell ref="G182:G183"/>
    <mergeCell ref="H182:H183"/>
    <mergeCell ref="I182:I183"/>
    <mergeCell ref="J182:J183"/>
    <mergeCell ref="K182:K183"/>
    <mergeCell ref="L182:L183"/>
    <mergeCell ref="M182:M183"/>
    <mergeCell ref="N182:N183"/>
    <mergeCell ref="G180:G181"/>
    <mergeCell ref="H180:H181"/>
    <mergeCell ref="I180:I181"/>
    <mergeCell ref="J180:J181"/>
    <mergeCell ref="K180:K181"/>
    <mergeCell ref="B180:B181"/>
    <mergeCell ref="C180:C181"/>
    <mergeCell ref="D180:D181"/>
    <mergeCell ref="E180:E181"/>
    <mergeCell ref="L176:L177"/>
    <mergeCell ref="M176:M177"/>
    <mergeCell ref="N176:N177"/>
    <mergeCell ref="B178:B179"/>
    <mergeCell ref="C178:C179"/>
    <mergeCell ref="D178:D179"/>
    <mergeCell ref="E178:E179"/>
    <mergeCell ref="G178:G179"/>
    <mergeCell ref="H178:H179"/>
    <mergeCell ref="I178:I179"/>
    <mergeCell ref="J178:J179"/>
    <mergeCell ref="K178:K179"/>
    <mergeCell ref="L178:L179"/>
    <mergeCell ref="M178:M179"/>
    <mergeCell ref="N178:N179"/>
    <mergeCell ref="G176:G177"/>
    <mergeCell ref="H176:H177"/>
    <mergeCell ref="I176:I177"/>
    <mergeCell ref="J176:J177"/>
    <mergeCell ref="K176:K177"/>
    <mergeCell ref="B176:B177"/>
    <mergeCell ref="C176:C177"/>
    <mergeCell ref="D176:D177"/>
    <mergeCell ref="E176:E177"/>
    <mergeCell ref="L188:L189"/>
    <mergeCell ref="M188:M189"/>
    <mergeCell ref="N188:N189"/>
    <mergeCell ref="B190:B191"/>
    <mergeCell ref="C190:C191"/>
    <mergeCell ref="D190:D191"/>
    <mergeCell ref="E190:E191"/>
    <mergeCell ref="G190:G191"/>
    <mergeCell ref="H190:H191"/>
    <mergeCell ref="I190:I191"/>
    <mergeCell ref="J190:J191"/>
    <mergeCell ref="K190:K191"/>
    <mergeCell ref="L190:L191"/>
    <mergeCell ref="M190:M191"/>
    <mergeCell ref="N190:N191"/>
    <mergeCell ref="G188:G189"/>
    <mergeCell ref="H188:H189"/>
    <mergeCell ref="I188:I189"/>
    <mergeCell ref="J188:J189"/>
    <mergeCell ref="K188:K189"/>
    <mergeCell ref="B188:B189"/>
    <mergeCell ref="C188:C189"/>
    <mergeCell ref="D188:D189"/>
    <mergeCell ref="E188:E189"/>
    <mergeCell ref="L184:L185"/>
    <mergeCell ref="M184:M185"/>
    <mergeCell ref="N184:N185"/>
    <mergeCell ref="B186:B187"/>
    <mergeCell ref="C186:C187"/>
    <mergeCell ref="D186:D187"/>
    <mergeCell ref="E186:E187"/>
    <mergeCell ref="G186:G187"/>
    <mergeCell ref="H186:H187"/>
    <mergeCell ref="I186:I187"/>
    <mergeCell ref="J186:J187"/>
    <mergeCell ref="K186:K187"/>
    <mergeCell ref="L186:L187"/>
    <mergeCell ref="M186:M187"/>
    <mergeCell ref="N186:N187"/>
    <mergeCell ref="G184:G185"/>
    <mergeCell ref="H184:H185"/>
    <mergeCell ref="I184:I185"/>
    <mergeCell ref="J184:J185"/>
    <mergeCell ref="K184:K185"/>
    <mergeCell ref="B184:B185"/>
    <mergeCell ref="C184:C185"/>
    <mergeCell ref="D184:D185"/>
    <mergeCell ref="E184:E185"/>
    <mergeCell ref="L196:L197"/>
    <mergeCell ref="M196:M197"/>
    <mergeCell ref="N196:N197"/>
    <mergeCell ref="B198:B199"/>
    <mergeCell ref="C198:C199"/>
    <mergeCell ref="D198:D199"/>
    <mergeCell ref="E198:E199"/>
    <mergeCell ref="G198:G199"/>
    <mergeCell ref="H198:H199"/>
    <mergeCell ref="I198:I199"/>
    <mergeCell ref="J198:J199"/>
    <mergeCell ref="K198:K199"/>
    <mergeCell ref="L198:L199"/>
    <mergeCell ref="M198:M199"/>
    <mergeCell ref="N198:N199"/>
    <mergeCell ref="G196:G197"/>
    <mergeCell ref="H196:H197"/>
    <mergeCell ref="I196:I197"/>
    <mergeCell ref="J196:J197"/>
    <mergeCell ref="K196:K197"/>
    <mergeCell ref="B196:B197"/>
    <mergeCell ref="C196:C197"/>
    <mergeCell ref="D196:D197"/>
    <mergeCell ref="E196:E197"/>
    <mergeCell ref="L192:L193"/>
    <mergeCell ref="M192:M193"/>
    <mergeCell ref="N192:N193"/>
    <mergeCell ref="B194:B195"/>
    <mergeCell ref="C194:C195"/>
    <mergeCell ref="D194:D195"/>
    <mergeCell ref="E194:E195"/>
    <mergeCell ref="G194:G195"/>
    <mergeCell ref="H194:H195"/>
    <mergeCell ref="I194:I195"/>
    <mergeCell ref="J194:J195"/>
    <mergeCell ref="K194:K195"/>
    <mergeCell ref="L194:L195"/>
    <mergeCell ref="M194:M195"/>
    <mergeCell ref="N194:N195"/>
    <mergeCell ref="G192:G193"/>
    <mergeCell ref="H192:H193"/>
    <mergeCell ref="I192:I193"/>
    <mergeCell ref="J192:J193"/>
    <mergeCell ref="K192:K193"/>
    <mergeCell ref="B192:B193"/>
    <mergeCell ref="C192:C193"/>
    <mergeCell ref="D192:D193"/>
    <mergeCell ref="E192:E193"/>
    <mergeCell ref="L204:L205"/>
    <mergeCell ref="M204:M205"/>
    <mergeCell ref="N204:N205"/>
    <mergeCell ref="B206:B207"/>
    <mergeCell ref="C206:C207"/>
    <mergeCell ref="D206:D207"/>
    <mergeCell ref="E206:E207"/>
    <mergeCell ref="G206:G207"/>
    <mergeCell ref="H206:H207"/>
    <mergeCell ref="I206:I207"/>
    <mergeCell ref="J206:J207"/>
    <mergeCell ref="K206:K207"/>
    <mergeCell ref="L206:L207"/>
    <mergeCell ref="M206:M207"/>
    <mergeCell ref="N206:N207"/>
    <mergeCell ref="G204:G205"/>
    <mergeCell ref="H204:H205"/>
    <mergeCell ref="I204:I205"/>
    <mergeCell ref="J204:J205"/>
    <mergeCell ref="K204:K205"/>
    <mergeCell ref="B204:B205"/>
    <mergeCell ref="C204:C205"/>
    <mergeCell ref="D204:D205"/>
    <mergeCell ref="E204:E205"/>
    <mergeCell ref="L200:L201"/>
    <mergeCell ref="M200:M201"/>
    <mergeCell ref="N200:N201"/>
    <mergeCell ref="B202:B203"/>
    <mergeCell ref="C202:C203"/>
    <mergeCell ref="D202:D203"/>
    <mergeCell ref="E202:E203"/>
    <mergeCell ref="G202:G203"/>
    <mergeCell ref="H202:H203"/>
    <mergeCell ref="I202:I203"/>
    <mergeCell ref="J202:J203"/>
    <mergeCell ref="K202:K203"/>
    <mergeCell ref="L202:L203"/>
    <mergeCell ref="M202:M203"/>
    <mergeCell ref="N202:N203"/>
    <mergeCell ref="G200:G201"/>
    <mergeCell ref="H200:H201"/>
    <mergeCell ref="I200:I201"/>
    <mergeCell ref="J200:J201"/>
    <mergeCell ref="K200:K201"/>
    <mergeCell ref="B200:B201"/>
    <mergeCell ref="C200:C201"/>
    <mergeCell ref="D200:D201"/>
    <mergeCell ref="E200:E201"/>
    <mergeCell ref="L212:L213"/>
    <mergeCell ref="M212:M213"/>
    <mergeCell ref="N212:N213"/>
    <mergeCell ref="B214:B215"/>
    <mergeCell ref="C214:C215"/>
    <mergeCell ref="D214:D215"/>
    <mergeCell ref="E214:E215"/>
    <mergeCell ref="G214:G215"/>
    <mergeCell ref="H214:H215"/>
    <mergeCell ref="I214:I215"/>
    <mergeCell ref="J214:J215"/>
    <mergeCell ref="K214:K215"/>
    <mergeCell ref="L214:L215"/>
    <mergeCell ref="M214:M215"/>
    <mergeCell ref="N214:N215"/>
    <mergeCell ref="G212:G213"/>
    <mergeCell ref="H212:H213"/>
    <mergeCell ref="I212:I213"/>
    <mergeCell ref="J212:J213"/>
    <mergeCell ref="K212:K213"/>
    <mergeCell ref="B212:B213"/>
    <mergeCell ref="C212:C213"/>
    <mergeCell ref="D212:D213"/>
    <mergeCell ref="E212:E213"/>
    <mergeCell ref="L208:L209"/>
    <mergeCell ref="M208:M209"/>
    <mergeCell ref="N208:N209"/>
    <mergeCell ref="B210:B211"/>
    <mergeCell ref="C210:C211"/>
    <mergeCell ref="D210:D211"/>
    <mergeCell ref="E210:E211"/>
    <mergeCell ref="G210:G211"/>
    <mergeCell ref="H210:H211"/>
    <mergeCell ref="I210:I211"/>
    <mergeCell ref="J210:J211"/>
    <mergeCell ref="K210:K211"/>
    <mergeCell ref="L210:L211"/>
    <mergeCell ref="M210:M211"/>
    <mergeCell ref="N210:N211"/>
    <mergeCell ref="G208:G209"/>
    <mergeCell ref="H208:H209"/>
    <mergeCell ref="I208:I209"/>
    <mergeCell ref="J208:J209"/>
    <mergeCell ref="K208:K209"/>
    <mergeCell ref="B208:B209"/>
    <mergeCell ref="C208:C209"/>
    <mergeCell ref="D208:D209"/>
    <mergeCell ref="E208:E209"/>
    <mergeCell ref="L220:L221"/>
    <mergeCell ref="M220:M221"/>
    <mergeCell ref="N220:N221"/>
    <mergeCell ref="B222:B223"/>
    <mergeCell ref="C222:C223"/>
    <mergeCell ref="D222:D223"/>
    <mergeCell ref="E222:E223"/>
    <mergeCell ref="G222:G223"/>
    <mergeCell ref="H222:H223"/>
    <mergeCell ref="I222:I223"/>
    <mergeCell ref="J222:J223"/>
    <mergeCell ref="K222:K223"/>
    <mergeCell ref="L222:L223"/>
    <mergeCell ref="M222:M223"/>
    <mergeCell ref="N222:N223"/>
    <mergeCell ref="G220:G221"/>
    <mergeCell ref="H220:H221"/>
    <mergeCell ref="I220:I221"/>
    <mergeCell ref="J220:J221"/>
    <mergeCell ref="K220:K221"/>
    <mergeCell ref="B220:B221"/>
    <mergeCell ref="C220:C221"/>
    <mergeCell ref="D220:D221"/>
    <mergeCell ref="E220:E221"/>
    <mergeCell ref="L216:L217"/>
    <mergeCell ref="M216:M217"/>
    <mergeCell ref="N216:N217"/>
    <mergeCell ref="B218:B219"/>
    <mergeCell ref="C218:C219"/>
    <mergeCell ref="D218:D219"/>
    <mergeCell ref="E218:E219"/>
    <mergeCell ref="G218:G219"/>
    <mergeCell ref="H218:H219"/>
    <mergeCell ref="I218:I219"/>
    <mergeCell ref="J218:J219"/>
    <mergeCell ref="K218:K219"/>
    <mergeCell ref="L218:L219"/>
    <mergeCell ref="M218:M219"/>
    <mergeCell ref="N218:N219"/>
    <mergeCell ref="G216:G217"/>
    <mergeCell ref="H216:H217"/>
    <mergeCell ref="I216:I217"/>
    <mergeCell ref="J216:J217"/>
    <mergeCell ref="K216:K217"/>
    <mergeCell ref="B216:B217"/>
    <mergeCell ref="C216:C217"/>
    <mergeCell ref="D216:D217"/>
    <mergeCell ref="E216:E217"/>
    <mergeCell ref="L228:L229"/>
    <mergeCell ref="M228:M229"/>
    <mergeCell ref="N228:N229"/>
    <mergeCell ref="B230:B231"/>
    <mergeCell ref="C230:C231"/>
    <mergeCell ref="D230:D231"/>
    <mergeCell ref="E230:E231"/>
    <mergeCell ref="G230:G231"/>
    <mergeCell ref="H230:H231"/>
    <mergeCell ref="I230:I231"/>
    <mergeCell ref="J230:J231"/>
    <mergeCell ref="K230:K231"/>
    <mergeCell ref="L230:L231"/>
    <mergeCell ref="M230:M231"/>
    <mergeCell ref="N230:N231"/>
    <mergeCell ref="G228:G229"/>
    <mergeCell ref="H228:H229"/>
    <mergeCell ref="I228:I229"/>
    <mergeCell ref="J228:J229"/>
    <mergeCell ref="K228:K229"/>
    <mergeCell ref="B228:B229"/>
    <mergeCell ref="C228:C229"/>
    <mergeCell ref="D228:D229"/>
    <mergeCell ref="E228:E229"/>
    <mergeCell ref="L224:L225"/>
    <mergeCell ref="M224:M225"/>
    <mergeCell ref="N224:N225"/>
    <mergeCell ref="B226:B227"/>
    <mergeCell ref="C226:C227"/>
    <mergeCell ref="D226:D227"/>
    <mergeCell ref="E226:E227"/>
    <mergeCell ref="G226:G227"/>
    <mergeCell ref="H226:H227"/>
    <mergeCell ref="I226:I227"/>
    <mergeCell ref="J226:J227"/>
    <mergeCell ref="K226:K227"/>
    <mergeCell ref="L226:L227"/>
    <mergeCell ref="M226:M227"/>
    <mergeCell ref="N226:N227"/>
    <mergeCell ref="G224:G225"/>
    <mergeCell ref="H224:H225"/>
    <mergeCell ref="I224:I225"/>
    <mergeCell ref="J224:J225"/>
    <mergeCell ref="K224:K225"/>
    <mergeCell ref="B224:B225"/>
    <mergeCell ref="C224:C225"/>
    <mergeCell ref="D224:D225"/>
    <mergeCell ref="E224:E225"/>
    <mergeCell ref="L236:L237"/>
    <mergeCell ref="M236:M237"/>
    <mergeCell ref="N236:N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G236:G237"/>
    <mergeCell ref="H236:H237"/>
    <mergeCell ref="I236:I237"/>
    <mergeCell ref="J236:J237"/>
    <mergeCell ref="K236:K237"/>
    <mergeCell ref="B236:B237"/>
    <mergeCell ref="C236:C237"/>
    <mergeCell ref="D236:D237"/>
    <mergeCell ref="E236:E237"/>
    <mergeCell ref="L232:L233"/>
    <mergeCell ref="M232:M233"/>
    <mergeCell ref="N232:N233"/>
    <mergeCell ref="B234:B235"/>
    <mergeCell ref="C234:C235"/>
    <mergeCell ref="D234:D235"/>
    <mergeCell ref="E234:E235"/>
    <mergeCell ref="G234:G235"/>
    <mergeCell ref="H234:H235"/>
    <mergeCell ref="I234:I235"/>
    <mergeCell ref="J234:J235"/>
    <mergeCell ref="K234:K235"/>
    <mergeCell ref="L234:L235"/>
    <mergeCell ref="M234:M235"/>
    <mergeCell ref="N234:N235"/>
    <mergeCell ref="G232:G233"/>
    <mergeCell ref="H232:H233"/>
    <mergeCell ref="I232:I233"/>
    <mergeCell ref="J232:J233"/>
    <mergeCell ref="K232:K233"/>
    <mergeCell ref="B232:B233"/>
    <mergeCell ref="C232:C233"/>
    <mergeCell ref="D232:D233"/>
    <mergeCell ref="E232:E233"/>
    <mergeCell ref="L244:L245"/>
    <mergeCell ref="M244:M245"/>
    <mergeCell ref="N244:N245"/>
    <mergeCell ref="B246:B247"/>
    <mergeCell ref="C246:C247"/>
    <mergeCell ref="D246:D247"/>
    <mergeCell ref="E246:E247"/>
    <mergeCell ref="G246:G247"/>
    <mergeCell ref="H246:H247"/>
    <mergeCell ref="I246:I247"/>
    <mergeCell ref="J246:J247"/>
    <mergeCell ref="K246:K247"/>
    <mergeCell ref="L246:L247"/>
    <mergeCell ref="M246:M247"/>
    <mergeCell ref="N246:N247"/>
    <mergeCell ref="G244:G245"/>
    <mergeCell ref="H244:H245"/>
    <mergeCell ref="I244:I245"/>
    <mergeCell ref="J244:J245"/>
    <mergeCell ref="K244:K245"/>
    <mergeCell ref="B244:B245"/>
    <mergeCell ref="C244:C245"/>
    <mergeCell ref="D244:D245"/>
    <mergeCell ref="E244:E245"/>
    <mergeCell ref="L240:L241"/>
    <mergeCell ref="M240:M241"/>
    <mergeCell ref="N240:N241"/>
    <mergeCell ref="B242:B243"/>
    <mergeCell ref="C242:C243"/>
    <mergeCell ref="D242:D243"/>
    <mergeCell ref="E242:E243"/>
    <mergeCell ref="G242:G243"/>
    <mergeCell ref="H242:H243"/>
    <mergeCell ref="I242:I243"/>
    <mergeCell ref="J242:J243"/>
    <mergeCell ref="K242:K243"/>
    <mergeCell ref="L242:L243"/>
    <mergeCell ref="M242:M243"/>
    <mergeCell ref="N242:N243"/>
    <mergeCell ref="G240:G241"/>
    <mergeCell ref="H240:H241"/>
    <mergeCell ref="I240:I241"/>
    <mergeCell ref="J240:J241"/>
    <mergeCell ref="K240:K241"/>
    <mergeCell ref="B240:B241"/>
    <mergeCell ref="C240:C241"/>
    <mergeCell ref="D240:D241"/>
    <mergeCell ref="E240:E241"/>
    <mergeCell ref="L252:L253"/>
    <mergeCell ref="M252:M253"/>
    <mergeCell ref="N252:N253"/>
    <mergeCell ref="B254:B255"/>
    <mergeCell ref="C254:C255"/>
    <mergeCell ref="D254:D255"/>
    <mergeCell ref="E254:E255"/>
    <mergeCell ref="G254:G255"/>
    <mergeCell ref="H254:H255"/>
    <mergeCell ref="I254:I255"/>
    <mergeCell ref="J254:J255"/>
    <mergeCell ref="K254:K255"/>
    <mergeCell ref="L254:L255"/>
    <mergeCell ref="M254:M255"/>
    <mergeCell ref="N254:N255"/>
    <mergeCell ref="G252:G253"/>
    <mergeCell ref="H252:H253"/>
    <mergeCell ref="I252:I253"/>
    <mergeCell ref="J252:J253"/>
    <mergeCell ref="K252:K253"/>
    <mergeCell ref="B252:B253"/>
    <mergeCell ref="C252:C253"/>
    <mergeCell ref="D252:D253"/>
    <mergeCell ref="E252:E253"/>
    <mergeCell ref="L248:L249"/>
    <mergeCell ref="M248:M249"/>
    <mergeCell ref="N248:N249"/>
    <mergeCell ref="B250:B251"/>
    <mergeCell ref="C250:C251"/>
    <mergeCell ref="D250:D251"/>
    <mergeCell ref="E250:E251"/>
    <mergeCell ref="G250:G251"/>
    <mergeCell ref="H250:H251"/>
    <mergeCell ref="I250:I251"/>
    <mergeCell ref="J250:J251"/>
    <mergeCell ref="K250:K251"/>
    <mergeCell ref="L250:L251"/>
    <mergeCell ref="M250:M251"/>
    <mergeCell ref="N250:N251"/>
    <mergeCell ref="G248:G249"/>
    <mergeCell ref="H248:H249"/>
    <mergeCell ref="I248:I249"/>
    <mergeCell ref="J248:J249"/>
    <mergeCell ref="K248:K249"/>
    <mergeCell ref="B248:B249"/>
    <mergeCell ref="C248:C249"/>
    <mergeCell ref="D248:D249"/>
    <mergeCell ref="E248:E249"/>
    <mergeCell ref="L260:L261"/>
    <mergeCell ref="M260:M261"/>
    <mergeCell ref="N260:N261"/>
    <mergeCell ref="B262:B263"/>
    <mergeCell ref="C262:C263"/>
    <mergeCell ref="D262:D263"/>
    <mergeCell ref="E262:E263"/>
    <mergeCell ref="G262:G263"/>
    <mergeCell ref="H262:H263"/>
    <mergeCell ref="I262:I263"/>
    <mergeCell ref="J262:J263"/>
    <mergeCell ref="K262:K263"/>
    <mergeCell ref="L262:L263"/>
    <mergeCell ref="M262:M263"/>
    <mergeCell ref="N262:N263"/>
    <mergeCell ref="G260:G261"/>
    <mergeCell ref="H260:H261"/>
    <mergeCell ref="I260:I261"/>
    <mergeCell ref="J260:J261"/>
    <mergeCell ref="K260:K261"/>
    <mergeCell ref="B260:B261"/>
    <mergeCell ref="C260:C261"/>
    <mergeCell ref="D260:D261"/>
    <mergeCell ref="E260:E261"/>
    <mergeCell ref="L256:L257"/>
    <mergeCell ref="M256:M257"/>
    <mergeCell ref="N256:N257"/>
    <mergeCell ref="B258:B259"/>
    <mergeCell ref="C258:C259"/>
    <mergeCell ref="D258:D259"/>
    <mergeCell ref="E258:E259"/>
    <mergeCell ref="G258:G259"/>
    <mergeCell ref="H258:H259"/>
    <mergeCell ref="I258:I259"/>
    <mergeCell ref="J258:J259"/>
    <mergeCell ref="K258:K259"/>
    <mergeCell ref="L258:L259"/>
    <mergeCell ref="M258:M259"/>
    <mergeCell ref="N258:N259"/>
    <mergeCell ref="G256:G257"/>
    <mergeCell ref="H256:H257"/>
    <mergeCell ref="I256:I257"/>
    <mergeCell ref="J256:J257"/>
    <mergeCell ref="K256:K257"/>
    <mergeCell ref="B256:B257"/>
    <mergeCell ref="C256:C257"/>
    <mergeCell ref="D256:D257"/>
    <mergeCell ref="E256:E257"/>
    <mergeCell ref="L268:L269"/>
    <mergeCell ref="M268:M269"/>
    <mergeCell ref="N268:N269"/>
    <mergeCell ref="B270:B271"/>
    <mergeCell ref="C270:C271"/>
    <mergeCell ref="D270:D271"/>
    <mergeCell ref="E270:E271"/>
    <mergeCell ref="G270:G271"/>
    <mergeCell ref="H270:H271"/>
    <mergeCell ref="I270:I271"/>
    <mergeCell ref="J270:J271"/>
    <mergeCell ref="K270:K271"/>
    <mergeCell ref="L270:L271"/>
    <mergeCell ref="M270:M271"/>
    <mergeCell ref="N270:N271"/>
    <mergeCell ref="G268:G269"/>
    <mergeCell ref="H268:H269"/>
    <mergeCell ref="I268:I269"/>
    <mergeCell ref="J268:J269"/>
    <mergeCell ref="K268:K269"/>
    <mergeCell ref="B268:B269"/>
    <mergeCell ref="C268:C269"/>
    <mergeCell ref="D268:D269"/>
    <mergeCell ref="E268:E269"/>
    <mergeCell ref="L264:L265"/>
    <mergeCell ref="M264:M265"/>
    <mergeCell ref="N264:N265"/>
    <mergeCell ref="B266:B267"/>
    <mergeCell ref="C266:C267"/>
    <mergeCell ref="D266:D267"/>
    <mergeCell ref="E266:E267"/>
    <mergeCell ref="G266:G267"/>
    <mergeCell ref="H266:H267"/>
    <mergeCell ref="I266:I267"/>
    <mergeCell ref="J266:J267"/>
    <mergeCell ref="K266:K267"/>
    <mergeCell ref="L266:L267"/>
    <mergeCell ref="M266:M267"/>
    <mergeCell ref="N266:N267"/>
    <mergeCell ref="G264:G265"/>
    <mergeCell ref="H264:H265"/>
    <mergeCell ref="I264:I265"/>
    <mergeCell ref="J264:J265"/>
    <mergeCell ref="K264:K265"/>
    <mergeCell ref="B264:B265"/>
    <mergeCell ref="C264:C265"/>
    <mergeCell ref="D264:D265"/>
    <mergeCell ref="E264:E265"/>
    <mergeCell ref="L276:L277"/>
    <mergeCell ref="M276:M277"/>
    <mergeCell ref="N276:N277"/>
    <mergeCell ref="B278:B279"/>
    <mergeCell ref="C278:C279"/>
    <mergeCell ref="D278:D279"/>
    <mergeCell ref="E278:E279"/>
    <mergeCell ref="G278:G279"/>
    <mergeCell ref="H278:H279"/>
    <mergeCell ref="I278:I279"/>
    <mergeCell ref="J278:J279"/>
    <mergeCell ref="K278:K279"/>
    <mergeCell ref="L278:L279"/>
    <mergeCell ref="M278:M279"/>
    <mergeCell ref="N278:N279"/>
    <mergeCell ref="G276:G277"/>
    <mergeCell ref="H276:H277"/>
    <mergeCell ref="I276:I277"/>
    <mergeCell ref="J276:J277"/>
    <mergeCell ref="K276:K277"/>
    <mergeCell ref="B276:B277"/>
    <mergeCell ref="C276:C277"/>
    <mergeCell ref="D276:D277"/>
    <mergeCell ref="E276:E277"/>
    <mergeCell ref="L272:L273"/>
    <mergeCell ref="M272:M273"/>
    <mergeCell ref="N272:N273"/>
    <mergeCell ref="B274:B275"/>
    <mergeCell ref="C274:C275"/>
    <mergeCell ref="D274:D275"/>
    <mergeCell ref="E274:E275"/>
    <mergeCell ref="G274:G275"/>
    <mergeCell ref="H274:H275"/>
    <mergeCell ref="I274:I275"/>
    <mergeCell ref="J274:J275"/>
    <mergeCell ref="K274:K275"/>
    <mergeCell ref="L274:L275"/>
    <mergeCell ref="M274:M275"/>
    <mergeCell ref="N274:N275"/>
    <mergeCell ref="G272:G273"/>
    <mergeCell ref="H272:H273"/>
    <mergeCell ref="I272:I273"/>
    <mergeCell ref="J272:J273"/>
    <mergeCell ref="K272:K273"/>
    <mergeCell ref="B272:B273"/>
    <mergeCell ref="C272:C273"/>
    <mergeCell ref="D272:D273"/>
    <mergeCell ref="E272:E273"/>
    <mergeCell ref="L284:L285"/>
    <mergeCell ref="M284:M285"/>
    <mergeCell ref="N284:N285"/>
    <mergeCell ref="B286:B287"/>
    <mergeCell ref="C286:C287"/>
    <mergeCell ref="D286:D287"/>
    <mergeCell ref="E286:E287"/>
    <mergeCell ref="G286:G287"/>
    <mergeCell ref="H286:H287"/>
    <mergeCell ref="I286:I287"/>
    <mergeCell ref="J286:J287"/>
    <mergeCell ref="K286:K287"/>
    <mergeCell ref="L286:L287"/>
    <mergeCell ref="M286:M287"/>
    <mergeCell ref="N286:N287"/>
    <mergeCell ref="G284:G285"/>
    <mergeCell ref="H284:H285"/>
    <mergeCell ref="I284:I285"/>
    <mergeCell ref="J284:J285"/>
    <mergeCell ref="K284:K285"/>
    <mergeCell ref="B284:B285"/>
    <mergeCell ref="C284:C285"/>
    <mergeCell ref="D284:D285"/>
    <mergeCell ref="E284:E285"/>
    <mergeCell ref="L280:L281"/>
    <mergeCell ref="M280:M281"/>
    <mergeCell ref="N280:N281"/>
    <mergeCell ref="B282:B283"/>
    <mergeCell ref="C282:C283"/>
    <mergeCell ref="D282:D283"/>
    <mergeCell ref="E282:E283"/>
    <mergeCell ref="G282:G283"/>
    <mergeCell ref="H282:H283"/>
    <mergeCell ref="I282:I283"/>
    <mergeCell ref="J282:J283"/>
    <mergeCell ref="K282:K283"/>
    <mergeCell ref="L282:L283"/>
    <mergeCell ref="M282:M283"/>
    <mergeCell ref="N282:N283"/>
    <mergeCell ref="G280:G281"/>
    <mergeCell ref="H280:H281"/>
    <mergeCell ref="I280:I281"/>
    <mergeCell ref="J280:J281"/>
    <mergeCell ref="K280:K281"/>
    <mergeCell ref="B280:B281"/>
    <mergeCell ref="C280:C281"/>
    <mergeCell ref="D280:D281"/>
    <mergeCell ref="E280:E281"/>
    <mergeCell ref="L292:L293"/>
    <mergeCell ref="M292:M293"/>
    <mergeCell ref="N292:N293"/>
    <mergeCell ref="B294:B295"/>
    <mergeCell ref="C294:C295"/>
    <mergeCell ref="D294:D295"/>
    <mergeCell ref="E294:E295"/>
    <mergeCell ref="G294:G295"/>
    <mergeCell ref="H294:H295"/>
    <mergeCell ref="I294:I295"/>
    <mergeCell ref="J294:J295"/>
    <mergeCell ref="K294:K295"/>
    <mergeCell ref="L294:L295"/>
    <mergeCell ref="M294:M295"/>
    <mergeCell ref="N294:N295"/>
    <mergeCell ref="G292:G293"/>
    <mergeCell ref="H292:H293"/>
    <mergeCell ref="I292:I293"/>
    <mergeCell ref="J292:J293"/>
    <mergeCell ref="K292:K293"/>
    <mergeCell ref="B292:B293"/>
    <mergeCell ref="C292:C293"/>
    <mergeCell ref="D292:D293"/>
    <mergeCell ref="E292:E293"/>
    <mergeCell ref="L288:L289"/>
    <mergeCell ref="M288:M289"/>
    <mergeCell ref="N288:N289"/>
    <mergeCell ref="B290:B291"/>
    <mergeCell ref="C290:C291"/>
    <mergeCell ref="D290:D291"/>
    <mergeCell ref="E290:E291"/>
    <mergeCell ref="G290:G291"/>
    <mergeCell ref="H290:H291"/>
    <mergeCell ref="I290:I291"/>
    <mergeCell ref="J290:J291"/>
    <mergeCell ref="K290:K291"/>
    <mergeCell ref="L290:L291"/>
    <mergeCell ref="M290:M291"/>
    <mergeCell ref="N290:N291"/>
    <mergeCell ref="G288:G289"/>
    <mergeCell ref="H288:H289"/>
    <mergeCell ref="I288:I289"/>
    <mergeCell ref="J288:J289"/>
    <mergeCell ref="K288:K289"/>
    <mergeCell ref="B288:B289"/>
    <mergeCell ref="C288:C289"/>
    <mergeCell ref="D288:D289"/>
    <mergeCell ref="E288:E289"/>
    <mergeCell ref="L300:L301"/>
    <mergeCell ref="M300:M301"/>
    <mergeCell ref="N300:N301"/>
    <mergeCell ref="B302:B303"/>
    <mergeCell ref="C302:C303"/>
    <mergeCell ref="D302:D303"/>
    <mergeCell ref="E302:E303"/>
    <mergeCell ref="G302:G303"/>
    <mergeCell ref="H302:H303"/>
    <mergeCell ref="I302:I303"/>
    <mergeCell ref="J302:J303"/>
    <mergeCell ref="K302:K303"/>
    <mergeCell ref="L302:L303"/>
    <mergeCell ref="M302:M303"/>
    <mergeCell ref="N302:N303"/>
    <mergeCell ref="G300:G301"/>
    <mergeCell ref="H300:H301"/>
    <mergeCell ref="I300:I301"/>
    <mergeCell ref="J300:J301"/>
    <mergeCell ref="K300:K301"/>
    <mergeCell ref="B300:B301"/>
    <mergeCell ref="C300:C301"/>
    <mergeCell ref="D300:D301"/>
    <mergeCell ref="E300:E301"/>
    <mergeCell ref="L296:L297"/>
    <mergeCell ref="M296:M297"/>
    <mergeCell ref="N296:N297"/>
    <mergeCell ref="B298:B299"/>
    <mergeCell ref="C298:C299"/>
    <mergeCell ref="D298:D299"/>
    <mergeCell ref="E298:E299"/>
    <mergeCell ref="G298:G299"/>
    <mergeCell ref="H298:H299"/>
    <mergeCell ref="I298:I299"/>
    <mergeCell ref="J298:J299"/>
    <mergeCell ref="K298:K299"/>
    <mergeCell ref="L298:L299"/>
    <mergeCell ref="M298:M299"/>
    <mergeCell ref="N298:N299"/>
    <mergeCell ref="G296:G297"/>
    <mergeCell ref="H296:H297"/>
    <mergeCell ref="I296:I297"/>
    <mergeCell ref="J296:J297"/>
    <mergeCell ref="K296:K297"/>
    <mergeCell ref="B296:B297"/>
    <mergeCell ref="C296:C297"/>
    <mergeCell ref="D296:D297"/>
    <mergeCell ref="E296:E297"/>
    <mergeCell ref="L308:L309"/>
    <mergeCell ref="M308:M309"/>
    <mergeCell ref="N308:N309"/>
    <mergeCell ref="B318:B319"/>
    <mergeCell ref="C318:C319"/>
    <mergeCell ref="D318:D319"/>
    <mergeCell ref="E318:E319"/>
    <mergeCell ref="G318:G319"/>
    <mergeCell ref="H318:H319"/>
    <mergeCell ref="I318:I319"/>
    <mergeCell ref="J318:J319"/>
    <mergeCell ref="K318:K319"/>
    <mergeCell ref="L318:L319"/>
    <mergeCell ref="M318:M319"/>
    <mergeCell ref="N318:N319"/>
    <mergeCell ref="G308:G309"/>
    <mergeCell ref="H308:H309"/>
    <mergeCell ref="I308:I309"/>
    <mergeCell ref="J308:J309"/>
    <mergeCell ref="K308:K309"/>
    <mergeCell ref="B308:B309"/>
    <mergeCell ref="C308:C309"/>
    <mergeCell ref="D308:D309"/>
    <mergeCell ref="E308:E309"/>
    <mergeCell ref="L304:L305"/>
    <mergeCell ref="M304:M305"/>
    <mergeCell ref="N304:N305"/>
    <mergeCell ref="B306:B307"/>
    <mergeCell ref="C306:C307"/>
    <mergeCell ref="D306:D307"/>
    <mergeCell ref="E306:E307"/>
    <mergeCell ref="G306:G307"/>
    <mergeCell ref="H306:H307"/>
    <mergeCell ref="I306:I307"/>
    <mergeCell ref="J306:J307"/>
    <mergeCell ref="K306:K307"/>
    <mergeCell ref="L306:L307"/>
    <mergeCell ref="M306:M307"/>
    <mergeCell ref="N306:N307"/>
    <mergeCell ref="G304:G305"/>
    <mergeCell ref="H304:H305"/>
    <mergeCell ref="I304:I305"/>
    <mergeCell ref="J304:J305"/>
    <mergeCell ref="K304:K305"/>
    <mergeCell ref="B304:B305"/>
    <mergeCell ref="C304:C305"/>
    <mergeCell ref="D304:D305"/>
    <mergeCell ref="E304:E305"/>
    <mergeCell ref="L324:L325"/>
    <mergeCell ref="M324:M325"/>
    <mergeCell ref="N324:N325"/>
    <mergeCell ref="B326:B327"/>
    <mergeCell ref="C326:C327"/>
    <mergeCell ref="D326:D327"/>
    <mergeCell ref="E326:E327"/>
    <mergeCell ref="G326:G327"/>
    <mergeCell ref="H326:H327"/>
    <mergeCell ref="I326:I327"/>
    <mergeCell ref="J326:J327"/>
    <mergeCell ref="K326:K327"/>
    <mergeCell ref="L326:L327"/>
    <mergeCell ref="M326:M327"/>
    <mergeCell ref="N326:N327"/>
    <mergeCell ref="G324:G325"/>
    <mergeCell ref="H324:H325"/>
    <mergeCell ref="I324:I325"/>
    <mergeCell ref="J324:J325"/>
    <mergeCell ref="K324:K325"/>
    <mergeCell ref="B324:B325"/>
    <mergeCell ref="C324:C325"/>
    <mergeCell ref="D324:D325"/>
    <mergeCell ref="E324:E325"/>
    <mergeCell ref="L320:L321"/>
    <mergeCell ref="M320:M321"/>
    <mergeCell ref="N320:N321"/>
    <mergeCell ref="B322:B323"/>
    <mergeCell ref="C322:C323"/>
    <mergeCell ref="D322:D323"/>
    <mergeCell ref="E322:E323"/>
    <mergeCell ref="G322:G323"/>
    <mergeCell ref="H322:H323"/>
    <mergeCell ref="I322:I323"/>
    <mergeCell ref="J322:J323"/>
    <mergeCell ref="K322:K323"/>
    <mergeCell ref="L322:L323"/>
    <mergeCell ref="M322:M323"/>
    <mergeCell ref="N322:N323"/>
    <mergeCell ref="G320:G321"/>
    <mergeCell ref="H320:H321"/>
    <mergeCell ref="I320:I321"/>
    <mergeCell ref="J320:J321"/>
    <mergeCell ref="K320:K321"/>
    <mergeCell ref="B320:B321"/>
    <mergeCell ref="C320:C321"/>
    <mergeCell ref="D320:D321"/>
    <mergeCell ref="E320:E321"/>
    <mergeCell ref="L332:L333"/>
    <mergeCell ref="M332:M333"/>
    <mergeCell ref="N332:N333"/>
    <mergeCell ref="B334:B335"/>
    <mergeCell ref="C334:C335"/>
    <mergeCell ref="D334:D335"/>
    <mergeCell ref="E334:E335"/>
    <mergeCell ref="G334:G335"/>
    <mergeCell ref="H334:H335"/>
    <mergeCell ref="I334:I335"/>
    <mergeCell ref="J334:J335"/>
    <mergeCell ref="K334:K335"/>
    <mergeCell ref="L334:L335"/>
    <mergeCell ref="M334:M335"/>
    <mergeCell ref="N334:N335"/>
    <mergeCell ref="G332:G333"/>
    <mergeCell ref="H332:H333"/>
    <mergeCell ref="I332:I333"/>
    <mergeCell ref="J332:J333"/>
    <mergeCell ref="K332:K333"/>
    <mergeCell ref="B332:B333"/>
    <mergeCell ref="C332:C333"/>
    <mergeCell ref="D332:D333"/>
    <mergeCell ref="E332:E333"/>
    <mergeCell ref="L328:L329"/>
    <mergeCell ref="M328:M329"/>
    <mergeCell ref="N328:N329"/>
    <mergeCell ref="B330:B331"/>
    <mergeCell ref="C330:C331"/>
    <mergeCell ref="D330:D331"/>
    <mergeCell ref="E330:E331"/>
    <mergeCell ref="G330:G331"/>
    <mergeCell ref="H330:H331"/>
    <mergeCell ref="I330:I331"/>
    <mergeCell ref="J330:J331"/>
    <mergeCell ref="K330:K331"/>
    <mergeCell ref="L330:L331"/>
    <mergeCell ref="M330:M331"/>
    <mergeCell ref="N330:N331"/>
    <mergeCell ref="G328:G329"/>
    <mergeCell ref="H328:H329"/>
    <mergeCell ref="I328:I329"/>
    <mergeCell ref="J328:J329"/>
    <mergeCell ref="K328:K329"/>
    <mergeCell ref="B328:B329"/>
    <mergeCell ref="C328:C329"/>
    <mergeCell ref="D328:D329"/>
    <mergeCell ref="E328:E329"/>
    <mergeCell ref="L340:L341"/>
    <mergeCell ref="M340:M341"/>
    <mergeCell ref="N340:N341"/>
    <mergeCell ref="B342:B343"/>
    <mergeCell ref="C342:C343"/>
    <mergeCell ref="D342:D343"/>
    <mergeCell ref="E342:E343"/>
    <mergeCell ref="G342:G343"/>
    <mergeCell ref="H342:H343"/>
    <mergeCell ref="I342:I343"/>
    <mergeCell ref="J342:J343"/>
    <mergeCell ref="K342:K343"/>
    <mergeCell ref="L342:L343"/>
    <mergeCell ref="M342:M343"/>
    <mergeCell ref="N342:N343"/>
    <mergeCell ref="G340:G341"/>
    <mergeCell ref="H340:H341"/>
    <mergeCell ref="I340:I341"/>
    <mergeCell ref="J340:J341"/>
    <mergeCell ref="K340:K341"/>
    <mergeCell ref="B340:B341"/>
    <mergeCell ref="C340:C341"/>
    <mergeCell ref="D340:D341"/>
    <mergeCell ref="E340:E341"/>
    <mergeCell ref="L336:L337"/>
    <mergeCell ref="M336:M337"/>
    <mergeCell ref="N336:N337"/>
    <mergeCell ref="B338:B339"/>
    <mergeCell ref="C338:C339"/>
    <mergeCell ref="D338:D339"/>
    <mergeCell ref="E338:E339"/>
    <mergeCell ref="G338:G339"/>
    <mergeCell ref="H338:H339"/>
    <mergeCell ref="I338:I339"/>
    <mergeCell ref="J338:J339"/>
    <mergeCell ref="K338:K339"/>
    <mergeCell ref="L338:L339"/>
    <mergeCell ref="M338:M339"/>
    <mergeCell ref="N338:N339"/>
    <mergeCell ref="G336:G337"/>
    <mergeCell ref="H336:H337"/>
    <mergeCell ref="I336:I337"/>
    <mergeCell ref="J336:J337"/>
    <mergeCell ref="K336:K337"/>
    <mergeCell ref="B336:B337"/>
    <mergeCell ref="C336:C337"/>
    <mergeCell ref="D336:D337"/>
    <mergeCell ref="E336:E337"/>
    <mergeCell ref="L348:L349"/>
    <mergeCell ref="M348:M349"/>
    <mergeCell ref="N348:N349"/>
    <mergeCell ref="B350:B351"/>
    <mergeCell ref="C350:C351"/>
    <mergeCell ref="D350:D351"/>
    <mergeCell ref="E350:E351"/>
    <mergeCell ref="G350:G351"/>
    <mergeCell ref="H350:H351"/>
    <mergeCell ref="I350:I351"/>
    <mergeCell ref="J350:J351"/>
    <mergeCell ref="K350:K351"/>
    <mergeCell ref="L350:L351"/>
    <mergeCell ref="M350:M351"/>
    <mergeCell ref="N350:N351"/>
    <mergeCell ref="G348:G349"/>
    <mergeCell ref="H348:H349"/>
    <mergeCell ref="I348:I349"/>
    <mergeCell ref="J348:J349"/>
    <mergeCell ref="K348:K349"/>
    <mergeCell ref="B348:B349"/>
    <mergeCell ref="C348:C349"/>
    <mergeCell ref="D348:D349"/>
    <mergeCell ref="E348:E349"/>
    <mergeCell ref="L344:L345"/>
    <mergeCell ref="M344:M345"/>
    <mergeCell ref="N344:N345"/>
    <mergeCell ref="B346:B347"/>
    <mergeCell ref="C346:C347"/>
    <mergeCell ref="D346:D347"/>
    <mergeCell ref="E346:E347"/>
    <mergeCell ref="G346:G347"/>
    <mergeCell ref="H346:H347"/>
    <mergeCell ref="I346:I347"/>
    <mergeCell ref="J346:J347"/>
    <mergeCell ref="K346:K347"/>
    <mergeCell ref="L346:L347"/>
    <mergeCell ref="M346:M347"/>
    <mergeCell ref="N346:N347"/>
    <mergeCell ref="G344:G345"/>
    <mergeCell ref="H344:H345"/>
    <mergeCell ref="I344:I345"/>
    <mergeCell ref="J344:J345"/>
    <mergeCell ref="K344:K345"/>
    <mergeCell ref="B344:B345"/>
    <mergeCell ref="C344:C345"/>
    <mergeCell ref="D344:D345"/>
    <mergeCell ref="E344:E345"/>
    <mergeCell ref="L356:L357"/>
    <mergeCell ref="M356:M357"/>
    <mergeCell ref="N356:N357"/>
    <mergeCell ref="B358:B359"/>
    <mergeCell ref="C358:C359"/>
    <mergeCell ref="D358:D359"/>
    <mergeCell ref="E358:E359"/>
    <mergeCell ref="G358:G359"/>
    <mergeCell ref="H358:H359"/>
    <mergeCell ref="I358:I359"/>
    <mergeCell ref="J358:J359"/>
    <mergeCell ref="K358:K359"/>
    <mergeCell ref="L358:L359"/>
    <mergeCell ref="M358:M359"/>
    <mergeCell ref="N358:N359"/>
    <mergeCell ref="G356:G357"/>
    <mergeCell ref="H356:H357"/>
    <mergeCell ref="I356:I357"/>
    <mergeCell ref="J356:J357"/>
    <mergeCell ref="K356:K357"/>
    <mergeCell ref="B356:B357"/>
    <mergeCell ref="C356:C357"/>
    <mergeCell ref="D356:D357"/>
    <mergeCell ref="E356:E357"/>
    <mergeCell ref="L352:L353"/>
    <mergeCell ref="M352:M353"/>
    <mergeCell ref="N352:N353"/>
    <mergeCell ref="B354:B355"/>
    <mergeCell ref="C354:C355"/>
    <mergeCell ref="D354:D355"/>
    <mergeCell ref="E354:E355"/>
    <mergeCell ref="G354:G355"/>
    <mergeCell ref="H354:H355"/>
    <mergeCell ref="I354:I355"/>
    <mergeCell ref="J354:J355"/>
    <mergeCell ref="K354:K355"/>
    <mergeCell ref="L354:L355"/>
    <mergeCell ref="M354:M355"/>
    <mergeCell ref="N354:N355"/>
    <mergeCell ref="G352:G353"/>
    <mergeCell ref="H352:H353"/>
    <mergeCell ref="I352:I353"/>
    <mergeCell ref="J352:J353"/>
    <mergeCell ref="K352:K353"/>
    <mergeCell ref="B352:B353"/>
    <mergeCell ref="C352:C353"/>
    <mergeCell ref="D352:D353"/>
    <mergeCell ref="E352:E353"/>
    <mergeCell ref="L364:L365"/>
    <mergeCell ref="M364:M365"/>
    <mergeCell ref="N364:N365"/>
    <mergeCell ref="B366:B367"/>
    <mergeCell ref="C366:C367"/>
    <mergeCell ref="D366:D367"/>
    <mergeCell ref="E366:E367"/>
    <mergeCell ref="G366:G367"/>
    <mergeCell ref="H366:H367"/>
    <mergeCell ref="I366:I367"/>
    <mergeCell ref="J366:J367"/>
    <mergeCell ref="K366:K367"/>
    <mergeCell ref="L366:L367"/>
    <mergeCell ref="M366:M367"/>
    <mergeCell ref="N366:N367"/>
    <mergeCell ref="G364:G365"/>
    <mergeCell ref="H364:H365"/>
    <mergeCell ref="I364:I365"/>
    <mergeCell ref="J364:J365"/>
    <mergeCell ref="K364:K365"/>
    <mergeCell ref="B364:B365"/>
    <mergeCell ref="C364:C365"/>
    <mergeCell ref="D364:D365"/>
    <mergeCell ref="E364:E365"/>
    <mergeCell ref="L360:L361"/>
    <mergeCell ref="M360:M361"/>
    <mergeCell ref="N360:N361"/>
    <mergeCell ref="B362:B363"/>
    <mergeCell ref="C362:C363"/>
    <mergeCell ref="D362:D363"/>
    <mergeCell ref="E362:E363"/>
    <mergeCell ref="G362:G363"/>
    <mergeCell ref="H362:H363"/>
    <mergeCell ref="I362:I363"/>
    <mergeCell ref="J362:J363"/>
    <mergeCell ref="K362:K363"/>
    <mergeCell ref="L362:L363"/>
    <mergeCell ref="M362:M363"/>
    <mergeCell ref="N362:N363"/>
    <mergeCell ref="G360:G361"/>
    <mergeCell ref="H360:H361"/>
    <mergeCell ref="I360:I361"/>
    <mergeCell ref="J360:J361"/>
    <mergeCell ref="K360:K361"/>
    <mergeCell ref="B360:B361"/>
    <mergeCell ref="C360:C361"/>
    <mergeCell ref="D360:D361"/>
    <mergeCell ref="E360:E361"/>
    <mergeCell ref="L372:L373"/>
    <mergeCell ref="M372:M373"/>
    <mergeCell ref="N372:N373"/>
    <mergeCell ref="B374:B375"/>
    <mergeCell ref="C374:C375"/>
    <mergeCell ref="D374:D375"/>
    <mergeCell ref="E374:E375"/>
    <mergeCell ref="G374:G375"/>
    <mergeCell ref="H374:H375"/>
    <mergeCell ref="I374:I375"/>
    <mergeCell ref="J374:J375"/>
    <mergeCell ref="K374:K375"/>
    <mergeCell ref="L374:L375"/>
    <mergeCell ref="M374:M375"/>
    <mergeCell ref="N374:N375"/>
    <mergeCell ref="G372:G373"/>
    <mergeCell ref="H372:H373"/>
    <mergeCell ref="I372:I373"/>
    <mergeCell ref="J372:J373"/>
    <mergeCell ref="K372:K373"/>
    <mergeCell ref="B372:B373"/>
    <mergeCell ref="C372:C373"/>
    <mergeCell ref="D372:D373"/>
    <mergeCell ref="E372:E373"/>
    <mergeCell ref="L368:L369"/>
    <mergeCell ref="M368:M369"/>
    <mergeCell ref="N368:N369"/>
    <mergeCell ref="B370:B371"/>
    <mergeCell ref="C370:C371"/>
    <mergeCell ref="D370:D371"/>
    <mergeCell ref="E370:E371"/>
    <mergeCell ref="G370:G371"/>
    <mergeCell ref="H370:H371"/>
    <mergeCell ref="I370:I371"/>
    <mergeCell ref="J370:J371"/>
    <mergeCell ref="K370:K371"/>
    <mergeCell ref="L370:L371"/>
    <mergeCell ref="M370:M371"/>
    <mergeCell ref="N370:N371"/>
    <mergeCell ref="G368:G369"/>
    <mergeCell ref="H368:H369"/>
    <mergeCell ref="I368:I369"/>
    <mergeCell ref="J368:J369"/>
    <mergeCell ref="K368:K369"/>
    <mergeCell ref="B368:B369"/>
    <mergeCell ref="C368:C369"/>
    <mergeCell ref="D368:D369"/>
    <mergeCell ref="E368:E369"/>
    <mergeCell ref="L380:L381"/>
    <mergeCell ref="M380:M381"/>
    <mergeCell ref="N380:N381"/>
    <mergeCell ref="B382:B383"/>
    <mergeCell ref="C382:C383"/>
    <mergeCell ref="D382:D383"/>
    <mergeCell ref="E382:E383"/>
    <mergeCell ref="G382:G383"/>
    <mergeCell ref="H382:H383"/>
    <mergeCell ref="I382:I383"/>
    <mergeCell ref="J382:J383"/>
    <mergeCell ref="K382:K383"/>
    <mergeCell ref="L382:L383"/>
    <mergeCell ref="M382:M383"/>
    <mergeCell ref="N382:N383"/>
    <mergeCell ref="G380:G381"/>
    <mergeCell ref="H380:H381"/>
    <mergeCell ref="I380:I381"/>
    <mergeCell ref="J380:J381"/>
    <mergeCell ref="K380:K381"/>
    <mergeCell ref="B380:B381"/>
    <mergeCell ref="C380:C381"/>
    <mergeCell ref="D380:D381"/>
    <mergeCell ref="E380:E381"/>
    <mergeCell ref="L376:L377"/>
    <mergeCell ref="M376:M377"/>
    <mergeCell ref="N376:N377"/>
    <mergeCell ref="B378:B379"/>
    <mergeCell ref="C378:C379"/>
    <mergeCell ref="D378:D379"/>
    <mergeCell ref="E378:E379"/>
    <mergeCell ref="G378:G379"/>
    <mergeCell ref="H378:H379"/>
    <mergeCell ref="I378:I379"/>
    <mergeCell ref="J378:J379"/>
    <mergeCell ref="K378:K379"/>
    <mergeCell ref="L378:L379"/>
    <mergeCell ref="M378:M379"/>
    <mergeCell ref="N378:N379"/>
    <mergeCell ref="G376:G377"/>
    <mergeCell ref="H376:H377"/>
    <mergeCell ref="I376:I377"/>
    <mergeCell ref="J376:J377"/>
    <mergeCell ref="K376:K377"/>
    <mergeCell ref="B376:B377"/>
    <mergeCell ref="C376:C377"/>
    <mergeCell ref="D376:D377"/>
    <mergeCell ref="E376:E377"/>
    <mergeCell ref="L388:L389"/>
    <mergeCell ref="M388:M389"/>
    <mergeCell ref="N388:N389"/>
    <mergeCell ref="B390:B391"/>
    <mergeCell ref="C390:C391"/>
    <mergeCell ref="D390:D391"/>
    <mergeCell ref="E390:E391"/>
    <mergeCell ref="G390:G391"/>
    <mergeCell ref="H390:H391"/>
    <mergeCell ref="I390:I391"/>
    <mergeCell ref="J390:J391"/>
    <mergeCell ref="K390:K391"/>
    <mergeCell ref="L390:L391"/>
    <mergeCell ref="M390:M391"/>
    <mergeCell ref="N390:N391"/>
    <mergeCell ref="G388:G389"/>
    <mergeCell ref="H388:H389"/>
    <mergeCell ref="I388:I389"/>
    <mergeCell ref="J388:J389"/>
    <mergeCell ref="K388:K389"/>
    <mergeCell ref="B388:B389"/>
    <mergeCell ref="C388:C389"/>
    <mergeCell ref="D388:D389"/>
    <mergeCell ref="E388:E389"/>
    <mergeCell ref="L384:L385"/>
    <mergeCell ref="M384:M385"/>
    <mergeCell ref="N384:N385"/>
    <mergeCell ref="B386:B387"/>
    <mergeCell ref="C386:C387"/>
    <mergeCell ref="D386:D387"/>
    <mergeCell ref="E386:E387"/>
    <mergeCell ref="G386:G387"/>
    <mergeCell ref="H386:H387"/>
    <mergeCell ref="I386:I387"/>
    <mergeCell ref="J386:J387"/>
    <mergeCell ref="K386:K387"/>
    <mergeCell ref="L386:L387"/>
    <mergeCell ref="M386:M387"/>
    <mergeCell ref="N386:N387"/>
    <mergeCell ref="G384:G385"/>
    <mergeCell ref="H384:H385"/>
    <mergeCell ref="I384:I385"/>
    <mergeCell ref="J384:J385"/>
    <mergeCell ref="K384:K385"/>
    <mergeCell ref="B384:B385"/>
    <mergeCell ref="C384:C385"/>
    <mergeCell ref="D384:D385"/>
    <mergeCell ref="E384:E385"/>
    <mergeCell ref="L396:L397"/>
    <mergeCell ref="M396:M397"/>
    <mergeCell ref="N396:N397"/>
    <mergeCell ref="B398:B399"/>
    <mergeCell ref="C398:C399"/>
    <mergeCell ref="D398:D399"/>
    <mergeCell ref="E398:E399"/>
    <mergeCell ref="G398:G399"/>
    <mergeCell ref="H398:H399"/>
    <mergeCell ref="I398:I399"/>
    <mergeCell ref="J398:J399"/>
    <mergeCell ref="K398:K399"/>
    <mergeCell ref="L398:L399"/>
    <mergeCell ref="M398:M399"/>
    <mergeCell ref="N398:N399"/>
    <mergeCell ref="G396:G397"/>
    <mergeCell ref="H396:H397"/>
    <mergeCell ref="I396:I397"/>
    <mergeCell ref="J396:J397"/>
    <mergeCell ref="K396:K397"/>
    <mergeCell ref="B396:B397"/>
    <mergeCell ref="C396:C397"/>
    <mergeCell ref="D396:D397"/>
    <mergeCell ref="E396:E397"/>
    <mergeCell ref="L392:L393"/>
    <mergeCell ref="M392:M393"/>
    <mergeCell ref="N392:N393"/>
    <mergeCell ref="B394:B395"/>
    <mergeCell ref="C394:C395"/>
    <mergeCell ref="D394:D395"/>
    <mergeCell ref="E394:E395"/>
    <mergeCell ref="G394:G395"/>
    <mergeCell ref="H394:H395"/>
    <mergeCell ref="I394:I395"/>
    <mergeCell ref="J394:J395"/>
    <mergeCell ref="K394:K395"/>
    <mergeCell ref="L394:L395"/>
    <mergeCell ref="M394:M395"/>
    <mergeCell ref="N394:N395"/>
    <mergeCell ref="G392:G393"/>
    <mergeCell ref="H392:H393"/>
    <mergeCell ref="I392:I393"/>
    <mergeCell ref="J392:J393"/>
    <mergeCell ref="K392:K393"/>
    <mergeCell ref="B392:B393"/>
    <mergeCell ref="C392:C393"/>
    <mergeCell ref="D392:D393"/>
    <mergeCell ref="E392:E393"/>
    <mergeCell ref="L404:L405"/>
    <mergeCell ref="M404:M405"/>
    <mergeCell ref="N404:N405"/>
    <mergeCell ref="B406:B407"/>
    <mergeCell ref="C406:C407"/>
    <mergeCell ref="D406:D407"/>
    <mergeCell ref="E406:E407"/>
    <mergeCell ref="G406:G407"/>
    <mergeCell ref="H406:H407"/>
    <mergeCell ref="I406:I407"/>
    <mergeCell ref="J406:J407"/>
    <mergeCell ref="K406:K407"/>
    <mergeCell ref="L406:L407"/>
    <mergeCell ref="M406:M407"/>
    <mergeCell ref="N406:N407"/>
    <mergeCell ref="G404:G405"/>
    <mergeCell ref="H404:H405"/>
    <mergeCell ref="I404:I405"/>
    <mergeCell ref="J404:J405"/>
    <mergeCell ref="K404:K405"/>
    <mergeCell ref="B404:B405"/>
    <mergeCell ref="C404:C405"/>
    <mergeCell ref="D404:D405"/>
    <mergeCell ref="E404:E405"/>
    <mergeCell ref="L400:L401"/>
    <mergeCell ref="M400:M401"/>
    <mergeCell ref="N400:N401"/>
    <mergeCell ref="B402:B403"/>
    <mergeCell ref="C402:C403"/>
    <mergeCell ref="D402:D403"/>
    <mergeCell ref="E402:E403"/>
    <mergeCell ref="G402:G403"/>
    <mergeCell ref="H402:H403"/>
    <mergeCell ref="I402:I403"/>
    <mergeCell ref="J402:J403"/>
    <mergeCell ref="K402:K403"/>
    <mergeCell ref="L402:L403"/>
    <mergeCell ref="M402:M403"/>
    <mergeCell ref="N402:N403"/>
    <mergeCell ref="G400:G401"/>
    <mergeCell ref="H400:H401"/>
    <mergeCell ref="I400:I401"/>
    <mergeCell ref="J400:J401"/>
    <mergeCell ref="K400:K401"/>
    <mergeCell ref="B400:B401"/>
    <mergeCell ref="C400:C401"/>
    <mergeCell ref="D400:D401"/>
    <mergeCell ref="E400:E401"/>
    <mergeCell ref="L412:L413"/>
    <mergeCell ref="M412:M413"/>
    <mergeCell ref="N412:N413"/>
    <mergeCell ref="B414:B415"/>
    <mergeCell ref="C414:C415"/>
    <mergeCell ref="D414:D415"/>
    <mergeCell ref="E414:E415"/>
    <mergeCell ref="G414:G415"/>
    <mergeCell ref="H414:H415"/>
    <mergeCell ref="I414:I415"/>
    <mergeCell ref="J414:J415"/>
    <mergeCell ref="K414:K415"/>
    <mergeCell ref="L414:L415"/>
    <mergeCell ref="M414:M415"/>
    <mergeCell ref="N414:N415"/>
    <mergeCell ref="G412:G413"/>
    <mergeCell ref="H412:H413"/>
    <mergeCell ref="I412:I413"/>
    <mergeCell ref="J412:J413"/>
    <mergeCell ref="K412:K413"/>
    <mergeCell ref="B412:B413"/>
    <mergeCell ref="C412:C413"/>
    <mergeCell ref="D412:D413"/>
    <mergeCell ref="E412:E413"/>
    <mergeCell ref="L408:L409"/>
    <mergeCell ref="M408:M409"/>
    <mergeCell ref="N408:N409"/>
    <mergeCell ref="B410:B411"/>
    <mergeCell ref="C410:C411"/>
    <mergeCell ref="D410:D411"/>
    <mergeCell ref="E410:E411"/>
    <mergeCell ref="G410:G411"/>
    <mergeCell ref="H410:H411"/>
    <mergeCell ref="I410:I411"/>
    <mergeCell ref="J410:J411"/>
    <mergeCell ref="K410:K411"/>
    <mergeCell ref="L410:L411"/>
    <mergeCell ref="M410:M411"/>
    <mergeCell ref="N410:N411"/>
    <mergeCell ref="G408:G409"/>
    <mergeCell ref="H408:H409"/>
    <mergeCell ref="I408:I409"/>
    <mergeCell ref="J408:J409"/>
    <mergeCell ref="K408:K409"/>
    <mergeCell ref="B408:B409"/>
    <mergeCell ref="C408:C409"/>
    <mergeCell ref="D408:D409"/>
    <mergeCell ref="E408:E409"/>
    <mergeCell ref="L420:L421"/>
    <mergeCell ref="M420:M421"/>
    <mergeCell ref="N420:N421"/>
    <mergeCell ref="B422:B423"/>
    <mergeCell ref="C422:C423"/>
    <mergeCell ref="D422:D423"/>
    <mergeCell ref="E422:E423"/>
    <mergeCell ref="G422:G423"/>
    <mergeCell ref="H422:H423"/>
    <mergeCell ref="I422:I423"/>
    <mergeCell ref="J422:J423"/>
    <mergeCell ref="K422:K423"/>
    <mergeCell ref="L422:L423"/>
    <mergeCell ref="M422:M423"/>
    <mergeCell ref="N422:N423"/>
    <mergeCell ref="G420:G421"/>
    <mergeCell ref="H420:H421"/>
    <mergeCell ref="I420:I421"/>
    <mergeCell ref="J420:J421"/>
    <mergeCell ref="K420:K421"/>
    <mergeCell ref="B420:B421"/>
    <mergeCell ref="C420:C421"/>
    <mergeCell ref="D420:D421"/>
    <mergeCell ref="E420:E421"/>
    <mergeCell ref="L416:L417"/>
    <mergeCell ref="M416:M417"/>
    <mergeCell ref="N416:N417"/>
    <mergeCell ref="B418:B419"/>
    <mergeCell ref="C418:C419"/>
    <mergeCell ref="D418:D419"/>
    <mergeCell ref="E418:E419"/>
    <mergeCell ref="G418:G419"/>
    <mergeCell ref="H418:H419"/>
    <mergeCell ref="I418:I419"/>
    <mergeCell ref="J418:J419"/>
    <mergeCell ref="K418:K419"/>
    <mergeCell ref="L418:L419"/>
    <mergeCell ref="M418:M419"/>
    <mergeCell ref="N418:N419"/>
    <mergeCell ref="G416:G417"/>
    <mergeCell ref="H416:H417"/>
    <mergeCell ref="I416:I417"/>
    <mergeCell ref="J416:J417"/>
    <mergeCell ref="K416:K417"/>
    <mergeCell ref="B416:B417"/>
    <mergeCell ref="C416:C417"/>
    <mergeCell ref="D416:D417"/>
    <mergeCell ref="E416:E417"/>
    <mergeCell ref="L428:L429"/>
    <mergeCell ref="M428:M429"/>
    <mergeCell ref="N428:N429"/>
    <mergeCell ref="B430:B431"/>
    <mergeCell ref="C430:C431"/>
    <mergeCell ref="D430:D431"/>
    <mergeCell ref="E430:E431"/>
    <mergeCell ref="G430:G431"/>
    <mergeCell ref="H430:H431"/>
    <mergeCell ref="I430:I431"/>
    <mergeCell ref="J430:J431"/>
    <mergeCell ref="K430:K431"/>
    <mergeCell ref="L430:L431"/>
    <mergeCell ref="M430:M431"/>
    <mergeCell ref="N430:N431"/>
    <mergeCell ref="G428:G429"/>
    <mergeCell ref="H428:H429"/>
    <mergeCell ref="I428:I429"/>
    <mergeCell ref="J428:J429"/>
    <mergeCell ref="K428:K429"/>
    <mergeCell ref="B428:B429"/>
    <mergeCell ref="C428:C429"/>
    <mergeCell ref="D428:D429"/>
    <mergeCell ref="E428:E429"/>
    <mergeCell ref="L424:L425"/>
    <mergeCell ref="M424:M425"/>
    <mergeCell ref="N424:N425"/>
    <mergeCell ref="B426:B427"/>
    <mergeCell ref="C426:C427"/>
    <mergeCell ref="D426:D427"/>
    <mergeCell ref="E426:E427"/>
    <mergeCell ref="G426:G427"/>
    <mergeCell ref="H426:H427"/>
    <mergeCell ref="I426:I427"/>
    <mergeCell ref="J426:J427"/>
    <mergeCell ref="K426:K427"/>
    <mergeCell ref="L426:L427"/>
    <mergeCell ref="M426:M427"/>
    <mergeCell ref="N426:N427"/>
    <mergeCell ref="G424:G425"/>
    <mergeCell ref="H424:H425"/>
    <mergeCell ref="I424:I425"/>
    <mergeCell ref="J424:J425"/>
    <mergeCell ref="K424:K425"/>
    <mergeCell ref="B424:B425"/>
    <mergeCell ref="C424:C425"/>
    <mergeCell ref="D424:D425"/>
    <mergeCell ref="E424:E425"/>
    <mergeCell ref="L436:L437"/>
    <mergeCell ref="M436:M437"/>
    <mergeCell ref="N436:N437"/>
    <mergeCell ref="B438:B439"/>
    <mergeCell ref="C438:C439"/>
    <mergeCell ref="D438:D439"/>
    <mergeCell ref="E438:E439"/>
    <mergeCell ref="G438:G439"/>
    <mergeCell ref="H438:H439"/>
    <mergeCell ref="I438:I439"/>
    <mergeCell ref="J438:J439"/>
    <mergeCell ref="K438:K439"/>
    <mergeCell ref="L438:L439"/>
    <mergeCell ref="M438:M439"/>
    <mergeCell ref="N438:N439"/>
    <mergeCell ref="G436:G437"/>
    <mergeCell ref="H436:H437"/>
    <mergeCell ref="I436:I437"/>
    <mergeCell ref="J436:J437"/>
    <mergeCell ref="K436:K437"/>
    <mergeCell ref="B436:B437"/>
    <mergeCell ref="C436:C437"/>
    <mergeCell ref="D436:D437"/>
    <mergeCell ref="E436:E437"/>
    <mergeCell ref="L432:L433"/>
    <mergeCell ref="M432:M433"/>
    <mergeCell ref="N432:N433"/>
    <mergeCell ref="B434:B435"/>
    <mergeCell ref="C434:C435"/>
    <mergeCell ref="D434:D435"/>
    <mergeCell ref="E434:E435"/>
    <mergeCell ref="G434:G435"/>
    <mergeCell ref="H434:H435"/>
    <mergeCell ref="I434:I435"/>
    <mergeCell ref="J434:J435"/>
    <mergeCell ref="K434:K435"/>
    <mergeCell ref="L434:L435"/>
    <mergeCell ref="M434:M435"/>
    <mergeCell ref="N434:N435"/>
    <mergeCell ref="G432:G433"/>
    <mergeCell ref="H432:H433"/>
    <mergeCell ref="I432:I433"/>
    <mergeCell ref="J432:J433"/>
    <mergeCell ref="K432:K433"/>
    <mergeCell ref="B432:B433"/>
    <mergeCell ref="C432:C433"/>
    <mergeCell ref="D432:D433"/>
    <mergeCell ref="E432:E433"/>
    <mergeCell ref="L444:L445"/>
    <mergeCell ref="M444:M445"/>
    <mergeCell ref="N444:N445"/>
    <mergeCell ref="B446:B447"/>
    <mergeCell ref="C446:C447"/>
    <mergeCell ref="D446:D447"/>
    <mergeCell ref="E446:E447"/>
    <mergeCell ref="G446:G447"/>
    <mergeCell ref="H446:H447"/>
    <mergeCell ref="I446:I447"/>
    <mergeCell ref="J446:J447"/>
    <mergeCell ref="K446:K447"/>
    <mergeCell ref="L446:L447"/>
    <mergeCell ref="M446:M447"/>
    <mergeCell ref="N446:N447"/>
    <mergeCell ref="G444:G445"/>
    <mergeCell ref="H444:H445"/>
    <mergeCell ref="I444:I445"/>
    <mergeCell ref="J444:J445"/>
    <mergeCell ref="K444:K445"/>
    <mergeCell ref="B444:B445"/>
    <mergeCell ref="C444:C445"/>
    <mergeCell ref="D444:D445"/>
    <mergeCell ref="E444:E445"/>
    <mergeCell ref="L440:L441"/>
    <mergeCell ref="M440:M441"/>
    <mergeCell ref="N440:N441"/>
    <mergeCell ref="B442:B443"/>
    <mergeCell ref="C442:C443"/>
    <mergeCell ref="D442:D443"/>
    <mergeCell ref="E442:E443"/>
    <mergeCell ref="G442:G443"/>
    <mergeCell ref="H442:H443"/>
    <mergeCell ref="I442:I443"/>
    <mergeCell ref="J442:J443"/>
    <mergeCell ref="K442:K443"/>
    <mergeCell ref="L442:L443"/>
    <mergeCell ref="M442:M443"/>
    <mergeCell ref="N442:N443"/>
    <mergeCell ref="G440:G441"/>
    <mergeCell ref="H440:H441"/>
    <mergeCell ref="I440:I441"/>
    <mergeCell ref="J440:J441"/>
    <mergeCell ref="K440:K441"/>
    <mergeCell ref="B440:B441"/>
    <mergeCell ref="C440:C441"/>
    <mergeCell ref="D440:D441"/>
    <mergeCell ref="E440:E441"/>
    <mergeCell ref="L452:L453"/>
    <mergeCell ref="M452:M453"/>
    <mergeCell ref="N452:N453"/>
    <mergeCell ref="B454:B455"/>
    <mergeCell ref="C454:C455"/>
    <mergeCell ref="D454:D455"/>
    <mergeCell ref="E454:E455"/>
    <mergeCell ref="G454:G455"/>
    <mergeCell ref="H454:H455"/>
    <mergeCell ref="I454:I455"/>
    <mergeCell ref="J454:J455"/>
    <mergeCell ref="K454:K455"/>
    <mergeCell ref="L454:L455"/>
    <mergeCell ref="M454:M455"/>
    <mergeCell ref="N454:N455"/>
    <mergeCell ref="G452:G453"/>
    <mergeCell ref="H452:H453"/>
    <mergeCell ref="I452:I453"/>
    <mergeCell ref="J452:J453"/>
    <mergeCell ref="K452:K453"/>
    <mergeCell ref="B452:B453"/>
    <mergeCell ref="C452:C453"/>
    <mergeCell ref="D452:D453"/>
    <mergeCell ref="E452:E453"/>
    <mergeCell ref="L448:L449"/>
    <mergeCell ref="M448:M449"/>
    <mergeCell ref="N448:N449"/>
    <mergeCell ref="B450:B451"/>
    <mergeCell ref="C450:C451"/>
    <mergeCell ref="D450:D451"/>
    <mergeCell ref="E450:E451"/>
    <mergeCell ref="G450:G451"/>
    <mergeCell ref="H450:H451"/>
    <mergeCell ref="I450:I451"/>
    <mergeCell ref="J450:J451"/>
    <mergeCell ref="K450:K451"/>
    <mergeCell ref="L450:L451"/>
    <mergeCell ref="M450:M451"/>
    <mergeCell ref="N450:N451"/>
    <mergeCell ref="G448:G449"/>
    <mergeCell ref="H448:H449"/>
    <mergeCell ref="I448:I449"/>
    <mergeCell ref="J448:J449"/>
    <mergeCell ref="K448:K449"/>
    <mergeCell ref="B448:B449"/>
    <mergeCell ref="C448:C449"/>
    <mergeCell ref="D448:D449"/>
    <mergeCell ref="E448:E449"/>
    <mergeCell ref="L460:L461"/>
    <mergeCell ref="M460:M461"/>
    <mergeCell ref="N460:N461"/>
    <mergeCell ref="B462:B463"/>
    <mergeCell ref="C462:C463"/>
    <mergeCell ref="D462:D463"/>
    <mergeCell ref="E462:E463"/>
    <mergeCell ref="G462:G463"/>
    <mergeCell ref="H462:H463"/>
    <mergeCell ref="I462:I463"/>
    <mergeCell ref="J462:J463"/>
    <mergeCell ref="K462:K463"/>
    <mergeCell ref="L462:L463"/>
    <mergeCell ref="M462:M463"/>
    <mergeCell ref="N462:N463"/>
    <mergeCell ref="G460:G461"/>
    <mergeCell ref="H460:H461"/>
    <mergeCell ref="I460:I461"/>
    <mergeCell ref="J460:J461"/>
    <mergeCell ref="K460:K461"/>
    <mergeCell ref="B460:B461"/>
    <mergeCell ref="C460:C461"/>
    <mergeCell ref="D460:D461"/>
    <mergeCell ref="E460:E461"/>
    <mergeCell ref="L456:L457"/>
    <mergeCell ref="M456:M457"/>
    <mergeCell ref="N456:N457"/>
    <mergeCell ref="B458:B459"/>
    <mergeCell ref="C458:C459"/>
    <mergeCell ref="D458:D459"/>
    <mergeCell ref="E458:E459"/>
    <mergeCell ref="G458:G459"/>
    <mergeCell ref="H458:H459"/>
    <mergeCell ref="I458:I459"/>
    <mergeCell ref="J458:J459"/>
    <mergeCell ref="K458:K459"/>
    <mergeCell ref="L458:L459"/>
    <mergeCell ref="M458:M459"/>
    <mergeCell ref="N458:N459"/>
    <mergeCell ref="G456:G457"/>
    <mergeCell ref="H456:H457"/>
    <mergeCell ref="I456:I457"/>
    <mergeCell ref="J456:J457"/>
    <mergeCell ref="K456:K457"/>
    <mergeCell ref="B456:B457"/>
    <mergeCell ref="C456:C457"/>
    <mergeCell ref="D456:D457"/>
    <mergeCell ref="E456:E457"/>
    <mergeCell ref="L468:L469"/>
    <mergeCell ref="M468:M469"/>
    <mergeCell ref="N468:N469"/>
    <mergeCell ref="B470:B471"/>
    <mergeCell ref="C470:C471"/>
    <mergeCell ref="D470:D471"/>
    <mergeCell ref="E470:E471"/>
    <mergeCell ref="G470:G471"/>
    <mergeCell ref="H470:H471"/>
    <mergeCell ref="I470:I471"/>
    <mergeCell ref="J470:J471"/>
    <mergeCell ref="K470:K471"/>
    <mergeCell ref="L470:L471"/>
    <mergeCell ref="M470:M471"/>
    <mergeCell ref="N470:N471"/>
    <mergeCell ref="G468:G469"/>
    <mergeCell ref="H468:H469"/>
    <mergeCell ref="I468:I469"/>
    <mergeCell ref="J468:J469"/>
    <mergeCell ref="K468:K469"/>
    <mergeCell ref="B468:B469"/>
    <mergeCell ref="C468:C469"/>
    <mergeCell ref="D468:D469"/>
    <mergeCell ref="E468:E469"/>
    <mergeCell ref="L464:L465"/>
    <mergeCell ref="M464:M465"/>
    <mergeCell ref="N464:N465"/>
    <mergeCell ref="B466:B467"/>
    <mergeCell ref="C466:C467"/>
    <mergeCell ref="D466:D467"/>
    <mergeCell ref="E466:E467"/>
    <mergeCell ref="G466:G467"/>
    <mergeCell ref="H466:H467"/>
    <mergeCell ref="I466:I467"/>
    <mergeCell ref="J466:J467"/>
    <mergeCell ref="K466:K467"/>
    <mergeCell ref="L466:L467"/>
    <mergeCell ref="M466:M467"/>
    <mergeCell ref="N466:N467"/>
    <mergeCell ref="G464:G465"/>
    <mergeCell ref="H464:H465"/>
    <mergeCell ref="I464:I465"/>
    <mergeCell ref="J464:J465"/>
    <mergeCell ref="K464:K465"/>
    <mergeCell ref="B464:B465"/>
    <mergeCell ref="C464:C465"/>
    <mergeCell ref="D464:D465"/>
    <mergeCell ref="E464:E465"/>
    <mergeCell ref="L476:L477"/>
    <mergeCell ref="M476:M477"/>
    <mergeCell ref="N476:N477"/>
    <mergeCell ref="B478:B479"/>
    <mergeCell ref="C478:C479"/>
    <mergeCell ref="D478:D479"/>
    <mergeCell ref="E478:E479"/>
    <mergeCell ref="G478:G479"/>
    <mergeCell ref="H478:H479"/>
    <mergeCell ref="I478:I479"/>
    <mergeCell ref="J478:J479"/>
    <mergeCell ref="K478:K479"/>
    <mergeCell ref="L478:L479"/>
    <mergeCell ref="M478:M479"/>
    <mergeCell ref="N478:N479"/>
    <mergeCell ref="G476:G477"/>
    <mergeCell ref="H476:H477"/>
    <mergeCell ref="I476:I477"/>
    <mergeCell ref="J476:J477"/>
    <mergeCell ref="K476:K477"/>
    <mergeCell ref="B476:B477"/>
    <mergeCell ref="C476:C477"/>
    <mergeCell ref="D476:D477"/>
    <mergeCell ref="E476:E477"/>
    <mergeCell ref="L472:L473"/>
    <mergeCell ref="M472:M473"/>
    <mergeCell ref="N472:N473"/>
    <mergeCell ref="B474:B475"/>
    <mergeCell ref="C474:C475"/>
    <mergeCell ref="D474:D475"/>
    <mergeCell ref="E474:E475"/>
    <mergeCell ref="G474:G475"/>
    <mergeCell ref="H474:H475"/>
    <mergeCell ref="I474:I475"/>
    <mergeCell ref="J474:J475"/>
    <mergeCell ref="K474:K475"/>
    <mergeCell ref="L474:L475"/>
    <mergeCell ref="M474:M475"/>
    <mergeCell ref="N474:N475"/>
    <mergeCell ref="G472:G473"/>
    <mergeCell ref="H472:H473"/>
    <mergeCell ref="I472:I473"/>
    <mergeCell ref="J472:J473"/>
    <mergeCell ref="K472:K473"/>
    <mergeCell ref="B472:B473"/>
    <mergeCell ref="C472:C473"/>
    <mergeCell ref="D472:D473"/>
    <mergeCell ref="E472:E473"/>
    <mergeCell ref="L484:L485"/>
    <mergeCell ref="M484:M485"/>
    <mergeCell ref="N484:N485"/>
    <mergeCell ref="B486:B487"/>
    <mergeCell ref="C486:C487"/>
    <mergeCell ref="D486:D487"/>
    <mergeCell ref="E486:E487"/>
    <mergeCell ref="G486:G487"/>
    <mergeCell ref="H486:H487"/>
    <mergeCell ref="I486:I487"/>
    <mergeCell ref="J486:J487"/>
    <mergeCell ref="K486:K487"/>
    <mergeCell ref="L486:L487"/>
    <mergeCell ref="M486:M487"/>
    <mergeCell ref="N486:N487"/>
    <mergeCell ref="G484:G485"/>
    <mergeCell ref="H484:H485"/>
    <mergeCell ref="I484:I485"/>
    <mergeCell ref="J484:J485"/>
    <mergeCell ref="K484:K485"/>
    <mergeCell ref="B484:B485"/>
    <mergeCell ref="C484:C485"/>
    <mergeCell ref="D484:D485"/>
    <mergeCell ref="E484:E485"/>
    <mergeCell ref="L480:L481"/>
    <mergeCell ref="M480:M481"/>
    <mergeCell ref="N480:N481"/>
    <mergeCell ref="B482:B483"/>
    <mergeCell ref="C482:C483"/>
    <mergeCell ref="D482:D483"/>
    <mergeCell ref="E482:E483"/>
    <mergeCell ref="G482:G483"/>
    <mergeCell ref="H482:H483"/>
    <mergeCell ref="I482:I483"/>
    <mergeCell ref="J482:J483"/>
    <mergeCell ref="K482:K483"/>
    <mergeCell ref="L482:L483"/>
    <mergeCell ref="M482:M483"/>
    <mergeCell ref="N482:N483"/>
    <mergeCell ref="G480:G481"/>
    <mergeCell ref="H480:H481"/>
    <mergeCell ref="I480:I481"/>
    <mergeCell ref="J480:J481"/>
    <mergeCell ref="K480:K481"/>
    <mergeCell ref="B480:B481"/>
    <mergeCell ref="C480:C481"/>
    <mergeCell ref="D480:D481"/>
    <mergeCell ref="E480:E481"/>
    <mergeCell ref="L492:L493"/>
    <mergeCell ref="M492:M493"/>
    <mergeCell ref="N492:N493"/>
    <mergeCell ref="B494:B495"/>
    <mergeCell ref="C494:C495"/>
    <mergeCell ref="D494:D495"/>
    <mergeCell ref="E494:E495"/>
    <mergeCell ref="G494:G495"/>
    <mergeCell ref="H494:H495"/>
    <mergeCell ref="I494:I495"/>
    <mergeCell ref="J494:J495"/>
    <mergeCell ref="K494:K495"/>
    <mergeCell ref="L494:L495"/>
    <mergeCell ref="M494:M495"/>
    <mergeCell ref="N494:N495"/>
    <mergeCell ref="G492:G493"/>
    <mergeCell ref="H492:H493"/>
    <mergeCell ref="I492:I493"/>
    <mergeCell ref="J492:J493"/>
    <mergeCell ref="K492:K493"/>
    <mergeCell ref="B492:B493"/>
    <mergeCell ref="C492:C493"/>
    <mergeCell ref="D492:D493"/>
    <mergeCell ref="E492:E493"/>
    <mergeCell ref="L488:L489"/>
    <mergeCell ref="M488:M489"/>
    <mergeCell ref="N488:N489"/>
    <mergeCell ref="B490:B491"/>
    <mergeCell ref="C490:C491"/>
    <mergeCell ref="D490:D491"/>
    <mergeCell ref="E490:E491"/>
    <mergeCell ref="G490:G491"/>
    <mergeCell ref="H490:H491"/>
    <mergeCell ref="I490:I491"/>
    <mergeCell ref="J490:J491"/>
    <mergeCell ref="K490:K491"/>
    <mergeCell ref="L490:L491"/>
    <mergeCell ref="M490:M491"/>
    <mergeCell ref="N490:N491"/>
    <mergeCell ref="G488:G489"/>
    <mergeCell ref="H488:H489"/>
    <mergeCell ref="I488:I489"/>
    <mergeCell ref="J488:J489"/>
    <mergeCell ref="K488:K489"/>
    <mergeCell ref="B488:B489"/>
    <mergeCell ref="C488:C489"/>
    <mergeCell ref="D488:D489"/>
    <mergeCell ref="E488:E489"/>
    <mergeCell ref="L500:L501"/>
    <mergeCell ref="M500:M501"/>
    <mergeCell ref="N500:N501"/>
    <mergeCell ref="B502:B503"/>
    <mergeCell ref="C502:C503"/>
    <mergeCell ref="D502:D503"/>
    <mergeCell ref="E502:E503"/>
    <mergeCell ref="G502:G503"/>
    <mergeCell ref="H502:H503"/>
    <mergeCell ref="I502:I503"/>
    <mergeCell ref="J502:J503"/>
    <mergeCell ref="K502:K503"/>
    <mergeCell ref="L502:L503"/>
    <mergeCell ref="M502:M503"/>
    <mergeCell ref="N502:N503"/>
    <mergeCell ref="G500:G501"/>
    <mergeCell ref="H500:H501"/>
    <mergeCell ref="I500:I501"/>
    <mergeCell ref="J500:J501"/>
    <mergeCell ref="K500:K501"/>
    <mergeCell ref="B500:B501"/>
    <mergeCell ref="C500:C501"/>
    <mergeCell ref="D500:D501"/>
    <mergeCell ref="E500:E501"/>
    <mergeCell ref="L496:L497"/>
    <mergeCell ref="M496:M497"/>
    <mergeCell ref="N496:N497"/>
    <mergeCell ref="B498:B499"/>
    <mergeCell ref="C498:C499"/>
    <mergeCell ref="D498:D499"/>
    <mergeCell ref="E498:E499"/>
    <mergeCell ref="G498:G499"/>
    <mergeCell ref="H498:H499"/>
    <mergeCell ref="I498:I499"/>
    <mergeCell ref="J498:J499"/>
    <mergeCell ref="K498:K499"/>
    <mergeCell ref="L498:L499"/>
    <mergeCell ref="M498:M499"/>
    <mergeCell ref="N498:N499"/>
    <mergeCell ref="G496:G497"/>
    <mergeCell ref="H496:H497"/>
    <mergeCell ref="I496:I497"/>
    <mergeCell ref="J496:J497"/>
    <mergeCell ref="K496:K497"/>
    <mergeCell ref="B496:B497"/>
    <mergeCell ref="C496:C497"/>
    <mergeCell ref="D496:D497"/>
    <mergeCell ref="E496:E497"/>
    <mergeCell ref="L508:L509"/>
    <mergeCell ref="M508:M509"/>
    <mergeCell ref="N508:N509"/>
    <mergeCell ref="B510:B511"/>
    <mergeCell ref="C510:C511"/>
    <mergeCell ref="D510:D511"/>
    <mergeCell ref="E510:E511"/>
    <mergeCell ref="G510:G511"/>
    <mergeCell ref="H510:H511"/>
    <mergeCell ref="I510:I511"/>
    <mergeCell ref="J510:J511"/>
    <mergeCell ref="K510:K511"/>
    <mergeCell ref="L510:L511"/>
    <mergeCell ref="M510:M511"/>
    <mergeCell ref="N510:N511"/>
    <mergeCell ref="G508:G509"/>
    <mergeCell ref="H508:H509"/>
    <mergeCell ref="I508:I509"/>
    <mergeCell ref="J508:J509"/>
    <mergeCell ref="K508:K509"/>
    <mergeCell ref="B508:B509"/>
    <mergeCell ref="C508:C509"/>
    <mergeCell ref="D508:D509"/>
    <mergeCell ref="E508:E509"/>
    <mergeCell ref="L504:L505"/>
    <mergeCell ref="M504:M505"/>
    <mergeCell ref="N504:N505"/>
    <mergeCell ref="B506:B507"/>
    <mergeCell ref="C506:C507"/>
    <mergeCell ref="D506:D507"/>
    <mergeCell ref="E506:E507"/>
    <mergeCell ref="G506:G507"/>
    <mergeCell ref="H506:H507"/>
    <mergeCell ref="I506:I507"/>
    <mergeCell ref="J506:J507"/>
    <mergeCell ref="K506:K507"/>
    <mergeCell ref="L506:L507"/>
    <mergeCell ref="M506:M507"/>
    <mergeCell ref="N506:N507"/>
    <mergeCell ref="G504:G505"/>
    <mergeCell ref="H504:H505"/>
    <mergeCell ref="I504:I505"/>
    <mergeCell ref="J504:J505"/>
    <mergeCell ref="K504:K505"/>
    <mergeCell ref="B504:B505"/>
    <mergeCell ref="C504:C505"/>
    <mergeCell ref="D504:D505"/>
    <mergeCell ref="E504:E505"/>
    <mergeCell ref="L516:L517"/>
    <mergeCell ref="M516:M517"/>
    <mergeCell ref="N516:N517"/>
    <mergeCell ref="B518:B519"/>
    <mergeCell ref="C518:C519"/>
    <mergeCell ref="D518:D519"/>
    <mergeCell ref="E518:E519"/>
    <mergeCell ref="G518:G519"/>
    <mergeCell ref="H518:H519"/>
    <mergeCell ref="I518:I519"/>
    <mergeCell ref="J518:J519"/>
    <mergeCell ref="K518:K519"/>
    <mergeCell ref="L518:L519"/>
    <mergeCell ref="M518:M519"/>
    <mergeCell ref="N518:N519"/>
    <mergeCell ref="G516:G517"/>
    <mergeCell ref="H516:H517"/>
    <mergeCell ref="I516:I517"/>
    <mergeCell ref="J516:J517"/>
    <mergeCell ref="K516:K517"/>
    <mergeCell ref="B516:B517"/>
    <mergeCell ref="C516:C517"/>
    <mergeCell ref="D516:D517"/>
    <mergeCell ref="E516:E517"/>
    <mergeCell ref="L512:L513"/>
    <mergeCell ref="M512:M513"/>
    <mergeCell ref="N512:N513"/>
    <mergeCell ref="B514:B515"/>
    <mergeCell ref="C514:C515"/>
    <mergeCell ref="D514:D515"/>
    <mergeCell ref="E514:E515"/>
    <mergeCell ref="G514:G515"/>
    <mergeCell ref="H514:H515"/>
    <mergeCell ref="I514:I515"/>
    <mergeCell ref="J514:J515"/>
    <mergeCell ref="K514:K515"/>
    <mergeCell ref="L514:L515"/>
    <mergeCell ref="M514:M515"/>
    <mergeCell ref="N514:N515"/>
    <mergeCell ref="G512:G513"/>
    <mergeCell ref="H512:H513"/>
    <mergeCell ref="I512:I513"/>
    <mergeCell ref="J512:J513"/>
    <mergeCell ref="K512:K513"/>
    <mergeCell ref="B512:B513"/>
    <mergeCell ref="C512:C513"/>
    <mergeCell ref="D512:D513"/>
    <mergeCell ref="E512:E513"/>
    <mergeCell ref="L524:L525"/>
    <mergeCell ref="M524:M525"/>
    <mergeCell ref="N524:N525"/>
    <mergeCell ref="B526:B527"/>
    <mergeCell ref="C526:C527"/>
    <mergeCell ref="D526:D527"/>
    <mergeCell ref="E526:E527"/>
    <mergeCell ref="G526:G527"/>
    <mergeCell ref="H526:H527"/>
    <mergeCell ref="I526:I527"/>
    <mergeCell ref="J526:J527"/>
    <mergeCell ref="K526:K527"/>
    <mergeCell ref="L526:L527"/>
    <mergeCell ref="M526:M527"/>
    <mergeCell ref="N526:N527"/>
    <mergeCell ref="G524:G525"/>
    <mergeCell ref="H524:H525"/>
    <mergeCell ref="I524:I525"/>
    <mergeCell ref="J524:J525"/>
    <mergeCell ref="K524:K525"/>
    <mergeCell ref="B524:B525"/>
    <mergeCell ref="C524:C525"/>
    <mergeCell ref="D524:D525"/>
    <mergeCell ref="E524:E525"/>
    <mergeCell ref="L520:L521"/>
    <mergeCell ref="M520:M521"/>
    <mergeCell ref="N520:N521"/>
    <mergeCell ref="B522:B523"/>
    <mergeCell ref="C522:C523"/>
    <mergeCell ref="D522:D523"/>
    <mergeCell ref="E522:E523"/>
    <mergeCell ref="G522:G523"/>
    <mergeCell ref="H522:H523"/>
    <mergeCell ref="I522:I523"/>
    <mergeCell ref="J522:J523"/>
    <mergeCell ref="K522:K523"/>
    <mergeCell ref="L522:L523"/>
    <mergeCell ref="M522:M523"/>
    <mergeCell ref="N522:N523"/>
    <mergeCell ref="G520:G521"/>
    <mergeCell ref="H520:H521"/>
    <mergeCell ref="I520:I521"/>
    <mergeCell ref="J520:J521"/>
    <mergeCell ref="K520:K521"/>
    <mergeCell ref="B520:B521"/>
    <mergeCell ref="C520:C521"/>
    <mergeCell ref="D520:D521"/>
    <mergeCell ref="E520:E521"/>
    <mergeCell ref="L532:L533"/>
    <mergeCell ref="M532:M533"/>
    <mergeCell ref="N532:N533"/>
    <mergeCell ref="B534:B535"/>
    <mergeCell ref="C534:C535"/>
    <mergeCell ref="D534:D535"/>
    <mergeCell ref="E534:E535"/>
    <mergeCell ref="G534:G535"/>
    <mergeCell ref="H534:H535"/>
    <mergeCell ref="I534:I535"/>
    <mergeCell ref="J534:J535"/>
    <mergeCell ref="K534:K535"/>
    <mergeCell ref="L534:L535"/>
    <mergeCell ref="M534:M535"/>
    <mergeCell ref="N534:N535"/>
    <mergeCell ref="G532:G533"/>
    <mergeCell ref="H532:H533"/>
    <mergeCell ref="I532:I533"/>
    <mergeCell ref="J532:J533"/>
    <mergeCell ref="K532:K533"/>
    <mergeCell ref="B532:B533"/>
    <mergeCell ref="C532:C533"/>
    <mergeCell ref="D532:D533"/>
    <mergeCell ref="E532:E533"/>
    <mergeCell ref="L528:L529"/>
    <mergeCell ref="M528:M529"/>
    <mergeCell ref="N528:N529"/>
    <mergeCell ref="B530:B531"/>
    <mergeCell ref="C530:C531"/>
    <mergeCell ref="D530:D531"/>
    <mergeCell ref="E530:E531"/>
    <mergeCell ref="G530:G531"/>
    <mergeCell ref="H530:H531"/>
    <mergeCell ref="I530:I531"/>
    <mergeCell ref="J530:J531"/>
    <mergeCell ref="K530:K531"/>
    <mergeCell ref="L530:L531"/>
    <mergeCell ref="M530:M531"/>
    <mergeCell ref="N530:N531"/>
    <mergeCell ref="G528:G529"/>
    <mergeCell ref="H528:H529"/>
    <mergeCell ref="I528:I529"/>
    <mergeCell ref="J528:J529"/>
    <mergeCell ref="K528:K529"/>
    <mergeCell ref="B528:B529"/>
    <mergeCell ref="C528:C529"/>
    <mergeCell ref="D528:D529"/>
    <mergeCell ref="E528:E529"/>
    <mergeCell ref="L540:L541"/>
    <mergeCell ref="M540:M541"/>
    <mergeCell ref="N540:N541"/>
    <mergeCell ref="B542:B543"/>
    <mergeCell ref="C542:C543"/>
    <mergeCell ref="D542:D543"/>
    <mergeCell ref="E542:E543"/>
    <mergeCell ref="G542:G543"/>
    <mergeCell ref="H542:H543"/>
    <mergeCell ref="I542:I543"/>
    <mergeCell ref="J542:J543"/>
    <mergeCell ref="K542:K543"/>
    <mergeCell ref="L542:L543"/>
    <mergeCell ref="M542:M543"/>
    <mergeCell ref="N542:N543"/>
    <mergeCell ref="G540:G541"/>
    <mergeCell ref="H540:H541"/>
    <mergeCell ref="I540:I541"/>
    <mergeCell ref="J540:J541"/>
    <mergeCell ref="K540:K541"/>
    <mergeCell ref="B540:B541"/>
    <mergeCell ref="C540:C541"/>
    <mergeCell ref="D540:D541"/>
    <mergeCell ref="E540:E541"/>
    <mergeCell ref="L536:L537"/>
    <mergeCell ref="M536:M537"/>
    <mergeCell ref="N536:N537"/>
    <mergeCell ref="B538:B539"/>
    <mergeCell ref="C538:C539"/>
    <mergeCell ref="D538:D539"/>
    <mergeCell ref="E538:E539"/>
    <mergeCell ref="G538:G539"/>
    <mergeCell ref="H538:H539"/>
    <mergeCell ref="I538:I539"/>
    <mergeCell ref="J538:J539"/>
    <mergeCell ref="K538:K539"/>
    <mergeCell ref="L538:L539"/>
    <mergeCell ref="M538:M539"/>
    <mergeCell ref="N538:N539"/>
    <mergeCell ref="G536:G537"/>
    <mergeCell ref="H536:H537"/>
    <mergeCell ref="I536:I537"/>
    <mergeCell ref="J536:J537"/>
    <mergeCell ref="K536:K537"/>
    <mergeCell ref="B536:B537"/>
    <mergeCell ref="C536:C537"/>
    <mergeCell ref="D536:D537"/>
    <mergeCell ref="E536:E537"/>
    <mergeCell ref="L548:L549"/>
    <mergeCell ref="M548:M549"/>
    <mergeCell ref="N548:N549"/>
    <mergeCell ref="B550:B551"/>
    <mergeCell ref="C550:C551"/>
    <mergeCell ref="D550:D551"/>
    <mergeCell ref="E550:E551"/>
    <mergeCell ref="G550:G551"/>
    <mergeCell ref="H550:H551"/>
    <mergeCell ref="I550:I551"/>
    <mergeCell ref="J550:J551"/>
    <mergeCell ref="K550:K551"/>
    <mergeCell ref="L550:L551"/>
    <mergeCell ref="M550:M551"/>
    <mergeCell ref="N550:N551"/>
    <mergeCell ref="G548:G549"/>
    <mergeCell ref="H548:H549"/>
    <mergeCell ref="I548:I549"/>
    <mergeCell ref="J548:J549"/>
    <mergeCell ref="K548:K549"/>
    <mergeCell ref="B548:B549"/>
    <mergeCell ref="C548:C549"/>
    <mergeCell ref="D548:D549"/>
    <mergeCell ref="E548:E549"/>
    <mergeCell ref="L544:L545"/>
    <mergeCell ref="M544:M545"/>
    <mergeCell ref="N544:N545"/>
    <mergeCell ref="B546:B547"/>
    <mergeCell ref="C546:C547"/>
    <mergeCell ref="D546:D547"/>
    <mergeCell ref="E546:E547"/>
    <mergeCell ref="G546:G547"/>
    <mergeCell ref="H546:H547"/>
    <mergeCell ref="I546:I547"/>
    <mergeCell ref="J546:J547"/>
    <mergeCell ref="K546:K547"/>
    <mergeCell ref="L546:L547"/>
    <mergeCell ref="M546:M547"/>
    <mergeCell ref="N546:N547"/>
    <mergeCell ref="G544:G545"/>
    <mergeCell ref="H544:H545"/>
    <mergeCell ref="I544:I545"/>
    <mergeCell ref="J544:J545"/>
    <mergeCell ref="K544:K545"/>
    <mergeCell ref="B544:B545"/>
    <mergeCell ref="C544:C545"/>
    <mergeCell ref="D544:D545"/>
    <mergeCell ref="E544:E545"/>
    <mergeCell ref="L556:L557"/>
    <mergeCell ref="M556:M557"/>
    <mergeCell ref="N556:N557"/>
    <mergeCell ref="B558:B559"/>
    <mergeCell ref="C558:C559"/>
    <mergeCell ref="D558:D559"/>
    <mergeCell ref="E558:E559"/>
    <mergeCell ref="G558:G559"/>
    <mergeCell ref="H558:H559"/>
    <mergeCell ref="I558:I559"/>
    <mergeCell ref="J558:J559"/>
    <mergeCell ref="K558:K559"/>
    <mergeCell ref="L558:L559"/>
    <mergeCell ref="M558:M559"/>
    <mergeCell ref="N558:N559"/>
    <mergeCell ref="G556:G557"/>
    <mergeCell ref="H556:H557"/>
    <mergeCell ref="I556:I557"/>
    <mergeCell ref="J556:J557"/>
    <mergeCell ref="K556:K557"/>
    <mergeCell ref="B556:B557"/>
    <mergeCell ref="C556:C557"/>
    <mergeCell ref="D556:D557"/>
    <mergeCell ref="E556:E557"/>
    <mergeCell ref="L552:L553"/>
    <mergeCell ref="M552:M553"/>
    <mergeCell ref="N552:N553"/>
    <mergeCell ref="B554:B555"/>
    <mergeCell ref="C554:C555"/>
    <mergeCell ref="D554:D555"/>
    <mergeCell ref="E554:E555"/>
    <mergeCell ref="G554:G555"/>
    <mergeCell ref="H554:H555"/>
    <mergeCell ref="I554:I555"/>
    <mergeCell ref="J554:J555"/>
    <mergeCell ref="K554:K555"/>
    <mergeCell ref="L554:L555"/>
    <mergeCell ref="M554:M555"/>
    <mergeCell ref="N554:N555"/>
    <mergeCell ref="G552:G553"/>
    <mergeCell ref="H552:H553"/>
    <mergeCell ref="I552:I553"/>
    <mergeCell ref="J552:J553"/>
    <mergeCell ref="K552:K553"/>
    <mergeCell ref="B552:B553"/>
    <mergeCell ref="C552:C553"/>
    <mergeCell ref="D552:D553"/>
    <mergeCell ref="E552:E553"/>
    <mergeCell ref="L564:L565"/>
    <mergeCell ref="M564:M565"/>
    <mergeCell ref="N564:N565"/>
    <mergeCell ref="B566:B567"/>
    <mergeCell ref="C566:C567"/>
    <mergeCell ref="D566:D567"/>
    <mergeCell ref="E566:E567"/>
    <mergeCell ref="G566:G567"/>
    <mergeCell ref="H566:H567"/>
    <mergeCell ref="I566:I567"/>
    <mergeCell ref="J566:J567"/>
    <mergeCell ref="K566:K567"/>
    <mergeCell ref="L566:L567"/>
    <mergeCell ref="M566:M567"/>
    <mergeCell ref="N566:N567"/>
    <mergeCell ref="G564:G565"/>
    <mergeCell ref="H564:H565"/>
    <mergeCell ref="I564:I565"/>
    <mergeCell ref="J564:J565"/>
    <mergeCell ref="K564:K565"/>
    <mergeCell ref="B564:B565"/>
    <mergeCell ref="C564:C565"/>
    <mergeCell ref="D564:D565"/>
    <mergeCell ref="E564:E565"/>
    <mergeCell ref="L560:L561"/>
    <mergeCell ref="M560:M561"/>
    <mergeCell ref="N560:N561"/>
    <mergeCell ref="B562:B563"/>
    <mergeCell ref="C562:C563"/>
    <mergeCell ref="D562:D563"/>
    <mergeCell ref="E562:E563"/>
    <mergeCell ref="G562:G563"/>
    <mergeCell ref="H562:H563"/>
    <mergeCell ref="I562:I563"/>
    <mergeCell ref="J562:J563"/>
    <mergeCell ref="K562:K563"/>
    <mergeCell ref="L562:L563"/>
    <mergeCell ref="M562:M563"/>
    <mergeCell ref="N562:N563"/>
    <mergeCell ref="G560:G561"/>
    <mergeCell ref="H560:H561"/>
    <mergeCell ref="I560:I561"/>
    <mergeCell ref="J560:J561"/>
    <mergeCell ref="K560:K561"/>
    <mergeCell ref="B560:B561"/>
    <mergeCell ref="C560:C561"/>
    <mergeCell ref="D560:D561"/>
    <mergeCell ref="E560:E561"/>
    <mergeCell ref="L572:L573"/>
    <mergeCell ref="M572:M573"/>
    <mergeCell ref="N572:N573"/>
    <mergeCell ref="B574:B575"/>
    <mergeCell ref="C574:C575"/>
    <mergeCell ref="D574:D575"/>
    <mergeCell ref="E574:E575"/>
    <mergeCell ref="G574:G575"/>
    <mergeCell ref="H574:H575"/>
    <mergeCell ref="I574:I575"/>
    <mergeCell ref="J574:J575"/>
    <mergeCell ref="K574:K575"/>
    <mergeCell ref="L574:L575"/>
    <mergeCell ref="M574:M575"/>
    <mergeCell ref="N574:N575"/>
    <mergeCell ref="G572:G573"/>
    <mergeCell ref="H572:H573"/>
    <mergeCell ref="I572:I573"/>
    <mergeCell ref="J572:J573"/>
    <mergeCell ref="K572:K573"/>
    <mergeCell ref="B572:B573"/>
    <mergeCell ref="C572:C573"/>
    <mergeCell ref="D572:D573"/>
    <mergeCell ref="E572:E573"/>
    <mergeCell ref="L568:L569"/>
    <mergeCell ref="M568:M569"/>
    <mergeCell ref="N568:N569"/>
    <mergeCell ref="B570:B571"/>
    <mergeCell ref="C570:C571"/>
    <mergeCell ref="D570:D571"/>
    <mergeCell ref="E570:E571"/>
    <mergeCell ref="G570:G571"/>
    <mergeCell ref="H570:H571"/>
    <mergeCell ref="I570:I571"/>
    <mergeCell ref="J570:J571"/>
    <mergeCell ref="K570:K571"/>
    <mergeCell ref="L570:L571"/>
    <mergeCell ref="M570:M571"/>
    <mergeCell ref="N570:N571"/>
    <mergeCell ref="G568:G569"/>
    <mergeCell ref="H568:H569"/>
    <mergeCell ref="I568:I569"/>
    <mergeCell ref="J568:J569"/>
    <mergeCell ref="K568:K569"/>
    <mergeCell ref="B568:B569"/>
    <mergeCell ref="C568:C569"/>
    <mergeCell ref="D568:D569"/>
    <mergeCell ref="E568:E569"/>
    <mergeCell ref="L580:L581"/>
    <mergeCell ref="M580:M581"/>
    <mergeCell ref="N580:N581"/>
    <mergeCell ref="B582:B583"/>
    <mergeCell ref="C582:C583"/>
    <mergeCell ref="D582:D583"/>
    <mergeCell ref="E582:E583"/>
    <mergeCell ref="G582:G583"/>
    <mergeCell ref="H582:H583"/>
    <mergeCell ref="I582:I583"/>
    <mergeCell ref="J582:J583"/>
    <mergeCell ref="K582:K583"/>
    <mergeCell ref="L582:L583"/>
    <mergeCell ref="M582:M583"/>
    <mergeCell ref="N582:N583"/>
    <mergeCell ref="G580:G581"/>
    <mergeCell ref="H580:H581"/>
    <mergeCell ref="I580:I581"/>
    <mergeCell ref="J580:J581"/>
    <mergeCell ref="K580:K581"/>
    <mergeCell ref="B580:B581"/>
    <mergeCell ref="C580:C581"/>
    <mergeCell ref="D580:D581"/>
    <mergeCell ref="E580:E581"/>
    <mergeCell ref="L576:L577"/>
    <mergeCell ref="M576:M577"/>
    <mergeCell ref="N576:N577"/>
    <mergeCell ref="B578:B579"/>
    <mergeCell ref="C578:C579"/>
    <mergeCell ref="D578:D579"/>
    <mergeCell ref="E578:E579"/>
    <mergeCell ref="G578:G579"/>
    <mergeCell ref="H578:H579"/>
    <mergeCell ref="I578:I579"/>
    <mergeCell ref="J578:J579"/>
    <mergeCell ref="K578:K579"/>
    <mergeCell ref="L578:L579"/>
    <mergeCell ref="M578:M579"/>
    <mergeCell ref="N578:N579"/>
    <mergeCell ref="G576:G577"/>
    <mergeCell ref="H576:H577"/>
    <mergeCell ref="I576:I577"/>
    <mergeCell ref="J576:J577"/>
    <mergeCell ref="K576:K577"/>
    <mergeCell ref="B576:B577"/>
    <mergeCell ref="C576:C577"/>
    <mergeCell ref="D576:D577"/>
    <mergeCell ref="E576:E577"/>
    <mergeCell ref="L588:L589"/>
    <mergeCell ref="M588:M589"/>
    <mergeCell ref="N588:N589"/>
    <mergeCell ref="B590:B591"/>
    <mergeCell ref="C590:C591"/>
    <mergeCell ref="D590:D591"/>
    <mergeCell ref="E590:E591"/>
    <mergeCell ref="G590:G591"/>
    <mergeCell ref="H590:H591"/>
    <mergeCell ref="I590:I591"/>
    <mergeCell ref="J590:J591"/>
    <mergeCell ref="K590:K591"/>
    <mergeCell ref="L590:L591"/>
    <mergeCell ref="M590:M591"/>
    <mergeCell ref="N590:N591"/>
    <mergeCell ref="G588:G589"/>
    <mergeCell ref="H588:H589"/>
    <mergeCell ref="I588:I589"/>
    <mergeCell ref="J588:J589"/>
    <mergeCell ref="K588:K589"/>
    <mergeCell ref="B588:B589"/>
    <mergeCell ref="C588:C589"/>
    <mergeCell ref="D588:D589"/>
    <mergeCell ref="E588:E589"/>
    <mergeCell ref="L584:L585"/>
    <mergeCell ref="M584:M585"/>
    <mergeCell ref="N584:N585"/>
    <mergeCell ref="B586:B587"/>
    <mergeCell ref="C586:C587"/>
    <mergeCell ref="D586:D587"/>
    <mergeCell ref="E586:E587"/>
    <mergeCell ref="G586:G587"/>
    <mergeCell ref="H586:H587"/>
    <mergeCell ref="I586:I587"/>
    <mergeCell ref="J586:J587"/>
    <mergeCell ref="K586:K587"/>
    <mergeCell ref="L586:L587"/>
    <mergeCell ref="M586:M587"/>
    <mergeCell ref="N586:N587"/>
    <mergeCell ref="G584:G585"/>
    <mergeCell ref="H584:H585"/>
    <mergeCell ref="I584:I585"/>
    <mergeCell ref="J584:J585"/>
    <mergeCell ref="K584:K585"/>
    <mergeCell ref="B584:B585"/>
    <mergeCell ref="C584:C585"/>
    <mergeCell ref="D584:D585"/>
    <mergeCell ref="E584:E585"/>
    <mergeCell ref="L596:L597"/>
    <mergeCell ref="M596:M597"/>
    <mergeCell ref="N596:N597"/>
    <mergeCell ref="B598:B599"/>
    <mergeCell ref="C598:C599"/>
    <mergeCell ref="D598:D599"/>
    <mergeCell ref="E598:E599"/>
    <mergeCell ref="G598:G599"/>
    <mergeCell ref="H598:H599"/>
    <mergeCell ref="I598:I599"/>
    <mergeCell ref="J598:J599"/>
    <mergeCell ref="K598:K599"/>
    <mergeCell ref="L598:L599"/>
    <mergeCell ref="M598:M599"/>
    <mergeCell ref="N598:N599"/>
    <mergeCell ref="G596:G597"/>
    <mergeCell ref="H596:H597"/>
    <mergeCell ref="I596:I597"/>
    <mergeCell ref="J596:J597"/>
    <mergeCell ref="K596:K597"/>
    <mergeCell ref="B596:B597"/>
    <mergeCell ref="C596:C597"/>
    <mergeCell ref="D596:D597"/>
    <mergeCell ref="E596:E597"/>
    <mergeCell ref="L592:L593"/>
    <mergeCell ref="M592:M593"/>
    <mergeCell ref="N592:N593"/>
    <mergeCell ref="B594:B595"/>
    <mergeCell ref="C594:C595"/>
    <mergeCell ref="D594:D595"/>
    <mergeCell ref="E594:E595"/>
    <mergeCell ref="G594:G595"/>
    <mergeCell ref="H594:H595"/>
    <mergeCell ref="I594:I595"/>
    <mergeCell ref="J594:J595"/>
    <mergeCell ref="K594:K595"/>
    <mergeCell ref="L594:L595"/>
    <mergeCell ref="M594:M595"/>
    <mergeCell ref="N594:N595"/>
    <mergeCell ref="G592:G593"/>
    <mergeCell ref="H592:H593"/>
    <mergeCell ref="I592:I593"/>
    <mergeCell ref="J592:J593"/>
    <mergeCell ref="K592:K593"/>
    <mergeCell ref="B592:B593"/>
    <mergeCell ref="C592:C593"/>
    <mergeCell ref="D592:D593"/>
    <mergeCell ref="E592:E593"/>
    <mergeCell ref="L604:L605"/>
    <mergeCell ref="M604:M605"/>
    <mergeCell ref="N604:N605"/>
    <mergeCell ref="B606:B607"/>
    <mergeCell ref="C606:C607"/>
    <mergeCell ref="D606:D607"/>
    <mergeCell ref="E606:E607"/>
    <mergeCell ref="G606:G607"/>
    <mergeCell ref="H606:H607"/>
    <mergeCell ref="I606:I607"/>
    <mergeCell ref="J606:J607"/>
    <mergeCell ref="K606:K607"/>
    <mergeCell ref="L606:L607"/>
    <mergeCell ref="M606:M607"/>
    <mergeCell ref="N606:N607"/>
    <mergeCell ref="G604:G605"/>
    <mergeCell ref="H604:H605"/>
    <mergeCell ref="I604:I605"/>
    <mergeCell ref="J604:J605"/>
    <mergeCell ref="K604:K605"/>
    <mergeCell ref="B604:B605"/>
    <mergeCell ref="C604:C605"/>
    <mergeCell ref="D604:D605"/>
    <mergeCell ref="E604:E605"/>
    <mergeCell ref="L600:L601"/>
    <mergeCell ref="M600:M601"/>
    <mergeCell ref="N600:N601"/>
    <mergeCell ref="B602:B603"/>
    <mergeCell ref="C602:C603"/>
    <mergeCell ref="D602:D603"/>
    <mergeCell ref="E602:E603"/>
    <mergeCell ref="G602:G603"/>
    <mergeCell ref="H602:H603"/>
    <mergeCell ref="I602:I603"/>
    <mergeCell ref="J602:J603"/>
    <mergeCell ref="K602:K603"/>
    <mergeCell ref="L602:L603"/>
    <mergeCell ref="M602:M603"/>
    <mergeCell ref="N602:N603"/>
    <mergeCell ref="G600:G601"/>
    <mergeCell ref="H600:H601"/>
    <mergeCell ref="I600:I601"/>
    <mergeCell ref="J600:J601"/>
    <mergeCell ref="K600:K601"/>
    <mergeCell ref="B600:B601"/>
    <mergeCell ref="C600:C601"/>
    <mergeCell ref="D600:D601"/>
    <mergeCell ref="E600:E601"/>
    <mergeCell ref="L612:L613"/>
    <mergeCell ref="M612:M613"/>
    <mergeCell ref="N612:N613"/>
    <mergeCell ref="B614:B615"/>
    <mergeCell ref="C614:C615"/>
    <mergeCell ref="D614:D615"/>
    <mergeCell ref="E614:E615"/>
    <mergeCell ref="G614:G615"/>
    <mergeCell ref="H614:H615"/>
    <mergeCell ref="I614:I615"/>
    <mergeCell ref="J614:J615"/>
    <mergeCell ref="K614:K615"/>
    <mergeCell ref="L614:L615"/>
    <mergeCell ref="M614:M615"/>
    <mergeCell ref="N614:N615"/>
    <mergeCell ref="G612:G613"/>
    <mergeCell ref="H612:H613"/>
    <mergeCell ref="I612:I613"/>
    <mergeCell ref="J612:J613"/>
    <mergeCell ref="K612:K613"/>
    <mergeCell ref="B612:B613"/>
    <mergeCell ref="C612:C613"/>
    <mergeCell ref="D612:D613"/>
    <mergeCell ref="E612:E613"/>
    <mergeCell ref="L608:L609"/>
    <mergeCell ref="M608:M609"/>
    <mergeCell ref="N608:N609"/>
    <mergeCell ref="B610:B611"/>
    <mergeCell ref="C610:C611"/>
    <mergeCell ref="D610:D611"/>
    <mergeCell ref="E610:E611"/>
    <mergeCell ref="G610:G611"/>
    <mergeCell ref="H610:H611"/>
    <mergeCell ref="I610:I611"/>
    <mergeCell ref="J610:J611"/>
    <mergeCell ref="K610:K611"/>
    <mergeCell ref="L610:L611"/>
    <mergeCell ref="M610:M611"/>
    <mergeCell ref="N610:N611"/>
    <mergeCell ref="G608:G609"/>
    <mergeCell ref="H608:H609"/>
    <mergeCell ref="I608:I609"/>
    <mergeCell ref="J608:J609"/>
    <mergeCell ref="K608:K609"/>
    <mergeCell ref="B608:B609"/>
    <mergeCell ref="C608:C609"/>
    <mergeCell ref="D608:D609"/>
    <mergeCell ref="E608:E609"/>
    <mergeCell ref="L627:L628"/>
    <mergeCell ref="M627:M628"/>
    <mergeCell ref="N627:N628"/>
    <mergeCell ref="B629:B630"/>
    <mergeCell ref="C629:C630"/>
    <mergeCell ref="D629:D630"/>
    <mergeCell ref="E629:E630"/>
    <mergeCell ref="G629:G630"/>
    <mergeCell ref="H629:H630"/>
    <mergeCell ref="I629:I630"/>
    <mergeCell ref="J629:J630"/>
    <mergeCell ref="K629:K630"/>
    <mergeCell ref="L629:L630"/>
    <mergeCell ref="M629:M630"/>
    <mergeCell ref="N629:N630"/>
    <mergeCell ref="G627:G628"/>
    <mergeCell ref="H627:H628"/>
    <mergeCell ref="I627:I628"/>
    <mergeCell ref="J627:J628"/>
    <mergeCell ref="K627:K628"/>
    <mergeCell ref="B627:B628"/>
    <mergeCell ref="C627:C628"/>
    <mergeCell ref="D627:D628"/>
    <mergeCell ref="E627:E628"/>
    <mergeCell ref="L623:L624"/>
    <mergeCell ref="M623:M624"/>
    <mergeCell ref="N623:N624"/>
    <mergeCell ref="B625:B626"/>
    <mergeCell ref="C625:C626"/>
    <mergeCell ref="D625:D626"/>
    <mergeCell ref="E625:E626"/>
    <mergeCell ref="G625:G626"/>
    <mergeCell ref="H625:H626"/>
    <mergeCell ref="I625:I626"/>
    <mergeCell ref="J625:J626"/>
    <mergeCell ref="K625:K626"/>
    <mergeCell ref="L625:L626"/>
    <mergeCell ref="M625:M626"/>
    <mergeCell ref="N625:N626"/>
    <mergeCell ref="G623:G624"/>
    <mergeCell ref="H623:H624"/>
    <mergeCell ref="I623:I624"/>
    <mergeCell ref="J623:J624"/>
    <mergeCell ref="K623:K624"/>
    <mergeCell ref="B623:B624"/>
    <mergeCell ref="C623:C624"/>
    <mergeCell ref="D623:D624"/>
    <mergeCell ref="E623:E624"/>
    <mergeCell ref="L635:L636"/>
    <mergeCell ref="M635:M636"/>
    <mergeCell ref="N635:N636"/>
    <mergeCell ref="B637:B638"/>
    <mergeCell ref="C637:C638"/>
    <mergeCell ref="D637:D638"/>
    <mergeCell ref="E637:E638"/>
    <mergeCell ref="G637:G638"/>
    <mergeCell ref="H637:H638"/>
    <mergeCell ref="I637:I638"/>
    <mergeCell ref="J637:J638"/>
    <mergeCell ref="K637:K638"/>
    <mergeCell ref="L637:L638"/>
    <mergeCell ref="M637:M638"/>
    <mergeCell ref="N637:N638"/>
    <mergeCell ref="G635:G636"/>
    <mergeCell ref="H635:H636"/>
    <mergeCell ref="I635:I636"/>
    <mergeCell ref="J635:J636"/>
    <mergeCell ref="K635:K636"/>
    <mergeCell ref="B635:B636"/>
    <mergeCell ref="C635:C636"/>
    <mergeCell ref="D635:D636"/>
    <mergeCell ref="E635:E636"/>
    <mergeCell ref="L631:L632"/>
    <mergeCell ref="M631:M632"/>
    <mergeCell ref="N631:N632"/>
    <mergeCell ref="B633:B634"/>
    <mergeCell ref="C633:C634"/>
    <mergeCell ref="D633:D634"/>
    <mergeCell ref="E633:E634"/>
    <mergeCell ref="G633:G634"/>
    <mergeCell ref="H633:H634"/>
    <mergeCell ref="I633:I634"/>
    <mergeCell ref="J633:J634"/>
    <mergeCell ref="K633:K634"/>
    <mergeCell ref="L633:L634"/>
    <mergeCell ref="M633:M634"/>
    <mergeCell ref="N633:N634"/>
    <mergeCell ref="G631:G632"/>
    <mergeCell ref="H631:H632"/>
    <mergeCell ref="I631:I632"/>
    <mergeCell ref="J631:J632"/>
    <mergeCell ref="K631:K632"/>
    <mergeCell ref="B631:B632"/>
    <mergeCell ref="C631:C632"/>
    <mergeCell ref="D631:D632"/>
    <mergeCell ref="E631:E632"/>
    <mergeCell ref="L643:L644"/>
    <mergeCell ref="M643:M644"/>
    <mergeCell ref="N643:N644"/>
    <mergeCell ref="B645:B646"/>
    <mergeCell ref="C645:C646"/>
    <mergeCell ref="D645:D646"/>
    <mergeCell ref="E645:E646"/>
    <mergeCell ref="G645:G646"/>
    <mergeCell ref="H645:H646"/>
    <mergeCell ref="I645:I646"/>
    <mergeCell ref="J645:J646"/>
    <mergeCell ref="K645:K646"/>
    <mergeCell ref="L645:L646"/>
    <mergeCell ref="M645:M646"/>
    <mergeCell ref="N645:N646"/>
    <mergeCell ref="G643:G644"/>
    <mergeCell ref="H643:H644"/>
    <mergeCell ref="I643:I644"/>
    <mergeCell ref="J643:J644"/>
    <mergeCell ref="K643:K644"/>
    <mergeCell ref="B643:B644"/>
    <mergeCell ref="C643:C644"/>
    <mergeCell ref="D643:D644"/>
    <mergeCell ref="E643:E644"/>
    <mergeCell ref="L639:L640"/>
    <mergeCell ref="M639:M640"/>
    <mergeCell ref="N639:N640"/>
    <mergeCell ref="B641:B642"/>
    <mergeCell ref="C641:C642"/>
    <mergeCell ref="D641:D642"/>
    <mergeCell ref="E641:E642"/>
    <mergeCell ref="G641:G642"/>
    <mergeCell ref="H641:H642"/>
    <mergeCell ref="I641:I642"/>
    <mergeCell ref="J641:J642"/>
    <mergeCell ref="K641:K642"/>
    <mergeCell ref="L641:L642"/>
    <mergeCell ref="M641:M642"/>
    <mergeCell ref="N641:N642"/>
    <mergeCell ref="G639:G640"/>
    <mergeCell ref="H639:H640"/>
    <mergeCell ref="I639:I640"/>
    <mergeCell ref="J639:J640"/>
    <mergeCell ref="K639:K640"/>
    <mergeCell ref="B639:B640"/>
    <mergeCell ref="C639:C640"/>
    <mergeCell ref="D639:D640"/>
    <mergeCell ref="E639:E640"/>
    <mergeCell ref="L651:L652"/>
    <mergeCell ref="M651:M652"/>
    <mergeCell ref="N651:N652"/>
    <mergeCell ref="B653:B654"/>
    <mergeCell ref="C653:C654"/>
    <mergeCell ref="D653:D654"/>
    <mergeCell ref="E653:E654"/>
    <mergeCell ref="G653:G654"/>
    <mergeCell ref="H653:H654"/>
    <mergeCell ref="I653:I654"/>
    <mergeCell ref="J653:J654"/>
    <mergeCell ref="K653:K654"/>
    <mergeCell ref="L653:L654"/>
    <mergeCell ref="M653:M654"/>
    <mergeCell ref="N653:N654"/>
    <mergeCell ref="G651:G652"/>
    <mergeCell ref="H651:H652"/>
    <mergeCell ref="I651:I652"/>
    <mergeCell ref="J651:J652"/>
    <mergeCell ref="K651:K652"/>
    <mergeCell ref="B651:B652"/>
    <mergeCell ref="C651:C652"/>
    <mergeCell ref="D651:D652"/>
    <mergeCell ref="E651:E652"/>
    <mergeCell ref="L647:L648"/>
    <mergeCell ref="M647:M648"/>
    <mergeCell ref="N647:N648"/>
    <mergeCell ref="B649:B650"/>
    <mergeCell ref="C649:C650"/>
    <mergeCell ref="D649:D650"/>
    <mergeCell ref="E649:E650"/>
    <mergeCell ref="G649:G650"/>
    <mergeCell ref="H649:H650"/>
    <mergeCell ref="I649:I650"/>
    <mergeCell ref="J649:J650"/>
    <mergeCell ref="K649:K650"/>
    <mergeCell ref="L649:L650"/>
    <mergeCell ref="M649:M650"/>
    <mergeCell ref="N649:N650"/>
    <mergeCell ref="G647:G648"/>
    <mergeCell ref="H647:H648"/>
    <mergeCell ref="I647:I648"/>
    <mergeCell ref="J647:J648"/>
    <mergeCell ref="K647:K648"/>
    <mergeCell ref="B647:B648"/>
    <mergeCell ref="C647:C648"/>
    <mergeCell ref="D647:D648"/>
    <mergeCell ref="E647:E648"/>
    <mergeCell ref="L659:L660"/>
    <mergeCell ref="M659:M660"/>
    <mergeCell ref="N659:N660"/>
    <mergeCell ref="B661:B662"/>
    <mergeCell ref="C661:C662"/>
    <mergeCell ref="D661:D662"/>
    <mergeCell ref="E661:E662"/>
    <mergeCell ref="G661:G662"/>
    <mergeCell ref="H661:H662"/>
    <mergeCell ref="I661:I662"/>
    <mergeCell ref="J661:J662"/>
    <mergeCell ref="K661:K662"/>
    <mergeCell ref="L661:L662"/>
    <mergeCell ref="M661:M662"/>
    <mergeCell ref="N661:N662"/>
    <mergeCell ref="G659:G660"/>
    <mergeCell ref="H659:H660"/>
    <mergeCell ref="I659:I660"/>
    <mergeCell ref="J659:J660"/>
    <mergeCell ref="K659:K660"/>
    <mergeCell ref="B659:B660"/>
    <mergeCell ref="C659:C660"/>
    <mergeCell ref="D659:D660"/>
    <mergeCell ref="E659:E660"/>
    <mergeCell ref="L655:L656"/>
    <mergeCell ref="M655:M656"/>
    <mergeCell ref="N655:N656"/>
    <mergeCell ref="B657:B658"/>
    <mergeCell ref="C657:C658"/>
    <mergeCell ref="D657:D658"/>
    <mergeCell ref="E657:E658"/>
    <mergeCell ref="G657:G658"/>
    <mergeCell ref="H657:H658"/>
    <mergeCell ref="I657:I658"/>
    <mergeCell ref="J657:J658"/>
    <mergeCell ref="K657:K658"/>
    <mergeCell ref="L657:L658"/>
    <mergeCell ref="M657:M658"/>
    <mergeCell ref="N657:N658"/>
    <mergeCell ref="G655:G656"/>
    <mergeCell ref="H655:H656"/>
    <mergeCell ref="I655:I656"/>
    <mergeCell ref="J655:J656"/>
    <mergeCell ref="K655:K656"/>
    <mergeCell ref="B655:B656"/>
    <mergeCell ref="C655:C656"/>
    <mergeCell ref="D655:D656"/>
    <mergeCell ref="E655:E656"/>
    <mergeCell ref="L667:L668"/>
    <mergeCell ref="M667:M668"/>
    <mergeCell ref="N667:N668"/>
    <mergeCell ref="B669:B670"/>
    <mergeCell ref="C669:C670"/>
    <mergeCell ref="D669:D670"/>
    <mergeCell ref="E669:E670"/>
    <mergeCell ref="G669:G670"/>
    <mergeCell ref="H669:H670"/>
    <mergeCell ref="I669:I670"/>
    <mergeCell ref="J669:J670"/>
    <mergeCell ref="K669:K670"/>
    <mergeCell ref="L669:L670"/>
    <mergeCell ref="M669:M670"/>
    <mergeCell ref="N669:N670"/>
    <mergeCell ref="G667:G668"/>
    <mergeCell ref="H667:H668"/>
    <mergeCell ref="I667:I668"/>
    <mergeCell ref="J667:J668"/>
    <mergeCell ref="K667:K668"/>
    <mergeCell ref="B667:B668"/>
    <mergeCell ref="C667:C668"/>
    <mergeCell ref="D667:D668"/>
    <mergeCell ref="E667:E668"/>
    <mergeCell ref="L663:L664"/>
    <mergeCell ref="M663:M664"/>
    <mergeCell ref="N663:N664"/>
    <mergeCell ref="B665:B666"/>
    <mergeCell ref="C665:C666"/>
    <mergeCell ref="D665:D666"/>
    <mergeCell ref="E665:E666"/>
    <mergeCell ref="G665:G666"/>
    <mergeCell ref="H665:H666"/>
    <mergeCell ref="I665:I666"/>
    <mergeCell ref="J665:J666"/>
    <mergeCell ref="K665:K666"/>
    <mergeCell ref="L665:L666"/>
    <mergeCell ref="M665:M666"/>
    <mergeCell ref="N665:N666"/>
    <mergeCell ref="G663:G664"/>
    <mergeCell ref="H663:H664"/>
    <mergeCell ref="I663:I664"/>
    <mergeCell ref="J663:J664"/>
    <mergeCell ref="K663:K664"/>
    <mergeCell ref="B663:B664"/>
    <mergeCell ref="C663:C664"/>
    <mergeCell ref="D663:D664"/>
    <mergeCell ref="E663:E664"/>
    <mergeCell ref="L675:L676"/>
    <mergeCell ref="M675:M676"/>
    <mergeCell ref="N675:N676"/>
    <mergeCell ref="B677:B678"/>
    <mergeCell ref="C677:C678"/>
    <mergeCell ref="D677:D678"/>
    <mergeCell ref="E677:E678"/>
    <mergeCell ref="G677:G678"/>
    <mergeCell ref="H677:H678"/>
    <mergeCell ref="I677:I678"/>
    <mergeCell ref="J677:J678"/>
    <mergeCell ref="K677:K678"/>
    <mergeCell ref="L677:L678"/>
    <mergeCell ref="M677:M678"/>
    <mergeCell ref="N677:N678"/>
    <mergeCell ref="G675:G676"/>
    <mergeCell ref="H675:H676"/>
    <mergeCell ref="I675:I676"/>
    <mergeCell ref="J675:J676"/>
    <mergeCell ref="K675:K676"/>
    <mergeCell ref="B675:B676"/>
    <mergeCell ref="C675:C676"/>
    <mergeCell ref="D675:D676"/>
    <mergeCell ref="E675:E676"/>
    <mergeCell ref="L671:L672"/>
    <mergeCell ref="M671:M672"/>
    <mergeCell ref="N671:N672"/>
    <mergeCell ref="B673:B674"/>
    <mergeCell ref="C673:C674"/>
    <mergeCell ref="D673:D674"/>
    <mergeCell ref="E673:E674"/>
    <mergeCell ref="G673:G674"/>
    <mergeCell ref="H673:H674"/>
    <mergeCell ref="I673:I674"/>
    <mergeCell ref="J673:J674"/>
    <mergeCell ref="K673:K674"/>
    <mergeCell ref="L673:L674"/>
    <mergeCell ref="M673:M674"/>
    <mergeCell ref="N673:N674"/>
    <mergeCell ref="G671:G672"/>
    <mergeCell ref="H671:H672"/>
    <mergeCell ref="I671:I672"/>
    <mergeCell ref="J671:J672"/>
    <mergeCell ref="K671:K672"/>
    <mergeCell ref="B671:B672"/>
    <mergeCell ref="C671:C672"/>
    <mergeCell ref="D671:D672"/>
    <mergeCell ref="E671:E672"/>
    <mergeCell ref="L683:L684"/>
    <mergeCell ref="M683:M684"/>
    <mergeCell ref="N683:N684"/>
    <mergeCell ref="B685:B686"/>
    <mergeCell ref="C685:C686"/>
    <mergeCell ref="D685:D686"/>
    <mergeCell ref="E685:E686"/>
    <mergeCell ref="G685:G686"/>
    <mergeCell ref="H685:H686"/>
    <mergeCell ref="I685:I686"/>
    <mergeCell ref="J685:J686"/>
    <mergeCell ref="K685:K686"/>
    <mergeCell ref="L685:L686"/>
    <mergeCell ref="M685:M686"/>
    <mergeCell ref="N685:N686"/>
    <mergeCell ref="G683:G684"/>
    <mergeCell ref="H683:H684"/>
    <mergeCell ref="I683:I684"/>
    <mergeCell ref="J683:J684"/>
    <mergeCell ref="K683:K684"/>
    <mergeCell ref="B683:B684"/>
    <mergeCell ref="C683:C684"/>
    <mergeCell ref="D683:D684"/>
    <mergeCell ref="E683:E684"/>
    <mergeCell ref="L679:L680"/>
    <mergeCell ref="M679:M680"/>
    <mergeCell ref="N679:N680"/>
    <mergeCell ref="B681:B682"/>
    <mergeCell ref="C681:C682"/>
    <mergeCell ref="D681:D682"/>
    <mergeCell ref="E681:E682"/>
    <mergeCell ref="G681:G682"/>
    <mergeCell ref="H681:H682"/>
    <mergeCell ref="I681:I682"/>
    <mergeCell ref="J681:J682"/>
    <mergeCell ref="K681:K682"/>
    <mergeCell ref="L681:L682"/>
    <mergeCell ref="M681:M682"/>
    <mergeCell ref="N681:N682"/>
    <mergeCell ref="G679:G680"/>
    <mergeCell ref="H679:H680"/>
    <mergeCell ref="I679:I680"/>
    <mergeCell ref="J679:J680"/>
    <mergeCell ref="K679:K680"/>
    <mergeCell ref="B679:B680"/>
    <mergeCell ref="C679:C680"/>
    <mergeCell ref="D679:D680"/>
    <mergeCell ref="E679:E680"/>
    <mergeCell ref="L691:L692"/>
    <mergeCell ref="M691:M692"/>
    <mergeCell ref="N691:N692"/>
    <mergeCell ref="B693:B694"/>
    <mergeCell ref="C693:C694"/>
    <mergeCell ref="D693:D694"/>
    <mergeCell ref="E693:E694"/>
    <mergeCell ref="G693:G694"/>
    <mergeCell ref="H693:H694"/>
    <mergeCell ref="I693:I694"/>
    <mergeCell ref="J693:J694"/>
    <mergeCell ref="K693:K694"/>
    <mergeCell ref="L693:L694"/>
    <mergeCell ref="M693:M694"/>
    <mergeCell ref="N693:N694"/>
    <mergeCell ref="G691:G692"/>
    <mergeCell ref="H691:H692"/>
    <mergeCell ref="I691:I692"/>
    <mergeCell ref="J691:J692"/>
    <mergeCell ref="K691:K692"/>
    <mergeCell ref="B691:B692"/>
    <mergeCell ref="C691:C692"/>
    <mergeCell ref="D691:D692"/>
    <mergeCell ref="E691:E692"/>
    <mergeCell ref="L687:L688"/>
    <mergeCell ref="M687:M688"/>
    <mergeCell ref="N687:N688"/>
    <mergeCell ref="B689:B690"/>
    <mergeCell ref="C689:C690"/>
    <mergeCell ref="D689:D690"/>
    <mergeCell ref="E689:E690"/>
    <mergeCell ref="G689:G690"/>
    <mergeCell ref="H689:H690"/>
    <mergeCell ref="I689:I690"/>
    <mergeCell ref="J689:J690"/>
    <mergeCell ref="K689:K690"/>
    <mergeCell ref="L689:L690"/>
    <mergeCell ref="M689:M690"/>
    <mergeCell ref="N689:N690"/>
    <mergeCell ref="G687:G688"/>
    <mergeCell ref="H687:H688"/>
    <mergeCell ref="I687:I688"/>
    <mergeCell ref="J687:J688"/>
    <mergeCell ref="K687:K688"/>
    <mergeCell ref="B687:B688"/>
    <mergeCell ref="C687:C688"/>
    <mergeCell ref="D687:D688"/>
    <mergeCell ref="E687:E688"/>
    <mergeCell ref="L699:L700"/>
    <mergeCell ref="M699:M700"/>
    <mergeCell ref="N699:N700"/>
    <mergeCell ref="B701:B702"/>
    <mergeCell ref="C701:C702"/>
    <mergeCell ref="D701:D702"/>
    <mergeCell ref="E701:E702"/>
    <mergeCell ref="G701:G702"/>
    <mergeCell ref="H701:H702"/>
    <mergeCell ref="I701:I702"/>
    <mergeCell ref="J701:J702"/>
    <mergeCell ref="K701:K702"/>
    <mergeCell ref="L701:L702"/>
    <mergeCell ref="M701:M702"/>
    <mergeCell ref="N701:N702"/>
    <mergeCell ref="G699:G700"/>
    <mergeCell ref="H699:H700"/>
    <mergeCell ref="I699:I700"/>
    <mergeCell ref="J699:J700"/>
    <mergeCell ref="K699:K700"/>
    <mergeCell ref="B699:B700"/>
    <mergeCell ref="C699:C700"/>
    <mergeCell ref="D699:D700"/>
    <mergeCell ref="E699:E700"/>
    <mergeCell ref="L695:L696"/>
    <mergeCell ref="M695:M696"/>
    <mergeCell ref="N695:N696"/>
    <mergeCell ref="B697:B698"/>
    <mergeCell ref="C697:C698"/>
    <mergeCell ref="D697:D698"/>
    <mergeCell ref="E697:E698"/>
    <mergeCell ref="G697:G698"/>
    <mergeCell ref="H697:H698"/>
    <mergeCell ref="I697:I698"/>
    <mergeCell ref="J697:J698"/>
    <mergeCell ref="K697:K698"/>
    <mergeCell ref="L697:L698"/>
    <mergeCell ref="M697:M698"/>
    <mergeCell ref="N697:N698"/>
    <mergeCell ref="G695:G696"/>
    <mergeCell ref="H695:H696"/>
    <mergeCell ref="I695:I696"/>
    <mergeCell ref="J695:J696"/>
    <mergeCell ref="K695:K696"/>
    <mergeCell ref="B695:B696"/>
    <mergeCell ref="C695:C696"/>
    <mergeCell ref="D695:D696"/>
    <mergeCell ref="E695:E696"/>
    <mergeCell ref="L707:L708"/>
    <mergeCell ref="M707:M708"/>
    <mergeCell ref="N707:N708"/>
    <mergeCell ref="B709:B710"/>
    <mergeCell ref="C709:C710"/>
    <mergeCell ref="D709:D710"/>
    <mergeCell ref="E709:E710"/>
    <mergeCell ref="G709:G710"/>
    <mergeCell ref="H709:H710"/>
    <mergeCell ref="I709:I710"/>
    <mergeCell ref="J709:J710"/>
    <mergeCell ref="K709:K710"/>
    <mergeCell ref="L709:L710"/>
    <mergeCell ref="M709:M710"/>
    <mergeCell ref="N709:N710"/>
    <mergeCell ref="G707:G708"/>
    <mergeCell ref="H707:H708"/>
    <mergeCell ref="I707:I708"/>
    <mergeCell ref="J707:J708"/>
    <mergeCell ref="K707:K708"/>
    <mergeCell ref="B707:B708"/>
    <mergeCell ref="C707:C708"/>
    <mergeCell ref="D707:D708"/>
    <mergeCell ref="E707:E708"/>
    <mergeCell ref="L703:L704"/>
    <mergeCell ref="M703:M704"/>
    <mergeCell ref="N703:N704"/>
    <mergeCell ref="B705:B706"/>
    <mergeCell ref="C705:C706"/>
    <mergeCell ref="D705:D706"/>
    <mergeCell ref="E705:E706"/>
    <mergeCell ref="G705:G706"/>
    <mergeCell ref="H705:H706"/>
    <mergeCell ref="I705:I706"/>
    <mergeCell ref="J705:J706"/>
    <mergeCell ref="K705:K706"/>
    <mergeCell ref="L705:L706"/>
    <mergeCell ref="M705:M706"/>
    <mergeCell ref="N705:N706"/>
    <mergeCell ref="G703:G704"/>
    <mergeCell ref="H703:H704"/>
    <mergeCell ref="I703:I704"/>
    <mergeCell ref="J703:J704"/>
    <mergeCell ref="K703:K704"/>
    <mergeCell ref="B703:B704"/>
    <mergeCell ref="C703:C704"/>
    <mergeCell ref="D703:D704"/>
    <mergeCell ref="E703:E704"/>
    <mergeCell ref="L715:L716"/>
    <mergeCell ref="M715:M716"/>
    <mergeCell ref="N715:N716"/>
    <mergeCell ref="B717:B718"/>
    <mergeCell ref="C717:C718"/>
    <mergeCell ref="D717:D718"/>
    <mergeCell ref="E717:E718"/>
    <mergeCell ref="G717:G718"/>
    <mergeCell ref="H717:H718"/>
    <mergeCell ref="I717:I718"/>
    <mergeCell ref="J717:J718"/>
    <mergeCell ref="K717:K718"/>
    <mergeCell ref="L717:L718"/>
    <mergeCell ref="M717:M718"/>
    <mergeCell ref="N717:N718"/>
    <mergeCell ref="G715:G716"/>
    <mergeCell ref="H715:H716"/>
    <mergeCell ref="I715:I716"/>
    <mergeCell ref="J715:J716"/>
    <mergeCell ref="K715:K716"/>
    <mergeCell ref="B715:B716"/>
    <mergeCell ref="C715:C716"/>
    <mergeCell ref="D715:D716"/>
    <mergeCell ref="E715:E716"/>
    <mergeCell ref="L711:L712"/>
    <mergeCell ref="M711:M712"/>
    <mergeCell ref="N711:N712"/>
    <mergeCell ref="B713:B714"/>
    <mergeCell ref="C713:C714"/>
    <mergeCell ref="D713:D714"/>
    <mergeCell ref="E713:E714"/>
    <mergeCell ref="G713:G714"/>
    <mergeCell ref="H713:H714"/>
    <mergeCell ref="I713:I714"/>
    <mergeCell ref="J713:J714"/>
    <mergeCell ref="K713:K714"/>
    <mergeCell ref="L713:L714"/>
    <mergeCell ref="M713:M714"/>
    <mergeCell ref="N713:N714"/>
    <mergeCell ref="G711:G712"/>
    <mergeCell ref="H711:H712"/>
    <mergeCell ref="I711:I712"/>
    <mergeCell ref="J711:J712"/>
    <mergeCell ref="K711:K712"/>
    <mergeCell ref="B711:B712"/>
    <mergeCell ref="C711:C712"/>
    <mergeCell ref="D711:D712"/>
    <mergeCell ref="E711:E712"/>
    <mergeCell ref="L723:L724"/>
    <mergeCell ref="M723:M724"/>
    <mergeCell ref="N723:N724"/>
    <mergeCell ref="B725:B726"/>
    <mergeCell ref="C725:C726"/>
    <mergeCell ref="D725:D726"/>
    <mergeCell ref="E725:E726"/>
    <mergeCell ref="G725:G726"/>
    <mergeCell ref="H725:H726"/>
    <mergeCell ref="I725:I726"/>
    <mergeCell ref="J725:J726"/>
    <mergeCell ref="K725:K726"/>
    <mergeCell ref="L725:L726"/>
    <mergeCell ref="M725:M726"/>
    <mergeCell ref="N725:N726"/>
    <mergeCell ref="G723:G724"/>
    <mergeCell ref="H723:H724"/>
    <mergeCell ref="I723:I724"/>
    <mergeCell ref="J723:J724"/>
    <mergeCell ref="K723:K724"/>
    <mergeCell ref="B723:B724"/>
    <mergeCell ref="C723:C724"/>
    <mergeCell ref="D723:D724"/>
    <mergeCell ref="E723:E724"/>
    <mergeCell ref="L719:L720"/>
    <mergeCell ref="M719:M720"/>
    <mergeCell ref="N719:N720"/>
    <mergeCell ref="B721:B722"/>
    <mergeCell ref="C721:C722"/>
    <mergeCell ref="D721:D722"/>
    <mergeCell ref="E721:E722"/>
    <mergeCell ref="G721:G722"/>
    <mergeCell ref="H721:H722"/>
    <mergeCell ref="I721:I722"/>
    <mergeCell ref="J721:J722"/>
    <mergeCell ref="K721:K722"/>
    <mergeCell ref="L721:L722"/>
    <mergeCell ref="M721:M722"/>
    <mergeCell ref="N721:N722"/>
    <mergeCell ref="G719:G720"/>
    <mergeCell ref="H719:H720"/>
    <mergeCell ref="I719:I720"/>
    <mergeCell ref="J719:J720"/>
    <mergeCell ref="K719:K720"/>
    <mergeCell ref="B719:B720"/>
    <mergeCell ref="C719:C720"/>
    <mergeCell ref="D719:D720"/>
    <mergeCell ref="E719:E720"/>
    <mergeCell ref="L731:L732"/>
    <mergeCell ref="M731:M732"/>
    <mergeCell ref="N731:N732"/>
    <mergeCell ref="B733:B734"/>
    <mergeCell ref="C733:C734"/>
    <mergeCell ref="D733:D734"/>
    <mergeCell ref="E733:E734"/>
    <mergeCell ref="G733:G734"/>
    <mergeCell ref="H733:H734"/>
    <mergeCell ref="I733:I734"/>
    <mergeCell ref="J733:J734"/>
    <mergeCell ref="K733:K734"/>
    <mergeCell ref="L733:L734"/>
    <mergeCell ref="M733:M734"/>
    <mergeCell ref="N733:N734"/>
    <mergeCell ref="G731:G732"/>
    <mergeCell ref="H731:H732"/>
    <mergeCell ref="I731:I732"/>
    <mergeCell ref="J731:J732"/>
    <mergeCell ref="K731:K732"/>
    <mergeCell ref="B731:B732"/>
    <mergeCell ref="C731:C732"/>
    <mergeCell ref="D731:D732"/>
    <mergeCell ref="E731:E732"/>
    <mergeCell ref="L727:L728"/>
    <mergeCell ref="M727:M728"/>
    <mergeCell ref="N727:N728"/>
    <mergeCell ref="B729:B730"/>
    <mergeCell ref="C729:C730"/>
    <mergeCell ref="D729:D730"/>
    <mergeCell ref="E729:E730"/>
    <mergeCell ref="G729:G730"/>
    <mergeCell ref="H729:H730"/>
    <mergeCell ref="I729:I730"/>
    <mergeCell ref="J729:J730"/>
    <mergeCell ref="K729:K730"/>
    <mergeCell ref="L729:L730"/>
    <mergeCell ref="M729:M730"/>
    <mergeCell ref="N729:N730"/>
    <mergeCell ref="G727:G728"/>
    <mergeCell ref="H727:H728"/>
    <mergeCell ref="I727:I728"/>
    <mergeCell ref="J727:J728"/>
    <mergeCell ref="K727:K728"/>
    <mergeCell ref="B727:B728"/>
    <mergeCell ref="C727:C728"/>
    <mergeCell ref="D727:D728"/>
    <mergeCell ref="E727:E728"/>
    <mergeCell ref="L739:L740"/>
    <mergeCell ref="M739:M740"/>
    <mergeCell ref="N739:N740"/>
    <mergeCell ref="B741:B742"/>
    <mergeCell ref="C741:C742"/>
    <mergeCell ref="D741:D742"/>
    <mergeCell ref="E741:E742"/>
    <mergeCell ref="G741:G742"/>
    <mergeCell ref="H741:H742"/>
    <mergeCell ref="I741:I742"/>
    <mergeCell ref="J741:J742"/>
    <mergeCell ref="K741:K742"/>
    <mergeCell ref="L741:L742"/>
    <mergeCell ref="M741:M742"/>
    <mergeCell ref="N741:N742"/>
    <mergeCell ref="G739:G740"/>
    <mergeCell ref="H739:H740"/>
    <mergeCell ref="I739:I740"/>
    <mergeCell ref="J739:J740"/>
    <mergeCell ref="K739:K740"/>
    <mergeCell ref="B739:B740"/>
    <mergeCell ref="C739:C740"/>
    <mergeCell ref="D739:D740"/>
    <mergeCell ref="E739:E740"/>
    <mergeCell ref="L735:L736"/>
    <mergeCell ref="M735:M736"/>
    <mergeCell ref="N735:N736"/>
    <mergeCell ref="B737:B738"/>
    <mergeCell ref="C737:C738"/>
    <mergeCell ref="D737:D738"/>
    <mergeCell ref="E737:E738"/>
    <mergeCell ref="G737:G738"/>
    <mergeCell ref="H737:H738"/>
    <mergeCell ref="I737:I738"/>
    <mergeCell ref="J737:J738"/>
    <mergeCell ref="K737:K738"/>
    <mergeCell ref="L737:L738"/>
    <mergeCell ref="M737:M738"/>
    <mergeCell ref="N737:N738"/>
    <mergeCell ref="G735:G736"/>
    <mergeCell ref="H735:H736"/>
    <mergeCell ref="I735:I736"/>
    <mergeCell ref="J735:J736"/>
    <mergeCell ref="K735:K736"/>
    <mergeCell ref="B735:B736"/>
    <mergeCell ref="C735:C736"/>
    <mergeCell ref="D735:D736"/>
    <mergeCell ref="E735:E736"/>
    <mergeCell ref="L747:L748"/>
    <mergeCell ref="M747:M748"/>
    <mergeCell ref="N747:N748"/>
    <mergeCell ref="B749:B750"/>
    <mergeCell ref="C749:C750"/>
    <mergeCell ref="D749:D750"/>
    <mergeCell ref="E749:E750"/>
    <mergeCell ref="G749:G750"/>
    <mergeCell ref="H749:H750"/>
    <mergeCell ref="I749:I750"/>
    <mergeCell ref="J749:J750"/>
    <mergeCell ref="K749:K750"/>
    <mergeCell ref="L749:L750"/>
    <mergeCell ref="M749:M750"/>
    <mergeCell ref="N749:N750"/>
    <mergeCell ref="G747:G748"/>
    <mergeCell ref="H747:H748"/>
    <mergeCell ref="I747:I748"/>
    <mergeCell ref="J747:J748"/>
    <mergeCell ref="K747:K748"/>
    <mergeCell ref="B747:B748"/>
    <mergeCell ref="C747:C748"/>
    <mergeCell ref="D747:D748"/>
    <mergeCell ref="E747:E748"/>
    <mergeCell ref="L743:L744"/>
    <mergeCell ref="M743:M744"/>
    <mergeCell ref="N743:N744"/>
    <mergeCell ref="B745:B746"/>
    <mergeCell ref="C745:C746"/>
    <mergeCell ref="D745:D746"/>
    <mergeCell ref="E745:E746"/>
    <mergeCell ref="G745:G746"/>
    <mergeCell ref="H745:H746"/>
    <mergeCell ref="I745:I746"/>
    <mergeCell ref="J745:J746"/>
    <mergeCell ref="K745:K746"/>
    <mergeCell ref="L745:L746"/>
    <mergeCell ref="M745:M746"/>
    <mergeCell ref="N745:N746"/>
    <mergeCell ref="G743:G744"/>
    <mergeCell ref="H743:H744"/>
    <mergeCell ref="I743:I744"/>
    <mergeCell ref="J743:J744"/>
    <mergeCell ref="K743:K744"/>
    <mergeCell ref="B743:B744"/>
    <mergeCell ref="C743:C744"/>
    <mergeCell ref="D743:D744"/>
    <mergeCell ref="E743:E744"/>
    <mergeCell ref="L755:L756"/>
    <mergeCell ref="M755:M756"/>
    <mergeCell ref="N755:N756"/>
    <mergeCell ref="B757:B758"/>
    <mergeCell ref="C757:C758"/>
    <mergeCell ref="D757:D758"/>
    <mergeCell ref="E757:E758"/>
    <mergeCell ref="G757:G758"/>
    <mergeCell ref="H757:H758"/>
    <mergeCell ref="I757:I758"/>
    <mergeCell ref="J757:J758"/>
    <mergeCell ref="K757:K758"/>
    <mergeCell ref="L757:L758"/>
    <mergeCell ref="M757:M758"/>
    <mergeCell ref="N757:N758"/>
    <mergeCell ref="G755:G756"/>
    <mergeCell ref="H755:H756"/>
    <mergeCell ref="I755:I756"/>
    <mergeCell ref="J755:J756"/>
    <mergeCell ref="K755:K756"/>
    <mergeCell ref="B755:B756"/>
    <mergeCell ref="C755:C756"/>
    <mergeCell ref="D755:D756"/>
    <mergeCell ref="E755:E756"/>
    <mergeCell ref="L751:L752"/>
    <mergeCell ref="M751:M752"/>
    <mergeCell ref="N751:N752"/>
    <mergeCell ref="B753:B754"/>
    <mergeCell ref="C753:C754"/>
    <mergeCell ref="D753:D754"/>
    <mergeCell ref="E753:E754"/>
    <mergeCell ref="G753:G754"/>
    <mergeCell ref="H753:H754"/>
    <mergeCell ref="I753:I754"/>
    <mergeCell ref="J753:J754"/>
    <mergeCell ref="K753:K754"/>
    <mergeCell ref="L753:L754"/>
    <mergeCell ref="M753:M754"/>
    <mergeCell ref="N753:N754"/>
    <mergeCell ref="G751:G752"/>
    <mergeCell ref="H751:H752"/>
    <mergeCell ref="I751:I752"/>
    <mergeCell ref="J751:J752"/>
    <mergeCell ref="K751:K752"/>
    <mergeCell ref="B751:B752"/>
    <mergeCell ref="C751:C752"/>
    <mergeCell ref="D751:D752"/>
    <mergeCell ref="E751:E752"/>
    <mergeCell ref="L763:L764"/>
    <mergeCell ref="M763:M764"/>
    <mergeCell ref="N763:N764"/>
    <mergeCell ref="B765:B766"/>
    <mergeCell ref="C765:C766"/>
    <mergeCell ref="D765:D766"/>
    <mergeCell ref="E765:E766"/>
    <mergeCell ref="G765:G766"/>
    <mergeCell ref="H765:H766"/>
    <mergeCell ref="I765:I766"/>
    <mergeCell ref="J765:J766"/>
    <mergeCell ref="K765:K766"/>
    <mergeCell ref="L765:L766"/>
    <mergeCell ref="M765:M766"/>
    <mergeCell ref="N765:N766"/>
    <mergeCell ref="G763:G764"/>
    <mergeCell ref="H763:H764"/>
    <mergeCell ref="I763:I764"/>
    <mergeCell ref="J763:J764"/>
    <mergeCell ref="K763:K764"/>
    <mergeCell ref="B763:B764"/>
    <mergeCell ref="C763:C764"/>
    <mergeCell ref="D763:D764"/>
    <mergeCell ref="E763:E764"/>
    <mergeCell ref="L759:L760"/>
    <mergeCell ref="M759:M760"/>
    <mergeCell ref="N759:N760"/>
    <mergeCell ref="B761:B762"/>
    <mergeCell ref="C761:C762"/>
    <mergeCell ref="D761:D762"/>
    <mergeCell ref="E761:E762"/>
    <mergeCell ref="G761:G762"/>
    <mergeCell ref="H761:H762"/>
    <mergeCell ref="I761:I762"/>
    <mergeCell ref="J761:J762"/>
    <mergeCell ref="K761:K762"/>
    <mergeCell ref="L761:L762"/>
    <mergeCell ref="M761:M762"/>
    <mergeCell ref="N761:N762"/>
    <mergeCell ref="G759:G760"/>
    <mergeCell ref="H759:H760"/>
    <mergeCell ref="I759:I760"/>
    <mergeCell ref="J759:J760"/>
    <mergeCell ref="K759:K760"/>
    <mergeCell ref="B759:B760"/>
    <mergeCell ref="C759:C760"/>
    <mergeCell ref="D759:D760"/>
    <mergeCell ref="E759:E760"/>
    <mergeCell ref="L771:L772"/>
    <mergeCell ref="M771:M772"/>
    <mergeCell ref="N771:N772"/>
    <mergeCell ref="B773:B774"/>
    <mergeCell ref="C773:C774"/>
    <mergeCell ref="D773:D774"/>
    <mergeCell ref="E773:E774"/>
    <mergeCell ref="G773:G774"/>
    <mergeCell ref="H773:H774"/>
    <mergeCell ref="I773:I774"/>
    <mergeCell ref="J773:J774"/>
    <mergeCell ref="K773:K774"/>
    <mergeCell ref="L773:L774"/>
    <mergeCell ref="M773:M774"/>
    <mergeCell ref="N773:N774"/>
    <mergeCell ref="G771:G772"/>
    <mergeCell ref="H771:H772"/>
    <mergeCell ref="I771:I772"/>
    <mergeCell ref="J771:J772"/>
    <mergeCell ref="K771:K772"/>
    <mergeCell ref="B771:B772"/>
    <mergeCell ref="C771:C772"/>
    <mergeCell ref="D771:D772"/>
    <mergeCell ref="E771:E772"/>
    <mergeCell ref="L767:L768"/>
    <mergeCell ref="M767:M768"/>
    <mergeCell ref="N767:N768"/>
    <mergeCell ref="B769:B770"/>
    <mergeCell ref="C769:C770"/>
    <mergeCell ref="D769:D770"/>
    <mergeCell ref="E769:E770"/>
    <mergeCell ref="G769:G770"/>
    <mergeCell ref="H769:H770"/>
    <mergeCell ref="I769:I770"/>
    <mergeCell ref="J769:J770"/>
    <mergeCell ref="K769:K770"/>
    <mergeCell ref="L769:L770"/>
    <mergeCell ref="M769:M770"/>
    <mergeCell ref="N769:N770"/>
    <mergeCell ref="G767:G768"/>
    <mergeCell ref="H767:H768"/>
    <mergeCell ref="I767:I768"/>
    <mergeCell ref="J767:J768"/>
    <mergeCell ref="K767:K768"/>
    <mergeCell ref="B767:B768"/>
    <mergeCell ref="C767:C768"/>
    <mergeCell ref="D767:D768"/>
    <mergeCell ref="E767:E768"/>
    <mergeCell ref="L779:L780"/>
    <mergeCell ref="M779:M780"/>
    <mergeCell ref="N779:N780"/>
    <mergeCell ref="B781:B782"/>
    <mergeCell ref="C781:C782"/>
    <mergeCell ref="D781:D782"/>
    <mergeCell ref="E781:E782"/>
    <mergeCell ref="G781:G782"/>
    <mergeCell ref="H781:H782"/>
    <mergeCell ref="I781:I782"/>
    <mergeCell ref="J781:J782"/>
    <mergeCell ref="K781:K782"/>
    <mergeCell ref="L781:L782"/>
    <mergeCell ref="M781:M782"/>
    <mergeCell ref="N781:N782"/>
    <mergeCell ref="G779:G780"/>
    <mergeCell ref="H779:H780"/>
    <mergeCell ref="I779:I780"/>
    <mergeCell ref="J779:J780"/>
    <mergeCell ref="K779:K780"/>
    <mergeCell ref="B779:B780"/>
    <mergeCell ref="C779:C780"/>
    <mergeCell ref="D779:D780"/>
    <mergeCell ref="E779:E780"/>
    <mergeCell ref="L775:L776"/>
    <mergeCell ref="M775:M776"/>
    <mergeCell ref="N775:N776"/>
    <mergeCell ref="B777:B778"/>
    <mergeCell ref="C777:C778"/>
    <mergeCell ref="D777:D778"/>
    <mergeCell ref="E777:E778"/>
    <mergeCell ref="G777:G778"/>
    <mergeCell ref="H777:H778"/>
    <mergeCell ref="I777:I778"/>
    <mergeCell ref="J777:J778"/>
    <mergeCell ref="K777:K778"/>
    <mergeCell ref="L777:L778"/>
    <mergeCell ref="M777:M778"/>
    <mergeCell ref="N777:N778"/>
    <mergeCell ref="G775:G776"/>
    <mergeCell ref="H775:H776"/>
    <mergeCell ref="I775:I776"/>
    <mergeCell ref="J775:J776"/>
    <mergeCell ref="K775:K776"/>
    <mergeCell ref="B775:B776"/>
    <mergeCell ref="C775:C776"/>
    <mergeCell ref="D775:D776"/>
    <mergeCell ref="E775:E776"/>
    <mergeCell ref="L787:L788"/>
    <mergeCell ref="M787:M788"/>
    <mergeCell ref="N787:N788"/>
    <mergeCell ref="B789:B790"/>
    <mergeCell ref="C789:C790"/>
    <mergeCell ref="D789:D790"/>
    <mergeCell ref="E789:E790"/>
    <mergeCell ref="G789:G790"/>
    <mergeCell ref="H789:H790"/>
    <mergeCell ref="I789:I790"/>
    <mergeCell ref="J789:J790"/>
    <mergeCell ref="K789:K790"/>
    <mergeCell ref="L789:L790"/>
    <mergeCell ref="M789:M790"/>
    <mergeCell ref="N789:N790"/>
    <mergeCell ref="G787:G788"/>
    <mergeCell ref="H787:H788"/>
    <mergeCell ref="I787:I788"/>
    <mergeCell ref="J787:J788"/>
    <mergeCell ref="K787:K788"/>
    <mergeCell ref="B787:B788"/>
    <mergeCell ref="C787:C788"/>
    <mergeCell ref="D787:D788"/>
    <mergeCell ref="E787:E788"/>
    <mergeCell ref="L783:L784"/>
    <mergeCell ref="M783:M784"/>
    <mergeCell ref="N783:N784"/>
    <mergeCell ref="B785:B786"/>
    <mergeCell ref="C785:C786"/>
    <mergeCell ref="D785:D786"/>
    <mergeCell ref="E785:E786"/>
    <mergeCell ref="G785:G786"/>
    <mergeCell ref="H785:H786"/>
    <mergeCell ref="I785:I786"/>
    <mergeCell ref="J785:J786"/>
    <mergeCell ref="K785:K786"/>
    <mergeCell ref="L785:L786"/>
    <mergeCell ref="M785:M786"/>
    <mergeCell ref="N785:N786"/>
    <mergeCell ref="G783:G784"/>
    <mergeCell ref="H783:H784"/>
    <mergeCell ref="I783:I784"/>
    <mergeCell ref="J783:J784"/>
    <mergeCell ref="K783:K784"/>
    <mergeCell ref="B783:B784"/>
    <mergeCell ref="C783:C784"/>
    <mergeCell ref="D783:D784"/>
    <mergeCell ref="E783:E784"/>
    <mergeCell ref="L795:L796"/>
    <mergeCell ref="M795:M796"/>
    <mergeCell ref="N795:N796"/>
    <mergeCell ref="B797:B798"/>
    <mergeCell ref="C797:C798"/>
    <mergeCell ref="D797:D798"/>
    <mergeCell ref="E797:E798"/>
    <mergeCell ref="G797:G798"/>
    <mergeCell ref="H797:H798"/>
    <mergeCell ref="I797:I798"/>
    <mergeCell ref="J797:J798"/>
    <mergeCell ref="K797:K798"/>
    <mergeCell ref="L797:L798"/>
    <mergeCell ref="M797:M798"/>
    <mergeCell ref="N797:N798"/>
    <mergeCell ref="G795:G796"/>
    <mergeCell ref="H795:H796"/>
    <mergeCell ref="I795:I796"/>
    <mergeCell ref="J795:J796"/>
    <mergeCell ref="K795:K796"/>
    <mergeCell ref="B795:B796"/>
    <mergeCell ref="C795:C796"/>
    <mergeCell ref="D795:D796"/>
    <mergeCell ref="E795:E796"/>
    <mergeCell ref="L791:L792"/>
    <mergeCell ref="M791:M792"/>
    <mergeCell ref="N791:N792"/>
    <mergeCell ref="B793:B794"/>
    <mergeCell ref="C793:C794"/>
    <mergeCell ref="D793:D794"/>
    <mergeCell ref="E793:E794"/>
    <mergeCell ref="G793:G794"/>
    <mergeCell ref="H793:H794"/>
    <mergeCell ref="I793:I794"/>
    <mergeCell ref="J793:J794"/>
    <mergeCell ref="K793:K794"/>
    <mergeCell ref="L793:L794"/>
    <mergeCell ref="M793:M794"/>
    <mergeCell ref="N793:N794"/>
    <mergeCell ref="G791:G792"/>
    <mergeCell ref="H791:H792"/>
    <mergeCell ref="I791:I792"/>
    <mergeCell ref="J791:J792"/>
    <mergeCell ref="K791:K792"/>
    <mergeCell ref="B791:B792"/>
    <mergeCell ref="C791:C792"/>
    <mergeCell ref="D791:D792"/>
    <mergeCell ref="E791:E792"/>
    <mergeCell ref="L803:L804"/>
    <mergeCell ref="M803:M804"/>
    <mergeCell ref="N803:N804"/>
    <mergeCell ref="B805:B806"/>
    <mergeCell ref="C805:C806"/>
    <mergeCell ref="D805:D806"/>
    <mergeCell ref="E805:E806"/>
    <mergeCell ref="G805:G806"/>
    <mergeCell ref="H805:H806"/>
    <mergeCell ref="I805:I806"/>
    <mergeCell ref="J805:J806"/>
    <mergeCell ref="K805:K806"/>
    <mergeCell ref="L805:L806"/>
    <mergeCell ref="M805:M806"/>
    <mergeCell ref="N805:N806"/>
    <mergeCell ref="G803:G804"/>
    <mergeCell ref="H803:H804"/>
    <mergeCell ref="I803:I804"/>
    <mergeCell ref="J803:J804"/>
    <mergeCell ref="K803:K804"/>
    <mergeCell ref="B803:B804"/>
    <mergeCell ref="C803:C804"/>
    <mergeCell ref="D803:D804"/>
    <mergeCell ref="E803:E804"/>
    <mergeCell ref="L799:L800"/>
    <mergeCell ref="M799:M800"/>
    <mergeCell ref="N799:N800"/>
    <mergeCell ref="B801:B802"/>
    <mergeCell ref="C801:C802"/>
    <mergeCell ref="D801:D802"/>
    <mergeCell ref="E801:E802"/>
    <mergeCell ref="G801:G802"/>
    <mergeCell ref="H801:H802"/>
    <mergeCell ref="I801:I802"/>
    <mergeCell ref="J801:J802"/>
    <mergeCell ref="K801:K802"/>
    <mergeCell ref="L801:L802"/>
    <mergeCell ref="M801:M802"/>
    <mergeCell ref="N801:N802"/>
    <mergeCell ref="G799:G800"/>
    <mergeCell ref="H799:H800"/>
    <mergeCell ref="I799:I800"/>
    <mergeCell ref="J799:J800"/>
    <mergeCell ref="K799:K800"/>
    <mergeCell ref="B799:B800"/>
    <mergeCell ref="C799:C800"/>
    <mergeCell ref="D799:D800"/>
    <mergeCell ref="E799:E800"/>
    <mergeCell ref="L811:L812"/>
    <mergeCell ref="M811:M812"/>
    <mergeCell ref="N811:N812"/>
    <mergeCell ref="B813:B814"/>
    <mergeCell ref="C813:C814"/>
    <mergeCell ref="D813:D814"/>
    <mergeCell ref="E813:E814"/>
    <mergeCell ref="G813:G814"/>
    <mergeCell ref="H813:H814"/>
    <mergeCell ref="I813:I814"/>
    <mergeCell ref="J813:J814"/>
    <mergeCell ref="K813:K814"/>
    <mergeCell ref="L813:L814"/>
    <mergeCell ref="M813:M814"/>
    <mergeCell ref="N813:N814"/>
    <mergeCell ref="G811:G812"/>
    <mergeCell ref="H811:H812"/>
    <mergeCell ref="I811:I812"/>
    <mergeCell ref="J811:J812"/>
    <mergeCell ref="K811:K812"/>
    <mergeCell ref="B811:B812"/>
    <mergeCell ref="C811:C812"/>
    <mergeCell ref="D811:D812"/>
    <mergeCell ref="E811:E812"/>
    <mergeCell ref="L807:L808"/>
    <mergeCell ref="M807:M808"/>
    <mergeCell ref="N807:N808"/>
    <mergeCell ref="B809:B810"/>
    <mergeCell ref="C809:C810"/>
    <mergeCell ref="D809:D810"/>
    <mergeCell ref="E809:E810"/>
    <mergeCell ref="G809:G810"/>
    <mergeCell ref="H809:H810"/>
    <mergeCell ref="I809:I810"/>
    <mergeCell ref="J809:J810"/>
    <mergeCell ref="K809:K810"/>
    <mergeCell ref="L809:L810"/>
    <mergeCell ref="M809:M810"/>
    <mergeCell ref="N809:N810"/>
    <mergeCell ref="G807:G808"/>
    <mergeCell ref="H807:H808"/>
    <mergeCell ref="I807:I808"/>
    <mergeCell ref="J807:J808"/>
    <mergeCell ref="K807:K808"/>
    <mergeCell ref="B807:B808"/>
    <mergeCell ref="C807:C808"/>
    <mergeCell ref="D807:D808"/>
    <mergeCell ref="E807:E808"/>
    <mergeCell ref="L819:L820"/>
    <mergeCell ref="M819:M820"/>
    <mergeCell ref="N819:N820"/>
    <mergeCell ref="B821:B822"/>
    <mergeCell ref="C821:C822"/>
    <mergeCell ref="D821:D822"/>
    <mergeCell ref="E821:E822"/>
    <mergeCell ref="G821:G822"/>
    <mergeCell ref="H821:H822"/>
    <mergeCell ref="I821:I822"/>
    <mergeCell ref="J821:J822"/>
    <mergeCell ref="K821:K822"/>
    <mergeCell ref="L821:L822"/>
    <mergeCell ref="M821:M822"/>
    <mergeCell ref="N821:N822"/>
    <mergeCell ref="G819:G820"/>
    <mergeCell ref="H819:H820"/>
    <mergeCell ref="I819:I820"/>
    <mergeCell ref="J819:J820"/>
    <mergeCell ref="K819:K820"/>
    <mergeCell ref="B819:B820"/>
    <mergeCell ref="C819:C820"/>
    <mergeCell ref="D819:D820"/>
    <mergeCell ref="E819:E820"/>
    <mergeCell ref="L815:L816"/>
    <mergeCell ref="M815:M816"/>
    <mergeCell ref="N815:N816"/>
    <mergeCell ref="B817:B818"/>
    <mergeCell ref="C817:C818"/>
    <mergeCell ref="D817:D818"/>
    <mergeCell ref="E817:E818"/>
    <mergeCell ref="G817:G818"/>
    <mergeCell ref="H817:H818"/>
    <mergeCell ref="I817:I818"/>
    <mergeCell ref="J817:J818"/>
    <mergeCell ref="K817:K818"/>
    <mergeCell ref="L817:L818"/>
    <mergeCell ref="M817:M818"/>
    <mergeCell ref="N817:N818"/>
    <mergeCell ref="G815:G816"/>
    <mergeCell ref="H815:H816"/>
    <mergeCell ref="I815:I816"/>
    <mergeCell ref="J815:J816"/>
    <mergeCell ref="K815:K816"/>
    <mergeCell ref="B815:B816"/>
    <mergeCell ref="C815:C816"/>
    <mergeCell ref="D815:D816"/>
    <mergeCell ref="E815:E816"/>
    <mergeCell ref="L827:L828"/>
    <mergeCell ref="M827:M828"/>
    <mergeCell ref="N827:N828"/>
    <mergeCell ref="B829:B830"/>
    <mergeCell ref="C829:C830"/>
    <mergeCell ref="D829:D830"/>
    <mergeCell ref="E829:E830"/>
    <mergeCell ref="G829:G830"/>
    <mergeCell ref="H829:H830"/>
    <mergeCell ref="I829:I830"/>
    <mergeCell ref="J829:J830"/>
    <mergeCell ref="K829:K830"/>
    <mergeCell ref="L829:L830"/>
    <mergeCell ref="M829:M830"/>
    <mergeCell ref="N829:N830"/>
    <mergeCell ref="G827:G828"/>
    <mergeCell ref="H827:H828"/>
    <mergeCell ref="I827:I828"/>
    <mergeCell ref="J827:J828"/>
    <mergeCell ref="K827:K828"/>
    <mergeCell ref="B827:B828"/>
    <mergeCell ref="C827:C828"/>
    <mergeCell ref="D827:D828"/>
    <mergeCell ref="E827:E828"/>
    <mergeCell ref="L823:L824"/>
    <mergeCell ref="M823:M824"/>
    <mergeCell ref="N823:N824"/>
    <mergeCell ref="B825:B826"/>
    <mergeCell ref="C825:C826"/>
    <mergeCell ref="D825:D826"/>
    <mergeCell ref="E825:E826"/>
    <mergeCell ref="G825:G826"/>
    <mergeCell ref="H825:H826"/>
    <mergeCell ref="I825:I826"/>
    <mergeCell ref="J825:J826"/>
    <mergeCell ref="K825:K826"/>
    <mergeCell ref="L825:L826"/>
    <mergeCell ref="M825:M826"/>
    <mergeCell ref="N825:N826"/>
    <mergeCell ref="G823:G824"/>
    <mergeCell ref="H823:H824"/>
    <mergeCell ref="I823:I824"/>
    <mergeCell ref="J823:J824"/>
    <mergeCell ref="K823:K824"/>
    <mergeCell ref="B823:B824"/>
    <mergeCell ref="C823:C824"/>
    <mergeCell ref="D823:D824"/>
    <mergeCell ref="E823:E824"/>
    <mergeCell ref="L835:L836"/>
    <mergeCell ref="M835:M836"/>
    <mergeCell ref="N835:N836"/>
    <mergeCell ref="B837:B838"/>
    <mergeCell ref="C837:C838"/>
    <mergeCell ref="D837:D838"/>
    <mergeCell ref="E837:E838"/>
    <mergeCell ref="G837:G838"/>
    <mergeCell ref="H837:H838"/>
    <mergeCell ref="I837:I838"/>
    <mergeCell ref="J837:J838"/>
    <mergeCell ref="K837:K838"/>
    <mergeCell ref="L837:L838"/>
    <mergeCell ref="M837:M838"/>
    <mergeCell ref="N837:N838"/>
    <mergeCell ref="G835:G836"/>
    <mergeCell ref="H835:H836"/>
    <mergeCell ref="I835:I836"/>
    <mergeCell ref="J835:J836"/>
    <mergeCell ref="K835:K836"/>
    <mergeCell ref="B835:B836"/>
    <mergeCell ref="C835:C836"/>
    <mergeCell ref="D835:D836"/>
    <mergeCell ref="E835:E836"/>
    <mergeCell ref="L831:L832"/>
    <mergeCell ref="M831:M832"/>
    <mergeCell ref="N831:N832"/>
    <mergeCell ref="B833:B834"/>
    <mergeCell ref="C833:C834"/>
    <mergeCell ref="D833:D834"/>
    <mergeCell ref="E833:E834"/>
    <mergeCell ref="G833:G834"/>
    <mergeCell ref="H833:H834"/>
    <mergeCell ref="I833:I834"/>
    <mergeCell ref="J833:J834"/>
    <mergeCell ref="K833:K834"/>
    <mergeCell ref="L833:L834"/>
    <mergeCell ref="M833:M834"/>
    <mergeCell ref="N833:N834"/>
    <mergeCell ref="G831:G832"/>
    <mergeCell ref="H831:H832"/>
    <mergeCell ref="I831:I832"/>
    <mergeCell ref="J831:J832"/>
    <mergeCell ref="K831:K832"/>
    <mergeCell ref="B831:B832"/>
    <mergeCell ref="C831:C832"/>
    <mergeCell ref="D831:D832"/>
    <mergeCell ref="E831:E832"/>
    <mergeCell ref="L843:L844"/>
    <mergeCell ref="M843:M844"/>
    <mergeCell ref="N843:N844"/>
    <mergeCell ref="B845:B846"/>
    <mergeCell ref="C845:C846"/>
    <mergeCell ref="D845:D846"/>
    <mergeCell ref="E845:E846"/>
    <mergeCell ref="G845:G846"/>
    <mergeCell ref="H845:H846"/>
    <mergeCell ref="I845:I846"/>
    <mergeCell ref="J845:J846"/>
    <mergeCell ref="K845:K846"/>
    <mergeCell ref="L845:L846"/>
    <mergeCell ref="M845:M846"/>
    <mergeCell ref="N845:N846"/>
    <mergeCell ref="G843:G844"/>
    <mergeCell ref="H843:H844"/>
    <mergeCell ref="I843:I844"/>
    <mergeCell ref="J843:J844"/>
    <mergeCell ref="K843:K844"/>
    <mergeCell ref="B843:B844"/>
    <mergeCell ref="C843:C844"/>
    <mergeCell ref="D843:D844"/>
    <mergeCell ref="E843:E844"/>
    <mergeCell ref="L839:L840"/>
    <mergeCell ref="M839:M840"/>
    <mergeCell ref="N839:N840"/>
    <mergeCell ref="B841:B842"/>
    <mergeCell ref="C841:C842"/>
    <mergeCell ref="D841:D842"/>
    <mergeCell ref="E841:E842"/>
    <mergeCell ref="G841:G842"/>
    <mergeCell ref="H841:H842"/>
    <mergeCell ref="I841:I842"/>
    <mergeCell ref="J841:J842"/>
    <mergeCell ref="K841:K842"/>
    <mergeCell ref="L841:L842"/>
    <mergeCell ref="M841:M842"/>
    <mergeCell ref="N841:N842"/>
    <mergeCell ref="G839:G840"/>
    <mergeCell ref="H839:H840"/>
    <mergeCell ref="I839:I840"/>
    <mergeCell ref="J839:J840"/>
    <mergeCell ref="K839:K840"/>
    <mergeCell ref="B839:B840"/>
    <mergeCell ref="C839:C840"/>
    <mergeCell ref="D839:D840"/>
    <mergeCell ref="E839:E840"/>
    <mergeCell ref="L851:L852"/>
    <mergeCell ref="M851:M852"/>
    <mergeCell ref="N851:N852"/>
    <mergeCell ref="B853:B854"/>
    <mergeCell ref="C853:C854"/>
    <mergeCell ref="D853:D854"/>
    <mergeCell ref="E853:E854"/>
    <mergeCell ref="G853:G854"/>
    <mergeCell ref="H853:H854"/>
    <mergeCell ref="I853:I854"/>
    <mergeCell ref="J853:J854"/>
    <mergeCell ref="K853:K854"/>
    <mergeCell ref="L853:L854"/>
    <mergeCell ref="M853:M854"/>
    <mergeCell ref="N853:N854"/>
    <mergeCell ref="G851:G852"/>
    <mergeCell ref="H851:H852"/>
    <mergeCell ref="I851:I852"/>
    <mergeCell ref="J851:J852"/>
    <mergeCell ref="K851:K852"/>
    <mergeCell ref="B851:B852"/>
    <mergeCell ref="C851:C852"/>
    <mergeCell ref="D851:D852"/>
    <mergeCell ref="E851:E852"/>
    <mergeCell ref="L847:L848"/>
    <mergeCell ref="M847:M848"/>
    <mergeCell ref="N847:N848"/>
    <mergeCell ref="B849:B850"/>
    <mergeCell ref="C849:C850"/>
    <mergeCell ref="D849:D850"/>
    <mergeCell ref="E849:E850"/>
    <mergeCell ref="G849:G850"/>
    <mergeCell ref="H849:H850"/>
    <mergeCell ref="I849:I850"/>
    <mergeCell ref="J849:J850"/>
    <mergeCell ref="K849:K850"/>
    <mergeCell ref="L849:L850"/>
    <mergeCell ref="M849:M850"/>
    <mergeCell ref="N849:N850"/>
    <mergeCell ref="G847:G848"/>
    <mergeCell ref="H847:H848"/>
    <mergeCell ref="I847:I848"/>
    <mergeCell ref="J847:J848"/>
    <mergeCell ref="K847:K848"/>
    <mergeCell ref="B847:B848"/>
    <mergeCell ref="C847:C848"/>
    <mergeCell ref="D847:D848"/>
    <mergeCell ref="E847:E848"/>
    <mergeCell ref="L859:L860"/>
    <mergeCell ref="M859:M860"/>
    <mergeCell ref="N859:N860"/>
    <mergeCell ref="B861:B862"/>
    <mergeCell ref="C861:C862"/>
    <mergeCell ref="D861:D862"/>
    <mergeCell ref="E861:E862"/>
    <mergeCell ref="G861:G862"/>
    <mergeCell ref="H861:H862"/>
    <mergeCell ref="I861:I862"/>
    <mergeCell ref="J861:J862"/>
    <mergeCell ref="K861:K862"/>
    <mergeCell ref="L861:L862"/>
    <mergeCell ref="M861:M862"/>
    <mergeCell ref="N861:N862"/>
    <mergeCell ref="G859:G860"/>
    <mergeCell ref="H859:H860"/>
    <mergeCell ref="I859:I860"/>
    <mergeCell ref="J859:J860"/>
    <mergeCell ref="K859:K860"/>
    <mergeCell ref="B859:B860"/>
    <mergeCell ref="C859:C860"/>
    <mergeCell ref="D859:D860"/>
    <mergeCell ref="E859:E860"/>
    <mergeCell ref="L855:L856"/>
    <mergeCell ref="M855:M856"/>
    <mergeCell ref="N855:N856"/>
    <mergeCell ref="B857:B858"/>
    <mergeCell ref="C857:C858"/>
    <mergeCell ref="D857:D858"/>
    <mergeCell ref="E857:E858"/>
    <mergeCell ref="G857:G858"/>
    <mergeCell ref="H857:H858"/>
    <mergeCell ref="I857:I858"/>
    <mergeCell ref="J857:J858"/>
    <mergeCell ref="K857:K858"/>
    <mergeCell ref="L857:L858"/>
    <mergeCell ref="M857:M858"/>
    <mergeCell ref="N857:N858"/>
    <mergeCell ref="G855:G856"/>
    <mergeCell ref="H855:H856"/>
    <mergeCell ref="I855:I856"/>
    <mergeCell ref="J855:J856"/>
    <mergeCell ref="K855:K856"/>
    <mergeCell ref="B855:B856"/>
    <mergeCell ref="C855:C856"/>
    <mergeCell ref="D855:D856"/>
    <mergeCell ref="E855:E856"/>
    <mergeCell ref="L867:L868"/>
    <mergeCell ref="M867:M868"/>
    <mergeCell ref="N867:N868"/>
    <mergeCell ref="B869:B870"/>
    <mergeCell ref="C869:C870"/>
    <mergeCell ref="D869:D870"/>
    <mergeCell ref="E869:E870"/>
    <mergeCell ref="G869:G870"/>
    <mergeCell ref="H869:H870"/>
    <mergeCell ref="I869:I870"/>
    <mergeCell ref="J869:J870"/>
    <mergeCell ref="K869:K870"/>
    <mergeCell ref="L869:L870"/>
    <mergeCell ref="M869:M870"/>
    <mergeCell ref="N869:N870"/>
    <mergeCell ref="G867:G868"/>
    <mergeCell ref="H867:H868"/>
    <mergeCell ref="I867:I868"/>
    <mergeCell ref="J867:J868"/>
    <mergeCell ref="K867:K868"/>
    <mergeCell ref="B867:B868"/>
    <mergeCell ref="C867:C868"/>
    <mergeCell ref="D867:D868"/>
    <mergeCell ref="E867:E868"/>
    <mergeCell ref="L863:L864"/>
    <mergeCell ref="M863:M864"/>
    <mergeCell ref="N863:N864"/>
    <mergeCell ref="B865:B866"/>
    <mergeCell ref="C865:C866"/>
    <mergeCell ref="D865:D866"/>
    <mergeCell ref="E865:E866"/>
    <mergeCell ref="G865:G866"/>
    <mergeCell ref="H865:H866"/>
    <mergeCell ref="I865:I866"/>
    <mergeCell ref="J865:J866"/>
    <mergeCell ref="K865:K866"/>
    <mergeCell ref="L865:L866"/>
    <mergeCell ref="M865:M866"/>
    <mergeCell ref="N865:N866"/>
    <mergeCell ref="G863:G864"/>
    <mergeCell ref="H863:H864"/>
    <mergeCell ref="I863:I864"/>
    <mergeCell ref="J863:J864"/>
    <mergeCell ref="K863:K864"/>
    <mergeCell ref="B863:B864"/>
    <mergeCell ref="C863:C864"/>
    <mergeCell ref="D863:D864"/>
    <mergeCell ref="E863:E864"/>
    <mergeCell ref="L875:L876"/>
    <mergeCell ref="M875:M876"/>
    <mergeCell ref="N875:N876"/>
    <mergeCell ref="B877:B878"/>
    <mergeCell ref="C877:C878"/>
    <mergeCell ref="D877:D878"/>
    <mergeCell ref="E877:E878"/>
    <mergeCell ref="G877:G878"/>
    <mergeCell ref="H877:H878"/>
    <mergeCell ref="I877:I878"/>
    <mergeCell ref="J877:J878"/>
    <mergeCell ref="K877:K878"/>
    <mergeCell ref="L877:L878"/>
    <mergeCell ref="M877:M878"/>
    <mergeCell ref="N877:N878"/>
    <mergeCell ref="G875:G876"/>
    <mergeCell ref="H875:H876"/>
    <mergeCell ref="I875:I876"/>
    <mergeCell ref="J875:J876"/>
    <mergeCell ref="K875:K876"/>
    <mergeCell ref="B875:B876"/>
    <mergeCell ref="C875:C876"/>
    <mergeCell ref="D875:D876"/>
    <mergeCell ref="E875:E876"/>
    <mergeCell ref="L871:L872"/>
    <mergeCell ref="M871:M872"/>
    <mergeCell ref="N871:N872"/>
    <mergeCell ref="B873:B874"/>
    <mergeCell ref="C873:C874"/>
    <mergeCell ref="D873:D874"/>
    <mergeCell ref="E873:E874"/>
    <mergeCell ref="G873:G874"/>
    <mergeCell ref="H873:H874"/>
    <mergeCell ref="I873:I874"/>
    <mergeCell ref="J873:J874"/>
    <mergeCell ref="K873:K874"/>
    <mergeCell ref="L873:L874"/>
    <mergeCell ref="M873:M874"/>
    <mergeCell ref="N873:N874"/>
    <mergeCell ref="G871:G872"/>
    <mergeCell ref="H871:H872"/>
    <mergeCell ref="I871:I872"/>
    <mergeCell ref="J871:J872"/>
    <mergeCell ref="K871:K872"/>
    <mergeCell ref="B871:B872"/>
    <mergeCell ref="C871:C872"/>
    <mergeCell ref="D871:D872"/>
    <mergeCell ref="E871:E872"/>
    <mergeCell ref="L883:L884"/>
    <mergeCell ref="M883:M884"/>
    <mergeCell ref="N883:N884"/>
    <mergeCell ref="B885:B886"/>
    <mergeCell ref="C885:C886"/>
    <mergeCell ref="D885:D886"/>
    <mergeCell ref="E885:E886"/>
    <mergeCell ref="G885:G886"/>
    <mergeCell ref="H885:H886"/>
    <mergeCell ref="I885:I886"/>
    <mergeCell ref="J885:J886"/>
    <mergeCell ref="K885:K886"/>
    <mergeCell ref="L885:L886"/>
    <mergeCell ref="M885:M886"/>
    <mergeCell ref="N885:N886"/>
    <mergeCell ref="G883:G884"/>
    <mergeCell ref="H883:H884"/>
    <mergeCell ref="I883:I884"/>
    <mergeCell ref="J883:J884"/>
    <mergeCell ref="K883:K884"/>
    <mergeCell ref="B883:B884"/>
    <mergeCell ref="C883:C884"/>
    <mergeCell ref="D883:D884"/>
    <mergeCell ref="E883:E884"/>
    <mergeCell ref="L879:L880"/>
    <mergeCell ref="M879:M880"/>
    <mergeCell ref="N879:N880"/>
    <mergeCell ref="B881:B882"/>
    <mergeCell ref="C881:C882"/>
    <mergeCell ref="D881:D882"/>
    <mergeCell ref="E881:E882"/>
    <mergeCell ref="G881:G882"/>
    <mergeCell ref="H881:H882"/>
    <mergeCell ref="I881:I882"/>
    <mergeCell ref="J881:J882"/>
    <mergeCell ref="K881:K882"/>
    <mergeCell ref="L881:L882"/>
    <mergeCell ref="M881:M882"/>
    <mergeCell ref="N881:N882"/>
    <mergeCell ref="G879:G880"/>
    <mergeCell ref="H879:H880"/>
    <mergeCell ref="I879:I880"/>
    <mergeCell ref="J879:J880"/>
    <mergeCell ref="K879:K880"/>
    <mergeCell ref="B879:B880"/>
    <mergeCell ref="C879:C880"/>
    <mergeCell ref="D879:D880"/>
    <mergeCell ref="E879:E880"/>
    <mergeCell ref="L891:L892"/>
    <mergeCell ref="M891:M892"/>
    <mergeCell ref="N891:N892"/>
    <mergeCell ref="B893:B894"/>
    <mergeCell ref="C893:C894"/>
    <mergeCell ref="D893:D894"/>
    <mergeCell ref="E893:E894"/>
    <mergeCell ref="G893:G894"/>
    <mergeCell ref="H893:H894"/>
    <mergeCell ref="I893:I894"/>
    <mergeCell ref="J893:J894"/>
    <mergeCell ref="K893:K894"/>
    <mergeCell ref="L893:L894"/>
    <mergeCell ref="M893:M894"/>
    <mergeCell ref="N893:N894"/>
    <mergeCell ref="G891:G892"/>
    <mergeCell ref="H891:H892"/>
    <mergeCell ref="I891:I892"/>
    <mergeCell ref="J891:J892"/>
    <mergeCell ref="K891:K892"/>
    <mergeCell ref="B891:B892"/>
    <mergeCell ref="C891:C892"/>
    <mergeCell ref="D891:D892"/>
    <mergeCell ref="E891:E892"/>
    <mergeCell ref="L887:L888"/>
    <mergeCell ref="M887:M888"/>
    <mergeCell ref="N887:N888"/>
    <mergeCell ref="B889:B890"/>
    <mergeCell ref="C889:C890"/>
    <mergeCell ref="D889:D890"/>
    <mergeCell ref="E889:E890"/>
    <mergeCell ref="G889:G890"/>
    <mergeCell ref="H889:H890"/>
    <mergeCell ref="I889:I890"/>
    <mergeCell ref="J889:J890"/>
    <mergeCell ref="K889:K890"/>
    <mergeCell ref="L889:L890"/>
    <mergeCell ref="M889:M890"/>
    <mergeCell ref="N889:N890"/>
    <mergeCell ref="G887:G888"/>
    <mergeCell ref="H887:H888"/>
    <mergeCell ref="I887:I888"/>
    <mergeCell ref="J887:J888"/>
    <mergeCell ref="K887:K888"/>
    <mergeCell ref="B887:B888"/>
    <mergeCell ref="C887:C888"/>
    <mergeCell ref="D887:D888"/>
    <mergeCell ref="E887:E888"/>
    <mergeCell ref="L899:L900"/>
    <mergeCell ref="M899:M900"/>
    <mergeCell ref="N899:N900"/>
    <mergeCell ref="B901:B902"/>
    <mergeCell ref="C901:C902"/>
    <mergeCell ref="D901:D902"/>
    <mergeCell ref="E901:E902"/>
    <mergeCell ref="G901:G902"/>
    <mergeCell ref="H901:H902"/>
    <mergeCell ref="I901:I902"/>
    <mergeCell ref="J901:J902"/>
    <mergeCell ref="K901:K902"/>
    <mergeCell ref="L901:L902"/>
    <mergeCell ref="M901:M902"/>
    <mergeCell ref="N901:N902"/>
    <mergeCell ref="G899:G900"/>
    <mergeCell ref="H899:H900"/>
    <mergeCell ref="I899:I900"/>
    <mergeCell ref="J899:J900"/>
    <mergeCell ref="K899:K900"/>
    <mergeCell ref="B899:B900"/>
    <mergeCell ref="C899:C900"/>
    <mergeCell ref="D899:D900"/>
    <mergeCell ref="E899:E900"/>
    <mergeCell ref="L895:L896"/>
    <mergeCell ref="M895:M896"/>
    <mergeCell ref="N895:N896"/>
    <mergeCell ref="B897:B898"/>
    <mergeCell ref="C897:C898"/>
    <mergeCell ref="D897:D898"/>
    <mergeCell ref="E897:E898"/>
    <mergeCell ref="G897:G898"/>
    <mergeCell ref="H897:H898"/>
    <mergeCell ref="I897:I898"/>
    <mergeCell ref="J897:J898"/>
    <mergeCell ref="K897:K898"/>
    <mergeCell ref="L897:L898"/>
    <mergeCell ref="M897:M898"/>
    <mergeCell ref="N897:N898"/>
    <mergeCell ref="G895:G896"/>
    <mergeCell ref="H895:H896"/>
    <mergeCell ref="I895:I896"/>
    <mergeCell ref="J895:J896"/>
    <mergeCell ref="K895:K896"/>
    <mergeCell ref="B895:B896"/>
    <mergeCell ref="C895:C896"/>
    <mergeCell ref="D895:D896"/>
    <mergeCell ref="E895:E896"/>
    <mergeCell ref="L907:L908"/>
    <mergeCell ref="M907:M908"/>
    <mergeCell ref="N907:N908"/>
    <mergeCell ref="B909:B910"/>
    <mergeCell ref="C909:C910"/>
    <mergeCell ref="D909:D910"/>
    <mergeCell ref="E909:E910"/>
    <mergeCell ref="G909:G910"/>
    <mergeCell ref="H909:H910"/>
    <mergeCell ref="I909:I910"/>
    <mergeCell ref="J909:J910"/>
    <mergeCell ref="K909:K910"/>
    <mergeCell ref="L909:L910"/>
    <mergeCell ref="M909:M910"/>
    <mergeCell ref="N909:N910"/>
    <mergeCell ref="G907:G908"/>
    <mergeCell ref="H907:H908"/>
    <mergeCell ref="I907:I908"/>
    <mergeCell ref="J907:J908"/>
    <mergeCell ref="K907:K908"/>
    <mergeCell ref="B907:B908"/>
    <mergeCell ref="C907:C908"/>
    <mergeCell ref="D907:D908"/>
    <mergeCell ref="E907:E908"/>
    <mergeCell ref="L903:L904"/>
    <mergeCell ref="M903:M904"/>
    <mergeCell ref="N903:N904"/>
    <mergeCell ref="B905:B906"/>
    <mergeCell ref="C905:C906"/>
    <mergeCell ref="D905:D906"/>
    <mergeCell ref="E905:E906"/>
    <mergeCell ref="G905:G906"/>
    <mergeCell ref="H905:H906"/>
    <mergeCell ref="I905:I906"/>
    <mergeCell ref="J905:J906"/>
    <mergeCell ref="K905:K906"/>
    <mergeCell ref="L905:L906"/>
    <mergeCell ref="M905:M906"/>
    <mergeCell ref="N905:N906"/>
    <mergeCell ref="G903:G904"/>
    <mergeCell ref="H903:H904"/>
    <mergeCell ref="I903:I904"/>
    <mergeCell ref="J903:J904"/>
    <mergeCell ref="K903:K904"/>
    <mergeCell ref="B903:B904"/>
    <mergeCell ref="C903:C904"/>
    <mergeCell ref="D903:D904"/>
    <mergeCell ref="E903:E904"/>
    <mergeCell ref="L915:L916"/>
    <mergeCell ref="M915:M916"/>
    <mergeCell ref="N915:N916"/>
    <mergeCell ref="B917:B918"/>
    <mergeCell ref="C917:C918"/>
    <mergeCell ref="D917:D918"/>
    <mergeCell ref="E917:E918"/>
    <mergeCell ref="G917:G918"/>
    <mergeCell ref="H917:H918"/>
    <mergeCell ref="I917:I918"/>
    <mergeCell ref="J917:J918"/>
    <mergeCell ref="K917:K918"/>
    <mergeCell ref="L917:L918"/>
    <mergeCell ref="M917:M918"/>
    <mergeCell ref="N917:N918"/>
    <mergeCell ref="G915:G916"/>
    <mergeCell ref="H915:H916"/>
    <mergeCell ref="I915:I916"/>
    <mergeCell ref="J915:J916"/>
    <mergeCell ref="K915:K916"/>
    <mergeCell ref="B915:B916"/>
    <mergeCell ref="C915:C916"/>
    <mergeCell ref="D915:D916"/>
    <mergeCell ref="E915:E916"/>
    <mergeCell ref="L911:L912"/>
    <mergeCell ref="M911:M912"/>
    <mergeCell ref="N911:N912"/>
    <mergeCell ref="B913:B914"/>
    <mergeCell ref="C913:C914"/>
    <mergeCell ref="D913:D914"/>
    <mergeCell ref="E913:E914"/>
    <mergeCell ref="G913:G914"/>
    <mergeCell ref="H913:H914"/>
    <mergeCell ref="I913:I914"/>
    <mergeCell ref="J913:J914"/>
    <mergeCell ref="K913:K914"/>
    <mergeCell ref="L913:L914"/>
    <mergeCell ref="M913:M914"/>
    <mergeCell ref="N913:N914"/>
    <mergeCell ref="G911:G912"/>
    <mergeCell ref="H911:H912"/>
    <mergeCell ref="I911:I912"/>
    <mergeCell ref="J911:J912"/>
    <mergeCell ref="K911:K912"/>
    <mergeCell ref="B911:B912"/>
    <mergeCell ref="C911:C912"/>
    <mergeCell ref="D911:D912"/>
    <mergeCell ref="E911:E912"/>
    <mergeCell ref="L923:L924"/>
    <mergeCell ref="M923:M924"/>
    <mergeCell ref="N923:N924"/>
    <mergeCell ref="B925:B926"/>
    <mergeCell ref="C925:C926"/>
    <mergeCell ref="D925:D926"/>
    <mergeCell ref="E925:E926"/>
    <mergeCell ref="G925:G926"/>
    <mergeCell ref="H925:H926"/>
    <mergeCell ref="I925:I926"/>
    <mergeCell ref="J925:J926"/>
    <mergeCell ref="K925:K926"/>
    <mergeCell ref="L925:L926"/>
    <mergeCell ref="M925:M926"/>
    <mergeCell ref="N925:N926"/>
    <mergeCell ref="G923:G924"/>
    <mergeCell ref="H923:H924"/>
    <mergeCell ref="I923:I924"/>
    <mergeCell ref="J923:J924"/>
    <mergeCell ref="K923:K924"/>
    <mergeCell ref="B923:B924"/>
    <mergeCell ref="C923:C924"/>
    <mergeCell ref="D923:D924"/>
    <mergeCell ref="E923:E924"/>
    <mergeCell ref="L919:L920"/>
    <mergeCell ref="M919:M920"/>
    <mergeCell ref="N919:N920"/>
    <mergeCell ref="B921:B922"/>
    <mergeCell ref="C921:C922"/>
    <mergeCell ref="D921:D922"/>
    <mergeCell ref="E921:E922"/>
    <mergeCell ref="G921:G922"/>
    <mergeCell ref="H921:H922"/>
    <mergeCell ref="I921:I922"/>
    <mergeCell ref="J921:J922"/>
    <mergeCell ref="K921:K922"/>
    <mergeCell ref="L921:L922"/>
    <mergeCell ref="M921:M922"/>
    <mergeCell ref="N921:N922"/>
    <mergeCell ref="G919:G920"/>
    <mergeCell ref="H919:H920"/>
    <mergeCell ref="I919:I920"/>
    <mergeCell ref="J919:J920"/>
    <mergeCell ref="K919:K920"/>
    <mergeCell ref="B919:B920"/>
    <mergeCell ref="C919:C920"/>
    <mergeCell ref="D919:D920"/>
    <mergeCell ref="E919:E920"/>
    <mergeCell ref="L931:L932"/>
    <mergeCell ref="M931:M932"/>
    <mergeCell ref="N931:N932"/>
    <mergeCell ref="B933:B934"/>
    <mergeCell ref="C933:C934"/>
    <mergeCell ref="D933:D934"/>
    <mergeCell ref="E933:E934"/>
    <mergeCell ref="G933:G934"/>
    <mergeCell ref="H933:H934"/>
    <mergeCell ref="I933:I934"/>
    <mergeCell ref="J933:J934"/>
    <mergeCell ref="K933:K934"/>
    <mergeCell ref="L933:L934"/>
    <mergeCell ref="M933:M934"/>
    <mergeCell ref="N933:N934"/>
    <mergeCell ref="G931:G932"/>
    <mergeCell ref="H931:H932"/>
    <mergeCell ref="I931:I932"/>
    <mergeCell ref="J931:J932"/>
    <mergeCell ref="K931:K932"/>
    <mergeCell ref="B931:B932"/>
    <mergeCell ref="C931:C932"/>
    <mergeCell ref="D931:D932"/>
    <mergeCell ref="E931:E932"/>
    <mergeCell ref="L927:L928"/>
    <mergeCell ref="M927:M928"/>
    <mergeCell ref="N927:N928"/>
    <mergeCell ref="B929:B930"/>
    <mergeCell ref="C929:C930"/>
    <mergeCell ref="D929:D930"/>
    <mergeCell ref="E929:E930"/>
    <mergeCell ref="G929:G930"/>
    <mergeCell ref="H929:H930"/>
    <mergeCell ref="I929:I930"/>
    <mergeCell ref="J929:J930"/>
    <mergeCell ref="K929:K930"/>
    <mergeCell ref="L929:L930"/>
    <mergeCell ref="M929:M930"/>
    <mergeCell ref="N929:N930"/>
    <mergeCell ref="G927:G928"/>
    <mergeCell ref="H927:H928"/>
    <mergeCell ref="I927:I928"/>
    <mergeCell ref="J927:J928"/>
    <mergeCell ref="K927:K928"/>
    <mergeCell ref="B927:B928"/>
    <mergeCell ref="C927:C928"/>
    <mergeCell ref="D927:D928"/>
    <mergeCell ref="E927:E928"/>
    <mergeCell ref="L939:L940"/>
    <mergeCell ref="M939:M940"/>
    <mergeCell ref="N939:N940"/>
    <mergeCell ref="B941:B942"/>
    <mergeCell ref="C941:C942"/>
    <mergeCell ref="D941:D942"/>
    <mergeCell ref="E941:E942"/>
    <mergeCell ref="G941:G942"/>
    <mergeCell ref="H941:H942"/>
    <mergeCell ref="I941:I942"/>
    <mergeCell ref="J941:J942"/>
    <mergeCell ref="K941:K942"/>
    <mergeCell ref="L941:L942"/>
    <mergeCell ref="M941:M942"/>
    <mergeCell ref="N941:N942"/>
    <mergeCell ref="G939:G940"/>
    <mergeCell ref="H939:H940"/>
    <mergeCell ref="I939:I940"/>
    <mergeCell ref="J939:J940"/>
    <mergeCell ref="K939:K940"/>
    <mergeCell ref="B939:B940"/>
    <mergeCell ref="C939:C940"/>
    <mergeCell ref="D939:D940"/>
    <mergeCell ref="E939:E940"/>
    <mergeCell ref="L935:L936"/>
    <mergeCell ref="M935:M936"/>
    <mergeCell ref="N935:N936"/>
    <mergeCell ref="B937:B938"/>
    <mergeCell ref="C937:C938"/>
    <mergeCell ref="D937:D938"/>
    <mergeCell ref="E937:E938"/>
    <mergeCell ref="G937:G938"/>
    <mergeCell ref="H937:H938"/>
    <mergeCell ref="I937:I938"/>
    <mergeCell ref="J937:J938"/>
    <mergeCell ref="K937:K938"/>
    <mergeCell ref="L937:L938"/>
    <mergeCell ref="M937:M938"/>
    <mergeCell ref="N937:N938"/>
    <mergeCell ref="G935:G936"/>
    <mergeCell ref="H935:H936"/>
    <mergeCell ref="I935:I936"/>
    <mergeCell ref="J935:J936"/>
    <mergeCell ref="K935:K936"/>
    <mergeCell ref="B935:B936"/>
    <mergeCell ref="C935:C936"/>
    <mergeCell ref="D935:D936"/>
    <mergeCell ref="E935:E936"/>
    <mergeCell ref="L947:L948"/>
    <mergeCell ref="M947:M948"/>
    <mergeCell ref="N947:N948"/>
    <mergeCell ref="B949:B950"/>
    <mergeCell ref="C949:C950"/>
    <mergeCell ref="D949:D950"/>
    <mergeCell ref="E949:E950"/>
    <mergeCell ref="G949:G950"/>
    <mergeCell ref="H949:H950"/>
    <mergeCell ref="I949:I950"/>
    <mergeCell ref="J949:J950"/>
    <mergeCell ref="K949:K950"/>
    <mergeCell ref="L949:L950"/>
    <mergeCell ref="M949:M950"/>
    <mergeCell ref="N949:N950"/>
    <mergeCell ref="G947:G948"/>
    <mergeCell ref="H947:H948"/>
    <mergeCell ref="I947:I948"/>
    <mergeCell ref="J947:J948"/>
    <mergeCell ref="K947:K948"/>
    <mergeCell ref="B947:B948"/>
    <mergeCell ref="C947:C948"/>
    <mergeCell ref="D947:D948"/>
    <mergeCell ref="E947:E948"/>
    <mergeCell ref="L943:L944"/>
    <mergeCell ref="M943:M944"/>
    <mergeCell ref="N943:N944"/>
    <mergeCell ref="B945:B946"/>
    <mergeCell ref="C945:C946"/>
    <mergeCell ref="D945:D946"/>
    <mergeCell ref="E945:E946"/>
    <mergeCell ref="G945:G946"/>
    <mergeCell ref="H945:H946"/>
    <mergeCell ref="I945:I946"/>
    <mergeCell ref="J945:J946"/>
    <mergeCell ref="K945:K946"/>
    <mergeCell ref="L945:L946"/>
    <mergeCell ref="M945:M946"/>
    <mergeCell ref="N945:N946"/>
    <mergeCell ref="G943:G944"/>
    <mergeCell ref="H943:H944"/>
    <mergeCell ref="I943:I944"/>
    <mergeCell ref="J943:J944"/>
    <mergeCell ref="K943:K944"/>
    <mergeCell ref="B943:B944"/>
    <mergeCell ref="C943:C944"/>
    <mergeCell ref="D943:D944"/>
    <mergeCell ref="E943:E944"/>
    <mergeCell ref="L955:L956"/>
    <mergeCell ref="M955:M956"/>
    <mergeCell ref="N955:N956"/>
    <mergeCell ref="B957:B958"/>
    <mergeCell ref="C957:C958"/>
    <mergeCell ref="D957:D958"/>
    <mergeCell ref="E957:E958"/>
    <mergeCell ref="G957:G958"/>
    <mergeCell ref="H957:H958"/>
    <mergeCell ref="I957:I958"/>
    <mergeCell ref="J957:J958"/>
    <mergeCell ref="K957:K958"/>
    <mergeCell ref="L957:L958"/>
    <mergeCell ref="M957:M958"/>
    <mergeCell ref="N957:N958"/>
    <mergeCell ref="G955:G956"/>
    <mergeCell ref="H955:H956"/>
    <mergeCell ref="I955:I956"/>
    <mergeCell ref="J955:J956"/>
    <mergeCell ref="K955:K956"/>
    <mergeCell ref="B955:B956"/>
    <mergeCell ref="C955:C956"/>
    <mergeCell ref="D955:D956"/>
    <mergeCell ref="E955:E956"/>
    <mergeCell ref="L951:L952"/>
    <mergeCell ref="M951:M952"/>
    <mergeCell ref="N951:N952"/>
    <mergeCell ref="B953:B954"/>
    <mergeCell ref="C953:C954"/>
    <mergeCell ref="D953:D954"/>
    <mergeCell ref="E953:E954"/>
    <mergeCell ref="G953:G954"/>
    <mergeCell ref="H953:H954"/>
    <mergeCell ref="I953:I954"/>
    <mergeCell ref="J953:J954"/>
    <mergeCell ref="K953:K954"/>
    <mergeCell ref="L953:L954"/>
    <mergeCell ref="M953:M954"/>
    <mergeCell ref="N953:N954"/>
    <mergeCell ref="G951:G952"/>
    <mergeCell ref="H951:H952"/>
    <mergeCell ref="I951:I952"/>
    <mergeCell ref="J951:J952"/>
    <mergeCell ref="K951:K952"/>
    <mergeCell ref="B951:B952"/>
    <mergeCell ref="C951:C952"/>
    <mergeCell ref="D951:D952"/>
    <mergeCell ref="E951:E952"/>
    <mergeCell ref="L963:L964"/>
    <mergeCell ref="M963:M964"/>
    <mergeCell ref="N963:N964"/>
    <mergeCell ref="B965:B966"/>
    <mergeCell ref="C965:C966"/>
    <mergeCell ref="D965:D966"/>
    <mergeCell ref="E965:E966"/>
    <mergeCell ref="G965:G966"/>
    <mergeCell ref="H965:H966"/>
    <mergeCell ref="I965:I966"/>
    <mergeCell ref="J965:J966"/>
    <mergeCell ref="K965:K966"/>
    <mergeCell ref="L965:L966"/>
    <mergeCell ref="M965:M966"/>
    <mergeCell ref="N965:N966"/>
    <mergeCell ref="G963:G964"/>
    <mergeCell ref="H963:H964"/>
    <mergeCell ref="I963:I964"/>
    <mergeCell ref="J963:J964"/>
    <mergeCell ref="K963:K964"/>
    <mergeCell ref="B963:B964"/>
    <mergeCell ref="C963:C964"/>
    <mergeCell ref="D963:D964"/>
    <mergeCell ref="E963:E964"/>
    <mergeCell ref="L959:L960"/>
    <mergeCell ref="M959:M960"/>
    <mergeCell ref="N959:N960"/>
    <mergeCell ref="B961:B962"/>
    <mergeCell ref="C961:C962"/>
    <mergeCell ref="D961:D962"/>
    <mergeCell ref="E961:E962"/>
    <mergeCell ref="G961:G962"/>
    <mergeCell ref="H961:H962"/>
    <mergeCell ref="I961:I962"/>
    <mergeCell ref="J961:J962"/>
    <mergeCell ref="K961:K962"/>
    <mergeCell ref="L961:L962"/>
    <mergeCell ref="M961:M962"/>
    <mergeCell ref="N961:N962"/>
    <mergeCell ref="G959:G960"/>
    <mergeCell ref="H959:H960"/>
    <mergeCell ref="I959:I960"/>
    <mergeCell ref="J959:J960"/>
    <mergeCell ref="K959:K960"/>
    <mergeCell ref="B959:B960"/>
    <mergeCell ref="C959:C960"/>
    <mergeCell ref="D959:D960"/>
    <mergeCell ref="E959:E960"/>
    <mergeCell ref="L971:L972"/>
    <mergeCell ref="M971:M972"/>
    <mergeCell ref="N971:N972"/>
    <mergeCell ref="B973:B974"/>
    <mergeCell ref="C973:C974"/>
    <mergeCell ref="D973:D974"/>
    <mergeCell ref="E973:E974"/>
    <mergeCell ref="G973:G974"/>
    <mergeCell ref="H973:H974"/>
    <mergeCell ref="I973:I974"/>
    <mergeCell ref="J973:J974"/>
    <mergeCell ref="K973:K974"/>
    <mergeCell ref="L973:L974"/>
    <mergeCell ref="M973:M974"/>
    <mergeCell ref="N973:N974"/>
    <mergeCell ref="G971:G972"/>
    <mergeCell ref="H971:H972"/>
    <mergeCell ref="I971:I972"/>
    <mergeCell ref="J971:J972"/>
    <mergeCell ref="K971:K972"/>
    <mergeCell ref="B971:B972"/>
    <mergeCell ref="C971:C972"/>
    <mergeCell ref="D971:D972"/>
    <mergeCell ref="E971:E972"/>
    <mergeCell ref="L967:L968"/>
    <mergeCell ref="M967:M968"/>
    <mergeCell ref="N967:N968"/>
    <mergeCell ref="B969:B970"/>
    <mergeCell ref="C969:C970"/>
    <mergeCell ref="D969:D970"/>
    <mergeCell ref="E969:E970"/>
    <mergeCell ref="G969:G970"/>
    <mergeCell ref="H969:H970"/>
    <mergeCell ref="I969:I970"/>
    <mergeCell ref="J969:J970"/>
    <mergeCell ref="K969:K970"/>
    <mergeCell ref="L969:L970"/>
    <mergeCell ref="M969:M970"/>
    <mergeCell ref="N969:N970"/>
    <mergeCell ref="G967:G968"/>
    <mergeCell ref="H967:H968"/>
    <mergeCell ref="I967:I968"/>
    <mergeCell ref="J967:J968"/>
    <mergeCell ref="K967:K968"/>
    <mergeCell ref="B967:B968"/>
    <mergeCell ref="C967:C968"/>
    <mergeCell ref="D967:D968"/>
    <mergeCell ref="E967:E968"/>
    <mergeCell ref="L979:L980"/>
    <mergeCell ref="M979:M980"/>
    <mergeCell ref="N979:N980"/>
    <mergeCell ref="B981:B982"/>
    <mergeCell ref="C981:C982"/>
    <mergeCell ref="D981:D982"/>
    <mergeCell ref="E981:E982"/>
    <mergeCell ref="G981:G982"/>
    <mergeCell ref="H981:H982"/>
    <mergeCell ref="I981:I982"/>
    <mergeCell ref="J981:J982"/>
    <mergeCell ref="K981:K982"/>
    <mergeCell ref="L981:L982"/>
    <mergeCell ref="M981:M982"/>
    <mergeCell ref="N981:N982"/>
    <mergeCell ref="G979:G980"/>
    <mergeCell ref="H979:H980"/>
    <mergeCell ref="I979:I980"/>
    <mergeCell ref="J979:J980"/>
    <mergeCell ref="K979:K980"/>
    <mergeCell ref="B979:B980"/>
    <mergeCell ref="C979:C980"/>
    <mergeCell ref="D979:D980"/>
    <mergeCell ref="E979:E980"/>
    <mergeCell ref="L975:L976"/>
    <mergeCell ref="M975:M976"/>
    <mergeCell ref="N975:N976"/>
    <mergeCell ref="B977:B978"/>
    <mergeCell ref="C977:C978"/>
    <mergeCell ref="D977:D978"/>
    <mergeCell ref="E977:E978"/>
    <mergeCell ref="G977:G978"/>
    <mergeCell ref="H977:H978"/>
    <mergeCell ref="I977:I978"/>
    <mergeCell ref="J977:J978"/>
    <mergeCell ref="K977:K978"/>
    <mergeCell ref="L977:L978"/>
    <mergeCell ref="M977:M978"/>
    <mergeCell ref="N977:N978"/>
    <mergeCell ref="G975:G976"/>
    <mergeCell ref="H975:H976"/>
    <mergeCell ref="I975:I976"/>
    <mergeCell ref="J975:J976"/>
    <mergeCell ref="K975:K976"/>
    <mergeCell ref="B975:B976"/>
    <mergeCell ref="C975:C976"/>
    <mergeCell ref="D975:D976"/>
    <mergeCell ref="E975:E976"/>
    <mergeCell ref="L987:L988"/>
    <mergeCell ref="M987:M988"/>
    <mergeCell ref="N987:N988"/>
    <mergeCell ref="B989:B990"/>
    <mergeCell ref="C989:C990"/>
    <mergeCell ref="D989:D990"/>
    <mergeCell ref="E989:E990"/>
    <mergeCell ref="G989:G990"/>
    <mergeCell ref="H989:H990"/>
    <mergeCell ref="I989:I990"/>
    <mergeCell ref="J989:J990"/>
    <mergeCell ref="K989:K990"/>
    <mergeCell ref="L989:L990"/>
    <mergeCell ref="M989:M990"/>
    <mergeCell ref="N989:N990"/>
    <mergeCell ref="G987:G988"/>
    <mergeCell ref="H987:H988"/>
    <mergeCell ref="I987:I988"/>
    <mergeCell ref="J987:J988"/>
    <mergeCell ref="K987:K988"/>
    <mergeCell ref="B987:B988"/>
    <mergeCell ref="C987:C988"/>
    <mergeCell ref="D987:D988"/>
    <mergeCell ref="E987:E988"/>
    <mergeCell ref="L983:L984"/>
    <mergeCell ref="M983:M984"/>
    <mergeCell ref="N983:N984"/>
    <mergeCell ref="B985:B986"/>
    <mergeCell ref="C985:C986"/>
    <mergeCell ref="D985:D986"/>
    <mergeCell ref="E985:E986"/>
    <mergeCell ref="G985:G986"/>
    <mergeCell ref="H985:H986"/>
    <mergeCell ref="I985:I986"/>
    <mergeCell ref="J985:J986"/>
    <mergeCell ref="K985:K986"/>
    <mergeCell ref="L985:L986"/>
    <mergeCell ref="M985:M986"/>
    <mergeCell ref="N985:N986"/>
    <mergeCell ref="G983:G984"/>
    <mergeCell ref="H983:H984"/>
    <mergeCell ref="I983:I984"/>
    <mergeCell ref="J983:J984"/>
    <mergeCell ref="K983:K984"/>
    <mergeCell ref="B983:B984"/>
    <mergeCell ref="C983:C984"/>
    <mergeCell ref="D983:D984"/>
    <mergeCell ref="E983:E984"/>
    <mergeCell ref="L995:L996"/>
    <mergeCell ref="M995:M996"/>
    <mergeCell ref="N995:N996"/>
    <mergeCell ref="B997:B998"/>
    <mergeCell ref="C997:C998"/>
    <mergeCell ref="D997:D998"/>
    <mergeCell ref="E997:E998"/>
    <mergeCell ref="G997:G998"/>
    <mergeCell ref="H997:H998"/>
    <mergeCell ref="I997:I998"/>
    <mergeCell ref="J997:J998"/>
    <mergeCell ref="K997:K998"/>
    <mergeCell ref="L997:L998"/>
    <mergeCell ref="M997:M998"/>
    <mergeCell ref="N997:N998"/>
    <mergeCell ref="G995:G996"/>
    <mergeCell ref="H995:H996"/>
    <mergeCell ref="I995:I996"/>
    <mergeCell ref="J995:J996"/>
    <mergeCell ref="K995:K996"/>
    <mergeCell ref="B995:B996"/>
    <mergeCell ref="C995:C996"/>
    <mergeCell ref="D995:D996"/>
    <mergeCell ref="E995:E996"/>
    <mergeCell ref="L991:L992"/>
    <mergeCell ref="M991:M992"/>
    <mergeCell ref="N991:N992"/>
    <mergeCell ref="B993:B994"/>
    <mergeCell ref="C993:C994"/>
    <mergeCell ref="D993:D994"/>
    <mergeCell ref="E993:E994"/>
    <mergeCell ref="G993:G994"/>
    <mergeCell ref="H993:H994"/>
    <mergeCell ref="I993:I994"/>
    <mergeCell ref="J993:J994"/>
    <mergeCell ref="K993:K994"/>
    <mergeCell ref="L993:L994"/>
    <mergeCell ref="M993:M994"/>
    <mergeCell ref="N993:N994"/>
    <mergeCell ref="G991:G992"/>
    <mergeCell ref="H991:H992"/>
    <mergeCell ref="I991:I992"/>
    <mergeCell ref="J991:J992"/>
    <mergeCell ref="K991:K992"/>
    <mergeCell ref="B991:B992"/>
    <mergeCell ref="C991:C992"/>
    <mergeCell ref="D991:D992"/>
    <mergeCell ref="E991:E992"/>
    <mergeCell ref="L1003:L1004"/>
    <mergeCell ref="M1003:M1004"/>
    <mergeCell ref="N1003:N1004"/>
    <mergeCell ref="B1005:B1006"/>
    <mergeCell ref="C1005:C1006"/>
    <mergeCell ref="D1005:D1006"/>
    <mergeCell ref="E1005:E1006"/>
    <mergeCell ref="G1005:G1006"/>
    <mergeCell ref="H1005:H1006"/>
    <mergeCell ref="I1005:I1006"/>
    <mergeCell ref="J1005:J1006"/>
    <mergeCell ref="K1005:K1006"/>
    <mergeCell ref="L1005:L1006"/>
    <mergeCell ref="M1005:M1006"/>
    <mergeCell ref="N1005:N1006"/>
    <mergeCell ref="G1003:G1004"/>
    <mergeCell ref="H1003:H1004"/>
    <mergeCell ref="I1003:I1004"/>
    <mergeCell ref="J1003:J1004"/>
    <mergeCell ref="K1003:K1004"/>
    <mergeCell ref="B1003:B1004"/>
    <mergeCell ref="C1003:C1004"/>
    <mergeCell ref="D1003:D1004"/>
    <mergeCell ref="E1003:E1004"/>
    <mergeCell ref="L999:L1000"/>
    <mergeCell ref="M999:M1000"/>
    <mergeCell ref="N999:N1000"/>
    <mergeCell ref="B1001:B1002"/>
    <mergeCell ref="C1001:C1002"/>
    <mergeCell ref="D1001:D1002"/>
    <mergeCell ref="E1001:E1002"/>
    <mergeCell ref="G1001:G1002"/>
    <mergeCell ref="H1001:H1002"/>
    <mergeCell ref="I1001:I1002"/>
    <mergeCell ref="J1001:J1002"/>
    <mergeCell ref="K1001:K1002"/>
    <mergeCell ref="L1001:L1002"/>
    <mergeCell ref="M1001:M1002"/>
    <mergeCell ref="N1001:N1002"/>
    <mergeCell ref="G999:G1000"/>
    <mergeCell ref="H999:H1000"/>
    <mergeCell ref="I999:I1000"/>
    <mergeCell ref="J999:J1000"/>
    <mergeCell ref="K999:K1000"/>
    <mergeCell ref="B999:B1000"/>
    <mergeCell ref="C999:C1000"/>
    <mergeCell ref="D999:D1000"/>
    <mergeCell ref="E999:E1000"/>
    <mergeCell ref="L1011:L1012"/>
    <mergeCell ref="M1011:M1012"/>
    <mergeCell ref="N1011:N1012"/>
    <mergeCell ref="B1013:B1014"/>
    <mergeCell ref="C1013:C1014"/>
    <mergeCell ref="D1013:D1014"/>
    <mergeCell ref="E1013:E1014"/>
    <mergeCell ref="G1013:G1014"/>
    <mergeCell ref="H1013:H1014"/>
    <mergeCell ref="I1013:I1014"/>
    <mergeCell ref="J1013:J1014"/>
    <mergeCell ref="K1013:K1014"/>
    <mergeCell ref="L1013:L1014"/>
    <mergeCell ref="M1013:M1014"/>
    <mergeCell ref="N1013:N1014"/>
    <mergeCell ref="G1011:G1012"/>
    <mergeCell ref="H1011:H1012"/>
    <mergeCell ref="I1011:I1012"/>
    <mergeCell ref="J1011:J1012"/>
    <mergeCell ref="K1011:K1012"/>
    <mergeCell ref="B1011:B1012"/>
    <mergeCell ref="C1011:C1012"/>
    <mergeCell ref="D1011:D1012"/>
    <mergeCell ref="E1011:E1012"/>
    <mergeCell ref="L1007:L1008"/>
    <mergeCell ref="M1007:M1008"/>
    <mergeCell ref="N1007:N1008"/>
    <mergeCell ref="B1009:B1010"/>
    <mergeCell ref="C1009:C1010"/>
    <mergeCell ref="D1009:D1010"/>
    <mergeCell ref="E1009:E1010"/>
    <mergeCell ref="G1009:G1010"/>
    <mergeCell ref="H1009:H1010"/>
    <mergeCell ref="I1009:I1010"/>
    <mergeCell ref="J1009:J1010"/>
    <mergeCell ref="K1009:K1010"/>
    <mergeCell ref="L1009:L1010"/>
    <mergeCell ref="M1009:M1010"/>
    <mergeCell ref="N1009:N1010"/>
    <mergeCell ref="G1007:G1008"/>
    <mergeCell ref="H1007:H1008"/>
    <mergeCell ref="I1007:I1008"/>
    <mergeCell ref="J1007:J1008"/>
    <mergeCell ref="K1007:K1008"/>
    <mergeCell ref="B1007:B1008"/>
    <mergeCell ref="C1007:C1008"/>
    <mergeCell ref="D1007:D1008"/>
    <mergeCell ref="E1007:E1008"/>
    <mergeCell ref="L1019:L1020"/>
    <mergeCell ref="M1019:M1020"/>
    <mergeCell ref="N1019:N1020"/>
    <mergeCell ref="B1021:B1022"/>
    <mergeCell ref="C1021:C1022"/>
    <mergeCell ref="D1021:D1022"/>
    <mergeCell ref="E1021:E1022"/>
    <mergeCell ref="G1021:G1022"/>
    <mergeCell ref="H1021:H1022"/>
    <mergeCell ref="I1021:I1022"/>
    <mergeCell ref="J1021:J1022"/>
    <mergeCell ref="K1021:K1022"/>
    <mergeCell ref="L1021:L1022"/>
    <mergeCell ref="M1021:M1022"/>
    <mergeCell ref="N1021:N1022"/>
    <mergeCell ref="G1019:G1020"/>
    <mergeCell ref="H1019:H1020"/>
    <mergeCell ref="I1019:I1020"/>
    <mergeCell ref="J1019:J1020"/>
    <mergeCell ref="K1019:K1020"/>
    <mergeCell ref="B1019:B1020"/>
    <mergeCell ref="C1019:C1020"/>
    <mergeCell ref="D1019:D1020"/>
    <mergeCell ref="E1019:E1020"/>
    <mergeCell ref="L1015:L1016"/>
    <mergeCell ref="M1015:M1016"/>
    <mergeCell ref="N1015:N1016"/>
    <mergeCell ref="B1017:B1018"/>
    <mergeCell ref="C1017:C1018"/>
    <mergeCell ref="D1017:D1018"/>
    <mergeCell ref="E1017:E1018"/>
    <mergeCell ref="G1017:G1018"/>
    <mergeCell ref="H1017:H1018"/>
    <mergeCell ref="I1017:I1018"/>
    <mergeCell ref="J1017:J1018"/>
    <mergeCell ref="K1017:K1018"/>
    <mergeCell ref="L1017:L1018"/>
    <mergeCell ref="M1017:M1018"/>
    <mergeCell ref="N1017:N1018"/>
    <mergeCell ref="G1015:G1016"/>
    <mergeCell ref="H1015:H1016"/>
    <mergeCell ref="I1015:I1016"/>
    <mergeCell ref="J1015:J1016"/>
    <mergeCell ref="K1015:K1016"/>
    <mergeCell ref="B1015:B1016"/>
    <mergeCell ref="C1015:C1016"/>
    <mergeCell ref="D1015:D1016"/>
    <mergeCell ref="E1015:E1016"/>
    <mergeCell ref="L1027:L1028"/>
    <mergeCell ref="M1027:M1028"/>
    <mergeCell ref="N1027:N1028"/>
    <mergeCell ref="B1029:B1030"/>
    <mergeCell ref="C1029:C1030"/>
    <mergeCell ref="D1029:D1030"/>
    <mergeCell ref="E1029:E1030"/>
    <mergeCell ref="G1029:G1030"/>
    <mergeCell ref="H1029:H1030"/>
    <mergeCell ref="I1029:I1030"/>
    <mergeCell ref="J1029:J1030"/>
    <mergeCell ref="K1029:K1030"/>
    <mergeCell ref="L1029:L1030"/>
    <mergeCell ref="M1029:M1030"/>
    <mergeCell ref="N1029:N1030"/>
    <mergeCell ref="G1027:G1028"/>
    <mergeCell ref="H1027:H1028"/>
    <mergeCell ref="I1027:I1028"/>
    <mergeCell ref="J1027:J1028"/>
    <mergeCell ref="K1027:K1028"/>
    <mergeCell ref="B1027:B1028"/>
    <mergeCell ref="C1027:C1028"/>
    <mergeCell ref="D1027:D1028"/>
    <mergeCell ref="E1027:E1028"/>
    <mergeCell ref="L1023:L1024"/>
    <mergeCell ref="M1023:M1024"/>
    <mergeCell ref="N1023:N1024"/>
    <mergeCell ref="B1025:B1026"/>
    <mergeCell ref="C1025:C1026"/>
    <mergeCell ref="D1025:D1026"/>
    <mergeCell ref="E1025:E1026"/>
    <mergeCell ref="G1025:G1026"/>
    <mergeCell ref="H1025:H1026"/>
    <mergeCell ref="I1025:I1026"/>
    <mergeCell ref="J1025:J1026"/>
    <mergeCell ref="K1025:K1026"/>
    <mergeCell ref="L1025:L1026"/>
    <mergeCell ref="M1025:M1026"/>
    <mergeCell ref="N1025:N1026"/>
    <mergeCell ref="G1023:G1024"/>
    <mergeCell ref="H1023:H1024"/>
    <mergeCell ref="I1023:I1024"/>
    <mergeCell ref="J1023:J1024"/>
    <mergeCell ref="K1023:K1024"/>
    <mergeCell ref="B1023:B1024"/>
    <mergeCell ref="C1023:C1024"/>
    <mergeCell ref="D1023:D1024"/>
    <mergeCell ref="E1023:E1024"/>
    <mergeCell ref="L1035:L1036"/>
    <mergeCell ref="M1035:M1036"/>
    <mergeCell ref="N1035:N1036"/>
    <mergeCell ref="B1037:B1038"/>
    <mergeCell ref="C1037:C1038"/>
    <mergeCell ref="D1037:D1038"/>
    <mergeCell ref="E1037:E1038"/>
    <mergeCell ref="G1037:G1038"/>
    <mergeCell ref="H1037:H1038"/>
    <mergeCell ref="I1037:I1038"/>
    <mergeCell ref="J1037:J1038"/>
    <mergeCell ref="K1037:K1038"/>
    <mergeCell ref="L1037:L1038"/>
    <mergeCell ref="M1037:M1038"/>
    <mergeCell ref="N1037:N1038"/>
    <mergeCell ref="G1035:G1036"/>
    <mergeCell ref="H1035:H1036"/>
    <mergeCell ref="I1035:I1036"/>
    <mergeCell ref="J1035:J1036"/>
    <mergeCell ref="K1035:K1036"/>
    <mergeCell ref="B1035:B1036"/>
    <mergeCell ref="C1035:C1036"/>
    <mergeCell ref="D1035:D1036"/>
    <mergeCell ref="E1035:E1036"/>
    <mergeCell ref="L1031:L1032"/>
    <mergeCell ref="M1031:M1032"/>
    <mergeCell ref="N1031:N1032"/>
    <mergeCell ref="B1033:B1034"/>
    <mergeCell ref="C1033:C1034"/>
    <mergeCell ref="D1033:D1034"/>
    <mergeCell ref="E1033:E1034"/>
    <mergeCell ref="G1033:G1034"/>
    <mergeCell ref="H1033:H1034"/>
    <mergeCell ref="I1033:I1034"/>
    <mergeCell ref="J1033:J1034"/>
    <mergeCell ref="K1033:K1034"/>
    <mergeCell ref="L1033:L1034"/>
    <mergeCell ref="M1033:M1034"/>
    <mergeCell ref="N1033:N1034"/>
    <mergeCell ref="G1031:G1032"/>
    <mergeCell ref="H1031:H1032"/>
    <mergeCell ref="I1031:I1032"/>
    <mergeCell ref="J1031:J1032"/>
    <mergeCell ref="K1031:K1032"/>
    <mergeCell ref="B1031:B1032"/>
    <mergeCell ref="C1031:C1032"/>
    <mergeCell ref="D1031:D1032"/>
    <mergeCell ref="E1031:E1032"/>
    <mergeCell ref="L1043:L1044"/>
    <mergeCell ref="M1043:M1044"/>
    <mergeCell ref="N1043:N1044"/>
    <mergeCell ref="B1045:B1046"/>
    <mergeCell ref="C1045:C1046"/>
    <mergeCell ref="D1045:D1046"/>
    <mergeCell ref="E1045:E1046"/>
    <mergeCell ref="G1045:G1046"/>
    <mergeCell ref="H1045:H1046"/>
    <mergeCell ref="I1045:I1046"/>
    <mergeCell ref="J1045:J1046"/>
    <mergeCell ref="K1045:K1046"/>
    <mergeCell ref="L1045:L1046"/>
    <mergeCell ref="M1045:M1046"/>
    <mergeCell ref="N1045:N1046"/>
    <mergeCell ref="G1043:G1044"/>
    <mergeCell ref="H1043:H1044"/>
    <mergeCell ref="I1043:I1044"/>
    <mergeCell ref="J1043:J1044"/>
    <mergeCell ref="K1043:K1044"/>
    <mergeCell ref="B1043:B1044"/>
    <mergeCell ref="C1043:C1044"/>
    <mergeCell ref="D1043:D1044"/>
    <mergeCell ref="E1043:E1044"/>
    <mergeCell ref="L1039:L1040"/>
    <mergeCell ref="M1039:M1040"/>
    <mergeCell ref="N1039:N1040"/>
    <mergeCell ref="B1041:B1042"/>
    <mergeCell ref="C1041:C1042"/>
    <mergeCell ref="D1041:D1042"/>
    <mergeCell ref="E1041:E1042"/>
    <mergeCell ref="G1041:G1042"/>
    <mergeCell ref="H1041:H1042"/>
    <mergeCell ref="I1041:I1042"/>
    <mergeCell ref="J1041:J1042"/>
    <mergeCell ref="K1041:K1042"/>
    <mergeCell ref="L1041:L1042"/>
    <mergeCell ref="M1041:M1042"/>
    <mergeCell ref="N1041:N1042"/>
    <mergeCell ref="G1039:G1040"/>
    <mergeCell ref="H1039:H1040"/>
    <mergeCell ref="I1039:I1040"/>
    <mergeCell ref="J1039:J1040"/>
    <mergeCell ref="K1039:K1040"/>
    <mergeCell ref="B1039:B1040"/>
    <mergeCell ref="C1039:C1040"/>
    <mergeCell ref="D1039:D1040"/>
    <mergeCell ref="E1039:E1040"/>
    <mergeCell ref="L1051:L1052"/>
    <mergeCell ref="M1051:M1052"/>
    <mergeCell ref="N1051:N1052"/>
    <mergeCell ref="B1053:B1054"/>
    <mergeCell ref="C1053:C1054"/>
    <mergeCell ref="D1053:D1054"/>
    <mergeCell ref="E1053:E1054"/>
    <mergeCell ref="G1053:G1054"/>
    <mergeCell ref="H1053:H1054"/>
    <mergeCell ref="I1053:I1054"/>
    <mergeCell ref="J1053:J1054"/>
    <mergeCell ref="K1053:K1054"/>
    <mergeCell ref="L1053:L1054"/>
    <mergeCell ref="M1053:M1054"/>
    <mergeCell ref="N1053:N1054"/>
    <mergeCell ref="G1051:G1052"/>
    <mergeCell ref="H1051:H1052"/>
    <mergeCell ref="I1051:I1052"/>
    <mergeCell ref="J1051:J1052"/>
    <mergeCell ref="K1051:K1052"/>
    <mergeCell ref="B1051:B1052"/>
    <mergeCell ref="C1051:C1052"/>
    <mergeCell ref="D1051:D1052"/>
    <mergeCell ref="E1051:E1052"/>
    <mergeCell ref="L1047:L1048"/>
    <mergeCell ref="M1047:M1048"/>
    <mergeCell ref="N1047:N1048"/>
    <mergeCell ref="B1049:B1050"/>
    <mergeCell ref="C1049:C1050"/>
    <mergeCell ref="D1049:D1050"/>
    <mergeCell ref="E1049:E1050"/>
    <mergeCell ref="G1049:G1050"/>
    <mergeCell ref="H1049:H1050"/>
    <mergeCell ref="I1049:I1050"/>
    <mergeCell ref="J1049:J1050"/>
    <mergeCell ref="K1049:K1050"/>
    <mergeCell ref="L1049:L1050"/>
    <mergeCell ref="M1049:M1050"/>
    <mergeCell ref="N1049:N1050"/>
    <mergeCell ref="G1047:G1048"/>
    <mergeCell ref="H1047:H1048"/>
    <mergeCell ref="I1047:I1048"/>
    <mergeCell ref="J1047:J1048"/>
    <mergeCell ref="K1047:K1048"/>
    <mergeCell ref="B1047:B1048"/>
    <mergeCell ref="C1047:C1048"/>
    <mergeCell ref="D1047:D1048"/>
    <mergeCell ref="E1047:E1048"/>
    <mergeCell ref="L1059:L1060"/>
    <mergeCell ref="M1059:M1060"/>
    <mergeCell ref="N1059:N1060"/>
    <mergeCell ref="B1061:B1062"/>
    <mergeCell ref="C1061:C1062"/>
    <mergeCell ref="D1061:D1062"/>
    <mergeCell ref="E1061:E1062"/>
    <mergeCell ref="G1061:G1062"/>
    <mergeCell ref="H1061:H1062"/>
    <mergeCell ref="I1061:I1062"/>
    <mergeCell ref="J1061:J1062"/>
    <mergeCell ref="K1061:K1062"/>
    <mergeCell ref="L1061:L1062"/>
    <mergeCell ref="M1061:M1062"/>
    <mergeCell ref="N1061:N1062"/>
    <mergeCell ref="G1059:G1060"/>
    <mergeCell ref="H1059:H1060"/>
    <mergeCell ref="I1059:I1060"/>
    <mergeCell ref="J1059:J1060"/>
    <mergeCell ref="K1059:K1060"/>
    <mergeCell ref="B1059:B1060"/>
    <mergeCell ref="C1059:C1060"/>
    <mergeCell ref="D1059:D1060"/>
    <mergeCell ref="E1059:E1060"/>
    <mergeCell ref="L1055:L1056"/>
    <mergeCell ref="M1055:M1056"/>
    <mergeCell ref="N1055:N1056"/>
    <mergeCell ref="B1057:B1058"/>
    <mergeCell ref="C1057:C1058"/>
    <mergeCell ref="D1057:D1058"/>
    <mergeCell ref="E1057:E1058"/>
    <mergeCell ref="G1057:G1058"/>
    <mergeCell ref="H1057:H1058"/>
    <mergeCell ref="I1057:I1058"/>
    <mergeCell ref="J1057:J1058"/>
    <mergeCell ref="K1057:K1058"/>
    <mergeCell ref="L1057:L1058"/>
    <mergeCell ref="M1057:M1058"/>
    <mergeCell ref="N1057:N1058"/>
    <mergeCell ref="G1055:G1056"/>
    <mergeCell ref="H1055:H1056"/>
    <mergeCell ref="I1055:I1056"/>
    <mergeCell ref="J1055:J1056"/>
    <mergeCell ref="K1055:K1056"/>
    <mergeCell ref="B1055:B1056"/>
    <mergeCell ref="C1055:C1056"/>
    <mergeCell ref="D1055:D1056"/>
    <mergeCell ref="E1055:E1056"/>
    <mergeCell ref="L1067:L1068"/>
    <mergeCell ref="M1067:M1068"/>
    <mergeCell ref="N1067:N1068"/>
    <mergeCell ref="B1069:B1070"/>
    <mergeCell ref="C1069:C1070"/>
    <mergeCell ref="D1069:D1070"/>
    <mergeCell ref="E1069:E1070"/>
    <mergeCell ref="G1069:G1070"/>
    <mergeCell ref="H1069:H1070"/>
    <mergeCell ref="I1069:I1070"/>
    <mergeCell ref="J1069:J1070"/>
    <mergeCell ref="K1069:K1070"/>
    <mergeCell ref="L1069:L1070"/>
    <mergeCell ref="M1069:M1070"/>
    <mergeCell ref="N1069:N1070"/>
    <mergeCell ref="G1067:G1068"/>
    <mergeCell ref="H1067:H1068"/>
    <mergeCell ref="I1067:I1068"/>
    <mergeCell ref="J1067:J1068"/>
    <mergeCell ref="K1067:K1068"/>
    <mergeCell ref="B1067:B1068"/>
    <mergeCell ref="C1067:C1068"/>
    <mergeCell ref="D1067:D1068"/>
    <mergeCell ref="E1067:E1068"/>
    <mergeCell ref="L1063:L1064"/>
    <mergeCell ref="M1063:M1064"/>
    <mergeCell ref="N1063:N1064"/>
    <mergeCell ref="B1065:B1066"/>
    <mergeCell ref="C1065:C1066"/>
    <mergeCell ref="D1065:D1066"/>
    <mergeCell ref="E1065:E1066"/>
    <mergeCell ref="G1065:G1066"/>
    <mergeCell ref="H1065:H1066"/>
    <mergeCell ref="I1065:I1066"/>
    <mergeCell ref="J1065:J1066"/>
    <mergeCell ref="K1065:K1066"/>
    <mergeCell ref="L1065:L1066"/>
    <mergeCell ref="M1065:M1066"/>
    <mergeCell ref="N1065:N1066"/>
    <mergeCell ref="G1063:G1064"/>
    <mergeCell ref="H1063:H1064"/>
    <mergeCell ref="I1063:I1064"/>
    <mergeCell ref="J1063:J1064"/>
    <mergeCell ref="K1063:K1064"/>
    <mergeCell ref="B1063:B1064"/>
    <mergeCell ref="C1063:C1064"/>
    <mergeCell ref="D1063:D1064"/>
    <mergeCell ref="E1063:E1064"/>
    <mergeCell ref="L1075:L1076"/>
    <mergeCell ref="M1075:M1076"/>
    <mergeCell ref="N1075:N1076"/>
    <mergeCell ref="B1077:B1078"/>
    <mergeCell ref="C1077:C1078"/>
    <mergeCell ref="D1077:D1078"/>
    <mergeCell ref="E1077:E1078"/>
    <mergeCell ref="G1077:G1078"/>
    <mergeCell ref="H1077:H1078"/>
    <mergeCell ref="I1077:I1078"/>
    <mergeCell ref="J1077:J1078"/>
    <mergeCell ref="K1077:K1078"/>
    <mergeCell ref="L1077:L1078"/>
    <mergeCell ref="M1077:M1078"/>
    <mergeCell ref="N1077:N1078"/>
    <mergeCell ref="G1075:G1076"/>
    <mergeCell ref="H1075:H1076"/>
    <mergeCell ref="I1075:I1076"/>
    <mergeCell ref="J1075:J1076"/>
    <mergeCell ref="K1075:K1076"/>
    <mergeCell ref="B1075:B1076"/>
    <mergeCell ref="C1075:C1076"/>
    <mergeCell ref="D1075:D1076"/>
    <mergeCell ref="E1075:E1076"/>
    <mergeCell ref="L1071:L1072"/>
    <mergeCell ref="M1071:M1072"/>
    <mergeCell ref="N1071:N1072"/>
    <mergeCell ref="B1073:B1074"/>
    <mergeCell ref="C1073:C1074"/>
    <mergeCell ref="D1073:D1074"/>
    <mergeCell ref="E1073:E1074"/>
    <mergeCell ref="G1073:G1074"/>
    <mergeCell ref="H1073:H1074"/>
    <mergeCell ref="I1073:I1074"/>
    <mergeCell ref="J1073:J1074"/>
    <mergeCell ref="K1073:K1074"/>
    <mergeCell ref="L1073:L1074"/>
    <mergeCell ref="M1073:M1074"/>
    <mergeCell ref="N1073:N1074"/>
    <mergeCell ref="G1071:G1072"/>
    <mergeCell ref="H1071:H1072"/>
    <mergeCell ref="I1071:I1072"/>
    <mergeCell ref="J1071:J1072"/>
    <mergeCell ref="K1071:K1072"/>
    <mergeCell ref="B1071:B1072"/>
    <mergeCell ref="C1071:C1072"/>
    <mergeCell ref="D1071:D1072"/>
    <mergeCell ref="E1071:E1072"/>
    <mergeCell ref="L1083:L1084"/>
    <mergeCell ref="M1083:M1084"/>
    <mergeCell ref="N1083:N1084"/>
    <mergeCell ref="B1085:B1086"/>
    <mergeCell ref="C1085:C1086"/>
    <mergeCell ref="D1085:D1086"/>
    <mergeCell ref="E1085:E1086"/>
    <mergeCell ref="G1085:G1086"/>
    <mergeCell ref="H1085:H1086"/>
    <mergeCell ref="I1085:I1086"/>
    <mergeCell ref="J1085:J1086"/>
    <mergeCell ref="K1085:K1086"/>
    <mergeCell ref="L1085:L1086"/>
    <mergeCell ref="M1085:M1086"/>
    <mergeCell ref="N1085:N1086"/>
    <mergeCell ref="G1083:G1084"/>
    <mergeCell ref="H1083:H1084"/>
    <mergeCell ref="I1083:I1084"/>
    <mergeCell ref="J1083:J1084"/>
    <mergeCell ref="K1083:K1084"/>
    <mergeCell ref="B1083:B1084"/>
    <mergeCell ref="C1083:C1084"/>
    <mergeCell ref="D1083:D1084"/>
    <mergeCell ref="E1083:E1084"/>
    <mergeCell ref="L1079:L1080"/>
    <mergeCell ref="M1079:M1080"/>
    <mergeCell ref="N1079:N1080"/>
    <mergeCell ref="B1081:B1082"/>
    <mergeCell ref="C1081:C1082"/>
    <mergeCell ref="D1081:D1082"/>
    <mergeCell ref="E1081:E1082"/>
    <mergeCell ref="G1081:G1082"/>
    <mergeCell ref="H1081:H1082"/>
    <mergeCell ref="I1081:I1082"/>
    <mergeCell ref="J1081:J1082"/>
    <mergeCell ref="K1081:K1082"/>
    <mergeCell ref="L1081:L1082"/>
    <mergeCell ref="M1081:M1082"/>
    <mergeCell ref="N1081:N1082"/>
    <mergeCell ref="G1079:G1080"/>
    <mergeCell ref="H1079:H1080"/>
    <mergeCell ref="I1079:I1080"/>
    <mergeCell ref="J1079:J1080"/>
    <mergeCell ref="K1079:K1080"/>
    <mergeCell ref="B1079:B1080"/>
    <mergeCell ref="C1079:C1080"/>
    <mergeCell ref="D1079:D1080"/>
    <mergeCell ref="E1079:E1080"/>
    <mergeCell ref="L1091:L1092"/>
    <mergeCell ref="M1091:M1092"/>
    <mergeCell ref="N1091:N1092"/>
    <mergeCell ref="B1093:B1094"/>
    <mergeCell ref="C1093:C1094"/>
    <mergeCell ref="D1093:D1094"/>
    <mergeCell ref="E1093:E1094"/>
    <mergeCell ref="G1093:G1094"/>
    <mergeCell ref="H1093:H1094"/>
    <mergeCell ref="I1093:I1094"/>
    <mergeCell ref="J1093:J1094"/>
    <mergeCell ref="K1093:K1094"/>
    <mergeCell ref="L1093:L1094"/>
    <mergeCell ref="M1093:M1094"/>
    <mergeCell ref="N1093:N1094"/>
    <mergeCell ref="G1091:G1092"/>
    <mergeCell ref="H1091:H1092"/>
    <mergeCell ref="I1091:I1092"/>
    <mergeCell ref="J1091:J1092"/>
    <mergeCell ref="K1091:K1092"/>
    <mergeCell ref="B1091:B1092"/>
    <mergeCell ref="C1091:C1092"/>
    <mergeCell ref="D1091:D1092"/>
    <mergeCell ref="E1091:E1092"/>
    <mergeCell ref="L1087:L1088"/>
    <mergeCell ref="M1087:M1088"/>
    <mergeCell ref="N1087:N1088"/>
    <mergeCell ref="B1089:B1090"/>
    <mergeCell ref="C1089:C1090"/>
    <mergeCell ref="D1089:D1090"/>
    <mergeCell ref="E1089:E1090"/>
    <mergeCell ref="G1089:G1090"/>
    <mergeCell ref="H1089:H1090"/>
    <mergeCell ref="I1089:I1090"/>
    <mergeCell ref="J1089:J1090"/>
    <mergeCell ref="K1089:K1090"/>
    <mergeCell ref="L1089:L1090"/>
    <mergeCell ref="M1089:M1090"/>
    <mergeCell ref="N1089:N1090"/>
    <mergeCell ref="G1087:G1088"/>
    <mergeCell ref="H1087:H1088"/>
    <mergeCell ref="I1087:I1088"/>
    <mergeCell ref="J1087:J1088"/>
    <mergeCell ref="K1087:K1088"/>
    <mergeCell ref="B1087:B1088"/>
    <mergeCell ref="C1087:C1088"/>
    <mergeCell ref="D1087:D1088"/>
    <mergeCell ref="E1087:E1088"/>
    <mergeCell ref="L1099:L1100"/>
    <mergeCell ref="M1099:M1100"/>
    <mergeCell ref="N1099:N1100"/>
    <mergeCell ref="B1101:B1102"/>
    <mergeCell ref="C1101:C1102"/>
    <mergeCell ref="D1101:D1102"/>
    <mergeCell ref="E1101:E1102"/>
    <mergeCell ref="G1101:G1102"/>
    <mergeCell ref="H1101:H1102"/>
    <mergeCell ref="I1101:I1102"/>
    <mergeCell ref="J1101:J1102"/>
    <mergeCell ref="K1101:K1102"/>
    <mergeCell ref="L1101:L1102"/>
    <mergeCell ref="M1101:M1102"/>
    <mergeCell ref="N1101:N1102"/>
    <mergeCell ref="G1099:G1100"/>
    <mergeCell ref="H1099:H1100"/>
    <mergeCell ref="I1099:I1100"/>
    <mergeCell ref="J1099:J1100"/>
    <mergeCell ref="K1099:K1100"/>
    <mergeCell ref="B1099:B1100"/>
    <mergeCell ref="C1099:C1100"/>
    <mergeCell ref="D1099:D1100"/>
    <mergeCell ref="E1099:E1100"/>
    <mergeCell ref="L1095:L1096"/>
    <mergeCell ref="M1095:M1096"/>
    <mergeCell ref="N1095:N1096"/>
    <mergeCell ref="B1097:B1098"/>
    <mergeCell ref="C1097:C1098"/>
    <mergeCell ref="D1097:D1098"/>
    <mergeCell ref="E1097:E1098"/>
    <mergeCell ref="G1097:G1098"/>
    <mergeCell ref="H1097:H1098"/>
    <mergeCell ref="I1097:I1098"/>
    <mergeCell ref="J1097:J1098"/>
    <mergeCell ref="K1097:K1098"/>
    <mergeCell ref="L1097:L1098"/>
    <mergeCell ref="M1097:M1098"/>
    <mergeCell ref="N1097:N1098"/>
    <mergeCell ref="G1095:G1096"/>
    <mergeCell ref="H1095:H1096"/>
    <mergeCell ref="I1095:I1096"/>
    <mergeCell ref="J1095:J1096"/>
    <mergeCell ref="K1095:K1096"/>
    <mergeCell ref="B1095:B1096"/>
    <mergeCell ref="C1095:C1096"/>
    <mergeCell ref="D1095:D1096"/>
    <mergeCell ref="E1095:E1096"/>
    <mergeCell ref="L1107:L1108"/>
    <mergeCell ref="M1107:M1108"/>
    <mergeCell ref="N1107:N1108"/>
    <mergeCell ref="B1109:B1110"/>
    <mergeCell ref="C1109:C1110"/>
    <mergeCell ref="D1109:D1110"/>
    <mergeCell ref="E1109:E1110"/>
    <mergeCell ref="G1109:G1110"/>
    <mergeCell ref="H1109:H1110"/>
    <mergeCell ref="I1109:I1110"/>
    <mergeCell ref="J1109:J1110"/>
    <mergeCell ref="K1109:K1110"/>
    <mergeCell ref="L1109:L1110"/>
    <mergeCell ref="M1109:M1110"/>
    <mergeCell ref="N1109:N1110"/>
    <mergeCell ref="G1107:G1108"/>
    <mergeCell ref="H1107:H1108"/>
    <mergeCell ref="I1107:I1108"/>
    <mergeCell ref="J1107:J1108"/>
    <mergeCell ref="K1107:K1108"/>
    <mergeCell ref="B1107:B1108"/>
    <mergeCell ref="C1107:C1108"/>
    <mergeCell ref="D1107:D1108"/>
    <mergeCell ref="E1107:E1108"/>
    <mergeCell ref="L1103:L1104"/>
    <mergeCell ref="M1103:M1104"/>
    <mergeCell ref="N1103:N1104"/>
    <mergeCell ref="B1105:B1106"/>
    <mergeCell ref="C1105:C1106"/>
    <mergeCell ref="D1105:D1106"/>
    <mergeCell ref="E1105:E1106"/>
    <mergeCell ref="G1105:G1106"/>
    <mergeCell ref="H1105:H1106"/>
    <mergeCell ref="I1105:I1106"/>
    <mergeCell ref="J1105:J1106"/>
    <mergeCell ref="K1105:K1106"/>
    <mergeCell ref="L1105:L1106"/>
    <mergeCell ref="M1105:M1106"/>
    <mergeCell ref="N1105:N1106"/>
    <mergeCell ref="G1103:G1104"/>
    <mergeCell ref="H1103:H1104"/>
    <mergeCell ref="I1103:I1104"/>
    <mergeCell ref="J1103:J1104"/>
    <mergeCell ref="K1103:K1104"/>
    <mergeCell ref="B1103:B1104"/>
    <mergeCell ref="C1103:C1104"/>
    <mergeCell ref="D1103:D1104"/>
    <mergeCell ref="E1103:E1104"/>
    <mergeCell ref="L1115:L1116"/>
    <mergeCell ref="M1115:M1116"/>
    <mergeCell ref="N1115:N1116"/>
    <mergeCell ref="B1117:B1118"/>
    <mergeCell ref="C1117:C1118"/>
    <mergeCell ref="D1117:D1118"/>
    <mergeCell ref="E1117:E1118"/>
    <mergeCell ref="G1117:G1118"/>
    <mergeCell ref="H1117:H1118"/>
    <mergeCell ref="I1117:I1118"/>
    <mergeCell ref="J1117:J1118"/>
    <mergeCell ref="K1117:K1118"/>
    <mergeCell ref="L1117:L1118"/>
    <mergeCell ref="M1117:M1118"/>
    <mergeCell ref="N1117:N1118"/>
    <mergeCell ref="G1115:G1116"/>
    <mergeCell ref="H1115:H1116"/>
    <mergeCell ref="I1115:I1116"/>
    <mergeCell ref="J1115:J1116"/>
    <mergeCell ref="K1115:K1116"/>
    <mergeCell ref="B1115:B1116"/>
    <mergeCell ref="C1115:C1116"/>
    <mergeCell ref="D1115:D1116"/>
    <mergeCell ref="E1115:E1116"/>
    <mergeCell ref="L1111:L1112"/>
    <mergeCell ref="M1111:M1112"/>
    <mergeCell ref="N1111:N1112"/>
    <mergeCell ref="B1113:B1114"/>
    <mergeCell ref="C1113:C1114"/>
    <mergeCell ref="D1113:D1114"/>
    <mergeCell ref="E1113:E1114"/>
    <mergeCell ref="G1113:G1114"/>
    <mergeCell ref="H1113:H1114"/>
    <mergeCell ref="I1113:I1114"/>
    <mergeCell ref="J1113:J1114"/>
    <mergeCell ref="K1113:K1114"/>
    <mergeCell ref="L1113:L1114"/>
    <mergeCell ref="M1113:M1114"/>
    <mergeCell ref="N1113:N1114"/>
    <mergeCell ref="G1111:G1112"/>
    <mergeCell ref="H1111:H1112"/>
    <mergeCell ref="I1111:I1112"/>
    <mergeCell ref="J1111:J1112"/>
    <mergeCell ref="K1111:K1112"/>
    <mergeCell ref="B1111:B1112"/>
    <mergeCell ref="C1111:C1112"/>
    <mergeCell ref="D1111:D1112"/>
    <mergeCell ref="E1111:E1112"/>
    <mergeCell ref="L1123:L1124"/>
    <mergeCell ref="M1123:M1124"/>
    <mergeCell ref="N1123:N1124"/>
    <mergeCell ref="B1125:B1126"/>
    <mergeCell ref="C1125:C1126"/>
    <mergeCell ref="D1125:D1126"/>
    <mergeCell ref="E1125:E1126"/>
    <mergeCell ref="G1125:G1126"/>
    <mergeCell ref="H1125:H1126"/>
    <mergeCell ref="I1125:I1126"/>
    <mergeCell ref="J1125:J1126"/>
    <mergeCell ref="K1125:K1126"/>
    <mergeCell ref="L1125:L1126"/>
    <mergeCell ref="M1125:M1126"/>
    <mergeCell ref="N1125:N1126"/>
    <mergeCell ref="G1123:G1124"/>
    <mergeCell ref="H1123:H1124"/>
    <mergeCell ref="I1123:I1124"/>
    <mergeCell ref="J1123:J1124"/>
    <mergeCell ref="K1123:K1124"/>
    <mergeCell ref="B1123:B1124"/>
    <mergeCell ref="C1123:C1124"/>
    <mergeCell ref="D1123:D1124"/>
    <mergeCell ref="E1123:E1124"/>
    <mergeCell ref="L1119:L1120"/>
    <mergeCell ref="M1119:M1120"/>
    <mergeCell ref="N1119:N1120"/>
    <mergeCell ref="B1121:B1122"/>
    <mergeCell ref="C1121:C1122"/>
    <mergeCell ref="D1121:D1122"/>
    <mergeCell ref="E1121:E1122"/>
    <mergeCell ref="G1121:G1122"/>
    <mergeCell ref="H1121:H1122"/>
    <mergeCell ref="I1121:I1122"/>
    <mergeCell ref="J1121:J1122"/>
    <mergeCell ref="K1121:K1122"/>
    <mergeCell ref="L1121:L1122"/>
    <mergeCell ref="M1121:M1122"/>
    <mergeCell ref="N1121:N1122"/>
    <mergeCell ref="G1119:G1120"/>
    <mergeCell ref="H1119:H1120"/>
    <mergeCell ref="I1119:I1120"/>
    <mergeCell ref="J1119:J1120"/>
    <mergeCell ref="K1119:K1120"/>
    <mergeCell ref="B1119:B1120"/>
    <mergeCell ref="C1119:C1120"/>
    <mergeCell ref="D1119:D1120"/>
    <mergeCell ref="E1119:E1120"/>
    <mergeCell ref="L1131:L1132"/>
    <mergeCell ref="M1131:M1132"/>
    <mergeCell ref="N1131:N1132"/>
    <mergeCell ref="B1133:B1134"/>
    <mergeCell ref="C1133:C1134"/>
    <mergeCell ref="D1133:D1134"/>
    <mergeCell ref="E1133:E1134"/>
    <mergeCell ref="G1133:G1134"/>
    <mergeCell ref="H1133:H1134"/>
    <mergeCell ref="I1133:I1134"/>
    <mergeCell ref="J1133:J1134"/>
    <mergeCell ref="K1133:K1134"/>
    <mergeCell ref="L1133:L1134"/>
    <mergeCell ref="M1133:M1134"/>
    <mergeCell ref="N1133:N1134"/>
    <mergeCell ref="G1131:G1132"/>
    <mergeCell ref="H1131:H1132"/>
    <mergeCell ref="I1131:I1132"/>
    <mergeCell ref="J1131:J1132"/>
    <mergeCell ref="K1131:K1132"/>
    <mergeCell ref="B1131:B1132"/>
    <mergeCell ref="C1131:C1132"/>
    <mergeCell ref="D1131:D1132"/>
    <mergeCell ref="E1131:E1132"/>
    <mergeCell ref="L1127:L1128"/>
    <mergeCell ref="M1127:M1128"/>
    <mergeCell ref="N1127:N1128"/>
    <mergeCell ref="B1129:B1130"/>
    <mergeCell ref="C1129:C1130"/>
    <mergeCell ref="D1129:D1130"/>
    <mergeCell ref="E1129:E1130"/>
    <mergeCell ref="G1129:G1130"/>
    <mergeCell ref="H1129:H1130"/>
    <mergeCell ref="I1129:I1130"/>
    <mergeCell ref="J1129:J1130"/>
    <mergeCell ref="K1129:K1130"/>
    <mergeCell ref="L1129:L1130"/>
    <mergeCell ref="M1129:M1130"/>
    <mergeCell ref="N1129:N1130"/>
    <mergeCell ref="G1127:G1128"/>
    <mergeCell ref="H1127:H1128"/>
    <mergeCell ref="I1127:I1128"/>
    <mergeCell ref="J1127:J1128"/>
    <mergeCell ref="K1127:K1128"/>
    <mergeCell ref="B1127:B1128"/>
    <mergeCell ref="C1127:C1128"/>
    <mergeCell ref="D1127:D1128"/>
    <mergeCell ref="E1127:E1128"/>
    <mergeCell ref="L1139:L1140"/>
    <mergeCell ref="M1139:M1140"/>
    <mergeCell ref="N1139:N1140"/>
    <mergeCell ref="B1141:B1142"/>
    <mergeCell ref="C1141:C1142"/>
    <mergeCell ref="D1141:D1142"/>
    <mergeCell ref="E1141:E1142"/>
    <mergeCell ref="G1141:G1142"/>
    <mergeCell ref="H1141:H1142"/>
    <mergeCell ref="I1141:I1142"/>
    <mergeCell ref="J1141:J1142"/>
    <mergeCell ref="K1141:K1142"/>
    <mergeCell ref="L1141:L1142"/>
    <mergeCell ref="M1141:M1142"/>
    <mergeCell ref="N1141:N1142"/>
    <mergeCell ref="G1139:G1140"/>
    <mergeCell ref="H1139:H1140"/>
    <mergeCell ref="I1139:I1140"/>
    <mergeCell ref="J1139:J1140"/>
    <mergeCell ref="K1139:K1140"/>
    <mergeCell ref="B1139:B1140"/>
    <mergeCell ref="C1139:C1140"/>
    <mergeCell ref="D1139:D1140"/>
    <mergeCell ref="E1139:E1140"/>
    <mergeCell ref="L1135:L1136"/>
    <mergeCell ref="M1135:M1136"/>
    <mergeCell ref="N1135:N1136"/>
    <mergeCell ref="B1137:B1138"/>
    <mergeCell ref="C1137:C1138"/>
    <mergeCell ref="D1137:D1138"/>
    <mergeCell ref="E1137:E1138"/>
    <mergeCell ref="G1137:G1138"/>
    <mergeCell ref="H1137:H1138"/>
    <mergeCell ref="I1137:I1138"/>
    <mergeCell ref="J1137:J1138"/>
    <mergeCell ref="K1137:K1138"/>
    <mergeCell ref="L1137:L1138"/>
    <mergeCell ref="M1137:M1138"/>
    <mergeCell ref="N1137:N1138"/>
    <mergeCell ref="G1135:G1136"/>
    <mergeCell ref="H1135:H1136"/>
    <mergeCell ref="I1135:I1136"/>
    <mergeCell ref="J1135:J1136"/>
    <mergeCell ref="K1135:K1136"/>
    <mergeCell ref="B1135:B1136"/>
    <mergeCell ref="C1135:C1136"/>
    <mergeCell ref="D1135:D1136"/>
    <mergeCell ref="E1135:E1136"/>
    <mergeCell ref="L1147:L1148"/>
    <mergeCell ref="M1147:M1148"/>
    <mergeCell ref="N1147:N1148"/>
    <mergeCell ref="B1149:B1150"/>
    <mergeCell ref="C1149:C1150"/>
    <mergeCell ref="D1149:D1150"/>
    <mergeCell ref="E1149:E1150"/>
    <mergeCell ref="G1149:G1150"/>
    <mergeCell ref="H1149:H1150"/>
    <mergeCell ref="I1149:I1150"/>
    <mergeCell ref="J1149:J1150"/>
    <mergeCell ref="K1149:K1150"/>
    <mergeCell ref="L1149:L1150"/>
    <mergeCell ref="M1149:M1150"/>
    <mergeCell ref="N1149:N1150"/>
    <mergeCell ref="G1147:G1148"/>
    <mergeCell ref="H1147:H1148"/>
    <mergeCell ref="I1147:I1148"/>
    <mergeCell ref="J1147:J1148"/>
    <mergeCell ref="K1147:K1148"/>
    <mergeCell ref="B1147:B1148"/>
    <mergeCell ref="C1147:C1148"/>
    <mergeCell ref="D1147:D1148"/>
    <mergeCell ref="E1147:E1148"/>
    <mergeCell ref="L1143:L1144"/>
    <mergeCell ref="M1143:M1144"/>
    <mergeCell ref="N1143:N1144"/>
    <mergeCell ref="B1145:B1146"/>
    <mergeCell ref="C1145:C1146"/>
    <mergeCell ref="D1145:D1146"/>
    <mergeCell ref="E1145:E1146"/>
    <mergeCell ref="G1145:G1146"/>
    <mergeCell ref="H1145:H1146"/>
    <mergeCell ref="I1145:I1146"/>
    <mergeCell ref="J1145:J1146"/>
    <mergeCell ref="K1145:K1146"/>
    <mergeCell ref="L1145:L1146"/>
    <mergeCell ref="M1145:M1146"/>
    <mergeCell ref="N1145:N1146"/>
    <mergeCell ref="G1143:G1144"/>
    <mergeCell ref="H1143:H1144"/>
    <mergeCell ref="I1143:I1144"/>
    <mergeCell ref="J1143:J1144"/>
    <mergeCell ref="K1143:K1144"/>
    <mergeCell ref="B1143:B1144"/>
    <mergeCell ref="C1143:C1144"/>
    <mergeCell ref="D1143:D1144"/>
    <mergeCell ref="E1143:E1144"/>
    <mergeCell ref="L1155:L1156"/>
    <mergeCell ref="M1155:M1156"/>
    <mergeCell ref="N1155:N1156"/>
    <mergeCell ref="B1157:B1158"/>
    <mergeCell ref="C1157:C1158"/>
    <mergeCell ref="D1157:D1158"/>
    <mergeCell ref="E1157:E1158"/>
    <mergeCell ref="G1157:G1158"/>
    <mergeCell ref="H1157:H1158"/>
    <mergeCell ref="I1157:I1158"/>
    <mergeCell ref="J1157:J1158"/>
    <mergeCell ref="K1157:K1158"/>
    <mergeCell ref="L1157:L1158"/>
    <mergeCell ref="M1157:M1158"/>
    <mergeCell ref="N1157:N1158"/>
    <mergeCell ref="G1155:G1156"/>
    <mergeCell ref="H1155:H1156"/>
    <mergeCell ref="I1155:I1156"/>
    <mergeCell ref="J1155:J1156"/>
    <mergeCell ref="K1155:K1156"/>
    <mergeCell ref="B1155:B1156"/>
    <mergeCell ref="C1155:C1156"/>
    <mergeCell ref="D1155:D1156"/>
    <mergeCell ref="E1155:E1156"/>
    <mergeCell ref="L1151:L1152"/>
    <mergeCell ref="M1151:M1152"/>
    <mergeCell ref="N1151:N1152"/>
    <mergeCell ref="B1153:B1154"/>
    <mergeCell ref="C1153:C1154"/>
    <mergeCell ref="D1153:D1154"/>
    <mergeCell ref="E1153:E1154"/>
    <mergeCell ref="G1153:G1154"/>
    <mergeCell ref="H1153:H1154"/>
    <mergeCell ref="I1153:I1154"/>
    <mergeCell ref="J1153:J1154"/>
    <mergeCell ref="K1153:K1154"/>
    <mergeCell ref="L1153:L1154"/>
    <mergeCell ref="M1153:M1154"/>
    <mergeCell ref="N1153:N1154"/>
    <mergeCell ref="G1151:G1152"/>
    <mergeCell ref="H1151:H1152"/>
    <mergeCell ref="I1151:I1152"/>
    <mergeCell ref="J1151:J1152"/>
    <mergeCell ref="K1151:K1152"/>
    <mergeCell ref="B1151:B1152"/>
    <mergeCell ref="C1151:C1152"/>
    <mergeCell ref="D1151:D1152"/>
    <mergeCell ref="E1151:E1152"/>
    <mergeCell ref="L1163:L1164"/>
    <mergeCell ref="M1163:M1164"/>
    <mergeCell ref="N1163:N1164"/>
    <mergeCell ref="B1165:B1166"/>
    <mergeCell ref="C1165:C1166"/>
    <mergeCell ref="D1165:D1166"/>
    <mergeCell ref="E1165:E1166"/>
    <mergeCell ref="G1165:G1166"/>
    <mergeCell ref="H1165:H1166"/>
    <mergeCell ref="I1165:I1166"/>
    <mergeCell ref="J1165:J1166"/>
    <mergeCell ref="K1165:K1166"/>
    <mergeCell ref="L1165:L1166"/>
    <mergeCell ref="M1165:M1166"/>
    <mergeCell ref="N1165:N1166"/>
    <mergeCell ref="G1163:G1164"/>
    <mergeCell ref="H1163:H1164"/>
    <mergeCell ref="I1163:I1164"/>
    <mergeCell ref="J1163:J1164"/>
    <mergeCell ref="K1163:K1164"/>
    <mergeCell ref="B1163:B1164"/>
    <mergeCell ref="C1163:C1164"/>
    <mergeCell ref="D1163:D1164"/>
    <mergeCell ref="E1163:E1164"/>
    <mergeCell ref="L1159:L1160"/>
    <mergeCell ref="M1159:M1160"/>
    <mergeCell ref="N1159:N1160"/>
    <mergeCell ref="B1161:B1162"/>
    <mergeCell ref="C1161:C1162"/>
    <mergeCell ref="D1161:D1162"/>
    <mergeCell ref="E1161:E1162"/>
    <mergeCell ref="G1161:G1162"/>
    <mergeCell ref="H1161:H1162"/>
    <mergeCell ref="I1161:I1162"/>
    <mergeCell ref="J1161:J1162"/>
    <mergeCell ref="K1161:K1162"/>
    <mergeCell ref="L1161:L1162"/>
    <mergeCell ref="M1161:M1162"/>
    <mergeCell ref="N1161:N1162"/>
    <mergeCell ref="G1159:G1160"/>
    <mergeCell ref="H1159:H1160"/>
    <mergeCell ref="I1159:I1160"/>
    <mergeCell ref="J1159:J1160"/>
    <mergeCell ref="K1159:K1160"/>
    <mergeCell ref="B1159:B1160"/>
    <mergeCell ref="C1159:C1160"/>
    <mergeCell ref="D1159:D1160"/>
    <mergeCell ref="E1159:E1160"/>
    <mergeCell ref="L1171:L1172"/>
    <mergeCell ref="M1171:M1172"/>
    <mergeCell ref="N1171:N1172"/>
    <mergeCell ref="B1173:B1174"/>
    <mergeCell ref="C1173:C1174"/>
    <mergeCell ref="D1173:D1174"/>
    <mergeCell ref="E1173:E1174"/>
    <mergeCell ref="G1173:G1174"/>
    <mergeCell ref="H1173:H1174"/>
    <mergeCell ref="I1173:I1174"/>
    <mergeCell ref="J1173:J1174"/>
    <mergeCell ref="K1173:K1174"/>
    <mergeCell ref="L1173:L1174"/>
    <mergeCell ref="M1173:M1174"/>
    <mergeCell ref="N1173:N1174"/>
    <mergeCell ref="G1171:G1172"/>
    <mergeCell ref="H1171:H1172"/>
    <mergeCell ref="I1171:I1172"/>
    <mergeCell ref="J1171:J1172"/>
    <mergeCell ref="K1171:K1172"/>
    <mergeCell ref="B1171:B1172"/>
    <mergeCell ref="C1171:C1172"/>
    <mergeCell ref="D1171:D1172"/>
    <mergeCell ref="E1171:E1172"/>
    <mergeCell ref="L1167:L1168"/>
    <mergeCell ref="M1167:M1168"/>
    <mergeCell ref="N1167:N1168"/>
    <mergeCell ref="B1169:B1170"/>
    <mergeCell ref="C1169:C1170"/>
    <mergeCell ref="D1169:D1170"/>
    <mergeCell ref="E1169:E1170"/>
    <mergeCell ref="G1169:G1170"/>
    <mergeCell ref="H1169:H1170"/>
    <mergeCell ref="I1169:I1170"/>
    <mergeCell ref="J1169:J1170"/>
    <mergeCell ref="K1169:K1170"/>
    <mergeCell ref="L1169:L1170"/>
    <mergeCell ref="M1169:M1170"/>
    <mergeCell ref="N1169:N1170"/>
    <mergeCell ref="G1167:G1168"/>
    <mergeCell ref="H1167:H1168"/>
    <mergeCell ref="I1167:I1168"/>
    <mergeCell ref="J1167:J1168"/>
    <mergeCell ref="K1167:K1168"/>
    <mergeCell ref="B1167:B1168"/>
    <mergeCell ref="C1167:C1168"/>
    <mergeCell ref="D1167:D1168"/>
    <mergeCell ref="E1167:E1168"/>
    <mergeCell ref="L1179:L1180"/>
    <mergeCell ref="M1179:M1180"/>
    <mergeCell ref="N1179:N1180"/>
    <mergeCell ref="B1181:B1182"/>
    <mergeCell ref="C1181:C1182"/>
    <mergeCell ref="D1181:D1182"/>
    <mergeCell ref="E1181:E1182"/>
    <mergeCell ref="G1181:G1182"/>
    <mergeCell ref="H1181:H1182"/>
    <mergeCell ref="I1181:I1182"/>
    <mergeCell ref="J1181:J1182"/>
    <mergeCell ref="K1181:K1182"/>
    <mergeCell ref="L1181:L1182"/>
    <mergeCell ref="M1181:M1182"/>
    <mergeCell ref="N1181:N1182"/>
    <mergeCell ref="G1179:G1180"/>
    <mergeCell ref="H1179:H1180"/>
    <mergeCell ref="I1179:I1180"/>
    <mergeCell ref="J1179:J1180"/>
    <mergeCell ref="K1179:K1180"/>
    <mergeCell ref="B1179:B1180"/>
    <mergeCell ref="C1179:C1180"/>
    <mergeCell ref="D1179:D1180"/>
    <mergeCell ref="E1179:E1180"/>
    <mergeCell ref="L1175:L1176"/>
    <mergeCell ref="M1175:M1176"/>
    <mergeCell ref="N1175:N1176"/>
    <mergeCell ref="B1177:B1178"/>
    <mergeCell ref="C1177:C1178"/>
    <mergeCell ref="D1177:D1178"/>
    <mergeCell ref="E1177:E1178"/>
    <mergeCell ref="G1177:G1178"/>
    <mergeCell ref="H1177:H1178"/>
    <mergeCell ref="I1177:I1178"/>
    <mergeCell ref="J1177:J1178"/>
    <mergeCell ref="K1177:K1178"/>
    <mergeCell ref="L1177:L1178"/>
    <mergeCell ref="M1177:M1178"/>
    <mergeCell ref="N1177:N1178"/>
    <mergeCell ref="G1175:G1176"/>
    <mergeCell ref="H1175:H1176"/>
    <mergeCell ref="I1175:I1176"/>
    <mergeCell ref="J1175:J1176"/>
    <mergeCell ref="K1175:K1176"/>
    <mergeCell ref="B1175:B1176"/>
    <mergeCell ref="C1175:C1176"/>
    <mergeCell ref="D1175:D1176"/>
    <mergeCell ref="E1175:E1176"/>
    <mergeCell ref="L1187:L1188"/>
    <mergeCell ref="M1187:M1188"/>
    <mergeCell ref="N1187:N1188"/>
    <mergeCell ref="B1189:B1190"/>
    <mergeCell ref="C1189:C1190"/>
    <mergeCell ref="D1189:D1190"/>
    <mergeCell ref="E1189:E1190"/>
    <mergeCell ref="G1189:G1190"/>
    <mergeCell ref="H1189:H1190"/>
    <mergeCell ref="I1189:I1190"/>
    <mergeCell ref="J1189:J1190"/>
    <mergeCell ref="K1189:K1190"/>
    <mergeCell ref="L1189:L1190"/>
    <mergeCell ref="M1189:M1190"/>
    <mergeCell ref="N1189:N1190"/>
    <mergeCell ref="G1187:G1188"/>
    <mergeCell ref="H1187:H1188"/>
    <mergeCell ref="I1187:I1188"/>
    <mergeCell ref="J1187:J1188"/>
    <mergeCell ref="K1187:K1188"/>
    <mergeCell ref="B1187:B1188"/>
    <mergeCell ref="C1187:C1188"/>
    <mergeCell ref="D1187:D1188"/>
    <mergeCell ref="E1187:E1188"/>
    <mergeCell ref="L1183:L1184"/>
    <mergeCell ref="M1183:M1184"/>
    <mergeCell ref="N1183:N1184"/>
    <mergeCell ref="B1185:B1186"/>
    <mergeCell ref="C1185:C1186"/>
    <mergeCell ref="D1185:D1186"/>
    <mergeCell ref="E1185:E1186"/>
    <mergeCell ref="G1185:G1186"/>
    <mergeCell ref="H1185:H1186"/>
    <mergeCell ref="I1185:I1186"/>
    <mergeCell ref="J1185:J1186"/>
    <mergeCell ref="K1185:K1186"/>
    <mergeCell ref="L1185:L1186"/>
    <mergeCell ref="M1185:M1186"/>
    <mergeCell ref="N1185:N1186"/>
    <mergeCell ref="G1183:G1184"/>
    <mergeCell ref="H1183:H1184"/>
    <mergeCell ref="I1183:I1184"/>
    <mergeCell ref="J1183:J1184"/>
    <mergeCell ref="K1183:K1184"/>
    <mergeCell ref="B1183:B1184"/>
    <mergeCell ref="C1183:C1184"/>
    <mergeCell ref="D1183:D1184"/>
    <mergeCell ref="E1183:E1184"/>
    <mergeCell ref="L1195:L1196"/>
    <mergeCell ref="M1195:M1196"/>
    <mergeCell ref="N1195:N1196"/>
    <mergeCell ref="B1197:B1198"/>
    <mergeCell ref="C1197:C1198"/>
    <mergeCell ref="D1197:D1198"/>
    <mergeCell ref="E1197:E1198"/>
    <mergeCell ref="G1197:G1198"/>
    <mergeCell ref="H1197:H1198"/>
    <mergeCell ref="I1197:I1198"/>
    <mergeCell ref="J1197:J1198"/>
    <mergeCell ref="K1197:K1198"/>
    <mergeCell ref="L1197:L1198"/>
    <mergeCell ref="M1197:M1198"/>
    <mergeCell ref="N1197:N1198"/>
    <mergeCell ref="G1195:G1196"/>
    <mergeCell ref="H1195:H1196"/>
    <mergeCell ref="I1195:I1196"/>
    <mergeCell ref="J1195:J1196"/>
    <mergeCell ref="K1195:K1196"/>
    <mergeCell ref="B1195:B1196"/>
    <mergeCell ref="C1195:C1196"/>
    <mergeCell ref="D1195:D1196"/>
    <mergeCell ref="E1195:E1196"/>
    <mergeCell ref="L1191:L1192"/>
    <mergeCell ref="M1191:M1192"/>
    <mergeCell ref="N1191:N1192"/>
    <mergeCell ref="B1193:B1194"/>
    <mergeCell ref="C1193:C1194"/>
    <mergeCell ref="D1193:D1194"/>
    <mergeCell ref="E1193:E1194"/>
    <mergeCell ref="G1193:G1194"/>
    <mergeCell ref="H1193:H1194"/>
    <mergeCell ref="I1193:I1194"/>
    <mergeCell ref="J1193:J1194"/>
    <mergeCell ref="K1193:K1194"/>
    <mergeCell ref="L1193:L1194"/>
    <mergeCell ref="M1193:M1194"/>
    <mergeCell ref="N1193:N1194"/>
    <mergeCell ref="G1191:G1192"/>
    <mergeCell ref="H1191:H1192"/>
    <mergeCell ref="I1191:I1192"/>
    <mergeCell ref="J1191:J1192"/>
    <mergeCell ref="K1191:K1192"/>
    <mergeCell ref="B1191:B1192"/>
    <mergeCell ref="C1191:C1192"/>
    <mergeCell ref="D1191:D1192"/>
    <mergeCell ref="E1191:E1192"/>
    <mergeCell ref="L1203:L1204"/>
    <mergeCell ref="M1203:M1204"/>
    <mergeCell ref="N1203:N1204"/>
    <mergeCell ref="B1205:B1206"/>
    <mergeCell ref="C1205:C1206"/>
    <mergeCell ref="D1205:D1206"/>
    <mergeCell ref="E1205:E1206"/>
    <mergeCell ref="G1205:G1206"/>
    <mergeCell ref="H1205:H1206"/>
    <mergeCell ref="I1205:I1206"/>
    <mergeCell ref="J1205:J1206"/>
    <mergeCell ref="K1205:K1206"/>
    <mergeCell ref="L1205:L1206"/>
    <mergeCell ref="M1205:M1206"/>
    <mergeCell ref="N1205:N1206"/>
    <mergeCell ref="G1203:G1204"/>
    <mergeCell ref="H1203:H1204"/>
    <mergeCell ref="I1203:I1204"/>
    <mergeCell ref="J1203:J1204"/>
    <mergeCell ref="K1203:K1204"/>
    <mergeCell ref="B1203:B1204"/>
    <mergeCell ref="C1203:C1204"/>
    <mergeCell ref="D1203:D1204"/>
    <mergeCell ref="E1203:E1204"/>
    <mergeCell ref="L1199:L1200"/>
    <mergeCell ref="M1199:M1200"/>
    <mergeCell ref="N1199:N1200"/>
    <mergeCell ref="B1201:B1202"/>
    <mergeCell ref="C1201:C1202"/>
    <mergeCell ref="D1201:D1202"/>
    <mergeCell ref="E1201:E1202"/>
    <mergeCell ref="G1201:G1202"/>
    <mergeCell ref="H1201:H1202"/>
    <mergeCell ref="I1201:I1202"/>
    <mergeCell ref="J1201:J1202"/>
    <mergeCell ref="K1201:K1202"/>
    <mergeCell ref="L1201:L1202"/>
    <mergeCell ref="M1201:M1202"/>
    <mergeCell ref="N1201:N1202"/>
    <mergeCell ref="G1199:G1200"/>
    <mergeCell ref="H1199:H1200"/>
    <mergeCell ref="I1199:I1200"/>
    <mergeCell ref="J1199:J1200"/>
    <mergeCell ref="K1199:K1200"/>
    <mergeCell ref="B1199:B1200"/>
    <mergeCell ref="C1199:C1200"/>
    <mergeCell ref="D1199:D1200"/>
    <mergeCell ref="E1199:E1200"/>
    <mergeCell ref="L1211:L1212"/>
    <mergeCell ref="M1211:M1212"/>
    <mergeCell ref="N1211:N1212"/>
    <mergeCell ref="B1213:B1214"/>
    <mergeCell ref="C1213:C1214"/>
    <mergeCell ref="D1213:D1214"/>
    <mergeCell ref="E1213:E1214"/>
    <mergeCell ref="G1213:G1214"/>
    <mergeCell ref="H1213:H1214"/>
    <mergeCell ref="I1213:I1214"/>
    <mergeCell ref="J1213:J1214"/>
    <mergeCell ref="K1213:K1214"/>
    <mergeCell ref="L1213:L1214"/>
    <mergeCell ref="M1213:M1214"/>
    <mergeCell ref="N1213:N1214"/>
    <mergeCell ref="G1211:G1212"/>
    <mergeCell ref="H1211:H1212"/>
    <mergeCell ref="I1211:I1212"/>
    <mergeCell ref="J1211:J1212"/>
    <mergeCell ref="K1211:K1212"/>
    <mergeCell ref="B1211:B1212"/>
    <mergeCell ref="C1211:C1212"/>
    <mergeCell ref="D1211:D1212"/>
    <mergeCell ref="E1211:E1212"/>
    <mergeCell ref="L1207:L1208"/>
    <mergeCell ref="M1207:M1208"/>
    <mergeCell ref="N1207:N1208"/>
    <mergeCell ref="B1209:B1210"/>
    <mergeCell ref="C1209:C1210"/>
    <mergeCell ref="D1209:D1210"/>
    <mergeCell ref="E1209:E1210"/>
    <mergeCell ref="G1209:G1210"/>
    <mergeCell ref="H1209:H1210"/>
    <mergeCell ref="I1209:I1210"/>
    <mergeCell ref="J1209:J1210"/>
    <mergeCell ref="K1209:K1210"/>
    <mergeCell ref="L1209:L1210"/>
    <mergeCell ref="M1209:M1210"/>
    <mergeCell ref="N1209:N1210"/>
    <mergeCell ref="G1207:G1208"/>
    <mergeCell ref="H1207:H1208"/>
    <mergeCell ref="I1207:I1208"/>
    <mergeCell ref="J1207:J1208"/>
    <mergeCell ref="K1207:K1208"/>
    <mergeCell ref="B1207:B1208"/>
    <mergeCell ref="C1207:C1208"/>
    <mergeCell ref="D1207:D1208"/>
    <mergeCell ref="E1207:E1208"/>
    <mergeCell ref="L1219:L1220"/>
    <mergeCell ref="M1219:M1220"/>
    <mergeCell ref="N1219:N1220"/>
    <mergeCell ref="B1221:B1222"/>
    <mergeCell ref="C1221:C1222"/>
    <mergeCell ref="D1221:D1222"/>
    <mergeCell ref="E1221:E1222"/>
    <mergeCell ref="G1221:G1222"/>
    <mergeCell ref="H1221:H1222"/>
    <mergeCell ref="I1221:I1222"/>
    <mergeCell ref="J1221:J1222"/>
    <mergeCell ref="K1221:K1222"/>
    <mergeCell ref="L1221:L1222"/>
    <mergeCell ref="M1221:M1222"/>
    <mergeCell ref="N1221:N1222"/>
    <mergeCell ref="G1219:G1220"/>
    <mergeCell ref="H1219:H1220"/>
    <mergeCell ref="I1219:I1220"/>
    <mergeCell ref="J1219:J1220"/>
    <mergeCell ref="K1219:K1220"/>
    <mergeCell ref="B1219:B1220"/>
    <mergeCell ref="C1219:C1220"/>
    <mergeCell ref="D1219:D1220"/>
    <mergeCell ref="E1219:E1220"/>
    <mergeCell ref="L1215:L1216"/>
    <mergeCell ref="M1215:M1216"/>
    <mergeCell ref="N1215:N1216"/>
    <mergeCell ref="B1217:B1218"/>
    <mergeCell ref="C1217:C1218"/>
    <mergeCell ref="D1217:D1218"/>
    <mergeCell ref="E1217:E1218"/>
    <mergeCell ref="G1217:G1218"/>
    <mergeCell ref="H1217:H1218"/>
    <mergeCell ref="I1217:I1218"/>
    <mergeCell ref="J1217:J1218"/>
    <mergeCell ref="K1217:K1218"/>
    <mergeCell ref="L1217:L1218"/>
    <mergeCell ref="M1217:M1218"/>
    <mergeCell ref="N1217:N1218"/>
    <mergeCell ref="G1215:G1216"/>
    <mergeCell ref="H1215:H1216"/>
    <mergeCell ref="I1215:I1216"/>
    <mergeCell ref="J1215:J1216"/>
    <mergeCell ref="K1215:K1216"/>
    <mergeCell ref="B1215:B1216"/>
    <mergeCell ref="C1215:C1216"/>
    <mergeCell ref="D1215:D1216"/>
    <mergeCell ref="E1215:E1216"/>
    <mergeCell ref="L1227:L1228"/>
    <mergeCell ref="M1227:M1228"/>
    <mergeCell ref="N1227:N1228"/>
    <mergeCell ref="B1229:B1230"/>
    <mergeCell ref="C1229:C1230"/>
    <mergeCell ref="D1229:D1230"/>
    <mergeCell ref="E1229:E1230"/>
    <mergeCell ref="G1229:G1230"/>
    <mergeCell ref="H1229:H1230"/>
    <mergeCell ref="I1229:I1230"/>
    <mergeCell ref="J1229:J1230"/>
    <mergeCell ref="K1229:K1230"/>
    <mergeCell ref="L1229:L1230"/>
    <mergeCell ref="M1229:M1230"/>
    <mergeCell ref="N1229:N1230"/>
    <mergeCell ref="G1227:G1228"/>
    <mergeCell ref="H1227:H1228"/>
    <mergeCell ref="I1227:I1228"/>
    <mergeCell ref="J1227:J1228"/>
    <mergeCell ref="K1227:K1228"/>
    <mergeCell ref="B1227:B1228"/>
    <mergeCell ref="C1227:C1228"/>
    <mergeCell ref="D1227:D1228"/>
    <mergeCell ref="E1227:E1228"/>
    <mergeCell ref="L1223:L1224"/>
    <mergeCell ref="M1223:M1224"/>
    <mergeCell ref="N1223:N1224"/>
    <mergeCell ref="B1225:B1226"/>
    <mergeCell ref="C1225:C1226"/>
    <mergeCell ref="D1225:D1226"/>
    <mergeCell ref="E1225:E1226"/>
    <mergeCell ref="G1225:G1226"/>
    <mergeCell ref="H1225:H1226"/>
    <mergeCell ref="I1225:I1226"/>
    <mergeCell ref="J1225:J1226"/>
    <mergeCell ref="K1225:K1226"/>
    <mergeCell ref="L1225:L1226"/>
    <mergeCell ref="M1225:M1226"/>
    <mergeCell ref="N1225:N1226"/>
    <mergeCell ref="G1223:G1224"/>
    <mergeCell ref="H1223:H1224"/>
    <mergeCell ref="I1223:I1224"/>
    <mergeCell ref="J1223:J1224"/>
    <mergeCell ref="K1223:K1224"/>
    <mergeCell ref="B1223:B1224"/>
    <mergeCell ref="C1223:C1224"/>
    <mergeCell ref="D1223:D1224"/>
    <mergeCell ref="E1223:E1224"/>
    <mergeCell ref="L1235:L1236"/>
    <mergeCell ref="M1235:M1236"/>
    <mergeCell ref="N1235:N1236"/>
    <mergeCell ref="B1237:B1238"/>
    <mergeCell ref="C1237:C1238"/>
    <mergeCell ref="D1237:D1238"/>
    <mergeCell ref="E1237:E1238"/>
    <mergeCell ref="G1237:G1238"/>
    <mergeCell ref="H1237:H1238"/>
    <mergeCell ref="I1237:I1238"/>
    <mergeCell ref="J1237:J1238"/>
    <mergeCell ref="K1237:K1238"/>
    <mergeCell ref="L1237:L1238"/>
    <mergeCell ref="M1237:M1238"/>
    <mergeCell ref="N1237:N1238"/>
    <mergeCell ref="G1235:G1236"/>
    <mergeCell ref="H1235:H1236"/>
    <mergeCell ref="I1235:I1236"/>
    <mergeCell ref="J1235:J1236"/>
    <mergeCell ref="K1235:K1236"/>
    <mergeCell ref="B1235:B1236"/>
    <mergeCell ref="C1235:C1236"/>
    <mergeCell ref="D1235:D1236"/>
    <mergeCell ref="E1235:E1236"/>
    <mergeCell ref="L1231:L1232"/>
    <mergeCell ref="M1231:M1232"/>
    <mergeCell ref="N1231:N1232"/>
    <mergeCell ref="B1233:B1234"/>
    <mergeCell ref="C1233:C1234"/>
    <mergeCell ref="D1233:D1234"/>
    <mergeCell ref="E1233:E1234"/>
    <mergeCell ref="G1233:G1234"/>
    <mergeCell ref="H1233:H1234"/>
    <mergeCell ref="I1233:I1234"/>
    <mergeCell ref="J1233:J1234"/>
    <mergeCell ref="K1233:K1234"/>
    <mergeCell ref="L1233:L1234"/>
    <mergeCell ref="M1233:M1234"/>
    <mergeCell ref="N1233:N1234"/>
    <mergeCell ref="G1231:G1232"/>
    <mergeCell ref="H1231:H1232"/>
    <mergeCell ref="I1231:I1232"/>
    <mergeCell ref="J1231:J1232"/>
    <mergeCell ref="K1231:K1232"/>
    <mergeCell ref="B1231:B1232"/>
    <mergeCell ref="C1231:C1232"/>
    <mergeCell ref="D1231:D1232"/>
    <mergeCell ref="E1231:E1232"/>
    <mergeCell ref="L1243:L1244"/>
    <mergeCell ref="M1243:M1244"/>
    <mergeCell ref="N1243:N1244"/>
    <mergeCell ref="B1245:B1246"/>
    <mergeCell ref="C1245:C1246"/>
    <mergeCell ref="D1245:D1246"/>
    <mergeCell ref="E1245:E1246"/>
    <mergeCell ref="G1245:G1246"/>
    <mergeCell ref="H1245:H1246"/>
    <mergeCell ref="I1245:I1246"/>
    <mergeCell ref="J1245:J1246"/>
    <mergeCell ref="K1245:K1246"/>
    <mergeCell ref="L1245:L1246"/>
    <mergeCell ref="M1245:M1246"/>
    <mergeCell ref="N1245:N1246"/>
    <mergeCell ref="G1243:G1244"/>
    <mergeCell ref="H1243:H1244"/>
    <mergeCell ref="I1243:I1244"/>
    <mergeCell ref="J1243:J1244"/>
    <mergeCell ref="K1243:K1244"/>
    <mergeCell ref="B1243:B1244"/>
    <mergeCell ref="C1243:C1244"/>
    <mergeCell ref="D1243:D1244"/>
    <mergeCell ref="E1243:E1244"/>
    <mergeCell ref="L1239:L1240"/>
    <mergeCell ref="M1239:M1240"/>
    <mergeCell ref="N1239:N1240"/>
    <mergeCell ref="B1241:B1242"/>
    <mergeCell ref="C1241:C1242"/>
    <mergeCell ref="D1241:D1242"/>
    <mergeCell ref="E1241:E1242"/>
    <mergeCell ref="G1241:G1242"/>
    <mergeCell ref="H1241:H1242"/>
    <mergeCell ref="I1241:I1242"/>
    <mergeCell ref="J1241:J1242"/>
    <mergeCell ref="K1241:K1242"/>
    <mergeCell ref="L1241:L1242"/>
    <mergeCell ref="M1241:M1242"/>
    <mergeCell ref="N1241:N1242"/>
    <mergeCell ref="G1239:G1240"/>
    <mergeCell ref="H1239:H1240"/>
    <mergeCell ref="I1239:I1240"/>
    <mergeCell ref="J1239:J1240"/>
    <mergeCell ref="K1239:K1240"/>
    <mergeCell ref="B1239:B1240"/>
    <mergeCell ref="C1239:C1240"/>
    <mergeCell ref="D1239:D1240"/>
    <mergeCell ref="E1239:E1240"/>
    <mergeCell ref="L1251:L1252"/>
    <mergeCell ref="M1251:M1252"/>
    <mergeCell ref="N1251:N1252"/>
    <mergeCell ref="B1253:B1254"/>
    <mergeCell ref="C1253:C1254"/>
    <mergeCell ref="D1253:D1254"/>
    <mergeCell ref="E1253:E1254"/>
    <mergeCell ref="G1253:G1254"/>
    <mergeCell ref="H1253:H1254"/>
    <mergeCell ref="I1253:I1254"/>
    <mergeCell ref="J1253:J1254"/>
    <mergeCell ref="K1253:K1254"/>
    <mergeCell ref="L1253:L1254"/>
    <mergeCell ref="M1253:M1254"/>
    <mergeCell ref="N1253:N1254"/>
    <mergeCell ref="G1251:G1252"/>
    <mergeCell ref="H1251:H1252"/>
    <mergeCell ref="I1251:I1252"/>
    <mergeCell ref="J1251:J1252"/>
    <mergeCell ref="K1251:K1252"/>
    <mergeCell ref="B1251:B1252"/>
    <mergeCell ref="C1251:C1252"/>
    <mergeCell ref="D1251:D1252"/>
    <mergeCell ref="E1251:E1252"/>
    <mergeCell ref="L1247:L1248"/>
    <mergeCell ref="M1247:M1248"/>
    <mergeCell ref="N1247:N1248"/>
    <mergeCell ref="B1249:B1250"/>
    <mergeCell ref="C1249:C1250"/>
    <mergeCell ref="D1249:D1250"/>
    <mergeCell ref="E1249:E1250"/>
    <mergeCell ref="G1249:G1250"/>
    <mergeCell ref="H1249:H1250"/>
    <mergeCell ref="I1249:I1250"/>
    <mergeCell ref="J1249:J1250"/>
    <mergeCell ref="K1249:K1250"/>
    <mergeCell ref="L1249:L1250"/>
    <mergeCell ref="M1249:M1250"/>
    <mergeCell ref="N1249:N1250"/>
    <mergeCell ref="G1247:G1248"/>
    <mergeCell ref="H1247:H1248"/>
    <mergeCell ref="I1247:I1248"/>
    <mergeCell ref="J1247:J1248"/>
    <mergeCell ref="K1247:K1248"/>
    <mergeCell ref="B1247:B1248"/>
    <mergeCell ref="C1247:C1248"/>
    <mergeCell ref="D1247:D1248"/>
    <mergeCell ref="E1247:E1248"/>
    <mergeCell ref="L1259:L1260"/>
    <mergeCell ref="M1259:M1260"/>
    <mergeCell ref="N1259:N1260"/>
    <mergeCell ref="B1261:B1262"/>
    <mergeCell ref="C1261:C1262"/>
    <mergeCell ref="D1261:D1262"/>
    <mergeCell ref="E1261:E1262"/>
    <mergeCell ref="G1261:G1262"/>
    <mergeCell ref="H1261:H1262"/>
    <mergeCell ref="I1261:I1262"/>
    <mergeCell ref="J1261:J1262"/>
    <mergeCell ref="K1261:K1262"/>
    <mergeCell ref="L1261:L1262"/>
    <mergeCell ref="M1261:M1262"/>
    <mergeCell ref="N1261:N1262"/>
    <mergeCell ref="G1259:G1260"/>
    <mergeCell ref="H1259:H1260"/>
    <mergeCell ref="I1259:I1260"/>
    <mergeCell ref="J1259:J1260"/>
    <mergeCell ref="K1259:K1260"/>
    <mergeCell ref="B1259:B1260"/>
    <mergeCell ref="C1259:C1260"/>
    <mergeCell ref="D1259:D1260"/>
    <mergeCell ref="E1259:E1260"/>
    <mergeCell ref="L1255:L1256"/>
    <mergeCell ref="M1255:M1256"/>
    <mergeCell ref="N1255:N1256"/>
    <mergeCell ref="B1257:B1258"/>
    <mergeCell ref="C1257:C1258"/>
    <mergeCell ref="D1257:D1258"/>
    <mergeCell ref="E1257:E1258"/>
    <mergeCell ref="G1257:G1258"/>
    <mergeCell ref="H1257:H1258"/>
    <mergeCell ref="I1257:I1258"/>
    <mergeCell ref="J1257:J1258"/>
    <mergeCell ref="K1257:K1258"/>
    <mergeCell ref="L1257:L1258"/>
    <mergeCell ref="M1257:M1258"/>
    <mergeCell ref="N1257:N1258"/>
    <mergeCell ref="G1255:G1256"/>
    <mergeCell ref="H1255:H1256"/>
    <mergeCell ref="I1255:I1256"/>
    <mergeCell ref="J1255:J1256"/>
    <mergeCell ref="K1255:K1256"/>
    <mergeCell ref="B1255:B1256"/>
    <mergeCell ref="C1255:C1256"/>
    <mergeCell ref="D1255:D1256"/>
    <mergeCell ref="E1255:E1256"/>
    <mergeCell ref="L1267:L1268"/>
    <mergeCell ref="M1267:M1268"/>
    <mergeCell ref="N1267:N1268"/>
    <mergeCell ref="B1269:B1270"/>
    <mergeCell ref="C1269:C1270"/>
    <mergeCell ref="D1269:D1270"/>
    <mergeCell ref="E1269:E1270"/>
    <mergeCell ref="G1269:G1270"/>
    <mergeCell ref="H1269:H1270"/>
    <mergeCell ref="I1269:I1270"/>
    <mergeCell ref="J1269:J1270"/>
    <mergeCell ref="K1269:K1270"/>
    <mergeCell ref="L1269:L1270"/>
    <mergeCell ref="M1269:M1270"/>
    <mergeCell ref="N1269:N1270"/>
    <mergeCell ref="G1267:G1268"/>
    <mergeCell ref="H1267:H1268"/>
    <mergeCell ref="I1267:I1268"/>
    <mergeCell ref="J1267:J1268"/>
    <mergeCell ref="K1267:K1268"/>
    <mergeCell ref="B1267:B1268"/>
    <mergeCell ref="C1267:C1268"/>
    <mergeCell ref="D1267:D1268"/>
    <mergeCell ref="E1267:E1268"/>
    <mergeCell ref="L1263:L1264"/>
    <mergeCell ref="M1263:M1264"/>
    <mergeCell ref="N1263:N1264"/>
    <mergeCell ref="B1265:B1266"/>
    <mergeCell ref="C1265:C1266"/>
    <mergeCell ref="D1265:D1266"/>
    <mergeCell ref="E1265:E1266"/>
    <mergeCell ref="G1265:G1266"/>
    <mergeCell ref="H1265:H1266"/>
    <mergeCell ref="I1265:I1266"/>
    <mergeCell ref="J1265:J1266"/>
    <mergeCell ref="K1265:K1266"/>
    <mergeCell ref="L1265:L1266"/>
    <mergeCell ref="M1265:M1266"/>
    <mergeCell ref="N1265:N1266"/>
    <mergeCell ref="G1263:G1264"/>
    <mergeCell ref="H1263:H1264"/>
    <mergeCell ref="I1263:I1264"/>
    <mergeCell ref="J1263:J1264"/>
    <mergeCell ref="K1263:K1264"/>
    <mergeCell ref="B1263:B1264"/>
    <mergeCell ref="C1263:C1264"/>
    <mergeCell ref="D1263:D1264"/>
    <mergeCell ref="E1263:E1264"/>
    <mergeCell ref="L1275:L1276"/>
    <mergeCell ref="M1275:M1276"/>
    <mergeCell ref="N1275:N1276"/>
    <mergeCell ref="B1277:B1278"/>
    <mergeCell ref="C1277:C1278"/>
    <mergeCell ref="D1277:D1278"/>
    <mergeCell ref="E1277:E1278"/>
    <mergeCell ref="G1277:G1278"/>
    <mergeCell ref="H1277:H1278"/>
    <mergeCell ref="I1277:I1278"/>
    <mergeCell ref="J1277:J1278"/>
    <mergeCell ref="K1277:K1278"/>
    <mergeCell ref="L1277:L1278"/>
    <mergeCell ref="M1277:M1278"/>
    <mergeCell ref="N1277:N1278"/>
    <mergeCell ref="G1275:G1276"/>
    <mergeCell ref="H1275:H1276"/>
    <mergeCell ref="I1275:I1276"/>
    <mergeCell ref="J1275:J1276"/>
    <mergeCell ref="K1275:K1276"/>
    <mergeCell ref="B1275:B1276"/>
    <mergeCell ref="C1275:C1276"/>
    <mergeCell ref="D1275:D1276"/>
    <mergeCell ref="E1275:E1276"/>
    <mergeCell ref="L1271:L1272"/>
    <mergeCell ref="M1271:M1272"/>
    <mergeCell ref="N1271:N1272"/>
    <mergeCell ref="B1273:B1274"/>
    <mergeCell ref="C1273:C1274"/>
    <mergeCell ref="D1273:D1274"/>
    <mergeCell ref="E1273:E1274"/>
    <mergeCell ref="G1273:G1274"/>
    <mergeCell ref="H1273:H1274"/>
    <mergeCell ref="I1273:I1274"/>
    <mergeCell ref="J1273:J1274"/>
    <mergeCell ref="K1273:K1274"/>
    <mergeCell ref="L1273:L1274"/>
    <mergeCell ref="M1273:M1274"/>
    <mergeCell ref="N1273:N1274"/>
    <mergeCell ref="G1271:G1272"/>
    <mergeCell ref="H1271:H1272"/>
    <mergeCell ref="I1271:I1272"/>
    <mergeCell ref="J1271:J1272"/>
    <mergeCell ref="K1271:K1272"/>
    <mergeCell ref="B1271:B1272"/>
    <mergeCell ref="C1271:C1272"/>
    <mergeCell ref="D1271:D1272"/>
    <mergeCell ref="E1271:E1272"/>
    <mergeCell ref="L1283:L1284"/>
    <mergeCell ref="M1283:M1284"/>
    <mergeCell ref="N1283:N1284"/>
    <mergeCell ref="B1285:B1286"/>
    <mergeCell ref="C1285:C1286"/>
    <mergeCell ref="D1285:D1286"/>
    <mergeCell ref="E1285:E1286"/>
    <mergeCell ref="G1285:G1286"/>
    <mergeCell ref="H1285:H1286"/>
    <mergeCell ref="I1285:I1286"/>
    <mergeCell ref="J1285:J1286"/>
    <mergeCell ref="K1285:K1286"/>
    <mergeCell ref="L1285:L1286"/>
    <mergeCell ref="M1285:M1286"/>
    <mergeCell ref="N1285:N1286"/>
    <mergeCell ref="G1283:G1284"/>
    <mergeCell ref="H1283:H1284"/>
    <mergeCell ref="I1283:I1284"/>
    <mergeCell ref="J1283:J1284"/>
    <mergeCell ref="K1283:K1284"/>
    <mergeCell ref="B1283:B1284"/>
    <mergeCell ref="C1283:C1284"/>
    <mergeCell ref="D1283:D1284"/>
    <mergeCell ref="E1283:E1284"/>
    <mergeCell ref="L1279:L1280"/>
    <mergeCell ref="M1279:M1280"/>
    <mergeCell ref="N1279:N1280"/>
    <mergeCell ref="B1281:B1282"/>
    <mergeCell ref="C1281:C1282"/>
    <mergeCell ref="D1281:D1282"/>
    <mergeCell ref="E1281:E1282"/>
    <mergeCell ref="G1281:G1282"/>
    <mergeCell ref="H1281:H1282"/>
    <mergeCell ref="I1281:I1282"/>
    <mergeCell ref="J1281:J1282"/>
    <mergeCell ref="K1281:K1282"/>
    <mergeCell ref="L1281:L1282"/>
    <mergeCell ref="M1281:M1282"/>
    <mergeCell ref="N1281:N1282"/>
    <mergeCell ref="G1279:G1280"/>
    <mergeCell ref="H1279:H1280"/>
    <mergeCell ref="I1279:I1280"/>
    <mergeCell ref="J1279:J1280"/>
    <mergeCell ref="K1279:K1280"/>
    <mergeCell ref="B1279:B1280"/>
    <mergeCell ref="C1279:C1280"/>
    <mergeCell ref="D1279:D1280"/>
    <mergeCell ref="E1279:E1280"/>
    <mergeCell ref="L1291:L1292"/>
    <mergeCell ref="M1291:M1292"/>
    <mergeCell ref="N1291:N1292"/>
    <mergeCell ref="B1293:B1294"/>
    <mergeCell ref="C1293:C1294"/>
    <mergeCell ref="D1293:D1294"/>
    <mergeCell ref="E1293:E1294"/>
    <mergeCell ref="G1293:G1294"/>
    <mergeCell ref="H1293:H1294"/>
    <mergeCell ref="I1293:I1294"/>
    <mergeCell ref="J1293:J1294"/>
    <mergeCell ref="K1293:K1294"/>
    <mergeCell ref="L1293:L1294"/>
    <mergeCell ref="M1293:M1294"/>
    <mergeCell ref="N1293:N1294"/>
    <mergeCell ref="G1291:G1292"/>
    <mergeCell ref="H1291:H1292"/>
    <mergeCell ref="I1291:I1292"/>
    <mergeCell ref="J1291:J1292"/>
    <mergeCell ref="K1291:K1292"/>
    <mergeCell ref="B1291:B1292"/>
    <mergeCell ref="C1291:C1292"/>
    <mergeCell ref="D1291:D1292"/>
    <mergeCell ref="E1291:E1292"/>
    <mergeCell ref="L1287:L1288"/>
    <mergeCell ref="M1287:M1288"/>
    <mergeCell ref="N1287:N1288"/>
    <mergeCell ref="B1289:B1290"/>
    <mergeCell ref="C1289:C1290"/>
    <mergeCell ref="D1289:D1290"/>
    <mergeCell ref="E1289:E1290"/>
    <mergeCell ref="G1289:G1290"/>
    <mergeCell ref="H1289:H1290"/>
    <mergeCell ref="I1289:I1290"/>
    <mergeCell ref="J1289:J1290"/>
    <mergeCell ref="K1289:K1290"/>
    <mergeCell ref="L1289:L1290"/>
    <mergeCell ref="M1289:M1290"/>
    <mergeCell ref="N1289:N1290"/>
    <mergeCell ref="G1287:G1288"/>
    <mergeCell ref="H1287:H1288"/>
    <mergeCell ref="I1287:I1288"/>
    <mergeCell ref="J1287:J1288"/>
    <mergeCell ref="K1287:K1288"/>
    <mergeCell ref="B1287:B1288"/>
    <mergeCell ref="C1287:C1288"/>
    <mergeCell ref="D1287:D1288"/>
    <mergeCell ref="E1287:E1288"/>
    <mergeCell ref="L1299:L1300"/>
    <mergeCell ref="M1299:M1300"/>
    <mergeCell ref="N1299:N1300"/>
    <mergeCell ref="B1301:B1302"/>
    <mergeCell ref="C1301:C1302"/>
    <mergeCell ref="D1301:D1302"/>
    <mergeCell ref="E1301:E1302"/>
    <mergeCell ref="G1301:G1302"/>
    <mergeCell ref="H1301:H1302"/>
    <mergeCell ref="I1301:I1302"/>
    <mergeCell ref="J1301:J1302"/>
    <mergeCell ref="K1301:K1302"/>
    <mergeCell ref="L1301:L1302"/>
    <mergeCell ref="M1301:M1302"/>
    <mergeCell ref="N1301:N1302"/>
    <mergeCell ref="G1299:G1300"/>
    <mergeCell ref="H1299:H1300"/>
    <mergeCell ref="I1299:I1300"/>
    <mergeCell ref="J1299:J1300"/>
    <mergeCell ref="K1299:K1300"/>
    <mergeCell ref="B1299:B1300"/>
    <mergeCell ref="C1299:C1300"/>
    <mergeCell ref="D1299:D1300"/>
    <mergeCell ref="E1299:E1300"/>
    <mergeCell ref="L1295:L1296"/>
    <mergeCell ref="M1295:M1296"/>
    <mergeCell ref="N1295:N1296"/>
    <mergeCell ref="B1297:B1298"/>
    <mergeCell ref="C1297:C1298"/>
    <mergeCell ref="D1297:D1298"/>
    <mergeCell ref="E1297:E1298"/>
    <mergeCell ref="G1297:G1298"/>
    <mergeCell ref="H1297:H1298"/>
    <mergeCell ref="I1297:I1298"/>
    <mergeCell ref="J1297:J1298"/>
    <mergeCell ref="K1297:K1298"/>
    <mergeCell ref="L1297:L1298"/>
    <mergeCell ref="M1297:M1298"/>
    <mergeCell ref="N1297:N1298"/>
    <mergeCell ref="G1295:G1296"/>
    <mergeCell ref="H1295:H1296"/>
    <mergeCell ref="I1295:I1296"/>
    <mergeCell ref="J1295:J1296"/>
    <mergeCell ref="K1295:K1296"/>
    <mergeCell ref="B1295:B1296"/>
    <mergeCell ref="C1295:C1296"/>
    <mergeCell ref="D1295:D1296"/>
    <mergeCell ref="E1295:E1296"/>
    <mergeCell ref="L1307:L1308"/>
    <mergeCell ref="M1307:M1308"/>
    <mergeCell ref="N1307:N1308"/>
    <mergeCell ref="B1309:B1310"/>
    <mergeCell ref="C1309:C1310"/>
    <mergeCell ref="D1309:D1310"/>
    <mergeCell ref="E1309:E1310"/>
    <mergeCell ref="G1309:G1310"/>
    <mergeCell ref="H1309:H1310"/>
    <mergeCell ref="I1309:I1310"/>
    <mergeCell ref="J1309:J1310"/>
    <mergeCell ref="K1309:K1310"/>
    <mergeCell ref="L1309:L1310"/>
    <mergeCell ref="M1309:M1310"/>
    <mergeCell ref="N1309:N1310"/>
    <mergeCell ref="G1307:G1308"/>
    <mergeCell ref="H1307:H1308"/>
    <mergeCell ref="I1307:I1308"/>
    <mergeCell ref="J1307:J1308"/>
    <mergeCell ref="K1307:K1308"/>
    <mergeCell ref="B1307:B1308"/>
    <mergeCell ref="C1307:C1308"/>
    <mergeCell ref="D1307:D1308"/>
    <mergeCell ref="E1307:E1308"/>
    <mergeCell ref="L1303:L1304"/>
    <mergeCell ref="M1303:M1304"/>
    <mergeCell ref="N1303:N1304"/>
    <mergeCell ref="B1305:B1306"/>
    <mergeCell ref="C1305:C1306"/>
    <mergeCell ref="D1305:D1306"/>
    <mergeCell ref="E1305:E1306"/>
    <mergeCell ref="G1305:G1306"/>
    <mergeCell ref="H1305:H1306"/>
    <mergeCell ref="I1305:I1306"/>
    <mergeCell ref="J1305:J1306"/>
    <mergeCell ref="K1305:K1306"/>
    <mergeCell ref="L1305:L1306"/>
    <mergeCell ref="M1305:M1306"/>
    <mergeCell ref="N1305:N1306"/>
    <mergeCell ref="G1303:G1304"/>
    <mergeCell ref="H1303:H1304"/>
    <mergeCell ref="I1303:I1304"/>
    <mergeCell ref="J1303:J1304"/>
    <mergeCell ref="K1303:K1304"/>
    <mergeCell ref="B1303:B1304"/>
    <mergeCell ref="C1303:C1304"/>
    <mergeCell ref="D1303:D1304"/>
    <mergeCell ref="E1303:E1304"/>
    <mergeCell ref="L1315:L1316"/>
    <mergeCell ref="M1315:M1316"/>
    <mergeCell ref="N1315:N1316"/>
    <mergeCell ref="B1317:B1318"/>
    <mergeCell ref="C1317:C1318"/>
    <mergeCell ref="D1317:D1318"/>
    <mergeCell ref="E1317:E1318"/>
    <mergeCell ref="G1317:G1318"/>
    <mergeCell ref="H1317:H1318"/>
    <mergeCell ref="I1317:I1318"/>
    <mergeCell ref="J1317:J1318"/>
    <mergeCell ref="K1317:K1318"/>
    <mergeCell ref="L1317:L1318"/>
    <mergeCell ref="M1317:M1318"/>
    <mergeCell ref="N1317:N1318"/>
    <mergeCell ref="G1315:G1316"/>
    <mergeCell ref="H1315:H1316"/>
    <mergeCell ref="I1315:I1316"/>
    <mergeCell ref="J1315:J1316"/>
    <mergeCell ref="K1315:K1316"/>
    <mergeCell ref="B1315:B1316"/>
    <mergeCell ref="C1315:C1316"/>
    <mergeCell ref="D1315:D1316"/>
    <mergeCell ref="E1315:E1316"/>
    <mergeCell ref="L1311:L1312"/>
    <mergeCell ref="M1311:M1312"/>
    <mergeCell ref="N1311:N1312"/>
    <mergeCell ref="B1313:B1314"/>
    <mergeCell ref="C1313:C1314"/>
    <mergeCell ref="D1313:D1314"/>
    <mergeCell ref="E1313:E1314"/>
    <mergeCell ref="G1313:G1314"/>
    <mergeCell ref="H1313:H1314"/>
    <mergeCell ref="I1313:I1314"/>
    <mergeCell ref="J1313:J1314"/>
    <mergeCell ref="K1313:K1314"/>
    <mergeCell ref="L1313:L1314"/>
    <mergeCell ref="M1313:M1314"/>
    <mergeCell ref="N1313:N1314"/>
    <mergeCell ref="G1311:G1312"/>
    <mergeCell ref="H1311:H1312"/>
    <mergeCell ref="I1311:I1312"/>
    <mergeCell ref="J1311:J1312"/>
    <mergeCell ref="K1311:K1312"/>
    <mergeCell ref="B1311:B1312"/>
    <mergeCell ref="C1311:C1312"/>
    <mergeCell ref="D1311:D1312"/>
    <mergeCell ref="E1311:E1312"/>
    <mergeCell ref="L1323:L1324"/>
    <mergeCell ref="M1323:M1324"/>
    <mergeCell ref="N1323:N1324"/>
    <mergeCell ref="B1325:B1326"/>
    <mergeCell ref="C1325:C1326"/>
    <mergeCell ref="D1325:D1326"/>
    <mergeCell ref="E1325:E1326"/>
    <mergeCell ref="G1325:G1326"/>
    <mergeCell ref="H1325:H1326"/>
    <mergeCell ref="I1325:I1326"/>
    <mergeCell ref="J1325:J1326"/>
    <mergeCell ref="K1325:K1326"/>
    <mergeCell ref="L1325:L1326"/>
    <mergeCell ref="M1325:M1326"/>
    <mergeCell ref="N1325:N1326"/>
    <mergeCell ref="G1323:G1324"/>
    <mergeCell ref="H1323:H1324"/>
    <mergeCell ref="I1323:I1324"/>
    <mergeCell ref="J1323:J1324"/>
    <mergeCell ref="K1323:K1324"/>
    <mergeCell ref="B1323:B1324"/>
    <mergeCell ref="C1323:C1324"/>
    <mergeCell ref="D1323:D1324"/>
    <mergeCell ref="E1323:E1324"/>
    <mergeCell ref="L1319:L1320"/>
    <mergeCell ref="M1319:M1320"/>
    <mergeCell ref="N1319:N1320"/>
    <mergeCell ref="B1321:B1322"/>
    <mergeCell ref="C1321:C1322"/>
    <mergeCell ref="D1321:D1322"/>
    <mergeCell ref="E1321:E1322"/>
    <mergeCell ref="G1321:G1322"/>
    <mergeCell ref="H1321:H1322"/>
    <mergeCell ref="I1321:I1322"/>
    <mergeCell ref="J1321:J1322"/>
    <mergeCell ref="K1321:K1322"/>
    <mergeCell ref="L1321:L1322"/>
    <mergeCell ref="M1321:M1322"/>
    <mergeCell ref="N1321:N1322"/>
    <mergeCell ref="G1319:G1320"/>
    <mergeCell ref="H1319:H1320"/>
    <mergeCell ref="I1319:I1320"/>
    <mergeCell ref="J1319:J1320"/>
    <mergeCell ref="K1319:K1320"/>
    <mergeCell ref="B1319:B1320"/>
    <mergeCell ref="C1319:C1320"/>
    <mergeCell ref="D1319:D1320"/>
    <mergeCell ref="E1319:E1320"/>
    <mergeCell ref="L1331:L1332"/>
    <mergeCell ref="M1331:M1332"/>
    <mergeCell ref="N1331:N1332"/>
    <mergeCell ref="B1333:B1334"/>
    <mergeCell ref="C1333:C1334"/>
    <mergeCell ref="D1333:D1334"/>
    <mergeCell ref="E1333:E1334"/>
    <mergeCell ref="G1333:G1334"/>
    <mergeCell ref="H1333:H1334"/>
    <mergeCell ref="I1333:I1334"/>
    <mergeCell ref="J1333:J1334"/>
    <mergeCell ref="K1333:K1334"/>
    <mergeCell ref="L1333:L1334"/>
    <mergeCell ref="M1333:M1334"/>
    <mergeCell ref="N1333:N1334"/>
    <mergeCell ref="G1331:G1332"/>
    <mergeCell ref="H1331:H1332"/>
    <mergeCell ref="I1331:I1332"/>
    <mergeCell ref="J1331:J1332"/>
    <mergeCell ref="K1331:K1332"/>
    <mergeCell ref="B1331:B1332"/>
    <mergeCell ref="C1331:C1332"/>
    <mergeCell ref="D1331:D1332"/>
    <mergeCell ref="E1331:E1332"/>
    <mergeCell ref="L1327:L1328"/>
    <mergeCell ref="M1327:M1328"/>
    <mergeCell ref="N1327:N1328"/>
    <mergeCell ref="B1329:B1330"/>
    <mergeCell ref="C1329:C1330"/>
    <mergeCell ref="D1329:D1330"/>
    <mergeCell ref="E1329:E1330"/>
    <mergeCell ref="G1329:G1330"/>
    <mergeCell ref="H1329:H1330"/>
    <mergeCell ref="I1329:I1330"/>
    <mergeCell ref="J1329:J1330"/>
    <mergeCell ref="K1329:K1330"/>
    <mergeCell ref="L1329:L1330"/>
    <mergeCell ref="M1329:M1330"/>
    <mergeCell ref="N1329:N1330"/>
    <mergeCell ref="G1327:G1328"/>
    <mergeCell ref="H1327:H1328"/>
    <mergeCell ref="I1327:I1328"/>
    <mergeCell ref="J1327:J1328"/>
    <mergeCell ref="K1327:K1328"/>
    <mergeCell ref="B1327:B1328"/>
    <mergeCell ref="C1327:C1328"/>
    <mergeCell ref="D1327:D1328"/>
    <mergeCell ref="E1327:E1328"/>
    <mergeCell ref="L1339:L1340"/>
    <mergeCell ref="M1339:M1340"/>
    <mergeCell ref="N1339:N1340"/>
    <mergeCell ref="B1341:B1342"/>
    <mergeCell ref="C1341:C1342"/>
    <mergeCell ref="D1341:D1342"/>
    <mergeCell ref="E1341:E1342"/>
    <mergeCell ref="G1341:G1342"/>
    <mergeCell ref="H1341:H1342"/>
    <mergeCell ref="I1341:I1342"/>
    <mergeCell ref="J1341:J1342"/>
    <mergeCell ref="K1341:K1342"/>
    <mergeCell ref="L1341:L1342"/>
    <mergeCell ref="M1341:M1342"/>
    <mergeCell ref="N1341:N1342"/>
    <mergeCell ref="G1339:G1340"/>
    <mergeCell ref="H1339:H1340"/>
    <mergeCell ref="I1339:I1340"/>
    <mergeCell ref="J1339:J1340"/>
    <mergeCell ref="K1339:K1340"/>
    <mergeCell ref="B1339:B1340"/>
    <mergeCell ref="C1339:C1340"/>
    <mergeCell ref="D1339:D1340"/>
    <mergeCell ref="E1339:E1340"/>
    <mergeCell ref="L1335:L1336"/>
    <mergeCell ref="M1335:M1336"/>
    <mergeCell ref="N1335:N1336"/>
    <mergeCell ref="B1337:B1338"/>
    <mergeCell ref="C1337:C1338"/>
    <mergeCell ref="D1337:D1338"/>
    <mergeCell ref="E1337:E1338"/>
    <mergeCell ref="G1337:G1338"/>
    <mergeCell ref="H1337:H1338"/>
    <mergeCell ref="I1337:I1338"/>
    <mergeCell ref="J1337:J1338"/>
    <mergeCell ref="K1337:K1338"/>
    <mergeCell ref="L1337:L1338"/>
    <mergeCell ref="M1337:M1338"/>
    <mergeCell ref="N1337:N1338"/>
    <mergeCell ref="G1335:G1336"/>
    <mergeCell ref="H1335:H1336"/>
    <mergeCell ref="I1335:I1336"/>
    <mergeCell ref="J1335:J1336"/>
    <mergeCell ref="K1335:K1336"/>
    <mergeCell ref="B1335:B1336"/>
    <mergeCell ref="C1335:C1336"/>
    <mergeCell ref="D1335:D1336"/>
    <mergeCell ref="E1335:E1336"/>
    <mergeCell ref="L1347:L1348"/>
    <mergeCell ref="M1347:M1348"/>
    <mergeCell ref="N1347:N1348"/>
    <mergeCell ref="B1349:B1350"/>
    <mergeCell ref="C1349:C1350"/>
    <mergeCell ref="D1349:D1350"/>
    <mergeCell ref="E1349:E1350"/>
    <mergeCell ref="G1349:G1350"/>
    <mergeCell ref="H1349:H1350"/>
    <mergeCell ref="I1349:I1350"/>
    <mergeCell ref="J1349:J1350"/>
    <mergeCell ref="K1349:K1350"/>
    <mergeCell ref="L1349:L1350"/>
    <mergeCell ref="M1349:M1350"/>
    <mergeCell ref="N1349:N1350"/>
    <mergeCell ref="G1347:G1348"/>
    <mergeCell ref="H1347:H1348"/>
    <mergeCell ref="I1347:I1348"/>
    <mergeCell ref="J1347:J1348"/>
    <mergeCell ref="K1347:K1348"/>
    <mergeCell ref="B1347:B1348"/>
    <mergeCell ref="C1347:C1348"/>
    <mergeCell ref="D1347:D1348"/>
    <mergeCell ref="E1347:E1348"/>
    <mergeCell ref="L1343:L1344"/>
    <mergeCell ref="M1343:M1344"/>
    <mergeCell ref="N1343:N1344"/>
    <mergeCell ref="B1345:B1346"/>
    <mergeCell ref="C1345:C1346"/>
    <mergeCell ref="D1345:D1346"/>
    <mergeCell ref="E1345:E1346"/>
    <mergeCell ref="G1345:G1346"/>
    <mergeCell ref="H1345:H1346"/>
    <mergeCell ref="I1345:I1346"/>
    <mergeCell ref="J1345:J1346"/>
    <mergeCell ref="K1345:K1346"/>
    <mergeCell ref="L1345:L1346"/>
    <mergeCell ref="M1345:M1346"/>
    <mergeCell ref="N1345:N1346"/>
    <mergeCell ref="G1343:G1344"/>
    <mergeCell ref="H1343:H1344"/>
    <mergeCell ref="I1343:I1344"/>
    <mergeCell ref="J1343:J1344"/>
    <mergeCell ref="K1343:K1344"/>
    <mergeCell ref="B1343:B1344"/>
    <mergeCell ref="C1343:C1344"/>
    <mergeCell ref="D1343:D1344"/>
    <mergeCell ref="E1343:E1344"/>
    <mergeCell ref="L1355:L1356"/>
    <mergeCell ref="M1355:M1356"/>
    <mergeCell ref="N1355:N1356"/>
    <mergeCell ref="B1357:B1358"/>
    <mergeCell ref="C1357:C1358"/>
    <mergeCell ref="D1357:D1358"/>
    <mergeCell ref="E1357:E1358"/>
    <mergeCell ref="G1357:G1358"/>
    <mergeCell ref="H1357:H1358"/>
    <mergeCell ref="I1357:I1358"/>
    <mergeCell ref="J1357:J1358"/>
    <mergeCell ref="K1357:K1358"/>
    <mergeCell ref="L1357:L1358"/>
    <mergeCell ref="M1357:M1358"/>
    <mergeCell ref="N1357:N1358"/>
    <mergeCell ref="G1355:G1356"/>
    <mergeCell ref="H1355:H1356"/>
    <mergeCell ref="I1355:I1356"/>
    <mergeCell ref="J1355:J1356"/>
    <mergeCell ref="K1355:K1356"/>
    <mergeCell ref="B1355:B1356"/>
    <mergeCell ref="C1355:C1356"/>
    <mergeCell ref="D1355:D1356"/>
    <mergeCell ref="E1355:E1356"/>
    <mergeCell ref="L1351:L1352"/>
    <mergeCell ref="M1351:M1352"/>
    <mergeCell ref="N1351:N1352"/>
    <mergeCell ref="B1353:B1354"/>
    <mergeCell ref="C1353:C1354"/>
    <mergeCell ref="D1353:D1354"/>
    <mergeCell ref="E1353:E1354"/>
    <mergeCell ref="G1353:G1354"/>
    <mergeCell ref="H1353:H1354"/>
    <mergeCell ref="I1353:I1354"/>
    <mergeCell ref="J1353:J1354"/>
    <mergeCell ref="K1353:K1354"/>
    <mergeCell ref="L1353:L1354"/>
    <mergeCell ref="M1353:M1354"/>
    <mergeCell ref="N1353:N1354"/>
    <mergeCell ref="G1351:G1352"/>
    <mergeCell ref="H1351:H1352"/>
    <mergeCell ref="I1351:I1352"/>
    <mergeCell ref="J1351:J1352"/>
    <mergeCell ref="K1351:K1352"/>
    <mergeCell ref="B1351:B1352"/>
    <mergeCell ref="C1351:C1352"/>
    <mergeCell ref="D1351:D1352"/>
    <mergeCell ref="E1351:E1352"/>
    <mergeCell ref="L1363:L1364"/>
    <mergeCell ref="M1363:M1364"/>
    <mergeCell ref="N1363:N1364"/>
    <mergeCell ref="B1365:B1366"/>
    <mergeCell ref="C1365:C1366"/>
    <mergeCell ref="D1365:D1366"/>
    <mergeCell ref="E1365:E1366"/>
    <mergeCell ref="G1365:G1366"/>
    <mergeCell ref="H1365:H1366"/>
    <mergeCell ref="I1365:I1366"/>
    <mergeCell ref="J1365:J1366"/>
    <mergeCell ref="K1365:K1366"/>
    <mergeCell ref="L1365:L1366"/>
    <mergeCell ref="M1365:M1366"/>
    <mergeCell ref="N1365:N1366"/>
    <mergeCell ref="G1363:G1364"/>
    <mergeCell ref="H1363:H1364"/>
    <mergeCell ref="I1363:I1364"/>
    <mergeCell ref="J1363:J1364"/>
    <mergeCell ref="K1363:K1364"/>
    <mergeCell ref="B1363:B1364"/>
    <mergeCell ref="C1363:C1364"/>
    <mergeCell ref="D1363:D1364"/>
    <mergeCell ref="E1363:E1364"/>
    <mergeCell ref="L1359:L1360"/>
    <mergeCell ref="M1359:M1360"/>
    <mergeCell ref="N1359:N1360"/>
    <mergeCell ref="B1361:B1362"/>
    <mergeCell ref="C1361:C1362"/>
    <mergeCell ref="D1361:D1362"/>
    <mergeCell ref="E1361:E1362"/>
    <mergeCell ref="G1361:G1362"/>
    <mergeCell ref="H1361:H1362"/>
    <mergeCell ref="I1361:I1362"/>
    <mergeCell ref="J1361:J1362"/>
    <mergeCell ref="K1361:K1362"/>
    <mergeCell ref="L1361:L1362"/>
    <mergeCell ref="M1361:M1362"/>
    <mergeCell ref="N1361:N1362"/>
    <mergeCell ref="G1359:G1360"/>
    <mergeCell ref="H1359:H1360"/>
    <mergeCell ref="I1359:I1360"/>
    <mergeCell ref="J1359:J1360"/>
    <mergeCell ref="K1359:K1360"/>
    <mergeCell ref="B1359:B1360"/>
    <mergeCell ref="C1359:C1360"/>
    <mergeCell ref="D1359:D1360"/>
    <mergeCell ref="E1359:E1360"/>
    <mergeCell ref="L1371:L1372"/>
    <mergeCell ref="M1371:M1372"/>
    <mergeCell ref="N1371:N1372"/>
    <mergeCell ref="B1373:B1374"/>
    <mergeCell ref="C1373:C1374"/>
    <mergeCell ref="D1373:D1374"/>
    <mergeCell ref="E1373:E1374"/>
    <mergeCell ref="G1373:G1374"/>
    <mergeCell ref="H1373:H1374"/>
    <mergeCell ref="I1373:I1374"/>
    <mergeCell ref="J1373:J1374"/>
    <mergeCell ref="K1373:K1374"/>
    <mergeCell ref="L1373:L1374"/>
    <mergeCell ref="M1373:M1374"/>
    <mergeCell ref="N1373:N1374"/>
    <mergeCell ref="G1371:G1372"/>
    <mergeCell ref="H1371:H1372"/>
    <mergeCell ref="I1371:I1372"/>
    <mergeCell ref="J1371:J1372"/>
    <mergeCell ref="K1371:K1372"/>
    <mergeCell ref="B1371:B1372"/>
    <mergeCell ref="C1371:C1372"/>
    <mergeCell ref="D1371:D1372"/>
    <mergeCell ref="E1371:E1372"/>
    <mergeCell ref="L1367:L1368"/>
    <mergeCell ref="M1367:M1368"/>
    <mergeCell ref="N1367:N1368"/>
    <mergeCell ref="B1369:B1370"/>
    <mergeCell ref="C1369:C1370"/>
    <mergeCell ref="D1369:D1370"/>
    <mergeCell ref="E1369:E1370"/>
    <mergeCell ref="G1369:G1370"/>
    <mergeCell ref="H1369:H1370"/>
    <mergeCell ref="I1369:I1370"/>
    <mergeCell ref="J1369:J1370"/>
    <mergeCell ref="K1369:K1370"/>
    <mergeCell ref="L1369:L1370"/>
    <mergeCell ref="M1369:M1370"/>
    <mergeCell ref="N1369:N1370"/>
    <mergeCell ref="G1367:G1368"/>
    <mergeCell ref="H1367:H1368"/>
    <mergeCell ref="I1367:I1368"/>
    <mergeCell ref="J1367:J1368"/>
    <mergeCell ref="K1367:K1368"/>
    <mergeCell ref="B1367:B1368"/>
    <mergeCell ref="C1367:C1368"/>
    <mergeCell ref="D1367:D1368"/>
    <mergeCell ref="E1367:E1368"/>
    <mergeCell ref="L1379:L1380"/>
    <mergeCell ref="M1379:M1380"/>
    <mergeCell ref="N1379:N1380"/>
    <mergeCell ref="B1381:B1382"/>
    <mergeCell ref="C1381:C1382"/>
    <mergeCell ref="D1381:D1382"/>
    <mergeCell ref="E1381:E1382"/>
    <mergeCell ref="G1381:G1382"/>
    <mergeCell ref="H1381:H1382"/>
    <mergeCell ref="I1381:I1382"/>
    <mergeCell ref="J1381:J1382"/>
    <mergeCell ref="K1381:K1382"/>
    <mergeCell ref="L1381:L1382"/>
    <mergeCell ref="M1381:M1382"/>
    <mergeCell ref="N1381:N1382"/>
    <mergeCell ref="G1379:G1380"/>
    <mergeCell ref="H1379:H1380"/>
    <mergeCell ref="I1379:I1380"/>
    <mergeCell ref="J1379:J1380"/>
    <mergeCell ref="K1379:K1380"/>
    <mergeCell ref="B1379:B1380"/>
    <mergeCell ref="C1379:C1380"/>
    <mergeCell ref="D1379:D1380"/>
    <mergeCell ref="E1379:E1380"/>
    <mergeCell ref="L1375:L1376"/>
    <mergeCell ref="M1375:M1376"/>
    <mergeCell ref="N1375:N1376"/>
    <mergeCell ref="B1377:B1378"/>
    <mergeCell ref="C1377:C1378"/>
    <mergeCell ref="D1377:D1378"/>
    <mergeCell ref="E1377:E1378"/>
    <mergeCell ref="G1377:G1378"/>
    <mergeCell ref="H1377:H1378"/>
    <mergeCell ref="I1377:I1378"/>
    <mergeCell ref="J1377:J1378"/>
    <mergeCell ref="K1377:K1378"/>
    <mergeCell ref="L1377:L1378"/>
    <mergeCell ref="M1377:M1378"/>
    <mergeCell ref="N1377:N1378"/>
    <mergeCell ref="G1375:G1376"/>
    <mergeCell ref="H1375:H1376"/>
    <mergeCell ref="I1375:I1376"/>
    <mergeCell ref="J1375:J1376"/>
    <mergeCell ref="K1375:K1376"/>
    <mergeCell ref="B1375:B1376"/>
    <mergeCell ref="C1375:C1376"/>
    <mergeCell ref="D1375:D1376"/>
    <mergeCell ref="E1375:E1376"/>
    <mergeCell ref="L1387:L1388"/>
    <mergeCell ref="M1387:M1388"/>
    <mergeCell ref="N1387:N1388"/>
    <mergeCell ref="B1389:B1390"/>
    <mergeCell ref="C1389:C1390"/>
    <mergeCell ref="D1389:D1390"/>
    <mergeCell ref="E1389:E1390"/>
    <mergeCell ref="G1389:G1390"/>
    <mergeCell ref="H1389:H1390"/>
    <mergeCell ref="I1389:I1390"/>
    <mergeCell ref="J1389:J1390"/>
    <mergeCell ref="K1389:K1390"/>
    <mergeCell ref="L1389:L1390"/>
    <mergeCell ref="M1389:M1390"/>
    <mergeCell ref="N1389:N1390"/>
    <mergeCell ref="G1387:G1388"/>
    <mergeCell ref="H1387:H1388"/>
    <mergeCell ref="I1387:I1388"/>
    <mergeCell ref="J1387:J1388"/>
    <mergeCell ref="K1387:K1388"/>
    <mergeCell ref="B1387:B1388"/>
    <mergeCell ref="C1387:C1388"/>
    <mergeCell ref="D1387:D1388"/>
    <mergeCell ref="E1387:E1388"/>
    <mergeCell ref="L1383:L1384"/>
    <mergeCell ref="M1383:M1384"/>
    <mergeCell ref="N1383:N1384"/>
    <mergeCell ref="B1385:B1386"/>
    <mergeCell ref="C1385:C1386"/>
    <mergeCell ref="D1385:D1386"/>
    <mergeCell ref="E1385:E1386"/>
    <mergeCell ref="G1385:G1386"/>
    <mergeCell ref="H1385:H1386"/>
    <mergeCell ref="I1385:I1386"/>
    <mergeCell ref="J1385:J1386"/>
    <mergeCell ref="K1385:K1386"/>
    <mergeCell ref="L1385:L1386"/>
    <mergeCell ref="M1385:M1386"/>
    <mergeCell ref="N1385:N1386"/>
    <mergeCell ref="G1383:G1384"/>
    <mergeCell ref="H1383:H1384"/>
    <mergeCell ref="I1383:I1384"/>
    <mergeCell ref="J1383:J1384"/>
    <mergeCell ref="K1383:K1384"/>
    <mergeCell ref="B1383:B1384"/>
    <mergeCell ref="C1383:C1384"/>
    <mergeCell ref="D1383:D1384"/>
    <mergeCell ref="E1383:E1384"/>
    <mergeCell ref="L1395:L1396"/>
    <mergeCell ref="M1395:M1396"/>
    <mergeCell ref="N1395:N1396"/>
    <mergeCell ref="B1397:B1398"/>
    <mergeCell ref="C1397:C1398"/>
    <mergeCell ref="D1397:D1398"/>
    <mergeCell ref="E1397:E1398"/>
    <mergeCell ref="G1397:G1398"/>
    <mergeCell ref="H1397:H1398"/>
    <mergeCell ref="I1397:I1398"/>
    <mergeCell ref="J1397:J1398"/>
    <mergeCell ref="K1397:K1398"/>
    <mergeCell ref="L1397:L1398"/>
    <mergeCell ref="M1397:M1398"/>
    <mergeCell ref="N1397:N1398"/>
    <mergeCell ref="G1395:G1396"/>
    <mergeCell ref="H1395:H1396"/>
    <mergeCell ref="I1395:I1396"/>
    <mergeCell ref="J1395:J1396"/>
    <mergeCell ref="K1395:K1396"/>
    <mergeCell ref="B1395:B1396"/>
    <mergeCell ref="C1395:C1396"/>
    <mergeCell ref="D1395:D1396"/>
    <mergeCell ref="E1395:E1396"/>
    <mergeCell ref="L1391:L1392"/>
    <mergeCell ref="M1391:M1392"/>
    <mergeCell ref="N1391:N1392"/>
    <mergeCell ref="B1393:B1394"/>
    <mergeCell ref="C1393:C1394"/>
    <mergeCell ref="D1393:D1394"/>
    <mergeCell ref="E1393:E1394"/>
    <mergeCell ref="G1393:G1394"/>
    <mergeCell ref="H1393:H1394"/>
    <mergeCell ref="I1393:I1394"/>
    <mergeCell ref="J1393:J1394"/>
    <mergeCell ref="K1393:K1394"/>
    <mergeCell ref="L1393:L1394"/>
    <mergeCell ref="M1393:M1394"/>
    <mergeCell ref="N1393:N1394"/>
    <mergeCell ref="G1391:G1392"/>
    <mergeCell ref="H1391:H1392"/>
    <mergeCell ref="I1391:I1392"/>
    <mergeCell ref="J1391:J1392"/>
    <mergeCell ref="K1391:K1392"/>
    <mergeCell ref="B1391:B1392"/>
    <mergeCell ref="C1391:C1392"/>
    <mergeCell ref="D1391:D1392"/>
    <mergeCell ref="E1391:E1392"/>
    <mergeCell ref="L1403:L1404"/>
    <mergeCell ref="M1403:M1404"/>
    <mergeCell ref="N1403:N1404"/>
    <mergeCell ref="B1405:B1406"/>
    <mergeCell ref="C1405:C1406"/>
    <mergeCell ref="D1405:D1406"/>
    <mergeCell ref="E1405:E1406"/>
    <mergeCell ref="G1405:G1406"/>
    <mergeCell ref="H1405:H1406"/>
    <mergeCell ref="I1405:I1406"/>
    <mergeCell ref="J1405:J1406"/>
    <mergeCell ref="K1405:K1406"/>
    <mergeCell ref="L1405:L1406"/>
    <mergeCell ref="M1405:M1406"/>
    <mergeCell ref="N1405:N1406"/>
    <mergeCell ref="G1403:G1404"/>
    <mergeCell ref="H1403:H1404"/>
    <mergeCell ref="I1403:I1404"/>
    <mergeCell ref="J1403:J1404"/>
    <mergeCell ref="K1403:K1404"/>
    <mergeCell ref="B1403:B1404"/>
    <mergeCell ref="C1403:C1404"/>
    <mergeCell ref="D1403:D1404"/>
    <mergeCell ref="E1403:E1404"/>
    <mergeCell ref="L1399:L1400"/>
    <mergeCell ref="M1399:M1400"/>
    <mergeCell ref="N1399:N1400"/>
    <mergeCell ref="B1401:B1402"/>
    <mergeCell ref="C1401:C1402"/>
    <mergeCell ref="D1401:D1402"/>
    <mergeCell ref="E1401:E1402"/>
    <mergeCell ref="G1401:G1402"/>
    <mergeCell ref="H1401:H1402"/>
    <mergeCell ref="I1401:I1402"/>
    <mergeCell ref="J1401:J1402"/>
    <mergeCell ref="K1401:K1402"/>
    <mergeCell ref="L1401:L1402"/>
    <mergeCell ref="M1401:M1402"/>
    <mergeCell ref="N1401:N1402"/>
    <mergeCell ref="G1399:G1400"/>
    <mergeCell ref="H1399:H1400"/>
    <mergeCell ref="I1399:I1400"/>
    <mergeCell ref="J1399:J1400"/>
    <mergeCell ref="K1399:K1400"/>
    <mergeCell ref="B1399:B1400"/>
    <mergeCell ref="C1399:C1400"/>
    <mergeCell ref="D1399:D1400"/>
    <mergeCell ref="E1399:E1400"/>
    <mergeCell ref="L1411:L1412"/>
    <mergeCell ref="M1411:M1412"/>
    <mergeCell ref="N1411:N1412"/>
    <mergeCell ref="B1413:B1414"/>
    <mergeCell ref="C1413:C1414"/>
    <mergeCell ref="D1413:D1414"/>
    <mergeCell ref="E1413:E1414"/>
    <mergeCell ref="G1413:G1414"/>
    <mergeCell ref="H1413:H1414"/>
    <mergeCell ref="I1413:I1414"/>
    <mergeCell ref="J1413:J1414"/>
    <mergeCell ref="K1413:K1414"/>
    <mergeCell ref="L1413:L1414"/>
    <mergeCell ref="M1413:M1414"/>
    <mergeCell ref="N1413:N1414"/>
    <mergeCell ref="G1411:G1412"/>
    <mergeCell ref="H1411:H1412"/>
    <mergeCell ref="I1411:I1412"/>
    <mergeCell ref="J1411:J1412"/>
    <mergeCell ref="K1411:K1412"/>
    <mergeCell ref="B1411:B1412"/>
    <mergeCell ref="C1411:C1412"/>
    <mergeCell ref="D1411:D1412"/>
    <mergeCell ref="E1411:E1412"/>
    <mergeCell ref="L1407:L1408"/>
    <mergeCell ref="M1407:M1408"/>
    <mergeCell ref="N1407:N1408"/>
    <mergeCell ref="B1409:B1410"/>
    <mergeCell ref="C1409:C1410"/>
    <mergeCell ref="D1409:D1410"/>
    <mergeCell ref="E1409:E1410"/>
    <mergeCell ref="G1409:G1410"/>
    <mergeCell ref="H1409:H1410"/>
    <mergeCell ref="I1409:I1410"/>
    <mergeCell ref="J1409:J1410"/>
    <mergeCell ref="K1409:K1410"/>
    <mergeCell ref="L1409:L1410"/>
    <mergeCell ref="M1409:M1410"/>
    <mergeCell ref="N1409:N1410"/>
    <mergeCell ref="G1407:G1408"/>
    <mergeCell ref="H1407:H1408"/>
    <mergeCell ref="I1407:I1408"/>
    <mergeCell ref="J1407:J1408"/>
    <mergeCell ref="K1407:K1408"/>
    <mergeCell ref="B1407:B1408"/>
    <mergeCell ref="C1407:C1408"/>
    <mergeCell ref="D1407:D1408"/>
    <mergeCell ref="E1407:E1408"/>
    <mergeCell ref="L1419:L1420"/>
    <mergeCell ref="M1419:M1420"/>
    <mergeCell ref="N1419:N1420"/>
    <mergeCell ref="B1421:B1422"/>
    <mergeCell ref="C1421:C1422"/>
    <mergeCell ref="D1421:D1422"/>
    <mergeCell ref="E1421:E1422"/>
    <mergeCell ref="G1421:G1422"/>
    <mergeCell ref="H1421:H1422"/>
    <mergeCell ref="I1421:I1422"/>
    <mergeCell ref="J1421:J1422"/>
    <mergeCell ref="K1421:K1422"/>
    <mergeCell ref="L1421:L1422"/>
    <mergeCell ref="M1421:M1422"/>
    <mergeCell ref="N1421:N1422"/>
    <mergeCell ref="G1419:G1420"/>
    <mergeCell ref="H1419:H1420"/>
    <mergeCell ref="I1419:I1420"/>
    <mergeCell ref="J1419:J1420"/>
    <mergeCell ref="K1419:K1420"/>
    <mergeCell ref="B1419:B1420"/>
    <mergeCell ref="C1419:C1420"/>
    <mergeCell ref="D1419:D1420"/>
    <mergeCell ref="E1419:E1420"/>
    <mergeCell ref="L1415:L1416"/>
    <mergeCell ref="M1415:M1416"/>
    <mergeCell ref="N1415:N1416"/>
    <mergeCell ref="B1417:B1418"/>
    <mergeCell ref="C1417:C1418"/>
    <mergeCell ref="D1417:D1418"/>
    <mergeCell ref="E1417:E1418"/>
    <mergeCell ref="G1417:G1418"/>
    <mergeCell ref="H1417:H1418"/>
    <mergeCell ref="I1417:I1418"/>
    <mergeCell ref="J1417:J1418"/>
    <mergeCell ref="K1417:K1418"/>
    <mergeCell ref="L1417:L1418"/>
    <mergeCell ref="M1417:M1418"/>
    <mergeCell ref="N1417:N1418"/>
    <mergeCell ref="G1415:G1416"/>
    <mergeCell ref="H1415:H1416"/>
    <mergeCell ref="I1415:I1416"/>
    <mergeCell ref="J1415:J1416"/>
    <mergeCell ref="K1415:K1416"/>
    <mergeCell ref="B1415:B1416"/>
    <mergeCell ref="C1415:C1416"/>
    <mergeCell ref="D1415:D1416"/>
    <mergeCell ref="E1415:E1416"/>
    <mergeCell ref="L1427:L1428"/>
    <mergeCell ref="M1427:M1428"/>
    <mergeCell ref="N1427:N1428"/>
    <mergeCell ref="B1429:B1430"/>
    <mergeCell ref="C1429:C1430"/>
    <mergeCell ref="D1429:D1430"/>
    <mergeCell ref="E1429:E1430"/>
    <mergeCell ref="G1429:G1430"/>
    <mergeCell ref="H1429:H1430"/>
    <mergeCell ref="I1429:I1430"/>
    <mergeCell ref="J1429:J1430"/>
    <mergeCell ref="K1429:K1430"/>
    <mergeCell ref="L1429:L1430"/>
    <mergeCell ref="M1429:M1430"/>
    <mergeCell ref="N1429:N1430"/>
    <mergeCell ref="G1427:G1428"/>
    <mergeCell ref="H1427:H1428"/>
    <mergeCell ref="I1427:I1428"/>
    <mergeCell ref="J1427:J1428"/>
    <mergeCell ref="K1427:K1428"/>
    <mergeCell ref="B1427:B1428"/>
    <mergeCell ref="C1427:C1428"/>
    <mergeCell ref="D1427:D1428"/>
    <mergeCell ref="E1427:E1428"/>
    <mergeCell ref="L1423:L1424"/>
    <mergeCell ref="M1423:M1424"/>
    <mergeCell ref="N1423:N1424"/>
    <mergeCell ref="B1425:B1426"/>
    <mergeCell ref="C1425:C1426"/>
    <mergeCell ref="D1425:D1426"/>
    <mergeCell ref="E1425:E1426"/>
    <mergeCell ref="G1425:G1426"/>
    <mergeCell ref="H1425:H1426"/>
    <mergeCell ref="I1425:I1426"/>
    <mergeCell ref="J1425:J1426"/>
    <mergeCell ref="K1425:K1426"/>
    <mergeCell ref="L1425:L1426"/>
    <mergeCell ref="M1425:M1426"/>
    <mergeCell ref="N1425:N1426"/>
    <mergeCell ref="G1423:G1424"/>
    <mergeCell ref="H1423:H1424"/>
    <mergeCell ref="I1423:I1424"/>
    <mergeCell ref="J1423:J1424"/>
    <mergeCell ref="K1423:K1424"/>
    <mergeCell ref="B1423:B1424"/>
    <mergeCell ref="C1423:C1424"/>
    <mergeCell ref="D1423:D1424"/>
    <mergeCell ref="E1423:E1424"/>
    <mergeCell ref="L1435:L1436"/>
    <mergeCell ref="M1435:M1436"/>
    <mergeCell ref="N1435:N1436"/>
    <mergeCell ref="B1437:B1438"/>
    <mergeCell ref="C1437:C1438"/>
    <mergeCell ref="D1437:D1438"/>
    <mergeCell ref="E1437:E1438"/>
    <mergeCell ref="G1437:G1438"/>
    <mergeCell ref="H1437:H1438"/>
    <mergeCell ref="I1437:I1438"/>
    <mergeCell ref="J1437:J1438"/>
    <mergeCell ref="K1437:K1438"/>
    <mergeCell ref="L1437:L1438"/>
    <mergeCell ref="M1437:M1438"/>
    <mergeCell ref="N1437:N1438"/>
    <mergeCell ref="G1435:G1436"/>
    <mergeCell ref="H1435:H1436"/>
    <mergeCell ref="I1435:I1436"/>
    <mergeCell ref="J1435:J1436"/>
    <mergeCell ref="K1435:K1436"/>
    <mergeCell ref="B1435:B1436"/>
    <mergeCell ref="C1435:C1436"/>
    <mergeCell ref="D1435:D1436"/>
    <mergeCell ref="E1435:E1436"/>
    <mergeCell ref="L1431:L1432"/>
    <mergeCell ref="M1431:M1432"/>
    <mergeCell ref="N1431:N1432"/>
    <mergeCell ref="B1433:B1434"/>
    <mergeCell ref="C1433:C1434"/>
    <mergeCell ref="D1433:D1434"/>
    <mergeCell ref="E1433:E1434"/>
    <mergeCell ref="G1433:G1434"/>
    <mergeCell ref="H1433:H1434"/>
    <mergeCell ref="I1433:I1434"/>
    <mergeCell ref="J1433:J1434"/>
    <mergeCell ref="K1433:K1434"/>
    <mergeCell ref="L1433:L1434"/>
    <mergeCell ref="M1433:M1434"/>
    <mergeCell ref="N1433:N1434"/>
    <mergeCell ref="G1431:G1432"/>
    <mergeCell ref="H1431:H1432"/>
    <mergeCell ref="I1431:I1432"/>
    <mergeCell ref="J1431:J1432"/>
    <mergeCell ref="K1431:K1432"/>
    <mergeCell ref="B1431:B1432"/>
    <mergeCell ref="C1431:C1432"/>
    <mergeCell ref="D1431:D1432"/>
    <mergeCell ref="E1431:E1432"/>
    <mergeCell ref="L1443:L1444"/>
    <mergeCell ref="M1443:M1444"/>
    <mergeCell ref="N1443:N1444"/>
    <mergeCell ref="B1445:B1446"/>
    <mergeCell ref="C1445:C1446"/>
    <mergeCell ref="D1445:D1446"/>
    <mergeCell ref="E1445:E1446"/>
    <mergeCell ref="G1445:G1446"/>
    <mergeCell ref="H1445:H1446"/>
    <mergeCell ref="I1445:I1446"/>
    <mergeCell ref="J1445:J1446"/>
    <mergeCell ref="K1445:K1446"/>
    <mergeCell ref="L1445:L1446"/>
    <mergeCell ref="M1445:M1446"/>
    <mergeCell ref="N1445:N1446"/>
    <mergeCell ref="G1443:G1444"/>
    <mergeCell ref="H1443:H1444"/>
    <mergeCell ref="I1443:I1444"/>
    <mergeCell ref="J1443:J1444"/>
    <mergeCell ref="K1443:K1444"/>
    <mergeCell ref="B1443:B1444"/>
    <mergeCell ref="C1443:C1444"/>
    <mergeCell ref="D1443:D1444"/>
    <mergeCell ref="E1443:E1444"/>
    <mergeCell ref="L1439:L1440"/>
    <mergeCell ref="M1439:M1440"/>
    <mergeCell ref="N1439:N1440"/>
    <mergeCell ref="B1441:B1442"/>
    <mergeCell ref="C1441:C1442"/>
    <mergeCell ref="D1441:D1442"/>
    <mergeCell ref="E1441:E1442"/>
    <mergeCell ref="G1441:G1442"/>
    <mergeCell ref="H1441:H1442"/>
    <mergeCell ref="I1441:I1442"/>
    <mergeCell ref="J1441:J1442"/>
    <mergeCell ref="K1441:K1442"/>
    <mergeCell ref="L1441:L1442"/>
    <mergeCell ref="M1441:M1442"/>
    <mergeCell ref="N1441:N1442"/>
    <mergeCell ref="G1439:G1440"/>
    <mergeCell ref="H1439:H1440"/>
    <mergeCell ref="I1439:I1440"/>
    <mergeCell ref="J1439:J1440"/>
    <mergeCell ref="K1439:K1440"/>
    <mergeCell ref="B1439:B1440"/>
    <mergeCell ref="C1439:C1440"/>
    <mergeCell ref="D1439:D1440"/>
    <mergeCell ref="E1439:E1440"/>
    <mergeCell ref="L1451:L1452"/>
    <mergeCell ref="M1451:M1452"/>
    <mergeCell ref="N1451:N1452"/>
    <mergeCell ref="B1453:B1454"/>
    <mergeCell ref="C1453:C1454"/>
    <mergeCell ref="D1453:D1454"/>
    <mergeCell ref="E1453:E1454"/>
    <mergeCell ref="G1453:G1454"/>
    <mergeCell ref="H1453:H1454"/>
    <mergeCell ref="I1453:I1454"/>
    <mergeCell ref="J1453:J1454"/>
    <mergeCell ref="K1453:K1454"/>
    <mergeCell ref="L1453:L1454"/>
    <mergeCell ref="M1453:M1454"/>
    <mergeCell ref="N1453:N1454"/>
    <mergeCell ref="G1451:G1452"/>
    <mergeCell ref="H1451:H1452"/>
    <mergeCell ref="I1451:I1452"/>
    <mergeCell ref="J1451:J1452"/>
    <mergeCell ref="K1451:K1452"/>
    <mergeCell ref="B1451:B1452"/>
    <mergeCell ref="C1451:C1452"/>
    <mergeCell ref="D1451:D1452"/>
    <mergeCell ref="E1451:E1452"/>
    <mergeCell ref="L1447:L1448"/>
    <mergeCell ref="M1447:M1448"/>
    <mergeCell ref="N1447:N1448"/>
    <mergeCell ref="B1449:B1450"/>
    <mergeCell ref="C1449:C1450"/>
    <mergeCell ref="D1449:D1450"/>
    <mergeCell ref="E1449:E1450"/>
    <mergeCell ref="G1449:G1450"/>
    <mergeCell ref="H1449:H1450"/>
    <mergeCell ref="I1449:I1450"/>
    <mergeCell ref="J1449:J1450"/>
    <mergeCell ref="K1449:K1450"/>
    <mergeCell ref="L1449:L1450"/>
    <mergeCell ref="M1449:M1450"/>
    <mergeCell ref="N1449:N1450"/>
    <mergeCell ref="G1447:G1448"/>
    <mergeCell ref="H1447:H1448"/>
    <mergeCell ref="I1447:I1448"/>
    <mergeCell ref="J1447:J1448"/>
    <mergeCell ref="K1447:K1448"/>
    <mergeCell ref="B1447:B1448"/>
    <mergeCell ref="C1447:C1448"/>
    <mergeCell ref="D1447:D1448"/>
    <mergeCell ref="E1447:E1448"/>
    <mergeCell ref="L1459:L1460"/>
    <mergeCell ref="M1459:M1460"/>
    <mergeCell ref="N1459:N1460"/>
    <mergeCell ref="B1461:B1462"/>
    <mergeCell ref="C1461:C1462"/>
    <mergeCell ref="D1461:D1462"/>
    <mergeCell ref="E1461:E1462"/>
    <mergeCell ref="G1461:G1462"/>
    <mergeCell ref="H1461:H1462"/>
    <mergeCell ref="I1461:I1462"/>
    <mergeCell ref="J1461:J1462"/>
    <mergeCell ref="K1461:K1462"/>
    <mergeCell ref="L1461:L1462"/>
    <mergeCell ref="M1461:M1462"/>
    <mergeCell ref="N1461:N1462"/>
    <mergeCell ref="G1459:G1460"/>
    <mergeCell ref="H1459:H1460"/>
    <mergeCell ref="I1459:I1460"/>
    <mergeCell ref="J1459:J1460"/>
    <mergeCell ref="K1459:K1460"/>
    <mergeCell ref="B1459:B1460"/>
    <mergeCell ref="C1459:C1460"/>
    <mergeCell ref="D1459:D1460"/>
    <mergeCell ref="E1459:E1460"/>
    <mergeCell ref="L1455:L1456"/>
    <mergeCell ref="M1455:M1456"/>
    <mergeCell ref="N1455:N1456"/>
    <mergeCell ref="B1457:B1458"/>
    <mergeCell ref="C1457:C1458"/>
    <mergeCell ref="D1457:D1458"/>
    <mergeCell ref="E1457:E1458"/>
    <mergeCell ref="G1457:G1458"/>
    <mergeCell ref="H1457:H1458"/>
    <mergeCell ref="I1457:I1458"/>
    <mergeCell ref="J1457:J1458"/>
    <mergeCell ref="K1457:K1458"/>
    <mergeCell ref="L1457:L1458"/>
    <mergeCell ref="M1457:M1458"/>
    <mergeCell ref="N1457:N1458"/>
    <mergeCell ref="G1455:G1456"/>
    <mergeCell ref="H1455:H1456"/>
    <mergeCell ref="I1455:I1456"/>
    <mergeCell ref="J1455:J1456"/>
    <mergeCell ref="K1455:K1456"/>
    <mergeCell ref="B1455:B1456"/>
    <mergeCell ref="C1455:C1456"/>
    <mergeCell ref="D1455:D1456"/>
    <mergeCell ref="E1455:E1456"/>
    <mergeCell ref="L1467:L1468"/>
    <mergeCell ref="M1467:M1468"/>
    <mergeCell ref="N1467:N1468"/>
    <mergeCell ref="B1469:B1470"/>
    <mergeCell ref="C1469:C1470"/>
    <mergeCell ref="D1469:D1470"/>
    <mergeCell ref="E1469:E1470"/>
    <mergeCell ref="G1469:G1470"/>
    <mergeCell ref="H1469:H1470"/>
    <mergeCell ref="I1469:I1470"/>
    <mergeCell ref="J1469:J1470"/>
    <mergeCell ref="K1469:K1470"/>
    <mergeCell ref="L1469:L1470"/>
    <mergeCell ref="M1469:M1470"/>
    <mergeCell ref="N1469:N1470"/>
    <mergeCell ref="G1467:G1468"/>
    <mergeCell ref="H1467:H1468"/>
    <mergeCell ref="I1467:I1468"/>
    <mergeCell ref="J1467:J1468"/>
    <mergeCell ref="K1467:K1468"/>
    <mergeCell ref="B1467:B1468"/>
    <mergeCell ref="C1467:C1468"/>
    <mergeCell ref="D1467:D1468"/>
    <mergeCell ref="E1467:E1468"/>
    <mergeCell ref="L1463:L1464"/>
    <mergeCell ref="M1463:M1464"/>
    <mergeCell ref="N1463:N1464"/>
    <mergeCell ref="B1465:B1466"/>
    <mergeCell ref="C1465:C1466"/>
    <mergeCell ref="D1465:D1466"/>
    <mergeCell ref="E1465:E1466"/>
    <mergeCell ref="G1465:G1466"/>
    <mergeCell ref="H1465:H1466"/>
    <mergeCell ref="I1465:I1466"/>
    <mergeCell ref="J1465:J1466"/>
    <mergeCell ref="K1465:K1466"/>
    <mergeCell ref="L1465:L1466"/>
    <mergeCell ref="M1465:M1466"/>
    <mergeCell ref="N1465:N1466"/>
    <mergeCell ref="G1463:G1464"/>
    <mergeCell ref="H1463:H1464"/>
    <mergeCell ref="I1463:I1464"/>
    <mergeCell ref="J1463:J1464"/>
    <mergeCell ref="K1463:K1464"/>
    <mergeCell ref="B1463:B1464"/>
    <mergeCell ref="C1463:C1464"/>
    <mergeCell ref="D1463:D1464"/>
    <mergeCell ref="E1463:E1464"/>
    <mergeCell ref="L1475:L1476"/>
    <mergeCell ref="M1475:M1476"/>
    <mergeCell ref="N1475:N1476"/>
    <mergeCell ref="B1477:B1478"/>
    <mergeCell ref="C1477:C1478"/>
    <mergeCell ref="D1477:D1478"/>
    <mergeCell ref="E1477:E1478"/>
    <mergeCell ref="G1477:G1478"/>
    <mergeCell ref="H1477:H1478"/>
    <mergeCell ref="I1477:I1478"/>
    <mergeCell ref="J1477:J1478"/>
    <mergeCell ref="K1477:K1478"/>
    <mergeCell ref="L1477:L1478"/>
    <mergeCell ref="M1477:M1478"/>
    <mergeCell ref="N1477:N1478"/>
    <mergeCell ref="G1475:G1476"/>
    <mergeCell ref="H1475:H1476"/>
    <mergeCell ref="I1475:I1476"/>
    <mergeCell ref="J1475:J1476"/>
    <mergeCell ref="K1475:K1476"/>
    <mergeCell ref="B1475:B1476"/>
    <mergeCell ref="C1475:C1476"/>
    <mergeCell ref="D1475:D1476"/>
    <mergeCell ref="E1475:E1476"/>
    <mergeCell ref="L1471:L1472"/>
    <mergeCell ref="M1471:M1472"/>
    <mergeCell ref="N1471:N1472"/>
    <mergeCell ref="B1473:B1474"/>
    <mergeCell ref="C1473:C1474"/>
    <mergeCell ref="D1473:D1474"/>
    <mergeCell ref="E1473:E1474"/>
    <mergeCell ref="G1473:G1474"/>
    <mergeCell ref="H1473:H1474"/>
    <mergeCell ref="I1473:I1474"/>
    <mergeCell ref="J1473:J1474"/>
    <mergeCell ref="K1473:K1474"/>
    <mergeCell ref="L1473:L1474"/>
    <mergeCell ref="M1473:M1474"/>
    <mergeCell ref="N1473:N1474"/>
    <mergeCell ref="G1471:G1472"/>
    <mergeCell ref="H1471:H1472"/>
    <mergeCell ref="I1471:I1472"/>
    <mergeCell ref="J1471:J1472"/>
    <mergeCell ref="K1471:K1472"/>
    <mergeCell ref="B1471:B1472"/>
    <mergeCell ref="C1471:C1472"/>
    <mergeCell ref="D1471:D1472"/>
    <mergeCell ref="E1471:E1472"/>
    <mergeCell ref="L1483:L1484"/>
    <mergeCell ref="M1483:M1484"/>
    <mergeCell ref="N1483:N1484"/>
    <mergeCell ref="B1485:B1486"/>
    <mergeCell ref="C1485:C1486"/>
    <mergeCell ref="D1485:D1486"/>
    <mergeCell ref="E1485:E1486"/>
    <mergeCell ref="G1485:G1486"/>
    <mergeCell ref="H1485:H1486"/>
    <mergeCell ref="I1485:I1486"/>
    <mergeCell ref="J1485:J1486"/>
    <mergeCell ref="K1485:K1486"/>
    <mergeCell ref="L1485:L1486"/>
    <mergeCell ref="M1485:M1486"/>
    <mergeCell ref="N1485:N1486"/>
    <mergeCell ref="G1483:G1484"/>
    <mergeCell ref="H1483:H1484"/>
    <mergeCell ref="I1483:I1484"/>
    <mergeCell ref="J1483:J1484"/>
    <mergeCell ref="K1483:K1484"/>
    <mergeCell ref="B1483:B1484"/>
    <mergeCell ref="C1483:C1484"/>
    <mergeCell ref="D1483:D1484"/>
    <mergeCell ref="E1483:E1484"/>
    <mergeCell ref="L1479:L1480"/>
    <mergeCell ref="M1479:M1480"/>
    <mergeCell ref="N1479:N1480"/>
    <mergeCell ref="B1481:B1482"/>
    <mergeCell ref="C1481:C1482"/>
    <mergeCell ref="D1481:D1482"/>
    <mergeCell ref="E1481:E1482"/>
    <mergeCell ref="G1481:G1482"/>
    <mergeCell ref="H1481:H1482"/>
    <mergeCell ref="I1481:I1482"/>
    <mergeCell ref="J1481:J1482"/>
    <mergeCell ref="K1481:K1482"/>
    <mergeCell ref="L1481:L1482"/>
    <mergeCell ref="M1481:M1482"/>
    <mergeCell ref="N1481:N1482"/>
    <mergeCell ref="G1479:G1480"/>
    <mergeCell ref="H1479:H1480"/>
    <mergeCell ref="I1479:I1480"/>
    <mergeCell ref="J1479:J1480"/>
    <mergeCell ref="K1479:K1480"/>
    <mergeCell ref="B1479:B1480"/>
    <mergeCell ref="C1479:C1480"/>
    <mergeCell ref="D1479:D1480"/>
    <mergeCell ref="E1479:E1480"/>
    <mergeCell ref="L1491:L1492"/>
    <mergeCell ref="M1491:M1492"/>
    <mergeCell ref="N1491:N1492"/>
    <mergeCell ref="B1493:B1494"/>
    <mergeCell ref="C1493:C1494"/>
    <mergeCell ref="D1493:D1494"/>
    <mergeCell ref="E1493:E1494"/>
    <mergeCell ref="G1493:G1494"/>
    <mergeCell ref="H1493:H1494"/>
    <mergeCell ref="I1493:I1494"/>
    <mergeCell ref="J1493:J1494"/>
    <mergeCell ref="K1493:K1494"/>
    <mergeCell ref="L1493:L1494"/>
    <mergeCell ref="M1493:M1494"/>
    <mergeCell ref="N1493:N1494"/>
    <mergeCell ref="G1491:G1492"/>
    <mergeCell ref="H1491:H1492"/>
    <mergeCell ref="I1491:I1492"/>
    <mergeCell ref="J1491:J1492"/>
    <mergeCell ref="K1491:K1492"/>
    <mergeCell ref="B1491:B1492"/>
    <mergeCell ref="C1491:C1492"/>
    <mergeCell ref="D1491:D1492"/>
    <mergeCell ref="E1491:E1492"/>
    <mergeCell ref="L1487:L1488"/>
    <mergeCell ref="M1487:M1488"/>
    <mergeCell ref="N1487:N1488"/>
    <mergeCell ref="B1489:B1490"/>
    <mergeCell ref="C1489:C1490"/>
    <mergeCell ref="D1489:D1490"/>
    <mergeCell ref="E1489:E1490"/>
    <mergeCell ref="G1489:G1490"/>
    <mergeCell ref="H1489:H1490"/>
    <mergeCell ref="I1489:I1490"/>
    <mergeCell ref="J1489:J1490"/>
    <mergeCell ref="K1489:K1490"/>
    <mergeCell ref="L1489:L1490"/>
    <mergeCell ref="M1489:M1490"/>
    <mergeCell ref="N1489:N1490"/>
    <mergeCell ref="G1487:G1488"/>
    <mergeCell ref="H1487:H1488"/>
    <mergeCell ref="I1487:I1488"/>
    <mergeCell ref="J1487:J1488"/>
    <mergeCell ref="K1487:K1488"/>
    <mergeCell ref="B1487:B1488"/>
    <mergeCell ref="C1487:C1488"/>
    <mergeCell ref="D1487:D1488"/>
    <mergeCell ref="E1487:E1488"/>
    <mergeCell ref="L1499:L1500"/>
    <mergeCell ref="M1499:M1500"/>
    <mergeCell ref="N1499:N1500"/>
    <mergeCell ref="B1501:B1502"/>
    <mergeCell ref="C1501:C1502"/>
    <mergeCell ref="D1501:D1502"/>
    <mergeCell ref="E1501:E1502"/>
    <mergeCell ref="G1501:G1502"/>
    <mergeCell ref="H1501:H1502"/>
    <mergeCell ref="I1501:I1502"/>
    <mergeCell ref="J1501:J1502"/>
    <mergeCell ref="K1501:K1502"/>
    <mergeCell ref="L1501:L1502"/>
    <mergeCell ref="M1501:M1502"/>
    <mergeCell ref="N1501:N1502"/>
    <mergeCell ref="G1499:G1500"/>
    <mergeCell ref="H1499:H1500"/>
    <mergeCell ref="I1499:I1500"/>
    <mergeCell ref="J1499:J1500"/>
    <mergeCell ref="K1499:K1500"/>
    <mergeCell ref="B1499:B1500"/>
    <mergeCell ref="C1499:C1500"/>
    <mergeCell ref="D1499:D1500"/>
    <mergeCell ref="E1499:E1500"/>
    <mergeCell ref="L1495:L1496"/>
    <mergeCell ref="M1495:M1496"/>
    <mergeCell ref="N1495:N1496"/>
    <mergeCell ref="B1497:B1498"/>
    <mergeCell ref="C1497:C1498"/>
    <mergeCell ref="D1497:D1498"/>
    <mergeCell ref="E1497:E1498"/>
    <mergeCell ref="G1497:G1498"/>
    <mergeCell ref="H1497:H1498"/>
    <mergeCell ref="I1497:I1498"/>
    <mergeCell ref="J1497:J1498"/>
    <mergeCell ref="K1497:K1498"/>
    <mergeCell ref="L1497:L1498"/>
    <mergeCell ref="M1497:M1498"/>
    <mergeCell ref="N1497:N1498"/>
    <mergeCell ref="G1495:G1496"/>
    <mergeCell ref="H1495:H1496"/>
    <mergeCell ref="I1495:I1496"/>
    <mergeCell ref="J1495:J1496"/>
    <mergeCell ref="K1495:K1496"/>
    <mergeCell ref="B1495:B1496"/>
    <mergeCell ref="C1495:C1496"/>
    <mergeCell ref="D1495:D1496"/>
    <mergeCell ref="E1495:E1496"/>
    <mergeCell ref="L1507:L1508"/>
    <mergeCell ref="M1507:M1508"/>
    <mergeCell ref="N1507:N1508"/>
    <mergeCell ref="B1509:B1510"/>
    <mergeCell ref="C1509:C1510"/>
    <mergeCell ref="D1509:D1510"/>
    <mergeCell ref="E1509:E1510"/>
    <mergeCell ref="G1509:G1510"/>
    <mergeCell ref="H1509:H1510"/>
    <mergeCell ref="I1509:I1510"/>
    <mergeCell ref="J1509:J1510"/>
    <mergeCell ref="K1509:K1510"/>
    <mergeCell ref="L1509:L1510"/>
    <mergeCell ref="M1509:M1510"/>
    <mergeCell ref="N1509:N1510"/>
    <mergeCell ref="G1507:G1508"/>
    <mergeCell ref="H1507:H1508"/>
    <mergeCell ref="I1507:I1508"/>
    <mergeCell ref="J1507:J1508"/>
    <mergeCell ref="K1507:K1508"/>
    <mergeCell ref="B1507:B1508"/>
    <mergeCell ref="C1507:C1508"/>
    <mergeCell ref="D1507:D1508"/>
    <mergeCell ref="E1507:E1508"/>
    <mergeCell ref="L1503:L1504"/>
    <mergeCell ref="M1503:M1504"/>
    <mergeCell ref="N1503:N1504"/>
    <mergeCell ref="B1505:B1506"/>
    <mergeCell ref="C1505:C1506"/>
    <mergeCell ref="D1505:D1506"/>
    <mergeCell ref="E1505:E1506"/>
    <mergeCell ref="G1505:G1506"/>
    <mergeCell ref="H1505:H1506"/>
    <mergeCell ref="I1505:I1506"/>
    <mergeCell ref="J1505:J1506"/>
    <mergeCell ref="K1505:K1506"/>
    <mergeCell ref="L1505:L1506"/>
    <mergeCell ref="M1505:M1506"/>
    <mergeCell ref="N1505:N1506"/>
    <mergeCell ref="G1503:G1504"/>
    <mergeCell ref="H1503:H1504"/>
    <mergeCell ref="I1503:I1504"/>
    <mergeCell ref="J1503:J1504"/>
    <mergeCell ref="K1503:K1504"/>
    <mergeCell ref="B1503:B1504"/>
    <mergeCell ref="C1503:C1504"/>
    <mergeCell ref="D1503:D1504"/>
    <mergeCell ref="E1503:E1504"/>
    <mergeCell ref="L1515:L1516"/>
    <mergeCell ref="M1515:M1516"/>
    <mergeCell ref="N1515:N1516"/>
    <mergeCell ref="B1517:B1518"/>
    <mergeCell ref="C1517:C1518"/>
    <mergeCell ref="D1517:D1518"/>
    <mergeCell ref="E1517:E1518"/>
    <mergeCell ref="G1517:G1518"/>
    <mergeCell ref="H1517:H1518"/>
    <mergeCell ref="I1517:I1518"/>
    <mergeCell ref="J1517:J1518"/>
    <mergeCell ref="K1517:K1518"/>
    <mergeCell ref="L1517:L1518"/>
    <mergeCell ref="M1517:M1518"/>
    <mergeCell ref="N1517:N1518"/>
    <mergeCell ref="G1515:G1516"/>
    <mergeCell ref="H1515:H1516"/>
    <mergeCell ref="I1515:I1516"/>
    <mergeCell ref="J1515:J1516"/>
    <mergeCell ref="K1515:K1516"/>
    <mergeCell ref="B1515:B1516"/>
    <mergeCell ref="C1515:C1516"/>
    <mergeCell ref="D1515:D1516"/>
    <mergeCell ref="E1515:E1516"/>
    <mergeCell ref="L1511:L1512"/>
    <mergeCell ref="M1511:M1512"/>
    <mergeCell ref="N1511:N1512"/>
    <mergeCell ref="B1513:B1514"/>
    <mergeCell ref="C1513:C1514"/>
    <mergeCell ref="D1513:D1514"/>
    <mergeCell ref="E1513:E1514"/>
    <mergeCell ref="G1513:G1514"/>
    <mergeCell ref="H1513:H1514"/>
    <mergeCell ref="I1513:I1514"/>
    <mergeCell ref="J1513:J1514"/>
    <mergeCell ref="K1513:K1514"/>
    <mergeCell ref="L1513:L1514"/>
    <mergeCell ref="M1513:M1514"/>
    <mergeCell ref="N1513:N1514"/>
    <mergeCell ref="G1511:G1512"/>
    <mergeCell ref="H1511:H1512"/>
    <mergeCell ref="I1511:I1512"/>
    <mergeCell ref="J1511:J1512"/>
    <mergeCell ref="K1511:K1512"/>
    <mergeCell ref="B1511:B1512"/>
    <mergeCell ref="C1511:C1512"/>
    <mergeCell ref="D1511:D1512"/>
    <mergeCell ref="E1511:E1512"/>
    <mergeCell ref="L1523:L1524"/>
    <mergeCell ref="M1523:M1524"/>
    <mergeCell ref="N1523:N1524"/>
    <mergeCell ref="B1525:B1526"/>
    <mergeCell ref="C1525:C1526"/>
    <mergeCell ref="D1525:D1526"/>
    <mergeCell ref="E1525:E1526"/>
    <mergeCell ref="G1525:G1526"/>
    <mergeCell ref="H1525:H1526"/>
    <mergeCell ref="I1525:I1526"/>
    <mergeCell ref="J1525:J1526"/>
    <mergeCell ref="K1525:K1526"/>
    <mergeCell ref="L1525:L1526"/>
    <mergeCell ref="M1525:M1526"/>
    <mergeCell ref="N1525:N1526"/>
    <mergeCell ref="G1523:G1524"/>
    <mergeCell ref="H1523:H1524"/>
    <mergeCell ref="I1523:I1524"/>
    <mergeCell ref="J1523:J1524"/>
    <mergeCell ref="K1523:K1524"/>
    <mergeCell ref="B1523:B1524"/>
    <mergeCell ref="C1523:C1524"/>
    <mergeCell ref="D1523:D1524"/>
    <mergeCell ref="E1523:E1524"/>
    <mergeCell ref="L1519:L1520"/>
    <mergeCell ref="M1519:M1520"/>
    <mergeCell ref="N1519:N1520"/>
    <mergeCell ref="B1521:B1522"/>
    <mergeCell ref="C1521:C1522"/>
    <mergeCell ref="D1521:D1522"/>
    <mergeCell ref="E1521:E1522"/>
    <mergeCell ref="G1521:G1522"/>
    <mergeCell ref="H1521:H1522"/>
    <mergeCell ref="I1521:I1522"/>
    <mergeCell ref="J1521:J1522"/>
    <mergeCell ref="K1521:K1522"/>
    <mergeCell ref="L1521:L1522"/>
    <mergeCell ref="M1521:M1522"/>
    <mergeCell ref="N1521:N1522"/>
    <mergeCell ref="G1519:G1520"/>
    <mergeCell ref="H1519:H1520"/>
    <mergeCell ref="I1519:I1520"/>
    <mergeCell ref="J1519:J1520"/>
    <mergeCell ref="K1519:K1520"/>
    <mergeCell ref="B1519:B1520"/>
    <mergeCell ref="C1519:C1520"/>
    <mergeCell ref="D1519:D1520"/>
    <mergeCell ref="E1519:E1520"/>
    <mergeCell ref="L1531:L1532"/>
    <mergeCell ref="M1531:M1532"/>
    <mergeCell ref="N1531:N1532"/>
    <mergeCell ref="B1533:B1534"/>
    <mergeCell ref="C1533:C1534"/>
    <mergeCell ref="D1533:D1534"/>
    <mergeCell ref="E1533:E1534"/>
    <mergeCell ref="G1533:G1534"/>
    <mergeCell ref="H1533:H1534"/>
    <mergeCell ref="I1533:I1534"/>
    <mergeCell ref="J1533:J1534"/>
    <mergeCell ref="K1533:K1534"/>
    <mergeCell ref="L1533:L1534"/>
    <mergeCell ref="M1533:M1534"/>
    <mergeCell ref="N1533:N1534"/>
    <mergeCell ref="G1531:G1532"/>
    <mergeCell ref="H1531:H1532"/>
    <mergeCell ref="I1531:I1532"/>
    <mergeCell ref="J1531:J1532"/>
    <mergeCell ref="K1531:K1532"/>
    <mergeCell ref="B1531:B1532"/>
    <mergeCell ref="C1531:C1532"/>
    <mergeCell ref="D1531:D1532"/>
    <mergeCell ref="E1531:E1532"/>
    <mergeCell ref="L1527:L1528"/>
    <mergeCell ref="M1527:M1528"/>
    <mergeCell ref="N1527:N1528"/>
    <mergeCell ref="B1529:B1530"/>
    <mergeCell ref="C1529:C1530"/>
    <mergeCell ref="D1529:D1530"/>
    <mergeCell ref="E1529:E1530"/>
    <mergeCell ref="G1529:G1530"/>
    <mergeCell ref="H1529:H1530"/>
    <mergeCell ref="I1529:I1530"/>
    <mergeCell ref="J1529:J1530"/>
    <mergeCell ref="K1529:K1530"/>
    <mergeCell ref="L1529:L1530"/>
    <mergeCell ref="M1529:M1530"/>
    <mergeCell ref="N1529:N1530"/>
    <mergeCell ref="G1527:G1528"/>
    <mergeCell ref="H1527:H1528"/>
    <mergeCell ref="I1527:I1528"/>
    <mergeCell ref="J1527:J1528"/>
    <mergeCell ref="K1527:K1528"/>
    <mergeCell ref="B1527:B1528"/>
    <mergeCell ref="C1527:C1528"/>
    <mergeCell ref="D1527:D1528"/>
    <mergeCell ref="E1527:E1528"/>
    <mergeCell ref="L1539:L1540"/>
    <mergeCell ref="M1539:M1540"/>
    <mergeCell ref="N1539:N1540"/>
    <mergeCell ref="B1541:B1542"/>
    <mergeCell ref="C1541:C1542"/>
    <mergeCell ref="D1541:D1542"/>
    <mergeCell ref="E1541:E1542"/>
    <mergeCell ref="G1541:G1542"/>
    <mergeCell ref="H1541:H1542"/>
    <mergeCell ref="I1541:I1542"/>
    <mergeCell ref="J1541:J1542"/>
    <mergeCell ref="K1541:K1542"/>
    <mergeCell ref="L1541:L1542"/>
    <mergeCell ref="M1541:M1542"/>
    <mergeCell ref="N1541:N1542"/>
    <mergeCell ref="G1539:G1540"/>
    <mergeCell ref="H1539:H1540"/>
    <mergeCell ref="I1539:I1540"/>
    <mergeCell ref="J1539:J1540"/>
    <mergeCell ref="K1539:K1540"/>
    <mergeCell ref="B1539:B1540"/>
    <mergeCell ref="C1539:C1540"/>
    <mergeCell ref="D1539:D1540"/>
    <mergeCell ref="E1539:E1540"/>
    <mergeCell ref="L1535:L1536"/>
    <mergeCell ref="M1535:M1536"/>
    <mergeCell ref="N1535:N1536"/>
    <mergeCell ref="B1537:B1538"/>
    <mergeCell ref="C1537:C1538"/>
    <mergeCell ref="D1537:D1538"/>
    <mergeCell ref="E1537:E1538"/>
    <mergeCell ref="G1537:G1538"/>
    <mergeCell ref="H1537:H1538"/>
    <mergeCell ref="I1537:I1538"/>
    <mergeCell ref="J1537:J1538"/>
    <mergeCell ref="K1537:K1538"/>
    <mergeCell ref="L1537:L1538"/>
    <mergeCell ref="M1537:M1538"/>
    <mergeCell ref="N1537:N1538"/>
    <mergeCell ref="G1535:G1536"/>
    <mergeCell ref="H1535:H1536"/>
    <mergeCell ref="I1535:I1536"/>
    <mergeCell ref="J1535:J1536"/>
    <mergeCell ref="K1535:K1536"/>
    <mergeCell ref="B1535:B1536"/>
    <mergeCell ref="C1535:C1536"/>
    <mergeCell ref="D1535:D1536"/>
    <mergeCell ref="E1535:E1536"/>
    <mergeCell ref="L1547:L1548"/>
    <mergeCell ref="M1547:M1548"/>
    <mergeCell ref="N1547:N1548"/>
    <mergeCell ref="B1549:B1550"/>
    <mergeCell ref="C1549:C1550"/>
    <mergeCell ref="D1549:D1550"/>
    <mergeCell ref="E1549:E1550"/>
    <mergeCell ref="G1549:G1550"/>
    <mergeCell ref="H1549:H1550"/>
    <mergeCell ref="I1549:I1550"/>
    <mergeCell ref="J1549:J1550"/>
    <mergeCell ref="K1549:K1550"/>
    <mergeCell ref="L1549:L1550"/>
    <mergeCell ref="M1549:M1550"/>
    <mergeCell ref="N1549:N1550"/>
    <mergeCell ref="G1547:G1548"/>
    <mergeCell ref="H1547:H1548"/>
    <mergeCell ref="I1547:I1548"/>
    <mergeCell ref="J1547:J1548"/>
    <mergeCell ref="K1547:K1548"/>
    <mergeCell ref="B1547:B1548"/>
    <mergeCell ref="C1547:C1548"/>
    <mergeCell ref="D1547:D1548"/>
    <mergeCell ref="E1547:E1548"/>
    <mergeCell ref="L1543:L1544"/>
    <mergeCell ref="M1543:M1544"/>
    <mergeCell ref="N1543:N1544"/>
    <mergeCell ref="B1545:B1546"/>
    <mergeCell ref="C1545:C1546"/>
    <mergeCell ref="D1545:D1546"/>
    <mergeCell ref="E1545:E1546"/>
    <mergeCell ref="G1545:G1546"/>
    <mergeCell ref="H1545:H1546"/>
    <mergeCell ref="I1545:I1546"/>
    <mergeCell ref="J1545:J1546"/>
    <mergeCell ref="K1545:K1546"/>
    <mergeCell ref="L1545:L1546"/>
    <mergeCell ref="M1545:M1546"/>
    <mergeCell ref="N1545:N1546"/>
    <mergeCell ref="G1543:G1544"/>
    <mergeCell ref="H1543:H1544"/>
    <mergeCell ref="I1543:I1544"/>
    <mergeCell ref="J1543:J1544"/>
    <mergeCell ref="K1543:K1544"/>
    <mergeCell ref="B1543:B1544"/>
    <mergeCell ref="C1543:C1544"/>
    <mergeCell ref="D1543:D1544"/>
    <mergeCell ref="E1543:E1544"/>
    <mergeCell ref="L1555:L1556"/>
    <mergeCell ref="M1555:M1556"/>
    <mergeCell ref="N1555:N1556"/>
    <mergeCell ref="B1557:B1558"/>
    <mergeCell ref="C1557:C1558"/>
    <mergeCell ref="D1557:D1558"/>
    <mergeCell ref="E1557:E1558"/>
    <mergeCell ref="G1557:G1558"/>
    <mergeCell ref="H1557:H1558"/>
    <mergeCell ref="I1557:I1558"/>
    <mergeCell ref="J1557:J1558"/>
    <mergeCell ref="K1557:K1558"/>
    <mergeCell ref="L1557:L1558"/>
    <mergeCell ref="M1557:M1558"/>
    <mergeCell ref="N1557:N1558"/>
    <mergeCell ref="G1555:G1556"/>
    <mergeCell ref="H1555:H1556"/>
    <mergeCell ref="I1555:I1556"/>
    <mergeCell ref="J1555:J1556"/>
    <mergeCell ref="K1555:K1556"/>
    <mergeCell ref="B1555:B1556"/>
    <mergeCell ref="C1555:C1556"/>
    <mergeCell ref="D1555:D1556"/>
    <mergeCell ref="E1555:E1556"/>
    <mergeCell ref="L1551:L1552"/>
    <mergeCell ref="M1551:M1552"/>
    <mergeCell ref="N1551:N1552"/>
    <mergeCell ref="B1553:B1554"/>
    <mergeCell ref="C1553:C1554"/>
    <mergeCell ref="D1553:D1554"/>
    <mergeCell ref="E1553:E1554"/>
    <mergeCell ref="G1553:G1554"/>
    <mergeCell ref="H1553:H1554"/>
    <mergeCell ref="I1553:I1554"/>
    <mergeCell ref="J1553:J1554"/>
    <mergeCell ref="K1553:K1554"/>
    <mergeCell ref="L1553:L1554"/>
    <mergeCell ref="M1553:M1554"/>
    <mergeCell ref="N1553:N1554"/>
    <mergeCell ref="G1551:G1552"/>
    <mergeCell ref="H1551:H1552"/>
    <mergeCell ref="I1551:I1552"/>
    <mergeCell ref="J1551:J1552"/>
    <mergeCell ref="K1551:K1552"/>
    <mergeCell ref="B1551:B1552"/>
    <mergeCell ref="C1551:C1552"/>
    <mergeCell ref="D1551:D1552"/>
    <mergeCell ref="E1551:E1552"/>
    <mergeCell ref="L1563:L1564"/>
    <mergeCell ref="M1563:M1564"/>
    <mergeCell ref="N1563:N1564"/>
    <mergeCell ref="B1565:B1566"/>
    <mergeCell ref="C1565:C1566"/>
    <mergeCell ref="D1565:D1566"/>
    <mergeCell ref="E1565:E1566"/>
    <mergeCell ref="G1565:G1566"/>
    <mergeCell ref="H1565:H1566"/>
    <mergeCell ref="I1565:I1566"/>
    <mergeCell ref="J1565:J1566"/>
    <mergeCell ref="K1565:K1566"/>
    <mergeCell ref="L1565:L1566"/>
    <mergeCell ref="M1565:M1566"/>
    <mergeCell ref="N1565:N1566"/>
    <mergeCell ref="G1563:G1564"/>
    <mergeCell ref="H1563:H1564"/>
    <mergeCell ref="I1563:I1564"/>
    <mergeCell ref="J1563:J1564"/>
    <mergeCell ref="K1563:K1564"/>
    <mergeCell ref="B1563:B1564"/>
    <mergeCell ref="C1563:C1564"/>
    <mergeCell ref="D1563:D1564"/>
    <mergeCell ref="E1563:E1564"/>
    <mergeCell ref="L1559:L1560"/>
    <mergeCell ref="M1559:M1560"/>
    <mergeCell ref="N1559:N1560"/>
    <mergeCell ref="B1561:B1562"/>
    <mergeCell ref="C1561:C1562"/>
    <mergeCell ref="D1561:D1562"/>
    <mergeCell ref="E1561:E1562"/>
    <mergeCell ref="G1561:G1562"/>
    <mergeCell ref="H1561:H1562"/>
    <mergeCell ref="I1561:I1562"/>
    <mergeCell ref="J1561:J1562"/>
    <mergeCell ref="K1561:K1562"/>
    <mergeCell ref="L1561:L1562"/>
    <mergeCell ref="M1561:M1562"/>
    <mergeCell ref="N1561:N1562"/>
    <mergeCell ref="G1559:G1560"/>
    <mergeCell ref="H1559:H1560"/>
    <mergeCell ref="I1559:I1560"/>
    <mergeCell ref="J1559:J1560"/>
    <mergeCell ref="K1559:K1560"/>
    <mergeCell ref="B1559:B1560"/>
    <mergeCell ref="C1559:C1560"/>
    <mergeCell ref="D1559:D1560"/>
    <mergeCell ref="E1559:E1560"/>
    <mergeCell ref="L1571:L1572"/>
    <mergeCell ref="M1571:M1572"/>
    <mergeCell ref="N1571:N1572"/>
    <mergeCell ref="B1573:B1574"/>
    <mergeCell ref="C1573:C1574"/>
    <mergeCell ref="D1573:D1574"/>
    <mergeCell ref="E1573:E1574"/>
    <mergeCell ref="G1573:G1574"/>
    <mergeCell ref="H1573:H1574"/>
    <mergeCell ref="I1573:I1574"/>
    <mergeCell ref="J1573:J1574"/>
    <mergeCell ref="K1573:K1574"/>
    <mergeCell ref="L1573:L1574"/>
    <mergeCell ref="M1573:M1574"/>
    <mergeCell ref="N1573:N1574"/>
    <mergeCell ref="G1571:G1572"/>
    <mergeCell ref="H1571:H1572"/>
    <mergeCell ref="I1571:I1572"/>
    <mergeCell ref="J1571:J1572"/>
    <mergeCell ref="K1571:K1572"/>
    <mergeCell ref="B1571:B1572"/>
    <mergeCell ref="C1571:C1572"/>
    <mergeCell ref="D1571:D1572"/>
    <mergeCell ref="E1571:E1572"/>
    <mergeCell ref="L1567:L1568"/>
    <mergeCell ref="M1567:M1568"/>
    <mergeCell ref="N1567:N1568"/>
    <mergeCell ref="B1569:B1570"/>
    <mergeCell ref="C1569:C1570"/>
    <mergeCell ref="D1569:D1570"/>
    <mergeCell ref="E1569:E1570"/>
    <mergeCell ref="G1569:G1570"/>
    <mergeCell ref="H1569:H1570"/>
    <mergeCell ref="I1569:I1570"/>
    <mergeCell ref="J1569:J1570"/>
    <mergeCell ref="K1569:K1570"/>
    <mergeCell ref="L1569:L1570"/>
    <mergeCell ref="M1569:M1570"/>
    <mergeCell ref="N1569:N1570"/>
    <mergeCell ref="G1567:G1568"/>
    <mergeCell ref="H1567:H1568"/>
    <mergeCell ref="I1567:I1568"/>
    <mergeCell ref="J1567:J1568"/>
    <mergeCell ref="K1567:K1568"/>
    <mergeCell ref="B1567:B1568"/>
    <mergeCell ref="C1567:C1568"/>
    <mergeCell ref="D1567:D1568"/>
    <mergeCell ref="E1567:E1568"/>
    <mergeCell ref="L1579:L1580"/>
    <mergeCell ref="M1579:M1580"/>
    <mergeCell ref="N1579:N1580"/>
    <mergeCell ref="B1581:B1582"/>
    <mergeCell ref="C1581:C1582"/>
    <mergeCell ref="D1581:D1582"/>
    <mergeCell ref="E1581:E1582"/>
    <mergeCell ref="G1581:G1582"/>
    <mergeCell ref="H1581:H1582"/>
    <mergeCell ref="I1581:I1582"/>
    <mergeCell ref="J1581:J1582"/>
    <mergeCell ref="K1581:K1582"/>
    <mergeCell ref="L1581:L1582"/>
    <mergeCell ref="M1581:M1582"/>
    <mergeCell ref="N1581:N1582"/>
    <mergeCell ref="G1579:G1580"/>
    <mergeCell ref="H1579:H1580"/>
    <mergeCell ref="I1579:I1580"/>
    <mergeCell ref="J1579:J1580"/>
    <mergeCell ref="K1579:K1580"/>
    <mergeCell ref="B1579:B1580"/>
    <mergeCell ref="C1579:C1580"/>
    <mergeCell ref="D1579:D1580"/>
    <mergeCell ref="E1579:E1580"/>
    <mergeCell ref="L1575:L1576"/>
    <mergeCell ref="M1575:M1576"/>
    <mergeCell ref="N1575:N1576"/>
    <mergeCell ref="B1577:B1578"/>
    <mergeCell ref="C1577:C1578"/>
    <mergeCell ref="D1577:D1578"/>
    <mergeCell ref="E1577:E1578"/>
    <mergeCell ref="G1577:G1578"/>
    <mergeCell ref="H1577:H1578"/>
    <mergeCell ref="I1577:I1578"/>
    <mergeCell ref="J1577:J1578"/>
    <mergeCell ref="K1577:K1578"/>
    <mergeCell ref="L1577:L1578"/>
    <mergeCell ref="M1577:M1578"/>
    <mergeCell ref="N1577:N1578"/>
    <mergeCell ref="G1575:G1576"/>
    <mergeCell ref="H1575:H1576"/>
    <mergeCell ref="I1575:I1576"/>
    <mergeCell ref="J1575:J1576"/>
    <mergeCell ref="K1575:K1576"/>
    <mergeCell ref="B1575:B1576"/>
    <mergeCell ref="C1575:C1576"/>
    <mergeCell ref="D1575:D1576"/>
    <mergeCell ref="E1575:E1576"/>
    <mergeCell ref="L1587:L1588"/>
    <mergeCell ref="M1587:M1588"/>
    <mergeCell ref="N1587:N1588"/>
    <mergeCell ref="B1589:B1590"/>
    <mergeCell ref="C1589:C1590"/>
    <mergeCell ref="D1589:D1590"/>
    <mergeCell ref="E1589:E1590"/>
    <mergeCell ref="G1589:G1590"/>
    <mergeCell ref="H1589:H1590"/>
    <mergeCell ref="I1589:I1590"/>
    <mergeCell ref="J1589:J1590"/>
    <mergeCell ref="K1589:K1590"/>
    <mergeCell ref="L1589:L1590"/>
    <mergeCell ref="M1589:M1590"/>
    <mergeCell ref="N1589:N1590"/>
    <mergeCell ref="G1587:G1588"/>
    <mergeCell ref="H1587:H1588"/>
    <mergeCell ref="I1587:I1588"/>
    <mergeCell ref="J1587:J1588"/>
    <mergeCell ref="K1587:K1588"/>
    <mergeCell ref="B1587:B1588"/>
    <mergeCell ref="C1587:C1588"/>
    <mergeCell ref="D1587:D1588"/>
    <mergeCell ref="E1587:E1588"/>
    <mergeCell ref="L1583:L1584"/>
    <mergeCell ref="M1583:M1584"/>
    <mergeCell ref="N1583:N1584"/>
    <mergeCell ref="B1585:B1586"/>
    <mergeCell ref="C1585:C1586"/>
    <mergeCell ref="D1585:D1586"/>
    <mergeCell ref="E1585:E1586"/>
    <mergeCell ref="G1585:G1586"/>
    <mergeCell ref="H1585:H1586"/>
    <mergeCell ref="I1585:I1586"/>
    <mergeCell ref="J1585:J1586"/>
    <mergeCell ref="K1585:K1586"/>
    <mergeCell ref="L1585:L1586"/>
    <mergeCell ref="M1585:M1586"/>
    <mergeCell ref="N1585:N1586"/>
    <mergeCell ref="G1583:G1584"/>
    <mergeCell ref="H1583:H1584"/>
    <mergeCell ref="I1583:I1584"/>
    <mergeCell ref="J1583:J1584"/>
    <mergeCell ref="K1583:K1584"/>
    <mergeCell ref="B1583:B1584"/>
    <mergeCell ref="C1583:C1584"/>
    <mergeCell ref="D1583:D1584"/>
    <mergeCell ref="E1583:E1584"/>
    <mergeCell ref="L1595:L1596"/>
    <mergeCell ref="M1595:M1596"/>
    <mergeCell ref="N1595:N1596"/>
    <mergeCell ref="B1597:B1598"/>
    <mergeCell ref="C1597:C1598"/>
    <mergeCell ref="D1597:D1598"/>
    <mergeCell ref="E1597:E1598"/>
    <mergeCell ref="G1597:G1598"/>
    <mergeCell ref="H1597:H1598"/>
    <mergeCell ref="I1597:I1598"/>
    <mergeCell ref="J1597:J1598"/>
    <mergeCell ref="K1597:K1598"/>
    <mergeCell ref="L1597:L1598"/>
    <mergeCell ref="M1597:M1598"/>
    <mergeCell ref="N1597:N1598"/>
    <mergeCell ref="G1595:G1596"/>
    <mergeCell ref="H1595:H1596"/>
    <mergeCell ref="I1595:I1596"/>
    <mergeCell ref="J1595:J1596"/>
    <mergeCell ref="K1595:K1596"/>
    <mergeCell ref="B1595:B1596"/>
    <mergeCell ref="C1595:C1596"/>
    <mergeCell ref="D1595:D1596"/>
    <mergeCell ref="E1595:E1596"/>
    <mergeCell ref="L1591:L1592"/>
    <mergeCell ref="M1591:M1592"/>
    <mergeCell ref="N1591:N1592"/>
    <mergeCell ref="B1593:B1594"/>
    <mergeCell ref="C1593:C1594"/>
    <mergeCell ref="D1593:D1594"/>
    <mergeCell ref="E1593:E1594"/>
    <mergeCell ref="G1593:G1594"/>
    <mergeCell ref="H1593:H1594"/>
    <mergeCell ref="I1593:I1594"/>
    <mergeCell ref="J1593:J1594"/>
    <mergeCell ref="K1593:K1594"/>
    <mergeCell ref="L1593:L1594"/>
    <mergeCell ref="M1593:M1594"/>
    <mergeCell ref="N1593:N1594"/>
    <mergeCell ref="G1591:G1592"/>
    <mergeCell ref="H1591:H1592"/>
    <mergeCell ref="I1591:I1592"/>
    <mergeCell ref="J1591:J1592"/>
    <mergeCell ref="K1591:K1592"/>
    <mergeCell ref="B1591:B1592"/>
    <mergeCell ref="C1591:C1592"/>
    <mergeCell ref="D1591:D1592"/>
    <mergeCell ref="E1591:E1592"/>
    <mergeCell ref="L1603:L1604"/>
    <mergeCell ref="M1603:M1604"/>
    <mergeCell ref="N1603:N1604"/>
    <mergeCell ref="B1605:B1606"/>
    <mergeCell ref="C1605:C1606"/>
    <mergeCell ref="D1605:D1606"/>
    <mergeCell ref="E1605:E1606"/>
    <mergeCell ref="G1605:G1606"/>
    <mergeCell ref="H1605:H1606"/>
    <mergeCell ref="I1605:I1606"/>
    <mergeCell ref="J1605:J1606"/>
    <mergeCell ref="K1605:K1606"/>
    <mergeCell ref="L1605:L1606"/>
    <mergeCell ref="M1605:M1606"/>
    <mergeCell ref="N1605:N1606"/>
    <mergeCell ref="G1603:G1604"/>
    <mergeCell ref="H1603:H1604"/>
    <mergeCell ref="I1603:I1604"/>
    <mergeCell ref="J1603:J1604"/>
    <mergeCell ref="K1603:K1604"/>
    <mergeCell ref="B1603:B1604"/>
    <mergeCell ref="C1603:C1604"/>
    <mergeCell ref="D1603:D1604"/>
    <mergeCell ref="E1603:E1604"/>
    <mergeCell ref="L1599:L1600"/>
    <mergeCell ref="M1599:M1600"/>
    <mergeCell ref="N1599:N1600"/>
    <mergeCell ref="B1601:B1602"/>
    <mergeCell ref="C1601:C1602"/>
    <mergeCell ref="D1601:D1602"/>
    <mergeCell ref="E1601:E1602"/>
    <mergeCell ref="G1601:G1602"/>
    <mergeCell ref="H1601:H1602"/>
    <mergeCell ref="I1601:I1602"/>
    <mergeCell ref="J1601:J1602"/>
    <mergeCell ref="K1601:K1602"/>
    <mergeCell ref="L1601:L1602"/>
    <mergeCell ref="M1601:M1602"/>
    <mergeCell ref="N1601:N1602"/>
    <mergeCell ref="G1599:G1600"/>
    <mergeCell ref="H1599:H1600"/>
    <mergeCell ref="I1599:I1600"/>
    <mergeCell ref="J1599:J1600"/>
    <mergeCell ref="K1599:K1600"/>
    <mergeCell ref="B1599:B1600"/>
    <mergeCell ref="C1599:C1600"/>
    <mergeCell ref="D1599:D1600"/>
    <mergeCell ref="E1599:E1600"/>
    <mergeCell ref="L1611:L1612"/>
    <mergeCell ref="M1611:M1612"/>
    <mergeCell ref="N1611:N1612"/>
    <mergeCell ref="B1613:B1614"/>
    <mergeCell ref="C1613:C1614"/>
    <mergeCell ref="D1613:D1614"/>
    <mergeCell ref="E1613:E1614"/>
    <mergeCell ref="G1613:G1614"/>
    <mergeCell ref="H1613:H1614"/>
    <mergeCell ref="I1613:I1614"/>
    <mergeCell ref="J1613:J1614"/>
    <mergeCell ref="K1613:K1614"/>
    <mergeCell ref="L1613:L1614"/>
    <mergeCell ref="M1613:M1614"/>
    <mergeCell ref="N1613:N1614"/>
    <mergeCell ref="G1611:G1612"/>
    <mergeCell ref="H1611:H1612"/>
    <mergeCell ref="I1611:I1612"/>
    <mergeCell ref="J1611:J1612"/>
    <mergeCell ref="K1611:K1612"/>
    <mergeCell ref="B1611:B1612"/>
    <mergeCell ref="C1611:C1612"/>
    <mergeCell ref="D1611:D1612"/>
    <mergeCell ref="E1611:E1612"/>
    <mergeCell ref="L1607:L1608"/>
    <mergeCell ref="M1607:M1608"/>
    <mergeCell ref="N1607:N1608"/>
    <mergeCell ref="B1609:B1610"/>
    <mergeCell ref="C1609:C1610"/>
    <mergeCell ref="D1609:D1610"/>
    <mergeCell ref="E1609:E1610"/>
    <mergeCell ref="G1609:G1610"/>
    <mergeCell ref="H1609:H1610"/>
    <mergeCell ref="I1609:I1610"/>
    <mergeCell ref="J1609:J1610"/>
    <mergeCell ref="K1609:K1610"/>
    <mergeCell ref="L1609:L1610"/>
    <mergeCell ref="M1609:M1610"/>
    <mergeCell ref="N1609:N1610"/>
    <mergeCell ref="G1607:G1608"/>
    <mergeCell ref="H1607:H1608"/>
    <mergeCell ref="I1607:I1608"/>
    <mergeCell ref="J1607:J1608"/>
    <mergeCell ref="K1607:K1608"/>
    <mergeCell ref="B1607:B1608"/>
    <mergeCell ref="C1607:C1608"/>
    <mergeCell ref="D1607:D1608"/>
    <mergeCell ref="E1607:E1608"/>
    <mergeCell ref="L1619:L1620"/>
    <mergeCell ref="M1619:M1620"/>
    <mergeCell ref="N1619:N1620"/>
    <mergeCell ref="B1621:B1622"/>
    <mergeCell ref="C1621:C1622"/>
    <mergeCell ref="D1621:D1622"/>
    <mergeCell ref="E1621:E1622"/>
    <mergeCell ref="G1621:G1622"/>
    <mergeCell ref="H1621:H1622"/>
    <mergeCell ref="I1621:I1622"/>
    <mergeCell ref="J1621:J1622"/>
    <mergeCell ref="K1621:K1622"/>
    <mergeCell ref="L1621:L1622"/>
    <mergeCell ref="M1621:M1622"/>
    <mergeCell ref="N1621:N1622"/>
    <mergeCell ref="G1619:G1620"/>
    <mergeCell ref="H1619:H1620"/>
    <mergeCell ref="I1619:I1620"/>
    <mergeCell ref="J1619:J1620"/>
    <mergeCell ref="K1619:K1620"/>
    <mergeCell ref="B1619:B1620"/>
    <mergeCell ref="C1619:C1620"/>
    <mergeCell ref="D1619:D1620"/>
    <mergeCell ref="E1619:E1620"/>
    <mergeCell ref="L1615:L1616"/>
    <mergeCell ref="M1615:M1616"/>
    <mergeCell ref="N1615:N1616"/>
    <mergeCell ref="B1617:B1618"/>
    <mergeCell ref="C1617:C1618"/>
    <mergeCell ref="D1617:D1618"/>
    <mergeCell ref="E1617:E1618"/>
    <mergeCell ref="G1617:G1618"/>
    <mergeCell ref="H1617:H1618"/>
    <mergeCell ref="I1617:I1618"/>
    <mergeCell ref="J1617:J1618"/>
    <mergeCell ref="K1617:K1618"/>
    <mergeCell ref="L1617:L1618"/>
    <mergeCell ref="M1617:M1618"/>
    <mergeCell ref="N1617:N1618"/>
    <mergeCell ref="G1615:G1616"/>
    <mergeCell ref="H1615:H1616"/>
    <mergeCell ref="I1615:I1616"/>
    <mergeCell ref="J1615:J1616"/>
    <mergeCell ref="K1615:K1616"/>
    <mergeCell ref="B1615:B1616"/>
    <mergeCell ref="C1615:C1616"/>
    <mergeCell ref="D1615:D1616"/>
    <mergeCell ref="E1615:E1616"/>
    <mergeCell ref="L1627:L1628"/>
    <mergeCell ref="M1627:M1628"/>
    <mergeCell ref="N1627:N1628"/>
    <mergeCell ref="B1629:B1630"/>
    <mergeCell ref="C1629:C1630"/>
    <mergeCell ref="D1629:D1630"/>
    <mergeCell ref="E1629:E1630"/>
    <mergeCell ref="G1629:G1630"/>
    <mergeCell ref="H1629:H1630"/>
    <mergeCell ref="I1629:I1630"/>
    <mergeCell ref="J1629:J1630"/>
    <mergeCell ref="K1629:K1630"/>
    <mergeCell ref="L1629:L1630"/>
    <mergeCell ref="M1629:M1630"/>
    <mergeCell ref="N1629:N1630"/>
    <mergeCell ref="G1627:G1628"/>
    <mergeCell ref="H1627:H1628"/>
    <mergeCell ref="I1627:I1628"/>
    <mergeCell ref="J1627:J1628"/>
    <mergeCell ref="K1627:K1628"/>
    <mergeCell ref="B1627:B1628"/>
    <mergeCell ref="C1627:C1628"/>
    <mergeCell ref="D1627:D1628"/>
    <mergeCell ref="E1627:E1628"/>
    <mergeCell ref="L1623:L1624"/>
    <mergeCell ref="M1623:M1624"/>
    <mergeCell ref="N1623:N1624"/>
    <mergeCell ref="B1625:B1626"/>
    <mergeCell ref="C1625:C1626"/>
    <mergeCell ref="D1625:D1626"/>
    <mergeCell ref="E1625:E1626"/>
    <mergeCell ref="G1625:G1626"/>
    <mergeCell ref="H1625:H1626"/>
    <mergeCell ref="I1625:I1626"/>
    <mergeCell ref="J1625:J1626"/>
    <mergeCell ref="K1625:K1626"/>
    <mergeCell ref="L1625:L1626"/>
    <mergeCell ref="M1625:M1626"/>
    <mergeCell ref="N1625:N1626"/>
    <mergeCell ref="G1623:G1624"/>
    <mergeCell ref="H1623:H1624"/>
    <mergeCell ref="I1623:I1624"/>
    <mergeCell ref="J1623:J1624"/>
    <mergeCell ref="K1623:K1624"/>
    <mergeCell ref="B1623:B1624"/>
    <mergeCell ref="C1623:C1624"/>
    <mergeCell ref="D1623:D1624"/>
    <mergeCell ref="E1623:E1624"/>
    <mergeCell ref="L1635:L1636"/>
    <mergeCell ref="M1635:M1636"/>
    <mergeCell ref="N1635:N1636"/>
    <mergeCell ref="B1637:B1638"/>
    <mergeCell ref="C1637:C1638"/>
    <mergeCell ref="D1637:D1638"/>
    <mergeCell ref="E1637:E1638"/>
    <mergeCell ref="G1637:G1638"/>
    <mergeCell ref="H1637:H1638"/>
    <mergeCell ref="I1637:I1638"/>
    <mergeCell ref="J1637:J1638"/>
    <mergeCell ref="K1637:K1638"/>
    <mergeCell ref="L1637:L1638"/>
    <mergeCell ref="M1637:M1638"/>
    <mergeCell ref="N1637:N1638"/>
    <mergeCell ref="G1635:G1636"/>
    <mergeCell ref="H1635:H1636"/>
    <mergeCell ref="I1635:I1636"/>
    <mergeCell ref="J1635:J1636"/>
    <mergeCell ref="K1635:K1636"/>
    <mergeCell ref="B1635:B1636"/>
    <mergeCell ref="C1635:C1636"/>
    <mergeCell ref="D1635:D1636"/>
    <mergeCell ref="E1635:E1636"/>
    <mergeCell ref="L1631:L1632"/>
    <mergeCell ref="M1631:M1632"/>
    <mergeCell ref="N1631:N1632"/>
    <mergeCell ref="B1633:B1634"/>
    <mergeCell ref="C1633:C1634"/>
    <mergeCell ref="D1633:D1634"/>
    <mergeCell ref="E1633:E1634"/>
    <mergeCell ref="G1633:G1634"/>
    <mergeCell ref="H1633:H1634"/>
    <mergeCell ref="I1633:I1634"/>
    <mergeCell ref="J1633:J1634"/>
    <mergeCell ref="K1633:K1634"/>
    <mergeCell ref="L1633:L1634"/>
    <mergeCell ref="M1633:M1634"/>
    <mergeCell ref="N1633:N1634"/>
    <mergeCell ref="G1631:G1632"/>
    <mergeCell ref="H1631:H1632"/>
    <mergeCell ref="I1631:I1632"/>
    <mergeCell ref="J1631:J1632"/>
    <mergeCell ref="K1631:K1632"/>
    <mergeCell ref="B1631:B1632"/>
    <mergeCell ref="C1631:C1632"/>
    <mergeCell ref="D1631:D1632"/>
    <mergeCell ref="E1631:E1632"/>
    <mergeCell ref="L1643:L1644"/>
    <mergeCell ref="M1643:M1644"/>
    <mergeCell ref="N1643:N1644"/>
    <mergeCell ref="B1645:B1646"/>
    <mergeCell ref="C1645:C1646"/>
    <mergeCell ref="D1645:D1646"/>
    <mergeCell ref="E1645:E1646"/>
    <mergeCell ref="G1645:G1646"/>
    <mergeCell ref="H1645:H1646"/>
    <mergeCell ref="I1645:I1646"/>
    <mergeCell ref="J1645:J1646"/>
    <mergeCell ref="K1645:K1646"/>
    <mergeCell ref="L1645:L1646"/>
    <mergeCell ref="M1645:M1646"/>
    <mergeCell ref="N1645:N1646"/>
    <mergeCell ref="G1643:G1644"/>
    <mergeCell ref="H1643:H1644"/>
    <mergeCell ref="I1643:I1644"/>
    <mergeCell ref="J1643:J1644"/>
    <mergeCell ref="K1643:K1644"/>
    <mergeCell ref="B1643:B1644"/>
    <mergeCell ref="C1643:C1644"/>
    <mergeCell ref="D1643:D1644"/>
    <mergeCell ref="E1643:E1644"/>
    <mergeCell ref="L1639:L1640"/>
    <mergeCell ref="M1639:M1640"/>
    <mergeCell ref="N1639:N1640"/>
    <mergeCell ref="B1641:B1642"/>
    <mergeCell ref="C1641:C1642"/>
    <mergeCell ref="D1641:D1642"/>
    <mergeCell ref="E1641:E1642"/>
    <mergeCell ref="G1641:G1642"/>
    <mergeCell ref="H1641:H1642"/>
    <mergeCell ref="I1641:I1642"/>
    <mergeCell ref="J1641:J1642"/>
    <mergeCell ref="K1641:K1642"/>
    <mergeCell ref="L1641:L1642"/>
    <mergeCell ref="M1641:M1642"/>
    <mergeCell ref="N1641:N1642"/>
    <mergeCell ref="G1639:G1640"/>
    <mergeCell ref="H1639:H1640"/>
    <mergeCell ref="I1639:I1640"/>
    <mergeCell ref="J1639:J1640"/>
    <mergeCell ref="K1639:K1640"/>
    <mergeCell ref="B1639:B1640"/>
    <mergeCell ref="C1639:C1640"/>
    <mergeCell ref="D1639:D1640"/>
    <mergeCell ref="E1639:E1640"/>
    <mergeCell ref="L1651:L1652"/>
    <mergeCell ref="M1651:M1652"/>
    <mergeCell ref="N1651:N1652"/>
    <mergeCell ref="B1653:B1654"/>
    <mergeCell ref="C1653:C1654"/>
    <mergeCell ref="D1653:D1654"/>
    <mergeCell ref="E1653:E1654"/>
    <mergeCell ref="G1653:G1654"/>
    <mergeCell ref="H1653:H1654"/>
    <mergeCell ref="I1653:I1654"/>
    <mergeCell ref="J1653:J1654"/>
    <mergeCell ref="K1653:K1654"/>
    <mergeCell ref="L1653:L1654"/>
    <mergeCell ref="M1653:M1654"/>
    <mergeCell ref="N1653:N1654"/>
    <mergeCell ref="G1651:G1652"/>
    <mergeCell ref="H1651:H1652"/>
    <mergeCell ref="I1651:I1652"/>
    <mergeCell ref="J1651:J1652"/>
    <mergeCell ref="K1651:K1652"/>
    <mergeCell ref="B1651:B1652"/>
    <mergeCell ref="C1651:C1652"/>
    <mergeCell ref="D1651:D1652"/>
    <mergeCell ref="E1651:E1652"/>
    <mergeCell ref="L1647:L1648"/>
    <mergeCell ref="M1647:M1648"/>
    <mergeCell ref="N1647:N1648"/>
    <mergeCell ref="B1649:B1650"/>
    <mergeCell ref="C1649:C1650"/>
    <mergeCell ref="D1649:D1650"/>
    <mergeCell ref="E1649:E1650"/>
    <mergeCell ref="G1649:G1650"/>
    <mergeCell ref="H1649:H1650"/>
    <mergeCell ref="I1649:I1650"/>
    <mergeCell ref="J1649:J1650"/>
    <mergeCell ref="K1649:K1650"/>
    <mergeCell ref="L1649:L1650"/>
    <mergeCell ref="M1649:M1650"/>
    <mergeCell ref="N1649:N1650"/>
    <mergeCell ref="G1647:G1648"/>
    <mergeCell ref="H1647:H1648"/>
    <mergeCell ref="I1647:I1648"/>
    <mergeCell ref="J1647:J1648"/>
    <mergeCell ref="K1647:K1648"/>
    <mergeCell ref="B1647:B1648"/>
    <mergeCell ref="C1647:C1648"/>
    <mergeCell ref="D1647:D1648"/>
    <mergeCell ref="E1647:E1648"/>
    <mergeCell ref="L1659:L1660"/>
    <mergeCell ref="M1659:M1660"/>
    <mergeCell ref="N1659:N1660"/>
    <mergeCell ref="B1661:B1662"/>
    <mergeCell ref="C1661:C1662"/>
    <mergeCell ref="D1661:D1662"/>
    <mergeCell ref="E1661:E1662"/>
    <mergeCell ref="G1661:G1662"/>
    <mergeCell ref="H1661:H1662"/>
    <mergeCell ref="I1661:I1662"/>
    <mergeCell ref="J1661:J1662"/>
    <mergeCell ref="K1661:K1662"/>
    <mergeCell ref="L1661:L1662"/>
    <mergeCell ref="M1661:M1662"/>
    <mergeCell ref="N1661:N1662"/>
    <mergeCell ref="G1659:G1660"/>
    <mergeCell ref="H1659:H1660"/>
    <mergeCell ref="I1659:I1660"/>
    <mergeCell ref="J1659:J1660"/>
    <mergeCell ref="K1659:K1660"/>
    <mergeCell ref="B1659:B1660"/>
    <mergeCell ref="C1659:C1660"/>
    <mergeCell ref="D1659:D1660"/>
    <mergeCell ref="E1659:E1660"/>
    <mergeCell ref="L1655:L1656"/>
    <mergeCell ref="M1655:M1656"/>
    <mergeCell ref="N1655:N1656"/>
    <mergeCell ref="B1657:B1658"/>
    <mergeCell ref="C1657:C1658"/>
    <mergeCell ref="D1657:D1658"/>
    <mergeCell ref="E1657:E1658"/>
    <mergeCell ref="G1657:G1658"/>
    <mergeCell ref="H1657:H1658"/>
    <mergeCell ref="I1657:I1658"/>
    <mergeCell ref="J1657:J1658"/>
    <mergeCell ref="K1657:K1658"/>
    <mergeCell ref="L1657:L1658"/>
    <mergeCell ref="M1657:M1658"/>
    <mergeCell ref="N1657:N1658"/>
    <mergeCell ref="G1655:G1656"/>
    <mergeCell ref="H1655:H1656"/>
    <mergeCell ref="I1655:I1656"/>
    <mergeCell ref="J1655:J1656"/>
    <mergeCell ref="K1655:K1656"/>
    <mergeCell ref="B1655:B1656"/>
    <mergeCell ref="C1655:C1656"/>
    <mergeCell ref="D1655:D1656"/>
    <mergeCell ref="E1655:E1656"/>
    <mergeCell ref="L1667:L1668"/>
    <mergeCell ref="M1667:M1668"/>
    <mergeCell ref="N1667:N1668"/>
    <mergeCell ref="B1669:B1670"/>
    <mergeCell ref="C1669:C1670"/>
    <mergeCell ref="D1669:D1670"/>
    <mergeCell ref="E1669:E1670"/>
    <mergeCell ref="G1669:G1670"/>
    <mergeCell ref="H1669:H1670"/>
    <mergeCell ref="I1669:I1670"/>
    <mergeCell ref="J1669:J1670"/>
    <mergeCell ref="K1669:K1670"/>
    <mergeCell ref="L1669:L1670"/>
    <mergeCell ref="M1669:M1670"/>
    <mergeCell ref="N1669:N1670"/>
    <mergeCell ref="G1667:G1668"/>
    <mergeCell ref="H1667:H1668"/>
    <mergeCell ref="I1667:I1668"/>
    <mergeCell ref="J1667:J1668"/>
    <mergeCell ref="K1667:K1668"/>
    <mergeCell ref="B1667:B1668"/>
    <mergeCell ref="C1667:C1668"/>
    <mergeCell ref="D1667:D1668"/>
    <mergeCell ref="E1667:E1668"/>
    <mergeCell ref="L1663:L1664"/>
    <mergeCell ref="M1663:M1664"/>
    <mergeCell ref="N1663:N1664"/>
    <mergeCell ref="B1665:B1666"/>
    <mergeCell ref="C1665:C1666"/>
    <mergeCell ref="D1665:D1666"/>
    <mergeCell ref="E1665:E1666"/>
    <mergeCell ref="G1665:G1666"/>
    <mergeCell ref="H1665:H1666"/>
    <mergeCell ref="I1665:I1666"/>
    <mergeCell ref="J1665:J1666"/>
    <mergeCell ref="K1665:K1666"/>
    <mergeCell ref="L1665:L1666"/>
    <mergeCell ref="M1665:M1666"/>
    <mergeCell ref="N1665:N1666"/>
    <mergeCell ref="G1663:G1664"/>
    <mergeCell ref="H1663:H1664"/>
    <mergeCell ref="I1663:I1664"/>
    <mergeCell ref="J1663:J1664"/>
    <mergeCell ref="K1663:K1664"/>
    <mergeCell ref="B1663:B1664"/>
    <mergeCell ref="C1663:C1664"/>
    <mergeCell ref="D1663:D1664"/>
    <mergeCell ref="E1663:E1664"/>
    <mergeCell ref="L1675:L1676"/>
    <mergeCell ref="M1675:M1676"/>
    <mergeCell ref="N1675:N1676"/>
    <mergeCell ref="B1677:B1678"/>
    <mergeCell ref="C1677:C1678"/>
    <mergeCell ref="D1677:D1678"/>
    <mergeCell ref="E1677:E1678"/>
    <mergeCell ref="G1677:G1678"/>
    <mergeCell ref="H1677:H1678"/>
    <mergeCell ref="I1677:I1678"/>
    <mergeCell ref="J1677:J1678"/>
    <mergeCell ref="K1677:K1678"/>
    <mergeCell ref="L1677:L1678"/>
    <mergeCell ref="M1677:M1678"/>
    <mergeCell ref="N1677:N1678"/>
    <mergeCell ref="G1675:G1676"/>
    <mergeCell ref="H1675:H1676"/>
    <mergeCell ref="I1675:I1676"/>
    <mergeCell ref="J1675:J1676"/>
    <mergeCell ref="K1675:K1676"/>
    <mergeCell ref="B1675:B1676"/>
    <mergeCell ref="C1675:C1676"/>
    <mergeCell ref="D1675:D1676"/>
    <mergeCell ref="E1675:E1676"/>
    <mergeCell ref="L1671:L1672"/>
    <mergeCell ref="M1671:M1672"/>
    <mergeCell ref="N1671:N1672"/>
    <mergeCell ref="B1673:B1674"/>
    <mergeCell ref="C1673:C1674"/>
    <mergeCell ref="D1673:D1674"/>
    <mergeCell ref="E1673:E1674"/>
    <mergeCell ref="G1673:G1674"/>
    <mergeCell ref="H1673:H1674"/>
    <mergeCell ref="I1673:I1674"/>
    <mergeCell ref="J1673:J1674"/>
    <mergeCell ref="K1673:K1674"/>
    <mergeCell ref="L1673:L1674"/>
    <mergeCell ref="M1673:M1674"/>
    <mergeCell ref="N1673:N1674"/>
    <mergeCell ref="G1671:G1672"/>
    <mergeCell ref="H1671:H1672"/>
    <mergeCell ref="I1671:I1672"/>
    <mergeCell ref="J1671:J1672"/>
    <mergeCell ref="K1671:K1672"/>
    <mergeCell ref="B1671:B1672"/>
    <mergeCell ref="C1671:C1672"/>
    <mergeCell ref="D1671:D1672"/>
    <mergeCell ref="E1671:E1672"/>
    <mergeCell ref="L1683:L1684"/>
    <mergeCell ref="M1683:M1684"/>
    <mergeCell ref="N1683:N1684"/>
    <mergeCell ref="B1685:B1686"/>
    <mergeCell ref="C1685:C1686"/>
    <mergeCell ref="D1685:D1686"/>
    <mergeCell ref="E1685:E1686"/>
    <mergeCell ref="G1685:G1686"/>
    <mergeCell ref="H1685:H1686"/>
    <mergeCell ref="I1685:I1686"/>
    <mergeCell ref="J1685:J1686"/>
    <mergeCell ref="K1685:K1686"/>
    <mergeCell ref="L1685:L1686"/>
    <mergeCell ref="M1685:M1686"/>
    <mergeCell ref="N1685:N1686"/>
    <mergeCell ref="G1683:G1684"/>
    <mergeCell ref="H1683:H1684"/>
    <mergeCell ref="I1683:I1684"/>
    <mergeCell ref="J1683:J1684"/>
    <mergeCell ref="K1683:K1684"/>
    <mergeCell ref="B1683:B1684"/>
    <mergeCell ref="C1683:C1684"/>
    <mergeCell ref="D1683:D1684"/>
    <mergeCell ref="E1683:E1684"/>
    <mergeCell ref="L1679:L1680"/>
    <mergeCell ref="M1679:M1680"/>
    <mergeCell ref="N1679:N1680"/>
    <mergeCell ref="B1681:B1682"/>
    <mergeCell ref="C1681:C1682"/>
    <mergeCell ref="D1681:D1682"/>
    <mergeCell ref="E1681:E1682"/>
    <mergeCell ref="G1681:G1682"/>
    <mergeCell ref="H1681:H1682"/>
    <mergeCell ref="I1681:I1682"/>
    <mergeCell ref="J1681:J1682"/>
    <mergeCell ref="K1681:K1682"/>
    <mergeCell ref="L1681:L1682"/>
    <mergeCell ref="M1681:M1682"/>
    <mergeCell ref="N1681:N1682"/>
    <mergeCell ref="G1679:G1680"/>
    <mergeCell ref="H1679:H1680"/>
    <mergeCell ref="I1679:I1680"/>
    <mergeCell ref="J1679:J1680"/>
    <mergeCell ref="K1679:K1680"/>
    <mergeCell ref="B1679:B1680"/>
    <mergeCell ref="C1679:C1680"/>
    <mergeCell ref="D1679:D1680"/>
    <mergeCell ref="E1679:E1680"/>
    <mergeCell ref="L1691:L1692"/>
    <mergeCell ref="M1691:M1692"/>
    <mergeCell ref="N1691:N1692"/>
    <mergeCell ref="B1693:B1694"/>
    <mergeCell ref="C1693:C1694"/>
    <mergeCell ref="D1693:D1694"/>
    <mergeCell ref="E1693:E1694"/>
    <mergeCell ref="G1693:G1694"/>
    <mergeCell ref="H1693:H1694"/>
    <mergeCell ref="I1693:I1694"/>
    <mergeCell ref="J1693:J1694"/>
    <mergeCell ref="K1693:K1694"/>
    <mergeCell ref="L1693:L1694"/>
    <mergeCell ref="M1693:M1694"/>
    <mergeCell ref="N1693:N1694"/>
    <mergeCell ref="G1691:G1692"/>
    <mergeCell ref="H1691:H1692"/>
    <mergeCell ref="I1691:I1692"/>
    <mergeCell ref="J1691:J1692"/>
    <mergeCell ref="K1691:K1692"/>
    <mergeCell ref="B1691:B1692"/>
    <mergeCell ref="C1691:C1692"/>
    <mergeCell ref="D1691:D1692"/>
    <mergeCell ref="E1691:E1692"/>
    <mergeCell ref="L1687:L1688"/>
    <mergeCell ref="M1687:M1688"/>
    <mergeCell ref="N1687:N1688"/>
    <mergeCell ref="B1689:B1690"/>
    <mergeCell ref="C1689:C1690"/>
    <mergeCell ref="D1689:D1690"/>
    <mergeCell ref="E1689:E1690"/>
    <mergeCell ref="G1689:G1690"/>
    <mergeCell ref="H1689:H1690"/>
    <mergeCell ref="I1689:I1690"/>
    <mergeCell ref="J1689:J1690"/>
    <mergeCell ref="K1689:K1690"/>
    <mergeCell ref="L1689:L1690"/>
    <mergeCell ref="M1689:M1690"/>
    <mergeCell ref="N1689:N1690"/>
    <mergeCell ref="G1687:G1688"/>
    <mergeCell ref="H1687:H1688"/>
    <mergeCell ref="I1687:I1688"/>
    <mergeCell ref="J1687:J1688"/>
    <mergeCell ref="K1687:K1688"/>
    <mergeCell ref="B1687:B1688"/>
    <mergeCell ref="C1687:C1688"/>
    <mergeCell ref="D1687:D1688"/>
    <mergeCell ref="E1687:E1688"/>
    <mergeCell ref="L1699:L1700"/>
    <mergeCell ref="M1699:M1700"/>
    <mergeCell ref="N1699:N1700"/>
    <mergeCell ref="B1701:B1702"/>
    <mergeCell ref="C1701:C1702"/>
    <mergeCell ref="D1701:D1702"/>
    <mergeCell ref="E1701:E1702"/>
    <mergeCell ref="G1701:G1702"/>
    <mergeCell ref="H1701:H1702"/>
    <mergeCell ref="I1701:I1702"/>
    <mergeCell ref="J1701:J1702"/>
    <mergeCell ref="K1701:K1702"/>
    <mergeCell ref="L1701:L1702"/>
    <mergeCell ref="M1701:M1702"/>
    <mergeCell ref="N1701:N1702"/>
    <mergeCell ref="G1699:G1700"/>
    <mergeCell ref="H1699:H1700"/>
    <mergeCell ref="I1699:I1700"/>
    <mergeCell ref="J1699:J1700"/>
    <mergeCell ref="K1699:K1700"/>
    <mergeCell ref="B1699:B1700"/>
    <mergeCell ref="C1699:C1700"/>
    <mergeCell ref="D1699:D1700"/>
    <mergeCell ref="E1699:E1700"/>
    <mergeCell ref="L1695:L1696"/>
    <mergeCell ref="M1695:M1696"/>
    <mergeCell ref="N1695:N1696"/>
    <mergeCell ref="B1697:B1698"/>
    <mergeCell ref="C1697:C1698"/>
    <mergeCell ref="D1697:D1698"/>
    <mergeCell ref="E1697:E1698"/>
    <mergeCell ref="G1697:G1698"/>
    <mergeCell ref="H1697:H1698"/>
    <mergeCell ref="I1697:I1698"/>
    <mergeCell ref="J1697:J1698"/>
    <mergeCell ref="K1697:K1698"/>
    <mergeCell ref="L1697:L1698"/>
    <mergeCell ref="M1697:M1698"/>
    <mergeCell ref="N1697:N1698"/>
    <mergeCell ref="G1695:G1696"/>
    <mergeCell ref="H1695:H1696"/>
    <mergeCell ref="I1695:I1696"/>
    <mergeCell ref="J1695:J1696"/>
    <mergeCell ref="K1695:K1696"/>
    <mergeCell ref="B1695:B1696"/>
    <mergeCell ref="C1695:C1696"/>
    <mergeCell ref="D1695:D1696"/>
    <mergeCell ref="E1695:E1696"/>
    <mergeCell ref="L1707:L1708"/>
    <mergeCell ref="M1707:M1708"/>
    <mergeCell ref="N1707:N1708"/>
    <mergeCell ref="B1709:B1710"/>
    <mergeCell ref="C1709:C1710"/>
    <mergeCell ref="D1709:D1710"/>
    <mergeCell ref="E1709:E1710"/>
    <mergeCell ref="G1709:G1710"/>
    <mergeCell ref="H1709:H1710"/>
    <mergeCell ref="I1709:I1710"/>
    <mergeCell ref="J1709:J1710"/>
    <mergeCell ref="K1709:K1710"/>
    <mergeCell ref="L1709:L1710"/>
    <mergeCell ref="M1709:M1710"/>
    <mergeCell ref="N1709:N1710"/>
    <mergeCell ref="G1707:G1708"/>
    <mergeCell ref="H1707:H1708"/>
    <mergeCell ref="I1707:I1708"/>
    <mergeCell ref="J1707:J1708"/>
    <mergeCell ref="K1707:K1708"/>
    <mergeCell ref="B1707:B1708"/>
    <mergeCell ref="C1707:C1708"/>
    <mergeCell ref="D1707:D1708"/>
    <mergeCell ref="E1707:E1708"/>
    <mergeCell ref="L1703:L1704"/>
    <mergeCell ref="M1703:M1704"/>
    <mergeCell ref="N1703:N1704"/>
    <mergeCell ref="B1705:B1706"/>
    <mergeCell ref="C1705:C1706"/>
    <mergeCell ref="D1705:D1706"/>
    <mergeCell ref="E1705:E1706"/>
    <mergeCell ref="G1705:G1706"/>
    <mergeCell ref="H1705:H1706"/>
    <mergeCell ref="I1705:I1706"/>
    <mergeCell ref="J1705:J1706"/>
    <mergeCell ref="K1705:K1706"/>
    <mergeCell ref="L1705:L1706"/>
    <mergeCell ref="M1705:M1706"/>
    <mergeCell ref="N1705:N1706"/>
    <mergeCell ref="G1703:G1704"/>
    <mergeCell ref="H1703:H1704"/>
    <mergeCell ref="I1703:I1704"/>
    <mergeCell ref="J1703:J1704"/>
    <mergeCell ref="K1703:K1704"/>
    <mergeCell ref="B1703:B1704"/>
    <mergeCell ref="C1703:C1704"/>
    <mergeCell ref="D1703:D1704"/>
    <mergeCell ref="E1703:E1704"/>
    <mergeCell ref="L1715:L1716"/>
    <mergeCell ref="M1715:M1716"/>
    <mergeCell ref="N1715:N1716"/>
    <mergeCell ref="B1717:B1718"/>
    <mergeCell ref="C1717:C1718"/>
    <mergeCell ref="D1717:D1718"/>
    <mergeCell ref="E1717:E1718"/>
    <mergeCell ref="G1717:G1718"/>
    <mergeCell ref="H1717:H1718"/>
    <mergeCell ref="I1717:I1718"/>
    <mergeCell ref="J1717:J1718"/>
    <mergeCell ref="K1717:K1718"/>
    <mergeCell ref="L1717:L1718"/>
    <mergeCell ref="M1717:M1718"/>
    <mergeCell ref="N1717:N1718"/>
    <mergeCell ref="G1715:G1716"/>
    <mergeCell ref="H1715:H1716"/>
    <mergeCell ref="I1715:I1716"/>
    <mergeCell ref="J1715:J1716"/>
    <mergeCell ref="K1715:K1716"/>
    <mergeCell ref="B1715:B1716"/>
    <mergeCell ref="C1715:C1716"/>
    <mergeCell ref="D1715:D1716"/>
    <mergeCell ref="E1715:E1716"/>
    <mergeCell ref="L1711:L1712"/>
    <mergeCell ref="M1711:M1712"/>
    <mergeCell ref="N1711:N1712"/>
    <mergeCell ref="B1713:B1714"/>
    <mergeCell ref="C1713:C1714"/>
    <mergeCell ref="D1713:D1714"/>
    <mergeCell ref="E1713:E1714"/>
    <mergeCell ref="G1713:G1714"/>
    <mergeCell ref="H1713:H1714"/>
    <mergeCell ref="I1713:I1714"/>
    <mergeCell ref="J1713:J1714"/>
    <mergeCell ref="K1713:K1714"/>
    <mergeCell ref="L1713:L1714"/>
    <mergeCell ref="M1713:M1714"/>
    <mergeCell ref="N1713:N1714"/>
    <mergeCell ref="G1711:G1712"/>
    <mergeCell ref="H1711:H1712"/>
    <mergeCell ref="I1711:I1712"/>
    <mergeCell ref="J1711:J1712"/>
    <mergeCell ref="K1711:K1712"/>
    <mergeCell ref="B1711:B1712"/>
    <mergeCell ref="C1711:C1712"/>
    <mergeCell ref="D1711:D1712"/>
    <mergeCell ref="E1711:E1712"/>
    <mergeCell ref="L1723:L1724"/>
    <mergeCell ref="M1723:M1724"/>
    <mergeCell ref="N1723:N1724"/>
    <mergeCell ref="B1725:B1726"/>
    <mergeCell ref="C1725:C1726"/>
    <mergeCell ref="D1725:D1726"/>
    <mergeCell ref="E1725:E1726"/>
    <mergeCell ref="G1725:G1726"/>
    <mergeCell ref="H1725:H1726"/>
    <mergeCell ref="I1725:I1726"/>
    <mergeCell ref="J1725:J1726"/>
    <mergeCell ref="K1725:K1726"/>
    <mergeCell ref="L1725:L1726"/>
    <mergeCell ref="M1725:M1726"/>
    <mergeCell ref="N1725:N1726"/>
    <mergeCell ref="G1723:G1724"/>
    <mergeCell ref="H1723:H1724"/>
    <mergeCell ref="I1723:I1724"/>
    <mergeCell ref="J1723:J1724"/>
    <mergeCell ref="K1723:K1724"/>
    <mergeCell ref="B1723:B1724"/>
    <mergeCell ref="C1723:C1724"/>
    <mergeCell ref="D1723:D1724"/>
    <mergeCell ref="E1723:E1724"/>
    <mergeCell ref="L1719:L1720"/>
    <mergeCell ref="M1719:M1720"/>
    <mergeCell ref="N1719:N1720"/>
    <mergeCell ref="B1721:B1722"/>
    <mergeCell ref="C1721:C1722"/>
    <mergeCell ref="D1721:D1722"/>
    <mergeCell ref="E1721:E1722"/>
    <mergeCell ref="G1721:G1722"/>
    <mergeCell ref="H1721:H1722"/>
    <mergeCell ref="I1721:I1722"/>
    <mergeCell ref="J1721:J1722"/>
    <mergeCell ref="K1721:K1722"/>
    <mergeCell ref="L1721:L1722"/>
    <mergeCell ref="M1721:M1722"/>
    <mergeCell ref="N1721:N1722"/>
    <mergeCell ref="G1719:G1720"/>
    <mergeCell ref="H1719:H1720"/>
    <mergeCell ref="I1719:I1720"/>
    <mergeCell ref="J1719:J1720"/>
    <mergeCell ref="K1719:K1720"/>
    <mergeCell ref="B1719:B1720"/>
    <mergeCell ref="C1719:C1720"/>
    <mergeCell ref="D1719:D1720"/>
    <mergeCell ref="E1719:E1720"/>
    <mergeCell ref="L1731:L1732"/>
    <mergeCell ref="M1731:M1732"/>
    <mergeCell ref="N1731:N1732"/>
    <mergeCell ref="B1733:B1734"/>
    <mergeCell ref="C1733:C1734"/>
    <mergeCell ref="D1733:D1734"/>
    <mergeCell ref="E1733:E1734"/>
    <mergeCell ref="G1733:G1734"/>
    <mergeCell ref="H1733:H1734"/>
    <mergeCell ref="I1733:I1734"/>
    <mergeCell ref="J1733:J1734"/>
    <mergeCell ref="K1733:K1734"/>
    <mergeCell ref="L1733:L1734"/>
    <mergeCell ref="M1733:M1734"/>
    <mergeCell ref="N1733:N1734"/>
    <mergeCell ref="G1731:G1732"/>
    <mergeCell ref="H1731:H1732"/>
    <mergeCell ref="I1731:I1732"/>
    <mergeCell ref="J1731:J1732"/>
    <mergeCell ref="K1731:K1732"/>
    <mergeCell ref="B1731:B1732"/>
    <mergeCell ref="C1731:C1732"/>
    <mergeCell ref="D1731:D1732"/>
    <mergeCell ref="E1731:E1732"/>
    <mergeCell ref="L1727:L1728"/>
    <mergeCell ref="M1727:M1728"/>
    <mergeCell ref="N1727:N1728"/>
    <mergeCell ref="B1729:B1730"/>
    <mergeCell ref="C1729:C1730"/>
    <mergeCell ref="D1729:D1730"/>
    <mergeCell ref="E1729:E1730"/>
    <mergeCell ref="G1729:G1730"/>
    <mergeCell ref="H1729:H1730"/>
    <mergeCell ref="I1729:I1730"/>
    <mergeCell ref="J1729:J1730"/>
    <mergeCell ref="K1729:K1730"/>
    <mergeCell ref="L1729:L1730"/>
    <mergeCell ref="M1729:M1730"/>
    <mergeCell ref="N1729:N1730"/>
    <mergeCell ref="G1727:G1728"/>
    <mergeCell ref="H1727:H1728"/>
    <mergeCell ref="I1727:I1728"/>
    <mergeCell ref="J1727:J1728"/>
    <mergeCell ref="K1727:K1728"/>
    <mergeCell ref="B1727:B1728"/>
    <mergeCell ref="C1727:C1728"/>
    <mergeCell ref="D1727:D1728"/>
    <mergeCell ref="E1727:E1728"/>
    <mergeCell ref="L1739:L1740"/>
    <mergeCell ref="M1739:M1740"/>
    <mergeCell ref="N1739:N1740"/>
    <mergeCell ref="B1741:B1742"/>
    <mergeCell ref="C1741:C1742"/>
    <mergeCell ref="D1741:D1742"/>
    <mergeCell ref="E1741:E1742"/>
    <mergeCell ref="G1741:G1742"/>
    <mergeCell ref="H1741:H1742"/>
    <mergeCell ref="I1741:I1742"/>
    <mergeCell ref="J1741:J1742"/>
    <mergeCell ref="K1741:K1742"/>
    <mergeCell ref="L1741:L1742"/>
    <mergeCell ref="M1741:M1742"/>
    <mergeCell ref="N1741:N1742"/>
    <mergeCell ref="G1739:G1740"/>
    <mergeCell ref="H1739:H1740"/>
    <mergeCell ref="I1739:I1740"/>
    <mergeCell ref="J1739:J1740"/>
    <mergeCell ref="K1739:K1740"/>
    <mergeCell ref="B1739:B1740"/>
    <mergeCell ref="C1739:C1740"/>
    <mergeCell ref="D1739:D1740"/>
    <mergeCell ref="E1739:E1740"/>
    <mergeCell ref="L1735:L1736"/>
    <mergeCell ref="M1735:M1736"/>
    <mergeCell ref="N1735:N1736"/>
    <mergeCell ref="B1737:B1738"/>
    <mergeCell ref="C1737:C1738"/>
    <mergeCell ref="D1737:D1738"/>
    <mergeCell ref="E1737:E1738"/>
    <mergeCell ref="G1737:G1738"/>
    <mergeCell ref="H1737:H1738"/>
    <mergeCell ref="I1737:I1738"/>
    <mergeCell ref="J1737:J1738"/>
    <mergeCell ref="K1737:K1738"/>
    <mergeCell ref="L1737:L1738"/>
    <mergeCell ref="M1737:M1738"/>
    <mergeCell ref="N1737:N1738"/>
    <mergeCell ref="G1735:G1736"/>
    <mergeCell ref="H1735:H1736"/>
    <mergeCell ref="I1735:I1736"/>
    <mergeCell ref="J1735:J1736"/>
    <mergeCell ref="K1735:K1736"/>
    <mergeCell ref="B1735:B1736"/>
    <mergeCell ref="C1735:C1736"/>
    <mergeCell ref="D1735:D1736"/>
    <mergeCell ref="E1735:E1736"/>
    <mergeCell ref="L1747:L1748"/>
    <mergeCell ref="M1747:M1748"/>
    <mergeCell ref="N1747:N1748"/>
    <mergeCell ref="B1749:B1750"/>
    <mergeCell ref="C1749:C1750"/>
    <mergeCell ref="D1749:D1750"/>
    <mergeCell ref="E1749:E1750"/>
    <mergeCell ref="G1749:G1750"/>
    <mergeCell ref="H1749:H1750"/>
    <mergeCell ref="I1749:I1750"/>
    <mergeCell ref="J1749:J1750"/>
    <mergeCell ref="K1749:K1750"/>
    <mergeCell ref="L1749:L1750"/>
    <mergeCell ref="M1749:M1750"/>
    <mergeCell ref="N1749:N1750"/>
    <mergeCell ref="G1747:G1748"/>
    <mergeCell ref="H1747:H1748"/>
    <mergeCell ref="I1747:I1748"/>
    <mergeCell ref="J1747:J1748"/>
    <mergeCell ref="K1747:K1748"/>
    <mergeCell ref="B1747:B1748"/>
    <mergeCell ref="C1747:C1748"/>
    <mergeCell ref="D1747:D1748"/>
    <mergeCell ref="E1747:E1748"/>
    <mergeCell ref="L1743:L1744"/>
    <mergeCell ref="M1743:M1744"/>
    <mergeCell ref="N1743:N1744"/>
    <mergeCell ref="B1745:B1746"/>
    <mergeCell ref="C1745:C1746"/>
    <mergeCell ref="D1745:D1746"/>
    <mergeCell ref="E1745:E1746"/>
    <mergeCell ref="G1745:G1746"/>
    <mergeCell ref="H1745:H1746"/>
    <mergeCell ref="I1745:I1746"/>
    <mergeCell ref="J1745:J1746"/>
    <mergeCell ref="K1745:K1746"/>
    <mergeCell ref="L1745:L1746"/>
    <mergeCell ref="M1745:M1746"/>
    <mergeCell ref="N1745:N1746"/>
    <mergeCell ref="G1743:G1744"/>
    <mergeCell ref="H1743:H1744"/>
    <mergeCell ref="I1743:I1744"/>
    <mergeCell ref="J1743:J1744"/>
    <mergeCell ref="K1743:K1744"/>
    <mergeCell ref="B1743:B1744"/>
    <mergeCell ref="C1743:C1744"/>
    <mergeCell ref="D1743:D1744"/>
    <mergeCell ref="E1743:E1744"/>
    <mergeCell ref="L1755:L1756"/>
    <mergeCell ref="M1755:M1756"/>
    <mergeCell ref="N1755:N1756"/>
    <mergeCell ref="B1757:B1758"/>
    <mergeCell ref="C1757:C1758"/>
    <mergeCell ref="D1757:D1758"/>
    <mergeCell ref="E1757:E1758"/>
    <mergeCell ref="G1757:G1758"/>
    <mergeCell ref="H1757:H1758"/>
    <mergeCell ref="I1757:I1758"/>
    <mergeCell ref="J1757:J1758"/>
    <mergeCell ref="K1757:K1758"/>
    <mergeCell ref="L1757:L1758"/>
    <mergeCell ref="M1757:M1758"/>
    <mergeCell ref="N1757:N1758"/>
    <mergeCell ref="G1755:G1756"/>
    <mergeCell ref="H1755:H1756"/>
    <mergeCell ref="I1755:I1756"/>
    <mergeCell ref="J1755:J1756"/>
    <mergeCell ref="K1755:K1756"/>
    <mergeCell ref="B1755:B1756"/>
    <mergeCell ref="C1755:C1756"/>
    <mergeCell ref="D1755:D1756"/>
    <mergeCell ref="E1755:E1756"/>
    <mergeCell ref="L1751:L1752"/>
    <mergeCell ref="M1751:M1752"/>
    <mergeCell ref="N1751:N1752"/>
    <mergeCell ref="B1753:B1754"/>
    <mergeCell ref="C1753:C1754"/>
    <mergeCell ref="D1753:D1754"/>
    <mergeCell ref="E1753:E1754"/>
    <mergeCell ref="G1753:G1754"/>
    <mergeCell ref="H1753:H1754"/>
    <mergeCell ref="I1753:I1754"/>
    <mergeCell ref="J1753:J1754"/>
    <mergeCell ref="K1753:K1754"/>
    <mergeCell ref="L1753:L1754"/>
    <mergeCell ref="M1753:M1754"/>
    <mergeCell ref="N1753:N1754"/>
    <mergeCell ref="G1751:G1752"/>
    <mergeCell ref="H1751:H1752"/>
    <mergeCell ref="I1751:I1752"/>
    <mergeCell ref="J1751:J1752"/>
    <mergeCell ref="K1751:K1752"/>
    <mergeCell ref="B1751:B1752"/>
    <mergeCell ref="C1751:C1752"/>
    <mergeCell ref="D1751:D1752"/>
    <mergeCell ref="E1751:E1752"/>
    <mergeCell ref="L1763:L1764"/>
    <mergeCell ref="M1763:M1764"/>
    <mergeCell ref="N1763:N1764"/>
    <mergeCell ref="B1765:B1766"/>
    <mergeCell ref="C1765:C1766"/>
    <mergeCell ref="D1765:D1766"/>
    <mergeCell ref="E1765:E1766"/>
    <mergeCell ref="G1765:G1766"/>
    <mergeCell ref="H1765:H1766"/>
    <mergeCell ref="I1765:I1766"/>
    <mergeCell ref="J1765:J1766"/>
    <mergeCell ref="K1765:K1766"/>
    <mergeCell ref="L1765:L1766"/>
    <mergeCell ref="M1765:M1766"/>
    <mergeCell ref="N1765:N1766"/>
    <mergeCell ref="G1763:G1764"/>
    <mergeCell ref="H1763:H1764"/>
    <mergeCell ref="I1763:I1764"/>
    <mergeCell ref="J1763:J1764"/>
    <mergeCell ref="K1763:K1764"/>
    <mergeCell ref="B1763:B1764"/>
    <mergeCell ref="C1763:C1764"/>
    <mergeCell ref="D1763:D1764"/>
    <mergeCell ref="E1763:E1764"/>
    <mergeCell ref="L1759:L1760"/>
    <mergeCell ref="M1759:M1760"/>
    <mergeCell ref="N1759:N1760"/>
    <mergeCell ref="B1761:B1762"/>
    <mergeCell ref="C1761:C1762"/>
    <mergeCell ref="D1761:D1762"/>
    <mergeCell ref="E1761:E1762"/>
    <mergeCell ref="G1761:G1762"/>
    <mergeCell ref="H1761:H1762"/>
    <mergeCell ref="I1761:I1762"/>
    <mergeCell ref="J1761:J1762"/>
    <mergeCell ref="K1761:K1762"/>
    <mergeCell ref="L1761:L1762"/>
    <mergeCell ref="M1761:M1762"/>
    <mergeCell ref="N1761:N1762"/>
    <mergeCell ref="G1759:G1760"/>
    <mergeCell ref="H1759:H1760"/>
    <mergeCell ref="I1759:I1760"/>
    <mergeCell ref="J1759:J1760"/>
    <mergeCell ref="K1759:K1760"/>
    <mergeCell ref="B1759:B1760"/>
    <mergeCell ref="C1759:C1760"/>
    <mergeCell ref="D1759:D1760"/>
    <mergeCell ref="E1759:E1760"/>
    <mergeCell ref="L1771:L1772"/>
    <mergeCell ref="M1771:M1772"/>
    <mergeCell ref="N1771:N1772"/>
    <mergeCell ref="B1773:B1774"/>
    <mergeCell ref="C1773:C1774"/>
    <mergeCell ref="D1773:D1774"/>
    <mergeCell ref="E1773:E1774"/>
    <mergeCell ref="G1773:G1774"/>
    <mergeCell ref="H1773:H1774"/>
    <mergeCell ref="I1773:I1774"/>
    <mergeCell ref="J1773:J1774"/>
    <mergeCell ref="K1773:K1774"/>
    <mergeCell ref="L1773:L1774"/>
    <mergeCell ref="M1773:M1774"/>
    <mergeCell ref="N1773:N1774"/>
    <mergeCell ref="G1771:G1772"/>
    <mergeCell ref="H1771:H1772"/>
    <mergeCell ref="I1771:I1772"/>
    <mergeCell ref="J1771:J1772"/>
    <mergeCell ref="K1771:K1772"/>
    <mergeCell ref="B1771:B1772"/>
    <mergeCell ref="C1771:C1772"/>
    <mergeCell ref="D1771:D1772"/>
    <mergeCell ref="E1771:E1772"/>
    <mergeCell ref="L1767:L1768"/>
    <mergeCell ref="M1767:M1768"/>
    <mergeCell ref="N1767:N1768"/>
    <mergeCell ref="B1769:B1770"/>
    <mergeCell ref="C1769:C1770"/>
    <mergeCell ref="D1769:D1770"/>
    <mergeCell ref="E1769:E1770"/>
    <mergeCell ref="G1769:G1770"/>
    <mergeCell ref="H1769:H1770"/>
    <mergeCell ref="I1769:I1770"/>
    <mergeCell ref="J1769:J1770"/>
    <mergeCell ref="K1769:K1770"/>
    <mergeCell ref="L1769:L1770"/>
    <mergeCell ref="M1769:M1770"/>
    <mergeCell ref="N1769:N1770"/>
    <mergeCell ref="G1767:G1768"/>
    <mergeCell ref="H1767:H1768"/>
    <mergeCell ref="I1767:I1768"/>
    <mergeCell ref="J1767:J1768"/>
    <mergeCell ref="K1767:K1768"/>
    <mergeCell ref="B1767:B1768"/>
    <mergeCell ref="C1767:C1768"/>
    <mergeCell ref="D1767:D1768"/>
    <mergeCell ref="E1767:E1768"/>
    <mergeCell ref="L1779:L1780"/>
    <mergeCell ref="M1779:M1780"/>
    <mergeCell ref="N1779:N1780"/>
    <mergeCell ref="B1781:B1782"/>
    <mergeCell ref="C1781:C1782"/>
    <mergeCell ref="D1781:D1782"/>
    <mergeCell ref="E1781:E1782"/>
    <mergeCell ref="G1781:G1782"/>
    <mergeCell ref="H1781:H1782"/>
    <mergeCell ref="I1781:I1782"/>
    <mergeCell ref="J1781:J1782"/>
    <mergeCell ref="K1781:K1782"/>
    <mergeCell ref="L1781:L1782"/>
    <mergeCell ref="M1781:M1782"/>
    <mergeCell ref="N1781:N1782"/>
    <mergeCell ref="G1779:G1780"/>
    <mergeCell ref="H1779:H1780"/>
    <mergeCell ref="I1779:I1780"/>
    <mergeCell ref="J1779:J1780"/>
    <mergeCell ref="K1779:K1780"/>
    <mergeCell ref="B1779:B1780"/>
    <mergeCell ref="C1779:C1780"/>
    <mergeCell ref="D1779:D1780"/>
    <mergeCell ref="E1779:E1780"/>
    <mergeCell ref="L1775:L1776"/>
    <mergeCell ref="M1775:M1776"/>
    <mergeCell ref="N1775:N1776"/>
    <mergeCell ref="B1777:B1778"/>
    <mergeCell ref="C1777:C1778"/>
    <mergeCell ref="D1777:D1778"/>
    <mergeCell ref="E1777:E1778"/>
    <mergeCell ref="G1777:G1778"/>
    <mergeCell ref="H1777:H1778"/>
    <mergeCell ref="I1777:I1778"/>
    <mergeCell ref="J1777:J1778"/>
    <mergeCell ref="K1777:K1778"/>
    <mergeCell ref="L1777:L1778"/>
    <mergeCell ref="M1777:M1778"/>
    <mergeCell ref="N1777:N1778"/>
    <mergeCell ref="G1775:G1776"/>
    <mergeCell ref="H1775:H1776"/>
    <mergeCell ref="I1775:I1776"/>
    <mergeCell ref="J1775:J1776"/>
    <mergeCell ref="K1775:K1776"/>
    <mergeCell ref="B1775:B1776"/>
    <mergeCell ref="C1775:C1776"/>
    <mergeCell ref="D1775:D1776"/>
    <mergeCell ref="E1775:E1776"/>
    <mergeCell ref="L1787:L1788"/>
    <mergeCell ref="M1787:M1788"/>
    <mergeCell ref="N1787:N1788"/>
    <mergeCell ref="B1789:B1790"/>
    <mergeCell ref="C1789:C1790"/>
    <mergeCell ref="D1789:D1790"/>
    <mergeCell ref="E1789:E1790"/>
    <mergeCell ref="G1789:G1790"/>
    <mergeCell ref="H1789:H1790"/>
    <mergeCell ref="I1789:I1790"/>
    <mergeCell ref="J1789:J1790"/>
    <mergeCell ref="K1789:K1790"/>
    <mergeCell ref="L1789:L1790"/>
    <mergeCell ref="M1789:M1790"/>
    <mergeCell ref="N1789:N1790"/>
    <mergeCell ref="G1787:G1788"/>
    <mergeCell ref="H1787:H1788"/>
    <mergeCell ref="I1787:I1788"/>
    <mergeCell ref="J1787:J1788"/>
    <mergeCell ref="K1787:K1788"/>
    <mergeCell ref="B1787:B1788"/>
    <mergeCell ref="C1787:C1788"/>
    <mergeCell ref="D1787:D1788"/>
    <mergeCell ref="E1787:E1788"/>
    <mergeCell ref="L1783:L1784"/>
    <mergeCell ref="M1783:M1784"/>
    <mergeCell ref="N1783:N1784"/>
    <mergeCell ref="B1785:B1786"/>
    <mergeCell ref="C1785:C1786"/>
    <mergeCell ref="D1785:D1786"/>
    <mergeCell ref="E1785:E1786"/>
    <mergeCell ref="G1785:G1786"/>
    <mergeCell ref="H1785:H1786"/>
    <mergeCell ref="I1785:I1786"/>
    <mergeCell ref="J1785:J1786"/>
    <mergeCell ref="K1785:K1786"/>
    <mergeCell ref="L1785:L1786"/>
    <mergeCell ref="M1785:M1786"/>
    <mergeCell ref="N1785:N1786"/>
    <mergeCell ref="G1783:G1784"/>
    <mergeCell ref="H1783:H1784"/>
    <mergeCell ref="I1783:I1784"/>
    <mergeCell ref="J1783:J1784"/>
    <mergeCell ref="K1783:K1784"/>
    <mergeCell ref="B1783:B1784"/>
    <mergeCell ref="C1783:C1784"/>
    <mergeCell ref="D1783:D1784"/>
    <mergeCell ref="E1783:E1784"/>
    <mergeCell ref="L1795:L1796"/>
    <mergeCell ref="M1795:M1796"/>
    <mergeCell ref="N1795:N1796"/>
    <mergeCell ref="B1797:B1798"/>
    <mergeCell ref="C1797:C1798"/>
    <mergeCell ref="D1797:D1798"/>
    <mergeCell ref="E1797:E1798"/>
    <mergeCell ref="G1797:G1798"/>
    <mergeCell ref="H1797:H1798"/>
    <mergeCell ref="I1797:I1798"/>
    <mergeCell ref="J1797:J1798"/>
    <mergeCell ref="K1797:K1798"/>
    <mergeCell ref="L1797:L1798"/>
    <mergeCell ref="M1797:M1798"/>
    <mergeCell ref="N1797:N1798"/>
    <mergeCell ref="G1795:G1796"/>
    <mergeCell ref="H1795:H1796"/>
    <mergeCell ref="I1795:I1796"/>
    <mergeCell ref="J1795:J1796"/>
    <mergeCell ref="K1795:K1796"/>
    <mergeCell ref="B1795:B1796"/>
    <mergeCell ref="C1795:C1796"/>
    <mergeCell ref="D1795:D1796"/>
    <mergeCell ref="E1795:E1796"/>
    <mergeCell ref="L1791:L1792"/>
    <mergeCell ref="M1791:M1792"/>
    <mergeCell ref="N1791:N1792"/>
    <mergeCell ref="B1793:B1794"/>
    <mergeCell ref="C1793:C1794"/>
    <mergeCell ref="D1793:D1794"/>
    <mergeCell ref="E1793:E1794"/>
    <mergeCell ref="G1793:G1794"/>
    <mergeCell ref="H1793:H1794"/>
    <mergeCell ref="I1793:I1794"/>
    <mergeCell ref="J1793:J1794"/>
    <mergeCell ref="K1793:K1794"/>
    <mergeCell ref="L1793:L1794"/>
    <mergeCell ref="M1793:M1794"/>
    <mergeCell ref="N1793:N1794"/>
    <mergeCell ref="G1791:G1792"/>
    <mergeCell ref="H1791:H1792"/>
    <mergeCell ref="I1791:I1792"/>
    <mergeCell ref="J1791:J1792"/>
    <mergeCell ref="K1791:K1792"/>
    <mergeCell ref="B1791:B1792"/>
    <mergeCell ref="C1791:C1792"/>
    <mergeCell ref="D1791:D1792"/>
    <mergeCell ref="E1791:E1792"/>
    <mergeCell ref="L1803:L1804"/>
    <mergeCell ref="M1803:M1804"/>
    <mergeCell ref="N1803:N1804"/>
    <mergeCell ref="B1805:B1806"/>
    <mergeCell ref="C1805:C1806"/>
    <mergeCell ref="D1805:D1806"/>
    <mergeCell ref="E1805:E1806"/>
    <mergeCell ref="G1805:G1806"/>
    <mergeCell ref="H1805:H1806"/>
    <mergeCell ref="I1805:I1806"/>
    <mergeCell ref="J1805:J1806"/>
    <mergeCell ref="K1805:K1806"/>
    <mergeCell ref="L1805:L1806"/>
    <mergeCell ref="M1805:M1806"/>
    <mergeCell ref="N1805:N1806"/>
    <mergeCell ref="G1803:G1804"/>
    <mergeCell ref="H1803:H1804"/>
    <mergeCell ref="I1803:I1804"/>
    <mergeCell ref="J1803:J1804"/>
    <mergeCell ref="K1803:K1804"/>
    <mergeCell ref="B1803:B1804"/>
    <mergeCell ref="C1803:C1804"/>
    <mergeCell ref="D1803:D1804"/>
    <mergeCell ref="E1803:E1804"/>
    <mergeCell ref="L1799:L1800"/>
    <mergeCell ref="M1799:M1800"/>
    <mergeCell ref="N1799:N1800"/>
    <mergeCell ref="B1801:B1802"/>
    <mergeCell ref="C1801:C1802"/>
    <mergeCell ref="D1801:D1802"/>
    <mergeCell ref="E1801:E1802"/>
    <mergeCell ref="G1801:G1802"/>
    <mergeCell ref="H1801:H1802"/>
    <mergeCell ref="I1801:I1802"/>
    <mergeCell ref="J1801:J1802"/>
    <mergeCell ref="K1801:K1802"/>
    <mergeCell ref="L1801:L1802"/>
    <mergeCell ref="M1801:M1802"/>
    <mergeCell ref="N1801:N1802"/>
    <mergeCell ref="G1799:G1800"/>
    <mergeCell ref="H1799:H1800"/>
    <mergeCell ref="I1799:I1800"/>
    <mergeCell ref="J1799:J1800"/>
    <mergeCell ref="K1799:K1800"/>
    <mergeCell ref="B1799:B1800"/>
    <mergeCell ref="C1799:C1800"/>
    <mergeCell ref="D1799:D1800"/>
    <mergeCell ref="E1799:E1800"/>
    <mergeCell ref="L1811:L1812"/>
    <mergeCell ref="M1811:M1812"/>
    <mergeCell ref="N1811:N1812"/>
    <mergeCell ref="B1813:B1814"/>
    <mergeCell ref="C1813:C1814"/>
    <mergeCell ref="D1813:D1814"/>
    <mergeCell ref="E1813:E1814"/>
    <mergeCell ref="G1813:G1814"/>
    <mergeCell ref="H1813:H1814"/>
    <mergeCell ref="I1813:I1814"/>
    <mergeCell ref="J1813:J1814"/>
    <mergeCell ref="K1813:K1814"/>
    <mergeCell ref="L1813:L1814"/>
    <mergeCell ref="M1813:M1814"/>
    <mergeCell ref="N1813:N1814"/>
    <mergeCell ref="G1811:G1812"/>
    <mergeCell ref="H1811:H1812"/>
    <mergeCell ref="I1811:I1812"/>
    <mergeCell ref="J1811:J1812"/>
    <mergeCell ref="K1811:K1812"/>
    <mergeCell ref="B1811:B1812"/>
    <mergeCell ref="C1811:C1812"/>
    <mergeCell ref="D1811:D1812"/>
    <mergeCell ref="E1811:E1812"/>
    <mergeCell ref="L1807:L1808"/>
    <mergeCell ref="M1807:M1808"/>
    <mergeCell ref="N1807:N1808"/>
    <mergeCell ref="B1809:B1810"/>
    <mergeCell ref="C1809:C1810"/>
    <mergeCell ref="D1809:D1810"/>
    <mergeCell ref="E1809:E1810"/>
    <mergeCell ref="G1809:G1810"/>
    <mergeCell ref="H1809:H1810"/>
    <mergeCell ref="I1809:I1810"/>
    <mergeCell ref="J1809:J1810"/>
    <mergeCell ref="K1809:K1810"/>
    <mergeCell ref="L1809:L1810"/>
    <mergeCell ref="M1809:M1810"/>
    <mergeCell ref="N1809:N1810"/>
    <mergeCell ref="G1807:G1808"/>
    <mergeCell ref="H1807:H1808"/>
    <mergeCell ref="I1807:I1808"/>
    <mergeCell ref="J1807:J1808"/>
    <mergeCell ref="K1807:K1808"/>
    <mergeCell ref="B1807:B1808"/>
    <mergeCell ref="C1807:C1808"/>
    <mergeCell ref="D1807:D1808"/>
    <mergeCell ref="E1807:E1808"/>
    <mergeCell ref="L1819:L1820"/>
    <mergeCell ref="M1819:M1820"/>
    <mergeCell ref="N1819:N1820"/>
    <mergeCell ref="G1819:G1820"/>
    <mergeCell ref="H1819:H1820"/>
    <mergeCell ref="I1819:I1820"/>
    <mergeCell ref="J1819:J1820"/>
    <mergeCell ref="K1819:K1820"/>
    <mergeCell ref="B1819:B1820"/>
    <mergeCell ref="C1819:C1820"/>
    <mergeCell ref="D1819:D1820"/>
    <mergeCell ref="E1819:E1820"/>
    <mergeCell ref="L1815:L1816"/>
    <mergeCell ref="M1815:M1816"/>
    <mergeCell ref="N1815:N1816"/>
    <mergeCell ref="B1817:B1818"/>
    <mergeCell ref="C1817:C1818"/>
    <mergeCell ref="D1817:D1818"/>
    <mergeCell ref="E1817:E1818"/>
    <mergeCell ref="G1817:G1818"/>
    <mergeCell ref="H1817:H1818"/>
    <mergeCell ref="I1817:I1818"/>
    <mergeCell ref="J1817:J1818"/>
    <mergeCell ref="K1817:K1818"/>
    <mergeCell ref="L1817:L1818"/>
    <mergeCell ref="M1817:M1818"/>
    <mergeCell ref="N1817:N1818"/>
    <mergeCell ref="G1815:G1816"/>
    <mergeCell ref="H1815:H1816"/>
    <mergeCell ref="I1815:I1816"/>
    <mergeCell ref="J1815:J1816"/>
    <mergeCell ref="K1815:K1816"/>
    <mergeCell ref="B1815:B1816"/>
    <mergeCell ref="C1815:C1816"/>
    <mergeCell ref="D1815:D1816"/>
    <mergeCell ref="E1815:E1816"/>
  </mergeCells>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657">
      <formula>ROW() - 2 &gt; SUMPRODUCT(MAX(($B1:$B11&lt;&gt;"")*(ROW($B1:K11))))</formula>
    </cfRule>
  </conditionalFormatting>
  <conditionalFormatting sqref="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654">
      <formula>ROW() - 2 &gt; SUMPRODUCT(MAX(($B1:$B11&lt;&gt;"")*(ROW($B1:G11))))</formula>
    </cfRule>
  </conditionalFormatting>
  <conditionalFormatting sqref="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653">
      <formula>ROW() - 2 &gt; SUMPRODUCT(MAX(($B1:$B11&lt;&gt;"")*(ROW($B1:H11))))</formula>
    </cfRule>
  </conditionalFormatting>
  <conditionalFormatting sqref="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652">
      <formula>ROW() - 2 &gt; SUMPRODUCT(MAX(($B1:$B11&lt;&gt;"")*(ROW($B1:I11))))</formula>
    </cfRule>
  </conditionalFormatting>
  <conditionalFormatting sqref="F10:I10 F12:I12 F14:I14 F16:I16 F18:I18 F20:I20 F22:I22 F24:I24 F26:I26 F28:I28 F30:I30 F32:I32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140" priority="12646">
      <formula>$D10=""</formula>
    </cfRule>
  </conditionalFormatting>
  <conditionalFormatting sqref="G11:I11 G13:I13 G15:I15 G17:I17 G19:I19 G21:I21 G23:I23 G25:I25 G27:I27 G29:I29 G31:I31 G33:I33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139" priority="12647">
      <formula>$D10=""</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138" priority="12643">
      <formula>$D10=""</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137" priority="12644">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136" priority="12640">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135" priority="12641">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134" priority="12637">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133" priority="12638">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132" priority="12634">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131" priority="12635">
      <formula>$D10=""</formula>
    </cfRule>
  </conditionalFormatting>
  <conditionalFormatting sqref="B10:N10 C12:N12 C14:N14 C16:N16 C18:N18 C20:N20 C22:N22 C24:N24 C26:N26 C28:N28 C30:N30 C32:N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cfRule type="expression" dxfId="130" priority="100">
      <formula>$D10=""</formula>
    </cfRule>
  </conditionalFormatting>
  <conditionalFormatting sqref="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129" priority="99">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128" priority="84">
      <formula>$D12=""</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82">
      <formula>ROW() - 2 &gt; SUMPRODUCT(MAX(($B307:$B317&lt;&gt;"")*(ROW($B307:K317))))</formula>
    </cfRule>
  </conditionalFormatting>
  <conditionalFormatting sqref="G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81">
      <formula>ROW() - 2 &gt; SUMPRODUCT(MAX(($B307:$B317&lt;&gt;"")*(ROW($B307:G317))))</formula>
    </cfRule>
  </conditionalFormatting>
  <conditionalFormatting sqref="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80">
      <formula>ROW() - 2 &gt; SUMPRODUCT(MAX(($B307:$B317&lt;&gt;"")*(ROW($B307:H317))))</formula>
    </cfRule>
  </conditionalFormatting>
  <conditionalFormatting sqref="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79">
      <formula>ROW() - 2 &gt; SUMPRODUCT(MAX(($B307:$B317&lt;&gt;"")*(ROW($B307:I317))))</formula>
    </cfRule>
  </conditionalFormatting>
  <conditionalFormatting sqref="F316:I316 F318:I318 F320:I320 F322:I322 F324:I324 F326:I326 F328:I328 F330:I330 F332:I332 F334:I334 F336:I336 F338:I338 F340:I340 F342:I342 F344:I344 F346:I346 F348:I348 F350:I350 F352:I352 F354:I354 F356:I356 F358:I358 F360:I360 F362:I362 F364:I364 F366:I366 F368:I368 F370:I370 F372:I372 F374:I374 F376:I376 F378:I378 F380:I380 F382:I382 F384:I384 F386:I386 F388:I388 F390:I390 F392:I392 F394:I394 F396:I396 F398:I398 F400:I400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127" priority="77">
      <formula>$D316=""</formula>
    </cfRule>
  </conditionalFormatting>
  <conditionalFormatting sqref="G317:I317 G319:I319 G321:I321 G323:I323 G325:I325 G327:I327 G329:I329 G331:I331 G333:I333 G335:I335 G337:I337 G339:I339 G341:I341 G343:I343 G345:I345 G347:I347 G349:I349 G351:I351 G353:I353 G355:I355 G357:I357 G359:I359 G361:I361 G363:I363 G365:I365 G367:I367 G369:I369 G371:I371 G373:I373 G375:I375 G377:I377 G379:I379 G381:I381 G383:I383 G385:I385 G387:I387 G389:I389 G391:I391 G393:I393 G395:I395 G397:I397 G399:I399 G401:I401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126" priority="78">
      <formula>$D316=""</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125" priority="75">
      <formula>$D316=""</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124" priority="76">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123" priority="73">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122" priority="74">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121" priority="71">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120" priority="72">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119" priority="69">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118" priority="70">
      <formula>$D316=""</formula>
    </cfRule>
  </conditionalFormatting>
  <conditionalFormatting sqref="B316:N316 D318:N318 D320:N320 D322:N322 D324:N324 D326:N326 D328:N328 D330:N330 D332:N332 D334:N334 D336:N336 D338:N338 D340:N340 D342:N342 D344:N344 D346:N346 D348:N348 D350:N350 D352:N352 D354:N354 D356:N356 D358:N358 D360:N360 D362:N362 D364:N364 D366:N366 D368:N368 D370:N370 D372:N372 D374:N374 D376:N376 D378:N378 D380:N380 D382:N382 D384:N384 D386:N386 D388:N388 D390:N390 D392:N392 D394:N394 D396:N396 D398:N398 D400:N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cfRule type="expression" dxfId="117" priority="68">
      <formula>$D316=""</formula>
    </cfRule>
  </conditionalFormatting>
  <conditionalFormatting sqref="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116" priority="67">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115" priority="52">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cfRule type="expression" dxfId="114" priority="50">
      <formula>$D621=""</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K1647:N1647 K1649:N1649 K1651:N1651 K1653:N1653 K1655:N1655 K1657:N1657 K1659:N1659 K1661:N1661 K1663:N1663 K1665:N1665 K1667:N1667 K1669:N1669 K1671:N1671 K1673:N1673 K1675:N1675 K1677:N1677 K1679:N1679 K1681:N1681 K1683:N1683 K1685:N1685 K1687:N1687 K1689:N1689 K1691:N1691 K1693:N1693 K1695:N1695 K1697:N1697 K1699:N1699 K1701:N1701 K1703:N1703 K1705:N1705 K1707:N1707 K1709:N1709 K1711:N1711 K1713:N1713 K1715:N1715 K1717:N1717 K1719:N1719 K1721:N1721 K1723:N1723 K1725:N1725 K1727:N1727 K1729:N1729 K1731:N1731 K1733:N1733 K1735:N1735 K1737:N1737 K1739:N1739 K1741:N1741 K1743:N1743 K1745:N1745 K1747:N1747 K1749:N1749 K1751:N1751 K1753:N1753 K1755:N1755 K1757:N1757 K1759:N1759 K1761:N1761 K1763:N1763 K1765:N1765 K1767:N1767 K1769:N1769 K1771:N1771 K1773:N1773 K1775:N1775 K1777:N1777 K1779:N1779 K1781:N1781 K1783:N1783 K1785:N1785 K1787:N1787 K1789:N1789 K1791:N1791 K1793:N1793 K1795:N1795 K1797:N1797 K1799:N1799 K1801:N1801 K1803:N1803 K1805:N1805 K1807:N1807 K1809:N1809 K1811:N1811 K1813:N1813 K1815:N1815 K1817:N1817 K1819:N1819">
    <cfRule type="expression" priority="49">
      <formula>ROW() - 2 &gt; SUMPRODUCT(MAX(($B611:$B622&lt;&gt;"")*(ROW($B611:K622))))</formula>
    </cfRule>
  </conditionalFormatting>
  <conditionalFormatting sqref="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cfRule type="expression" priority="48">
      <formula>ROW() - 2 &gt; SUMPRODUCT(MAX(($B611:$B622&lt;&gt;"")*(ROW($B611:G622))))</formula>
    </cfRule>
  </conditionalFormatting>
  <conditionalFormatting sqref="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13 H815 H817 H819 H821 H823 H825 H827 H829 H831 H833 H835 H837 H839 H841 H843 H845 H847 H849 H851 H853 H855 H857 H859 H861 H863 H865 H867 H869 H871 H873 H875 H877 H879 H881 H883 H885 H887 H889 H891 H893 H895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H1699 H1701 H1703 H1705 H1707 H1709 H1711 H1713 H1715 H1717 H1719 H1721 H1723 H1725 H1727 H1729 H1731 H1733 H1735 H1737 H1739 H1741 H1743 H1745 H1747 H1749 H1751 H1753 H1755 H1757 H1759 H1761 H1763 H1765 H1767 H1769 H1771 H1773 H1775 H1777 H1779 H1781 H1783 H1785 H1787 H1789 H1791 H1793 H1795 H1797 H1799 H1801 H1803 H1805 H1807 H1809 H1811 H1813 H1815 H1817 H1819">
    <cfRule type="expression" priority="47">
      <formula>ROW() - 2 &gt; SUMPRODUCT(MAX(($B611:$B622&lt;&gt;"")*(ROW($B611:H622))))</formula>
    </cfRule>
  </conditionalFormatting>
  <conditionalFormatting sqref="I621 I623 I625 I627 I629 I631 I633 I635 I637 I639 I641 I643 I645 I647 I649 I651 I653 I655 I657 I659 I661 I663 I665 I667 I669 I671 I673 I675 I677 I679 I681 I683 I685 I687 I689 I691 I693 I695 I697 I699 I701 I703 I705 I707 I709 I711 I713 I715 I717 I719 I721 I723 I725 I727 I729 I731 I733 I735 I737 I739 I741 I743 I745 I747 I749 I751 I753 I755 I757 I759 I761 I763 I765 I767 I769 I771 I773 I775 I777 I779 I781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I1699 I1701 I1703 I1705 I1707 I1709 I1711 I1713 I1715 I1717 I1719 I1721 I1723 I1725 I1727 I1729 I1731 I1733 I1735 I1737 I1739 I1741 I1743 I1745 I1747 I1749 I1751 I1753 I1755 I1757 I1759 I1761 I1763 I1765 I1767 I1769 I1771 I1773 I1775 I1777 I1779 I1781 I1783 I1785 I1787 I1789 I1791 I1793 I1795 I1797 I1799 I1801 I1803 I1805 I1807 I1809 I1811 I1813 I1815 I1817 I1819">
    <cfRule type="expression" priority="46">
      <formula>ROW() - 2 &gt; SUMPRODUCT(MAX(($B611:$B622&lt;&gt;"")*(ROW($B611:I622))))</formula>
    </cfRule>
  </conditionalFormatting>
  <conditionalFormatting sqref="F621:I621 F623:I623 F625:I625 F627:I627 F629:I629 F631:I631 F633:I633 F635:I635 F637:I637 F639:I639 F641:I641 F643:I643 F645:I645 F647:I647 F649:I649 F651:I651 F653:I653 F655:I655 F657:I657 F659:I659 F661:I661 F663:I663 F665:I665 F667:I667 F669:I669 F671:I671 F673:I673 F675:I675 F677:I677 F679:I679 F681:I681 F683:I683 F685:I685 F687:I687 F689:I689 F691:I691 F693:I693 F695:I695 F697:I697 F699:I699 F701:I701 F703:I703 F705:I705 F707:I707 F709:I709 F711:I711 F713:I713 F715:I715 F717:I717 F719:I719 F721:I721 F723:I723 F725:I725 F727:I727 F729:I729 F731:I731 F733:I733 F735:I735 F737:I737 F739:I739 F741:I741 F743:I743 F745:I745 F747:I747 F749:I749 F751:I751 F753:I753 F755:I755 F757:I757 F759:I759 F761:I761 F763:I763 F765:I765 F767:I767 F769:I769 F771:I771 F773:I773 F775:I775 F777:I777 F779:I779 F781:I781 F783:I783 F785:I785 F787:I787 F789:I789 F791:I791 F793:I793 F795:I795 F797:I797 F799:I799 F801:I801 F803:I803 F805:I805 F807:I807 F809:I809 F811:I811 F813:I813 F815:I815 F817:I817 F819:I819 F821:I821 F823:I823 F825:I825 F827:I827 F829:I829 F831:I831 F833:I833 F835:I835 F837:I837 F839:I839 F841:I841 F843:I843 F845:I845 F847:I847 F849:I849 F851:I851 F853:I853 F855:I855 F857:I857 F859:I859 F861:I861 F863:I863 F865:I865 F867:I867 F869:I869 F871:I871 F873:I873 F875:I875 F877:I877 F879:I879 F881:I881 F883:I883 F885:I885 F887:I887 F889:I889 F891:I891 F893:I893 F895:I895 F897:I897 F899:I899 F901:I901 F903:I903 F905:I905 F907:I907 F909:I909 F911:I911 F913:I913 F915: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1:I1021 F1023:I1023 F1025:I1025 F1027:I1027 F1029:I1029 F1031:I1031 F1033:I1033 F1035:I1035 F1037:I1037 F1039:I1039 F1041:I1041 F1043:I1043 F1045:I1045 F1047:I1047 F1049:I1049 F1051:I1051 F1053:I1053 F1055:I1055 F1057:I1057 F1059:I1059 F1061:I1061 F1063:I1063 F1065:I1065 F1067:I1067 F1069:I1069 F1071:I1071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F1647:I1647 F1649:I1649 F1651:I1651 F1653:I1653 F1655:I1655 F1657:I1657 F1659:I1659 F1661:I1661 F1663:I1663 F1665:I1665 F1667:I1667 F1669:I1669 F1671:I1671 F1673:I1673 F1675:I1675 F1677:I1677 F1679:I1679 F1681:I1681 F1683:I1683 F1685:I1685 F1687:I1687 F1689:I1689 F1691:I1691 F1693:I1693 F1695:I1695 F1697:I1697 F1699:I1699 F1701:I1701 F1703:I1703 F1705:I1705 F1707:I1707 F1709:I1709 F1711:I1711 F1713:I1713 F1715:I1715 F1717:I1717 F1719:I1719 F1721:I1721 F1723:I1723 F1725:I1725 F1727:I1727 F1729:I1729 F1731:I1731 F1733:I1733 F1735:I1735 F1737:I1737 F1739:I1739 F1741:I1741 F1743:I1743 F1745:I1745 F1747:I1747 F1749:I1749 F1751:I1751 F1753:I1753 F1755:I1755 F1757:I1757 F1759:I1759 F1761:I1761 F1763:I1763 F1765:I1765 F1767:I1767 F1769:I1769 F1771:I1771 F1773:I1773 F1775:I1775 F1777:I1777 F1779:I1779 F1781:I1781 F1783:I1783 F1785:I1785 F1787:I1787 F1789:I1789 F1791:I1791 F1793:I1793 F1795:I1795 F1797:I1797 F1799:I1799 F1801:I1801 F1803:I1803 F1805:I1805 F1807:I1807 F1809:I1809 F1811:I1811 F1813:I1813 F1815:I1815 F1817:I1817 F1819:I1819">
    <cfRule type="expression" dxfId="113" priority="44">
      <formula>$D621=""</formula>
    </cfRule>
  </conditionalFormatting>
  <conditionalFormatting sqref="G622:I622 G624:I624 G626:I626 G628:I628 G630:I630 G632:I632 G634:I634 G636:I636 G638:I638 G640:I640 G642:I642 G644:I644 G646:I646 G648:I648 G650:I650 G652:I652 G654:I654 G656:I656 G658:I658 G660:I660 G662:I662 G664:I664 G666:I666 G668:I668 G670:I670 G672:I672 G674:I674 G676:I676 G678:I678 G680:I680 G682:I682 G684:I684 G686:I686 G688:I688 G690:I690 G692:I692 G694:I694 G696:I696 G698:I698 G700:I700 G702:I702 G704:I704 G706:I706 G708:I708 G710:I710 G712:I712 G714:I714 G716:I716 G718:I718 G720:I720 G722:I722 G724:I724 G726:I726 G728:I728 G730:I730 G732:I732 G734:I734 G736:I736 G738:I738 G740:I740 G742:I742 G744:I744 G746:I746 G748:I748 G750:I750 G752:I752 G754:I754 G756:I756 G758:I758 G760:I760 G762:I762 G764:I764 G766:I766 G768:I768 G770:I770 G772:I772 G774:I774 G776:I776 G778:I778 G780:I780 G782:I782 G784:I784 G786:I786 G788:I788 G790:I790 G792:I792 G794:I794 G796:I796 G798:I798 G800:I800 G802:I802 G804:I804 G806:I806 G808:I808 G810:I810 G812:I812 G814:I814 G816:I816 G818:I818 G820:I820 G822:I822 G824:I824 G826:I826 G828:I828 G830:I830 G832:I832 G834:I834 G836:I836 G838:I838 G840:I840 G842:I842 G844:I844 G846:I846 G848:I848 G850:I850 G852:I852 G854:I854 G856:I856 G858:I858 G860:I860 G862:I862 G864:I864 G866:I866 G868:I868 G870:I870 G872:I872 G874:I874 G876:I876 G878:I878 G880:I880 G882:I882 G884:I884 G886:I886 G888:I888 G890:I890 G892:I892 G894:I894 G896:I896 G898:I898 G900:I900 G902:I902 G904:I904 G906:I906 G908:I908 G910:I910 G912:I912 G914:I914 G916: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22:I1022 G1024:I1024 G1026:I1026 G1028:I1028 G1030:I1030 G1032:I1032 G1034:I1034 G1036:I1036 G1038:I1038 G1040:I1040 G1042:I1042 G1044:I1044 G1046:I1046 G1048:I1048 G1050:I1050 G1052:I1052 G1054:I1054 G1056:I1056 G1058:I1058 G1060:I1060 G1062:I1062 G1064:I1064 G1066:I1066 G1068:I1068 G1070:I1070 G1072:I1072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G1648:I1648 G1650:I1650 G1652:I1652 G1654:I1654 G1656:I1656 G1658:I1658 G1660:I1660 G1662:I1662 G1664:I1664 G1666:I1666 G1668:I1668 G1670:I1670 G1672:I1672 G1674:I1674 G1676:I1676 G1678:I1678 G1680:I1680 G1682:I1682 G1684:I1684 G1686:I1686 G1688:I1688 G1690:I1690 G1692:I1692 G1694:I1694 G1696:I1696 G1698:I1698 G1700:I1700 G1702:I1702 G1704:I1704 G1706:I1706 G1708:I1708 G1710:I1710 G1712:I1712 G1714:I1714 G1716:I1716 G1718:I1718 G1720:I1720 G1722:I1722 G1724:I1724 G1726:I1726 G1728:I1728 G1730:I1730 G1732:I1732 G1734:I1734 G1736:I1736 G1738:I1738 G1740:I1740 G1742:I1742 G1744:I1744 G1746:I1746 G1748:I1748 G1750:I1750 G1752:I1752 G1754:I1754 G1756:I1756 G1758:I1758 G1760:I1760 G1762:I1762 G1764:I1764 G1766:I1766 G1768:I1768 G1770:I1770 G1772:I1772 G1774:I1774 G1776:I1776 G1778:I1778 G1780:I1780 G1782:I1782 G1784:I1784 G1786:I1786 G1788:I1788 G1790:I1790 G1792:I1792 G1794:I1794 G1796:I1796 G1798:I1798 G1800:I1800 G1802:I1802 G1804:I1804 G1806:I1806 G1808:I1808 G1810:I1810 G1812:I1812 G1814:I1814 G1816:I1816 G1818:I1818 G1820:I1820">
    <cfRule type="expression" dxfId="112" priority="45">
      <formula>$D621=""</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K1647 K1649 K1651 K1653 K1655 K1657 K1659 K1661 K1663 K1665 K1667 K1669 K1671 K1673 K1675 K1677 K1679 K1681 K1683 K1685 K1687 K1689 K1691 K1693 K1695 K1697 K1699 K1701 K1703 K1705 K1707 K1709 K1711 K1713 K1715 K1717 K1719 K1721 K1723 K1725 K1727 K1729 K1731 K1733 K1735 K1737 K1739 K1741 K1743 K1745 K1747 K1749 K1751 K1753 K1755 K1757 K1759 K1761 K1763 K1765 K1767 K1769 K1771 K1773 K1775 K1777 K1779 K1781 K1783 K1785 K1787 K1789 K1791 K1793 K1795 K1797 K1799 K1801 K1803 K1805 K1807 K1809 K1811 K1813 K1815 K1817 K1819">
    <cfRule type="expression" dxfId="111" priority="42">
      <formula>$D621=""</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K1648 K1650 K1652 K1654 K1656 K1658 K1660 K1662 K1664 K1666 K1668 K1670 K1672 K1674 K1676 K1678 K1680 K1682 K1684 K1686 K1688 K1690 K1692 K1694 K1696 K1698 K1700 K1702 K1704 K1706 K1708 K1710 K1712 K1714 K1716 K1718 K1720 K1722 K1724 K1726 K1728 K1730 K1732 K1734 K1736 K1738 K1740 K1742 K1744 K1746 K1748 K1750 K1752 K1754 K1756 K1758 K1760 K1762 K1764 K1766 K1768 K1770 K1772 K1774 K1776 K1778 K1780 K1782 K1784 K1786 K1788 K1790 K1792 K1794 K1796 K1798 K1800 K1802 K1804 K1806 K1808 K1810 K1812 K1814 K1816 K1818 K1820">
    <cfRule type="expression" dxfId="110" priority="43">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L1699 L1701 L1703 L1705 L1707 L1709 L1711 L1713 L1715 L1717 L1719 L1721 L1723 L1725 L1727 L1729 L1731 L1733 L1735 L1737 L1739 L1741 L1743 L1745 L1747 L1749 L1751 L1753 L1755 L1757 L1759 L1761 L1763 L1765 L1767 L1769 L1771 L1773 L1775 L1777 L1779 L1781 L1783 L1785 L1787 L1789 L1791 L1793 L1795 L1797 L1799 L1801 L1803 L1805 L1807 L1809 L1811 L1813 L1815 L1817 L1819">
    <cfRule type="expression" dxfId="109" priority="40">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L1700 L1702 L1704 L1706 L1708 L1710 L1712 L1714 L1716 L1718 L1720 L1722 L1724 L1726 L1728 L1730 L1732 L1734 L1736 L1738 L1740 L1742 L1744 L1746 L1748 L1750 L1752 L1754 L1756 L1758 L1760 L1762 L1764 L1766 L1768 L1770 L1772 L1774 L1776 L1778 L1780 L1782 L1784 L1786 L1788 L1790 L1792 L1794 L1796 L1798 L1800 L1802 L1804 L1806 L1808 L1810 L1812 L1814 L1816 L1818 L1820">
    <cfRule type="expression" dxfId="108" priority="41">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M1647 M1649 M1651 M1653 M1655 M1657 M1659 M1661 M1663 M1665 M1667 M1669 M1671 M1673 M1675 M1677 M1679 M1681 M1683 M1685 M1687 M1689 M1691 M1693 M1695 M1697 M1699 M1701 M1703 M1705 M1707 M1709 M1711 M1713 M1715 M1717 M1719 M1721 M1723 M1725 M1727 M1729 M1731 M1733 M1735 M1737 M1739 M1741 M1743 M1745 M1747 M1749 M1751 M1753 M1755 M1757 M1759 M1761 M1763 M1765 M1767 M1769 M1771 M1773 M1775 M1777 M1779 M1781 M1783 M1785 M1787 M1789 M1791 M1793 M1795 M1797 M1799 M1801 M1803 M1805 M1807 M1809 M1811 M1813 M1815 M1817 M1819">
    <cfRule type="expression" dxfId="107" priority="38">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M1648 M1650 M1652 M1654 M1656 M1658 M1660 M1662 M1664 M1666 M1668 M1670 M1672 M1674 M1676 M1678 M1680 M1682 M1684 M1686 M1688 M1690 M1692 M1694 M1696 M1698 M1700 M1702 M1704 M1706 M1708 M1710 M1712 M1714 M1716 M1718 M1720 M1722 M1724 M1726 M1728 M1730 M1732 M1734 M1736 M1738 M1740 M1742 M1744 M1746 M1748 M1750 M1752 M1754 M1756 M1758 M1760 M1762 M1764 M1766 M1768 M1770 M1772 M1774 M1776 M1778 M1780 M1782 M1784 M1786 M1788 M1790 M1792 M1794 M1796 M1798 M1800 M1802 M1804 M1806 M1808 M1810 M1812 M1814 M1816 M1818 M1820">
    <cfRule type="expression" dxfId="106" priority="39">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N1647 N1649 N1651 N1653 N1655 N1657 N1659 N1661 N1663 N1665 N1667 N1669 N1671 N1673 N1675 N1677 N1679 N1681 N1683 N1685 N1687 N1689 N1691 N1693 N1695 N1697 N1699 N1701 N1703 N1705 N1707 N1709 N1711 N1713 N1715 N1717 N1719 N1721 N1723 N1725 N1727 N1729 N1731 N1733 N1735 N1737 N1739 N1741 N1743 N1745 N1747 N1749 N1751 N1753 N1755 N1757 N1759 N1761 N1763 N1765 N1767 N1769 N1771 N1773 N1775 N1777 N1779 N1781 N1783 N1785 N1787 N1789 N1791 N1793 N1795 N1797 N1799 N1801 N1803 N1805 N1807 N1809 N1811 N1813 N1815 N1817 N1819">
    <cfRule type="expression" dxfId="105" priority="36">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N1648 N1650 N1652 N1654 N1656 N1658 N1660 N1662 N1664 N1666 N1668 N1670 N1672 N1674 N1676 N1678 N1680 N1682 N1684 N1686 N1688 N1690 N1692 N1694 N1696 N1698 N1700 N1702 N1704 N1706 N1708 N1710 N1712 N1714 N1716 N1718 N1720 N1722 N1724 N1726 N1728 N1730 N1732 N1734 N1736 N1738 N1740 N1742 N1744 N1746 N1748 N1750 N1752 N1754 N1756 N1758 N1760 N1762 N1764 N1766 N1768 N1770 N1772 N1774 N1776 N1778 N1780 N1782 N1784 N1786 N1788 N1790 N1792 N1794 N1796 N1798 N1800 N1802 N1804 N1806 N1808 N1810 N1812 N1814 N1816 N1818 N1820">
    <cfRule type="expression" dxfId="104" priority="37">
      <formula>$D621=""</formula>
    </cfRule>
  </conditionalFormatting>
  <conditionalFormatting sqref="B621:C621 E621:N621 C623 C625 C627 C629 C631 C633 C635 C637 C639 C641 C643 C645 C647 C649 C651 C653 C655 C657 C659 C661 C663 C665 C667 C669 C671 C673 C675 C677 C679 C681 C683 C685 C687 C689 C691 C693 C695 C697 C699 C701 C703 C705 C707 C709 C711 C713 C715 C717 C719 C721 C723 C725 C727 C729 C731 C733 C735 C737 C739 C741 C743 C745 C747 C749 C751 C753 C755 C757 C759 C761 C763 C765 C767 C769 C771 C773 C775 C777 C779 C781 C783 C785 C787 C789 C791 C793 C795 C797 C799 C801 C803 C805 C807 C809 C811 C813 C815 C817 C819 C821 C823 C825 C827 C829 C831 C833 C835 C837 C839 C841 C843 C845 C847 C849 C851 C853 C855 C857 C859 C861 C863 C865 C867 C869 C871 C873 C875 C877 C879 C881 C883 C885 C887 C889 C891 C893 C895 C897 C899 C901 C903 C905 C907 C909 C911 C913 C915 C917 C919 C921 C923 C925 C927 C929 C931 C933 C935 C937 C939 C941 C943 C945 C947 C949 C951 C953 C955 C957 C959 C961 C963 C965 C967 C969 C971 C973 C975 C977 C979 C981 C983 C985 C987 C989 C991 C993 C995 C997 C999 C1001 C1003 C1005 C1007 C1009 C1011 C1013 C1015 C1017 C1019 C1021 C1023 C1025 C1027 C1029 C1031 C1033 C1035 C1037 C1039 C1041 C1043 C1045 C1047 C1049 C1051 C1053 C1055 C1057 C1059 C1061 C1063 C1065 C1067 C1069 C1071 C1073 C1075 C1077 C1079 C1081 C1083 C1085 C1087 C1089 C1091 C1093 C1095 C1097 C1099 C1101 C1103 C1105 C1107 C1109 C1111 C1113 C1115 C1117 C1119 C1121 C1123 C1125 C1127 C1129 C1131 C1133 C1135 C1137 C1139 C1141 C1143 C1145 C1147 C1149 C1151 C1153 C1155 C1157 C1159 C1161 C1163 C1165 C1167 C1169 C1171 C1173 C1175 C1177 C1179 C1181 C1183 C1185 C1187 C1189 C1191 C1193 C1195 C1197 C1199 C1201 C1203 C1205 C1207 C1209 C1211 C1213 C1215 C1217 C1219 C1221 C1223 C1225 C1227 C1229 C1231 C1233 C1235 C1237 C1239 C1241 C1243 C1245 C1247 C1249 C1251 C1253 C1255 C1257 C1259 C1261 C1263 C1265 C1267 C1269 C1271 C1273 C1275 C1277 C1279 C1281 C1283 C1285 C1287 C1289 C1291 C1293 C1295 C1297 C1299 C1301 C1303 C1305 C1307 C1309 C1311 C1313 C1315 C1317 C1319 C1321 C1323 C1325 C1327 C1329 C1331 C1333 C1335 C1337 C1339 C1341 C1343 C1345 C1347 C1349 C1351 C1353 C1355 C1357 C1359 C1361 C1363 C1365 C1367 C1369 C1371 C1373 C1375 C1377 C1379 C1381 C1383 C1385 C1387 C1389 C1391 C1393 C1395 C1397 C1399 C1401 C1403 C1405 C1407 C1409 C1411 C1413 C1415 C1417 C1419 C1421 C1423 C1425 C1427 C1429 C1431 C1433 C1435 C1437 C1439 C1441 C1443 C1445 C1447 C1449 C1451 C1453 C1455 C1457 C1459 C1461 C1463 C1465 C1467 C1469 C1471 C1473 C1475 C1477 C1479 C1481 C1483 C1485 C1487 C1489 C1491 C1493 C1495 C1497 C1499 C1501 C1503 C1505 C1507 C1509 C1511 C1513 C1515 C1517 C1519 C1521 C1523 C1525 C1527 C1529 C1531 C1533 C1535 C1537 C1539 C1541 C1543 C1545 C1547 C1549 C1551 C1553 C1555 C1557 C1559 C1561 C1563 C1565 C1567 C1569 C1571 C1573 C1575 C1577 C1579 C1581 C1583 C1585 C1587 C1589 C1591 C1593 C1595 C1597 C1599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1699 C1701 C1703 C1705 C1707 C1709 C1711 C1713 C1715 C1717 C1719 C1721 C1723 C1725 C1727 C1729 C1731 C1733 C1735 C1737 C1739 C1741 C1743 C1745 C1747 C1749 C1751 C1753 C1755 C1757 C1759 C1761 C1763 C1765 C1767 C1769 C1771 C1773 C1775 C1777 C1779 C1781 C1783 C1785 C1787 C1789 C1791 C1793 C1795 C1797 C1799 C1801 C1803 C1805 C1807 C1809 C1811 C1813 C1815 C1817 C1819 E623:N623 E625:N625 E627:N627 E629:N629 E631:N631 E633:N633 E635:N635 E637:N637 E639:N639 E641:N641 E643:N643 E645:N645 E647:N647 E649:N649 E651:N651 E653:N653 E655:N655 E657:N657 E659:N659 E661:N661 E663:N663 E665:N665 E667:N667 E669:N669 E671:N671 E673:N673 E675:N675 E677:N677 E679:N679 E681:N681 E683:N683 E685:N685 E687:N687 E689:N689 E691:N691 E693:N693 E695:N695 E697:N697 E699:N699 E701:N701 E703:N703 E705:N705 E707:N707 E709:N709 E711:N711 E713:N713 E715:N715 E717:N717 E719:N719 E721:N721 E723:N723 E725:N725 E727:N727 E729:N729 E731:N731 E733:N733 E735:N735 E737:N737 E739:N739 E741:N741 E743:N743 E745:N745 E747:N747 E749:N749 E751:N751 E753:N753 E755:N755 E757:N757 E759:N759 E761:N761 E763:N763 E765:N765 E767:N767 E769:N769 E771:N771 E773:N773 E775:N775 E777:N777 E779:N779 E781:N781 E783:N783 E785:N785 E787:N787 E789:N789 E791:N791 E793:N793 E795:N795 E797:N797 E799:N799 E801:N801 E803:N803 E805:N805 E807:N807 E809:N809 E811:N811 E813:N813 E815:N815 E817:N817 E819:N819 E821:N821 E823:N823 E825:N825 E827:N827 E829:N829 E831:N831 E833:N833 E835:N835 E837:N837 E839:N839 E841:N841 E843:N843 E845:N845 E847:N847 E849:N849 E851:N851 E853:N853 E855:N855 E857:N857 E859:N859 E861:N861 E863:N863 E865:N865 E867:N867 E869:N869 E871:N871 E873:N873 E875:N875 E877:N877 E879:N879 E881:N881 E883:N883 E885:N885 E887:N887 E889:N889 E891:N891 E893:N893 E895:N895 E897:N897 E899:N899 E901:N901 E903:N903 E905:N905 E907:N907 E909:N909 E911:N911 E913:N913 E915:N915 E917:N917 E919:N919 E921:N921 E923:N923 E925:N925 E927:N927 E929:N929 E931:N931 E933:N933 E935:N935 E937:N937 E939:N939 E941:N941 E943:N943 E945:N945 E947:N947 E949:N949 E951:N951 E953:N953 E955:N955 E957:N957 E959:N959 E961:N961 E963:N963 E965:N965 E967:N967 E969:N969 E971:N971 E973:N973 E975:N975 E977:N977 E979:N979 E981:N981 E983:N983 E985:N985 E987:N987 E989:N989 E991:N991 E993:N993 E995:N995 E997:N997 E999:N999 E1001:N1001 E1003:N1003 E1005:N1005 E1007:N1007 E1009:N1009 E1011:N1011 E1013:N1013 E1015:N1015 E1017:N1017 E1019:N1019 E1021:N1021 E1023:N1023 E1025:N1025 E1027:N1027 E1029:N1029 E1031:N1031 E1033:N1033 E1035:N1035 E1037:N1037 E1039:N1039 E1041:N1041 E1043:N1043 E1045:N1045 E1047:N1047 E1049:N1049 E1051:N1051 E1053:N1053 E1055:N1055 E1057:N1057 E1059:N1059 E1061:N1061 E1063:N1063 E1065:N1065 E1067:N1067 E1069:N1069 E1071:N1071 E1073:N1073 E1075:N1075 E1077:N1077 E1079:N1079 E1081:N1081 E1083:N1083 E1085:N1085 E1087:N1087 E1089:N1089 E1091:N1091 E1093:N1093 E1095:N1095 E1097:N1097 E1099:N1099 E1101:N1101 E1103:N1103 E1105:N1105 E1107:N1107 E1109:N1109 E1111:N1111 E1113:N1113 E1115:N1115 E1117:N1117 E1119:N1119 E1121:N1121 E1123:N1123 E1125:N1125 E1127:N1127 E1129:N1129 E1131:N1131 E1133:N1133 E1135:N1135 E1137:N1137 E1139:N1139 E1141:N1141 E1143:N1143 E1145:N1145 E1147:N1147 E1149:N1149 E1151:N1151 E1153:N1153 E1155:N1155 E1157:N1157 E1159:N1159 E1161:N1161 E1163:N1163 E1165:N1165 E1167:N1167 E1169:N1169 E1171:N1171 E1173:N1173 E1175:N1175 E1177:N1177 E1179:N1179 E1181:N1181 E1183:N1183 E1185:N1185 E1187:N1187 E1189:N1189 E1191:N1191 E1193:N1193 E1195:N1195 E1197:N1197 E1199:N1199 E1201:N1201 E1203:N1203 E1205:N1205 E1207:N1207 E1209:N1209 E1211:N1211 E1213:N1213 E1215:N1215 E1217:N1217 E1219:N1219 E1221:N1221 E1223:N1223 E1225:N1225 E1227:N1227 E1229:N1229 E1231:N1231 E1233:N1233 E1235:N1235 E1237:N1237 E1239:N1239 E1241:N1241 E1243:N1243 E1245:N1245 E1247:N1247 E1249:N1249 E1251:N1251 E1253:N1253 E1255:N1255 E1257:N1257 E1259:N1259 E1261:N1261 E1263:N1263 E1265:N1265 E1267:N1267 E1269:N1269 E1271:N1271 E1273:N1273 E1275:N1275 E1277:N1277 E1279:N1279 E1281:N1281 E1283:N1283 E1285:N1285 E1287:N1287 E1289:N1289 E1291:N1291 E1293:N1293 E1295:N1295 E1297:N1297 E1299:N1299 E1301:N1301 E1303:N1303 E1305:N1305 E1307:N1307 E1309:N1309 E1311:N1311 E1313:N1313 E1315:N1315 E1317:N1317 E1319:N1319 E1321:N1321 E1323:N1323 E1325:N1325 E1327:N1327 E1329:N1329 E1331:N1331 E1333:N1333 E1335:N1335 E1337:N1337 E1339:N1339 E1341:N1341 E1343:N1343 E1345:N1345 E1347:N1347 E1349:N1349 E1351:N1351 E1353:N1353 E1355:N1355 E1357:N1357 E1359:N1359 E1361:N1361 E1363:N1363 E1365:N1365 E1367:N1367 E1369:N1369 E1371:N1371 E1373:N1373 E1375:N1375 E1377:N1377 E1379:N1379 E1381:N1381 E1383:N1383 E1385:N1385 E1387:N1387 E1389:N1389 E1391:N1391 E1393:N1393 E1395:N1395 E1397:N1397 E1399:N1399 E1401:N1401 E1403:N1403 E1405:N1405 E1407:N1407 E1409:N1409 E1411:N1411 E1413:N1413 E1415:N1415 E1417:N1417 E1419:N1419 E1421:N1421 E1423:N1423 E1425:N1425 E1427:N1427 E1429:N1429 E1431:N1431 E1433:N1433 E1435:N1435 E1437:N1437 E1439:N1439 E1441:N1441 E1443:N1443 E1445:N1445 E1447:N1447 E1449:N1449 E1451:N1451 E1453:N1453 E1455:N1455 E1457:N1457 E1459:N1459 E1461:N1461 E1463:N1463 E1465:N1465 E1467:N1467 E1469:N1469 E1471:N1471 E1473:N1473 E1475:N1475 E1477:N1477 E1479:N1479 E1481:N1481 E1483:N1483 E1485:N1485 E1487:N1487 E1489:N1489 E1491:N1491 E1493:N1493 E1495:N1495 E1497:N1497 E1499:N1499 E1501:N1501 E1503:N1503 E1505:N1505 E1507:N1507 E1509:N1509 E1511:N1511 E1513:N1513 E1515:N1515 E1517:N1517 E1519:N1519 E1521:N1521 E1523:N1523 E1525:N1525 E1527:N1527 E1529:N1529 E1531:N1531 E1533:N1533 E1535:N1535 E1537:N1537 E1539:N1539 E1541:N1541 E1543:N1543 E1545:N1545 E1547:N1547 E1549:N1549 E1551:N1551 E1553:N1553 E1555:N1555 E1557:N1557 E1559:N1559 E1561:N1561 E1563:N1563 E1565:N1565 E1567:N1567 E1569:N1569 E1571:N1571 E1573:N1573 E1575:N1575 E1577:N1577 E1579:N1579 E1581:N1581 E1583:N1583 E1585:N1585 E1587:N1587 E1589:N1589 E1591:N1591 E1593:N1593 E1595:N1595 E1597:N1597 E1599:N1599 E1601:N1601 E1603:N1603 E1605:N1605 E1607:N1607 E1609:N1609 E1611:N1611 E1613:N1613 E1615:N1615 E1617:N1617 E1619:N1619 E1621:N1621 E1623:N1623 E1625:N1625 E1627:N1627 E1629:N1629 E1631:N1631 E1633:N1633 E1635:N1635 E1637:N1637 E1639:N1639 E1641:N1641 E1643:N1643 E1645:N1645 E1647:N1647 E1649:N1649 E1651:N1651 E1653:N1653 E1655:N1655 E1657:N1657 E1659:N1659 E1661:N1661 E1663:N1663 E1665:N1665 E1667:N1667 E1669:N1669 E1671:N1671 E1673:N1673 E1675:N1675 E1677:N1677 E1679:N1679 E1681:N1681 E1683:N1683 E1685:N1685 E1687:N1687 E1689:N1689 E1691:N1691 E1693:N1693 E1695:N1695 E1697:N1697 E1699:N1699 E1701:N1701 E1703:N1703 E1705:N1705 E1707:N1707 E1709:N1709 E1711:N1711 E1713:N1713 E1715:N1715 E1717:N1717 E1719:N1719 E1721:N1721 E1723:N1723 E1725:N1725 E1727:N1727 E1729:N1729 E1731:N1731 E1733:N1733 E1735:N1735 E1737:N1737 E1739:N1739 E1741:N1741 E1743:N1743 E1745:N1745 E1747:N1747 E1749:N1749 E1751:N1751 E1753:N1753 E1755:N1755 E1757:N1757 E1759:N1759 E1761:N1761 E1763:N1763 E1765:N1765 E1767:N1767 E1769:N1769 E1771:N1771 E1773:N1773 E1775:N1775 E1777:N1777 E1779:N1779 E1781:N1781 E1783:N1783 E1785:N1785 E1787:N1787 E1789:N1789 E1791:N1791 E1793:N1793 E1795:N1795 E1797:N1797 E1799:N1799 E1801:N1801 E1803:N1803 E1805:N1805 E1807:N1807 E1809:N1809 E1811:N1811 E1813:N1813 E1815:N1815 E1817:N1817 E1819:N1819">
    <cfRule type="expression" dxfId="103" priority="35">
      <formula>$D621=""</formula>
    </cfRule>
  </conditionalFormatting>
  <conditionalFormatting sqref="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1816 F1818 F1820">
    <cfRule type="expression" dxfId="102" priority="34">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B1699 B1701 B1703 B1705 B1707 B1709 B1711 B1713 B1715 B1717 B1719 B1721 B1723 B1725 B1727 B1729 B1731 B1733 B1735 B1737 B1739 B1741 B1743 B1745 B1747 B1749 B1751 B1753 B1755 B1757 B1759 B1761 B1763 B1765 B1767 B1769 B1771 B1773 B1775 B1777 B1779 B1781 B1783 B1785 B1787 B1789 B1791 B1793 B1795 B1797 B1799 B1801 B1803 B1805 B1807 B1809 B1811 B1813 B1815 B1817 B1819">
    <cfRule type="expression" dxfId="101" priority="7">
      <formula>$D623=""</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100" priority="5">
      <formula>$D318=""</formula>
    </cfRule>
  </conditionalFormatting>
  <dataValidations count="3">
    <dataValidation type="decimal" operator="greaterThanOrEqual" allowBlank="1" showInputMessage="1" showErrorMessage="1" sqref="F316:G615 F621:G1820 F10:G312" xr:uid="{00000000-0002-0000-0B00-000000000000}">
      <formula1>0</formula1>
    </dataValidation>
    <dataValidation type="list" allowBlank="1" showInputMessage="1" showErrorMessage="1" sqref="H316:H615 H10:H312 H621:H1820" xr:uid="{00000000-0002-0000-0B00-000001000000}">
      <formula1>baseline_validation</formula1>
    </dataValidation>
    <dataValidation type="textLength" allowBlank="1" showInputMessage="1" showErrorMessage="1" error="You cannot enter more than 255 characters in this Comments for Impact Disaggregation." sqref="J10:J309 N10:N309" xr:uid="{00000000-0002-0000-0B00-000002000000}">
      <formula1>0</formula1>
      <formula2>255</formula2>
    </dataValidation>
  </dataValidations>
  <hyperlinks>
    <hyperlink ref="C5" location="Impact_Indicator_Disaggregation_new" display="Impact" xr:uid="{00000000-0004-0000-0B00-000000000000}"/>
    <hyperlink ref="D5" location="Outcome_Indicator_Disaggregation_new" display="Outcome Indicator" xr:uid="{00000000-0004-0000-0B00-000001000000}"/>
    <hyperlink ref="E5" location="Coverage_Indicator_Disaggregation_new" display="Coverage" xr:uid="{00000000-0004-0000-0B00-000002000000}"/>
    <hyperlink ref="F5" location="'Instructions-FR'!InstructionE" display="'Instructions-FR'!InstructionE" xr:uid="{00000000-0004-0000-0B00-000003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dimension ref="A1:BF89"/>
  <sheetViews>
    <sheetView showGridLines="0" tabSelected="1" topLeftCell="D2" zoomScale="60" zoomScaleNormal="60" workbookViewId="0">
      <pane ySplit="7" topLeftCell="A9" activePane="bottomLeft" state="frozen"/>
      <selection activeCell="B2" sqref="B2"/>
      <selection pane="bottomLeft" activeCell="M15" sqref="M15"/>
    </sheetView>
  </sheetViews>
  <sheetFormatPr defaultColWidth="9" defaultRowHeight="15.5" x14ac:dyDescent="0.35"/>
  <cols>
    <col min="1" max="1" width="19.1640625" customWidth="1"/>
    <col min="2" max="2" width="41.58203125" customWidth="1"/>
    <col min="3" max="3" width="23.5" customWidth="1"/>
    <col min="4" max="4" width="21.58203125" customWidth="1"/>
    <col min="5" max="5" width="31.33203125" customWidth="1"/>
    <col min="6" max="6" width="18.58203125" hidden="1" customWidth="1"/>
    <col min="7" max="7" width="32.58203125" customWidth="1"/>
    <col min="8" max="8" width="32" style="253" customWidth="1"/>
    <col min="9" max="9" width="57.83203125" style="253" customWidth="1"/>
    <col min="10" max="10" width="18.58203125" customWidth="1"/>
    <col min="11" max="11" width="47.6640625" customWidth="1"/>
    <col min="12" max="12" width="29.5" customWidth="1"/>
    <col min="13" max="13" width="50.1640625" customWidth="1"/>
    <col min="14" max="14" width="17.08203125" customWidth="1"/>
    <col min="15" max="15" width="36.9140625" customWidth="1"/>
    <col min="16" max="16" width="19.08203125" customWidth="1"/>
    <col min="17" max="18" width="17.08203125" customWidth="1"/>
    <col min="19" max="19" width="14.58203125" customWidth="1"/>
    <col min="20" max="20" width="21" customWidth="1"/>
    <col min="21" max="21" width="21" style="215" customWidth="1"/>
    <col min="22" max="35" width="21" style="253" customWidth="1"/>
    <col min="36" max="37" width="21" style="215" customWidth="1"/>
    <col min="38" max="39" width="20.58203125" customWidth="1"/>
    <col min="40" max="40" width="50.58203125" customWidth="1"/>
    <col min="41" max="41" width="26.08203125" hidden="1" customWidth="1"/>
    <col min="42" max="42" width="18.6640625" hidden="1" customWidth="1"/>
    <col min="43" max="43" width="13.08203125" hidden="1" customWidth="1"/>
    <col min="44" max="44" width="17.5" hidden="1" customWidth="1"/>
    <col min="45" max="45" width="16.08203125" hidden="1" customWidth="1"/>
    <col min="46" max="46" width="13.58203125" hidden="1" customWidth="1"/>
    <col min="47" max="47" width="30.58203125" customWidth="1"/>
    <col min="48" max="48" width="50.58203125" customWidth="1"/>
    <col min="49" max="50" width="9" hidden="1" customWidth="1"/>
    <col min="51" max="51" width="14.58203125" hidden="1" customWidth="1"/>
    <col min="52" max="52" width="9" hidden="1" customWidth="1"/>
    <col min="53" max="53" width="17.6640625" hidden="1" customWidth="1"/>
    <col min="54" max="54" width="17.08203125" hidden="1" customWidth="1"/>
    <col min="55" max="55" width="7.58203125" hidden="1" customWidth="1"/>
    <col min="56" max="56" width="8.6640625" hidden="1" customWidth="1"/>
    <col min="57" max="57" width="14.1640625" hidden="1" customWidth="1"/>
    <col min="58" max="58" width="21.5" hidden="1" customWidth="1"/>
  </cols>
  <sheetData>
    <row r="1" spans="1:58" x14ac:dyDescent="0.35">
      <c r="A1" s="778" t="str">
        <f ca="1">Translations!A83</f>
        <v>Marco de desempeño - MSPT - Sección E</v>
      </c>
      <c r="B1" s="779"/>
      <c r="C1" s="779"/>
      <c r="D1" s="779"/>
      <c r="E1" s="779"/>
      <c r="F1" s="779"/>
      <c r="G1" s="779"/>
      <c r="H1" s="273"/>
      <c r="I1" s="273"/>
    </row>
    <row r="2" spans="1:58" x14ac:dyDescent="0.35">
      <c r="A2" s="779"/>
      <c r="B2" s="779"/>
      <c r="C2" s="779"/>
      <c r="D2" s="779"/>
      <c r="E2" s="779"/>
      <c r="F2" s="779"/>
      <c r="G2" s="779"/>
      <c r="H2" s="273"/>
      <c r="I2" s="273"/>
    </row>
    <row r="4" spans="1:58" ht="16" thickBot="1" x14ac:dyDescent="0.4">
      <c r="A4" s="187"/>
      <c r="B4" s="187"/>
    </row>
    <row r="5" spans="1:58" ht="16" thickBot="1" x14ac:dyDescent="0.4">
      <c r="A5" s="186" t="str">
        <f ca="1">Translations!A12</f>
        <v>Navegación de la página</v>
      </c>
      <c r="B5" s="188" t="str">
        <f ca="1">Translations!A48</f>
        <v>Instrucciones</v>
      </c>
    </row>
    <row r="6" spans="1:58" x14ac:dyDescent="0.35">
      <c r="J6" s="115">
        <v>2</v>
      </c>
      <c r="L6" s="115">
        <v>3</v>
      </c>
      <c r="M6" s="115"/>
      <c r="N6" s="115">
        <v>3</v>
      </c>
      <c r="O6" s="115"/>
      <c r="P6" s="115"/>
      <c r="Q6" s="115"/>
      <c r="R6" s="115">
        <v>4</v>
      </c>
      <c r="S6" s="115"/>
      <c r="T6" s="115">
        <v>7</v>
      </c>
      <c r="U6" s="211"/>
      <c r="V6" s="211">
        <v>5</v>
      </c>
      <c r="W6" s="211"/>
      <c r="X6" s="211"/>
      <c r="Y6" s="211"/>
      <c r="Z6" s="211">
        <v>6</v>
      </c>
      <c r="AA6" s="211"/>
      <c r="AB6" s="211"/>
      <c r="AC6" s="211"/>
      <c r="AD6" s="211">
        <v>7</v>
      </c>
      <c r="AE6" s="211"/>
      <c r="AF6" s="211"/>
      <c r="AG6" s="211"/>
      <c r="AH6" s="211">
        <v>8</v>
      </c>
      <c r="AI6" s="211"/>
      <c r="AJ6" s="211">
        <v>8</v>
      </c>
      <c r="AK6" s="211"/>
      <c r="AL6" s="211">
        <v>9</v>
      </c>
    </row>
    <row r="7" spans="1:58" x14ac:dyDescent="0.35">
      <c r="A7" s="179"/>
      <c r="B7" s="179"/>
      <c r="C7" s="179"/>
      <c r="D7" s="179"/>
      <c r="E7" s="179"/>
      <c r="F7" s="179"/>
      <c r="G7" s="179"/>
      <c r="H7" s="780" t="str">
        <f ca="1">IFERROR(IF(YEAR(INDEX('Overview - Section A'!$A$39:$A$46,MATCH(J6,'Overview - Section A'!$B$39:$B$46,0)))&lt;=YEAR('Overview - Section A'!$E$11),TEXT(IFERROR(INDEX('Overview - Section A'!$A$39:$A$46,MATCH(J6,'Overview - Section A'!$B$39:$B$46,0)),""),Setup!$A$33) &amp;" to " &amp; TEXT(IFERROR(INDEX('Overview - Section A'!$E$39:$E$46,MATCH(J6,'Overview - Section A'!$B$39:$B$46,0)),""),Setup!$A$33),""),"")</f>
        <v>1-Jan-22 to 31-Dec-22</v>
      </c>
      <c r="I7" s="781"/>
      <c r="J7" s="781"/>
      <c r="K7" s="782"/>
      <c r="L7" s="780" t="str">
        <f ca="1">IFERROR(IF(YEAR(INDEX('Overview - Section A'!$A$39:$A$46,MATCH(N6,'Overview - Section A'!$B$39:$B$46,0)))&lt;=YEAR('Overview - Section A'!$E$11),TEXT(IFERROR(INDEX('Overview - Section A'!$A$39:$A$46,MATCH(N6,'Overview - Section A'!$B$39:$B$46,0)),""),Setup!$A$33) &amp;" to " &amp; TEXT(IFERROR(INDEX('Overview - Section A'!$E$39:$E$46,MATCH(N6,'Overview - Section A'!$B$39:$B$46,0)),""),Setup!$A$33),""),"")</f>
        <v>1-Jan-23 to 31-Dec-23</v>
      </c>
      <c r="M7" s="781"/>
      <c r="N7" s="781"/>
      <c r="O7" s="782"/>
      <c r="P7" s="780" t="str">
        <f ca="1">IFERROR(IF(YEAR(INDEX('Overview - Section A'!$A$39:$A$46,MATCH(R6,'Overview - Section A'!$B$39:$B$46,0)))&lt;=YEAR('Overview - Section A'!$E$11),TEXT(IFERROR(INDEX('Overview - Section A'!$A$39:$A$46,MATCH(R6,'Overview - Section A'!$B$39:$B$46,0)),""),Setup!$A$33) &amp;" to " &amp; TEXT(IFERROR(INDEX('Overview - Section A'!$E$39:$E$46,MATCH(R6,'Overview - Section A'!$B$39:$B$46,0)),""),Setup!$A$33),""),"")</f>
        <v>1-Jan-24 to 31-Dec-24</v>
      </c>
      <c r="Q7" s="781"/>
      <c r="R7" s="781"/>
      <c r="S7" s="782"/>
      <c r="T7" s="780" t="str">
        <f ca="1">IFERROR(IF(YEAR(INDEX('Overview - Section A'!$A$39:$A$46,MATCH(V6,'Overview - Section A'!$B$39:$B$46,0)))&lt;=YEAR('Overview - Section A'!$E$11),TEXT(IFERROR(INDEX('Overview - Section A'!$A$39:$A$46,MATCH(V6,'Overview - Section A'!$B$39:$B$46,0)),""),Setup!$A$33) &amp;" to " &amp; TEXT(IFERROR(INDEX('Overview - Section A'!$E$39:$E$46,MATCH(V6,'Overview - Section A'!$B$39:$B$46,0)),""),Setup!$A$33),""),"")</f>
        <v/>
      </c>
      <c r="U7" s="781"/>
      <c r="V7" s="781"/>
      <c r="W7" s="782"/>
      <c r="X7" s="780" t="str">
        <f ca="1">IFERROR(IF(YEAR(INDEX('Overview - Section A'!$A$39:$A$46,MATCH(Z6,'Overview - Section A'!$B$39:$B$46,0)))&lt;=YEAR('Overview - Section A'!$E$11),TEXT(IFERROR(INDEX('Overview - Section A'!$A$39:$A$46,MATCH(Z6,'Overview - Section A'!$B$39:$B$46,0)),""),Setup!$A$33) &amp;" to " &amp; TEXT(IFERROR(INDEX('Overview - Section A'!$E$39:$E$46,MATCH(Z6,'Overview - Section A'!$B$39:$B$46,0)),""),Setup!$A$33),""),"")</f>
        <v/>
      </c>
      <c r="Y7" s="781"/>
      <c r="Z7" s="781"/>
      <c r="AA7" s="782"/>
      <c r="AB7" s="780" t="str">
        <f ca="1">IFERROR(IF(YEAR(INDEX('Overview - Section A'!$A$39:$A$46,MATCH(AD6,'Overview - Section A'!$B$39:$B$46,0)))&lt;=YEAR('Overview - Section A'!$E$11),TEXT(IFERROR(INDEX('Overview - Section A'!$A$39:$A$46,MATCH(AD6,'Overview - Section A'!$B$39:$B$46,0)),""),Setup!$A$33) &amp;" to " &amp; TEXT(IFERROR(INDEX('Overview - Section A'!$E$39:$E$46,MATCH(AD6,'Overview - Section A'!$B$39:$B$46,0)),""),Setup!$A$33),""),"")</f>
        <v/>
      </c>
      <c r="AC7" s="781"/>
      <c r="AD7" s="781"/>
      <c r="AE7" s="782"/>
      <c r="AF7" s="780" t="str">
        <f>IFERROR(IF(YEAR(INDEX('Overview - Section A'!$A$39:$A$46,MATCH(AH6,'Overview - Section A'!$B$39:$B$46,0)))&lt;=YEAR('Overview - Section A'!$E$11),TEXT(IFERROR(INDEX('Overview - Section A'!$A$39:$A$46,MATCH(AH6,'Overview - Section A'!$B$39:$B$46,0)),""),Setup!$A$33) &amp;" to " &amp; TEXT(IFERROR(INDEX('Overview - Section A'!$E$39:$E$46,MATCH(AH6,'Overview - Section A'!$B$39:$B$46,0)),""),Setup!$A$33),""),"")</f>
        <v/>
      </c>
      <c r="AG7" s="781"/>
      <c r="AH7" s="781"/>
      <c r="AI7" s="782"/>
      <c r="AJ7" s="780" t="str">
        <f>IFERROR(IF(YEAR(INDEX('Overview - Section A'!$A$39:$A$46,MATCH(AL6,'Overview - Section A'!$B$39:$B$46,0)))&lt;=YEAR('Overview - Section A'!$E$11),TEXT(IFERROR(INDEX('Overview - Section A'!$A$39:$A$46,MATCH(AL6,'Overview - Section A'!$B$39:$B$46,0)),""),Setup!$A$33) &amp;" to " &amp; TEXT(IFERROR(INDEX('Overview - Section A'!$E$39:$E$46,MATCH(AL6,'Overview - Section A'!$B$39:$B$46,0)),""),Setup!$A$33),""),"")</f>
        <v/>
      </c>
      <c r="AK7" s="781"/>
      <c r="AL7" s="781"/>
      <c r="AM7" s="782"/>
      <c r="AN7" s="238"/>
      <c r="AU7" s="238"/>
      <c r="AV7" s="238"/>
    </row>
    <row r="8" spans="1:58" ht="55.5" customHeight="1" x14ac:dyDescent="0.35">
      <c r="A8" s="269" t="str">
        <f ca="1">Translations!A84</f>
        <v xml:space="preserve">Número </v>
      </c>
      <c r="B8" s="269" t="str">
        <f ca="1">Translations!A30</f>
        <v>Nombre del módulo</v>
      </c>
      <c r="C8" s="269" t="str">
        <f ca="1">Translations!A35</f>
        <v>Población</v>
      </c>
      <c r="D8" s="269" t="str">
        <f ca="1">Translations!A46</f>
        <v>Intervención</v>
      </c>
      <c r="E8" s="269" t="str">
        <f ca="1">Translations!A85</f>
        <v>Actividad clave</v>
      </c>
      <c r="F8" s="269" t="str">
        <f ca="1">Translations!A52</f>
        <v>Receptor principal responsible</v>
      </c>
      <c r="G8" s="269" t="str">
        <f ca="1">Translations!A53</f>
        <v>País</v>
      </c>
      <c r="H8" s="269" t="str">
        <f ca="1">Translations!$A$86</f>
        <v>Hitos/ Descripción de la meta</v>
      </c>
      <c r="I8" s="269" t="str">
        <f ca="1">Translations!$A$87</f>
        <v>Criterios para la finalización</v>
      </c>
      <c r="J8" s="269" t="str">
        <f ca="1">Translations!$A$86 &amp; " (EN)"</f>
        <v>Hitos/ Descripción de la meta (EN)</v>
      </c>
      <c r="K8" s="269" t="str">
        <f ca="1">Translations!$A$87 &amp; " (EN)"</f>
        <v>Criterios para la finalización (EN)</v>
      </c>
      <c r="L8" s="269" t="str">
        <f ca="1">Translations!$A$86</f>
        <v>Hitos/ Descripción de la meta</v>
      </c>
      <c r="M8" s="269" t="str">
        <f ca="1">Translations!$A$87</f>
        <v>Criterios para la finalización</v>
      </c>
      <c r="N8" s="269" t="str">
        <f ca="1">Translations!$A$86 &amp; " (EN)"</f>
        <v>Hitos/ Descripción de la meta (EN)</v>
      </c>
      <c r="O8" s="269" t="str">
        <f ca="1">Translations!$A$87 &amp; " (EN)"</f>
        <v>Criterios para la finalización (EN)</v>
      </c>
      <c r="P8" s="269" t="str">
        <f ca="1">Translations!$A$86</f>
        <v>Hitos/ Descripción de la meta</v>
      </c>
      <c r="Q8" s="269" t="str">
        <f ca="1">Translations!$A$87</f>
        <v>Criterios para la finalización</v>
      </c>
      <c r="R8" s="269" t="str">
        <f ca="1">Translations!$A$86 &amp; " (EN)"</f>
        <v>Hitos/ Descripción de la meta (EN)</v>
      </c>
      <c r="S8" s="269" t="str">
        <f ca="1">Translations!$A$87 &amp; " (EN)"</f>
        <v>Criterios para la finalización (EN)</v>
      </c>
      <c r="T8" s="269" t="str">
        <f ca="1">Translations!$A$86</f>
        <v>Hitos/ Descripción de la meta</v>
      </c>
      <c r="U8" s="269" t="str">
        <f ca="1">Translations!$A$87</f>
        <v>Criterios para la finalización</v>
      </c>
      <c r="V8" s="269" t="str">
        <f ca="1">Translations!$A$86 &amp; " (EN)"</f>
        <v>Hitos/ Descripción de la meta (EN)</v>
      </c>
      <c r="W8" s="269" t="str">
        <f ca="1">Translations!$A$87 &amp; " (EN)"</f>
        <v>Criterios para la finalización (EN)</v>
      </c>
      <c r="X8" s="269" t="str">
        <f ca="1">Translations!$A$86</f>
        <v>Hitos/ Descripción de la meta</v>
      </c>
      <c r="Y8" s="269" t="str">
        <f ca="1">Translations!$A$87</f>
        <v>Criterios para la finalización</v>
      </c>
      <c r="Z8" s="269" t="str">
        <f ca="1">Translations!$A$86 &amp; " (EN)"</f>
        <v>Hitos/ Descripción de la meta (EN)</v>
      </c>
      <c r="AA8" s="269" t="str">
        <f ca="1">Translations!$A$87 &amp; " (EN)"</f>
        <v>Criterios para la finalización (EN)</v>
      </c>
      <c r="AB8" s="269" t="str">
        <f ca="1">Translations!$A$86</f>
        <v>Hitos/ Descripción de la meta</v>
      </c>
      <c r="AC8" s="269" t="str">
        <f ca="1">Translations!$A$87</f>
        <v>Criterios para la finalización</v>
      </c>
      <c r="AD8" s="269" t="str">
        <f ca="1">Translations!$A$86 &amp; " (EN)"</f>
        <v>Hitos/ Descripción de la meta (EN)</v>
      </c>
      <c r="AE8" s="269" t="str">
        <f ca="1">Translations!$A$87 &amp; " (EN)"</f>
        <v>Criterios para la finalización (EN)</v>
      </c>
      <c r="AF8" s="269" t="str">
        <f ca="1">Translations!$A$86</f>
        <v>Hitos/ Descripción de la meta</v>
      </c>
      <c r="AG8" s="269" t="str">
        <f ca="1">Translations!$A$87</f>
        <v>Criterios para la finalización</v>
      </c>
      <c r="AH8" s="269" t="str">
        <f ca="1">Translations!$A$86 &amp; " (EN)"</f>
        <v>Hitos/ Descripción de la meta (EN)</v>
      </c>
      <c r="AI8" s="269" t="str">
        <f ca="1">Translations!$A$87 &amp; " (EN)"</f>
        <v>Criterios para la finalización (EN)</v>
      </c>
      <c r="AJ8" s="269" t="str">
        <f ca="1">Translations!$A$86</f>
        <v>Hitos/ Descripción de la meta</v>
      </c>
      <c r="AK8" s="269" t="str">
        <f ca="1">Translations!$A$87</f>
        <v>Criterios para la finalización</v>
      </c>
      <c r="AL8" s="269" t="str">
        <f ca="1">Translations!$A$86 &amp; " (EN)"</f>
        <v>Hitos/ Descripción de la meta (EN)</v>
      </c>
      <c r="AM8" s="269" t="str">
        <f ca="1">Translations!$A$87 &amp; " (EN)"</f>
        <v>Criterios para la finalización (EN)</v>
      </c>
      <c r="AN8" s="270" t="str">
        <f ca="1">Translations!A58</f>
        <v>Comentarios</v>
      </c>
      <c r="AO8" s="196"/>
      <c r="AP8" s="196"/>
      <c r="AQ8" s="196"/>
      <c r="AR8" s="196"/>
      <c r="AS8" s="196" t="s">
        <v>379</v>
      </c>
      <c r="AT8" s="196"/>
      <c r="AU8" s="270" t="str">
        <f ca="1">Translations!A85&amp;" (EN)"</f>
        <v>Actividad clave (EN)</v>
      </c>
      <c r="AV8" s="270" t="str">
        <f ca="1">Translations!A58 &amp; " (EN)"</f>
        <v>Comentarios (EN)</v>
      </c>
      <c r="AY8" s="253" t="s">
        <v>943</v>
      </c>
      <c r="AZ8" s="253" t="s">
        <v>944</v>
      </c>
      <c r="BE8" t="s">
        <v>973</v>
      </c>
      <c r="BF8" t="s">
        <v>974</v>
      </c>
    </row>
    <row r="9" spans="1:58" ht="298.25" customHeight="1" x14ac:dyDescent="0.35">
      <c r="A9" s="189">
        <v>1</v>
      </c>
      <c r="B9" s="545" t="s">
        <v>3129</v>
      </c>
      <c r="C9" s="545" t="s">
        <v>979</v>
      </c>
      <c r="D9" s="545" t="s">
        <v>3984</v>
      </c>
      <c r="E9" s="545" t="s">
        <v>11228</v>
      </c>
      <c r="F9" s="545"/>
      <c r="G9" s="546" t="s">
        <v>1070</v>
      </c>
      <c r="H9" s="545" t="s">
        <v>11253</v>
      </c>
      <c r="I9" s="545" t="s">
        <v>11260</v>
      </c>
      <c r="J9" s="545" t="s">
        <v>11254</v>
      </c>
      <c r="K9" s="945" t="s">
        <v>11259</v>
      </c>
      <c r="L9" s="546"/>
      <c r="M9" s="546"/>
      <c r="N9" s="545"/>
      <c r="O9" s="545"/>
      <c r="P9" s="546"/>
      <c r="Q9" s="546"/>
      <c r="R9" s="545"/>
      <c r="S9" s="545"/>
      <c r="T9" s="546"/>
      <c r="U9" s="546"/>
      <c r="V9" s="545"/>
      <c r="W9" s="545"/>
      <c r="X9" s="546"/>
      <c r="Y9" s="546"/>
      <c r="Z9" s="545"/>
      <c r="AA9" s="545"/>
      <c r="AB9" s="546"/>
      <c r="AC9" s="546"/>
      <c r="AD9" s="545"/>
      <c r="AE9" s="545"/>
      <c r="AF9" s="546"/>
      <c r="AG9" s="546"/>
      <c r="AH9" s="545"/>
      <c r="AI9" s="545"/>
      <c r="AJ9" s="546"/>
      <c r="AK9" s="546"/>
      <c r="AL9" s="545"/>
      <c r="AM9" s="545"/>
      <c r="AN9" s="545"/>
      <c r="AO9" s="547" t="str">
        <f>IFERROR(VLOOKUP(D9,'Reference Records'!$C$213:$E$334,3,FALSE),"")</f>
        <v>a1O1R000006c5jkUAA</v>
      </c>
      <c r="AP9" s="548" t="str">
        <f>VLOOKUP(AO9,'Reference Records'!$E$213:$F$334,2,0)</f>
        <v>MCI-00810</v>
      </c>
      <c r="AQ9" s="548">
        <f>MATCH($AP9,'Reference Records'!$E$413:$E$618,0)+ROW(Population_by_intervention) -1</f>
        <v>611</v>
      </c>
      <c r="AR9" s="548">
        <f>MATCH($AP9,'Reference Records'!$E$413:$E$618,1)+ROW(Population_by_intervention) -1</f>
        <v>611</v>
      </c>
      <c r="AS9" s="548" t="str">
        <f>IF(B9&amp;C9="","|empty|",B9&amp;C9&amp;D9)</f>
        <v>SSRS: sistemas de laboratorioNo aplicableSistemas de gestión de infraestructuras y equipos</v>
      </c>
      <c r="AT9" s="548" t="str">
        <f>IF(AS9="","",IFERROR(VLOOKUP(AS9,'Overview - Section A'!AF$155:AG256,2,0),VLOOKUP("|empty|",'Overview - Section A'!AF$155:AG256,2,0)))</f>
        <v>INT-211653</v>
      </c>
      <c r="AU9" s="545"/>
      <c r="AV9" s="545"/>
      <c r="AY9" s="253">
        <f>ROW(WPTM____Section_F)+3</f>
        <v>4065</v>
      </c>
      <c r="AZ9" s="253">
        <f>ROW(WPTM_Results)+3</f>
        <v>4311</v>
      </c>
      <c r="BB9" t="str">
        <f ca="1">IF(INDIRECT("'update Helper'!M"&amp;AY9)=0,"",INDIRECT("'update Helper'!M"&amp;AY9))</f>
        <v/>
      </c>
      <c r="BC9" t="str">
        <f ca="1">IF(INDIRECT("'update Helper'!S"&amp;AY9)=0,"",IFERROR(VLOOKUP(INDIRECT("'update Helper'!S"&amp;AY9),'Account Role'!A$1:B$15,2,0),IFERROR(VLOOKUP(INDIRECT("'update Helper'!I"&amp;AY9),'Overview - Section A'!J$26:P$107,7,0),"")))</f>
        <v/>
      </c>
      <c r="BD9" t="str">
        <f ca="1">IFERROR(INDEX('Overview - Section A'!A$154:A256,MATCH(INDIRECT("'update Helper'!Q"&amp;AY9),'Overview - Section A'!AQ$154:AQ256,0)),"")</f>
        <v/>
      </c>
      <c r="BE9" t="str">
        <f>IFERROR(INDEX('Overview - Section A'!O$154:O256,MATCH(AT9,'Overview - Section A'!AQ$154:AQ256,0)),"")</f>
        <v>Infrastructure and equipment management systems</v>
      </c>
      <c r="BF9" s="253" t="str">
        <f>IFERROR(INDEX('Overview - Section A'!H$154:H256,MATCH(AT9,'Overview - Section A'!AQ$154:AQ256,0)),"")</f>
        <v>Not applicable</v>
      </c>
    </row>
    <row r="10" spans="1:58" s="253" customFormat="1" ht="166.5" customHeight="1" x14ac:dyDescent="0.35">
      <c r="A10" s="189">
        <v>2</v>
      </c>
      <c r="B10" s="558" t="s">
        <v>3129</v>
      </c>
      <c r="C10" s="545" t="s">
        <v>979</v>
      </c>
      <c r="D10" s="545" t="s">
        <v>3984</v>
      </c>
      <c r="E10" s="545" t="s">
        <v>11229</v>
      </c>
      <c r="F10" s="545"/>
      <c r="G10" s="546" t="s">
        <v>1070</v>
      </c>
      <c r="H10" s="545" t="s">
        <v>11255</v>
      </c>
      <c r="I10" s="545" t="s">
        <v>11261</v>
      </c>
      <c r="J10" s="545" t="s">
        <v>11256</v>
      </c>
      <c r="K10" s="945" t="s">
        <v>11262</v>
      </c>
      <c r="L10" s="545" t="s">
        <v>11257</v>
      </c>
      <c r="M10" s="545" t="s">
        <v>11263</v>
      </c>
      <c r="N10" s="545" t="s">
        <v>11258</v>
      </c>
      <c r="O10" s="545" t="s">
        <v>11264</v>
      </c>
      <c r="P10" s="546"/>
      <c r="Q10" s="546"/>
      <c r="R10" s="545"/>
      <c r="S10" s="545"/>
      <c r="T10" s="546"/>
      <c r="U10" s="546"/>
      <c r="V10" s="545"/>
      <c r="W10" s="545"/>
      <c r="X10" s="546"/>
      <c r="Y10" s="546"/>
      <c r="Z10" s="545"/>
      <c r="AA10" s="545"/>
      <c r="AB10" s="546"/>
      <c r="AC10" s="546"/>
      <c r="AD10" s="545"/>
      <c r="AE10" s="545"/>
      <c r="AF10" s="546"/>
      <c r="AG10" s="546"/>
      <c r="AH10" s="545"/>
      <c r="AI10" s="545"/>
      <c r="AJ10" s="546"/>
      <c r="AK10" s="546"/>
      <c r="AL10" s="545"/>
      <c r="AM10" s="545"/>
      <c r="AN10" s="545"/>
      <c r="AO10" s="547" t="str">
        <f>IFERROR(VLOOKUP(D10,'Reference Records'!$C$213:$E$334,3,FALSE),"")</f>
        <v>a1O1R000006c5jkUAA</v>
      </c>
      <c r="AP10" s="548" t="str">
        <f>VLOOKUP(AO10,'Reference Records'!$E$213:$F$334,2,0)</f>
        <v>MCI-00810</v>
      </c>
      <c r="AQ10" s="548">
        <f>MATCH($AP10,'Reference Records'!$E$413:$E$618,0)+ROW(Population_by_intervention) -1</f>
        <v>611</v>
      </c>
      <c r="AR10" s="548">
        <f>MATCH($AP10,'Reference Records'!$E$413:$E$618,1)+ROW(Population_by_intervention) -1</f>
        <v>611</v>
      </c>
      <c r="AS10" s="548" t="str">
        <f t="shared" ref="AS10:AS73" si="0">IF(B10&amp;C10="","|empty|",B10&amp;C10&amp;D10)</f>
        <v>SSRS: sistemas de laboratorioNo aplicableSistemas de gestión de infraestructuras y equipos</v>
      </c>
      <c r="AT10" s="548" t="str">
        <f>IF(AS10="","",IFERROR(VLOOKUP(AS10,'Overview - Section A'!AF$155:AG257,2,0),VLOOKUP("|empty|",'Overview - Section A'!AF$155:AG257,2,0)))</f>
        <v>INT-211653</v>
      </c>
      <c r="AU10" s="545"/>
      <c r="AV10" s="545"/>
      <c r="AY10" s="253">
        <f>AY9+1</f>
        <v>4066</v>
      </c>
      <c r="AZ10" s="253">
        <f ca="1">AZ9+'update Helper'!$X$2</f>
        <v>4317</v>
      </c>
      <c r="BB10" s="253" t="str">
        <f t="shared" ref="BB10:BB15" ca="1" si="1">IF(INDIRECT("'update Helper'!M"&amp;AY10)=0,"",INDIRECT("'update Helper'!M"&amp;AY10))</f>
        <v/>
      </c>
      <c r="BC10" s="253" t="str">
        <f ca="1">IF(INDIRECT("'update Helper'!S"&amp;AY10)=0,"",IFERROR(VLOOKUP(INDIRECT("'update Helper'!S"&amp;AY10),'Account Role'!A$1:B$15,2,0),IFERROR(VLOOKUP(INDIRECT("'update Helper'!I"&amp;AY10),'Overview - Section A'!J$26:P$107,7,0),"")))</f>
        <v/>
      </c>
      <c r="BD10" s="253" t="str">
        <f ca="1">IFERROR(INDEX('Overview - Section A'!A$154:A257,MATCH(INDIRECT("'update Helper'!Q"&amp;AY10),'Overview - Section A'!AQ$154:AQ257,0)),"")</f>
        <v/>
      </c>
      <c r="BE10" s="253" t="str">
        <f>IFERROR(INDEX('Overview - Section A'!O$154:O257,MATCH(AT10,'Overview - Section A'!AQ$154:AQ257,0)),"")</f>
        <v>Infrastructure and equipment management systems</v>
      </c>
      <c r="BF10" s="253" t="str">
        <f>IFERROR(INDEX('Overview - Section A'!H$154:H257,MATCH(AT10,'Overview - Section A'!AQ$154:AQ257,0)),"")</f>
        <v>Not applicable</v>
      </c>
    </row>
    <row r="11" spans="1:58" s="253" customFormat="1" ht="36" customHeight="1" x14ac:dyDescent="0.35">
      <c r="A11" s="189">
        <v>3</v>
      </c>
      <c r="B11" s="545"/>
      <c r="C11" s="545"/>
      <c r="D11" s="545"/>
      <c r="E11" s="545"/>
      <c r="F11" s="545"/>
      <c r="G11" s="546"/>
      <c r="H11" s="545"/>
      <c r="I11" s="545"/>
      <c r="J11" s="545"/>
      <c r="K11" s="545"/>
      <c r="L11" s="496"/>
      <c r="M11" s="557"/>
      <c r="N11" s="545"/>
      <c r="O11" s="545"/>
      <c r="P11" s="546"/>
      <c r="Q11" s="546"/>
      <c r="R11" s="545"/>
      <c r="S11" s="545"/>
      <c r="T11" s="546"/>
      <c r="U11" s="546"/>
      <c r="V11" s="545"/>
      <c r="W11" s="545"/>
      <c r="X11" s="546"/>
      <c r="Y11" s="546"/>
      <c r="Z11" s="545"/>
      <c r="AA11" s="545"/>
      <c r="AB11" s="546"/>
      <c r="AC11" s="546"/>
      <c r="AD11" s="545"/>
      <c r="AE11" s="545"/>
      <c r="AF11" s="546"/>
      <c r="AG11" s="546"/>
      <c r="AH11" s="545"/>
      <c r="AI11" s="545"/>
      <c r="AJ11" s="546"/>
      <c r="AK11" s="546"/>
      <c r="AL11" s="545"/>
      <c r="AM11" s="545"/>
      <c r="AN11" s="545"/>
      <c r="AO11" s="547" t="str">
        <f>IFERROR(VLOOKUP(D11,'Reference Records'!$C$213:$E$334,3,FALSE),"")</f>
        <v/>
      </c>
      <c r="AP11" s="548" t="e">
        <f>VLOOKUP(AO11,'Reference Records'!$E$213:$F$334,2,0)</f>
        <v>#N/A</v>
      </c>
      <c r="AQ11" s="548" t="e">
        <f>MATCH($AP11,'Reference Records'!$E$413:$E$618,0)+ROW(Population_by_intervention) -1</f>
        <v>#N/A</v>
      </c>
      <c r="AR11" s="548" t="e">
        <f>MATCH($AP11,'Reference Records'!$E$413:$E$618,1)+ROW(Population_by_intervention) -1</f>
        <v>#N/A</v>
      </c>
      <c r="AS11" s="548" t="str">
        <f t="shared" si="0"/>
        <v>|empty|</v>
      </c>
      <c r="AT11" s="548" t="str">
        <f>IF(AS11="","",IFERROR(VLOOKUP(AS11,'Overview - Section A'!AF$155:AG258,2,0),VLOOKUP("|empty|",'Overview - Section A'!AF$155:AG258,2,0)))</f>
        <v>INT-211703</v>
      </c>
      <c r="AU11" s="545"/>
      <c r="AV11" s="545"/>
      <c r="AY11" s="253">
        <f t="shared" ref="AY11:AY74" si="2">AY10+1</f>
        <v>4067</v>
      </c>
      <c r="AZ11" s="253">
        <f ca="1">AZ10+'update Helper'!$X$2</f>
        <v>4323</v>
      </c>
      <c r="BB11" s="253" t="str">
        <f t="shared" ca="1" si="1"/>
        <v/>
      </c>
      <c r="BC11" s="253" t="str">
        <f ca="1">IF(INDIRECT("'update Helper'!S"&amp;AY11)=0,"",IFERROR(VLOOKUP(INDIRECT("'update Helper'!S"&amp;AY11),'Account Role'!A$1:B$15,2,0),IFERROR(VLOOKUP(INDIRECT("'update Helper'!I"&amp;AY11),'Overview - Section A'!J$26:P$107,7,0),"")))</f>
        <v/>
      </c>
      <c r="BD11" s="253" t="str">
        <f ca="1">IFERROR(INDEX('Overview - Section A'!A$154:A258,MATCH(INDIRECT("'update Helper'!Q"&amp;AY11),'Overview - Section A'!AQ$154:AQ258,0)),"")</f>
        <v/>
      </c>
      <c r="BE11" s="253" t="str">
        <f>IFERROR(INDEX('Overview - Section A'!O$154:O258,MATCH(AT11,'Overview - Section A'!AQ$154:AQ258,0)),"")</f>
        <v/>
      </c>
      <c r="BF11" s="253" t="str">
        <f>IFERROR(INDEX('Overview - Section A'!H$154:H258,MATCH(AT11,'Overview - Section A'!AQ$154:AQ258,0)),"")</f>
        <v/>
      </c>
    </row>
    <row r="12" spans="1:58" s="253" customFormat="1" ht="42" customHeight="1" x14ac:dyDescent="0.35">
      <c r="A12" s="189">
        <v>4</v>
      </c>
      <c r="B12" s="545"/>
      <c r="C12" s="545"/>
      <c r="D12" s="545"/>
      <c r="E12" s="545"/>
      <c r="F12" s="545"/>
      <c r="G12" s="546"/>
      <c r="H12" s="545"/>
      <c r="I12" s="545"/>
      <c r="J12" s="545"/>
      <c r="K12" s="545"/>
      <c r="L12" s="557"/>
      <c r="M12" s="557"/>
      <c r="N12" s="545"/>
      <c r="O12" s="545"/>
      <c r="P12" s="546"/>
      <c r="Q12" s="546"/>
      <c r="R12" s="545"/>
      <c r="S12" s="545"/>
      <c r="T12" s="546"/>
      <c r="U12" s="546"/>
      <c r="V12" s="545"/>
      <c r="W12" s="545"/>
      <c r="X12" s="546"/>
      <c r="Y12" s="546"/>
      <c r="Z12" s="545"/>
      <c r="AA12" s="545"/>
      <c r="AB12" s="546"/>
      <c r="AC12" s="546"/>
      <c r="AD12" s="545"/>
      <c r="AE12" s="545"/>
      <c r="AF12" s="546"/>
      <c r="AG12" s="546"/>
      <c r="AH12" s="545"/>
      <c r="AI12" s="545"/>
      <c r="AJ12" s="546"/>
      <c r="AK12" s="546"/>
      <c r="AL12" s="545"/>
      <c r="AM12" s="545"/>
      <c r="AN12" s="545"/>
      <c r="AO12" s="547" t="str">
        <f>IFERROR(VLOOKUP(D12,'Reference Records'!$C$213:$E$334,3,FALSE),"")</f>
        <v/>
      </c>
      <c r="AP12" s="548" t="e">
        <f>VLOOKUP(AO12,'Reference Records'!$E$213:$F$334,2,0)</f>
        <v>#N/A</v>
      </c>
      <c r="AQ12" s="548" t="e">
        <f>MATCH($AP12,'Reference Records'!$E$413:$E$618,0)+ROW(Population_by_intervention) -1</f>
        <v>#N/A</v>
      </c>
      <c r="AR12" s="548" t="e">
        <f>MATCH($AP12,'Reference Records'!$E$413:$E$618,1)+ROW(Population_by_intervention) -1</f>
        <v>#N/A</v>
      </c>
      <c r="AS12" s="548" t="str">
        <f t="shared" si="0"/>
        <v>|empty|</v>
      </c>
      <c r="AT12" s="548" t="str">
        <f>IF(AS12="","",IFERROR(VLOOKUP(AS12,'Overview - Section A'!AF$155:AG259,2,0),VLOOKUP("|empty|",'Overview - Section A'!AF$155:AG259,2,0)))</f>
        <v>INT-211703</v>
      </c>
      <c r="AU12" s="545"/>
      <c r="AV12" s="545"/>
      <c r="AY12" s="253">
        <f t="shared" si="2"/>
        <v>4068</v>
      </c>
      <c r="AZ12" s="253">
        <f ca="1">AZ11+'update Helper'!$X$2</f>
        <v>4329</v>
      </c>
      <c r="BB12" s="253" t="str">
        <f t="shared" ca="1" si="1"/>
        <v/>
      </c>
      <c r="BC12" s="253" t="str">
        <f ca="1">IF(INDIRECT("'update Helper'!S"&amp;AY12)=0,"",IFERROR(VLOOKUP(INDIRECT("'update Helper'!S"&amp;AY12),'Account Role'!A$1:B$15,2,0),IFERROR(VLOOKUP(INDIRECT("'update Helper'!I"&amp;AY12),'Overview - Section A'!J$26:P$107,7,0),"")))</f>
        <v/>
      </c>
      <c r="BD12" s="253" t="str">
        <f ca="1">IFERROR(INDEX('Overview - Section A'!A$154:A259,MATCH(INDIRECT("'update Helper'!Q"&amp;AY12),'Overview - Section A'!AQ$154:AQ259,0)),"")</f>
        <v/>
      </c>
      <c r="BE12" s="253" t="str">
        <f>IFERROR(INDEX('Overview - Section A'!O$154:O259,MATCH(AT12,'Overview - Section A'!AQ$154:AQ259,0)),"")</f>
        <v/>
      </c>
      <c r="BF12" s="253" t="str">
        <f>IFERROR(INDEX('Overview - Section A'!H$154:H259,MATCH(AT12,'Overview - Section A'!AQ$154:AQ259,0)),"")</f>
        <v/>
      </c>
    </row>
    <row r="13" spans="1:58" s="253" customFormat="1" ht="34.75" customHeight="1" x14ac:dyDescent="0.35">
      <c r="A13" s="189">
        <v>5</v>
      </c>
      <c r="B13" s="545"/>
      <c r="C13" s="545"/>
      <c r="D13" s="545"/>
      <c r="E13" s="545"/>
      <c r="F13" s="545"/>
      <c r="G13" s="546"/>
      <c r="H13" s="545"/>
      <c r="I13" s="545"/>
      <c r="J13" s="545"/>
      <c r="K13" s="545"/>
      <c r="L13" s="545"/>
      <c r="M13" s="545"/>
      <c r="N13" s="545"/>
      <c r="O13" s="545"/>
      <c r="P13" s="546"/>
      <c r="Q13" s="546"/>
      <c r="R13" s="545"/>
      <c r="S13" s="545"/>
      <c r="T13" s="546"/>
      <c r="U13" s="546"/>
      <c r="V13" s="545"/>
      <c r="W13" s="545"/>
      <c r="X13" s="546"/>
      <c r="Y13" s="546"/>
      <c r="Z13" s="545"/>
      <c r="AA13" s="545"/>
      <c r="AB13" s="546"/>
      <c r="AC13" s="546"/>
      <c r="AD13" s="545"/>
      <c r="AE13" s="545"/>
      <c r="AF13" s="546"/>
      <c r="AG13" s="546"/>
      <c r="AH13" s="545"/>
      <c r="AI13" s="545"/>
      <c r="AJ13" s="546"/>
      <c r="AK13" s="546"/>
      <c r="AL13" s="545"/>
      <c r="AM13" s="545"/>
      <c r="AN13" s="545"/>
      <c r="AO13" s="547" t="str">
        <f>IFERROR(VLOOKUP(D13,'Reference Records'!$C$213:$E$334,3,FALSE),"")</f>
        <v/>
      </c>
      <c r="AP13" s="548" t="e">
        <f>VLOOKUP(AO13,'Reference Records'!$E$213:$F$334,2,0)</f>
        <v>#N/A</v>
      </c>
      <c r="AQ13" s="548" t="e">
        <f>MATCH($AP13,'Reference Records'!$E$413:$E$618,0)+ROW(Population_by_intervention) -1</f>
        <v>#N/A</v>
      </c>
      <c r="AR13" s="548" t="e">
        <f>MATCH($AP13,'Reference Records'!$E$413:$E$618,1)+ROW(Population_by_intervention) -1</f>
        <v>#N/A</v>
      </c>
      <c r="AS13" s="548" t="str">
        <f t="shared" si="0"/>
        <v>|empty|</v>
      </c>
      <c r="AT13" s="548" t="str">
        <f>IF(AS13="","",IFERROR(VLOOKUP(AS13,'Overview - Section A'!AF$155:AG260,2,0),VLOOKUP("|empty|",'Overview - Section A'!AF$155:AG260,2,0)))</f>
        <v>INT-211703</v>
      </c>
      <c r="AU13" s="545"/>
      <c r="AV13" s="545"/>
      <c r="AW13" s="548"/>
      <c r="AX13" s="548"/>
      <c r="AY13" s="253">
        <f t="shared" si="2"/>
        <v>4069</v>
      </c>
      <c r="AZ13" s="253">
        <f ca="1">AZ12+'update Helper'!$X$2</f>
        <v>4335</v>
      </c>
      <c r="BB13" s="253" t="str">
        <f t="shared" ca="1" si="1"/>
        <v/>
      </c>
      <c r="BC13" s="253" t="str">
        <f ca="1">IF(INDIRECT("'update Helper'!S"&amp;AY13)=0,"",IFERROR(VLOOKUP(INDIRECT("'update Helper'!S"&amp;AY13),'Account Role'!A$1:B$15,2,0),IFERROR(VLOOKUP(INDIRECT("'update Helper'!I"&amp;AY13),'Overview - Section A'!J$26:P$107,7,0),"")))</f>
        <v/>
      </c>
      <c r="BD13" s="253" t="str">
        <f ca="1">IFERROR(INDEX('Overview - Section A'!A$154:A260,MATCH(INDIRECT("'update Helper'!Q"&amp;AY13),'Overview - Section A'!AQ$154:AQ260,0)),"")</f>
        <v/>
      </c>
      <c r="BE13" s="253" t="str">
        <f>IFERROR(INDEX('Overview - Section A'!O$154:O260,MATCH(AT13,'Overview - Section A'!AQ$154:AQ260,0)),"")</f>
        <v/>
      </c>
      <c r="BF13" s="253" t="str">
        <f>IFERROR(INDEX('Overview - Section A'!H$154:H260,MATCH(AT13,'Overview - Section A'!AQ$154:AQ260,0)),"")</f>
        <v/>
      </c>
    </row>
    <row r="14" spans="1:58" s="253" customFormat="1" ht="30" customHeight="1" x14ac:dyDescent="0.35">
      <c r="A14" s="189">
        <v>6</v>
      </c>
      <c r="B14" s="206"/>
      <c r="C14" s="206"/>
      <c r="D14" s="206"/>
      <c r="E14" s="206"/>
      <c r="F14" s="206"/>
      <c r="G14" s="207"/>
      <c r="H14" s="207"/>
      <c r="I14" s="207"/>
      <c r="J14" s="206"/>
      <c r="K14" s="206"/>
      <c r="L14" s="207"/>
      <c r="M14" s="207"/>
      <c r="N14" s="206"/>
      <c r="O14" s="206"/>
      <c r="P14" s="207"/>
      <c r="Q14" s="207"/>
      <c r="R14" s="206"/>
      <c r="S14" s="206"/>
      <c r="T14" s="207"/>
      <c r="U14" s="207"/>
      <c r="V14" s="206"/>
      <c r="W14" s="206"/>
      <c r="X14" s="207"/>
      <c r="Y14" s="207"/>
      <c r="Z14" s="206"/>
      <c r="AA14" s="206"/>
      <c r="AB14" s="207"/>
      <c r="AC14" s="207"/>
      <c r="AD14" s="206"/>
      <c r="AE14" s="206"/>
      <c r="AF14" s="207"/>
      <c r="AG14" s="207"/>
      <c r="AH14" s="206"/>
      <c r="AI14" s="206"/>
      <c r="AJ14" s="207"/>
      <c r="AK14" s="207"/>
      <c r="AL14" s="206"/>
      <c r="AM14" s="206"/>
      <c r="AN14" s="206"/>
      <c r="AO14" s="198" t="str">
        <f>IFERROR(VLOOKUP(D14,'Reference Records'!$C$213:$E$334,3,FALSE),"")</f>
        <v/>
      </c>
      <c r="AP14" s="253" t="e">
        <f>VLOOKUP(AO14,'Reference Records'!$E$213:$F$334,2,0)</f>
        <v>#N/A</v>
      </c>
      <c r="AQ14" s="253" t="e">
        <f>MATCH($AP14,'Reference Records'!$E$413:$E$618,0)+ROW(Population_by_intervention) -1</f>
        <v>#N/A</v>
      </c>
      <c r="AR14" s="253" t="e">
        <f>MATCH($AP14,'Reference Records'!$E$413:$E$618,1)+ROW(Population_by_intervention) -1</f>
        <v>#N/A</v>
      </c>
      <c r="AS14" s="253" t="str">
        <f t="shared" si="0"/>
        <v>|empty|</v>
      </c>
      <c r="AT14" s="253" t="str">
        <f>IF(AS14="","",IFERROR(VLOOKUP(AS14,'Overview - Section A'!AF$155:AG261,2,0),VLOOKUP("|empty|",'Overview - Section A'!AF$155:AG261,2,0)))</f>
        <v>INT-211703</v>
      </c>
      <c r="AU14" s="206"/>
      <c r="AV14" s="206"/>
      <c r="AY14" s="253">
        <f t="shared" si="2"/>
        <v>4070</v>
      </c>
      <c r="AZ14" s="253">
        <f ca="1">AZ13+'update Helper'!$X$2</f>
        <v>4341</v>
      </c>
      <c r="BB14" s="253" t="str">
        <f t="shared" ca="1" si="1"/>
        <v/>
      </c>
      <c r="BC14" s="253" t="str">
        <f ca="1">IF(INDIRECT("'update Helper'!S"&amp;AY14)=0,"",IFERROR(VLOOKUP(INDIRECT("'update Helper'!S"&amp;AY14),'Account Role'!A$1:B$15,2,0),IFERROR(VLOOKUP(INDIRECT("'update Helper'!I"&amp;AY14),'Overview - Section A'!J$26:P$107,7,0),"")))</f>
        <v/>
      </c>
      <c r="BD14" s="253" t="str">
        <f ca="1">IFERROR(INDEX('Overview - Section A'!A$154:A261,MATCH(INDIRECT("'update Helper'!Q"&amp;AY14),'Overview - Section A'!AQ$154:AQ261,0)),"")</f>
        <v/>
      </c>
      <c r="BE14" s="253" t="str">
        <f>IFERROR(INDEX('Overview - Section A'!O$154:O261,MATCH(AT14,'Overview - Section A'!AQ$154:AQ261,0)),"")</f>
        <v/>
      </c>
      <c r="BF14" s="253" t="str">
        <f>IFERROR(INDEX('Overview - Section A'!H$154:H261,MATCH(AT14,'Overview - Section A'!AQ$154:AQ261,0)),"")</f>
        <v/>
      </c>
    </row>
    <row r="15" spans="1:58" s="253" customFormat="1" ht="30" customHeight="1" x14ac:dyDescent="0.35">
      <c r="A15" s="189">
        <v>7</v>
      </c>
      <c r="B15" s="206"/>
      <c r="C15" s="206"/>
      <c r="D15" s="206"/>
      <c r="E15" s="206"/>
      <c r="F15" s="206"/>
      <c r="G15" s="207"/>
      <c r="H15" s="207"/>
      <c r="I15" s="207"/>
      <c r="J15" s="206"/>
      <c r="K15" s="206"/>
      <c r="L15" s="207"/>
      <c r="M15" s="207"/>
      <c r="N15" s="206"/>
      <c r="O15" s="206"/>
      <c r="P15" s="207"/>
      <c r="Q15" s="207"/>
      <c r="R15" s="206"/>
      <c r="S15" s="206"/>
      <c r="T15" s="207"/>
      <c r="U15" s="207"/>
      <c r="V15" s="206"/>
      <c r="W15" s="206"/>
      <c r="X15" s="207"/>
      <c r="Y15" s="207"/>
      <c r="Z15" s="206"/>
      <c r="AA15" s="206"/>
      <c r="AB15" s="207"/>
      <c r="AC15" s="207"/>
      <c r="AD15" s="206"/>
      <c r="AE15" s="206"/>
      <c r="AF15" s="207"/>
      <c r="AG15" s="207"/>
      <c r="AH15" s="206"/>
      <c r="AI15" s="206"/>
      <c r="AJ15" s="207"/>
      <c r="AK15" s="207"/>
      <c r="AL15" s="206"/>
      <c r="AM15" s="206"/>
      <c r="AN15" s="206"/>
      <c r="AO15" s="198" t="str">
        <f>IFERROR(VLOOKUP(D15,'Reference Records'!$C$213:$E$334,3,FALSE),"")</f>
        <v/>
      </c>
      <c r="AP15" s="253" t="e">
        <f>VLOOKUP(AO15,'Reference Records'!$E$213:$F$334,2,0)</f>
        <v>#N/A</v>
      </c>
      <c r="AQ15" s="253" t="e">
        <f>MATCH($AP15,'Reference Records'!$E$413:$E$618,0)+ROW(Population_by_intervention) -1</f>
        <v>#N/A</v>
      </c>
      <c r="AR15" s="253" t="e">
        <f>MATCH($AP15,'Reference Records'!$E$413:$E$618,1)+ROW(Population_by_intervention) -1</f>
        <v>#N/A</v>
      </c>
      <c r="AS15" s="253" t="str">
        <f t="shared" si="0"/>
        <v>|empty|</v>
      </c>
      <c r="AT15" s="253" t="str">
        <f>IF(AS15="","",IFERROR(VLOOKUP(AS15,'Overview - Section A'!AF$155:AG262,2,0),VLOOKUP("|empty|",'Overview - Section A'!AF$155:AG262,2,0)))</f>
        <v>INT-211703</v>
      </c>
      <c r="AU15" s="206"/>
      <c r="AV15" s="206"/>
      <c r="AY15" s="253">
        <f t="shared" si="2"/>
        <v>4071</v>
      </c>
      <c r="AZ15" s="253">
        <f ca="1">AZ14+'update Helper'!$X$2</f>
        <v>4347</v>
      </c>
      <c r="BB15" s="253" t="str">
        <f t="shared" ca="1" si="1"/>
        <v/>
      </c>
      <c r="BC15" s="253" t="str">
        <f ca="1">IF(INDIRECT("'update Helper'!S"&amp;AY15)=0,"",IFERROR(VLOOKUP(INDIRECT("'update Helper'!S"&amp;AY15),'Account Role'!A$1:B$15,2,0),IFERROR(VLOOKUP(INDIRECT("'update Helper'!I"&amp;AY15),'Overview - Section A'!J$26:P$107,7,0),"")))</f>
        <v/>
      </c>
      <c r="BD15" s="253" t="str">
        <f ca="1">IFERROR(INDEX('Overview - Section A'!A$154:A262,MATCH(INDIRECT("'update Helper'!Q"&amp;AY15),'Overview - Section A'!AQ$154:AQ262,0)),"")</f>
        <v/>
      </c>
      <c r="BE15" s="253" t="str">
        <f>IFERROR(INDEX('Overview - Section A'!O$154:O262,MATCH(AT15,'Overview - Section A'!AQ$154:AQ262,0)),"")</f>
        <v/>
      </c>
      <c r="BF15" s="253" t="str">
        <f>IFERROR(INDEX('Overview - Section A'!H$154:H262,MATCH(AT15,'Overview - Section A'!AQ$154:AQ262,0)),"")</f>
        <v/>
      </c>
    </row>
    <row r="16" spans="1:58" s="253" customFormat="1" ht="30" customHeight="1" x14ac:dyDescent="0.35">
      <c r="A16" s="189">
        <v>8</v>
      </c>
      <c r="B16" s="206"/>
      <c r="C16" s="206"/>
      <c r="D16" s="206"/>
      <c r="E16" s="206"/>
      <c r="F16" s="206"/>
      <c r="G16" s="207"/>
      <c r="H16" s="207"/>
      <c r="I16" s="207"/>
      <c r="J16" s="206"/>
      <c r="K16" s="206"/>
      <c r="L16" s="207"/>
      <c r="M16" s="207"/>
      <c r="N16" s="206"/>
      <c r="O16" s="206"/>
      <c r="P16" s="207"/>
      <c r="Q16" s="207"/>
      <c r="R16" s="206"/>
      <c r="S16" s="206"/>
      <c r="T16" s="207"/>
      <c r="U16" s="207"/>
      <c r="V16" s="206"/>
      <c r="W16" s="206"/>
      <c r="X16" s="207"/>
      <c r="Y16" s="207"/>
      <c r="Z16" s="206"/>
      <c r="AA16" s="206"/>
      <c r="AB16" s="207"/>
      <c r="AC16" s="207"/>
      <c r="AD16" s="206"/>
      <c r="AE16" s="206"/>
      <c r="AF16" s="207"/>
      <c r="AG16" s="207"/>
      <c r="AH16" s="206"/>
      <c r="AI16" s="206"/>
      <c r="AJ16" s="207"/>
      <c r="AK16" s="207"/>
      <c r="AL16" s="206"/>
      <c r="AM16" s="206"/>
      <c r="AN16" s="206"/>
      <c r="AO16" s="198" t="str">
        <f>IFERROR(VLOOKUP(D16,'Reference Records'!$C$213:$E$334,3,FALSE),"")</f>
        <v/>
      </c>
      <c r="AP16" s="253" t="e">
        <f>VLOOKUP(AO16,'Reference Records'!$E$213:$F$334,2,0)</f>
        <v>#N/A</v>
      </c>
      <c r="AQ16" s="253" t="e">
        <f>MATCH($AP16,'Reference Records'!$E$413:$E$618,0)+ROW(Population_by_intervention) -1</f>
        <v>#N/A</v>
      </c>
      <c r="AR16" s="253" t="e">
        <f>MATCH($AP16,'Reference Records'!$E$413:$E$618,1)+ROW(Population_by_intervention) -1</f>
        <v>#N/A</v>
      </c>
      <c r="AS16" s="253" t="str">
        <f t="shared" si="0"/>
        <v>|empty|</v>
      </c>
      <c r="AT16" s="253" t="str">
        <f>IF(AS16="","",IFERROR(VLOOKUP(AS16,'Overview - Section A'!AF$155:AG263,2,0),VLOOKUP("|empty|",'Overview - Section A'!AF$155:AG263,2,0)))</f>
        <v>INT-211703</v>
      </c>
      <c r="AU16" s="206"/>
      <c r="AV16" s="206"/>
      <c r="AY16" s="253">
        <f t="shared" si="2"/>
        <v>4072</v>
      </c>
      <c r="AZ16" s="253">
        <f ca="1">AZ15+'update Helper'!$X$2</f>
        <v>4353</v>
      </c>
      <c r="BC16" s="253" t="str">
        <f ca="1">IF(INDIRECT("'update Helper'!S"&amp;AY16)=0,"",IFERROR(VLOOKUP(INDIRECT("'update Helper'!S"&amp;AY16),'Account Role'!A$1:B$15,2,0),IFERROR(VLOOKUP(INDIRECT("'update Helper'!I"&amp;AY16),'Overview - Section A'!J$26:P$107,7,0),"")))</f>
        <v/>
      </c>
      <c r="BD16" s="253" t="str">
        <f ca="1">IFERROR(INDEX('Overview - Section A'!A$154:A263,MATCH(INDIRECT("'update Helper'!Q"&amp;AY16),'Overview - Section A'!AQ$154:AQ263,0)),"")</f>
        <v/>
      </c>
      <c r="BE16" s="253" t="str">
        <f>IFERROR(INDEX('Overview - Section A'!O$154:O263,MATCH(AT16,'Overview - Section A'!AQ$154:AQ263,0)),"")</f>
        <v/>
      </c>
      <c r="BF16" s="253" t="str">
        <f>IFERROR(INDEX('Overview - Section A'!H$154:H263,MATCH(AT16,'Overview - Section A'!AQ$154:AQ263,0)),"")</f>
        <v/>
      </c>
    </row>
    <row r="17" spans="1:58" s="253" customFormat="1" ht="30" customHeight="1" x14ac:dyDescent="0.35">
      <c r="A17" s="189">
        <v>9</v>
      </c>
      <c r="B17" s="206"/>
      <c r="C17" s="206"/>
      <c r="D17" s="206"/>
      <c r="E17" s="206"/>
      <c r="F17" s="206"/>
      <c r="G17" s="207"/>
      <c r="H17" s="207"/>
      <c r="I17" s="207"/>
      <c r="J17" s="206"/>
      <c r="K17" s="206"/>
      <c r="L17" s="207"/>
      <c r="M17" s="207"/>
      <c r="N17" s="206"/>
      <c r="O17" s="206"/>
      <c r="P17" s="207"/>
      <c r="Q17" s="207"/>
      <c r="R17" s="206"/>
      <c r="S17" s="206"/>
      <c r="T17" s="207"/>
      <c r="U17" s="207"/>
      <c r="V17" s="206"/>
      <c r="W17" s="206"/>
      <c r="X17" s="207"/>
      <c r="Y17" s="207"/>
      <c r="Z17" s="206"/>
      <c r="AA17" s="206"/>
      <c r="AB17" s="207"/>
      <c r="AC17" s="207"/>
      <c r="AD17" s="206"/>
      <c r="AE17" s="206"/>
      <c r="AF17" s="207"/>
      <c r="AG17" s="207"/>
      <c r="AH17" s="206"/>
      <c r="AI17" s="206"/>
      <c r="AJ17" s="207"/>
      <c r="AK17" s="207"/>
      <c r="AL17" s="206"/>
      <c r="AM17" s="206"/>
      <c r="AN17" s="206"/>
      <c r="AO17" s="198" t="str">
        <f>IFERROR(VLOOKUP(D17,'Reference Records'!$C$213:$E$334,3,FALSE),"")</f>
        <v/>
      </c>
      <c r="AP17" s="253" t="e">
        <f>VLOOKUP(AO17,'Reference Records'!$E$213:$F$334,2,0)</f>
        <v>#N/A</v>
      </c>
      <c r="AQ17" s="253" t="e">
        <f>MATCH($AP17,'Reference Records'!$E$413:$E$618,0)+ROW(Population_by_intervention) -1</f>
        <v>#N/A</v>
      </c>
      <c r="AR17" s="253" t="e">
        <f>MATCH($AP17,'Reference Records'!$E$413:$E$618,1)+ROW(Population_by_intervention) -1</f>
        <v>#N/A</v>
      </c>
      <c r="AS17" s="253" t="str">
        <f t="shared" si="0"/>
        <v>|empty|</v>
      </c>
      <c r="AT17" s="253" t="str">
        <f>IF(AS17="","",IFERROR(VLOOKUP(AS17,'Overview - Section A'!AF$155:AG264,2,0),VLOOKUP("|empty|",'Overview - Section A'!AF$155:AG264,2,0)))</f>
        <v>INT-211703</v>
      </c>
      <c r="AU17" s="206"/>
      <c r="AV17" s="206"/>
      <c r="AY17" s="253">
        <f t="shared" si="2"/>
        <v>4073</v>
      </c>
      <c r="AZ17" s="253">
        <f ca="1">AZ16+'update Helper'!$X$2</f>
        <v>4359</v>
      </c>
      <c r="BC17" s="253" t="str">
        <f ca="1">IF(INDIRECT("'update Helper'!S"&amp;AY17)=0,"",IFERROR(VLOOKUP(INDIRECT("'update Helper'!S"&amp;AY17),'Account Role'!A$1:B$15,2,0),IFERROR(VLOOKUP(INDIRECT("'update Helper'!I"&amp;AY17),'Overview - Section A'!J$26:P$107,7,0),"")))</f>
        <v/>
      </c>
      <c r="BD17" s="253" t="str">
        <f ca="1">IFERROR(INDEX('Overview - Section A'!A$154:A264,MATCH(INDIRECT("'update Helper'!Q"&amp;AY17),'Overview - Section A'!AQ$154:AQ264,0)),"")</f>
        <v/>
      </c>
      <c r="BE17" s="253" t="str">
        <f>IFERROR(INDEX('Overview - Section A'!O$154:O264,MATCH(AT17,'Overview - Section A'!AQ$154:AQ264,0)),"")</f>
        <v/>
      </c>
      <c r="BF17" s="253" t="str">
        <f>IFERROR(INDEX('Overview - Section A'!H$154:H264,MATCH(AT17,'Overview - Section A'!AQ$154:AQ264,0)),"")</f>
        <v/>
      </c>
    </row>
    <row r="18" spans="1:58" s="253" customFormat="1" ht="30" customHeight="1" x14ac:dyDescent="0.35">
      <c r="A18" s="189">
        <v>10</v>
      </c>
      <c r="B18" s="206"/>
      <c r="C18" s="206"/>
      <c r="D18" s="206"/>
      <c r="E18" s="206"/>
      <c r="F18" s="206"/>
      <c r="G18" s="207"/>
      <c r="H18" s="207"/>
      <c r="I18" s="207"/>
      <c r="J18" s="206"/>
      <c r="K18" s="206"/>
      <c r="L18" s="207"/>
      <c r="M18" s="207"/>
      <c r="N18" s="206"/>
      <c r="O18" s="206"/>
      <c r="P18" s="207"/>
      <c r="Q18" s="207"/>
      <c r="R18" s="206"/>
      <c r="S18" s="206"/>
      <c r="T18" s="207"/>
      <c r="U18" s="207"/>
      <c r="V18" s="206"/>
      <c r="W18" s="206"/>
      <c r="X18" s="207"/>
      <c r="Y18" s="207"/>
      <c r="Z18" s="206"/>
      <c r="AA18" s="206"/>
      <c r="AB18" s="207"/>
      <c r="AC18" s="207"/>
      <c r="AD18" s="206"/>
      <c r="AE18" s="206"/>
      <c r="AF18" s="207"/>
      <c r="AG18" s="207"/>
      <c r="AH18" s="206"/>
      <c r="AI18" s="206"/>
      <c r="AJ18" s="207"/>
      <c r="AK18" s="207"/>
      <c r="AL18" s="206"/>
      <c r="AM18" s="206"/>
      <c r="AN18" s="206"/>
      <c r="AO18" s="198" t="str">
        <f>IFERROR(VLOOKUP(D18,'Reference Records'!$C$213:$E$334,3,FALSE),"")</f>
        <v/>
      </c>
      <c r="AP18" s="253" t="e">
        <f>VLOOKUP(AO18,'Reference Records'!$E$213:$F$334,2,0)</f>
        <v>#N/A</v>
      </c>
      <c r="AQ18" s="253" t="e">
        <f>MATCH($AP18,'Reference Records'!$E$413:$E$618,0)+ROW(Population_by_intervention) -1</f>
        <v>#N/A</v>
      </c>
      <c r="AR18" s="253" t="e">
        <f>MATCH($AP18,'Reference Records'!$E$413:$E$618,1)+ROW(Population_by_intervention) -1</f>
        <v>#N/A</v>
      </c>
      <c r="AS18" s="253" t="str">
        <f t="shared" si="0"/>
        <v>|empty|</v>
      </c>
      <c r="AT18" s="253" t="str">
        <f>IF(AS18="","",IFERROR(VLOOKUP(AS18,'Overview - Section A'!AF$155:AG265,2,0),VLOOKUP("|empty|",'Overview - Section A'!AF$155:AG265,2,0)))</f>
        <v>INT-211703</v>
      </c>
      <c r="AU18" s="206"/>
      <c r="AV18" s="206"/>
      <c r="AY18" s="253">
        <f t="shared" si="2"/>
        <v>4074</v>
      </c>
      <c r="AZ18" s="253">
        <f ca="1">AZ17+'update Helper'!$X$2</f>
        <v>4365</v>
      </c>
      <c r="BC18" s="253" t="str">
        <f ca="1">IF(INDIRECT("'update Helper'!S"&amp;AY18)=0,"",IFERROR(VLOOKUP(INDIRECT("'update Helper'!S"&amp;AY18),'Account Role'!A$1:B$15,2,0),IFERROR(VLOOKUP(INDIRECT("'update Helper'!I"&amp;AY18),'Overview - Section A'!J$26:P$107,7,0),"")))</f>
        <v/>
      </c>
      <c r="BD18" s="253" t="str">
        <f ca="1">IFERROR(INDEX('Overview - Section A'!A$154:A265,MATCH(INDIRECT("'update Helper'!Q"&amp;AY18),'Overview - Section A'!AQ$154:AQ265,0)),"")</f>
        <v/>
      </c>
      <c r="BE18" s="253" t="str">
        <f>IFERROR(INDEX('Overview - Section A'!O$154:O265,MATCH(AT18,'Overview - Section A'!AQ$154:AQ265,0)),"")</f>
        <v/>
      </c>
      <c r="BF18" s="253" t="str">
        <f>IFERROR(INDEX('Overview - Section A'!H$154:H265,MATCH(AT18,'Overview - Section A'!AQ$154:AQ265,0)),"")</f>
        <v/>
      </c>
    </row>
    <row r="19" spans="1:58" s="253" customFormat="1" ht="30" customHeight="1" x14ac:dyDescent="0.35">
      <c r="A19" s="189">
        <v>11</v>
      </c>
      <c r="B19" s="206"/>
      <c r="C19" s="206"/>
      <c r="D19" s="206"/>
      <c r="E19" s="206"/>
      <c r="F19" s="206"/>
      <c r="G19" s="207"/>
      <c r="H19" s="207"/>
      <c r="I19" s="207"/>
      <c r="J19" s="206"/>
      <c r="K19" s="206"/>
      <c r="L19" s="207"/>
      <c r="M19" s="207"/>
      <c r="N19" s="206"/>
      <c r="O19" s="206"/>
      <c r="P19" s="207"/>
      <c r="Q19" s="207"/>
      <c r="R19" s="206"/>
      <c r="S19" s="206"/>
      <c r="T19" s="207"/>
      <c r="U19" s="207"/>
      <c r="V19" s="206"/>
      <c r="W19" s="206"/>
      <c r="X19" s="207"/>
      <c r="Y19" s="207"/>
      <c r="Z19" s="206"/>
      <c r="AA19" s="206"/>
      <c r="AB19" s="207"/>
      <c r="AC19" s="207"/>
      <c r="AD19" s="206"/>
      <c r="AE19" s="206"/>
      <c r="AF19" s="207"/>
      <c r="AG19" s="207"/>
      <c r="AH19" s="206"/>
      <c r="AI19" s="206"/>
      <c r="AJ19" s="207"/>
      <c r="AK19" s="207"/>
      <c r="AL19" s="206"/>
      <c r="AM19" s="206"/>
      <c r="AN19" s="206"/>
      <c r="AO19" s="198" t="str">
        <f>IFERROR(VLOOKUP(D19,'Reference Records'!$C$213:$E$334,3,FALSE),"")</f>
        <v/>
      </c>
      <c r="AP19" s="253" t="e">
        <f>VLOOKUP(AO19,'Reference Records'!$E$213:$F$334,2,0)</f>
        <v>#N/A</v>
      </c>
      <c r="AQ19" s="253" t="e">
        <f>MATCH($AP19,'Reference Records'!$E$413:$E$618,0)+ROW(Population_by_intervention) -1</f>
        <v>#N/A</v>
      </c>
      <c r="AR19" s="253" t="e">
        <f>MATCH($AP19,'Reference Records'!$E$413:$E$618,1)+ROW(Population_by_intervention) -1</f>
        <v>#N/A</v>
      </c>
      <c r="AS19" s="253" t="str">
        <f t="shared" si="0"/>
        <v>|empty|</v>
      </c>
      <c r="AT19" s="253" t="str">
        <f>IF(AS19="","",IFERROR(VLOOKUP(AS19,'Overview - Section A'!AF$155:AG266,2,0),VLOOKUP("|empty|",'Overview - Section A'!AF$155:AG266,2,0)))</f>
        <v>INT-211703</v>
      </c>
      <c r="AU19" s="206"/>
      <c r="AV19" s="206"/>
      <c r="AY19" s="253">
        <f t="shared" si="2"/>
        <v>4075</v>
      </c>
      <c r="AZ19" s="253">
        <f ca="1">AZ18+'update Helper'!$X$2</f>
        <v>4371</v>
      </c>
      <c r="BC19" s="253" t="str">
        <f ca="1">IF(INDIRECT("'update Helper'!S"&amp;AY19)=0,"",IFERROR(VLOOKUP(INDIRECT("'update Helper'!S"&amp;AY19),'Account Role'!A$1:B$15,2,0),IFERROR(VLOOKUP(INDIRECT("'update Helper'!I"&amp;AY19),'Overview - Section A'!J$26:P$107,7,0),"")))</f>
        <v/>
      </c>
      <c r="BD19" s="253" t="str">
        <f ca="1">IFERROR(INDEX('Overview - Section A'!A$154:A266,MATCH(INDIRECT("'update Helper'!Q"&amp;AY19),'Overview - Section A'!AQ$154:AQ266,0)),"")</f>
        <v/>
      </c>
      <c r="BE19" s="253" t="str">
        <f>IFERROR(INDEX('Overview - Section A'!O$154:O266,MATCH(AT19,'Overview - Section A'!AQ$154:AQ266,0)),"")</f>
        <v/>
      </c>
      <c r="BF19" s="253" t="str">
        <f>IFERROR(INDEX('Overview - Section A'!H$154:H266,MATCH(AT19,'Overview - Section A'!AQ$154:AQ266,0)),"")</f>
        <v/>
      </c>
    </row>
    <row r="20" spans="1:58" s="253" customFormat="1" ht="30" customHeight="1" x14ac:dyDescent="0.35">
      <c r="A20" s="189">
        <v>12</v>
      </c>
      <c r="B20" s="206"/>
      <c r="C20" s="206"/>
      <c r="D20" s="206"/>
      <c r="E20" s="206"/>
      <c r="F20" s="206"/>
      <c r="G20" s="207"/>
      <c r="H20" s="207"/>
      <c r="I20" s="207"/>
      <c r="J20" s="206"/>
      <c r="K20" s="206"/>
      <c r="L20" s="207"/>
      <c r="M20" s="207"/>
      <c r="N20" s="206"/>
      <c r="O20" s="206"/>
      <c r="P20" s="207"/>
      <c r="Q20" s="207"/>
      <c r="R20" s="206"/>
      <c r="S20" s="206"/>
      <c r="T20" s="207"/>
      <c r="U20" s="207"/>
      <c r="V20" s="206"/>
      <c r="W20" s="206"/>
      <c r="X20" s="207"/>
      <c r="Y20" s="207"/>
      <c r="Z20" s="206"/>
      <c r="AA20" s="206"/>
      <c r="AB20" s="207"/>
      <c r="AC20" s="207"/>
      <c r="AD20" s="206"/>
      <c r="AE20" s="206"/>
      <c r="AF20" s="207"/>
      <c r="AG20" s="207"/>
      <c r="AH20" s="206"/>
      <c r="AI20" s="206"/>
      <c r="AJ20" s="207"/>
      <c r="AK20" s="207"/>
      <c r="AL20" s="206"/>
      <c r="AM20" s="206"/>
      <c r="AN20" s="206"/>
      <c r="AO20" s="198" t="str">
        <f>IFERROR(VLOOKUP(D20,'Reference Records'!$C$213:$E$334,3,FALSE),"")</f>
        <v/>
      </c>
      <c r="AP20" s="253" t="e">
        <f>VLOOKUP(AO20,'Reference Records'!$E$213:$F$334,2,0)</f>
        <v>#N/A</v>
      </c>
      <c r="AQ20" s="253" t="e">
        <f>MATCH($AP20,'Reference Records'!$E$413:$E$618,0)+ROW(Population_by_intervention) -1</f>
        <v>#N/A</v>
      </c>
      <c r="AR20" s="253" t="e">
        <f>MATCH($AP20,'Reference Records'!$E$413:$E$618,1)+ROW(Population_by_intervention) -1</f>
        <v>#N/A</v>
      </c>
      <c r="AS20" s="253" t="str">
        <f t="shared" si="0"/>
        <v>|empty|</v>
      </c>
      <c r="AT20" s="253" t="str">
        <f>IF(AS20="","",IFERROR(VLOOKUP(AS20,'Overview - Section A'!AF$155:AG267,2,0),VLOOKUP("|empty|",'Overview - Section A'!AF$155:AG267,2,0)))</f>
        <v>INT-211703</v>
      </c>
      <c r="AU20" s="206"/>
      <c r="AV20" s="206"/>
      <c r="AY20" s="253">
        <f t="shared" si="2"/>
        <v>4076</v>
      </c>
      <c r="AZ20" s="253">
        <f ca="1">AZ19+'update Helper'!$X$2</f>
        <v>4377</v>
      </c>
      <c r="BC20" s="253" t="str">
        <f ca="1">IF(INDIRECT("'update Helper'!S"&amp;AY20)=0,"",IFERROR(VLOOKUP(INDIRECT("'update Helper'!S"&amp;AY20),'Account Role'!A$1:B$15,2,0),IFERROR(VLOOKUP(INDIRECT("'update Helper'!I"&amp;AY20),'Overview - Section A'!J$26:P$107,7,0),"")))</f>
        <v/>
      </c>
      <c r="BD20" s="253" t="str">
        <f ca="1">IFERROR(INDEX('Overview - Section A'!A$154:A267,MATCH(INDIRECT("'update Helper'!Q"&amp;AY20),'Overview - Section A'!AQ$154:AQ267,0)),"")</f>
        <v/>
      </c>
      <c r="BE20" s="253" t="str">
        <f>IFERROR(INDEX('Overview - Section A'!O$154:O267,MATCH(AT20,'Overview - Section A'!AQ$154:AQ267,0)),"")</f>
        <v/>
      </c>
      <c r="BF20" s="253" t="str">
        <f>IFERROR(INDEX('Overview - Section A'!H$154:H267,MATCH(AT20,'Overview - Section A'!AQ$154:AQ267,0)),"")</f>
        <v/>
      </c>
    </row>
    <row r="21" spans="1:58" s="253" customFormat="1" ht="30" customHeight="1" x14ac:dyDescent="0.35">
      <c r="A21" s="189">
        <v>13</v>
      </c>
      <c r="B21" s="206"/>
      <c r="C21" s="206"/>
      <c r="D21" s="206"/>
      <c r="E21" s="206"/>
      <c r="F21" s="206"/>
      <c r="G21" s="207"/>
      <c r="H21" s="207"/>
      <c r="I21" s="207"/>
      <c r="J21" s="206"/>
      <c r="K21" s="206"/>
      <c r="L21" s="207"/>
      <c r="M21" s="207"/>
      <c r="N21" s="206"/>
      <c r="O21" s="206"/>
      <c r="P21" s="207"/>
      <c r="Q21" s="207"/>
      <c r="R21" s="206"/>
      <c r="S21" s="206"/>
      <c r="T21" s="207"/>
      <c r="U21" s="207"/>
      <c r="V21" s="206"/>
      <c r="W21" s="206"/>
      <c r="X21" s="207"/>
      <c r="Y21" s="207"/>
      <c r="Z21" s="206"/>
      <c r="AA21" s="206"/>
      <c r="AB21" s="207"/>
      <c r="AC21" s="207"/>
      <c r="AD21" s="206"/>
      <c r="AE21" s="206"/>
      <c r="AF21" s="207"/>
      <c r="AG21" s="207"/>
      <c r="AH21" s="206"/>
      <c r="AI21" s="206"/>
      <c r="AJ21" s="207"/>
      <c r="AK21" s="207"/>
      <c r="AL21" s="206"/>
      <c r="AM21" s="206"/>
      <c r="AN21" s="206"/>
      <c r="AO21" s="198" t="str">
        <f>IFERROR(VLOOKUP(D21,'Reference Records'!$C$213:$E$334,3,FALSE),"")</f>
        <v/>
      </c>
      <c r="AP21" s="253" t="e">
        <f>VLOOKUP(AO21,'Reference Records'!$E$213:$F$334,2,0)</f>
        <v>#N/A</v>
      </c>
      <c r="AQ21" s="253" t="e">
        <f>MATCH($AP21,'Reference Records'!$E$413:$E$618,0)+ROW(Population_by_intervention) -1</f>
        <v>#N/A</v>
      </c>
      <c r="AR21" s="253" t="e">
        <f>MATCH($AP21,'Reference Records'!$E$413:$E$618,1)+ROW(Population_by_intervention) -1</f>
        <v>#N/A</v>
      </c>
      <c r="AS21" s="253" t="str">
        <f t="shared" si="0"/>
        <v>|empty|</v>
      </c>
      <c r="AT21" s="253" t="str">
        <f>IF(AS21="","",IFERROR(VLOOKUP(AS21,'Overview - Section A'!AF$155:AG268,2,0),VLOOKUP("|empty|",'Overview - Section A'!AF$155:AG268,2,0)))</f>
        <v>INT-211703</v>
      </c>
      <c r="AU21" s="206"/>
      <c r="AV21" s="206"/>
      <c r="AY21" s="253">
        <f t="shared" si="2"/>
        <v>4077</v>
      </c>
      <c r="AZ21" s="253">
        <f ca="1">AZ20+'update Helper'!$X$2</f>
        <v>4383</v>
      </c>
      <c r="BC21" s="253" t="str">
        <f ca="1">IF(INDIRECT("'update Helper'!S"&amp;AY21)=0,"",IFERROR(VLOOKUP(INDIRECT("'update Helper'!S"&amp;AY21),'Account Role'!A$1:B$15,2,0),IFERROR(VLOOKUP(INDIRECT("'update Helper'!I"&amp;AY21),'Overview - Section A'!J$26:P$107,7,0),"")))</f>
        <v/>
      </c>
      <c r="BD21" s="253" t="str">
        <f ca="1">IFERROR(INDEX('Overview - Section A'!A$154:A268,MATCH(INDIRECT("'update Helper'!Q"&amp;AY21),'Overview - Section A'!AQ$154:AQ268,0)),"")</f>
        <v/>
      </c>
      <c r="BE21" s="253" t="str">
        <f>IFERROR(INDEX('Overview - Section A'!O$154:O268,MATCH(AT21,'Overview - Section A'!AQ$154:AQ268,0)),"")</f>
        <v/>
      </c>
      <c r="BF21" s="253" t="str">
        <f>IFERROR(INDEX('Overview - Section A'!H$154:H268,MATCH(AT21,'Overview - Section A'!AQ$154:AQ268,0)),"")</f>
        <v/>
      </c>
    </row>
    <row r="22" spans="1:58" s="253" customFormat="1" ht="30" customHeight="1" x14ac:dyDescent="0.35">
      <c r="A22" s="189">
        <v>14</v>
      </c>
      <c r="B22" s="206"/>
      <c r="C22" s="206"/>
      <c r="D22" s="206"/>
      <c r="E22" s="206"/>
      <c r="F22" s="206"/>
      <c r="G22" s="207"/>
      <c r="H22" s="207"/>
      <c r="I22" s="207"/>
      <c r="J22" s="206"/>
      <c r="K22" s="206"/>
      <c r="L22" s="207"/>
      <c r="M22" s="207"/>
      <c r="N22" s="206"/>
      <c r="O22" s="206"/>
      <c r="P22" s="207"/>
      <c r="Q22" s="207"/>
      <c r="R22" s="206"/>
      <c r="S22" s="206"/>
      <c r="T22" s="207"/>
      <c r="U22" s="207"/>
      <c r="V22" s="206"/>
      <c r="W22" s="206"/>
      <c r="X22" s="207"/>
      <c r="Y22" s="207"/>
      <c r="Z22" s="206"/>
      <c r="AA22" s="206"/>
      <c r="AB22" s="207"/>
      <c r="AC22" s="207"/>
      <c r="AD22" s="206"/>
      <c r="AE22" s="206"/>
      <c r="AF22" s="207"/>
      <c r="AG22" s="207"/>
      <c r="AH22" s="206"/>
      <c r="AI22" s="206"/>
      <c r="AJ22" s="207"/>
      <c r="AK22" s="207"/>
      <c r="AL22" s="206"/>
      <c r="AM22" s="206"/>
      <c r="AN22" s="206"/>
      <c r="AO22" s="198" t="str">
        <f>IFERROR(VLOOKUP(D22,'Reference Records'!$C$213:$E$334,3,FALSE),"")</f>
        <v/>
      </c>
      <c r="AP22" s="253" t="e">
        <f>VLOOKUP(AO22,'Reference Records'!$E$213:$F$334,2,0)</f>
        <v>#N/A</v>
      </c>
      <c r="AQ22" s="253" t="e">
        <f>MATCH($AP22,'Reference Records'!$E$413:$E$618,0)+ROW(Population_by_intervention) -1</f>
        <v>#N/A</v>
      </c>
      <c r="AR22" s="253" t="e">
        <f>MATCH($AP22,'Reference Records'!$E$413:$E$618,1)+ROW(Population_by_intervention) -1</f>
        <v>#N/A</v>
      </c>
      <c r="AS22" s="253" t="str">
        <f t="shared" si="0"/>
        <v>|empty|</v>
      </c>
      <c r="AT22" s="253" t="str">
        <f>IF(AS22="","",IFERROR(VLOOKUP(AS22,'Overview - Section A'!AF$155:AG269,2,0),VLOOKUP("|empty|",'Overview - Section A'!AF$155:AG269,2,0)))</f>
        <v>INT-211703</v>
      </c>
      <c r="AU22" s="206"/>
      <c r="AV22" s="206"/>
      <c r="AY22" s="253">
        <f t="shared" si="2"/>
        <v>4078</v>
      </c>
      <c r="AZ22" s="253">
        <f ca="1">AZ21+'update Helper'!$X$2</f>
        <v>4389</v>
      </c>
      <c r="BC22" s="253" t="str">
        <f ca="1">IF(INDIRECT("'update Helper'!S"&amp;AY22)=0,"",IFERROR(VLOOKUP(INDIRECT("'update Helper'!S"&amp;AY22),'Account Role'!A$1:B$15,2,0),IFERROR(VLOOKUP(INDIRECT("'update Helper'!I"&amp;AY22),'Overview - Section A'!J$26:P$107,7,0),"")))</f>
        <v/>
      </c>
      <c r="BD22" s="253" t="str">
        <f ca="1">IFERROR(INDEX('Overview - Section A'!A$154:A269,MATCH(INDIRECT("'update Helper'!Q"&amp;AY22),'Overview - Section A'!AQ$154:AQ269,0)),"")</f>
        <v/>
      </c>
      <c r="BE22" s="253" t="str">
        <f>IFERROR(INDEX('Overview - Section A'!O$154:O269,MATCH(AT22,'Overview - Section A'!AQ$154:AQ269,0)),"")</f>
        <v/>
      </c>
      <c r="BF22" s="253" t="str">
        <f>IFERROR(INDEX('Overview - Section A'!H$154:H269,MATCH(AT22,'Overview - Section A'!AQ$154:AQ269,0)),"")</f>
        <v/>
      </c>
    </row>
    <row r="23" spans="1:58" s="253" customFormat="1" ht="30" customHeight="1" x14ac:dyDescent="0.35">
      <c r="A23" s="189">
        <v>15</v>
      </c>
      <c r="B23" s="206"/>
      <c r="C23" s="206"/>
      <c r="D23" s="206"/>
      <c r="E23" s="206"/>
      <c r="F23" s="206"/>
      <c r="G23" s="207"/>
      <c r="H23" s="207"/>
      <c r="I23" s="207"/>
      <c r="J23" s="206"/>
      <c r="K23" s="206"/>
      <c r="L23" s="207"/>
      <c r="M23" s="207"/>
      <c r="N23" s="206"/>
      <c r="O23" s="206"/>
      <c r="P23" s="207"/>
      <c r="Q23" s="207"/>
      <c r="R23" s="206"/>
      <c r="S23" s="206"/>
      <c r="T23" s="207"/>
      <c r="U23" s="207"/>
      <c r="V23" s="206"/>
      <c r="W23" s="206"/>
      <c r="X23" s="207"/>
      <c r="Y23" s="207"/>
      <c r="Z23" s="206"/>
      <c r="AA23" s="206"/>
      <c r="AB23" s="207"/>
      <c r="AC23" s="207"/>
      <c r="AD23" s="206"/>
      <c r="AE23" s="206"/>
      <c r="AF23" s="207"/>
      <c r="AG23" s="207"/>
      <c r="AH23" s="206"/>
      <c r="AI23" s="206"/>
      <c r="AJ23" s="207"/>
      <c r="AK23" s="207"/>
      <c r="AL23" s="206"/>
      <c r="AM23" s="206"/>
      <c r="AN23" s="206"/>
      <c r="AO23" s="198" t="str">
        <f>IFERROR(VLOOKUP(D23,'Reference Records'!$C$213:$E$334,3,FALSE),"")</f>
        <v/>
      </c>
      <c r="AP23" s="253" t="e">
        <f>VLOOKUP(AO23,'Reference Records'!$E$213:$F$334,2,0)</f>
        <v>#N/A</v>
      </c>
      <c r="AQ23" s="253" t="e">
        <f>MATCH($AP23,'Reference Records'!$E$413:$E$618,0)+ROW(Population_by_intervention) -1</f>
        <v>#N/A</v>
      </c>
      <c r="AR23" s="253" t="e">
        <f>MATCH($AP23,'Reference Records'!$E$413:$E$618,1)+ROW(Population_by_intervention) -1</f>
        <v>#N/A</v>
      </c>
      <c r="AS23" s="253" t="str">
        <f t="shared" si="0"/>
        <v>|empty|</v>
      </c>
      <c r="AT23" s="253" t="str">
        <f>IF(AS23="","",IFERROR(VLOOKUP(AS23,'Overview - Section A'!AF$155:AG270,2,0),VLOOKUP("|empty|",'Overview - Section A'!AF$155:AG270,2,0)))</f>
        <v>INT-211703</v>
      </c>
      <c r="AU23" s="206"/>
      <c r="AV23" s="206"/>
      <c r="AY23" s="253">
        <f t="shared" si="2"/>
        <v>4079</v>
      </c>
      <c r="AZ23" s="253">
        <f ca="1">AZ22+'update Helper'!$X$2</f>
        <v>4395</v>
      </c>
      <c r="BC23" s="253" t="str">
        <f ca="1">IF(INDIRECT("'update Helper'!S"&amp;AY23)=0,"",IFERROR(VLOOKUP(INDIRECT("'update Helper'!S"&amp;AY23),'Account Role'!A$1:B$15,2,0),IFERROR(VLOOKUP(INDIRECT("'update Helper'!I"&amp;AY23),'Overview - Section A'!J$26:P$107,7,0),"")))</f>
        <v/>
      </c>
      <c r="BD23" s="253" t="str">
        <f ca="1">IFERROR(INDEX('Overview - Section A'!A$154:A270,MATCH(INDIRECT("'update Helper'!Q"&amp;AY23),'Overview - Section A'!AQ$154:AQ270,0)),"")</f>
        <v/>
      </c>
      <c r="BE23" s="253" t="str">
        <f>IFERROR(INDEX('Overview - Section A'!O$154:O270,MATCH(AT23,'Overview - Section A'!AQ$154:AQ270,0)),"")</f>
        <v/>
      </c>
      <c r="BF23" s="253" t="str">
        <f>IFERROR(INDEX('Overview - Section A'!H$154:H270,MATCH(AT23,'Overview - Section A'!AQ$154:AQ270,0)),"")</f>
        <v/>
      </c>
    </row>
    <row r="24" spans="1:58" s="253" customFormat="1" ht="30" customHeight="1" x14ac:dyDescent="0.35">
      <c r="A24" s="189">
        <v>16</v>
      </c>
      <c r="B24" s="206"/>
      <c r="C24" s="206"/>
      <c r="D24" s="206"/>
      <c r="E24" s="206"/>
      <c r="F24" s="206"/>
      <c r="G24" s="207"/>
      <c r="H24" s="207"/>
      <c r="I24" s="207"/>
      <c r="J24" s="206"/>
      <c r="K24" s="206"/>
      <c r="L24" s="207"/>
      <c r="M24" s="207"/>
      <c r="N24" s="206"/>
      <c r="O24" s="206"/>
      <c r="P24" s="207"/>
      <c r="Q24" s="207"/>
      <c r="R24" s="206"/>
      <c r="S24" s="206"/>
      <c r="T24" s="207"/>
      <c r="U24" s="207"/>
      <c r="V24" s="206"/>
      <c r="W24" s="206"/>
      <c r="X24" s="207"/>
      <c r="Y24" s="207"/>
      <c r="Z24" s="206"/>
      <c r="AA24" s="206"/>
      <c r="AB24" s="207"/>
      <c r="AC24" s="207"/>
      <c r="AD24" s="206"/>
      <c r="AE24" s="206"/>
      <c r="AF24" s="207"/>
      <c r="AG24" s="207"/>
      <c r="AH24" s="206"/>
      <c r="AI24" s="206"/>
      <c r="AJ24" s="207"/>
      <c r="AK24" s="207"/>
      <c r="AL24" s="206"/>
      <c r="AM24" s="206"/>
      <c r="AN24" s="206"/>
      <c r="AO24" s="198" t="str">
        <f>IFERROR(VLOOKUP(D24,'Reference Records'!$C$213:$E$334,3,FALSE),"")</f>
        <v/>
      </c>
      <c r="AP24" s="253" t="e">
        <f>VLOOKUP(AO24,'Reference Records'!$E$213:$F$334,2,0)</f>
        <v>#N/A</v>
      </c>
      <c r="AQ24" s="253" t="e">
        <f>MATCH($AP24,'Reference Records'!$E$413:$E$618,0)+ROW(Population_by_intervention) -1</f>
        <v>#N/A</v>
      </c>
      <c r="AR24" s="253" t="e">
        <f>MATCH($AP24,'Reference Records'!$E$413:$E$618,1)+ROW(Population_by_intervention) -1</f>
        <v>#N/A</v>
      </c>
      <c r="AS24" s="253" t="str">
        <f t="shared" si="0"/>
        <v>|empty|</v>
      </c>
      <c r="AT24" s="253" t="str">
        <f>IF(AS24="","",IFERROR(VLOOKUP(AS24,'Overview - Section A'!AF$155:AG271,2,0),VLOOKUP("|empty|",'Overview - Section A'!AF$155:AG271,2,0)))</f>
        <v>INT-211703</v>
      </c>
      <c r="AU24" s="206"/>
      <c r="AV24" s="206"/>
      <c r="AY24" s="253">
        <f t="shared" si="2"/>
        <v>4080</v>
      </c>
      <c r="AZ24" s="253">
        <f ca="1">AZ23+'update Helper'!$X$2</f>
        <v>4401</v>
      </c>
      <c r="BC24" s="253" t="str">
        <f ca="1">IF(INDIRECT("'update Helper'!S"&amp;AY24)=0,"",IFERROR(VLOOKUP(INDIRECT("'update Helper'!S"&amp;AY24),'Account Role'!A$1:B$15,2,0),IFERROR(VLOOKUP(INDIRECT("'update Helper'!I"&amp;AY24),'Overview - Section A'!J$26:P$107,7,0),"")))</f>
        <v/>
      </c>
      <c r="BD24" s="253" t="str">
        <f ca="1">IFERROR(INDEX('Overview - Section A'!A$154:A271,MATCH(INDIRECT("'update Helper'!Q"&amp;AY24),'Overview - Section A'!AQ$154:AQ271,0)),"")</f>
        <v/>
      </c>
      <c r="BE24" s="253" t="str">
        <f>IFERROR(INDEX('Overview - Section A'!O$154:O271,MATCH(AT24,'Overview - Section A'!AQ$154:AQ271,0)),"")</f>
        <v/>
      </c>
      <c r="BF24" s="253" t="str">
        <f>IFERROR(INDEX('Overview - Section A'!H$154:H271,MATCH(AT24,'Overview - Section A'!AQ$154:AQ271,0)),"")</f>
        <v/>
      </c>
    </row>
    <row r="25" spans="1:58" s="253" customFormat="1" ht="30" customHeight="1" x14ac:dyDescent="0.35">
      <c r="A25" s="189">
        <v>17</v>
      </c>
      <c r="B25" s="206"/>
      <c r="C25" s="206"/>
      <c r="D25" s="206"/>
      <c r="E25" s="206"/>
      <c r="F25" s="206"/>
      <c r="G25" s="207"/>
      <c r="H25" s="207"/>
      <c r="I25" s="207"/>
      <c r="J25" s="206"/>
      <c r="K25" s="206"/>
      <c r="L25" s="207"/>
      <c r="M25" s="207"/>
      <c r="N25" s="206"/>
      <c r="O25" s="206"/>
      <c r="P25" s="207"/>
      <c r="Q25" s="207"/>
      <c r="R25" s="206"/>
      <c r="S25" s="206"/>
      <c r="T25" s="207"/>
      <c r="U25" s="207"/>
      <c r="V25" s="206"/>
      <c r="W25" s="206"/>
      <c r="X25" s="207"/>
      <c r="Y25" s="207"/>
      <c r="Z25" s="206"/>
      <c r="AA25" s="206"/>
      <c r="AB25" s="207"/>
      <c r="AC25" s="207"/>
      <c r="AD25" s="206"/>
      <c r="AE25" s="206"/>
      <c r="AF25" s="207"/>
      <c r="AG25" s="207"/>
      <c r="AH25" s="206"/>
      <c r="AI25" s="206"/>
      <c r="AJ25" s="207"/>
      <c r="AK25" s="207"/>
      <c r="AL25" s="206"/>
      <c r="AM25" s="206"/>
      <c r="AN25" s="206"/>
      <c r="AO25" s="198" t="str">
        <f>IFERROR(VLOOKUP(D25,'Reference Records'!$C$213:$E$334,3,FALSE),"")</f>
        <v/>
      </c>
      <c r="AP25" s="253" t="e">
        <f>VLOOKUP(AO25,'Reference Records'!$E$213:$F$334,2,0)</f>
        <v>#N/A</v>
      </c>
      <c r="AQ25" s="253" t="e">
        <f>MATCH($AP25,'Reference Records'!$E$413:$E$618,0)+ROW(Population_by_intervention) -1</f>
        <v>#N/A</v>
      </c>
      <c r="AR25" s="253" t="e">
        <f>MATCH($AP25,'Reference Records'!$E$413:$E$618,1)+ROW(Population_by_intervention) -1</f>
        <v>#N/A</v>
      </c>
      <c r="AS25" s="253" t="str">
        <f t="shared" si="0"/>
        <v>|empty|</v>
      </c>
      <c r="AT25" s="253" t="str">
        <f>IF(AS25="","",IFERROR(VLOOKUP(AS25,'Overview - Section A'!AF$155:AG272,2,0),VLOOKUP("|empty|",'Overview - Section A'!AF$155:AG272,2,0)))</f>
        <v>INT-211703</v>
      </c>
      <c r="AU25" s="206"/>
      <c r="AV25" s="206"/>
      <c r="AY25" s="253">
        <f t="shared" si="2"/>
        <v>4081</v>
      </c>
      <c r="AZ25" s="253">
        <f ca="1">AZ24+'update Helper'!$X$2</f>
        <v>4407</v>
      </c>
      <c r="BC25" s="253" t="str">
        <f ca="1">IF(INDIRECT("'update Helper'!S"&amp;AY25)=0,"",IFERROR(VLOOKUP(INDIRECT("'update Helper'!S"&amp;AY25),'Account Role'!A$1:B$15,2,0),IFERROR(VLOOKUP(INDIRECT("'update Helper'!I"&amp;AY25),'Overview - Section A'!J$26:P$107,7,0),"")))</f>
        <v/>
      </c>
      <c r="BD25" s="253" t="str">
        <f ca="1">IFERROR(INDEX('Overview - Section A'!A$154:A272,MATCH(INDIRECT("'update Helper'!Q"&amp;AY25),'Overview - Section A'!AQ$154:AQ272,0)),"")</f>
        <v/>
      </c>
      <c r="BE25" s="253" t="str">
        <f>IFERROR(INDEX('Overview - Section A'!O$154:O272,MATCH(AT25,'Overview - Section A'!AQ$154:AQ272,0)),"")</f>
        <v/>
      </c>
      <c r="BF25" s="253" t="str">
        <f>IFERROR(INDEX('Overview - Section A'!H$154:H272,MATCH(AT25,'Overview - Section A'!AQ$154:AQ272,0)),"")</f>
        <v/>
      </c>
    </row>
    <row r="26" spans="1:58" s="253" customFormat="1" ht="30" customHeight="1" x14ac:dyDescent="0.35">
      <c r="A26" s="189">
        <v>18</v>
      </c>
      <c r="B26" s="206"/>
      <c r="C26" s="206"/>
      <c r="D26" s="206"/>
      <c r="E26" s="206"/>
      <c r="F26" s="206"/>
      <c r="G26" s="207"/>
      <c r="H26" s="207"/>
      <c r="I26" s="207"/>
      <c r="J26" s="206"/>
      <c r="K26" s="206"/>
      <c r="L26" s="207"/>
      <c r="M26" s="207"/>
      <c r="N26" s="206"/>
      <c r="O26" s="206"/>
      <c r="P26" s="207"/>
      <c r="Q26" s="207"/>
      <c r="R26" s="206"/>
      <c r="S26" s="206"/>
      <c r="T26" s="207"/>
      <c r="U26" s="207"/>
      <c r="V26" s="206"/>
      <c r="W26" s="206"/>
      <c r="X26" s="207"/>
      <c r="Y26" s="207"/>
      <c r="Z26" s="206"/>
      <c r="AA26" s="206"/>
      <c r="AB26" s="207"/>
      <c r="AC26" s="207"/>
      <c r="AD26" s="206"/>
      <c r="AE26" s="206"/>
      <c r="AF26" s="207"/>
      <c r="AG26" s="207"/>
      <c r="AH26" s="206"/>
      <c r="AI26" s="206"/>
      <c r="AJ26" s="207"/>
      <c r="AK26" s="207"/>
      <c r="AL26" s="206"/>
      <c r="AM26" s="206"/>
      <c r="AN26" s="206"/>
      <c r="AO26" s="198" t="str">
        <f>IFERROR(VLOOKUP(D26,'Reference Records'!$C$213:$E$334,3,FALSE),"")</f>
        <v/>
      </c>
      <c r="AP26" s="253" t="e">
        <f>VLOOKUP(AO26,'Reference Records'!$E$213:$F$334,2,0)</f>
        <v>#N/A</v>
      </c>
      <c r="AQ26" s="253" t="e">
        <f>MATCH($AP26,'Reference Records'!$E$413:$E$618,0)+ROW(Population_by_intervention) -1</f>
        <v>#N/A</v>
      </c>
      <c r="AR26" s="253" t="e">
        <f>MATCH($AP26,'Reference Records'!$E$413:$E$618,1)+ROW(Population_by_intervention) -1</f>
        <v>#N/A</v>
      </c>
      <c r="AS26" s="253" t="str">
        <f t="shared" si="0"/>
        <v>|empty|</v>
      </c>
      <c r="AT26" s="253" t="str">
        <f>IF(AS26="","",IFERROR(VLOOKUP(AS26,'Overview - Section A'!AF$155:AG273,2,0),VLOOKUP("|empty|",'Overview - Section A'!AF$155:AG273,2,0)))</f>
        <v>INT-211703</v>
      </c>
      <c r="AU26" s="206"/>
      <c r="AV26" s="206"/>
      <c r="AY26" s="253">
        <f t="shared" si="2"/>
        <v>4082</v>
      </c>
      <c r="AZ26" s="253">
        <f ca="1">AZ25+'update Helper'!$X$2</f>
        <v>4413</v>
      </c>
      <c r="BC26" s="253" t="str">
        <f ca="1">IF(INDIRECT("'update Helper'!S"&amp;AY26)=0,"",IFERROR(VLOOKUP(INDIRECT("'update Helper'!S"&amp;AY26),'Account Role'!A$1:B$15,2,0),IFERROR(VLOOKUP(INDIRECT("'update Helper'!I"&amp;AY26),'Overview - Section A'!J$26:P$107,7,0),"")))</f>
        <v/>
      </c>
      <c r="BD26" s="253" t="str">
        <f ca="1">IFERROR(INDEX('Overview - Section A'!A$154:A273,MATCH(INDIRECT("'update Helper'!Q"&amp;AY26),'Overview - Section A'!AQ$154:AQ273,0)),"")</f>
        <v/>
      </c>
      <c r="BE26" s="253" t="str">
        <f>IFERROR(INDEX('Overview - Section A'!O$154:O273,MATCH(AT26,'Overview - Section A'!AQ$154:AQ273,0)),"")</f>
        <v/>
      </c>
      <c r="BF26" s="253" t="str">
        <f>IFERROR(INDEX('Overview - Section A'!H$154:H273,MATCH(AT26,'Overview - Section A'!AQ$154:AQ273,0)),"")</f>
        <v/>
      </c>
    </row>
    <row r="27" spans="1:58" s="253" customFormat="1" ht="30" customHeight="1" x14ac:dyDescent="0.35">
      <c r="A27" s="189">
        <v>19</v>
      </c>
      <c r="B27" s="206"/>
      <c r="C27" s="206"/>
      <c r="D27" s="206"/>
      <c r="E27" s="206"/>
      <c r="F27" s="206"/>
      <c r="G27" s="207"/>
      <c r="H27" s="207"/>
      <c r="I27" s="207"/>
      <c r="J27" s="206"/>
      <c r="K27" s="206"/>
      <c r="L27" s="207"/>
      <c r="M27" s="207"/>
      <c r="N27" s="206"/>
      <c r="O27" s="206"/>
      <c r="P27" s="207"/>
      <c r="Q27" s="207"/>
      <c r="R27" s="206"/>
      <c r="S27" s="206"/>
      <c r="T27" s="207"/>
      <c r="U27" s="207"/>
      <c r="V27" s="206"/>
      <c r="W27" s="206"/>
      <c r="X27" s="207"/>
      <c r="Y27" s="207"/>
      <c r="Z27" s="206"/>
      <c r="AA27" s="206"/>
      <c r="AB27" s="207"/>
      <c r="AC27" s="207"/>
      <c r="AD27" s="206"/>
      <c r="AE27" s="206"/>
      <c r="AF27" s="207"/>
      <c r="AG27" s="207"/>
      <c r="AH27" s="206"/>
      <c r="AI27" s="206"/>
      <c r="AJ27" s="207"/>
      <c r="AK27" s="207"/>
      <c r="AL27" s="206"/>
      <c r="AM27" s="206"/>
      <c r="AN27" s="206"/>
      <c r="AO27" s="198" t="str">
        <f>IFERROR(VLOOKUP(D27,'Reference Records'!$C$213:$E$334,3,FALSE),"")</f>
        <v/>
      </c>
      <c r="AP27" s="253" t="e">
        <f>VLOOKUP(AO27,'Reference Records'!$E$213:$F$334,2,0)</f>
        <v>#N/A</v>
      </c>
      <c r="AQ27" s="253" t="e">
        <f>MATCH($AP27,'Reference Records'!$E$413:$E$618,0)+ROW(Population_by_intervention) -1</f>
        <v>#N/A</v>
      </c>
      <c r="AR27" s="253" t="e">
        <f>MATCH($AP27,'Reference Records'!$E$413:$E$618,1)+ROW(Population_by_intervention) -1</f>
        <v>#N/A</v>
      </c>
      <c r="AS27" s="253" t="str">
        <f t="shared" si="0"/>
        <v>|empty|</v>
      </c>
      <c r="AT27" s="253" t="str">
        <f>IF(AS27="","",IFERROR(VLOOKUP(AS27,'Overview - Section A'!AF$155:AG274,2,0),VLOOKUP("|empty|",'Overview - Section A'!AF$155:AG274,2,0)))</f>
        <v>INT-211703</v>
      </c>
      <c r="AU27" s="206"/>
      <c r="AV27" s="206"/>
      <c r="AY27" s="253">
        <f t="shared" si="2"/>
        <v>4083</v>
      </c>
      <c r="AZ27" s="253">
        <f ca="1">AZ26+'update Helper'!$X$2</f>
        <v>4419</v>
      </c>
      <c r="BC27" s="253" t="str">
        <f ca="1">IF(INDIRECT("'update Helper'!S"&amp;AY27)=0,"",IFERROR(VLOOKUP(INDIRECT("'update Helper'!S"&amp;AY27),'Account Role'!A$1:B$15,2,0),IFERROR(VLOOKUP(INDIRECT("'update Helper'!I"&amp;AY27),'Overview - Section A'!J$26:P$107,7,0),"")))</f>
        <v/>
      </c>
      <c r="BD27" s="253" t="str">
        <f ca="1">IFERROR(INDEX('Overview - Section A'!A$154:A274,MATCH(INDIRECT("'update Helper'!Q"&amp;AY27),'Overview - Section A'!AQ$154:AQ274,0)),"")</f>
        <v/>
      </c>
      <c r="BE27" s="253" t="str">
        <f>IFERROR(INDEX('Overview - Section A'!O$154:O274,MATCH(AT27,'Overview - Section A'!AQ$154:AQ274,0)),"")</f>
        <v/>
      </c>
      <c r="BF27" s="253" t="str">
        <f>IFERROR(INDEX('Overview - Section A'!H$154:H274,MATCH(AT27,'Overview - Section A'!AQ$154:AQ274,0)),"")</f>
        <v/>
      </c>
    </row>
    <row r="28" spans="1:58" s="253" customFormat="1" ht="30" customHeight="1" x14ac:dyDescent="0.35">
      <c r="A28" s="189">
        <v>20</v>
      </c>
      <c r="B28" s="206"/>
      <c r="C28" s="206"/>
      <c r="D28" s="206"/>
      <c r="E28" s="206"/>
      <c r="F28" s="206"/>
      <c r="G28" s="207"/>
      <c r="H28" s="207"/>
      <c r="I28" s="207"/>
      <c r="J28" s="206"/>
      <c r="K28" s="206"/>
      <c r="L28" s="207"/>
      <c r="M28" s="207"/>
      <c r="N28" s="206"/>
      <c r="O28" s="206"/>
      <c r="P28" s="207"/>
      <c r="Q28" s="207"/>
      <c r="R28" s="206"/>
      <c r="S28" s="206"/>
      <c r="T28" s="207"/>
      <c r="U28" s="207"/>
      <c r="V28" s="206"/>
      <c r="W28" s="206"/>
      <c r="X28" s="207"/>
      <c r="Y28" s="207"/>
      <c r="Z28" s="206"/>
      <c r="AA28" s="206"/>
      <c r="AB28" s="207"/>
      <c r="AC28" s="207"/>
      <c r="AD28" s="206"/>
      <c r="AE28" s="206"/>
      <c r="AF28" s="207"/>
      <c r="AG28" s="207"/>
      <c r="AH28" s="206"/>
      <c r="AI28" s="206"/>
      <c r="AJ28" s="207"/>
      <c r="AK28" s="207"/>
      <c r="AL28" s="206"/>
      <c r="AM28" s="206"/>
      <c r="AN28" s="206"/>
      <c r="AO28" s="198" t="str">
        <f>IFERROR(VLOOKUP(D28,'Reference Records'!$C$213:$E$334,3,FALSE),"")</f>
        <v/>
      </c>
      <c r="AP28" s="253" t="e">
        <f>VLOOKUP(AO28,'Reference Records'!$E$213:$F$334,2,0)</f>
        <v>#N/A</v>
      </c>
      <c r="AQ28" s="253" t="e">
        <f>MATCH($AP28,'Reference Records'!$E$413:$E$618,0)+ROW(Population_by_intervention) -1</f>
        <v>#N/A</v>
      </c>
      <c r="AR28" s="253" t="e">
        <f>MATCH($AP28,'Reference Records'!$E$413:$E$618,1)+ROW(Population_by_intervention) -1</f>
        <v>#N/A</v>
      </c>
      <c r="AS28" s="253" t="str">
        <f t="shared" si="0"/>
        <v>|empty|</v>
      </c>
      <c r="AT28" s="253" t="str">
        <f>IF(AS28="","",IFERROR(VLOOKUP(AS28,'Overview - Section A'!AF$155:AG275,2,0),VLOOKUP("|empty|",'Overview - Section A'!AF$155:AG275,2,0)))</f>
        <v>INT-211703</v>
      </c>
      <c r="AU28" s="206"/>
      <c r="AV28" s="206"/>
      <c r="AY28" s="253">
        <f t="shared" si="2"/>
        <v>4084</v>
      </c>
      <c r="AZ28" s="253">
        <f ca="1">AZ27+'update Helper'!$X$2</f>
        <v>4425</v>
      </c>
      <c r="BC28" s="253" t="str">
        <f ca="1">IF(INDIRECT("'update Helper'!S"&amp;AY28)=0,"",IFERROR(VLOOKUP(INDIRECT("'update Helper'!S"&amp;AY28),'Account Role'!A$1:B$15,2,0),IFERROR(VLOOKUP(INDIRECT("'update Helper'!I"&amp;AY28),'Overview - Section A'!J$26:P$107,7,0),"")))</f>
        <v/>
      </c>
      <c r="BD28" s="253" t="str">
        <f ca="1">IFERROR(INDEX('Overview - Section A'!A$154:A275,MATCH(INDIRECT("'update Helper'!Q"&amp;AY28),'Overview - Section A'!AQ$154:AQ275,0)),"")</f>
        <v/>
      </c>
      <c r="BE28" s="253" t="str">
        <f>IFERROR(INDEX('Overview - Section A'!O$154:O275,MATCH(AT28,'Overview - Section A'!AQ$154:AQ275,0)),"")</f>
        <v/>
      </c>
      <c r="BF28" s="253" t="str">
        <f>IFERROR(INDEX('Overview - Section A'!H$154:H275,MATCH(AT28,'Overview - Section A'!AQ$154:AQ275,0)),"")</f>
        <v/>
      </c>
    </row>
    <row r="29" spans="1:58" s="253" customFormat="1" ht="30" customHeight="1" x14ac:dyDescent="0.35">
      <c r="A29" s="189">
        <v>21</v>
      </c>
      <c r="B29" s="206"/>
      <c r="C29" s="206"/>
      <c r="D29" s="206"/>
      <c r="E29" s="206"/>
      <c r="F29" s="206"/>
      <c r="G29" s="207"/>
      <c r="H29" s="207"/>
      <c r="I29" s="207"/>
      <c r="J29" s="206"/>
      <c r="K29" s="206"/>
      <c r="L29" s="207"/>
      <c r="M29" s="207"/>
      <c r="N29" s="206"/>
      <c r="O29" s="206"/>
      <c r="P29" s="207"/>
      <c r="Q29" s="207"/>
      <c r="R29" s="206"/>
      <c r="S29" s="206"/>
      <c r="T29" s="207"/>
      <c r="U29" s="207"/>
      <c r="V29" s="206"/>
      <c r="W29" s="206"/>
      <c r="X29" s="207"/>
      <c r="Y29" s="207"/>
      <c r="Z29" s="206"/>
      <c r="AA29" s="206"/>
      <c r="AB29" s="207"/>
      <c r="AC29" s="207"/>
      <c r="AD29" s="206"/>
      <c r="AE29" s="206"/>
      <c r="AF29" s="207"/>
      <c r="AG29" s="207"/>
      <c r="AH29" s="206"/>
      <c r="AI29" s="206"/>
      <c r="AJ29" s="207"/>
      <c r="AK29" s="207"/>
      <c r="AL29" s="206"/>
      <c r="AM29" s="206"/>
      <c r="AN29" s="206"/>
      <c r="AO29" s="198" t="str">
        <f>IFERROR(VLOOKUP(D29,'Reference Records'!$C$213:$E$334,3,FALSE),"")</f>
        <v/>
      </c>
      <c r="AP29" s="253" t="e">
        <f>VLOOKUP(AO29,'Reference Records'!$E$213:$F$334,2,0)</f>
        <v>#N/A</v>
      </c>
      <c r="AQ29" s="253" t="e">
        <f>MATCH($AP29,'Reference Records'!$E$413:$E$618,0)+ROW(Population_by_intervention) -1</f>
        <v>#N/A</v>
      </c>
      <c r="AR29" s="253" t="e">
        <f>MATCH($AP29,'Reference Records'!$E$413:$E$618,1)+ROW(Population_by_intervention) -1</f>
        <v>#N/A</v>
      </c>
      <c r="AS29" s="253" t="str">
        <f t="shared" si="0"/>
        <v>|empty|</v>
      </c>
      <c r="AT29" s="253" t="str">
        <f>IF(AS29="","",IFERROR(VLOOKUP(AS29,'Overview - Section A'!AF$155:AG276,2,0),VLOOKUP("|empty|",'Overview - Section A'!AF$155:AG276,2,0)))</f>
        <v>INT-211703</v>
      </c>
      <c r="AU29" s="206"/>
      <c r="AV29" s="206"/>
      <c r="AY29" s="253">
        <f t="shared" si="2"/>
        <v>4085</v>
      </c>
      <c r="AZ29" s="253">
        <f ca="1">AZ28+'update Helper'!$X$2</f>
        <v>4431</v>
      </c>
      <c r="BC29" s="253" t="str">
        <f ca="1">IF(INDIRECT("'update Helper'!S"&amp;AY29)=0,"",IFERROR(VLOOKUP(INDIRECT("'update Helper'!S"&amp;AY29),'Account Role'!A$1:B$15,2,0),IFERROR(VLOOKUP(INDIRECT("'update Helper'!I"&amp;AY29),'Overview - Section A'!J$26:P$107,7,0),"")))</f>
        <v/>
      </c>
      <c r="BD29" s="253" t="str">
        <f ca="1">IFERROR(INDEX('Overview - Section A'!A$154:A276,MATCH(INDIRECT("'update Helper'!Q"&amp;AY29),'Overview - Section A'!AQ$154:AQ276,0)),"")</f>
        <v/>
      </c>
      <c r="BE29" s="253" t="str">
        <f>IFERROR(INDEX('Overview - Section A'!O$154:O276,MATCH(AT29,'Overview - Section A'!AQ$154:AQ276,0)),"")</f>
        <v/>
      </c>
      <c r="BF29" s="253" t="str">
        <f>IFERROR(INDEX('Overview - Section A'!H$154:H276,MATCH(AT29,'Overview - Section A'!AQ$154:AQ276,0)),"")</f>
        <v/>
      </c>
    </row>
    <row r="30" spans="1:58" s="253" customFormat="1" ht="30" customHeight="1" x14ac:dyDescent="0.35">
      <c r="A30" s="189">
        <v>22</v>
      </c>
      <c r="B30" s="206"/>
      <c r="C30" s="206"/>
      <c r="D30" s="206"/>
      <c r="E30" s="206"/>
      <c r="F30" s="206"/>
      <c r="G30" s="207"/>
      <c r="H30" s="207"/>
      <c r="I30" s="207"/>
      <c r="J30" s="206"/>
      <c r="K30" s="206"/>
      <c r="L30" s="207"/>
      <c r="M30" s="207"/>
      <c r="N30" s="206"/>
      <c r="O30" s="206"/>
      <c r="P30" s="207"/>
      <c r="Q30" s="207"/>
      <c r="R30" s="206"/>
      <c r="S30" s="206"/>
      <c r="T30" s="207"/>
      <c r="U30" s="207"/>
      <c r="V30" s="206"/>
      <c r="W30" s="206"/>
      <c r="X30" s="207"/>
      <c r="Y30" s="207"/>
      <c r="Z30" s="206"/>
      <c r="AA30" s="206"/>
      <c r="AB30" s="207"/>
      <c r="AC30" s="207"/>
      <c r="AD30" s="206"/>
      <c r="AE30" s="206"/>
      <c r="AF30" s="207"/>
      <c r="AG30" s="207"/>
      <c r="AH30" s="206"/>
      <c r="AI30" s="206"/>
      <c r="AJ30" s="207"/>
      <c r="AK30" s="207"/>
      <c r="AL30" s="206"/>
      <c r="AM30" s="206"/>
      <c r="AN30" s="206"/>
      <c r="AO30" s="198" t="str">
        <f>IFERROR(VLOOKUP(D30,'Reference Records'!$C$213:$E$334,3,FALSE),"")</f>
        <v/>
      </c>
      <c r="AP30" s="253" t="e">
        <f>VLOOKUP(AO30,'Reference Records'!$E$213:$F$334,2,0)</f>
        <v>#N/A</v>
      </c>
      <c r="AQ30" s="253" t="e">
        <f>MATCH($AP30,'Reference Records'!$E$413:$E$618,0)+ROW(Population_by_intervention) -1</f>
        <v>#N/A</v>
      </c>
      <c r="AR30" s="253" t="e">
        <f>MATCH($AP30,'Reference Records'!$E$413:$E$618,1)+ROW(Population_by_intervention) -1</f>
        <v>#N/A</v>
      </c>
      <c r="AS30" s="253" t="str">
        <f t="shared" si="0"/>
        <v>|empty|</v>
      </c>
      <c r="AT30" s="253" t="str">
        <f>IF(AS30="","",IFERROR(VLOOKUP(AS30,'Overview - Section A'!AF$155:AG277,2,0),VLOOKUP("|empty|",'Overview - Section A'!AF$155:AG277,2,0)))</f>
        <v>INT-211703</v>
      </c>
      <c r="AU30" s="206"/>
      <c r="AV30" s="206"/>
      <c r="AY30" s="253">
        <f t="shared" si="2"/>
        <v>4086</v>
      </c>
      <c r="AZ30" s="253">
        <f ca="1">AZ29+'update Helper'!$X$2</f>
        <v>4437</v>
      </c>
      <c r="BC30" s="253" t="str">
        <f ca="1">IF(INDIRECT("'update Helper'!S"&amp;AY30)=0,"",IFERROR(VLOOKUP(INDIRECT("'update Helper'!S"&amp;AY30),'Account Role'!A$1:B$15,2,0),IFERROR(VLOOKUP(INDIRECT("'update Helper'!I"&amp;AY30),'Overview - Section A'!J$26:P$107,7,0),"")))</f>
        <v/>
      </c>
      <c r="BD30" s="253" t="str">
        <f ca="1">IFERROR(INDEX('Overview - Section A'!A$154:A277,MATCH(INDIRECT("'update Helper'!Q"&amp;AY30),'Overview - Section A'!AQ$154:AQ277,0)),"")</f>
        <v/>
      </c>
      <c r="BE30" s="253" t="str">
        <f>IFERROR(INDEX('Overview - Section A'!O$154:O277,MATCH(AT30,'Overview - Section A'!AQ$154:AQ277,0)),"")</f>
        <v/>
      </c>
      <c r="BF30" s="253" t="str">
        <f>IFERROR(INDEX('Overview - Section A'!H$154:H277,MATCH(AT30,'Overview - Section A'!AQ$154:AQ277,0)),"")</f>
        <v/>
      </c>
    </row>
    <row r="31" spans="1:58" s="253" customFormat="1" ht="30" customHeight="1" x14ac:dyDescent="0.35">
      <c r="A31" s="189">
        <v>23</v>
      </c>
      <c r="B31" s="206"/>
      <c r="C31" s="206"/>
      <c r="D31" s="206"/>
      <c r="E31" s="206"/>
      <c r="F31" s="206"/>
      <c r="G31" s="207"/>
      <c r="H31" s="207"/>
      <c r="I31" s="207"/>
      <c r="J31" s="206"/>
      <c r="K31" s="206"/>
      <c r="L31" s="207"/>
      <c r="M31" s="207"/>
      <c r="N31" s="206"/>
      <c r="O31" s="206"/>
      <c r="P31" s="207"/>
      <c r="Q31" s="207"/>
      <c r="R31" s="206"/>
      <c r="S31" s="206"/>
      <c r="T31" s="207"/>
      <c r="U31" s="207"/>
      <c r="V31" s="206"/>
      <c r="W31" s="206"/>
      <c r="X31" s="207"/>
      <c r="Y31" s="207"/>
      <c r="Z31" s="206"/>
      <c r="AA31" s="206"/>
      <c r="AB31" s="207"/>
      <c r="AC31" s="207"/>
      <c r="AD31" s="206"/>
      <c r="AE31" s="206"/>
      <c r="AF31" s="207"/>
      <c r="AG31" s="207"/>
      <c r="AH31" s="206"/>
      <c r="AI31" s="206"/>
      <c r="AJ31" s="207"/>
      <c r="AK31" s="207"/>
      <c r="AL31" s="206"/>
      <c r="AM31" s="206"/>
      <c r="AN31" s="206"/>
      <c r="AO31" s="198" t="str">
        <f>IFERROR(VLOOKUP(D31,'Reference Records'!$C$213:$E$334,3,FALSE),"")</f>
        <v/>
      </c>
      <c r="AP31" s="253" t="e">
        <f>VLOOKUP(AO31,'Reference Records'!$E$213:$F$334,2,0)</f>
        <v>#N/A</v>
      </c>
      <c r="AQ31" s="253" t="e">
        <f>MATCH($AP31,'Reference Records'!$E$413:$E$618,0)+ROW(Population_by_intervention) -1</f>
        <v>#N/A</v>
      </c>
      <c r="AR31" s="253" t="e">
        <f>MATCH($AP31,'Reference Records'!$E$413:$E$618,1)+ROW(Population_by_intervention) -1</f>
        <v>#N/A</v>
      </c>
      <c r="AS31" s="253" t="str">
        <f t="shared" si="0"/>
        <v>|empty|</v>
      </c>
      <c r="AT31" s="253" t="str">
        <f>IF(AS31="","",IFERROR(VLOOKUP(AS31,'Overview - Section A'!AF$155:AG278,2,0),VLOOKUP("|empty|",'Overview - Section A'!AF$155:AG278,2,0)))</f>
        <v>INT-211703</v>
      </c>
      <c r="AU31" s="206"/>
      <c r="AV31" s="206"/>
      <c r="AY31" s="253">
        <f t="shared" si="2"/>
        <v>4087</v>
      </c>
      <c r="AZ31" s="253">
        <f ca="1">AZ30+'update Helper'!$X$2</f>
        <v>4443</v>
      </c>
      <c r="BC31" s="253" t="str">
        <f ca="1">IF(INDIRECT("'update Helper'!S"&amp;AY31)=0,"",IFERROR(VLOOKUP(INDIRECT("'update Helper'!S"&amp;AY31),'Account Role'!A$1:B$15,2,0),IFERROR(VLOOKUP(INDIRECT("'update Helper'!I"&amp;AY31),'Overview - Section A'!J$26:P$107,7,0),"")))</f>
        <v/>
      </c>
      <c r="BD31" s="253" t="str">
        <f ca="1">IFERROR(INDEX('Overview - Section A'!A$154:A278,MATCH(INDIRECT("'update Helper'!Q"&amp;AY31),'Overview - Section A'!AQ$154:AQ278,0)),"")</f>
        <v/>
      </c>
      <c r="BE31" s="253" t="str">
        <f>IFERROR(INDEX('Overview - Section A'!O$154:O278,MATCH(AT31,'Overview - Section A'!AQ$154:AQ278,0)),"")</f>
        <v/>
      </c>
      <c r="BF31" s="253" t="str">
        <f>IFERROR(INDEX('Overview - Section A'!H$154:H278,MATCH(AT31,'Overview - Section A'!AQ$154:AQ278,0)),"")</f>
        <v/>
      </c>
    </row>
    <row r="32" spans="1:58" s="253" customFormat="1" ht="30" customHeight="1" x14ac:dyDescent="0.35">
      <c r="A32" s="189">
        <v>24</v>
      </c>
      <c r="B32" s="206"/>
      <c r="C32" s="206"/>
      <c r="D32" s="206"/>
      <c r="E32" s="206"/>
      <c r="F32" s="206"/>
      <c r="G32" s="207"/>
      <c r="H32" s="207"/>
      <c r="I32" s="207"/>
      <c r="J32" s="206"/>
      <c r="K32" s="206"/>
      <c r="L32" s="207"/>
      <c r="M32" s="207"/>
      <c r="N32" s="206"/>
      <c r="O32" s="206"/>
      <c r="P32" s="207"/>
      <c r="Q32" s="207"/>
      <c r="R32" s="206"/>
      <c r="S32" s="206"/>
      <c r="T32" s="207"/>
      <c r="U32" s="207"/>
      <c r="V32" s="206"/>
      <c r="W32" s="206"/>
      <c r="X32" s="207"/>
      <c r="Y32" s="207"/>
      <c r="Z32" s="206"/>
      <c r="AA32" s="206"/>
      <c r="AB32" s="207"/>
      <c r="AC32" s="207"/>
      <c r="AD32" s="206"/>
      <c r="AE32" s="206"/>
      <c r="AF32" s="207"/>
      <c r="AG32" s="207"/>
      <c r="AH32" s="206"/>
      <c r="AI32" s="206"/>
      <c r="AJ32" s="207"/>
      <c r="AK32" s="207"/>
      <c r="AL32" s="206"/>
      <c r="AM32" s="206"/>
      <c r="AN32" s="206"/>
      <c r="AO32" s="198" t="str">
        <f>IFERROR(VLOOKUP(D32,'Reference Records'!$C$213:$E$334,3,FALSE),"")</f>
        <v/>
      </c>
      <c r="AP32" s="253" t="e">
        <f>VLOOKUP(AO32,'Reference Records'!$E$213:$F$334,2,0)</f>
        <v>#N/A</v>
      </c>
      <c r="AQ32" s="253" t="e">
        <f>MATCH($AP32,'Reference Records'!$E$413:$E$618,0)+ROW(Population_by_intervention) -1</f>
        <v>#N/A</v>
      </c>
      <c r="AR32" s="253" t="e">
        <f>MATCH($AP32,'Reference Records'!$E$413:$E$618,1)+ROW(Population_by_intervention) -1</f>
        <v>#N/A</v>
      </c>
      <c r="AS32" s="253" t="str">
        <f t="shared" si="0"/>
        <v>|empty|</v>
      </c>
      <c r="AT32" s="253" t="str">
        <f>IF(AS32="","",IFERROR(VLOOKUP(AS32,'Overview - Section A'!AF$155:AG279,2,0),VLOOKUP("|empty|",'Overview - Section A'!AF$155:AG279,2,0)))</f>
        <v>INT-211703</v>
      </c>
      <c r="AU32" s="206"/>
      <c r="AV32" s="206"/>
      <c r="AY32" s="253">
        <f t="shared" si="2"/>
        <v>4088</v>
      </c>
      <c r="AZ32" s="253">
        <f ca="1">AZ31+'update Helper'!$X$2</f>
        <v>4449</v>
      </c>
      <c r="BC32" s="253" t="str">
        <f ca="1">IF(INDIRECT("'update Helper'!S"&amp;AY32)=0,"",IFERROR(VLOOKUP(INDIRECT("'update Helper'!S"&amp;AY32),'Account Role'!A$1:B$15,2,0),IFERROR(VLOOKUP(INDIRECT("'update Helper'!I"&amp;AY32),'Overview - Section A'!J$26:P$107,7,0),"")))</f>
        <v/>
      </c>
      <c r="BD32" s="253" t="str">
        <f ca="1">IFERROR(INDEX('Overview - Section A'!A$154:A279,MATCH(INDIRECT("'update Helper'!Q"&amp;AY32),'Overview - Section A'!AQ$154:AQ279,0)),"")</f>
        <v/>
      </c>
      <c r="BE32" s="253" t="str">
        <f>IFERROR(INDEX('Overview - Section A'!O$154:O279,MATCH(AT32,'Overview - Section A'!AQ$154:AQ279,0)),"")</f>
        <v/>
      </c>
      <c r="BF32" s="253" t="str">
        <f>IFERROR(INDEX('Overview - Section A'!H$154:H279,MATCH(AT32,'Overview - Section A'!AQ$154:AQ279,0)),"")</f>
        <v/>
      </c>
    </row>
    <row r="33" spans="1:58" s="253" customFormat="1" ht="30" customHeight="1" x14ac:dyDescent="0.35">
      <c r="A33" s="189">
        <v>25</v>
      </c>
      <c r="B33" s="206"/>
      <c r="C33" s="206"/>
      <c r="D33" s="206"/>
      <c r="E33" s="206"/>
      <c r="F33" s="206"/>
      <c r="G33" s="207"/>
      <c r="H33" s="207"/>
      <c r="I33" s="207"/>
      <c r="J33" s="206"/>
      <c r="K33" s="206"/>
      <c r="L33" s="207"/>
      <c r="M33" s="207"/>
      <c r="N33" s="206"/>
      <c r="O33" s="206"/>
      <c r="P33" s="207"/>
      <c r="Q33" s="207"/>
      <c r="R33" s="206"/>
      <c r="S33" s="206"/>
      <c r="T33" s="207"/>
      <c r="U33" s="207"/>
      <c r="V33" s="206"/>
      <c r="W33" s="206"/>
      <c r="X33" s="207"/>
      <c r="Y33" s="207"/>
      <c r="Z33" s="206"/>
      <c r="AA33" s="206"/>
      <c r="AB33" s="207"/>
      <c r="AC33" s="207"/>
      <c r="AD33" s="206"/>
      <c r="AE33" s="206"/>
      <c r="AF33" s="207"/>
      <c r="AG33" s="207"/>
      <c r="AH33" s="206"/>
      <c r="AI33" s="206"/>
      <c r="AJ33" s="207"/>
      <c r="AK33" s="207"/>
      <c r="AL33" s="206"/>
      <c r="AM33" s="206"/>
      <c r="AN33" s="206"/>
      <c r="AO33" s="198" t="str">
        <f>IFERROR(VLOOKUP(D33,'Reference Records'!$C$213:$E$334,3,FALSE),"")</f>
        <v/>
      </c>
      <c r="AP33" s="253" t="e">
        <f>VLOOKUP(AO33,'Reference Records'!$E$213:$F$334,2,0)</f>
        <v>#N/A</v>
      </c>
      <c r="AQ33" s="253" t="e">
        <f>MATCH($AP33,'Reference Records'!$E$413:$E$618,0)+ROW(Population_by_intervention) -1</f>
        <v>#N/A</v>
      </c>
      <c r="AR33" s="253" t="e">
        <f>MATCH($AP33,'Reference Records'!$E$413:$E$618,1)+ROW(Population_by_intervention) -1</f>
        <v>#N/A</v>
      </c>
      <c r="AS33" s="253" t="str">
        <f t="shared" si="0"/>
        <v>|empty|</v>
      </c>
      <c r="AT33" s="253" t="str">
        <f>IF(AS33="","",IFERROR(VLOOKUP(AS33,'Overview - Section A'!AF$155:AG280,2,0),VLOOKUP("|empty|",'Overview - Section A'!AF$155:AG280,2,0)))</f>
        <v>INT-211703</v>
      </c>
      <c r="AU33" s="206"/>
      <c r="AV33" s="206"/>
      <c r="AY33" s="253">
        <f t="shared" si="2"/>
        <v>4089</v>
      </c>
      <c r="AZ33" s="253">
        <f ca="1">AZ32+'update Helper'!$X$2</f>
        <v>4455</v>
      </c>
      <c r="BC33" s="253" t="str">
        <f ca="1">IF(INDIRECT("'update Helper'!S"&amp;AY33)=0,"",IFERROR(VLOOKUP(INDIRECT("'update Helper'!S"&amp;AY33),'Account Role'!A$1:B$15,2,0),IFERROR(VLOOKUP(INDIRECT("'update Helper'!I"&amp;AY33),'Overview - Section A'!J$26:P$107,7,0),"")))</f>
        <v/>
      </c>
      <c r="BD33" s="253" t="str">
        <f ca="1">IFERROR(INDEX('Overview - Section A'!A$154:A280,MATCH(INDIRECT("'update Helper'!Q"&amp;AY33),'Overview - Section A'!AQ$154:AQ280,0)),"")</f>
        <v/>
      </c>
      <c r="BE33" s="253" t="str">
        <f>IFERROR(INDEX('Overview - Section A'!O$154:O280,MATCH(AT33,'Overview - Section A'!AQ$154:AQ280,0)),"")</f>
        <v/>
      </c>
      <c r="BF33" s="253" t="str">
        <f>IFERROR(INDEX('Overview - Section A'!H$154:H280,MATCH(AT33,'Overview - Section A'!AQ$154:AQ280,0)),"")</f>
        <v/>
      </c>
    </row>
    <row r="34" spans="1:58" s="253" customFormat="1" ht="30" customHeight="1" x14ac:dyDescent="0.35">
      <c r="A34" s="189">
        <v>26</v>
      </c>
      <c r="B34" s="206"/>
      <c r="C34" s="206"/>
      <c r="D34" s="206"/>
      <c r="E34" s="206"/>
      <c r="F34" s="206"/>
      <c r="G34" s="207"/>
      <c r="H34" s="207"/>
      <c r="I34" s="207"/>
      <c r="J34" s="206"/>
      <c r="K34" s="206"/>
      <c r="L34" s="207"/>
      <c r="M34" s="207"/>
      <c r="N34" s="206"/>
      <c r="O34" s="206"/>
      <c r="P34" s="207"/>
      <c r="Q34" s="207"/>
      <c r="R34" s="206"/>
      <c r="S34" s="206"/>
      <c r="T34" s="207"/>
      <c r="U34" s="207"/>
      <c r="V34" s="206"/>
      <c r="W34" s="206"/>
      <c r="X34" s="207"/>
      <c r="Y34" s="207"/>
      <c r="Z34" s="206"/>
      <c r="AA34" s="206"/>
      <c r="AB34" s="207"/>
      <c r="AC34" s="207"/>
      <c r="AD34" s="206"/>
      <c r="AE34" s="206"/>
      <c r="AF34" s="207"/>
      <c r="AG34" s="207"/>
      <c r="AH34" s="206"/>
      <c r="AI34" s="206"/>
      <c r="AJ34" s="207"/>
      <c r="AK34" s="207"/>
      <c r="AL34" s="206"/>
      <c r="AM34" s="206"/>
      <c r="AN34" s="206"/>
      <c r="AO34" s="198" t="str">
        <f>IFERROR(VLOOKUP(D34,'Reference Records'!$C$213:$E$334,3,FALSE),"")</f>
        <v/>
      </c>
      <c r="AP34" s="253" t="e">
        <f>VLOOKUP(AO34,'Reference Records'!$E$213:$F$334,2,0)</f>
        <v>#N/A</v>
      </c>
      <c r="AQ34" s="253" t="e">
        <f>MATCH($AP34,'Reference Records'!$E$413:$E$618,0)+ROW(Population_by_intervention) -1</f>
        <v>#N/A</v>
      </c>
      <c r="AR34" s="253" t="e">
        <f>MATCH($AP34,'Reference Records'!$E$413:$E$618,1)+ROW(Population_by_intervention) -1</f>
        <v>#N/A</v>
      </c>
      <c r="AS34" s="253" t="str">
        <f t="shared" si="0"/>
        <v>|empty|</v>
      </c>
      <c r="AT34" s="253" t="str">
        <f>IF(AS34="","",IFERROR(VLOOKUP(AS34,'Overview - Section A'!AF$155:AG281,2,0),VLOOKUP("|empty|",'Overview - Section A'!AF$155:AG281,2,0)))</f>
        <v>INT-211703</v>
      </c>
      <c r="AU34" s="206"/>
      <c r="AV34" s="206"/>
      <c r="AY34" s="253">
        <f t="shared" si="2"/>
        <v>4090</v>
      </c>
      <c r="AZ34" s="253">
        <f ca="1">AZ33+'update Helper'!$X$2</f>
        <v>4461</v>
      </c>
      <c r="BC34" s="253" t="str">
        <f ca="1">IF(INDIRECT("'update Helper'!S"&amp;AY34)=0,"",IFERROR(VLOOKUP(INDIRECT("'update Helper'!S"&amp;AY34),'Account Role'!A$1:B$15,2,0),IFERROR(VLOOKUP(INDIRECT("'update Helper'!I"&amp;AY34),'Overview - Section A'!J$26:P$107,7,0),"")))</f>
        <v/>
      </c>
      <c r="BD34" s="253" t="str">
        <f ca="1">IFERROR(INDEX('Overview - Section A'!A$154:A281,MATCH(INDIRECT("'update Helper'!Q"&amp;AY34),'Overview - Section A'!AQ$154:AQ281,0)),"")</f>
        <v/>
      </c>
      <c r="BE34" s="253" t="str">
        <f>IFERROR(INDEX('Overview - Section A'!O$154:O281,MATCH(AT34,'Overview - Section A'!AQ$154:AQ281,0)),"")</f>
        <v/>
      </c>
      <c r="BF34" s="253" t="str">
        <f>IFERROR(INDEX('Overview - Section A'!H$154:H281,MATCH(AT34,'Overview - Section A'!AQ$154:AQ281,0)),"")</f>
        <v/>
      </c>
    </row>
    <row r="35" spans="1:58" s="253" customFormat="1" ht="30" customHeight="1" x14ac:dyDescent="0.35">
      <c r="A35" s="189">
        <v>27</v>
      </c>
      <c r="B35" s="206"/>
      <c r="C35" s="206"/>
      <c r="D35" s="206"/>
      <c r="E35" s="206"/>
      <c r="F35" s="206"/>
      <c r="G35" s="207"/>
      <c r="H35" s="207"/>
      <c r="I35" s="207"/>
      <c r="J35" s="206"/>
      <c r="K35" s="206"/>
      <c r="L35" s="207"/>
      <c r="M35" s="207"/>
      <c r="N35" s="206"/>
      <c r="O35" s="206"/>
      <c r="P35" s="207"/>
      <c r="Q35" s="207"/>
      <c r="R35" s="206"/>
      <c r="S35" s="206"/>
      <c r="T35" s="207"/>
      <c r="U35" s="207"/>
      <c r="V35" s="206"/>
      <c r="W35" s="206"/>
      <c r="X35" s="207"/>
      <c r="Y35" s="207"/>
      <c r="Z35" s="206"/>
      <c r="AA35" s="206"/>
      <c r="AB35" s="207"/>
      <c r="AC35" s="207"/>
      <c r="AD35" s="206"/>
      <c r="AE35" s="206"/>
      <c r="AF35" s="207"/>
      <c r="AG35" s="207"/>
      <c r="AH35" s="206"/>
      <c r="AI35" s="206"/>
      <c r="AJ35" s="207"/>
      <c r="AK35" s="207"/>
      <c r="AL35" s="206"/>
      <c r="AM35" s="206"/>
      <c r="AN35" s="206"/>
      <c r="AO35" s="198" t="str">
        <f>IFERROR(VLOOKUP(D35,'Reference Records'!$C$213:$E$334,3,FALSE),"")</f>
        <v/>
      </c>
      <c r="AP35" s="253" t="e">
        <f>VLOOKUP(AO35,'Reference Records'!$E$213:$F$334,2,0)</f>
        <v>#N/A</v>
      </c>
      <c r="AQ35" s="253" t="e">
        <f>MATCH($AP35,'Reference Records'!$E$413:$E$618,0)+ROW(Population_by_intervention) -1</f>
        <v>#N/A</v>
      </c>
      <c r="AR35" s="253" t="e">
        <f>MATCH($AP35,'Reference Records'!$E$413:$E$618,1)+ROW(Population_by_intervention) -1</f>
        <v>#N/A</v>
      </c>
      <c r="AS35" s="253" t="str">
        <f t="shared" si="0"/>
        <v>|empty|</v>
      </c>
      <c r="AT35" s="253" t="str">
        <f>IF(AS35="","",IFERROR(VLOOKUP(AS35,'Overview - Section A'!AF$155:AG282,2,0),VLOOKUP("|empty|",'Overview - Section A'!AF$155:AG282,2,0)))</f>
        <v>INT-211703</v>
      </c>
      <c r="AU35" s="206"/>
      <c r="AV35" s="206"/>
      <c r="AY35" s="253">
        <f t="shared" si="2"/>
        <v>4091</v>
      </c>
      <c r="AZ35" s="253">
        <f ca="1">AZ34+'update Helper'!$X$2</f>
        <v>4467</v>
      </c>
      <c r="BC35" s="253" t="str">
        <f ca="1">IF(INDIRECT("'update Helper'!S"&amp;AY35)=0,"",IFERROR(VLOOKUP(INDIRECT("'update Helper'!S"&amp;AY35),'Account Role'!A$1:B$15,2,0),IFERROR(VLOOKUP(INDIRECT("'update Helper'!I"&amp;AY35),'Overview - Section A'!J$26:P$107,7,0),"")))</f>
        <v/>
      </c>
      <c r="BD35" s="253" t="str">
        <f ca="1">IFERROR(INDEX('Overview - Section A'!A$154:A282,MATCH(INDIRECT("'update Helper'!Q"&amp;AY35),'Overview - Section A'!AQ$154:AQ282,0)),"")</f>
        <v/>
      </c>
      <c r="BE35" s="253" t="str">
        <f>IFERROR(INDEX('Overview - Section A'!O$154:O282,MATCH(AT35,'Overview - Section A'!AQ$154:AQ282,0)),"")</f>
        <v/>
      </c>
      <c r="BF35" s="253" t="str">
        <f>IFERROR(INDEX('Overview - Section A'!H$154:H282,MATCH(AT35,'Overview - Section A'!AQ$154:AQ282,0)),"")</f>
        <v/>
      </c>
    </row>
    <row r="36" spans="1:58" s="253" customFormat="1" ht="30" customHeight="1" x14ac:dyDescent="0.35">
      <c r="A36" s="189">
        <v>28</v>
      </c>
      <c r="B36" s="206"/>
      <c r="C36" s="206"/>
      <c r="D36" s="206"/>
      <c r="E36" s="206"/>
      <c r="F36" s="206"/>
      <c r="G36" s="207"/>
      <c r="H36" s="207"/>
      <c r="I36" s="207"/>
      <c r="J36" s="206"/>
      <c r="K36" s="206"/>
      <c r="L36" s="207"/>
      <c r="M36" s="207"/>
      <c r="N36" s="206"/>
      <c r="O36" s="206"/>
      <c r="P36" s="207"/>
      <c r="Q36" s="207"/>
      <c r="R36" s="206"/>
      <c r="S36" s="206"/>
      <c r="T36" s="207"/>
      <c r="U36" s="207"/>
      <c r="V36" s="206"/>
      <c r="W36" s="206"/>
      <c r="X36" s="207"/>
      <c r="Y36" s="207"/>
      <c r="Z36" s="206"/>
      <c r="AA36" s="206"/>
      <c r="AB36" s="207"/>
      <c r="AC36" s="207"/>
      <c r="AD36" s="206"/>
      <c r="AE36" s="206"/>
      <c r="AF36" s="207"/>
      <c r="AG36" s="207"/>
      <c r="AH36" s="206"/>
      <c r="AI36" s="206"/>
      <c r="AJ36" s="207"/>
      <c r="AK36" s="207"/>
      <c r="AL36" s="206"/>
      <c r="AM36" s="206"/>
      <c r="AN36" s="206"/>
      <c r="AO36" s="198" t="str">
        <f>IFERROR(VLOOKUP(D36,'Reference Records'!$C$213:$E$334,3,FALSE),"")</f>
        <v/>
      </c>
      <c r="AP36" s="253" t="e">
        <f>VLOOKUP(AO36,'Reference Records'!$E$213:$F$334,2,0)</f>
        <v>#N/A</v>
      </c>
      <c r="AQ36" s="253" t="e">
        <f>MATCH($AP36,'Reference Records'!$E$413:$E$618,0)+ROW(Population_by_intervention) -1</f>
        <v>#N/A</v>
      </c>
      <c r="AR36" s="253" t="e">
        <f>MATCH($AP36,'Reference Records'!$E$413:$E$618,1)+ROW(Population_by_intervention) -1</f>
        <v>#N/A</v>
      </c>
      <c r="AS36" s="253" t="str">
        <f t="shared" si="0"/>
        <v>|empty|</v>
      </c>
      <c r="AT36" s="253" t="str">
        <f>IF(AS36="","",IFERROR(VLOOKUP(AS36,'Overview - Section A'!AF$155:AG283,2,0),VLOOKUP("|empty|",'Overview - Section A'!AF$155:AG283,2,0)))</f>
        <v>INT-211703</v>
      </c>
      <c r="AU36" s="206"/>
      <c r="AV36" s="206"/>
      <c r="AY36" s="253">
        <f t="shared" si="2"/>
        <v>4092</v>
      </c>
      <c r="AZ36" s="253">
        <f ca="1">AZ35+'update Helper'!$X$2</f>
        <v>4473</v>
      </c>
      <c r="BC36" s="253" t="str">
        <f ca="1">IF(INDIRECT("'update Helper'!S"&amp;AY36)=0,"",IFERROR(VLOOKUP(INDIRECT("'update Helper'!S"&amp;AY36),'Account Role'!A$1:B$15,2,0),IFERROR(VLOOKUP(INDIRECT("'update Helper'!I"&amp;AY36),'Overview - Section A'!J$26:P$107,7,0),"")))</f>
        <v/>
      </c>
      <c r="BD36" s="253" t="str">
        <f ca="1">IFERROR(INDEX('Overview - Section A'!A$154:A283,MATCH(INDIRECT("'update Helper'!Q"&amp;AY36),'Overview - Section A'!AQ$154:AQ283,0)),"")</f>
        <v/>
      </c>
      <c r="BE36" s="253" t="str">
        <f>IFERROR(INDEX('Overview - Section A'!O$154:O283,MATCH(AT36,'Overview - Section A'!AQ$154:AQ283,0)),"")</f>
        <v/>
      </c>
      <c r="BF36" s="253" t="str">
        <f>IFERROR(INDEX('Overview - Section A'!H$154:H283,MATCH(AT36,'Overview - Section A'!AQ$154:AQ283,0)),"")</f>
        <v/>
      </c>
    </row>
    <row r="37" spans="1:58" s="253" customFormat="1" ht="30" customHeight="1" x14ac:dyDescent="0.35">
      <c r="A37" s="189">
        <v>29</v>
      </c>
      <c r="B37" s="206"/>
      <c r="C37" s="206"/>
      <c r="D37" s="206"/>
      <c r="E37" s="206"/>
      <c r="F37" s="206"/>
      <c r="G37" s="207"/>
      <c r="H37" s="207"/>
      <c r="I37" s="207"/>
      <c r="J37" s="206"/>
      <c r="K37" s="206"/>
      <c r="L37" s="207"/>
      <c r="M37" s="207"/>
      <c r="N37" s="206"/>
      <c r="O37" s="206"/>
      <c r="P37" s="207"/>
      <c r="Q37" s="207"/>
      <c r="R37" s="206"/>
      <c r="S37" s="206"/>
      <c r="T37" s="207"/>
      <c r="U37" s="207"/>
      <c r="V37" s="206"/>
      <c r="W37" s="206"/>
      <c r="X37" s="207"/>
      <c r="Y37" s="207"/>
      <c r="Z37" s="206"/>
      <c r="AA37" s="206"/>
      <c r="AB37" s="207"/>
      <c r="AC37" s="207"/>
      <c r="AD37" s="206"/>
      <c r="AE37" s="206"/>
      <c r="AF37" s="207"/>
      <c r="AG37" s="207"/>
      <c r="AH37" s="206"/>
      <c r="AI37" s="206"/>
      <c r="AJ37" s="207"/>
      <c r="AK37" s="207"/>
      <c r="AL37" s="206"/>
      <c r="AM37" s="206"/>
      <c r="AN37" s="206"/>
      <c r="AO37" s="198" t="str">
        <f>IFERROR(VLOOKUP(D37,'Reference Records'!$C$213:$E$334,3,FALSE),"")</f>
        <v/>
      </c>
      <c r="AP37" s="253" t="e">
        <f>VLOOKUP(AO37,'Reference Records'!$E$213:$F$334,2,0)</f>
        <v>#N/A</v>
      </c>
      <c r="AQ37" s="253" t="e">
        <f>MATCH($AP37,'Reference Records'!$E$413:$E$618,0)+ROW(Population_by_intervention) -1</f>
        <v>#N/A</v>
      </c>
      <c r="AR37" s="253" t="e">
        <f>MATCH($AP37,'Reference Records'!$E$413:$E$618,1)+ROW(Population_by_intervention) -1</f>
        <v>#N/A</v>
      </c>
      <c r="AS37" s="253" t="str">
        <f t="shared" si="0"/>
        <v>|empty|</v>
      </c>
      <c r="AT37" s="253" t="str">
        <f>IF(AS37="","",IFERROR(VLOOKUP(AS37,'Overview - Section A'!AF$155:AG284,2,0),VLOOKUP("|empty|",'Overview - Section A'!AF$155:AG284,2,0)))</f>
        <v>INT-211703</v>
      </c>
      <c r="AU37" s="206"/>
      <c r="AV37" s="206"/>
      <c r="AY37" s="253">
        <f t="shared" si="2"/>
        <v>4093</v>
      </c>
      <c r="AZ37" s="253">
        <f ca="1">AZ36+'update Helper'!$X$2</f>
        <v>4479</v>
      </c>
      <c r="BC37" s="253" t="str">
        <f ca="1">IF(INDIRECT("'update Helper'!S"&amp;AY37)=0,"",IFERROR(VLOOKUP(INDIRECT("'update Helper'!S"&amp;AY37),'Account Role'!A$1:B$15,2,0),IFERROR(VLOOKUP(INDIRECT("'update Helper'!I"&amp;AY37),'Overview - Section A'!J$26:P$107,7,0),"")))</f>
        <v/>
      </c>
      <c r="BD37" s="253" t="str">
        <f ca="1">IFERROR(INDEX('Overview - Section A'!A$154:A284,MATCH(INDIRECT("'update Helper'!Q"&amp;AY37),'Overview - Section A'!AQ$154:AQ284,0)),"")</f>
        <v/>
      </c>
      <c r="BE37" s="253" t="str">
        <f>IFERROR(INDEX('Overview - Section A'!O$154:O284,MATCH(AT37,'Overview - Section A'!AQ$154:AQ284,0)),"")</f>
        <v/>
      </c>
      <c r="BF37" s="253" t="str">
        <f>IFERROR(INDEX('Overview - Section A'!H$154:H284,MATCH(AT37,'Overview - Section A'!AQ$154:AQ284,0)),"")</f>
        <v/>
      </c>
    </row>
    <row r="38" spans="1:58" s="253" customFormat="1" ht="30" customHeight="1" x14ac:dyDescent="0.35">
      <c r="A38" s="189">
        <v>30</v>
      </c>
      <c r="B38" s="206"/>
      <c r="C38" s="206"/>
      <c r="D38" s="206"/>
      <c r="E38" s="206"/>
      <c r="F38" s="206"/>
      <c r="G38" s="207"/>
      <c r="H38" s="207"/>
      <c r="I38" s="207"/>
      <c r="J38" s="206"/>
      <c r="K38" s="206"/>
      <c r="L38" s="207"/>
      <c r="M38" s="207"/>
      <c r="N38" s="206"/>
      <c r="O38" s="206"/>
      <c r="P38" s="207"/>
      <c r="Q38" s="207"/>
      <c r="R38" s="206"/>
      <c r="S38" s="206"/>
      <c r="T38" s="207"/>
      <c r="U38" s="207"/>
      <c r="V38" s="206"/>
      <c r="W38" s="206"/>
      <c r="X38" s="207"/>
      <c r="Y38" s="207"/>
      <c r="Z38" s="206"/>
      <c r="AA38" s="206"/>
      <c r="AB38" s="207"/>
      <c r="AC38" s="207"/>
      <c r="AD38" s="206"/>
      <c r="AE38" s="206"/>
      <c r="AF38" s="207"/>
      <c r="AG38" s="207"/>
      <c r="AH38" s="206"/>
      <c r="AI38" s="206"/>
      <c r="AJ38" s="207"/>
      <c r="AK38" s="207"/>
      <c r="AL38" s="206"/>
      <c r="AM38" s="206"/>
      <c r="AN38" s="206"/>
      <c r="AO38" s="198" t="str">
        <f>IFERROR(VLOOKUP(D38,'Reference Records'!$C$213:$E$334,3,FALSE),"")</f>
        <v/>
      </c>
      <c r="AP38" s="253" t="e">
        <f>VLOOKUP(AO38,'Reference Records'!$E$213:$F$334,2,0)</f>
        <v>#N/A</v>
      </c>
      <c r="AQ38" s="253" t="e">
        <f>MATCH($AP38,'Reference Records'!$E$413:$E$618,0)+ROW(Population_by_intervention) -1</f>
        <v>#N/A</v>
      </c>
      <c r="AR38" s="253" t="e">
        <f>MATCH($AP38,'Reference Records'!$E$413:$E$618,1)+ROW(Population_by_intervention) -1</f>
        <v>#N/A</v>
      </c>
      <c r="AS38" s="253" t="str">
        <f t="shared" si="0"/>
        <v>|empty|</v>
      </c>
      <c r="AT38" s="253" t="str">
        <f>IF(AS38="","",IFERROR(VLOOKUP(AS38,'Overview - Section A'!AF$155:AG285,2,0),VLOOKUP("|empty|",'Overview - Section A'!AF$155:AG285,2,0)))</f>
        <v>INT-211703</v>
      </c>
      <c r="AU38" s="206"/>
      <c r="AV38" s="206"/>
      <c r="AY38" s="253">
        <f t="shared" si="2"/>
        <v>4094</v>
      </c>
      <c r="AZ38" s="253">
        <f ca="1">AZ37+'update Helper'!$X$2</f>
        <v>4485</v>
      </c>
      <c r="BC38" s="253" t="str">
        <f ca="1">IF(INDIRECT("'update Helper'!S"&amp;AY38)=0,"",IFERROR(VLOOKUP(INDIRECT("'update Helper'!S"&amp;AY38),'Account Role'!A$1:B$15,2,0),IFERROR(VLOOKUP(INDIRECT("'update Helper'!I"&amp;AY38),'Overview - Section A'!J$26:P$107,7,0),"")))</f>
        <v/>
      </c>
      <c r="BD38" s="253" t="str">
        <f ca="1">IFERROR(INDEX('Overview - Section A'!A$154:A285,MATCH(INDIRECT("'update Helper'!Q"&amp;AY38),'Overview - Section A'!AQ$154:AQ285,0)),"")</f>
        <v/>
      </c>
      <c r="BE38" s="253" t="str">
        <f>IFERROR(INDEX('Overview - Section A'!O$154:O285,MATCH(AT38,'Overview - Section A'!AQ$154:AQ285,0)),"")</f>
        <v/>
      </c>
      <c r="BF38" s="253" t="str">
        <f>IFERROR(INDEX('Overview - Section A'!H$154:H285,MATCH(AT38,'Overview - Section A'!AQ$154:AQ285,0)),"")</f>
        <v/>
      </c>
    </row>
    <row r="39" spans="1:58" s="253" customFormat="1" ht="30" customHeight="1" x14ac:dyDescent="0.35">
      <c r="A39" s="189">
        <v>31</v>
      </c>
      <c r="B39" s="206"/>
      <c r="C39" s="206"/>
      <c r="D39" s="206"/>
      <c r="E39" s="206"/>
      <c r="F39" s="206"/>
      <c r="G39" s="207"/>
      <c r="H39" s="207"/>
      <c r="I39" s="207"/>
      <c r="J39" s="206"/>
      <c r="K39" s="206"/>
      <c r="L39" s="207"/>
      <c r="M39" s="207"/>
      <c r="N39" s="206"/>
      <c r="O39" s="206"/>
      <c r="P39" s="207"/>
      <c r="Q39" s="207"/>
      <c r="R39" s="206"/>
      <c r="S39" s="206"/>
      <c r="T39" s="207"/>
      <c r="U39" s="207"/>
      <c r="V39" s="206"/>
      <c r="W39" s="206"/>
      <c r="X39" s="207"/>
      <c r="Y39" s="207"/>
      <c r="Z39" s="206"/>
      <c r="AA39" s="206"/>
      <c r="AB39" s="207"/>
      <c r="AC39" s="207"/>
      <c r="AD39" s="206"/>
      <c r="AE39" s="206"/>
      <c r="AF39" s="207"/>
      <c r="AG39" s="207"/>
      <c r="AH39" s="206"/>
      <c r="AI39" s="206"/>
      <c r="AJ39" s="207"/>
      <c r="AK39" s="207"/>
      <c r="AL39" s="206"/>
      <c r="AM39" s="206"/>
      <c r="AN39" s="206"/>
      <c r="AO39" s="198" t="str">
        <f>IFERROR(VLOOKUP(D39,'Reference Records'!$C$213:$E$334,3,FALSE),"")</f>
        <v/>
      </c>
      <c r="AP39" s="253" t="e">
        <f>VLOOKUP(AO39,'Reference Records'!$E$213:$F$334,2,0)</f>
        <v>#N/A</v>
      </c>
      <c r="AQ39" s="253" t="e">
        <f>MATCH($AP39,'Reference Records'!$E$413:$E$618,0)+ROW(Population_by_intervention) -1</f>
        <v>#N/A</v>
      </c>
      <c r="AR39" s="253" t="e">
        <f>MATCH($AP39,'Reference Records'!$E$413:$E$618,1)+ROW(Population_by_intervention) -1</f>
        <v>#N/A</v>
      </c>
      <c r="AS39" s="253" t="str">
        <f t="shared" si="0"/>
        <v>|empty|</v>
      </c>
      <c r="AT39" s="253" t="str">
        <f>IF(AS39="","",IFERROR(VLOOKUP(AS39,'Overview - Section A'!AF$155:AG286,2,0),VLOOKUP("|empty|",'Overview - Section A'!AF$155:AG286,2,0)))</f>
        <v>INT-211703</v>
      </c>
      <c r="AU39" s="206"/>
      <c r="AV39" s="206"/>
      <c r="AY39" s="253">
        <f t="shared" si="2"/>
        <v>4095</v>
      </c>
      <c r="AZ39" s="253">
        <f ca="1">AZ38+'update Helper'!$X$2</f>
        <v>4491</v>
      </c>
      <c r="BC39" s="253" t="str">
        <f ca="1">IF(INDIRECT("'update Helper'!S"&amp;AY39)=0,"",IFERROR(VLOOKUP(INDIRECT("'update Helper'!S"&amp;AY39),'Account Role'!A$1:B$15,2,0),IFERROR(VLOOKUP(INDIRECT("'update Helper'!I"&amp;AY39),'Overview - Section A'!J$26:P$107,7,0),"")))</f>
        <v/>
      </c>
      <c r="BD39" s="253" t="str">
        <f ca="1">IFERROR(INDEX('Overview - Section A'!A$154:A286,MATCH(INDIRECT("'update Helper'!Q"&amp;AY39),'Overview - Section A'!AQ$154:AQ286,0)),"")</f>
        <v/>
      </c>
      <c r="BE39" s="253" t="str">
        <f>IFERROR(INDEX('Overview - Section A'!O$154:O286,MATCH(AT39,'Overview - Section A'!AQ$154:AQ286,0)),"")</f>
        <v/>
      </c>
      <c r="BF39" s="253" t="str">
        <f>IFERROR(INDEX('Overview - Section A'!H$154:H286,MATCH(AT39,'Overview - Section A'!AQ$154:AQ286,0)),"")</f>
        <v/>
      </c>
    </row>
    <row r="40" spans="1:58" s="253" customFormat="1" ht="30" customHeight="1" x14ac:dyDescent="0.35">
      <c r="A40" s="189">
        <v>32</v>
      </c>
      <c r="B40" s="206"/>
      <c r="C40" s="206"/>
      <c r="D40" s="206"/>
      <c r="E40" s="206"/>
      <c r="F40" s="206"/>
      <c r="G40" s="207"/>
      <c r="H40" s="207"/>
      <c r="I40" s="207"/>
      <c r="J40" s="206"/>
      <c r="K40" s="206"/>
      <c r="L40" s="207"/>
      <c r="M40" s="207"/>
      <c r="N40" s="206"/>
      <c r="O40" s="206"/>
      <c r="P40" s="207"/>
      <c r="Q40" s="207"/>
      <c r="R40" s="206"/>
      <c r="S40" s="206"/>
      <c r="T40" s="207"/>
      <c r="U40" s="207"/>
      <c r="V40" s="206"/>
      <c r="W40" s="206"/>
      <c r="X40" s="207"/>
      <c r="Y40" s="207"/>
      <c r="Z40" s="206"/>
      <c r="AA40" s="206"/>
      <c r="AB40" s="207"/>
      <c r="AC40" s="207"/>
      <c r="AD40" s="206"/>
      <c r="AE40" s="206"/>
      <c r="AF40" s="207"/>
      <c r="AG40" s="207"/>
      <c r="AH40" s="206"/>
      <c r="AI40" s="206"/>
      <c r="AJ40" s="207"/>
      <c r="AK40" s="207"/>
      <c r="AL40" s="206"/>
      <c r="AM40" s="206"/>
      <c r="AN40" s="206"/>
      <c r="AO40" s="198" t="str">
        <f>IFERROR(VLOOKUP(D40,'Reference Records'!$C$213:$E$334,3,FALSE),"")</f>
        <v/>
      </c>
      <c r="AP40" s="253" t="e">
        <f>VLOOKUP(AO40,'Reference Records'!$E$213:$F$334,2,0)</f>
        <v>#N/A</v>
      </c>
      <c r="AQ40" s="253" t="e">
        <f>MATCH($AP40,'Reference Records'!$E$413:$E$618,0)+ROW(Population_by_intervention) -1</f>
        <v>#N/A</v>
      </c>
      <c r="AR40" s="253" t="e">
        <f>MATCH($AP40,'Reference Records'!$E$413:$E$618,1)+ROW(Population_by_intervention) -1</f>
        <v>#N/A</v>
      </c>
      <c r="AS40" s="253" t="str">
        <f t="shared" si="0"/>
        <v>|empty|</v>
      </c>
      <c r="AT40" s="253" t="str">
        <f>IF(AS40="","",IFERROR(VLOOKUP(AS40,'Overview - Section A'!AF$155:AG287,2,0),VLOOKUP("|empty|",'Overview - Section A'!AF$155:AG287,2,0)))</f>
        <v>INT-211703</v>
      </c>
      <c r="AU40" s="206"/>
      <c r="AV40" s="206"/>
      <c r="AY40" s="253">
        <f t="shared" si="2"/>
        <v>4096</v>
      </c>
      <c r="AZ40" s="253">
        <f ca="1">AZ39+'update Helper'!$X$2</f>
        <v>4497</v>
      </c>
      <c r="BC40" s="253" t="str">
        <f ca="1">IF(INDIRECT("'update Helper'!S"&amp;AY40)=0,"",IFERROR(VLOOKUP(INDIRECT("'update Helper'!S"&amp;AY40),'Account Role'!A$1:B$15,2,0),IFERROR(VLOOKUP(INDIRECT("'update Helper'!I"&amp;AY40),'Overview - Section A'!J$26:P$107,7,0),"")))</f>
        <v/>
      </c>
      <c r="BD40" s="253" t="str">
        <f ca="1">IFERROR(INDEX('Overview - Section A'!A$154:A287,MATCH(INDIRECT("'update Helper'!Q"&amp;AY40),'Overview - Section A'!AQ$154:AQ287,0)),"")</f>
        <v/>
      </c>
      <c r="BE40" s="253" t="str">
        <f>IFERROR(INDEX('Overview - Section A'!O$154:O287,MATCH(AT40,'Overview - Section A'!AQ$154:AQ287,0)),"")</f>
        <v/>
      </c>
      <c r="BF40" s="253" t="str">
        <f>IFERROR(INDEX('Overview - Section A'!H$154:H287,MATCH(AT40,'Overview - Section A'!AQ$154:AQ287,0)),"")</f>
        <v/>
      </c>
    </row>
    <row r="41" spans="1:58" s="253" customFormat="1" ht="30" customHeight="1" x14ac:dyDescent="0.35">
      <c r="A41" s="189">
        <v>33</v>
      </c>
      <c r="B41" s="206"/>
      <c r="C41" s="206"/>
      <c r="D41" s="206"/>
      <c r="E41" s="206"/>
      <c r="F41" s="206"/>
      <c r="G41" s="207"/>
      <c r="H41" s="207"/>
      <c r="I41" s="207"/>
      <c r="J41" s="206"/>
      <c r="K41" s="206"/>
      <c r="L41" s="207"/>
      <c r="M41" s="207"/>
      <c r="N41" s="206"/>
      <c r="O41" s="206"/>
      <c r="P41" s="207"/>
      <c r="Q41" s="207"/>
      <c r="R41" s="206"/>
      <c r="S41" s="206"/>
      <c r="T41" s="207"/>
      <c r="U41" s="207"/>
      <c r="V41" s="206"/>
      <c r="W41" s="206"/>
      <c r="X41" s="207"/>
      <c r="Y41" s="207"/>
      <c r="Z41" s="206"/>
      <c r="AA41" s="206"/>
      <c r="AB41" s="207"/>
      <c r="AC41" s="207"/>
      <c r="AD41" s="206"/>
      <c r="AE41" s="206"/>
      <c r="AF41" s="207"/>
      <c r="AG41" s="207"/>
      <c r="AH41" s="206"/>
      <c r="AI41" s="206"/>
      <c r="AJ41" s="207"/>
      <c r="AK41" s="207"/>
      <c r="AL41" s="206"/>
      <c r="AM41" s="206"/>
      <c r="AN41" s="206"/>
      <c r="AO41" s="198" t="str">
        <f>IFERROR(VLOOKUP(D41,'Reference Records'!$C$213:$E$334,3,FALSE),"")</f>
        <v/>
      </c>
      <c r="AP41" s="253" t="e">
        <f>VLOOKUP(AO41,'Reference Records'!$E$213:$F$334,2,0)</f>
        <v>#N/A</v>
      </c>
      <c r="AQ41" s="253" t="e">
        <f>MATCH($AP41,'Reference Records'!$E$413:$E$618,0)+ROW(Population_by_intervention) -1</f>
        <v>#N/A</v>
      </c>
      <c r="AR41" s="253" t="e">
        <f>MATCH($AP41,'Reference Records'!$E$413:$E$618,1)+ROW(Population_by_intervention) -1</f>
        <v>#N/A</v>
      </c>
      <c r="AS41" s="253" t="str">
        <f t="shared" si="0"/>
        <v>|empty|</v>
      </c>
      <c r="AT41" s="253" t="str">
        <f>IF(AS41="","",IFERROR(VLOOKUP(AS41,'Overview - Section A'!AF$155:AG288,2,0),VLOOKUP("|empty|",'Overview - Section A'!AF$155:AG288,2,0)))</f>
        <v>INT-211703</v>
      </c>
      <c r="AU41" s="206"/>
      <c r="AV41" s="206"/>
      <c r="AY41" s="253">
        <f t="shared" si="2"/>
        <v>4097</v>
      </c>
      <c r="AZ41" s="253">
        <f ca="1">AZ40+'update Helper'!$X$2</f>
        <v>4503</v>
      </c>
      <c r="BC41" s="253" t="str">
        <f ca="1">IF(INDIRECT("'update Helper'!S"&amp;AY41)=0,"",IFERROR(VLOOKUP(INDIRECT("'update Helper'!S"&amp;AY41),'Account Role'!A$1:B$15,2,0),IFERROR(VLOOKUP(INDIRECT("'update Helper'!I"&amp;AY41),'Overview - Section A'!J$26:P$107,7,0),"")))</f>
        <v/>
      </c>
      <c r="BD41" s="253" t="str">
        <f ca="1">IFERROR(INDEX('Overview - Section A'!A$154:A288,MATCH(INDIRECT("'update Helper'!Q"&amp;AY41),'Overview - Section A'!AQ$154:AQ288,0)),"")</f>
        <v/>
      </c>
      <c r="BE41" s="253" t="str">
        <f>IFERROR(INDEX('Overview - Section A'!O$154:O288,MATCH(AT41,'Overview - Section A'!AQ$154:AQ288,0)),"")</f>
        <v/>
      </c>
      <c r="BF41" s="253" t="str">
        <f>IFERROR(INDEX('Overview - Section A'!H$154:H288,MATCH(AT41,'Overview - Section A'!AQ$154:AQ288,0)),"")</f>
        <v/>
      </c>
    </row>
    <row r="42" spans="1:58" s="253" customFormat="1" ht="30" customHeight="1" x14ac:dyDescent="0.35">
      <c r="A42" s="189">
        <v>34</v>
      </c>
      <c r="B42" s="206"/>
      <c r="C42" s="206"/>
      <c r="D42" s="206"/>
      <c r="E42" s="206"/>
      <c r="F42" s="206"/>
      <c r="G42" s="207"/>
      <c r="H42" s="207"/>
      <c r="I42" s="207"/>
      <c r="J42" s="206"/>
      <c r="K42" s="206"/>
      <c r="L42" s="207"/>
      <c r="M42" s="207"/>
      <c r="N42" s="206"/>
      <c r="O42" s="206"/>
      <c r="P42" s="207"/>
      <c r="Q42" s="207"/>
      <c r="R42" s="206"/>
      <c r="S42" s="206"/>
      <c r="T42" s="207"/>
      <c r="U42" s="207"/>
      <c r="V42" s="206"/>
      <c r="W42" s="206"/>
      <c r="X42" s="207"/>
      <c r="Y42" s="207"/>
      <c r="Z42" s="206"/>
      <c r="AA42" s="206"/>
      <c r="AB42" s="207"/>
      <c r="AC42" s="207"/>
      <c r="AD42" s="206"/>
      <c r="AE42" s="206"/>
      <c r="AF42" s="207"/>
      <c r="AG42" s="207"/>
      <c r="AH42" s="206"/>
      <c r="AI42" s="206"/>
      <c r="AJ42" s="207"/>
      <c r="AK42" s="207"/>
      <c r="AL42" s="206"/>
      <c r="AM42" s="206"/>
      <c r="AN42" s="206"/>
      <c r="AO42" s="198" t="str">
        <f>IFERROR(VLOOKUP(D42,'Reference Records'!$C$213:$E$334,3,FALSE),"")</f>
        <v/>
      </c>
      <c r="AP42" s="253" t="e">
        <f>VLOOKUP(AO42,'Reference Records'!$E$213:$F$334,2,0)</f>
        <v>#N/A</v>
      </c>
      <c r="AQ42" s="253" t="e">
        <f>MATCH($AP42,'Reference Records'!$E$413:$E$618,0)+ROW(Population_by_intervention) -1</f>
        <v>#N/A</v>
      </c>
      <c r="AR42" s="253" t="e">
        <f>MATCH($AP42,'Reference Records'!$E$413:$E$618,1)+ROW(Population_by_intervention) -1</f>
        <v>#N/A</v>
      </c>
      <c r="AS42" s="253" t="str">
        <f t="shared" si="0"/>
        <v>|empty|</v>
      </c>
      <c r="AT42" s="253" t="str">
        <f>IF(AS42="","",IFERROR(VLOOKUP(AS42,'Overview - Section A'!AF$155:AG289,2,0),VLOOKUP("|empty|",'Overview - Section A'!AF$155:AG289,2,0)))</f>
        <v>INT-211703</v>
      </c>
      <c r="AU42" s="206"/>
      <c r="AV42" s="206"/>
      <c r="AY42" s="253">
        <f t="shared" si="2"/>
        <v>4098</v>
      </c>
      <c r="AZ42" s="253">
        <f ca="1">AZ41+'update Helper'!$X$2</f>
        <v>4509</v>
      </c>
      <c r="BC42" s="253" t="str">
        <f ca="1">IF(INDIRECT("'update Helper'!S"&amp;AY42)=0,"",IFERROR(VLOOKUP(INDIRECT("'update Helper'!S"&amp;AY42),'Account Role'!A$1:B$15,2,0),IFERROR(VLOOKUP(INDIRECT("'update Helper'!I"&amp;AY42),'Overview - Section A'!J$26:P$107,7,0),"")))</f>
        <v/>
      </c>
      <c r="BD42" s="253" t="str">
        <f ca="1">IFERROR(INDEX('Overview - Section A'!A$154:A289,MATCH(INDIRECT("'update Helper'!Q"&amp;AY42),'Overview - Section A'!AQ$154:AQ289,0)),"")</f>
        <v/>
      </c>
      <c r="BE42" s="253" t="str">
        <f>IFERROR(INDEX('Overview - Section A'!O$154:O289,MATCH(AT42,'Overview - Section A'!AQ$154:AQ289,0)),"")</f>
        <v/>
      </c>
      <c r="BF42" s="253" t="str">
        <f>IFERROR(INDEX('Overview - Section A'!H$154:H289,MATCH(AT42,'Overview - Section A'!AQ$154:AQ289,0)),"")</f>
        <v/>
      </c>
    </row>
    <row r="43" spans="1:58" s="253" customFormat="1" ht="30" customHeight="1" x14ac:dyDescent="0.35">
      <c r="A43" s="189">
        <v>35</v>
      </c>
      <c r="B43" s="206"/>
      <c r="C43" s="206"/>
      <c r="D43" s="206"/>
      <c r="E43" s="206"/>
      <c r="F43" s="206"/>
      <c r="G43" s="207"/>
      <c r="H43" s="207"/>
      <c r="I43" s="207"/>
      <c r="J43" s="206"/>
      <c r="K43" s="206"/>
      <c r="L43" s="207"/>
      <c r="M43" s="207"/>
      <c r="N43" s="206"/>
      <c r="O43" s="206"/>
      <c r="P43" s="207"/>
      <c r="Q43" s="207"/>
      <c r="R43" s="206"/>
      <c r="S43" s="206"/>
      <c r="T43" s="207"/>
      <c r="U43" s="207"/>
      <c r="V43" s="206"/>
      <c r="W43" s="206"/>
      <c r="X43" s="207"/>
      <c r="Y43" s="207"/>
      <c r="Z43" s="206"/>
      <c r="AA43" s="206"/>
      <c r="AB43" s="207"/>
      <c r="AC43" s="207"/>
      <c r="AD43" s="206"/>
      <c r="AE43" s="206"/>
      <c r="AF43" s="207"/>
      <c r="AG43" s="207"/>
      <c r="AH43" s="206"/>
      <c r="AI43" s="206"/>
      <c r="AJ43" s="207"/>
      <c r="AK43" s="207"/>
      <c r="AL43" s="206"/>
      <c r="AM43" s="206"/>
      <c r="AN43" s="206"/>
      <c r="AO43" s="198" t="str">
        <f>IFERROR(VLOOKUP(D43,'Reference Records'!$C$213:$E$334,3,FALSE),"")</f>
        <v/>
      </c>
      <c r="AP43" s="253" t="e">
        <f>VLOOKUP(AO43,'Reference Records'!$E$213:$F$334,2,0)</f>
        <v>#N/A</v>
      </c>
      <c r="AQ43" s="253" t="e">
        <f>MATCH($AP43,'Reference Records'!$E$413:$E$618,0)+ROW(Population_by_intervention) -1</f>
        <v>#N/A</v>
      </c>
      <c r="AR43" s="253" t="e">
        <f>MATCH($AP43,'Reference Records'!$E$413:$E$618,1)+ROW(Population_by_intervention) -1</f>
        <v>#N/A</v>
      </c>
      <c r="AS43" s="253" t="str">
        <f t="shared" si="0"/>
        <v>|empty|</v>
      </c>
      <c r="AT43" s="253" t="str">
        <f>IF(AS43="","",IFERROR(VLOOKUP(AS43,'Overview - Section A'!AF$155:AG290,2,0),VLOOKUP("|empty|",'Overview - Section A'!AF$155:AG290,2,0)))</f>
        <v>INT-211703</v>
      </c>
      <c r="AU43" s="206"/>
      <c r="AV43" s="206"/>
      <c r="AY43" s="253">
        <f t="shared" si="2"/>
        <v>4099</v>
      </c>
      <c r="AZ43" s="253">
        <f ca="1">AZ42+'update Helper'!$X$2</f>
        <v>4515</v>
      </c>
      <c r="BC43" s="253" t="str">
        <f ca="1">IF(INDIRECT("'update Helper'!S"&amp;AY43)=0,"",IFERROR(VLOOKUP(INDIRECT("'update Helper'!S"&amp;AY43),'Account Role'!A$1:B$15,2,0),IFERROR(VLOOKUP(INDIRECT("'update Helper'!I"&amp;AY43),'Overview - Section A'!J$26:P$107,7,0),"")))</f>
        <v/>
      </c>
      <c r="BD43" s="253" t="str">
        <f ca="1">IFERROR(INDEX('Overview - Section A'!A$154:A290,MATCH(INDIRECT("'update Helper'!Q"&amp;AY43),'Overview - Section A'!AQ$154:AQ290,0)),"")</f>
        <v/>
      </c>
      <c r="BE43" s="253" t="str">
        <f>IFERROR(INDEX('Overview - Section A'!O$154:O290,MATCH(AT43,'Overview - Section A'!AQ$154:AQ290,0)),"")</f>
        <v/>
      </c>
      <c r="BF43" s="253" t="str">
        <f>IFERROR(INDEX('Overview - Section A'!H$154:H290,MATCH(AT43,'Overview - Section A'!AQ$154:AQ290,0)),"")</f>
        <v/>
      </c>
    </row>
    <row r="44" spans="1:58" s="253" customFormat="1" ht="30" customHeight="1" x14ac:dyDescent="0.35">
      <c r="A44" s="189">
        <v>36</v>
      </c>
      <c r="B44" s="206"/>
      <c r="C44" s="206"/>
      <c r="D44" s="206"/>
      <c r="E44" s="206"/>
      <c r="F44" s="206"/>
      <c r="G44" s="207"/>
      <c r="H44" s="207"/>
      <c r="I44" s="207"/>
      <c r="J44" s="206"/>
      <c r="K44" s="206"/>
      <c r="L44" s="207"/>
      <c r="M44" s="207"/>
      <c r="N44" s="206"/>
      <c r="O44" s="206"/>
      <c r="P44" s="207"/>
      <c r="Q44" s="207"/>
      <c r="R44" s="206"/>
      <c r="S44" s="206"/>
      <c r="T44" s="207"/>
      <c r="U44" s="207"/>
      <c r="V44" s="206"/>
      <c r="W44" s="206"/>
      <c r="X44" s="207"/>
      <c r="Y44" s="207"/>
      <c r="Z44" s="206"/>
      <c r="AA44" s="206"/>
      <c r="AB44" s="207"/>
      <c r="AC44" s="207"/>
      <c r="AD44" s="206"/>
      <c r="AE44" s="206"/>
      <c r="AF44" s="207"/>
      <c r="AG44" s="207"/>
      <c r="AH44" s="206"/>
      <c r="AI44" s="206"/>
      <c r="AJ44" s="207"/>
      <c r="AK44" s="207"/>
      <c r="AL44" s="206"/>
      <c r="AM44" s="206"/>
      <c r="AN44" s="206"/>
      <c r="AO44" s="198" t="str">
        <f>IFERROR(VLOOKUP(D44,'Reference Records'!$C$213:$E$334,3,FALSE),"")</f>
        <v/>
      </c>
      <c r="AP44" s="253" t="e">
        <f>VLOOKUP(AO44,'Reference Records'!$E$213:$F$334,2,0)</f>
        <v>#N/A</v>
      </c>
      <c r="AQ44" s="253" t="e">
        <f>MATCH($AP44,'Reference Records'!$E$413:$E$618,0)+ROW(Population_by_intervention) -1</f>
        <v>#N/A</v>
      </c>
      <c r="AR44" s="253" t="e">
        <f>MATCH($AP44,'Reference Records'!$E$413:$E$618,1)+ROW(Population_by_intervention) -1</f>
        <v>#N/A</v>
      </c>
      <c r="AS44" s="253" t="str">
        <f t="shared" si="0"/>
        <v>|empty|</v>
      </c>
      <c r="AT44" s="253" t="str">
        <f>IF(AS44="","",IFERROR(VLOOKUP(AS44,'Overview - Section A'!AF$155:AG291,2,0),VLOOKUP("|empty|",'Overview - Section A'!AF$155:AG291,2,0)))</f>
        <v>INT-211703</v>
      </c>
      <c r="AU44" s="206"/>
      <c r="AV44" s="206"/>
      <c r="AY44" s="253">
        <f t="shared" si="2"/>
        <v>4100</v>
      </c>
      <c r="AZ44" s="253">
        <f ca="1">AZ43+'update Helper'!$X$2</f>
        <v>4521</v>
      </c>
      <c r="BC44" s="253" t="str">
        <f ca="1">IF(INDIRECT("'update Helper'!S"&amp;AY44)=0,"",IFERROR(VLOOKUP(INDIRECT("'update Helper'!S"&amp;AY44),'Account Role'!A$1:B$15,2,0),IFERROR(VLOOKUP(INDIRECT("'update Helper'!I"&amp;AY44),'Overview - Section A'!J$26:P$107,7,0),"")))</f>
        <v/>
      </c>
      <c r="BD44" s="253" t="str">
        <f ca="1">IFERROR(INDEX('Overview - Section A'!A$154:A291,MATCH(INDIRECT("'update Helper'!Q"&amp;AY44),'Overview - Section A'!AQ$154:AQ291,0)),"")</f>
        <v/>
      </c>
      <c r="BE44" s="253" t="str">
        <f>IFERROR(INDEX('Overview - Section A'!O$154:O291,MATCH(AT44,'Overview - Section A'!AQ$154:AQ291,0)),"")</f>
        <v/>
      </c>
      <c r="BF44" s="253" t="str">
        <f>IFERROR(INDEX('Overview - Section A'!H$154:H291,MATCH(AT44,'Overview - Section A'!AQ$154:AQ291,0)),"")</f>
        <v/>
      </c>
    </row>
    <row r="45" spans="1:58" s="253" customFormat="1" ht="30" customHeight="1" x14ac:dyDescent="0.35">
      <c r="A45" s="189">
        <v>37</v>
      </c>
      <c r="B45" s="206"/>
      <c r="C45" s="206"/>
      <c r="D45" s="206"/>
      <c r="E45" s="206"/>
      <c r="F45" s="206"/>
      <c r="G45" s="207"/>
      <c r="H45" s="207"/>
      <c r="I45" s="207"/>
      <c r="J45" s="206"/>
      <c r="K45" s="206"/>
      <c r="L45" s="207"/>
      <c r="M45" s="207"/>
      <c r="N45" s="206"/>
      <c r="O45" s="206"/>
      <c r="P45" s="207"/>
      <c r="Q45" s="207"/>
      <c r="R45" s="206"/>
      <c r="S45" s="206"/>
      <c r="T45" s="207"/>
      <c r="U45" s="207"/>
      <c r="V45" s="206"/>
      <c r="W45" s="206"/>
      <c r="X45" s="207"/>
      <c r="Y45" s="207"/>
      <c r="Z45" s="206"/>
      <c r="AA45" s="206"/>
      <c r="AB45" s="207"/>
      <c r="AC45" s="207"/>
      <c r="AD45" s="206"/>
      <c r="AE45" s="206"/>
      <c r="AF45" s="207"/>
      <c r="AG45" s="207"/>
      <c r="AH45" s="206"/>
      <c r="AI45" s="206"/>
      <c r="AJ45" s="207"/>
      <c r="AK45" s="207"/>
      <c r="AL45" s="206"/>
      <c r="AM45" s="206"/>
      <c r="AN45" s="206"/>
      <c r="AO45" s="198" t="str">
        <f>IFERROR(VLOOKUP(D45,'Reference Records'!$C$213:$E$334,3,FALSE),"")</f>
        <v/>
      </c>
      <c r="AP45" s="253" t="e">
        <f>VLOOKUP(AO45,'Reference Records'!$E$213:$F$334,2,0)</f>
        <v>#N/A</v>
      </c>
      <c r="AQ45" s="253" t="e">
        <f>MATCH($AP45,'Reference Records'!$E$413:$E$618,0)+ROW(Population_by_intervention) -1</f>
        <v>#N/A</v>
      </c>
      <c r="AR45" s="253" t="e">
        <f>MATCH($AP45,'Reference Records'!$E$413:$E$618,1)+ROW(Population_by_intervention) -1</f>
        <v>#N/A</v>
      </c>
      <c r="AS45" s="253" t="str">
        <f t="shared" si="0"/>
        <v>|empty|</v>
      </c>
      <c r="AT45" s="253" t="str">
        <f>IF(AS45="","",IFERROR(VLOOKUP(AS45,'Overview - Section A'!AF$155:AG292,2,0),VLOOKUP("|empty|",'Overview - Section A'!AF$155:AG292,2,0)))</f>
        <v>INT-211703</v>
      </c>
      <c r="AU45" s="206"/>
      <c r="AV45" s="206"/>
      <c r="AY45" s="253">
        <f t="shared" si="2"/>
        <v>4101</v>
      </c>
      <c r="AZ45" s="253">
        <f ca="1">AZ44+'update Helper'!$X$2</f>
        <v>4527</v>
      </c>
      <c r="BC45" s="253" t="str">
        <f ca="1">IF(INDIRECT("'update Helper'!S"&amp;AY45)=0,"",IFERROR(VLOOKUP(INDIRECT("'update Helper'!S"&amp;AY45),'Account Role'!A$1:B$15,2,0),IFERROR(VLOOKUP(INDIRECT("'update Helper'!I"&amp;AY45),'Overview - Section A'!J$26:P$107,7,0),"")))</f>
        <v/>
      </c>
      <c r="BD45" s="253" t="str">
        <f ca="1">IFERROR(INDEX('Overview - Section A'!A$154:A292,MATCH(INDIRECT("'update Helper'!Q"&amp;AY45),'Overview - Section A'!AQ$154:AQ292,0)),"")</f>
        <v/>
      </c>
      <c r="BE45" s="253" t="str">
        <f>IFERROR(INDEX('Overview - Section A'!O$154:O292,MATCH(AT45,'Overview - Section A'!AQ$154:AQ292,0)),"")</f>
        <v/>
      </c>
      <c r="BF45" s="253" t="str">
        <f>IFERROR(INDEX('Overview - Section A'!H$154:H292,MATCH(AT45,'Overview - Section A'!AQ$154:AQ292,0)),"")</f>
        <v/>
      </c>
    </row>
    <row r="46" spans="1:58" s="253" customFormat="1" ht="30" customHeight="1" x14ac:dyDescent="0.35">
      <c r="A46" s="189">
        <v>38</v>
      </c>
      <c r="B46" s="206"/>
      <c r="C46" s="206"/>
      <c r="D46" s="206"/>
      <c r="E46" s="206"/>
      <c r="F46" s="206"/>
      <c r="G46" s="207"/>
      <c r="H46" s="207"/>
      <c r="I46" s="207"/>
      <c r="J46" s="206"/>
      <c r="K46" s="206"/>
      <c r="L46" s="207"/>
      <c r="M46" s="207"/>
      <c r="N46" s="206"/>
      <c r="O46" s="206"/>
      <c r="P46" s="207"/>
      <c r="Q46" s="207"/>
      <c r="R46" s="206"/>
      <c r="S46" s="206"/>
      <c r="T46" s="207"/>
      <c r="U46" s="207"/>
      <c r="V46" s="206"/>
      <c r="W46" s="206"/>
      <c r="X46" s="207"/>
      <c r="Y46" s="207"/>
      <c r="Z46" s="206"/>
      <c r="AA46" s="206"/>
      <c r="AB46" s="207"/>
      <c r="AC46" s="207"/>
      <c r="AD46" s="206"/>
      <c r="AE46" s="206"/>
      <c r="AF46" s="207"/>
      <c r="AG46" s="207"/>
      <c r="AH46" s="206"/>
      <c r="AI46" s="206"/>
      <c r="AJ46" s="207"/>
      <c r="AK46" s="207"/>
      <c r="AL46" s="206"/>
      <c r="AM46" s="206"/>
      <c r="AN46" s="206"/>
      <c r="AO46" s="198" t="str">
        <f>IFERROR(VLOOKUP(D46,'Reference Records'!$C$213:$E$334,3,FALSE),"")</f>
        <v/>
      </c>
      <c r="AP46" s="253" t="e">
        <f>VLOOKUP(AO46,'Reference Records'!$E$213:$F$334,2,0)</f>
        <v>#N/A</v>
      </c>
      <c r="AQ46" s="253" t="e">
        <f>MATCH($AP46,'Reference Records'!$E$413:$E$618,0)+ROW(Population_by_intervention) -1</f>
        <v>#N/A</v>
      </c>
      <c r="AR46" s="253" t="e">
        <f>MATCH($AP46,'Reference Records'!$E$413:$E$618,1)+ROW(Population_by_intervention) -1</f>
        <v>#N/A</v>
      </c>
      <c r="AS46" s="253" t="str">
        <f t="shared" si="0"/>
        <v>|empty|</v>
      </c>
      <c r="AT46" s="253" t="str">
        <f>IF(AS46="","",IFERROR(VLOOKUP(AS46,'Overview - Section A'!AF$155:AG293,2,0),VLOOKUP("|empty|",'Overview - Section A'!AF$155:AG293,2,0)))</f>
        <v>INT-211703</v>
      </c>
      <c r="AU46" s="206"/>
      <c r="AV46" s="206"/>
      <c r="AY46" s="253">
        <f t="shared" si="2"/>
        <v>4102</v>
      </c>
      <c r="AZ46" s="253">
        <f ca="1">AZ45+'update Helper'!$X$2</f>
        <v>4533</v>
      </c>
      <c r="BC46" s="253" t="str">
        <f ca="1">IF(INDIRECT("'update Helper'!S"&amp;AY46)=0,"",IFERROR(VLOOKUP(INDIRECT("'update Helper'!S"&amp;AY46),'Account Role'!A$1:B$15,2,0),IFERROR(VLOOKUP(INDIRECT("'update Helper'!I"&amp;AY46),'Overview - Section A'!J$26:P$107,7,0),"")))</f>
        <v/>
      </c>
      <c r="BD46" s="253" t="str">
        <f ca="1">IFERROR(INDEX('Overview - Section A'!A$154:A293,MATCH(INDIRECT("'update Helper'!Q"&amp;AY46),'Overview - Section A'!AQ$154:AQ293,0)),"")</f>
        <v/>
      </c>
      <c r="BE46" s="253" t="str">
        <f>IFERROR(INDEX('Overview - Section A'!O$154:O293,MATCH(AT46,'Overview - Section A'!AQ$154:AQ293,0)),"")</f>
        <v/>
      </c>
      <c r="BF46" s="253" t="str">
        <f>IFERROR(INDEX('Overview - Section A'!H$154:H293,MATCH(AT46,'Overview - Section A'!AQ$154:AQ293,0)),"")</f>
        <v/>
      </c>
    </row>
    <row r="47" spans="1:58" s="253" customFormat="1" ht="30" customHeight="1" x14ac:dyDescent="0.35">
      <c r="A47" s="189">
        <v>39</v>
      </c>
      <c r="B47" s="206"/>
      <c r="C47" s="206"/>
      <c r="D47" s="206"/>
      <c r="E47" s="206"/>
      <c r="F47" s="206"/>
      <c r="G47" s="207"/>
      <c r="H47" s="207"/>
      <c r="I47" s="207"/>
      <c r="J47" s="206"/>
      <c r="K47" s="206"/>
      <c r="L47" s="207"/>
      <c r="M47" s="207"/>
      <c r="N47" s="206"/>
      <c r="O47" s="206"/>
      <c r="P47" s="207"/>
      <c r="Q47" s="207"/>
      <c r="R47" s="206"/>
      <c r="S47" s="206"/>
      <c r="T47" s="207"/>
      <c r="U47" s="207"/>
      <c r="V47" s="206"/>
      <c r="W47" s="206"/>
      <c r="X47" s="207"/>
      <c r="Y47" s="207"/>
      <c r="Z47" s="206"/>
      <c r="AA47" s="206"/>
      <c r="AB47" s="207"/>
      <c r="AC47" s="207"/>
      <c r="AD47" s="206"/>
      <c r="AE47" s="206"/>
      <c r="AF47" s="207"/>
      <c r="AG47" s="207"/>
      <c r="AH47" s="206"/>
      <c r="AI47" s="206"/>
      <c r="AJ47" s="207"/>
      <c r="AK47" s="207"/>
      <c r="AL47" s="206"/>
      <c r="AM47" s="206"/>
      <c r="AN47" s="206"/>
      <c r="AO47" s="198" t="str">
        <f>IFERROR(VLOOKUP(D47,'Reference Records'!$C$213:$E$334,3,FALSE),"")</f>
        <v/>
      </c>
      <c r="AP47" s="253" t="e">
        <f>VLOOKUP(AO47,'Reference Records'!$E$213:$F$334,2,0)</f>
        <v>#N/A</v>
      </c>
      <c r="AQ47" s="253" t="e">
        <f>MATCH($AP47,'Reference Records'!$E$413:$E$618,0)+ROW(Population_by_intervention) -1</f>
        <v>#N/A</v>
      </c>
      <c r="AR47" s="253" t="e">
        <f>MATCH($AP47,'Reference Records'!$E$413:$E$618,1)+ROW(Population_by_intervention) -1</f>
        <v>#N/A</v>
      </c>
      <c r="AS47" s="253" t="str">
        <f t="shared" si="0"/>
        <v>|empty|</v>
      </c>
      <c r="AT47" s="253" t="str">
        <f>IF(AS47="","",IFERROR(VLOOKUP(AS47,'Overview - Section A'!AF$155:AG294,2,0),VLOOKUP("|empty|",'Overview - Section A'!AF$155:AG294,2,0)))</f>
        <v>INT-211703</v>
      </c>
      <c r="AU47" s="206"/>
      <c r="AV47" s="206"/>
      <c r="AY47" s="253">
        <f t="shared" si="2"/>
        <v>4103</v>
      </c>
      <c r="AZ47" s="253">
        <f ca="1">AZ46+'update Helper'!$X$2</f>
        <v>4539</v>
      </c>
      <c r="BC47" s="253" t="str">
        <f ca="1">IF(INDIRECT("'update Helper'!S"&amp;AY47)=0,"",IFERROR(VLOOKUP(INDIRECT("'update Helper'!S"&amp;AY47),'Account Role'!A$1:B$15,2,0),IFERROR(VLOOKUP(INDIRECT("'update Helper'!I"&amp;AY47),'Overview - Section A'!J$26:P$107,7,0),"")))</f>
        <v/>
      </c>
      <c r="BD47" s="253" t="str">
        <f ca="1">IFERROR(INDEX('Overview - Section A'!A$154:A294,MATCH(INDIRECT("'update Helper'!Q"&amp;AY47),'Overview - Section A'!AQ$154:AQ294,0)),"")</f>
        <v/>
      </c>
      <c r="BE47" s="253" t="str">
        <f>IFERROR(INDEX('Overview - Section A'!O$154:O294,MATCH(AT47,'Overview - Section A'!AQ$154:AQ294,0)),"")</f>
        <v/>
      </c>
      <c r="BF47" s="253" t="str">
        <f>IFERROR(INDEX('Overview - Section A'!H$154:H294,MATCH(AT47,'Overview - Section A'!AQ$154:AQ294,0)),"")</f>
        <v/>
      </c>
    </row>
    <row r="48" spans="1:58" s="253" customFormat="1" ht="30" customHeight="1" x14ac:dyDescent="0.35">
      <c r="A48" s="189">
        <v>40</v>
      </c>
      <c r="B48" s="206"/>
      <c r="C48" s="206"/>
      <c r="D48" s="206"/>
      <c r="E48" s="206"/>
      <c r="F48" s="206"/>
      <c r="G48" s="207"/>
      <c r="H48" s="207"/>
      <c r="I48" s="207"/>
      <c r="J48" s="206"/>
      <c r="K48" s="206"/>
      <c r="L48" s="207"/>
      <c r="M48" s="207"/>
      <c r="N48" s="206"/>
      <c r="O48" s="206"/>
      <c r="P48" s="207"/>
      <c r="Q48" s="207"/>
      <c r="R48" s="206"/>
      <c r="S48" s="206"/>
      <c r="T48" s="207"/>
      <c r="U48" s="207"/>
      <c r="V48" s="206"/>
      <c r="W48" s="206"/>
      <c r="X48" s="207"/>
      <c r="Y48" s="207"/>
      <c r="Z48" s="206"/>
      <c r="AA48" s="206"/>
      <c r="AB48" s="207"/>
      <c r="AC48" s="207"/>
      <c r="AD48" s="206"/>
      <c r="AE48" s="206"/>
      <c r="AF48" s="207"/>
      <c r="AG48" s="207"/>
      <c r="AH48" s="206"/>
      <c r="AI48" s="206"/>
      <c r="AJ48" s="207"/>
      <c r="AK48" s="207"/>
      <c r="AL48" s="206"/>
      <c r="AM48" s="206"/>
      <c r="AN48" s="206"/>
      <c r="AO48" s="198" t="str">
        <f>IFERROR(VLOOKUP(D48,'Reference Records'!$C$213:$E$334,3,FALSE),"")</f>
        <v/>
      </c>
      <c r="AP48" s="253" t="e">
        <f>VLOOKUP(AO48,'Reference Records'!$E$213:$F$334,2,0)</f>
        <v>#N/A</v>
      </c>
      <c r="AQ48" s="253" t="e">
        <f>MATCH($AP48,'Reference Records'!$E$413:$E$618,0)+ROW(Population_by_intervention) -1</f>
        <v>#N/A</v>
      </c>
      <c r="AR48" s="253" t="e">
        <f>MATCH($AP48,'Reference Records'!$E$413:$E$618,1)+ROW(Population_by_intervention) -1</f>
        <v>#N/A</v>
      </c>
      <c r="AS48" s="253" t="str">
        <f t="shared" si="0"/>
        <v>|empty|</v>
      </c>
      <c r="AT48" s="253" t="str">
        <f>IF(AS48="","",IFERROR(VLOOKUP(AS48,'Overview - Section A'!AF$155:AG295,2,0),VLOOKUP("|empty|",'Overview - Section A'!AF$155:AG295,2,0)))</f>
        <v>INT-211703</v>
      </c>
      <c r="AU48" s="206"/>
      <c r="AV48" s="206"/>
      <c r="AY48" s="253">
        <f t="shared" si="2"/>
        <v>4104</v>
      </c>
      <c r="AZ48" s="253">
        <f ca="1">AZ47+'update Helper'!$X$2</f>
        <v>4545</v>
      </c>
      <c r="BC48" s="253" t="str">
        <f ca="1">IF(INDIRECT("'update Helper'!S"&amp;AY48)=0,"",IFERROR(VLOOKUP(INDIRECT("'update Helper'!S"&amp;AY48),'Account Role'!A$1:B$15,2,0),IFERROR(VLOOKUP(INDIRECT("'update Helper'!I"&amp;AY48),'Overview - Section A'!J$26:P$107,7,0),"")))</f>
        <v/>
      </c>
      <c r="BD48" s="253" t="str">
        <f ca="1">IFERROR(INDEX('Overview - Section A'!A$154:A295,MATCH(INDIRECT("'update Helper'!Q"&amp;AY48),'Overview - Section A'!AQ$154:AQ295,0)),"")</f>
        <v/>
      </c>
      <c r="BE48" s="253" t="str">
        <f>IFERROR(INDEX('Overview - Section A'!O$154:O295,MATCH(AT48,'Overview - Section A'!AQ$154:AQ295,0)),"")</f>
        <v/>
      </c>
      <c r="BF48" s="253" t="str">
        <f>IFERROR(INDEX('Overview - Section A'!H$154:H295,MATCH(AT48,'Overview - Section A'!AQ$154:AQ295,0)),"")</f>
        <v/>
      </c>
    </row>
    <row r="49" spans="1:58" s="253" customFormat="1" ht="30" customHeight="1" x14ac:dyDescent="0.35">
      <c r="A49" s="189">
        <v>41</v>
      </c>
      <c r="B49" s="206"/>
      <c r="C49" s="206"/>
      <c r="D49" s="206"/>
      <c r="E49" s="206"/>
      <c r="F49" s="206"/>
      <c r="G49" s="207"/>
      <c r="H49" s="207"/>
      <c r="I49" s="207"/>
      <c r="J49" s="206"/>
      <c r="K49" s="206"/>
      <c r="L49" s="207"/>
      <c r="M49" s="207"/>
      <c r="N49" s="206"/>
      <c r="O49" s="206"/>
      <c r="P49" s="207"/>
      <c r="Q49" s="207"/>
      <c r="R49" s="206"/>
      <c r="S49" s="206"/>
      <c r="T49" s="207"/>
      <c r="U49" s="207"/>
      <c r="V49" s="206"/>
      <c r="W49" s="206"/>
      <c r="X49" s="207"/>
      <c r="Y49" s="207"/>
      <c r="Z49" s="206"/>
      <c r="AA49" s="206"/>
      <c r="AB49" s="207"/>
      <c r="AC49" s="207"/>
      <c r="AD49" s="206"/>
      <c r="AE49" s="206"/>
      <c r="AF49" s="207"/>
      <c r="AG49" s="207"/>
      <c r="AH49" s="206"/>
      <c r="AI49" s="206"/>
      <c r="AJ49" s="207"/>
      <c r="AK49" s="207"/>
      <c r="AL49" s="206"/>
      <c r="AM49" s="206"/>
      <c r="AN49" s="206"/>
      <c r="AO49" s="198" t="str">
        <f>IFERROR(VLOOKUP(D49,'Reference Records'!$C$213:$E$334,3,FALSE),"")</f>
        <v/>
      </c>
      <c r="AP49" s="253" t="e">
        <f>VLOOKUP(AO49,'Reference Records'!$E$213:$F$334,2,0)</f>
        <v>#N/A</v>
      </c>
      <c r="AQ49" s="253" t="e">
        <f>MATCH($AP49,'Reference Records'!$E$413:$E$618,0)+ROW(Population_by_intervention) -1</f>
        <v>#N/A</v>
      </c>
      <c r="AR49" s="253" t="e">
        <f>MATCH($AP49,'Reference Records'!$E$413:$E$618,1)+ROW(Population_by_intervention) -1</f>
        <v>#N/A</v>
      </c>
      <c r="AS49" s="253" t="str">
        <f t="shared" si="0"/>
        <v>|empty|</v>
      </c>
      <c r="AT49" s="253" t="str">
        <f>IF(AS49="","",IFERROR(VLOOKUP(AS49,'Overview - Section A'!AF$155:AG296,2,0),VLOOKUP("|empty|",'Overview - Section A'!AF$155:AG296,2,0)))</f>
        <v>INT-211703</v>
      </c>
      <c r="AU49" s="206"/>
      <c r="AV49" s="206"/>
      <c r="AY49" s="253">
        <f t="shared" si="2"/>
        <v>4105</v>
      </c>
      <c r="AZ49" s="253">
        <f ca="1">AZ48+'update Helper'!$X$2</f>
        <v>4551</v>
      </c>
      <c r="BC49" s="253" t="str">
        <f ca="1">IF(INDIRECT("'update Helper'!S"&amp;AY49)=0,"",IFERROR(VLOOKUP(INDIRECT("'update Helper'!S"&amp;AY49),'Account Role'!A$1:B$15,2,0),IFERROR(VLOOKUP(INDIRECT("'update Helper'!I"&amp;AY49),'Overview - Section A'!J$26:P$107,7,0),"")))</f>
        <v/>
      </c>
      <c r="BD49" s="253" t="str">
        <f ca="1">IFERROR(INDEX('Overview - Section A'!A$154:A296,MATCH(INDIRECT("'update Helper'!Q"&amp;AY49),'Overview - Section A'!AQ$154:AQ296,0)),"")</f>
        <v/>
      </c>
      <c r="BE49" s="253" t="str">
        <f>IFERROR(INDEX('Overview - Section A'!O$154:O296,MATCH(AT49,'Overview - Section A'!AQ$154:AQ296,0)),"")</f>
        <v/>
      </c>
      <c r="BF49" s="253" t="str">
        <f>IFERROR(INDEX('Overview - Section A'!H$154:H296,MATCH(AT49,'Overview - Section A'!AQ$154:AQ296,0)),"")</f>
        <v/>
      </c>
    </row>
    <row r="50" spans="1:58" s="253" customFormat="1" ht="30" customHeight="1" x14ac:dyDescent="0.35">
      <c r="A50" s="189">
        <v>42</v>
      </c>
      <c r="B50" s="206"/>
      <c r="C50" s="206"/>
      <c r="D50" s="206"/>
      <c r="E50" s="206"/>
      <c r="F50" s="206"/>
      <c r="G50" s="207"/>
      <c r="H50" s="207"/>
      <c r="I50" s="207"/>
      <c r="J50" s="206"/>
      <c r="K50" s="206"/>
      <c r="L50" s="207"/>
      <c r="M50" s="207"/>
      <c r="N50" s="206"/>
      <c r="O50" s="206"/>
      <c r="P50" s="207"/>
      <c r="Q50" s="207"/>
      <c r="R50" s="206"/>
      <c r="S50" s="206"/>
      <c r="T50" s="207"/>
      <c r="U50" s="207"/>
      <c r="V50" s="206"/>
      <c r="W50" s="206"/>
      <c r="X50" s="207"/>
      <c r="Y50" s="207"/>
      <c r="Z50" s="206"/>
      <c r="AA50" s="206"/>
      <c r="AB50" s="207"/>
      <c r="AC50" s="207"/>
      <c r="AD50" s="206"/>
      <c r="AE50" s="206"/>
      <c r="AF50" s="207"/>
      <c r="AG50" s="207"/>
      <c r="AH50" s="206"/>
      <c r="AI50" s="206"/>
      <c r="AJ50" s="207"/>
      <c r="AK50" s="207"/>
      <c r="AL50" s="206"/>
      <c r="AM50" s="206"/>
      <c r="AN50" s="206"/>
      <c r="AO50" s="198" t="str">
        <f>IFERROR(VLOOKUP(D50,'Reference Records'!$C$213:$E$334,3,FALSE),"")</f>
        <v/>
      </c>
      <c r="AP50" s="253" t="e">
        <f>VLOOKUP(AO50,'Reference Records'!$E$213:$F$334,2,0)</f>
        <v>#N/A</v>
      </c>
      <c r="AQ50" s="253" t="e">
        <f>MATCH($AP50,'Reference Records'!$E$413:$E$618,0)+ROW(Population_by_intervention) -1</f>
        <v>#N/A</v>
      </c>
      <c r="AR50" s="253" t="e">
        <f>MATCH($AP50,'Reference Records'!$E$413:$E$618,1)+ROW(Population_by_intervention) -1</f>
        <v>#N/A</v>
      </c>
      <c r="AS50" s="253" t="str">
        <f t="shared" si="0"/>
        <v>|empty|</v>
      </c>
      <c r="AT50" s="253" t="str">
        <f>IF(AS50="","",IFERROR(VLOOKUP(AS50,'Overview - Section A'!AF$155:AG297,2,0),VLOOKUP("|empty|",'Overview - Section A'!AF$155:AG297,2,0)))</f>
        <v>INT-211703</v>
      </c>
      <c r="AU50" s="206"/>
      <c r="AV50" s="206"/>
      <c r="AY50" s="253">
        <f t="shared" si="2"/>
        <v>4106</v>
      </c>
      <c r="AZ50" s="253">
        <f ca="1">AZ49+'update Helper'!$X$2</f>
        <v>4557</v>
      </c>
      <c r="BC50" s="253" t="str">
        <f ca="1">IF(INDIRECT("'update Helper'!S"&amp;AY50)=0,"",IFERROR(VLOOKUP(INDIRECT("'update Helper'!S"&amp;AY50),'Account Role'!A$1:B$15,2,0),IFERROR(VLOOKUP(INDIRECT("'update Helper'!I"&amp;AY50),'Overview - Section A'!J$26:P$107,7,0),"")))</f>
        <v/>
      </c>
      <c r="BD50" s="253" t="str">
        <f ca="1">IFERROR(INDEX('Overview - Section A'!A$154:A297,MATCH(INDIRECT("'update Helper'!Q"&amp;AY50),'Overview - Section A'!AQ$154:AQ297,0)),"")</f>
        <v/>
      </c>
      <c r="BE50" s="253" t="str">
        <f>IFERROR(INDEX('Overview - Section A'!O$154:O297,MATCH(AT50,'Overview - Section A'!AQ$154:AQ297,0)),"")</f>
        <v/>
      </c>
      <c r="BF50" s="253" t="str">
        <f>IFERROR(INDEX('Overview - Section A'!H$154:H297,MATCH(AT50,'Overview - Section A'!AQ$154:AQ297,0)),"")</f>
        <v/>
      </c>
    </row>
    <row r="51" spans="1:58" s="253" customFormat="1" ht="30" customHeight="1" x14ac:dyDescent="0.35">
      <c r="A51" s="189">
        <v>43</v>
      </c>
      <c r="B51" s="206"/>
      <c r="C51" s="206"/>
      <c r="D51" s="206"/>
      <c r="E51" s="206"/>
      <c r="F51" s="206"/>
      <c r="G51" s="207"/>
      <c r="H51" s="207"/>
      <c r="I51" s="207"/>
      <c r="J51" s="206"/>
      <c r="K51" s="206"/>
      <c r="L51" s="207"/>
      <c r="M51" s="207"/>
      <c r="N51" s="206"/>
      <c r="O51" s="206"/>
      <c r="P51" s="207"/>
      <c r="Q51" s="207"/>
      <c r="R51" s="206"/>
      <c r="S51" s="206"/>
      <c r="T51" s="207"/>
      <c r="U51" s="207"/>
      <c r="V51" s="206"/>
      <c r="W51" s="206"/>
      <c r="X51" s="207"/>
      <c r="Y51" s="207"/>
      <c r="Z51" s="206"/>
      <c r="AA51" s="206"/>
      <c r="AB51" s="207"/>
      <c r="AC51" s="207"/>
      <c r="AD51" s="206"/>
      <c r="AE51" s="206"/>
      <c r="AF51" s="207"/>
      <c r="AG51" s="207"/>
      <c r="AH51" s="206"/>
      <c r="AI51" s="206"/>
      <c r="AJ51" s="207"/>
      <c r="AK51" s="207"/>
      <c r="AL51" s="206"/>
      <c r="AM51" s="206"/>
      <c r="AN51" s="206"/>
      <c r="AO51" s="198" t="str">
        <f>IFERROR(VLOOKUP(D51,'Reference Records'!$C$213:$E$334,3,FALSE),"")</f>
        <v/>
      </c>
      <c r="AP51" s="253" t="e">
        <f>VLOOKUP(AO51,'Reference Records'!$E$213:$F$334,2,0)</f>
        <v>#N/A</v>
      </c>
      <c r="AQ51" s="253" t="e">
        <f>MATCH($AP51,'Reference Records'!$E$413:$E$618,0)+ROW(Population_by_intervention) -1</f>
        <v>#N/A</v>
      </c>
      <c r="AR51" s="253" t="e">
        <f>MATCH($AP51,'Reference Records'!$E$413:$E$618,1)+ROW(Population_by_intervention) -1</f>
        <v>#N/A</v>
      </c>
      <c r="AS51" s="253" t="str">
        <f t="shared" si="0"/>
        <v>|empty|</v>
      </c>
      <c r="AT51" s="253" t="str">
        <f>IF(AS51="","",IFERROR(VLOOKUP(AS51,'Overview - Section A'!AF$155:AG298,2,0),VLOOKUP("|empty|",'Overview - Section A'!AF$155:AG298,2,0)))</f>
        <v>INT-211703</v>
      </c>
      <c r="AU51" s="206"/>
      <c r="AV51" s="206"/>
      <c r="AY51" s="253">
        <f t="shared" si="2"/>
        <v>4107</v>
      </c>
      <c r="AZ51" s="253">
        <f ca="1">AZ50+'update Helper'!$X$2</f>
        <v>4563</v>
      </c>
      <c r="BC51" s="253" t="str">
        <f ca="1">IF(INDIRECT("'update Helper'!S"&amp;AY51)=0,"",IFERROR(VLOOKUP(INDIRECT("'update Helper'!S"&amp;AY51),'Account Role'!A$1:B$15,2,0),IFERROR(VLOOKUP(INDIRECT("'update Helper'!I"&amp;AY51),'Overview - Section A'!J$26:P$107,7,0),"")))</f>
        <v/>
      </c>
      <c r="BD51" s="253" t="str">
        <f ca="1">IFERROR(INDEX('Overview - Section A'!A$154:A298,MATCH(INDIRECT("'update Helper'!Q"&amp;AY51),'Overview - Section A'!AQ$154:AQ298,0)),"")</f>
        <v/>
      </c>
      <c r="BE51" s="253" t="str">
        <f>IFERROR(INDEX('Overview - Section A'!O$154:O298,MATCH(AT51,'Overview - Section A'!AQ$154:AQ298,0)),"")</f>
        <v/>
      </c>
      <c r="BF51" s="253" t="str">
        <f>IFERROR(INDEX('Overview - Section A'!H$154:H298,MATCH(AT51,'Overview - Section A'!AQ$154:AQ298,0)),"")</f>
        <v/>
      </c>
    </row>
    <row r="52" spans="1:58" s="253" customFormat="1" ht="30" customHeight="1" x14ac:dyDescent="0.35">
      <c r="A52" s="189">
        <v>44</v>
      </c>
      <c r="B52" s="206"/>
      <c r="C52" s="206"/>
      <c r="D52" s="206"/>
      <c r="E52" s="206"/>
      <c r="F52" s="206"/>
      <c r="G52" s="207"/>
      <c r="H52" s="207"/>
      <c r="I52" s="207"/>
      <c r="J52" s="206"/>
      <c r="K52" s="206"/>
      <c r="L52" s="207"/>
      <c r="M52" s="207"/>
      <c r="N52" s="206"/>
      <c r="O52" s="206"/>
      <c r="P52" s="207"/>
      <c r="Q52" s="207"/>
      <c r="R52" s="206"/>
      <c r="S52" s="206"/>
      <c r="T52" s="207"/>
      <c r="U52" s="207"/>
      <c r="V52" s="206"/>
      <c r="W52" s="206"/>
      <c r="X52" s="207"/>
      <c r="Y52" s="207"/>
      <c r="Z52" s="206"/>
      <c r="AA52" s="206"/>
      <c r="AB52" s="207"/>
      <c r="AC52" s="207"/>
      <c r="AD52" s="206"/>
      <c r="AE52" s="206"/>
      <c r="AF52" s="207"/>
      <c r="AG52" s="207"/>
      <c r="AH52" s="206"/>
      <c r="AI52" s="206"/>
      <c r="AJ52" s="207"/>
      <c r="AK52" s="207"/>
      <c r="AL52" s="206"/>
      <c r="AM52" s="206"/>
      <c r="AN52" s="206"/>
      <c r="AO52" s="198" t="str">
        <f>IFERROR(VLOOKUP(D52,'Reference Records'!$C$213:$E$334,3,FALSE),"")</f>
        <v/>
      </c>
      <c r="AP52" s="253" t="e">
        <f>VLOOKUP(AO52,'Reference Records'!$E$213:$F$334,2,0)</f>
        <v>#N/A</v>
      </c>
      <c r="AQ52" s="253" t="e">
        <f>MATCH($AP52,'Reference Records'!$E$413:$E$618,0)+ROW(Population_by_intervention) -1</f>
        <v>#N/A</v>
      </c>
      <c r="AR52" s="253" t="e">
        <f>MATCH($AP52,'Reference Records'!$E$413:$E$618,1)+ROW(Population_by_intervention) -1</f>
        <v>#N/A</v>
      </c>
      <c r="AS52" s="253" t="str">
        <f t="shared" si="0"/>
        <v>|empty|</v>
      </c>
      <c r="AT52" s="253" t="str">
        <f>IF(AS52="","",IFERROR(VLOOKUP(AS52,'Overview - Section A'!AF$155:AG299,2,0),VLOOKUP("|empty|",'Overview - Section A'!AF$155:AG299,2,0)))</f>
        <v>INT-211703</v>
      </c>
      <c r="AU52" s="206"/>
      <c r="AV52" s="206"/>
      <c r="AY52" s="253">
        <f t="shared" si="2"/>
        <v>4108</v>
      </c>
      <c r="AZ52" s="253">
        <f ca="1">AZ51+'update Helper'!$X$2</f>
        <v>4569</v>
      </c>
      <c r="BC52" s="253" t="str">
        <f ca="1">IF(INDIRECT("'update Helper'!S"&amp;AY52)=0,"",IFERROR(VLOOKUP(INDIRECT("'update Helper'!S"&amp;AY52),'Account Role'!A$1:B$15,2,0),IFERROR(VLOOKUP(INDIRECT("'update Helper'!I"&amp;AY52),'Overview - Section A'!J$26:P$107,7,0),"")))</f>
        <v/>
      </c>
      <c r="BD52" s="253" t="str">
        <f ca="1">IFERROR(INDEX('Overview - Section A'!A$154:A299,MATCH(INDIRECT("'update Helper'!Q"&amp;AY52),'Overview - Section A'!AQ$154:AQ299,0)),"")</f>
        <v/>
      </c>
      <c r="BE52" s="253" t="str">
        <f>IFERROR(INDEX('Overview - Section A'!O$154:O299,MATCH(AT52,'Overview - Section A'!AQ$154:AQ299,0)),"")</f>
        <v/>
      </c>
      <c r="BF52" s="253" t="str">
        <f>IFERROR(INDEX('Overview - Section A'!H$154:H299,MATCH(AT52,'Overview - Section A'!AQ$154:AQ299,0)),"")</f>
        <v/>
      </c>
    </row>
    <row r="53" spans="1:58" s="253" customFormat="1" ht="30" customHeight="1" x14ac:dyDescent="0.35">
      <c r="A53" s="189">
        <v>45</v>
      </c>
      <c r="B53" s="206"/>
      <c r="C53" s="206"/>
      <c r="D53" s="206"/>
      <c r="E53" s="206"/>
      <c r="F53" s="206"/>
      <c r="G53" s="207"/>
      <c r="H53" s="207"/>
      <c r="I53" s="207"/>
      <c r="J53" s="206"/>
      <c r="K53" s="206"/>
      <c r="L53" s="207"/>
      <c r="M53" s="207"/>
      <c r="N53" s="206"/>
      <c r="O53" s="206"/>
      <c r="P53" s="207"/>
      <c r="Q53" s="207"/>
      <c r="R53" s="206"/>
      <c r="S53" s="206"/>
      <c r="T53" s="207"/>
      <c r="U53" s="207"/>
      <c r="V53" s="206"/>
      <c r="W53" s="206"/>
      <c r="X53" s="207"/>
      <c r="Y53" s="207"/>
      <c r="Z53" s="206"/>
      <c r="AA53" s="206"/>
      <c r="AB53" s="207"/>
      <c r="AC53" s="207"/>
      <c r="AD53" s="206"/>
      <c r="AE53" s="206"/>
      <c r="AF53" s="207"/>
      <c r="AG53" s="207"/>
      <c r="AH53" s="206"/>
      <c r="AI53" s="206"/>
      <c r="AJ53" s="207"/>
      <c r="AK53" s="207"/>
      <c r="AL53" s="206"/>
      <c r="AM53" s="206"/>
      <c r="AN53" s="206"/>
      <c r="AO53" s="198" t="str">
        <f>IFERROR(VLOOKUP(D53,'Reference Records'!$C$213:$E$334,3,FALSE),"")</f>
        <v/>
      </c>
      <c r="AP53" s="253" t="e">
        <f>VLOOKUP(AO53,'Reference Records'!$E$213:$F$334,2,0)</f>
        <v>#N/A</v>
      </c>
      <c r="AQ53" s="253" t="e">
        <f>MATCH($AP53,'Reference Records'!$E$413:$E$618,0)+ROW(Population_by_intervention) -1</f>
        <v>#N/A</v>
      </c>
      <c r="AR53" s="253" t="e">
        <f>MATCH($AP53,'Reference Records'!$E$413:$E$618,1)+ROW(Population_by_intervention) -1</f>
        <v>#N/A</v>
      </c>
      <c r="AS53" s="253" t="str">
        <f t="shared" si="0"/>
        <v>|empty|</v>
      </c>
      <c r="AT53" s="253" t="str">
        <f>IF(AS53="","",IFERROR(VLOOKUP(AS53,'Overview - Section A'!AF$155:AG300,2,0),VLOOKUP("|empty|",'Overview - Section A'!AF$155:AG300,2,0)))</f>
        <v>INT-211703</v>
      </c>
      <c r="AU53" s="206"/>
      <c r="AV53" s="206"/>
      <c r="AY53" s="253">
        <f t="shared" si="2"/>
        <v>4109</v>
      </c>
      <c r="AZ53" s="253">
        <f ca="1">AZ52+'update Helper'!$X$2</f>
        <v>4575</v>
      </c>
      <c r="BC53" s="253" t="str">
        <f ca="1">IF(INDIRECT("'update Helper'!S"&amp;AY53)=0,"",IFERROR(VLOOKUP(INDIRECT("'update Helper'!S"&amp;AY53),'Account Role'!A$1:B$15,2,0),IFERROR(VLOOKUP(INDIRECT("'update Helper'!I"&amp;AY53),'Overview - Section A'!J$26:P$107,7,0),"")))</f>
        <v/>
      </c>
      <c r="BD53" s="253" t="str">
        <f ca="1">IFERROR(INDEX('Overview - Section A'!A$154:A300,MATCH(INDIRECT("'update Helper'!Q"&amp;AY53),'Overview - Section A'!AQ$154:AQ300,0)),"")</f>
        <v/>
      </c>
      <c r="BE53" s="253" t="str">
        <f>IFERROR(INDEX('Overview - Section A'!O$154:O300,MATCH(AT53,'Overview - Section A'!AQ$154:AQ300,0)),"")</f>
        <v/>
      </c>
      <c r="BF53" s="253" t="str">
        <f>IFERROR(INDEX('Overview - Section A'!H$154:H300,MATCH(AT53,'Overview - Section A'!AQ$154:AQ300,0)),"")</f>
        <v/>
      </c>
    </row>
    <row r="54" spans="1:58" s="253" customFormat="1" ht="30" customHeight="1" x14ac:dyDescent="0.35">
      <c r="A54" s="189">
        <v>46</v>
      </c>
      <c r="B54" s="206"/>
      <c r="C54" s="206"/>
      <c r="D54" s="206"/>
      <c r="E54" s="206"/>
      <c r="F54" s="206"/>
      <c r="G54" s="207"/>
      <c r="H54" s="207"/>
      <c r="I54" s="207"/>
      <c r="J54" s="206"/>
      <c r="K54" s="206"/>
      <c r="L54" s="207"/>
      <c r="M54" s="207"/>
      <c r="N54" s="206"/>
      <c r="O54" s="206"/>
      <c r="P54" s="207"/>
      <c r="Q54" s="207"/>
      <c r="R54" s="206"/>
      <c r="S54" s="206"/>
      <c r="T54" s="207"/>
      <c r="U54" s="207"/>
      <c r="V54" s="206"/>
      <c r="W54" s="206"/>
      <c r="X54" s="207"/>
      <c r="Y54" s="207"/>
      <c r="Z54" s="206"/>
      <c r="AA54" s="206"/>
      <c r="AB54" s="207"/>
      <c r="AC54" s="207"/>
      <c r="AD54" s="206"/>
      <c r="AE54" s="206"/>
      <c r="AF54" s="207"/>
      <c r="AG54" s="207"/>
      <c r="AH54" s="206"/>
      <c r="AI54" s="206"/>
      <c r="AJ54" s="207"/>
      <c r="AK54" s="207"/>
      <c r="AL54" s="206"/>
      <c r="AM54" s="206"/>
      <c r="AN54" s="206"/>
      <c r="AO54" s="198" t="str">
        <f>IFERROR(VLOOKUP(D54,'Reference Records'!$C$213:$E$334,3,FALSE),"")</f>
        <v/>
      </c>
      <c r="AP54" s="253" t="e">
        <f>VLOOKUP(AO54,'Reference Records'!$E$213:$F$334,2,0)</f>
        <v>#N/A</v>
      </c>
      <c r="AQ54" s="253" t="e">
        <f>MATCH($AP54,'Reference Records'!$E$413:$E$618,0)+ROW(Population_by_intervention) -1</f>
        <v>#N/A</v>
      </c>
      <c r="AR54" s="253" t="e">
        <f>MATCH($AP54,'Reference Records'!$E$413:$E$618,1)+ROW(Population_by_intervention) -1</f>
        <v>#N/A</v>
      </c>
      <c r="AS54" s="253" t="str">
        <f t="shared" si="0"/>
        <v>|empty|</v>
      </c>
      <c r="AT54" s="253" t="str">
        <f>IF(AS54="","",IFERROR(VLOOKUP(AS54,'Overview - Section A'!AF$155:AG301,2,0),VLOOKUP("|empty|",'Overview - Section A'!AF$155:AG301,2,0)))</f>
        <v>INT-211703</v>
      </c>
      <c r="AU54" s="206"/>
      <c r="AV54" s="206"/>
      <c r="AY54" s="253">
        <f t="shared" si="2"/>
        <v>4110</v>
      </c>
      <c r="AZ54" s="253">
        <f ca="1">AZ53+'update Helper'!$X$2</f>
        <v>4581</v>
      </c>
      <c r="BC54" s="253" t="str">
        <f ca="1">IF(INDIRECT("'update Helper'!S"&amp;AY54)=0,"",IFERROR(VLOOKUP(INDIRECT("'update Helper'!S"&amp;AY54),'Account Role'!A$1:B$15,2,0),IFERROR(VLOOKUP(INDIRECT("'update Helper'!I"&amp;AY54),'Overview - Section A'!J$26:P$107,7,0),"")))</f>
        <v/>
      </c>
      <c r="BD54" s="253" t="str">
        <f ca="1">IFERROR(INDEX('Overview - Section A'!A$154:A301,MATCH(INDIRECT("'update Helper'!Q"&amp;AY54),'Overview - Section A'!AQ$154:AQ301,0)),"")</f>
        <v/>
      </c>
      <c r="BE54" s="253" t="str">
        <f>IFERROR(INDEX('Overview - Section A'!O$154:O301,MATCH(AT54,'Overview - Section A'!AQ$154:AQ301,0)),"")</f>
        <v/>
      </c>
      <c r="BF54" s="253" t="str">
        <f>IFERROR(INDEX('Overview - Section A'!H$154:H301,MATCH(AT54,'Overview - Section A'!AQ$154:AQ301,0)),"")</f>
        <v/>
      </c>
    </row>
    <row r="55" spans="1:58" s="253" customFormat="1" ht="30" customHeight="1" x14ac:dyDescent="0.35">
      <c r="A55" s="189">
        <v>47</v>
      </c>
      <c r="B55" s="206"/>
      <c r="C55" s="206"/>
      <c r="D55" s="206"/>
      <c r="E55" s="206"/>
      <c r="F55" s="206"/>
      <c r="G55" s="207"/>
      <c r="H55" s="207"/>
      <c r="I55" s="207"/>
      <c r="J55" s="206"/>
      <c r="K55" s="206"/>
      <c r="L55" s="207"/>
      <c r="M55" s="207"/>
      <c r="N55" s="206"/>
      <c r="O55" s="206"/>
      <c r="P55" s="207"/>
      <c r="Q55" s="207"/>
      <c r="R55" s="206"/>
      <c r="S55" s="206"/>
      <c r="T55" s="207"/>
      <c r="U55" s="207"/>
      <c r="V55" s="206"/>
      <c r="W55" s="206"/>
      <c r="X55" s="207"/>
      <c r="Y55" s="207"/>
      <c r="Z55" s="206"/>
      <c r="AA55" s="206"/>
      <c r="AB55" s="207"/>
      <c r="AC55" s="207"/>
      <c r="AD55" s="206"/>
      <c r="AE55" s="206"/>
      <c r="AF55" s="207"/>
      <c r="AG55" s="207"/>
      <c r="AH55" s="206"/>
      <c r="AI55" s="206"/>
      <c r="AJ55" s="207"/>
      <c r="AK55" s="207"/>
      <c r="AL55" s="206"/>
      <c r="AM55" s="206"/>
      <c r="AN55" s="206"/>
      <c r="AO55" s="198" t="str">
        <f>IFERROR(VLOOKUP(D55,'Reference Records'!$C$213:$E$334,3,FALSE),"")</f>
        <v/>
      </c>
      <c r="AP55" s="253" t="e">
        <f>VLOOKUP(AO55,'Reference Records'!$E$213:$F$334,2,0)</f>
        <v>#N/A</v>
      </c>
      <c r="AQ55" s="253" t="e">
        <f>MATCH($AP55,'Reference Records'!$E$413:$E$618,0)+ROW(Population_by_intervention) -1</f>
        <v>#N/A</v>
      </c>
      <c r="AR55" s="253" t="e">
        <f>MATCH($AP55,'Reference Records'!$E$413:$E$618,1)+ROW(Population_by_intervention) -1</f>
        <v>#N/A</v>
      </c>
      <c r="AS55" s="253" t="str">
        <f t="shared" si="0"/>
        <v>|empty|</v>
      </c>
      <c r="AT55" s="253" t="str">
        <f>IF(AS55="","",IFERROR(VLOOKUP(AS55,'Overview - Section A'!AF$155:AG302,2,0),VLOOKUP("|empty|",'Overview - Section A'!AF$155:AG302,2,0)))</f>
        <v>INT-211703</v>
      </c>
      <c r="AU55" s="206"/>
      <c r="AV55" s="206"/>
      <c r="AY55" s="253">
        <f t="shared" si="2"/>
        <v>4111</v>
      </c>
      <c r="AZ55" s="253">
        <f ca="1">AZ54+'update Helper'!$X$2</f>
        <v>4587</v>
      </c>
      <c r="BC55" s="253" t="str">
        <f ca="1">IF(INDIRECT("'update Helper'!S"&amp;AY55)=0,"",IFERROR(VLOOKUP(INDIRECT("'update Helper'!S"&amp;AY55),'Account Role'!A$1:B$15,2,0),IFERROR(VLOOKUP(INDIRECT("'update Helper'!I"&amp;AY55),'Overview - Section A'!J$26:P$107,7,0),"")))</f>
        <v/>
      </c>
      <c r="BD55" s="253" t="str">
        <f ca="1">IFERROR(INDEX('Overview - Section A'!A$154:A302,MATCH(INDIRECT("'update Helper'!Q"&amp;AY55),'Overview - Section A'!AQ$154:AQ302,0)),"")</f>
        <v/>
      </c>
      <c r="BE55" s="253" t="str">
        <f>IFERROR(INDEX('Overview - Section A'!O$154:O302,MATCH(AT55,'Overview - Section A'!AQ$154:AQ302,0)),"")</f>
        <v/>
      </c>
      <c r="BF55" s="253" t="str">
        <f>IFERROR(INDEX('Overview - Section A'!H$154:H302,MATCH(AT55,'Overview - Section A'!AQ$154:AQ302,0)),"")</f>
        <v/>
      </c>
    </row>
    <row r="56" spans="1:58" s="253" customFormat="1" ht="30" customHeight="1" x14ac:dyDescent="0.35">
      <c r="A56" s="189">
        <v>48</v>
      </c>
      <c r="B56" s="206"/>
      <c r="C56" s="206"/>
      <c r="D56" s="206"/>
      <c r="E56" s="206"/>
      <c r="F56" s="206"/>
      <c r="G56" s="207"/>
      <c r="H56" s="207"/>
      <c r="I56" s="207"/>
      <c r="J56" s="206"/>
      <c r="K56" s="206"/>
      <c r="L56" s="207"/>
      <c r="M56" s="207"/>
      <c r="N56" s="206"/>
      <c r="O56" s="206"/>
      <c r="P56" s="207"/>
      <c r="Q56" s="207"/>
      <c r="R56" s="206"/>
      <c r="S56" s="206"/>
      <c r="T56" s="207"/>
      <c r="U56" s="207"/>
      <c r="V56" s="206"/>
      <c r="W56" s="206"/>
      <c r="X56" s="207"/>
      <c r="Y56" s="207"/>
      <c r="Z56" s="206"/>
      <c r="AA56" s="206"/>
      <c r="AB56" s="207"/>
      <c r="AC56" s="207"/>
      <c r="AD56" s="206"/>
      <c r="AE56" s="206"/>
      <c r="AF56" s="207"/>
      <c r="AG56" s="207"/>
      <c r="AH56" s="206"/>
      <c r="AI56" s="206"/>
      <c r="AJ56" s="207"/>
      <c r="AK56" s="207"/>
      <c r="AL56" s="206"/>
      <c r="AM56" s="206"/>
      <c r="AN56" s="206"/>
      <c r="AO56" s="198" t="str">
        <f>IFERROR(VLOOKUP(D56,'Reference Records'!$C$213:$E$334,3,FALSE),"")</f>
        <v/>
      </c>
      <c r="AP56" s="253" t="e">
        <f>VLOOKUP(AO56,'Reference Records'!$E$213:$F$334,2,0)</f>
        <v>#N/A</v>
      </c>
      <c r="AQ56" s="253" t="e">
        <f>MATCH($AP56,'Reference Records'!$E$413:$E$618,0)+ROW(Population_by_intervention) -1</f>
        <v>#N/A</v>
      </c>
      <c r="AR56" s="253" t="e">
        <f>MATCH($AP56,'Reference Records'!$E$413:$E$618,1)+ROW(Population_by_intervention) -1</f>
        <v>#N/A</v>
      </c>
      <c r="AS56" s="253" t="str">
        <f t="shared" si="0"/>
        <v>|empty|</v>
      </c>
      <c r="AT56" s="253" t="str">
        <f>IF(AS56="","",IFERROR(VLOOKUP(AS56,'Overview - Section A'!AF$155:AG303,2,0),VLOOKUP("|empty|",'Overview - Section A'!AF$155:AG303,2,0)))</f>
        <v>INT-211703</v>
      </c>
      <c r="AU56" s="206"/>
      <c r="AV56" s="206"/>
      <c r="AY56" s="253">
        <f t="shared" si="2"/>
        <v>4112</v>
      </c>
      <c r="AZ56" s="253">
        <f ca="1">AZ55+'update Helper'!$X$2</f>
        <v>4593</v>
      </c>
      <c r="BC56" s="253" t="str">
        <f ca="1">IF(INDIRECT("'update Helper'!S"&amp;AY56)=0,"",IFERROR(VLOOKUP(INDIRECT("'update Helper'!S"&amp;AY56),'Account Role'!A$1:B$15,2,0),IFERROR(VLOOKUP(INDIRECT("'update Helper'!I"&amp;AY56),'Overview - Section A'!J$26:P$107,7,0),"")))</f>
        <v/>
      </c>
      <c r="BD56" s="253" t="str">
        <f ca="1">IFERROR(INDEX('Overview - Section A'!A$154:A303,MATCH(INDIRECT("'update Helper'!Q"&amp;AY56),'Overview - Section A'!AQ$154:AQ303,0)),"")</f>
        <v/>
      </c>
      <c r="BE56" s="253" t="str">
        <f>IFERROR(INDEX('Overview - Section A'!O$154:O303,MATCH(AT56,'Overview - Section A'!AQ$154:AQ303,0)),"")</f>
        <v/>
      </c>
      <c r="BF56" s="253" t="str">
        <f>IFERROR(INDEX('Overview - Section A'!H$154:H303,MATCH(AT56,'Overview - Section A'!AQ$154:AQ303,0)),"")</f>
        <v/>
      </c>
    </row>
    <row r="57" spans="1:58" s="253" customFormat="1" ht="30" customHeight="1" x14ac:dyDescent="0.35">
      <c r="A57" s="189">
        <v>49</v>
      </c>
      <c r="B57" s="206"/>
      <c r="C57" s="206"/>
      <c r="D57" s="206"/>
      <c r="E57" s="206"/>
      <c r="F57" s="206"/>
      <c r="G57" s="207"/>
      <c r="H57" s="207"/>
      <c r="I57" s="207"/>
      <c r="J57" s="206"/>
      <c r="K57" s="206"/>
      <c r="L57" s="207"/>
      <c r="M57" s="207"/>
      <c r="N57" s="206"/>
      <c r="O57" s="206"/>
      <c r="P57" s="207"/>
      <c r="Q57" s="207"/>
      <c r="R57" s="206"/>
      <c r="S57" s="206"/>
      <c r="T57" s="207"/>
      <c r="U57" s="207"/>
      <c r="V57" s="206"/>
      <c r="W57" s="206"/>
      <c r="X57" s="207"/>
      <c r="Y57" s="207"/>
      <c r="Z57" s="206"/>
      <c r="AA57" s="206"/>
      <c r="AB57" s="207"/>
      <c r="AC57" s="207"/>
      <c r="AD57" s="206"/>
      <c r="AE57" s="206"/>
      <c r="AF57" s="207"/>
      <c r="AG57" s="207"/>
      <c r="AH57" s="206"/>
      <c r="AI57" s="206"/>
      <c r="AJ57" s="207"/>
      <c r="AK57" s="207"/>
      <c r="AL57" s="206"/>
      <c r="AM57" s="206"/>
      <c r="AN57" s="206"/>
      <c r="AO57" s="198" t="str">
        <f>IFERROR(VLOOKUP(D57,'Reference Records'!$C$213:$E$334,3,FALSE),"")</f>
        <v/>
      </c>
      <c r="AP57" s="253" t="e">
        <f>VLOOKUP(AO57,'Reference Records'!$E$213:$F$334,2,0)</f>
        <v>#N/A</v>
      </c>
      <c r="AQ57" s="253" t="e">
        <f>MATCH($AP57,'Reference Records'!$E$413:$E$618,0)+ROW(Population_by_intervention) -1</f>
        <v>#N/A</v>
      </c>
      <c r="AR57" s="253" t="e">
        <f>MATCH($AP57,'Reference Records'!$E$413:$E$618,1)+ROW(Population_by_intervention) -1</f>
        <v>#N/A</v>
      </c>
      <c r="AS57" s="253" t="str">
        <f t="shared" si="0"/>
        <v>|empty|</v>
      </c>
      <c r="AT57" s="253" t="str">
        <f>IF(AS57="","",IFERROR(VLOOKUP(AS57,'Overview - Section A'!AF$155:AG304,2,0),VLOOKUP("|empty|",'Overview - Section A'!AF$155:AG304,2,0)))</f>
        <v>INT-211703</v>
      </c>
      <c r="AU57" s="206"/>
      <c r="AV57" s="206"/>
      <c r="AY57" s="253">
        <f t="shared" si="2"/>
        <v>4113</v>
      </c>
      <c r="AZ57" s="253">
        <f ca="1">AZ56+'update Helper'!$X$2</f>
        <v>4599</v>
      </c>
      <c r="BC57" s="253" t="str">
        <f ca="1">IF(INDIRECT("'update Helper'!S"&amp;AY57)=0,"",IFERROR(VLOOKUP(INDIRECT("'update Helper'!S"&amp;AY57),'Account Role'!A$1:B$15,2,0),IFERROR(VLOOKUP(INDIRECT("'update Helper'!I"&amp;AY57),'Overview - Section A'!J$26:P$107,7,0),"")))</f>
        <v/>
      </c>
      <c r="BD57" s="253" t="str">
        <f ca="1">IFERROR(INDEX('Overview - Section A'!A$154:A304,MATCH(INDIRECT("'update Helper'!Q"&amp;AY57),'Overview - Section A'!AQ$154:AQ304,0)),"")</f>
        <v/>
      </c>
      <c r="BE57" s="253" t="str">
        <f>IFERROR(INDEX('Overview - Section A'!O$154:O304,MATCH(AT57,'Overview - Section A'!AQ$154:AQ304,0)),"")</f>
        <v/>
      </c>
      <c r="BF57" s="253" t="str">
        <f>IFERROR(INDEX('Overview - Section A'!H$154:H304,MATCH(AT57,'Overview - Section A'!AQ$154:AQ304,0)),"")</f>
        <v/>
      </c>
    </row>
    <row r="58" spans="1:58" s="253" customFormat="1" ht="30" customHeight="1" x14ac:dyDescent="0.35">
      <c r="A58" s="189">
        <v>50</v>
      </c>
      <c r="B58" s="206"/>
      <c r="C58" s="206"/>
      <c r="D58" s="206"/>
      <c r="E58" s="206"/>
      <c r="F58" s="206"/>
      <c r="G58" s="207"/>
      <c r="H58" s="207"/>
      <c r="I58" s="207"/>
      <c r="J58" s="206"/>
      <c r="K58" s="206"/>
      <c r="L58" s="207"/>
      <c r="M58" s="207"/>
      <c r="N58" s="206"/>
      <c r="O58" s="206"/>
      <c r="P58" s="207"/>
      <c r="Q58" s="207"/>
      <c r="R58" s="206"/>
      <c r="S58" s="206"/>
      <c r="T58" s="207"/>
      <c r="U58" s="207"/>
      <c r="V58" s="206"/>
      <c r="W58" s="206"/>
      <c r="X58" s="207"/>
      <c r="Y58" s="207"/>
      <c r="Z58" s="206"/>
      <c r="AA58" s="206"/>
      <c r="AB58" s="207"/>
      <c r="AC58" s="207"/>
      <c r="AD58" s="206"/>
      <c r="AE58" s="206"/>
      <c r="AF58" s="207"/>
      <c r="AG58" s="207"/>
      <c r="AH58" s="206"/>
      <c r="AI58" s="206"/>
      <c r="AJ58" s="207"/>
      <c r="AK58" s="207"/>
      <c r="AL58" s="206"/>
      <c r="AM58" s="206"/>
      <c r="AN58" s="206"/>
      <c r="AO58" s="198" t="str">
        <f>IFERROR(VLOOKUP(D58,'Reference Records'!$C$213:$E$334,3,FALSE),"")</f>
        <v/>
      </c>
      <c r="AP58" s="253" t="e">
        <f>VLOOKUP(AO58,'Reference Records'!$E$213:$F$334,2,0)</f>
        <v>#N/A</v>
      </c>
      <c r="AQ58" s="253" t="e">
        <f>MATCH($AP58,'Reference Records'!$E$413:$E$618,0)+ROW(Population_by_intervention) -1</f>
        <v>#N/A</v>
      </c>
      <c r="AR58" s="253" t="e">
        <f>MATCH($AP58,'Reference Records'!$E$413:$E$618,1)+ROW(Population_by_intervention) -1</f>
        <v>#N/A</v>
      </c>
      <c r="AS58" s="253" t="str">
        <f t="shared" si="0"/>
        <v>|empty|</v>
      </c>
      <c r="AT58" s="253" t="str">
        <f>IF(AS58="","",IFERROR(VLOOKUP(AS58,'Overview - Section A'!AF$155:AG305,2,0),VLOOKUP("|empty|",'Overview - Section A'!AF$155:AG305,2,0)))</f>
        <v>INT-211703</v>
      </c>
      <c r="AU58" s="206"/>
      <c r="AV58" s="206"/>
      <c r="AY58" s="253">
        <f t="shared" si="2"/>
        <v>4114</v>
      </c>
      <c r="AZ58" s="253">
        <f ca="1">AZ57+'update Helper'!$X$2</f>
        <v>4605</v>
      </c>
      <c r="BC58" s="253" t="str">
        <f ca="1">IF(INDIRECT("'update Helper'!S"&amp;AY58)=0,"",IFERROR(VLOOKUP(INDIRECT("'update Helper'!S"&amp;AY58),'Account Role'!A$1:B$15,2,0),IFERROR(VLOOKUP(INDIRECT("'update Helper'!I"&amp;AY58),'Overview - Section A'!J$26:P$107,7,0),"")))</f>
        <v/>
      </c>
      <c r="BD58" s="253" t="str">
        <f ca="1">IFERROR(INDEX('Overview - Section A'!A$154:A305,MATCH(INDIRECT("'update Helper'!Q"&amp;AY58),'Overview - Section A'!AQ$154:AQ305,0)),"")</f>
        <v/>
      </c>
      <c r="BE58" s="253" t="str">
        <f>IFERROR(INDEX('Overview - Section A'!O$154:O305,MATCH(AT58,'Overview - Section A'!AQ$154:AQ305,0)),"")</f>
        <v/>
      </c>
      <c r="BF58" s="253" t="str">
        <f>IFERROR(INDEX('Overview - Section A'!H$154:H305,MATCH(AT58,'Overview - Section A'!AQ$154:AQ305,0)),"")</f>
        <v/>
      </c>
    </row>
    <row r="59" spans="1:58" s="253" customFormat="1" ht="30" customHeight="1" x14ac:dyDescent="0.35">
      <c r="A59" s="189">
        <v>51</v>
      </c>
      <c r="B59" s="206"/>
      <c r="C59" s="206"/>
      <c r="D59" s="206"/>
      <c r="E59" s="206"/>
      <c r="F59" s="206"/>
      <c r="G59" s="207"/>
      <c r="H59" s="207"/>
      <c r="I59" s="207"/>
      <c r="J59" s="206"/>
      <c r="K59" s="206"/>
      <c r="L59" s="207"/>
      <c r="M59" s="207"/>
      <c r="N59" s="206"/>
      <c r="O59" s="206"/>
      <c r="P59" s="207"/>
      <c r="Q59" s="207"/>
      <c r="R59" s="206"/>
      <c r="S59" s="206"/>
      <c r="T59" s="207"/>
      <c r="U59" s="207"/>
      <c r="V59" s="206"/>
      <c r="W59" s="206"/>
      <c r="X59" s="207"/>
      <c r="Y59" s="207"/>
      <c r="Z59" s="206"/>
      <c r="AA59" s="206"/>
      <c r="AB59" s="207"/>
      <c r="AC59" s="207"/>
      <c r="AD59" s="206"/>
      <c r="AE59" s="206"/>
      <c r="AF59" s="207"/>
      <c r="AG59" s="207"/>
      <c r="AH59" s="206"/>
      <c r="AI59" s="206"/>
      <c r="AJ59" s="207"/>
      <c r="AK59" s="207"/>
      <c r="AL59" s="206"/>
      <c r="AM59" s="206"/>
      <c r="AN59" s="206"/>
      <c r="AO59" s="198" t="str">
        <f>IFERROR(VLOOKUP(D59,'Reference Records'!$C$213:$E$334,3,FALSE),"")</f>
        <v/>
      </c>
      <c r="AP59" s="253" t="e">
        <f>VLOOKUP(AO59,'Reference Records'!$E$213:$F$334,2,0)</f>
        <v>#N/A</v>
      </c>
      <c r="AQ59" s="253" t="e">
        <f>MATCH($AP59,'Reference Records'!$E$413:$E$618,0)+ROW(Population_by_intervention) -1</f>
        <v>#N/A</v>
      </c>
      <c r="AR59" s="253" t="e">
        <f>MATCH($AP59,'Reference Records'!$E$413:$E$618,1)+ROW(Population_by_intervention) -1</f>
        <v>#N/A</v>
      </c>
      <c r="AS59" s="253" t="str">
        <f t="shared" si="0"/>
        <v>|empty|</v>
      </c>
      <c r="AT59" s="253" t="str">
        <f>IF(AS59="","",IFERROR(VLOOKUP(AS59,'Overview - Section A'!AF$155:AG306,2,0),VLOOKUP("|empty|",'Overview - Section A'!AF$155:AG306,2,0)))</f>
        <v>INT-211703</v>
      </c>
      <c r="AU59" s="206"/>
      <c r="AV59" s="206"/>
      <c r="AY59" s="253">
        <f t="shared" si="2"/>
        <v>4115</v>
      </c>
      <c r="AZ59" s="253">
        <f ca="1">AZ58+'update Helper'!$X$2</f>
        <v>4611</v>
      </c>
      <c r="BC59" s="253" t="str">
        <f ca="1">IF(INDIRECT("'update Helper'!S"&amp;AY59)=0,"",IFERROR(VLOOKUP(INDIRECT("'update Helper'!S"&amp;AY59),'Account Role'!A$1:B$15,2,0),IFERROR(VLOOKUP(INDIRECT("'update Helper'!I"&amp;AY59),'Overview - Section A'!J$26:P$107,7,0),"")))</f>
        <v/>
      </c>
      <c r="BD59" s="253" t="str">
        <f ca="1">IFERROR(INDEX('Overview - Section A'!A$154:A306,MATCH(INDIRECT("'update Helper'!Q"&amp;AY59),'Overview - Section A'!AQ$154:AQ306,0)),"")</f>
        <v/>
      </c>
      <c r="BE59" s="253" t="str">
        <f>IFERROR(INDEX('Overview - Section A'!O$154:O306,MATCH(AT59,'Overview - Section A'!AQ$154:AQ306,0)),"")</f>
        <v/>
      </c>
      <c r="BF59" s="253" t="str">
        <f>IFERROR(INDEX('Overview - Section A'!H$154:H306,MATCH(AT59,'Overview - Section A'!AQ$154:AQ306,0)),"")</f>
        <v/>
      </c>
    </row>
    <row r="60" spans="1:58" s="253" customFormat="1" ht="30" customHeight="1" x14ac:dyDescent="0.35">
      <c r="A60" s="189">
        <v>52</v>
      </c>
      <c r="B60" s="206"/>
      <c r="C60" s="206"/>
      <c r="D60" s="206"/>
      <c r="E60" s="206"/>
      <c r="F60" s="206"/>
      <c r="G60" s="207"/>
      <c r="H60" s="207"/>
      <c r="I60" s="207"/>
      <c r="J60" s="206"/>
      <c r="K60" s="206"/>
      <c r="L60" s="207"/>
      <c r="M60" s="207"/>
      <c r="N60" s="206"/>
      <c r="O60" s="206"/>
      <c r="P60" s="207"/>
      <c r="Q60" s="207"/>
      <c r="R60" s="206"/>
      <c r="S60" s="206"/>
      <c r="T60" s="207"/>
      <c r="U60" s="207"/>
      <c r="V60" s="206"/>
      <c r="W60" s="206"/>
      <c r="X60" s="207"/>
      <c r="Y60" s="207"/>
      <c r="Z60" s="206"/>
      <c r="AA60" s="206"/>
      <c r="AB60" s="207"/>
      <c r="AC60" s="207"/>
      <c r="AD60" s="206"/>
      <c r="AE60" s="206"/>
      <c r="AF60" s="207"/>
      <c r="AG60" s="207"/>
      <c r="AH60" s="206"/>
      <c r="AI60" s="206"/>
      <c r="AJ60" s="207"/>
      <c r="AK60" s="207"/>
      <c r="AL60" s="206"/>
      <c r="AM60" s="206"/>
      <c r="AN60" s="206"/>
      <c r="AO60" s="198" t="str">
        <f>IFERROR(VLOOKUP(D60,'Reference Records'!$C$213:$E$334,3,FALSE),"")</f>
        <v/>
      </c>
      <c r="AP60" s="253" t="e">
        <f>VLOOKUP(AO60,'Reference Records'!$E$213:$F$334,2,0)</f>
        <v>#N/A</v>
      </c>
      <c r="AQ60" s="253" t="e">
        <f>MATCH($AP60,'Reference Records'!$E$413:$E$618,0)+ROW(Population_by_intervention) -1</f>
        <v>#N/A</v>
      </c>
      <c r="AR60" s="253" t="e">
        <f>MATCH($AP60,'Reference Records'!$E$413:$E$618,1)+ROW(Population_by_intervention) -1</f>
        <v>#N/A</v>
      </c>
      <c r="AS60" s="253" t="str">
        <f t="shared" si="0"/>
        <v>|empty|</v>
      </c>
      <c r="AT60" s="253" t="str">
        <f>IF(AS60="","",IFERROR(VLOOKUP(AS60,'Overview - Section A'!AF$155:AG307,2,0),VLOOKUP("|empty|",'Overview - Section A'!AF$155:AG307,2,0)))</f>
        <v>INT-211703</v>
      </c>
      <c r="AU60" s="206"/>
      <c r="AV60" s="206"/>
      <c r="AY60" s="253">
        <f t="shared" si="2"/>
        <v>4116</v>
      </c>
      <c r="AZ60" s="253">
        <f ca="1">AZ59+'update Helper'!$X$2</f>
        <v>4617</v>
      </c>
      <c r="BC60" s="253" t="str">
        <f ca="1">IF(INDIRECT("'update Helper'!S"&amp;AY60)=0,"",IFERROR(VLOOKUP(INDIRECT("'update Helper'!S"&amp;AY60),'Account Role'!A$1:B$15,2,0),IFERROR(VLOOKUP(INDIRECT("'update Helper'!I"&amp;AY60),'Overview - Section A'!J$26:P$107,7,0),"")))</f>
        <v/>
      </c>
      <c r="BD60" s="253" t="str">
        <f ca="1">IFERROR(INDEX('Overview - Section A'!A$154:A307,MATCH(INDIRECT("'update Helper'!Q"&amp;AY60),'Overview - Section A'!AQ$154:AQ307,0)),"")</f>
        <v/>
      </c>
      <c r="BE60" s="253" t="str">
        <f>IFERROR(INDEX('Overview - Section A'!O$154:O307,MATCH(AT60,'Overview - Section A'!AQ$154:AQ307,0)),"")</f>
        <v/>
      </c>
      <c r="BF60" s="253" t="str">
        <f>IFERROR(INDEX('Overview - Section A'!H$154:H307,MATCH(AT60,'Overview - Section A'!AQ$154:AQ307,0)),"")</f>
        <v/>
      </c>
    </row>
    <row r="61" spans="1:58" s="253" customFormat="1" ht="30" customHeight="1" x14ac:dyDescent="0.35">
      <c r="A61" s="189">
        <v>53</v>
      </c>
      <c r="B61" s="206"/>
      <c r="C61" s="206"/>
      <c r="D61" s="206"/>
      <c r="E61" s="206"/>
      <c r="F61" s="206"/>
      <c r="G61" s="207"/>
      <c r="H61" s="207"/>
      <c r="I61" s="207"/>
      <c r="J61" s="206"/>
      <c r="K61" s="206"/>
      <c r="L61" s="207"/>
      <c r="M61" s="207"/>
      <c r="N61" s="206"/>
      <c r="O61" s="206"/>
      <c r="P61" s="207"/>
      <c r="Q61" s="207"/>
      <c r="R61" s="206"/>
      <c r="S61" s="206"/>
      <c r="T61" s="207"/>
      <c r="U61" s="207"/>
      <c r="V61" s="206"/>
      <c r="W61" s="206"/>
      <c r="X61" s="207"/>
      <c r="Y61" s="207"/>
      <c r="Z61" s="206"/>
      <c r="AA61" s="206"/>
      <c r="AB61" s="207"/>
      <c r="AC61" s="207"/>
      <c r="AD61" s="206"/>
      <c r="AE61" s="206"/>
      <c r="AF61" s="207"/>
      <c r="AG61" s="207"/>
      <c r="AH61" s="206"/>
      <c r="AI61" s="206"/>
      <c r="AJ61" s="207"/>
      <c r="AK61" s="207"/>
      <c r="AL61" s="206"/>
      <c r="AM61" s="206"/>
      <c r="AN61" s="206"/>
      <c r="AO61" s="198" t="str">
        <f>IFERROR(VLOOKUP(D61,'Reference Records'!$C$213:$E$334,3,FALSE),"")</f>
        <v/>
      </c>
      <c r="AP61" s="253" t="e">
        <f>VLOOKUP(AO61,'Reference Records'!$E$213:$F$334,2,0)</f>
        <v>#N/A</v>
      </c>
      <c r="AQ61" s="253" t="e">
        <f>MATCH($AP61,'Reference Records'!$E$413:$E$618,0)+ROW(Population_by_intervention) -1</f>
        <v>#N/A</v>
      </c>
      <c r="AR61" s="253" t="e">
        <f>MATCH($AP61,'Reference Records'!$E$413:$E$618,1)+ROW(Population_by_intervention) -1</f>
        <v>#N/A</v>
      </c>
      <c r="AS61" s="253" t="str">
        <f t="shared" si="0"/>
        <v>|empty|</v>
      </c>
      <c r="AT61" s="253" t="str">
        <f>IF(AS61="","",IFERROR(VLOOKUP(AS61,'Overview - Section A'!AF$155:AG308,2,0),VLOOKUP("|empty|",'Overview - Section A'!AF$155:AG308,2,0)))</f>
        <v>INT-211703</v>
      </c>
      <c r="AU61" s="206"/>
      <c r="AV61" s="206"/>
      <c r="AY61" s="253">
        <f t="shared" si="2"/>
        <v>4117</v>
      </c>
      <c r="AZ61" s="253">
        <f ca="1">AZ60+'update Helper'!$X$2</f>
        <v>4623</v>
      </c>
      <c r="BC61" s="253" t="str">
        <f ca="1">IF(INDIRECT("'update Helper'!S"&amp;AY61)=0,"",IFERROR(VLOOKUP(INDIRECT("'update Helper'!S"&amp;AY61),'Account Role'!A$1:B$15,2,0),IFERROR(VLOOKUP(INDIRECT("'update Helper'!I"&amp;AY61),'Overview - Section A'!J$26:P$107,7,0),"")))</f>
        <v/>
      </c>
      <c r="BD61" s="253" t="str">
        <f ca="1">IFERROR(INDEX('Overview - Section A'!A$154:A308,MATCH(INDIRECT("'update Helper'!Q"&amp;AY61),'Overview - Section A'!AQ$154:AQ308,0)),"")</f>
        <v/>
      </c>
      <c r="BE61" s="253" t="str">
        <f>IFERROR(INDEX('Overview - Section A'!O$154:O308,MATCH(AT61,'Overview - Section A'!AQ$154:AQ308,0)),"")</f>
        <v/>
      </c>
      <c r="BF61" s="253" t="str">
        <f>IFERROR(INDEX('Overview - Section A'!H$154:H308,MATCH(AT61,'Overview - Section A'!AQ$154:AQ308,0)),"")</f>
        <v/>
      </c>
    </row>
    <row r="62" spans="1:58" s="253" customFormat="1" ht="30" customHeight="1" x14ac:dyDescent="0.35">
      <c r="A62" s="189">
        <v>54</v>
      </c>
      <c r="B62" s="206"/>
      <c r="C62" s="206"/>
      <c r="D62" s="206"/>
      <c r="E62" s="206"/>
      <c r="F62" s="206"/>
      <c r="G62" s="207"/>
      <c r="H62" s="207"/>
      <c r="I62" s="207"/>
      <c r="J62" s="206"/>
      <c r="K62" s="206"/>
      <c r="L62" s="207"/>
      <c r="M62" s="207"/>
      <c r="N62" s="206"/>
      <c r="O62" s="206"/>
      <c r="P62" s="207"/>
      <c r="Q62" s="207"/>
      <c r="R62" s="206"/>
      <c r="S62" s="206"/>
      <c r="T62" s="207"/>
      <c r="U62" s="207"/>
      <c r="V62" s="206"/>
      <c r="W62" s="206"/>
      <c r="X62" s="207"/>
      <c r="Y62" s="207"/>
      <c r="Z62" s="206"/>
      <c r="AA62" s="206"/>
      <c r="AB62" s="207"/>
      <c r="AC62" s="207"/>
      <c r="AD62" s="206"/>
      <c r="AE62" s="206"/>
      <c r="AF62" s="207"/>
      <c r="AG62" s="207"/>
      <c r="AH62" s="206"/>
      <c r="AI62" s="206"/>
      <c r="AJ62" s="207"/>
      <c r="AK62" s="207"/>
      <c r="AL62" s="206"/>
      <c r="AM62" s="206"/>
      <c r="AN62" s="206"/>
      <c r="AO62" s="198" t="str">
        <f>IFERROR(VLOOKUP(D62,'Reference Records'!$C$213:$E$334,3,FALSE),"")</f>
        <v/>
      </c>
      <c r="AP62" s="253" t="e">
        <f>VLOOKUP(AO62,'Reference Records'!$E$213:$F$334,2,0)</f>
        <v>#N/A</v>
      </c>
      <c r="AQ62" s="253" t="e">
        <f>MATCH($AP62,'Reference Records'!$E$413:$E$618,0)+ROW(Population_by_intervention) -1</f>
        <v>#N/A</v>
      </c>
      <c r="AR62" s="253" t="e">
        <f>MATCH($AP62,'Reference Records'!$E$413:$E$618,1)+ROW(Population_by_intervention) -1</f>
        <v>#N/A</v>
      </c>
      <c r="AS62" s="253" t="str">
        <f t="shared" si="0"/>
        <v>|empty|</v>
      </c>
      <c r="AT62" s="253" t="str">
        <f>IF(AS62="","",IFERROR(VLOOKUP(AS62,'Overview - Section A'!AF$155:AG309,2,0),VLOOKUP("|empty|",'Overview - Section A'!AF$155:AG309,2,0)))</f>
        <v>INT-211703</v>
      </c>
      <c r="AU62" s="206"/>
      <c r="AV62" s="206"/>
      <c r="AY62" s="253">
        <f t="shared" si="2"/>
        <v>4118</v>
      </c>
      <c r="AZ62" s="253">
        <f ca="1">AZ61+'update Helper'!$X$2</f>
        <v>4629</v>
      </c>
      <c r="BC62" s="253" t="str">
        <f ca="1">IF(INDIRECT("'update Helper'!S"&amp;AY62)=0,"",IFERROR(VLOOKUP(INDIRECT("'update Helper'!S"&amp;AY62),'Account Role'!A$1:B$15,2,0),IFERROR(VLOOKUP(INDIRECT("'update Helper'!I"&amp;AY62),'Overview - Section A'!J$26:P$107,7,0),"")))</f>
        <v/>
      </c>
      <c r="BD62" s="253" t="str">
        <f ca="1">IFERROR(INDEX('Overview - Section A'!A$154:A309,MATCH(INDIRECT("'update Helper'!Q"&amp;AY62),'Overview - Section A'!AQ$154:AQ309,0)),"")</f>
        <v/>
      </c>
      <c r="BE62" s="253" t="str">
        <f>IFERROR(INDEX('Overview - Section A'!O$154:O309,MATCH(AT62,'Overview - Section A'!AQ$154:AQ309,0)),"")</f>
        <v/>
      </c>
      <c r="BF62" s="253" t="str">
        <f>IFERROR(INDEX('Overview - Section A'!H$154:H309,MATCH(AT62,'Overview - Section A'!AQ$154:AQ309,0)),"")</f>
        <v/>
      </c>
    </row>
    <row r="63" spans="1:58" s="253" customFormat="1" ht="30" customHeight="1" x14ac:dyDescent="0.35">
      <c r="A63" s="189">
        <v>55</v>
      </c>
      <c r="B63" s="206"/>
      <c r="C63" s="206"/>
      <c r="D63" s="206"/>
      <c r="E63" s="206"/>
      <c r="F63" s="206"/>
      <c r="G63" s="207"/>
      <c r="H63" s="207"/>
      <c r="I63" s="207"/>
      <c r="J63" s="206"/>
      <c r="K63" s="206"/>
      <c r="L63" s="207"/>
      <c r="M63" s="207"/>
      <c r="N63" s="206"/>
      <c r="O63" s="206"/>
      <c r="P63" s="207"/>
      <c r="Q63" s="207"/>
      <c r="R63" s="206"/>
      <c r="S63" s="206"/>
      <c r="T63" s="207"/>
      <c r="U63" s="207"/>
      <c r="V63" s="206"/>
      <c r="W63" s="206"/>
      <c r="X63" s="207"/>
      <c r="Y63" s="207"/>
      <c r="Z63" s="206"/>
      <c r="AA63" s="206"/>
      <c r="AB63" s="207"/>
      <c r="AC63" s="207"/>
      <c r="AD63" s="206"/>
      <c r="AE63" s="206"/>
      <c r="AF63" s="207"/>
      <c r="AG63" s="207"/>
      <c r="AH63" s="206"/>
      <c r="AI63" s="206"/>
      <c r="AJ63" s="207"/>
      <c r="AK63" s="207"/>
      <c r="AL63" s="206"/>
      <c r="AM63" s="206"/>
      <c r="AN63" s="206"/>
      <c r="AO63" s="198" t="str">
        <f>IFERROR(VLOOKUP(D63,'Reference Records'!$C$213:$E$334,3,FALSE),"")</f>
        <v/>
      </c>
      <c r="AP63" s="253" t="e">
        <f>VLOOKUP(AO63,'Reference Records'!$E$213:$F$334,2,0)</f>
        <v>#N/A</v>
      </c>
      <c r="AQ63" s="253" t="e">
        <f>MATCH($AP63,'Reference Records'!$E$413:$E$618,0)+ROW(Population_by_intervention) -1</f>
        <v>#N/A</v>
      </c>
      <c r="AR63" s="253" t="e">
        <f>MATCH($AP63,'Reference Records'!$E$413:$E$618,1)+ROW(Population_by_intervention) -1</f>
        <v>#N/A</v>
      </c>
      <c r="AS63" s="253" t="str">
        <f t="shared" si="0"/>
        <v>|empty|</v>
      </c>
      <c r="AT63" s="253" t="str">
        <f>IF(AS63="","",IFERROR(VLOOKUP(AS63,'Overview - Section A'!AF$155:AG310,2,0),VLOOKUP("|empty|",'Overview - Section A'!AF$155:AG310,2,0)))</f>
        <v>INT-211703</v>
      </c>
      <c r="AU63" s="206"/>
      <c r="AV63" s="206"/>
      <c r="AY63" s="253">
        <f t="shared" si="2"/>
        <v>4119</v>
      </c>
      <c r="AZ63" s="253">
        <f ca="1">AZ62+'update Helper'!$X$2</f>
        <v>4635</v>
      </c>
      <c r="BC63" s="253" t="str">
        <f ca="1">IF(INDIRECT("'update Helper'!S"&amp;AY63)=0,"",IFERROR(VLOOKUP(INDIRECT("'update Helper'!S"&amp;AY63),'Account Role'!A$1:B$15,2,0),IFERROR(VLOOKUP(INDIRECT("'update Helper'!I"&amp;AY63),'Overview - Section A'!J$26:P$107,7,0),"")))</f>
        <v/>
      </c>
      <c r="BD63" s="253" t="str">
        <f ca="1">IFERROR(INDEX('Overview - Section A'!A$154:A310,MATCH(INDIRECT("'update Helper'!Q"&amp;AY63),'Overview - Section A'!AQ$154:AQ310,0)),"")</f>
        <v/>
      </c>
      <c r="BE63" s="253" t="str">
        <f>IFERROR(INDEX('Overview - Section A'!O$154:O310,MATCH(AT63,'Overview - Section A'!AQ$154:AQ310,0)),"")</f>
        <v/>
      </c>
      <c r="BF63" s="253" t="str">
        <f>IFERROR(INDEX('Overview - Section A'!H$154:H310,MATCH(AT63,'Overview - Section A'!AQ$154:AQ310,0)),"")</f>
        <v/>
      </c>
    </row>
    <row r="64" spans="1:58" s="253" customFormat="1" ht="30" customHeight="1" x14ac:dyDescent="0.35">
      <c r="A64" s="189">
        <v>56</v>
      </c>
      <c r="B64" s="206"/>
      <c r="C64" s="206"/>
      <c r="D64" s="206"/>
      <c r="E64" s="206"/>
      <c r="F64" s="206"/>
      <c r="G64" s="207"/>
      <c r="H64" s="207"/>
      <c r="I64" s="207"/>
      <c r="J64" s="206"/>
      <c r="K64" s="206"/>
      <c r="L64" s="207"/>
      <c r="M64" s="207"/>
      <c r="N64" s="206"/>
      <c r="O64" s="206"/>
      <c r="P64" s="207"/>
      <c r="Q64" s="207"/>
      <c r="R64" s="206"/>
      <c r="S64" s="206"/>
      <c r="T64" s="207"/>
      <c r="U64" s="207"/>
      <c r="V64" s="206"/>
      <c r="W64" s="206"/>
      <c r="X64" s="207"/>
      <c r="Y64" s="207"/>
      <c r="Z64" s="206"/>
      <c r="AA64" s="206"/>
      <c r="AB64" s="207"/>
      <c r="AC64" s="207"/>
      <c r="AD64" s="206"/>
      <c r="AE64" s="206"/>
      <c r="AF64" s="207"/>
      <c r="AG64" s="207"/>
      <c r="AH64" s="206"/>
      <c r="AI64" s="206"/>
      <c r="AJ64" s="207"/>
      <c r="AK64" s="207"/>
      <c r="AL64" s="206"/>
      <c r="AM64" s="206"/>
      <c r="AN64" s="206"/>
      <c r="AO64" s="198" t="str">
        <f>IFERROR(VLOOKUP(D64,'Reference Records'!$C$213:$E$334,3,FALSE),"")</f>
        <v/>
      </c>
      <c r="AP64" s="253" t="e">
        <f>VLOOKUP(AO64,'Reference Records'!$E$213:$F$334,2,0)</f>
        <v>#N/A</v>
      </c>
      <c r="AQ64" s="253" t="e">
        <f>MATCH($AP64,'Reference Records'!$E$413:$E$618,0)+ROW(Population_by_intervention) -1</f>
        <v>#N/A</v>
      </c>
      <c r="AR64" s="253" t="e">
        <f>MATCH($AP64,'Reference Records'!$E$413:$E$618,1)+ROW(Population_by_intervention) -1</f>
        <v>#N/A</v>
      </c>
      <c r="AS64" s="253" t="str">
        <f t="shared" si="0"/>
        <v>|empty|</v>
      </c>
      <c r="AT64" s="253" t="str">
        <f>IF(AS64="","",IFERROR(VLOOKUP(AS64,'Overview - Section A'!AF$155:AG311,2,0),VLOOKUP("|empty|",'Overview - Section A'!AF$155:AG311,2,0)))</f>
        <v>INT-211703</v>
      </c>
      <c r="AU64" s="206"/>
      <c r="AV64" s="206"/>
      <c r="AY64" s="253">
        <f t="shared" si="2"/>
        <v>4120</v>
      </c>
      <c r="AZ64" s="253">
        <f ca="1">AZ63+'update Helper'!$X$2</f>
        <v>4641</v>
      </c>
      <c r="BC64" s="253" t="str">
        <f ca="1">IF(INDIRECT("'update Helper'!S"&amp;AY64)=0,"",IFERROR(VLOOKUP(INDIRECT("'update Helper'!S"&amp;AY64),'Account Role'!A$1:B$15,2,0),IFERROR(VLOOKUP(INDIRECT("'update Helper'!I"&amp;AY64),'Overview - Section A'!J$26:P$107,7,0),"")))</f>
        <v/>
      </c>
      <c r="BD64" s="253" t="str">
        <f ca="1">IFERROR(INDEX('Overview - Section A'!A$154:A311,MATCH(INDIRECT("'update Helper'!Q"&amp;AY64),'Overview - Section A'!AQ$154:AQ311,0)),"")</f>
        <v/>
      </c>
      <c r="BE64" s="253" t="str">
        <f>IFERROR(INDEX('Overview - Section A'!O$154:O311,MATCH(AT64,'Overview - Section A'!AQ$154:AQ311,0)),"")</f>
        <v/>
      </c>
      <c r="BF64" s="253" t="str">
        <f>IFERROR(INDEX('Overview - Section A'!H$154:H311,MATCH(AT64,'Overview - Section A'!AQ$154:AQ311,0)),"")</f>
        <v/>
      </c>
    </row>
    <row r="65" spans="1:58" s="253" customFormat="1" ht="30" customHeight="1" x14ac:dyDescent="0.35">
      <c r="A65" s="189">
        <v>57</v>
      </c>
      <c r="B65" s="206"/>
      <c r="C65" s="206"/>
      <c r="D65" s="206"/>
      <c r="E65" s="206"/>
      <c r="F65" s="206"/>
      <c r="G65" s="207"/>
      <c r="H65" s="207"/>
      <c r="I65" s="207"/>
      <c r="J65" s="206"/>
      <c r="K65" s="206"/>
      <c r="L65" s="207"/>
      <c r="M65" s="207"/>
      <c r="N65" s="206"/>
      <c r="O65" s="206"/>
      <c r="P65" s="207"/>
      <c r="Q65" s="207"/>
      <c r="R65" s="206"/>
      <c r="S65" s="206"/>
      <c r="T65" s="207"/>
      <c r="U65" s="207"/>
      <c r="V65" s="206"/>
      <c r="W65" s="206"/>
      <c r="X65" s="207"/>
      <c r="Y65" s="207"/>
      <c r="Z65" s="206"/>
      <c r="AA65" s="206"/>
      <c r="AB65" s="207"/>
      <c r="AC65" s="207"/>
      <c r="AD65" s="206"/>
      <c r="AE65" s="206"/>
      <c r="AF65" s="207"/>
      <c r="AG65" s="207"/>
      <c r="AH65" s="206"/>
      <c r="AI65" s="206"/>
      <c r="AJ65" s="207"/>
      <c r="AK65" s="207"/>
      <c r="AL65" s="206"/>
      <c r="AM65" s="206"/>
      <c r="AN65" s="206"/>
      <c r="AO65" s="198" t="str">
        <f>IFERROR(VLOOKUP(D65,'Reference Records'!$C$213:$E$334,3,FALSE),"")</f>
        <v/>
      </c>
      <c r="AP65" s="253" t="e">
        <f>VLOOKUP(AO65,'Reference Records'!$E$213:$F$334,2,0)</f>
        <v>#N/A</v>
      </c>
      <c r="AQ65" s="253" t="e">
        <f>MATCH($AP65,'Reference Records'!$E$413:$E$618,0)+ROW(Population_by_intervention) -1</f>
        <v>#N/A</v>
      </c>
      <c r="AR65" s="253" t="e">
        <f>MATCH($AP65,'Reference Records'!$E$413:$E$618,1)+ROW(Population_by_intervention) -1</f>
        <v>#N/A</v>
      </c>
      <c r="AS65" s="253" t="str">
        <f t="shared" si="0"/>
        <v>|empty|</v>
      </c>
      <c r="AT65" s="253" t="str">
        <f>IF(AS65="","",IFERROR(VLOOKUP(AS65,'Overview - Section A'!AF$155:AG312,2,0),VLOOKUP("|empty|",'Overview - Section A'!AF$155:AG312,2,0)))</f>
        <v>INT-211703</v>
      </c>
      <c r="AU65" s="206"/>
      <c r="AV65" s="206"/>
      <c r="AY65" s="253">
        <f t="shared" si="2"/>
        <v>4121</v>
      </c>
      <c r="AZ65" s="253">
        <f ca="1">AZ64+'update Helper'!$X$2</f>
        <v>4647</v>
      </c>
      <c r="BC65" s="253" t="str">
        <f ca="1">IF(INDIRECT("'update Helper'!S"&amp;AY65)=0,"",IFERROR(VLOOKUP(INDIRECT("'update Helper'!S"&amp;AY65),'Account Role'!A$1:B$15,2,0),IFERROR(VLOOKUP(INDIRECT("'update Helper'!I"&amp;AY65),'Overview - Section A'!J$26:P$107,7,0),"")))</f>
        <v/>
      </c>
      <c r="BD65" s="253" t="str">
        <f ca="1">IFERROR(INDEX('Overview - Section A'!A$154:A312,MATCH(INDIRECT("'update Helper'!Q"&amp;AY65),'Overview - Section A'!AQ$154:AQ312,0)),"")</f>
        <v/>
      </c>
      <c r="BE65" s="253" t="str">
        <f>IFERROR(INDEX('Overview - Section A'!O$154:O312,MATCH(AT65,'Overview - Section A'!AQ$154:AQ312,0)),"")</f>
        <v/>
      </c>
      <c r="BF65" s="253" t="str">
        <f>IFERROR(INDEX('Overview - Section A'!H$154:H312,MATCH(AT65,'Overview - Section A'!AQ$154:AQ312,0)),"")</f>
        <v/>
      </c>
    </row>
    <row r="66" spans="1:58" s="253" customFormat="1" ht="30" customHeight="1" x14ac:dyDescent="0.35">
      <c r="A66" s="189">
        <v>58</v>
      </c>
      <c r="B66" s="206"/>
      <c r="C66" s="206"/>
      <c r="D66" s="206"/>
      <c r="E66" s="206"/>
      <c r="F66" s="206"/>
      <c r="G66" s="207"/>
      <c r="H66" s="207"/>
      <c r="I66" s="207"/>
      <c r="J66" s="206"/>
      <c r="K66" s="206"/>
      <c r="L66" s="207"/>
      <c r="M66" s="207"/>
      <c r="N66" s="206"/>
      <c r="O66" s="206"/>
      <c r="P66" s="207"/>
      <c r="Q66" s="207"/>
      <c r="R66" s="206"/>
      <c r="S66" s="206"/>
      <c r="T66" s="207"/>
      <c r="U66" s="207"/>
      <c r="V66" s="206"/>
      <c r="W66" s="206"/>
      <c r="X66" s="207"/>
      <c r="Y66" s="207"/>
      <c r="Z66" s="206"/>
      <c r="AA66" s="206"/>
      <c r="AB66" s="207"/>
      <c r="AC66" s="207"/>
      <c r="AD66" s="206"/>
      <c r="AE66" s="206"/>
      <c r="AF66" s="207"/>
      <c r="AG66" s="207"/>
      <c r="AH66" s="206"/>
      <c r="AI66" s="206"/>
      <c r="AJ66" s="207"/>
      <c r="AK66" s="207"/>
      <c r="AL66" s="206"/>
      <c r="AM66" s="206"/>
      <c r="AN66" s="206"/>
      <c r="AO66" s="198" t="str">
        <f>IFERROR(VLOOKUP(D66,'Reference Records'!$C$213:$E$334,3,FALSE),"")</f>
        <v/>
      </c>
      <c r="AP66" s="253" t="e">
        <f>VLOOKUP(AO66,'Reference Records'!$E$213:$F$334,2,0)</f>
        <v>#N/A</v>
      </c>
      <c r="AQ66" s="253" t="e">
        <f>MATCH($AP66,'Reference Records'!$E$413:$E$618,0)+ROW(Population_by_intervention) -1</f>
        <v>#N/A</v>
      </c>
      <c r="AR66" s="253" t="e">
        <f>MATCH($AP66,'Reference Records'!$E$413:$E$618,1)+ROW(Population_by_intervention) -1</f>
        <v>#N/A</v>
      </c>
      <c r="AS66" s="253" t="str">
        <f t="shared" si="0"/>
        <v>|empty|</v>
      </c>
      <c r="AT66" s="253" t="str">
        <f>IF(AS66="","",IFERROR(VLOOKUP(AS66,'Overview - Section A'!AF$155:AG313,2,0),VLOOKUP("|empty|",'Overview - Section A'!AF$155:AG313,2,0)))</f>
        <v>INT-211703</v>
      </c>
      <c r="AU66" s="206"/>
      <c r="AV66" s="206"/>
      <c r="AY66" s="253">
        <f t="shared" si="2"/>
        <v>4122</v>
      </c>
      <c r="AZ66" s="253">
        <f ca="1">AZ65+'update Helper'!$X$2</f>
        <v>4653</v>
      </c>
      <c r="BC66" s="253" t="str">
        <f ca="1">IF(INDIRECT("'update Helper'!S"&amp;AY66)=0,"",IFERROR(VLOOKUP(INDIRECT("'update Helper'!S"&amp;AY66),'Account Role'!A$1:B$15,2,0),IFERROR(VLOOKUP(INDIRECT("'update Helper'!I"&amp;AY66),'Overview - Section A'!J$26:P$107,7,0),"")))</f>
        <v/>
      </c>
      <c r="BD66" s="253" t="str">
        <f ca="1">IFERROR(INDEX('Overview - Section A'!A$154:A313,MATCH(INDIRECT("'update Helper'!Q"&amp;AY66),'Overview - Section A'!AQ$154:AQ313,0)),"")</f>
        <v/>
      </c>
      <c r="BE66" s="253" t="str">
        <f>IFERROR(INDEX('Overview - Section A'!O$154:O313,MATCH(AT66,'Overview - Section A'!AQ$154:AQ313,0)),"")</f>
        <v/>
      </c>
      <c r="BF66" s="253" t="str">
        <f>IFERROR(INDEX('Overview - Section A'!H$154:H313,MATCH(AT66,'Overview - Section A'!AQ$154:AQ313,0)),"")</f>
        <v/>
      </c>
    </row>
    <row r="67" spans="1:58" s="253" customFormat="1" ht="30" customHeight="1" x14ac:dyDescent="0.35">
      <c r="A67" s="189">
        <v>59</v>
      </c>
      <c r="B67" s="206"/>
      <c r="C67" s="206"/>
      <c r="D67" s="206"/>
      <c r="E67" s="206"/>
      <c r="F67" s="206"/>
      <c r="G67" s="207"/>
      <c r="H67" s="207"/>
      <c r="I67" s="207"/>
      <c r="J67" s="206"/>
      <c r="K67" s="206"/>
      <c r="L67" s="207"/>
      <c r="M67" s="207"/>
      <c r="N67" s="206"/>
      <c r="O67" s="206"/>
      <c r="P67" s="207"/>
      <c r="Q67" s="207"/>
      <c r="R67" s="206"/>
      <c r="S67" s="206"/>
      <c r="T67" s="207"/>
      <c r="U67" s="207"/>
      <c r="V67" s="206"/>
      <c r="W67" s="206"/>
      <c r="X67" s="207"/>
      <c r="Y67" s="207"/>
      <c r="Z67" s="206"/>
      <c r="AA67" s="206"/>
      <c r="AB67" s="207"/>
      <c r="AC67" s="207"/>
      <c r="AD67" s="206"/>
      <c r="AE67" s="206"/>
      <c r="AF67" s="207"/>
      <c r="AG67" s="207"/>
      <c r="AH67" s="206"/>
      <c r="AI67" s="206"/>
      <c r="AJ67" s="207"/>
      <c r="AK67" s="207"/>
      <c r="AL67" s="206"/>
      <c r="AM67" s="206"/>
      <c r="AN67" s="206"/>
      <c r="AO67" s="198" t="str">
        <f>IFERROR(VLOOKUP(D67,'Reference Records'!$C$213:$E$334,3,FALSE),"")</f>
        <v/>
      </c>
      <c r="AP67" s="253" t="e">
        <f>VLOOKUP(AO67,'Reference Records'!$E$213:$F$334,2,0)</f>
        <v>#N/A</v>
      </c>
      <c r="AQ67" s="253" t="e">
        <f>MATCH($AP67,'Reference Records'!$E$413:$E$618,0)+ROW(Population_by_intervention) -1</f>
        <v>#N/A</v>
      </c>
      <c r="AR67" s="253" t="e">
        <f>MATCH($AP67,'Reference Records'!$E$413:$E$618,1)+ROW(Population_by_intervention) -1</f>
        <v>#N/A</v>
      </c>
      <c r="AS67" s="253" t="str">
        <f t="shared" si="0"/>
        <v>|empty|</v>
      </c>
      <c r="AT67" s="253" t="str">
        <f>IF(AS67="","",IFERROR(VLOOKUP(AS67,'Overview - Section A'!AF$155:AG314,2,0),VLOOKUP("|empty|",'Overview - Section A'!AF$155:AG314,2,0)))</f>
        <v>INT-211703</v>
      </c>
      <c r="AU67" s="206"/>
      <c r="AV67" s="206"/>
      <c r="AY67" s="253">
        <f t="shared" si="2"/>
        <v>4123</v>
      </c>
      <c r="AZ67" s="253">
        <f ca="1">AZ66+'update Helper'!$X$2</f>
        <v>4659</v>
      </c>
      <c r="BC67" s="253" t="str">
        <f ca="1">IF(INDIRECT("'update Helper'!S"&amp;AY67)=0,"",IFERROR(VLOOKUP(INDIRECT("'update Helper'!S"&amp;AY67),'Account Role'!A$1:B$15,2,0),IFERROR(VLOOKUP(INDIRECT("'update Helper'!I"&amp;AY67),'Overview - Section A'!J$26:P$107,7,0),"")))</f>
        <v/>
      </c>
      <c r="BD67" s="253" t="str">
        <f ca="1">IFERROR(INDEX('Overview - Section A'!A$154:A314,MATCH(INDIRECT("'update Helper'!Q"&amp;AY67),'Overview - Section A'!AQ$154:AQ314,0)),"")</f>
        <v/>
      </c>
      <c r="BE67" s="253" t="str">
        <f>IFERROR(INDEX('Overview - Section A'!O$154:O314,MATCH(AT67,'Overview - Section A'!AQ$154:AQ314,0)),"")</f>
        <v/>
      </c>
      <c r="BF67" s="253" t="str">
        <f>IFERROR(INDEX('Overview - Section A'!H$154:H314,MATCH(AT67,'Overview - Section A'!AQ$154:AQ314,0)),"")</f>
        <v/>
      </c>
    </row>
    <row r="68" spans="1:58" s="253" customFormat="1" ht="30" customHeight="1" x14ac:dyDescent="0.35">
      <c r="A68" s="189">
        <v>60</v>
      </c>
      <c r="B68" s="206"/>
      <c r="C68" s="206"/>
      <c r="D68" s="206"/>
      <c r="E68" s="206"/>
      <c r="F68" s="206"/>
      <c r="G68" s="207"/>
      <c r="H68" s="207"/>
      <c r="I68" s="207"/>
      <c r="J68" s="206"/>
      <c r="K68" s="206"/>
      <c r="L68" s="207"/>
      <c r="M68" s="207"/>
      <c r="N68" s="206"/>
      <c r="O68" s="206"/>
      <c r="P68" s="207"/>
      <c r="Q68" s="207"/>
      <c r="R68" s="206"/>
      <c r="S68" s="206"/>
      <c r="T68" s="207"/>
      <c r="U68" s="207"/>
      <c r="V68" s="206"/>
      <c r="W68" s="206"/>
      <c r="X68" s="207"/>
      <c r="Y68" s="207"/>
      <c r="Z68" s="206"/>
      <c r="AA68" s="206"/>
      <c r="AB68" s="207"/>
      <c r="AC68" s="207"/>
      <c r="AD68" s="206"/>
      <c r="AE68" s="206"/>
      <c r="AF68" s="207"/>
      <c r="AG68" s="207"/>
      <c r="AH68" s="206"/>
      <c r="AI68" s="206"/>
      <c r="AJ68" s="207"/>
      <c r="AK68" s="207"/>
      <c r="AL68" s="206"/>
      <c r="AM68" s="206"/>
      <c r="AN68" s="206"/>
      <c r="AO68" s="198" t="str">
        <f>IFERROR(VLOOKUP(D68,'Reference Records'!$C$213:$E$334,3,FALSE),"")</f>
        <v/>
      </c>
      <c r="AP68" s="253" t="e">
        <f>VLOOKUP(AO68,'Reference Records'!$E$213:$F$334,2,0)</f>
        <v>#N/A</v>
      </c>
      <c r="AQ68" s="253" t="e">
        <f>MATCH($AP68,'Reference Records'!$E$413:$E$618,0)+ROW(Population_by_intervention) -1</f>
        <v>#N/A</v>
      </c>
      <c r="AR68" s="253" t="e">
        <f>MATCH($AP68,'Reference Records'!$E$413:$E$618,1)+ROW(Population_by_intervention) -1</f>
        <v>#N/A</v>
      </c>
      <c r="AS68" s="253" t="str">
        <f t="shared" si="0"/>
        <v>|empty|</v>
      </c>
      <c r="AT68" s="253" t="str">
        <f>IF(AS68="","",IFERROR(VLOOKUP(AS68,'Overview - Section A'!AF$155:AG315,2,0),VLOOKUP("|empty|",'Overview - Section A'!AF$155:AG315,2,0)))</f>
        <v>INT-211703</v>
      </c>
      <c r="AU68" s="206"/>
      <c r="AV68" s="206"/>
      <c r="AY68" s="253">
        <f t="shared" si="2"/>
        <v>4124</v>
      </c>
      <c r="AZ68" s="253">
        <f ca="1">AZ67+'update Helper'!$X$2</f>
        <v>4665</v>
      </c>
      <c r="BC68" s="253" t="str">
        <f ca="1">IF(INDIRECT("'update Helper'!S"&amp;AY68)=0,"",IFERROR(VLOOKUP(INDIRECT("'update Helper'!S"&amp;AY68),'Account Role'!A$1:B$15,2,0),IFERROR(VLOOKUP(INDIRECT("'update Helper'!I"&amp;AY68),'Overview - Section A'!J$26:P$107,7,0),"")))</f>
        <v/>
      </c>
      <c r="BD68" s="253" t="str">
        <f ca="1">IFERROR(INDEX('Overview - Section A'!A$154:A315,MATCH(INDIRECT("'update Helper'!Q"&amp;AY68),'Overview - Section A'!AQ$154:AQ315,0)),"")</f>
        <v/>
      </c>
      <c r="BE68" s="253" t="str">
        <f>IFERROR(INDEX('Overview - Section A'!O$154:O315,MATCH(AT68,'Overview - Section A'!AQ$154:AQ315,0)),"")</f>
        <v/>
      </c>
      <c r="BF68" s="253" t="str">
        <f>IFERROR(INDEX('Overview - Section A'!H$154:H315,MATCH(AT68,'Overview - Section A'!AQ$154:AQ315,0)),"")</f>
        <v/>
      </c>
    </row>
    <row r="69" spans="1:58" s="253" customFormat="1" ht="30" customHeight="1" x14ac:dyDescent="0.35">
      <c r="A69" s="189">
        <v>61</v>
      </c>
      <c r="B69" s="206"/>
      <c r="C69" s="206"/>
      <c r="D69" s="206"/>
      <c r="E69" s="206"/>
      <c r="F69" s="206"/>
      <c r="G69" s="207"/>
      <c r="H69" s="207"/>
      <c r="I69" s="207"/>
      <c r="J69" s="206"/>
      <c r="K69" s="206"/>
      <c r="L69" s="207"/>
      <c r="M69" s="207"/>
      <c r="N69" s="206"/>
      <c r="O69" s="206"/>
      <c r="P69" s="207"/>
      <c r="Q69" s="207"/>
      <c r="R69" s="206"/>
      <c r="S69" s="206"/>
      <c r="T69" s="207"/>
      <c r="U69" s="207"/>
      <c r="V69" s="206"/>
      <c r="W69" s="206"/>
      <c r="X69" s="207"/>
      <c r="Y69" s="207"/>
      <c r="Z69" s="206"/>
      <c r="AA69" s="206"/>
      <c r="AB69" s="207"/>
      <c r="AC69" s="207"/>
      <c r="AD69" s="206"/>
      <c r="AE69" s="206"/>
      <c r="AF69" s="207"/>
      <c r="AG69" s="207"/>
      <c r="AH69" s="206"/>
      <c r="AI69" s="206"/>
      <c r="AJ69" s="207"/>
      <c r="AK69" s="207"/>
      <c r="AL69" s="206"/>
      <c r="AM69" s="206"/>
      <c r="AN69" s="206"/>
      <c r="AO69" s="198" t="str">
        <f>IFERROR(VLOOKUP(D69,'Reference Records'!$C$213:$E$334,3,FALSE),"")</f>
        <v/>
      </c>
      <c r="AP69" s="253" t="e">
        <f>VLOOKUP(AO69,'Reference Records'!$E$213:$F$334,2,0)</f>
        <v>#N/A</v>
      </c>
      <c r="AQ69" s="253" t="e">
        <f>MATCH($AP69,'Reference Records'!$E$413:$E$618,0)+ROW(Population_by_intervention) -1</f>
        <v>#N/A</v>
      </c>
      <c r="AR69" s="253" t="e">
        <f>MATCH($AP69,'Reference Records'!$E$413:$E$618,1)+ROW(Population_by_intervention) -1</f>
        <v>#N/A</v>
      </c>
      <c r="AS69" s="253" t="str">
        <f t="shared" si="0"/>
        <v>|empty|</v>
      </c>
      <c r="AT69" s="253" t="str">
        <f>IF(AS69="","",IFERROR(VLOOKUP(AS69,'Overview - Section A'!AF$155:AG316,2,0),VLOOKUP("|empty|",'Overview - Section A'!AF$155:AG316,2,0)))</f>
        <v>INT-211703</v>
      </c>
      <c r="AU69" s="206"/>
      <c r="AV69" s="206"/>
      <c r="AY69" s="253">
        <f t="shared" si="2"/>
        <v>4125</v>
      </c>
      <c r="AZ69" s="253">
        <f ca="1">AZ68+'update Helper'!$X$2</f>
        <v>4671</v>
      </c>
      <c r="BC69" s="253" t="str">
        <f ca="1">IF(INDIRECT("'update Helper'!S"&amp;AY69)=0,"",IFERROR(VLOOKUP(INDIRECT("'update Helper'!S"&amp;AY69),'Account Role'!A$1:B$15,2,0),IFERROR(VLOOKUP(INDIRECT("'update Helper'!I"&amp;AY69),'Overview - Section A'!J$26:P$107,7,0),"")))</f>
        <v/>
      </c>
      <c r="BD69" s="253" t="str">
        <f ca="1">IFERROR(INDEX('Overview - Section A'!A$154:A316,MATCH(INDIRECT("'update Helper'!Q"&amp;AY69),'Overview - Section A'!AQ$154:AQ316,0)),"")</f>
        <v/>
      </c>
      <c r="BE69" s="253" t="str">
        <f>IFERROR(INDEX('Overview - Section A'!O$154:O316,MATCH(AT69,'Overview - Section A'!AQ$154:AQ316,0)),"")</f>
        <v/>
      </c>
      <c r="BF69" s="253" t="str">
        <f>IFERROR(INDEX('Overview - Section A'!H$154:H316,MATCH(AT69,'Overview - Section A'!AQ$154:AQ316,0)),"")</f>
        <v/>
      </c>
    </row>
    <row r="70" spans="1:58" s="253" customFormat="1" ht="30" customHeight="1" x14ac:dyDescent="0.35">
      <c r="A70" s="189">
        <v>62</v>
      </c>
      <c r="B70" s="206"/>
      <c r="C70" s="206"/>
      <c r="D70" s="206"/>
      <c r="E70" s="206"/>
      <c r="F70" s="206"/>
      <c r="G70" s="207"/>
      <c r="H70" s="207"/>
      <c r="I70" s="207"/>
      <c r="J70" s="206"/>
      <c r="K70" s="206"/>
      <c r="L70" s="207"/>
      <c r="M70" s="207"/>
      <c r="N70" s="206"/>
      <c r="O70" s="206"/>
      <c r="P70" s="207"/>
      <c r="Q70" s="207"/>
      <c r="R70" s="206"/>
      <c r="S70" s="206"/>
      <c r="T70" s="207"/>
      <c r="U70" s="207"/>
      <c r="V70" s="206"/>
      <c r="W70" s="206"/>
      <c r="X70" s="207"/>
      <c r="Y70" s="207"/>
      <c r="Z70" s="206"/>
      <c r="AA70" s="206"/>
      <c r="AB70" s="207"/>
      <c r="AC70" s="207"/>
      <c r="AD70" s="206"/>
      <c r="AE70" s="206"/>
      <c r="AF70" s="207"/>
      <c r="AG70" s="207"/>
      <c r="AH70" s="206"/>
      <c r="AI70" s="206"/>
      <c r="AJ70" s="207"/>
      <c r="AK70" s="207"/>
      <c r="AL70" s="206"/>
      <c r="AM70" s="206"/>
      <c r="AN70" s="206"/>
      <c r="AO70" s="198" t="str">
        <f>IFERROR(VLOOKUP(D70,'Reference Records'!$C$213:$E$334,3,FALSE),"")</f>
        <v/>
      </c>
      <c r="AP70" s="253" t="e">
        <f>VLOOKUP(AO70,'Reference Records'!$E$213:$F$334,2,0)</f>
        <v>#N/A</v>
      </c>
      <c r="AQ70" s="253" t="e">
        <f>MATCH($AP70,'Reference Records'!$E$413:$E$618,0)+ROW(Population_by_intervention) -1</f>
        <v>#N/A</v>
      </c>
      <c r="AR70" s="253" t="e">
        <f>MATCH($AP70,'Reference Records'!$E$413:$E$618,1)+ROW(Population_by_intervention) -1</f>
        <v>#N/A</v>
      </c>
      <c r="AS70" s="253" t="str">
        <f t="shared" si="0"/>
        <v>|empty|</v>
      </c>
      <c r="AT70" s="253" t="str">
        <f>IF(AS70="","",IFERROR(VLOOKUP(AS70,'Overview - Section A'!AF$155:AG317,2,0),VLOOKUP("|empty|",'Overview - Section A'!AF$155:AG317,2,0)))</f>
        <v>INT-211703</v>
      </c>
      <c r="AU70" s="206"/>
      <c r="AV70" s="206"/>
      <c r="AY70" s="253">
        <f t="shared" si="2"/>
        <v>4126</v>
      </c>
      <c r="AZ70" s="253">
        <f ca="1">AZ69+'update Helper'!$X$2</f>
        <v>4677</v>
      </c>
      <c r="BC70" s="253" t="str">
        <f ca="1">IF(INDIRECT("'update Helper'!S"&amp;AY70)=0,"",IFERROR(VLOOKUP(INDIRECT("'update Helper'!S"&amp;AY70),'Account Role'!A$1:B$15,2,0),IFERROR(VLOOKUP(INDIRECT("'update Helper'!I"&amp;AY70),'Overview - Section A'!J$26:P$107,7,0),"")))</f>
        <v/>
      </c>
      <c r="BD70" s="253" t="str">
        <f ca="1">IFERROR(INDEX('Overview - Section A'!A$154:A317,MATCH(INDIRECT("'update Helper'!Q"&amp;AY70),'Overview - Section A'!AQ$154:AQ317,0)),"")</f>
        <v/>
      </c>
      <c r="BE70" s="253" t="str">
        <f>IFERROR(INDEX('Overview - Section A'!O$154:O317,MATCH(AT70,'Overview - Section A'!AQ$154:AQ317,0)),"")</f>
        <v/>
      </c>
      <c r="BF70" s="253" t="str">
        <f>IFERROR(INDEX('Overview - Section A'!H$154:H317,MATCH(AT70,'Overview - Section A'!AQ$154:AQ317,0)),"")</f>
        <v/>
      </c>
    </row>
    <row r="71" spans="1:58" s="253" customFormat="1" ht="30" customHeight="1" x14ac:dyDescent="0.35">
      <c r="A71" s="189">
        <v>63</v>
      </c>
      <c r="B71" s="206"/>
      <c r="C71" s="206"/>
      <c r="D71" s="206"/>
      <c r="E71" s="206"/>
      <c r="F71" s="206"/>
      <c r="G71" s="207"/>
      <c r="H71" s="207"/>
      <c r="I71" s="207"/>
      <c r="J71" s="206"/>
      <c r="K71" s="206"/>
      <c r="L71" s="207"/>
      <c r="M71" s="207"/>
      <c r="N71" s="206"/>
      <c r="O71" s="206"/>
      <c r="P71" s="207"/>
      <c r="Q71" s="207"/>
      <c r="R71" s="206"/>
      <c r="S71" s="206"/>
      <c r="T71" s="207"/>
      <c r="U71" s="207"/>
      <c r="V71" s="206"/>
      <c r="W71" s="206"/>
      <c r="X71" s="207"/>
      <c r="Y71" s="207"/>
      <c r="Z71" s="206"/>
      <c r="AA71" s="206"/>
      <c r="AB71" s="207"/>
      <c r="AC71" s="207"/>
      <c r="AD71" s="206"/>
      <c r="AE71" s="206"/>
      <c r="AF71" s="207"/>
      <c r="AG71" s="207"/>
      <c r="AH71" s="206"/>
      <c r="AI71" s="206"/>
      <c r="AJ71" s="207"/>
      <c r="AK71" s="207"/>
      <c r="AL71" s="206"/>
      <c r="AM71" s="206"/>
      <c r="AN71" s="206"/>
      <c r="AO71" s="198" t="str">
        <f>IFERROR(VLOOKUP(D71,'Reference Records'!$C$213:$E$334,3,FALSE),"")</f>
        <v/>
      </c>
      <c r="AP71" s="253" t="e">
        <f>VLOOKUP(AO71,'Reference Records'!$E$213:$F$334,2,0)</f>
        <v>#N/A</v>
      </c>
      <c r="AQ71" s="253" t="e">
        <f>MATCH($AP71,'Reference Records'!$E$413:$E$618,0)+ROW(Population_by_intervention) -1</f>
        <v>#N/A</v>
      </c>
      <c r="AR71" s="253" t="e">
        <f>MATCH($AP71,'Reference Records'!$E$413:$E$618,1)+ROW(Population_by_intervention) -1</f>
        <v>#N/A</v>
      </c>
      <c r="AS71" s="253" t="str">
        <f t="shared" si="0"/>
        <v>|empty|</v>
      </c>
      <c r="AT71" s="253" t="str">
        <f>IF(AS71="","",IFERROR(VLOOKUP(AS71,'Overview - Section A'!AF$155:AG318,2,0),VLOOKUP("|empty|",'Overview - Section A'!AF$155:AG318,2,0)))</f>
        <v>INT-211703</v>
      </c>
      <c r="AU71" s="206"/>
      <c r="AV71" s="206"/>
      <c r="AY71" s="253">
        <f t="shared" si="2"/>
        <v>4127</v>
      </c>
      <c r="AZ71" s="253">
        <f ca="1">AZ70+'update Helper'!$X$2</f>
        <v>4683</v>
      </c>
      <c r="BC71" s="253" t="str">
        <f ca="1">IF(INDIRECT("'update Helper'!S"&amp;AY71)=0,"",IFERROR(VLOOKUP(INDIRECT("'update Helper'!S"&amp;AY71),'Account Role'!A$1:B$15,2,0),IFERROR(VLOOKUP(INDIRECT("'update Helper'!I"&amp;AY71),'Overview - Section A'!J$26:P$107,7,0),"")))</f>
        <v/>
      </c>
      <c r="BD71" s="253" t="str">
        <f ca="1">IFERROR(INDEX('Overview - Section A'!A$154:A318,MATCH(INDIRECT("'update Helper'!Q"&amp;AY71),'Overview - Section A'!AQ$154:AQ318,0)),"")</f>
        <v/>
      </c>
      <c r="BE71" s="253" t="str">
        <f>IFERROR(INDEX('Overview - Section A'!O$154:O318,MATCH(AT71,'Overview - Section A'!AQ$154:AQ318,0)),"")</f>
        <v/>
      </c>
      <c r="BF71" s="253" t="str">
        <f>IFERROR(INDEX('Overview - Section A'!H$154:H318,MATCH(AT71,'Overview - Section A'!AQ$154:AQ318,0)),"")</f>
        <v/>
      </c>
    </row>
    <row r="72" spans="1:58" s="253" customFormat="1" ht="30" customHeight="1" x14ac:dyDescent="0.35">
      <c r="A72" s="189">
        <v>64</v>
      </c>
      <c r="B72" s="206"/>
      <c r="C72" s="206"/>
      <c r="D72" s="206"/>
      <c r="E72" s="206"/>
      <c r="F72" s="206"/>
      <c r="G72" s="207"/>
      <c r="H72" s="207"/>
      <c r="I72" s="207"/>
      <c r="J72" s="206"/>
      <c r="K72" s="206"/>
      <c r="L72" s="207"/>
      <c r="M72" s="207"/>
      <c r="N72" s="206"/>
      <c r="O72" s="206"/>
      <c r="P72" s="207"/>
      <c r="Q72" s="207"/>
      <c r="R72" s="206"/>
      <c r="S72" s="206"/>
      <c r="T72" s="207"/>
      <c r="U72" s="207"/>
      <c r="V72" s="206"/>
      <c r="W72" s="206"/>
      <c r="X72" s="207"/>
      <c r="Y72" s="207"/>
      <c r="Z72" s="206"/>
      <c r="AA72" s="206"/>
      <c r="AB72" s="207"/>
      <c r="AC72" s="207"/>
      <c r="AD72" s="206"/>
      <c r="AE72" s="206"/>
      <c r="AF72" s="207"/>
      <c r="AG72" s="207"/>
      <c r="AH72" s="206"/>
      <c r="AI72" s="206"/>
      <c r="AJ72" s="207"/>
      <c r="AK72" s="207"/>
      <c r="AL72" s="206"/>
      <c r="AM72" s="206"/>
      <c r="AN72" s="206"/>
      <c r="AO72" s="198" t="str">
        <f>IFERROR(VLOOKUP(D72,'Reference Records'!$C$213:$E$334,3,FALSE),"")</f>
        <v/>
      </c>
      <c r="AP72" s="253" t="e">
        <f>VLOOKUP(AO72,'Reference Records'!$E$213:$F$334,2,0)</f>
        <v>#N/A</v>
      </c>
      <c r="AQ72" s="253" t="e">
        <f>MATCH($AP72,'Reference Records'!$E$413:$E$618,0)+ROW(Population_by_intervention) -1</f>
        <v>#N/A</v>
      </c>
      <c r="AR72" s="253" t="e">
        <f>MATCH($AP72,'Reference Records'!$E$413:$E$618,1)+ROW(Population_by_intervention) -1</f>
        <v>#N/A</v>
      </c>
      <c r="AS72" s="253" t="str">
        <f t="shared" si="0"/>
        <v>|empty|</v>
      </c>
      <c r="AT72" s="253" t="str">
        <f>IF(AS72="","",IFERROR(VLOOKUP(AS72,'Overview - Section A'!AF$155:AG319,2,0),VLOOKUP("|empty|",'Overview - Section A'!AF$155:AG319,2,0)))</f>
        <v>INT-211703</v>
      </c>
      <c r="AU72" s="206"/>
      <c r="AV72" s="206"/>
      <c r="AY72" s="253">
        <f t="shared" si="2"/>
        <v>4128</v>
      </c>
      <c r="AZ72" s="253">
        <f ca="1">AZ71+'update Helper'!$X$2</f>
        <v>4689</v>
      </c>
      <c r="BC72" s="253" t="str">
        <f ca="1">IF(INDIRECT("'update Helper'!S"&amp;AY72)=0,"",IFERROR(VLOOKUP(INDIRECT("'update Helper'!S"&amp;AY72),'Account Role'!A$1:B$15,2,0),IFERROR(VLOOKUP(INDIRECT("'update Helper'!I"&amp;AY72),'Overview - Section A'!J$26:P$107,7,0),"")))</f>
        <v/>
      </c>
      <c r="BD72" s="253" t="str">
        <f ca="1">IFERROR(INDEX('Overview - Section A'!A$154:A319,MATCH(INDIRECT("'update Helper'!Q"&amp;AY72),'Overview - Section A'!AQ$154:AQ319,0)),"")</f>
        <v/>
      </c>
      <c r="BE72" s="253" t="str">
        <f>IFERROR(INDEX('Overview - Section A'!O$154:O319,MATCH(AT72,'Overview - Section A'!AQ$154:AQ319,0)),"")</f>
        <v/>
      </c>
      <c r="BF72" s="253" t="str">
        <f>IFERROR(INDEX('Overview - Section A'!H$154:H319,MATCH(AT72,'Overview - Section A'!AQ$154:AQ319,0)),"")</f>
        <v/>
      </c>
    </row>
    <row r="73" spans="1:58" s="253" customFormat="1" ht="30" customHeight="1" x14ac:dyDescent="0.35">
      <c r="A73" s="189">
        <v>65</v>
      </c>
      <c r="B73" s="206"/>
      <c r="C73" s="206"/>
      <c r="D73" s="206"/>
      <c r="E73" s="206"/>
      <c r="F73" s="206"/>
      <c r="G73" s="207"/>
      <c r="H73" s="207"/>
      <c r="I73" s="207"/>
      <c r="J73" s="206"/>
      <c r="K73" s="206"/>
      <c r="L73" s="207"/>
      <c r="M73" s="207"/>
      <c r="N73" s="206"/>
      <c r="O73" s="206"/>
      <c r="P73" s="207"/>
      <c r="Q73" s="207"/>
      <c r="R73" s="206"/>
      <c r="S73" s="206"/>
      <c r="T73" s="207"/>
      <c r="U73" s="207"/>
      <c r="V73" s="206"/>
      <c r="W73" s="206"/>
      <c r="X73" s="207"/>
      <c r="Y73" s="207"/>
      <c r="Z73" s="206"/>
      <c r="AA73" s="206"/>
      <c r="AB73" s="207"/>
      <c r="AC73" s="207"/>
      <c r="AD73" s="206"/>
      <c r="AE73" s="206"/>
      <c r="AF73" s="207"/>
      <c r="AG73" s="207"/>
      <c r="AH73" s="206"/>
      <c r="AI73" s="206"/>
      <c r="AJ73" s="207"/>
      <c r="AK73" s="207"/>
      <c r="AL73" s="206"/>
      <c r="AM73" s="206"/>
      <c r="AN73" s="206"/>
      <c r="AO73" s="198" t="str">
        <f>IFERROR(VLOOKUP(D73,'Reference Records'!$C$213:$E$334,3,FALSE),"")</f>
        <v/>
      </c>
      <c r="AP73" s="253" t="e">
        <f>VLOOKUP(AO73,'Reference Records'!$E$213:$F$334,2,0)</f>
        <v>#N/A</v>
      </c>
      <c r="AQ73" s="253" t="e">
        <f>MATCH($AP73,'Reference Records'!$E$413:$E$618,0)+ROW(Population_by_intervention) -1</f>
        <v>#N/A</v>
      </c>
      <c r="AR73" s="253" t="e">
        <f>MATCH($AP73,'Reference Records'!$E$413:$E$618,1)+ROW(Population_by_intervention) -1</f>
        <v>#N/A</v>
      </c>
      <c r="AS73" s="253" t="str">
        <f t="shared" si="0"/>
        <v>|empty|</v>
      </c>
      <c r="AT73" s="253" t="str">
        <f>IF(AS73="","",IFERROR(VLOOKUP(AS73,'Overview - Section A'!AF$155:AG320,2,0),VLOOKUP("|empty|",'Overview - Section A'!AF$155:AG320,2,0)))</f>
        <v>INT-211703</v>
      </c>
      <c r="AU73" s="206"/>
      <c r="AV73" s="206"/>
      <c r="AY73" s="253">
        <f t="shared" si="2"/>
        <v>4129</v>
      </c>
      <c r="AZ73" s="253">
        <f ca="1">AZ72+'update Helper'!$X$2</f>
        <v>4695</v>
      </c>
      <c r="BC73" s="253" t="str">
        <f ca="1">IF(INDIRECT("'update Helper'!S"&amp;AY73)=0,"",IFERROR(VLOOKUP(INDIRECT("'update Helper'!S"&amp;AY73),'Account Role'!A$1:B$15,2,0),IFERROR(VLOOKUP(INDIRECT("'update Helper'!I"&amp;AY73),'Overview - Section A'!J$26:P$107,7,0),"")))</f>
        <v/>
      </c>
      <c r="BD73" s="253" t="str">
        <f ca="1">IFERROR(INDEX('Overview - Section A'!A$154:A320,MATCH(INDIRECT("'update Helper'!Q"&amp;AY73),'Overview - Section A'!AQ$154:AQ320,0)),"")</f>
        <v/>
      </c>
      <c r="BE73" s="253" t="str">
        <f>IFERROR(INDEX('Overview - Section A'!O$154:O320,MATCH(AT73,'Overview - Section A'!AQ$154:AQ320,0)),"")</f>
        <v/>
      </c>
      <c r="BF73" s="253" t="str">
        <f>IFERROR(INDEX('Overview - Section A'!H$154:H320,MATCH(AT73,'Overview - Section A'!AQ$154:AQ320,0)),"")</f>
        <v/>
      </c>
    </row>
    <row r="74" spans="1:58" s="253" customFormat="1" ht="30" customHeight="1" x14ac:dyDescent="0.35">
      <c r="A74" s="189">
        <v>66</v>
      </c>
      <c r="B74" s="206"/>
      <c r="C74" s="206"/>
      <c r="D74" s="206"/>
      <c r="E74" s="206"/>
      <c r="F74" s="206"/>
      <c r="G74" s="207"/>
      <c r="H74" s="207"/>
      <c r="I74" s="207"/>
      <c r="J74" s="206"/>
      <c r="K74" s="206"/>
      <c r="L74" s="207"/>
      <c r="M74" s="207"/>
      <c r="N74" s="206"/>
      <c r="O74" s="206"/>
      <c r="P74" s="207"/>
      <c r="Q74" s="207"/>
      <c r="R74" s="206"/>
      <c r="S74" s="206"/>
      <c r="T74" s="207"/>
      <c r="U74" s="207"/>
      <c r="V74" s="206"/>
      <c r="W74" s="206"/>
      <c r="X74" s="207"/>
      <c r="Y74" s="207"/>
      <c r="Z74" s="206"/>
      <c r="AA74" s="206"/>
      <c r="AB74" s="207"/>
      <c r="AC74" s="207"/>
      <c r="AD74" s="206"/>
      <c r="AE74" s="206"/>
      <c r="AF74" s="207"/>
      <c r="AG74" s="207"/>
      <c r="AH74" s="206"/>
      <c r="AI74" s="206"/>
      <c r="AJ74" s="207"/>
      <c r="AK74" s="207"/>
      <c r="AL74" s="206"/>
      <c r="AM74" s="206"/>
      <c r="AN74" s="206"/>
      <c r="AO74" s="198" t="str">
        <f>IFERROR(VLOOKUP(D74,'Reference Records'!$C$213:$E$334,3,FALSE),"")</f>
        <v/>
      </c>
      <c r="AP74" s="253" t="e">
        <f>VLOOKUP(AO74,'Reference Records'!$E$213:$F$334,2,0)</f>
        <v>#N/A</v>
      </c>
      <c r="AQ74" s="253" t="e">
        <f>MATCH($AP74,'Reference Records'!$E$413:$E$618,0)+ROW(Population_by_intervention) -1</f>
        <v>#N/A</v>
      </c>
      <c r="AR74" s="253" t="e">
        <f>MATCH($AP74,'Reference Records'!$E$413:$E$618,1)+ROW(Population_by_intervention) -1</f>
        <v>#N/A</v>
      </c>
      <c r="AS74" s="253" t="str">
        <f t="shared" ref="AS74:AS88" si="3">IF(B74&amp;C74="","|empty|",B74&amp;C74&amp;D74)</f>
        <v>|empty|</v>
      </c>
      <c r="AT74" s="253" t="str">
        <f>IF(AS74="","",IFERROR(VLOOKUP(AS74,'Overview - Section A'!AF$155:AG321,2,0),VLOOKUP("|empty|",'Overview - Section A'!AF$155:AG321,2,0)))</f>
        <v>INT-211703</v>
      </c>
      <c r="AU74" s="206"/>
      <c r="AV74" s="206"/>
      <c r="AY74" s="253">
        <f t="shared" si="2"/>
        <v>4130</v>
      </c>
      <c r="AZ74" s="253">
        <f ca="1">AZ73+'update Helper'!$X$2</f>
        <v>4701</v>
      </c>
      <c r="BC74" s="253" t="str">
        <f ca="1">IF(INDIRECT("'update Helper'!S"&amp;AY74)=0,"",IFERROR(VLOOKUP(INDIRECT("'update Helper'!S"&amp;AY74),'Account Role'!A$1:B$15,2,0),IFERROR(VLOOKUP(INDIRECT("'update Helper'!I"&amp;AY74),'Overview - Section A'!J$26:P$107,7,0),"")))</f>
        <v/>
      </c>
      <c r="BD74" s="253" t="str">
        <f ca="1">IFERROR(INDEX('Overview - Section A'!A$154:A321,MATCH(INDIRECT("'update Helper'!Q"&amp;AY74),'Overview - Section A'!AQ$154:AQ321,0)),"")</f>
        <v/>
      </c>
      <c r="BE74" s="253" t="str">
        <f>IFERROR(INDEX('Overview - Section A'!O$154:O321,MATCH(AT74,'Overview - Section A'!AQ$154:AQ321,0)),"")</f>
        <v/>
      </c>
      <c r="BF74" s="253" t="str">
        <f>IFERROR(INDEX('Overview - Section A'!H$154:H321,MATCH(AT74,'Overview - Section A'!AQ$154:AQ321,0)),"")</f>
        <v/>
      </c>
    </row>
    <row r="75" spans="1:58" s="253" customFormat="1" ht="30" customHeight="1" x14ac:dyDescent="0.35">
      <c r="A75" s="189">
        <v>67</v>
      </c>
      <c r="B75" s="206"/>
      <c r="C75" s="206"/>
      <c r="D75" s="206"/>
      <c r="E75" s="206"/>
      <c r="F75" s="206"/>
      <c r="G75" s="207"/>
      <c r="H75" s="207"/>
      <c r="I75" s="207"/>
      <c r="J75" s="206"/>
      <c r="K75" s="206"/>
      <c r="L75" s="207"/>
      <c r="M75" s="207"/>
      <c r="N75" s="206"/>
      <c r="O75" s="206"/>
      <c r="P75" s="207"/>
      <c r="Q75" s="207"/>
      <c r="R75" s="206"/>
      <c r="S75" s="206"/>
      <c r="T75" s="207"/>
      <c r="U75" s="207"/>
      <c r="V75" s="206"/>
      <c r="W75" s="206"/>
      <c r="X75" s="207"/>
      <c r="Y75" s="207"/>
      <c r="Z75" s="206"/>
      <c r="AA75" s="206"/>
      <c r="AB75" s="207"/>
      <c r="AC75" s="207"/>
      <c r="AD75" s="206"/>
      <c r="AE75" s="206"/>
      <c r="AF75" s="207"/>
      <c r="AG75" s="207"/>
      <c r="AH75" s="206"/>
      <c r="AI75" s="206"/>
      <c r="AJ75" s="207"/>
      <c r="AK75" s="207"/>
      <c r="AL75" s="206"/>
      <c r="AM75" s="206"/>
      <c r="AN75" s="206"/>
      <c r="AO75" s="198" t="str">
        <f>IFERROR(VLOOKUP(D75,'Reference Records'!$C$213:$E$334,3,FALSE),"")</f>
        <v/>
      </c>
      <c r="AP75" s="253" t="e">
        <f>VLOOKUP(AO75,'Reference Records'!$E$213:$F$334,2,0)</f>
        <v>#N/A</v>
      </c>
      <c r="AQ75" s="253" t="e">
        <f>MATCH($AP75,'Reference Records'!$E$413:$E$618,0)+ROW(Population_by_intervention) -1</f>
        <v>#N/A</v>
      </c>
      <c r="AR75" s="253" t="e">
        <f>MATCH($AP75,'Reference Records'!$E$413:$E$618,1)+ROW(Population_by_intervention) -1</f>
        <v>#N/A</v>
      </c>
      <c r="AS75" s="253" t="str">
        <f t="shared" si="3"/>
        <v>|empty|</v>
      </c>
      <c r="AT75" s="253" t="str">
        <f>IF(AS75="","",IFERROR(VLOOKUP(AS75,'Overview - Section A'!AF$155:AG322,2,0),VLOOKUP("|empty|",'Overview - Section A'!AF$155:AG322,2,0)))</f>
        <v>INT-211703</v>
      </c>
      <c r="AU75" s="206"/>
      <c r="AV75" s="206"/>
      <c r="AY75" s="253">
        <f t="shared" ref="AY75:AY88" si="4">AY74+1</f>
        <v>4131</v>
      </c>
      <c r="AZ75" s="253">
        <f ca="1">AZ74+'update Helper'!$X$2</f>
        <v>4707</v>
      </c>
      <c r="BC75" s="253" t="str">
        <f ca="1">IF(INDIRECT("'update Helper'!S"&amp;AY75)=0,"",IFERROR(VLOOKUP(INDIRECT("'update Helper'!S"&amp;AY75),'Account Role'!A$1:B$15,2,0),IFERROR(VLOOKUP(INDIRECT("'update Helper'!I"&amp;AY75),'Overview - Section A'!J$26:P$107,7,0),"")))</f>
        <v/>
      </c>
      <c r="BD75" s="253" t="str">
        <f ca="1">IFERROR(INDEX('Overview - Section A'!A$154:A322,MATCH(INDIRECT("'update Helper'!Q"&amp;AY75),'Overview - Section A'!AQ$154:AQ322,0)),"")</f>
        <v/>
      </c>
      <c r="BE75" s="253" t="str">
        <f>IFERROR(INDEX('Overview - Section A'!O$154:O322,MATCH(AT75,'Overview - Section A'!AQ$154:AQ322,0)),"")</f>
        <v/>
      </c>
      <c r="BF75" s="253" t="str">
        <f>IFERROR(INDEX('Overview - Section A'!H$154:H322,MATCH(AT75,'Overview - Section A'!AQ$154:AQ322,0)),"")</f>
        <v/>
      </c>
    </row>
    <row r="76" spans="1:58" s="253" customFormat="1" ht="30" customHeight="1" x14ac:dyDescent="0.35">
      <c r="A76" s="189">
        <v>68</v>
      </c>
      <c r="B76" s="206"/>
      <c r="C76" s="206"/>
      <c r="D76" s="206"/>
      <c r="E76" s="206"/>
      <c r="F76" s="206"/>
      <c r="G76" s="207"/>
      <c r="H76" s="207"/>
      <c r="I76" s="207"/>
      <c r="J76" s="206"/>
      <c r="K76" s="206"/>
      <c r="L76" s="207"/>
      <c r="M76" s="207"/>
      <c r="N76" s="206"/>
      <c r="O76" s="206"/>
      <c r="P76" s="207"/>
      <c r="Q76" s="207"/>
      <c r="R76" s="206"/>
      <c r="S76" s="206"/>
      <c r="T76" s="207"/>
      <c r="U76" s="207"/>
      <c r="V76" s="206"/>
      <c r="W76" s="206"/>
      <c r="X76" s="207"/>
      <c r="Y76" s="207"/>
      <c r="Z76" s="206"/>
      <c r="AA76" s="206"/>
      <c r="AB76" s="207"/>
      <c r="AC76" s="207"/>
      <c r="AD76" s="206"/>
      <c r="AE76" s="206"/>
      <c r="AF76" s="207"/>
      <c r="AG76" s="207"/>
      <c r="AH76" s="206"/>
      <c r="AI76" s="206"/>
      <c r="AJ76" s="207"/>
      <c r="AK76" s="207"/>
      <c r="AL76" s="206"/>
      <c r="AM76" s="206"/>
      <c r="AN76" s="206"/>
      <c r="AO76" s="198" t="str">
        <f>IFERROR(VLOOKUP(D76,'Reference Records'!$C$213:$E$334,3,FALSE),"")</f>
        <v/>
      </c>
      <c r="AP76" s="253" t="e">
        <f>VLOOKUP(AO76,'Reference Records'!$E$213:$F$334,2,0)</f>
        <v>#N/A</v>
      </c>
      <c r="AQ76" s="253" t="e">
        <f>MATCH($AP76,'Reference Records'!$E$413:$E$618,0)+ROW(Population_by_intervention) -1</f>
        <v>#N/A</v>
      </c>
      <c r="AR76" s="253" t="e">
        <f>MATCH($AP76,'Reference Records'!$E$413:$E$618,1)+ROW(Population_by_intervention) -1</f>
        <v>#N/A</v>
      </c>
      <c r="AS76" s="253" t="str">
        <f t="shared" si="3"/>
        <v>|empty|</v>
      </c>
      <c r="AT76" s="253" t="str">
        <f>IF(AS76="","",IFERROR(VLOOKUP(AS76,'Overview - Section A'!AF$155:AG323,2,0),VLOOKUP("|empty|",'Overview - Section A'!AF$155:AG323,2,0)))</f>
        <v>INT-211703</v>
      </c>
      <c r="AU76" s="206"/>
      <c r="AV76" s="206"/>
      <c r="AY76" s="253">
        <f t="shared" si="4"/>
        <v>4132</v>
      </c>
      <c r="AZ76" s="253">
        <f ca="1">AZ75+'update Helper'!$X$2</f>
        <v>4713</v>
      </c>
      <c r="BC76" s="253" t="str">
        <f ca="1">IF(INDIRECT("'update Helper'!S"&amp;AY76)=0,"",IFERROR(VLOOKUP(INDIRECT("'update Helper'!S"&amp;AY76),'Account Role'!A$1:B$15,2,0),IFERROR(VLOOKUP(INDIRECT("'update Helper'!I"&amp;AY76),'Overview - Section A'!J$26:P$107,7,0),"")))</f>
        <v/>
      </c>
      <c r="BD76" s="253" t="str">
        <f ca="1">IFERROR(INDEX('Overview - Section A'!A$154:A323,MATCH(INDIRECT("'update Helper'!Q"&amp;AY76),'Overview - Section A'!AQ$154:AQ323,0)),"")</f>
        <v/>
      </c>
      <c r="BE76" s="253" t="str">
        <f>IFERROR(INDEX('Overview - Section A'!O$154:O323,MATCH(AT76,'Overview - Section A'!AQ$154:AQ323,0)),"")</f>
        <v/>
      </c>
      <c r="BF76" s="253" t="str">
        <f>IFERROR(INDEX('Overview - Section A'!H$154:H323,MATCH(AT76,'Overview - Section A'!AQ$154:AQ323,0)),"")</f>
        <v/>
      </c>
    </row>
    <row r="77" spans="1:58" s="253" customFormat="1" ht="30" customHeight="1" x14ac:dyDescent="0.35">
      <c r="A77" s="189">
        <v>69</v>
      </c>
      <c r="B77" s="206"/>
      <c r="C77" s="206"/>
      <c r="D77" s="206"/>
      <c r="E77" s="206"/>
      <c r="F77" s="206"/>
      <c r="G77" s="207"/>
      <c r="H77" s="207"/>
      <c r="I77" s="207"/>
      <c r="J77" s="206"/>
      <c r="K77" s="206"/>
      <c r="L77" s="207"/>
      <c r="M77" s="207"/>
      <c r="N77" s="206"/>
      <c r="O77" s="206"/>
      <c r="P77" s="207"/>
      <c r="Q77" s="207"/>
      <c r="R77" s="206"/>
      <c r="S77" s="206"/>
      <c r="T77" s="207"/>
      <c r="U77" s="207"/>
      <c r="V77" s="206"/>
      <c r="W77" s="206"/>
      <c r="X77" s="207"/>
      <c r="Y77" s="207"/>
      <c r="Z77" s="206"/>
      <c r="AA77" s="206"/>
      <c r="AB77" s="207"/>
      <c r="AC77" s="207"/>
      <c r="AD77" s="206"/>
      <c r="AE77" s="206"/>
      <c r="AF77" s="207"/>
      <c r="AG77" s="207"/>
      <c r="AH77" s="206"/>
      <c r="AI77" s="206"/>
      <c r="AJ77" s="207"/>
      <c r="AK77" s="207"/>
      <c r="AL77" s="206"/>
      <c r="AM77" s="206"/>
      <c r="AN77" s="206"/>
      <c r="AO77" s="198" t="str">
        <f>IFERROR(VLOOKUP(D77,'Reference Records'!$C$213:$E$334,3,FALSE),"")</f>
        <v/>
      </c>
      <c r="AP77" s="253" t="e">
        <f>VLOOKUP(AO77,'Reference Records'!$E$213:$F$334,2,0)</f>
        <v>#N/A</v>
      </c>
      <c r="AQ77" s="253" t="e">
        <f>MATCH($AP77,'Reference Records'!$E$413:$E$618,0)+ROW(Population_by_intervention) -1</f>
        <v>#N/A</v>
      </c>
      <c r="AR77" s="253" t="e">
        <f>MATCH($AP77,'Reference Records'!$E$413:$E$618,1)+ROW(Population_by_intervention) -1</f>
        <v>#N/A</v>
      </c>
      <c r="AS77" s="253" t="str">
        <f t="shared" si="3"/>
        <v>|empty|</v>
      </c>
      <c r="AT77" s="253" t="str">
        <f>IF(AS77="","",IFERROR(VLOOKUP(AS77,'Overview - Section A'!AF$155:AG324,2,0),VLOOKUP("|empty|",'Overview - Section A'!AF$155:AG324,2,0)))</f>
        <v>INT-211703</v>
      </c>
      <c r="AU77" s="206"/>
      <c r="AV77" s="206"/>
      <c r="AY77" s="253">
        <f t="shared" si="4"/>
        <v>4133</v>
      </c>
      <c r="AZ77" s="253">
        <f ca="1">AZ76+'update Helper'!$X$2</f>
        <v>4719</v>
      </c>
      <c r="BC77" s="253" t="str">
        <f ca="1">IF(INDIRECT("'update Helper'!S"&amp;AY77)=0,"",IFERROR(VLOOKUP(INDIRECT("'update Helper'!S"&amp;AY77),'Account Role'!A$1:B$15,2,0),IFERROR(VLOOKUP(INDIRECT("'update Helper'!I"&amp;AY77),'Overview - Section A'!J$26:P$107,7,0),"")))</f>
        <v/>
      </c>
      <c r="BD77" s="253" t="str">
        <f ca="1">IFERROR(INDEX('Overview - Section A'!A$154:A324,MATCH(INDIRECT("'update Helper'!Q"&amp;AY77),'Overview - Section A'!AQ$154:AQ324,0)),"")</f>
        <v/>
      </c>
      <c r="BE77" s="253" t="str">
        <f>IFERROR(INDEX('Overview - Section A'!O$154:O324,MATCH(AT77,'Overview - Section A'!AQ$154:AQ324,0)),"")</f>
        <v/>
      </c>
      <c r="BF77" s="253" t="str">
        <f>IFERROR(INDEX('Overview - Section A'!H$154:H324,MATCH(AT77,'Overview - Section A'!AQ$154:AQ324,0)),"")</f>
        <v/>
      </c>
    </row>
    <row r="78" spans="1:58" s="253" customFormat="1" ht="30" customHeight="1" x14ac:dyDescent="0.35">
      <c r="A78" s="189">
        <v>70</v>
      </c>
      <c r="B78" s="206"/>
      <c r="C78" s="206"/>
      <c r="D78" s="206"/>
      <c r="E78" s="206"/>
      <c r="F78" s="206"/>
      <c r="G78" s="207"/>
      <c r="H78" s="207"/>
      <c r="I78" s="207"/>
      <c r="J78" s="206"/>
      <c r="K78" s="206"/>
      <c r="L78" s="207"/>
      <c r="M78" s="207"/>
      <c r="N78" s="206"/>
      <c r="O78" s="206"/>
      <c r="P78" s="207"/>
      <c r="Q78" s="207"/>
      <c r="R78" s="206"/>
      <c r="S78" s="206"/>
      <c r="T78" s="207"/>
      <c r="U78" s="207"/>
      <c r="V78" s="206"/>
      <c r="W78" s="206"/>
      <c r="X78" s="207"/>
      <c r="Y78" s="207"/>
      <c r="Z78" s="206"/>
      <c r="AA78" s="206"/>
      <c r="AB78" s="207"/>
      <c r="AC78" s="207"/>
      <c r="AD78" s="206"/>
      <c r="AE78" s="206"/>
      <c r="AF78" s="207"/>
      <c r="AG78" s="207"/>
      <c r="AH78" s="206"/>
      <c r="AI78" s="206"/>
      <c r="AJ78" s="207"/>
      <c r="AK78" s="207"/>
      <c r="AL78" s="206"/>
      <c r="AM78" s="206"/>
      <c r="AN78" s="206"/>
      <c r="AO78" s="198" t="str">
        <f>IFERROR(VLOOKUP(D78,'Reference Records'!$C$213:$E$334,3,FALSE),"")</f>
        <v/>
      </c>
      <c r="AP78" s="253" t="e">
        <f>VLOOKUP(AO78,'Reference Records'!$E$213:$F$334,2,0)</f>
        <v>#N/A</v>
      </c>
      <c r="AQ78" s="253" t="e">
        <f>MATCH($AP78,'Reference Records'!$E$413:$E$618,0)+ROW(Population_by_intervention) -1</f>
        <v>#N/A</v>
      </c>
      <c r="AR78" s="253" t="e">
        <f>MATCH($AP78,'Reference Records'!$E$413:$E$618,1)+ROW(Population_by_intervention) -1</f>
        <v>#N/A</v>
      </c>
      <c r="AS78" s="253" t="str">
        <f t="shared" si="3"/>
        <v>|empty|</v>
      </c>
      <c r="AT78" s="253" t="str">
        <f>IF(AS78="","",IFERROR(VLOOKUP(AS78,'Overview - Section A'!AF$155:AG325,2,0),VLOOKUP("|empty|",'Overview - Section A'!AF$155:AG325,2,0)))</f>
        <v>INT-211703</v>
      </c>
      <c r="AU78" s="206"/>
      <c r="AV78" s="206"/>
      <c r="AY78" s="253">
        <f t="shared" si="4"/>
        <v>4134</v>
      </c>
      <c r="AZ78" s="253">
        <f ca="1">AZ77+'update Helper'!$X$2</f>
        <v>4725</v>
      </c>
      <c r="BC78" s="253" t="str">
        <f ca="1">IF(INDIRECT("'update Helper'!S"&amp;AY78)=0,"",IFERROR(VLOOKUP(INDIRECT("'update Helper'!S"&amp;AY78),'Account Role'!A$1:B$15,2,0),IFERROR(VLOOKUP(INDIRECT("'update Helper'!I"&amp;AY78),'Overview - Section A'!J$26:P$107,7,0),"")))</f>
        <v/>
      </c>
      <c r="BD78" s="253" t="str">
        <f ca="1">IFERROR(INDEX('Overview - Section A'!A$154:A325,MATCH(INDIRECT("'update Helper'!Q"&amp;AY78),'Overview - Section A'!AQ$154:AQ325,0)),"")</f>
        <v/>
      </c>
      <c r="BE78" s="253" t="str">
        <f>IFERROR(INDEX('Overview - Section A'!O$154:O325,MATCH(AT78,'Overview - Section A'!AQ$154:AQ325,0)),"")</f>
        <v/>
      </c>
      <c r="BF78" s="253" t="str">
        <f>IFERROR(INDEX('Overview - Section A'!H$154:H325,MATCH(AT78,'Overview - Section A'!AQ$154:AQ325,0)),"")</f>
        <v/>
      </c>
    </row>
    <row r="79" spans="1:58" s="253" customFormat="1" ht="30" customHeight="1" x14ac:dyDescent="0.35">
      <c r="A79" s="189">
        <v>71</v>
      </c>
      <c r="B79" s="206"/>
      <c r="C79" s="206"/>
      <c r="D79" s="206"/>
      <c r="E79" s="206"/>
      <c r="F79" s="206"/>
      <c r="G79" s="207"/>
      <c r="H79" s="207"/>
      <c r="I79" s="207"/>
      <c r="J79" s="206"/>
      <c r="K79" s="206"/>
      <c r="L79" s="207"/>
      <c r="M79" s="207"/>
      <c r="N79" s="206"/>
      <c r="O79" s="206"/>
      <c r="P79" s="207"/>
      <c r="Q79" s="207"/>
      <c r="R79" s="206"/>
      <c r="S79" s="206"/>
      <c r="T79" s="207"/>
      <c r="U79" s="207"/>
      <c r="V79" s="206"/>
      <c r="W79" s="206"/>
      <c r="X79" s="207"/>
      <c r="Y79" s="207"/>
      <c r="Z79" s="206"/>
      <c r="AA79" s="206"/>
      <c r="AB79" s="207"/>
      <c r="AC79" s="207"/>
      <c r="AD79" s="206"/>
      <c r="AE79" s="206"/>
      <c r="AF79" s="207"/>
      <c r="AG79" s="207"/>
      <c r="AH79" s="206"/>
      <c r="AI79" s="206"/>
      <c r="AJ79" s="207"/>
      <c r="AK79" s="207"/>
      <c r="AL79" s="206"/>
      <c r="AM79" s="206"/>
      <c r="AN79" s="206"/>
      <c r="AO79" s="198" t="str">
        <f>IFERROR(VLOOKUP(D79,'Reference Records'!$C$213:$E$334,3,FALSE),"")</f>
        <v/>
      </c>
      <c r="AP79" s="253" t="e">
        <f>VLOOKUP(AO79,'Reference Records'!$E$213:$F$334,2,0)</f>
        <v>#N/A</v>
      </c>
      <c r="AQ79" s="253" t="e">
        <f>MATCH($AP79,'Reference Records'!$E$413:$E$618,0)+ROW(Population_by_intervention) -1</f>
        <v>#N/A</v>
      </c>
      <c r="AR79" s="253" t="e">
        <f>MATCH($AP79,'Reference Records'!$E$413:$E$618,1)+ROW(Population_by_intervention) -1</f>
        <v>#N/A</v>
      </c>
      <c r="AS79" s="253" t="str">
        <f t="shared" si="3"/>
        <v>|empty|</v>
      </c>
      <c r="AT79" s="253" t="str">
        <f>IF(AS79="","",IFERROR(VLOOKUP(AS79,'Overview - Section A'!AF$155:AG326,2,0),VLOOKUP("|empty|",'Overview - Section A'!AF$155:AG326,2,0)))</f>
        <v>INT-211703</v>
      </c>
      <c r="AU79" s="206"/>
      <c r="AV79" s="206"/>
      <c r="AY79" s="253">
        <f t="shared" si="4"/>
        <v>4135</v>
      </c>
      <c r="AZ79" s="253">
        <f ca="1">AZ78+'update Helper'!$X$2</f>
        <v>4731</v>
      </c>
      <c r="BC79" s="253" t="str">
        <f ca="1">IF(INDIRECT("'update Helper'!S"&amp;AY79)=0,"",IFERROR(VLOOKUP(INDIRECT("'update Helper'!S"&amp;AY79),'Account Role'!A$1:B$15,2,0),IFERROR(VLOOKUP(INDIRECT("'update Helper'!I"&amp;AY79),'Overview - Section A'!J$26:P$107,7,0),"")))</f>
        <v/>
      </c>
      <c r="BD79" s="253" t="str">
        <f ca="1">IFERROR(INDEX('Overview - Section A'!A$154:A326,MATCH(INDIRECT("'update Helper'!Q"&amp;AY79),'Overview - Section A'!AQ$154:AQ326,0)),"")</f>
        <v/>
      </c>
      <c r="BE79" s="253" t="str">
        <f>IFERROR(INDEX('Overview - Section A'!O$154:O326,MATCH(AT79,'Overview - Section A'!AQ$154:AQ326,0)),"")</f>
        <v/>
      </c>
      <c r="BF79" s="253" t="str">
        <f>IFERROR(INDEX('Overview - Section A'!H$154:H326,MATCH(AT79,'Overview - Section A'!AQ$154:AQ326,0)),"")</f>
        <v/>
      </c>
    </row>
    <row r="80" spans="1:58" s="253" customFormat="1" ht="30" customHeight="1" x14ac:dyDescent="0.35">
      <c r="A80" s="189">
        <v>72</v>
      </c>
      <c r="B80" s="206"/>
      <c r="C80" s="206"/>
      <c r="D80" s="206"/>
      <c r="E80" s="206"/>
      <c r="F80" s="206"/>
      <c r="G80" s="207"/>
      <c r="H80" s="207"/>
      <c r="I80" s="207"/>
      <c r="J80" s="206"/>
      <c r="K80" s="206"/>
      <c r="L80" s="207"/>
      <c r="M80" s="207"/>
      <c r="N80" s="206"/>
      <c r="O80" s="206"/>
      <c r="P80" s="207"/>
      <c r="Q80" s="207"/>
      <c r="R80" s="206"/>
      <c r="S80" s="206"/>
      <c r="T80" s="207"/>
      <c r="U80" s="207"/>
      <c r="V80" s="206"/>
      <c r="W80" s="206"/>
      <c r="X80" s="207"/>
      <c r="Y80" s="207"/>
      <c r="Z80" s="206"/>
      <c r="AA80" s="206"/>
      <c r="AB80" s="207"/>
      <c r="AC80" s="207"/>
      <c r="AD80" s="206"/>
      <c r="AE80" s="206"/>
      <c r="AF80" s="207"/>
      <c r="AG80" s="207"/>
      <c r="AH80" s="206"/>
      <c r="AI80" s="206"/>
      <c r="AJ80" s="207"/>
      <c r="AK80" s="207"/>
      <c r="AL80" s="206"/>
      <c r="AM80" s="206"/>
      <c r="AN80" s="206"/>
      <c r="AO80" s="198" t="str">
        <f>IFERROR(VLOOKUP(D80,'Reference Records'!$C$213:$E$334,3,FALSE),"")</f>
        <v/>
      </c>
      <c r="AP80" s="253" t="e">
        <f>VLOOKUP(AO80,'Reference Records'!$E$213:$F$334,2,0)</f>
        <v>#N/A</v>
      </c>
      <c r="AQ80" s="253" t="e">
        <f>MATCH($AP80,'Reference Records'!$E$413:$E$618,0)+ROW(Population_by_intervention) -1</f>
        <v>#N/A</v>
      </c>
      <c r="AR80" s="253" t="e">
        <f>MATCH($AP80,'Reference Records'!$E$413:$E$618,1)+ROW(Population_by_intervention) -1</f>
        <v>#N/A</v>
      </c>
      <c r="AS80" s="253" t="str">
        <f t="shared" si="3"/>
        <v>|empty|</v>
      </c>
      <c r="AT80" s="253" t="str">
        <f>IF(AS80="","",IFERROR(VLOOKUP(AS80,'Overview - Section A'!AF$155:AG327,2,0),VLOOKUP("|empty|",'Overview - Section A'!AF$155:AG327,2,0)))</f>
        <v>INT-211703</v>
      </c>
      <c r="AU80" s="206"/>
      <c r="AV80" s="206"/>
      <c r="AY80" s="253">
        <f t="shared" si="4"/>
        <v>4136</v>
      </c>
      <c r="AZ80" s="253">
        <f ca="1">AZ79+'update Helper'!$X$2</f>
        <v>4737</v>
      </c>
      <c r="BC80" s="253" t="str">
        <f ca="1">IF(INDIRECT("'update Helper'!S"&amp;AY80)=0,"",IFERROR(VLOOKUP(INDIRECT("'update Helper'!S"&amp;AY80),'Account Role'!A$1:B$15,2,0),IFERROR(VLOOKUP(INDIRECT("'update Helper'!I"&amp;AY80),'Overview - Section A'!J$26:P$107,7,0),"")))</f>
        <v/>
      </c>
      <c r="BD80" s="253" t="str">
        <f ca="1">IFERROR(INDEX('Overview - Section A'!A$154:A327,MATCH(INDIRECT("'update Helper'!Q"&amp;AY80),'Overview - Section A'!AQ$154:AQ327,0)),"")</f>
        <v/>
      </c>
      <c r="BE80" s="253" t="str">
        <f>IFERROR(INDEX('Overview - Section A'!O$154:O327,MATCH(AT80,'Overview - Section A'!AQ$154:AQ327,0)),"")</f>
        <v/>
      </c>
      <c r="BF80" s="253" t="str">
        <f>IFERROR(INDEX('Overview - Section A'!H$154:H327,MATCH(AT80,'Overview - Section A'!AQ$154:AQ327,0)),"")</f>
        <v/>
      </c>
    </row>
    <row r="81" spans="1:58" s="253" customFormat="1" ht="30" customHeight="1" x14ac:dyDescent="0.35">
      <c r="A81" s="189">
        <v>73</v>
      </c>
      <c r="B81" s="206"/>
      <c r="C81" s="206"/>
      <c r="D81" s="206"/>
      <c r="E81" s="206"/>
      <c r="F81" s="206"/>
      <c r="G81" s="207"/>
      <c r="H81" s="207"/>
      <c r="I81" s="207"/>
      <c r="J81" s="206"/>
      <c r="K81" s="206"/>
      <c r="L81" s="207"/>
      <c r="M81" s="207"/>
      <c r="N81" s="206"/>
      <c r="O81" s="206"/>
      <c r="P81" s="207"/>
      <c r="Q81" s="207"/>
      <c r="R81" s="206"/>
      <c r="S81" s="206"/>
      <c r="T81" s="207"/>
      <c r="U81" s="207"/>
      <c r="V81" s="206"/>
      <c r="W81" s="206"/>
      <c r="X81" s="207"/>
      <c r="Y81" s="207"/>
      <c r="Z81" s="206"/>
      <c r="AA81" s="206"/>
      <c r="AB81" s="207"/>
      <c r="AC81" s="207"/>
      <c r="AD81" s="206"/>
      <c r="AE81" s="206"/>
      <c r="AF81" s="207"/>
      <c r="AG81" s="207"/>
      <c r="AH81" s="206"/>
      <c r="AI81" s="206"/>
      <c r="AJ81" s="207"/>
      <c r="AK81" s="207"/>
      <c r="AL81" s="206"/>
      <c r="AM81" s="206"/>
      <c r="AN81" s="206"/>
      <c r="AO81" s="198" t="str">
        <f>IFERROR(VLOOKUP(D81,'Reference Records'!$C$213:$E$334,3,FALSE),"")</f>
        <v/>
      </c>
      <c r="AP81" s="253" t="e">
        <f>VLOOKUP(AO81,'Reference Records'!$E$213:$F$334,2,0)</f>
        <v>#N/A</v>
      </c>
      <c r="AQ81" s="253" t="e">
        <f>MATCH($AP81,'Reference Records'!$E$413:$E$618,0)+ROW(Population_by_intervention) -1</f>
        <v>#N/A</v>
      </c>
      <c r="AR81" s="253" t="e">
        <f>MATCH($AP81,'Reference Records'!$E$413:$E$618,1)+ROW(Population_by_intervention) -1</f>
        <v>#N/A</v>
      </c>
      <c r="AS81" s="253" t="str">
        <f t="shared" si="3"/>
        <v>|empty|</v>
      </c>
      <c r="AT81" s="253" t="str">
        <f>IF(AS81="","",IFERROR(VLOOKUP(AS81,'Overview - Section A'!AF$155:AG328,2,0),VLOOKUP("|empty|",'Overview - Section A'!AF$155:AG328,2,0)))</f>
        <v>INT-211703</v>
      </c>
      <c r="AU81" s="206"/>
      <c r="AV81" s="206"/>
      <c r="AY81" s="253">
        <f t="shared" si="4"/>
        <v>4137</v>
      </c>
      <c r="AZ81" s="253">
        <f ca="1">AZ80+'update Helper'!$X$2</f>
        <v>4743</v>
      </c>
      <c r="BC81" s="253" t="str">
        <f ca="1">IF(INDIRECT("'update Helper'!S"&amp;AY81)=0,"",IFERROR(VLOOKUP(INDIRECT("'update Helper'!S"&amp;AY81),'Account Role'!A$1:B$15,2,0),IFERROR(VLOOKUP(INDIRECT("'update Helper'!I"&amp;AY81),'Overview - Section A'!J$26:P$107,7,0),"")))</f>
        <v/>
      </c>
      <c r="BD81" s="253" t="str">
        <f ca="1">IFERROR(INDEX('Overview - Section A'!A$154:A328,MATCH(INDIRECT("'update Helper'!Q"&amp;AY81),'Overview - Section A'!AQ$154:AQ328,0)),"")</f>
        <v/>
      </c>
      <c r="BE81" s="253" t="str">
        <f>IFERROR(INDEX('Overview - Section A'!O$154:O328,MATCH(AT81,'Overview - Section A'!AQ$154:AQ328,0)),"")</f>
        <v/>
      </c>
      <c r="BF81" s="253" t="str">
        <f>IFERROR(INDEX('Overview - Section A'!H$154:H328,MATCH(AT81,'Overview - Section A'!AQ$154:AQ328,0)),"")</f>
        <v/>
      </c>
    </row>
    <row r="82" spans="1:58" s="253" customFormat="1" ht="30" customHeight="1" x14ac:dyDescent="0.35">
      <c r="A82" s="189">
        <v>74</v>
      </c>
      <c r="B82" s="206"/>
      <c r="C82" s="206"/>
      <c r="D82" s="206"/>
      <c r="E82" s="206"/>
      <c r="F82" s="206"/>
      <c r="G82" s="207"/>
      <c r="H82" s="207"/>
      <c r="I82" s="207"/>
      <c r="J82" s="206"/>
      <c r="K82" s="206"/>
      <c r="L82" s="207"/>
      <c r="M82" s="207"/>
      <c r="N82" s="206"/>
      <c r="O82" s="206"/>
      <c r="P82" s="207"/>
      <c r="Q82" s="207"/>
      <c r="R82" s="206"/>
      <c r="S82" s="206"/>
      <c r="T82" s="207"/>
      <c r="U82" s="207"/>
      <c r="V82" s="206"/>
      <c r="W82" s="206"/>
      <c r="X82" s="207"/>
      <c r="Y82" s="207"/>
      <c r="Z82" s="206"/>
      <c r="AA82" s="206"/>
      <c r="AB82" s="207"/>
      <c r="AC82" s="207"/>
      <c r="AD82" s="206"/>
      <c r="AE82" s="206"/>
      <c r="AF82" s="207"/>
      <c r="AG82" s="207"/>
      <c r="AH82" s="206"/>
      <c r="AI82" s="206"/>
      <c r="AJ82" s="207"/>
      <c r="AK82" s="207"/>
      <c r="AL82" s="206"/>
      <c r="AM82" s="206"/>
      <c r="AN82" s="206"/>
      <c r="AO82" s="198" t="str">
        <f>IFERROR(VLOOKUP(D82,'Reference Records'!$C$213:$E$334,3,FALSE),"")</f>
        <v/>
      </c>
      <c r="AP82" s="253" t="e">
        <f>VLOOKUP(AO82,'Reference Records'!$E$213:$F$334,2,0)</f>
        <v>#N/A</v>
      </c>
      <c r="AQ82" s="253" t="e">
        <f>MATCH($AP82,'Reference Records'!$E$413:$E$618,0)+ROW(Population_by_intervention) -1</f>
        <v>#N/A</v>
      </c>
      <c r="AR82" s="253" t="e">
        <f>MATCH($AP82,'Reference Records'!$E$413:$E$618,1)+ROW(Population_by_intervention) -1</f>
        <v>#N/A</v>
      </c>
      <c r="AS82" s="253" t="str">
        <f t="shared" si="3"/>
        <v>|empty|</v>
      </c>
      <c r="AT82" s="253" t="str">
        <f>IF(AS82="","",IFERROR(VLOOKUP(AS82,'Overview - Section A'!AF$155:AG329,2,0),VLOOKUP("|empty|",'Overview - Section A'!AF$155:AG329,2,0)))</f>
        <v>INT-211703</v>
      </c>
      <c r="AU82" s="206"/>
      <c r="AV82" s="206"/>
      <c r="AY82" s="253">
        <f t="shared" si="4"/>
        <v>4138</v>
      </c>
      <c r="AZ82" s="253">
        <f ca="1">AZ81+'update Helper'!$X$2</f>
        <v>4749</v>
      </c>
      <c r="BC82" s="253" t="str">
        <f ca="1">IF(INDIRECT("'update Helper'!S"&amp;AY82)=0,"",IFERROR(VLOOKUP(INDIRECT("'update Helper'!S"&amp;AY82),'Account Role'!A$1:B$15,2,0),IFERROR(VLOOKUP(INDIRECT("'update Helper'!I"&amp;AY82),'Overview - Section A'!J$26:P$107,7,0),"")))</f>
        <v/>
      </c>
      <c r="BD82" s="253" t="str">
        <f ca="1">IFERROR(INDEX('Overview - Section A'!A$154:A329,MATCH(INDIRECT("'update Helper'!Q"&amp;AY82),'Overview - Section A'!AQ$154:AQ329,0)),"")</f>
        <v/>
      </c>
      <c r="BE82" s="253" t="str">
        <f>IFERROR(INDEX('Overview - Section A'!O$154:O329,MATCH(AT82,'Overview - Section A'!AQ$154:AQ329,0)),"")</f>
        <v/>
      </c>
      <c r="BF82" s="253" t="str">
        <f>IFERROR(INDEX('Overview - Section A'!H$154:H329,MATCH(AT82,'Overview - Section A'!AQ$154:AQ329,0)),"")</f>
        <v/>
      </c>
    </row>
    <row r="83" spans="1:58" s="253" customFormat="1" ht="30" customHeight="1" x14ac:dyDescent="0.35">
      <c r="A83" s="189">
        <v>75</v>
      </c>
      <c r="B83" s="206"/>
      <c r="C83" s="206"/>
      <c r="D83" s="206"/>
      <c r="E83" s="206"/>
      <c r="F83" s="206"/>
      <c r="G83" s="207"/>
      <c r="H83" s="207"/>
      <c r="I83" s="207"/>
      <c r="J83" s="206"/>
      <c r="K83" s="206"/>
      <c r="L83" s="207"/>
      <c r="M83" s="207"/>
      <c r="N83" s="206"/>
      <c r="O83" s="206"/>
      <c r="P83" s="207"/>
      <c r="Q83" s="207"/>
      <c r="R83" s="206"/>
      <c r="S83" s="206"/>
      <c r="T83" s="207"/>
      <c r="U83" s="207"/>
      <c r="V83" s="206"/>
      <c r="W83" s="206"/>
      <c r="X83" s="207"/>
      <c r="Y83" s="207"/>
      <c r="Z83" s="206"/>
      <c r="AA83" s="206"/>
      <c r="AB83" s="207"/>
      <c r="AC83" s="207"/>
      <c r="AD83" s="206"/>
      <c r="AE83" s="206"/>
      <c r="AF83" s="207"/>
      <c r="AG83" s="207"/>
      <c r="AH83" s="206"/>
      <c r="AI83" s="206"/>
      <c r="AJ83" s="207"/>
      <c r="AK83" s="207"/>
      <c r="AL83" s="206"/>
      <c r="AM83" s="206"/>
      <c r="AN83" s="206"/>
      <c r="AO83" s="198" t="str">
        <f>IFERROR(VLOOKUP(D83,'Reference Records'!$C$213:$E$334,3,FALSE),"")</f>
        <v/>
      </c>
      <c r="AP83" s="253" t="e">
        <f>VLOOKUP(AO83,'Reference Records'!$E$213:$F$334,2,0)</f>
        <v>#N/A</v>
      </c>
      <c r="AQ83" s="253" t="e">
        <f>MATCH($AP83,'Reference Records'!$E$413:$E$618,0)+ROW(Population_by_intervention) -1</f>
        <v>#N/A</v>
      </c>
      <c r="AR83" s="253" t="e">
        <f>MATCH($AP83,'Reference Records'!$E$413:$E$618,1)+ROW(Population_by_intervention) -1</f>
        <v>#N/A</v>
      </c>
      <c r="AS83" s="253" t="str">
        <f t="shared" si="3"/>
        <v>|empty|</v>
      </c>
      <c r="AT83" s="253" t="str">
        <f>IF(AS83="","",IFERROR(VLOOKUP(AS83,'Overview - Section A'!AF$155:AG330,2,0),VLOOKUP("|empty|",'Overview - Section A'!AF$155:AG330,2,0)))</f>
        <v>INT-211703</v>
      </c>
      <c r="AU83" s="206"/>
      <c r="AV83" s="206"/>
      <c r="AY83" s="253">
        <f t="shared" si="4"/>
        <v>4139</v>
      </c>
      <c r="AZ83" s="253">
        <f ca="1">AZ82+'update Helper'!$X$2</f>
        <v>4755</v>
      </c>
      <c r="BC83" s="253" t="str">
        <f ca="1">IF(INDIRECT("'update Helper'!S"&amp;AY83)=0,"",IFERROR(VLOOKUP(INDIRECT("'update Helper'!S"&amp;AY83),'Account Role'!A$1:B$15,2,0),IFERROR(VLOOKUP(INDIRECT("'update Helper'!I"&amp;AY83),'Overview - Section A'!J$26:P$107,7,0),"")))</f>
        <v/>
      </c>
      <c r="BD83" s="253" t="str">
        <f ca="1">IFERROR(INDEX('Overview - Section A'!A$154:A330,MATCH(INDIRECT("'update Helper'!Q"&amp;AY83),'Overview - Section A'!AQ$154:AQ330,0)),"")</f>
        <v/>
      </c>
      <c r="BE83" s="253" t="str">
        <f>IFERROR(INDEX('Overview - Section A'!O$154:O330,MATCH(AT83,'Overview - Section A'!AQ$154:AQ330,0)),"")</f>
        <v/>
      </c>
      <c r="BF83" s="253" t="str">
        <f>IFERROR(INDEX('Overview - Section A'!H$154:H330,MATCH(AT83,'Overview - Section A'!AQ$154:AQ330,0)),"")</f>
        <v/>
      </c>
    </row>
    <row r="84" spans="1:58" s="253" customFormat="1" ht="30" customHeight="1" x14ac:dyDescent="0.35">
      <c r="A84" s="189">
        <v>76</v>
      </c>
      <c r="B84" s="206"/>
      <c r="C84" s="206"/>
      <c r="D84" s="206"/>
      <c r="E84" s="206"/>
      <c r="F84" s="206"/>
      <c r="G84" s="207"/>
      <c r="H84" s="207"/>
      <c r="I84" s="207"/>
      <c r="J84" s="206"/>
      <c r="K84" s="206"/>
      <c r="L84" s="207"/>
      <c r="M84" s="207"/>
      <c r="N84" s="206"/>
      <c r="O84" s="206"/>
      <c r="P84" s="207"/>
      <c r="Q84" s="207"/>
      <c r="R84" s="206"/>
      <c r="S84" s="206"/>
      <c r="T84" s="207"/>
      <c r="U84" s="207"/>
      <c r="V84" s="206"/>
      <c r="W84" s="206"/>
      <c r="X84" s="207"/>
      <c r="Y84" s="207"/>
      <c r="Z84" s="206"/>
      <c r="AA84" s="206"/>
      <c r="AB84" s="207"/>
      <c r="AC84" s="207"/>
      <c r="AD84" s="206"/>
      <c r="AE84" s="206"/>
      <c r="AF84" s="207"/>
      <c r="AG84" s="207"/>
      <c r="AH84" s="206"/>
      <c r="AI84" s="206"/>
      <c r="AJ84" s="207"/>
      <c r="AK84" s="207"/>
      <c r="AL84" s="206"/>
      <c r="AM84" s="206"/>
      <c r="AN84" s="206"/>
      <c r="AO84" s="198" t="str">
        <f>IFERROR(VLOOKUP(D84,'Reference Records'!$C$213:$E$334,3,FALSE),"")</f>
        <v/>
      </c>
      <c r="AP84" s="253" t="e">
        <f>VLOOKUP(AO84,'Reference Records'!$E$213:$F$334,2,0)</f>
        <v>#N/A</v>
      </c>
      <c r="AQ84" s="253" t="e">
        <f>MATCH($AP84,'Reference Records'!$E$413:$E$618,0)+ROW(Population_by_intervention) -1</f>
        <v>#N/A</v>
      </c>
      <c r="AR84" s="253" t="e">
        <f>MATCH($AP84,'Reference Records'!$E$413:$E$618,1)+ROW(Population_by_intervention) -1</f>
        <v>#N/A</v>
      </c>
      <c r="AS84" s="253" t="str">
        <f t="shared" si="3"/>
        <v>|empty|</v>
      </c>
      <c r="AT84" s="253" t="str">
        <f>IF(AS84="","",IFERROR(VLOOKUP(AS84,'Overview - Section A'!AF$155:AG331,2,0),VLOOKUP("|empty|",'Overview - Section A'!AF$155:AG331,2,0)))</f>
        <v>INT-211703</v>
      </c>
      <c r="AU84" s="206"/>
      <c r="AV84" s="206"/>
      <c r="AY84" s="253">
        <f t="shared" si="4"/>
        <v>4140</v>
      </c>
      <c r="AZ84" s="253">
        <f ca="1">AZ83+'update Helper'!$X$2</f>
        <v>4761</v>
      </c>
      <c r="BC84" s="253" t="str">
        <f ca="1">IF(INDIRECT("'update Helper'!S"&amp;AY84)=0,"",IFERROR(VLOOKUP(INDIRECT("'update Helper'!S"&amp;AY84),'Account Role'!A$1:B$15,2,0),IFERROR(VLOOKUP(INDIRECT("'update Helper'!I"&amp;AY84),'Overview - Section A'!J$26:P$107,7,0),"")))</f>
        <v/>
      </c>
      <c r="BD84" s="253" t="str">
        <f ca="1">IFERROR(INDEX('Overview - Section A'!A$154:A331,MATCH(INDIRECT("'update Helper'!Q"&amp;AY84),'Overview - Section A'!AQ$154:AQ331,0)),"")</f>
        <v/>
      </c>
      <c r="BE84" s="253" t="str">
        <f>IFERROR(INDEX('Overview - Section A'!O$154:O331,MATCH(AT84,'Overview - Section A'!AQ$154:AQ331,0)),"")</f>
        <v/>
      </c>
      <c r="BF84" s="253" t="str">
        <f>IFERROR(INDEX('Overview - Section A'!H$154:H331,MATCH(AT84,'Overview - Section A'!AQ$154:AQ331,0)),"")</f>
        <v/>
      </c>
    </row>
    <row r="85" spans="1:58" s="253" customFormat="1" ht="30" customHeight="1" x14ac:dyDescent="0.35">
      <c r="A85" s="189">
        <v>77</v>
      </c>
      <c r="B85" s="206"/>
      <c r="C85" s="206"/>
      <c r="D85" s="206"/>
      <c r="E85" s="206"/>
      <c r="F85" s="206"/>
      <c r="G85" s="207"/>
      <c r="H85" s="207"/>
      <c r="I85" s="207"/>
      <c r="J85" s="206"/>
      <c r="K85" s="206"/>
      <c r="L85" s="207"/>
      <c r="M85" s="207"/>
      <c r="N85" s="206"/>
      <c r="O85" s="206"/>
      <c r="P85" s="207"/>
      <c r="Q85" s="207"/>
      <c r="R85" s="206"/>
      <c r="S85" s="206"/>
      <c r="T85" s="207"/>
      <c r="U85" s="207"/>
      <c r="V85" s="206"/>
      <c r="W85" s="206"/>
      <c r="X85" s="207"/>
      <c r="Y85" s="207"/>
      <c r="Z85" s="206"/>
      <c r="AA85" s="206"/>
      <c r="AB85" s="207"/>
      <c r="AC85" s="207"/>
      <c r="AD85" s="206"/>
      <c r="AE85" s="206"/>
      <c r="AF85" s="207"/>
      <c r="AG85" s="207"/>
      <c r="AH85" s="206"/>
      <c r="AI85" s="206"/>
      <c r="AJ85" s="207"/>
      <c r="AK85" s="207"/>
      <c r="AL85" s="206"/>
      <c r="AM85" s="206"/>
      <c r="AN85" s="206"/>
      <c r="AO85" s="198" t="str">
        <f>IFERROR(VLOOKUP(D85,'Reference Records'!$C$213:$E$334,3,FALSE),"")</f>
        <v/>
      </c>
      <c r="AP85" s="253" t="e">
        <f>VLOOKUP(AO85,'Reference Records'!$E$213:$F$334,2,0)</f>
        <v>#N/A</v>
      </c>
      <c r="AQ85" s="253" t="e">
        <f>MATCH($AP85,'Reference Records'!$E$413:$E$618,0)+ROW(Population_by_intervention) -1</f>
        <v>#N/A</v>
      </c>
      <c r="AR85" s="253" t="e">
        <f>MATCH($AP85,'Reference Records'!$E$413:$E$618,1)+ROW(Population_by_intervention) -1</f>
        <v>#N/A</v>
      </c>
      <c r="AS85" s="253" t="str">
        <f t="shared" si="3"/>
        <v>|empty|</v>
      </c>
      <c r="AT85" s="253" t="str">
        <f>IF(AS85="","",IFERROR(VLOOKUP(AS85,'Overview - Section A'!AF$155:AG332,2,0),VLOOKUP("|empty|",'Overview - Section A'!AF$155:AG332,2,0)))</f>
        <v>INT-211703</v>
      </c>
      <c r="AU85" s="206"/>
      <c r="AV85" s="206"/>
      <c r="AY85" s="253">
        <f t="shared" si="4"/>
        <v>4141</v>
      </c>
      <c r="AZ85" s="253">
        <f ca="1">AZ84+'update Helper'!$X$2</f>
        <v>4767</v>
      </c>
      <c r="BC85" s="253" t="str">
        <f ca="1">IF(INDIRECT("'update Helper'!S"&amp;AY85)=0,"",IFERROR(VLOOKUP(INDIRECT("'update Helper'!S"&amp;AY85),'Account Role'!A$1:B$15,2,0),IFERROR(VLOOKUP(INDIRECT("'update Helper'!I"&amp;AY85),'Overview - Section A'!J$26:P$107,7,0),"")))</f>
        <v/>
      </c>
      <c r="BD85" s="253" t="str">
        <f ca="1">IFERROR(INDEX('Overview - Section A'!A$154:A332,MATCH(INDIRECT("'update Helper'!Q"&amp;AY85),'Overview - Section A'!AQ$154:AQ332,0)),"")</f>
        <v/>
      </c>
      <c r="BE85" s="253" t="str">
        <f>IFERROR(INDEX('Overview - Section A'!O$154:O332,MATCH(AT85,'Overview - Section A'!AQ$154:AQ332,0)),"")</f>
        <v/>
      </c>
      <c r="BF85" s="253" t="str">
        <f>IFERROR(INDEX('Overview - Section A'!H$154:H332,MATCH(AT85,'Overview - Section A'!AQ$154:AQ332,0)),"")</f>
        <v/>
      </c>
    </row>
    <row r="86" spans="1:58" s="253" customFormat="1" ht="30" customHeight="1" x14ac:dyDescent="0.35">
      <c r="A86" s="189">
        <v>78</v>
      </c>
      <c r="B86" s="206"/>
      <c r="C86" s="206"/>
      <c r="D86" s="206"/>
      <c r="E86" s="206"/>
      <c r="F86" s="206"/>
      <c r="G86" s="207"/>
      <c r="H86" s="207"/>
      <c r="I86" s="207"/>
      <c r="J86" s="206"/>
      <c r="K86" s="206"/>
      <c r="L86" s="207"/>
      <c r="M86" s="207"/>
      <c r="N86" s="206"/>
      <c r="O86" s="206"/>
      <c r="P86" s="207"/>
      <c r="Q86" s="207"/>
      <c r="R86" s="206"/>
      <c r="S86" s="206"/>
      <c r="T86" s="207"/>
      <c r="U86" s="207"/>
      <c r="V86" s="206"/>
      <c r="W86" s="206"/>
      <c r="X86" s="207"/>
      <c r="Y86" s="207"/>
      <c r="Z86" s="206"/>
      <c r="AA86" s="206"/>
      <c r="AB86" s="207"/>
      <c r="AC86" s="207"/>
      <c r="AD86" s="206"/>
      <c r="AE86" s="206"/>
      <c r="AF86" s="207"/>
      <c r="AG86" s="207"/>
      <c r="AH86" s="206"/>
      <c r="AI86" s="206"/>
      <c r="AJ86" s="207"/>
      <c r="AK86" s="207"/>
      <c r="AL86" s="206"/>
      <c r="AM86" s="206"/>
      <c r="AN86" s="206"/>
      <c r="AO86" s="198" t="str">
        <f>IFERROR(VLOOKUP(D86,'Reference Records'!$C$213:$E$334,3,FALSE),"")</f>
        <v/>
      </c>
      <c r="AP86" s="253" t="e">
        <f>VLOOKUP(AO86,'Reference Records'!$E$213:$F$334,2,0)</f>
        <v>#N/A</v>
      </c>
      <c r="AQ86" s="253" t="e">
        <f>MATCH($AP86,'Reference Records'!$E$413:$E$618,0)+ROW(Population_by_intervention) -1</f>
        <v>#N/A</v>
      </c>
      <c r="AR86" s="253" t="e">
        <f>MATCH($AP86,'Reference Records'!$E$413:$E$618,1)+ROW(Population_by_intervention) -1</f>
        <v>#N/A</v>
      </c>
      <c r="AS86" s="253" t="str">
        <f t="shared" si="3"/>
        <v>|empty|</v>
      </c>
      <c r="AT86" s="253" t="str">
        <f>IF(AS86="","",IFERROR(VLOOKUP(AS86,'Overview - Section A'!AF$155:AG333,2,0),VLOOKUP("|empty|",'Overview - Section A'!AF$155:AG333,2,0)))</f>
        <v>INT-211703</v>
      </c>
      <c r="AU86" s="206"/>
      <c r="AV86" s="206"/>
      <c r="AY86" s="253">
        <f t="shared" si="4"/>
        <v>4142</v>
      </c>
      <c r="AZ86" s="253">
        <f ca="1">AZ85+'update Helper'!$X$2</f>
        <v>4773</v>
      </c>
      <c r="BC86" s="253" t="str">
        <f ca="1">IF(INDIRECT("'update Helper'!S"&amp;AY86)=0,"",IFERROR(VLOOKUP(INDIRECT("'update Helper'!S"&amp;AY86),'Account Role'!A$1:B$15,2,0),IFERROR(VLOOKUP(INDIRECT("'update Helper'!I"&amp;AY86),'Overview - Section A'!J$26:P$107,7,0),"")))</f>
        <v/>
      </c>
      <c r="BD86" s="253" t="str">
        <f ca="1">IFERROR(INDEX('Overview - Section A'!A$154:A333,MATCH(INDIRECT("'update Helper'!Q"&amp;AY86),'Overview - Section A'!AQ$154:AQ333,0)),"")</f>
        <v/>
      </c>
      <c r="BE86" s="253" t="str">
        <f>IFERROR(INDEX('Overview - Section A'!O$154:O333,MATCH(AT86,'Overview - Section A'!AQ$154:AQ333,0)),"")</f>
        <v/>
      </c>
      <c r="BF86" s="253" t="str">
        <f>IFERROR(INDEX('Overview - Section A'!H$154:H333,MATCH(AT86,'Overview - Section A'!AQ$154:AQ333,0)),"")</f>
        <v/>
      </c>
    </row>
    <row r="87" spans="1:58" s="253" customFormat="1" ht="30" customHeight="1" x14ac:dyDescent="0.35">
      <c r="A87" s="189">
        <v>79</v>
      </c>
      <c r="B87" s="206"/>
      <c r="C87" s="206"/>
      <c r="D87" s="206"/>
      <c r="E87" s="206"/>
      <c r="F87" s="206"/>
      <c r="G87" s="207"/>
      <c r="H87" s="207"/>
      <c r="I87" s="207"/>
      <c r="J87" s="206"/>
      <c r="K87" s="206"/>
      <c r="L87" s="207"/>
      <c r="M87" s="207"/>
      <c r="N87" s="206"/>
      <c r="O87" s="206"/>
      <c r="P87" s="207"/>
      <c r="Q87" s="207"/>
      <c r="R87" s="206"/>
      <c r="S87" s="206"/>
      <c r="T87" s="207"/>
      <c r="U87" s="207"/>
      <c r="V87" s="206"/>
      <c r="W87" s="206"/>
      <c r="X87" s="207"/>
      <c r="Y87" s="207"/>
      <c r="Z87" s="206"/>
      <c r="AA87" s="206"/>
      <c r="AB87" s="207"/>
      <c r="AC87" s="207"/>
      <c r="AD87" s="206"/>
      <c r="AE87" s="206"/>
      <c r="AF87" s="207"/>
      <c r="AG87" s="207"/>
      <c r="AH87" s="206"/>
      <c r="AI87" s="206"/>
      <c r="AJ87" s="207"/>
      <c r="AK87" s="207"/>
      <c r="AL87" s="206"/>
      <c r="AM87" s="206"/>
      <c r="AN87" s="206"/>
      <c r="AO87" s="198" t="str">
        <f>IFERROR(VLOOKUP(D87,'Reference Records'!$C$213:$E$334,3,FALSE),"")</f>
        <v/>
      </c>
      <c r="AP87" s="253" t="e">
        <f>VLOOKUP(AO87,'Reference Records'!$E$213:$F$334,2,0)</f>
        <v>#N/A</v>
      </c>
      <c r="AQ87" s="253" t="e">
        <f>MATCH($AP87,'Reference Records'!$E$413:$E$618,0)+ROW(Population_by_intervention) -1</f>
        <v>#N/A</v>
      </c>
      <c r="AR87" s="253" t="e">
        <f>MATCH($AP87,'Reference Records'!$E$413:$E$618,1)+ROW(Population_by_intervention) -1</f>
        <v>#N/A</v>
      </c>
      <c r="AS87" s="253" t="str">
        <f t="shared" si="3"/>
        <v>|empty|</v>
      </c>
      <c r="AT87" s="253" t="str">
        <f>IF(AS87="","",IFERROR(VLOOKUP(AS87,'Overview - Section A'!AF$155:AG334,2,0),VLOOKUP("|empty|",'Overview - Section A'!AF$155:AG334,2,0)))</f>
        <v>INT-211703</v>
      </c>
      <c r="AU87" s="206"/>
      <c r="AV87" s="206"/>
      <c r="AY87" s="253">
        <f t="shared" si="4"/>
        <v>4143</v>
      </c>
      <c r="AZ87" s="253">
        <f ca="1">AZ86+'update Helper'!$X$2</f>
        <v>4779</v>
      </c>
      <c r="BC87" s="253" t="str">
        <f ca="1">IF(INDIRECT("'update Helper'!S"&amp;AY87)=0,"",IFERROR(VLOOKUP(INDIRECT("'update Helper'!S"&amp;AY87),'Account Role'!A$1:B$15,2,0),IFERROR(VLOOKUP(INDIRECT("'update Helper'!I"&amp;AY87),'Overview - Section A'!J$26:P$107,7,0),"")))</f>
        <v/>
      </c>
      <c r="BD87" s="253" t="str">
        <f ca="1">IFERROR(INDEX('Overview - Section A'!A$154:A334,MATCH(INDIRECT("'update Helper'!Q"&amp;AY87),'Overview - Section A'!AQ$154:AQ334,0)),"")</f>
        <v/>
      </c>
      <c r="BE87" s="253" t="str">
        <f>IFERROR(INDEX('Overview - Section A'!O$154:O334,MATCH(AT87,'Overview - Section A'!AQ$154:AQ334,0)),"")</f>
        <v/>
      </c>
      <c r="BF87" s="253" t="str">
        <f>IFERROR(INDEX('Overview - Section A'!H$154:H334,MATCH(AT87,'Overview - Section A'!AQ$154:AQ334,0)),"")</f>
        <v/>
      </c>
    </row>
    <row r="88" spans="1:58" s="253" customFormat="1" ht="30" customHeight="1" x14ac:dyDescent="0.35">
      <c r="A88" s="189">
        <v>80</v>
      </c>
      <c r="B88" s="206"/>
      <c r="C88" s="206"/>
      <c r="D88" s="206"/>
      <c r="E88" s="206"/>
      <c r="F88" s="206"/>
      <c r="G88" s="207"/>
      <c r="H88" s="207"/>
      <c r="I88" s="207"/>
      <c r="J88" s="206"/>
      <c r="K88" s="206"/>
      <c r="L88" s="207"/>
      <c r="M88" s="207"/>
      <c r="N88" s="206"/>
      <c r="O88" s="206"/>
      <c r="P88" s="207"/>
      <c r="Q88" s="207"/>
      <c r="R88" s="206"/>
      <c r="S88" s="206"/>
      <c r="T88" s="207"/>
      <c r="U88" s="207"/>
      <c r="V88" s="206"/>
      <c r="W88" s="206"/>
      <c r="X88" s="207"/>
      <c r="Y88" s="207"/>
      <c r="Z88" s="206"/>
      <c r="AA88" s="206"/>
      <c r="AB88" s="207"/>
      <c r="AC88" s="207"/>
      <c r="AD88" s="206"/>
      <c r="AE88" s="206"/>
      <c r="AF88" s="207"/>
      <c r="AG88" s="207"/>
      <c r="AH88" s="206"/>
      <c r="AI88" s="206"/>
      <c r="AJ88" s="207"/>
      <c r="AK88" s="207"/>
      <c r="AL88" s="206"/>
      <c r="AM88" s="206"/>
      <c r="AN88" s="206"/>
      <c r="AO88" s="198" t="str">
        <f>IFERROR(VLOOKUP(D88,'Reference Records'!$C$213:$E$334,3,FALSE),"")</f>
        <v/>
      </c>
      <c r="AP88" s="253" t="e">
        <f>VLOOKUP(AO88,'Reference Records'!$E$213:$F$334,2,0)</f>
        <v>#N/A</v>
      </c>
      <c r="AQ88" s="253" t="e">
        <f>MATCH($AP88,'Reference Records'!$E$413:$E$618,0)+ROW(Population_by_intervention) -1</f>
        <v>#N/A</v>
      </c>
      <c r="AR88" s="253" t="e">
        <f>MATCH($AP88,'Reference Records'!$E$413:$E$618,1)+ROW(Population_by_intervention) -1</f>
        <v>#N/A</v>
      </c>
      <c r="AS88" s="253" t="str">
        <f t="shared" si="3"/>
        <v>|empty|</v>
      </c>
      <c r="AT88" s="253" t="str">
        <f>IF(AS88="","",IFERROR(VLOOKUP(AS88,'Overview - Section A'!AF$155:AG335,2,0),VLOOKUP("|empty|",'Overview - Section A'!AF$155:AG335,2,0)))</f>
        <v>INT-211703</v>
      </c>
      <c r="AU88" s="206"/>
      <c r="AV88" s="206"/>
      <c r="AY88" s="253">
        <f t="shared" si="4"/>
        <v>4144</v>
      </c>
      <c r="AZ88" s="253">
        <f ca="1">AZ87+'update Helper'!$X$2</f>
        <v>4785</v>
      </c>
      <c r="BC88" s="253" t="str">
        <f ca="1">IF(INDIRECT("'update Helper'!S"&amp;AY88)=0,"",IFERROR(VLOOKUP(INDIRECT("'update Helper'!S"&amp;AY88),'Account Role'!A$1:B$15,2,0),IFERROR(VLOOKUP(INDIRECT("'update Helper'!I"&amp;AY88),'Overview - Section A'!J$26:P$107,7,0),"")))</f>
        <v/>
      </c>
      <c r="BD88" s="253" t="str">
        <f ca="1">IFERROR(INDEX('Overview - Section A'!A$154:A335,MATCH(INDIRECT("'update Helper'!Q"&amp;AY88),'Overview - Section A'!AQ$154:AQ335,0)),"")</f>
        <v/>
      </c>
      <c r="BE88" s="253" t="str">
        <f>IFERROR(INDEX('Overview - Section A'!O$154:O335,MATCH(AT88,'Overview - Section A'!AQ$154:AQ335,0)),"")</f>
        <v/>
      </c>
      <c r="BF88" s="253" t="str">
        <f>IFERROR(INDEX('Overview - Section A'!H$154:H335,MATCH(AT88,'Overview - Section A'!AQ$154:AQ335,0)),"")</f>
        <v/>
      </c>
    </row>
    <row r="89" spans="1:58" x14ac:dyDescent="0.35">
      <c r="BE89" s="253" t="str">
        <f>IFERROR(INDEX('Overview - Section A'!O$154:O336,MATCH(AT89,'Overview - Section A'!AQ$154:AQ336,0)),"")</f>
        <v/>
      </c>
      <c r="BF89" s="253" t="str">
        <f>IFERROR(INDEX('Overview - Section A'!H$154:H336,MATCH(AT89,'Overview - Section A'!AQ$154:AQ336,0)),"")</f>
        <v/>
      </c>
    </row>
  </sheetData>
  <sheetProtection password="FB8C" sheet="1" objects="1" scenarios="1" formatCells="0" formatColumns="0" formatRows="0"/>
  <mergeCells count="9">
    <mergeCell ref="A1:G2"/>
    <mergeCell ref="H7:K7"/>
    <mergeCell ref="L7:O7"/>
    <mergeCell ref="P7:S7"/>
    <mergeCell ref="AJ7:AM7"/>
    <mergeCell ref="T7:W7"/>
    <mergeCell ref="AB7:AE7"/>
    <mergeCell ref="X7:AA7"/>
    <mergeCell ref="AF7:AI7"/>
  </mergeCells>
  <conditionalFormatting sqref="C9">
    <cfRule type="expression" dxfId="99" priority="81">
      <formula>AND($D9&lt;&gt;"",$C9="")</formula>
    </cfRule>
  </conditionalFormatting>
  <conditionalFormatting sqref="C10">
    <cfRule type="expression" dxfId="98" priority="80">
      <formula>AND($D10&lt;&gt;"",$C10="")</formula>
    </cfRule>
  </conditionalFormatting>
  <conditionalFormatting sqref="C12">
    <cfRule type="expression" dxfId="97" priority="78">
      <formula>AND($D12&lt;&gt;"",$C12="")</formula>
    </cfRule>
  </conditionalFormatting>
  <conditionalFormatting sqref="C13">
    <cfRule type="expression" dxfId="96" priority="77">
      <formula>AND($D13&lt;&gt;"",$C13="")</formula>
    </cfRule>
  </conditionalFormatting>
  <conditionalFormatting sqref="C14">
    <cfRule type="expression" dxfId="95" priority="76">
      <formula>AND($D14&lt;&gt;"",$C14="")</formula>
    </cfRule>
  </conditionalFormatting>
  <conditionalFormatting sqref="C15">
    <cfRule type="expression" dxfId="94" priority="75">
      <formula>AND($D15&lt;&gt;"",$C15="")</formula>
    </cfRule>
  </conditionalFormatting>
  <conditionalFormatting sqref="C16">
    <cfRule type="expression" dxfId="93" priority="74">
      <formula>AND($D16&lt;&gt;"",$C16="")</formula>
    </cfRule>
  </conditionalFormatting>
  <conditionalFormatting sqref="C17">
    <cfRule type="expression" dxfId="92" priority="73">
      <formula>AND($D17&lt;&gt;"",$C17="")</formula>
    </cfRule>
  </conditionalFormatting>
  <conditionalFormatting sqref="C18">
    <cfRule type="expression" dxfId="91" priority="72">
      <formula>AND($D18&lt;&gt;"",$C18="")</formula>
    </cfRule>
  </conditionalFormatting>
  <conditionalFormatting sqref="C19">
    <cfRule type="expression" dxfId="90" priority="71">
      <formula>AND($D19&lt;&gt;"",$C19="")</formula>
    </cfRule>
  </conditionalFormatting>
  <conditionalFormatting sqref="C20">
    <cfRule type="expression" dxfId="89" priority="70">
      <formula>AND($D20&lt;&gt;"",$C20="")</formula>
    </cfRule>
  </conditionalFormatting>
  <conditionalFormatting sqref="C21">
    <cfRule type="expression" dxfId="88" priority="69">
      <formula>AND($D21&lt;&gt;"",$C21="")</formula>
    </cfRule>
  </conditionalFormatting>
  <conditionalFormatting sqref="C22">
    <cfRule type="expression" dxfId="87" priority="68">
      <formula>AND($D22&lt;&gt;"",$C22="")</formula>
    </cfRule>
  </conditionalFormatting>
  <conditionalFormatting sqref="C23">
    <cfRule type="expression" dxfId="86" priority="67">
      <formula>AND($D23&lt;&gt;"",$C23="")</formula>
    </cfRule>
  </conditionalFormatting>
  <conditionalFormatting sqref="C24">
    <cfRule type="expression" dxfId="85" priority="66">
      <formula>AND($D24&lt;&gt;"",$C24="")</formula>
    </cfRule>
  </conditionalFormatting>
  <conditionalFormatting sqref="C25">
    <cfRule type="expression" dxfId="84" priority="65">
      <formula>AND($D25&lt;&gt;"",$C25="")</formula>
    </cfRule>
  </conditionalFormatting>
  <conditionalFormatting sqref="C26">
    <cfRule type="expression" dxfId="83" priority="64">
      <formula>AND($D26&lt;&gt;"",$C26="")</formula>
    </cfRule>
  </conditionalFormatting>
  <conditionalFormatting sqref="C27">
    <cfRule type="expression" dxfId="82" priority="63">
      <formula>AND($D27&lt;&gt;"",$C27="")</formula>
    </cfRule>
  </conditionalFormatting>
  <conditionalFormatting sqref="C28">
    <cfRule type="expression" dxfId="81" priority="62">
      <formula>AND($D28&lt;&gt;"",$C28="")</formula>
    </cfRule>
  </conditionalFormatting>
  <conditionalFormatting sqref="C29">
    <cfRule type="expression" dxfId="80" priority="61">
      <formula>AND($D29&lt;&gt;"",$C29="")</formula>
    </cfRule>
  </conditionalFormatting>
  <conditionalFormatting sqref="C30">
    <cfRule type="expression" dxfId="79" priority="60">
      <formula>AND($D30&lt;&gt;"",$C30="")</formula>
    </cfRule>
  </conditionalFormatting>
  <conditionalFormatting sqref="C31">
    <cfRule type="expression" dxfId="78" priority="59">
      <formula>AND($D31&lt;&gt;"",$C31="")</formula>
    </cfRule>
  </conditionalFormatting>
  <conditionalFormatting sqref="C32">
    <cfRule type="expression" dxfId="77" priority="58">
      <formula>AND($D32&lt;&gt;"",$C32="")</formula>
    </cfRule>
  </conditionalFormatting>
  <conditionalFormatting sqref="C33">
    <cfRule type="expression" dxfId="76" priority="57">
      <formula>AND($D33&lt;&gt;"",$C33="")</formula>
    </cfRule>
  </conditionalFormatting>
  <conditionalFormatting sqref="C34">
    <cfRule type="expression" dxfId="75" priority="56">
      <formula>AND($D34&lt;&gt;"",$C34="")</formula>
    </cfRule>
  </conditionalFormatting>
  <conditionalFormatting sqref="C35">
    <cfRule type="expression" dxfId="74" priority="55">
      <formula>AND($D35&lt;&gt;"",$C35="")</formula>
    </cfRule>
  </conditionalFormatting>
  <conditionalFormatting sqref="C36">
    <cfRule type="expression" dxfId="73" priority="54">
      <formula>AND($D36&lt;&gt;"",$C36="")</formula>
    </cfRule>
  </conditionalFormatting>
  <conditionalFormatting sqref="C37">
    <cfRule type="expression" dxfId="72" priority="53">
      <formula>AND($D37&lt;&gt;"",$C37="")</formula>
    </cfRule>
  </conditionalFormatting>
  <conditionalFormatting sqref="C38">
    <cfRule type="expression" dxfId="71" priority="52">
      <formula>AND($D38&lt;&gt;"",$C38="")</formula>
    </cfRule>
  </conditionalFormatting>
  <conditionalFormatting sqref="C39">
    <cfRule type="expression" dxfId="70" priority="51">
      <formula>AND($D39&lt;&gt;"",$C39="")</formula>
    </cfRule>
  </conditionalFormatting>
  <conditionalFormatting sqref="C40">
    <cfRule type="expression" dxfId="69" priority="50">
      <formula>AND($D40&lt;&gt;"",$C40="")</formula>
    </cfRule>
  </conditionalFormatting>
  <conditionalFormatting sqref="C41">
    <cfRule type="expression" dxfId="68" priority="49">
      <formula>AND($D41&lt;&gt;"",$C41="")</formula>
    </cfRule>
  </conditionalFormatting>
  <conditionalFormatting sqref="C42">
    <cfRule type="expression" dxfId="67" priority="48">
      <formula>AND($D42&lt;&gt;"",$C42="")</formula>
    </cfRule>
  </conditionalFormatting>
  <conditionalFormatting sqref="C43">
    <cfRule type="expression" dxfId="66" priority="47">
      <formula>AND($D43&lt;&gt;"",$C43="")</formula>
    </cfRule>
  </conditionalFormatting>
  <conditionalFormatting sqref="C44">
    <cfRule type="expression" dxfId="65" priority="46">
      <formula>AND($D44&lt;&gt;"",$C44="")</formula>
    </cfRule>
  </conditionalFormatting>
  <conditionalFormatting sqref="C45">
    <cfRule type="expression" dxfId="64" priority="45">
      <formula>AND($D45&lt;&gt;"",$C45="")</formula>
    </cfRule>
  </conditionalFormatting>
  <conditionalFormatting sqref="C46">
    <cfRule type="expression" dxfId="63" priority="44">
      <formula>AND($D46&lt;&gt;"",$C46="")</formula>
    </cfRule>
  </conditionalFormatting>
  <conditionalFormatting sqref="C47">
    <cfRule type="expression" dxfId="62" priority="43">
      <formula>AND($D47&lt;&gt;"",$C47="")</formula>
    </cfRule>
  </conditionalFormatting>
  <conditionalFormatting sqref="C48">
    <cfRule type="expression" dxfId="61" priority="42">
      <formula>AND($D48&lt;&gt;"",$C48="")</formula>
    </cfRule>
  </conditionalFormatting>
  <conditionalFormatting sqref="C49">
    <cfRule type="expression" dxfId="60" priority="41">
      <formula>AND($D49&lt;&gt;"",$C49="")</formula>
    </cfRule>
  </conditionalFormatting>
  <conditionalFormatting sqref="C50">
    <cfRule type="expression" dxfId="59" priority="40">
      <formula>AND($D50&lt;&gt;"",$C50="")</formula>
    </cfRule>
  </conditionalFormatting>
  <conditionalFormatting sqref="C51">
    <cfRule type="expression" dxfId="58" priority="39">
      <formula>AND($D51&lt;&gt;"",$C51="")</formula>
    </cfRule>
  </conditionalFormatting>
  <conditionalFormatting sqref="C52">
    <cfRule type="expression" dxfId="57" priority="38">
      <formula>AND($D52&lt;&gt;"",$C52="")</formula>
    </cfRule>
  </conditionalFormatting>
  <conditionalFormatting sqref="C53">
    <cfRule type="expression" dxfId="56" priority="37">
      <formula>AND($D53&lt;&gt;"",$C53="")</formula>
    </cfRule>
  </conditionalFormatting>
  <conditionalFormatting sqref="C54">
    <cfRule type="expression" dxfId="55" priority="36">
      <formula>AND($D54&lt;&gt;"",$C54="")</formula>
    </cfRule>
  </conditionalFormatting>
  <conditionalFormatting sqref="C55">
    <cfRule type="expression" dxfId="54" priority="35">
      <formula>AND($D55&lt;&gt;"",$C55="")</formula>
    </cfRule>
  </conditionalFormatting>
  <conditionalFormatting sqref="C56">
    <cfRule type="expression" dxfId="53" priority="34">
      <formula>AND($D56&lt;&gt;"",$C56="")</formula>
    </cfRule>
  </conditionalFormatting>
  <conditionalFormatting sqref="C57">
    <cfRule type="expression" dxfId="52" priority="33">
      <formula>AND($D57&lt;&gt;"",$C57="")</formula>
    </cfRule>
  </conditionalFormatting>
  <conditionalFormatting sqref="C58">
    <cfRule type="expression" dxfId="51" priority="32">
      <formula>AND($D58&lt;&gt;"",$C58="")</formula>
    </cfRule>
  </conditionalFormatting>
  <conditionalFormatting sqref="C59">
    <cfRule type="expression" dxfId="50" priority="31">
      <formula>AND($D59&lt;&gt;"",$C59="")</formula>
    </cfRule>
  </conditionalFormatting>
  <conditionalFormatting sqref="C60">
    <cfRule type="expression" dxfId="49" priority="30">
      <formula>AND($D60&lt;&gt;"",$C60="")</formula>
    </cfRule>
  </conditionalFormatting>
  <conditionalFormatting sqref="C61">
    <cfRule type="expression" dxfId="48" priority="29">
      <formula>AND($D61&lt;&gt;"",$C61="")</formula>
    </cfRule>
  </conditionalFormatting>
  <conditionalFormatting sqref="C62">
    <cfRule type="expression" dxfId="47" priority="28">
      <formula>AND($D62&lt;&gt;"",$C62="")</formula>
    </cfRule>
  </conditionalFormatting>
  <conditionalFormatting sqref="C63">
    <cfRule type="expression" dxfId="46" priority="27">
      <formula>AND($D63&lt;&gt;"",$C63="")</formula>
    </cfRule>
  </conditionalFormatting>
  <conditionalFormatting sqref="C64">
    <cfRule type="expression" dxfId="45" priority="26">
      <formula>AND($D64&lt;&gt;"",$C64="")</formula>
    </cfRule>
  </conditionalFormatting>
  <conditionalFormatting sqref="C65">
    <cfRule type="expression" dxfId="44" priority="25">
      <formula>AND($D65&lt;&gt;"",$C65="")</formula>
    </cfRule>
  </conditionalFormatting>
  <conditionalFormatting sqref="C66">
    <cfRule type="expression" dxfId="43" priority="24">
      <formula>AND($D66&lt;&gt;"",$C66="")</formula>
    </cfRule>
  </conditionalFormatting>
  <conditionalFormatting sqref="C67">
    <cfRule type="expression" dxfId="42" priority="23">
      <formula>AND($D67&lt;&gt;"",$C67="")</formula>
    </cfRule>
  </conditionalFormatting>
  <conditionalFormatting sqref="C68">
    <cfRule type="expression" dxfId="41" priority="22">
      <formula>AND($D68&lt;&gt;"",$C68="")</formula>
    </cfRule>
  </conditionalFormatting>
  <conditionalFormatting sqref="C69">
    <cfRule type="expression" dxfId="40" priority="21">
      <formula>AND($D69&lt;&gt;"",$C69="")</formula>
    </cfRule>
  </conditionalFormatting>
  <conditionalFormatting sqref="C70">
    <cfRule type="expression" dxfId="39" priority="20">
      <formula>AND($D70&lt;&gt;"",$C70="")</formula>
    </cfRule>
  </conditionalFormatting>
  <conditionalFormatting sqref="C71">
    <cfRule type="expression" dxfId="38" priority="19">
      <formula>AND($D71&lt;&gt;"",$C71="")</formula>
    </cfRule>
  </conditionalFormatting>
  <conditionalFormatting sqref="C72">
    <cfRule type="expression" dxfId="37" priority="18">
      <formula>AND($D72&lt;&gt;"",$C72="")</formula>
    </cfRule>
  </conditionalFormatting>
  <conditionalFormatting sqref="C73">
    <cfRule type="expression" dxfId="36" priority="17">
      <formula>AND($D73&lt;&gt;"",$C73="")</formula>
    </cfRule>
  </conditionalFormatting>
  <conditionalFormatting sqref="C74">
    <cfRule type="expression" dxfId="35" priority="16">
      <formula>AND($D74&lt;&gt;"",$C74="")</formula>
    </cfRule>
  </conditionalFormatting>
  <conditionalFormatting sqref="C75">
    <cfRule type="expression" dxfId="34" priority="15">
      <formula>AND($D75&lt;&gt;"",$C75="")</formula>
    </cfRule>
  </conditionalFormatting>
  <conditionalFormatting sqref="C76">
    <cfRule type="expression" dxfId="33" priority="14">
      <formula>AND($D76&lt;&gt;"",$C76="")</formula>
    </cfRule>
  </conditionalFormatting>
  <conditionalFormatting sqref="C77">
    <cfRule type="expression" dxfId="32" priority="13">
      <formula>AND($D77&lt;&gt;"",$C77="")</formula>
    </cfRule>
  </conditionalFormatting>
  <conditionalFormatting sqref="C78">
    <cfRule type="expression" dxfId="31" priority="12">
      <formula>AND($D78&lt;&gt;"",$C78="")</formula>
    </cfRule>
  </conditionalFormatting>
  <conditionalFormatting sqref="C79">
    <cfRule type="expression" dxfId="30" priority="11">
      <formula>AND($D79&lt;&gt;"",$C79="")</formula>
    </cfRule>
  </conditionalFormatting>
  <conditionalFormatting sqref="C80">
    <cfRule type="expression" dxfId="29" priority="10">
      <formula>AND($D80&lt;&gt;"",$C80="")</formula>
    </cfRule>
  </conditionalFormatting>
  <conditionalFormatting sqref="C81">
    <cfRule type="expression" dxfId="28" priority="9">
      <formula>AND($D81&lt;&gt;"",$C81="")</formula>
    </cfRule>
  </conditionalFormatting>
  <conditionalFormatting sqref="C82">
    <cfRule type="expression" dxfId="27" priority="8">
      <formula>AND($D82&lt;&gt;"",$C82="")</formula>
    </cfRule>
  </conditionalFormatting>
  <conditionalFormatting sqref="C83">
    <cfRule type="expression" dxfId="26" priority="7">
      <formula>AND($D83&lt;&gt;"",$C83="")</formula>
    </cfRule>
  </conditionalFormatting>
  <conditionalFormatting sqref="C84">
    <cfRule type="expression" dxfId="25" priority="6">
      <formula>AND($D84&lt;&gt;"",$C84="")</formula>
    </cfRule>
  </conditionalFormatting>
  <conditionalFormatting sqref="C85">
    <cfRule type="expression" dxfId="24" priority="5">
      <formula>AND($D85&lt;&gt;"",$C85="")</formula>
    </cfRule>
  </conditionalFormatting>
  <conditionalFormatting sqref="C86">
    <cfRule type="expression" dxfId="23" priority="4">
      <formula>AND($D86&lt;&gt;"",$C86="")</formula>
    </cfRule>
  </conditionalFormatting>
  <conditionalFormatting sqref="C87">
    <cfRule type="expression" dxfId="22" priority="3">
      <formula>AND($D87&lt;&gt;"",$C87="")</formula>
    </cfRule>
  </conditionalFormatting>
  <conditionalFormatting sqref="C88">
    <cfRule type="expression" dxfId="21" priority="2">
      <formula>AND($D88&lt;&gt;"",$C88="")</formula>
    </cfRule>
  </conditionalFormatting>
  <conditionalFormatting sqref="C11">
    <cfRule type="expression" dxfId="20" priority="1">
      <formula>AND($D11&lt;&gt;"",$C11="")</formula>
    </cfRule>
  </conditionalFormatting>
  <dataValidations count="3">
    <dataValidation type="list" allowBlank="1" showInputMessage="1" showErrorMessage="1" sqref="G9:G88" xr:uid="{00000000-0002-0000-0C00-000000000000}">
      <formula1>Country</formula1>
    </dataValidation>
    <dataValidation type="list" allowBlank="1" showInputMessage="1" showErrorMessage="1" sqref="B9:B88" xr:uid="{00000000-0002-0000-0C00-000001000000}">
      <formula1>Coverage_Module</formula1>
    </dataValidation>
    <dataValidation type="list" allowBlank="1" showInputMessage="1" showErrorMessage="1" sqref="F9:F88" xr:uid="{00000000-0002-0000-0C00-000002000000}">
      <formula1>MergedAndDistinctPR</formula1>
    </dataValidation>
  </dataValidations>
  <hyperlinks>
    <hyperlink ref="B5" location="'Instructions-FR'!InstructionsSectionF" display="'Instructions-FR'!InstructionsSectionF" xr:uid="{00000000-0004-0000-0C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3000000}">
          <x14:formula1>
            <xm:f>OFFSET(Setup!$P$2,MATCH($B9,Setup!$O$2:$O$50,0)-1,1,COUNTIF(Setup!$O$2:$O$50,$B9),1)</xm:f>
          </x14:formula1>
          <xm:sqref>D9:D88</xm:sqref>
        </x14:dataValidation>
        <x14:dataValidation type="list" allowBlank="1" showInputMessage="1" showErrorMessage="1" xr:uid="{00000000-0002-0000-0C00-000004000000}">
          <x14:formula1>
            <xm:f>IF(AND(OR(D9=0,B9=0)),INDIRECT("FAKE RANGE"),OFFSET('Overview - Section A'!$AN$155,MATCH(B9&amp;D9,'Overview - Section A'!$AN$155:$AN$256,0)-1,-1,COUNTIF('Overview - Section A'!$AN$155:$AN$256,B9&amp;D9),1))</xm:f>
          </x14:formula1>
          <xm:sqref>C9:C88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H373"/>
  <sheetViews>
    <sheetView view="pageBreakPreview" topLeftCell="A196" zoomScale="22" zoomScaleNormal="25" zoomScaleSheetLayoutView="22" workbookViewId="0">
      <selection activeCell="E60" sqref="E60:G60"/>
    </sheetView>
  </sheetViews>
  <sheetFormatPr defaultColWidth="9" defaultRowHeight="15.5" x14ac:dyDescent="0.35"/>
  <cols>
    <col min="1" max="1" width="11.08203125" style="107" customWidth="1"/>
    <col min="2" max="2" width="41.08203125" style="107" customWidth="1"/>
    <col min="3" max="3" width="62.6640625" style="107" customWidth="1"/>
    <col min="4" max="4" width="42.08203125" style="107" customWidth="1"/>
    <col min="5" max="5" width="30.08203125" style="107" customWidth="1"/>
    <col min="6" max="6" width="31.1640625" style="107" customWidth="1"/>
    <col min="7" max="7" width="37.58203125" style="107" customWidth="1"/>
    <col min="8" max="8" width="25.08203125" style="107" customWidth="1"/>
    <col min="9" max="9" width="32.58203125" style="107" customWidth="1"/>
    <col min="10" max="10" width="46.08203125" style="107" customWidth="1"/>
    <col min="11" max="11" width="36.08203125" style="107" customWidth="1"/>
    <col min="12" max="12" width="27.58203125" style="107" customWidth="1"/>
    <col min="13" max="13" width="29.6640625" style="107" customWidth="1"/>
    <col min="14" max="14" width="26" style="107" customWidth="1"/>
    <col min="15" max="18" width="26.08203125" style="107" customWidth="1"/>
    <col min="19" max="20" width="25.08203125" style="107" customWidth="1"/>
    <col min="21" max="21" width="28.1640625" style="107" customWidth="1"/>
    <col min="22" max="22" width="20.58203125" style="107" customWidth="1"/>
    <col min="23" max="23" width="28.58203125" style="107" customWidth="1"/>
    <col min="24" max="24" width="22.58203125" style="107" customWidth="1"/>
    <col min="25" max="25" width="28.1640625" style="107" customWidth="1"/>
    <col min="26" max="26" width="29.58203125" style="107" customWidth="1"/>
    <col min="27" max="27" width="23.5" style="107" customWidth="1"/>
    <col min="28" max="28" width="22.58203125" style="107" customWidth="1"/>
    <col min="29" max="29" width="30.1640625" style="107" customWidth="1"/>
    <col min="30" max="30" width="29.08203125" style="107" customWidth="1"/>
    <col min="31" max="31" width="23.5" style="107" customWidth="1"/>
    <col min="32" max="32" width="31.08203125" style="103" customWidth="1"/>
    <col min="33" max="34" width="19.58203125" style="103" customWidth="1"/>
    <col min="35" max="35" width="29.58203125" style="103" customWidth="1"/>
    <col min="36" max="36" width="28.58203125" style="103" customWidth="1"/>
    <col min="37" max="37" width="30.58203125" style="103" customWidth="1"/>
    <col min="38" max="38" width="30.08203125" style="103" customWidth="1"/>
    <col min="39" max="39" width="19.58203125" style="103" customWidth="1"/>
    <col min="40" max="40" width="56.1640625" style="103" customWidth="1"/>
    <col min="41" max="41" width="130" style="103" customWidth="1"/>
    <col min="42" max="42" width="46.58203125" style="117" customWidth="1"/>
    <col min="43" max="43" width="33.58203125" style="103" customWidth="1"/>
    <col min="44" max="44" width="35.08203125" style="103" customWidth="1"/>
    <col min="45" max="45" width="44" style="103" customWidth="1"/>
    <col min="46" max="46" width="9" style="115" customWidth="1"/>
    <col min="47" max="50" width="9" style="119" hidden="1" customWidth="1"/>
    <col min="51" max="51" width="9.08203125" style="119" hidden="1" customWidth="1"/>
    <col min="52" max="53" width="9" style="119" hidden="1" customWidth="1"/>
    <col min="54" max="55" width="9" style="119"/>
    <col min="56" max="16384" width="9" style="103"/>
  </cols>
  <sheetData>
    <row r="1" spans="1:55" ht="36.5" thickBot="1" x14ac:dyDescent="0.4">
      <c r="A1" s="856" t="str">
        <f ca="1">Translations!A88</f>
        <v>Marco de desempeño</v>
      </c>
      <c r="B1" s="857"/>
      <c r="C1" s="857"/>
      <c r="D1" s="857"/>
      <c r="E1" s="857"/>
      <c r="F1" s="857"/>
      <c r="G1" s="857"/>
      <c r="H1" s="857"/>
      <c r="I1" s="857"/>
      <c r="J1" s="857"/>
      <c r="K1" s="857"/>
      <c r="L1" s="857"/>
      <c r="M1" s="857"/>
      <c r="N1" s="857"/>
      <c r="O1" s="857"/>
      <c r="P1" s="857"/>
      <c r="Q1" s="857"/>
      <c r="R1" s="857"/>
      <c r="S1" s="857"/>
      <c r="T1" s="301"/>
      <c r="U1" s="203"/>
      <c r="V1" s="203"/>
      <c r="W1" s="203"/>
      <c r="X1" s="203"/>
      <c r="Y1" s="203"/>
      <c r="Z1" s="203"/>
      <c r="AA1" s="203"/>
      <c r="AB1" s="203"/>
      <c r="AC1" s="203"/>
      <c r="AD1" s="203"/>
      <c r="AE1" s="203"/>
      <c r="AF1" s="203"/>
      <c r="AG1" s="203"/>
      <c r="AH1" s="203"/>
      <c r="AI1" s="203"/>
      <c r="AJ1" s="203"/>
      <c r="AK1" s="203"/>
      <c r="AL1" s="203"/>
      <c r="AM1" s="203"/>
      <c r="AN1" s="203"/>
      <c r="AO1" s="203"/>
      <c r="AQ1" s="117"/>
      <c r="AR1" s="117"/>
      <c r="AS1" s="117"/>
    </row>
    <row r="2" spans="1:55" ht="27.5" x14ac:dyDescent="0.35">
      <c r="A2" s="854"/>
      <c r="B2" s="855"/>
      <c r="C2" s="855"/>
      <c r="D2" s="855"/>
      <c r="E2" s="854"/>
      <c r="F2" s="855"/>
      <c r="G2" s="855"/>
      <c r="H2" s="855"/>
      <c r="I2" s="854"/>
      <c r="J2" s="855"/>
      <c r="K2" s="855"/>
      <c r="L2" s="855"/>
      <c r="M2" s="854"/>
      <c r="N2" s="855"/>
      <c r="O2" s="855"/>
      <c r="P2" s="855"/>
      <c r="Q2" s="854"/>
      <c r="R2" s="855"/>
      <c r="S2" s="855"/>
      <c r="T2" s="299"/>
      <c r="U2" s="203"/>
      <c r="V2" s="203"/>
      <c r="W2" s="203"/>
      <c r="X2" s="203"/>
      <c r="Y2" s="203"/>
      <c r="Z2" s="203"/>
      <c r="AA2" s="203"/>
      <c r="AB2" s="203"/>
      <c r="AC2" s="203"/>
      <c r="AD2" s="203"/>
      <c r="AE2" s="203"/>
      <c r="AF2" s="203"/>
      <c r="AG2" s="203"/>
      <c r="AH2" s="203"/>
      <c r="AI2" s="203"/>
      <c r="AJ2" s="203"/>
      <c r="AK2" s="203"/>
      <c r="AL2" s="203"/>
      <c r="AM2" s="203"/>
      <c r="AN2" s="203"/>
      <c r="AO2" s="203"/>
      <c r="AQ2" s="117"/>
      <c r="AR2" s="117"/>
      <c r="AS2" s="117"/>
    </row>
    <row r="3" spans="1:55" s="117" customFormat="1" ht="27.5" x14ac:dyDescent="0.35">
      <c r="A3" s="203"/>
      <c r="B3" s="203"/>
      <c r="C3" s="203"/>
      <c r="D3" s="203"/>
      <c r="E3" s="203"/>
      <c r="F3" s="203"/>
      <c r="G3" s="203"/>
      <c r="H3" s="203"/>
      <c r="I3" s="203"/>
      <c r="J3" s="203"/>
      <c r="K3" s="203"/>
      <c r="L3" s="203"/>
      <c r="M3" s="203"/>
      <c r="N3" s="203"/>
      <c r="O3" s="203"/>
      <c r="P3" s="203"/>
      <c r="Q3" s="203"/>
      <c r="R3" s="221"/>
      <c r="S3" s="203"/>
      <c r="T3" s="221"/>
      <c r="U3" s="203"/>
      <c r="V3" s="203"/>
      <c r="W3" s="203"/>
      <c r="X3" s="203"/>
      <c r="Y3" s="203"/>
      <c r="Z3" s="203"/>
      <c r="AA3" s="203"/>
      <c r="AB3" s="203"/>
      <c r="AC3" s="203"/>
      <c r="AD3" s="203"/>
      <c r="AE3" s="203"/>
      <c r="AT3" s="118"/>
      <c r="AU3" s="204"/>
      <c r="AV3" s="204"/>
      <c r="AW3" s="204"/>
      <c r="AX3" s="204"/>
      <c r="AY3" s="204"/>
      <c r="AZ3" s="204"/>
      <c r="BA3" s="204"/>
      <c r="BB3" s="204"/>
      <c r="BC3" s="204"/>
    </row>
    <row r="4" spans="1:55" s="117" customFormat="1" ht="27.5" x14ac:dyDescent="0.35">
      <c r="A4" s="203"/>
      <c r="B4" s="203"/>
      <c r="C4" s="203"/>
      <c r="D4" s="203"/>
      <c r="E4" s="203"/>
      <c r="F4" s="203"/>
      <c r="G4" s="203"/>
      <c r="H4" s="203"/>
      <c r="I4" s="203"/>
      <c r="J4" s="203"/>
      <c r="K4" s="203"/>
      <c r="L4" s="203"/>
      <c r="M4" s="203"/>
      <c r="N4" s="203"/>
      <c r="O4" s="203"/>
      <c r="P4" s="203"/>
      <c r="Q4" s="203"/>
      <c r="R4" s="221"/>
      <c r="S4" s="203"/>
      <c r="T4" s="221"/>
      <c r="U4" s="203"/>
      <c r="V4" s="203"/>
      <c r="W4" s="203"/>
      <c r="X4" s="203"/>
      <c r="Y4" s="203"/>
      <c r="Z4" s="203"/>
      <c r="AA4" s="203"/>
      <c r="AB4" s="203"/>
      <c r="AC4" s="203"/>
      <c r="AD4" s="203"/>
      <c r="AE4" s="203"/>
      <c r="AT4" s="118"/>
      <c r="AU4" s="204"/>
      <c r="AV4" s="204"/>
      <c r="AW4" s="204"/>
      <c r="AX4" s="204"/>
      <c r="AY4" s="204"/>
      <c r="AZ4" s="204"/>
      <c r="BA4" s="204"/>
      <c r="BB4" s="204"/>
      <c r="BC4" s="204"/>
    </row>
    <row r="5" spans="1:55" s="117" customFormat="1" ht="27.5" x14ac:dyDescent="0.35">
      <c r="A5" s="203"/>
      <c r="B5" s="203"/>
      <c r="C5" s="203"/>
      <c r="D5" s="203"/>
      <c r="E5" s="203"/>
      <c r="F5" s="203"/>
      <c r="G5" s="203"/>
      <c r="H5" s="203"/>
      <c r="I5" s="203"/>
      <c r="J5" s="203"/>
      <c r="K5" s="203"/>
      <c r="L5" s="203"/>
      <c r="M5" s="203"/>
      <c r="N5" s="203"/>
      <c r="O5" s="203"/>
      <c r="P5" s="203"/>
      <c r="Q5" s="203"/>
      <c r="R5" s="221"/>
      <c r="S5" s="203"/>
      <c r="T5" s="221"/>
      <c r="U5" s="203"/>
      <c r="V5" s="203"/>
      <c r="W5" s="203"/>
      <c r="X5" s="203"/>
      <c r="Y5" s="203"/>
      <c r="Z5" s="203"/>
      <c r="AA5" s="203"/>
      <c r="AB5" s="203"/>
      <c r="AC5" s="203"/>
      <c r="AD5" s="203"/>
      <c r="AE5" s="203"/>
      <c r="AT5" s="118"/>
      <c r="AU5" s="204"/>
      <c r="AV5" s="204"/>
      <c r="AW5" s="204"/>
      <c r="AX5" s="204"/>
      <c r="AY5" s="204"/>
      <c r="AZ5" s="204"/>
      <c r="BA5" s="204"/>
      <c r="BB5" s="204"/>
      <c r="BC5" s="204"/>
    </row>
    <row r="6" spans="1:55" s="117" customFormat="1" ht="27.5" x14ac:dyDescent="0.35">
      <c r="A6" s="203"/>
      <c r="B6" s="203"/>
      <c r="C6" s="203"/>
      <c r="D6" s="203"/>
      <c r="E6" s="203"/>
      <c r="F6" s="203"/>
      <c r="G6" s="203"/>
      <c r="H6" s="203"/>
      <c r="I6" s="203"/>
      <c r="J6" s="203"/>
      <c r="K6" s="203"/>
      <c r="L6" s="203"/>
      <c r="M6" s="203"/>
      <c r="N6" s="203"/>
      <c r="O6" s="203"/>
      <c r="P6" s="203"/>
      <c r="Q6" s="203"/>
      <c r="R6" s="221"/>
      <c r="S6" s="203"/>
      <c r="T6" s="221"/>
      <c r="U6" s="203"/>
      <c r="V6" s="203"/>
      <c r="W6" s="203"/>
      <c r="X6" s="203"/>
      <c r="Y6" s="203"/>
      <c r="Z6" s="203"/>
      <c r="AA6" s="203"/>
      <c r="AB6" s="203"/>
      <c r="AC6" s="203"/>
      <c r="AD6" s="203"/>
      <c r="AE6" s="203"/>
      <c r="AT6" s="118"/>
      <c r="AU6" s="204"/>
      <c r="AV6" s="204"/>
      <c r="AW6" s="204"/>
      <c r="AX6" s="204"/>
      <c r="AY6" s="204"/>
      <c r="AZ6" s="204"/>
      <c r="BA6" s="204"/>
      <c r="BB6" s="204"/>
      <c r="BC6" s="204"/>
    </row>
    <row r="7" spans="1:55" s="117" customFormat="1" ht="27.5" x14ac:dyDescent="0.35">
      <c r="A7" s="203"/>
      <c r="B7" s="203"/>
      <c r="C7" s="203"/>
      <c r="D7" s="203"/>
      <c r="E7" s="203"/>
      <c r="F7" s="203"/>
      <c r="G7" s="203"/>
      <c r="H7" s="203"/>
      <c r="I7" s="203"/>
      <c r="J7" s="203"/>
      <c r="K7" s="203"/>
      <c r="L7" s="203"/>
      <c r="M7" s="203"/>
      <c r="N7" s="203"/>
      <c r="O7" s="203"/>
      <c r="P7" s="203"/>
      <c r="Q7" s="203"/>
      <c r="R7" s="221"/>
      <c r="S7" s="203"/>
      <c r="T7" s="221"/>
      <c r="U7" s="203"/>
      <c r="V7" s="203"/>
      <c r="W7" s="203"/>
      <c r="X7" s="203"/>
      <c r="Y7" s="203"/>
      <c r="Z7" s="203"/>
      <c r="AA7" s="203"/>
      <c r="AB7" s="203"/>
      <c r="AC7" s="203"/>
      <c r="AD7" s="203"/>
      <c r="AE7" s="203"/>
      <c r="AT7" s="118"/>
      <c r="AU7" s="204"/>
      <c r="AV7" s="204"/>
      <c r="AW7" s="204"/>
      <c r="AX7" s="204"/>
      <c r="AY7" s="204"/>
      <c r="AZ7" s="204"/>
      <c r="BA7" s="204"/>
      <c r="BB7" s="204"/>
      <c r="BC7" s="204"/>
    </row>
    <row r="8" spans="1:55" s="117" customFormat="1" ht="27.5" x14ac:dyDescent="0.35">
      <c r="A8" s="203"/>
      <c r="B8" s="203"/>
      <c r="C8" s="203"/>
      <c r="D8" s="203"/>
      <c r="E8" s="203"/>
      <c r="F8" s="203"/>
      <c r="G8" s="203"/>
      <c r="H8" s="203"/>
      <c r="I8" s="203"/>
      <c r="J8" s="203"/>
      <c r="K8" s="203"/>
      <c r="L8" s="203"/>
      <c r="M8" s="203"/>
      <c r="N8" s="203"/>
      <c r="O8" s="203"/>
      <c r="P8" s="203"/>
      <c r="Q8" s="203"/>
      <c r="R8" s="221"/>
      <c r="S8" s="203"/>
      <c r="T8" s="221"/>
      <c r="U8" s="203"/>
      <c r="V8" s="203"/>
      <c r="W8" s="203"/>
      <c r="X8" s="203"/>
      <c r="Y8" s="203"/>
      <c r="Z8" s="203"/>
      <c r="AA8" s="203"/>
      <c r="AB8" s="203"/>
      <c r="AC8" s="203"/>
      <c r="AD8" s="203"/>
      <c r="AE8" s="203"/>
      <c r="AT8" s="118"/>
      <c r="AU8" s="204"/>
      <c r="AV8" s="204"/>
      <c r="AW8" s="204"/>
      <c r="AX8" s="204"/>
      <c r="AY8" s="204"/>
      <c r="AZ8" s="204"/>
      <c r="BA8" s="204"/>
      <c r="BB8" s="204"/>
      <c r="BC8" s="204"/>
    </row>
    <row r="9" spans="1:55" ht="16" thickBot="1" x14ac:dyDescent="0.4">
      <c r="A9" s="104"/>
      <c r="B9" s="104"/>
      <c r="C9" s="104"/>
      <c r="D9" s="104"/>
      <c r="E9" s="104"/>
      <c r="F9" s="104"/>
      <c r="G9" s="104"/>
      <c r="H9" s="104"/>
      <c r="I9" s="104"/>
      <c r="J9" s="104"/>
      <c r="K9" s="104"/>
      <c r="L9" s="104"/>
      <c r="M9" s="104"/>
      <c r="N9" s="104"/>
      <c r="O9" s="104"/>
      <c r="P9" s="104"/>
      <c r="Q9" s="104"/>
      <c r="R9" s="223"/>
      <c r="S9" s="104"/>
      <c r="T9" s="223"/>
      <c r="U9" s="104"/>
      <c r="V9" s="104"/>
      <c r="W9" s="104"/>
      <c r="X9" s="104"/>
      <c r="Y9" s="104"/>
      <c r="Z9" s="104"/>
      <c r="AA9" s="104"/>
      <c r="AB9" s="104"/>
      <c r="AC9" s="104"/>
      <c r="AD9" s="104"/>
      <c r="AE9" s="104"/>
      <c r="AF9" s="117"/>
      <c r="AG9" s="117"/>
      <c r="AH9" s="117"/>
      <c r="AI9" s="117"/>
      <c r="AJ9" s="117"/>
      <c r="AK9" s="117"/>
      <c r="AL9" s="117"/>
      <c r="AM9" s="117"/>
      <c r="AN9" s="117"/>
      <c r="AO9" s="117"/>
      <c r="AQ9" s="117"/>
      <c r="AR9" s="117"/>
      <c r="AS9" s="117"/>
    </row>
    <row r="10" spans="1:55" ht="77.75" customHeight="1" x14ac:dyDescent="0.35">
      <c r="A10" s="858" t="str">
        <f ca="1">Translations!A5</f>
        <v>País / Solicitante:</v>
      </c>
      <c r="B10" s="859"/>
      <c r="C10" s="860"/>
      <c r="D10" s="791" t="str">
        <f>'Overview - Section A'!E5</f>
        <v>El Salvador</v>
      </c>
      <c r="E10" s="792"/>
      <c r="F10" s="117"/>
      <c r="G10" s="785" t="str">
        <f ca="1">Translations!A15</f>
        <v>Nombre del Receptor Principal</v>
      </c>
      <c r="H10" s="786"/>
      <c r="I10" s="786"/>
      <c r="J10" s="787"/>
      <c r="K10" s="221"/>
      <c r="L10" s="221"/>
      <c r="M10" s="221"/>
      <c r="N10" s="221"/>
      <c r="O10" s="221"/>
      <c r="P10" s="221"/>
      <c r="Q10" s="117"/>
      <c r="R10" s="220"/>
      <c r="S10" s="117"/>
      <c r="T10" s="220"/>
      <c r="U10" s="117"/>
      <c r="V10" s="117"/>
      <c r="W10" s="117"/>
      <c r="X10" s="104"/>
      <c r="Y10" s="104"/>
      <c r="Z10" s="104"/>
      <c r="AA10" s="104"/>
      <c r="AB10" s="104"/>
      <c r="AC10" s="104"/>
      <c r="AD10" s="104"/>
      <c r="AE10" s="104"/>
      <c r="AF10" s="117"/>
      <c r="AG10" s="117"/>
      <c r="AH10" s="117"/>
      <c r="AI10" s="117"/>
      <c r="AJ10" s="117"/>
      <c r="AK10" s="117"/>
      <c r="AL10" s="117"/>
      <c r="AM10" s="117"/>
      <c r="AN10" s="117"/>
      <c r="AO10" s="117"/>
      <c r="AQ10" s="117"/>
      <c r="AR10" s="117"/>
      <c r="AS10" s="117"/>
    </row>
    <row r="11" spans="1:55" ht="69.75" customHeight="1" x14ac:dyDescent="0.35">
      <c r="A11" s="793" t="str">
        <f ca="1">Translations!A6</f>
        <v>Nombre de la Subvención/Nombre de la solicitud de financiamiento</v>
      </c>
      <c r="B11" s="794"/>
      <c r="C11" s="795"/>
      <c r="D11" s="791" t="str">
        <f>'Overview - Section A'!E6</f>
        <v>SLV-C-MOH</v>
      </c>
      <c r="E11" s="792"/>
      <c r="F11" s="222">
        <v>1</v>
      </c>
      <c r="G11" s="788" t="str">
        <f ca="1">Setup!I15</f>
        <v>Ministry of Health of the Republic of El Salvador</v>
      </c>
      <c r="H11" s="789"/>
      <c r="I11" s="789"/>
      <c r="J11" s="790"/>
      <c r="K11" s="221"/>
      <c r="L11" s="221"/>
      <c r="M11" s="221"/>
      <c r="N11" s="221"/>
      <c r="O11" s="221"/>
      <c r="P11" s="221"/>
      <c r="Q11" s="117"/>
      <c r="R11" s="220"/>
      <c r="S11" s="117"/>
      <c r="T11" s="220"/>
      <c r="U11" s="117"/>
      <c r="V11" s="117"/>
      <c r="W11" s="117"/>
      <c r="X11" s="104"/>
      <c r="Y11" s="104"/>
      <c r="Z11" s="104"/>
      <c r="AA11" s="104"/>
      <c r="AB11" s="104"/>
      <c r="AC11" s="104"/>
      <c r="AD11" s="104"/>
      <c r="AE11" s="104"/>
      <c r="AF11" s="117"/>
      <c r="AG11" s="117"/>
      <c r="AH11" s="117"/>
      <c r="AI11" s="117"/>
      <c r="AJ11" s="117"/>
      <c r="AK11" s="117"/>
      <c r="AL11" s="117"/>
      <c r="AM11" s="117"/>
      <c r="AN11" s="117"/>
      <c r="AO11" s="117"/>
      <c r="AQ11" s="117"/>
      <c r="AR11" s="117"/>
      <c r="AS11" s="117"/>
    </row>
    <row r="12" spans="1:55" ht="30" customHeight="1" x14ac:dyDescent="0.35">
      <c r="A12" s="793" t="str">
        <f ca="1">Translations!A7</f>
        <v>Fecha de inicio del programa</v>
      </c>
      <c r="B12" s="794"/>
      <c r="C12" s="795"/>
      <c r="D12" s="791">
        <f>'Overview - Section A'!E7</f>
        <v>44562</v>
      </c>
      <c r="E12" s="792"/>
      <c r="F12" s="222">
        <v>2</v>
      </c>
      <c r="G12" s="788" t="str">
        <f ca="1">Setup!I16</f>
        <v/>
      </c>
      <c r="H12" s="789"/>
      <c r="I12" s="789"/>
      <c r="J12" s="790"/>
      <c r="K12" s="221"/>
      <c r="L12" s="221"/>
      <c r="M12" s="221"/>
      <c r="N12" s="221"/>
      <c r="O12" s="221"/>
      <c r="P12" s="221"/>
      <c r="Q12" s="117"/>
      <c r="R12" s="220"/>
      <c r="S12" s="117"/>
      <c r="T12" s="220"/>
      <c r="U12" s="117"/>
      <c r="V12" s="117"/>
      <c r="W12" s="117"/>
      <c r="X12" s="104"/>
      <c r="Y12" s="104"/>
      <c r="Z12" s="104"/>
      <c r="AA12" s="104"/>
      <c r="AB12" s="104"/>
      <c r="AC12" s="104"/>
      <c r="AD12" s="104"/>
      <c r="AE12" s="104"/>
      <c r="AF12" s="117"/>
      <c r="AG12" s="117"/>
      <c r="AH12" s="117"/>
      <c r="AI12" s="117"/>
      <c r="AJ12" s="117"/>
      <c r="AK12" s="117"/>
      <c r="AL12" s="117"/>
      <c r="AM12" s="117"/>
      <c r="AN12" s="117"/>
      <c r="AO12" s="117"/>
      <c r="AQ12" s="117"/>
      <c r="AR12" s="117"/>
      <c r="AS12" s="117"/>
    </row>
    <row r="13" spans="1:55" ht="45" customHeight="1" x14ac:dyDescent="0.35">
      <c r="A13" s="793" t="str">
        <f ca="1">Translations!A8</f>
        <v>Fecha final del programa</v>
      </c>
      <c r="B13" s="794"/>
      <c r="C13" s="795"/>
      <c r="D13" s="791">
        <f>'Overview - Section A'!E8</f>
        <v>45657</v>
      </c>
      <c r="E13" s="792"/>
      <c r="F13" s="222">
        <v>3</v>
      </c>
      <c r="G13" s="788" t="str">
        <f ca="1">Setup!I17</f>
        <v/>
      </c>
      <c r="H13" s="789"/>
      <c r="I13" s="789"/>
      <c r="J13" s="790"/>
      <c r="K13" s="221"/>
      <c r="L13" s="221"/>
      <c r="M13" s="221"/>
      <c r="N13" s="221"/>
      <c r="O13" s="221"/>
      <c r="P13" s="221"/>
      <c r="Q13" s="117"/>
      <c r="R13" s="220"/>
      <c r="S13" s="117"/>
      <c r="T13" s="220"/>
      <c r="U13" s="117"/>
      <c r="V13" s="117"/>
      <c r="W13" s="117"/>
      <c r="X13" s="104"/>
      <c r="Y13" s="104"/>
      <c r="Z13" s="104"/>
      <c r="AA13" s="104"/>
      <c r="AB13" s="104"/>
      <c r="AC13" s="104"/>
      <c r="AD13" s="104"/>
      <c r="AE13" s="104"/>
      <c r="AF13" s="117"/>
      <c r="AG13" s="117"/>
      <c r="AH13" s="117"/>
      <c r="AI13" s="117"/>
      <c r="AJ13" s="117"/>
      <c r="AK13" s="117"/>
      <c r="AL13" s="117"/>
      <c r="AM13" s="117"/>
      <c r="AN13" s="117"/>
      <c r="AO13" s="117"/>
      <c r="AQ13" s="117"/>
      <c r="AR13" s="117"/>
      <c r="AS13" s="117"/>
    </row>
    <row r="14" spans="1:55" ht="30" customHeight="1" x14ac:dyDescent="0.35">
      <c r="A14" s="793" t="str">
        <f ca="1">Translations!A9</f>
        <v>Frecuencia del período de reporte programático</v>
      </c>
      <c r="B14" s="794"/>
      <c r="C14" s="795"/>
      <c r="D14" s="796">
        <f>'Overview - Section A'!E9</f>
        <v>12</v>
      </c>
      <c r="E14" s="797"/>
      <c r="F14" s="222">
        <v>4</v>
      </c>
      <c r="G14" s="788" t="str">
        <f ca="1">Setup!I18</f>
        <v/>
      </c>
      <c r="H14" s="789"/>
      <c r="I14" s="789"/>
      <c r="J14" s="790"/>
      <c r="K14" s="221"/>
      <c r="L14" s="221"/>
      <c r="M14" s="221"/>
      <c r="N14" s="221"/>
      <c r="O14" s="221"/>
      <c r="P14" s="221"/>
      <c r="Q14" s="117"/>
      <c r="R14" s="220"/>
      <c r="S14" s="117"/>
      <c r="T14" s="220"/>
      <c r="U14" s="117"/>
      <c r="V14" s="117"/>
      <c r="W14" s="117"/>
      <c r="X14" s="104"/>
      <c r="Y14" s="104"/>
      <c r="Z14" s="104"/>
      <c r="AA14" s="104"/>
      <c r="AB14" s="104"/>
      <c r="AC14" s="104"/>
      <c r="AD14" s="104"/>
      <c r="AE14" s="104"/>
      <c r="AF14" s="117"/>
      <c r="AG14" s="117"/>
      <c r="AH14" s="117"/>
      <c r="AI14" s="117"/>
      <c r="AJ14" s="117"/>
      <c r="AK14" s="117"/>
      <c r="AL14" s="117"/>
      <c r="AM14" s="117"/>
      <c r="AN14" s="117"/>
      <c r="AO14" s="117"/>
      <c r="AQ14" s="117"/>
      <c r="AR14" s="117"/>
      <c r="AS14" s="117"/>
    </row>
    <row r="15" spans="1:55" ht="30" customHeight="1" x14ac:dyDescent="0.35">
      <c r="A15" s="793" t="str">
        <f ca="1">Translations!A10</f>
        <v>Fecha de inicio del período de uso de la asignación</v>
      </c>
      <c r="B15" s="794"/>
      <c r="C15" s="795"/>
      <c r="D15" s="791">
        <f>IF('Overview - Section A'!E10&lt;&gt;"",'Overview - Section A'!E10,"")</f>
        <v>44562</v>
      </c>
      <c r="E15" s="792"/>
      <c r="F15" s="222">
        <v>5</v>
      </c>
      <c r="G15" s="788" t="str">
        <f ca="1">Setup!I19</f>
        <v/>
      </c>
      <c r="H15" s="789"/>
      <c r="I15" s="789"/>
      <c r="J15" s="790"/>
      <c r="K15" s="221"/>
      <c r="L15" s="221"/>
      <c r="M15" s="221"/>
      <c r="N15" s="221"/>
      <c r="O15" s="221"/>
      <c r="P15" s="221"/>
      <c r="Q15" s="117"/>
      <c r="R15" s="220"/>
      <c r="S15" s="117"/>
      <c r="T15" s="220"/>
      <c r="U15" s="117"/>
      <c r="V15" s="117"/>
      <c r="W15" s="117"/>
      <c r="X15" s="104"/>
      <c r="Y15" s="104"/>
      <c r="Z15" s="104"/>
      <c r="AA15" s="104"/>
      <c r="AB15" s="104"/>
      <c r="AC15" s="104"/>
      <c r="AD15" s="104"/>
      <c r="AE15" s="104"/>
      <c r="AF15" s="117"/>
      <c r="AG15" s="117"/>
      <c r="AH15" s="117"/>
      <c r="AI15" s="117"/>
      <c r="AJ15" s="117"/>
      <c r="AK15" s="117"/>
      <c r="AL15" s="117"/>
      <c r="AM15" s="117"/>
      <c r="AN15" s="117"/>
      <c r="AO15" s="117"/>
      <c r="AQ15" s="117"/>
      <c r="AR15" s="117"/>
      <c r="AS15" s="117"/>
    </row>
    <row r="16" spans="1:55" ht="30" customHeight="1" thickBot="1" x14ac:dyDescent="0.4">
      <c r="A16" s="798" t="str">
        <f ca="1">Translations!A11</f>
        <v xml:space="preserve">Fecha de término del período de uso de la asignación </v>
      </c>
      <c r="B16" s="799"/>
      <c r="C16" s="800"/>
      <c r="D16" s="791">
        <f>IF('Overview - Section A'!E11&lt;&gt;"",'Overview - Section A'!E11,"")</f>
        <v>45657</v>
      </c>
      <c r="E16" s="792"/>
      <c r="F16" s="222">
        <v>6</v>
      </c>
      <c r="G16" s="788" t="str">
        <f ca="1">Setup!I20</f>
        <v/>
      </c>
      <c r="H16" s="789"/>
      <c r="I16" s="789"/>
      <c r="J16" s="790"/>
      <c r="K16" s="221"/>
      <c r="L16" s="221"/>
      <c r="M16" s="221"/>
      <c r="N16" s="221"/>
      <c r="O16" s="221"/>
      <c r="P16" s="221"/>
      <c r="Q16" s="117"/>
      <c r="R16" s="220"/>
      <c r="S16" s="117"/>
      <c r="T16" s="220"/>
      <c r="U16" s="117"/>
      <c r="V16" s="117"/>
      <c r="W16" s="117"/>
      <c r="X16" s="104"/>
      <c r="Y16" s="104"/>
      <c r="Z16" s="104"/>
      <c r="AA16" s="104"/>
      <c r="AB16" s="104"/>
      <c r="AC16" s="104"/>
      <c r="AD16" s="104"/>
      <c r="AE16" s="104"/>
      <c r="AF16" s="117"/>
      <c r="AG16" s="117"/>
      <c r="AH16" s="117"/>
      <c r="AI16" s="117"/>
      <c r="AJ16" s="117"/>
      <c r="AK16" s="117"/>
      <c r="AL16" s="117"/>
      <c r="AM16" s="117"/>
      <c r="AN16" s="117"/>
      <c r="AO16" s="117"/>
      <c r="AQ16" s="117"/>
      <c r="AR16" s="117"/>
      <c r="AS16" s="117"/>
    </row>
    <row r="17" spans="1:46" ht="27" customHeight="1" x14ac:dyDescent="0.35">
      <c r="A17" s="104"/>
      <c r="B17" s="104"/>
      <c r="C17" s="104"/>
      <c r="D17" s="117"/>
      <c r="E17" s="117"/>
      <c r="F17" s="117"/>
      <c r="G17" s="223"/>
      <c r="H17" s="223"/>
      <c r="I17" s="223"/>
      <c r="J17" s="223"/>
      <c r="K17" s="221"/>
      <c r="L17" s="221"/>
      <c r="M17" s="221"/>
      <c r="N17" s="221"/>
      <c r="O17" s="221"/>
      <c r="P17" s="221"/>
      <c r="Q17" s="117"/>
      <c r="R17" s="220"/>
      <c r="S17" s="117"/>
      <c r="T17" s="220"/>
      <c r="U17" s="117"/>
      <c r="V17" s="117"/>
      <c r="W17" s="117"/>
      <c r="X17" s="104"/>
      <c r="Y17" s="104"/>
      <c r="Z17" s="104"/>
      <c r="AA17" s="104"/>
      <c r="AB17" s="104"/>
      <c r="AC17" s="104"/>
      <c r="AD17" s="104"/>
      <c r="AE17" s="104"/>
      <c r="AF17" s="117"/>
      <c r="AG17" s="117"/>
      <c r="AH17" s="117"/>
      <c r="AI17" s="117"/>
      <c r="AJ17" s="117"/>
      <c r="AK17" s="117"/>
      <c r="AL17" s="117"/>
      <c r="AM17" s="117"/>
      <c r="AN17" s="117"/>
      <c r="AO17" s="117"/>
      <c r="AQ17" s="117"/>
      <c r="AR17" s="117"/>
      <c r="AS17" s="117"/>
    </row>
    <row r="18" spans="1:46" ht="27" customHeight="1" x14ac:dyDescent="0.35">
      <c r="A18" s="104"/>
      <c r="B18" s="104"/>
      <c r="C18" s="104"/>
      <c r="D18" s="117"/>
      <c r="E18" s="117"/>
      <c r="F18" s="117"/>
      <c r="G18" s="223"/>
      <c r="H18" s="223"/>
      <c r="I18" s="223"/>
      <c r="J18" s="223"/>
      <c r="K18" s="221"/>
      <c r="L18" s="221"/>
      <c r="M18" s="221"/>
      <c r="N18" s="221"/>
      <c r="O18" s="221"/>
      <c r="P18" s="221"/>
      <c r="Q18" s="117"/>
      <c r="R18" s="220"/>
      <c r="S18" s="117"/>
      <c r="T18" s="220"/>
      <c r="U18" s="117"/>
      <c r="V18" s="117"/>
      <c r="W18" s="117"/>
      <c r="X18" s="104"/>
      <c r="Y18" s="104"/>
      <c r="Z18" s="104"/>
      <c r="AA18" s="104"/>
      <c r="AB18" s="104"/>
      <c r="AC18" s="104"/>
      <c r="AD18" s="104"/>
      <c r="AE18" s="104"/>
      <c r="AF18" s="117"/>
      <c r="AG18" s="117"/>
      <c r="AH18" s="117"/>
      <c r="AI18" s="117"/>
      <c r="AJ18" s="117"/>
      <c r="AK18" s="117"/>
      <c r="AL18" s="117"/>
      <c r="AM18" s="117"/>
      <c r="AN18" s="117"/>
      <c r="AO18" s="117"/>
      <c r="AQ18" s="117"/>
      <c r="AR18" s="117"/>
      <c r="AS18" s="117"/>
    </row>
    <row r="19" spans="1:46" ht="27" customHeight="1" x14ac:dyDescent="0.35">
      <c r="A19" s="104"/>
      <c r="B19" s="104"/>
      <c r="C19" s="104"/>
      <c r="D19" s="117"/>
      <c r="E19" s="117"/>
      <c r="F19" s="117"/>
      <c r="G19" s="223"/>
      <c r="H19" s="223"/>
      <c r="I19" s="223"/>
      <c r="J19" s="223"/>
      <c r="K19" s="221"/>
      <c r="L19" s="221"/>
      <c r="M19" s="221"/>
      <c r="N19" s="221"/>
      <c r="O19" s="221"/>
      <c r="P19" s="221"/>
      <c r="Q19" s="117"/>
      <c r="R19" s="220"/>
      <c r="S19" s="117"/>
      <c r="T19" s="220"/>
      <c r="U19" s="117"/>
      <c r="V19" s="117"/>
      <c r="W19" s="117"/>
      <c r="X19" s="104"/>
      <c r="Y19" s="104"/>
      <c r="Z19" s="104"/>
      <c r="AA19" s="104"/>
      <c r="AB19" s="104"/>
      <c r="AC19" s="104"/>
      <c r="AD19" s="104"/>
      <c r="AE19" s="104"/>
      <c r="AF19" s="117"/>
      <c r="AG19" s="117"/>
      <c r="AH19" s="117"/>
      <c r="AI19" s="117"/>
      <c r="AJ19" s="117"/>
      <c r="AK19" s="117"/>
      <c r="AL19" s="117"/>
      <c r="AM19" s="117"/>
      <c r="AN19" s="117"/>
      <c r="AO19" s="117"/>
      <c r="AQ19" s="117"/>
      <c r="AR19" s="117"/>
      <c r="AS19" s="117"/>
    </row>
    <row r="20" spans="1:46" ht="27.5" x14ac:dyDescent="0.35">
      <c r="A20" s="104"/>
      <c r="B20" s="104"/>
      <c r="C20" s="104"/>
      <c r="D20" s="104"/>
      <c r="E20" s="104"/>
      <c r="F20" s="104"/>
      <c r="G20" s="104"/>
      <c r="H20" s="104"/>
      <c r="I20" s="104"/>
      <c r="J20" s="104"/>
      <c r="K20" s="221"/>
      <c r="L20" s="221"/>
      <c r="M20" s="103"/>
      <c r="N20" s="103"/>
      <c r="O20" s="103"/>
      <c r="P20" s="103"/>
      <c r="Q20" s="117"/>
      <c r="R20" s="220"/>
      <c r="S20" s="117"/>
      <c r="T20" s="220"/>
      <c r="U20" s="117"/>
      <c r="V20" s="104"/>
      <c r="W20" s="104"/>
      <c r="X20" s="104"/>
      <c r="Y20" s="104"/>
      <c r="Z20" s="104"/>
      <c r="AA20" s="104"/>
      <c r="AB20" s="104"/>
      <c r="AC20" s="104"/>
      <c r="AD20" s="104"/>
      <c r="AE20" s="104"/>
      <c r="AF20" s="117"/>
      <c r="AG20" s="117"/>
      <c r="AH20" s="117"/>
      <c r="AI20" s="117"/>
      <c r="AJ20" s="117"/>
      <c r="AK20" s="117"/>
      <c r="AL20" s="117"/>
      <c r="AM20" s="117"/>
      <c r="AN20" s="117"/>
      <c r="AO20" s="117"/>
      <c r="AQ20" s="117"/>
      <c r="AR20" s="117"/>
      <c r="AS20" s="117"/>
    </row>
    <row r="21" spans="1:46" ht="138" customHeight="1" x14ac:dyDescent="0.35">
      <c r="A21" s="847" t="str">
        <f ca="1">Translations!A17</f>
        <v>Período de reporte</v>
      </c>
      <c r="B21" s="848"/>
      <c r="C21" s="848"/>
      <c r="D21" s="234"/>
      <c r="E21" s="220"/>
      <c r="F21" s="117"/>
      <c r="G21" s="104"/>
      <c r="H21" s="117"/>
      <c r="I21" s="117"/>
      <c r="J21" s="117"/>
      <c r="K21" s="117"/>
      <c r="L21" s="117"/>
      <c r="M21" s="117"/>
      <c r="N21" s="117"/>
      <c r="O21" s="117"/>
      <c r="P21" s="117"/>
      <c r="Q21" s="117"/>
      <c r="R21" s="220"/>
      <c r="S21" s="117"/>
      <c r="T21" s="220"/>
      <c r="U21" s="117"/>
      <c r="V21" s="104"/>
      <c r="W21" s="104"/>
      <c r="X21" s="104"/>
      <c r="Y21" s="104"/>
      <c r="Z21" s="104"/>
      <c r="AA21" s="104"/>
      <c r="AB21" s="104"/>
      <c r="AC21" s="104"/>
      <c r="AD21" s="104"/>
      <c r="AE21" s="104"/>
      <c r="AF21" s="117"/>
      <c r="AG21" s="117"/>
      <c r="AH21" s="117"/>
      <c r="AI21" s="117"/>
      <c r="AJ21" s="117"/>
      <c r="AK21" s="117"/>
      <c r="AL21" s="117"/>
      <c r="AM21" s="117"/>
      <c r="AN21" s="117"/>
      <c r="AO21" s="117"/>
      <c r="AQ21" s="117"/>
      <c r="AR21" s="117"/>
      <c r="AS21" s="117"/>
    </row>
    <row r="22" spans="1:46" ht="27.5" x14ac:dyDescent="0.35">
      <c r="A22" s="849" t="s">
        <v>370</v>
      </c>
      <c r="B22" s="850"/>
      <c r="C22" s="235" t="s">
        <v>371</v>
      </c>
      <c r="D22" s="236"/>
      <c r="E22" s="222"/>
      <c r="F22" s="118"/>
      <c r="G22" s="104"/>
      <c r="H22" s="117"/>
      <c r="I22" s="117"/>
      <c r="J22" s="117"/>
      <c r="K22" s="117"/>
      <c r="L22" s="117"/>
      <c r="M22" s="117"/>
      <c r="N22" s="117"/>
      <c r="O22" s="117"/>
      <c r="P22" s="117"/>
      <c r="Q22" s="117"/>
      <c r="R22" s="220"/>
      <c r="S22" s="117"/>
      <c r="T22" s="220"/>
      <c r="U22" s="117"/>
      <c r="V22" s="104"/>
      <c r="W22" s="104"/>
      <c r="X22" s="104"/>
      <c r="Y22" s="104"/>
      <c r="Z22" s="104"/>
      <c r="AA22" s="104"/>
      <c r="AB22" s="104"/>
      <c r="AC22" s="104"/>
      <c r="AD22" s="104"/>
      <c r="AE22" s="104"/>
      <c r="AF22" s="117"/>
      <c r="AG22" s="117"/>
      <c r="AH22" s="117"/>
      <c r="AI22" s="117"/>
      <c r="AJ22" s="117"/>
      <c r="AK22" s="117"/>
      <c r="AL22" s="117"/>
      <c r="AM22" s="117"/>
      <c r="AN22" s="117"/>
      <c r="AO22" s="117"/>
      <c r="AQ22" s="117"/>
      <c r="AR22" s="117"/>
      <c r="AS22" s="117"/>
    </row>
    <row r="23" spans="1:46" ht="27" customHeight="1" x14ac:dyDescent="0.35">
      <c r="A23" s="783">
        <f ca="1">IFERROR(IF(INDEX('Overview - Section A'!A$38:A$46,MATCH($D23,'Overview - Section A'!$B$38:$B$46,0))&lt;&gt;0,(INDEX('Overview - Section A'!A$38:A$46,MATCH($D23,'Overview - Section A'!$B$38:$B$46,0))),""),"")</f>
        <v>44562</v>
      </c>
      <c r="B23" s="784"/>
      <c r="C23" s="235">
        <f ca="1">IFERROR(IF(INDEX('Overview - Section A'!E$38:E$46,MATCH($D23,'Overview - Section A'!$B$38:$B$46,0))&lt;&gt;0,(INDEX('Overview - Section A'!E$38:E$46,MATCH($D23,'Overview - Section A'!$B$38:$B$46,0))),""),"")</f>
        <v>44926</v>
      </c>
      <c r="D23" s="236">
        <v>2</v>
      </c>
      <c r="E23" s="222"/>
      <c r="F23" s="118"/>
      <c r="G23" s="104"/>
      <c r="H23" s="117"/>
      <c r="I23" s="117"/>
      <c r="J23" s="117"/>
      <c r="K23" s="117"/>
      <c r="L23" s="117"/>
      <c r="M23" s="117"/>
      <c r="N23" s="117"/>
      <c r="O23" s="117"/>
      <c r="P23" s="117"/>
      <c r="Q23" s="117"/>
      <c r="R23" s="220"/>
      <c r="S23" s="117"/>
      <c r="T23" s="220"/>
      <c r="U23" s="117"/>
      <c r="V23" s="104"/>
      <c r="W23" s="104"/>
      <c r="X23" s="104"/>
      <c r="Y23" s="104"/>
      <c r="Z23" s="104"/>
      <c r="AA23" s="104"/>
      <c r="AB23" s="104"/>
      <c r="AC23" s="104"/>
      <c r="AD23" s="104"/>
      <c r="AE23" s="104"/>
      <c r="AF23" s="117"/>
      <c r="AG23" s="117"/>
      <c r="AH23" s="117"/>
      <c r="AI23" s="117"/>
      <c r="AJ23" s="117"/>
      <c r="AK23" s="117"/>
      <c r="AL23" s="117"/>
      <c r="AM23" s="117"/>
      <c r="AN23" s="117"/>
      <c r="AO23" s="117"/>
      <c r="AQ23" s="117"/>
      <c r="AR23" s="117"/>
      <c r="AS23" s="117"/>
    </row>
    <row r="24" spans="1:46" ht="27" customHeight="1" x14ac:dyDescent="0.35">
      <c r="A24" s="783">
        <f ca="1">IFERROR(IF(INDEX('Overview - Section A'!A$38:A$46,MATCH($D24,'Overview - Section A'!$B$38:$B$46,0))&lt;&gt;0,(INDEX('Overview - Section A'!A$38:A$46,MATCH($D24,'Overview - Section A'!$B$38:$B$46,0))),""),"")</f>
        <v>44927</v>
      </c>
      <c r="B24" s="784"/>
      <c r="C24" s="235">
        <f ca="1">IFERROR(IF(INDEX('Overview - Section A'!E$38:E$46,MATCH($D24,'Overview - Section A'!$B$38:$B$46,0))&lt;&gt;0,(INDEX('Overview - Section A'!E$38:E$46,MATCH($D24,'Overview - Section A'!$B$38:$B$46,0))),""),"")</f>
        <v>45291</v>
      </c>
      <c r="D24" s="236">
        <v>3</v>
      </c>
      <c r="E24" s="222"/>
      <c r="F24" s="118"/>
      <c r="G24" s="104"/>
      <c r="H24" s="117"/>
      <c r="I24" s="117"/>
      <c r="J24" s="117"/>
      <c r="K24" s="117"/>
      <c r="L24" s="117"/>
      <c r="M24" s="117"/>
      <c r="N24" s="117"/>
      <c r="O24" s="117"/>
      <c r="P24" s="117"/>
      <c r="Q24" s="117"/>
      <c r="R24" s="220"/>
      <c r="S24" s="117"/>
      <c r="T24" s="220"/>
      <c r="U24" s="117"/>
      <c r="V24" s="104"/>
      <c r="W24" s="104"/>
      <c r="X24" s="104"/>
      <c r="Y24" s="104"/>
      <c r="Z24" s="104"/>
      <c r="AA24" s="104"/>
      <c r="AB24" s="104"/>
      <c r="AC24" s="104"/>
      <c r="AD24" s="104"/>
      <c r="AE24" s="104"/>
      <c r="AF24" s="117"/>
      <c r="AG24" s="117"/>
      <c r="AH24" s="117"/>
      <c r="AI24" s="117"/>
      <c r="AJ24" s="117"/>
      <c r="AK24" s="117"/>
      <c r="AL24" s="117"/>
      <c r="AM24" s="117"/>
      <c r="AN24" s="117"/>
      <c r="AO24" s="117"/>
      <c r="AQ24" s="117"/>
      <c r="AR24" s="117"/>
      <c r="AS24" s="117"/>
    </row>
    <row r="25" spans="1:46" ht="27" customHeight="1" x14ac:dyDescent="0.35">
      <c r="A25" s="783">
        <f ca="1">IFERROR(IF(INDEX('Overview - Section A'!A$38:A$46,MATCH($D25,'Overview - Section A'!$B$38:$B$46,0))&lt;&gt;0,(INDEX('Overview - Section A'!A$38:A$46,MATCH($D25,'Overview - Section A'!$B$38:$B$46,0))),""),"")</f>
        <v>45292</v>
      </c>
      <c r="B25" s="784"/>
      <c r="C25" s="235">
        <f ca="1">IFERROR(IF(INDEX('Overview - Section A'!E$38:E$46,MATCH($D25,'Overview - Section A'!$B$38:$B$46,0))&lt;&gt;0,(INDEX('Overview - Section A'!E$38:E$46,MATCH($D25,'Overview - Section A'!$B$38:$B$46,0))),""),"")</f>
        <v>45657</v>
      </c>
      <c r="D25" s="236">
        <v>4</v>
      </c>
      <c r="E25" s="222"/>
      <c r="F25" s="118"/>
      <c r="G25" s="104"/>
      <c r="H25" s="117"/>
      <c r="I25" s="117"/>
      <c r="J25" s="117"/>
      <c r="K25" s="117"/>
      <c r="L25" s="117"/>
      <c r="M25" s="117"/>
      <c r="N25" s="117"/>
      <c r="O25" s="117"/>
      <c r="P25" s="117"/>
      <c r="Q25" s="117"/>
      <c r="R25" s="220"/>
      <c r="S25" s="117"/>
      <c r="T25" s="220"/>
      <c r="U25" s="117"/>
      <c r="V25" s="104"/>
      <c r="W25" s="104"/>
      <c r="X25" s="104"/>
      <c r="Y25" s="104"/>
      <c r="Z25" s="104"/>
      <c r="AA25" s="104"/>
      <c r="AB25" s="104"/>
      <c r="AC25" s="104"/>
      <c r="AD25" s="104"/>
      <c r="AE25" s="104"/>
      <c r="AF25" s="117"/>
      <c r="AG25" s="117"/>
      <c r="AH25" s="117"/>
      <c r="AI25" s="117"/>
      <c r="AJ25" s="117"/>
      <c r="AK25" s="117"/>
      <c r="AL25" s="117"/>
      <c r="AM25" s="117"/>
      <c r="AN25" s="117"/>
      <c r="AO25" s="117"/>
      <c r="AQ25" s="117"/>
      <c r="AR25" s="117"/>
      <c r="AS25" s="117"/>
    </row>
    <row r="26" spans="1:46" ht="27" customHeight="1" x14ac:dyDescent="0.35">
      <c r="A26" s="783">
        <f ca="1">IFERROR(IF(INDEX('Overview - Section A'!A$38:A$46,MATCH($D26,'Overview - Section A'!$B$38:$B$46,0))&lt;&gt;0,(INDEX('Overview - Section A'!A$38:A$46,MATCH($D26,'Overview - Section A'!$B$38:$B$46,0))),""),"")</f>
        <v>45658</v>
      </c>
      <c r="B26" s="784"/>
      <c r="C26" s="235">
        <f ca="1">IFERROR(IF(INDEX('Overview - Section A'!E$38:E$46,MATCH($D26,'Overview - Section A'!$B$38:$B$46,0))&lt;&gt;0,(INDEX('Overview - Section A'!E$38:E$46,MATCH($D26,'Overview - Section A'!$B$38:$B$46,0))),""),"")</f>
        <v>46022</v>
      </c>
      <c r="D26" s="236">
        <v>5</v>
      </c>
      <c r="E26" s="222"/>
      <c r="F26" s="118"/>
      <c r="G26" s="104"/>
      <c r="H26" s="117"/>
      <c r="I26" s="117"/>
      <c r="J26" s="117"/>
      <c r="K26" s="117"/>
      <c r="L26" s="117"/>
      <c r="M26" s="117"/>
      <c r="N26" s="117"/>
      <c r="O26" s="117"/>
      <c r="P26" s="117"/>
      <c r="Q26" s="117"/>
      <c r="R26" s="220"/>
      <c r="S26" s="117"/>
      <c r="T26" s="220"/>
      <c r="U26" s="117"/>
      <c r="V26" s="104"/>
      <c r="W26" s="104"/>
      <c r="X26" s="104"/>
      <c r="Y26" s="104"/>
      <c r="Z26" s="104"/>
      <c r="AA26" s="104"/>
      <c r="AB26" s="104"/>
      <c r="AC26" s="104"/>
      <c r="AD26" s="104"/>
      <c r="AE26" s="104"/>
      <c r="AF26" s="117"/>
      <c r="AG26" s="117"/>
      <c r="AH26" s="117"/>
      <c r="AI26" s="117"/>
      <c r="AJ26" s="117"/>
      <c r="AK26" s="117"/>
      <c r="AL26" s="117"/>
      <c r="AM26" s="117"/>
      <c r="AN26" s="117"/>
      <c r="AO26" s="117"/>
      <c r="AQ26" s="117"/>
      <c r="AR26" s="117"/>
      <c r="AS26" s="117"/>
    </row>
    <row r="27" spans="1:46" ht="27" customHeight="1" x14ac:dyDescent="0.35">
      <c r="A27" s="783">
        <f ca="1">IFERROR(IF(INDEX('Overview - Section A'!A$38:A$46,MATCH($D27,'Overview - Section A'!$B$38:$B$46,0))&lt;&gt;0,(INDEX('Overview - Section A'!A$38:A$46,MATCH($D27,'Overview - Section A'!$B$38:$B$46,0))),""),"")</f>
        <v>46023</v>
      </c>
      <c r="B27" s="784"/>
      <c r="C27" s="235">
        <f ca="1">IFERROR(IF(INDEX('Overview - Section A'!E$38:E$46,MATCH($D27,'Overview - Section A'!$B$38:$B$46,0))&lt;&gt;0,(INDEX('Overview - Section A'!E$38:E$46,MATCH($D27,'Overview - Section A'!$B$38:$B$46,0))),""),"")</f>
        <v>46387</v>
      </c>
      <c r="D27" s="236">
        <v>6</v>
      </c>
      <c r="E27" s="222"/>
      <c r="F27" s="118"/>
      <c r="G27" s="104"/>
      <c r="H27" s="117"/>
      <c r="I27" s="117"/>
      <c r="J27" s="117"/>
      <c r="K27" s="117"/>
      <c r="L27" s="117"/>
      <c r="M27" s="117"/>
      <c r="N27" s="117"/>
      <c r="O27" s="117"/>
      <c r="P27" s="117"/>
      <c r="Q27" s="117"/>
      <c r="R27" s="220"/>
      <c r="S27" s="117"/>
      <c r="T27" s="220"/>
      <c r="U27" s="117"/>
      <c r="V27" s="104"/>
      <c r="W27" s="104"/>
      <c r="X27" s="104"/>
      <c r="Y27" s="104"/>
      <c r="Z27" s="104"/>
      <c r="AA27" s="104"/>
      <c r="AB27" s="104"/>
      <c r="AC27" s="104"/>
      <c r="AD27" s="104"/>
      <c r="AE27" s="104"/>
      <c r="AF27" s="117"/>
      <c r="AG27" s="117"/>
      <c r="AH27" s="117"/>
      <c r="AI27" s="117"/>
      <c r="AJ27" s="117"/>
      <c r="AK27" s="117"/>
      <c r="AL27" s="117"/>
      <c r="AM27" s="117"/>
      <c r="AN27" s="117"/>
      <c r="AO27" s="117"/>
      <c r="AQ27" s="117"/>
      <c r="AR27" s="117"/>
      <c r="AS27" s="117"/>
    </row>
    <row r="28" spans="1:46" ht="27" customHeight="1" x14ac:dyDescent="0.35">
      <c r="A28" s="783">
        <f ca="1">IFERROR(IF(INDEX('Overview - Section A'!A$38:A$46,MATCH($D28,'Overview - Section A'!$B$38:$B$46,0))&lt;&gt;0,(INDEX('Overview - Section A'!A$38:A$46,MATCH($D28,'Overview - Section A'!$B$38:$B$46,0))),""),"")</f>
        <v>46388</v>
      </c>
      <c r="B28" s="784"/>
      <c r="C28" s="235">
        <f ca="1">IFERROR(IF(INDEX('Overview - Section A'!E$38:E$46,MATCH($D28,'Overview - Section A'!$B$38:$B$46,0))&lt;&gt;0,(INDEX('Overview - Section A'!E$38:E$46,MATCH($D28,'Overview - Section A'!$B$38:$B$46,0))),""),"")</f>
        <v>46752</v>
      </c>
      <c r="D28" s="236">
        <v>7</v>
      </c>
      <c r="E28" s="222"/>
      <c r="F28" s="118"/>
      <c r="G28" s="104"/>
      <c r="H28" s="117"/>
      <c r="I28" s="117"/>
      <c r="J28" s="117"/>
      <c r="K28" s="117"/>
      <c r="L28" s="117"/>
      <c r="M28" s="117"/>
      <c r="N28" s="117"/>
      <c r="O28" s="117"/>
      <c r="P28" s="117"/>
      <c r="Q28" s="117"/>
      <c r="R28" s="220"/>
      <c r="S28" s="117"/>
      <c r="T28" s="220"/>
      <c r="U28" s="117"/>
      <c r="V28" s="104"/>
      <c r="W28" s="104"/>
      <c r="X28" s="104"/>
      <c r="Y28" s="104"/>
      <c r="Z28" s="104"/>
      <c r="AA28" s="104"/>
      <c r="AB28" s="104"/>
      <c r="AC28" s="104"/>
      <c r="AD28" s="104"/>
      <c r="AE28" s="104"/>
      <c r="AF28" s="117"/>
      <c r="AG28" s="117"/>
      <c r="AH28" s="117"/>
      <c r="AI28" s="117"/>
      <c r="AJ28" s="117"/>
      <c r="AK28" s="117"/>
      <c r="AL28" s="117"/>
      <c r="AM28" s="117"/>
      <c r="AN28" s="117"/>
      <c r="AO28" s="117"/>
      <c r="AQ28" s="117"/>
      <c r="AR28" s="117"/>
      <c r="AS28" s="117"/>
    </row>
    <row r="29" spans="1:46" ht="27" customHeight="1" x14ac:dyDescent="0.35">
      <c r="A29" s="783" t="str">
        <f>IFERROR(IF(INDEX('Overview - Section A'!A$38:A$46,MATCH($D29,'Overview - Section A'!$B$38:$B$46,0))&lt;&gt;0,(INDEX('Overview - Section A'!A$38:A$46,MATCH($D29,'Overview - Section A'!$B$38:$B$46,0))),""),"")</f>
        <v/>
      </c>
      <c r="B29" s="784"/>
      <c r="C29" s="235" t="str">
        <f>IFERROR(IF(INDEX('Overview - Section A'!E$38:E$46,MATCH($D29,'Overview - Section A'!$B$38:$B$46,0))&lt;&gt;0,(INDEX('Overview - Section A'!E$38:E$46,MATCH($D29,'Overview - Section A'!$B$38:$B$46,0))),""),"")</f>
        <v/>
      </c>
      <c r="D29" s="236">
        <v>8</v>
      </c>
      <c r="E29" s="222"/>
      <c r="F29" s="118"/>
      <c r="G29" s="104"/>
      <c r="H29" s="117"/>
      <c r="I29" s="117"/>
      <c r="J29" s="117"/>
      <c r="K29" s="117"/>
      <c r="L29" s="117"/>
      <c r="M29" s="117"/>
      <c r="N29" s="117"/>
      <c r="O29" s="117"/>
      <c r="P29" s="117"/>
      <c r="Q29" s="117"/>
      <c r="R29" s="220"/>
      <c r="S29" s="117"/>
      <c r="T29" s="220"/>
      <c r="U29" s="117"/>
      <c r="V29" s="104"/>
      <c r="W29" s="104"/>
      <c r="X29" s="104"/>
      <c r="Y29" s="104"/>
      <c r="Z29" s="104"/>
      <c r="AA29" s="104"/>
      <c r="AB29" s="104"/>
      <c r="AC29" s="104"/>
      <c r="AD29" s="104"/>
      <c r="AE29" s="104"/>
      <c r="AF29" s="117"/>
      <c r="AG29" s="117"/>
      <c r="AH29" s="117"/>
      <c r="AI29" s="117"/>
      <c r="AJ29" s="117"/>
      <c r="AK29" s="117"/>
      <c r="AL29" s="117"/>
      <c r="AM29" s="117"/>
      <c r="AN29" s="117"/>
      <c r="AO29" s="117"/>
      <c r="AQ29" s="117"/>
      <c r="AR29" s="117"/>
      <c r="AS29" s="117"/>
    </row>
    <row r="30" spans="1:46" ht="27" customHeight="1" x14ac:dyDescent="0.35">
      <c r="A30" s="783" t="str">
        <f>IFERROR(IF(INDEX('Overview - Section A'!A$38:A$46,MATCH($D30,'Overview - Section A'!$B$38:$B$46,0))&lt;&gt;0,(INDEX('Overview - Section A'!A$38:A$46,MATCH($D30,'Overview - Section A'!$B$38:$B$46,0))),""),"")</f>
        <v/>
      </c>
      <c r="B30" s="784"/>
      <c r="C30" s="235" t="str">
        <f>IFERROR(IF(INDEX('Overview - Section A'!E$38:E$46,MATCH($D30,'Overview - Section A'!$B$38:$B$46,0))&lt;&gt;0,(INDEX('Overview - Section A'!E$38:E$46,MATCH($D30,'Overview - Section A'!$B$38:$B$46,0))),""),"")</f>
        <v/>
      </c>
      <c r="D30" s="236">
        <v>9</v>
      </c>
      <c r="E30" s="222"/>
      <c r="F30" s="222"/>
      <c r="G30" s="223"/>
      <c r="H30" s="220"/>
      <c r="I30" s="220"/>
      <c r="J30" s="220"/>
      <c r="K30" s="220"/>
      <c r="L30" s="220"/>
      <c r="M30" s="220"/>
      <c r="N30" s="220"/>
      <c r="O30" s="220"/>
      <c r="P30" s="220"/>
      <c r="Q30" s="220"/>
      <c r="R30" s="220"/>
      <c r="S30" s="220"/>
      <c r="T30" s="220"/>
      <c r="U30" s="220"/>
      <c r="V30" s="223"/>
      <c r="W30" s="223"/>
      <c r="X30" s="223"/>
      <c r="Y30" s="223"/>
      <c r="Z30" s="223"/>
      <c r="AA30" s="223"/>
      <c r="AB30" s="223"/>
      <c r="AC30" s="223"/>
      <c r="AD30" s="223"/>
      <c r="AE30" s="223"/>
      <c r="AF30" s="220"/>
      <c r="AG30" s="220"/>
      <c r="AH30" s="220"/>
      <c r="AI30" s="220"/>
      <c r="AJ30" s="220"/>
      <c r="AK30" s="220"/>
      <c r="AL30" s="220"/>
      <c r="AM30" s="220"/>
      <c r="AN30" s="220"/>
      <c r="AO30" s="220"/>
      <c r="AP30" s="220"/>
      <c r="AQ30" s="220"/>
      <c r="AR30" s="220"/>
      <c r="AS30" s="220"/>
      <c r="AT30" s="211"/>
    </row>
    <row r="31" spans="1:46" ht="23.5" x14ac:dyDescent="0.35">
      <c r="A31" s="234"/>
      <c r="B31" s="237"/>
      <c r="C31" s="237"/>
      <c r="D31" s="237"/>
      <c r="E31" s="109"/>
      <c r="F31" s="117"/>
      <c r="G31" s="104"/>
      <c r="H31" s="117"/>
      <c r="I31" s="117"/>
      <c r="J31" s="117"/>
      <c r="K31" s="117"/>
      <c r="L31" s="117"/>
      <c r="M31" s="117"/>
      <c r="N31" s="117"/>
      <c r="O31" s="117"/>
      <c r="P31" s="117"/>
      <c r="Q31" s="117"/>
      <c r="R31" s="220"/>
      <c r="S31" s="117"/>
      <c r="T31" s="220"/>
      <c r="U31" s="117"/>
      <c r="V31" s="104"/>
      <c r="W31" s="104"/>
      <c r="X31" s="104"/>
      <c r="Y31" s="104"/>
      <c r="Z31" s="104"/>
      <c r="AA31" s="104"/>
      <c r="AB31" s="104"/>
      <c r="AC31" s="104"/>
      <c r="AD31" s="104"/>
      <c r="AE31" s="104"/>
      <c r="AF31" s="117"/>
      <c r="AG31" s="117"/>
      <c r="AH31" s="117"/>
      <c r="AI31" s="117"/>
      <c r="AJ31" s="117"/>
      <c r="AK31" s="117"/>
      <c r="AL31" s="117"/>
      <c r="AM31" s="117"/>
      <c r="AN31" s="117"/>
      <c r="AO31" s="117"/>
      <c r="AQ31" s="117"/>
      <c r="AR31" s="117"/>
      <c r="AS31" s="117"/>
    </row>
    <row r="32" spans="1:46" ht="55.4" customHeight="1" x14ac:dyDescent="0.35">
      <c r="A32" s="223"/>
      <c r="B32" s="223"/>
      <c r="C32" s="223"/>
      <c r="D32" s="223"/>
      <c r="E32" s="223"/>
      <c r="F32" s="223"/>
      <c r="G32" s="223"/>
      <c r="H32" s="223"/>
      <c r="I32" s="223"/>
      <c r="J32" s="223"/>
      <c r="K32" s="223"/>
      <c r="L32" s="223"/>
      <c r="M32" s="223"/>
      <c r="N32" s="223"/>
      <c r="O32" s="223"/>
      <c r="P32" s="223"/>
      <c r="Q32" s="223"/>
      <c r="R32" s="223"/>
      <c r="S32" s="223"/>
      <c r="T32" s="223"/>
      <c r="U32" s="104"/>
      <c r="V32" s="104"/>
      <c r="W32" s="104"/>
      <c r="X32" s="104"/>
      <c r="Y32" s="104"/>
      <c r="Z32" s="104"/>
      <c r="AA32" s="104"/>
      <c r="AB32" s="104"/>
      <c r="AC32" s="104"/>
      <c r="AD32" s="104"/>
      <c r="AE32" s="104"/>
      <c r="AF32" s="117"/>
      <c r="AG32" s="117"/>
      <c r="AH32" s="117"/>
      <c r="AI32" s="117"/>
      <c r="AJ32" s="117"/>
      <c r="AK32" s="117"/>
      <c r="AL32" s="117"/>
      <c r="AM32" s="117"/>
      <c r="AN32" s="117"/>
      <c r="AO32" s="117"/>
      <c r="AQ32" s="117"/>
      <c r="AR32" s="117"/>
      <c r="AS32" s="117"/>
    </row>
    <row r="33" spans="1:45" ht="46.5" customHeight="1" x14ac:dyDescent="0.35">
      <c r="A33" s="848" t="str">
        <f ca="1">Translations!A22</f>
        <v xml:space="preserve">Metas </v>
      </c>
      <c r="B33" s="848"/>
      <c r="C33" s="848"/>
      <c r="D33" s="848"/>
      <c r="E33" s="848"/>
      <c r="F33" s="848"/>
      <c r="G33" s="848"/>
      <c r="H33" s="848"/>
      <c r="I33" s="848"/>
      <c r="J33" s="848"/>
      <c r="K33" s="848"/>
      <c r="L33" s="848"/>
      <c r="M33" s="848"/>
      <c r="N33" s="848"/>
      <c r="O33" s="848"/>
      <c r="P33" s="848"/>
      <c r="Q33" s="848"/>
      <c r="R33" s="848"/>
      <c r="S33" s="848"/>
      <c r="T33" s="299"/>
      <c r="U33" s="223"/>
      <c r="V33" s="223"/>
      <c r="W33" s="223"/>
      <c r="X33" s="223"/>
      <c r="Y33" s="223"/>
      <c r="Z33" s="223"/>
      <c r="AA33" s="223"/>
      <c r="AB33" s="223"/>
      <c r="AC33" s="223"/>
      <c r="AD33" s="104"/>
      <c r="AE33" s="104"/>
      <c r="AF33" s="117"/>
      <c r="AG33" s="117"/>
      <c r="AH33" s="117"/>
      <c r="AI33" s="117"/>
      <c r="AJ33" s="117"/>
      <c r="AK33" s="117"/>
      <c r="AL33" s="117"/>
      <c r="AM33" s="117"/>
      <c r="AN33" s="117"/>
      <c r="AO33" s="117"/>
      <c r="AQ33" s="117"/>
      <c r="AR33" s="117"/>
      <c r="AS33" s="117"/>
    </row>
    <row r="34" spans="1:45" ht="49.5" customHeight="1" x14ac:dyDescent="0.35">
      <c r="A34" s="380">
        <v>1</v>
      </c>
      <c r="B34" s="851" t="str">
        <f ca="1">IFERROR(IF(INDEX('Overview - Section A'!$E$51:$E$77,MATCH($A34,'Overview - Section A'!$A$51:$A$77,0))&lt;&gt;0,INDEX('Overview - Section A'!$E$51:$E$77,MATCH($A34,'Overview - Section A'!$A$51:$A$77,0)),""),"")</f>
        <v>El país espera fortalecer su respuesta nacional al VIH a través de la incorporación de nuevos abordajes que permitan mejorar el diagnóstico, mediante nuevas modalidades de acceso a la prueba de VIH, la vinculación, adherencia al tratamiento y la prevención de la transmisión especialmente en las poblaciones clave y las mujeres embarazadas./ The country expects to strengthen its national response to HIV through the incorporation of new approaches to improve diagnosis, through new modalities of access to HIV testing, linkage, adherence to treatment, and prevention of transmission, especially in populations key and pregnant women.</v>
      </c>
      <c r="C34" s="852"/>
      <c r="D34" s="852"/>
      <c r="E34" s="852"/>
      <c r="F34" s="852"/>
      <c r="G34" s="852"/>
      <c r="H34" s="852"/>
      <c r="I34" s="852"/>
      <c r="J34" s="852"/>
      <c r="K34" s="852"/>
      <c r="L34" s="852"/>
      <c r="M34" s="852"/>
      <c r="N34" s="852"/>
      <c r="O34" s="852"/>
      <c r="P34" s="852"/>
      <c r="Q34" s="852"/>
      <c r="R34" s="852"/>
      <c r="S34" s="853"/>
      <c r="T34" s="302"/>
      <c r="U34" s="223"/>
      <c r="V34" s="223"/>
      <c r="W34" s="223"/>
      <c r="X34" s="223"/>
      <c r="Y34" s="223"/>
      <c r="Z34" s="223"/>
      <c r="AA34" s="223"/>
      <c r="AB34" s="223"/>
      <c r="AC34" s="223"/>
      <c r="AD34" s="104"/>
      <c r="AE34" s="104"/>
      <c r="AF34" s="117"/>
      <c r="AG34" s="117"/>
      <c r="AH34" s="117"/>
      <c r="AI34" s="117"/>
      <c r="AJ34" s="117"/>
      <c r="AK34" s="117"/>
      <c r="AL34" s="117"/>
      <c r="AM34" s="117"/>
      <c r="AN34" s="117"/>
      <c r="AO34" s="117"/>
      <c r="AQ34" s="117"/>
      <c r="AR34" s="117"/>
      <c r="AS34" s="117"/>
    </row>
    <row r="35" spans="1:45" ht="49.5" customHeight="1" x14ac:dyDescent="0.35">
      <c r="A35" s="380">
        <v>2</v>
      </c>
      <c r="B35" s="851" t="str">
        <f ca="1">IFERROR(IF(INDEX('Overview - Section A'!$E$51:$E$77,MATCH($A35,'Overview - Section A'!$A$51:$A$77,0))&lt;&gt;0,INDEX('Overview - Section A'!$E$51:$E$77,MATCH($A35,'Overview - Section A'!$A$51:$A$77,0)),""),"")</f>
        <v>Fortalecer la prevención y atención integral de nuevos casos de tuberculosis, centrada en las personas afectadas por la enfermedad y sus familias; reducción de la mortalidad por tuberculosis; con un abordaje estratégico en poblaciones priorizadas y familias con gastos catastróficos por la enfermedad; en armonía con la Estrategia Mundial Fin de la TB./Strengthen the prevention and comprehensive care of new cases of tuberculosis, focused on people affected by the disease and their families; reduction of mortality from tuberculosis; with a strategic approach in prioritized populations and families with catastrophic expenditure due to the disease; in harmony with the Global End TB Strategy.</v>
      </c>
      <c r="C35" s="852"/>
      <c r="D35" s="852"/>
      <c r="E35" s="852"/>
      <c r="F35" s="852"/>
      <c r="G35" s="852"/>
      <c r="H35" s="852"/>
      <c r="I35" s="852"/>
      <c r="J35" s="852"/>
      <c r="K35" s="852"/>
      <c r="L35" s="852"/>
      <c r="M35" s="852"/>
      <c r="N35" s="852"/>
      <c r="O35" s="852"/>
      <c r="P35" s="852"/>
      <c r="Q35" s="852"/>
      <c r="R35" s="852"/>
      <c r="S35" s="853"/>
      <c r="T35" s="302"/>
      <c r="U35" s="223"/>
      <c r="V35" s="223"/>
      <c r="W35" s="223"/>
      <c r="X35" s="223"/>
      <c r="Y35" s="223"/>
      <c r="Z35" s="223"/>
      <c r="AA35" s="223"/>
      <c r="AB35" s="223"/>
      <c r="AC35" s="223"/>
      <c r="AD35" s="104"/>
      <c r="AE35" s="104"/>
      <c r="AF35" s="117"/>
      <c r="AG35" s="117"/>
      <c r="AH35" s="117"/>
      <c r="AI35" s="117"/>
      <c r="AJ35" s="117"/>
      <c r="AK35" s="117"/>
      <c r="AL35" s="117"/>
      <c r="AM35" s="117"/>
      <c r="AN35" s="117"/>
      <c r="AO35" s="117"/>
      <c r="AQ35" s="117"/>
      <c r="AR35" s="117"/>
      <c r="AS35" s="117"/>
    </row>
    <row r="36" spans="1:45" ht="49.5" customHeight="1" x14ac:dyDescent="0.35">
      <c r="A36" s="380">
        <v>3</v>
      </c>
      <c r="B36" s="851" t="str">
        <f ca="1">IFERROR(IF(INDEX('Overview - Section A'!$E$51:$E$77,MATCH($A36,'Overview - Section A'!$A$51:$A$77,0))&lt;&gt;0,INDEX('Overview - Section A'!$E$51:$E$77,MATCH($A36,'Overview - Section A'!$A$51:$A$77,0)),""),"")</f>
        <v/>
      </c>
      <c r="C36" s="852"/>
      <c r="D36" s="852"/>
      <c r="E36" s="852"/>
      <c r="F36" s="852"/>
      <c r="G36" s="852"/>
      <c r="H36" s="852"/>
      <c r="I36" s="852"/>
      <c r="J36" s="852"/>
      <c r="K36" s="852"/>
      <c r="L36" s="852"/>
      <c r="M36" s="852"/>
      <c r="N36" s="852"/>
      <c r="O36" s="852"/>
      <c r="P36" s="852"/>
      <c r="Q36" s="852"/>
      <c r="R36" s="852"/>
      <c r="S36" s="853"/>
      <c r="T36" s="302"/>
      <c r="U36" s="223"/>
      <c r="V36" s="223"/>
      <c r="W36" s="223"/>
      <c r="X36" s="223"/>
      <c r="Y36" s="223"/>
      <c r="Z36" s="223"/>
      <c r="AA36" s="223"/>
      <c r="AB36" s="223"/>
      <c r="AC36" s="223"/>
      <c r="AD36" s="104"/>
      <c r="AE36" s="104"/>
      <c r="AF36" s="117"/>
      <c r="AG36" s="117"/>
      <c r="AH36" s="117"/>
      <c r="AI36" s="117"/>
      <c r="AJ36" s="117"/>
      <c r="AK36" s="117"/>
      <c r="AL36" s="117"/>
      <c r="AM36" s="117"/>
      <c r="AN36" s="117"/>
      <c r="AO36" s="117"/>
      <c r="AQ36" s="117"/>
      <c r="AR36" s="117"/>
      <c r="AS36" s="117"/>
    </row>
    <row r="37" spans="1:45" ht="49.5" customHeight="1" x14ac:dyDescent="0.35">
      <c r="A37" s="380">
        <v>4</v>
      </c>
      <c r="B37" s="851" t="str">
        <f ca="1">IFERROR(IF(INDEX('Overview - Section A'!$E$51:$E$77,MATCH($A37,'Overview - Section A'!$A$51:$A$77,0))&lt;&gt;0,INDEX('Overview - Section A'!$E$51:$E$77,MATCH($A37,'Overview - Section A'!$A$51:$A$77,0)),""),"")</f>
        <v/>
      </c>
      <c r="C37" s="852"/>
      <c r="D37" s="852"/>
      <c r="E37" s="852"/>
      <c r="F37" s="852"/>
      <c r="G37" s="852"/>
      <c r="H37" s="852"/>
      <c r="I37" s="852"/>
      <c r="J37" s="852"/>
      <c r="K37" s="852"/>
      <c r="L37" s="852"/>
      <c r="M37" s="852"/>
      <c r="N37" s="852"/>
      <c r="O37" s="852"/>
      <c r="P37" s="852"/>
      <c r="Q37" s="852"/>
      <c r="R37" s="852"/>
      <c r="S37" s="853"/>
      <c r="T37" s="302"/>
      <c r="U37" s="223"/>
      <c r="V37" s="223"/>
      <c r="W37" s="223"/>
      <c r="X37" s="223"/>
      <c r="Y37" s="223"/>
      <c r="Z37" s="223"/>
      <c r="AA37" s="223"/>
      <c r="AB37" s="223"/>
      <c r="AC37" s="223"/>
      <c r="AD37" s="104"/>
      <c r="AE37" s="104"/>
      <c r="AF37" s="117"/>
      <c r="AG37" s="117"/>
      <c r="AH37" s="117"/>
      <c r="AI37" s="117"/>
      <c r="AJ37" s="117"/>
      <c r="AK37" s="117"/>
      <c r="AL37" s="117"/>
      <c r="AM37" s="117"/>
      <c r="AN37" s="117"/>
      <c r="AO37" s="117"/>
      <c r="AQ37" s="117"/>
      <c r="AR37" s="117"/>
      <c r="AS37" s="117"/>
    </row>
    <row r="38" spans="1:45" ht="49.5" customHeight="1" x14ac:dyDescent="0.35">
      <c r="A38" s="380">
        <v>5</v>
      </c>
      <c r="B38" s="851" t="str">
        <f ca="1">IFERROR(IF(INDEX('Overview - Section A'!$E$51:$E$77,MATCH($A38,'Overview - Section A'!$A$51:$A$77,0))&lt;&gt;0,INDEX('Overview - Section A'!$E$51:$E$77,MATCH($A38,'Overview - Section A'!$A$51:$A$77,0)),""),"")</f>
        <v/>
      </c>
      <c r="C38" s="852"/>
      <c r="D38" s="852"/>
      <c r="E38" s="852"/>
      <c r="F38" s="852"/>
      <c r="G38" s="852"/>
      <c r="H38" s="852"/>
      <c r="I38" s="852"/>
      <c r="J38" s="852"/>
      <c r="K38" s="852"/>
      <c r="L38" s="852"/>
      <c r="M38" s="852"/>
      <c r="N38" s="852"/>
      <c r="O38" s="852"/>
      <c r="P38" s="852"/>
      <c r="Q38" s="852"/>
      <c r="R38" s="852"/>
      <c r="S38" s="853"/>
      <c r="T38" s="302"/>
      <c r="U38" s="223"/>
      <c r="V38" s="223"/>
      <c r="W38" s="223"/>
      <c r="X38" s="223"/>
      <c r="Y38" s="223"/>
      <c r="Z38" s="223"/>
      <c r="AA38" s="223"/>
      <c r="AB38" s="223"/>
      <c r="AC38" s="223"/>
      <c r="AD38" s="104"/>
      <c r="AE38" s="104"/>
      <c r="AF38" s="117"/>
      <c r="AG38" s="117"/>
      <c r="AH38" s="117"/>
      <c r="AI38" s="117"/>
      <c r="AJ38" s="117"/>
      <c r="AK38" s="117"/>
      <c r="AL38" s="117"/>
      <c r="AM38" s="117"/>
      <c r="AN38" s="117"/>
      <c r="AO38" s="117"/>
      <c r="AQ38" s="117"/>
      <c r="AR38" s="117"/>
      <c r="AS38" s="117"/>
    </row>
    <row r="39" spans="1:45" ht="49.5" customHeight="1" x14ac:dyDescent="0.35">
      <c r="A39" s="380">
        <v>6</v>
      </c>
      <c r="B39" s="851" t="str">
        <f ca="1">IFERROR(IF(INDEX('Overview - Section A'!$E$51:$E$77,MATCH($A39,'Overview - Section A'!$A$51:$A$77,0))&lt;&gt;0,INDEX('Overview - Section A'!$E$51:$E$77,MATCH($A39,'Overview - Section A'!$A$51:$A$77,0)),""),"")</f>
        <v/>
      </c>
      <c r="C39" s="852"/>
      <c r="D39" s="852"/>
      <c r="E39" s="852"/>
      <c r="F39" s="852"/>
      <c r="G39" s="852"/>
      <c r="H39" s="852"/>
      <c r="I39" s="852"/>
      <c r="J39" s="852"/>
      <c r="K39" s="852"/>
      <c r="L39" s="852"/>
      <c r="M39" s="852"/>
      <c r="N39" s="852"/>
      <c r="O39" s="852"/>
      <c r="P39" s="852"/>
      <c r="Q39" s="852"/>
      <c r="R39" s="852"/>
      <c r="S39" s="853"/>
      <c r="T39" s="302"/>
      <c r="U39" s="223"/>
      <c r="V39" s="223"/>
      <c r="W39" s="223"/>
      <c r="X39" s="223"/>
      <c r="Y39" s="223"/>
      <c r="Z39" s="223"/>
      <c r="AA39" s="223"/>
      <c r="AB39" s="223"/>
      <c r="AC39" s="223"/>
      <c r="AD39" s="104"/>
      <c r="AE39" s="104"/>
      <c r="AF39" s="117"/>
      <c r="AG39" s="117"/>
      <c r="AH39" s="117"/>
      <c r="AI39" s="117"/>
      <c r="AJ39" s="117"/>
      <c r="AK39" s="117"/>
      <c r="AL39" s="117"/>
      <c r="AM39" s="117"/>
      <c r="AN39" s="117"/>
      <c r="AO39" s="117"/>
      <c r="AQ39" s="117"/>
      <c r="AR39" s="117"/>
      <c r="AS39" s="117"/>
    </row>
    <row r="40" spans="1:45" ht="49.5" customHeight="1" x14ac:dyDescent="0.35">
      <c r="A40" s="380">
        <v>7</v>
      </c>
      <c r="B40" s="851" t="str">
        <f ca="1">IFERROR(IF(INDEX('Overview - Section A'!$E$51:$E$77,MATCH($A40,'Overview - Section A'!$A$51:$A$77,0))&lt;&gt;0,INDEX('Overview - Section A'!$E$51:$E$77,MATCH($A40,'Overview - Section A'!$A$51:$A$77,0)),""),"")</f>
        <v/>
      </c>
      <c r="C40" s="852"/>
      <c r="D40" s="852"/>
      <c r="E40" s="852"/>
      <c r="F40" s="852"/>
      <c r="G40" s="852"/>
      <c r="H40" s="852"/>
      <c r="I40" s="852"/>
      <c r="J40" s="852"/>
      <c r="K40" s="852"/>
      <c r="L40" s="852"/>
      <c r="M40" s="852"/>
      <c r="N40" s="852"/>
      <c r="O40" s="852"/>
      <c r="P40" s="852"/>
      <c r="Q40" s="852"/>
      <c r="R40" s="852"/>
      <c r="S40" s="853"/>
      <c r="T40" s="302"/>
      <c r="U40" s="223"/>
      <c r="V40" s="223"/>
      <c r="W40" s="223"/>
      <c r="X40" s="223"/>
      <c r="Y40" s="223"/>
      <c r="Z40" s="223"/>
      <c r="AA40" s="223"/>
      <c r="AB40" s="223"/>
      <c r="AC40" s="223"/>
      <c r="AD40" s="104"/>
      <c r="AE40" s="104"/>
      <c r="AF40" s="117"/>
      <c r="AG40" s="117"/>
      <c r="AH40" s="117"/>
      <c r="AI40" s="117"/>
      <c r="AJ40" s="117"/>
      <c r="AK40" s="117"/>
      <c r="AL40" s="117"/>
      <c r="AM40" s="117"/>
      <c r="AN40" s="117"/>
      <c r="AO40" s="117"/>
      <c r="AQ40" s="117"/>
      <c r="AR40" s="117"/>
      <c r="AS40" s="117"/>
    </row>
    <row r="41" spans="1:45" ht="49.5" customHeight="1" x14ac:dyDescent="0.35">
      <c r="A41" s="380">
        <v>8</v>
      </c>
      <c r="B41" s="851" t="str">
        <f ca="1">IFERROR(IF(INDEX('Overview - Section A'!$E$51:$E$77,MATCH($A41,'Overview - Section A'!$A$51:$A$77,0))&lt;&gt;0,INDEX('Overview - Section A'!$E$51:$E$77,MATCH($A41,'Overview - Section A'!$A$51:$A$77,0)),""),"")</f>
        <v/>
      </c>
      <c r="C41" s="852"/>
      <c r="D41" s="852"/>
      <c r="E41" s="852"/>
      <c r="F41" s="852"/>
      <c r="G41" s="852"/>
      <c r="H41" s="852"/>
      <c r="I41" s="852"/>
      <c r="J41" s="852"/>
      <c r="K41" s="852"/>
      <c r="L41" s="852"/>
      <c r="M41" s="852"/>
      <c r="N41" s="852"/>
      <c r="O41" s="852"/>
      <c r="P41" s="852"/>
      <c r="Q41" s="852"/>
      <c r="R41" s="852"/>
      <c r="S41" s="853"/>
      <c r="T41" s="302"/>
      <c r="U41" s="223"/>
      <c r="V41" s="223"/>
      <c r="W41" s="223"/>
      <c r="X41" s="223"/>
      <c r="Y41" s="223"/>
      <c r="Z41" s="223"/>
      <c r="AA41" s="223"/>
      <c r="AB41" s="223"/>
      <c r="AC41" s="223"/>
      <c r="AD41" s="104"/>
      <c r="AE41" s="104"/>
      <c r="AF41" s="117"/>
      <c r="AG41" s="117"/>
      <c r="AH41" s="117"/>
      <c r="AI41" s="117"/>
      <c r="AJ41" s="117"/>
      <c r="AK41" s="117"/>
      <c r="AL41" s="117"/>
      <c r="AM41" s="117"/>
      <c r="AN41" s="117"/>
      <c r="AO41" s="117"/>
      <c r="AQ41" s="117"/>
      <c r="AR41" s="117"/>
      <c r="AS41" s="117"/>
    </row>
    <row r="42" spans="1:45" ht="49.5" customHeight="1" x14ac:dyDescent="0.35">
      <c r="A42" s="380">
        <v>9</v>
      </c>
      <c r="B42" s="851" t="str">
        <f ca="1">IFERROR(IF(INDEX('Overview - Section A'!$E$51:$E$77,MATCH($A42,'Overview - Section A'!$A$51:$A$77,0))&lt;&gt;0,INDEX('Overview - Section A'!$E$51:$E$77,MATCH($A42,'Overview - Section A'!$A$51:$A$77,0)),""),"")</f>
        <v/>
      </c>
      <c r="C42" s="852"/>
      <c r="D42" s="852"/>
      <c r="E42" s="852"/>
      <c r="F42" s="852"/>
      <c r="G42" s="852"/>
      <c r="H42" s="852"/>
      <c r="I42" s="852"/>
      <c r="J42" s="852"/>
      <c r="K42" s="852"/>
      <c r="L42" s="852"/>
      <c r="M42" s="852"/>
      <c r="N42" s="852"/>
      <c r="O42" s="852"/>
      <c r="P42" s="852"/>
      <c r="Q42" s="852"/>
      <c r="R42" s="852"/>
      <c r="S42" s="853"/>
      <c r="T42" s="302"/>
      <c r="U42" s="223"/>
      <c r="V42" s="223"/>
      <c r="W42" s="223"/>
      <c r="X42" s="223"/>
      <c r="Y42" s="223"/>
      <c r="Z42" s="223"/>
      <c r="AA42" s="223"/>
      <c r="AB42" s="223"/>
      <c r="AC42" s="223"/>
      <c r="AD42" s="104"/>
      <c r="AE42" s="104"/>
      <c r="AF42" s="117"/>
      <c r="AG42" s="117"/>
      <c r="AH42" s="117"/>
      <c r="AI42" s="117"/>
      <c r="AJ42" s="117"/>
      <c r="AK42" s="117"/>
      <c r="AL42" s="117"/>
      <c r="AM42" s="117"/>
      <c r="AN42" s="117"/>
      <c r="AO42" s="117"/>
      <c r="AQ42" s="117"/>
      <c r="AR42" s="117"/>
      <c r="AS42" s="117"/>
    </row>
    <row r="43" spans="1:45" ht="49.5" customHeight="1" x14ac:dyDescent="0.35">
      <c r="A43" s="380">
        <v>10</v>
      </c>
      <c r="B43" s="851" t="str">
        <f ca="1">IFERROR(IF(INDEX('Overview - Section A'!$E$51:$E$77,MATCH($A43,'Overview - Section A'!$A$51:$A$77,0))&lt;&gt;0,INDEX('Overview - Section A'!$E$51:$E$77,MATCH($A43,'Overview - Section A'!$A$51:$A$77,0)),""),"")</f>
        <v/>
      </c>
      <c r="C43" s="852"/>
      <c r="D43" s="852"/>
      <c r="E43" s="852"/>
      <c r="F43" s="852"/>
      <c r="G43" s="852"/>
      <c r="H43" s="852"/>
      <c r="I43" s="852"/>
      <c r="J43" s="852"/>
      <c r="K43" s="852"/>
      <c r="L43" s="852"/>
      <c r="M43" s="852"/>
      <c r="N43" s="852"/>
      <c r="O43" s="852"/>
      <c r="P43" s="852"/>
      <c r="Q43" s="852"/>
      <c r="R43" s="852"/>
      <c r="S43" s="853"/>
      <c r="T43" s="302"/>
      <c r="U43" s="223"/>
      <c r="V43" s="223"/>
      <c r="W43" s="223"/>
      <c r="X43" s="223"/>
      <c r="Y43" s="223"/>
      <c r="Z43" s="223"/>
      <c r="AA43" s="223"/>
      <c r="AB43" s="223"/>
      <c r="AC43" s="223"/>
      <c r="AD43" s="104"/>
      <c r="AE43" s="104"/>
      <c r="AF43" s="117"/>
      <c r="AG43" s="117"/>
      <c r="AH43" s="117"/>
      <c r="AI43" s="117"/>
      <c r="AJ43" s="117"/>
      <c r="AK43" s="117"/>
      <c r="AL43" s="117"/>
      <c r="AM43" s="117"/>
      <c r="AN43" s="117"/>
      <c r="AO43" s="117"/>
      <c r="AQ43" s="117"/>
      <c r="AR43" s="117"/>
      <c r="AS43" s="117"/>
    </row>
    <row r="44" spans="1:45" ht="49.5" customHeight="1" x14ac:dyDescent="0.35">
      <c r="A44" s="380">
        <v>11</v>
      </c>
      <c r="B44" s="851" t="str">
        <f ca="1">IFERROR(IF(INDEX('Overview - Section A'!$E$51:$E$77,MATCH($A44,'Overview - Section A'!$A$51:$A$77,0))&lt;&gt;0,INDEX('Overview - Section A'!$E$51:$E$77,MATCH($A44,'Overview - Section A'!$A$51:$A$77,0)),""),"")</f>
        <v/>
      </c>
      <c r="C44" s="852"/>
      <c r="D44" s="852"/>
      <c r="E44" s="852"/>
      <c r="F44" s="852"/>
      <c r="G44" s="852"/>
      <c r="H44" s="852"/>
      <c r="I44" s="852"/>
      <c r="J44" s="852"/>
      <c r="K44" s="852"/>
      <c r="L44" s="852"/>
      <c r="M44" s="852"/>
      <c r="N44" s="852"/>
      <c r="O44" s="852"/>
      <c r="P44" s="852"/>
      <c r="Q44" s="852"/>
      <c r="R44" s="852"/>
      <c r="S44" s="853"/>
      <c r="T44" s="302"/>
      <c r="U44" s="223"/>
      <c r="V44" s="223"/>
      <c r="W44" s="223"/>
      <c r="X44" s="223"/>
      <c r="Y44" s="223"/>
      <c r="Z44" s="223"/>
      <c r="AA44" s="223"/>
      <c r="AB44" s="223"/>
      <c r="AC44" s="223"/>
      <c r="AD44" s="104"/>
      <c r="AE44" s="104"/>
      <c r="AF44" s="117"/>
      <c r="AG44" s="117"/>
      <c r="AH44" s="117"/>
      <c r="AI44" s="117"/>
      <c r="AJ44" s="117"/>
      <c r="AK44" s="117"/>
      <c r="AL44" s="117"/>
      <c r="AM44" s="117"/>
      <c r="AN44" s="117"/>
      <c r="AO44" s="117"/>
      <c r="AQ44" s="117"/>
      <c r="AR44" s="117"/>
      <c r="AS44" s="117"/>
    </row>
    <row r="45" spans="1:45" ht="49.5" customHeight="1" x14ac:dyDescent="0.35">
      <c r="A45" s="380">
        <v>12</v>
      </c>
      <c r="B45" s="851" t="str">
        <f ca="1">IFERROR(IF(INDEX('Overview - Section A'!$E$51:$E$77,MATCH($A45,'Overview - Section A'!$A$51:$A$77,0))&lt;&gt;0,INDEX('Overview - Section A'!$E$51:$E$77,MATCH($A45,'Overview - Section A'!$A$51:$A$77,0)),""),"")</f>
        <v/>
      </c>
      <c r="C45" s="852"/>
      <c r="D45" s="852"/>
      <c r="E45" s="852"/>
      <c r="F45" s="852"/>
      <c r="G45" s="852"/>
      <c r="H45" s="852"/>
      <c r="I45" s="852"/>
      <c r="J45" s="852"/>
      <c r="K45" s="852"/>
      <c r="L45" s="852"/>
      <c r="M45" s="852"/>
      <c r="N45" s="852"/>
      <c r="O45" s="852"/>
      <c r="P45" s="852"/>
      <c r="Q45" s="852"/>
      <c r="R45" s="852"/>
      <c r="S45" s="853"/>
      <c r="T45" s="302"/>
      <c r="U45" s="223"/>
      <c r="V45" s="223"/>
      <c r="W45" s="223"/>
      <c r="X45" s="223"/>
      <c r="Y45" s="223"/>
      <c r="Z45" s="223"/>
      <c r="AA45" s="223"/>
      <c r="AB45" s="223"/>
      <c r="AC45" s="223"/>
      <c r="AD45" s="104"/>
      <c r="AE45" s="104"/>
      <c r="AF45" s="117"/>
      <c r="AG45" s="117"/>
      <c r="AH45" s="117"/>
      <c r="AI45" s="117"/>
      <c r="AJ45" s="117"/>
      <c r="AK45" s="117"/>
      <c r="AL45" s="117"/>
      <c r="AM45" s="117"/>
      <c r="AN45" s="117"/>
      <c r="AO45" s="117"/>
      <c r="AQ45" s="117"/>
      <c r="AR45" s="117"/>
      <c r="AS45" s="117"/>
    </row>
    <row r="46" spans="1:45" x14ac:dyDescent="0.35">
      <c r="A46" s="104"/>
      <c r="B46" s="104"/>
      <c r="C46" s="104"/>
      <c r="D46" s="104"/>
      <c r="E46" s="104"/>
      <c r="F46" s="104"/>
      <c r="G46" s="104"/>
      <c r="H46" s="104"/>
      <c r="I46" s="104"/>
      <c r="J46" s="104"/>
      <c r="K46" s="104"/>
      <c r="L46" s="104"/>
      <c r="M46" s="104"/>
      <c r="N46" s="104"/>
      <c r="O46" s="104"/>
      <c r="P46" s="104"/>
      <c r="Q46" s="104"/>
      <c r="R46" s="223"/>
      <c r="S46" s="104"/>
      <c r="T46" s="223"/>
      <c r="U46" s="223"/>
      <c r="V46" s="223"/>
      <c r="W46" s="223"/>
      <c r="X46" s="223"/>
      <c r="Y46" s="223"/>
      <c r="Z46" s="104"/>
      <c r="AA46" s="104"/>
      <c r="AB46" s="104"/>
      <c r="AC46" s="104"/>
      <c r="AD46" s="104"/>
      <c r="AE46" s="104"/>
      <c r="AF46" s="117"/>
      <c r="AG46" s="117"/>
      <c r="AH46" s="117"/>
      <c r="AI46" s="117"/>
      <c r="AJ46" s="117"/>
      <c r="AK46" s="117"/>
      <c r="AL46" s="117"/>
      <c r="AM46" s="117"/>
      <c r="AN46" s="117"/>
      <c r="AO46" s="117"/>
      <c r="AQ46" s="117"/>
      <c r="AR46" s="117"/>
      <c r="AS46" s="117"/>
    </row>
    <row r="47" spans="1:45" x14ac:dyDescent="0.35">
      <c r="A47" s="104"/>
      <c r="B47" s="104"/>
      <c r="C47" s="104"/>
      <c r="D47" s="104"/>
      <c r="E47" s="104"/>
      <c r="F47" s="104"/>
      <c r="G47" s="104"/>
      <c r="H47" s="104"/>
      <c r="I47" s="104"/>
      <c r="J47" s="104"/>
      <c r="K47" s="104"/>
      <c r="L47" s="104"/>
      <c r="M47" s="104"/>
      <c r="N47" s="104"/>
      <c r="O47" s="104"/>
      <c r="P47" s="104"/>
      <c r="Q47" s="104"/>
      <c r="R47" s="223"/>
      <c r="S47" s="104"/>
      <c r="T47" s="223"/>
      <c r="U47" s="223"/>
      <c r="V47" s="223"/>
      <c r="W47" s="223"/>
      <c r="X47" s="223"/>
      <c r="Y47" s="223"/>
      <c r="Z47" s="104"/>
      <c r="AA47" s="104"/>
      <c r="AB47" s="104"/>
      <c r="AC47" s="104"/>
      <c r="AD47" s="104"/>
      <c r="AE47" s="104"/>
      <c r="AF47" s="117"/>
      <c r="AG47" s="117"/>
      <c r="AH47" s="117"/>
      <c r="AI47" s="117"/>
      <c r="AJ47" s="117"/>
      <c r="AK47" s="117"/>
      <c r="AL47" s="117"/>
      <c r="AM47" s="117"/>
      <c r="AN47" s="117"/>
      <c r="AO47" s="117"/>
      <c r="AQ47" s="117"/>
      <c r="AR47" s="117"/>
      <c r="AS47" s="117"/>
    </row>
    <row r="48" spans="1:45" x14ac:dyDescent="0.35">
      <c r="A48" s="104"/>
      <c r="B48" s="104"/>
      <c r="C48" s="104"/>
      <c r="D48" s="104"/>
      <c r="E48" s="104"/>
      <c r="F48" s="104"/>
      <c r="G48" s="104"/>
      <c r="H48" s="104"/>
      <c r="I48" s="104"/>
      <c r="J48" s="104"/>
      <c r="K48" s="104"/>
      <c r="L48" s="104"/>
      <c r="M48" s="104"/>
      <c r="N48" s="104"/>
      <c r="O48" s="104"/>
      <c r="P48" s="104"/>
      <c r="Q48" s="104"/>
      <c r="R48" s="223"/>
      <c r="S48" s="104"/>
      <c r="T48" s="223"/>
      <c r="U48" s="223"/>
      <c r="V48" s="223"/>
      <c r="W48" s="223"/>
      <c r="X48" s="223"/>
      <c r="Y48" s="223"/>
      <c r="Z48" s="104"/>
      <c r="AA48" s="104"/>
      <c r="AB48" s="104"/>
      <c r="AC48" s="104"/>
      <c r="AD48" s="104"/>
      <c r="AE48" s="104"/>
      <c r="AF48" s="117"/>
      <c r="AG48" s="117"/>
      <c r="AH48" s="117"/>
      <c r="AI48" s="117"/>
      <c r="AJ48" s="117"/>
      <c r="AK48" s="117"/>
      <c r="AL48" s="117"/>
      <c r="AM48" s="117"/>
      <c r="AN48" s="117"/>
      <c r="AO48" s="117"/>
      <c r="AQ48" s="117"/>
      <c r="AR48" s="117"/>
      <c r="AS48" s="117"/>
    </row>
    <row r="49" spans="1:55" x14ac:dyDescent="0.35">
      <c r="A49" s="104"/>
      <c r="B49" s="104"/>
      <c r="C49" s="104"/>
      <c r="D49" s="104"/>
      <c r="E49" s="104"/>
      <c r="F49" s="104"/>
      <c r="G49" s="104"/>
      <c r="H49" s="104"/>
      <c r="I49" s="104"/>
      <c r="J49" s="104"/>
      <c r="K49" s="104"/>
      <c r="L49" s="104"/>
      <c r="M49" s="104"/>
      <c r="N49" s="104"/>
      <c r="O49" s="104"/>
      <c r="P49" s="104"/>
      <c r="Q49" s="104"/>
      <c r="R49" s="223"/>
      <c r="S49" s="104"/>
      <c r="T49" s="223"/>
      <c r="U49" s="104"/>
      <c r="V49" s="104"/>
      <c r="W49" s="104"/>
      <c r="X49" s="104"/>
      <c r="Y49" s="104"/>
      <c r="Z49" s="104"/>
      <c r="AA49" s="104"/>
      <c r="AB49" s="104"/>
      <c r="AC49" s="104"/>
      <c r="AD49" s="104"/>
      <c r="AE49" s="104"/>
      <c r="AF49" s="117"/>
      <c r="AG49" s="117"/>
      <c r="AH49" s="117"/>
      <c r="AI49" s="117"/>
      <c r="AJ49" s="117"/>
      <c r="AK49" s="117"/>
      <c r="AL49" s="117"/>
      <c r="AM49" s="117"/>
      <c r="AN49" s="117"/>
      <c r="AO49" s="117"/>
      <c r="AQ49" s="117"/>
      <c r="AR49" s="117"/>
      <c r="AS49" s="117"/>
    </row>
    <row r="50" spans="1:55" ht="47.25" customHeight="1" x14ac:dyDescent="0.35">
      <c r="A50" s="873" t="str">
        <f ca="1">Translations!A90</f>
        <v>Indicadores de impacto</v>
      </c>
      <c r="B50" s="874"/>
      <c r="C50" s="874"/>
      <c r="D50" s="874"/>
      <c r="E50" s="874"/>
      <c r="F50" s="874"/>
      <c r="G50" s="874"/>
      <c r="H50" s="874"/>
      <c r="I50" s="874"/>
      <c r="J50" s="874"/>
      <c r="K50" s="874"/>
      <c r="L50" s="874"/>
      <c r="M50" s="874"/>
      <c r="N50" s="874"/>
      <c r="O50" s="874"/>
      <c r="P50" s="874"/>
      <c r="Q50" s="874"/>
      <c r="R50" s="874"/>
      <c r="S50" s="874"/>
      <c r="T50" s="298"/>
      <c r="U50" s="104"/>
      <c r="V50" s="104"/>
      <c r="W50" s="104"/>
      <c r="X50" s="104"/>
      <c r="Y50" s="104"/>
      <c r="Z50" s="104"/>
      <c r="AA50" s="104"/>
      <c r="AB50" s="104"/>
      <c r="AC50" s="104"/>
      <c r="AD50" s="104"/>
      <c r="AE50" s="104"/>
      <c r="AF50" s="117"/>
      <c r="AG50" s="117"/>
      <c r="AH50" s="117"/>
      <c r="AI50" s="117"/>
      <c r="AJ50" s="117"/>
      <c r="AK50" s="117"/>
      <c r="AL50" s="117"/>
      <c r="AM50" s="117"/>
      <c r="AN50" s="117"/>
      <c r="AO50" s="117"/>
      <c r="AQ50" s="117"/>
      <c r="AR50" s="117"/>
      <c r="AS50" s="117"/>
    </row>
    <row r="51" spans="1:55" ht="16" thickBot="1" x14ac:dyDescent="0.4">
      <c r="A51" s="104"/>
      <c r="B51" s="104"/>
      <c r="C51" s="104"/>
      <c r="D51" s="104"/>
      <c r="E51" s="104"/>
      <c r="F51" s="104"/>
      <c r="G51" s="104"/>
      <c r="H51" s="104"/>
      <c r="I51" s="104"/>
      <c r="J51" s="104"/>
      <c r="K51" s="104"/>
      <c r="L51" s="104"/>
      <c r="M51" s="104"/>
      <c r="N51" s="104"/>
      <c r="O51" s="104"/>
      <c r="P51" s="104"/>
      <c r="Q51" s="104"/>
      <c r="R51" s="223"/>
      <c r="S51" s="104"/>
      <c r="T51" s="223"/>
      <c r="U51" s="104"/>
      <c r="V51" s="104"/>
      <c r="W51" s="104"/>
      <c r="X51" s="104"/>
      <c r="Y51" s="104"/>
      <c r="Z51" s="104"/>
      <c r="AA51" s="104"/>
      <c r="AB51" s="104"/>
      <c r="AC51" s="104"/>
      <c r="AD51" s="104"/>
      <c r="AE51" s="104"/>
      <c r="AF51" s="117"/>
      <c r="AG51" s="117"/>
      <c r="AH51" s="117"/>
      <c r="AI51" s="117"/>
      <c r="AJ51" s="117"/>
      <c r="AK51" s="117"/>
      <c r="AL51" s="117"/>
      <c r="AM51" s="117"/>
      <c r="AN51" s="117"/>
      <c r="AO51" s="117"/>
      <c r="AQ51" s="117"/>
      <c r="AR51" s="117"/>
      <c r="AS51" s="117"/>
    </row>
    <row r="52" spans="1:55" ht="32.15" customHeight="1" thickBot="1" x14ac:dyDescent="0.4">
      <c r="A52" s="229"/>
      <c r="B52" s="230"/>
      <c r="C52" s="230"/>
      <c r="D52" s="230"/>
      <c r="E52" s="230"/>
      <c r="F52" s="230"/>
      <c r="G52" s="230"/>
      <c r="H52" s="230"/>
      <c r="I52" s="230"/>
      <c r="J52" s="230"/>
      <c r="K52" s="230"/>
      <c r="L52" s="230"/>
      <c r="M52" s="230"/>
      <c r="N52" s="230"/>
      <c r="O52" s="231"/>
      <c r="P52" s="233">
        <f ca="1">IFERROR(IF(YEAR(INDEX('Overview - Section A'!$A$39:$A$46,MATCH(D23,'Overview - Section A'!$B$39:$B$46,0)))&lt;=YEAR('Overview - Section A'!$E$11),YEAR(INDEX('Overview - Section A'!$A$39:$A$46,MATCH($D$23,'Overview - Section A'!$B$39:$B$46,0))),""),"")</f>
        <v>2022</v>
      </c>
      <c r="Q52" s="233">
        <f ca="1">IFERROR(IF(P52+1&lt;=YEAR('Overview - Section A'!$E$11),P52+1,""),"")</f>
        <v>2023</v>
      </c>
      <c r="R52" s="233">
        <f ca="1">IFERROR(IF(Q52+1&lt;=YEAR('Overview - Section A'!$E$11),Q52+1,""),"")</f>
        <v>2024</v>
      </c>
      <c r="S52" s="233" t="str">
        <f ca="1">IFERROR(IF(R52+1&lt;=YEAR('Overview - Section A'!$E$11),R52+1,""),"")</f>
        <v/>
      </c>
      <c r="T52" s="30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row>
    <row r="53" spans="1:55" ht="100.4" customHeight="1" x14ac:dyDescent="0.35">
      <c r="A53" s="381" t="str">
        <f ca="1">Translations!$A$91</f>
        <v>No.</v>
      </c>
      <c r="B53" s="875" t="str">
        <f ca="1">Translations!A38</f>
        <v xml:space="preserve">Indicador estándar </v>
      </c>
      <c r="C53" s="876"/>
      <c r="D53" s="877"/>
      <c r="E53" s="878" t="str">
        <f ca="1">Translations!A92</f>
        <v>Indicador de impacto personalizado</v>
      </c>
      <c r="F53" s="879"/>
      <c r="G53" s="880"/>
      <c r="H53" s="261" t="str">
        <f ca="1">Translations!A93</f>
        <v>Valor de línea de base</v>
      </c>
      <c r="I53" s="260" t="str">
        <f ca="1">Translations!A94</f>
        <v>Año y fuente de la línea de base</v>
      </c>
      <c r="J53" s="881" t="str">
        <f ca="1">Translations!A51</f>
        <v>Desagregación requerida</v>
      </c>
      <c r="K53" s="882"/>
      <c r="L53" s="882"/>
      <c r="M53" s="883"/>
      <c r="N53" s="260" t="str">
        <f ca="1">Translations!A52</f>
        <v>Receptor principal responsible</v>
      </c>
      <c r="O53" s="382" t="str">
        <f ca="1">Translations!A53</f>
        <v>País</v>
      </c>
      <c r="P53" s="382" t="str">
        <f ca="1">Translations!$A$95</f>
        <v>Valor de la meta</v>
      </c>
      <c r="Q53" s="382" t="str">
        <f ca="1">Translations!$A$95</f>
        <v>Valor de la meta</v>
      </c>
      <c r="R53" s="382" t="str">
        <f ca="1">Translations!$A$95</f>
        <v>Valor de la meta</v>
      </c>
      <c r="S53" s="382" t="str">
        <f ca="1">Translations!$A$95</f>
        <v>Valor de la meta</v>
      </c>
      <c r="T53" s="304"/>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row>
    <row r="54" spans="1:55" s="420" customFormat="1" ht="145.4" customHeight="1" x14ac:dyDescent="0.5">
      <c r="A54" s="844">
        <v>1</v>
      </c>
      <c r="B54" s="864" t="str">
        <f ca="1">IFERROR(IF(INDEX('Impact Indicators - Section B '!B$1:B$82,MATCH($A54,'Impact Indicators - Section B '!$A$1:$A$82,0))&lt;&gt;0,INDEX('Impact Indicators - Section B '!B$1:B$82,MATCH($A54,'Impact Indicators - Section B '!$A$1:$A$82,0)),""),"")</f>
        <v>HIV I-9a⁽ᴹ⁾ Porcentaje de HSH y viven con el VIH</v>
      </c>
      <c r="C54" s="865"/>
      <c r="D54" s="866"/>
      <c r="E54" s="864" t="str">
        <f ca="1">IFERROR(IF(INDEX('Impact Indicators - Section B '!C$1:C$82,MATCH($A54,'Impact Indicators - Section B '!$A$1:$A$82,0))&lt;&gt;0,INDEX('Impact Indicators - Section B '!C$1:C$82,MATCH($A54,'Impact Indicators - Section B '!$A$1:$A$82,0)),""),"")</f>
        <v/>
      </c>
      <c r="F54" s="865"/>
      <c r="G54" s="866"/>
      <c r="H54" s="416" t="str">
        <f ca="1">IFERROR(IF(INDEX('Impact Indicators - Section B '!D$1:D$82,MATCH($A54,'Impact Indicators - Section B '!$A$1:$A$82,0))&lt;&gt;"",FIXED(INDEX('Impact Indicators - Section B '!D$1:D$82,MATCH($A54,'Impact Indicators - Section B '!$A$1:$A$82,0)),4),""),"")&amp;"/"&amp;IFERROR(IF(INDEX('Impact Indicators - Section B '!D$1:D$82,MATCH($A54,'Impact Indicators - Section B '!$A$1:$A$82,0)+1)&lt;&gt;"",FIXED(INDEX('Impact Indicators - Section B '!D$1:D$82,MATCH($A54,'Impact Indicators - Section B '!$A$1:$A$82,0)+1),2),""),"")&amp;CHAR(10)&amp;IFERROR(IF(INDEX('Impact Indicators - Section B '!E$1:E$82,MATCH($A54,'Impact Indicators - Section B '!$A$1:$A$82,0))&lt;&gt;"",FIXED(INDEX('Impact Indicators - Section B '!E$1:E$82,MATCH($A54,'Impact Indicators - Section B '!$A$1:$A$82,0))*100,2)&amp;"%",""),"")</f>
        <v>483.0000/2,351.00
20.54%</v>
      </c>
      <c r="I54" s="417"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2019
SIAP/VICITS</v>
      </c>
      <c r="J54" s="870" t="str">
        <f ca="1">IFERROR(IF(INDEX('Impact Indicators - Section B '!H$1:H$82,MATCH($A54,'Impact Indicators - Section B '!$A$1:$A$82,0))&lt;&gt;0,INDEX('Impact Indicators - Section B '!H$1:H$82,MATCH($A54,'Impact Indicators - Section B '!$A$1:$A$82,0)),""),"")</f>
        <v>Edad</v>
      </c>
      <c r="K54" s="871"/>
      <c r="L54" s="871"/>
      <c r="M54" s="872"/>
      <c r="N54" s="398" t="str">
        <f ca="1">IFERROR(IF(AND('Overview - Section A'!AN$5="Grant Making",OR(B54&lt;&gt;"",E54&lt;&gt;"")),Setup!I15,IF(INDEX('Impact Indicators - Section B '!I$1:I$82,MATCH($A54,'Impact Indicators - Section B '!$A$1:$A$82,0))&lt;&gt;0,INDEX('Impact Indicators - Section B '!I$1:I$82,MATCH($A54,'Impact Indicators - Section B '!$A$1:$A$82,0)),"")),"")</f>
        <v>Ministry of Health of the Republic of El Salvador</v>
      </c>
      <c r="O54" s="417" t="str">
        <f ca="1">IFERROR(IF(INDEX('Impact Indicators - Section B '!J$1:J$82,MATCH($A54,'Impact Indicators - Section B '!$A$1:$A$82,0))&lt;&gt;0,INDEX('Impact Indicators - Section B '!J$1:J$82,MATCH($A54,'Impact Indicators - Section B '!$A$1:$A$82,0)),""),"")</f>
        <v>El Salvador</v>
      </c>
      <c r="P54" s="399" t="str">
        <f ca="1">IFERROR(IF(INDEX('Impact Indicators - Section B '!K$1:K$82,MATCH($A54,'Impact Indicators - Section B '!$A$1:$A$82,0))&lt;&gt;"",FIXED(INDEX('Impact Indicators - Section B '!K$1:K$82,MATCH($A54,'Impact Indicators - Section B '!$A$1:$A$82,0)),4),""),"")&amp;"/"&amp;IFERROR(IF(INDEX('Impact Indicators - Section B '!K$1:K$82,MATCH($A54,'Impact Indicators - Section B '!$A$1:$A$82,0)+1)&lt;&gt;"",FIXED(INDEX('Impact Indicators - Section B '!K$1:K$82,MATCH($A54,'Impact Indicators - Section B '!$A$1:$A$82,0)+1),2),""),"")&amp;CHAR(10)&amp;IFERROR(IF(INDEX('Impact Indicators - Section B '!L$1:L$82,MATCH($A54,'Impact Indicators - Section B '!$A$1:$A$82,0))&lt;&gt;"",FIXED(INDEX('Impact Indicators - Section B '!L$1:L$82,MATCH($A54,'Impact Indicators - Section B '!$A$1:$A$82,0))*100,2)&amp;"%",""),"")&amp;CHAR(10)&amp;IFERROR(IF(INDEX('Impact Indicators - Section B '!N$1:N$82,MATCH($A54,'Impact Indicators - Section B '!$A$1:$A$82,0))&lt;&gt;"",INDEX('Impact Indicators - Section B '!N$1:N$82,MATCH($A54,'Impact Indicators - Section B '!$A$1:$A$82,0)),""),"")&amp;CHAR(10)&amp;IFERROR(IF(INDEX('Impact Indicators - Section B '!M$1:M$82,MATCH($A54,'Impact Indicators - Section B '!$A$1:$A$82,0))&lt;&gt;"",TEXT(INDEX('Impact Indicators - Section B '!M$1:M$82,MATCH($A54,'Impact Indicators - Section B '!$A$1:$A$82,0)),Setup!$A$33),""),"")</f>
        <v>/
21.54%
1-Mar-23</v>
      </c>
      <c r="Q54" s="399" t="str">
        <f ca="1">IFERROR(IF(INDEX('Impact Indicators - Section B '!O$1:O$82,MATCH($A54,'Impact Indicators - Section B '!$A$1:$A$82,0))&lt;&gt;"",FIXED(INDEX('Impact Indicators - Section B '!O$1:O$82,MATCH($A54,'Impact Indicators - Section B '!$A$1:$A$82,0)),4),""),"")&amp;"/"&amp;IFERROR(IF(INDEX('Impact Indicators - Section B '!O$1:O$82,MATCH($A54,'Impact Indicators - Section B '!$A$1:$A$82,0)+1)&lt;&gt;"",FIXED(INDEX('Impact Indicators - Section B '!O$1:O$82,MATCH($A54,'Impact Indicators - Section B '!$A$1:$A$82,0)+1),2),""),"")&amp;CHAR(10)&amp;IFERROR(IF(INDEX('Impact Indicators - Section B '!P$1:P$82,MATCH($A54,'Impact Indicators - Section B '!$A$1:$A$82,0))&lt;&gt;"",FIXED(INDEX('Impact Indicators - Section B '!P$1:P$82,MATCH($A54,'Impact Indicators - Section B '!$A$1:$A$82,0))*100,2)&amp;"%",""),"")&amp;CHAR(10)&amp;IFERROR(IF(INDEX('Impact Indicators - Section B '!R$1:R$82,MATCH($A54,'Impact Indicators - Section B '!$A$1:$A$82,0))&lt;&gt;"",INDEX('Impact Indicators - Section B '!R$1:R$82,MATCH($A54,'Impact Indicators - Section B '!$A$1:$A$82,0)),""),"")&amp;CHAR(10)&amp;IFERROR(IF(INDEX('Impact Indicators - Section B '!Q$1:Q$82,MATCH($A54,'Impact Indicators - Section B '!$A$1:$A$82,0))&lt;&gt;"",TEXT(INDEX('Impact Indicators - Section B '!Q$1:Q$82,MATCH($A54,'Impact Indicators - Section B '!$A$1:$A$82,0)),Setup!$A$33),""),"")</f>
        <v>/
22.54%
29-Feb-24</v>
      </c>
      <c r="R54" s="399" t="str">
        <f ca="1">IFERROR(IF(INDEX('Impact Indicators - Section B '!S$1:S$82,MATCH($A54,'Impact Indicators - Section B '!$A$1:$A$82,0))&lt;&gt;"",FIXED(INDEX('Impact Indicators - Section B '!S$1:S$82,MATCH($A54,'Impact Indicators - Section B '!$A$1:$A$82,0)),4),""),"")&amp;"/"&amp;IFERROR(IF(INDEX('Impact Indicators - Section B '!S$1:S$82,MATCH($A54,'Impact Indicators - Section B '!$A$1:$A$82,0)+1)&lt;&gt;"",FIXED(INDEX('Impact Indicators - Section B '!S$1:S$82,MATCH($A54,'Impact Indicators - Section B '!$A$1:$A$82,0)+1),2),""),"")&amp;CHAR(10)&amp;IFERROR(IF(INDEX('Impact Indicators - Section B '!T$1:T$82,MATCH($A54,'Impact Indicators - Section B '!$A$1:$A$82,0))&lt;&gt;"",FIXED(INDEX('Impact Indicators - Section B '!T$1:T$82,MATCH($A54,'Impact Indicators - Section B '!$A$1:$A$82,0))*100,2)&amp;"%",""),"")&amp;CHAR(10)&amp;IFERROR(IF(INDEX('Impact Indicators - Section B '!V$1:V$82,MATCH($A54,'Impact Indicators - Section B '!$A$1:$A$82,0))&lt;&gt;"",INDEX('Impact Indicators - Section B '!V$1:V$82,MATCH($A54,'Impact Indicators - Section B '!$A$1:$A$82,0)),""),"")&amp;CHAR(10)&amp;IFERROR(IF(INDEX('Impact Indicators - Section B '!U$1:U$82,MATCH($A54,'Impact Indicators - Section B '!$A$1:$A$82,0))&lt;&gt;"",TEXT(INDEX('Impact Indicators - Section B '!U$1:U$82,MATCH($A54,'Impact Indicators - Section B '!$A$1:$A$82,0)),Setup!$A$33),""),"")</f>
        <v>/
23.54%
28-Feb-25</v>
      </c>
      <c r="S54" s="399" t="str">
        <f ca="1">IFERROR(IF(INDEX('Impact Indicators - Section B '!W$1:W$82,MATCH($A54,'Impact Indicators - Section B '!$A$1:$A$82,0))&lt;&gt;"",FIXED(INDEX('Impact Indicators - Section B '!W$1:W$82,MATCH($A54,'Impact Indicators - Section B '!$A$1:$A$82,0)),4),""),"")&amp;"/"&amp;IFERROR(IF(INDEX('Impact Indicators - Section B '!W$1:W$82,MATCH($A54,'Impact Indicators - Section B '!$A$1:$A$82,0)+1)&lt;&gt;"",FIXED(INDEX('Impact Indicators - Section B '!W$1:W$82,MATCH($A54,'Impact Indicators - Section B '!$A$1:$A$82,0)+1),2),""),"")&amp;CHAR(10)&amp;IFERROR(IF(INDEX('Impact Indicators - Section B '!X$1:X$82,MATCH($A54,'Impact Indicators - Section B '!$A$1:$A$82,0))&lt;&gt;"",FIXED(INDEX('Impact Indicators - Section B '!X$1:X$82,MATCH($A54,'Impact Indicators - Section B '!$A$1:$A$82,0))*100,2)&amp;"%",""),"")&amp;CHAR(10)&amp;IFERROR(IF(INDEX('Impact Indicators - Section B '!Z$1:Z$82,MATCH($A54,'Impact Indicators - Section B '!$A$1:$A$82,0))&lt;&gt;"",INDEX('Impact Indicators - Section B '!Z$1:Z$82,MATCH($A54,'Impact Indicators - Section B '!$A$1:$A$82,0)),""),"")&amp;CHAR(10)&amp;IFERROR(IF(INDEX('Impact Indicators - Section B '!Y$1:Y$82,MATCH($A54,'Impact Indicators - Section B '!$A$1:$A$82,0))&lt;&gt;"",TEXT(INDEX('Impact Indicators - Section B '!Y$1:Y$82,MATCH($A54,'Impact Indicators - Section B '!$A$1:$A$82,0)),Setup!$A$33),""),"")</f>
        <v xml:space="preserve">/
</v>
      </c>
      <c r="T54" s="418"/>
      <c r="U54" s="223"/>
      <c r="V54" s="223"/>
      <c r="W54" s="223"/>
      <c r="X54" s="223"/>
      <c r="Y54" s="223"/>
      <c r="Z54" s="223"/>
      <c r="AA54" s="223"/>
      <c r="AB54" s="223"/>
      <c r="AC54" s="223"/>
      <c r="AD54" s="223"/>
      <c r="AE54" s="223"/>
      <c r="AF54" s="223"/>
      <c r="AG54" s="223"/>
      <c r="AH54" s="223"/>
      <c r="AI54" s="223"/>
      <c r="AJ54" s="223"/>
      <c r="AK54" s="223"/>
      <c r="AL54" s="223"/>
      <c r="AM54" s="223"/>
      <c r="AN54" s="223"/>
      <c r="AO54" s="223" t="str">
        <f ca="1">IFERROR(IF(INDEX('Impact Indicators - Section B '!AA$1:AA$82,MATCH($A54,'Impact Indicators - Section B '!$A$1:$A$82,0))&lt;&gt;0,INDEX('Impact Indicators - Section B '!AA$1:AA$82,MATCH($A54,'Impact Indicators - Section B '!$A$1:$A$82,0)),""),"")</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AP54" s="223"/>
      <c r="AQ54" s="223"/>
      <c r="AR54" s="223"/>
      <c r="AS54" s="223"/>
      <c r="AT54" s="223" t="str">
        <f>CONCATENATE($A54,J$52)</f>
        <v>1</v>
      </c>
      <c r="AU54" s="223" t="str">
        <f>CONCATENATE($A54,O$52)</f>
        <v>1</v>
      </c>
      <c r="AV54" s="223"/>
      <c r="AW54" s="223" t="str">
        <f>CONCATENATE($A54,X$52)</f>
        <v>1</v>
      </c>
      <c r="AX54" s="223" t="str">
        <f>CONCATENATE($A54,AB$52)</f>
        <v>1</v>
      </c>
      <c r="AY54" s="223"/>
      <c r="AZ54" s="223"/>
      <c r="BA54" s="223"/>
      <c r="BB54" s="223"/>
      <c r="BC54" s="419"/>
    </row>
    <row r="55" spans="1:55" s="420" customFormat="1" ht="100.4" customHeight="1" x14ac:dyDescent="0.5">
      <c r="A55" s="844"/>
      <c r="B55" s="821" t="str">
        <f ca="1">IFERROR(IF(INDEX('Impact Indicators - Section B '!AA$1:AA$82,MATCH($A54,'Impact Indicators - Section B '!$A$1:$A$82,0))&lt;&gt;0,INDEX('Impact Indicators - Section B '!AA$1:AA$82,MATCH($A54,'Impact Indicators - Section B '!$A$1:$A$82,0)),""),"")</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C55" s="822"/>
      <c r="D55" s="822"/>
      <c r="E55" s="822"/>
      <c r="F55" s="822"/>
      <c r="G55" s="822"/>
      <c r="H55" s="822"/>
      <c r="I55" s="822"/>
      <c r="J55" s="822"/>
      <c r="K55" s="822"/>
      <c r="L55" s="822"/>
      <c r="M55" s="822"/>
      <c r="N55" s="822"/>
      <c r="O55" s="822"/>
      <c r="P55" s="822"/>
      <c r="Q55" s="822"/>
      <c r="R55" s="822"/>
      <c r="S55" s="823"/>
      <c r="T55" s="306"/>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419"/>
    </row>
    <row r="56" spans="1:55" s="105" customFormat="1" ht="145.4" customHeight="1" x14ac:dyDescent="0.5">
      <c r="A56" s="845">
        <v>2</v>
      </c>
      <c r="B56" s="861" t="str">
        <f ca="1">IFERROR(IF(INDEX('Impact Indicators - Section B '!B$1:B$82,MATCH($A56,'Impact Indicators - Section B '!$A$1:$A$82,0))&lt;&gt;0,INDEX('Impact Indicators - Section B '!B$1:B$82,MATCH($A56,'Impact Indicators - Section B '!$A$1:$A$82,0)),""),"")</f>
        <v>HIV I-9b⁽ᴹ⁾ Porcentaje de personas transgénero que viven con el VIH</v>
      </c>
      <c r="C56" s="862"/>
      <c r="D56" s="863"/>
      <c r="E56" s="861" t="str">
        <f ca="1">IFERROR(IF(INDEX('Impact Indicators - Section B '!C$1:C$82,MATCH($A56,'Impact Indicators - Section B '!$A$1:$A$82,0))&lt;&gt;0,INDEX('Impact Indicators - Section B '!C$1:C$82,MATCH($A56,'Impact Indicators - Section B '!$A$1:$A$82,0)),""),"")</f>
        <v/>
      </c>
      <c r="F56" s="862"/>
      <c r="G56" s="863"/>
      <c r="H56" s="383" t="str">
        <f ca="1">IFERROR(IF(INDEX('Impact Indicators - Section B '!D$1:D$82,MATCH($A56,'Impact Indicators - Section B '!$A$1:$A$82,0))&lt;&gt;"",FIXED(INDEX('Impact Indicators - Section B '!D$1:D$82,MATCH($A56,'Impact Indicators - Section B '!$A$1:$A$82,0)),4),""),"")&amp;"/"&amp;IFERROR(IF(INDEX('Impact Indicators - Section B '!D$1:D$82,MATCH($A56,'Impact Indicators - Section B '!$A$1:$A$82,0)+1)&lt;&gt;"",FIXED(INDEX('Impact Indicators - Section B '!D$1:D$82,MATCH($A56,'Impact Indicators - Section B '!$A$1:$A$82,0)+1),2),""),"")&amp;CHAR(10)&amp;IFERROR(IF(INDEX('Impact Indicators - Section B '!E$1:E$82,MATCH($A56,'Impact Indicators - Section B '!$A$1:$A$82,0))&lt;&gt;"",FIXED(INDEX('Impact Indicators - Section B '!E$1:E$82,MATCH($A56,'Impact Indicators - Section B '!$A$1:$A$82,0))*100,2)&amp;"%",""),"")</f>
        <v>90.0000/331.00
27.19%</v>
      </c>
      <c r="I56" s="384"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2019
SIAP/VICITS</v>
      </c>
      <c r="J56" s="861" t="str">
        <f ca="1">IFERROR(IF(INDEX('Impact Indicators - Section B '!H$1:H$82,MATCH($A56,'Impact Indicators - Section B '!$A$1:$A$82,0))&lt;&gt;0,INDEX('Impact Indicators - Section B '!H$1:H$82,MATCH($A56,'Impact Indicators - Section B '!$A$1:$A$82,0)),""),"")</f>
        <v>Edad</v>
      </c>
      <c r="K56" s="862"/>
      <c r="L56" s="862"/>
      <c r="M56" s="863"/>
      <c r="N56" s="414" t="str">
        <f ca="1">IFERROR(IF(AND('Overview - Section A'!AN$5="Grant Making",OR(B56&lt;&gt;"",E56&lt;&gt;"")),Setup!I15,IF(INDEX('Impact Indicators - Section B '!I$1:I$82,MATCH($A56,'Impact Indicators - Section B '!$A$1:$A$82,0))&lt;&gt;0,INDEX('Impact Indicators - Section B '!I$1:I$82,MATCH($A56,'Impact Indicators - Section B '!$A$1:$A$82,0)),"")),"")</f>
        <v>Ministry of Health of the Republic of El Salvador</v>
      </c>
      <c r="O56" s="384" t="str">
        <f ca="1">IFERROR(IF(INDEX('Impact Indicators - Section B '!J$1:J$82,MATCH($A56,'Impact Indicators - Section B '!$A$1:$A$82,0))&lt;&gt;0,INDEX('Impact Indicators - Section B '!J$1:J$82,MATCH($A56,'Impact Indicators - Section B '!$A$1:$A$82,0)),""),"")</f>
        <v>El Salvador</v>
      </c>
      <c r="P56" s="386" t="str">
        <f ca="1">IFERROR(IF(INDEX('Impact Indicators - Section B '!K$1:K$82,MATCH($A56,'Impact Indicators - Section B '!$A$1:$A$82,0))&lt;&gt;"",FIXED(INDEX('Impact Indicators - Section B '!K$1:K$82,MATCH($A56,'Impact Indicators - Section B '!$A$1:$A$82,0)),4),""),"")&amp;"/"&amp;IFERROR(IF(INDEX('Impact Indicators - Section B '!K$1:K$82,MATCH($A56,'Impact Indicators - Section B '!$A$1:$A$82,0)+1)&lt;&gt;"",FIXED(INDEX('Impact Indicators - Section B '!K$1:K$82,MATCH($A56,'Impact Indicators - Section B '!$A$1:$A$82,0)+1),2),""),"")&amp;CHAR(10)&amp;IFERROR(IF(INDEX('Impact Indicators - Section B '!L$1:L$82,MATCH($A56,'Impact Indicators - Section B '!$A$1:$A$82,0))&lt;&gt;"",FIXED(INDEX('Impact Indicators - Section B '!L$1:L$82,MATCH($A56,'Impact Indicators - Section B '!$A$1:$A$82,0))*100,2)&amp;"%",""),"")&amp;CHAR(10)&amp;IFERROR(IF(INDEX('Impact Indicators - Section B '!N$1:N$82,MATCH($A56,'Impact Indicators - Section B '!$A$1:$A$82,0))&lt;&gt;"",INDEX('Impact Indicators - Section B '!N$1:N$82,MATCH($A56,'Impact Indicators - Section B '!$A$1:$A$82,0)),""),"")&amp;CHAR(10)&amp;IFERROR(IF(INDEX('Impact Indicators - Section B '!M$1:M$82,MATCH($A56,'Impact Indicators - Section B '!$A$1:$A$82,0))&lt;&gt;"",TEXT(INDEX('Impact Indicators - Section B '!M$1:M$82,MATCH($A56,'Impact Indicators - Section B '!$A$1:$A$82,0)),Setup!$A$33),""),"")</f>
        <v>/
28.19%
1-Mar-23</v>
      </c>
      <c r="Q56" s="386" t="str">
        <f ca="1">IFERROR(IF(INDEX('Impact Indicators - Section B '!O$1:O$82,MATCH($A56,'Impact Indicators - Section B '!$A$1:$A$82,0))&lt;&gt;"",FIXED(INDEX('Impact Indicators - Section B '!O$1:O$82,MATCH($A56,'Impact Indicators - Section B '!$A$1:$A$82,0)),4),""),"")&amp;"/"&amp;IFERROR(IF(INDEX('Impact Indicators - Section B '!O$1:O$82,MATCH($A56,'Impact Indicators - Section B '!$A$1:$A$82,0)+1)&lt;&gt;"",FIXED(INDEX('Impact Indicators - Section B '!O$1:O$82,MATCH($A56,'Impact Indicators - Section B '!$A$1:$A$82,0)+1),2),""),"")&amp;CHAR(10)&amp;IFERROR(IF(INDEX('Impact Indicators - Section B '!P$1:P$82,MATCH($A56,'Impact Indicators - Section B '!$A$1:$A$82,0))&lt;&gt;"",FIXED(INDEX('Impact Indicators - Section B '!P$1:P$82,MATCH($A56,'Impact Indicators - Section B '!$A$1:$A$82,0))*100,2)&amp;"%",""),"")&amp;CHAR(10)&amp;IFERROR(IF(INDEX('Impact Indicators - Section B '!R$1:R$82,MATCH($A56,'Impact Indicators - Section B '!$A$1:$A$82,0))&lt;&gt;"",INDEX('Impact Indicators - Section B '!R$1:R$82,MATCH($A56,'Impact Indicators - Section B '!$A$1:$A$82,0)),""),"")&amp;CHAR(10)&amp;IFERROR(IF(INDEX('Impact Indicators - Section B '!Q$1:Q$82,MATCH($A56,'Impact Indicators - Section B '!$A$1:$A$82,0))&lt;&gt;"",TEXT(INDEX('Impact Indicators - Section B '!Q$1:Q$82,MATCH($A56,'Impact Indicators - Section B '!$A$1:$A$82,0)),Setup!$A$33),""),"")</f>
        <v>/
29.69%
29-Feb-24</v>
      </c>
      <c r="R56" s="386" t="str">
        <f ca="1">IFERROR(IF(INDEX('Impact Indicators - Section B '!S$1:S$82,MATCH($A56,'Impact Indicators - Section B '!$A$1:$A$82,0))&lt;&gt;"",FIXED(INDEX('Impact Indicators - Section B '!S$1:S$82,MATCH($A56,'Impact Indicators - Section B '!$A$1:$A$82,0)),4),""),"")&amp;"/"&amp;IFERROR(IF(INDEX('Impact Indicators - Section B '!S$1:S$82,MATCH($A56,'Impact Indicators - Section B '!$A$1:$A$82,0)+1)&lt;&gt;"",FIXED(INDEX('Impact Indicators - Section B '!S$1:S$82,MATCH($A56,'Impact Indicators - Section B '!$A$1:$A$82,0)+1),2),""),"")&amp;CHAR(10)&amp;IFERROR(IF(INDEX('Impact Indicators - Section B '!T$1:T$82,MATCH($A56,'Impact Indicators - Section B '!$A$1:$A$82,0))&lt;&gt;"",FIXED(INDEX('Impact Indicators - Section B '!T$1:T$82,MATCH($A56,'Impact Indicators - Section B '!$A$1:$A$82,0))*100,2)&amp;"%",""),"")&amp;CHAR(10)&amp;IFERROR(IF(INDEX('Impact Indicators - Section B '!V$1:V$82,MATCH($A56,'Impact Indicators - Section B '!$A$1:$A$82,0))&lt;&gt;"",INDEX('Impact Indicators - Section B '!V$1:V$82,MATCH($A56,'Impact Indicators - Section B '!$A$1:$A$82,0)),""),"")&amp;CHAR(10)&amp;IFERROR(IF(INDEX('Impact Indicators - Section B '!U$1:U$82,MATCH($A56,'Impact Indicators - Section B '!$A$1:$A$82,0))&lt;&gt;"",TEXT(INDEX('Impact Indicators - Section B '!U$1:U$82,MATCH($A56,'Impact Indicators - Section B '!$A$1:$A$82,0)),Setup!$A$33),""),"")</f>
        <v>/
30.19%
28-Feb-25</v>
      </c>
      <c r="S56" s="386" t="str">
        <f ca="1">IFERROR(IF(INDEX('Impact Indicators - Section B '!W$1:W$82,MATCH($A56,'Impact Indicators - Section B '!$A$1:$A$82,0))&lt;&gt;"",FIXED(INDEX('Impact Indicators - Section B '!W$1:W$82,MATCH($A56,'Impact Indicators - Section B '!$A$1:$A$82,0)),4),""),"")&amp;"/"&amp;IFERROR(IF(INDEX('Impact Indicators - Section B '!W$1:W$82,MATCH($A56,'Impact Indicators - Section B '!$A$1:$A$82,0)+1)&lt;&gt;"",FIXED(INDEX('Impact Indicators - Section B '!W$1:W$82,MATCH($A56,'Impact Indicators - Section B '!$A$1:$A$82,0)+1),2),""),"")&amp;CHAR(10)&amp;IFERROR(IF(INDEX('Impact Indicators - Section B '!X$1:X$82,MATCH($A56,'Impact Indicators - Section B '!$A$1:$A$82,0))&lt;&gt;"",FIXED(INDEX('Impact Indicators - Section B '!X$1:X$82,MATCH($A56,'Impact Indicators - Section B '!$A$1:$A$82,0))*100,2)&amp;"%",""),"")&amp;CHAR(10)&amp;IFERROR(IF(INDEX('Impact Indicators - Section B '!Z$1:Z$82,MATCH($A56,'Impact Indicators - Section B '!$A$1:$A$82,0))&lt;&gt;"",INDEX('Impact Indicators - Section B '!Z$1:Z$82,MATCH($A56,'Impact Indicators - Section B '!$A$1:$A$82,0)),""),"")&amp;CHAR(10)&amp;IFERROR(IF(INDEX('Impact Indicators - Section B '!Y$1:Y$82,MATCH($A56,'Impact Indicators - Section B '!$A$1:$A$82,0))&lt;&gt;"",TEXT(INDEX('Impact Indicators - Section B '!Y$1:Y$82,MATCH($A56,'Impact Indicators - Section B '!$A$1:$A$82,0)),Setup!$A$33),""),"")</f>
        <v xml:space="preserve">/
</v>
      </c>
      <c r="T56" s="305"/>
      <c r="U56" s="223"/>
      <c r="V56" s="223"/>
      <c r="W56" s="223"/>
      <c r="X56" s="223"/>
      <c r="Y56" s="223"/>
      <c r="Z56" s="223"/>
      <c r="AA56" s="223"/>
      <c r="AB56" s="223"/>
      <c r="AC56" s="223"/>
      <c r="AD56" s="223"/>
      <c r="AE56" s="223"/>
      <c r="AF56" s="223"/>
      <c r="AG56" s="223"/>
      <c r="AH56" s="223"/>
      <c r="AI56" s="223"/>
      <c r="AJ56" s="223"/>
      <c r="AK56" s="223"/>
      <c r="AL56" s="223"/>
      <c r="AM56" s="223"/>
      <c r="AN56" s="223"/>
      <c r="AO56" s="223" t="str">
        <f ca="1">IFERROR(IF(INDEX('Impact Indicators - Section B '!AA$1:AA$82,MATCH($A56,'Impact Indicators - Section B '!$A$1:$A$82,0))&lt;&gt;0,INDEX('Impact Indicators - Section B '!AA$1:AA$82,MATCH($A56,'Impact Indicators - Section B '!$A$1:$A$82,0)),""),"")</f>
        <v>Línea de base: 27,19%. Esta línea de base corresponde a la población de mujeres trans positivas, que son atendidas en las clínicas VICITS y es el resultado reportado en el informe de 2019.
Fuente de referencia: Atención brindada en las clínicas VICITS durante 2019.
Numerador: Número de casos nuevos y conocidos de VIH en la población de mujeres trans que visitan las clínicas VICITS durante el período del informe.
Denominador: número total de personas trans que fueron tratadas en VICITS durante el período del informe.
El numerador y denominador de este indicador se reportará a partir de la atención brindada a esta población en las clínicas VICITS.
Fuente de datos: SIAP / VICITS (Sistema Integral de Atención al Paciente), este sistema ha sido planeado para recolectar información de toda la atención a nivel nacional, pero actualmente no ha sido posible completar su implementación, consta de varios módulos, siendo uno de los estas la atención de VICITS y clínicas amigas, en las cuales ya está implementado y permite registrar las visitas.
El RP proporcionará los resultados tanto del numerador como del denominador de las clínicas de vigilancia centinela, entendemos que el mejor dato para reportar prevalencia es el obtenido de estudios nacionales de prevalencia, sin embargo, dada la imposibilidad de realizar este tipo de estudios, en de forma rutinaria, el país ha decidido notificar datos de las clínicas de vigilancia centinela. Para esta beca está previsto realizar un estudio IBBS, que nos permitirá obtener un dato de prevalencia más exacto y así poder realizar una comparativa con los datos registrados con las clínicas de vigilancia centinela y el del estudio.
Se acordó que dentro del trabajo conjunto pendiente en el futuro en el área de Monitoreo y Evaluación se realizará una revisión detallada del sistema de monitoreo a través de sitios centinela con el apoyo de la OPS y posiblemente de los CDC para asegurar que se lleve a cabo. cumpliendo con todos los requisitos metodológicos.
Supuestos: En esta ocasión se propone que al fortalecer los enfoques para promover la prueba del VIH se mejorará la capacidad diagnóstica, esperando incrementar el porcentaje del primer pilar de la cascada del continuo de atención, por lo que las metas irán en aumento. Está previsto un aumento anual del 1%.
Para el cumplimiento de este indicador, se reportarán los datos de la atención brindada en las clínicas VICITS y clínicas amigas.
Métodos de medición: A través de 18 VICITS en El Salvador, distribuidos a nivel nacional y las 12 clínicas amigas.
Debido a que es un país focalizado, no se requiere desglose.</v>
      </c>
      <c r="AP56" s="223"/>
      <c r="AQ56" s="223"/>
      <c r="AR56" s="223"/>
      <c r="AS56" s="223"/>
      <c r="AT56" s="223" t="str">
        <f>CONCATENATE($A56,J$52)</f>
        <v>2</v>
      </c>
      <c r="AU56" s="223" t="str">
        <f>CONCATENATE($A56,O$52)</f>
        <v>2</v>
      </c>
      <c r="AV56" s="223"/>
      <c r="AW56" s="223" t="str">
        <f>CONCATENATE($A56,X$52)</f>
        <v>2</v>
      </c>
      <c r="AX56" s="223" t="str">
        <f>CONCATENATE($A56,AB$52)</f>
        <v>2</v>
      </c>
      <c r="AY56" s="223"/>
      <c r="AZ56" s="223"/>
      <c r="BA56" s="223"/>
      <c r="BB56" s="223"/>
      <c r="BC56" s="120"/>
    </row>
    <row r="57" spans="1:55" s="105" customFormat="1" ht="100.4" customHeight="1" x14ac:dyDescent="0.5">
      <c r="A57" s="845"/>
      <c r="B57" s="809" t="str">
        <f ca="1">IFERROR(IF(INDEX('Impact Indicators - Section B '!AA$1:AA$82,MATCH($A56,'Impact Indicators - Section B '!$A$1:$A$82,0))&lt;&gt;0,INDEX('Impact Indicators - Section B '!AA$1:AA$82,MATCH($A56,'Impact Indicators - Section B '!$A$1:$A$82,0)),""),"")</f>
        <v>Línea de base: 27,19%. Esta línea de base corresponde a la población de mujeres trans positivas, que son atendidas en las clínicas VICITS y es el resultado reportado en el informe de 2019.
Fuente de referencia: Atención brindada en las clínicas VICITS durante 2019.
Numerador: Número de casos nuevos y conocidos de VIH en la población de mujeres trans que visitan las clínicas VICITS durante el período del informe.
Denominador: número total de personas trans que fueron tratadas en VICITS durante el período del informe.
El numerador y denominador de este indicador se reportará a partir de la atención brindada a esta población en las clínicas VICITS.
Fuente de datos: SIAP / VICITS (Sistema Integral de Atención al Paciente), este sistema ha sido planeado para recolectar información de toda la atención a nivel nacional, pero actualmente no ha sido posible completar su implementación, consta de varios módulos, siendo uno de los estas la atención de VICITS y clínicas amigas, en las cuales ya está implementado y permite registrar las visitas.
El RP proporcionará los resultados tanto del numerador como del denominador de las clínicas de vigilancia centinela, entendemos que el mejor dato para reportar prevalencia es el obtenido de estudios nacionales de prevalencia, sin embargo, dada la imposibilidad de realizar este tipo de estudios, en de forma rutinaria, el país ha decidido notificar datos de las clínicas de vigilancia centinela. Para esta beca está previsto realizar un estudio IBBS, que nos permitirá obtener un dato de prevalencia más exacto y así poder realizar una comparativa con los datos registrados con las clínicas de vigilancia centinela y el del estudio.
Se acordó que dentro del trabajo conjunto pendiente en el futuro en el área de Monitoreo y Evaluación se realizará una revisión detallada del sistema de monitoreo a través de sitios centinela con el apoyo de la OPS y posiblemente de los CDC para asegurar que se lleve a cabo. cumpliendo con todos los requisitos metodológicos.
Supuestos: En esta ocasión se propone que al fortalecer los enfoques para promover la prueba del VIH se mejorará la capacidad diagnóstica, esperando incrementar el porcentaje del primer pilar de la cascada del continuo de atención, por lo que las metas irán en aumento. Está previsto un aumento anual del 1%.
Para el cumplimiento de este indicador, se reportarán los datos de la atención brindada en las clínicas VICITS y clínicas amigas.
Métodos de medición: A través de 18 VICITS en El Salvador, distribuidos a nivel nacional y las 12 clínicas amigas.
Debido a que es un país focalizado, no se requiere desglose.</v>
      </c>
      <c r="C57" s="810"/>
      <c r="D57" s="810"/>
      <c r="E57" s="810"/>
      <c r="F57" s="810"/>
      <c r="G57" s="810"/>
      <c r="H57" s="810"/>
      <c r="I57" s="811"/>
      <c r="J57" s="811"/>
      <c r="K57" s="811"/>
      <c r="L57" s="811"/>
      <c r="M57" s="811"/>
      <c r="N57" s="811"/>
      <c r="O57" s="811"/>
      <c r="P57" s="811"/>
      <c r="Q57" s="811"/>
      <c r="R57" s="811"/>
      <c r="S57" s="812"/>
      <c r="T57" s="306"/>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120"/>
    </row>
    <row r="58" spans="1:55" s="420" customFormat="1" ht="145.4" customHeight="1" x14ac:dyDescent="0.5">
      <c r="A58" s="844">
        <v>3</v>
      </c>
      <c r="B58" s="864" t="str">
        <f ca="1">IFERROR(IF(INDEX('Impact Indicators - Section B '!B$1:B$82,MATCH($A58,'Impact Indicators - Section B '!$A$1:$A$82,0))&lt;&gt;0,INDEX('Impact Indicators - Section B '!B$1:B$82,MATCH($A58,'Impact Indicators - Section B '!$A$1:$A$82,0)),""),"")</f>
        <v>TB I-3⁽ᴹ⁾ Tasa de mortalidad de la tuberculosis por 100.000 habitantes</v>
      </c>
      <c r="C58" s="865"/>
      <c r="D58" s="866"/>
      <c r="E58" s="864" t="str">
        <f ca="1">IFERROR(IF(INDEX('Impact Indicators - Section B '!C$1:C$82,MATCH($A58,'Impact Indicators - Section B '!$A$1:$A$82,0))&lt;&gt;0,INDEX('Impact Indicators - Section B '!C$1:C$82,MATCH($A58,'Impact Indicators - Section B '!$A$1:$A$82,0)),""),"")</f>
        <v/>
      </c>
      <c r="F58" s="865"/>
      <c r="G58" s="866"/>
      <c r="H58" s="416" t="str">
        <f ca="1">IFERROR(IF(INDEX('Impact Indicators - Section B '!D$1:D$82,MATCH($A58,'Impact Indicators - Section B '!$A$1:$A$82,0))&lt;&gt;"",FIXED(INDEX('Impact Indicators - Section B '!D$1:D$82,MATCH($A58,'Impact Indicators - Section B '!$A$1:$A$82,0)),4),""),"")&amp;"/"&amp;IFERROR(IF(INDEX('Impact Indicators - Section B '!D$1:D$82,MATCH($A58,'Impact Indicators - Section B '!$A$1:$A$82,0)+1)&lt;&gt;"",FIXED(INDEX('Impact Indicators - Section B '!D$1:D$82,MATCH($A58,'Impact Indicators - Section B '!$A$1:$A$82,0)+1),2),""),"")&amp;CHAR(10)&amp;IFERROR(IF(INDEX('Impact Indicators - Section B '!E$1:E$82,MATCH($A58,'Impact Indicators - Section B '!$A$1:$A$82,0))&lt;&gt;"",FIXED(INDEX('Impact Indicators - Section B '!E$1:E$82,MATCH($A58,'Impact Indicators - Section B '!$A$1:$A$82,0))*100,2)&amp;"%",""),"")</f>
        <v xml:space="preserve">0.9300/
</v>
      </c>
      <c r="I58" s="417"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2019
Global Report TB 2020</v>
      </c>
      <c r="J58" s="864" t="str">
        <f ca="1">IFERROR(IF(INDEX('Impact Indicators - Section B '!H$1:H$82,MATCH($A58,'Impact Indicators - Section B '!$A$1:$A$82,0))&lt;&gt;0,INDEX('Impact Indicators - Section B '!H$1:H$82,MATCH($A58,'Impact Indicators - Section B '!$A$1:$A$82,0)),""),"")</f>
        <v/>
      </c>
      <c r="K58" s="865"/>
      <c r="L58" s="865"/>
      <c r="M58" s="866"/>
      <c r="N58" s="398" t="str">
        <f ca="1">IFERROR(IF(AND('Overview - Section A'!AN$5="Grant Making",OR(B58&lt;&gt;"",E58&lt;&gt;"")),Setup!I15,IF(INDEX('Impact Indicators - Section B '!I$1:I$82,MATCH($A58,'Impact Indicators - Section B '!$A$1:$A$82,0))&lt;&gt;0,INDEX('Impact Indicators - Section B '!I$1:I$82,MATCH($A58,'Impact Indicators - Section B '!$A$1:$A$82,0)),"")),"")</f>
        <v>Ministry of Health of the Republic of El Salvador</v>
      </c>
      <c r="O58" s="417" t="str">
        <f ca="1">IFERROR(IF(INDEX('Impact Indicators - Section B '!J$1:J$82,MATCH($A58,'Impact Indicators - Section B '!$A$1:$A$82,0))&lt;&gt;0,INDEX('Impact Indicators - Section B '!J$1:J$82,MATCH($A58,'Impact Indicators - Section B '!$A$1:$A$82,0)),""),"")</f>
        <v>El Salvador</v>
      </c>
      <c r="P58" s="399" t="str">
        <f ca="1">IFERROR(IF(INDEX('Impact Indicators - Section B '!K$1:K$82,MATCH($A58,'Impact Indicators - Section B '!$A$1:$A$82,0))&lt;&gt;"",FIXED(INDEX('Impact Indicators - Section B '!K$1:K$82,MATCH($A58,'Impact Indicators - Section B '!$A$1:$A$82,0)),4),""),"")&amp;"/"&amp;IFERROR(IF(INDEX('Impact Indicators - Section B '!K$1:K$82,MATCH($A58,'Impact Indicators - Section B '!$A$1:$A$82,0)+1)&lt;&gt;"",FIXED(INDEX('Impact Indicators - Section B '!K$1:K$82,MATCH($A58,'Impact Indicators - Section B '!$A$1:$A$82,0)+1),2),""),"")&amp;CHAR(10)&amp;IFERROR(IF(INDEX('Impact Indicators - Section B '!L$1:L$82,MATCH($A58,'Impact Indicators - Section B '!$A$1:$A$82,0))&lt;&gt;"",FIXED(INDEX('Impact Indicators - Section B '!L$1:L$82,MATCH($A58,'Impact Indicators - Section B '!$A$1:$A$82,0))*100,2)&amp;"%",""),"")&amp;CHAR(10)&amp;IFERROR(IF(INDEX('Impact Indicators - Section B '!N$1:N$82,MATCH($A58,'Impact Indicators - Section B '!$A$1:$A$82,0))&lt;&gt;"",INDEX('Impact Indicators - Section B '!N$1:N$82,MATCH($A58,'Impact Indicators - Section B '!$A$1:$A$82,0)),""),"")&amp;CHAR(10)&amp;IFERROR(IF(INDEX('Impact Indicators - Section B '!M$1:M$82,MATCH($A58,'Impact Indicators - Section B '!$A$1:$A$82,0))&lt;&gt;"",TEXT(INDEX('Impact Indicators - Section B '!M$1:M$82,MATCH($A58,'Impact Indicators - Section B '!$A$1:$A$82,0)),Setup!$A$33),""),"")</f>
        <v>0.9300/
30-Mar-23</v>
      </c>
      <c r="Q58" s="399" t="str">
        <f ca="1">IFERROR(IF(INDEX('Impact Indicators - Section B '!O$1:O$82,MATCH($A58,'Impact Indicators - Section B '!$A$1:$A$82,0))&lt;&gt;"",FIXED(INDEX('Impact Indicators - Section B '!O$1:O$82,MATCH($A58,'Impact Indicators - Section B '!$A$1:$A$82,0)),4),""),"")&amp;"/"&amp;IFERROR(IF(INDEX('Impact Indicators - Section B '!O$1:O$82,MATCH($A58,'Impact Indicators - Section B '!$A$1:$A$82,0)+1)&lt;&gt;"",FIXED(INDEX('Impact Indicators - Section B '!O$1:O$82,MATCH($A58,'Impact Indicators - Section B '!$A$1:$A$82,0)+1),2),""),"")&amp;CHAR(10)&amp;IFERROR(IF(INDEX('Impact Indicators - Section B '!P$1:P$82,MATCH($A58,'Impact Indicators - Section B '!$A$1:$A$82,0))&lt;&gt;"",FIXED(INDEX('Impact Indicators - Section B '!P$1:P$82,MATCH($A58,'Impact Indicators - Section B '!$A$1:$A$82,0))*100,2)&amp;"%",""),"")&amp;CHAR(10)&amp;IFERROR(IF(INDEX('Impact Indicators - Section B '!R$1:R$82,MATCH($A58,'Impact Indicators - Section B '!$A$1:$A$82,0))&lt;&gt;"",INDEX('Impact Indicators - Section B '!R$1:R$82,MATCH($A58,'Impact Indicators - Section B '!$A$1:$A$82,0)),""),"")&amp;CHAR(10)&amp;IFERROR(IF(INDEX('Impact Indicators - Section B '!Q$1:Q$82,MATCH($A58,'Impact Indicators - Section B '!$A$1:$A$82,0))&lt;&gt;"",TEXT(INDEX('Impact Indicators - Section B '!Q$1:Q$82,MATCH($A58,'Impact Indicators - Section B '!$A$1:$A$82,0)),Setup!$A$33),""),"")</f>
        <v>0.9000/
30-Mar-24</v>
      </c>
      <c r="R58" s="399" t="str">
        <f ca="1">IFERROR(IF(INDEX('Impact Indicators - Section B '!S$1:S$82,MATCH($A58,'Impact Indicators - Section B '!$A$1:$A$82,0))&lt;&gt;"",FIXED(INDEX('Impact Indicators - Section B '!S$1:S$82,MATCH($A58,'Impact Indicators - Section B '!$A$1:$A$82,0)),4),""),"")&amp;"/"&amp;IFERROR(IF(INDEX('Impact Indicators - Section B '!S$1:S$82,MATCH($A58,'Impact Indicators - Section B '!$A$1:$A$82,0)+1)&lt;&gt;"",FIXED(INDEX('Impact Indicators - Section B '!S$1:S$82,MATCH($A58,'Impact Indicators - Section B '!$A$1:$A$82,0)+1),2),""),"")&amp;CHAR(10)&amp;IFERROR(IF(INDEX('Impact Indicators - Section B '!T$1:T$82,MATCH($A58,'Impact Indicators - Section B '!$A$1:$A$82,0))&lt;&gt;"",FIXED(INDEX('Impact Indicators - Section B '!T$1:T$82,MATCH($A58,'Impact Indicators - Section B '!$A$1:$A$82,0))*100,2)&amp;"%",""),"")&amp;CHAR(10)&amp;IFERROR(IF(INDEX('Impact Indicators - Section B '!V$1:V$82,MATCH($A58,'Impact Indicators - Section B '!$A$1:$A$82,0))&lt;&gt;"",INDEX('Impact Indicators - Section B '!V$1:V$82,MATCH($A58,'Impact Indicators - Section B '!$A$1:$A$82,0)),""),"")&amp;CHAR(10)&amp;IFERROR(IF(INDEX('Impact Indicators - Section B '!U$1:U$82,MATCH($A58,'Impact Indicators - Section B '!$A$1:$A$82,0))&lt;&gt;"",TEXT(INDEX('Impact Indicators - Section B '!U$1:U$82,MATCH($A58,'Impact Indicators - Section B '!$A$1:$A$82,0)),Setup!$A$33),""),"")</f>
        <v>0.8500/
30-Mar-25</v>
      </c>
      <c r="S58" s="399" t="str">
        <f ca="1">IFERROR(IF(INDEX('Impact Indicators - Section B '!W$1:W$82,MATCH($A58,'Impact Indicators - Section B '!$A$1:$A$82,0))&lt;&gt;"",FIXED(INDEX('Impact Indicators - Section B '!W$1:W$82,MATCH($A58,'Impact Indicators - Section B '!$A$1:$A$82,0)),4),""),"")&amp;"/"&amp;IFERROR(IF(INDEX('Impact Indicators - Section B '!W$1:W$82,MATCH($A58,'Impact Indicators - Section B '!$A$1:$A$82,0)+1)&lt;&gt;"",FIXED(INDEX('Impact Indicators - Section B '!W$1:W$82,MATCH($A58,'Impact Indicators - Section B '!$A$1:$A$82,0)+1),2),""),"")&amp;CHAR(10)&amp;IFERROR(IF(INDEX('Impact Indicators - Section B '!X$1:X$82,MATCH($A58,'Impact Indicators - Section B '!$A$1:$A$82,0))&lt;&gt;"",FIXED(INDEX('Impact Indicators - Section B '!X$1:X$82,MATCH($A58,'Impact Indicators - Section B '!$A$1:$A$82,0))*100,2)&amp;"%",""),"")&amp;CHAR(10)&amp;IFERROR(IF(INDEX('Impact Indicators - Section B '!Z$1:Z$82,MATCH($A58,'Impact Indicators - Section B '!$A$1:$A$82,0))&lt;&gt;"",INDEX('Impact Indicators - Section B '!Z$1:Z$82,MATCH($A58,'Impact Indicators - Section B '!$A$1:$A$82,0)),""),"")&amp;CHAR(10)&amp;IFERROR(IF(INDEX('Impact Indicators - Section B '!Y$1:Y$82,MATCH($A58,'Impact Indicators - Section B '!$A$1:$A$82,0))&lt;&gt;"",TEXT(INDEX('Impact Indicators - Section B '!Y$1:Y$82,MATCH($A58,'Impact Indicators - Section B '!$A$1:$A$82,0)),Setup!$A$33),""),"")</f>
        <v xml:space="preserve">/
</v>
      </c>
      <c r="T58" s="418"/>
      <c r="U58" s="223"/>
      <c r="V58" s="223"/>
      <c r="W58" s="223"/>
      <c r="X58" s="223"/>
      <c r="Y58" s="223"/>
      <c r="Z58" s="223"/>
      <c r="AA58" s="223"/>
      <c r="AB58" s="223"/>
      <c r="AC58" s="223"/>
      <c r="AD58" s="223"/>
      <c r="AE58" s="223"/>
      <c r="AF58" s="223"/>
      <c r="AG58" s="223"/>
      <c r="AH58" s="223"/>
      <c r="AI58" s="223"/>
      <c r="AJ58" s="223"/>
      <c r="AK58" s="223"/>
      <c r="AL58" s="223"/>
      <c r="AM58" s="223"/>
      <c r="AN58" s="223"/>
      <c r="AO58" s="223" t="str">
        <f ca="1">IFERROR(IF(INDEX('Impact Indicators - Section B '!AA$1:AA$82,MATCH($A58,'Impact Indicators - Section B '!$A$1:$A$82,0))&lt;&gt;0,INDEX('Impact Indicators - Section B '!AA$1:AA$82,MATCH($A58,'Impact Indicators - Section B '!$A$1:$A$82,0)),""),"")</f>
        <v>Supuesto estimación de metas: El país se propone reducir la mortalidad al año 2025 tomando como parámetro  la estrategia Fin a la TB como meta; por tal razón El Salvador pretende sostener al menos una tasa de mortalidad menor de uno (&lt;1) durante los proximos años de la subvencion. Y alcanzar una tasa de 0.85 para el último año de la subvención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Numerador:  número de muertes por tuberculosis todas las formas registradas, certificadas y reportadas a nivel nacional del año anterior en todos los niveles. 
Denominador:  Total de la población (DIGESTYC) por 100,000 habitantes del año a evaluar.El indicador es de reporte ANUAL NO ACUMULATIVO.
Fuente de Información: SIMMOW (Sistema de morbimortalidad de El Salvador) que son los mismos  datos oficiales  notificados por el país, publicados  y validados por la OMS en el Global TB report.</v>
      </c>
      <c r="AP58" s="223"/>
      <c r="AQ58" s="223"/>
      <c r="AR58" s="223"/>
      <c r="AS58" s="223"/>
      <c r="AT58" s="223" t="str">
        <f>CONCATENATE($A58,J$52)</f>
        <v>3</v>
      </c>
      <c r="AU58" s="223" t="str">
        <f>CONCATENATE($A58,O$52)</f>
        <v>3</v>
      </c>
      <c r="AV58" s="223"/>
      <c r="AW58" s="223" t="str">
        <f>CONCATENATE($A58,X$52)</f>
        <v>3</v>
      </c>
      <c r="AX58" s="223" t="str">
        <f>CONCATENATE($A58,AB$52)</f>
        <v>3</v>
      </c>
      <c r="AY58" s="223"/>
      <c r="AZ58" s="223"/>
      <c r="BA58" s="223"/>
      <c r="BB58" s="223"/>
      <c r="BC58" s="419"/>
    </row>
    <row r="59" spans="1:55" s="420" customFormat="1" ht="100.4" customHeight="1" x14ac:dyDescent="0.5">
      <c r="A59" s="844"/>
      <c r="B59" s="821" t="str">
        <f ca="1">IFERROR(IF(INDEX('Impact Indicators - Section B '!AA$1:AA$82,MATCH($A58,'Impact Indicators - Section B '!$A$1:$A$82,0))&lt;&gt;0,INDEX('Impact Indicators - Section B '!AA$1:AA$82,MATCH($A58,'Impact Indicators - Section B '!$A$1:$A$82,0)),""),"")</f>
        <v>Supuesto estimación de metas: El país se propone reducir la mortalidad al año 2025 tomando como parámetro  la estrategia Fin a la TB como meta; por tal razón El Salvador pretende sostener al menos una tasa de mortalidad menor de uno (&lt;1) durante los proximos años de la subvencion. Y alcanzar una tasa de 0.85 para el último año de la subvención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Numerador:  número de muertes por tuberculosis todas las formas registradas, certificadas y reportadas a nivel nacional del año anterior en todos los niveles. 
Denominador:  Total de la población (DIGESTYC) por 100,000 habitantes del año a evaluar.El indicador es de reporte ANUAL NO ACUMULATIVO.
Fuente de Información: SIMMOW (Sistema de morbimortalidad de El Salvador) que son los mismos  datos oficiales  notificados por el país, publicados  y validados por la OMS en el Global TB report.</v>
      </c>
      <c r="C59" s="822"/>
      <c r="D59" s="822"/>
      <c r="E59" s="822"/>
      <c r="F59" s="822"/>
      <c r="G59" s="822"/>
      <c r="H59" s="822"/>
      <c r="I59" s="822"/>
      <c r="J59" s="822"/>
      <c r="K59" s="822"/>
      <c r="L59" s="822"/>
      <c r="M59" s="822"/>
      <c r="N59" s="822"/>
      <c r="O59" s="822"/>
      <c r="P59" s="822"/>
      <c r="Q59" s="822"/>
      <c r="R59" s="822"/>
      <c r="S59" s="823"/>
      <c r="T59" s="306"/>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419"/>
    </row>
    <row r="60" spans="1:55" s="105" customFormat="1" ht="145.4" customHeight="1" x14ac:dyDescent="0.5">
      <c r="A60" s="845">
        <v>4</v>
      </c>
      <c r="B60" s="861" t="str">
        <f ca="1">IFERROR(IF(INDEX('Impact Indicators - Section B '!B$1:B$82,MATCH($A60,'Impact Indicators - Section B '!$A$1:$A$82,0))&lt;&gt;0,INDEX('Impact Indicators - Section B '!B$1:B$82,MATCH($A60,'Impact Indicators - Section B '!$A$1:$A$82,0)),""),"")</f>
        <v/>
      </c>
      <c r="C60" s="862"/>
      <c r="D60" s="863"/>
      <c r="E60" s="861" t="str">
        <f ca="1">IFERROR(IF(INDEX('Impact Indicators - Section B '!C$1:C$82,MATCH($A60,'Impact Indicators - Section B '!$A$1:$A$82,0))&lt;&gt;0,INDEX('Impact Indicators - Section B '!C$1:C$82,MATCH($A60,'Impact Indicators - Section B '!$A$1:$A$82,0)),""),"")</f>
        <v/>
      </c>
      <c r="F60" s="862"/>
      <c r="G60" s="863"/>
      <c r="H60" s="383" t="str">
        <f ca="1">IFERROR(IF(INDEX('Impact Indicators - Section B '!D$1:D$82,MATCH($A60,'Impact Indicators - Section B '!$A$1:$A$82,0))&lt;&gt;"",FIXED(INDEX('Impact Indicators - Section B '!D$1:D$82,MATCH($A60,'Impact Indicators - Section B '!$A$1:$A$82,0)),4),""),"")&amp;"/"&amp;IFERROR(IF(INDEX('Impact Indicators - Section B '!D$1:D$82,MATCH($A60,'Impact Indicators - Section B '!$A$1:$A$82,0)+1)&lt;&gt;"",FIXED(INDEX('Impact Indicators - Section B '!D$1:D$82,MATCH($A60,'Impact Indicators - Section B '!$A$1:$A$82,0)+1),2),""),"")&amp;CHAR(10)&amp;IFERROR(IF(INDEX('Impact Indicators - Section B '!E$1:E$82,MATCH($A60,'Impact Indicators - Section B '!$A$1:$A$82,0))&lt;&gt;"",FIXED(INDEX('Impact Indicators - Section B '!E$1:E$82,MATCH($A60,'Impact Indicators - Section B '!$A$1:$A$82,0))*100,2)&amp;"%",""),"")</f>
        <v xml:space="preserve">/
</v>
      </c>
      <c r="I60" s="384"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
</v>
      </c>
      <c r="J60" s="861" t="str">
        <f ca="1">IFERROR(IF(INDEX('Impact Indicators - Section B '!H$1:H$82,MATCH($A60,'Impact Indicators - Section B '!$A$1:$A$82,0))&lt;&gt;0,INDEX('Impact Indicators - Section B '!H$1:H$82,MATCH($A60,'Impact Indicators - Section B '!$A$1:$A$82,0)),""),"")</f>
        <v/>
      </c>
      <c r="K60" s="862"/>
      <c r="L60" s="862"/>
      <c r="M60" s="863"/>
      <c r="N60" s="414" t="str">
        <f ca="1">IFERROR(IF(AND('Overview - Section A'!AN$5="Grant Making",OR(B60&lt;&gt;"",E60&lt;&gt;"")),Setup!I15,IF(INDEX('Impact Indicators - Section B '!I$1:I$82,MATCH($A60,'Impact Indicators - Section B '!$A$1:$A$82,0))&lt;&gt;0,INDEX('Impact Indicators - Section B '!I$1:I$82,MATCH($A60,'Impact Indicators - Section B '!$A$1:$A$82,0)),"")),"")</f>
        <v/>
      </c>
      <c r="O60" s="384" t="str">
        <f ca="1">IFERROR(IF(INDEX('Impact Indicators - Section B '!J$1:J$82,MATCH($A60,'Impact Indicators - Section B '!$A$1:$A$82,0))&lt;&gt;0,INDEX('Impact Indicators - Section B '!J$1:J$82,MATCH($A60,'Impact Indicators - Section B '!$A$1:$A$82,0)),""),"")</f>
        <v/>
      </c>
      <c r="P60" s="386" t="str">
        <f ca="1">IFERROR(IF(INDEX('Impact Indicators - Section B '!K$1:K$82,MATCH($A60,'Impact Indicators - Section B '!$A$1:$A$82,0))&lt;&gt;"",FIXED(INDEX('Impact Indicators - Section B '!K$1:K$82,MATCH($A60,'Impact Indicators - Section B '!$A$1:$A$82,0)),4),""),"")&amp;"/"&amp;IFERROR(IF(INDEX('Impact Indicators - Section B '!K$1:K$82,MATCH($A60,'Impact Indicators - Section B '!$A$1:$A$82,0)+1)&lt;&gt;"",FIXED(INDEX('Impact Indicators - Section B '!K$1:K$82,MATCH($A60,'Impact Indicators - Section B '!$A$1:$A$82,0)+1),2),""),"")&amp;CHAR(10)&amp;IFERROR(IF(INDEX('Impact Indicators - Section B '!L$1:L$82,MATCH($A60,'Impact Indicators - Section B '!$A$1:$A$82,0))&lt;&gt;"",FIXED(INDEX('Impact Indicators - Section B '!L$1:L$82,MATCH($A60,'Impact Indicators - Section B '!$A$1:$A$82,0))*100,2)&amp;"%",""),"")&amp;CHAR(10)&amp;IFERROR(IF(INDEX('Impact Indicators - Section B '!N$1:N$82,MATCH($A60,'Impact Indicators - Section B '!$A$1:$A$82,0))&lt;&gt;"",INDEX('Impact Indicators - Section B '!N$1:N$82,MATCH($A60,'Impact Indicators - Section B '!$A$1:$A$82,0)),""),"")&amp;CHAR(10)&amp;IFERROR(IF(INDEX('Impact Indicators - Section B '!M$1:M$82,MATCH($A60,'Impact Indicators - Section B '!$A$1:$A$82,0))&lt;&gt;"",TEXT(INDEX('Impact Indicators - Section B '!M$1:M$82,MATCH($A60,'Impact Indicators - Section B '!$A$1:$A$82,0)),Setup!$A$33),""),"")</f>
        <v xml:space="preserve">/
</v>
      </c>
      <c r="Q60" s="386" t="str">
        <f ca="1">IFERROR(IF(INDEX('Impact Indicators - Section B '!O$1:O$82,MATCH($A60,'Impact Indicators - Section B '!$A$1:$A$82,0))&lt;&gt;"",FIXED(INDEX('Impact Indicators - Section B '!O$1:O$82,MATCH($A60,'Impact Indicators - Section B '!$A$1:$A$82,0)),4),""),"")&amp;"/"&amp;IFERROR(IF(INDEX('Impact Indicators - Section B '!O$1:O$82,MATCH($A60,'Impact Indicators - Section B '!$A$1:$A$82,0)+1)&lt;&gt;"",FIXED(INDEX('Impact Indicators - Section B '!O$1:O$82,MATCH($A60,'Impact Indicators - Section B '!$A$1:$A$82,0)+1),2),""),"")&amp;CHAR(10)&amp;IFERROR(IF(INDEX('Impact Indicators - Section B '!P$1:P$82,MATCH($A60,'Impact Indicators - Section B '!$A$1:$A$82,0))&lt;&gt;"",FIXED(INDEX('Impact Indicators - Section B '!P$1:P$82,MATCH($A60,'Impact Indicators - Section B '!$A$1:$A$82,0))*100,2)&amp;"%",""),"")&amp;CHAR(10)&amp;IFERROR(IF(INDEX('Impact Indicators - Section B '!R$1:R$82,MATCH($A60,'Impact Indicators - Section B '!$A$1:$A$82,0))&lt;&gt;"",INDEX('Impact Indicators - Section B '!R$1:R$82,MATCH($A60,'Impact Indicators - Section B '!$A$1:$A$82,0)),""),"")&amp;CHAR(10)&amp;IFERROR(IF(INDEX('Impact Indicators - Section B '!Q$1:Q$82,MATCH($A60,'Impact Indicators - Section B '!$A$1:$A$82,0))&lt;&gt;"",TEXT(INDEX('Impact Indicators - Section B '!Q$1:Q$82,MATCH($A60,'Impact Indicators - Section B '!$A$1:$A$82,0)),Setup!$A$33),""),"")</f>
        <v xml:space="preserve">/
</v>
      </c>
      <c r="R60" s="386" t="str">
        <f ca="1">IFERROR(IF(INDEX('Impact Indicators - Section B '!S$1:S$82,MATCH($A60,'Impact Indicators - Section B '!$A$1:$A$82,0))&lt;&gt;"",FIXED(INDEX('Impact Indicators - Section B '!S$1:S$82,MATCH($A60,'Impact Indicators - Section B '!$A$1:$A$82,0)),4),""),"")&amp;"/"&amp;IFERROR(IF(INDEX('Impact Indicators - Section B '!S$1:S$82,MATCH($A60,'Impact Indicators - Section B '!$A$1:$A$82,0)+1)&lt;&gt;"",FIXED(INDEX('Impact Indicators - Section B '!S$1:S$82,MATCH($A60,'Impact Indicators - Section B '!$A$1:$A$82,0)+1),2),""),"")&amp;CHAR(10)&amp;IFERROR(IF(INDEX('Impact Indicators - Section B '!T$1:T$82,MATCH($A60,'Impact Indicators - Section B '!$A$1:$A$82,0))&lt;&gt;"",FIXED(INDEX('Impact Indicators - Section B '!T$1:T$82,MATCH($A60,'Impact Indicators - Section B '!$A$1:$A$82,0))*100,2)&amp;"%",""),"")&amp;CHAR(10)&amp;IFERROR(IF(INDEX('Impact Indicators - Section B '!V$1:V$82,MATCH($A60,'Impact Indicators - Section B '!$A$1:$A$82,0))&lt;&gt;"",INDEX('Impact Indicators - Section B '!V$1:V$82,MATCH($A60,'Impact Indicators - Section B '!$A$1:$A$82,0)),""),"")&amp;CHAR(10)&amp;IFERROR(IF(INDEX('Impact Indicators - Section B '!U$1:U$82,MATCH($A60,'Impact Indicators - Section B '!$A$1:$A$82,0))&lt;&gt;"",TEXT(INDEX('Impact Indicators - Section B '!U$1:U$82,MATCH($A60,'Impact Indicators - Section B '!$A$1:$A$82,0)),Setup!$A$33),""),"")</f>
        <v xml:space="preserve">/
</v>
      </c>
      <c r="S60" s="386" t="str">
        <f ca="1">IFERROR(IF(INDEX('Impact Indicators - Section B '!W$1:W$82,MATCH($A60,'Impact Indicators - Section B '!$A$1:$A$82,0))&lt;&gt;"",FIXED(INDEX('Impact Indicators - Section B '!W$1:W$82,MATCH($A60,'Impact Indicators - Section B '!$A$1:$A$82,0)),4),""),"")&amp;"/"&amp;IFERROR(IF(INDEX('Impact Indicators - Section B '!W$1:W$82,MATCH($A60,'Impact Indicators - Section B '!$A$1:$A$82,0)+1)&lt;&gt;"",FIXED(INDEX('Impact Indicators - Section B '!W$1:W$82,MATCH($A60,'Impact Indicators - Section B '!$A$1:$A$82,0)+1),2),""),"")&amp;CHAR(10)&amp;IFERROR(IF(INDEX('Impact Indicators - Section B '!X$1:X$82,MATCH($A60,'Impact Indicators - Section B '!$A$1:$A$82,0))&lt;&gt;"",FIXED(INDEX('Impact Indicators - Section B '!X$1:X$82,MATCH($A60,'Impact Indicators - Section B '!$A$1:$A$82,0))*100,2)&amp;"%",""),"")&amp;CHAR(10)&amp;IFERROR(IF(INDEX('Impact Indicators - Section B '!Z$1:Z$82,MATCH($A60,'Impact Indicators - Section B '!$A$1:$A$82,0))&lt;&gt;"",INDEX('Impact Indicators - Section B '!Z$1:Z$82,MATCH($A60,'Impact Indicators - Section B '!$A$1:$A$82,0)),""),"")&amp;CHAR(10)&amp;IFERROR(IF(INDEX('Impact Indicators - Section B '!Y$1:Y$82,MATCH($A60,'Impact Indicators - Section B '!$A$1:$A$82,0))&lt;&gt;"",TEXT(INDEX('Impact Indicators - Section B '!Y$1:Y$82,MATCH($A60,'Impact Indicators - Section B '!$A$1:$A$82,0)),Setup!$A$33),""),"")</f>
        <v xml:space="preserve">/
</v>
      </c>
      <c r="T60" s="305"/>
      <c r="U60" s="223"/>
      <c r="V60" s="223"/>
      <c r="W60" s="223"/>
      <c r="X60" s="223"/>
      <c r="Y60" s="223"/>
      <c r="Z60" s="223"/>
      <c r="AA60" s="223"/>
      <c r="AB60" s="223"/>
      <c r="AC60" s="223"/>
      <c r="AD60" s="223"/>
      <c r="AE60" s="223"/>
      <c r="AF60" s="223"/>
      <c r="AG60" s="223"/>
      <c r="AH60" s="223"/>
      <c r="AI60" s="223"/>
      <c r="AJ60" s="223"/>
      <c r="AK60" s="223"/>
      <c r="AL60" s="223"/>
      <c r="AM60" s="223"/>
      <c r="AN60" s="223"/>
      <c r="AO60" s="223" t="str">
        <f ca="1">IFERROR(IF(INDEX('Impact Indicators - Section B '!AA$1:AA$82,MATCH($A60,'Impact Indicators - Section B '!$A$1:$A$82,0))&lt;&gt;0,INDEX('Impact Indicators - Section B '!AA$1:AA$82,MATCH($A60,'Impact Indicators - Section B '!$A$1:$A$82,0)),""),"")</f>
        <v/>
      </c>
      <c r="AP60" s="223"/>
      <c r="AQ60" s="223"/>
      <c r="AR60" s="223"/>
      <c r="AS60" s="223"/>
      <c r="AT60" s="223" t="str">
        <f>CONCATENATE($A60,J$52)</f>
        <v>4</v>
      </c>
      <c r="AU60" s="223" t="str">
        <f>CONCATENATE($A60,O$52)</f>
        <v>4</v>
      </c>
      <c r="AV60" s="223"/>
      <c r="AW60" s="223" t="str">
        <f>CONCATENATE($A60,X$52)</f>
        <v>4</v>
      </c>
      <c r="AX60" s="223" t="str">
        <f>CONCATENATE($A60,AB$52)</f>
        <v>4</v>
      </c>
      <c r="AY60" s="223"/>
      <c r="AZ60" s="223"/>
      <c r="BA60" s="223"/>
      <c r="BB60" s="223"/>
      <c r="BC60" s="120"/>
    </row>
    <row r="61" spans="1:55" s="105" customFormat="1" ht="100.4" customHeight="1" x14ac:dyDescent="0.5">
      <c r="A61" s="845"/>
      <c r="B61" s="809" t="str">
        <f ca="1">IFERROR(IF(INDEX('Impact Indicators - Section B '!AA$1:AA$82,MATCH($A60,'Impact Indicators - Section B '!$A$1:$A$82,0))&lt;&gt;0,INDEX('Impact Indicators - Section B '!AA$1:AA$82,MATCH($A60,'Impact Indicators - Section B '!$A$1:$A$82,0)),""),"")</f>
        <v/>
      </c>
      <c r="C61" s="810"/>
      <c r="D61" s="810"/>
      <c r="E61" s="810"/>
      <c r="F61" s="810"/>
      <c r="G61" s="810"/>
      <c r="H61" s="810"/>
      <c r="I61" s="811"/>
      <c r="J61" s="811"/>
      <c r="K61" s="811"/>
      <c r="L61" s="811"/>
      <c r="M61" s="811"/>
      <c r="N61" s="811"/>
      <c r="O61" s="811"/>
      <c r="P61" s="811"/>
      <c r="Q61" s="811"/>
      <c r="R61" s="811"/>
      <c r="S61" s="812"/>
      <c r="T61" s="306"/>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120"/>
    </row>
    <row r="62" spans="1:55" s="420" customFormat="1" ht="145.4" customHeight="1" x14ac:dyDescent="0.5">
      <c r="A62" s="844">
        <v>5</v>
      </c>
      <c r="B62" s="864" t="str">
        <f ca="1">IFERROR(IF(INDEX('Impact Indicators - Section B '!B$1:B$82,MATCH($A62,'Impact Indicators - Section B '!$A$1:$A$82,0))&lt;&gt;0,INDEX('Impact Indicators - Section B '!B$1:B$82,MATCH($A62,'Impact Indicators - Section B '!$A$1:$A$82,0)),""),"")</f>
        <v/>
      </c>
      <c r="C62" s="865"/>
      <c r="D62" s="866"/>
      <c r="E62" s="864" t="str">
        <f ca="1">IFERROR(IF(INDEX('Impact Indicators - Section B '!C$1:C$82,MATCH($A62,'Impact Indicators - Section B '!$A$1:$A$82,0))&lt;&gt;0,INDEX('Impact Indicators - Section B '!C$1:C$82,MATCH($A62,'Impact Indicators - Section B '!$A$1:$A$82,0)),""),"")</f>
        <v/>
      </c>
      <c r="F62" s="865"/>
      <c r="G62" s="866"/>
      <c r="H62" s="416" t="str">
        <f ca="1">IFERROR(IF(INDEX('Impact Indicators - Section B '!D$1:D$82,MATCH($A62,'Impact Indicators - Section B '!$A$1:$A$82,0))&lt;&gt;"",FIXED(INDEX('Impact Indicators - Section B '!D$1:D$82,MATCH($A62,'Impact Indicators - Section B '!$A$1:$A$82,0)),4),""),"")&amp;"/"&amp;IFERROR(IF(INDEX('Impact Indicators - Section B '!D$1:D$82,MATCH($A62,'Impact Indicators - Section B '!$A$1:$A$82,0)+1)&lt;&gt;"",FIXED(INDEX('Impact Indicators - Section B '!D$1:D$82,MATCH($A62,'Impact Indicators - Section B '!$A$1:$A$82,0)+1),2),""),"")&amp;CHAR(10)&amp;IFERROR(IF(INDEX('Impact Indicators - Section B '!E$1:E$82,MATCH($A62,'Impact Indicators - Section B '!$A$1:$A$82,0))&lt;&gt;"",FIXED(INDEX('Impact Indicators - Section B '!E$1:E$82,MATCH($A62,'Impact Indicators - Section B '!$A$1:$A$82,0))*100,2)&amp;"%",""),"")</f>
        <v xml:space="preserve">/
</v>
      </c>
      <c r="I62" s="417"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864" t="str">
        <f ca="1">IFERROR(IF(INDEX('Impact Indicators - Section B '!H$1:H$82,MATCH($A62,'Impact Indicators - Section B '!$A$1:$A$82,0))&lt;&gt;0,INDEX('Impact Indicators - Section B '!H$1:H$82,MATCH($A62,'Impact Indicators - Section B '!$A$1:$A$82,0)),""),"")</f>
        <v/>
      </c>
      <c r="K62" s="865"/>
      <c r="L62" s="865"/>
      <c r="M62" s="866"/>
      <c r="N62" s="398" t="str">
        <f ca="1">IFERROR(IF(AND('Overview - Section A'!AN$5="Grant Making",OR(B62&lt;&gt;"",E62&lt;&gt;"")),Setup!I15,IF(INDEX('Impact Indicators - Section B '!I$1:I$82,MATCH($A62,'Impact Indicators - Section B '!$A$1:$A$82,0))&lt;&gt;0,INDEX('Impact Indicators - Section B '!I$1:I$82,MATCH($A62,'Impact Indicators - Section B '!$A$1:$A$82,0)),"")),"")</f>
        <v/>
      </c>
      <c r="O62" s="417" t="str">
        <f ca="1">IFERROR(IF(INDEX('Impact Indicators - Section B '!J$1:J$82,MATCH($A62,'Impact Indicators - Section B '!$A$1:$A$82,0))&lt;&gt;0,INDEX('Impact Indicators - Section B '!J$1:J$82,MATCH($A62,'Impact Indicators - Section B '!$A$1:$A$82,0)),""),"")</f>
        <v/>
      </c>
      <c r="P62" s="399" t="str">
        <f ca="1">IFERROR(IF(INDEX('Impact Indicators - Section B '!K$1:K$82,MATCH($A62,'Impact Indicators - Section B '!$A$1:$A$82,0))&lt;&gt;"",FIXED(INDEX('Impact Indicators - Section B '!K$1:K$82,MATCH($A62,'Impact Indicators - Section B '!$A$1:$A$82,0)),4),""),"")&amp;"/"&amp;IFERROR(IF(INDEX('Impact Indicators - Section B '!K$1:K$82,MATCH($A62,'Impact Indicators - Section B '!$A$1:$A$82,0)+1)&lt;&gt;"",FIXED(INDEX('Impact Indicators - Section B '!K$1:K$82,MATCH($A62,'Impact Indicators - Section B '!$A$1:$A$82,0)+1),2),""),"")&amp;CHAR(10)&amp;IFERROR(IF(INDEX('Impact Indicators - Section B '!L$1:L$82,MATCH($A62,'Impact Indicators - Section B '!$A$1:$A$82,0))&lt;&gt;"",FIXED(INDEX('Impact Indicators - Section B '!L$1:L$82,MATCH($A62,'Impact Indicators - Section B '!$A$1:$A$82,0))*100,2)&amp;"%",""),"")&amp;CHAR(10)&amp;IFERROR(IF(INDEX('Impact Indicators - Section B '!N$1:N$82,MATCH($A62,'Impact Indicators - Section B '!$A$1:$A$82,0))&lt;&gt;"",INDEX('Impact Indicators - Section B '!N$1:N$82,MATCH($A62,'Impact Indicators - Section B '!$A$1:$A$82,0)),""),"")&amp;CHAR(10)&amp;IFERROR(IF(INDEX('Impact Indicators - Section B '!M$1:M$82,MATCH($A62,'Impact Indicators - Section B '!$A$1:$A$82,0))&lt;&gt;"",TEXT(INDEX('Impact Indicators - Section B '!M$1:M$82,MATCH($A62,'Impact Indicators - Section B '!$A$1:$A$82,0)),Setup!$A$33),""),"")</f>
        <v xml:space="preserve">/
</v>
      </c>
      <c r="Q62" s="399" t="str">
        <f ca="1">IFERROR(IF(INDEX('Impact Indicators - Section B '!O$1:O$82,MATCH($A62,'Impact Indicators - Section B '!$A$1:$A$82,0))&lt;&gt;"",FIXED(INDEX('Impact Indicators - Section B '!O$1:O$82,MATCH($A62,'Impact Indicators - Section B '!$A$1:$A$82,0)),4),""),"")&amp;"/"&amp;IFERROR(IF(INDEX('Impact Indicators - Section B '!O$1:O$82,MATCH($A62,'Impact Indicators - Section B '!$A$1:$A$82,0)+1)&lt;&gt;"",FIXED(INDEX('Impact Indicators - Section B '!O$1:O$82,MATCH($A62,'Impact Indicators - Section B '!$A$1:$A$82,0)+1),2),""),"")&amp;CHAR(10)&amp;IFERROR(IF(INDEX('Impact Indicators - Section B '!P$1:P$82,MATCH($A62,'Impact Indicators - Section B '!$A$1:$A$82,0))&lt;&gt;"",FIXED(INDEX('Impact Indicators - Section B '!P$1:P$82,MATCH($A62,'Impact Indicators - Section B '!$A$1:$A$82,0))*100,2)&amp;"%",""),"")&amp;CHAR(10)&amp;IFERROR(IF(INDEX('Impact Indicators - Section B '!R$1:R$82,MATCH($A62,'Impact Indicators - Section B '!$A$1:$A$82,0))&lt;&gt;"",INDEX('Impact Indicators - Section B '!R$1:R$82,MATCH($A62,'Impact Indicators - Section B '!$A$1:$A$82,0)),""),"")&amp;CHAR(10)&amp;IFERROR(IF(INDEX('Impact Indicators - Section B '!Q$1:Q$82,MATCH($A62,'Impact Indicators - Section B '!$A$1:$A$82,0))&lt;&gt;"",TEXT(INDEX('Impact Indicators - Section B '!Q$1:Q$82,MATCH($A62,'Impact Indicators - Section B '!$A$1:$A$82,0)),Setup!$A$33),""),"")</f>
        <v xml:space="preserve">/
</v>
      </c>
      <c r="R62" s="399" t="str">
        <f ca="1">IFERROR(IF(INDEX('Impact Indicators - Section B '!S$1:S$82,MATCH($A62,'Impact Indicators - Section B '!$A$1:$A$82,0))&lt;&gt;"",FIXED(INDEX('Impact Indicators - Section B '!S$1:S$82,MATCH($A62,'Impact Indicators - Section B '!$A$1:$A$82,0)),4),""),"")&amp;"/"&amp;IFERROR(IF(INDEX('Impact Indicators - Section B '!S$1:S$82,MATCH($A62,'Impact Indicators - Section B '!$A$1:$A$82,0)+1)&lt;&gt;"",FIXED(INDEX('Impact Indicators - Section B '!S$1:S$82,MATCH($A62,'Impact Indicators - Section B '!$A$1:$A$82,0)+1),2),""),"")&amp;CHAR(10)&amp;IFERROR(IF(INDEX('Impact Indicators - Section B '!T$1:T$82,MATCH($A62,'Impact Indicators - Section B '!$A$1:$A$82,0))&lt;&gt;"",FIXED(INDEX('Impact Indicators - Section B '!T$1:T$82,MATCH($A62,'Impact Indicators - Section B '!$A$1:$A$82,0))*100,2)&amp;"%",""),"")&amp;CHAR(10)&amp;IFERROR(IF(INDEX('Impact Indicators - Section B '!V$1:V$82,MATCH($A62,'Impact Indicators - Section B '!$A$1:$A$82,0))&lt;&gt;"",INDEX('Impact Indicators - Section B '!V$1:V$82,MATCH($A62,'Impact Indicators - Section B '!$A$1:$A$82,0)),""),"")&amp;CHAR(10)&amp;IFERROR(IF(INDEX('Impact Indicators - Section B '!U$1:U$82,MATCH($A62,'Impact Indicators - Section B '!$A$1:$A$82,0))&lt;&gt;"",TEXT(INDEX('Impact Indicators - Section B '!U$1:U$82,MATCH($A62,'Impact Indicators - Section B '!$A$1:$A$82,0)),Setup!$A$33),""),"")</f>
        <v xml:space="preserve">/
</v>
      </c>
      <c r="S62" s="399" t="str">
        <f ca="1">IFERROR(IF(INDEX('Impact Indicators - Section B '!W$1:W$82,MATCH($A62,'Impact Indicators - Section B '!$A$1:$A$82,0))&lt;&gt;"",FIXED(INDEX('Impact Indicators - Section B '!W$1:W$82,MATCH($A62,'Impact Indicators - Section B '!$A$1:$A$82,0)),4),""),"")&amp;"/"&amp;IFERROR(IF(INDEX('Impact Indicators - Section B '!W$1:W$82,MATCH($A62,'Impact Indicators - Section B '!$A$1:$A$82,0)+1)&lt;&gt;"",FIXED(INDEX('Impact Indicators - Section B '!W$1:W$82,MATCH($A62,'Impact Indicators - Section B '!$A$1:$A$82,0)+1),2),""),"")&amp;CHAR(10)&amp;IFERROR(IF(INDEX('Impact Indicators - Section B '!X$1:X$82,MATCH($A62,'Impact Indicators - Section B '!$A$1:$A$82,0))&lt;&gt;"",FIXED(INDEX('Impact Indicators - Section B '!X$1:X$82,MATCH($A62,'Impact Indicators - Section B '!$A$1:$A$82,0))*100,2)&amp;"%",""),"")&amp;CHAR(10)&amp;IFERROR(IF(INDEX('Impact Indicators - Section B '!Z$1:Z$82,MATCH($A62,'Impact Indicators - Section B '!$A$1:$A$82,0))&lt;&gt;"",INDEX('Impact Indicators - Section B '!Z$1:Z$82,MATCH($A62,'Impact Indicators - Section B '!$A$1:$A$82,0)),""),"")&amp;CHAR(10)&amp;IFERROR(IF(INDEX('Impact Indicators - Section B '!Y$1:Y$82,MATCH($A62,'Impact Indicators - Section B '!$A$1:$A$82,0))&lt;&gt;"",TEXT(INDEX('Impact Indicators - Section B '!Y$1:Y$82,MATCH($A62,'Impact Indicators - Section B '!$A$1:$A$82,0)),Setup!$A$33),""),"")</f>
        <v xml:space="preserve">/
</v>
      </c>
      <c r="T62" s="418"/>
      <c r="U62" s="223"/>
      <c r="V62" s="223"/>
      <c r="W62" s="223"/>
      <c r="X62" s="223"/>
      <c r="Y62" s="223"/>
      <c r="Z62" s="223"/>
      <c r="AA62" s="223"/>
      <c r="AB62" s="223"/>
      <c r="AC62" s="223"/>
      <c r="AD62" s="223"/>
      <c r="AE62" s="223"/>
      <c r="AF62" s="223"/>
      <c r="AG62" s="223"/>
      <c r="AH62" s="223"/>
      <c r="AI62" s="223"/>
      <c r="AJ62" s="223"/>
      <c r="AK62" s="223"/>
      <c r="AL62" s="223"/>
      <c r="AM62" s="223"/>
      <c r="AN62" s="223"/>
      <c r="AO62" s="223" t="str">
        <f ca="1">IFERROR(IF(INDEX('Impact Indicators - Section B '!AA$1:AA$82,MATCH($A62,'Impact Indicators - Section B '!$A$1:$A$82,0))&lt;&gt;0,INDEX('Impact Indicators - Section B '!AA$1:AA$82,MATCH($A62,'Impact Indicators - Section B '!$A$1:$A$82,0)),""),"")</f>
        <v/>
      </c>
      <c r="AP62" s="223"/>
      <c r="AQ62" s="223"/>
      <c r="AR62" s="223"/>
      <c r="AS62" s="223"/>
      <c r="AT62" s="223" t="str">
        <f>CONCATENATE($A62,J$52)</f>
        <v>5</v>
      </c>
      <c r="AU62" s="223" t="str">
        <f>CONCATENATE($A62,O$52)</f>
        <v>5</v>
      </c>
      <c r="AV62" s="223"/>
      <c r="AW62" s="223" t="str">
        <f>CONCATENATE($A62,X$52)</f>
        <v>5</v>
      </c>
      <c r="AX62" s="223" t="str">
        <f>CONCATENATE($A62,AB$52)</f>
        <v>5</v>
      </c>
      <c r="AY62" s="223"/>
      <c r="AZ62" s="223"/>
      <c r="BA62" s="223"/>
      <c r="BB62" s="223"/>
      <c r="BC62" s="419"/>
    </row>
    <row r="63" spans="1:55" s="420" customFormat="1" ht="100.4" customHeight="1" x14ac:dyDescent="0.5">
      <c r="A63" s="844"/>
      <c r="B63" s="867" t="str">
        <f ca="1">IFERROR(IF(INDEX('Impact Indicators - Section B '!AA$1:AA$82,MATCH($A62,'Impact Indicators - Section B '!$A$1:$A$82,0))&lt;&gt;0,INDEX('Impact Indicators - Section B '!AA$1:AA$82,MATCH($A62,'Impact Indicators - Section B '!$A$1:$A$82,0)),""),"")</f>
        <v/>
      </c>
      <c r="C63" s="868"/>
      <c r="D63" s="868"/>
      <c r="E63" s="868"/>
      <c r="F63" s="868"/>
      <c r="G63" s="868"/>
      <c r="H63" s="868"/>
      <c r="I63" s="868"/>
      <c r="J63" s="868"/>
      <c r="K63" s="868"/>
      <c r="L63" s="868"/>
      <c r="M63" s="868"/>
      <c r="N63" s="868"/>
      <c r="O63" s="868"/>
      <c r="P63" s="868"/>
      <c r="Q63" s="868"/>
      <c r="R63" s="868"/>
      <c r="S63" s="869"/>
      <c r="T63" s="306"/>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419"/>
    </row>
    <row r="64" spans="1:55" s="105" customFormat="1" ht="145.4" customHeight="1" x14ac:dyDescent="0.5">
      <c r="A64" s="845">
        <v>6</v>
      </c>
      <c r="B64" s="861" t="str">
        <f ca="1">IFERROR(IF(INDEX('Impact Indicators - Section B '!B$1:B$82,MATCH($A64,'Impact Indicators - Section B '!$A$1:$A$82,0))&lt;&gt;0,INDEX('Impact Indicators - Section B '!B$1:B$82,MATCH($A64,'Impact Indicators - Section B '!$A$1:$A$82,0)),""),"")</f>
        <v/>
      </c>
      <c r="C64" s="862"/>
      <c r="D64" s="863"/>
      <c r="E64" s="861" t="str">
        <f ca="1">IFERROR(IF(INDEX('Impact Indicators - Section B '!C$1:C$82,MATCH($A64,'Impact Indicators - Section B '!$A$1:$A$82,0))&lt;&gt;0,INDEX('Impact Indicators - Section B '!C$1:C$82,MATCH($A64,'Impact Indicators - Section B '!$A$1:$A$82,0)),""),"")</f>
        <v/>
      </c>
      <c r="F64" s="862"/>
      <c r="G64" s="863"/>
      <c r="H64" s="383" t="str">
        <f ca="1">IFERROR(IF(INDEX('Impact Indicators - Section B '!D$1:D$82,MATCH($A64,'Impact Indicators - Section B '!$A$1:$A$82,0))&lt;&gt;"",FIXED(INDEX('Impact Indicators - Section B '!D$1:D$82,MATCH($A64,'Impact Indicators - Section B '!$A$1:$A$82,0)),4),""),"")&amp;"/"&amp;IFERROR(IF(INDEX('Impact Indicators - Section B '!D$1:D$82,MATCH($A64,'Impact Indicators - Section B '!$A$1:$A$82,0)+1)&lt;&gt;"",FIXED(INDEX('Impact Indicators - Section B '!D$1:D$82,MATCH($A64,'Impact Indicators - Section B '!$A$1:$A$82,0)+1),2),""),"")&amp;CHAR(10)&amp;IFERROR(IF(INDEX('Impact Indicators - Section B '!E$1:E$82,MATCH($A64,'Impact Indicators - Section B '!$A$1:$A$82,0))&lt;&gt;"",FIXED(INDEX('Impact Indicators - Section B '!E$1:E$82,MATCH($A64,'Impact Indicators - Section B '!$A$1:$A$82,0))*100,2)&amp;"%",""),"")</f>
        <v xml:space="preserve">/
</v>
      </c>
      <c r="I64" s="384"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861" t="str">
        <f ca="1">IFERROR(IF(INDEX('Impact Indicators - Section B '!H$1:H$82,MATCH($A64,'Impact Indicators - Section B '!$A$1:$A$82,0))&lt;&gt;0,INDEX('Impact Indicators - Section B '!H$1:H$82,MATCH($A64,'Impact Indicators - Section B '!$A$1:$A$82,0)),""),"")</f>
        <v/>
      </c>
      <c r="K64" s="862"/>
      <c r="L64" s="862"/>
      <c r="M64" s="863"/>
      <c r="N64" s="414" t="str">
        <f ca="1">IFERROR(IF(AND('Overview - Section A'!AN$5="Grant Making",OR(B64&lt;&gt;"",E64&lt;&gt;"")),Setup!I15,IF(INDEX('Impact Indicators - Section B '!I$1:I$82,MATCH($A64,'Impact Indicators - Section B '!$A$1:$A$82,0))&lt;&gt;0,INDEX('Impact Indicators - Section B '!I$1:I$82,MATCH($A64,'Impact Indicators - Section B '!$A$1:$A$82,0)),"")),"")</f>
        <v/>
      </c>
      <c r="O64" s="384" t="str">
        <f ca="1">IFERROR(IF(INDEX('Impact Indicators - Section B '!J$1:J$82,MATCH($A64,'Impact Indicators - Section B '!$A$1:$A$82,0))&lt;&gt;0,INDEX('Impact Indicators - Section B '!J$1:J$82,MATCH($A64,'Impact Indicators - Section B '!$A$1:$A$82,0)),""),"")</f>
        <v/>
      </c>
      <c r="P64" s="386" t="str">
        <f ca="1">IFERROR(IF(INDEX('Impact Indicators - Section B '!K$1:K$82,MATCH($A64,'Impact Indicators - Section B '!$A$1:$A$82,0))&lt;&gt;"",FIXED(INDEX('Impact Indicators - Section B '!K$1:K$82,MATCH($A64,'Impact Indicators - Section B '!$A$1:$A$82,0)),4),""),"")&amp;"/"&amp;IFERROR(IF(INDEX('Impact Indicators - Section B '!K$1:K$82,MATCH($A64,'Impact Indicators - Section B '!$A$1:$A$82,0)+1)&lt;&gt;"",FIXED(INDEX('Impact Indicators - Section B '!K$1:K$82,MATCH($A64,'Impact Indicators - Section B '!$A$1:$A$82,0)+1),2),""),"")&amp;CHAR(10)&amp;IFERROR(IF(INDEX('Impact Indicators - Section B '!L$1:L$82,MATCH($A64,'Impact Indicators - Section B '!$A$1:$A$82,0))&lt;&gt;"",FIXED(INDEX('Impact Indicators - Section B '!L$1:L$82,MATCH($A64,'Impact Indicators - Section B '!$A$1:$A$82,0))*100,2)&amp;"%",""),"")&amp;CHAR(10)&amp;IFERROR(IF(INDEX('Impact Indicators - Section B '!N$1:N$82,MATCH($A64,'Impact Indicators - Section B '!$A$1:$A$82,0))&lt;&gt;"",INDEX('Impact Indicators - Section B '!N$1:N$82,MATCH($A64,'Impact Indicators - Section B '!$A$1:$A$82,0)),""),"")&amp;CHAR(10)&amp;IFERROR(IF(INDEX('Impact Indicators - Section B '!M$1:M$82,MATCH($A64,'Impact Indicators - Section B '!$A$1:$A$82,0))&lt;&gt;"",TEXT(INDEX('Impact Indicators - Section B '!M$1:M$82,MATCH($A64,'Impact Indicators - Section B '!$A$1:$A$82,0)),Setup!$A$33),""),"")</f>
        <v xml:space="preserve">/
</v>
      </c>
      <c r="Q64" s="386" t="str">
        <f ca="1">IFERROR(IF(INDEX('Impact Indicators - Section B '!O$1:O$82,MATCH($A64,'Impact Indicators - Section B '!$A$1:$A$82,0))&lt;&gt;"",FIXED(INDEX('Impact Indicators - Section B '!O$1:O$82,MATCH($A64,'Impact Indicators - Section B '!$A$1:$A$82,0)),4),""),"")&amp;"/"&amp;IFERROR(IF(INDEX('Impact Indicators - Section B '!O$1:O$82,MATCH($A64,'Impact Indicators - Section B '!$A$1:$A$82,0)+1)&lt;&gt;"",FIXED(INDEX('Impact Indicators - Section B '!O$1:O$82,MATCH($A64,'Impact Indicators - Section B '!$A$1:$A$82,0)+1),2),""),"")&amp;CHAR(10)&amp;IFERROR(IF(INDEX('Impact Indicators - Section B '!P$1:P$82,MATCH($A64,'Impact Indicators - Section B '!$A$1:$A$82,0))&lt;&gt;"",FIXED(INDEX('Impact Indicators - Section B '!P$1:P$82,MATCH($A64,'Impact Indicators - Section B '!$A$1:$A$82,0))*100,2)&amp;"%",""),"")&amp;CHAR(10)&amp;IFERROR(IF(INDEX('Impact Indicators - Section B '!R$1:R$82,MATCH($A64,'Impact Indicators - Section B '!$A$1:$A$82,0))&lt;&gt;"",INDEX('Impact Indicators - Section B '!R$1:R$82,MATCH($A64,'Impact Indicators - Section B '!$A$1:$A$82,0)),""),"")&amp;CHAR(10)&amp;IFERROR(IF(INDEX('Impact Indicators - Section B '!Q$1:Q$82,MATCH($A64,'Impact Indicators - Section B '!$A$1:$A$82,0))&lt;&gt;"",TEXT(INDEX('Impact Indicators - Section B '!Q$1:Q$82,MATCH($A64,'Impact Indicators - Section B '!$A$1:$A$82,0)),Setup!$A$33),""),"")</f>
        <v xml:space="preserve">/
</v>
      </c>
      <c r="R64" s="386" t="str">
        <f ca="1">IFERROR(IF(INDEX('Impact Indicators - Section B '!S$1:S$82,MATCH($A64,'Impact Indicators - Section B '!$A$1:$A$82,0))&lt;&gt;"",FIXED(INDEX('Impact Indicators - Section B '!S$1:S$82,MATCH($A64,'Impact Indicators - Section B '!$A$1:$A$82,0)),4),""),"")&amp;"/"&amp;IFERROR(IF(INDEX('Impact Indicators - Section B '!S$1:S$82,MATCH($A64,'Impact Indicators - Section B '!$A$1:$A$82,0)+1)&lt;&gt;"",FIXED(INDEX('Impact Indicators - Section B '!S$1:S$82,MATCH($A64,'Impact Indicators - Section B '!$A$1:$A$82,0)+1),2),""),"")&amp;CHAR(10)&amp;IFERROR(IF(INDEX('Impact Indicators - Section B '!T$1:T$82,MATCH($A64,'Impact Indicators - Section B '!$A$1:$A$82,0))&lt;&gt;"",FIXED(INDEX('Impact Indicators - Section B '!T$1:T$82,MATCH($A64,'Impact Indicators - Section B '!$A$1:$A$82,0))*100,2)&amp;"%",""),"")&amp;CHAR(10)&amp;IFERROR(IF(INDEX('Impact Indicators - Section B '!V$1:V$82,MATCH($A64,'Impact Indicators - Section B '!$A$1:$A$82,0))&lt;&gt;"",INDEX('Impact Indicators - Section B '!V$1:V$82,MATCH($A64,'Impact Indicators - Section B '!$A$1:$A$82,0)),""),"")&amp;CHAR(10)&amp;IFERROR(IF(INDEX('Impact Indicators - Section B '!U$1:U$82,MATCH($A64,'Impact Indicators - Section B '!$A$1:$A$82,0))&lt;&gt;"",TEXT(INDEX('Impact Indicators - Section B '!U$1:U$82,MATCH($A64,'Impact Indicators - Section B '!$A$1:$A$82,0)),Setup!$A$33),""),"")</f>
        <v xml:space="preserve">/
</v>
      </c>
      <c r="S64" s="386" t="str">
        <f ca="1">IFERROR(IF(INDEX('Impact Indicators - Section B '!W$1:W$82,MATCH($A64,'Impact Indicators - Section B '!$A$1:$A$82,0))&lt;&gt;"",FIXED(INDEX('Impact Indicators - Section B '!W$1:W$82,MATCH($A64,'Impact Indicators - Section B '!$A$1:$A$82,0)),4),""),"")&amp;"/"&amp;IFERROR(IF(INDEX('Impact Indicators - Section B '!W$1:W$82,MATCH($A64,'Impact Indicators - Section B '!$A$1:$A$82,0)+1)&lt;&gt;"",FIXED(INDEX('Impact Indicators - Section B '!W$1:W$82,MATCH($A64,'Impact Indicators - Section B '!$A$1:$A$82,0)+1),2),""),"")&amp;CHAR(10)&amp;IFERROR(IF(INDEX('Impact Indicators - Section B '!X$1:X$82,MATCH($A64,'Impact Indicators - Section B '!$A$1:$A$82,0))&lt;&gt;"",FIXED(INDEX('Impact Indicators - Section B '!X$1:X$82,MATCH($A64,'Impact Indicators - Section B '!$A$1:$A$82,0))*100,2)&amp;"%",""),"")&amp;CHAR(10)&amp;IFERROR(IF(INDEX('Impact Indicators - Section B '!Z$1:Z$82,MATCH($A64,'Impact Indicators - Section B '!$A$1:$A$82,0))&lt;&gt;"",INDEX('Impact Indicators - Section B '!Z$1:Z$82,MATCH($A64,'Impact Indicators - Section B '!$A$1:$A$82,0)),""),"")&amp;CHAR(10)&amp;IFERROR(IF(INDEX('Impact Indicators - Section B '!Y$1:Y$82,MATCH($A64,'Impact Indicators - Section B '!$A$1:$A$82,0))&lt;&gt;"",TEXT(INDEX('Impact Indicators - Section B '!Y$1:Y$82,MATCH($A64,'Impact Indicators - Section B '!$A$1:$A$82,0)),Setup!$A$33),""),"")</f>
        <v xml:space="preserve">/
</v>
      </c>
      <c r="T64" s="305"/>
      <c r="U64" s="223"/>
      <c r="V64" s="223"/>
      <c r="W64" s="223"/>
      <c r="X64" s="223"/>
      <c r="Y64" s="223"/>
      <c r="Z64" s="223"/>
      <c r="AA64" s="223"/>
      <c r="AB64" s="223"/>
      <c r="AC64" s="223"/>
      <c r="AD64" s="223"/>
      <c r="AE64" s="223"/>
      <c r="AF64" s="223"/>
      <c r="AG64" s="223"/>
      <c r="AH64" s="223"/>
      <c r="AI64" s="223"/>
      <c r="AJ64" s="223"/>
      <c r="AK64" s="223"/>
      <c r="AL64" s="223"/>
      <c r="AM64" s="223"/>
      <c r="AN64" s="223"/>
      <c r="AO64" s="223" t="str">
        <f ca="1">IFERROR(IF(INDEX('Impact Indicators - Section B '!AA$1:AA$82,MATCH($A64,'Impact Indicators - Section B '!$A$1:$A$82,0))&lt;&gt;0,INDEX('Impact Indicators - Section B '!AA$1:AA$82,MATCH($A64,'Impact Indicators - Section B '!$A$1:$A$82,0)),""),"")</f>
        <v/>
      </c>
      <c r="AP64" s="223"/>
      <c r="AQ64" s="223"/>
      <c r="AR64" s="223"/>
      <c r="AS64" s="223"/>
      <c r="AT64" s="223" t="str">
        <f>CONCATENATE($A64,J$52)</f>
        <v>6</v>
      </c>
      <c r="AU64" s="223" t="str">
        <f>CONCATENATE($A64,O$52)</f>
        <v>6</v>
      </c>
      <c r="AV64" s="223"/>
      <c r="AW64" s="223" t="str">
        <f>CONCATENATE($A64,X$52)</f>
        <v>6</v>
      </c>
      <c r="AX64" s="223" t="str">
        <f>CONCATENATE($A64,AB$52)</f>
        <v>6</v>
      </c>
      <c r="AY64" s="223"/>
      <c r="AZ64" s="223"/>
      <c r="BA64" s="223"/>
      <c r="BB64" s="223"/>
      <c r="BC64" s="120"/>
    </row>
    <row r="65" spans="1:55" s="105" customFormat="1" ht="100.4" customHeight="1" x14ac:dyDescent="0.5">
      <c r="A65" s="845"/>
      <c r="B65" s="809" t="str">
        <f ca="1">IFERROR(IF(INDEX('Impact Indicators - Section B '!AA$1:AA$82,MATCH($A64,'Impact Indicators - Section B '!$A$1:$A$82,0))&lt;&gt;0,INDEX('Impact Indicators - Section B '!AA$1:AA$82,MATCH($A64,'Impact Indicators - Section B '!$A$1:$A$82,0)),""),"")</f>
        <v/>
      </c>
      <c r="C65" s="810"/>
      <c r="D65" s="810"/>
      <c r="E65" s="810"/>
      <c r="F65" s="810"/>
      <c r="G65" s="810"/>
      <c r="H65" s="810"/>
      <c r="I65" s="811"/>
      <c r="J65" s="811"/>
      <c r="K65" s="811"/>
      <c r="L65" s="811"/>
      <c r="M65" s="811"/>
      <c r="N65" s="811"/>
      <c r="O65" s="811"/>
      <c r="P65" s="811"/>
      <c r="Q65" s="811"/>
      <c r="R65" s="811"/>
      <c r="S65" s="812"/>
      <c r="T65" s="306"/>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120"/>
    </row>
    <row r="66" spans="1:55" s="420" customFormat="1" ht="145.4" customHeight="1" x14ac:dyDescent="0.5">
      <c r="A66" s="844">
        <v>7</v>
      </c>
      <c r="B66" s="864" t="str">
        <f ca="1">IFERROR(IF(INDEX('Impact Indicators - Section B '!B$1:B$82,MATCH($A66,'Impact Indicators - Section B '!$A$1:$A$82,0))&lt;&gt;0,INDEX('Impact Indicators - Section B '!B$1:B$82,MATCH($A66,'Impact Indicators - Section B '!$A$1:$A$82,0)),""),"")</f>
        <v/>
      </c>
      <c r="C66" s="865"/>
      <c r="D66" s="866"/>
      <c r="E66" s="864" t="str">
        <f ca="1">IFERROR(IF(INDEX('Impact Indicators - Section B '!C$1:C$82,MATCH($A66,'Impact Indicators - Section B '!$A$1:$A$82,0))&lt;&gt;0,INDEX('Impact Indicators - Section B '!C$1:C$82,MATCH($A66,'Impact Indicators - Section B '!$A$1:$A$82,0)),""),"")</f>
        <v/>
      </c>
      <c r="F66" s="865"/>
      <c r="G66" s="866"/>
      <c r="H66" s="416" t="str">
        <f ca="1">IFERROR(IF(INDEX('Impact Indicators - Section B '!D$1:D$82,MATCH($A66,'Impact Indicators - Section B '!$A$1:$A$82,0))&lt;&gt;"",FIXED(INDEX('Impact Indicators - Section B '!D$1:D$82,MATCH($A66,'Impact Indicators - Section B '!$A$1:$A$82,0)),4),""),"")&amp;"/"&amp;IFERROR(IF(INDEX('Impact Indicators - Section B '!D$1:D$82,MATCH($A66,'Impact Indicators - Section B '!$A$1:$A$82,0)+1)&lt;&gt;"",FIXED(INDEX('Impact Indicators - Section B '!D$1:D$82,MATCH($A66,'Impact Indicators - Section B '!$A$1:$A$82,0)+1),2),""),"")&amp;CHAR(10)&amp;IFERROR(IF(INDEX('Impact Indicators - Section B '!E$1:E$82,MATCH($A66,'Impact Indicators - Section B '!$A$1:$A$82,0))&lt;&gt;"",FIXED(INDEX('Impact Indicators - Section B '!E$1:E$82,MATCH($A66,'Impact Indicators - Section B '!$A$1:$A$82,0))*100,2)&amp;"%",""),"")</f>
        <v xml:space="preserve">/
</v>
      </c>
      <c r="I66" s="417"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864" t="str">
        <f ca="1">IFERROR(IF(INDEX('Impact Indicators - Section B '!H$1:H$82,MATCH($A66,'Impact Indicators - Section B '!$A$1:$A$82,0))&lt;&gt;0,INDEX('Impact Indicators - Section B '!H$1:H$82,MATCH($A66,'Impact Indicators - Section B '!$A$1:$A$82,0)),""),"")</f>
        <v/>
      </c>
      <c r="K66" s="865"/>
      <c r="L66" s="865"/>
      <c r="M66" s="866"/>
      <c r="N66" s="398" t="str">
        <f ca="1">IFERROR(IF(AND('Overview - Section A'!AN$5="Grant Making",OR(B66&lt;&gt;"",E66&lt;&gt;"")),Setup!I15,IF(INDEX('Impact Indicators - Section B '!I$1:I$82,MATCH($A66,'Impact Indicators - Section B '!$A$1:$A$82,0))&lt;&gt;0,INDEX('Impact Indicators - Section B '!I$1:I$82,MATCH($A66,'Impact Indicators - Section B '!$A$1:$A$82,0)),"")),"")</f>
        <v/>
      </c>
      <c r="O66" s="417" t="str">
        <f ca="1">IFERROR(IF(INDEX('Impact Indicators - Section B '!J$1:J$82,MATCH($A66,'Impact Indicators - Section B '!$A$1:$A$82,0))&lt;&gt;0,INDEX('Impact Indicators - Section B '!J$1:J$82,MATCH($A66,'Impact Indicators - Section B '!$A$1:$A$82,0)),""),"")</f>
        <v/>
      </c>
      <c r="P66" s="399" t="str">
        <f ca="1">IFERROR(IF(INDEX('Impact Indicators - Section B '!K$1:K$82,MATCH($A66,'Impact Indicators - Section B '!$A$1:$A$82,0))&lt;&gt;"",FIXED(INDEX('Impact Indicators - Section B '!K$1:K$82,MATCH($A66,'Impact Indicators - Section B '!$A$1:$A$82,0)),4),""),"")&amp;"/"&amp;IFERROR(IF(INDEX('Impact Indicators - Section B '!K$1:K$82,MATCH($A66,'Impact Indicators - Section B '!$A$1:$A$82,0)+1)&lt;&gt;"",FIXED(INDEX('Impact Indicators - Section B '!K$1:K$82,MATCH($A66,'Impact Indicators - Section B '!$A$1:$A$82,0)+1),2),""),"")&amp;CHAR(10)&amp;IFERROR(IF(INDEX('Impact Indicators - Section B '!L$1:L$82,MATCH($A66,'Impact Indicators - Section B '!$A$1:$A$82,0))&lt;&gt;"",FIXED(INDEX('Impact Indicators - Section B '!L$1:L$82,MATCH($A66,'Impact Indicators - Section B '!$A$1:$A$82,0))*100,2)&amp;"%",""),"")&amp;CHAR(10)&amp;IFERROR(IF(INDEX('Impact Indicators - Section B '!N$1:N$82,MATCH($A66,'Impact Indicators - Section B '!$A$1:$A$82,0))&lt;&gt;"",INDEX('Impact Indicators - Section B '!N$1:N$82,MATCH($A66,'Impact Indicators - Section B '!$A$1:$A$82,0)),""),"")&amp;CHAR(10)&amp;IFERROR(IF(INDEX('Impact Indicators - Section B '!M$1:M$82,MATCH($A66,'Impact Indicators - Section B '!$A$1:$A$82,0))&lt;&gt;"",TEXT(INDEX('Impact Indicators - Section B '!M$1:M$82,MATCH($A66,'Impact Indicators - Section B '!$A$1:$A$82,0)),Setup!$A$33),""),"")</f>
        <v xml:space="preserve">/
</v>
      </c>
      <c r="Q66" s="399" t="str">
        <f ca="1">IFERROR(IF(INDEX('Impact Indicators - Section B '!O$1:O$82,MATCH($A66,'Impact Indicators - Section B '!$A$1:$A$82,0))&lt;&gt;"",FIXED(INDEX('Impact Indicators - Section B '!O$1:O$82,MATCH($A66,'Impact Indicators - Section B '!$A$1:$A$82,0)),4),""),"")&amp;"/"&amp;IFERROR(IF(INDEX('Impact Indicators - Section B '!O$1:O$82,MATCH($A66,'Impact Indicators - Section B '!$A$1:$A$82,0)+1)&lt;&gt;"",FIXED(INDEX('Impact Indicators - Section B '!O$1:O$82,MATCH($A66,'Impact Indicators - Section B '!$A$1:$A$82,0)+1),2),""),"")&amp;CHAR(10)&amp;IFERROR(IF(INDEX('Impact Indicators - Section B '!P$1:P$82,MATCH($A66,'Impact Indicators - Section B '!$A$1:$A$82,0))&lt;&gt;"",FIXED(INDEX('Impact Indicators - Section B '!P$1:P$82,MATCH($A66,'Impact Indicators - Section B '!$A$1:$A$82,0))*100,2)&amp;"%",""),"")&amp;CHAR(10)&amp;IFERROR(IF(INDEX('Impact Indicators - Section B '!R$1:R$82,MATCH($A66,'Impact Indicators - Section B '!$A$1:$A$82,0))&lt;&gt;"",INDEX('Impact Indicators - Section B '!R$1:R$82,MATCH($A66,'Impact Indicators - Section B '!$A$1:$A$82,0)),""),"")&amp;CHAR(10)&amp;IFERROR(IF(INDEX('Impact Indicators - Section B '!Q$1:Q$82,MATCH($A66,'Impact Indicators - Section B '!$A$1:$A$82,0))&lt;&gt;"",TEXT(INDEX('Impact Indicators - Section B '!Q$1:Q$82,MATCH($A66,'Impact Indicators - Section B '!$A$1:$A$82,0)),Setup!$A$33),""),"")</f>
        <v xml:space="preserve">/
</v>
      </c>
      <c r="R66" s="399" t="str">
        <f ca="1">IFERROR(IF(INDEX('Impact Indicators - Section B '!S$1:S$82,MATCH($A66,'Impact Indicators - Section B '!$A$1:$A$82,0))&lt;&gt;"",FIXED(INDEX('Impact Indicators - Section B '!S$1:S$82,MATCH($A66,'Impact Indicators - Section B '!$A$1:$A$82,0)),4),""),"")&amp;"/"&amp;IFERROR(IF(INDEX('Impact Indicators - Section B '!S$1:S$82,MATCH($A66,'Impact Indicators - Section B '!$A$1:$A$82,0)+1)&lt;&gt;"",FIXED(INDEX('Impact Indicators - Section B '!S$1:S$82,MATCH($A66,'Impact Indicators - Section B '!$A$1:$A$82,0)+1),2),""),"")&amp;CHAR(10)&amp;IFERROR(IF(INDEX('Impact Indicators - Section B '!T$1:T$82,MATCH($A66,'Impact Indicators - Section B '!$A$1:$A$82,0))&lt;&gt;"",FIXED(INDEX('Impact Indicators - Section B '!T$1:T$82,MATCH($A66,'Impact Indicators - Section B '!$A$1:$A$82,0))*100,2)&amp;"%",""),"")&amp;CHAR(10)&amp;IFERROR(IF(INDEX('Impact Indicators - Section B '!V$1:V$82,MATCH($A66,'Impact Indicators - Section B '!$A$1:$A$82,0))&lt;&gt;"",INDEX('Impact Indicators - Section B '!V$1:V$82,MATCH($A66,'Impact Indicators - Section B '!$A$1:$A$82,0)),""),"")&amp;CHAR(10)&amp;IFERROR(IF(INDEX('Impact Indicators - Section B '!U$1:U$82,MATCH($A66,'Impact Indicators - Section B '!$A$1:$A$82,0))&lt;&gt;"",TEXT(INDEX('Impact Indicators - Section B '!U$1:U$82,MATCH($A66,'Impact Indicators - Section B '!$A$1:$A$82,0)),Setup!$A$33),""),"")</f>
        <v xml:space="preserve">/
</v>
      </c>
      <c r="S66" s="399" t="str">
        <f ca="1">IFERROR(IF(INDEX('Impact Indicators - Section B '!W$1:W$82,MATCH($A66,'Impact Indicators - Section B '!$A$1:$A$82,0))&lt;&gt;"",FIXED(INDEX('Impact Indicators - Section B '!W$1:W$82,MATCH($A66,'Impact Indicators - Section B '!$A$1:$A$82,0)),4),""),"")&amp;"/"&amp;IFERROR(IF(INDEX('Impact Indicators - Section B '!W$1:W$82,MATCH($A66,'Impact Indicators - Section B '!$A$1:$A$82,0)+1)&lt;&gt;"",FIXED(INDEX('Impact Indicators - Section B '!W$1:W$82,MATCH($A66,'Impact Indicators - Section B '!$A$1:$A$82,0)+1),2),""),"")&amp;CHAR(10)&amp;IFERROR(IF(INDEX('Impact Indicators - Section B '!X$1:X$82,MATCH($A66,'Impact Indicators - Section B '!$A$1:$A$82,0))&lt;&gt;"",FIXED(INDEX('Impact Indicators - Section B '!X$1:X$82,MATCH($A66,'Impact Indicators - Section B '!$A$1:$A$82,0))*100,2)&amp;"%",""),"")&amp;CHAR(10)&amp;IFERROR(IF(INDEX('Impact Indicators - Section B '!Z$1:Z$82,MATCH($A66,'Impact Indicators - Section B '!$A$1:$A$82,0))&lt;&gt;"",INDEX('Impact Indicators - Section B '!Z$1:Z$82,MATCH($A66,'Impact Indicators - Section B '!$A$1:$A$82,0)),""),"")&amp;CHAR(10)&amp;IFERROR(IF(INDEX('Impact Indicators - Section B '!Y$1:Y$82,MATCH($A66,'Impact Indicators - Section B '!$A$1:$A$82,0))&lt;&gt;"",TEXT(INDEX('Impact Indicators - Section B '!Y$1:Y$82,MATCH($A66,'Impact Indicators - Section B '!$A$1:$A$82,0)),Setup!$A$33),""),"")</f>
        <v xml:space="preserve">/
</v>
      </c>
      <c r="T66" s="418"/>
      <c r="U66" s="223"/>
      <c r="V66" s="223"/>
      <c r="W66" s="223"/>
      <c r="X66" s="223"/>
      <c r="Y66" s="223"/>
      <c r="Z66" s="223"/>
      <c r="AA66" s="223"/>
      <c r="AB66" s="223"/>
      <c r="AC66" s="223"/>
      <c r="AD66" s="223"/>
      <c r="AE66" s="223"/>
      <c r="AF66" s="223"/>
      <c r="AG66" s="223"/>
      <c r="AH66" s="223"/>
      <c r="AI66" s="223"/>
      <c r="AJ66" s="223"/>
      <c r="AK66" s="223"/>
      <c r="AL66" s="223"/>
      <c r="AM66" s="223"/>
      <c r="AN66" s="223"/>
      <c r="AO66" s="223" t="str">
        <f ca="1">IFERROR(IF(INDEX('Impact Indicators - Section B '!AA$1:AA$82,MATCH($A66,'Impact Indicators - Section B '!$A$1:$A$82,0))&lt;&gt;0,INDEX('Impact Indicators - Section B '!AA$1:AA$82,MATCH($A66,'Impact Indicators - Section B '!$A$1:$A$82,0)),""),"")</f>
        <v/>
      </c>
      <c r="AP66" s="223"/>
      <c r="AQ66" s="223"/>
      <c r="AR66" s="223"/>
      <c r="AS66" s="223"/>
      <c r="AT66" s="223" t="str">
        <f>CONCATENATE($A66,J$52)</f>
        <v>7</v>
      </c>
      <c r="AU66" s="223" t="str">
        <f>CONCATENATE($A66,O$52)</f>
        <v>7</v>
      </c>
      <c r="AV66" s="223"/>
      <c r="AW66" s="223" t="str">
        <f>CONCATENATE($A66,X$52)</f>
        <v>7</v>
      </c>
      <c r="AX66" s="223" t="str">
        <f>CONCATENATE($A66,AB$52)</f>
        <v>7</v>
      </c>
      <c r="AY66" s="223"/>
      <c r="AZ66" s="223"/>
      <c r="BA66" s="223"/>
      <c r="BB66" s="223"/>
      <c r="BC66" s="419"/>
    </row>
    <row r="67" spans="1:55" s="420" customFormat="1" ht="100.4" customHeight="1" x14ac:dyDescent="0.5">
      <c r="A67" s="844"/>
      <c r="B67" s="867" t="str">
        <f ca="1">IFERROR(IF(INDEX('Impact Indicators - Section B '!AA$1:AA$82,MATCH($A66,'Impact Indicators - Section B '!$A$1:$A$82,0))&lt;&gt;0,INDEX('Impact Indicators - Section B '!AA$1:AA$82,MATCH($A66,'Impact Indicators - Section B '!$A$1:$A$82,0)),""),"")</f>
        <v/>
      </c>
      <c r="C67" s="868"/>
      <c r="D67" s="868"/>
      <c r="E67" s="868"/>
      <c r="F67" s="868"/>
      <c r="G67" s="868"/>
      <c r="H67" s="868"/>
      <c r="I67" s="868"/>
      <c r="J67" s="868"/>
      <c r="K67" s="868"/>
      <c r="L67" s="868"/>
      <c r="M67" s="868"/>
      <c r="N67" s="868"/>
      <c r="O67" s="868"/>
      <c r="P67" s="868"/>
      <c r="Q67" s="868"/>
      <c r="R67" s="868"/>
      <c r="S67" s="869"/>
      <c r="T67" s="306"/>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419"/>
    </row>
    <row r="68" spans="1:55" s="105" customFormat="1" ht="145.4" customHeight="1" x14ac:dyDescent="0.5">
      <c r="A68" s="845">
        <v>8</v>
      </c>
      <c r="B68" s="861" t="str">
        <f ca="1">IFERROR(IF(INDEX('Impact Indicators - Section B '!B$1:B$82,MATCH($A68,'Impact Indicators - Section B '!$A$1:$A$82,0))&lt;&gt;0,INDEX('Impact Indicators - Section B '!B$1:B$82,MATCH($A68,'Impact Indicators - Section B '!$A$1:$A$82,0)),""),"")</f>
        <v/>
      </c>
      <c r="C68" s="862"/>
      <c r="D68" s="863"/>
      <c r="E68" s="861" t="str">
        <f ca="1">IFERROR(IF(INDEX('Impact Indicators - Section B '!C$1:C$82,MATCH($A68,'Impact Indicators - Section B '!$A$1:$A$82,0))&lt;&gt;0,INDEX('Impact Indicators - Section B '!C$1:C$82,MATCH($A68,'Impact Indicators - Section B '!$A$1:$A$82,0)),""),"")</f>
        <v/>
      </c>
      <c r="F68" s="862"/>
      <c r="G68" s="863"/>
      <c r="H68" s="383" t="str">
        <f ca="1">IFERROR(IF(INDEX('Impact Indicators - Section B '!D$1:D$82,MATCH($A68,'Impact Indicators - Section B '!$A$1:$A$82,0))&lt;&gt;"",FIXED(INDEX('Impact Indicators - Section B '!D$1:D$82,MATCH($A68,'Impact Indicators - Section B '!$A$1:$A$82,0)),4),""),"")&amp;"/"&amp;IFERROR(IF(INDEX('Impact Indicators - Section B '!D$1:D$82,MATCH($A68,'Impact Indicators - Section B '!$A$1:$A$82,0)+1)&lt;&gt;"",FIXED(INDEX('Impact Indicators - Section B '!D$1:D$82,MATCH($A68,'Impact Indicators - Section B '!$A$1:$A$82,0)+1),2),""),"")&amp;CHAR(10)&amp;IFERROR(IF(INDEX('Impact Indicators - Section B '!E$1:E$82,MATCH($A68,'Impact Indicators - Section B '!$A$1:$A$82,0))&lt;&gt;"",FIXED(INDEX('Impact Indicators - Section B '!E$1:E$82,MATCH($A68,'Impact Indicators - Section B '!$A$1:$A$82,0))*100,2)&amp;"%",""),"")</f>
        <v xml:space="preserve">/
</v>
      </c>
      <c r="I68" s="384"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861" t="str">
        <f ca="1">IFERROR(IF(INDEX('Impact Indicators - Section B '!H$1:H$82,MATCH($A68,'Impact Indicators - Section B '!$A$1:$A$82,0))&lt;&gt;0,INDEX('Impact Indicators - Section B '!H$1:H$82,MATCH($A68,'Impact Indicators - Section B '!$A$1:$A$82,0)),""),"")</f>
        <v/>
      </c>
      <c r="K68" s="862"/>
      <c r="L68" s="862"/>
      <c r="M68" s="863"/>
      <c r="N68" s="414" t="str">
        <f ca="1">IFERROR(IF(AND('Overview - Section A'!AN$5="Grant Making",OR(B68&lt;&gt;"",E68&lt;&gt;"")),Setup!I15,IF(INDEX('Impact Indicators - Section B '!I$1:I$82,MATCH($A68,'Impact Indicators - Section B '!$A$1:$A$82,0))&lt;&gt;0,INDEX('Impact Indicators - Section B '!I$1:I$82,MATCH($A68,'Impact Indicators - Section B '!$A$1:$A$82,0)),"")),"")</f>
        <v/>
      </c>
      <c r="O68" s="384" t="str">
        <f ca="1">IFERROR(IF(INDEX('Impact Indicators - Section B '!J$1:J$82,MATCH($A68,'Impact Indicators - Section B '!$A$1:$A$82,0))&lt;&gt;0,INDEX('Impact Indicators - Section B '!J$1:J$82,MATCH($A68,'Impact Indicators - Section B '!$A$1:$A$82,0)),""),"")</f>
        <v/>
      </c>
      <c r="P68" s="386" t="str">
        <f ca="1">IFERROR(IF(INDEX('Impact Indicators - Section B '!K$1:K$82,MATCH($A68,'Impact Indicators - Section B '!$A$1:$A$82,0))&lt;&gt;"",FIXED(INDEX('Impact Indicators - Section B '!K$1:K$82,MATCH($A68,'Impact Indicators - Section B '!$A$1:$A$82,0)),4),""),"")&amp;"/"&amp;IFERROR(IF(INDEX('Impact Indicators - Section B '!K$1:K$82,MATCH($A68,'Impact Indicators - Section B '!$A$1:$A$82,0)+1)&lt;&gt;"",FIXED(INDEX('Impact Indicators - Section B '!K$1:K$82,MATCH($A68,'Impact Indicators - Section B '!$A$1:$A$82,0)+1),2),""),"")&amp;CHAR(10)&amp;IFERROR(IF(INDEX('Impact Indicators - Section B '!L$1:L$82,MATCH($A68,'Impact Indicators - Section B '!$A$1:$A$82,0))&lt;&gt;"",FIXED(INDEX('Impact Indicators - Section B '!L$1:L$82,MATCH($A68,'Impact Indicators - Section B '!$A$1:$A$82,0))*100,2)&amp;"%",""),"")&amp;CHAR(10)&amp;IFERROR(IF(INDEX('Impact Indicators - Section B '!N$1:N$82,MATCH($A68,'Impact Indicators - Section B '!$A$1:$A$82,0))&lt;&gt;"",INDEX('Impact Indicators - Section B '!N$1:N$82,MATCH($A68,'Impact Indicators - Section B '!$A$1:$A$82,0)),""),"")&amp;CHAR(10)&amp;IFERROR(IF(INDEX('Impact Indicators - Section B '!M$1:M$82,MATCH($A68,'Impact Indicators - Section B '!$A$1:$A$82,0))&lt;&gt;"",TEXT(INDEX('Impact Indicators - Section B '!M$1:M$82,MATCH($A68,'Impact Indicators - Section B '!$A$1:$A$82,0)),Setup!$A$33),""),"")</f>
        <v xml:space="preserve">/
</v>
      </c>
      <c r="Q68" s="386" t="str">
        <f ca="1">IFERROR(IF(INDEX('Impact Indicators - Section B '!O$1:O$82,MATCH($A68,'Impact Indicators - Section B '!$A$1:$A$82,0))&lt;&gt;"",FIXED(INDEX('Impact Indicators - Section B '!O$1:O$82,MATCH($A68,'Impact Indicators - Section B '!$A$1:$A$82,0)),4),""),"")&amp;"/"&amp;IFERROR(IF(INDEX('Impact Indicators - Section B '!O$1:O$82,MATCH($A68,'Impact Indicators - Section B '!$A$1:$A$82,0)+1)&lt;&gt;"",FIXED(INDEX('Impact Indicators - Section B '!O$1:O$82,MATCH($A68,'Impact Indicators - Section B '!$A$1:$A$82,0)+1),2),""),"")&amp;CHAR(10)&amp;IFERROR(IF(INDEX('Impact Indicators - Section B '!P$1:P$82,MATCH($A68,'Impact Indicators - Section B '!$A$1:$A$82,0))&lt;&gt;"",FIXED(INDEX('Impact Indicators - Section B '!P$1:P$82,MATCH($A68,'Impact Indicators - Section B '!$A$1:$A$82,0))*100,2)&amp;"%",""),"")&amp;CHAR(10)&amp;IFERROR(IF(INDEX('Impact Indicators - Section B '!R$1:R$82,MATCH($A68,'Impact Indicators - Section B '!$A$1:$A$82,0))&lt;&gt;"",INDEX('Impact Indicators - Section B '!R$1:R$82,MATCH($A68,'Impact Indicators - Section B '!$A$1:$A$82,0)),""),"")&amp;CHAR(10)&amp;IFERROR(IF(INDEX('Impact Indicators - Section B '!Q$1:Q$82,MATCH($A68,'Impact Indicators - Section B '!$A$1:$A$82,0))&lt;&gt;"",TEXT(INDEX('Impact Indicators - Section B '!Q$1:Q$82,MATCH($A68,'Impact Indicators - Section B '!$A$1:$A$82,0)),Setup!$A$33),""),"")</f>
        <v xml:space="preserve">/
</v>
      </c>
      <c r="R68" s="386" t="str">
        <f ca="1">IFERROR(IF(INDEX('Impact Indicators - Section B '!S$1:S$82,MATCH($A68,'Impact Indicators - Section B '!$A$1:$A$82,0))&lt;&gt;"",FIXED(INDEX('Impact Indicators - Section B '!S$1:S$82,MATCH($A68,'Impact Indicators - Section B '!$A$1:$A$82,0)),4),""),"")&amp;"/"&amp;IFERROR(IF(INDEX('Impact Indicators - Section B '!S$1:S$82,MATCH($A68,'Impact Indicators - Section B '!$A$1:$A$82,0)+1)&lt;&gt;"",FIXED(INDEX('Impact Indicators - Section B '!S$1:S$82,MATCH($A68,'Impact Indicators - Section B '!$A$1:$A$82,0)+1),2),""),"")&amp;CHAR(10)&amp;IFERROR(IF(INDEX('Impact Indicators - Section B '!T$1:T$82,MATCH($A68,'Impact Indicators - Section B '!$A$1:$A$82,0))&lt;&gt;"",FIXED(INDEX('Impact Indicators - Section B '!T$1:T$82,MATCH($A68,'Impact Indicators - Section B '!$A$1:$A$82,0))*100,2)&amp;"%",""),"")&amp;CHAR(10)&amp;IFERROR(IF(INDEX('Impact Indicators - Section B '!V$1:V$82,MATCH($A68,'Impact Indicators - Section B '!$A$1:$A$82,0))&lt;&gt;"",INDEX('Impact Indicators - Section B '!V$1:V$82,MATCH($A68,'Impact Indicators - Section B '!$A$1:$A$82,0)),""),"")&amp;CHAR(10)&amp;IFERROR(IF(INDEX('Impact Indicators - Section B '!U$1:U$82,MATCH($A68,'Impact Indicators - Section B '!$A$1:$A$82,0))&lt;&gt;"",TEXT(INDEX('Impact Indicators - Section B '!U$1:U$82,MATCH($A68,'Impact Indicators - Section B '!$A$1:$A$82,0)),Setup!$A$33),""),"")</f>
        <v xml:space="preserve">/
</v>
      </c>
      <c r="S68" s="386" t="str">
        <f ca="1">IFERROR(IF(INDEX('Impact Indicators - Section B '!W$1:W$82,MATCH($A68,'Impact Indicators - Section B '!$A$1:$A$82,0))&lt;&gt;"",FIXED(INDEX('Impact Indicators - Section B '!W$1:W$82,MATCH($A68,'Impact Indicators - Section B '!$A$1:$A$82,0)),4),""),"")&amp;"/"&amp;IFERROR(IF(INDEX('Impact Indicators - Section B '!W$1:W$82,MATCH($A68,'Impact Indicators - Section B '!$A$1:$A$82,0)+1)&lt;&gt;"",FIXED(INDEX('Impact Indicators - Section B '!W$1:W$82,MATCH($A68,'Impact Indicators - Section B '!$A$1:$A$82,0)+1),2),""),"")&amp;CHAR(10)&amp;IFERROR(IF(INDEX('Impact Indicators - Section B '!X$1:X$82,MATCH($A68,'Impact Indicators - Section B '!$A$1:$A$82,0))&lt;&gt;"",FIXED(INDEX('Impact Indicators - Section B '!X$1:X$82,MATCH($A68,'Impact Indicators - Section B '!$A$1:$A$82,0))*100,2)&amp;"%",""),"")&amp;CHAR(10)&amp;IFERROR(IF(INDEX('Impact Indicators - Section B '!Z$1:Z$82,MATCH($A68,'Impact Indicators - Section B '!$A$1:$A$82,0))&lt;&gt;"",INDEX('Impact Indicators - Section B '!Z$1:Z$82,MATCH($A68,'Impact Indicators - Section B '!$A$1:$A$82,0)),""),"")&amp;CHAR(10)&amp;IFERROR(IF(INDEX('Impact Indicators - Section B '!Y$1:Y$82,MATCH($A68,'Impact Indicators - Section B '!$A$1:$A$82,0))&lt;&gt;"",TEXT(INDEX('Impact Indicators - Section B '!Y$1:Y$82,MATCH($A68,'Impact Indicators - Section B '!$A$1:$A$82,0)),Setup!$A$33),""),"")</f>
        <v xml:space="preserve">/
</v>
      </c>
      <c r="T68" s="305"/>
      <c r="U68" s="223"/>
      <c r="V68" s="223"/>
      <c r="W68" s="223"/>
      <c r="X68" s="223"/>
      <c r="Y68" s="223"/>
      <c r="Z68" s="223"/>
      <c r="AA68" s="223"/>
      <c r="AB68" s="223"/>
      <c r="AC68" s="223"/>
      <c r="AD68" s="223"/>
      <c r="AE68" s="223"/>
      <c r="AF68" s="223"/>
      <c r="AG68" s="223"/>
      <c r="AH68" s="223"/>
      <c r="AI68" s="223"/>
      <c r="AJ68" s="223"/>
      <c r="AK68" s="223"/>
      <c r="AL68" s="223"/>
      <c r="AM68" s="223"/>
      <c r="AN68" s="223"/>
      <c r="AO68" s="223" t="str">
        <f ca="1">IFERROR(IF(INDEX('Impact Indicators - Section B '!AA$1:AA$82,MATCH($A68,'Impact Indicators - Section B '!$A$1:$A$82,0))&lt;&gt;0,INDEX('Impact Indicators - Section B '!AA$1:AA$82,MATCH($A68,'Impact Indicators - Section B '!$A$1:$A$82,0)),""),"")</f>
        <v/>
      </c>
      <c r="AP68" s="223"/>
      <c r="AQ68" s="223"/>
      <c r="AR68" s="223"/>
      <c r="AS68" s="223"/>
      <c r="AT68" s="223" t="str">
        <f>CONCATENATE($A68,J$52)</f>
        <v>8</v>
      </c>
      <c r="AU68" s="223" t="str">
        <f>CONCATENATE($A68,O$52)</f>
        <v>8</v>
      </c>
      <c r="AV68" s="223"/>
      <c r="AW68" s="223" t="str">
        <f>CONCATENATE($A68,X$52)</f>
        <v>8</v>
      </c>
      <c r="AX68" s="223" t="str">
        <f>CONCATENATE($A68,AB$52)</f>
        <v>8</v>
      </c>
      <c r="AY68" s="223"/>
      <c r="AZ68" s="223"/>
      <c r="BA68" s="223"/>
      <c r="BB68" s="223"/>
      <c r="BC68" s="120"/>
    </row>
    <row r="69" spans="1:55" s="105" customFormat="1" ht="100.4" customHeight="1" x14ac:dyDescent="0.5">
      <c r="A69" s="845"/>
      <c r="B69" s="809" t="str">
        <f ca="1">IFERROR(IF(INDEX('Impact Indicators - Section B '!AA$1:AA$82,MATCH($A68,'Impact Indicators - Section B '!$A$1:$A$82,0))&lt;&gt;0,INDEX('Impact Indicators - Section B '!AA$1:AA$82,MATCH($A68,'Impact Indicators - Section B '!$A$1:$A$82,0)),""),"")</f>
        <v/>
      </c>
      <c r="C69" s="810"/>
      <c r="D69" s="810"/>
      <c r="E69" s="810"/>
      <c r="F69" s="810"/>
      <c r="G69" s="810"/>
      <c r="H69" s="810"/>
      <c r="I69" s="811"/>
      <c r="J69" s="811"/>
      <c r="K69" s="811"/>
      <c r="L69" s="811"/>
      <c r="M69" s="811"/>
      <c r="N69" s="811"/>
      <c r="O69" s="811"/>
      <c r="P69" s="811"/>
      <c r="Q69" s="811"/>
      <c r="R69" s="811"/>
      <c r="S69" s="812"/>
      <c r="T69" s="306"/>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120"/>
    </row>
    <row r="70" spans="1:55" s="420" customFormat="1" ht="145.4" customHeight="1" x14ac:dyDescent="0.5">
      <c r="A70" s="844">
        <v>9</v>
      </c>
      <c r="B70" s="864" t="str">
        <f ca="1">IFERROR(IF(INDEX('Impact Indicators - Section B '!B$1:B$82,MATCH($A70,'Impact Indicators - Section B '!$A$1:$A$82,0))&lt;&gt;0,INDEX('Impact Indicators - Section B '!B$1:B$82,MATCH($A70,'Impact Indicators - Section B '!$A$1:$A$82,0)),""),"")</f>
        <v/>
      </c>
      <c r="C70" s="865"/>
      <c r="D70" s="866"/>
      <c r="E70" s="864" t="str">
        <f ca="1">IFERROR(IF(INDEX('Impact Indicators - Section B '!C$1:C$82,MATCH($A70,'Impact Indicators - Section B '!$A$1:$A$82,0))&lt;&gt;0,INDEX('Impact Indicators - Section B '!C$1:C$82,MATCH($A70,'Impact Indicators - Section B '!$A$1:$A$82,0)),""),"")</f>
        <v/>
      </c>
      <c r="F70" s="865"/>
      <c r="G70" s="866"/>
      <c r="H70" s="416" t="str">
        <f ca="1">IFERROR(IF(INDEX('Impact Indicators - Section B '!D$1:D$82,MATCH($A70,'Impact Indicators - Section B '!$A$1:$A$82,0))&lt;&gt;"",FIXED(INDEX('Impact Indicators - Section B '!D$1:D$82,MATCH($A70,'Impact Indicators - Section B '!$A$1:$A$82,0)),4),""),"")&amp;"/"&amp;IFERROR(IF(INDEX('Impact Indicators - Section B '!D$1:D$82,MATCH($A70,'Impact Indicators - Section B '!$A$1:$A$82,0)+1)&lt;&gt;"",FIXED(INDEX('Impact Indicators - Section B '!D$1:D$82,MATCH($A70,'Impact Indicators - Section B '!$A$1:$A$82,0)+1),2),""),"")&amp;CHAR(10)&amp;IFERROR(IF(INDEX('Impact Indicators - Section B '!E$1:E$82,MATCH($A70,'Impact Indicators - Section B '!$A$1:$A$82,0))&lt;&gt;"",FIXED(INDEX('Impact Indicators - Section B '!E$1:E$82,MATCH($A70,'Impact Indicators - Section B '!$A$1:$A$82,0))*100,2)&amp;"%",""),"")</f>
        <v xml:space="preserve">/
</v>
      </c>
      <c r="I70" s="417"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864" t="str">
        <f ca="1">IFERROR(IF(INDEX('Impact Indicators - Section B '!H$1:H$82,MATCH($A70,'Impact Indicators - Section B '!$A$1:$A$82,0))&lt;&gt;0,INDEX('Impact Indicators - Section B '!H$1:H$82,MATCH($A70,'Impact Indicators - Section B '!$A$1:$A$82,0)),""),"")</f>
        <v/>
      </c>
      <c r="K70" s="865"/>
      <c r="L70" s="865"/>
      <c r="M70" s="866"/>
      <c r="N70" s="398" t="str">
        <f ca="1">IFERROR(IF(AND('Overview - Section A'!AN$5="Grant Making",OR(B70&lt;&gt;"",E70&lt;&gt;"")),Setup!I15,IF(INDEX('Impact Indicators - Section B '!I$1:I$82,MATCH($A70,'Impact Indicators - Section B '!$A$1:$A$82,0))&lt;&gt;0,INDEX('Impact Indicators - Section B '!I$1:I$82,MATCH($A70,'Impact Indicators - Section B '!$A$1:$A$82,0)),"")),"")</f>
        <v/>
      </c>
      <c r="O70" s="417" t="str">
        <f ca="1">IFERROR(IF(INDEX('Impact Indicators - Section B '!J$1:J$82,MATCH($A70,'Impact Indicators - Section B '!$A$1:$A$82,0))&lt;&gt;0,INDEX('Impact Indicators - Section B '!J$1:J$82,MATCH($A70,'Impact Indicators - Section B '!$A$1:$A$82,0)),""),"")</f>
        <v/>
      </c>
      <c r="P70" s="399" t="str">
        <f ca="1">IFERROR(IF(INDEX('Impact Indicators - Section B '!K$1:K$82,MATCH($A70,'Impact Indicators - Section B '!$A$1:$A$82,0))&lt;&gt;"",FIXED(INDEX('Impact Indicators - Section B '!K$1:K$82,MATCH($A70,'Impact Indicators - Section B '!$A$1:$A$82,0)),4),""),"")&amp;"/"&amp;IFERROR(IF(INDEX('Impact Indicators - Section B '!K$1:K$82,MATCH($A70,'Impact Indicators - Section B '!$A$1:$A$82,0)+1)&lt;&gt;"",FIXED(INDEX('Impact Indicators - Section B '!K$1:K$82,MATCH($A70,'Impact Indicators - Section B '!$A$1:$A$82,0)+1),2),""),"")&amp;CHAR(10)&amp;IFERROR(IF(INDEX('Impact Indicators - Section B '!L$1:L$82,MATCH($A70,'Impact Indicators - Section B '!$A$1:$A$82,0))&lt;&gt;"",FIXED(INDEX('Impact Indicators - Section B '!L$1:L$82,MATCH($A70,'Impact Indicators - Section B '!$A$1:$A$82,0))*100,2)&amp;"%",""),"")&amp;CHAR(10)&amp;IFERROR(IF(INDEX('Impact Indicators - Section B '!N$1:N$82,MATCH($A70,'Impact Indicators - Section B '!$A$1:$A$82,0))&lt;&gt;"",INDEX('Impact Indicators - Section B '!N$1:N$82,MATCH($A70,'Impact Indicators - Section B '!$A$1:$A$82,0)),""),"")&amp;CHAR(10)&amp;IFERROR(IF(INDEX('Impact Indicators - Section B '!M$1:M$82,MATCH($A70,'Impact Indicators - Section B '!$A$1:$A$82,0))&lt;&gt;"",TEXT(INDEX('Impact Indicators - Section B '!M$1:M$82,MATCH($A70,'Impact Indicators - Section B '!$A$1:$A$82,0)),Setup!$A$33),""),"")</f>
        <v xml:space="preserve">/
</v>
      </c>
      <c r="Q70" s="399" t="str">
        <f ca="1">IFERROR(IF(INDEX('Impact Indicators - Section B '!O$1:O$82,MATCH($A70,'Impact Indicators - Section B '!$A$1:$A$82,0))&lt;&gt;"",FIXED(INDEX('Impact Indicators - Section B '!O$1:O$82,MATCH($A70,'Impact Indicators - Section B '!$A$1:$A$82,0)),4),""),"")&amp;"/"&amp;IFERROR(IF(INDEX('Impact Indicators - Section B '!O$1:O$82,MATCH($A70,'Impact Indicators - Section B '!$A$1:$A$82,0)+1)&lt;&gt;"",FIXED(INDEX('Impact Indicators - Section B '!O$1:O$82,MATCH($A70,'Impact Indicators - Section B '!$A$1:$A$82,0)+1),2),""),"")&amp;CHAR(10)&amp;IFERROR(IF(INDEX('Impact Indicators - Section B '!P$1:P$82,MATCH($A70,'Impact Indicators - Section B '!$A$1:$A$82,0))&lt;&gt;"",FIXED(INDEX('Impact Indicators - Section B '!P$1:P$82,MATCH($A70,'Impact Indicators - Section B '!$A$1:$A$82,0))*100,2)&amp;"%",""),"")&amp;CHAR(10)&amp;IFERROR(IF(INDEX('Impact Indicators - Section B '!R$1:R$82,MATCH($A70,'Impact Indicators - Section B '!$A$1:$A$82,0))&lt;&gt;"",INDEX('Impact Indicators - Section B '!R$1:R$82,MATCH($A70,'Impact Indicators - Section B '!$A$1:$A$82,0)),""),"")&amp;CHAR(10)&amp;IFERROR(IF(INDEX('Impact Indicators - Section B '!Q$1:Q$82,MATCH($A70,'Impact Indicators - Section B '!$A$1:$A$82,0))&lt;&gt;"",TEXT(INDEX('Impact Indicators - Section B '!Q$1:Q$82,MATCH($A70,'Impact Indicators - Section B '!$A$1:$A$82,0)),Setup!$A$33),""),"")</f>
        <v xml:space="preserve">/
</v>
      </c>
      <c r="R70" s="399" t="str">
        <f ca="1">IFERROR(IF(INDEX('Impact Indicators - Section B '!S$1:S$82,MATCH($A70,'Impact Indicators - Section B '!$A$1:$A$82,0))&lt;&gt;"",FIXED(INDEX('Impact Indicators - Section B '!S$1:S$82,MATCH($A70,'Impact Indicators - Section B '!$A$1:$A$82,0)),4),""),"")&amp;"/"&amp;IFERROR(IF(INDEX('Impact Indicators - Section B '!S$1:S$82,MATCH($A70,'Impact Indicators - Section B '!$A$1:$A$82,0)+1)&lt;&gt;"",FIXED(INDEX('Impact Indicators - Section B '!S$1:S$82,MATCH($A70,'Impact Indicators - Section B '!$A$1:$A$82,0)+1),2),""),"")&amp;CHAR(10)&amp;IFERROR(IF(INDEX('Impact Indicators - Section B '!T$1:T$82,MATCH($A70,'Impact Indicators - Section B '!$A$1:$A$82,0))&lt;&gt;"",FIXED(INDEX('Impact Indicators - Section B '!T$1:T$82,MATCH($A70,'Impact Indicators - Section B '!$A$1:$A$82,0))*100,2)&amp;"%",""),"")&amp;CHAR(10)&amp;IFERROR(IF(INDEX('Impact Indicators - Section B '!V$1:V$82,MATCH($A70,'Impact Indicators - Section B '!$A$1:$A$82,0))&lt;&gt;"",INDEX('Impact Indicators - Section B '!V$1:V$82,MATCH($A70,'Impact Indicators - Section B '!$A$1:$A$82,0)),""),"")&amp;CHAR(10)&amp;IFERROR(IF(INDEX('Impact Indicators - Section B '!U$1:U$82,MATCH($A70,'Impact Indicators - Section B '!$A$1:$A$82,0))&lt;&gt;"",TEXT(INDEX('Impact Indicators - Section B '!U$1:U$82,MATCH($A70,'Impact Indicators - Section B '!$A$1:$A$82,0)),Setup!$A$33),""),"")</f>
        <v xml:space="preserve">/
</v>
      </c>
      <c r="S70" s="399" t="str">
        <f ca="1">IFERROR(IF(INDEX('Impact Indicators - Section B '!W$1:W$82,MATCH($A70,'Impact Indicators - Section B '!$A$1:$A$82,0))&lt;&gt;"",FIXED(INDEX('Impact Indicators - Section B '!W$1:W$82,MATCH($A70,'Impact Indicators - Section B '!$A$1:$A$82,0)),4),""),"")&amp;"/"&amp;IFERROR(IF(INDEX('Impact Indicators - Section B '!W$1:W$82,MATCH($A70,'Impact Indicators - Section B '!$A$1:$A$82,0)+1)&lt;&gt;"",FIXED(INDEX('Impact Indicators - Section B '!W$1:W$82,MATCH($A70,'Impact Indicators - Section B '!$A$1:$A$82,0)+1),2),""),"")&amp;CHAR(10)&amp;IFERROR(IF(INDEX('Impact Indicators - Section B '!X$1:X$82,MATCH($A70,'Impact Indicators - Section B '!$A$1:$A$82,0))&lt;&gt;"",FIXED(INDEX('Impact Indicators - Section B '!X$1:X$82,MATCH($A70,'Impact Indicators - Section B '!$A$1:$A$82,0))*100,2)&amp;"%",""),"")&amp;CHAR(10)&amp;IFERROR(IF(INDEX('Impact Indicators - Section B '!Z$1:Z$82,MATCH($A70,'Impact Indicators - Section B '!$A$1:$A$82,0))&lt;&gt;"",INDEX('Impact Indicators - Section B '!Z$1:Z$82,MATCH($A70,'Impact Indicators - Section B '!$A$1:$A$82,0)),""),"")&amp;CHAR(10)&amp;IFERROR(IF(INDEX('Impact Indicators - Section B '!Y$1:Y$82,MATCH($A70,'Impact Indicators - Section B '!$A$1:$A$82,0))&lt;&gt;"",TEXT(INDEX('Impact Indicators - Section B '!Y$1:Y$82,MATCH($A70,'Impact Indicators - Section B '!$A$1:$A$82,0)),Setup!$A$33),""),"")</f>
        <v xml:space="preserve">/
</v>
      </c>
      <c r="T70" s="418"/>
      <c r="U70" s="223"/>
      <c r="V70" s="223"/>
      <c r="W70" s="223"/>
      <c r="X70" s="223"/>
      <c r="Y70" s="223"/>
      <c r="Z70" s="223"/>
      <c r="AA70" s="223"/>
      <c r="AB70" s="223"/>
      <c r="AC70" s="223"/>
      <c r="AD70" s="223"/>
      <c r="AE70" s="223"/>
      <c r="AF70" s="223"/>
      <c r="AG70" s="223"/>
      <c r="AH70" s="223"/>
      <c r="AI70" s="223"/>
      <c r="AJ70" s="223"/>
      <c r="AK70" s="223"/>
      <c r="AL70" s="223"/>
      <c r="AM70" s="223"/>
      <c r="AN70" s="223"/>
      <c r="AO70" s="223" t="str">
        <f ca="1">IFERROR(IF(INDEX('Impact Indicators - Section B '!AA$1:AA$82,MATCH($A70,'Impact Indicators - Section B '!$A$1:$A$82,0))&lt;&gt;0,INDEX('Impact Indicators - Section B '!AA$1:AA$82,MATCH($A70,'Impact Indicators - Section B '!$A$1:$A$82,0)),""),"")</f>
        <v/>
      </c>
      <c r="AP70" s="223"/>
      <c r="AQ70" s="223"/>
      <c r="AR70" s="223"/>
      <c r="AS70" s="223"/>
      <c r="AT70" s="223" t="str">
        <f>CONCATENATE($A70,J$52)</f>
        <v>9</v>
      </c>
      <c r="AU70" s="223" t="str">
        <f>CONCATENATE($A70,O$52)</f>
        <v>9</v>
      </c>
      <c r="AV70" s="223"/>
      <c r="AW70" s="223" t="str">
        <f>CONCATENATE($A70,X$52)</f>
        <v>9</v>
      </c>
      <c r="AX70" s="223" t="str">
        <f>CONCATENATE($A70,AB$52)</f>
        <v>9</v>
      </c>
      <c r="AY70" s="223"/>
      <c r="AZ70" s="223"/>
      <c r="BA70" s="223"/>
      <c r="BB70" s="223"/>
      <c r="BC70" s="419"/>
    </row>
    <row r="71" spans="1:55" s="420" customFormat="1" ht="100.4" customHeight="1" x14ac:dyDescent="0.5">
      <c r="A71" s="844"/>
      <c r="B71" s="867" t="str">
        <f ca="1">IFERROR(IF(INDEX('Impact Indicators - Section B '!AA$1:AA$82,MATCH($A70,'Impact Indicators - Section B '!$A$1:$A$82,0))&lt;&gt;0,INDEX('Impact Indicators - Section B '!AA$1:AA$82,MATCH($A70,'Impact Indicators - Section B '!$A$1:$A$82,0)),""),"")</f>
        <v/>
      </c>
      <c r="C71" s="868"/>
      <c r="D71" s="868"/>
      <c r="E71" s="868"/>
      <c r="F71" s="868"/>
      <c r="G71" s="868"/>
      <c r="H71" s="868"/>
      <c r="I71" s="868"/>
      <c r="J71" s="868"/>
      <c r="K71" s="868"/>
      <c r="L71" s="868"/>
      <c r="M71" s="868"/>
      <c r="N71" s="868"/>
      <c r="O71" s="868"/>
      <c r="P71" s="868"/>
      <c r="Q71" s="868"/>
      <c r="R71" s="868"/>
      <c r="S71" s="869"/>
      <c r="T71" s="306"/>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419"/>
    </row>
    <row r="72" spans="1:55" s="105" customFormat="1" ht="145.4" customHeight="1" x14ac:dyDescent="0.5">
      <c r="A72" s="845">
        <v>10</v>
      </c>
      <c r="B72" s="861" t="str">
        <f ca="1">IFERROR(IF(INDEX('Impact Indicators - Section B '!B$1:B$82,MATCH($A72,'Impact Indicators - Section B '!$A$1:$A$82,0))&lt;&gt;0,INDEX('Impact Indicators - Section B '!B$1:B$82,MATCH($A72,'Impact Indicators - Section B '!$A$1:$A$82,0)),""),"")</f>
        <v/>
      </c>
      <c r="C72" s="862"/>
      <c r="D72" s="863"/>
      <c r="E72" s="861" t="str">
        <f ca="1">IFERROR(IF(INDEX('Impact Indicators - Section B '!C$1:C$82,MATCH($A72,'Impact Indicators - Section B '!$A$1:$A$82,0))&lt;&gt;0,INDEX('Impact Indicators - Section B '!C$1:C$82,MATCH($A72,'Impact Indicators - Section B '!$A$1:$A$82,0)),""),"")</f>
        <v/>
      </c>
      <c r="F72" s="862"/>
      <c r="G72" s="863"/>
      <c r="H72" s="383" t="str">
        <f ca="1">IFERROR(IF(INDEX('Impact Indicators - Section B '!D$1:D$82,MATCH($A72,'Impact Indicators - Section B '!$A$1:$A$82,0))&lt;&gt;"",FIXED(INDEX('Impact Indicators - Section B '!D$1:D$82,MATCH($A72,'Impact Indicators - Section B '!$A$1:$A$82,0)),4),""),"")&amp;"/"&amp;IFERROR(IF(INDEX('Impact Indicators - Section B '!D$1:D$82,MATCH($A72,'Impact Indicators - Section B '!$A$1:$A$82,0)+1)&lt;&gt;"",FIXED(INDEX('Impact Indicators - Section B '!D$1:D$82,MATCH($A72,'Impact Indicators - Section B '!$A$1:$A$82,0)+1),2),""),"")&amp;CHAR(10)&amp;IFERROR(IF(INDEX('Impact Indicators - Section B '!E$1:E$82,MATCH($A72,'Impact Indicators - Section B '!$A$1:$A$82,0))&lt;&gt;"",FIXED(INDEX('Impact Indicators - Section B '!E$1:E$82,MATCH($A72,'Impact Indicators - Section B '!$A$1:$A$82,0))*100,2)&amp;"%",""),"")</f>
        <v xml:space="preserve">/
</v>
      </c>
      <c r="I72" s="384"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861" t="str">
        <f ca="1">IFERROR(IF(INDEX('Impact Indicators - Section B '!H$1:H$82,MATCH($A72,'Impact Indicators - Section B '!$A$1:$A$82,0))&lt;&gt;0,INDEX('Impact Indicators - Section B '!H$1:H$82,MATCH($A72,'Impact Indicators - Section B '!$A$1:$A$82,0)),""),"")</f>
        <v/>
      </c>
      <c r="K72" s="862"/>
      <c r="L72" s="862"/>
      <c r="M72" s="863"/>
      <c r="N72" s="414" t="str">
        <f ca="1">IFERROR(IF(AND('Overview - Section A'!AN$5="Grant Making",OR(B72&lt;&gt;"",E72&lt;&gt;"")),Setup!I15,IF(INDEX('Impact Indicators - Section B '!I$1:I$82,MATCH($A72,'Impact Indicators - Section B '!$A$1:$A$82,0))&lt;&gt;0,INDEX('Impact Indicators - Section B '!I$1:I$82,MATCH($A72,'Impact Indicators - Section B '!$A$1:$A$82,0)),"")),"")</f>
        <v/>
      </c>
      <c r="O72" s="384" t="str">
        <f ca="1">IFERROR(IF(INDEX('Impact Indicators - Section B '!J$1:J$82,MATCH($A72,'Impact Indicators - Section B '!$A$1:$A$82,0))&lt;&gt;0,INDEX('Impact Indicators - Section B '!J$1:J$82,MATCH($A72,'Impact Indicators - Section B '!$A$1:$A$82,0)),""),"")</f>
        <v/>
      </c>
      <c r="P72" s="386" t="str">
        <f ca="1">IFERROR(IF(INDEX('Impact Indicators - Section B '!K$1:K$82,MATCH($A72,'Impact Indicators - Section B '!$A$1:$A$82,0))&lt;&gt;"",FIXED(INDEX('Impact Indicators - Section B '!K$1:K$82,MATCH($A72,'Impact Indicators - Section B '!$A$1:$A$82,0)),4),""),"")&amp;"/"&amp;IFERROR(IF(INDEX('Impact Indicators - Section B '!K$1:K$82,MATCH($A72,'Impact Indicators - Section B '!$A$1:$A$82,0)+1)&lt;&gt;"",FIXED(INDEX('Impact Indicators - Section B '!K$1:K$82,MATCH($A72,'Impact Indicators - Section B '!$A$1:$A$82,0)+1),2),""),"")&amp;CHAR(10)&amp;IFERROR(IF(INDEX('Impact Indicators - Section B '!L$1:L$82,MATCH($A72,'Impact Indicators - Section B '!$A$1:$A$82,0))&lt;&gt;"",FIXED(INDEX('Impact Indicators - Section B '!L$1:L$82,MATCH($A72,'Impact Indicators - Section B '!$A$1:$A$82,0))*100,2)&amp;"%",""),"")&amp;CHAR(10)&amp;IFERROR(IF(INDEX('Impact Indicators - Section B '!N$1:N$82,MATCH($A72,'Impact Indicators - Section B '!$A$1:$A$82,0))&lt;&gt;"",INDEX('Impact Indicators - Section B '!N$1:N$82,MATCH($A72,'Impact Indicators - Section B '!$A$1:$A$82,0)),""),"")&amp;CHAR(10)&amp;IFERROR(IF(INDEX('Impact Indicators - Section B '!M$1:M$82,MATCH($A72,'Impact Indicators - Section B '!$A$1:$A$82,0))&lt;&gt;"",TEXT(INDEX('Impact Indicators - Section B '!M$1:M$82,MATCH($A72,'Impact Indicators - Section B '!$A$1:$A$82,0)),Setup!$A$33),""),"")</f>
        <v xml:space="preserve">/
</v>
      </c>
      <c r="Q72" s="386" t="str">
        <f ca="1">IFERROR(IF(INDEX('Impact Indicators - Section B '!O$1:O$82,MATCH($A72,'Impact Indicators - Section B '!$A$1:$A$82,0))&lt;&gt;"",FIXED(INDEX('Impact Indicators - Section B '!O$1:O$82,MATCH($A72,'Impact Indicators - Section B '!$A$1:$A$82,0)),4),""),"")&amp;"/"&amp;IFERROR(IF(INDEX('Impact Indicators - Section B '!O$1:O$82,MATCH($A72,'Impact Indicators - Section B '!$A$1:$A$82,0)+1)&lt;&gt;"",FIXED(INDEX('Impact Indicators - Section B '!O$1:O$82,MATCH($A72,'Impact Indicators - Section B '!$A$1:$A$82,0)+1),2),""),"")&amp;CHAR(10)&amp;IFERROR(IF(INDEX('Impact Indicators - Section B '!P$1:P$82,MATCH($A72,'Impact Indicators - Section B '!$A$1:$A$82,0))&lt;&gt;"",FIXED(INDEX('Impact Indicators - Section B '!P$1:P$82,MATCH($A72,'Impact Indicators - Section B '!$A$1:$A$82,0))*100,2)&amp;"%",""),"")&amp;CHAR(10)&amp;IFERROR(IF(INDEX('Impact Indicators - Section B '!R$1:R$82,MATCH($A72,'Impact Indicators - Section B '!$A$1:$A$82,0))&lt;&gt;"",INDEX('Impact Indicators - Section B '!R$1:R$82,MATCH($A72,'Impact Indicators - Section B '!$A$1:$A$82,0)),""),"")&amp;CHAR(10)&amp;IFERROR(IF(INDEX('Impact Indicators - Section B '!Q$1:Q$82,MATCH($A72,'Impact Indicators - Section B '!$A$1:$A$82,0))&lt;&gt;"",TEXT(INDEX('Impact Indicators - Section B '!Q$1:Q$82,MATCH($A72,'Impact Indicators - Section B '!$A$1:$A$82,0)),Setup!$A$33),""),"")</f>
        <v xml:space="preserve">/
</v>
      </c>
      <c r="R72" s="386" t="str">
        <f ca="1">IFERROR(IF(INDEX('Impact Indicators - Section B '!S$1:S$82,MATCH($A72,'Impact Indicators - Section B '!$A$1:$A$82,0))&lt;&gt;"",FIXED(INDEX('Impact Indicators - Section B '!S$1:S$82,MATCH($A72,'Impact Indicators - Section B '!$A$1:$A$82,0)),4),""),"")&amp;"/"&amp;IFERROR(IF(INDEX('Impact Indicators - Section B '!S$1:S$82,MATCH($A72,'Impact Indicators - Section B '!$A$1:$A$82,0)+1)&lt;&gt;"",FIXED(INDEX('Impact Indicators - Section B '!S$1:S$82,MATCH($A72,'Impact Indicators - Section B '!$A$1:$A$82,0)+1),2),""),"")&amp;CHAR(10)&amp;IFERROR(IF(INDEX('Impact Indicators - Section B '!T$1:T$82,MATCH($A72,'Impact Indicators - Section B '!$A$1:$A$82,0))&lt;&gt;"",FIXED(INDEX('Impact Indicators - Section B '!T$1:T$82,MATCH($A72,'Impact Indicators - Section B '!$A$1:$A$82,0))*100,2)&amp;"%",""),"")&amp;CHAR(10)&amp;IFERROR(IF(INDEX('Impact Indicators - Section B '!V$1:V$82,MATCH($A72,'Impact Indicators - Section B '!$A$1:$A$82,0))&lt;&gt;"",INDEX('Impact Indicators - Section B '!V$1:V$82,MATCH($A72,'Impact Indicators - Section B '!$A$1:$A$82,0)),""),"")&amp;CHAR(10)&amp;IFERROR(IF(INDEX('Impact Indicators - Section B '!U$1:U$82,MATCH($A72,'Impact Indicators - Section B '!$A$1:$A$82,0))&lt;&gt;"",TEXT(INDEX('Impact Indicators - Section B '!U$1:U$82,MATCH($A72,'Impact Indicators - Section B '!$A$1:$A$82,0)),Setup!$A$33),""),"")</f>
        <v xml:space="preserve">/
</v>
      </c>
      <c r="S72" s="386" t="str">
        <f ca="1">IFERROR(IF(INDEX('Impact Indicators - Section B '!W$1:W$82,MATCH($A72,'Impact Indicators - Section B '!$A$1:$A$82,0))&lt;&gt;"",FIXED(INDEX('Impact Indicators - Section B '!W$1:W$82,MATCH($A72,'Impact Indicators - Section B '!$A$1:$A$82,0)),4),""),"")&amp;"/"&amp;IFERROR(IF(INDEX('Impact Indicators - Section B '!W$1:W$82,MATCH($A72,'Impact Indicators - Section B '!$A$1:$A$82,0)+1)&lt;&gt;"",FIXED(INDEX('Impact Indicators - Section B '!W$1:W$82,MATCH($A72,'Impact Indicators - Section B '!$A$1:$A$82,0)+1),2),""),"")&amp;CHAR(10)&amp;IFERROR(IF(INDEX('Impact Indicators - Section B '!X$1:X$82,MATCH($A72,'Impact Indicators - Section B '!$A$1:$A$82,0))&lt;&gt;"",FIXED(INDEX('Impact Indicators - Section B '!X$1:X$82,MATCH($A72,'Impact Indicators - Section B '!$A$1:$A$82,0))*100,2)&amp;"%",""),"")&amp;CHAR(10)&amp;IFERROR(IF(INDEX('Impact Indicators - Section B '!Z$1:Z$82,MATCH($A72,'Impact Indicators - Section B '!$A$1:$A$82,0))&lt;&gt;"",INDEX('Impact Indicators - Section B '!Z$1:Z$82,MATCH($A72,'Impact Indicators - Section B '!$A$1:$A$82,0)),""),"")&amp;CHAR(10)&amp;IFERROR(IF(INDEX('Impact Indicators - Section B '!Y$1:Y$82,MATCH($A72,'Impact Indicators - Section B '!$A$1:$A$82,0))&lt;&gt;"",TEXT(INDEX('Impact Indicators - Section B '!Y$1:Y$82,MATCH($A72,'Impact Indicators - Section B '!$A$1:$A$82,0)),Setup!$A$33),""),"")</f>
        <v xml:space="preserve">/
</v>
      </c>
      <c r="T72" s="305"/>
      <c r="U72" s="223"/>
      <c r="V72" s="223"/>
      <c r="W72" s="223"/>
      <c r="X72" s="223"/>
      <c r="Y72" s="223"/>
      <c r="Z72" s="223"/>
      <c r="AA72" s="223"/>
      <c r="AB72" s="223"/>
      <c r="AC72" s="223"/>
      <c r="AD72" s="223"/>
      <c r="AE72" s="223"/>
      <c r="AF72" s="223"/>
      <c r="AG72" s="223"/>
      <c r="AH72" s="223"/>
      <c r="AI72" s="223"/>
      <c r="AJ72" s="223"/>
      <c r="AK72" s="223"/>
      <c r="AL72" s="223"/>
      <c r="AM72" s="223"/>
      <c r="AN72" s="223"/>
      <c r="AO72" s="223" t="str">
        <f ca="1">IFERROR(IF(INDEX('Impact Indicators - Section B '!AA$1:AA$82,MATCH($A72,'Impact Indicators - Section B '!$A$1:$A$82,0))&lt;&gt;0,INDEX('Impact Indicators - Section B '!AA$1:AA$82,MATCH($A72,'Impact Indicators - Section B '!$A$1:$A$82,0)),""),"")</f>
        <v/>
      </c>
      <c r="AP72" s="223"/>
      <c r="AQ72" s="223"/>
      <c r="AR72" s="223"/>
      <c r="AS72" s="223"/>
      <c r="AT72" s="223" t="str">
        <f>CONCATENATE($A72,J$52)</f>
        <v>10</v>
      </c>
      <c r="AU72" s="223" t="str">
        <f>CONCATENATE($A72,O$52)</f>
        <v>10</v>
      </c>
      <c r="AV72" s="223"/>
      <c r="AW72" s="223" t="str">
        <f>CONCATENATE($A72,X$52)</f>
        <v>10</v>
      </c>
      <c r="AX72" s="223" t="str">
        <f>CONCATENATE($A72,AB$52)</f>
        <v>10</v>
      </c>
      <c r="AY72" s="223"/>
      <c r="AZ72" s="223"/>
      <c r="BA72" s="223"/>
      <c r="BB72" s="223"/>
      <c r="BC72" s="120"/>
    </row>
    <row r="73" spans="1:55" s="105" customFormat="1" ht="100.4" customHeight="1" x14ac:dyDescent="0.5">
      <c r="A73" s="845"/>
      <c r="B73" s="809" t="str">
        <f ca="1">IFERROR(IF(INDEX('Impact Indicators - Section B '!AA$1:AA$82,MATCH($A72,'Impact Indicators - Section B '!$A$1:$A$82,0))&lt;&gt;0,INDEX('Impact Indicators - Section B '!AA$1:AA$82,MATCH($A72,'Impact Indicators - Section B '!$A$1:$A$82,0)),""),"")</f>
        <v/>
      </c>
      <c r="C73" s="810"/>
      <c r="D73" s="810"/>
      <c r="E73" s="810"/>
      <c r="F73" s="810"/>
      <c r="G73" s="810"/>
      <c r="H73" s="810"/>
      <c r="I73" s="811"/>
      <c r="J73" s="811"/>
      <c r="K73" s="811"/>
      <c r="L73" s="811"/>
      <c r="M73" s="811"/>
      <c r="N73" s="811"/>
      <c r="O73" s="811"/>
      <c r="P73" s="811"/>
      <c r="Q73" s="811"/>
      <c r="R73" s="811"/>
      <c r="S73" s="812"/>
      <c r="T73" s="306"/>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120"/>
    </row>
    <row r="74" spans="1:55" s="420" customFormat="1" ht="145.4" customHeight="1" x14ac:dyDescent="0.5">
      <c r="A74" s="844">
        <v>11</v>
      </c>
      <c r="B74" s="864" t="str">
        <f ca="1">IFERROR(IF(INDEX('Impact Indicators - Section B '!B$1:B$82,MATCH($A74,'Impact Indicators - Section B '!$A$1:$A$82,0))&lt;&gt;0,INDEX('Impact Indicators - Section B '!B$1:B$82,MATCH($A74,'Impact Indicators - Section B '!$A$1:$A$82,0)),""),"")</f>
        <v/>
      </c>
      <c r="C74" s="865"/>
      <c r="D74" s="866"/>
      <c r="E74" s="864" t="str">
        <f ca="1">IFERROR(IF(INDEX('Impact Indicators - Section B '!C$1:C$82,MATCH($A74,'Impact Indicators - Section B '!$A$1:$A$82,0))&lt;&gt;0,INDEX('Impact Indicators - Section B '!C$1:C$82,MATCH($A74,'Impact Indicators - Section B '!$A$1:$A$82,0)),""),"")</f>
        <v/>
      </c>
      <c r="F74" s="865"/>
      <c r="G74" s="866"/>
      <c r="H74" s="416" t="str">
        <f ca="1">IFERROR(IF(INDEX('Impact Indicators - Section B '!D$1:D$82,MATCH($A74,'Impact Indicators - Section B '!$A$1:$A$82,0))&lt;&gt;"",FIXED(INDEX('Impact Indicators - Section B '!D$1:D$82,MATCH($A74,'Impact Indicators - Section B '!$A$1:$A$82,0)),4),""),"")&amp;"/"&amp;IFERROR(IF(INDEX('Impact Indicators - Section B '!D$1:D$82,MATCH($A74,'Impact Indicators - Section B '!$A$1:$A$82,0)+1)&lt;&gt;"",FIXED(INDEX('Impact Indicators - Section B '!D$1:D$82,MATCH($A74,'Impact Indicators - Section B '!$A$1:$A$82,0)+1),2),""),"")&amp;CHAR(10)&amp;IFERROR(IF(INDEX('Impact Indicators - Section B '!E$1:E$82,MATCH($A74,'Impact Indicators - Section B '!$A$1:$A$82,0))&lt;&gt;"",FIXED(INDEX('Impact Indicators - Section B '!E$1:E$82,MATCH($A74,'Impact Indicators - Section B '!$A$1:$A$82,0))*100,2)&amp;"%",""),"")</f>
        <v xml:space="preserve">/
</v>
      </c>
      <c r="I74" s="417"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864" t="str">
        <f ca="1">IFERROR(IF(INDEX('Impact Indicators - Section B '!H$1:H$82,MATCH($A74,'Impact Indicators - Section B '!$A$1:$A$82,0))&lt;&gt;0,INDEX('Impact Indicators - Section B '!H$1:H$82,MATCH($A74,'Impact Indicators - Section B '!$A$1:$A$82,0)),""),"")</f>
        <v/>
      </c>
      <c r="K74" s="865"/>
      <c r="L74" s="865"/>
      <c r="M74" s="866"/>
      <c r="N74" s="398" t="str">
        <f ca="1">IFERROR(IF(AND('Overview - Section A'!AN$5="Grant Making",OR(B74&lt;&gt;"",E74&lt;&gt;"")),Setup!I15,IF(INDEX('Impact Indicators - Section B '!I$1:I$82,MATCH($A74,'Impact Indicators - Section B '!$A$1:$A$82,0))&lt;&gt;0,INDEX('Impact Indicators - Section B '!I$1:I$82,MATCH($A74,'Impact Indicators - Section B '!$A$1:$A$82,0)),"")),"")</f>
        <v/>
      </c>
      <c r="O74" s="417" t="str">
        <f ca="1">IFERROR(IF(INDEX('Impact Indicators - Section B '!J$1:J$82,MATCH($A74,'Impact Indicators - Section B '!$A$1:$A$82,0))&lt;&gt;0,INDEX('Impact Indicators - Section B '!J$1:J$82,MATCH($A74,'Impact Indicators - Section B '!$A$1:$A$82,0)),""),"")</f>
        <v/>
      </c>
      <c r="P74" s="399" t="str">
        <f ca="1">IFERROR(IF(INDEX('Impact Indicators - Section B '!K$1:K$82,MATCH($A74,'Impact Indicators - Section B '!$A$1:$A$82,0))&lt;&gt;"",FIXED(INDEX('Impact Indicators - Section B '!K$1:K$82,MATCH($A74,'Impact Indicators - Section B '!$A$1:$A$82,0)),4),""),"")&amp;"/"&amp;IFERROR(IF(INDEX('Impact Indicators - Section B '!K$1:K$82,MATCH($A74,'Impact Indicators - Section B '!$A$1:$A$82,0)+1)&lt;&gt;"",FIXED(INDEX('Impact Indicators - Section B '!K$1:K$82,MATCH($A74,'Impact Indicators - Section B '!$A$1:$A$82,0)+1),2),""),"")&amp;CHAR(10)&amp;IFERROR(IF(INDEX('Impact Indicators - Section B '!L$1:L$82,MATCH($A74,'Impact Indicators - Section B '!$A$1:$A$82,0))&lt;&gt;"",FIXED(INDEX('Impact Indicators - Section B '!L$1:L$82,MATCH($A74,'Impact Indicators - Section B '!$A$1:$A$82,0))*100,2)&amp;"%",""),"")&amp;CHAR(10)&amp;IFERROR(IF(INDEX('Impact Indicators - Section B '!N$1:N$82,MATCH($A74,'Impact Indicators - Section B '!$A$1:$A$82,0))&lt;&gt;"",INDEX('Impact Indicators - Section B '!N$1:N$82,MATCH($A74,'Impact Indicators - Section B '!$A$1:$A$82,0)),""),"")&amp;CHAR(10)&amp;IFERROR(IF(INDEX('Impact Indicators - Section B '!M$1:M$82,MATCH($A74,'Impact Indicators - Section B '!$A$1:$A$82,0))&lt;&gt;"",TEXT(INDEX('Impact Indicators - Section B '!M$1:M$82,MATCH($A74,'Impact Indicators - Section B '!$A$1:$A$82,0)),Setup!$A$33),""),"")</f>
        <v xml:space="preserve">/
</v>
      </c>
      <c r="Q74" s="399" t="str">
        <f ca="1">IFERROR(IF(INDEX('Impact Indicators - Section B '!O$1:O$82,MATCH($A74,'Impact Indicators - Section B '!$A$1:$A$82,0))&lt;&gt;"",FIXED(INDEX('Impact Indicators - Section B '!O$1:O$82,MATCH($A74,'Impact Indicators - Section B '!$A$1:$A$82,0)),4),""),"")&amp;"/"&amp;IFERROR(IF(INDEX('Impact Indicators - Section B '!O$1:O$82,MATCH($A74,'Impact Indicators - Section B '!$A$1:$A$82,0)+1)&lt;&gt;"",FIXED(INDEX('Impact Indicators - Section B '!O$1:O$82,MATCH($A74,'Impact Indicators - Section B '!$A$1:$A$82,0)+1),2),""),"")&amp;CHAR(10)&amp;IFERROR(IF(INDEX('Impact Indicators - Section B '!P$1:P$82,MATCH($A74,'Impact Indicators - Section B '!$A$1:$A$82,0))&lt;&gt;"",FIXED(INDEX('Impact Indicators - Section B '!P$1:P$82,MATCH($A74,'Impact Indicators - Section B '!$A$1:$A$82,0))*100,2)&amp;"%",""),"")&amp;CHAR(10)&amp;IFERROR(IF(INDEX('Impact Indicators - Section B '!R$1:R$82,MATCH($A74,'Impact Indicators - Section B '!$A$1:$A$82,0))&lt;&gt;"",INDEX('Impact Indicators - Section B '!R$1:R$82,MATCH($A74,'Impact Indicators - Section B '!$A$1:$A$82,0)),""),"")&amp;CHAR(10)&amp;IFERROR(IF(INDEX('Impact Indicators - Section B '!Q$1:Q$82,MATCH($A74,'Impact Indicators - Section B '!$A$1:$A$82,0))&lt;&gt;"",TEXT(INDEX('Impact Indicators - Section B '!Q$1:Q$82,MATCH($A74,'Impact Indicators - Section B '!$A$1:$A$82,0)),Setup!$A$33),""),"")</f>
        <v xml:space="preserve">/
</v>
      </c>
      <c r="R74" s="399" t="str">
        <f ca="1">IFERROR(IF(INDEX('Impact Indicators - Section B '!S$1:S$82,MATCH($A74,'Impact Indicators - Section B '!$A$1:$A$82,0))&lt;&gt;"",FIXED(INDEX('Impact Indicators - Section B '!S$1:S$82,MATCH($A74,'Impact Indicators - Section B '!$A$1:$A$82,0)),4),""),"")&amp;"/"&amp;IFERROR(IF(INDEX('Impact Indicators - Section B '!S$1:S$82,MATCH($A74,'Impact Indicators - Section B '!$A$1:$A$82,0)+1)&lt;&gt;"",FIXED(INDEX('Impact Indicators - Section B '!S$1:S$82,MATCH($A74,'Impact Indicators - Section B '!$A$1:$A$82,0)+1),2),""),"")&amp;CHAR(10)&amp;IFERROR(IF(INDEX('Impact Indicators - Section B '!T$1:T$82,MATCH($A74,'Impact Indicators - Section B '!$A$1:$A$82,0))&lt;&gt;"",FIXED(INDEX('Impact Indicators - Section B '!T$1:T$82,MATCH($A74,'Impact Indicators - Section B '!$A$1:$A$82,0))*100,2)&amp;"%",""),"")&amp;CHAR(10)&amp;IFERROR(IF(INDEX('Impact Indicators - Section B '!V$1:V$82,MATCH($A74,'Impact Indicators - Section B '!$A$1:$A$82,0))&lt;&gt;"",INDEX('Impact Indicators - Section B '!V$1:V$82,MATCH($A74,'Impact Indicators - Section B '!$A$1:$A$82,0)),""),"")&amp;CHAR(10)&amp;IFERROR(IF(INDEX('Impact Indicators - Section B '!U$1:U$82,MATCH($A74,'Impact Indicators - Section B '!$A$1:$A$82,0))&lt;&gt;"",TEXT(INDEX('Impact Indicators - Section B '!U$1:U$82,MATCH($A74,'Impact Indicators - Section B '!$A$1:$A$82,0)),Setup!$A$33),""),"")</f>
        <v xml:space="preserve">/
</v>
      </c>
      <c r="S74" s="399" t="str">
        <f ca="1">IFERROR(IF(INDEX('Impact Indicators - Section B '!W$1:W$82,MATCH($A74,'Impact Indicators - Section B '!$A$1:$A$82,0))&lt;&gt;"",FIXED(INDEX('Impact Indicators - Section B '!W$1:W$82,MATCH($A74,'Impact Indicators - Section B '!$A$1:$A$82,0)),4),""),"")&amp;"/"&amp;IFERROR(IF(INDEX('Impact Indicators - Section B '!W$1:W$82,MATCH($A74,'Impact Indicators - Section B '!$A$1:$A$82,0)+1)&lt;&gt;"",FIXED(INDEX('Impact Indicators - Section B '!W$1:W$82,MATCH($A74,'Impact Indicators - Section B '!$A$1:$A$82,0)+1),2),""),"")&amp;CHAR(10)&amp;IFERROR(IF(INDEX('Impact Indicators - Section B '!X$1:X$82,MATCH($A74,'Impact Indicators - Section B '!$A$1:$A$82,0))&lt;&gt;"",FIXED(INDEX('Impact Indicators - Section B '!X$1:X$82,MATCH($A74,'Impact Indicators - Section B '!$A$1:$A$82,0))*100,2)&amp;"%",""),"")&amp;CHAR(10)&amp;IFERROR(IF(INDEX('Impact Indicators - Section B '!Z$1:Z$82,MATCH($A74,'Impact Indicators - Section B '!$A$1:$A$82,0))&lt;&gt;"",INDEX('Impact Indicators - Section B '!Z$1:Z$82,MATCH($A74,'Impact Indicators - Section B '!$A$1:$A$82,0)),""),"")&amp;CHAR(10)&amp;IFERROR(IF(INDEX('Impact Indicators - Section B '!Y$1:Y$82,MATCH($A74,'Impact Indicators - Section B '!$A$1:$A$82,0))&lt;&gt;"",TEXT(INDEX('Impact Indicators - Section B '!Y$1:Y$82,MATCH($A74,'Impact Indicators - Section B '!$A$1:$A$82,0)),Setup!$A$33),""),"")</f>
        <v xml:space="preserve">/
</v>
      </c>
      <c r="T74" s="418"/>
      <c r="U74" s="223"/>
      <c r="V74" s="223"/>
      <c r="W74" s="223"/>
      <c r="X74" s="223"/>
      <c r="Y74" s="223"/>
      <c r="Z74" s="223"/>
      <c r="AA74" s="223"/>
      <c r="AB74" s="223"/>
      <c r="AC74" s="223"/>
      <c r="AD74" s="223"/>
      <c r="AE74" s="223"/>
      <c r="AF74" s="223"/>
      <c r="AG74" s="223"/>
      <c r="AH74" s="223"/>
      <c r="AI74" s="223"/>
      <c r="AJ74" s="223"/>
      <c r="AK74" s="223"/>
      <c r="AL74" s="223"/>
      <c r="AM74" s="223"/>
      <c r="AN74" s="223"/>
      <c r="AO74" s="223" t="str">
        <f ca="1">IFERROR(IF(INDEX('Impact Indicators - Section B '!AA$1:AA$82,MATCH($A74,'Impact Indicators - Section B '!$A$1:$A$82,0))&lt;&gt;0,INDEX('Impact Indicators - Section B '!AA$1:AA$82,MATCH($A74,'Impact Indicators - Section B '!$A$1:$A$82,0)),""),"")</f>
        <v/>
      </c>
      <c r="AP74" s="223"/>
      <c r="AQ74" s="223"/>
      <c r="AR74" s="223"/>
      <c r="AS74" s="223"/>
      <c r="AT74" s="223" t="str">
        <f>CONCATENATE($A74,J$52)</f>
        <v>11</v>
      </c>
      <c r="AU74" s="223" t="str">
        <f>CONCATENATE($A74,O$52)</f>
        <v>11</v>
      </c>
      <c r="AV74" s="223"/>
      <c r="AW74" s="223" t="str">
        <f>CONCATENATE($A74,X$52)</f>
        <v>11</v>
      </c>
      <c r="AX74" s="223" t="str">
        <f>CONCATENATE($A74,AB$52)</f>
        <v>11</v>
      </c>
      <c r="AY74" s="223"/>
      <c r="AZ74" s="223"/>
      <c r="BA74" s="223"/>
      <c r="BB74" s="223"/>
      <c r="BC74" s="419"/>
    </row>
    <row r="75" spans="1:55" s="420" customFormat="1" ht="100.4" customHeight="1" x14ac:dyDescent="0.5">
      <c r="A75" s="844"/>
      <c r="B75" s="867" t="str">
        <f ca="1">IFERROR(IF(INDEX('Impact Indicators - Section B '!AA$1:AA$82,MATCH($A74,'Impact Indicators - Section B '!$A$1:$A$82,0))&lt;&gt;0,INDEX('Impact Indicators - Section B '!AA$1:AA$82,MATCH($A74,'Impact Indicators - Section B '!$A$1:$A$82,0)),""),"")</f>
        <v/>
      </c>
      <c r="C75" s="868"/>
      <c r="D75" s="868"/>
      <c r="E75" s="868"/>
      <c r="F75" s="868"/>
      <c r="G75" s="868"/>
      <c r="H75" s="868"/>
      <c r="I75" s="868"/>
      <c r="J75" s="868"/>
      <c r="K75" s="868"/>
      <c r="L75" s="868"/>
      <c r="M75" s="868"/>
      <c r="N75" s="868"/>
      <c r="O75" s="868"/>
      <c r="P75" s="868"/>
      <c r="Q75" s="868"/>
      <c r="R75" s="868"/>
      <c r="S75" s="869"/>
      <c r="T75" s="306"/>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419"/>
    </row>
    <row r="76" spans="1:55" s="105" customFormat="1" ht="145.4" customHeight="1" x14ac:dyDescent="0.5">
      <c r="A76" s="845">
        <v>12</v>
      </c>
      <c r="B76" s="861" t="str">
        <f ca="1">IFERROR(IF(INDEX('Impact Indicators - Section B '!B$1:B$82,MATCH($A76,'Impact Indicators - Section B '!$A$1:$A$82,0))&lt;&gt;0,INDEX('Impact Indicators - Section B '!B$1:B$82,MATCH($A76,'Impact Indicators - Section B '!$A$1:$A$82,0)),""),"")</f>
        <v/>
      </c>
      <c r="C76" s="862"/>
      <c r="D76" s="863"/>
      <c r="E76" s="861" t="str">
        <f ca="1">IFERROR(IF(INDEX('Impact Indicators - Section B '!C$1:C$82,MATCH($A76,'Impact Indicators - Section B '!$A$1:$A$82,0))&lt;&gt;0,INDEX('Impact Indicators - Section B '!C$1:C$82,MATCH($A76,'Impact Indicators - Section B '!$A$1:$A$82,0)),""),"")</f>
        <v/>
      </c>
      <c r="F76" s="862"/>
      <c r="G76" s="863"/>
      <c r="H76" s="383" t="str">
        <f ca="1">IFERROR(IF(INDEX('Impact Indicators - Section B '!D$1:D$82,MATCH($A76,'Impact Indicators - Section B '!$A$1:$A$82,0))&lt;&gt;"",FIXED(INDEX('Impact Indicators - Section B '!D$1:D$82,MATCH($A76,'Impact Indicators - Section B '!$A$1:$A$82,0)),4),""),"")&amp;"/"&amp;IFERROR(IF(INDEX('Impact Indicators - Section B '!D$1:D$82,MATCH($A76,'Impact Indicators - Section B '!$A$1:$A$82,0)+1)&lt;&gt;"",FIXED(INDEX('Impact Indicators - Section B '!D$1:D$82,MATCH($A76,'Impact Indicators - Section B '!$A$1:$A$82,0)+1),2),""),"")&amp;CHAR(10)&amp;IFERROR(IF(INDEX('Impact Indicators - Section B '!E$1:E$82,MATCH($A76,'Impact Indicators - Section B '!$A$1:$A$82,0))&lt;&gt;"",FIXED(INDEX('Impact Indicators - Section B '!E$1:E$82,MATCH($A76,'Impact Indicators - Section B '!$A$1:$A$82,0))*100,2)&amp;"%",""),"")</f>
        <v xml:space="preserve">/
</v>
      </c>
      <c r="I76" s="384"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861" t="str">
        <f ca="1">IFERROR(IF(INDEX('Impact Indicators - Section B '!H$1:H$82,MATCH($A76,'Impact Indicators - Section B '!$A$1:$A$82,0))&lt;&gt;0,INDEX('Impact Indicators - Section B '!H$1:H$82,MATCH($A76,'Impact Indicators - Section B '!$A$1:$A$82,0)),""),"")</f>
        <v/>
      </c>
      <c r="K76" s="862"/>
      <c r="L76" s="862"/>
      <c r="M76" s="863"/>
      <c r="N76" s="414" t="str">
        <f ca="1">IFERROR(IF(AND('Overview - Section A'!AN$5="Grant Making",OR(B76&lt;&gt;"",E76&lt;&gt;"")),Setup!I15,IF(INDEX('Impact Indicators - Section B '!I$1:I$82,MATCH($A76,'Impact Indicators - Section B '!$A$1:$A$82,0))&lt;&gt;0,INDEX('Impact Indicators - Section B '!I$1:I$82,MATCH($A76,'Impact Indicators - Section B '!$A$1:$A$82,0)),"")),"")</f>
        <v/>
      </c>
      <c r="O76" s="384" t="str">
        <f ca="1">IFERROR(IF(INDEX('Impact Indicators - Section B '!J$1:J$82,MATCH($A76,'Impact Indicators - Section B '!$A$1:$A$82,0))&lt;&gt;0,INDEX('Impact Indicators - Section B '!J$1:J$82,MATCH($A76,'Impact Indicators - Section B '!$A$1:$A$82,0)),""),"")</f>
        <v/>
      </c>
      <c r="P76" s="386" t="str">
        <f ca="1">IFERROR(IF(INDEX('Impact Indicators - Section B '!K$1:K$82,MATCH($A76,'Impact Indicators - Section B '!$A$1:$A$82,0))&lt;&gt;"",FIXED(INDEX('Impact Indicators - Section B '!K$1:K$82,MATCH($A76,'Impact Indicators - Section B '!$A$1:$A$82,0)),4),""),"")&amp;"/"&amp;IFERROR(IF(INDEX('Impact Indicators - Section B '!K$1:K$82,MATCH($A76,'Impact Indicators - Section B '!$A$1:$A$82,0)+1)&lt;&gt;"",FIXED(INDEX('Impact Indicators - Section B '!K$1:K$82,MATCH($A76,'Impact Indicators - Section B '!$A$1:$A$82,0)+1),2),""),"")&amp;CHAR(10)&amp;IFERROR(IF(INDEX('Impact Indicators - Section B '!L$1:L$82,MATCH($A76,'Impact Indicators - Section B '!$A$1:$A$82,0))&lt;&gt;"",FIXED(INDEX('Impact Indicators - Section B '!L$1:L$82,MATCH($A76,'Impact Indicators - Section B '!$A$1:$A$82,0))*100,2)&amp;"%",""),"")&amp;CHAR(10)&amp;IFERROR(IF(INDEX('Impact Indicators - Section B '!N$1:N$82,MATCH($A76,'Impact Indicators - Section B '!$A$1:$A$82,0))&lt;&gt;"",INDEX('Impact Indicators - Section B '!N$1:N$82,MATCH($A76,'Impact Indicators - Section B '!$A$1:$A$82,0)),""),"")&amp;CHAR(10)&amp;IFERROR(IF(INDEX('Impact Indicators - Section B '!M$1:M$82,MATCH($A76,'Impact Indicators - Section B '!$A$1:$A$82,0))&lt;&gt;"",TEXT(INDEX('Impact Indicators - Section B '!M$1:M$82,MATCH($A76,'Impact Indicators - Section B '!$A$1:$A$82,0)),Setup!$A$33),""),"")</f>
        <v xml:space="preserve">/
</v>
      </c>
      <c r="Q76" s="386" t="str">
        <f ca="1">IFERROR(IF(INDEX('Impact Indicators - Section B '!O$1:O$82,MATCH($A76,'Impact Indicators - Section B '!$A$1:$A$82,0))&lt;&gt;"",FIXED(INDEX('Impact Indicators - Section B '!O$1:O$82,MATCH($A76,'Impact Indicators - Section B '!$A$1:$A$82,0)),4),""),"")&amp;"/"&amp;IFERROR(IF(INDEX('Impact Indicators - Section B '!O$1:O$82,MATCH($A76,'Impact Indicators - Section B '!$A$1:$A$82,0)+1)&lt;&gt;"",FIXED(INDEX('Impact Indicators - Section B '!O$1:O$82,MATCH($A76,'Impact Indicators - Section B '!$A$1:$A$82,0)+1),2),""),"")&amp;CHAR(10)&amp;IFERROR(IF(INDEX('Impact Indicators - Section B '!P$1:P$82,MATCH($A76,'Impact Indicators - Section B '!$A$1:$A$82,0))&lt;&gt;"",FIXED(INDEX('Impact Indicators - Section B '!P$1:P$82,MATCH($A76,'Impact Indicators - Section B '!$A$1:$A$82,0))*100,2)&amp;"%",""),"")&amp;CHAR(10)&amp;IFERROR(IF(INDEX('Impact Indicators - Section B '!R$1:R$82,MATCH($A76,'Impact Indicators - Section B '!$A$1:$A$82,0))&lt;&gt;"",INDEX('Impact Indicators - Section B '!R$1:R$82,MATCH($A76,'Impact Indicators - Section B '!$A$1:$A$82,0)),""),"")&amp;CHAR(10)&amp;IFERROR(IF(INDEX('Impact Indicators - Section B '!Q$1:Q$82,MATCH($A76,'Impact Indicators - Section B '!$A$1:$A$82,0))&lt;&gt;"",TEXT(INDEX('Impact Indicators - Section B '!Q$1:Q$82,MATCH($A76,'Impact Indicators - Section B '!$A$1:$A$82,0)),Setup!$A$33),""),"")</f>
        <v xml:space="preserve">/
</v>
      </c>
      <c r="R76" s="386" t="str">
        <f ca="1">IFERROR(IF(INDEX('Impact Indicators - Section B '!S$1:S$82,MATCH($A76,'Impact Indicators - Section B '!$A$1:$A$82,0))&lt;&gt;"",FIXED(INDEX('Impact Indicators - Section B '!S$1:S$82,MATCH($A76,'Impact Indicators - Section B '!$A$1:$A$82,0)),4),""),"")&amp;"/"&amp;IFERROR(IF(INDEX('Impact Indicators - Section B '!S$1:S$82,MATCH($A76,'Impact Indicators - Section B '!$A$1:$A$82,0)+1)&lt;&gt;"",FIXED(INDEX('Impact Indicators - Section B '!S$1:S$82,MATCH($A76,'Impact Indicators - Section B '!$A$1:$A$82,0)+1),2),""),"")&amp;CHAR(10)&amp;IFERROR(IF(INDEX('Impact Indicators - Section B '!T$1:T$82,MATCH($A76,'Impact Indicators - Section B '!$A$1:$A$82,0))&lt;&gt;"",FIXED(INDEX('Impact Indicators - Section B '!T$1:T$82,MATCH($A76,'Impact Indicators - Section B '!$A$1:$A$82,0))*100,2)&amp;"%",""),"")&amp;CHAR(10)&amp;IFERROR(IF(INDEX('Impact Indicators - Section B '!V$1:V$82,MATCH($A76,'Impact Indicators - Section B '!$A$1:$A$82,0))&lt;&gt;"",INDEX('Impact Indicators - Section B '!V$1:V$82,MATCH($A76,'Impact Indicators - Section B '!$A$1:$A$82,0)),""),"")&amp;CHAR(10)&amp;IFERROR(IF(INDEX('Impact Indicators - Section B '!U$1:U$82,MATCH($A76,'Impact Indicators - Section B '!$A$1:$A$82,0))&lt;&gt;"",TEXT(INDEX('Impact Indicators - Section B '!U$1:U$82,MATCH($A76,'Impact Indicators - Section B '!$A$1:$A$82,0)),Setup!$A$33),""),"")</f>
        <v xml:space="preserve">/
</v>
      </c>
      <c r="S76" s="386" t="str">
        <f ca="1">IFERROR(IF(INDEX('Impact Indicators - Section B '!W$1:W$82,MATCH($A76,'Impact Indicators - Section B '!$A$1:$A$82,0))&lt;&gt;"",FIXED(INDEX('Impact Indicators - Section B '!W$1:W$82,MATCH($A76,'Impact Indicators - Section B '!$A$1:$A$82,0)),4),""),"")&amp;"/"&amp;IFERROR(IF(INDEX('Impact Indicators - Section B '!W$1:W$82,MATCH($A76,'Impact Indicators - Section B '!$A$1:$A$82,0)+1)&lt;&gt;"",FIXED(INDEX('Impact Indicators - Section B '!W$1:W$82,MATCH($A76,'Impact Indicators - Section B '!$A$1:$A$82,0)+1),2),""),"")&amp;CHAR(10)&amp;IFERROR(IF(INDEX('Impact Indicators - Section B '!X$1:X$82,MATCH($A76,'Impact Indicators - Section B '!$A$1:$A$82,0))&lt;&gt;"",FIXED(INDEX('Impact Indicators - Section B '!X$1:X$82,MATCH($A76,'Impact Indicators - Section B '!$A$1:$A$82,0))*100,2)&amp;"%",""),"")&amp;CHAR(10)&amp;IFERROR(IF(INDEX('Impact Indicators - Section B '!Z$1:Z$82,MATCH($A76,'Impact Indicators - Section B '!$A$1:$A$82,0))&lt;&gt;"",INDEX('Impact Indicators - Section B '!Z$1:Z$82,MATCH($A76,'Impact Indicators - Section B '!$A$1:$A$82,0)),""),"")&amp;CHAR(10)&amp;IFERROR(IF(INDEX('Impact Indicators - Section B '!Y$1:Y$82,MATCH($A76,'Impact Indicators - Section B '!$A$1:$A$82,0))&lt;&gt;"",TEXT(INDEX('Impact Indicators - Section B '!Y$1:Y$82,MATCH($A76,'Impact Indicators - Section B '!$A$1:$A$82,0)),Setup!$A$33),""),"")</f>
        <v xml:space="preserve">/
</v>
      </c>
      <c r="T76" s="305"/>
      <c r="U76" s="223"/>
      <c r="V76" s="223"/>
      <c r="W76" s="223"/>
      <c r="X76" s="223"/>
      <c r="Y76" s="223"/>
      <c r="Z76" s="223"/>
      <c r="AA76" s="223"/>
      <c r="AB76" s="223"/>
      <c r="AC76" s="223"/>
      <c r="AD76" s="223"/>
      <c r="AE76" s="223"/>
      <c r="AF76" s="223"/>
      <c r="AG76" s="223"/>
      <c r="AH76" s="223"/>
      <c r="AI76" s="223"/>
      <c r="AJ76" s="223"/>
      <c r="AK76" s="223"/>
      <c r="AL76" s="223"/>
      <c r="AM76" s="223"/>
      <c r="AN76" s="223"/>
      <c r="AO76" s="223" t="str">
        <f ca="1">IFERROR(IF(INDEX('Impact Indicators - Section B '!AA$1:AA$82,MATCH($A76,'Impact Indicators - Section B '!$A$1:$A$82,0))&lt;&gt;0,INDEX('Impact Indicators - Section B '!AA$1:AA$82,MATCH($A76,'Impact Indicators - Section B '!$A$1:$A$82,0)),""),"")</f>
        <v/>
      </c>
      <c r="AP76" s="223"/>
      <c r="AQ76" s="223"/>
      <c r="AR76" s="223"/>
      <c r="AS76" s="223"/>
      <c r="AT76" s="223" t="str">
        <f>CONCATENATE($A76,J$52)</f>
        <v>12</v>
      </c>
      <c r="AU76" s="223" t="str">
        <f>CONCATENATE($A76,O$52)</f>
        <v>12</v>
      </c>
      <c r="AV76" s="223"/>
      <c r="AW76" s="223" t="str">
        <f>CONCATENATE($A76,X$52)</f>
        <v>12</v>
      </c>
      <c r="AX76" s="223" t="str">
        <f>CONCATENATE($A76,AB$52)</f>
        <v>12</v>
      </c>
      <c r="AY76" s="223"/>
      <c r="AZ76" s="223"/>
      <c r="BA76" s="223"/>
      <c r="BB76" s="223"/>
      <c r="BC76" s="120"/>
    </row>
    <row r="77" spans="1:55" s="105" customFormat="1" ht="100.4" customHeight="1" x14ac:dyDescent="0.5">
      <c r="A77" s="845"/>
      <c r="B77" s="809" t="str">
        <f ca="1">IFERROR(IF(INDEX('Impact Indicators - Section B '!AA$1:AA$82,MATCH($A76,'Impact Indicators - Section B '!$A$1:$A$82,0))&lt;&gt;0,INDEX('Impact Indicators - Section B '!AA$1:AA$82,MATCH($A76,'Impact Indicators - Section B '!$A$1:$A$82,0)),""),"")</f>
        <v/>
      </c>
      <c r="C77" s="810"/>
      <c r="D77" s="810"/>
      <c r="E77" s="810"/>
      <c r="F77" s="810"/>
      <c r="G77" s="810"/>
      <c r="H77" s="810"/>
      <c r="I77" s="811"/>
      <c r="J77" s="811"/>
      <c r="K77" s="811"/>
      <c r="L77" s="811"/>
      <c r="M77" s="811"/>
      <c r="N77" s="811"/>
      <c r="O77" s="811"/>
      <c r="P77" s="811"/>
      <c r="Q77" s="811"/>
      <c r="R77" s="811"/>
      <c r="S77" s="812"/>
      <c r="T77" s="306"/>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120"/>
    </row>
    <row r="78" spans="1:55" s="420" customFormat="1" ht="145.4" customHeight="1" x14ac:dyDescent="0.5">
      <c r="A78" s="844">
        <v>13</v>
      </c>
      <c r="B78" s="864" t="str">
        <f ca="1">IFERROR(IF(INDEX('Impact Indicators - Section B '!B$1:B$82,MATCH($A78,'Impact Indicators - Section B '!$A$1:$A$82,0))&lt;&gt;0,INDEX('Impact Indicators - Section B '!B$1:B$82,MATCH($A78,'Impact Indicators - Section B '!$A$1:$A$82,0)),""),"")</f>
        <v/>
      </c>
      <c r="C78" s="865"/>
      <c r="D78" s="866"/>
      <c r="E78" s="864" t="str">
        <f ca="1">IFERROR(IF(INDEX('Impact Indicators - Section B '!C$1:C$82,MATCH($A78,'Impact Indicators - Section B '!$A$1:$A$82,0))&lt;&gt;0,INDEX('Impact Indicators - Section B '!C$1:C$82,MATCH($A78,'Impact Indicators - Section B '!$A$1:$A$82,0)),""),"")</f>
        <v/>
      </c>
      <c r="F78" s="865"/>
      <c r="G78" s="866"/>
      <c r="H78" s="416" t="str">
        <f ca="1">IFERROR(IF(INDEX('Impact Indicators - Section B '!D$1:D$82,MATCH($A78,'Impact Indicators - Section B '!$A$1:$A$82,0))&lt;&gt;"",FIXED(INDEX('Impact Indicators - Section B '!D$1:D$82,MATCH($A78,'Impact Indicators - Section B '!$A$1:$A$82,0)),4),""),"")&amp;"/"&amp;IFERROR(IF(INDEX('Impact Indicators - Section B '!D$1:D$82,MATCH($A78,'Impact Indicators - Section B '!$A$1:$A$82,0)+1)&lt;&gt;"",FIXED(INDEX('Impact Indicators - Section B '!D$1:D$82,MATCH($A78,'Impact Indicators - Section B '!$A$1:$A$82,0)+1),2),""),"")&amp;CHAR(10)&amp;IFERROR(IF(INDEX('Impact Indicators - Section B '!E$1:E$82,MATCH($A78,'Impact Indicators - Section B '!$A$1:$A$82,0))&lt;&gt;"",FIXED(INDEX('Impact Indicators - Section B '!E$1:E$82,MATCH($A78,'Impact Indicators - Section B '!$A$1:$A$82,0))*100,2)&amp;"%",""),"")</f>
        <v xml:space="preserve">/
</v>
      </c>
      <c r="I78" s="417"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864" t="str">
        <f ca="1">IFERROR(IF(INDEX('Impact Indicators - Section B '!H$1:H$82,MATCH($A78,'Impact Indicators - Section B '!$A$1:$A$82,0))&lt;&gt;0,INDEX('Impact Indicators - Section B '!H$1:H$82,MATCH($A78,'Impact Indicators - Section B '!$A$1:$A$82,0)),""),"")</f>
        <v/>
      </c>
      <c r="K78" s="865"/>
      <c r="L78" s="865"/>
      <c r="M78" s="866"/>
      <c r="N78" s="398" t="str">
        <f ca="1">IFERROR(IF(AND('Overview - Section A'!AN$5="Grant Making",OR(B78&lt;&gt;"",E78&lt;&gt;"")),Setup!I15,IF(INDEX('Impact Indicators - Section B '!I$1:I$82,MATCH($A78,'Impact Indicators - Section B '!$A$1:$A$82,0))&lt;&gt;0,INDEX('Impact Indicators - Section B '!I$1:I$82,MATCH($A78,'Impact Indicators - Section B '!$A$1:$A$82,0)),"")),"")</f>
        <v/>
      </c>
      <c r="O78" s="417" t="str">
        <f ca="1">IFERROR(IF(INDEX('Impact Indicators - Section B '!J$1:J$82,MATCH($A78,'Impact Indicators - Section B '!$A$1:$A$82,0))&lt;&gt;0,INDEX('Impact Indicators - Section B '!J$1:J$82,MATCH($A78,'Impact Indicators - Section B '!$A$1:$A$82,0)),""),"")</f>
        <v/>
      </c>
      <c r="P78" s="399" t="str">
        <f ca="1">IFERROR(IF(INDEX('Impact Indicators - Section B '!K$1:K$82,MATCH($A78,'Impact Indicators - Section B '!$A$1:$A$82,0))&lt;&gt;"",FIXED(INDEX('Impact Indicators - Section B '!K$1:K$82,MATCH($A78,'Impact Indicators - Section B '!$A$1:$A$82,0)),4),""),"")&amp;"/"&amp;IFERROR(IF(INDEX('Impact Indicators - Section B '!K$1:K$82,MATCH($A78,'Impact Indicators - Section B '!$A$1:$A$82,0)+1)&lt;&gt;"",FIXED(INDEX('Impact Indicators - Section B '!K$1:K$82,MATCH($A78,'Impact Indicators - Section B '!$A$1:$A$82,0)+1),2),""),"")&amp;CHAR(10)&amp;IFERROR(IF(INDEX('Impact Indicators - Section B '!L$1:L$82,MATCH($A78,'Impact Indicators - Section B '!$A$1:$A$82,0))&lt;&gt;"",FIXED(INDEX('Impact Indicators - Section B '!L$1:L$82,MATCH($A78,'Impact Indicators - Section B '!$A$1:$A$82,0))*100,2)&amp;"%",""),"")&amp;CHAR(10)&amp;IFERROR(IF(INDEX('Impact Indicators - Section B '!N$1:N$82,MATCH($A78,'Impact Indicators - Section B '!$A$1:$A$82,0))&lt;&gt;"",INDEX('Impact Indicators - Section B '!N$1:N$82,MATCH($A78,'Impact Indicators - Section B '!$A$1:$A$82,0)),""),"")&amp;CHAR(10)&amp;IFERROR(IF(INDEX('Impact Indicators - Section B '!M$1:M$82,MATCH($A78,'Impact Indicators - Section B '!$A$1:$A$82,0))&lt;&gt;"",TEXT(INDEX('Impact Indicators - Section B '!M$1:M$82,MATCH($A78,'Impact Indicators - Section B '!$A$1:$A$82,0)),Setup!$A$33),""),"")</f>
        <v xml:space="preserve">/
</v>
      </c>
      <c r="Q78" s="399" t="str">
        <f ca="1">IFERROR(IF(INDEX('Impact Indicators - Section B '!O$1:O$82,MATCH($A78,'Impact Indicators - Section B '!$A$1:$A$82,0))&lt;&gt;"",FIXED(INDEX('Impact Indicators - Section B '!O$1:O$82,MATCH($A78,'Impact Indicators - Section B '!$A$1:$A$82,0)),4),""),"")&amp;"/"&amp;IFERROR(IF(INDEX('Impact Indicators - Section B '!O$1:O$82,MATCH($A78,'Impact Indicators - Section B '!$A$1:$A$82,0)+1)&lt;&gt;"",FIXED(INDEX('Impact Indicators - Section B '!O$1:O$82,MATCH($A78,'Impact Indicators - Section B '!$A$1:$A$82,0)+1),2),""),"")&amp;CHAR(10)&amp;IFERROR(IF(INDEX('Impact Indicators - Section B '!P$1:P$82,MATCH($A78,'Impact Indicators - Section B '!$A$1:$A$82,0))&lt;&gt;"",FIXED(INDEX('Impact Indicators - Section B '!P$1:P$82,MATCH($A78,'Impact Indicators - Section B '!$A$1:$A$82,0))*100,2)&amp;"%",""),"")&amp;CHAR(10)&amp;IFERROR(IF(INDEX('Impact Indicators - Section B '!R$1:R$82,MATCH($A78,'Impact Indicators - Section B '!$A$1:$A$82,0))&lt;&gt;"",INDEX('Impact Indicators - Section B '!R$1:R$82,MATCH($A78,'Impact Indicators - Section B '!$A$1:$A$82,0)),""),"")&amp;CHAR(10)&amp;IFERROR(IF(INDEX('Impact Indicators - Section B '!Q$1:Q$82,MATCH($A78,'Impact Indicators - Section B '!$A$1:$A$82,0))&lt;&gt;"",TEXT(INDEX('Impact Indicators - Section B '!Q$1:Q$82,MATCH($A78,'Impact Indicators - Section B '!$A$1:$A$82,0)),Setup!$A$33),""),"")</f>
        <v xml:space="preserve">/
</v>
      </c>
      <c r="R78" s="399" t="str">
        <f ca="1">IFERROR(IF(INDEX('Impact Indicators - Section B '!S$1:S$82,MATCH($A78,'Impact Indicators - Section B '!$A$1:$A$82,0))&lt;&gt;"",FIXED(INDEX('Impact Indicators - Section B '!S$1:S$82,MATCH($A78,'Impact Indicators - Section B '!$A$1:$A$82,0)),4),""),"")&amp;"/"&amp;IFERROR(IF(INDEX('Impact Indicators - Section B '!S$1:S$82,MATCH($A78,'Impact Indicators - Section B '!$A$1:$A$82,0)+1)&lt;&gt;"",FIXED(INDEX('Impact Indicators - Section B '!S$1:S$82,MATCH($A78,'Impact Indicators - Section B '!$A$1:$A$82,0)+1),2),""),"")&amp;CHAR(10)&amp;IFERROR(IF(INDEX('Impact Indicators - Section B '!T$1:T$82,MATCH($A78,'Impact Indicators - Section B '!$A$1:$A$82,0))&lt;&gt;"",FIXED(INDEX('Impact Indicators - Section B '!T$1:T$82,MATCH($A78,'Impact Indicators - Section B '!$A$1:$A$82,0))*100,2)&amp;"%",""),"")&amp;CHAR(10)&amp;IFERROR(IF(INDEX('Impact Indicators - Section B '!V$1:V$82,MATCH($A78,'Impact Indicators - Section B '!$A$1:$A$82,0))&lt;&gt;"",INDEX('Impact Indicators - Section B '!V$1:V$82,MATCH($A78,'Impact Indicators - Section B '!$A$1:$A$82,0)),""),"")&amp;CHAR(10)&amp;IFERROR(IF(INDEX('Impact Indicators - Section B '!U$1:U$82,MATCH($A78,'Impact Indicators - Section B '!$A$1:$A$82,0))&lt;&gt;"",TEXT(INDEX('Impact Indicators - Section B '!U$1:U$82,MATCH($A78,'Impact Indicators - Section B '!$A$1:$A$82,0)),Setup!$A$33),""),"")</f>
        <v xml:space="preserve">/
</v>
      </c>
      <c r="S78" s="399" t="str">
        <f ca="1">IFERROR(IF(INDEX('Impact Indicators - Section B '!W$1:W$82,MATCH($A78,'Impact Indicators - Section B '!$A$1:$A$82,0))&lt;&gt;"",FIXED(INDEX('Impact Indicators - Section B '!W$1:W$82,MATCH($A78,'Impact Indicators - Section B '!$A$1:$A$82,0)),4),""),"")&amp;"/"&amp;IFERROR(IF(INDEX('Impact Indicators - Section B '!W$1:W$82,MATCH($A78,'Impact Indicators - Section B '!$A$1:$A$82,0)+1)&lt;&gt;"",FIXED(INDEX('Impact Indicators - Section B '!W$1:W$82,MATCH($A78,'Impact Indicators - Section B '!$A$1:$A$82,0)+1),2),""),"")&amp;CHAR(10)&amp;IFERROR(IF(INDEX('Impact Indicators - Section B '!X$1:X$82,MATCH($A78,'Impact Indicators - Section B '!$A$1:$A$82,0))&lt;&gt;"",FIXED(INDEX('Impact Indicators - Section B '!X$1:X$82,MATCH($A78,'Impact Indicators - Section B '!$A$1:$A$82,0))*100,2)&amp;"%",""),"")&amp;CHAR(10)&amp;IFERROR(IF(INDEX('Impact Indicators - Section B '!Z$1:Z$82,MATCH($A78,'Impact Indicators - Section B '!$A$1:$A$82,0))&lt;&gt;"",INDEX('Impact Indicators - Section B '!Z$1:Z$82,MATCH($A78,'Impact Indicators - Section B '!$A$1:$A$82,0)),""),"")&amp;CHAR(10)&amp;IFERROR(IF(INDEX('Impact Indicators - Section B '!Y$1:Y$82,MATCH($A78,'Impact Indicators - Section B '!$A$1:$A$82,0))&lt;&gt;"",TEXT(INDEX('Impact Indicators - Section B '!Y$1:Y$82,MATCH($A78,'Impact Indicators - Section B '!$A$1:$A$82,0)),Setup!$A$33),""),"")</f>
        <v xml:space="preserve">/
</v>
      </c>
      <c r="T78" s="418"/>
      <c r="U78" s="223"/>
      <c r="V78" s="223"/>
      <c r="W78" s="223"/>
      <c r="X78" s="223"/>
      <c r="Y78" s="223"/>
      <c r="Z78" s="223"/>
      <c r="AA78" s="223"/>
      <c r="AB78" s="223"/>
      <c r="AC78" s="223"/>
      <c r="AD78" s="223"/>
      <c r="AE78" s="223"/>
      <c r="AF78" s="223"/>
      <c r="AG78" s="223"/>
      <c r="AH78" s="223"/>
      <c r="AI78" s="223"/>
      <c r="AJ78" s="223"/>
      <c r="AK78" s="223"/>
      <c r="AL78" s="223"/>
      <c r="AM78" s="223"/>
      <c r="AN78" s="223"/>
      <c r="AO78" s="223" t="str">
        <f ca="1">IFERROR(IF(INDEX('Impact Indicators - Section B '!AA$1:AA$82,MATCH($A78,'Impact Indicators - Section B '!$A$1:$A$82,0))&lt;&gt;0,INDEX('Impact Indicators - Section B '!AA$1:AA$82,MATCH($A78,'Impact Indicators - Section B '!$A$1:$A$82,0)),""),"")</f>
        <v/>
      </c>
      <c r="AP78" s="223"/>
      <c r="AQ78" s="223"/>
      <c r="AR78" s="223"/>
      <c r="AS78" s="223"/>
      <c r="AT78" s="223" t="str">
        <f>CONCATENATE($A78,J$52)</f>
        <v>13</v>
      </c>
      <c r="AU78" s="223" t="str">
        <f>CONCATENATE($A78,O$52)</f>
        <v>13</v>
      </c>
      <c r="AV78" s="223"/>
      <c r="AW78" s="223" t="str">
        <f>CONCATENATE($A78,X$52)</f>
        <v>13</v>
      </c>
      <c r="AX78" s="223" t="str">
        <f>CONCATENATE($A78,AB$52)</f>
        <v>13</v>
      </c>
      <c r="AY78" s="223"/>
      <c r="AZ78" s="223"/>
      <c r="BA78" s="223"/>
      <c r="BB78" s="223"/>
      <c r="BC78" s="419"/>
    </row>
    <row r="79" spans="1:55" s="420" customFormat="1" ht="100.4" customHeight="1" x14ac:dyDescent="0.5">
      <c r="A79" s="844"/>
      <c r="B79" s="867" t="str">
        <f ca="1">IFERROR(IF(INDEX('Impact Indicators - Section B '!AA$1:AA$82,MATCH($A78,'Impact Indicators - Section B '!$A$1:$A$82,0))&lt;&gt;0,INDEX('Impact Indicators - Section B '!AA$1:AA$82,MATCH($A78,'Impact Indicators - Section B '!$A$1:$A$82,0)),""),"")</f>
        <v/>
      </c>
      <c r="C79" s="868"/>
      <c r="D79" s="868"/>
      <c r="E79" s="868"/>
      <c r="F79" s="868"/>
      <c r="G79" s="868"/>
      <c r="H79" s="868"/>
      <c r="I79" s="868"/>
      <c r="J79" s="868"/>
      <c r="K79" s="868"/>
      <c r="L79" s="868"/>
      <c r="M79" s="868"/>
      <c r="N79" s="868"/>
      <c r="O79" s="868"/>
      <c r="P79" s="868"/>
      <c r="Q79" s="868"/>
      <c r="R79" s="868"/>
      <c r="S79" s="869"/>
      <c r="T79" s="306"/>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419"/>
    </row>
    <row r="80" spans="1:55" s="105" customFormat="1" ht="145.4" customHeight="1" x14ac:dyDescent="0.5">
      <c r="A80" s="845">
        <v>14</v>
      </c>
      <c r="B80" s="861" t="str">
        <f ca="1">IFERROR(IF(INDEX('Impact Indicators - Section B '!B$1:B$82,MATCH($A80,'Impact Indicators - Section B '!$A$1:$A$82,0))&lt;&gt;0,INDEX('Impact Indicators - Section B '!B$1:B$82,MATCH($A80,'Impact Indicators - Section B '!$A$1:$A$82,0)),""),"")</f>
        <v/>
      </c>
      <c r="C80" s="862"/>
      <c r="D80" s="863"/>
      <c r="E80" s="861" t="str">
        <f ca="1">IFERROR(IF(INDEX('Impact Indicators - Section B '!C$1:C$82,MATCH($A80,'Impact Indicators - Section B '!$A$1:$A$82,0))&lt;&gt;0,INDEX('Impact Indicators - Section B '!C$1:C$82,MATCH($A80,'Impact Indicators - Section B '!$A$1:$A$82,0)),""),"")</f>
        <v/>
      </c>
      <c r="F80" s="862"/>
      <c r="G80" s="863"/>
      <c r="H80" s="383" t="str">
        <f ca="1">IFERROR(IF(INDEX('Impact Indicators - Section B '!D$1:D$82,MATCH($A80,'Impact Indicators - Section B '!$A$1:$A$82,0))&lt;&gt;"",FIXED(INDEX('Impact Indicators - Section B '!D$1:D$82,MATCH($A80,'Impact Indicators - Section B '!$A$1:$A$82,0)),4),""),"")&amp;"/"&amp;IFERROR(IF(INDEX('Impact Indicators - Section B '!D$1:D$82,MATCH($A80,'Impact Indicators - Section B '!$A$1:$A$82,0)+1)&lt;&gt;"",FIXED(INDEX('Impact Indicators - Section B '!D$1:D$82,MATCH($A80,'Impact Indicators - Section B '!$A$1:$A$82,0)+1),2),""),"")&amp;CHAR(10)&amp;IFERROR(IF(INDEX('Impact Indicators - Section B '!E$1:E$82,MATCH($A80,'Impact Indicators - Section B '!$A$1:$A$82,0))&lt;&gt;"",FIXED(INDEX('Impact Indicators - Section B '!E$1:E$82,MATCH($A80,'Impact Indicators - Section B '!$A$1:$A$82,0))*100,2)&amp;"%",""),"")</f>
        <v xml:space="preserve">/
</v>
      </c>
      <c r="I80" s="384"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861" t="str">
        <f ca="1">IFERROR(IF(INDEX('Impact Indicators - Section B '!H$1:H$82,MATCH($A80,'Impact Indicators - Section B '!$A$1:$A$82,0))&lt;&gt;0,INDEX('Impact Indicators - Section B '!H$1:H$82,MATCH($A80,'Impact Indicators - Section B '!$A$1:$A$82,0)),""),"")</f>
        <v/>
      </c>
      <c r="K80" s="862"/>
      <c r="L80" s="862"/>
      <c r="M80" s="863"/>
      <c r="N80" s="414" t="str">
        <f ca="1">IFERROR(IF(AND('Overview - Section A'!AN$5="Grant Making",OR(B80&lt;&gt;"",E80&lt;&gt;"")),Setup!I15,IF(INDEX('Impact Indicators - Section B '!I$1:I$82,MATCH($A80,'Impact Indicators - Section B '!$A$1:$A$82,0))&lt;&gt;0,INDEX('Impact Indicators - Section B '!I$1:I$82,MATCH($A80,'Impact Indicators - Section B '!$A$1:$A$82,0)),"")),"")</f>
        <v/>
      </c>
      <c r="O80" s="384" t="str">
        <f ca="1">IFERROR(IF(INDEX('Impact Indicators - Section B '!J$1:J$82,MATCH($A80,'Impact Indicators - Section B '!$A$1:$A$82,0))&lt;&gt;0,INDEX('Impact Indicators - Section B '!J$1:J$82,MATCH($A80,'Impact Indicators - Section B '!$A$1:$A$82,0)),""),"")</f>
        <v/>
      </c>
      <c r="P80" s="386" t="str">
        <f ca="1">IFERROR(IF(INDEX('Impact Indicators - Section B '!K$1:K$82,MATCH($A80,'Impact Indicators - Section B '!$A$1:$A$82,0))&lt;&gt;"",FIXED(INDEX('Impact Indicators - Section B '!K$1:K$82,MATCH($A80,'Impact Indicators - Section B '!$A$1:$A$82,0)),4),""),"")&amp;"/"&amp;IFERROR(IF(INDEX('Impact Indicators - Section B '!K$1:K$82,MATCH($A80,'Impact Indicators - Section B '!$A$1:$A$82,0)+1)&lt;&gt;"",FIXED(INDEX('Impact Indicators - Section B '!K$1:K$82,MATCH($A80,'Impact Indicators - Section B '!$A$1:$A$82,0)+1),2),""),"")&amp;CHAR(10)&amp;IFERROR(IF(INDEX('Impact Indicators - Section B '!L$1:L$82,MATCH($A80,'Impact Indicators - Section B '!$A$1:$A$82,0))&lt;&gt;"",FIXED(INDEX('Impact Indicators - Section B '!L$1:L$82,MATCH($A80,'Impact Indicators - Section B '!$A$1:$A$82,0))*100,2)&amp;"%",""),"")&amp;CHAR(10)&amp;IFERROR(IF(INDEX('Impact Indicators - Section B '!N$1:N$82,MATCH($A80,'Impact Indicators - Section B '!$A$1:$A$82,0))&lt;&gt;"",INDEX('Impact Indicators - Section B '!N$1:N$82,MATCH($A80,'Impact Indicators - Section B '!$A$1:$A$82,0)),""),"")&amp;CHAR(10)&amp;IFERROR(IF(INDEX('Impact Indicators - Section B '!M$1:M$82,MATCH($A80,'Impact Indicators - Section B '!$A$1:$A$82,0))&lt;&gt;"",TEXT(INDEX('Impact Indicators - Section B '!M$1:M$82,MATCH($A80,'Impact Indicators - Section B '!$A$1:$A$82,0)),Setup!$A$33),""),"")</f>
        <v xml:space="preserve">/
</v>
      </c>
      <c r="Q80" s="386" t="str">
        <f ca="1">IFERROR(IF(INDEX('Impact Indicators - Section B '!O$1:O$82,MATCH($A80,'Impact Indicators - Section B '!$A$1:$A$82,0))&lt;&gt;"",FIXED(INDEX('Impact Indicators - Section B '!O$1:O$82,MATCH($A80,'Impact Indicators - Section B '!$A$1:$A$82,0)),4),""),"")&amp;"/"&amp;IFERROR(IF(INDEX('Impact Indicators - Section B '!O$1:O$82,MATCH($A80,'Impact Indicators - Section B '!$A$1:$A$82,0)+1)&lt;&gt;"",FIXED(INDEX('Impact Indicators - Section B '!O$1:O$82,MATCH($A80,'Impact Indicators - Section B '!$A$1:$A$82,0)+1),2),""),"")&amp;CHAR(10)&amp;IFERROR(IF(INDEX('Impact Indicators - Section B '!P$1:P$82,MATCH($A80,'Impact Indicators - Section B '!$A$1:$A$82,0))&lt;&gt;"",FIXED(INDEX('Impact Indicators - Section B '!P$1:P$82,MATCH($A80,'Impact Indicators - Section B '!$A$1:$A$82,0))*100,2)&amp;"%",""),"")&amp;CHAR(10)&amp;IFERROR(IF(INDEX('Impact Indicators - Section B '!R$1:R$82,MATCH($A80,'Impact Indicators - Section B '!$A$1:$A$82,0))&lt;&gt;"",INDEX('Impact Indicators - Section B '!R$1:R$82,MATCH($A80,'Impact Indicators - Section B '!$A$1:$A$82,0)),""),"")&amp;CHAR(10)&amp;IFERROR(IF(INDEX('Impact Indicators - Section B '!Q$1:Q$82,MATCH($A80,'Impact Indicators - Section B '!$A$1:$A$82,0))&lt;&gt;"",TEXT(INDEX('Impact Indicators - Section B '!Q$1:Q$82,MATCH($A80,'Impact Indicators - Section B '!$A$1:$A$82,0)),Setup!$A$33),""),"")</f>
        <v xml:space="preserve">/
</v>
      </c>
      <c r="R80" s="386" t="str">
        <f ca="1">IFERROR(IF(INDEX('Impact Indicators - Section B '!S$1:S$82,MATCH($A80,'Impact Indicators - Section B '!$A$1:$A$82,0))&lt;&gt;"",FIXED(INDEX('Impact Indicators - Section B '!S$1:S$82,MATCH($A80,'Impact Indicators - Section B '!$A$1:$A$82,0)),4),""),"")&amp;"/"&amp;IFERROR(IF(INDEX('Impact Indicators - Section B '!S$1:S$82,MATCH($A80,'Impact Indicators - Section B '!$A$1:$A$82,0)+1)&lt;&gt;"",FIXED(INDEX('Impact Indicators - Section B '!S$1:S$82,MATCH($A80,'Impact Indicators - Section B '!$A$1:$A$82,0)+1),2),""),"")&amp;CHAR(10)&amp;IFERROR(IF(INDEX('Impact Indicators - Section B '!T$1:T$82,MATCH($A80,'Impact Indicators - Section B '!$A$1:$A$82,0))&lt;&gt;"",FIXED(INDEX('Impact Indicators - Section B '!T$1:T$82,MATCH($A80,'Impact Indicators - Section B '!$A$1:$A$82,0))*100,2)&amp;"%",""),"")&amp;CHAR(10)&amp;IFERROR(IF(INDEX('Impact Indicators - Section B '!V$1:V$82,MATCH($A80,'Impact Indicators - Section B '!$A$1:$A$82,0))&lt;&gt;"",INDEX('Impact Indicators - Section B '!V$1:V$82,MATCH($A80,'Impact Indicators - Section B '!$A$1:$A$82,0)),""),"")&amp;CHAR(10)&amp;IFERROR(IF(INDEX('Impact Indicators - Section B '!U$1:U$82,MATCH($A80,'Impact Indicators - Section B '!$A$1:$A$82,0))&lt;&gt;"",TEXT(INDEX('Impact Indicators - Section B '!U$1:U$82,MATCH($A80,'Impact Indicators - Section B '!$A$1:$A$82,0)),Setup!$A$33),""),"")</f>
        <v xml:space="preserve">/
</v>
      </c>
      <c r="S80" s="386" t="str">
        <f ca="1">IFERROR(IF(INDEX('Impact Indicators - Section B '!W$1:W$82,MATCH($A80,'Impact Indicators - Section B '!$A$1:$A$82,0))&lt;&gt;"",FIXED(INDEX('Impact Indicators - Section B '!W$1:W$82,MATCH($A80,'Impact Indicators - Section B '!$A$1:$A$82,0)),4),""),"")&amp;"/"&amp;IFERROR(IF(INDEX('Impact Indicators - Section B '!W$1:W$82,MATCH($A80,'Impact Indicators - Section B '!$A$1:$A$82,0)+1)&lt;&gt;"",FIXED(INDEX('Impact Indicators - Section B '!W$1:W$82,MATCH($A80,'Impact Indicators - Section B '!$A$1:$A$82,0)+1),2),""),"")&amp;CHAR(10)&amp;IFERROR(IF(INDEX('Impact Indicators - Section B '!X$1:X$82,MATCH($A80,'Impact Indicators - Section B '!$A$1:$A$82,0))&lt;&gt;"",FIXED(INDEX('Impact Indicators - Section B '!X$1:X$82,MATCH($A80,'Impact Indicators - Section B '!$A$1:$A$82,0))*100,2)&amp;"%",""),"")&amp;CHAR(10)&amp;IFERROR(IF(INDEX('Impact Indicators - Section B '!Z$1:Z$82,MATCH($A80,'Impact Indicators - Section B '!$A$1:$A$82,0))&lt;&gt;"",INDEX('Impact Indicators - Section B '!Z$1:Z$82,MATCH($A80,'Impact Indicators - Section B '!$A$1:$A$82,0)),""),"")&amp;CHAR(10)&amp;IFERROR(IF(INDEX('Impact Indicators - Section B '!Y$1:Y$82,MATCH($A80,'Impact Indicators - Section B '!$A$1:$A$82,0))&lt;&gt;"",TEXT(INDEX('Impact Indicators - Section B '!Y$1:Y$82,MATCH($A80,'Impact Indicators - Section B '!$A$1:$A$82,0)),Setup!$A$33),""),"")</f>
        <v xml:space="preserve">/
</v>
      </c>
      <c r="T80" s="305"/>
      <c r="U80" s="223"/>
      <c r="V80" s="223"/>
      <c r="W80" s="223"/>
      <c r="X80" s="223"/>
      <c r="Y80" s="223"/>
      <c r="Z80" s="223"/>
      <c r="AA80" s="223"/>
      <c r="AB80" s="223"/>
      <c r="AC80" s="223"/>
      <c r="AD80" s="223"/>
      <c r="AE80" s="223"/>
      <c r="AF80" s="223"/>
      <c r="AG80" s="223"/>
      <c r="AH80" s="223"/>
      <c r="AI80" s="223"/>
      <c r="AJ80" s="223"/>
      <c r="AK80" s="223"/>
      <c r="AL80" s="223"/>
      <c r="AM80" s="223"/>
      <c r="AN80" s="223"/>
      <c r="AO80" s="223" t="str">
        <f ca="1">IFERROR(IF(INDEX('Impact Indicators - Section B '!AA$1:AA$82,MATCH($A80,'Impact Indicators - Section B '!$A$1:$A$82,0))&lt;&gt;0,INDEX('Impact Indicators - Section B '!AA$1:AA$82,MATCH($A80,'Impact Indicators - Section B '!$A$1:$A$82,0)),""),"")</f>
        <v/>
      </c>
      <c r="AP80" s="223"/>
      <c r="AQ80" s="223"/>
      <c r="AR80" s="223"/>
      <c r="AS80" s="223"/>
      <c r="AT80" s="223" t="str">
        <f>CONCATENATE($A80,J$52)</f>
        <v>14</v>
      </c>
      <c r="AU80" s="223" t="str">
        <f>CONCATENATE($A80,O$52)</f>
        <v>14</v>
      </c>
      <c r="AV80" s="223"/>
      <c r="AW80" s="223" t="str">
        <f>CONCATENATE($A80,X$52)</f>
        <v>14</v>
      </c>
      <c r="AX80" s="223" t="str">
        <f>CONCATENATE($A80,AB$52)</f>
        <v>14</v>
      </c>
      <c r="AY80" s="223"/>
      <c r="AZ80" s="223"/>
      <c r="BA80" s="223"/>
      <c r="BB80" s="223"/>
      <c r="BC80" s="120"/>
    </row>
    <row r="81" spans="1:55" s="105" customFormat="1" ht="100.4" customHeight="1" x14ac:dyDescent="0.5">
      <c r="A81" s="845"/>
      <c r="B81" s="809" t="str">
        <f ca="1">IFERROR(IF(INDEX('Impact Indicators - Section B '!AA$1:AA$82,MATCH($A80,'Impact Indicators - Section B '!$A$1:$A$82,0))&lt;&gt;0,INDEX('Impact Indicators - Section B '!AA$1:AA$82,MATCH($A80,'Impact Indicators - Section B '!$A$1:$A$82,0)),""),"")</f>
        <v/>
      </c>
      <c r="C81" s="810"/>
      <c r="D81" s="810"/>
      <c r="E81" s="810"/>
      <c r="F81" s="810"/>
      <c r="G81" s="810"/>
      <c r="H81" s="810"/>
      <c r="I81" s="811"/>
      <c r="J81" s="811"/>
      <c r="K81" s="811"/>
      <c r="L81" s="811"/>
      <c r="M81" s="811"/>
      <c r="N81" s="811"/>
      <c r="O81" s="811"/>
      <c r="P81" s="811"/>
      <c r="Q81" s="811"/>
      <c r="R81" s="811"/>
      <c r="S81" s="812"/>
      <c r="T81" s="306"/>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120"/>
    </row>
    <row r="82" spans="1:55" s="420" customFormat="1" ht="145.4" customHeight="1" x14ac:dyDescent="0.5">
      <c r="A82" s="844">
        <v>15</v>
      </c>
      <c r="B82" s="864" t="str">
        <f ca="1">IFERROR(IF(INDEX('Impact Indicators - Section B '!B$1:B$82,MATCH($A82,'Impact Indicators - Section B '!$A$1:$A$82,0))&lt;&gt;0,INDEX('Impact Indicators - Section B '!B$1:B$82,MATCH($A82,'Impact Indicators - Section B '!$A$1:$A$82,0)),""),"")</f>
        <v/>
      </c>
      <c r="C82" s="865"/>
      <c r="D82" s="866"/>
      <c r="E82" s="864" t="str">
        <f ca="1">IFERROR(IF(INDEX('Impact Indicators - Section B '!C$1:C$82,MATCH($A82,'Impact Indicators - Section B '!$A$1:$A$82,0))&lt;&gt;0,INDEX('Impact Indicators - Section B '!C$1:C$82,MATCH($A82,'Impact Indicators - Section B '!$A$1:$A$82,0)),""),"")</f>
        <v/>
      </c>
      <c r="F82" s="865"/>
      <c r="G82" s="866"/>
      <c r="H82" s="416" t="str">
        <f ca="1">IFERROR(IF(INDEX('Impact Indicators - Section B '!D$1:D$82,MATCH($A82,'Impact Indicators - Section B '!$A$1:$A$82,0))&lt;&gt;"",FIXED(INDEX('Impact Indicators - Section B '!D$1:D$82,MATCH($A82,'Impact Indicators - Section B '!$A$1:$A$82,0)),4),""),"")&amp;"/"&amp;IFERROR(IF(INDEX('Impact Indicators - Section B '!D$1:D$82,MATCH($A82,'Impact Indicators - Section B '!$A$1:$A$82,0)+1)&lt;&gt;"",FIXED(INDEX('Impact Indicators - Section B '!D$1:D$82,MATCH($A82,'Impact Indicators - Section B '!$A$1:$A$82,0)+1),2),""),"")&amp;CHAR(10)&amp;IFERROR(IF(INDEX('Impact Indicators - Section B '!E$1:E$82,MATCH($A82,'Impact Indicators - Section B '!$A$1:$A$82,0))&lt;&gt;"",FIXED(INDEX('Impact Indicators - Section B '!E$1:E$82,MATCH($A82,'Impact Indicators - Section B '!$A$1:$A$82,0))*100,2)&amp;"%",""),"")</f>
        <v xml:space="preserve">/
</v>
      </c>
      <c r="I82" s="417"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864" t="str">
        <f ca="1">IFERROR(IF(INDEX('Impact Indicators - Section B '!H$1:H$82,MATCH($A82,'Impact Indicators - Section B '!$A$1:$A$82,0))&lt;&gt;0,INDEX('Impact Indicators - Section B '!H$1:H$82,MATCH($A82,'Impact Indicators - Section B '!$A$1:$A$82,0)),""),"")</f>
        <v/>
      </c>
      <c r="K82" s="865"/>
      <c r="L82" s="865"/>
      <c r="M82" s="866"/>
      <c r="N82" s="398" t="str">
        <f ca="1">IFERROR(IF(AND('Overview - Section A'!AN$5="Grant Making",OR(B82&lt;&gt;"",E82&lt;&gt;"")),Setup!I15,IF(INDEX('Impact Indicators - Section B '!I$1:I$82,MATCH($A82,'Impact Indicators - Section B '!$A$1:$A$82,0))&lt;&gt;0,INDEX('Impact Indicators - Section B '!I$1:I$82,MATCH($A82,'Impact Indicators - Section B '!$A$1:$A$82,0)),"")),"")</f>
        <v/>
      </c>
      <c r="O82" s="417" t="str">
        <f ca="1">IFERROR(IF(INDEX('Impact Indicators - Section B '!J$1:J$82,MATCH($A82,'Impact Indicators - Section B '!$A$1:$A$82,0))&lt;&gt;0,INDEX('Impact Indicators - Section B '!J$1:J$82,MATCH($A82,'Impact Indicators - Section B '!$A$1:$A$82,0)),""),"")</f>
        <v/>
      </c>
      <c r="P82" s="399" t="str">
        <f ca="1">IFERROR(IF(INDEX('Impact Indicators - Section B '!K$1:K$82,MATCH($A82,'Impact Indicators - Section B '!$A$1:$A$82,0))&lt;&gt;"",FIXED(INDEX('Impact Indicators - Section B '!K$1:K$82,MATCH($A82,'Impact Indicators - Section B '!$A$1:$A$82,0)),4),""),"")&amp;"/"&amp;IFERROR(IF(INDEX('Impact Indicators - Section B '!K$1:K$82,MATCH($A82,'Impact Indicators - Section B '!$A$1:$A$82,0)+1)&lt;&gt;"",FIXED(INDEX('Impact Indicators - Section B '!K$1:K$82,MATCH($A82,'Impact Indicators - Section B '!$A$1:$A$82,0)+1),2),""),"")&amp;CHAR(10)&amp;IFERROR(IF(INDEX('Impact Indicators - Section B '!L$1:L$82,MATCH($A82,'Impact Indicators - Section B '!$A$1:$A$82,0))&lt;&gt;"",FIXED(INDEX('Impact Indicators - Section B '!L$1:L$82,MATCH($A82,'Impact Indicators - Section B '!$A$1:$A$82,0))*100,2)&amp;"%",""),"")&amp;CHAR(10)&amp;IFERROR(IF(INDEX('Impact Indicators - Section B '!N$1:N$82,MATCH($A82,'Impact Indicators - Section B '!$A$1:$A$82,0))&lt;&gt;"",INDEX('Impact Indicators - Section B '!N$1:N$82,MATCH($A82,'Impact Indicators - Section B '!$A$1:$A$82,0)),""),"")&amp;CHAR(10)&amp;IFERROR(IF(INDEX('Impact Indicators - Section B '!M$1:M$82,MATCH($A82,'Impact Indicators - Section B '!$A$1:$A$82,0))&lt;&gt;"",TEXT(INDEX('Impact Indicators - Section B '!M$1:M$82,MATCH($A82,'Impact Indicators - Section B '!$A$1:$A$82,0)),Setup!$A$33),""),"")</f>
        <v xml:space="preserve">/
</v>
      </c>
      <c r="Q82" s="399" t="str">
        <f ca="1">IFERROR(IF(INDEX('Impact Indicators - Section B '!O$1:O$82,MATCH($A82,'Impact Indicators - Section B '!$A$1:$A$82,0))&lt;&gt;"",FIXED(INDEX('Impact Indicators - Section B '!O$1:O$82,MATCH($A82,'Impact Indicators - Section B '!$A$1:$A$82,0)),4),""),"")&amp;"/"&amp;IFERROR(IF(INDEX('Impact Indicators - Section B '!O$1:O$82,MATCH($A82,'Impact Indicators - Section B '!$A$1:$A$82,0)+1)&lt;&gt;"",FIXED(INDEX('Impact Indicators - Section B '!O$1:O$82,MATCH($A82,'Impact Indicators - Section B '!$A$1:$A$82,0)+1),2),""),"")&amp;CHAR(10)&amp;IFERROR(IF(INDEX('Impact Indicators - Section B '!P$1:P$82,MATCH($A82,'Impact Indicators - Section B '!$A$1:$A$82,0))&lt;&gt;"",FIXED(INDEX('Impact Indicators - Section B '!P$1:P$82,MATCH($A82,'Impact Indicators - Section B '!$A$1:$A$82,0))*100,2)&amp;"%",""),"")&amp;CHAR(10)&amp;IFERROR(IF(INDEX('Impact Indicators - Section B '!R$1:R$82,MATCH($A82,'Impact Indicators - Section B '!$A$1:$A$82,0))&lt;&gt;"",INDEX('Impact Indicators - Section B '!R$1:R$82,MATCH($A82,'Impact Indicators - Section B '!$A$1:$A$82,0)),""),"")&amp;CHAR(10)&amp;IFERROR(IF(INDEX('Impact Indicators - Section B '!Q$1:Q$82,MATCH($A82,'Impact Indicators - Section B '!$A$1:$A$82,0))&lt;&gt;"",TEXT(INDEX('Impact Indicators - Section B '!Q$1:Q$82,MATCH($A82,'Impact Indicators - Section B '!$A$1:$A$82,0)),Setup!$A$33),""),"")</f>
        <v xml:space="preserve">/
</v>
      </c>
      <c r="R82" s="399" t="str">
        <f ca="1">IFERROR(IF(INDEX('Impact Indicators - Section B '!S$1:S$82,MATCH($A82,'Impact Indicators - Section B '!$A$1:$A$82,0))&lt;&gt;"",FIXED(INDEX('Impact Indicators - Section B '!S$1:S$82,MATCH($A82,'Impact Indicators - Section B '!$A$1:$A$82,0)),4),""),"")&amp;"/"&amp;IFERROR(IF(INDEX('Impact Indicators - Section B '!S$1:S$82,MATCH($A82,'Impact Indicators - Section B '!$A$1:$A$82,0)+1)&lt;&gt;"",FIXED(INDEX('Impact Indicators - Section B '!S$1:S$82,MATCH($A82,'Impact Indicators - Section B '!$A$1:$A$82,0)+1),2),""),"")&amp;CHAR(10)&amp;IFERROR(IF(INDEX('Impact Indicators - Section B '!T$1:T$82,MATCH($A82,'Impact Indicators - Section B '!$A$1:$A$82,0))&lt;&gt;"",FIXED(INDEX('Impact Indicators - Section B '!T$1:T$82,MATCH($A82,'Impact Indicators - Section B '!$A$1:$A$82,0))*100,2)&amp;"%",""),"")&amp;CHAR(10)&amp;IFERROR(IF(INDEX('Impact Indicators - Section B '!V$1:V$82,MATCH($A82,'Impact Indicators - Section B '!$A$1:$A$82,0))&lt;&gt;"",INDEX('Impact Indicators - Section B '!V$1:V$82,MATCH($A82,'Impact Indicators - Section B '!$A$1:$A$82,0)),""),"")&amp;CHAR(10)&amp;IFERROR(IF(INDEX('Impact Indicators - Section B '!U$1:U$82,MATCH($A82,'Impact Indicators - Section B '!$A$1:$A$82,0))&lt;&gt;"",TEXT(INDEX('Impact Indicators - Section B '!U$1:U$82,MATCH($A82,'Impact Indicators - Section B '!$A$1:$A$82,0)),Setup!$A$33),""),"")</f>
        <v xml:space="preserve">/
</v>
      </c>
      <c r="S82" s="399" t="str">
        <f ca="1">IFERROR(IF(INDEX('Impact Indicators - Section B '!W$1:W$82,MATCH($A82,'Impact Indicators - Section B '!$A$1:$A$82,0))&lt;&gt;"",FIXED(INDEX('Impact Indicators - Section B '!W$1:W$82,MATCH($A82,'Impact Indicators - Section B '!$A$1:$A$82,0)),4),""),"")&amp;"/"&amp;IFERROR(IF(INDEX('Impact Indicators - Section B '!W$1:W$82,MATCH($A82,'Impact Indicators - Section B '!$A$1:$A$82,0)+1)&lt;&gt;"",FIXED(INDEX('Impact Indicators - Section B '!W$1:W$82,MATCH($A82,'Impact Indicators - Section B '!$A$1:$A$82,0)+1),2),""),"")&amp;CHAR(10)&amp;IFERROR(IF(INDEX('Impact Indicators - Section B '!X$1:X$82,MATCH($A82,'Impact Indicators - Section B '!$A$1:$A$82,0))&lt;&gt;"",FIXED(INDEX('Impact Indicators - Section B '!X$1:X$82,MATCH($A82,'Impact Indicators - Section B '!$A$1:$A$82,0))*100,2)&amp;"%",""),"")&amp;CHAR(10)&amp;IFERROR(IF(INDEX('Impact Indicators - Section B '!Z$1:Z$82,MATCH($A82,'Impact Indicators - Section B '!$A$1:$A$82,0))&lt;&gt;"",INDEX('Impact Indicators - Section B '!Z$1:Z$82,MATCH($A82,'Impact Indicators - Section B '!$A$1:$A$82,0)),""),"")&amp;CHAR(10)&amp;IFERROR(IF(INDEX('Impact Indicators - Section B '!Y$1:Y$82,MATCH($A82,'Impact Indicators - Section B '!$A$1:$A$82,0))&lt;&gt;"",TEXT(INDEX('Impact Indicators - Section B '!Y$1:Y$82,MATCH($A82,'Impact Indicators - Section B '!$A$1:$A$82,0)),Setup!$A$33),""),"")</f>
        <v xml:space="preserve">/
</v>
      </c>
      <c r="T82" s="418"/>
      <c r="U82" s="223"/>
      <c r="V82" s="223"/>
      <c r="W82" s="223"/>
      <c r="X82" s="223"/>
      <c r="Y82" s="223"/>
      <c r="Z82" s="223"/>
      <c r="AA82" s="223"/>
      <c r="AB82" s="223"/>
      <c r="AC82" s="223"/>
      <c r="AD82" s="223"/>
      <c r="AE82" s="223"/>
      <c r="AF82" s="223"/>
      <c r="AG82" s="223"/>
      <c r="AH82" s="223"/>
      <c r="AI82" s="223"/>
      <c r="AJ82" s="223"/>
      <c r="AK82" s="223"/>
      <c r="AL82" s="223"/>
      <c r="AM82" s="223"/>
      <c r="AN82" s="223"/>
      <c r="AO82" s="223" t="str">
        <f ca="1">IFERROR(IF(INDEX('Impact Indicators - Section B '!AA$1:AA$82,MATCH($A82,'Impact Indicators - Section B '!$A$1:$A$82,0))&lt;&gt;0,INDEX('Impact Indicators - Section B '!AA$1:AA$82,MATCH($A82,'Impact Indicators - Section B '!$A$1:$A$82,0)),""),"")</f>
        <v/>
      </c>
      <c r="AP82" s="223"/>
      <c r="AQ82" s="223"/>
      <c r="AR82" s="223"/>
      <c r="AS82" s="223"/>
      <c r="AT82" s="223" t="str">
        <f>CONCATENATE($A82,J$52)</f>
        <v>15</v>
      </c>
      <c r="AU82" s="223" t="str">
        <f>CONCATENATE($A82,O$52)</f>
        <v>15</v>
      </c>
      <c r="AV82" s="223"/>
      <c r="AW82" s="223" t="str">
        <f>CONCATENATE($A82,X$52)</f>
        <v>15</v>
      </c>
      <c r="AX82" s="223" t="str">
        <f>CONCATENATE($A82,AB$52)</f>
        <v>15</v>
      </c>
      <c r="AY82" s="223"/>
      <c r="AZ82" s="223"/>
      <c r="BA82" s="223"/>
      <c r="BB82" s="223"/>
      <c r="BC82" s="419"/>
    </row>
    <row r="83" spans="1:55" s="420" customFormat="1" ht="100.4" customHeight="1" x14ac:dyDescent="0.5">
      <c r="A83" s="844"/>
      <c r="B83" s="821" t="str">
        <f ca="1">IFERROR(IF(INDEX('Impact Indicators - Section B '!AA$1:AA$82,MATCH($A82,'Impact Indicators - Section B '!$A$1:$A$82,0))&lt;&gt;0,INDEX('Impact Indicators - Section B '!AA$1:AA$82,MATCH($A82,'Impact Indicators - Section B '!$A$1:$A$82,0)),""),"")</f>
        <v/>
      </c>
      <c r="C83" s="822"/>
      <c r="D83" s="822"/>
      <c r="E83" s="822"/>
      <c r="F83" s="822"/>
      <c r="G83" s="822"/>
      <c r="H83" s="822"/>
      <c r="I83" s="822"/>
      <c r="J83" s="822"/>
      <c r="K83" s="822"/>
      <c r="L83" s="822"/>
      <c r="M83" s="822"/>
      <c r="N83" s="822"/>
      <c r="O83" s="822"/>
      <c r="P83" s="822"/>
      <c r="Q83" s="822"/>
      <c r="R83" s="822"/>
      <c r="S83" s="823"/>
      <c r="T83" s="306"/>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419"/>
    </row>
    <row r="84" spans="1:55" x14ac:dyDescent="0.35">
      <c r="A84" s="232"/>
      <c r="B84" s="232"/>
      <c r="C84" s="232"/>
      <c r="D84" s="232"/>
      <c r="E84" s="232"/>
      <c r="F84" s="232"/>
      <c r="G84" s="232"/>
      <c r="H84" s="232"/>
      <c r="I84" s="232"/>
      <c r="J84" s="232"/>
      <c r="K84" s="232"/>
      <c r="L84" s="232"/>
      <c r="M84" s="232"/>
      <c r="N84" s="114"/>
      <c r="O84" s="232"/>
      <c r="P84" s="232"/>
      <c r="Q84" s="232"/>
      <c r="R84" s="232"/>
      <c r="S84" s="232"/>
      <c r="T84" s="232"/>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row>
    <row r="85" spans="1:55" x14ac:dyDescent="0.35">
      <c r="A85" s="232"/>
      <c r="B85" s="232"/>
      <c r="C85" s="232"/>
      <c r="D85" s="232"/>
      <c r="E85" s="232"/>
      <c r="F85" s="232"/>
      <c r="G85" s="232"/>
      <c r="H85" s="232"/>
      <c r="I85" s="232"/>
      <c r="J85" s="232"/>
      <c r="K85" s="232"/>
      <c r="L85" s="232"/>
      <c r="M85" s="232"/>
      <c r="N85" s="114"/>
      <c r="O85" s="232"/>
      <c r="P85" s="232"/>
      <c r="Q85" s="232"/>
      <c r="R85" s="232"/>
      <c r="S85" s="232"/>
      <c r="T85" s="232"/>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row>
    <row r="86" spans="1:55" x14ac:dyDescent="0.35">
      <c r="A86" s="232"/>
      <c r="B86" s="232"/>
      <c r="C86" s="232"/>
      <c r="D86" s="232"/>
      <c r="E86" s="232"/>
      <c r="F86" s="232"/>
      <c r="G86" s="232"/>
      <c r="H86" s="232"/>
      <c r="I86" s="232"/>
      <c r="J86" s="232"/>
      <c r="K86" s="232"/>
      <c r="L86" s="232"/>
      <c r="M86" s="232"/>
      <c r="N86" s="114"/>
      <c r="O86" s="232"/>
      <c r="P86" s="232"/>
      <c r="Q86" s="232"/>
      <c r="R86" s="232"/>
      <c r="S86" s="232"/>
      <c r="T86" s="232"/>
      <c r="U86" s="104"/>
      <c r="V86" s="104"/>
      <c r="W86" s="104"/>
      <c r="X86" s="104"/>
      <c r="Y86" s="104"/>
      <c r="Z86" s="104"/>
      <c r="AA86" s="104"/>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row>
    <row r="87" spans="1:55" ht="27.65" customHeight="1" x14ac:dyDescent="0.35">
      <c r="A87" s="884" t="str">
        <f ca="1">Translations!A25</f>
        <v>Objetivos</v>
      </c>
      <c r="B87" s="885"/>
      <c r="C87" s="885"/>
      <c r="D87" s="885"/>
      <c r="E87" s="885"/>
      <c r="F87" s="885"/>
      <c r="G87" s="885"/>
      <c r="H87" s="885"/>
      <c r="I87" s="885"/>
      <c r="J87" s="885"/>
      <c r="K87" s="885"/>
      <c r="L87" s="885"/>
      <c r="M87" s="885"/>
      <c r="N87" s="885"/>
      <c r="O87" s="885"/>
      <c r="P87" s="885"/>
      <c r="Q87" s="885"/>
      <c r="R87" s="885"/>
      <c r="S87" s="885"/>
      <c r="T87" s="307"/>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row>
    <row r="88" spans="1:55" ht="28.5" x14ac:dyDescent="0.35">
      <c r="A88" s="387">
        <v>1</v>
      </c>
      <c r="B88" s="828" t="str">
        <f ca="1">IFERROR(IF(INDEX('Overview - Section A'!$E$81:$E$107,MATCH($A88,'Overview - Section A'!$A$81:$A$107,0))&lt;&gt;0,INDEX('Overview - Section A'!$E$81:$E$107,MATCH($A88,'Overview - Section A'!$A$81:$A$107,0)),""),"")</f>
        <v>Diagnosticar al 95% de las personas viviendo con VIH para el año 2030 / Diagnose 95% of people living with HIV by 2030</v>
      </c>
      <c r="C88" s="829"/>
      <c r="D88" s="829"/>
      <c r="E88" s="829"/>
      <c r="F88" s="829"/>
      <c r="G88" s="829"/>
      <c r="H88" s="829"/>
      <c r="I88" s="829"/>
      <c r="J88" s="829"/>
      <c r="K88" s="829"/>
      <c r="L88" s="829"/>
      <c r="M88" s="829"/>
      <c r="N88" s="829"/>
      <c r="O88" s="829"/>
      <c r="P88" s="829"/>
      <c r="Q88" s="829"/>
      <c r="R88" s="829"/>
      <c r="S88" s="829"/>
      <c r="T88" s="308"/>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row>
    <row r="89" spans="1:55" ht="28.5" x14ac:dyDescent="0.35">
      <c r="A89" s="387">
        <v>2</v>
      </c>
      <c r="B89" s="828" t="str">
        <f ca="1">IFERROR(IF(INDEX('Overview - Section A'!$E$81:$E$107,MATCH($A89,'Overview - Section A'!$A$81:$A$107,0))&lt;&gt;0,INDEX('Overview - Section A'!$E$81:$E$107,MATCH($A89,'Overview - Section A'!$A$81:$A$107,0)),""),"")</f>
        <v>Cobertura de tratamiento de la TB arriba del 90%/TB treatment coverage above 90%</v>
      </c>
      <c r="C89" s="829"/>
      <c r="D89" s="829"/>
      <c r="E89" s="829"/>
      <c r="F89" s="829"/>
      <c r="G89" s="829"/>
      <c r="H89" s="829"/>
      <c r="I89" s="829"/>
      <c r="J89" s="829"/>
      <c r="K89" s="829"/>
      <c r="L89" s="829"/>
      <c r="M89" s="829"/>
      <c r="N89" s="829"/>
      <c r="O89" s="829"/>
      <c r="P89" s="829"/>
      <c r="Q89" s="829"/>
      <c r="R89" s="829"/>
      <c r="S89" s="829"/>
      <c r="T89" s="308"/>
      <c r="U89" s="223"/>
      <c r="V89" s="223"/>
      <c r="W89" s="223"/>
      <c r="X89" s="223"/>
      <c r="Y89" s="223"/>
      <c r="Z89" s="223"/>
      <c r="AA89" s="223"/>
      <c r="AB89" s="223"/>
      <c r="AC89" s="223"/>
      <c r="AD89" s="223"/>
      <c r="AE89" s="223"/>
      <c r="AF89" s="223"/>
      <c r="AG89" s="220"/>
      <c r="AH89" s="220"/>
      <c r="AI89" s="220"/>
      <c r="AJ89" s="220"/>
      <c r="AK89" s="220"/>
      <c r="AL89" s="220"/>
      <c r="AM89" s="220"/>
      <c r="AN89" s="220"/>
      <c r="AO89" s="220"/>
      <c r="AP89" s="220"/>
      <c r="AQ89" s="220"/>
      <c r="AR89" s="220"/>
      <c r="AS89" s="220"/>
      <c r="AT89" s="211"/>
    </row>
    <row r="90" spans="1:55" ht="28.5" x14ac:dyDescent="0.35">
      <c r="A90" s="387">
        <v>3</v>
      </c>
      <c r="B90" s="828" t="str">
        <f ca="1">IFERROR(IF(INDEX('Overview - Section A'!$E$81:$E$107,MATCH($A90,'Overview - Section A'!$A$81:$A$107,0))&lt;&gt;0,INDEX('Overview - Section A'!$E$81:$E$107,MATCH($A90,'Overview - Section A'!$A$81:$A$107,0)),""),"")</f>
        <v>Alcanzar un 95% de personas viviendo con VIH que cuenten con CV indetectable / Diagnose 95% of people living with HIV by 2030</v>
      </c>
      <c r="C90" s="829"/>
      <c r="D90" s="829"/>
      <c r="E90" s="829"/>
      <c r="F90" s="829"/>
      <c r="G90" s="829"/>
      <c r="H90" s="829"/>
      <c r="I90" s="829"/>
      <c r="J90" s="829"/>
      <c r="K90" s="829"/>
      <c r="L90" s="829"/>
      <c r="M90" s="829"/>
      <c r="N90" s="829"/>
      <c r="O90" s="829"/>
      <c r="P90" s="829"/>
      <c r="Q90" s="829"/>
      <c r="R90" s="829"/>
      <c r="S90" s="829"/>
      <c r="T90" s="308"/>
      <c r="U90" s="223"/>
      <c r="V90" s="223"/>
      <c r="W90" s="223"/>
      <c r="X90" s="223"/>
      <c r="Y90" s="223"/>
      <c r="Z90" s="223"/>
      <c r="AA90" s="223"/>
      <c r="AB90" s="223"/>
      <c r="AC90" s="223"/>
      <c r="AD90" s="223"/>
      <c r="AE90" s="223"/>
      <c r="AF90" s="223"/>
      <c r="AG90" s="220"/>
      <c r="AH90" s="220"/>
      <c r="AI90" s="220"/>
      <c r="AJ90" s="220"/>
      <c r="AK90" s="220"/>
      <c r="AL90" s="220"/>
      <c r="AM90" s="220"/>
      <c r="AN90" s="220"/>
      <c r="AO90" s="220"/>
      <c r="AP90" s="220"/>
      <c r="AQ90" s="220"/>
      <c r="AR90" s="220"/>
      <c r="AS90" s="220"/>
      <c r="AT90" s="211"/>
    </row>
    <row r="91" spans="1:55" ht="28.5" x14ac:dyDescent="0.35">
      <c r="A91" s="387">
        <v>4</v>
      </c>
      <c r="B91" s="828" t="str">
        <f ca="1">IFERROR(IF(INDEX('Overview - Section A'!$E$81:$E$107,MATCH($A91,'Overview - Section A'!$A$81:$A$107,0))&lt;&gt;0,INDEX('Overview - Section A'!$E$81:$E$107,MATCH($A91,'Overview - Section A'!$A$81:$A$107,0)),""),"")</f>
        <v>Porcentaje de Éxito del tratamiento para TB de todas las formas del 92 %/ Success rate of treatment for TB in all forms of 92%</v>
      </c>
      <c r="C91" s="829"/>
      <c r="D91" s="829"/>
      <c r="E91" s="829"/>
      <c r="F91" s="829"/>
      <c r="G91" s="829"/>
      <c r="H91" s="829"/>
      <c r="I91" s="829"/>
      <c r="J91" s="829"/>
      <c r="K91" s="829"/>
      <c r="L91" s="829"/>
      <c r="M91" s="829"/>
      <c r="N91" s="829"/>
      <c r="O91" s="829"/>
      <c r="P91" s="829"/>
      <c r="Q91" s="829"/>
      <c r="R91" s="829"/>
      <c r="S91" s="829"/>
      <c r="T91" s="308"/>
      <c r="U91" s="223"/>
      <c r="V91" s="223"/>
      <c r="W91" s="223"/>
      <c r="X91" s="223"/>
      <c r="Y91" s="223"/>
      <c r="Z91" s="223"/>
      <c r="AA91" s="223"/>
      <c r="AB91" s="223"/>
      <c r="AC91" s="223"/>
      <c r="AD91" s="223"/>
      <c r="AE91" s="223"/>
      <c r="AF91" s="223"/>
      <c r="AG91" s="220"/>
      <c r="AH91" s="220"/>
      <c r="AI91" s="220"/>
      <c r="AJ91" s="220"/>
      <c r="AK91" s="220"/>
      <c r="AL91" s="220"/>
      <c r="AM91" s="220"/>
      <c r="AN91" s="220"/>
      <c r="AO91" s="220"/>
      <c r="AP91" s="220"/>
      <c r="AQ91" s="220"/>
      <c r="AR91" s="220"/>
      <c r="AS91" s="220"/>
      <c r="AT91" s="211"/>
    </row>
    <row r="92" spans="1:55" ht="28.5" x14ac:dyDescent="0.35">
      <c r="A92" s="387">
        <v>5</v>
      </c>
      <c r="B92" s="828" t="str">
        <f ca="1">IFERROR(IF(INDEX('Overview - Section A'!$E$81:$E$107,MATCH($A92,'Overview - Section A'!$A$81:$A$107,0))&lt;&gt;0,INDEX('Overview - Section A'!$E$81:$E$107,MATCH($A92,'Overview - Section A'!$A$81:$A$107,0)),""),"")</f>
        <v>Eliminación de la Transmisión Materno Infantil del VIH y sífilis congénita / Elimination of Mother-to-Child Transmission of HIV and congenital syphilis</v>
      </c>
      <c r="C92" s="829"/>
      <c r="D92" s="829"/>
      <c r="E92" s="829"/>
      <c r="F92" s="829"/>
      <c r="G92" s="829"/>
      <c r="H92" s="829"/>
      <c r="I92" s="829"/>
      <c r="J92" s="829"/>
      <c r="K92" s="829"/>
      <c r="L92" s="829"/>
      <c r="M92" s="829"/>
      <c r="N92" s="829"/>
      <c r="O92" s="829"/>
      <c r="P92" s="829"/>
      <c r="Q92" s="829"/>
      <c r="R92" s="829"/>
      <c r="S92" s="829"/>
      <c r="T92" s="308"/>
      <c r="U92" s="223"/>
      <c r="V92" s="223"/>
      <c r="W92" s="223"/>
      <c r="X92" s="223"/>
      <c r="Y92" s="223"/>
      <c r="Z92" s="223"/>
      <c r="AA92" s="223"/>
      <c r="AB92" s="223"/>
      <c r="AC92" s="223"/>
      <c r="AD92" s="223"/>
      <c r="AE92" s="223"/>
      <c r="AF92" s="223"/>
      <c r="AG92" s="220"/>
      <c r="AH92" s="220"/>
      <c r="AI92" s="220"/>
      <c r="AJ92" s="220"/>
      <c r="AK92" s="220"/>
      <c r="AL92" s="220"/>
      <c r="AM92" s="220"/>
      <c r="AN92" s="220"/>
      <c r="AO92" s="220"/>
      <c r="AP92" s="220"/>
      <c r="AQ92" s="220"/>
      <c r="AR92" s="220"/>
      <c r="AS92" s="220"/>
      <c r="AT92" s="211"/>
    </row>
    <row r="93" spans="1:55" ht="28.5" x14ac:dyDescent="0.35">
      <c r="A93" s="387">
        <v>6</v>
      </c>
      <c r="B93" s="828" t="str">
        <f ca="1">IFERROR(IF(INDEX('Overview - Section A'!$E$81:$E$107,MATCH($A93,'Overview - Section A'!$A$81:$A$107,0))&lt;&gt;0,INDEX('Overview - Section A'!$E$81:$E$107,MATCH($A93,'Overview - Section A'!$A$81:$A$107,0)),""),"")</f>
        <v>0 % de pacientes con TB cuyos hogares sufren gastos catastróficos debido a la TB /0% of TB patients whose households suffer catastrophic expenditures due to TB</v>
      </c>
      <c r="C93" s="829"/>
      <c r="D93" s="829"/>
      <c r="E93" s="829"/>
      <c r="F93" s="829"/>
      <c r="G93" s="829"/>
      <c r="H93" s="829"/>
      <c r="I93" s="829"/>
      <c r="J93" s="829"/>
      <c r="K93" s="829"/>
      <c r="L93" s="829"/>
      <c r="M93" s="829"/>
      <c r="N93" s="829"/>
      <c r="O93" s="829"/>
      <c r="P93" s="829"/>
      <c r="Q93" s="829"/>
      <c r="R93" s="829"/>
      <c r="S93" s="829"/>
      <c r="T93" s="308"/>
      <c r="U93" s="223"/>
      <c r="V93" s="223"/>
      <c r="W93" s="223"/>
      <c r="X93" s="223"/>
      <c r="Y93" s="223"/>
      <c r="Z93" s="223"/>
      <c r="AA93" s="223"/>
      <c r="AB93" s="223"/>
      <c r="AC93" s="223"/>
      <c r="AD93" s="223"/>
      <c r="AE93" s="223"/>
      <c r="AF93" s="223"/>
      <c r="AG93" s="220"/>
      <c r="AH93" s="220"/>
      <c r="AI93" s="220"/>
      <c r="AJ93" s="220"/>
      <c r="AK93" s="220"/>
      <c r="AL93" s="220"/>
      <c r="AM93" s="220"/>
      <c r="AN93" s="220"/>
      <c r="AO93" s="220"/>
      <c r="AP93" s="220"/>
      <c r="AQ93" s="220"/>
      <c r="AR93" s="220"/>
      <c r="AS93" s="220"/>
      <c r="AT93" s="211"/>
    </row>
    <row r="94" spans="1:55" ht="28.5" x14ac:dyDescent="0.35">
      <c r="A94" s="387">
        <v>7</v>
      </c>
      <c r="B94" s="828" t="str">
        <f ca="1">IFERROR(IF(INDEX('Overview - Section A'!$E$81:$E$107,MATCH($A94,'Overview - Section A'!$A$81:$A$107,0))&lt;&gt;0,INDEX('Overview - Section A'!$E$81:$E$107,MATCH($A94,'Overview - Section A'!$A$81:$A$107,0)),""),"")</f>
        <v>Porcentaje (82%) de pacientes con TB que fueron diagnosticados a través de pruebas rápidas/ Percentage (82%) of TB patients who were diagnosed through rapid tests</v>
      </c>
      <c r="C94" s="829"/>
      <c r="D94" s="829"/>
      <c r="E94" s="829"/>
      <c r="F94" s="829"/>
      <c r="G94" s="829"/>
      <c r="H94" s="829"/>
      <c r="I94" s="829"/>
      <c r="J94" s="829"/>
      <c r="K94" s="829"/>
      <c r="L94" s="829"/>
      <c r="M94" s="829"/>
      <c r="N94" s="829"/>
      <c r="O94" s="829"/>
      <c r="P94" s="829"/>
      <c r="Q94" s="829"/>
      <c r="R94" s="829"/>
      <c r="S94" s="829"/>
      <c r="T94" s="308"/>
      <c r="U94" s="223"/>
      <c r="V94" s="223"/>
      <c r="W94" s="223"/>
      <c r="X94" s="223"/>
      <c r="Y94" s="223"/>
      <c r="Z94" s="223"/>
      <c r="AA94" s="223"/>
      <c r="AB94" s="223"/>
      <c r="AC94" s="223"/>
      <c r="AD94" s="223"/>
      <c r="AE94" s="223"/>
      <c r="AF94" s="223"/>
      <c r="AG94" s="220"/>
      <c r="AH94" s="220"/>
      <c r="AI94" s="220"/>
      <c r="AJ94" s="220"/>
      <c r="AK94" s="220"/>
      <c r="AL94" s="220"/>
      <c r="AM94" s="220"/>
      <c r="AN94" s="220"/>
      <c r="AO94" s="220"/>
      <c r="AP94" s="220"/>
      <c r="AQ94" s="220"/>
      <c r="AR94" s="220"/>
      <c r="AS94" s="220"/>
      <c r="AT94" s="211"/>
    </row>
    <row r="95" spans="1:55" ht="28.5" x14ac:dyDescent="0.35">
      <c r="A95" s="387">
        <v>8</v>
      </c>
      <c r="B95" s="828" t="str">
        <f ca="1">IFERROR(IF(INDEX('Overview - Section A'!$E$81:$E$107,MATCH($A95,'Overview - Section A'!$A$81:$A$107,0))&lt;&gt;0,INDEX('Overview - Section A'!$E$81:$E$107,MATCH($A95,'Overview - Section A'!$A$81:$A$107,0)),""),"")</f>
        <v>Cobertura del 90 % de tratamiento para Infección Latente por TB /90% treatment coverage for Latent TB Infection</v>
      </c>
      <c r="C95" s="829"/>
      <c r="D95" s="829"/>
      <c r="E95" s="829"/>
      <c r="F95" s="829"/>
      <c r="G95" s="829"/>
      <c r="H95" s="829"/>
      <c r="I95" s="829"/>
      <c r="J95" s="829"/>
      <c r="K95" s="829"/>
      <c r="L95" s="829"/>
      <c r="M95" s="829"/>
      <c r="N95" s="829"/>
      <c r="O95" s="829"/>
      <c r="P95" s="829"/>
      <c r="Q95" s="829"/>
      <c r="R95" s="829"/>
      <c r="S95" s="829"/>
      <c r="T95" s="308"/>
      <c r="U95" s="223"/>
      <c r="V95" s="223"/>
      <c r="W95" s="223"/>
      <c r="X95" s="223"/>
      <c r="Y95" s="223"/>
      <c r="Z95" s="223"/>
      <c r="AA95" s="223"/>
      <c r="AB95" s="223"/>
      <c r="AC95" s="223"/>
      <c r="AD95" s="223"/>
      <c r="AE95" s="223"/>
      <c r="AF95" s="223"/>
      <c r="AG95" s="220"/>
      <c r="AH95" s="220"/>
      <c r="AI95" s="220"/>
      <c r="AJ95" s="220"/>
      <c r="AK95" s="220"/>
      <c r="AL95" s="220"/>
      <c r="AM95" s="220"/>
      <c r="AN95" s="220"/>
      <c r="AO95" s="220"/>
      <c r="AP95" s="220"/>
      <c r="AQ95" s="220"/>
      <c r="AR95" s="220"/>
      <c r="AS95" s="220"/>
      <c r="AT95" s="211"/>
    </row>
    <row r="96" spans="1:55" ht="28.5" x14ac:dyDescent="0.35">
      <c r="A96" s="387">
        <v>9</v>
      </c>
      <c r="B96" s="828" t="str">
        <f ca="1">IFERROR(IF(INDEX('Overview - Section A'!$E$81:$E$107,MATCH($A96,'Overview - Section A'!$A$81:$A$107,0))&lt;&gt;0,INDEX('Overview - Section A'!$E$81:$E$107,MATCH($A96,'Overview - Section A'!$A$81:$A$107,0)),""),"")</f>
        <v>Cobertura arriba del 90% en investigación de contactos/Coverage above 90% in contact investigation</v>
      </c>
      <c r="C96" s="829"/>
      <c r="D96" s="829"/>
      <c r="E96" s="829"/>
      <c r="F96" s="829"/>
      <c r="G96" s="829"/>
      <c r="H96" s="829"/>
      <c r="I96" s="829"/>
      <c r="J96" s="829"/>
      <c r="K96" s="829"/>
      <c r="L96" s="829"/>
      <c r="M96" s="829"/>
      <c r="N96" s="829"/>
      <c r="O96" s="829"/>
      <c r="P96" s="829"/>
      <c r="Q96" s="829"/>
      <c r="R96" s="829"/>
      <c r="S96" s="829"/>
      <c r="T96" s="308"/>
      <c r="U96" s="223"/>
      <c r="V96" s="223"/>
      <c r="W96" s="223"/>
      <c r="X96" s="223"/>
      <c r="Y96" s="223"/>
      <c r="Z96" s="223"/>
      <c r="AA96" s="223"/>
      <c r="AB96" s="223"/>
      <c r="AC96" s="223"/>
      <c r="AD96" s="223"/>
      <c r="AE96" s="223"/>
      <c r="AF96" s="223"/>
      <c r="AG96" s="220"/>
      <c r="AH96" s="220"/>
      <c r="AI96" s="220"/>
      <c r="AJ96" s="220"/>
      <c r="AK96" s="220"/>
      <c r="AL96" s="220"/>
      <c r="AM96" s="220"/>
      <c r="AN96" s="220"/>
      <c r="AO96" s="220"/>
      <c r="AP96" s="220"/>
      <c r="AQ96" s="220"/>
      <c r="AR96" s="220"/>
      <c r="AS96" s="220"/>
      <c r="AT96" s="211"/>
    </row>
    <row r="97" spans="1:55" ht="28.5" x14ac:dyDescent="0.35">
      <c r="A97" s="387">
        <v>10</v>
      </c>
      <c r="B97" s="828" t="str">
        <f ca="1">IFERROR(IF(INDEX('Overview - Section A'!$E$81:$E$107,MATCH($A97,'Overview - Section A'!$A$81:$A$107,0))&lt;&gt;0,INDEX('Overview - Section A'!$E$81:$E$107,MATCH($A97,'Overview - Section A'!$A$81:$A$107,0)),""),"")</f>
        <v>Cobertura (100%) de pacientes de TB con resultados de pruebas de sensibilidad a medicamentos de segunda línea/Coverage (100%) of TB patients with results of sensitivity tests to second-line drugs</v>
      </c>
      <c r="C97" s="829"/>
      <c r="D97" s="829"/>
      <c r="E97" s="829"/>
      <c r="F97" s="829"/>
      <c r="G97" s="829"/>
      <c r="H97" s="829"/>
      <c r="I97" s="829"/>
      <c r="J97" s="829"/>
      <c r="K97" s="829"/>
      <c r="L97" s="829"/>
      <c r="M97" s="829"/>
      <c r="N97" s="829"/>
      <c r="O97" s="829"/>
      <c r="P97" s="829"/>
      <c r="Q97" s="829"/>
      <c r="R97" s="829"/>
      <c r="S97" s="829"/>
      <c r="T97" s="308"/>
      <c r="U97" s="223"/>
      <c r="V97" s="223"/>
      <c r="W97" s="223"/>
      <c r="X97" s="223"/>
      <c r="Y97" s="223"/>
      <c r="Z97" s="223"/>
      <c r="AA97" s="223"/>
      <c r="AB97" s="223"/>
      <c r="AC97" s="223"/>
      <c r="AD97" s="223"/>
      <c r="AE97" s="223"/>
      <c r="AF97" s="223"/>
      <c r="AG97" s="220"/>
      <c r="AH97" s="220"/>
      <c r="AI97" s="220"/>
      <c r="AJ97" s="220"/>
      <c r="AK97" s="220"/>
      <c r="AL97" s="220"/>
      <c r="AM97" s="220"/>
      <c r="AN97" s="220"/>
      <c r="AO97" s="220"/>
      <c r="AP97" s="220"/>
      <c r="AQ97" s="220"/>
      <c r="AR97" s="220"/>
      <c r="AS97" s="220"/>
      <c r="AT97" s="211"/>
    </row>
    <row r="98" spans="1:55" ht="28.5" x14ac:dyDescent="0.35">
      <c r="A98" s="387">
        <v>11</v>
      </c>
      <c r="B98" s="828" t="str">
        <f ca="1">IFERROR(IF(INDEX('Overview - Section A'!$E$81:$E$107,MATCH($A98,'Overview - Section A'!$A$81:$A$107,0))&lt;&gt;0,INDEX('Overview - Section A'!$E$81:$E$107,MATCH($A98,'Overview - Section A'!$A$81:$A$107,0)),""),"")</f>
        <v>Cobertura del 90%  de tratamiento con nuevos medicamentos orales para drogorresistencia/90% coverage of treatment with new oral drugs for drug resistance</v>
      </c>
      <c r="C98" s="829"/>
      <c r="D98" s="829"/>
      <c r="E98" s="829"/>
      <c r="F98" s="829"/>
      <c r="G98" s="829"/>
      <c r="H98" s="829"/>
      <c r="I98" s="829"/>
      <c r="J98" s="829"/>
      <c r="K98" s="829"/>
      <c r="L98" s="829"/>
      <c r="M98" s="829"/>
      <c r="N98" s="829"/>
      <c r="O98" s="829"/>
      <c r="P98" s="829"/>
      <c r="Q98" s="829"/>
      <c r="R98" s="829"/>
      <c r="S98" s="829"/>
      <c r="T98" s="308"/>
      <c r="U98" s="223"/>
      <c r="V98" s="223"/>
      <c r="W98" s="223"/>
      <c r="X98" s="223"/>
      <c r="Y98" s="223"/>
      <c r="Z98" s="223"/>
      <c r="AA98" s="223"/>
      <c r="AB98" s="223"/>
      <c r="AC98" s="223"/>
      <c r="AD98" s="223"/>
      <c r="AE98" s="223"/>
      <c r="AF98" s="223"/>
      <c r="AG98" s="220"/>
      <c r="AH98" s="220"/>
      <c r="AI98" s="220"/>
      <c r="AJ98" s="220"/>
      <c r="AK98" s="220"/>
      <c r="AL98" s="220"/>
      <c r="AM98" s="220"/>
      <c r="AN98" s="220"/>
      <c r="AO98" s="220"/>
      <c r="AP98" s="220"/>
      <c r="AQ98" s="220"/>
      <c r="AR98" s="220"/>
      <c r="AS98" s="220"/>
      <c r="AT98" s="211"/>
    </row>
    <row r="99" spans="1:55" ht="28.5" x14ac:dyDescent="0.35">
      <c r="A99" s="387">
        <v>12</v>
      </c>
      <c r="B99" s="828" t="str">
        <f ca="1">IFERROR(IF(INDEX('Overview - Section A'!$E$81:$E$107,MATCH($A99,'Overview - Section A'!$A$81:$A$107,0))&lt;&gt;0,INDEX('Overview - Section A'!$E$81:$E$107,MATCH($A99,'Overview - Section A'!$A$81:$A$107,0)),""),"")</f>
        <v>Porcentaje arriba del 90% de pacientes de TB con estado de VIH conocido/Percentage above 90% of TB patients with known HIV status</v>
      </c>
      <c r="C99" s="829"/>
      <c r="D99" s="829"/>
      <c r="E99" s="829"/>
      <c r="F99" s="829"/>
      <c r="G99" s="829"/>
      <c r="H99" s="829"/>
      <c r="I99" s="829"/>
      <c r="J99" s="829"/>
      <c r="K99" s="829"/>
      <c r="L99" s="829"/>
      <c r="M99" s="829"/>
      <c r="N99" s="829"/>
      <c r="O99" s="829"/>
      <c r="P99" s="829"/>
      <c r="Q99" s="829"/>
      <c r="R99" s="829"/>
      <c r="S99" s="829"/>
      <c r="T99" s="308"/>
      <c r="U99" s="223"/>
      <c r="V99" s="223"/>
      <c r="W99" s="223"/>
      <c r="X99" s="223"/>
      <c r="Y99" s="223"/>
      <c r="Z99" s="223"/>
      <c r="AA99" s="223"/>
      <c r="AB99" s="223"/>
      <c r="AC99" s="223"/>
      <c r="AD99" s="223"/>
      <c r="AE99" s="223"/>
      <c r="AF99" s="223"/>
      <c r="AG99" s="220"/>
      <c r="AH99" s="220"/>
      <c r="AI99" s="220"/>
      <c r="AJ99" s="220"/>
      <c r="AK99" s="220"/>
      <c r="AL99" s="220"/>
      <c r="AM99" s="220"/>
      <c r="AN99" s="220"/>
      <c r="AO99" s="220"/>
      <c r="AP99" s="220"/>
      <c r="AQ99" s="220"/>
      <c r="AR99" s="220"/>
      <c r="AS99" s="220"/>
      <c r="AT99" s="211"/>
    </row>
    <row r="100" spans="1:55" x14ac:dyDescent="0.35">
      <c r="A100" s="232"/>
      <c r="B100" s="232"/>
      <c r="C100" s="232"/>
      <c r="D100" s="232"/>
      <c r="E100" s="232"/>
      <c r="F100" s="232"/>
      <c r="G100" s="232"/>
      <c r="H100" s="232"/>
      <c r="I100" s="232"/>
      <c r="J100" s="232"/>
      <c r="K100" s="232"/>
      <c r="L100" s="232"/>
      <c r="M100" s="232"/>
      <c r="N100" s="114"/>
      <c r="O100" s="232"/>
      <c r="P100" s="232"/>
      <c r="Q100" s="232"/>
      <c r="R100" s="232"/>
      <c r="S100" s="232"/>
      <c r="T100" s="232"/>
      <c r="U100" s="223"/>
      <c r="V100" s="223"/>
      <c r="W100" s="223"/>
      <c r="X100" s="223"/>
      <c r="Y100" s="223"/>
      <c r="Z100" s="223"/>
      <c r="AA100" s="223"/>
      <c r="AB100" s="223"/>
      <c r="AC100" s="223"/>
      <c r="AD100" s="223"/>
      <c r="AE100" s="223"/>
      <c r="AF100" s="223"/>
      <c r="AG100" s="220"/>
      <c r="AH100" s="220"/>
      <c r="AI100" s="220"/>
      <c r="AJ100" s="220"/>
      <c r="AK100" s="220"/>
      <c r="AL100" s="220"/>
      <c r="AM100" s="220"/>
      <c r="AN100" s="220"/>
      <c r="AO100" s="220"/>
      <c r="AP100" s="220"/>
      <c r="AQ100" s="220"/>
      <c r="AR100" s="220"/>
      <c r="AS100" s="220"/>
      <c r="AT100" s="211"/>
    </row>
    <row r="101" spans="1:55" x14ac:dyDescent="0.35">
      <c r="A101" s="232"/>
      <c r="B101" s="232"/>
      <c r="C101" s="232"/>
      <c r="D101" s="232"/>
      <c r="E101" s="232"/>
      <c r="F101" s="232"/>
      <c r="G101" s="232"/>
      <c r="H101" s="232"/>
      <c r="I101" s="232"/>
      <c r="J101" s="232"/>
      <c r="K101" s="232"/>
      <c r="L101" s="232"/>
      <c r="M101" s="232"/>
      <c r="N101" s="114"/>
      <c r="O101" s="232"/>
      <c r="P101" s="232"/>
      <c r="Q101" s="232"/>
      <c r="R101" s="232"/>
      <c r="S101" s="232"/>
      <c r="T101" s="232"/>
      <c r="U101" s="223"/>
      <c r="V101" s="223"/>
      <c r="W101" s="223"/>
      <c r="X101" s="223"/>
      <c r="Y101" s="223"/>
      <c r="Z101" s="223"/>
      <c r="AA101" s="223"/>
      <c r="AB101" s="223"/>
      <c r="AC101" s="223"/>
      <c r="AD101" s="223"/>
      <c r="AE101" s="223"/>
      <c r="AF101" s="223"/>
      <c r="AG101" s="220"/>
      <c r="AH101" s="220"/>
      <c r="AI101" s="220"/>
      <c r="AJ101" s="220"/>
      <c r="AK101" s="220"/>
      <c r="AL101" s="220"/>
      <c r="AM101" s="220"/>
      <c r="AN101" s="220"/>
      <c r="AO101" s="220"/>
      <c r="AP101" s="220"/>
      <c r="AQ101" s="220"/>
      <c r="AR101" s="220"/>
      <c r="AS101" s="220"/>
      <c r="AT101" s="211"/>
    </row>
    <row r="102" spans="1:55" ht="8.75" customHeight="1" x14ac:dyDescent="0.35">
      <c r="A102" s="232"/>
      <c r="B102" s="232"/>
      <c r="C102" s="232"/>
      <c r="D102" s="232"/>
      <c r="E102" s="232"/>
      <c r="F102" s="232"/>
      <c r="G102" s="232"/>
      <c r="H102" s="232"/>
      <c r="I102" s="232"/>
      <c r="J102" s="232"/>
      <c r="K102" s="232"/>
      <c r="L102" s="232"/>
      <c r="M102" s="232"/>
      <c r="N102" s="114"/>
      <c r="O102" s="232"/>
      <c r="P102" s="232"/>
      <c r="Q102" s="232"/>
      <c r="R102" s="232"/>
      <c r="S102" s="232"/>
      <c r="T102" s="232"/>
      <c r="U102" s="223"/>
      <c r="V102" s="223"/>
      <c r="W102" s="223"/>
      <c r="X102" s="223"/>
      <c r="Y102" s="223"/>
      <c r="Z102" s="223"/>
      <c r="AA102" s="223"/>
      <c r="AB102" s="223"/>
      <c r="AC102" s="223"/>
      <c r="AD102" s="223"/>
      <c r="AE102" s="223"/>
      <c r="AF102" s="223"/>
      <c r="AG102" s="220"/>
      <c r="AH102" s="220"/>
      <c r="AI102" s="220"/>
      <c r="AJ102" s="220"/>
      <c r="AK102" s="220"/>
      <c r="AL102" s="220"/>
      <c r="AM102" s="220"/>
      <c r="AN102" s="220"/>
      <c r="AO102" s="220"/>
      <c r="AP102" s="220"/>
      <c r="AQ102" s="220"/>
      <c r="AR102" s="220"/>
      <c r="AS102" s="220"/>
      <c r="AT102" s="211"/>
    </row>
    <row r="103" spans="1:55" x14ac:dyDescent="0.35">
      <c r="A103" s="232"/>
      <c r="B103" s="232"/>
      <c r="C103" s="232"/>
      <c r="D103" s="232"/>
      <c r="E103" s="232"/>
      <c r="F103" s="232"/>
      <c r="G103" s="232"/>
      <c r="H103" s="232"/>
      <c r="I103" s="232"/>
      <c r="J103" s="232"/>
      <c r="K103" s="232"/>
      <c r="L103" s="232"/>
      <c r="M103" s="232"/>
      <c r="N103" s="114"/>
      <c r="O103" s="232"/>
      <c r="P103" s="232"/>
      <c r="Q103" s="232"/>
      <c r="R103" s="232"/>
      <c r="S103" s="232"/>
      <c r="T103" s="232"/>
      <c r="U103" s="104"/>
      <c r="V103" s="104"/>
      <c r="W103" s="104"/>
      <c r="X103" s="104"/>
      <c r="Y103" s="104"/>
      <c r="Z103" s="104"/>
      <c r="AA103" s="104"/>
      <c r="AB103" s="104"/>
      <c r="AC103" s="104"/>
      <c r="AD103" s="104"/>
      <c r="AE103" s="104"/>
      <c r="AF103" s="104"/>
      <c r="AG103" s="117"/>
      <c r="AH103" s="117"/>
      <c r="AI103" s="117"/>
      <c r="AJ103" s="117"/>
      <c r="AK103" s="117"/>
      <c r="AL103" s="117"/>
      <c r="AM103" s="117"/>
      <c r="AN103" s="117"/>
      <c r="AO103" s="117"/>
      <c r="AQ103" s="117"/>
      <c r="AR103" s="117"/>
      <c r="AS103" s="117"/>
    </row>
    <row r="104" spans="1:55" ht="47.25" customHeight="1" x14ac:dyDescent="0.35">
      <c r="A104" s="830" t="str">
        <f ca="1">Translations!A96</f>
        <v xml:space="preserve">Indicadores de resultados </v>
      </c>
      <c r="B104" s="831"/>
      <c r="C104" s="831"/>
      <c r="D104" s="831"/>
      <c r="E104" s="831"/>
      <c r="F104" s="831"/>
      <c r="G104" s="831"/>
      <c r="H104" s="831"/>
      <c r="I104" s="831"/>
      <c r="J104" s="831"/>
      <c r="K104" s="831"/>
      <c r="L104" s="831"/>
      <c r="M104" s="831"/>
      <c r="N104" s="831"/>
      <c r="O104" s="831"/>
      <c r="P104" s="831"/>
      <c r="Q104" s="831"/>
      <c r="R104" s="831"/>
      <c r="S104" s="831"/>
      <c r="T104" s="300"/>
      <c r="U104" s="104"/>
      <c r="V104" s="104"/>
      <c r="W104" s="104"/>
      <c r="X104" s="104"/>
      <c r="Y104" s="104"/>
      <c r="Z104" s="104"/>
      <c r="AA104" s="104"/>
      <c r="AB104" s="104"/>
      <c r="AC104" s="104"/>
      <c r="AD104" s="104"/>
      <c r="AE104" s="104"/>
      <c r="AF104" s="104"/>
      <c r="AG104" s="117"/>
      <c r="AH104" s="117"/>
      <c r="AI104" s="117"/>
      <c r="AJ104" s="117"/>
      <c r="AK104" s="117"/>
      <c r="AL104" s="117"/>
      <c r="AM104" s="117"/>
      <c r="AN104" s="117"/>
      <c r="AO104" s="117"/>
      <c r="AQ104" s="117"/>
      <c r="AR104" s="117"/>
      <c r="AS104" s="117"/>
    </row>
    <row r="105" spans="1:55" ht="16" thickBot="1" x14ac:dyDescent="0.4">
      <c r="A105" s="232"/>
      <c r="B105" s="232"/>
      <c r="C105" s="232"/>
      <c r="D105" s="232"/>
      <c r="E105" s="232"/>
      <c r="F105" s="232"/>
      <c r="G105" s="232"/>
      <c r="H105" s="232"/>
      <c r="I105" s="232"/>
      <c r="J105" s="232"/>
      <c r="K105" s="232"/>
      <c r="L105" s="232"/>
      <c r="M105" s="232"/>
      <c r="N105" s="114"/>
      <c r="O105" s="232"/>
      <c r="P105" s="232"/>
      <c r="Q105" s="232"/>
      <c r="R105" s="232"/>
      <c r="S105" s="232"/>
      <c r="T105" s="232"/>
      <c r="U105" s="104"/>
      <c r="V105" s="104"/>
      <c r="W105" s="104"/>
      <c r="X105" s="104"/>
      <c r="Y105" s="104"/>
      <c r="Z105" s="104"/>
      <c r="AA105" s="104"/>
      <c r="AB105" s="104"/>
      <c r="AC105" s="104"/>
      <c r="AD105" s="104"/>
      <c r="AE105" s="104"/>
      <c r="AF105" s="104"/>
      <c r="AG105" s="117"/>
      <c r="AH105" s="117"/>
      <c r="AI105" s="117"/>
      <c r="AJ105" s="117"/>
      <c r="AK105" s="117"/>
      <c r="AL105" s="117"/>
      <c r="AM105" s="117"/>
      <c r="AN105" s="117"/>
      <c r="AO105" s="117"/>
      <c r="AQ105" s="117"/>
      <c r="AR105" s="117"/>
      <c r="AS105" s="117"/>
    </row>
    <row r="106" spans="1:55" ht="32.15" customHeight="1" thickBot="1" x14ac:dyDescent="0.4">
      <c r="A106" s="229"/>
      <c r="B106" s="230"/>
      <c r="C106" s="230"/>
      <c r="D106" s="230"/>
      <c r="E106" s="230"/>
      <c r="F106" s="230"/>
      <c r="G106" s="230"/>
      <c r="H106" s="230"/>
      <c r="I106" s="230"/>
      <c r="J106" s="230"/>
      <c r="K106" s="230"/>
      <c r="L106" s="230"/>
      <c r="M106" s="230"/>
      <c r="N106" s="230"/>
      <c r="O106" s="230"/>
      <c r="P106" s="233">
        <f ca="1">P52</f>
        <v>2022</v>
      </c>
      <c r="Q106" s="233">
        <f ca="1">Q52</f>
        <v>2023</v>
      </c>
      <c r="R106" s="233">
        <f ca="1">R52</f>
        <v>2024</v>
      </c>
      <c r="S106" s="233" t="str">
        <f ca="1">S52</f>
        <v/>
      </c>
      <c r="T106" s="30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row>
    <row r="107" spans="1:55" ht="148.5" customHeight="1" thickBot="1" x14ac:dyDescent="0.4">
      <c r="A107" s="252" t="str">
        <f ca="1">Translations!$A$91</f>
        <v>No.</v>
      </c>
      <c r="B107" s="832" t="str">
        <f ca="1">Translations!A38</f>
        <v xml:space="preserve">Indicador estándar </v>
      </c>
      <c r="C107" s="833"/>
      <c r="D107" s="834"/>
      <c r="E107" s="835" t="str">
        <f ca="1">Translations!A92</f>
        <v>Indicador de impacto personalizado</v>
      </c>
      <c r="F107" s="836"/>
      <c r="G107" s="837"/>
      <c r="H107" s="255" t="str">
        <f ca="1">Translations!A93</f>
        <v>Valor de línea de base</v>
      </c>
      <c r="I107" s="256" t="str">
        <f ca="1">Translations!A94</f>
        <v>Año y fuente de la línea de base</v>
      </c>
      <c r="J107" s="939" t="str">
        <f ca="1">Translations!A51</f>
        <v>Desagregación requerida</v>
      </c>
      <c r="K107" s="940"/>
      <c r="L107" s="940"/>
      <c r="M107" s="941"/>
      <c r="N107" s="256" t="str">
        <f ca="1">Translations!A52</f>
        <v>Receptor principal responsible</v>
      </c>
      <c r="O107" s="257" t="str">
        <f ca="1">Translations!A53</f>
        <v>País</v>
      </c>
      <c r="P107" s="252" t="str">
        <f ca="1">Translations!$A$95</f>
        <v>Valor de la meta</v>
      </c>
      <c r="Q107" s="252" t="str">
        <f ca="1">Translations!$A$95</f>
        <v>Valor de la meta</v>
      </c>
      <c r="R107" s="252" t="str">
        <f ca="1">Translations!$A$95</f>
        <v>Valor de la meta</v>
      </c>
      <c r="S107" s="252" t="str">
        <f ca="1">Translations!$A$95</f>
        <v>Valor de la meta</v>
      </c>
      <c r="T107" s="304"/>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row>
    <row r="108" spans="1:55" ht="172.4" customHeight="1" x14ac:dyDescent="0.35">
      <c r="A108" s="846">
        <v>1</v>
      </c>
      <c r="B108" s="838" t="str">
        <f ca="1">IFERROR(IF(INDEX('Outcome Indicators - Section C '!B$1:B$100,MATCH($A108,'Outcome Indicators - Section C '!$A$1:$A$100,0))&lt;&gt;0,INDEX('Outcome Indicators - Section C '!B$1:B$100,MATCH($A108,'Outcome Indicators - Section C '!$A$1:$A$100,0)),""),"")</f>
        <v>TB O-4⁽ᴹ⁾ Tasa de éxito del tratamiento de los casos de tuberculosis resistente a la rifampicina y/o tuberculosis multirresistente: Porcentaje de casos de tuberculosis resistente a la rifampicina y/o tuberculosis multirresistente tratados con éxito.</v>
      </c>
      <c r="C108" s="839"/>
      <c r="D108" s="840"/>
      <c r="E108" s="841" t="str">
        <f ca="1">IFERROR(IF(INDEX('Outcome Indicators - Section C '!C$1:C$100,MATCH($A108,'Outcome Indicators - Section C '!$A$1:$A$100,0))&lt;&gt;0,INDEX('Outcome Indicators - Section C '!C$1:C$100,MATCH($A108,'Outcome Indicators - Section C '!$A$1:$A$100,0)),""),"")</f>
        <v/>
      </c>
      <c r="F108" s="842"/>
      <c r="G108" s="843"/>
      <c r="H108" s="388" t="str">
        <f ca="1">IFERROR(IF(INDEX('Outcome Indicators - Section C '!D$1:D$100,MATCH($A108,'Outcome Indicators - Section C '!$A$1:$A$100,0))&lt;&gt;"",FIXED(INDEX('Outcome Indicators - Section C '!D$1:D$100,MATCH($A108,'Outcome Indicators - Section C '!$A$1:$A$100,0)),4),""),"")&amp;"/"&amp;IFERROR(IF(INDEX('Outcome Indicators - Section C '!D$1:D$100,MATCH($A108,'Outcome Indicators - Section C '!$A$1:$A$100,0)+1)&lt;&gt;"",FIXED(INDEX('Outcome Indicators - Section C '!D$1:D$100,MATCH($A108,'Outcome Indicators - Section C '!$A$1:$A$100,0)+1),2),""),"")&amp;CHAR(10)&amp;IFERROR(IF(INDEX('Outcome Indicators - Section C '!E$1:E$100,MATCH($A108,'Outcome Indicators - Section C '!$A$1:$A$100,0))&lt;&gt;"",FIXED(INDEX('Outcome Indicators - Section C '!E$1:E$100,MATCH($A108,'Outcome Indicators - Section C '!$A$1:$A$100,0))*100,2)&amp;"%",""),"")</f>
        <v>7.0000/7.00
100.00%</v>
      </c>
      <c r="I108" s="388" t="str">
        <f ca="1">IFERROR(IF(INDEX('Outcome Indicators - Section C '!F$1:F$100,MATCH($A108,'Outcome Indicators - Section C '!$A$1:$A$100,0))&lt;&gt;0,INDEX('Outcome Indicators - Section C '!F$1:F$100,MATCH($A108,'Outcome Indicators - Section C '!$A$1:$A$100,0)),""),"")&amp;CHAR(10)&amp;IFERROR(IF(INDEX('Outcome Indicators - Section C '!G$1:G$100,MATCH($A108,'Outcome Indicators - Section C '!$A$1:$A$100,0))&lt;&gt;0,INDEX('Outcome Indicators - Section C '!G$1:G$100,MATCH($A108,'Outcome Indicators - Section C '!$A$1:$A$100,0)),""),"")</f>
        <v>2018
  Libro de registro de casos con TB fármacorresistente - Programa Nacional de TB</v>
      </c>
      <c r="J108" s="838" t="str">
        <f ca="1">IFERROR(IF(INDEX('Outcome Indicators - Section C '!H$1:H$100,MATCH($A108,'Outcome Indicators - Section C '!$A$1:$A$100,0))&lt;&gt;0,INDEX('Outcome Indicators - Section C '!H$1:H$100,MATCH($A108,'Outcome Indicators - Section C '!$A$1:$A$100,0)),""),"")</f>
        <v/>
      </c>
      <c r="K108" s="839"/>
      <c r="L108" s="839"/>
      <c r="M108" s="840"/>
      <c r="N108" s="389" t="str">
        <f ca="1">IFERROR(IF(AND('Overview - Section A'!AN$5="Grant Making",OR(B108&lt;&gt;"",E108&lt;&gt;"")),Setup!I15,IF(INDEX('Outcome Indicators - Section C '!I$1:I$100,MATCH($A108,'Outcome Indicators - Section C '!$A$1:$A$100,0))&lt;&gt;0,INDEX('Outcome Indicators - Section C '!I$1:I$100,MATCH($A108,'Outcome Indicators - Section C '!$A$1:$A$100,0)),"")),"")</f>
        <v>Ministry of Health of the Republic of El Salvador</v>
      </c>
      <c r="O108" s="389" t="str">
        <f>IFERROR(IF(INDEX('Outcome Indicators - Section C '!J$9:J$38,MATCH($A108,'Outcome Indicators - Section C '!$A$9:$A$38,0))&lt;&gt;0,INDEX('Outcome Indicators - Section C '!J$9:J$38,MATCH($A108,'Outcome Indicators - Section C '!$A$9:$A$38,0)),""),"")</f>
        <v>El Salvador</v>
      </c>
      <c r="P108" s="390" t="str">
        <f ca="1">IFERROR(IF(INDEX('Outcome Indicators - Section C '!K$1:K$100,MATCH($A108,'Outcome Indicators - Section C '!$A$1:$A$100,0))&lt;&gt;"",FIXED(INDEX('Outcome Indicators - Section C '!K$1:K$100,MATCH($A108,'Outcome Indicators - Section C '!$A$1:$A$100,0)),4),""),"")&amp;"/"&amp;IFERROR(IF(INDEX('Outcome Indicators - Section C '!K$1:K$100,MATCH($A108,'Outcome Indicators - Section C '!$A$1:$A$100,0)+1)&lt;&gt;"",FIXED(INDEX('Outcome Indicators - Section C '!K$1:K$100,MATCH($A108,'Outcome Indicators - Section C '!$A$1:$A$100,0)+1),2),""),"")&amp;CHAR(10)&amp;IFERROR(IF(INDEX('Outcome Indicators - Section C '!L$1:L$100,MATCH($A108,'Outcome Indicators - Section C '!$A$1:$A$100,0))&lt;&gt;"",FIXED(INDEX('Outcome Indicators - Section C '!L$1:L$100,MATCH($A108,'Outcome Indicators - Section C '!$A$1:$A$100,0))*100,2)&amp;"%",""),"")&amp;CHAR(10)&amp;IFERROR(IF(INDEX('Outcome Indicators - Section C '!N$1:N$100,MATCH($A108,'Outcome Indicators - Section C '!$A$1:$A$100,0))&lt;&gt;"",INDEX('Outcome Indicators - Section C '!N$1:N$100,MATCH($A108,'Outcome Indicators - Section C '!$A$1:$A$100,0)),""),"")&amp;CHAR(10)&amp;IFERROR(IF(INDEX('Outcome Indicators - Section C '!M$1:M$100,MATCH($A108,'Outcome Indicators - Section C '!$A$1:$A$100,0))&lt;&gt;"",TEXT(INDEX('Outcome Indicators - Section C '!M$1:M$100,MATCH($A108,'Outcome Indicators - Section C '!$A$1:$A$100,0)),Setup!$A$33),""),"")</f>
        <v>/
90.00%
30-Mar-23</v>
      </c>
      <c r="Q108" s="388" t="str">
        <f ca="1">IFERROR(IF(INDEX('Outcome Indicators - Section C '!O$1:O$38,MATCH($A108,'Outcome Indicators - Section C '!$A$1:$A$38,0))&lt;&gt;"",FIXED(INDEX('Outcome Indicators - Section C '!O$1:O$38,MATCH($A108,'Outcome Indicators - Section C '!$A$1:$A$38,0)),4),""),"")&amp;"/"&amp;IFERROR(IF(INDEX('Outcome Indicators - Section C '!O$1:O$38,MATCH($A108,'Outcome Indicators - Section C '!$A$1:$A$38,0)+1)&lt;&gt;"",FIXED(INDEX('Outcome Indicators - Section C '!O$1:O$38,MATCH($A108,'Outcome Indicators - Section C '!$A$1:$A$38,0)+1),2),""),"")&amp;CHAR(10)&amp;IFERROR(IF(INDEX('Outcome Indicators - Section C '!P$1:P$38,MATCH($A108,'Outcome Indicators - Section C '!$A$1:$A$38,0))&lt;&gt;"",FIXED(INDEX('Outcome Indicators - Section C '!P$1:P$38,MATCH($A108,'Outcome Indicators - Section C '!$A$1:$A$38,0))*100,2)&amp;"%",""),"")&amp;CHAR(10)&amp;IFERROR(IF(INDEX('Outcome Indicators - Section C '!R$1:R$38,MATCH($A108,'Outcome Indicators - Section C '!$A$1:$A$38,0))&lt;&gt;"",INDEX('Outcome Indicators - Section C '!R$1:R$38,MATCH($A108,'Outcome Indicators - Section C '!$A$1:$A$38,0)),""),"")&amp;CHAR(10)&amp;IFERROR(IF(INDEX('Outcome Indicators - Section C '!Q$1:Q$38,MATCH($A108,'Outcome Indicators - Section C '!$A$1:$A$38,0))&lt;&gt;"",TEXT(INDEX('Outcome Indicators - Section C '!Q$1:Q$38,MATCH($A108,'Outcome Indicators - Section C '!$A$1:$A$38,0)),Setup!$A$33),""),"")</f>
        <v>/
90.00%
30-Mar-24</v>
      </c>
      <c r="R108" s="388" t="str">
        <f ca="1">IFERROR(IF(INDEX('Outcome Indicators - Section C '!S$1:S$38,MATCH($A108,'Outcome Indicators - Section C '!$A$1:$A$38,0))&lt;&gt;"",FIXED(INDEX('Outcome Indicators - Section C '!S$1:S$38,MATCH($A108,'Outcome Indicators - Section C '!$A$1:$A$38,0)),4),""),"")&amp;"/"&amp;IFERROR(IF(INDEX('Outcome Indicators - Section C '!S$1:S$38,MATCH($A108,'Outcome Indicators - Section C '!$A$1:$A$38,0)+1)&lt;&gt;"",FIXED(INDEX('Outcome Indicators - Section C '!S$1:S$38,MATCH($A108,'Outcome Indicators - Section C '!$A$1:$A$38,0)+1),2),""),"")&amp;CHAR(10)&amp;IFERROR(IF(INDEX('Outcome Indicators - Section C '!T$1:T$38,MATCH($A108,'Outcome Indicators - Section C '!$A$1:$A$38,0))&lt;&gt;"",FIXED(INDEX('Outcome Indicators - Section C '!T$1:T$38,MATCH($A108,'Outcome Indicators - Section C '!$A$1:$A$38,0))*100,2)&amp;"%",""),"")&amp;CHAR(10)&amp;IFERROR(IF(INDEX('Outcome Indicators - Section C '!V$1:V$38,MATCH($A108,'Outcome Indicators - Section C '!$A$1:$A$38,0))&lt;&gt;"",INDEX('Outcome Indicators - Section C '!V$1:V$38,MATCH($A108,'Outcome Indicators - Section C '!$A$1:$A$38,0)),""),"")&amp;CHAR(10)&amp;IFERROR(IF(INDEX('Outcome Indicators - Section C '!U$1:U$38,MATCH($A108,'Outcome Indicators - Section C '!$A$1:$A$38,0))&lt;&gt;"",TEXT(INDEX('Outcome Indicators - Section C '!U$1:U$38,MATCH($A108,'Outcome Indicators - Section C '!$A$1:$A$38,0)),Setup!$A$33),""),"")</f>
        <v>/
90.00%
30-Mar-25</v>
      </c>
      <c r="S108" s="388" t="str">
        <f ca="1">IFERROR(IF(INDEX('Outcome Indicators - Section C '!W$9:W$38,MATCH($A108,'Outcome Indicators - Section C '!$A$9:$A$38,0))&lt;&gt;"",FIXED(INDEX('Outcome Indicators - Section C '!W$9:W$38,MATCH($A108,'Outcome Indicators - Section C '!$A$9:$A$38,0)),4),""),"")&amp;"/"&amp;IFERROR(IF(INDEX('Outcome Indicators - Section C '!W$9:W$38,MATCH($A108,'Outcome Indicators - Section C '!$A$9:$A$38,0)+1)&lt;&gt;"",FIXED(INDEX('Outcome Indicators - Section C '!W$9:W$38,MATCH($A108,'Outcome Indicators - Section C '!$A$9:$A$38,0)+1),2),""),"")&amp;CHAR(10)&amp;IFERROR(IF(INDEX('Outcome Indicators - Section C '!X$9:X$38,MATCH($A108,'Outcome Indicators - Section C '!$A$9:$A$38,0))&lt;&gt;"",FIXED(INDEX('Outcome Indicators - Section C '!X$9:X$38,MATCH($A108,'Outcome Indicators - Section C '!$A$9:$A$38,0))*100,2)&amp;"%",""),"")&amp;CHAR(10)&amp;IFERROR(IF(INDEX('Outcome Indicators - Section C '!Z$9:Z$38,MATCH($A108,'Outcome Indicators - Section C '!$A$9:$A$38,0))&lt;&gt;"",INDEX('Outcome Indicators - Section C '!Z$9:Z$38,MATCH($A108,'Outcome Indicators - Section C '!$A$9:$A$38,0)),""),"")&amp;CHAR(10)&amp;IFERROR(IF(INDEX('Outcome Indicators - Section C '!Y$9:Y$38,MATCH($A108,'Outcome Indicators - Section C '!$A$9:$A$38,0))&lt;&gt;"",TEXT(INDEX('Outcome Indicators - Section C '!Y$9:Y$38,MATCH($A108,'Outcome Indicators - Section C '!$A$9:$A$38,0)),Setup!$A$33),""),"")</f>
        <v xml:space="preserve">/
</v>
      </c>
      <c r="T108" s="309"/>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813"/>
      <c r="AV108" s="813"/>
      <c r="AW108" s="813"/>
      <c r="AX108" s="813"/>
    </row>
    <row r="109" spans="1:55" ht="96" customHeight="1" thickBot="1" x14ac:dyDescent="0.4">
      <c r="A109" s="846">
        <v>2</v>
      </c>
      <c r="B109" s="809" t="str">
        <f ca="1">IFERROR(IF(INDEX('Outcome Indicators - Section C '!AA$1:AA$100,MATCH($A108,'Outcome Indicators - Section C '!$A$1:$A$100,0))&lt;&gt;0,INDEX('Outcome Indicators - Section C '!AA$1:AA$100,MATCH($A108,'Outcome Indicators - Section C '!$A$1:$A$100,0)),""),"")</f>
        <v>Supuestos para la meta: la tasa de éxito del tratamiento de los casos de tuberculosis resistente a la rifampicina y/o tuberculosis multirresistente expresado en porcentaje tratados con éxito; es el número de casos notificados, tratados y que egresaron curados más tratamientos completos, diagnosticados en los tres años anteriores, según los esquemas de tratamiento de segunda línea normados, los cuales tienen una duración de entre 18 a 24 meses.
Tomamos como linea de base lo reportado en el ultimo PUDR en el cual se obtuvo una curacion del 100% (7/7) de la cohorte del año 2018 y que reporta su resultado de éxito de tratamiento en el año 2020 (tomar nota que el ingreso de los casos habiendo sido 2 años anteriores y su curación es los curados sobre los notificados en el mismo año 2018); así mismo hemos aumentado las metas para cada año en nueve puntos llegando a una meta del 90%; esta situacion es de mucha consideracion a raiz de la Pandemia Covid - 19 cuyas secuelas de patología respiratoria crónica aumentaran significativamente la mortalidad en este tipo de paciente de por si ya complicado. 
Numerador: total de casos TB-RR y/o TB-MDR confirmados bacteriológicamente que egresaron de la cohorte como  curados y tratamiento terminado completo al final del tratamiento en el  periodo a evaluar. 
Denominador: total de casos TB-RR y/o TB-MDR confirmados bacteriológicamente que ingresaron a la cohorte de tratamiento en el  periodo a evaluar. 
Tanto el numerador como el denominador en número absolutos corresponderán a los notificados 2 años anteriores, puesto que este indicador evalúa la curación de los casos MDR que han venido siendo tratado por 2 años.
Fuente de Información:  Libro de registro de casos con TB fármacorresistente. El RP reportará numerador y denominador.</v>
      </c>
      <c r="C109" s="810"/>
      <c r="D109" s="810"/>
      <c r="E109" s="810"/>
      <c r="F109" s="810"/>
      <c r="G109" s="810"/>
      <c r="H109" s="810"/>
      <c r="I109" s="811"/>
      <c r="J109" s="811"/>
      <c r="K109" s="811"/>
      <c r="L109" s="811"/>
      <c r="M109" s="811"/>
      <c r="N109" s="811"/>
      <c r="O109" s="811"/>
      <c r="P109" s="811"/>
      <c r="Q109" s="811"/>
      <c r="R109" s="811"/>
      <c r="S109" s="812"/>
      <c r="T109" s="305"/>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813"/>
      <c r="AV109" s="813"/>
      <c r="AW109" s="813"/>
      <c r="AX109" s="813"/>
    </row>
    <row r="110" spans="1:55" s="220" customFormat="1" ht="172.4" customHeight="1" x14ac:dyDescent="0.35">
      <c r="A110" s="816">
        <v>2</v>
      </c>
      <c r="B110" s="818" t="str">
        <f ca="1">IFERROR(IF(INDEX('Outcome Indicators - Section C '!B$1:B$100,MATCH($A110,'Outcome Indicators - Section C '!$A$1:$A$100,0))&lt;&gt;0,INDEX('Outcome Indicators - Section C '!B$1:B$100,MATCH($A110,'Outcome Indicators - Section C '!$A$1:$A$100,0)),""),"")</f>
        <v>HIV O-12 Porcentaje de personas que viven con VIH que reciben tratamiento antirretroviral y tienen carga viral suprimida</v>
      </c>
      <c r="C110" s="819"/>
      <c r="D110" s="820"/>
      <c r="E110" s="818" t="str">
        <f ca="1">IFERROR(IF(INDEX('Outcome Indicators - Section C '!C$1:C$100,MATCH($A110,'Outcome Indicators - Section C '!$A$1:$A$100,0))&lt;&gt;0,INDEX('Outcome Indicators - Section C '!C$1:C$100,MATCH($A110,'Outcome Indicators - Section C '!$A$1:$A$100,0)),""),"")</f>
        <v/>
      </c>
      <c r="F110" s="819"/>
      <c r="G110" s="820"/>
      <c r="H110" s="421" t="str">
        <f ca="1">IFERROR(IF(INDEX('Outcome Indicators - Section C '!D$1:D$100,MATCH($A110,'Outcome Indicators - Section C '!$A$1:$A$100,0))&lt;&gt;"",FIXED(INDEX('Outcome Indicators - Section C '!D$1:D$100,MATCH($A110,'Outcome Indicators - Section C '!$A$1:$A$100,0)),4),""),"")&amp;"/"&amp;IFERROR(IF(INDEX('Outcome Indicators - Section C '!D$1:D$100,MATCH($A110,'Outcome Indicators - Section C '!$A$1:$A$100,0)+1)&lt;&gt;"",FIXED(INDEX('Outcome Indicators - Section C '!D$1:D$100,MATCH($A110,'Outcome Indicators - Section C '!$A$1:$A$100,0)+1),2),""),"")&amp;CHAR(10)&amp;IFERROR(IF(INDEX('Outcome Indicators - Section C '!E$1:E$100,MATCH($A110,'Outcome Indicators - Section C '!$A$1:$A$100,0))&lt;&gt;"",FIXED(INDEX('Outcome Indicators - Section C '!E$1:E$100,MATCH($A110,'Outcome Indicators - Section C '!$A$1:$A$100,0))*100,2)&amp;"%",""),"")</f>
        <v>7,173.0000/9,814.00
73.09%</v>
      </c>
      <c r="I110" s="421" t="str">
        <f ca="1">IFERROR(IF(INDEX('Outcome Indicators - Section C '!F$1:F$100,MATCH($A110,'Outcome Indicators - Section C '!$A$1:$A$100,0))&lt;&gt;0,INDEX('Outcome Indicators - Section C '!F$1:F$100,MATCH($A110,'Outcome Indicators - Section C '!$A$1:$A$100,0)),""),"")&amp;CHAR(10)&amp;IFERROR(IF(INDEX('Outcome Indicators - Section C '!G$1:G$100,MATCH($A110,'Outcome Indicators - Section C '!$A$1:$A$100,0))&lt;&gt;0,INDEX('Outcome Indicators - Section C '!G$1:G$100,MATCH($A110,'Outcome Indicators - Section C '!$A$1:$A$100,0)),""),"")</f>
        <v>2020
SUMEVE</v>
      </c>
      <c r="J110" s="818" t="str">
        <f ca="1">IFERROR(IF(INDEX('Outcome Indicators - Section C '!H$1:H$100,MATCH($A110,'Outcome Indicators - Section C '!$A$1:$A$100,0))&lt;&gt;0,INDEX('Outcome Indicators - Section C '!H$1:H$100,MATCH($A110,'Outcome Indicators - Section C '!$A$1:$A$100,0)),""),"")</f>
        <v>Género</v>
      </c>
      <c r="K110" s="819"/>
      <c r="L110" s="819"/>
      <c r="M110" s="820"/>
      <c r="N110" s="422" t="str">
        <f ca="1">IFERROR(IF(AND('Overview - Section A'!AN$5="Grant Making",OR(B110&lt;&gt;"",E110&lt;&gt;"")),Setup!I15,IF(INDEX('Outcome Indicators - Section C '!I$1:I$100,MATCH($A110,'Outcome Indicators - Section C '!$A$1:$A$100,0))&lt;&gt;0,INDEX('Outcome Indicators - Section C '!I$1:I$100,MATCH($A110,'Outcome Indicators - Section C '!$A$1:$A$100,0)),"")),"")</f>
        <v>Ministry of Health of the Republic of El Salvador</v>
      </c>
      <c r="O110" s="422" t="str">
        <f>IFERROR(IF(INDEX('Outcome Indicators - Section C '!J$9:J$38,MATCH($A110,'Outcome Indicators - Section C '!$A$9:$A$38,0))&lt;&gt;0,INDEX('Outcome Indicators - Section C '!J$9:J$38,MATCH($A110,'Outcome Indicators - Section C '!$A$9:$A$38,0)),""),"")</f>
        <v>El Salvador</v>
      </c>
      <c r="P110" s="423" t="str">
        <f ca="1">IFERROR(IF(INDEX('Outcome Indicators - Section C '!K$1:K$100,MATCH($A110,'Outcome Indicators - Section C '!$A$1:$A$100,0))&lt;&gt;"",FIXED(INDEX('Outcome Indicators - Section C '!K$1:K$100,MATCH($A110,'Outcome Indicators - Section C '!$A$1:$A$100,0)),4),""),"")&amp;"/"&amp;IFERROR(IF(INDEX('Outcome Indicators - Section C '!K$1:K$100,MATCH($A110,'Outcome Indicators - Section C '!$A$1:$A$100,0)+1)&lt;&gt;"",FIXED(INDEX('Outcome Indicators - Section C '!K$1:K$100,MATCH($A110,'Outcome Indicators - Section C '!$A$1:$A$100,0)+1),2),""),"")&amp;CHAR(10)&amp;IFERROR(IF(INDEX('Outcome Indicators - Section C '!L$1:L$100,MATCH($A110,'Outcome Indicators - Section C '!$A$1:$A$100,0))&lt;&gt;"",FIXED(INDEX('Outcome Indicators - Section C '!L$1:L$100,MATCH($A110,'Outcome Indicators - Section C '!$A$1:$A$100,0))*100,2)&amp;"%",""),"")&amp;CHAR(10)&amp;IFERROR(IF(INDEX('Outcome Indicators - Section C '!N$1:N$100,MATCH($A110,'Outcome Indicators - Section C '!$A$1:$A$100,0))&lt;&gt;"",INDEX('Outcome Indicators - Section C '!N$1:N$100,MATCH($A110,'Outcome Indicators - Section C '!$A$1:$A$100,0)),""),"")&amp;CHAR(10)&amp;IFERROR(IF(INDEX('Outcome Indicators - Section C '!M$1:M$100,MATCH($A110,'Outcome Indicators - Section C '!$A$1:$A$100,0))&lt;&gt;"",TEXT(INDEX('Outcome Indicators - Section C '!M$1:M$100,MATCH($A110,'Outcome Indicators - Section C '!$A$1:$A$100,0)),Setup!$A$33),""),"")</f>
        <v>/
84.00%
1-Mar-23</v>
      </c>
      <c r="Q110" s="421" t="str">
        <f ca="1">IFERROR(IF(INDEX('Outcome Indicators - Section C '!O$1:O$38,MATCH($A110,'Outcome Indicators - Section C '!$A$1:$A$38,0))&lt;&gt;"",FIXED(INDEX('Outcome Indicators - Section C '!O$1:O$38,MATCH($A110,'Outcome Indicators - Section C '!$A$1:$A$38,0)),4),""),"")&amp;"/"&amp;IFERROR(IF(INDEX('Outcome Indicators - Section C '!O$1:O$38,MATCH($A110,'Outcome Indicators - Section C '!$A$1:$A$38,0)+1)&lt;&gt;"",FIXED(INDEX('Outcome Indicators - Section C '!O$1:O$38,MATCH($A110,'Outcome Indicators - Section C '!$A$1:$A$38,0)+1),2),""),"")&amp;CHAR(10)&amp;IFERROR(IF(INDEX('Outcome Indicators - Section C '!P$1:P$38,MATCH($A110,'Outcome Indicators - Section C '!$A$1:$A$38,0))&lt;&gt;"",FIXED(INDEX('Outcome Indicators - Section C '!P$1:P$38,MATCH($A110,'Outcome Indicators - Section C '!$A$1:$A$38,0))*100,2)&amp;"%",""),"")&amp;CHAR(10)&amp;IFERROR(IF(INDEX('Outcome Indicators - Section C '!R$1:R$38,MATCH($A110,'Outcome Indicators - Section C '!$A$1:$A$38,0))&lt;&gt;"",INDEX('Outcome Indicators - Section C '!R$1:R$38,MATCH($A110,'Outcome Indicators - Section C '!$A$1:$A$38,0)),""),"")&amp;CHAR(10)&amp;IFERROR(IF(INDEX('Outcome Indicators - Section C '!Q$1:Q$38,MATCH($A110,'Outcome Indicators - Section C '!$A$1:$A$38,0))&lt;&gt;"",TEXT(INDEX('Outcome Indicators - Section C '!Q$1:Q$38,MATCH($A110,'Outcome Indicators - Section C '!$A$1:$A$38,0)),Setup!$A$33),""),"")</f>
        <v>/
87.00%
29-Feb-24</v>
      </c>
      <c r="R110" s="421" t="str">
        <f ca="1">IFERROR(IF(INDEX('Outcome Indicators - Section C '!S$1:S$38,MATCH($A110,'Outcome Indicators - Section C '!$A$1:$A$38,0))&lt;&gt;"",FIXED(INDEX('Outcome Indicators - Section C '!S$1:S$38,MATCH($A110,'Outcome Indicators - Section C '!$A$1:$A$38,0)),4),""),"")&amp;"/"&amp;IFERROR(IF(INDEX('Outcome Indicators - Section C '!S$1:S$38,MATCH($A110,'Outcome Indicators - Section C '!$A$1:$A$38,0)+1)&lt;&gt;"",FIXED(INDEX('Outcome Indicators - Section C '!S$1:S$38,MATCH($A110,'Outcome Indicators - Section C '!$A$1:$A$38,0)+1),2),""),"")&amp;CHAR(10)&amp;IFERROR(IF(INDEX('Outcome Indicators - Section C '!T$1:T$38,MATCH($A110,'Outcome Indicators - Section C '!$A$1:$A$38,0))&lt;&gt;"",FIXED(INDEX('Outcome Indicators - Section C '!T$1:T$38,MATCH($A110,'Outcome Indicators - Section C '!$A$1:$A$38,0))*100,2)&amp;"%",""),"")&amp;CHAR(10)&amp;IFERROR(IF(INDEX('Outcome Indicators - Section C '!V$1:V$38,MATCH($A110,'Outcome Indicators - Section C '!$A$1:$A$38,0))&lt;&gt;"",INDEX('Outcome Indicators - Section C '!V$1:V$38,MATCH($A110,'Outcome Indicators - Section C '!$A$1:$A$38,0)),""),"")&amp;CHAR(10)&amp;IFERROR(IF(INDEX('Outcome Indicators - Section C '!U$1:U$38,MATCH($A110,'Outcome Indicators - Section C '!$A$1:$A$38,0))&lt;&gt;"",TEXT(INDEX('Outcome Indicators - Section C '!U$1:U$38,MATCH($A110,'Outcome Indicators - Section C '!$A$1:$A$38,0)),Setup!$A$33),""),"")</f>
        <v>/
90.00%
28-Feb-25</v>
      </c>
      <c r="S110" s="421" t="str">
        <f ca="1">IFERROR(IF(INDEX('Outcome Indicators - Section C '!W$9:W$38,MATCH($A110,'Outcome Indicators - Section C '!$A$9:$A$38,0))&lt;&gt;"",FIXED(INDEX('Outcome Indicators - Section C '!W$9:W$38,MATCH($A110,'Outcome Indicators - Section C '!$A$9:$A$38,0)),4),""),"")&amp;"/"&amp;IFERROR(IF(INDEX('Outcome Indicators - Section C '!W$9:W$38,MATCH($A110,'Outcome Indicators - Section C '!$A$9:$A$38,0)+1)&lt;&gt;"",FIXED(INDEX('Outcome Indicators - Section C '!W$9:W$38,MATCH($A110,'Outcome Indicators - Section C '!$A$9:$A$38,0)+1),2),""),"")&amp;CHAR(10)&amp;IFERROR(IF(INDEX('Outcome Indicators - Section C '!X$9:X$38,MATCH($A110,'Outcome Indicators - Section C '!$A$9:$A$38,0))&lt;&gt;"",FIXED(INDEX('Outcome Indicators - Section C '!X$9:X$38,MATCH($A110,'Outcome Indicators - Section C '!$A$9:$A$38,0))*100,2)&amp;"%",""),"")&amp;CHAR(10)&amp;IFERROR(IF(INDEX('Outcome Indicators - Section C '!Z$9:Z$38,MATCH($A110,'Outcome Indicators - Section C '!$A$9:$A$38,0))&lt;&gt;"",INDEX('Outcome Indicators - Section C '!Z$9:Z$38,MATCH($A110,'Outcome Indicators - Section C '!$A$9:$A$38,0)),""),"")&amp;CHAR(10)&amp;IFERROR(IF(INDEX('Outcome Indicators - Section C '!Y$9:Y$38,MATCH($A110,'Outcome Indicators - Section C '!$A$9:$A$38,0))&lt;&gt;"",TEXT(INDEX('Outcome Indicators - Section C '!Y$9:Y$38,MATCH($A110,'Outcome Indicators - Section C '!$A$9:$A$38,0)),Setup!$A$33),""),"")</f>
        <v xml:space="preserve">/
</v>
      </c>
      <c r="T110" s="418"/>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802"/>
      <c r="AV110" s="802"/>
      <c r="AW110" s="802"/>
      <c r="AX110" s="802"/>
      <c r="AY110" s="204"/>
      <c r="AZ110" s="204"/>
      <c r="BA110" s="204"/>
      <c r="BB110" s="204"/>
      <c r="BC110" s="204"/>
    </row>
    <row r="111" spans="1:55" s="220" customFormat="1" ht="96" customHeight="1" thickBot="1" x14ac:dyDescent="0.4">
      <c r="A111" s="817">
        <v>4</v>
      </c>
      <c r="B111" s="821" t="str">
        <f ca="1">IFERROR(IF(INDEX('Outcome Indicators - Section C '!AA$1:AA$100,MATCH($A110,'Outcome Indicators - Section C '!$A$1:$A$100,0))&lt;&gt;0,INDEX('Outcome Indicators - Section C '!AA$1:AA$100,MATCH($A110,'Outcome Indicators - Section C '!$A$1:$A$100,0)),""),"")</f>
        <v>Línea de base: 
Generada por el Sistema único de monitoreo, evaluación y vigilancia epidemiológica del VIH-Sida (SUMEVE), basada en los datos del año  2020.  
Numerador: Número de personas viviendo con VIH en TAR por al menos 6 meses y con al menos un resultado de CV de rutina que tenga supresión viral (&lt;1000 copias/ml) durante el período de reporte.
Denominador: Número de personas viviendo con VIH en TAR por al menos 6 meses con al menos un resultado de CV de rutina en un registro médico o de laboratorio durante el período de reporte.
Fuente: El RP reportará el numerador y el denominador según datos reales registrados en el SUMEVE
Supuestos: Considerando que el año 2020 fué un año atípico, en el que el resultado de este indicador fué afectado por la pandemia, resultando más bajo que para los dos años previos, se tomo como base para proyectar las metas para la próxima subvención el promedio de los resultados de CV suprimida de los ultimos 3 años.
Resultados de CV en los últimos 3 años
2018: 81.4%
2019: 87.5%
2020: 73%.
Las metas reflejan un incremento gradual por año a partir de la línea de base, en coherencia con las expectativas del país de avanzar hacia las metas 95-95-95. 
Intervenciones: adquisición de CD4, carga viral y ARVs; acciones para la mejora de la calidad de la atención a nivel de los CAI como la supervisión directa, apoyo para la red de transporte de muestras y análisis de la calidad de los datos y de entrega domiciliar de medicamentos.
Métodos de medición: la fuente primaria corresponde a los registros de pacientes de los Centros de Atención Integral, a ser registrados en el SUMEVE (Sistema Unico de Monitoreo evaluación y vigilancia del VIH)  que es el sistema nacional en donde se registra toda la información correspondiente a las acciones realizadas desde el diagnóstico hasta seguimiento del usuario, incluyendo sus resultados de CV. 
Por ser país focalizado no se requiere desagregación.</v>
      </c>
      <c r="C111" s="822"/>
      <c r="D111" s="822"/>
      <c r="E111" s="822"/>
      <c r="F111" s="822"/>
      <c r="G111" s="822"/>
      <c r="H111" s="822"/>
      <c r="I111" s="822"/>
      <c r="J111" s="822"/>
      <c r="K111" s="822"/>
      <c r="L111" s="822"/>
      <c r="M111" s="822"/>
      <c r="N111" s="822"/>
      <c r="O111" s="822"/>
      <c r="P111" s="822"/>
      <c r="Q111" s="822"/>
      <c r="R111" s="822"/>
      <c r="S111" s="823"/>
      <c r="T111" s="310"/>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802"/>
      <c r="AV111" s="802"/>
      <c r="AW111" s="802"/>
      <c r="AX111" s="802"/>
      <c r="AY111" s="204"/>
      <c r="AZ111" s="204"/>
      <c r="BA111" s="204"/>
      <c r="BB111" s="204"/>
      <c r="BC111" s="204"/>
    </row>
    <row r="112" spans="1:55" ht="172.4" customHeight="1" x14ac:dyDescent="0.35">
      <c r="A112" s="814">
        <v>3</v>
      </c>
      <c r="B112" s="824" t="str">
        <f ca="1">IFERROR(IF(INDEX('Outcome Indicators - Section C '!B$1:B$100,MATCH($A112,'Outcome Indicators - Section C '!$A$1:$A$100,0))&lt;&gt;0,INDEX('Outcome Indicators - Section C '!B$1:B$100,MATCH($A112,'Outcome Indicators - Section C '!$A$1:$A$100,0)),""),"")</f>
        <v>TB O-2a Tasa de éxito del tratamiento en todas las formas de tuberculosis, confirmada bacteriológicamente y con diagnóstico clínico, casos nuevos y recaídas.</v>
      </c>
      <c r="C112" s="825"/>
      <c r="D112" s="826"/>
      <c r="E112" s="824" t="str">
        <f ca="1">IFERROR(IF(INDEX('Outcome Indicators - Section C '!C$1:C$100,MATCH($A112,'Outcome Indicators - Section C '!$A$1:$A$100,0))&lt;&gt;0,INDEX('Outcome Indicators - Section C '!C$1:C$100,MATCH($A112,'Outcome Indicators - Section C '!$A$1:$A$100,0)),""),"")</f>
        <v/>
      </c>
      <c r="F112" s="825"/>
      <c r="G112" s="826"/>
      <c r="H112" s="388" t="str">
        <f ca="1">IFERROR(IF(INDEX('Outcome Indicators - Section C '!D$1:D$100,MATCH($A112,'Outcome Indicators - Section C '!$A$1:$A$100,0))&lt;&gt;"",FIXED(INDEX('Outcome Indicators - Section C '!D$1:D$100,MATCH($A112,'Outcome Indicators - Section C '!$A$1:$A$100,0)),4),""),"")&amp;"/"&amp;IFERROR(IF(INDEX('Outcome Indicators - Section C '!D$1:D$100,MATCH($A112,'Outcome Indicators - Section C '!$A$1:$A$100,0)+1)&lt;&gt;"",FIXED(INDEX('Outcome Indicators - Section C '!D$1:D$100,MATCH($A112,'Outcome Indicators - Section C '!$A$1:$A$100,0)+1),2),""),"")&amp;CHAR(10)&amp;IFERROR(IF(INDEX('Outcome Indicators - Section C '!E$1:E$100,MATCH($A112,'Outcome Indicators - Section C '!$A$1:$A$100,0))&lt;&gt;"",FIXED(INDEX('Outcome Indicators - Section C '!E$1:E$100,MATCH($A112,'Outcome Indicators - Section C '!$A$1:$A$100,0))*100,2)&amp;"%",""),"")</f>
        <v>2,312.0000/2,530.00
91.38%</v>
      </c>
      <c r="I112" s="388" t="str">
        <f ca="1">IFERROR(IF(INDEX('Outcome Indicators - Section C '!F$1:F$100,MATCH($A112,'Outcome Indicators - Section C '!$A$1:$A$100,0))&lt;&gt;0,INDEX('Outcome Indicators - Section C '!F$1:F$100,MATCH($A112,'Outcome Indicators - Section C '!$A$1:$A$100,0)),""),"")&amp;CHAR(10)&amp;IFERROR(IF(INDEX('Outcome Indicators - Section C '!G$1:G$100,MATCH($A112,'Outcome Indicators - Section C '!$A$1:$A$100,0))&lt;&gt;0,INDEX('Outcome Indicators - Section C '!G$1:G$100,MATCH($A112,'Outcome Indicators - Section C '!$A$1:$A$100,0)),""),"")</f>
        <v>2018
Libro de registro general de casos con TB (PCT - 5) e Informe de resultado de tratamiento (PCT -10)</v>
      </c>
      <c r="J112" s="824" t="str">
        <f ca="1">IFERROR(IF(INDEX('Outcome Indicators - Section C '!H$1:H$100,MATCH($A112,'Outcome Indicators - Section C '!$A$1:$A$100,0))&lt;&gt;0,INDEX('Outcome Indicators - Section C '!H$1:H$100,MATCH($A112,'Outcome Indicators - Section C '!$A$1:$A$100,0)),""),"")</f>
        <v/>
      </c>
      <c r="K112" s="825"/>
      <c r="L112" s="825"/>
      <c r="M112" s="826"/>
      <c r="N112" s="389" t="str">
        <f ca="1">IFERROR(IF(AND('Overview - Section A'!AN$5="Grant Making",OR(B112&lt;&gt;"",E112&lt;&gt;"")),Setup!I15,IF(INDEX('Outcome Indicators - Section C '!I$1:I$100,MATCH($A112,'Outcome Indicators - Section C '!$A$1:$A$100,0))&lt;&gt;0,INDEX('Outcome Indicators - Section C '!I$1:I$100,MATCH($A112,'Outcome Indicators - Section C '!$A$1:$A$100,0)),"")),"")</f>
        <v>Ministry of Health of the Republic of El Salvador</v>
      </c>
      <c r="O112" s="389" t="str">
        <f>IFERROR(IF(INDEX('Outcome Indicators - Section C '!J$9:J$38,MATCH($A112,'Outcome Indicators - Section C '!$A$9:$A$38,0))&lt;&gt;0,INDEX('Outcome Indicators - Section C '!J$9:J$38,MATCH($A112,'Outcome Indicators - Section C '!$A$9:$A$38,0)),""),"")</f>
        <v>El Salvador</v>
      </c>
      <c r="P112" s="390" t="str">
        <f ca="1">IFERROR(IF(INDEX('Outcome Indicators - Section C '!K$1:K$100,MATCH($A112,'Outcome Indicators - Section C '!$A$1:$A$100,0))&lt;&gt;"",FIXED(INDEX('Outcome Indicators - Section C '!K$1:K$100,MATCH($A112,'Outcome Indicators - Section C '!$A$1:$A$100,0)),4),""),"")&amp;"/"&amp;IFERROR(IF(INDEX('Outcome Indicators - Section C '!K$1:K$100,MATCH($A112,'Outcome Indicators - Section C '!$A$1:$A$100,0)+1)&lt;&gt;"",FIXED(INDEX('Outcome Indicators - Section C '!K$1:K$100,MATCH($A112,'Outcome Indicators - Section C '!$A$1:$A$100,0)+1),2),""),"")&amp;CHAR(10)&amp;IFERROR(IF(INDEX('Outcome Indicators - Section C '!L$1:L$100,MATCH($A112,'Outcome Indicators - Section C '!$A$1:$A$100,0))&lt;&gt;"",FIXED(INDEX('Outcome Indicators - Section C '!L$1:L$100,MATCH($A112,'Outcome Indicators - Section C '!$A$1:$A$100,0))*100,2)&amp;"%",""),"")&amp;CHAR(10)&amp;IFERROR(IF(INDEX('Outcome Indicators - Section C '!N$1:N$100,MATCH($A112,'Outcome Indicators - Section C '!$A$1:$A$100,0))&lt;&gt;"",INDEX('Outcome Indicators - Section C '!N$1:N$100,MATCH($A112,'Outcome Indicators - Section C '!$A$1:$A$100,0)),""),"")&amp;CHAR(10)&amp;IFERROR(IF(INDEX('Outcome Indicators - Section C '!M$1:M$100,MATCH($A112,'Outcome Indicators - Section C '!$A$1:$A$100,0))&lt;&gt;"",TEXT(INDEX('Outcome Indicators - Section C '!M$1:M$100,MATCH($A112,'Outcome Indicators - Section C '!$A$1:$A$100,0)),Setup!$A$33),""),"")</f>
        <v>/
92.00%
30-Mar-23</v>
      </c>
      <c r="Q112" s="388" t="str">
        <f ca="1">IFERROR(IF(INDEX('Outcome Indicators - Section C '!O$1:O$38,MATCH($A112,'Outcome Indicators - Section C '!$A$1:$A$38,0))&lt;&gt;"",FIXED(INDEX('Outcome Indicators - Section C '!O$1:O$38,MATCH($A112,'Outcome Indicators - Section C '!$A$1:$A$38,0)),4),""),"")&amp;"/"&amp;IFERROR(IF(INDEX('Outcome Indicators - Section C '!O$1:O$38,MATCH($A112,'Outcome Indicators - Section C '!$A$1:$A$38,0)+1)&lt;&gt;"",FIXED(INDEX('Outcome Indicators - Section C '!O$1:O$38,MATCH($A112,'Outcome Indicators - Section C '!$A$1:$A$38,0)+1),2),""),"")&amp;CHAR(10)&amp;IFERROR(IF(INDEX('Outcome Indicators - Section C '!P$1:P$38,MATCH($A112,'Outcome Indicators - Section C '!$A$1:$A$38,0))&lt;&gt;"",FIXED(INDEX('Outcome Indicators - Section C '!P$1:P$38,MATCH($A112,'Outcome Indicators - Section C '!$A$1:$A$38,0))*100,2)&amp;"%",""),"")&amp;CHAR(10)&amp;IFERROR(IF(INDEX('Outcome Indicators - Section C '!R$1:R$38,MATCH($A112,'Outcome Indicators - Section C '!$A$1:$A$38,0))&lt;&gt;"",INDEX('Outcome Indicators - Section C '!R$1:R$38,MATCH($A112,'Outcome Indicators - Section C '!$A$1:$A$38,0)),""),"")&amp;CHAR(10)&amp;IFERROR(IF(INDEX('Outcome Indicators - Section C '!Q$1:Q$38,MATCH($A112,'Outcome Indicators - Section C '!$A$1:$A$38,0))&lt;&gt;"",TEXT(INDEX('Outcome Indicators - Section C '!Q$1:Q$38,MATCH($A112,'Outcome Indicators - Section C '!$A$1:$A$38,0)),Setup!$A$33),""),"")</f>
        <v>/
92.00%
30-Mar-24</v>
      </c>
      <c r="R112" s="388" t="str">
        <f ca="1">IFERROR(IF(INDEX('Outcome Indicators - Section C '!S$1:S$38,MATCH($A112,'Outcome Indicators - Section C '!$A$1:$A$38,0))&lt;&gt;"",FIXED(INDEX('Outcome Indicators - Section C '!S$1:S$38,MATCH($A112,'Outcome Indicators - Section C '!$A$1:$A$38,0)),4),""),"")&amp;"/"&amp;IFERROR(IF(INDEX('Outcome Indicators - Section C '!S$1:S$38,MATCH($A112,'Outcome Indicators - Section C '!$A$1:$A$38,0)+1)&lt;&gt;"",FIXED(INDEX('Outcome Indicators - Section C '!S$1:S$38,MATCH($A112,'Outcome Indicators - Section C '!$A$1:$A$38,0)+1),2),""),"")&amp;CHAR(10)&amp;IFERROR(IF(INDEX('Outcome Indicators - Section C '!T$1:T$38,MATCH($A112,'Outcome Indicators - Section C '!$A$1:$A$38,0))&lt;&gt;"",FIXED(INDEX('Outcome Indicators - Section C '!T$1:T$38,MATCH($A112,'Outcome Indicators - Section C '!$A$1:$A$38,0))*100,2)&amp;"%",""),"")&amp;CHAR(10)&amp;IFERROR(IF(INDEX('Outcome Indicators - Section C '!V$1:V$38,MATCH($A112,'Outcome Indicators - Section C '!$A$1:$A$38,0))&lt;&gt;"",INDEX('Outcome Indicators - Section C '!V$1:V$38,MATCH($A112,'Outcome Indicators - Section C '!$A$1:$A$38,0)),""),"")&amp;CHAR(10)&amp;IFERROR(IF(INDEX('Outcome Indicators - Section C '!U$1:U$38,MATCH($A112,'Outcome Indicators - Section C '!$A$1:$A$38,0))&lt;&gt;"",TEXT(INDEX('Outcome Indicators - Section C '!U$1:U$38,MATCH($A112,'Outcome Indicators - Section C '!$A$1:$A$38,0)),Setup!$A$33),""),"")</f>
        <v>/
92.00%
30-Mar-25</v>
      </c>
      <c r="S112" s="388" t="str">
        <f ca="1">IFERROR(IF(INDEX('Outcome Indicators - Section C '!W$9:W$38,MATCH($A112,'Outcome Indicators - Section C '!$A$9:$A$38,0))&lt;&gt;"",FIXED(INDEX('Outcome Indicators - Section C '!W$9:W$38,MATCH($A112,'Outcome Indicators - Section C '!$A$9:$A$38,0)),4),""),"")&amp;"/"&amp;IFERROR(IF(INDEX('Outcome Indicators - Section C '!W$9:W$38,MATCH($A112,'Outcome Indicators - Section C '!$A$9:$A$38,0)+1)&lt;&gt;"",FIXED(INDEX('Outcome Indicators - Section C '!W$9:W$38,MATCH($A112,'Outcome Indicators - Section C '!$A$9:$A$38,0)+1),2),""),"")&amp;CHAR(10)&amp;IFERROR(IF(INDEX('Outcome Indicators - Section C '!X$9:X$38,MATCH($A112,'Outcome Indicators - Section C '!$A$9:$A$38,0))&lt;&gt;"",FIXED(INDEX('Outcome Indicators - Section C '!X$9:X$38,MATCH($A112,'Outcome Indicators - Section C '!$A$9:$A$38,0))*100,2)&amp;"%",""),"")&amp;CHAR(10)&amp;IFERROR(IF(INDEX('Outcome Indicators - Section C '!Z$9:Z$38,MATCH($A112,'Outcome Indicators - Section C '!$A$9:$A$38,0))&lt;&gt;"",INDEX('Outcome Indicators - Section C '!Z$9:Z$38,MATCH($A112,'Outcome Indicators - Section C '!$A$9:$A$38,0)),""),"")&amp;CHAR(10)&amp;IFERROR(IF(INDEX('Outcome Indicators - Section C '!Y$9:Y$38,MATCH($A112,'Outcome Indicators - Section C '!$A$9:$A$38,0))&lt;&gt;"",TEXT(INDEX('Outcome Indicators - Section C '!Y$9:Y$38,MATCH($A112,'Outcome Indicators - Section C '!$A$9:$A$38,0)),Setup!$A$33),""),"")</f>
        <v xml:space="preserve">/
</v>
      </c>
      <c r="T112" s="309"/>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813"/>
      <c r="AV112" s="813"/>
      <c r="AW112" s="813"/>
      <c r="AX112" s="813"/>
    </row>
    <row r="113" spans="1:55" ht="96" customHeight="1" thickBot="1" x14ac:dyDescent="0.4">
      <c r="A113" s="815">
        <v>6</v>
      </c>
      <c r="B113" s="809" t="str">
        <f ca="1">IFERROR(IF(INDEX('Outcome Indicators - Section C '!AA$1:AA$100,MATCH($A112,'Outcome Indicators - Section C '!$A$1:$A$100,0))&lt;&gt;0,INDEX('Outcome Indicators - Section C '!AA$1:AA$100,MATCH($A112,'Outcome Indicators - Section C '!$A$1:$A$100,0)),""),"")</f>
        <v>Supuestos para la meta: El número de casos notificados como éxito de tratamiento son todos los casos de tuberculosis todas las formas confirmados bacteriológicamente y con diagnóstico clínico, nuevos y recaídas que egresaron de la cohorte de tratamiento como curados y con tratamiento completo en el período a evaluar. La cohorte para reportar en resultados de tratamiento no es la del año anterior, sino la que corresponde a dos años previos al del año del reporte, para ejemplo, los casos que ingresaron de enero a diciembre 2020  se reportaran en marzo 2022 y así sucesivamente. En el PUDR se notifican los datos más recientes que aún no habrán sido publicados en el  WHO Global TB report.
La línea basal de la cohorte del año 2018 esta basada en el reporte de exito del tratamiento publicado por  la OMS según WHO report_2020. 
Numerador: es el total de casos de tuberculosis todas las formas confirmados bacteriológicamente y con diagnostico clinico, nuevos y recaidas que egresaron de la cohorte de tratamiento como curados más tratamiento completo en el periodo a evaluar.
Denominador: Total de casos notificados de tuberculosis todas las formas confirmados bacteriológicamente y con diagnóstico clínico, casos nuevos y recaídas que ingresaron a la cohorte de tratamiento en el periodo a evaluar; expresado en porcentaje.
El reporte anual se reportara con numerador/denominador y porcentaje, en cada año de la subvencion de acuerdo a los datos reales del periodo a reportar
Fuente primaria: Libro de registro general de casos con TB (PCT - 5). El RP reportará numerador y denominador.</v>
      </c>
      <c r="C113" s="810"/>
      <c r="D113" s="810"/>
      <c r="E113" s="810"/>
      <c r="F113" s="810"/>
      <c r="G113" s="810"/>
      <c r="H113" s="810"/>
      <c r="I113" s="811"/>
      <c r="J113" s="811"/>
      <c r="K113" s="811"/>
      <c r="L113" s="811"/>
      <c r="M113" s="811"/>
      <c r="N113" s="811"/>
      <c r="O113" s="811"/>
      <c r="P113" s="811"/>
      <c r="Q113" s="811"/>
      <c r="R113" s="811"/>
      <c r="S113" s="812"/>
      <c r="T113" s="305"/>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813"/>
      <c r="AV113" s="813"/>
      <c r="AW113" s="813"/>
      <c r="AX113" s="813"/>
    </row>
    <row r="114" spans="1:55" s="220" customFormat="1" ht="172.4" customHeight="1" x14ac:dyDescent="0.35">
      <c r="A114" s="816">
        <v>4</v>
      </c>
      <c r="B114" s="818" t="str">
        <f ca="1">IFERROR(IF(INDEX('Outcome Indicators - Section C '!B$1:B$100,MATCH($A114,'Outcome Indicators - Section C '!$A$1:$A$100,0))&lt;&gt;0,INDEX('Outcome Indicators - Section C '!B$1:B$100,MATCH($A114,'Outcome Indicators - Section C '!$A$1:$A$100,0)),""),"")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C114" s="819"/>
      <c r="D114" s="820"/>
      <c r="E114" s="818" t="str">
        <f ca="1">IFERROR(IF(INDEX('Outcome Indicators - Section C '!C$1:C$100,MATCH($A114,'Outcome Indicators - Section C '!$A$1:$A$100,0))&lt;&gt;0,INDEX('Outcome Indicators - Section C '!C$1:C$100,MATCH($A114,'Outcome Indicators - Section C '!$A$1:$A$100,0)),""),"")</f>
        <v/>
      </c>
      <c r="F114" s="819"/>
      <c r="G114" s="820"/>
      <c r="H114" s="421" t="str">
        <f ca="1">IFERROR(IF(INDEX('Outcome Indicators - Section C '!D$1:D$100,MATCH($A114,'Outcome Indicators - Section C '!$A$1:$A$100,0))&lt;&gt;"",FIXED(INDEX('Outcome Indicators - Section C '!D$1:D$100,MATCH($A114,'Outcome Indicators - Section C '!$A$1:$A$100,0)),4),""),"")&amp;"/"&amp;IFERROR(IF(INDEX('Outcome Indicators - Section C '!D$1:D$100,MATCH($A114,'Outcome Indicators - Section C '!$A$1:$A$100,0)+1)&lt;&gt;"",FIXED(INDEX('Outcome Indicators - Section C '!D$1:D$100,MATCH($A114,'Outcome Indicators - Section C '!$A$1:$A$100,0)+1),2),""),"")&amp;CHAR(10)&amp;IFERROR(IF(INDEX('Outcome Indicators - Section C '!E$1:E$100,MATCH($A114,'Outcome Indicators - Section C '!$A$1:$A$100,0))&lt;&gt;"",FIXED(INDEX('Outcome Indicators - Section C '!E$1:E$100,MATCH($A114,'Outcome Indicators - Section C '!$A$1:$A$100,0))*100,2)&amp;"%",""),"")</f>
        <v>3,025.0000/3,800.00
79.61%</v>
      </c>
      <c r="I114" s="421" t="str">
        <f ca="1">IFERROR(IF(INDEX('Outcome Indicators - Section C '!F$1:F$100,MATCH($A114,'Outcome Indicators - Section C '!$A$1:$A$100,0))&lt;&gt;0,INDEX('Outcome Indicators - Section C '!F$1:F$100,MATCH($A114,'Outcome Indicators - Section C '!$A$1:$A$100,0)),""),"")&amp;CHAR(10)&amp;IFERROR(IF(INDEX('Outcome Indicators - Section C '!G$1:G$100,MATCH($A114,'Outcome Indicators - Section C '!$A$1:$A$100,0))&lt;&gt;0,INDEX('Outcome Indicators - Section C '!G$1:G$100,MATCH($A114,'Outcome Indicators - Section C '!$A$1:$A$100,0)),""),"")</f>
        <v>2019
Global Report TB 2020</v>
      </c>
      <c r="J114" s="818" t="str">
        <f ca="1">IFERROR(IF(INDEX('Outcome Indicators - Section C '!H$1:H$100,MATCH($A114,'Outcome Indicators - Section C '!$A$1:$A$100,0))&lt;&gt;0,INDEX('Outcome Indicators - Section C '!H$1:H$100,MATCH($A114,'Outcome Indicators - Section C '!$A$1:$A$100,0)),""),"")</f>
        <v/>
      </c>
      <c r="K114" s="819"/>
      <c r="L114" s="819"/>
      <c r="M114" s="820"/>
      <c r="N114" s="422" t="str">
        <f ca="1">IFERROR(IF(AND('Overview - Section A'!AN$5="Grant Making",OR(B114&lt;&gt;"",E114&lt;&gt;"")),Setup!I15,IF(INDEX('Outcome Indicators - Section C '!I$1:I$100,MATCH($A114,'Outcome Indicators - Section C '!$A$1:$A$100,0))&lt;&gt;0,INDEX('Outcome Indicators - Section C '!I$1:I$100,MATCH($A114,'Outcome Indicators - Section C '!$A$1:$A$100,0)),"")),"")</f>
        <v>Ministry of Health of the Republic of El Salvador</v>
      </c>
      <c r="O114" s="422" t="str">
        <f>IFERROR(IF(INDEX('Outcome Indicators - Section C '!J$9:J$38,MATCH($A114,'Outcome Indicators - Section C '!$A$9:$A$38,0))&lt;&gt;0,INDEX('Outcome Indicators - Section C '!J$9:J$38,MATCH($A114,'Outcome Indicators - Section C '!$A$9:$A$38,0)),""),"")</f>
        <v>El Salvador</v>
      </c>
      <c r="P114" s="423" t="str">
        <f ca="1">IFERROR(IF(INDEX('Outcome Indicators - Section C '!K$1:K$100,MATCH($A114,'Outcome Indicators - Section C '!$A$1:$A$100,0))&lt;&gt;"",FIXED(INDEX('Outcome Indicators - Section C '!K$1:K$100,MATCH($A114,'Outcome Indicators - Section C '!$A$1:$A$100,0)),4),""),"")&amp;"/"&amp;IFERROR(IF(INDEX('Outcome Indicators - Section C '!K$1:K$100,MATCH($A114,'Outcome Indicators - Section C '!$A$1:$A$100,0)+1)&lt;&gt;"",FIXED(INDEX('Outcome Indicators - Section C '!K$1:K$100,MATCH($A114,'Outcome Indicators - Section C '!$A$1:$A$100,0)+1),2),""),"")&amp;CHAR(10)&amp;IFERROR(IF(INDEX('Outcome Indicators - Section C '!L$1:L$100,MATCH($A114,'Outcome Indicators - Section C '!$A$1:$A$100,0))&lt;&gt;"",FIXED(INDEX('Outcome Indicators - Section C '!L$1:L$100,MATCH($A114,'Outcome Indicators - Section C '!$A$1:$A$100,0))*100,2)&amp;"%",""),"")&amp;CHAR(10)&amp;IFERROR(IF(INDEX('Outcome Indicators - Section C '!N$1:N$100,MATCH($A114,'Outcome Indicators - Section C '!$A$1:$A$100,0))&lt;&gt;"",INDEX('Outcome Indicators - Section C '!N$1:N$100,MATCH($A114,'Outcome Indicators - Section C '!$A$1:$A$100,0)),""),"")&amp;CHAR(10)&amp;IFERROR(IF(INDEX('Outcome Indicators - Section C '!M$1:M$100,MATCH($A114,'Outcome Indicators - Section C '!$A$1:$A$100,0))&lt;&gt;"",TEXT(INDEX('Outcome Indicators - Section C '!M$1:M$100,MATCH($A114,'Outcome Indicators - Section C '!$A$1:$A$100,0)),Setup!$A$33),""),"")</f>
        <v>/
90.00%
30-Mar-23</v>
      </c>
      <c r="Q114" s="421" t="str">
        <f ca="1">IFERROR(IF(INDEX('Outcome Indicators - Section C '!O$1:O$38,MATCH($A114,'Outcome Indicators - Section C '!$A$1:$A$38,0))&lt;&gt;"",FIXED(INDEX('Outcome Indicators - Section C '!O$1:O$38,MATCH($A114,'Outcome Indicators - Section C '!$A$1:$A$38,0)),4),""),"")&amp;"/"&amp;IFERROR(IF(INDEX('Outcome Indicators - Section C '!O$1:O$38,MATCH($A114,'Outcome Indicators - Section C '!$A$1:$A$38,0)+1)&lt;&gt;"",FIXED(INDEX('Outcome Indicators - Section C '!O$1:O$38,MATCH($A114,'Outcome Indicators - Section C '!$A$1:$A$38,0)+1),2),""),"")&amp;CHAR(10)&amp;IFERROR(IF(INDEX('Outcome Indicators - Section C '!P$1:P$38,MATCH($A114,'Outcome Indicators - Section C '!$A$1:$A$38,0))&lt;&gt;"",FIXED(INDEX('Outcome Indicators - Section C '!P$1:P$38,MATCH($A114,'Outcome Indicators - Section C '!$A$1:$A$38,0))*100,2)&amp;"%",""),"")&amp;CHAR(10)&amp;IFERROR(IF(INDEX('Outcome Indicators - Section C '!R$1:R$38,MATCH($A114,'Outcome Indicators - Section C '!$A$1:$A$38,0))&lt;&gt;"",INDEX('Outcome Indicators - Section C '!R$1:R$38,MATCH($A114,'Outcome Indicators - Section C '!$A$1:$A$38,0)),""),"")&amp;CHAR(10)&amp;IFERROR(IF(INDEX('Outcome Indicators - Section C '!Q$1:Q$38,MATCH($A114,'Outcome Indicators - Section C '!$A$1:$A$38,0))&lt;&gt;"",TEXT(INDEX('Outcome Indicators - Section C '!Q$1:Q$38,MATCH($A114,'Outcome Indicators - Section C '!$A$1:$A$38,0)),Setup!$A$33),""),"")</f>
        <v>/
90.00%
30-Mar-24</v>
      </c>
      <c r="R114" s="421" t="str">
        <f ca="1">IFERROR(IF(INDEX('Outcome Indicators - Section C '!S$1:S$38,MATCH($A114,'Outcome Indicators - Section C '!$A$1:$A$38,0))&lt;&gt;"",FIXED(INDEX('Outcome Indicators - Section C '!S$1:S$38,MATCH($A114,'Outcome Indicators - Section C '!$A$1:$A$38,0)),4),""),"")&amp;"/"&amp;IFERROR(IF(INDEX('Outcome Indicators - Section C '!S$1:S$38,MATCH($A114,'Outcome Indicators - Section C '!$A$1:$A$38,0)+1)&lt;&gt;"",FIXED(INDEX('Outcome Indicators - Section C '!S$1:S$38,MATCH($A114,'Outcome Indicators - Section C '!$A$1:$A$38,0)+1),2),""),"")&amp;CHAR(10)&amp;IFERROR(IF(INDEX('Outcome Indicators - Section C '!T$1:T$38,MATCH($A114,'Outcome Indicators - Section C '!$A$1:$A$38,0))&lt;&gt;"",FIXED(INDEX('Outcome Indicators - Section C '!T$1:T$38,MATCH($A114,'Outcome Indicators - Section C '!$A$1:$A$38,0))*100,2)&amp;"%",""),"")&amp;CHAR(10)&amp;IFERROR(IF(INDEX('Outcome Indicators - Section C '!V$1:V$38,MATCH($A114,'Outcome Indicators - Section C '!$A$1:$A$38,0))&lt;&gt;"",INDEX('Outcome Indicators - Section C '!V$1:V$38,MATCH($A114,'Outcome Indicators - Section C '!$A$1:$A$38,0)),""),"")&amp;CHAR(10)&amp;IFERROR(IF(INDEX('Outcome Indicators - Section C '!U$1:U$38,MATCH($A114,'Outcome Indicators - Section C '!$A$1:$A$38,0))&lt;&gt;"",TEXT(INDEX('Outcome Indicators - Section C '!U$1:U$38,MATCH($A114,'Outcome Indicators - Section C '!$A$1:$A$38,0)),Setup!$A$33),""),"")</f>
        <v>/
90.00%
30-Mar-25</v>
      </c>
      <c r="S114" s="421" t="str">
        <f ca="1">IFERROR(IF(INDEX('Outcome Indicators - Section C '!W$9:W$38,MATCH($A114,'Outcome Indicators - Section C '!$A$9:$A$38,0))&lt;&gt;"",FIXED(INDEX('Outcome Indicators - Section C '!W$9:W$38,MATCH($A114,'Outcome Indicators - Section C '!$A$9:$A$38,0)),4),""),"")&amp;"/"&amp;IFERROR(IF(INDEX('Outcome Indicators - Section C '!W$9:W$38,MATCH($A114,'Outcome Indicators - Section C '!$A$9:$A$38,0)+1)&lt;&gt;"",FIXED(INDEX('Outcome Indicators - Section C '!W$9:W$38,MATCH($A114,'Outcome Indicators - Section C '!$A$9:$A$38,0)+1),2),""),"")&amp;CHAR(10)&amp;IFERROR(IF(INDEX('Outcome Indicators - Section C '!X$9:X$38,MATCH($A114,'Outcome Indicators - Section C '!$A$9:$A$38,0))&lt;&gt;"",FIXED(INDEX('Outcome Indicators - Section C '!X$9:X$38,MATCH($A114,'Outcome Indicators - Section C '!$A$9:$A$38,0))*100,2)&amp;"%",""),"")&amp;CHAR(10)&amp;IFERROR(IF(INDEX('Outcome Indicators - Section C '!Z$9:Z$38,MATCH($A114,'Outcome Indicators - Section C '!$A$9:$A$38,0))&lt;&gt;"",INDEX('Outcome Indicators - Section C '!Z$9:Z$38,MATCH($A114,'Outcome Indicators - Section C '!$A$9:$A$38,0)),""),"")&amp;CHAR(10)&amp;IFERROR(IF(INDEX('Outcome Indicators - Section C '!Y$9:Y$38,MATCH($A114,'Outcome Indicators - Section C '!$A$9:$A$38,0))&lt;&gt;"",TEXT(INDEX('Outcome Indicators - Section C '!Y$9:Y$38,MATCH($A114,'Outcome Indicators - Section C '!$A$9:$A$38,0)),Setup!$A$33),""),"")</f>
        <v xml:space="preserve">/
</v>
      </c>
      <c r="T114" s="418"/>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802"/>
      <c r="AV114" s="802"/>
      <c r="AW114" s="802"/>
      <c r="AX114" s="802"/>
      <c r="AY114" s="204"/>
      <c r="AZ114" s="204"/>
      <c r="BA114" s="204"/>
      <c r="BB114" s="204"/>
      <c r="BC114" s="204"/>
    </row>
    <row r="115" spans="1:55" s="220" customFormat="1" ht="96" customHeight="1" thickBot="1" x14ac:dyDescent="0.4">
      <c r="A115" s="817">
        <v>8</v>
      </c>
      <c r="B115" s="821" t="str">
        <f ca="1">IFERROR(IF(INDEX('Outcome Indicators - Section C '!AA$1:AA$100,MATCH($A114,'Outcome Indicators - Section C '!$A$1:$A$100,0))&lt;&gt;0,INDEX('Outcome Indicators - Section C '!AA$1:AA$100,MATCH($A114,'Outcome Indicators - Section C '!$A$1:$A$100,0)),""),"")</f>
        <v>Supuestos para la meta: La linea basal para esté indicador se ha calculado, tomando lo publicado en el Global TB Report OMS para el año 2019 y la proyección ha sido establecida con base a la estrategía Fin a la TB y Tabla de datos escenciales anexo 8. Una alta cobertura de un tratamiento apropiado es un requisito fundamental para lograr los hitos y las metas de la Estrategia Fin de la TB. Si se usan juntos la cobertura y el éxito del tratamiento, estos dos indicadores sirven para dar seguimiento al progreso hacia la cobertura sanitaria universal en el marco de los ODS.
La cobertura del tratamiento de la tuberculosis se refiere al porcentaje de los casos nuevos y recaídas notificados y tratados; entre el número estimado de casos nuevos de TB en el mismo período a evaluar.
Para este indicador, se han establecido metas en el PENMTB (2,080 para año 2022; 1,940 para año 2023; 1,785 para año 2024 -(Tabla 8 _"Indicadores complementarios" del PENMTB 2022-2026) . Este indicador y metas serán revisadas, en caso de ser necesario podría ser ajustadas, después del primer informe de esta subvención. 
Numerador: total de casos de tuberculosis (todas formas) confirmados bacteriológicamente y con diagnóstico clínico, casos nuevos y recaídas notificados y tratados en el período a evaluar por el país
Denominador: total de casos estimados por la OMS de tuberculosis todas las formas, confirmados bacteriológicamente y con diagnóstico clínico, casos nuevos y recaídas en el período a evaluar, cuya estimación,  va con un retraso de dos años al informe de notificación del PUDR y es extraído del WHO Global TB Report, expresado en porcentaje.
El reporte anual se reportara con numerador/denominador y porcentaje, en cada año de la subvencion de acuerdo a los datos reales del periodo a reportar; de forma preliminar se reportaría al mismo tiempo del PUDR el 30 de marzo de cada año de la subvención.
La fuente primaria: El registro general de casos con TB (PCT-5) y Global Report TB/OMS, cuya estimación (dato del denominador) va con un retraso de dos años al informe de notificación.</v>
      </c>
      <c r="C115" s="822"/>
      <c r="D115" s="822"/>
      <c r="E115" s="822"/>
      <c r="F115" s="822"/>
      <c r="G115" s="822"/>
      <c r="H115" s="822"/>
      <c r="I115" s="822"/>
      <c r="J115" s="822"/>
      <c r="K115" s="822"/>
      <c r="L115" s="822"/>
      <c r="M115" s="822"/>
      <c r="N115" s="822"/>
      <c r="O115" s="822"/>
      <c r="P115" s="822"/>
      <c r="Q115" s="822"/>
      <c r="R115" s="822"/>
      <c r="S115" s="823"/>
      <c r="T115" s="310"/>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802"/>
      <c r="AV115" s="802"/>
      <c r="AW115" s="802"/>
      <c r="AX115" s="802"/>
      <c r="AY115" s="204"/>
      <c r="AZ115" s="204"/>
      <c r="BA115" s="204"/>
      <c r="BB115" s="204"/>
      <c r="BC115" s="204"/>
    </row>
    <row r="116" spans="1:55" ht="172.4" customHeight="1" x14ac:dyDescent="0.35">
      <c r="A116" s="814">
        <v>5</v>
      </c>
      <c r="B116" s="824" t="str">
        <f ca="1">IFERROR(IF(INDEX('Outcome Indicators - Section C '!B$1:B$100,MATCH($A116,'Outcome Indicators - Section C '!$A$1:$A$100,0))&lt;&gt;0,INDEX('Outcome Indicators - Section C '!B$1:B$100,MATCH($A116,'Outcome Indicators - Section C '!$A$1:$A$100,0)),""),"")</f>
        <v>TB O-6 Notificación de casos de tuberculosis resistente a la rifampicina (TB-RR) y/o tuberculosis multirresistente (TB-MR): porcentaje de casos notificados de TB-RR y/o TB-MR confirmados bacteriológicamente como proporción de todos los casos estimados de TB-RR y/o TB-MR.</v>
      </c>
      <c r="C116" s="825"/>
      <c r="D116" s="826"/>
      <c r="E116" s="824" t="str">
        <f ca="1">IFERROR(IF(INDEX('Outcome Indicators - Section C '!C$1:C$100,MATCH($A116,'Outcome Indicators - Section C '!$A$1:$A$100,0))&lt;&gt;0,INDEX('Outcome Indicators - Section C '!C$1:C$100,MATCH($A116,'Outcome Indicators - Section C '!$A$1:$A$100,0)),""),"")</f>
        <v/>
      </c>
      <c r="F116" s="825"/>
      <c r="G116" s="826"/>
      <c r="H116" s="388" t="str">
        <f ca="1">IFERROR(IF(INDEX('Outcome Indicators - Section C '!D$1:D$100,MATCH($A116,'Outcome Indicators - Section C '!$A$1:$A$100,0))&lt;&gt;"",FIXED(INDEX('Outcome Indicators - Section C '!D$1:D$100,MATCH($A116,'Outcome Indicators - Section C '!$A$1:$A$100,0)),4),""),"")&amp;"/"&amp;IFERROR(IF(INDEX('Outcome Indicators - Section C '!D$1:D$100,MATCH($A116,'Outcome Indicators - Section C '!$A$1:$A$100,0)+1)&lt;&gt;"",FIXED(INDEX('Outcome Indicators - Section C '!D$1:D$100,MATCH($A116,'Outcome Indicators - Section C '!$A$1:$A$100,0)+1),2),""),"")&amp;CHAR(10)&amp;IFERROR(IF(INDEX('Outcome Indicators - Section C '!E$1:E$100,MATCH($A116,'Outcome Indicators - Section C '!$A$1:$A$100,0))&lt;&gt;"",FIXED(INDEX('Outcome Indicators - Section C '!E$1:E$100,MATCH($A116,'Outcome Indicators - Section C '!$A$1:$A$100,0))*100,2)&amp;"%",""),"")</f>
        <v>21.0000/87.00
24.14%</v>
      </c>
      <c r="I116" s="388" t="str">
        <f ca="1">IFERROR(IF(INDEX('Outcome Indicators - Section C '!F$1:F$100,MATCH($A116,'Outcome Indicators - Section C '!$A$1:$A$100,0))&lt;&gt;0,INDEX('Outcome Indicators - Section C '!F$1:F$100,MATCH($A116,'Outcome Indicators - Section C '!$A$1:$A$100,0)),""),"")&amp;CHAR(10)&amp;IFERROR(IF(INDEX('Outcome Indicators - Section C '!G$1:G$100,MATCH($A116,'Outcome Indicators - Section C '!$A$1:$A$100,0))&lt;&gt;0,INDEX('Outcome Indicators - Section C '!G$1:G$100,MATCH($A116,'Outcome Indicators - Section C '!$A$1:$A$100,0)),""),"")</f>
        <v>2019
Global Report TB 2020</v>
      </c>
      <c r="J116" s="824" t="str">
        <f ca="1">IFERROR(IF(INDEX('Outcome Indicators - Section C '!H$1:H$100,MATCH($A116,'Outcome Indicators - Section C '!$A$1:$A$100,0))&lt;&gt;0,INDEX('Outcome Indicators - Section C '!H$1:H$100,MATCH($A116,'Outcome Indicators - Section C '!$A$1:$A$100,0)),""),"")</f>
        <v/>
      </c>
      <c r="K116" s="825"/>
      <c r="L116" s="825"/>
      <c r="M116" s="826"/>
      <c r="N116" s="389" t="str">
        <f ca="1">IFERROR(IF(AND('Overview - Section A'!AN$5="Grant Making",OR(B116&lt;&gt;"",E116&lt;&gt;"")),Setup!I15,IF(INDEX('Outcome Indicators - Section C '!I$1:I$100,MATCH($A116,'Outcome Indicators - Section C '!$A$1:$A$100,0))&lt;&gt;0,INDEX('Outcome Indicators - Section C '!I$1:I$100,MATCH($A116,'Outcome Indicators - Section C '!$A$1:$A$100,0)),"")),"")</f>
        <v>Ministry of Health of the Republic of El Salvador</v>
      </c>
      <c r="O116" s="389" t="str">
        <f>IFERROR(IF(INDEX('Outcome Indicators - Section C '!J$9:J$38,MATCH($A116,'Outcome Indicators - Section C '!$A$9:$A$38,0))&lt;&gt;0,INDEX('Outcome Indicators - Section C '!J$9:J$38,MATCH($A116,'Outcome Indicators - Section C '!$A$9:$A$38,0)),""),"")</f>
        <v>El Salvador</v>
      </c>
      <c r="P116" s="390" t="str">
        <f ca="1">IFERROR(IF(INDEX('Outcome Indicators - Section C '!K$1:K$100,MATCH($A116,'Outcome Indicators - Section C '!$A$1:$A$100,0))&lt;&gt;"",FIXED(INDEX('Outcome Indicators - Section C '!K$1:K$100,MATCH($A116,'Outcome Indicators - Section C '!$A$1:$A$100,0)),4),""),"")&amp;"/"&amp;IFERROR(IF(INDEX('Outcome Indicators - Section C '!K$1:K$100,MATCH($A116,'Outcome Indicators - Section C '!$A$1:$A$100,0)+1)&lt;&gt;"",FIXED(INDEX('Outcome Indicators - Section C '!K$1:K$100,MATCH($A116,'Outcome Indicators - Section C '!$A$1:$A$100,0)+1),2),""),"")&amp;CHAR(10)&amp;IFERROR(IF(INDEX('Outcome Indicators - Section C '!L$1:L$100,MATCH($A116,'Outcome Indicators - Section C '!$A$1:$A$100,0))&lt;&gt;"",FIXED(INDEX('Outcome Indicators - Section C '!L$1:L$100,MATCH($A116,'Outcome Indicators - Section C '!$A$1:$A$100,0))*100,2)&amp;"%",""),"")&amp;CHAR(10)&amp;IFERROR(IF(INDEX('Outcome Indicators - Section C '!N$1:N$100,MATCH($A116,'Outcome Indicators - Section C '!$A$1:$A$100,0))&lt;&gt;"",INDEX('Outcome Indicators - Section C '!N$1:N$100,MATCH($A116,'Outcome Indicators - Section C '!$A$1:$A$100,0)),""),"")&amp;CHAR(10)&amp;IFERROR(IF(INDEX('Outcome Indicators - Section C '!M$1:M$100,MATCH($A116,'Outcome Indicators - Section C '!$A$1:$A$100,0))&lt;&gt;"",TEXT(INDEX('Outcome Indicators - Section C '!M$1:M$100,MATCH($A116,'Outcome Indicators - Section C '!$A$1:$A$100,0)),Setup!$A$33),""),"")</f>
        <v>/
47.82%
30-Mar-23</v>
      </c>
      <c r="Q116" s="388" t="str">
        <f ca="1">IFERROR(IF(INDEX('Outcome Indicators - Section C '!O$1:O$38,MATCH($A116,'Outcome Indicators - Section C '!$A$1:$A$38,0))&lt;&gt;"",FIXED(INDEX('Outcome Indicators - Section C '!O$1:O$38,MATCH($A116,'Outcome Indicators - Section C '!$A$1:$A$38,0)),4),""),"")&amp;"/"&amp;IFERROR(IF(INDEX('Outcome Indicators - Section C '!O$1:O$38,MATCH($A116,'Outcome Indicators - Section C '!$A$1:$A$38,0)+1)&lt;&gt;"",FIXED(INDEX('Outcome Indicators - Section C '!O$1:O$38,MATCH($A116,'Outcome Indicators - Section C '!$A$1:$A$38,0)+1),2),""),"")&amp;CHAR(10)&amp;IFERROR(IF(INDEX('Outcome Indicators - Section C '!P$1:P$38,MATCH($A116,'Outcome Indicators - Section C '!$A$1:$A$38,0))&lt;&gt;"",FIXED(INDEX('Outcome Indicators - Section C '!P$1:P$38,MATCH($A116,'Outcome Indicators - Section C '!$A$1:$A$38,0))*100,2)&amp;"%",""),"")&amp;CHAR(10)&amp;IFERROR(IF(INDEX('Outcome Indicators - Section C '!R$1:R$38,MATCH($A116,'Outcome Indicators - Section C '!$A$1:$A$38,0))&lt;&gt;"",INDEX('Outcome Indicators - Section C '!R$1:R$38,MATCH($A116,'Outcome Indicators - Section C '!$A$1:$A$38,0)),""),"")&amp;CHAR(10)&amp;IFERROR(IF(INDEX('Outcome Indicators - Section C '!Q$1:Q$38,MATCH($A116,'Outcome Indicators - Section C '!$A$1:$A$38,0))&lt;&gt;"",TEXT(INDEX('Outcome Indicators - Section C '!Q$1:Q$38,MATCH($A116,'Outcome Indicators - Section C '!$A$1:$A$38,0)),Setup!$A$33),""),"")</f>
        <v>/
50.00%
30-Mar-24</v>
      </c>
      <c r="R116" s="388" t="str">
        <f ca="1">IFERROR(IF(INDEX('Outcome Indicators - Section C '!S$1:S$38,MATCH($A116,'Outcome Indicators - Section C '!$A$1:$A$38,0))&lt;&gt;"",FIXED(INDEX('Outcome Indicators - Section C '!S$1:S$38,MATCH($A116,'Outcome Indicators - Section C '!$A$1:$A$38,0)),4),""),"")&amp;"/"&amp;IFERROR(IF(INDEX('Outcome Indicators - Section C '!S$1:S$38,MATCH($A116,'Outcome Indicators - Section C '!$A$1:$A$38,0)+1)&lt;&gt;"",FIXED(INDEX('Outcome Indicators - Section C '!S$1:S$38,MATCH($A116,'Outcome Indicators - Section C '!$A$1:$A$38,0)+1),2),""),"")&amp;CHAR(10)&amp;IFERROR(IF(INDEX('Outcome Indicators - Section C '!T$1:T$38,MATCH($A116,'Outcome Indicators - Section C '!$A$1:$A$38,0))&lt;&gt;"",FIXED(INDEX('Outcome Indicators - Section C '!T$1:T$38,MATCH($A116,'Outcome Indicators - Section C '!$A$1:$A$38,0))*100,2)&amp;"%",""),"")&amp;CHAR(10)&amp;IFERROR(IF(INDEX('Outcome Indicators - Section C '!V$1:V$38,MATCH($A116,'Outcome Indicators - Section C '!$A$1:$A$38,0))&lt;&gt;"",INDEX('Outcome Indicators - Section C '!V$1:V$38,MATCH($A116,'Outcome Indicators - Section C '!$A$1:$A$38,0)),""),"")&amp;CHAR(10)&amp;IFERROR(IF(INDEX('Outcome Indicators - Section C '!U$1:U$38,MATCH($A116,'Outcome Indicators - Section C '!$A$1:$A$38,0))&lt;&gt;"",TEXT(INDEX('Outcome Indicators - Section C '!U$1:U$38,MATCH($A116,'Outcome Indicators - Section C '!$A$1:$A$38,0)),Setup!$A$33),""),"")</f>
        <v>/
55.00%
30-Mar-25</v>
      </c>
      <c r="S116" s="388" t="str">
        <f ca="1">IFERROR(IF(INDEX('Outcome Indicators - Section C '!W$9:W$38,MATCH($A116,'Outcome Indicators - Section C '!$A$9:$A$38,0))&lt;&gt;"",FIXED(INDEX('Outcome Indicators - Section C '!W$9:W$38,MATCH($A116,'Outcome Indicators - Section C '!$A$9:$A$38,0)),4),""),"")&amp;"/"&amp;IFERROR(IF(INDEX('Outcome Indicators - Section C '!W$9:W$38,MATCH($A116,'Outcome Indicators - Section C '!$A$9:$A$38,0)+1)&lt;&gt;"",FIXED(INDEX('Outcome Indicators - Section C '!W$9:W$38,MATCH($A116,'Outcome Indicators - Section C '!$A$9:$A$38,0)+1),2),""),"")&amp;CHAR(10)&amp;IFERROR(IF(INDEX('Outcome Indicators - Section C '!X$9:X$38,MATCH($A116,'Outcome Indicators - Section C '!$A$9:$A$38,0))&lt;&gt;"",FIXED(INDEX('Outcome Indicators - Section C '!X$9:X$38,MATCH($A116,'Outcome Indicators - Section C '!$A$9:$A$38,0))*100,2)&amp;"%",""),"")&amp;CHAR(10)&amp;IFERROR(IF(INDEX('Outcome Indicators - Section C '!Z$9:Z$38,MATCH($A116,'Outcome Indicators - Section C '!$A$9:$A$38,0))&lt;&gt;"",INDEX('Outcome Indicators - Section C '!Z$9:Z$38,MATCH($A116,'Outcome Indicators - Section C '!$A$9:$A$38,0)),""),"")&amp;CHAR(10)&amp;IFERROR(IF(INDEX('Outcome Indicators - Section C '!Y$9:Y$38,MATCH($A116,'Outcome Indicators - Section C '!$A$9:$A$38,0))&lt;&gt;"",TEXT(INDEX('Outcome Indicators - Section C '!Y$9:Y$38,MATCH($A116,'Outcome Indicators - Section C '!$A$9:$A$38,0)),Setup!$A$33),""),"")</f>
        <v xml:space="preserve">/
</v>
      </c>
      <c r="T116" s="309"/>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813"/>
      <c r="AV116" s="813"/>
      <c r="AW116" s="813"/>
      <c r="AX116" s="813"/>
    </row>
    <row r="117" spans="1:55" ht="96" customHeight="1" thickBot="1" x14ac:dyDescent="0.4">
      <c r="A117" s="815">
        <v>9.8000000000000007</v>
      </c>
      <c r="B117" s="809" t="str">
        <f ca="1">IFERROR(IF(INDEX('Outcome Indicators - Section C '!AA$1:AA$100,MATCH($A116,'Outcome Indicators - Section C '!$A$1:$A$100,0))&lt;&gt;0,INDEX('Outcome Indicators - Section C '!AA$1:AA$100,MATCH($A116,'Outcome Indicators - Section C '!$A$1:$A$100,0)),""),"")</f>
        <v xml:space="preserve">Supuestos para la meta: se ha estimado que el dos por ciento del total de los casos de TB todas las formas por cada año podrán presentar algún patrón de multidrogoresistencia. Por ejemplo: para el año 2022 se estiman reportar 2,080 casos de TB de todas las formas, el 2.0 %  del total nos da un estimado de 42 casos TB RR y/o TB MDR. para el año 2023 se estima reportar 1,785 y  siguiendo el ejercicio anterior nos dará un estimado de 39 casos TB RR/ TB MDR y así sucesivamente con los demás años. Es de hacer notar que la estimacion de la OMS a traves del Global Report es de 87 TB RR/MDR sin embargo el analisis local con apoyo de OPS/OMS y tomando en cuenta la tendencia de los ultimos cinco años los casos están alrededor de 35 - 42 tal como lo establece la tabla de datos esenciales
Numerador: total de casos notificados como TB-RR y TB-MDR confirmados bacteriológicamente (diagnosticados por pruebas moleculares: Gene Xpert, cultivos BAAR y prueba de sensibilidad por métodos de proporciones) en el período a evaluar.
Denominador: total de casos estimados de TB-RR y/o TB-MDR en el período a evaluar. 
Expresado en porcentaje.
El reporte anual se reportara con numerador/denominador y porcentaje, en cada año de la subvencion de acuerdo a los datos reales del periodo a reportar
Fuente de Información: Libro de registro de casos con TB fármacorresistente. El RP reportará numerador.
</v>
      </c>
      <c r="C117" s="810"/>
      <c r="D117" s="810"/>
      <c r="E117" s="810"/>
      <c r="F117" s="810"/>
      <c r="G117" s="810"/>
      <c r="H117" s="810"/>
      <c r="I117" s="811"/>
      <c r="J117" s="811"/>
      <c r="K117" s="811"/>
      <c r="L117" s="811"/>
      <c r="M117" s="811"/>
      <c r="N117" s="811"/>
      <c r="O117" s="811"/>
      <c r="P117" s="811"/>
      <c r="Q117" s="811"/>
      <c r="R117" s="811"/>
      <c r="S117" s="812"/>
      <c r="T117" s="305"/>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813"/>
      <c r="AV117" s="813"/>
      <c r="AW117" s="813"/>
      <c r="AX117" s="813"/>
    </row>
    <row r="118" spans="1:55" s="220" customFormat="1" ht="172.4" customHeight="1" x14ac:dyDescent="0.35">
      <c r="A118" s="816">
        <v>6</v>
      </c>
      <c r="B118" s="818" t="str">
        <f ca="1">IFERROR(IF(INDEX('Outcome Indicators - Section C '!B$1:B$100,MATCH($A118,'Outcome Indicators - Section C '!$A$1:$A$100,0))&lt;&gt;0,INDEX('Outcome Indicators - Section C '!B$1:B$100,MATCH($A118,'Outcome Indicators - Section C '!$A$1:$A$100,0)),""),"")</f>
        <v/>
      </c>
      <c r="C118" s="819"/>
      <c r="D118" s="820"/>
      <c r="E118" s="818" t="str">
        <f ca="1">IFERROR(IF(INDEX('Outcome Indicators - Section C '!C$1:C$100,MATCH($A118,'Outcome Indicators - Section C '!$A$1:$A$100,0))&lt;&gt;0,INDEX('Outcome Indicators - Section C '!C$1:C$100,MATCH($A118,'Outcome Indicators - Section C '!$A$1:$A$100,0)),""),"")</f>
        <v/>
      </c>
      <c r="F118" s="819"/>
      <c r="G118" s="820"/>
      <c r="H118" s="421" t="str">
        <f ca="1">IFERROR(IF(INDEX('Outcome Indicators - Section C '!D$1:D$100,MATCH($A118,'Outcome Indicators - Section C '!$A$1:$A$100,0))&lt;&gt;"",FIXED(INDEX('Outcome Indicators - Section C '!D$1:D$100,MATCH($A118,'Outcome Indicators - Section C '!$A$1:$A$100,0)),4),""),"")&amp;"/"&amp;IFERROR(IF(INDEX('Outcome Indicators - Section C '!D$1:D$100,MATCH($A118,'Outcome Indicators - Section C '!$A$1:$A$100,0)+1)&lt;&gt;"",FIXED(INDEX('Outcome Indicators - Section C '!D$1:D$100,MATCH($A118,'Outcome Indicators - Section C '!$A$1:$A$100,0)+1),2),""),"")&amp;CHAR(10)&amp;IFERROR(IF(INDEX('Outcome Indicators - Section C '!E$1:E$100,MATCH($A118,'Outcome Indicators - Section C '!$A$1:$A$100,0))&lt;&gt;"",FIXED(INDEX('Outcome Indicators - Section C '!E$1:E$100,MATCH($A118,'Outcome Indicators - Section C '!$A$1:$A$100,0))*100,2)&amp;"%",""),"")</f>
        <v xml:space="preserve">/
</v>
      </c>
      <c r="I118" s="421" t="str">
        <f ca="1">IFERROR(IF(INDEX('Outcome Indicators - Section C '!F$1:F$100,MATCH($A118,'Outcome Indicators - Section C '!$A$1:$A$100,0))&lt;&gt;0,INDEX('Outcome Indicators - Section C '!F$1:F$100,MATCH($A118,'Outcome Indicators - Section C '!$A$1:$A$100,0)),""),"")&amp;CHAR(10)&amp;IFERROR(IF(INDEX('Outcome Indicators - Section C '!G$1:G$100,MATCH($A118,'Outcome Indicators - Section C '!$A$1:$A$100,0))&lt;&gt;0,INDEX('Outcome Indicators - Section C '!G$1:G$100,MATCH($A118,'Outcome Indicators - Section C '!$A$1:$A$100,0)),""),"")</f>
        <v xml:space="preserve">
</v>
      </c>
      <c r="J118" s="818" t="str">
        <f ca="1">IFERROR(IF(INDEX('Outcome Indicators - Section C '!H$1:H$100,MATCH($A118,'Outcome Indicators - Section C '!$A$1:$A$100,0))&lt;&gt;0,INDEX('Outcome Indicators - Section C '!H$1:H$100,MATCH($A118,'Outcome Indicators - Section C '!$A$1:$A$100,0)),""),"")</f>
        <v/>
      </c>
      <c r="K118" s="819"/>
      <c r="L118" s="819"/>
      <c r="M118" s="820"/>
      <c r="N118" s="422" t="str">
        <f ca="1">IFERROR(IF(AND('Overview - Section A'!AN$5="Grant Making",OR(B118&lt;&gt;"",E118&lt;&gt;"")),Setup!I15,IF(INDEX('Outcome Indicators - Section C '!I$1:I$100,MATCH($A118,'Outcome Indicators - Section C '!$A$1:$A$100,0))&lt;&gt;0,INDEX('Outcome Indicators - Section C '!I$1:I$100,MATCH($A118,'Outcome Indicators - Section C '!$A$1:$A$100,0)),"")),"")</f>
        <v/>
      </c>
      <c r="O118" s="422" t="str">
        <f>IFERROR(IF(INDEX('Outcome Indicators - Section C '!J$9:J$38,MATCH($A118,'Outcome Indicators - Section C '!$A$9:$A$38,0))&lt;&gt;0,INDEX('Outcome Indicators - Section C '!J$9:J$38,MATCH($A118,'Outcome Indicators - Section C '!$A$9:$A$38,0)),""),"")</f>
        <v/>
      </c>
      <c r="P118" s="423" t="str">
        <f ca="1">IFERROR(IF(INDEX('Outcome Indicators - Section C '!K$1:K$100,MATCH($A118,'Outcome Indicators - Section C '!$A$1:$A$100,0))&lt;&gt;"",FIXED(INDEX('Outcome Indicators - Section C '!K$1:K$100,MATCH($A118,'Outcome Indicators - Section C '!$A$1:$A$100,0)),4),""),"")&amp;"/"&amp;IFERROR(IF(INDEX('Outcome Indicators - Section C '!K$1:K$100,MATCH($A118,'Outcome Indicators - Section C '!$A$1:$A$100,0)+1)&lt;&gt;"",FIXED(INDEX('Outcome Indicators - Section C '!K$1:K$100,MATCH($A118,'Outcome Indicators - Section C '!$A$1:$A$100,0)+1),2),""),"")&amp;CHAR(10)&amp;IFERROR(IF(INDEX('Outcome Indicators - Section C '!L$1:L$100,MATCH($A118,'Outcome Indicators - Section C '!$A$1:$A$100,0))&lt;&gt;"",FIXED(INDEX('Outcome Indicators - Section C '!L$1:L$100,MATCH($A118,'Outcome Indicators - Section C '!$A$1:$A$100,0))*100,2)&amp;"%",""),"")&amp;CHAR(10)&amp;IFERROR(IF(INDEX('Outcome Indicators - Section C '!N$1:N$100,MATCH($A118,'Outcome Indicators - Section C '!$A$1:$A$100,0))&lt;&gt;"",INDEX('Outcome Indicators - Section C '!N$1:N$100,MATCH($A118,'Outcome Indicators - Section C '!$A$1:$A$100,0)),""),"")&amp;CHAR(10)&amp;IFERROR(IF(INDEX('Outcome Indicators - Section C '!M$1:M$100,MATCH($A118,'Outcome Indicators - Section C '!$A$1:$A$100,0))&lt;&gt;"",TEXT(INDEX('Outcome Indicators - Section C '!M$1:M$100,MATCH($A118,'Outcome Indicators - Section C '!$A$1:$A$100,0)),Setup!$A$33),""),"")</f>
        <v xml:space="preserve">/
</v>
      </c>
      <c r="Q118" s="421" t="str">
        <f ca="1">IFERROR(IF(INDEX('Outcome Indicators - Section C '!O$1:O$38,MATCH($A118,'Outcome Indicators - Section C '!$A$1:$A$38,0))&lt;&gt;"",FIXED(INDEX('Outcome Indicators - Section C '!O$1:O$38,MATCH($A118,'Outcome Indicators - Section C '!$A$1:$A$38,0)),4),""),"")&amp;"/"&amp;IFERROR(IF(INDEX('Outcome Indicators - Section C '!O$1:O$38,MATCH($A118,'Outcome Indicators - Section C '!$A$1:$A$38,0)+1)&lt;&gt;"",FIXED(INDEX('Outcome Indicators - Section C '!O$1:O$38,MATCH($A118,'Outcome Indicators - Section C '!$A$1:$A$38,0)+1),2),""),"")&amp;CHAR(10)&amp;IFERROR(IF(INDEX('Outcome Indicators - Section C '!P$1:P$38,MATCH($A118,'Outcome Indicators - Section C '!$A$1:$A$38,0))&lt;&gt;"",FIXED(INDEX('Outcome Indicators - Section C '!P$1:P$38,MATCH($A118,'Outcome Indicators - Section C '!$A$1:$A$38,0))*100,2)&amp;"%",""),"")&amp;CHAR(10)&amp;IFERROR(IF(INDEX('Outcome Indicators - Section C '!R$1:R$38,MATCH($A118,'Outcome Indicators - Section C '!$A$1:$A$38,0))&lt;&gt;"",INDEX('Outcome Indicators - Section C '!R$1:R$38,MATCH($A118,'Outcome Indicators - Section C '!$A$1:$A$38,0)),""),"")&amp;CHAR(10)&amp;IFERROR(IF(INDEX('Outcome Indicators - Section C '!Q$1:Q$38,MATCH($A118,'Outcome Indicators - Section C '!$A$1:$A$38,0))&lt;&gt;"",TEXT(INDEX('Outcome Indicators - Section C '!Q$1:Q$38,MATCH($A118,'Outcome Indicators - Section C '!$A$1:$A$38,0)),Setup!$A$33),""),"")</f>
        <v xml:space="preserve">/
</v>
      </c>
      <c r="R118" s="421" t="str">
        <f ca="1">IFERROR(IF(INDEX('Outcome Indicators - Section C '!S$1:S$38,MATCH($A118,'Outcome Indicators - Section C '!$A$1:$A$38,0))&lt;&gt;"",FIXED(INDEX('Outcome Indicators - Section C '!S$1:S$38,MATCH($A118,'Outcome Indicators - Section C '!$A$1:$A$38,0)),4),""),"")&amp;"/"&amp;IFERROR(IF(INDEX('Outcome Indicators - Section C '!S$1:S$38,MATCH($A118,'Outcome Indicators - Section C '!$A$1:$A$38,0)+1)&lt;&gt;"",FIXED(INDEX('Outcome Indicators - Section C '!S$1:S$38,MATCH($A118,'Outcome Indicators - Section C '!$A$1:$A$38,0)+1),2),""),"")&amp;CHAR(10)&amp;IFERROR(IF(INDEX('Outcome Indicators - Section C '!T$1:T$38,MATCH($A118,'Outcome Indicators - Section C '!$A$1:$A$38,0))&lt;&gt;"",FIXED(INDEX('Outcome Indicators - Section C '!T$1:T$38,MATCH($A118,'Outcome Indicators - Section C '!$A$1:$A$38,0))*100,2)&amp;"%",""),"")&amp;CHAR(10)&amp;IFERROR(IF(INDEX('Outcome Indicators - Section C '!V$1:V$38,MATCH($A118,'Outcome Indicators - Section C '!$A$1:$A$38,0))&lt;&gt;"",INDEX('Outcome Indicators - Section C '!V$1:V$38,MATCH($A118,'Outcome Indicators - Section C '!$A$1:$A$38,0)),""),"")&amp;CHAR(10)&amp;IFERROR(IF(INDEX('Outcome Indicators - Section C '!U$1:U$38,MATCH($A118,'Outcome Indicators - Section C '!$A$1:$A$38,0))&lt;&gt;"",TEXT(INDEX('Outcome Indicators - Section C '!U$1:U$38,MATCH($A118,'Outcome Indicators - Section C '!$A$1:$A$38,0)),Setup!$A$33),""),"")</f>
        <v xml:space="preserve">/
</v>
      </c>
      <c r="S118" s="421" t="str">
        <f ca="1">IFERROR(IF(INDEX('Outcome Indicators - Section C '!W$9:W$38,MATCH($A118,'Outcome Indicators - Section C '!$A$9:$A$38,0))&lt;&gt;"",FIXED(INDEX('Outcome Indicators - Section C '!W$9:W$38,MATCH($A118,'Outcome Indicators - Section C '!$A$9:$A$38,0)),4),""),"")&amp;"/"&amp;IFERROR(IF(INDEX('Outcome Indicators - Section C '!W$9:W$38,MATCH($A118,'Outcome Indicators - Section C '!$A$9:$A$38,0)+1)&lt;&gt;"",FIXED(INDEX('Outcome Indicators - Section C '!W$9:W$38,MATCH($A118,'Outcome Indicators - Section C '!$A$9:$A$38,0)+1),2),""),"")&amp;CHAR(10)&amp;IFERROR(IF(INDEX('Outcome Indicators - Section C '!X$9:X$38,MATCH($A118,'Outcome Indicators - Section C '!$A$9:$A$38,0))&lt;&gt;"",FIXED(INDEX('Outcome Indicators - Section C '!X$9:X$38,MATCH($A118,'Outcome Indicators - Section C '!$A$9:$A$38,0))*100,2)&amp;"%",""),"")&amp;CHAR(10)&amp;IFERROR(IF(INDEX('Outcome Indicators - Section C '!Z$9:Z$38,MATCH($A118,'Outcome Indicators - Section C '!$A$9:$A$38,0))&lt;&gt;"",INDEX('Outcome Indicators - Section C '!Z$9:Z$38,MATCH($A118,'Outcome Indicators - Section C '!$A$9:$A$38,0)),""),"")&amp;CHAR(10)&amp;IFERROR(IF(INDEX('Outcome Indicators - Section C '!Y$9:Y$38,MATCH($A118,'Outcome Indicators - Section C '!$A$9:$A$38,0))&lt;&gt;"",TEXT(INDEX('Outcome Indicators - Section C '!Y$9:Y$38,MATCH($A118,'Outcome Indicators - Section C '!$A$9:$A$38,0)),Setup!$A$33),""),"")</f>
        <v xml:space="preserve">/
</v>
      </c>
      <c r="T118" s="418"/>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802"/>
      <c r="AV118" s="802"/>
      <c r="AW118" s="802"/>
      <c r="AX118" s="802"/>
      <c r="AY118" s="204"/>
      <c r="AZ118" s="204"/>
      <c r="BA118" s="204"/>
      <c r="BB118" s="204"/>
      <c r="BC118" s="204"/>
    </row>
    <row r="119" spans="1:55" s="220" customFormat="1" ht="96" customHeight="1" thickBot="1" x14ac:dyDescent="0.4">
      <c r="A119" s="817">
        <v>9.9999999999999893</v>
      </c>
      <c r="B119" s="821" t="str">
        <f ca="1">IFERROR(IF(INDEX('Outcome Indicators - Section C '!AA$1:AA$100,MATCH($A118,'Outcome Indicators - Section C '!$A$1:$A$100,0))&lt;&gt;0,INDEX('Outcome Indicators - Section C '!AA$1:AA$100,MATCH($A118,'Outcome Indicators - Section C '!$A$1:$A$100,0)),""),"")</f>
        <v/>
      </c>
      <c r="C119" s="822"/>
      <c r="D119" s="822"/>
      <c r="E119" s="822"/>
      <c r="F119" s="822"/>
      <c r="G119" s="822"/>
      <c r="H119" s="822"/>
      <c r="I119" s="822"/>
      <c r="J119" s="822"/>
      <c r="K119" s="822"/>
      <c r="L119" s="822"/>
      <c r="M119" s="822"/>
      <c r="N119" s="822"/>
      <c r="O119" s="822"/>
      <c r="P119" s="822"/>
      <c r="Q119" s="822"/>
      <c r="R119" s="822"/>
      <c r="S119" s="823"/>
      <c r="T119" s="310"/>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802"/>
      <c r="AV119" s="802"/>
      <c r="AW119" s="802"/>
      <c r="AX119" s="802"/>
      <c r="AY119" s="204"/>
      <c r="AZ119" s="204"/>
      <c r="BA119" s="204"/>
      <c r="BB119" s="204"/>
      <c r="BC119" s="204"/>
    </row>
    <row r="120" spans="1:55" ht="172.4" customHeight="1" x14ac:dyDescent="0.35">
      <c r="A120" s="814">
        <v>7</v>
      </c>
      <c r="B120" s="824" t="str">
        <f ca="1">IFERROR(IF(INDEX('Outcome Indicators - Section C '!B$1:B$100,MATCH($A120,'Outcome Indicators - Section C '!$A$1:$A$100,0))&lt;&gt;0,INDEX('Outcome Indicators - Section C '!B$1:B$100,MATCH($A120,'Outcome Indicators - Section C '!$A$1:$A$100,0)),""),"")</f>
        <v/>
      </c>
      <c r="C120" s="825"/>
      <c r="D120" s="826"/>
      <c r="E120" s="824" t="str">
        <f ca="1">IFERROR(IF(INDEX('Outcome Indicators - Section C '!C$1:C$100,MATCH($A120,'Outcome Indicators - Section C '!$A$1:$A$100,0))&lt;&gt;0,INDEX('Outcome Indicators - Section C '!C$1:C$100,MATCH($A120,'Outcome Indicators - Section C '!$A$1:$A$100,0)),""),"")</f>
        <v/>
      </c>
      <c r="F120" s="825"/>
      <c r="G120" s="826"/>
      <c r="H120" s="388" t="str">
        <f ca="1">IFERROR(IF(INDEX('Outcome Indicators - Section C '!D$1:D$100,MATCH($A120,'Outcome Indicators - Section C '!$A$1:$A$100,0))&lt;&gt;"",FIXED(INDEX('Outcome Indicators - Section C '!D$1:D$100,MATCH($A120,'Outcome Indicators - Section C '!$A$1:$A$100,0)),4),""),"")&amp;"/"&amp;IFERROR(IF(INDEX('Outcome Indicators - Section C '!D$1:D$100,MATCH($A120,'Outcome Indicators - Section C '!$A$1:$A$100,0)+1)&lt;&gt;"",FIXED(INDEX('Outcome Indicators - Section C '!D$1:D$100,MATCH($A120,'Outcome Indicators - Section C '!$A$1:$A$100,0)+1),2),""),"")&amp;CHAR(10)&amp;IFERROR(IF(INDEX('Outcome Indicators - Section C '!E$1:E$100,MATCH($A120,'Outcome Indicators - Section C '!$A$1:$A$100,0))&lt;&gt;"",FIXED(INDEX('Outcome Indicators - Section C '!E$1:E$100,MATCH($A120,'Outcome Indicators - Section C '!$A$1:$A$100,0))*100,2)&amp;"%",""),"")</f>
        <v xml:space="preserve">/
</v>
      </c>
      <c r="I120" s="388" t="str">
        <f ca="1">IFERROR(IF(INDEX('Outcome Indicators - Section C '!F$1:F$100,MATCH($A120,'Outcome Indicators - Section C '!$A$1:$A$100,0))&lt;&gt;0,INDEX('Outcome Indicators - Section C '!F$1:F$100,MATCH($A120,'Outcome Indicators - Section C '!$A$1:$A$100,0)),""),"")&amp;CHAR(10)&amp;IFERROR(IF(INDEX('Outcome Indicators - Section C '!G$1:G$100,MATCH($A120,'Outcome Indicators - Section C '!$A$1:$A$100,0))&lt;&gt;0,INDEX('Outcome Indicators - Section C '!G$1:G$100,MATCH($A120,'Outcome Indicators - Section C '!$A$1:$A$100,0)),""),"")</f>
        <v xml:space="preserve">
</v>
      </c>
      <c r="J120" s="824" t="str">
        <f ca="1">IFERROR(IF(INDEX('Outcome Indicators - Section C '!H$1:H$100,MATCH($A120,'Outcome Indicators - Section C '!$A$1:$A$100,0))&lt;&gt;0,INDEX('Outcome Indicators - Section C '!H$1:H$100,MATCH($A120,'Outcome Indicators - Section C '!$A$1:$A$100,0)),""),"")</f>
        <v/>
      </c>
      <c r="K120" s="825"/>
      <c r="L120" s="825"/>
      <c r="M120" s="826"/>
      <c r="N120" s="389" t="str">
        <f ca="1">IFERROR(IF(AND('Overview - Section A'!AN$5="Grant Making",OR(B120&lt;&gt;"",E120&lt;&gt;"")),Setup!I15,IF(INDEX('Outcome Indicators - Section C '!I$1:I$100,MATCH($A120,'Outcome Indicators - Section C '!$A$1:$A$100,0))&lt;&gt;0,INDEX('Outcome Indicators - Section C '!I$1:I$100,MATCH($A120,'Outcome Indicators - Section C '!$A$1:$A$100,0)),"")),"")</f>
        <v/>
      </c>
      <c r="O120" s="389" t="str">
        <f>IFERROR(IF(INDEX('Outcome Indicators - Section C '!J$9:J$38,MATCH($A120,'Outcome Indicators - Section C '!$A$9:$A$38,0))&lt;&gt;0,INDEX('Outcome Indicators - Section C '!J$9:J$38,MATCH($A120,'Outcome Indicators - Section C '!$A$9:$A$38,0)),""),"")</f>
        <v/>
      </c>
      <c r="P120" s="390" t="str">
        <f ca="1">IFERROR(IF(INDEX('Outcome Indicators - Section C '!K$1:K$100,MATCH($A120,'Outcome Indicators - Section C '!$A$1:$A$100,0))&lt;&gt;"",FIXED(INDEX('Outcome Indicators - Section C '!K$1:K$100,MATCH($A120,'Outcome Indicators - Section C '!$A$1:$A$100,0)),4),""),"")&amp;"/"&amp;IFERROR(IF(INDEX('Outcome Indicators - Section C '!K$1:K$100,MATCH($A120,'Outcome Indicators - Section C '!$A$1:$A$100,0)+1)&lt;&gt;"",FIXED(INDEX('Outcome Indicators - Section C '!K$1:K$100,MATCH($A120,'Outcome Indicators - Section C '!$A$1:$A$100,0)+1),2),""),"")&amp;CHAR(10)&amp;IFERROR(IF(INDEX('Outcome Indicators - Section C '!L$1:L$100,MATCH($A120,'Outcome Indicators - Section C '!$A$1:$A$100,0))&lt;&gt;"",FIXED(INDEX('Outcome Indicators - Section C '!L$1:L$100,MATCH($A120,'Outcome Indicators - Section C '!$A$1:$A$100,0))*100,2)&amp;"%",""),"")&amp;CHAR(10)&amp;IFERROR(IF(INDEX('Outcome Indicators - Section C '!N$1:N$100,MATCH($A120,'Outcome Indicators - Section C '!$A$1:$A$100,0))&lt;&gt;"",INDEX('Outcome Indicators - Section C '!N$1:N$100,MATCH($A120,'Outcome Indicators - Section C '!$A$1:$A$100,0)),""),"")&amp;CHAR(10)&amp;IFERROR(IF(INDEX('Outcome Indicators - Section C '!M$1:M$100,MATCH($A120,'Outcome Indicators - Section C '!$A$1:$A$100,0))&lt;&gt;"",TEXT(INDEX('Outcome Indicators - Section C '!M$1:M$100,MATCH($A120,'Outcome Indicators - Section C '!$A$1:$A$100,0)),Setup!$A$33),""),"")</f>
        <v xml:space="preserve">/
</v>
      </c>
      <c r="Q120" s="388" t="str">
        <f ca="1">IFERROR(IF(INDEX('Outcome Indicators - Section C '!O$1:O$38,MATCH($A120,'Outcome Indicators - Section C '!$A$1:$A$38,0))&lt;&gt;"",FIXED(INDEX('Outcome Indicators - Section C '!O$1:O$38,MATCH($A120,'Outcome Indicators - Section C '!$A$1:$A$38,0)),4),""),"")&amp;"/"&amp;IFERROR(IF(INDEX('Outcome Indicators - Section C '!O$1:O$38,MATCH($A120,'Outcome Indicators - Section C '!$A$1:$A$38,0)+1)&lt;&gt;"",FIXED(INDEX('Outcome Indicators - Section C '!O$1:O$38,MATCH($A120,'Outcome Indicators - Section C '!$A$1:$A$38,0)+1),2),""),"")&amp;CHAR(10)&amp;IFERROR(IF(INDEX('Outcome Indicators - Section C '!P$1:P$38,MATCH($A120,'Outcome Indicators - Section C '!$A$1:$A$38,0))&lt;&gt;"",FIXED(INDEX('Outcome Indicators - Section C '!P$1:P$38,MATCH($A120,'Outcome Indicators - Section C '!$A$1:$A$38,0))*100,2)&amp;"%",""),"")&amp;CHAR(10)&amp;IFERROR(IF(INDEX('Outcome Indicators - Section C '!R$1:R$38,MATCH($A120,'Outcome Indicators - Section C '!$A$1:$A$38,0))&lt;&gt;"",INDEX('Outcome Indicators - Section C '!R$1:R$38,MATCH($A120,'Outcome Indicators - Section C '!$A$1:$A$38,0)),""),"")&amp;CHAR(10)&amp;IFERROR(IF(INDEX('Outcome Indicators - Section C '!Q$1:Q$38,MATCH($A120,'Outcome Indicators - Section C '!$A$1:$A$38,0))&lt;&gt;"",TEXT(INDEX('Outcome Indicators - Section C '!Q$1:Q$38,MATCH($A120,'Outcome Indicators - Section C '!$A$1:$A$38,0)),Setup!$A$33),""),"")</f>
        <v xml:space="preserve">/
</v>
      </c>
      <c r="R120" s="388" t="str">
        <f ca="1">IFERROR(IF(INDEX('Outcome Indicators - Section C '!S$1:S$38,MATCH($A120,'Outcome Indicators - Section C '!$A$1:$A$38,0))&lt;&gt;"",FIXED(INDEX('Outcome Indicators - Section C '!S$1:S$38,MATCH($A120,'Outcome Indicators - Section C '!$A$1:$A$38,0)),4),""),"")&amp;"/"&amp;IFERROR(IF(INDEX('Outcome Indicators - Section C '!S$1:S$38,MATCH($A120,'Outcome Indicators - Section C '!$A$1:$A$38,0)+1)&lt;&gt;"",FIXED(INDEX('Outcome Indicators - Section C '!S$1:S$38,MATCH($A120,'Outcome Indicators - Section C '!$A$1:$A$38,0)+1),2),""),"")&amp;CHAR(10)&amp;IFERROR(IF(INDEX('Outcome Indicators - Section C '!T$1:T$38,MATCH($A120,'Outcome Indicators - Section C '!$A$1:$A$38,0))&lt;&gt;"",FIXED(INDEX('Outcome Indicators - Section C '!T$1:T$38,MATCH($A120,'Outcome Indicators - Section C '!$A$1:$A$38,0))*100,2)&amp;"%",""),"")&amp;CHAR(10)&amp;IFERROR(IF(INDEX('Outcome Indicators - Section C '!V$1:V$38,MATCH($A120,'Outcome Indicators - Section C '!$A$1:$A$38,0))&lt;&gt;"",INDEX('Outcome Indicators - Section C '!V$1:V$38,MATCH($A120,'Outcome Indicators - Section C '!$A$1:$A$38,0)),""),"")&amp;CHAR(10)&amp;IFERROR(IF(INDEX('Outcome Indicators - Section C '!U$1:U$38,MATCH($A120,'Outcome Indicators - Section C '!$A$1:$A$38,0))&lt;&gt;"",TEXT(INDEX('Outcome Indicators - Section C '!U$1:U$38,MATCH($A120,'Outcome Indicators - Section C '!$A$1:$A$38,0)),Setup!$A$33),""),"")</f>
        <v xml:space="preserve">/
</v>
      </c>
      <c r="S120" s="388" t="str">
        <f ca="1">IFERROR(IF(INDEX('Outcome Indicators - Section C '!W$9:W$38,MATCH($A120,'Outcome Indicators - Section C '!$A$9:$A$38,0))&lt;&gt;"",FIXED(INDEX('Outcome Indicators - Section C '!W$9:W$38,MATCH($A120,'Outcome Indicators - Section C '!$A$9:$A$38,0)),4),""),"")&amp;"/"&amp;IFERROR(IF(INDEX('Outcome Indicators - Section C '!W$9:W$38,MATCH($A120,'Outcome Indicators - Section C '!$A$9:$A$38,0)+1)&lt;&gt;"",FIXED(INDEX('Outcome Indicators - Section C '!W$9:W$38,MATCH($A120,'Outcome Indicators - Section C '!$A$9:$A$38,0)+1),2),""),"")&amp;CHAR(10)&amp;IFERROR(IF(INDEX('Outcome Indicators - Section C '!X$9:X$38,MATCH($A120,'Outcome Indicators - Section C '!$A$9:$A$38,0))&lt;&gt;"",FIXED(INDEX('Outcome Indicators - Section C '!X$9:X$38,MATCH($A120,'Outcome Indicators - Section C '!$A$9:$A$38,0))*100,2)&amp;"%",""),"")&amp;CHAR(10)&amp;IFERROR(IF(INDEX('Outcome Indicators - Section C '!Z$9:Z$38,MATCH($A120,'Outcome Indicators - Section C '!$A$9:$A$38,0))&lt;&gt;"",INDEX('Outcome Indicators - Section C '!Z$9:Z$38,MATCH($A120,'Outcome Indicators - Section C '!$A$9:$A$38,0)),""),"")&amp;CHAR(10)&amp;IFERROR(IF(INDEX('Outcome Indicators - Section C '!Y$9:Y$38,MATCH($A120,'Outcome Indicators - Section C '!$A$9:$A$38,0))&lt;&gt;"",TEXT(INDEX('Outcome Indicators - Section C '!Y$9:Y$38,MATCH($A120,'Outcome Indicators - Section C '!$A$9:$A$38,0)),Setup!$A$33),""),"")</f>
        <v xml:space="preserve">/
</v>
      </c>
      <c r="T120" s="309"/>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813"/>
      <c r="AV120" s="813"/>
      <c r="AW120" s="813"/>
      <c r="AX120" s="813"/>
    </row>
    <row r="121" spans="1:55" ht="96" customHeight="1" thickBot="1" x14ac:dyDescent="0.4">
      <c r="A121" s="815">
        <v>11.6666666666666</v>
      </c>
      <c r="B121" s="809" t="str">
        <f ca="1">IFERROR(IF(INDEX('Outcome Indicators - Section C '!AA$1:AA$100,MATCH($A120,'Outcome Indicators - Section C '!$A$1:$A$100,0))&lt;&gt;0,INDEX('Outcome Indicators - Section C '!AA$1:AA$100,MATCH($A120,'Outcome Indicators - Section C '!$A$1:$A$100,0)),""),"")</f>
        <v/>
      </c>
      <c r="C121" s="810"/>
      <c r="D121" s="810"/>
      <c r="E121" s="810"/>
      <c r="F121" s="810"/>
      <c r="G121" s="810"/>
      <c r="H121" s="810"/>
      <c r="I121" s="811"/>
      <c r="J121" s="811"/>
      <c r="K121" s="811"/>
      <c r="L121" s="811"/>
      <c r="M121" s="811"/>
      <c r="N121" s="811"/>
      <c r="O121" s="811"/>
      <c r="P121" s="811"/>
      <c r="Q121" s="811"/>
      <c r="R121" s="811"/>
      <c r="S121" s="812"/>
      <c r="T121" s="305"/>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813"/>
      <c r="AV121" s="813"/>
      <c r="AW121" s="813"/>
      <c r="AX121" s="813"/>
    </row>
    <row r="122" spans="1:55" s="220" customFormat="1" ht="172.4" customHeight="1" x14ac:dyDescent="0.35">
      <c r="A122" s="816">
        <v>8</v>
      </c>
      <c r="B122" s="818" t="str">
        <f ca="1">IFERROR(IF(INDEX('Outcome Indicators - Section C '!B$1:B$100,MATCH($A122,'Outcome Indicators - Section C '!$A$1:$A$100,0))&lt;&gt;0,INDEX('Outcome Indicators - Section C '!B$1:B$100,MATCH($A122,'Outcome Indicators - Section C '!$A$1:$A$100,0)),""),"")</f>
        <v/>
      </c>
      <c r="C122" s="819"/>
      <c r="D122" s="820"/>
      <c r="E122" s="818" t="str">
        <f ca="1">IFERROR(IF(INDEX('Outcome Indicators - Section C '!C$1:C$100,MATCH($A122,'Outcome Indicators - Section C '!$A$1:$A$100,0))&lt;&gt;0,INDEX('Outcome Indicators - Section C '!C$1:C$100,MATCH($A122,'Outcome Indicators - Section C '!$A$1:$A$100,0)),""),"")</f>
        <v/>
      </c>
      <c r="F122" s="819"/>
      <c r="G122" s="820"/>
      <c r="H122" s="421" t="str">
        <f ca="1">IFERROR(IF(INDEX('Outcome Indicators - Section C '!D$1:D$100,MATCH($A122,'Outcome Indicators - Section C '!$A$1:$A$100,0))&lt;&gt;"",FIXED(INDEX('Outcome Indicators - Section C '!D$1:D$100,MATCH($A122,'Outcome Indicators - Section C '!$A$1:$A$100,0)),4),""),"")&amp;"/"&amp;IFERROR(IF(INDEX('Outcome Indicators - Section C '!D$1:D$100,MATCH($A122,'Outcome Indicators - Section C '!$A$1:$A$100,0)+1)&lt;&gt;"",FIXED(INDEX('Outcome Indicators - Section C '!D$1:D$100,MATCH($A122,'Outcome Indicators - Section C '!$A$1:$A$100,0)+1),2),""),"")&amp;CHAR(10)&amp;IFERROR(IF(INDEX('Outcome Indicators - Section C '!E$1:E$100,MATCH($A122,'Outcome Indicators - Section C '!$A$1:$A$100,0))&lt;&gt;"",FIXED(INDEX('Outcome Indicators - Section C '!E$1:E$100,MATCH($A122,'Outcome Indicators - Section C '!$A$1:$A$100,0))*100,2)&amp;"%",""),"")</f>
        <v xml:space="preserve">/
</v>
      </c>
      <c r="I122" s="421" t="str">
        <f ca="1">IFERROR(IF(INDEX('Outcome Indicators - Section C '!F$1:F$100,MATCH($A122,'Outcome Indicators - Section C '!$A$1:$A$100,0))&lt;&gt;0,INDEX('Outcome Indicators - Section C '!F$1:F$100,MATCH($A122,'Outcome Indicators - Section C '!$A$1:$A$100,0)),""),"")&amp;CHAR(10)&amp;IFERROR(IF(INDEX('Outcome Indicators - Section C '!G$1:G$100,MATCH($A122,'Outcome Indicators - Section C '!$A$1:$A$100,0))&lt;&gt;0,INDEX('Outcome Indicators - Section C '!G$1:G$100,MATCH($A122,'Outcome Indicators - Section C '!$A$1:$A$100,0)),""),"")</f>
        <v xml:space="preserve">
</v>
      </c>
      <c r="J122" s="818" t="str">
        <f ca="1">IFERROR(IF(INDEX('Outcome Indicators - Section C '!H$1:H$100,MATCH($A122,'Outcome Indicators - Section C '!$A$1:$A$100,0))&lt;&gt;0,INDEX('Outcome Indicators - Section C '!H$1:H$100,MATCH($A122,'Outcome Indicators - Section C '!$A$1:$A$100,0)),""),"")</f>
        <v/>
      </c>
      <c r="K122" s="819"/>
      <c r="L122" s="819"/>
      <c r="M122" s="820"/>
      <c r="N122" s="422" t="str">
        <f ca="1">IFERROR(IF(AND('Overview - Section A'!AN$5="Grant Making",OR(B122&lt;&gt;"",E122&lt;&gt;"")),Setup!I15,IF(INDEX('Outcome Indicators - Section C '!I$1:I$100,MATCH($A122,'Outcome Indicators - Section C '!$A$1:$A$100,0))&lt;&gt;0,INDEX('Outcome Indicators - Section C '!I$1:I$100,MATCH($A122,'Outcome Indicators - Section C '!$A$1:$A$100,0)),"")),"")</f>
        <v/>
      </c>
      <c r="O122" s="422" t="str">
        <f>IFERROR(IF(INDEX('Outcome Indicators - Section C '!J$9:J$38,MATCH($A122,'Outcome Indicators - Section C '!$A$9:$A$38,0))&lt;&gt;0,INDEX('Outcome Indicators - Section C '!J$9:J$38,MATCH($A122,'Outcome Indicators - Section C '!$A$9:$A$38,0)),""),"")</f>
        <v/>
      </c>
      <c r="P122" s="423" t="str">
        <f ca="1">IFERROR(IF(INDEX('Outcome Indicators - Section C '!K$1:K$100,MATCH($A122,'Outcome Indicators - Section C '!$A$1:$A$100,0))&lt;&gt;"",FIXED(INDEX('Outcome Indicators - Section C '!K$1:K$100,MATCH($A122,'Outcome Indicators - Section C '!$A$1:$A$100,0)),4),""),"")&amp;"/"&amp;IFERROR(IF(INDEX('Outcome Indicators - Section C '!K$1:K$100,MATCH($A122,'Outcome Indicators - Section C '!$A$1:$A$100,0)+1)&lt;&gt;"",FIXED(INDEX('Outcome Indicators - Section C '!K$1:K$100,MATCH($A122,'Outcome Indicators - Section C '!$A$1:$A$100,0)+1),2),""),"")&amp;CHAR(10)&amp;IFERROR(IF(INDEX('Outcome Indicators - Section C '!L$1:L$100,MATCH($A122,'Outcome Indicators - Section C '!$A$1:$A$100,0))&lt;&gt;"",FIXED(INDEX('Outcome Indicators - Section C '!L$1:L$100,MATCH($A122,'Outcome Indicators - Section C '!$A$1:$A$100,0))*100,2)&amp;"%",""),"")&amp;CHAR(10)&amp;IFERROR(IF(INDEX('Outcome Indicators - Section C '!N$1:N$100,MATCH($A122,'Outcome Indicators - Section C '!$A$1:$A$100,0))&lt;&gt;"",INDEX('Outcome Indicators - Section C '!N$1:N$100,MATCH($A122,'Outcome Indicators - Section C '!$A$1:$A$100,0)),""),"")&amp;CHAR(10)&amp;IFERROR(IF(INDEX('Outcome Indicators - Section C '!M$1:M$100,MATCH($A122,'Outcome Indicators - Section C '!$A$1:$A$100,0))&lt;&gt;"",TEXT(INDEX('Outcome Indicators - Section C '!M$1:M$100,MATCH($A122,'Outcome Indicators - Section C '!$A$1:$A$100,0)),Setup!$A$33),""),"")</f>
        <v xml:space="preserve">/
</v>
      </c>
      <c r="Q122" s="421" t="str">
        <f ca="1">IFERROR(IF(INDEX('Outcome Indicators - Section C '!O$1:O$38,MATCH($A122,'Outcome Indicators - Section C '!$A$1:$A$38,0))&lt;&gt;"",FIXED(INDEX('Outcome Indicators - Section C '!O$1:O$38,MATCH($A122,'Outcome Indicators - Section C '!$A$1:$A$38,0)),4),""),"")&amp;"/"&amp;IFERROR(IF(INDEX('Outcome Indicators - Section C '!O$1:O$38,MATCH($A122,'Outcome Indicators - Section C '!$A$1:$A$38,0)+1)&lt;&gt;"",FIXED(INDEX('Outcome Indicators - Section C '!O$1:O$38,MATCH($A122,'Outcome Indicators - Section C '!$A$1:$A$38,0)+1),2),""),"")&amp;CHAR(10)&amp;IFERROR(IF(INDEX('Outcome Indicators - Section C '!P$1:P$38,MATCH($A122,'Outcome Indicators - Section C '!$A$1:$A$38,0))&lt;&gt;"",FIXED(INDEX('Outcome Indicators - Section C '!P$1:P$38,MATCH($A122,'Outcome Indicators - Section C '!$A$1:$A$38,0))*100,2)&amp;"%",""),"")&amp;CHAR(10)&amp;IFERROR(IF(INDEX('Outcome Indicators - Section C '!R$1:R$38,MATCH($A122,'Outcome Indicators - Section C '!$A$1:$A$38,0))&lt;&gt;"",INDEX('Outcome Indicators - Section C '!R$1:R$38,MATCH($A122,'Outcome Indicators - Section C '!$A$1:$A$38,0)),""),"")&amp;CHAR(10)&amp;IFERROR(IF(INDEX('Outcome Indicators - Section C '!Q$1:Q$38,MATCH($A122,'Outcome Indicators - Section C '!$A$1:$A$38,0))&lt;&gt;"",TEXT(INDEX('Outcome Indicators - Section C '!Q$1:Q$38,MATCH($A122,'Outcome Indicators - Section C '!$A$1:$A$38,0)),Setup!$A$33),""),"")</f>
        <v xml:space="preserve">/
</v>
      </c>
      <c r="R122" s="421" t="str">
        <f ca="1">IFERROR(IF(INDEX('Outcome Indicators - Section C '!S$1:S$38,MATCH($A122,'Outcome Indicators - Section C '!$A$1:$A$38,0))&lt;&gt;"",FIXED(INDEX('Outcome Indicators - Section C '!S$1:S$38,MATCH($A122,'Outcome Indicators - Section C '!$A$1:$A$38,0)),4),""),"")&amp;"/"&amp;IFERROR(IF(INDEX('Outcome Indicators - Section C '!S$1:S$38,MATCH($A122,'Outcome Indicators - Section C '!$A$1:$A$38,0)+1)&lt;&gt;"",FIXED(INDEX('Outcome Indicators - Section C '!S$1:S$38,MATCH($A122,'Outcome Indicators - Section C '!$A$1:$A$38,0)+1),2),""),"")&amp;CHAR(10)&amp;IFERROR(IF(INDEX('Outcome Indicators - Section C '!T$1:T$38,MATCH($A122,'Outcome Indicators - Section C '!$A$1:$A$38,0))&lt;&gt;"",FIXED(INDEX('Outcome Indicators - Section C '!T$1:T$38,MATCH($A122,'Outcome Indicators - Section C '!$A$1:$A$38,0))*100,2)&amp;"%",""),"")&amp;CHAR(10)&amp;IFERROR(IF(INDEX('Outcome Indicators - Section C '!V$1:V$38,MATCH($A122,'Outcome Indicators - Section C '!$A$1:$A$38,0))&lt;&gt;"",INDEX('Outcome Indicators - Section C '!V$1:V$38,MATCH($A122,'Outcome Indicators - Section C '!$A$1:$A$38,0)),""),"")&amp;CHAR(10)&amp;IFERROR(IF(INDEX('Outcome Indicators - Section C '!U$1:U$38,MATCH($A122,'Outcome Indicators - Section C '!$A$1:$A$38,0))&lt;&gt;"",TEXT(INDEX('Outcome Indicators - Section C '!U$1:U$38,MATCH($A122,'Outcome Indicators - Section C '!$A$1:$A$38,0)),Setup!$A$33),""),"")</f>
        <v xml:space="preserve">/
</v>
      </c>
      <c r="S122" s="421" t="str">
        <f ca="1">IFERROR(IF(INDEX('Outcome Indicators - Section C '!W$9:W$38,MATCH($A122,'Outcome Indicators - Section C '!$A$9:$A$38,0))&lt;&gt;"",FIXED(INDEX('Outcome Indicators - Section C '!W$9:W$38,MATCH($A122,'Outcome Indicators - Section C '!$A$9:$A$38,0)),4),""),"")&amp;"/"&amp;IFERROR(IF(INDEX('Outcome Indicators - Section C '!W$9:W$38,MATCH($A122,'Outcome Indicators - Section C '!$A$9:$A$38,0)+1)&lt;&gt;"",FIXED(INDEX('Outcome Indicators - Section C '!W$9:W$38,MATCH($A122,'Outcome Indicators - Section C '!$A$9:$A$38,0)+1),2),""),"")&amp;CHAR(10)&amp;IFERROR(IF(INDEX('Outcome Indicators - Section C '!X$9:X$38,MATCH($A122,'Outcome Indicators - Section C '!$A$9:$A$38,0))&lt;&gt;"",FIXED(INDEX('Outcome Indicators - Section C '!X$9:X$38,MATCH($A122,'Outcome Indicators - Section C '!$A$9:$A$38,0))*100,2)&amp;"%",""),"")&amp;CHAR(10)&amp;IFERROR(IF(INDEX('Outcome Indicators - Section C '!Z$9:Z$38,MATCH($A122,'Outcome Indicators - Section C '!$A$9:$A$38,0))&lt;&gt;"",INDEX('Outcome Indicators - Section C '!Z$9:Z$38,MATCH($A122,'Outcome Indicators - Section C '!$A$9:$A$38,0)),""),"")&amp;CHAR(10)&amp;IFERROR(IF(INDEX('Outcome Indicators - Section C '!Y$9:Y$38,MATCH($A122,'Outcome Indicators - Section C '!$A$9:$A$38,0))&lt;&gt;"",TEXT(INDEX('Outcome Indicators - Section C '!Y$9:Y$38,MATCH($A122,'Outcome Indicators - Section C '!$A$9:$A$38,0)),Setup!$A$33),""),"")</f>
        <v xml:space="preserve">/
</v>
      </c>
      <c r="T122" s="418"/>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802"/>
      <c r="AV122" s="802"/>
      <c r="AW122" s="802"/>
      <c r="AX122" s="802"/>
      <c r="AY122" s="204"/>
      <c r="AZ122" s="204"/>
      <c r="BA122" s="204"/>
      <c r="BB122" s="204"/>
      <c r="BC122" s="204"/>
    </row>
    <row r="123" spans="1:55" s="220" customFormat="1" ht="96" customHeight="1" thickBot="1" x14ac:dyDescent="0.4">
      <c r="A123" s="817"/>
      <c r="B123" s="821" t="str">
        <f ca="1">IFERROR(IF(INDEX('Outcome Indicators - Section C '!AA$1:AA$100,MATCH($A122,'Outcome Indicators - Section C '!$A$1:$A$100,0))&lt;&gt;0,INDEX('Outcome Indicators - Section C '!AA$1:AA$100,MATCH($A122,'Outcome Indicators - Section C '!$A$1:$A$100,0)),""),"")</f>
        <v/>
      </c>
      <c r="C123" s="822"/>
      <c r="D123" s="822"/>
      <c r="E123" s="822"/>
      <c r="F123" s="822"/>
      <c r="G123" s="822"/>
      <c r="H123" s="822"/>
      <c r="I123" s="822"/>
      <c r="J123" s="822"/>
      <c r="K123" s="822"/>
      <c r="L123" s="822"/>
      <c r="M123" s="822"/>
      <c r="N123" s="822"/>
      <c r="O123" s="822"/>
      <c r="P123" s="822"/>
      <c r="Q123" s="822"/>
      <c r="R123" s="822"/>
      <c r="S123" s="823"/>
      <c r="T123" s="310"/>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802"/>
      <c r="AV123" s="802"/>
      <c r="AW123" s="802"/>
      <c r="AX123" s="802"/>
      <c r="AY123" s="204"/>
      <c r="AZ123" s="204"/>
      <c r="BA123" s="204"/>
      <c r="BB123" s="204"/>
      <c r="BC123" s="204"/>
    </row>
    <row r="124" spans="1:55" ht="172.4" customHeight="1" x14ac:dyDescent="0.35">
      <c r="A124" s="814">
        <v>9</v>
      </c>
      <c r="B124" s="824" t="str">
        <f ca="1">IFERROR(IF(INDEX('Outcome Indicators - Section C '!B$1:B$100,MATCH($A124,'Outcome Indicators - Section C '!$A$1:$A$100,0))&lt;&gt;0,INDEX('Outcome Indicators - Section C '!B$1:B$100,MATCH($A124,'Outcome Indicators - Section C '!$A$1:$A$100,0)),""),"")</f>
        <v/>
      </c>
      <c r="C124" s="825"/>
      <c r="D124" s="826"/>
      <c r="E124" s="824" t="str">
        <f ca="1">IFERROR(IF(INDEX('Outcome Indicators - Section C '!C$1:C$100,MATCH($A124,'Outcome Indicators - Section C '!$A$1:$A$100,0))&lt;&gt;0,INDEX('Outcome Indicators - Section C '!C$1:C$100,MATCH($A124,'Outcome Indicators - Section C '!$A$1:$A$100,0)),""),"")</f>
        <v/>
      </c>
      <c r="F124" s="825"/>
      <c r="G124" s="826"/>
      <c r="H124" s="388" t="str">
        <f ca="1">IFERROR(IF(INDEX('Outcome Indicators - Section C '!D$1:D$100,MATCH($A124,'Outcome Indicators - Section C '!$A$1:$A$100,0))&lt;&gt;"",FIXED(INDEX('Outcome Indicators - Section C '!D$1:D$100,MATCH($A124,'Outcome Indicators - Section C '!$A$1:$A$100,0)),4),""),"")&amp;"/"&amp;IFERROR(IF(INDEX('Outcome Indicators - Section C '!D$1:D$100,MATCH($A124,'Outcome Indicators - Section C '!$A$1:$A$100,0)+1)&lt;&gt;"",FIXED(INDEX('Outcome Indicators - Section C '!D$1:D$100,MATCH($A124,'Outcome Indicators - Section C '!$A$1:$A$100,0)+1),2),""),"")&amp;CHAR(10)&amp;IFERROR(IF(INDEX('Outcome Indicators - Section C '!E$1:E$100,MATCH($A124,'Outcome Indicators - Section C '!$A$1:$A$100,0))&lt;&gt;"",FIXED(INDEX('Outcome Indicators - Section C '!E$1:E$100,MATCH($A124,'Outcome Indicators - Section C '!$A$1:$A$100,0))*100,2)&amp;"%",""),"")</f>
        <v xml:space="preserve">/
</v>
      </c>
      <c r="I124" s="388" t="str">
        <f ca="1">IFERROR(IF(INDEX('Outcome Indicators - Section C '!F$1:F$100,MATCH($A124,'Outcome Indicators - Section C '!$A$1:$A$100,0))&lt;&gt;0,INDEX('Outcome Indicators - Section C '!F$1:F$100,MATCH($A124,'Outcome Indicators - Section C '!$A$1:$A$100,0)),""),"")&amp;CHAR(10)&amp;IFERROR(IF(INDEX('Outcome Indicators - Section C '!G$1:G$100,MATCH($A124,'Outcome Indicators - Section C '!$A$1:$A$100,0))&lt;&gt;0,INDEX('Outcome Indicators - Section C '!G$1:G$100,MATCH($A124,'Outcome Indicators - Section C '!$A$1:$A$100,0)),""),"")</f>
        <v xml:space="preserve">
</v>
      </c>
      <c r="J124" s="824" t="str">
        <f ca="1">IFERROR(IF(INDEX('Outcome Indicators - Section C '!H$1:H$100,MATCH($A124,'Outcome Indicators - Section C '!$A$1:$A$100,0))&lt;&gt;0,INDEX('Outcome Indicators - Section C '!H$1:H$100,MATCH($A124,'Outcome Indicators - Section C '!$A$1:$A$100,0)),""),"")</f>
        <v/>
      </c>
      <c r="K124" s="825"/>
      <c r="L124" s="825"/>
      <c r="M124" s="826"/>
      <c r="N124" s="389" t="str">
        <f ca="1">IFERROR(IF(AND('Overview - Section A'!AN$5="Grant Making",OR(B124&lt;&gt;"",E124&lt;&gt;"")),Setup!I15,IF(INDEX('Outcome Indicators - Section C '!I$1:I$100,MATCH($A124,'Outcome Indicators - Section C '!$A$1:$A$100,0))&lt;&gt;0,INDEX('Outcome Indicators - Section C '!I$1:I$100,MATCH($A124,'Outcome Indicators - Section C '!$A$1:$A$100,0)),"")),"")</f>
        <v/>
      </c>
      <c r="O124" s="389" t="str">
        <f>IFERROR(IF(INDEX('Outcome Indicators - Section C '!J$9:J$38,MATCH($A124,'Outcome Indicators - Section C '!$A$9:$A$38,0))&lt;&gt;0,INDEX('Outcome Indicators - Section C '!J$9:J$38,MATCH($A124,'Outcome Indicators - Section C '!$A$9:$A$38,0)),""),"")</f>
        <v/>
      </c>
      <c r="P124" s="390" t="str">
        <f ca="1">IFERROR(IF(INDEX('Outcome Indicators - Section C '!K$1:K$100,MATCH($A124,'Outcome Indicators - Section C '!$A$1:$A$100,0))&lt;&gt;"",FIXED(INDEX('Outcome Indicators - Section C '!K$1:K$100,MATCH($A124,'Outcome Indicators - Section C '!$A$1:$A$100,0)),4),""),"")&amp;"/"&amp;IFERROR(IF(INDEX('Outcome Indicators - Section C '!K$1:K$100,MATCH($A124,'Outcome Indicators - Section C '!$A$1:$A$100,0)+1)&lt;&gt;"",FIXED(INDEX('Outcome Indicators - Section C '!K$1:K$100,MATCH($A124,'Outcome Indicators - Section C '!$A$1:$A$100,0)+1),2),""),"")&amp;CHAR(10)&amp;IFERROR(IF(INDEX('Outcome Indicators - Section C '!L$1:L$100,MATCH($A124,'Outcome Indicators - Section C '!$A$1:$A$100,0))&lt;&gt;"",FIXED(INDEX('Outcome Indicators - Section C '!L$1:L$100,MATCH($A124,'Outcome Indicators - Section C '!$A$1:$A$100,0))*100,2)&amp;"%",""),"")&amp;CHAR(10)&amp;IFERROR(IF(INDEX('Outcome Indicators - Section C '!N$1:N$100,MATCH($A124,'Outcome Indicators - Section C '!$A$1:$A$100,0))&lt;&gt;"",INDEX('Outcome Indicators - Section C '!N$1:N$100,MATCH($A124,'Outcome Indicators - Section C '!$A$1:$A$100,0)),""),"")&amp;CHAR(10)&amp;IFERROR(IF(INDEX('Outcome Indicators - Section C '!M$1:M$100,MATCH($A124,'Outcome Indicators - Section C '!$A$1:$A$100,0))&lt;&gt;"",TEXT(INDEX('Outcome Indicators - Section C '!M$1:M$100,MATCH($A124,'Outcome Indicators - Section C '!$A$1:$A$100,0)),Setup!$A$33),""),"")</f>
        <v xml:space="preserve">/
</v>
      </c>
      <c r="Q124" s="388" t="str">
        <f ca="1">IFERROR(IF(INDEX('Outcome Indicators - Section C '!O$1:O$38,MATCH($A124,'Outcome Indicators - Section C '!$A$1:$A$38,0))&lt;&gt;"",FIXED(INDEX('Outcome Indicators - Section C '!O$1:O$38,MATCH($A124,'Outcome Indicators - Section C '!$A$1:$A$38,0)),4),""),"")&amp;"/"&amp;IFERROR(IF(INDEX('Outcome Indicators - Section C '!O$1:O$38,MATCH($A124,'Outcome Indicators - Section C '!$A$1:$A$38,0)+1)&lt;&gt;"",FIXED(INDEX('Outcome Indicators - Section C '!O$1:O$38,MATCH($A124,'Outcome Indicators - Section C '!$A$1:$A$38,0)+1),2),""),"")&amp;CHAR(10)&amp;IFERROR(IF(INDEX('Outcome Indicators - Section C '!P$1:P$38,MATCH($A124,'Outcome Indicators - Section C '!$A$1:$A$38,0))&lt;&gt;"",FIXED(INDEX('Outcome Indicators - Section C '!P$1:P$38,MATCH($A124,'Outcome Indicators - Section C '!$A$1:$A$38,0))*100,2)&amp;"%",""),"")&amp;CHAR(10)&amp;IFERROR(IF(INDEX('Outcome Indicators - Section C '!R$1:R$38,MATCH($A124,'Outcome Indicators - Section C '!$A$1:$A$38,0))&lt;&gt;"",INDEX('Outcome Indicators - Section C '!R$1:R$38,MATCH($A124,'Outcome Indicators - Section C '!$A$1:$A$38,0)),""),"")&amp;CHAR(10)&amp;IFERROR(IF(INDEX('Outcome Indicators - Section C '!Q$1:Q$38,MATCH($A124,'Outcome Indicators - Section C '!$A$1:$A$38,0))&lt;&gt;"",TEXT(INDEX('Outcome Indicators - Section C '!Q$1:Q$38,MATCH($A124,'Outcome Indicators - Section C '!$A$1:$A$38,0)),Setup!$A$33),""),"")</f>
        <v xml:space="preserve">/
</v>
      </c>
      <c r="R124" s="388" t="str">
        <f ca="1">IFERROR(IF(INDEX('Outcome Indicators - Section C '!S$1:S$38,MATCH($A124,'Outcome Indicators - Section C '!$A$1:$A$38,0))&lt;&gt;"",FIXED(INDEX('Outcome Indicators - Section C '!S$1:S$38,MATCH($A124,'Outcome Indicators - Section C '!$A$1:$A$38,0)),4),""),"")&amp;"/"&amp;IFERROR(IF(INDEX('Outcome Indicators - Section C '!S$1:S$38,MATCH($A124,'Outcome Indicators - Section C '!$A$1:$A$38,0)+1)&lt;&gt;"",FIXED(INDEX('Outcome Indicators - Section C '!S$1:S$38,MATCH($A124,'Outcome Indicators - Section C '!$A$1:$A$38,0)+1),2),""),"")&amp;CHAR(10)&amp;IFERROR(IF(INDEX('Outcome Indicators - Section C '!T$1:T$38,MATCH($A124,'Outcome Indicators - Section C '!$A$1:$A$38,0))&lt;&gt;"",FIXED(INDEX('Outcome Indicators - Section C '!T$1:T$38,MATCH($A124,'Outcome Indicators - Section C '!$A$1:$A$38,0))*100,2)&amp;"%",""),"")&amp;CHAR(10)&amp;IFERROR(IF(INDEX('Outcome Indicators - Section C '!V$1:V$38,MATCH($A124,'Outcome Indicators - Section C '!$A$1:$A$38,0))&lt;&gt;"",INDEX('Outcome Indicators - Section C '!V$1:V$38,MATCH($A124,'Outcome Indicators - Section C '!$A$1:$A$38,0)),""),"")&amp;CHAR(10)&amp;IFERROR(IF(INDEX('Outcome Indicators - Section C '!U$1:U$38,MATCH($A124,'Outcome Indicators - Section C '!$A$1:$A$38,0))&lt;&gt;"",TEXT(INDEX('Outcome Indicators - Section C '!U$1:U$38,MATCH($A124,'Outcome Indicators - Section C '!$A$1:$A$38,0)),Setup!$A$33),""),"")</f>
        <v xml:space="preserve">/
</v>
      </c>
      <c r="S124" s="388" t="str">
        <f ca="1">IFERROR(IF(INDEX('Outcome Indicators - Section C '!W$9:W$38,MATCH($A124,'Outcome Indicators - Section C '!$A$9:$A$38,0))&lt;&gt;"",FIXED(INDEX('Outcome Indicators - Section C '!W$9:W$38,MATCH($A124,'Outcome Indicators - Section C '!$A$9:$A$38,0)),4),""),"")&amp;"/"&amp;IFERROR(IF(INDEX('Outcome Indicators - Section C '!W$9:W$38,MATCH($A124,'Outcome Indicators - Section C '!$A$9:$A$38,0)+1)&lt;&gt;"",FIXED(INDEX('Outcome Indicators - Section C '!W$9:W$38,MATCH($A124,'Outcome Indicators - Section C '!$A$9:$A$38,0)+1),2),""),"")&amp;CHAR(10)&amp;IFERROR(IF(INDEX('Outcome Indicators - Section C '!X$9:X$38,MATCH($A124,'Outcome Indicators - Section C '!$A$9:$A$38,0))&lt;&gt;"",FIXED(INDEX('Outcome Indicators - Section C '!X$9:X$38,MATCH($A124,'Outcome Indicators - Section C '!$A$9:$A$38,0))*100,2)&amp;"%",""),"")&amp;CHAR(10)&amp;IFERROR(IF(INDEX('Outcome Indicators - Section C '!Z$9:Z$38,MATCH($A124,'Outcome Indicators - Section C '!$A$9:$A$38,0))&lt;&gt;"",INDEX('Outcome Indicators - Section C '!Z$9:Z$38,MATCH($A124,'Outcome Indicators - Section C '!$A$9:$A$38,0)),""),"")&amp;CHAR(10)&amp;IFERROR(IF(INDEX('Outcome Indicators - Section C '!Y$9:Y$38,MATCH($A124,'Outcome Indicators - Section C '!$A$9:$A$38,0))&lt;&gt;"",TEXT(INDEX('Outcome Indicators - Section C '!Y$9:Y$38,MATCH($A124,'Outcome Indicators - Section C '!$A$9:$A$38,0)),Setup!$A$33),""),"")</f>
        <v xml:space="preserve">/
</v>
      </c>
      <c r="T124" s="309"/>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813"/>
      <c r="AV124" s="813"/>
      <c r="AW124" s="813"/>
      <c r="AX124" s="813"/>
    </row>
    <row r="125" spans="1:55" ht="96" customHeight="1" thickBot="1" x14ac:dyDescent="0.4">
      <c r="A125" s="815"/>
      <c r="B125" s="809" t="str">
        <f ca="1">IFERROR(IF(INDEX('Outcome Indicators - Section C '!AA$1:AA$100,MATCH($A124,'Outcome Indicators - Section C '!$A$1:$A$100,0))&lt;&gt;0,INDEX('Outcome Indicators - Section C '!AA$1:AA$100,MATCH($A124,'Outcome Indicators - Section C '!$A$1:$A$100,0)),""),"")</f>
        <v/>
      </c>
      <c r="C125" s="810"/>
      <c r="D125" s="810"/>
      <c r="E125" s="810"/>
      <c r="F125" s="810"/>
      <c r="G125" s="810"/>
      <c r="H125" s="810"/>
      <c r="I125" s="811"/>
      <c r="J125" s="811"/>
      <c r="K125" s="811"/>
      <c r="L125" s="811"/>
      <c r="M125" s="811"/>
      <c r="N125" s="811"/>
      <c r="O125" s="811"/>
      <c r="P125" s="811"/>
      <c r="Q125" s="811"/>
      <c r="R125" s="811"/>
      <c r="S125" s="812"/>
      <c r="T125" s="305"/>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813"/>
      <c r="AV125" s="813"/>
      <c r="AW125" s="813"/>
      <c r="AX125" s="813"/>
    </row>
    <row r="126" spans="1:55" s="220" customFormat="1" ht="172.4" customHeight="1" x14ac:dyDescent="0.35">
      <c r="A126" s="816">
        <v>10</v>
      </c>
      <c r="B126" s="888" t="str">
        <f ca="1">IFERROR(IF(INDEX('Outcome Indicators - Section C '!B$1:B$100,MATCH($A126,'Outcome Indicators - Section C '!$A$1:$A$100,0))&lt;&gt;0,INDEX('Outcome Indicators - Section C '!B$1:B$100,MATCH($A126,'Outcome Indicators - Section C '!$A$1:$A$100,0)),""),"")</f>
        <v/>
      </c>
      <c r="C126" s="889"/>
      <c r="D126" s="890"/>
      <c r="E126" s="888" t="str">
        <f ca="1">IFERROR(IF(INDEX('Outcome Indicators - Section C '!C$1:C$100,MATCH($A126,'Outcome Indicators - Section C '!$A$1:$A$100,0))&lt;&gt;0,INDEX('Outcome Indicators - Section C '!C$1:C$100,MATCH($A126,'Outcome Indicators - Section C '!$A$1:$A$100,0)),""),"")</f>
        <v/>
      </c>
      <c r="F126" s="889"/>
      <c r="G126" s="890"/>
      <c r="H126" s="421" t="str">
        <f ca="1">IFERROR(IF(INDEX('Outcome Indicators - Section C '!D$1:D$100,MATCH($A126,'Outcome Indicators - Section C '!$A$1:$A$100,0))&lt;&gt;"",FIXED(INDEX('Outcome Indicators - Section C '!D$1:D$100,MATCH($A126,'Outcome Indicators - Section C '!$A$1:$A$100,0)),4),""),"")&amp;"/"&amp;IFERROR(IF(INDEX('Outcome Indicators - Section C '!D$1:D$100,MATCH($A126,'Outcome Indicators - Section C '!$A$1:$A$100,0)+1)&lt;&gt;"",FIXED(INDEX('Outcome Indicators - Section C '!D$1:D$100,MATCH($A126,'Outcome Indicators - Section C '!$A$1:$A$100,0)+1),2),""),"")&amp;CHAR(10)&amp;IFERROR(IF(INDEX('Outcome Indicators - Section C '!E$1:E$100,MATCH($A126,'Outcome Indicators - Section C '!$A$1:$A$100,0))&lt;&gt;"",FIXED(INDEX('Outcome Indicators - Section C '!E$1:E$100,MATCH($A126,'Outcome Indicators - Section C '!$A$1:$A$100,0))*100,2)&amp;"%",""),"")</f>
        <v xml:space="preserve">/
</v>
      </c>
      <c r="I126" s="421" t="str">
        <f ca="1">IFERROR(IF(INDEX('Outcome Indicators - Section C '!F$1:F$100,MATCH($A126,'Outcome Indicators - Section C '!$A$1:$A$100,0))&lt;&gt;0,INDEX('Outcome Indicators - Section C '!F$1:F$100,MATCH($A126,'Outcome Indicators - Section C '!$A$1:$A$100,0)),""),"")&amp;CHAR(10)&amp;IFERROR(IF(INDEX('Outcome Indicators - Section C '!G$1:G$100,MATCH($A126,'Outcome Indicators - Section C '!$A$1:$A$100,0))&lt;&gt;0,INDEX('Outcome Indicators - Section C '!G$1:G$100,MATCH($A126,'Outcome Indicators - Section C '!$A$1:$A$100,0)),""),"")</f>
        <v xml:space="preserve">
</v>
      </c>
      <c r="J126" s="818" t="str">
        <f ca="1">IFERROR(IF(INDEX('Outcome Indicators - Section C '!H$1:H$100,MATCH($A126,'Outcome Indicators - Section C '!$A$1:$A$100,0))&lt;&gt;0,INDEX('Outcome Indicators - Section C '!H$1:H$100,MATCH($A126,'Outcome Indicators - Section C '!$A$1:$A$100,0)),""),"")</f>
        <v/>
      </c>
      <c r="K126" s="819"/>
      <c r="L126" s="819"/>
      <c r="M126" s="820"/>
      <c r="N126" s="422" t="str">
        <f ca="1">IFERROR(IF(AND('Overview - Section A'!AN$5="Grant Making",OR(B126&lt;&gt;"",E126&lt;&gt;"")),Setup!I15,IF(INDEX('Outcome Indicators - Section C '!I$1:I$100,MATCH($A126,'Outcome Indicators - Section C '!$A$1:$A$100,0))&lt;&gt;0,INDEX('Outcome Indicators - Section C '!I$1:I$100,MATCH($A126,'Outcome Indicators - Section C '!$A$1:$A$100,0)),"")),"")</f>
        <v/>
      </c>
      <c r="O126" s="422" t="str">
        <f>IFERROR(IF(INDEX('Outcome Indicators - Section C '!J$9:J$38,MATCH($A126,'Outcome Indicators - Section C '!$A$9:$A$38,0))&lt;&gt;0,INDEX('Outcome Indicators - Section C '!J$9:J$38,MATCH($A126,'Outcome Indicators - Section C '!$A$9:$A$38,0)),""),"")</f>
        <v/>
      </c>
      <c r="P126" s="423" t="str">
        <f ca="1">IFERROR(IF(INDEX('Outcome Indicators - Section C '!K$1:K$100,MATCH($A126,'Outcome Indicators - Section C '!$A$1:$A$100,0))&lt;&gt;"",FIXED(INDEX('Outcome Indicators - Section C '!K$1:K$100,MATCH($A126,'Outcome Indicators - Section C '!$A$1:$A$100,0)),4),""),"")&amp;"/"&amp;IFERROR(IF(INDEX('Outcome Indicators - Section C '!K$1:K$100,MATCH($A126,'Outcome Indicators - Section C '!$A$1:$A$100,0)+1)&lt;&gt;"",FIXED(INDEX('Outcome Indicators - Section C '!K$1:K$100,MATCH($A126,'Outcome Indicators - Section C '!$A$1:$A$100,0)+1),2),""),"")&amp;CHAR(10)&amp;IFERROR(IF(INDEX('Outcome Indicators - Section C '!L$1:L$100,MATCH($A126,'Outcome Indicators - Section C '!$A$1:$A$100,0))&lt;&gt;"",FIXED(INDEX('Outcome Indicators - Section C '!L$1:L$100,MATCH($A126,'Outcome Indicators - Section C '!$A$1:$A$100,0))*100,2)&amp;"%",""),"")&amp;CHAR(10)&amp;IFERROR(IF(INDEX('Outcome Indicators - Section C '!N$1:N$100,MATCH($A126,'Outcome Indicators - Section C '!$A$1:$A$100,0))&lt;&gt;"",INDEX('Outcome Indicators - Section C '!N$1:N$100,MATCH($A126,'Outcome Indicators - Section C '!$A$1:$A$100,0)),""),"")&amp;CHAR(10)&amp;IFERROR(IF(INDEX('Outcome Indicators - Section C '!M$1:M$100,MATCH($A126,'Outcome Indicators - Section C '!$A$1:$A$100,0))&lt;&gt;"",TEXT(INDEX('Outcome Indicators - Section C '!M$1:M$100,MATCH($A126,'Outcome Indicators - Section C '!$A$1:$A$100,0)),Setup!$A$33),""),"")</f>
        <v xml:space="preserve">/
</v>
      </c>
      <c r="Q126" s="421" t="str">
        <f ca="1">IFERROR(IF(INDEX('Outcome Indicators - Section C '!O$1:O$38,MATCH($A126,'Outcome Indicators - Section C '!$A$1:$A$38,0))&lt;&gt;"",FIXED(INDEX('Outcome Indicators - Section C '!O$1:O$38,MATCH($A126,'Outcome Indicators - Section C '!$A$1:$A$38,0)),4),""),"")&amp;"/"&amp;IFERROR(IF(INDEX('Outcome Indicators - Section C '!O$1:O$38,MATCH($A126,'Outcome Indicators - Section C '!$A$1:$A$38,0)+1)&lt;&gt;"",FIXED(INDEX('Outcome Indicators - Section C '!O$1:O$38,MATCH($A126,'Outcome Indicators - Section C '!$A$1:$A$38,0)+1),2),""),"")&amp;CHAR(10)&amp;IFERROR(IF(INDEX('Outcome Indicators - Section C '!P$1:P$38,MATCH($A126,'Outcome Indicators - Section C '!$A$1:$A$38,0))&lt;&gt;"",FIXED(INDEX('Outcome Indicators - Section C '!P$1:P$38,MATCH($A126,'Outcome Indicators - Section C '!$A$1:$A$38,0))*100,2)&amp;"%",""),"")&amp;CHAR(10)&amp;IFERROR(IF(INDEX('Outcome Indicators - Section C '!R$1:R$38,MATCH($A126,'Outcome Indicators - Section C '!$A$1:$A$38,0))&lt;&gt;"",INDEX('Outcome Indicators - Section C '!R$1:R$38,MATCH($A126,'Outcome Indicators - Section C '!$A$1:$A$38,0)),""),"")&amp;CHAR(10)&amp;IFERROR(IF(INDEX('Outcome Indicators - Section C '!Q$1:Q$38,MATCH($A126,'Outcome Indicators - Section C '!$A$1:$A$38,0))&lt;&gt;"",TEXT(INDEX('Outcome Indicators - Section C '!Q$1:Q$38,MATCH($A126,'Outcome Indicators - Section C '!$A$1:$A$38,0)),Setup!$A$33),""),"")</f>
        <v xml:space="preserve">/
</v>
      </c>
      <c r="R126" s="421" t="str">
        <f ca="1">IFERROR(IF(INDEX('Outcome Indicators - Section C '!S$1:S$38,MATCH($A126,'Outcome Indicators - Section C '!$A$1:$A$38,0))&lt;&gt;"",FIXED(INDEX('Outcome Indicators - Section C '!S$1:S$38,MATCH($A126,'Outcome Indicators - Section C '!$A$1:$A$38,0)),4),""),"")&amp;"/"&amp;IFERROR(IF(INDEX('Outcome Indicators - Section C '!S$1:S$38,MATCH($A126,'Outcome Indicators - Section C '!$A$1:$A$38,0)+1)&lt;&gt;"",FIXED(INDEX('Outcome Indicators - Section C '!S$1:S$38,MATCH($A126,'Outcome Indicators - Section C '!$A$1:$A$38,0)+1),2),""),"")&amp;CHAR(10)&amp;IFERROR(IF(INDEX('Outcome Indicators - Section C '!T$1:T$38,MATCH($A126,'Outcome Indicators - Section C '!$A$1:$A$38,0))&lt;&gt;"",FIXED(INDEX('Outcome Indicators - Section C '!T$1:T$38,MATCH($A126,'Outcome Indicators - Section C '!$A$1:$A$38,0))*100,2)&amp;"%",""),"")&amp;CHAR(10)&amp;IFERROR(IF(INDEX('Outcome Indicators - Section C '!V$1:V$38,MATCH($A126,'Outcome Indicators - Section C '!$A$1:$A$38,0))&lt;&gt;"",INDEX('Outcome Indicators - Section C '!V$1:V$38,MATCH($A126,'Outcome Indicators - Section C '!$A$1:$A$38,0)),""),"")&amp;CHAR(10)&amp;IFERROR(IF(INDEX('Outcome Indicators - Section C '!U$1:U$38,MATCH($A126,'Outcome Indicators - Section C '!$A$1:$A$38,0))&lt;&gt;"",TEXT(INDEX('Outcome Indicators - Section C '!U$1:U$38,MATCH($A126,'Outcome Indicators - Section C '!$A$1:$A$38,0)),Setup!$A$33),""),"")</f>
        <v xml:space="preserve">/
</v>
      </c>
      <c r="S126" s="421" t="str">
        <f ca="1">IFERROR(IF(INDEX('Outcome Indicators - Section C '!W$9:W$38,MATCH($A126,'Outcome Indicators - Section C '!$A$9:$A$38,0))&lt;&gt;"",FIXED(INDEX('Outcome Indicators - Section C '!W$9:W$38,MATCH($A126,'Outcome Indicators - Section C '!$A$9:$A$38,0)),4),""),"")&amp;"/"&amp;IFERROR(IF(INDEX('Outcome Indicators - Section C '!W$9:W$38,MATCH($A126,'Outcome Indicators - Section C '!$A$9:$A$38,0)+1)&lt;&gt;"",FIXED(INDEX('Outcome Indicators - Section C '!W$9:W$38,MATCH($A126,'Outcome Indicators - Section C '!$A$9:$A$38,0)+1),2),""),"")&amp;CHAR(10)&amp;IFERROR(IF(INDEX('Outcome Indicators - Section C '!X$9:X$38,MATCH($A126,'Outcome Indicators - Section C '!$A$9:$A$38,0))&lt;&gt;"",FIXED(INDEX('Outcome Indicators - Section C '!X$9:X$38,MATCH($A126,'Outcome Indicators - Section C '!$A$9:$A$38,0))*100,2)&amp;"%",""),"")&amp;CHAR(10)&amp;IFERROR(IF(INDEX('Outcome Indicators - Section C '!Z$9:Z$38,MATCH($A126,'Outcome Indicators - Section C '!$A$9:$A$38,0))&lt;&gt;"",INDEX('Outcome Indicators - Section C '!Z$9:Z$38,MATCH($A126,'Outcome Indicators - Section C '!$A$9:$A$38,0)),""),"")&amp;CHAR(10)&amp;IFERROR(IF(INDEX('Outcome Indicators - Section C '!Y$9:Y$38,MATCH($A126,'Outcome Indicators - Section C '!$A$9:$A$38,0))&lt;&gt;"",TEXT(INDEX('Outcome Indicators - Section C '!Y$9:Y$38,MATCH($A126,'Outcome Indicators - Section C '!$A$9:$A$38,0)),Setup!$A$33),""),"")</f>
        <v xml:space="preserve">/
</v>
      </c>
      <c r="T126" s="418"/>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802"/>
      <c r="AV126" s="802"/>
      <c r="AW126" s="802"/>
      <c r="AX126" s="802"/>
      <c r="AY126" s="204"/>
      <c r="AZ126" s="204"/>
      <c r="BA126" s="204"/>
      <c r="BB126" s="204"/>
      <c r="BC126" s="204"/>
    </row>
    <row r="127" spans="1:55" s="220" customFormat="1" ht="96" customHeight="1" thickBot="1" x14ac:dyDescent="0.4">
      <c r="A127" s="817"/>
      <c r="B127" s="821" t="str">
        <f ca="1">IFERROR(IF(INDEX('Outcome Indicators - Section C '!AA$1:AA$100,MATCH($A126,'Outcome Indicators - Section C '!$A$1:$A$100,0))&lt;&gt;0,INDEX('Outcome Indicators - Section C '!AA$1:AA$100,MATCH($A126,'Outcome Indicators - Section C '!$A$1:$A$100,0)),""),"")</f>
        <v/>
      </c>
      <c r="C127" s="822"/>
      <c r="D127" s="822"/>
      <c r="E127" s="822"/>
      <c r="F127" s="822"/>
      <c r="G127" s="822"/>
      <c r="H127" s="822"/>
      <c r="I127" s="822"/>
      <c r="J127" s="822"/>
      <c r="K127" s="822"/>
      <c r="L127" s="822"/>
      <c r="M127" s="822"/>
      <c r="N127" s="822"/>
      <c r="O127" s="822"/>
      <c r="P127" s="822"/>
      <c r="Q127" s="822"/>
      <c r="R127" s="822"/>
      <c r="S127" s="823"/>
      <c r="T127" s="310"/>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802"/>
      <c r="AV127" s="802"/>
      <c r="AW127" s="802"/>
      <c r="AX127" s="802"/>
      <c r="AY127" s="204"/>
      <c r="AZ127" s="204"/>
      <c r="BA127" s="204"/>
      <c r="BB127" s="204"/>
      <c r="BC127" s="204"/>
    </row>
    <row r="128" spans="1:55" ht="172.4" customHeight="1" x14ac:dyDescent="0.35">
      <c r="A128" s="814">
        <v>11</v>
      </c>
      <c r="B128" s="824" t="str">
        <f ca="1">IFERROR(IF(INDEX('Outcome Indicators - Section C '!B$1:B$100,MATCH($A128,'Outcome Indicators - Section C '!$A$1:$A$100,0))&lt;&gt;0,INDEX('Outcome Indicators - Section C '!B$1:B$100,MATCH($A128,'Outcome Indicators - Section C '!$A$1:$A$100,0)),""),"")</f>
        <v/>
      </c>
      <c r="C128" s="825"/>
      <c r="D128" s="826"/>
      <c r="E128" s="824" t="str">
        <f ca="1">IFERROR(IF(INDEX('Outcome Indicators - Section C '!C$1:C$100,MATCH($A128,'Outcome Indicators - Section C '!$A$1:$A$100,0))&lt;&gt;0,INDEX('Outcome Indicators - Section C '!C$1:C$100,MATCH($A128,'Outcome Indicators - Section C '!$A$1:$A$100,0)),""),"")</f>
        <v/>
      </c>
      <c r="F128" s="825"/>
      <c r="G128" s="826"/>
      <c r="H128" s="388" t="str">
        <f ca="1">IFERROR(IF(INDEX('Outcome Indicators - Section C '!D$1:D$100,MATCH($A128,'Outcome Indicators - Section C '!$A$1:$A$100,0))&lt;&gt;"",FIXED(INDEX('Outcome Indicators - Section C '!D$1:D$100,MATCH($A128,'Outcome Indicators - Section C '!$A$1:$A$100,0)),4),""),"")&amp;"/"&amp;IFERROR(IF(INDEX('Outcome Indicators - Section C '!D$1:D$100,MATCH($A128,'Outcome Indicators - Section C '!$A$1:$A$100,0)+1)&lt;&gt;"",FIXED(INDEX('Outcome Indicators - Section C '!D$1:D$100,MATCH($A128,'Outcome Indicators - Section C '!$A$1:$A$100,0)+1),2),""),"")&amp;CHAR(10)&amp;IFERROR(IF(INDEX('Outcome Indicators - Section C '!E$1:E$100,MATCH($A128,'Outcome Indicators - Section C '!$A$1:$A$100,0))&lt;&gt;"",FIXED(INDEX('Outcome Indicators - Section C '!E$1:E$100,MATCH($A128,'Outcome Indicators - Section C '!$A$1:$A$100,0))*100,2)&amp;"%",""),"")</f>
        <v xml:space="preserve">/
</v>
      </c>
      <c r="I128" s="388" t="str">
        <f ca="1">IFERROR(IF(INDEX('Outcome Indicators - Section C '!F$1:F$100,MATCH($A128,'Outcome Indicators - Section C '!$A$1:$A$100,0))&lt;&gt;0,INDEX('Outcome Indicators - Section C '!F$1:F$100,MATCH($A128,'Outcome Indicators - Section C '!$A$1:$A$100,0)),""),"")&amp;CHAR(10)&amp;IFERROR(IF(INDEX('Outcome Indicators - Section C '!G$1:G$100,MATCH($A128,'Outcome Indicators - Section C '!$A$1:$A$100,0))&lt;&gt;0,INDEX('Outcome Indicators - Section C '!G$1:G$100,MATCH($A128,'Outcome Indicators - Section C '!$A$1:$A$100,0)),""),"")</f>
        <v xml:space="preserve">
</v>
      </c>
      <c r="J128" s="824" t="str">
        <f ca="1">IFERROR(IF(INDEX('Outcome Indicators - Section C '!H$1:H$100,MATCH($A128,'Outcome Indicators - Section C '!$A$1:$A$100,0))&lt;&gt;0,INDEX('Outcome Indicators - Section C '!H$1:H$100,MATCH($A128,'Outcome Indicators - Section C '!$A$1:$A$100,0)),""),"")</f>
        <v/>
      </c>
      <c r="K128" s="825"/>
      <c r="L128" s="825"/>
      <c r="M128" s="826"/>
      <c r="N128" s="389" t="str">
        <f ca="1">IFERROR(IF(AND('Overview - Section A'!AN$5="Grant Making",OR(B128&lt;&gt;"",E128&lt;&gt;"")),Setup!I15,IF(INDEX('Outcome Indicators - Section C '!I$1:I$100,MATCH($A128,'Outcome Indicators - Section C '!$A$1:$A$100,0))&lt;&gt;0,INDEX('Outcome Indicators - Section C '!I$1:I$100,MATCH($A128,'Outcome Indicators - Section C '!$A$1:$A$100,0)),"")),"")</f>
        <v/>
      </c>
      <c r="O128" s="389" t="str">
        <f>IFERROR(IF(INDEX('Outcome Indicators - Section C '!J$9:J$38,MATCH($A128,'Outcome Indicators - Section C '!$A$9:$A$38,0))&lt;&gt;0,INDEX('Outcome Indicators - Section C '!J$9:J$38,MATCH($A128,'Outcome Indicators - Section C '!$A$9:$A$38,0)),""),"")</f>
        <v/>
      </c>
      <c r="P128" s="390" t="str">
        <f ca="1">IFERROR(IF(INDEX('Outcome Indicators - Section C '!K$1:K$100,MATCH($A128,'Outcome Indicators - Section C '!$A$1:$A$100,0))&lt;&gt;"",FIXED(INDEX('Outcome Indicators - Section C '!K$1:K$100,MATCH($A128,'Outcome Indicators - Section C '!$A$1:$A$100,0)),4),""),"")&amp;"/"&amp;IFERROR(IF(INDEX('Outcome Indicators - Section C '!K$1:K$100,MATCH($A128,'Outcome Indicators - Section C '!$A$1:$A$100,0)+1)&lt;&gt;"",FIXED(INDEX('Outcome Indicators - Section C '!K$1:K$100,MATCH($A128,'Outcome Indicators - Section C '!$A$1:$A$100,0)+1),2),""),"")&amp;CHAR(10)&amp;IFERROR(IF(INDEX('Outcome Indicators - Section C '!L$1:L$100,MATCH($A128,'Outcome Indicators - Section C '!$A$1:$A$100,0))&lt;&gt;"",FIXED(INDEX('Outcome Indicators - Section C '!L$1:L$100,MATCH($A128,'Outcome Indicators - Section C '!$A$1:$A$100,0))*100,2)&amp;"%",""),"")&amp;CHAR(10)&amp;IFERROR(IF(INDEX('Outcome Indicators - Section C '!N$1:N$100,MATCH($A128,'Outcome Indicators - Section C '!$A$1:$A$100,0))&lt;&gt;"",INDEX('Outcome Indicators - Section C '!N$1:N$100,MATCH($A128,'Outcome Indicators - Section C '!$A$1:$A$100,0)),""),"")&amp;CHAR(10)&amp;IFERROR(IF(INDEX('Outcome Indicators - Section C '!M$1:M$100,MATCH($A128,'Outcome Indicators - Section C '!$A$1:$A$100,0))&lt;&gt;"",TEXT(INDEX('Outcome Indicators - Section C '!M$1:M$100,MATCH($A128,'Outcome Indicators - Section C '!$A$1:$A$100,0)),Setup!$A$33),""),"")</f>
        <v xml:space="preserve">/
</v>
      </c>
      <c r="Q128" s="388" t="str">
        <f ca="1">IFERROR(IF(INDEX('Outcome Indicators - Section C '!O$1:O$38,MATCH($A128,'Outcome Indicators - Section C '!$A$1:$A$38,0))&lt;&gt;"",FIXED(INDEX('Outcome Indicators - Section C '!O$1:O$38,MATCH($A128,'Outcome Indicators - Section C '!$A$1:$A$38,0)),4),""),"")&amp;"/"&amp;IFERROR(IF(INDEX('Outcome Indicators - Section C '!O$1:O$38,MATCH($A128,'Outcome Indicators - Section C '!$A$1:$A$38,0)+1)&lt;&gt;"",FIXED(INDEX('Outcome Indicators - Section C '!O$1:O$38,MATCH($A128,'Outcome Indicators - Section C '!$A$1:$A$38,0)+1),2),""),"")&amp;CHAR(10)&amp;IFERROR(IF(INDEX('Outcome Indicators - Section C '!P$1:P$38,MATCH($A128,'Outcome Indicators - Section C '!$A$1:$A$38,0))&lt;&gt;"",FIXED(INDEX('Outcome Indicators - Section C '!P$1:P$38,MATCH($A128,'Outcome Indicators - Section C '!$A$1:$A$38,0))*100,2)&amp;"%",""),"")&amp;CHAR(10)&amp;IFERROR(IF(INDEX('Outcome Indicators - Section C '!R$1:R$38,MATCH($A128,'Outcome Indicators - Section C '!$A$1:$A$38,0))&lt;&gt;"",INDEX('Outcome Indicators - Section C '!R$1:R$38,MATCH($A128,'Outcome Indicators - Section C '!$A$1:$A$38,0)),""),"")&amp;CHAR(10)&amp;IFERROR(IF(INDEX('Outcome Indicators - Section C '!Q$1:Q$38,MATCH($A128,'Outcome Indicators - Section C '!$A$1:$A$38,0))&lt;&gt;"",TEXT(INDEX('Outcome Indicators - Section C '!Q$1:Q$38,MATCH($A128,'Outcome Indicators - Section C '!$A$1:$A$38,0)),Setup!$A$33),""),"")</f>
        <v xml:space="preserve">/
</v>
      </c>
      <c r="R128" s="388" t="str">
        <f ca="1">IFERROR(IF(INDEX('Outcome Indicators - Section C '!S$1:S$38,MATCH($A128,'Outcome Indicators - Section C '!$A$1:$A$38,0))&lt;&gt;"",FIXED(INDEX('Outcome Indicators - Section C '!S$1:S$38,MATCH($A128,'Outcome Indicators - Section C '!$A$1:$A$38,0)),4),""),"")&amp;"/"&amp;IFERROR(IF(INDEX('Outcome Indicators - Section C '!S$1:S$38,MATCH($A128,'Outcome Indicators - Section C '!$A$1:$A$38,0)+1)&lt;&gt;"",FIXED(INDEX('Outcome Indicators - Section C '!S$1:S$38,MATCH($A128,'Outcome Indicators - Section C '!$A$1:$A$38,0)+1),2),""),"")&amp;CHAR(10)&amp;IFERROR(IF(INDEX('Outcome Indicators - Section C '!T$1:T$38,MATCH($A128,'Outcome Indicators - Section C '!$A$1:$A$38,0))&lt;&gt;"",FIXED(INDEX('Outcome Indicators - Section C '!T$1:T$38,MATCH($A128,'Outcome Indicators - Section C '!$A$1:$A$38,0))*100,2)&amp;"%",""),"")&amp;CHAR(10)&amp;IFERROR(IF(INDEX('Outcome Indicators - Section C '!V$1:V$38,MATCH($A128,'Outcome Indicators - Section C '!$A$1:$A$38,0))&lt;&gt;"",INDEX('Outcome Indicators - Section C '!V$1:V$38,MATCH($A128,'Outcome Indicators - Section C '!$A$1:$A$38,0)),""),"")&amp;CHAR(10)&amp;IFERROR(IF(INDEX('Outcome Indicators - Section C '!U$1:U$38,MATCH($A128,'Outcome Indicators - Section C '!$A$1:$A$38,0))&lt;&gt;"",TEXT(INDEX('Outcome Indicators - Section C '!U$1:U$38,MATCH($A128,'Outcome Indicators - Section C '!$A$1:$A$38,0)),Setup!$A$33),""),"")</f>
        <v xml:space="preserve">/
</v>
      </c>
      <c r="S128" s="388" t="str">
        <f ca="1">IFERROR(IF(INDEX('Outcome Indicators - Section C '!W$9:W$38,MATCH($A128,'Outcome Indicators - Section C '!$A$9:$A$38,0))&lt;&gt;"",FIXED(INDEX('Outcome Indicators - Section C '!W$9:W$38,MATCH($A128,'Outcome Indicators - Section C '!$A$9:$A$38,0)),4),""),"")&amp;"/"&amp;IFERROR(IF(INDEX('Outcome Indicators - Section C '!W$9:W$38,MATCH($A128,'Outcome Indicators - Section C '!$A$9:$A$38,0)+1)&lt;&gt;"",FIXED(INDEX('Outcome Indicators - Section C '!W$9:W$38,MATCH($A128,'Outcome Indicators - Section C '!$A$9:$A$38,0)+1),2),""),"")&amp;CHAR(10)&amp;IFERROR(IF(INDEX('Outcome Indicators - Section C '!X$9:X$38,MATCH($A128,'Outcome Indicators - Section C '!$A$9:$A$38,0))&lt;&gt;"",FIXED(INDEX('Outcome Indicators - Section C '!X$9:X$38,MATCH($A128,'Outcome Indicators - Section C '!$A$9:$A$38,0))*100,2)&amp;"%",""),"")&amp;CHAR(10)&amp;IFERROR(IF(INDEX('Outcome Indicators - Section C '!Z$9:Z$38,MATCH($A128,'Outcome Indicators - Section C '!$A$9:$A$38,0))&lt;&gt;"",INDEX('Outcome Indicators - Section C '!Z$9:Z$38,MATCH($A128,'Outcome Indicators - Section C '!$A$9:$A$38,0)),""),"")&amp;CHAR(10)&amp;IFERROR(IF(INDEX('Outcome Indicators - Section C '!Y$9:Y$38,MATCH($A128,'Outcome Indicators - Section C '!$A$9:$A$38,0))&lt;&gt;"",TEXT(INDEX('Outcome Indicators - Section C '!Y$9:Y$38,MATCH($A128,'Outcome Indicators - Section C '!$A$9:$A$38,0)),Setup!$A$33),""),"")</f>
        <v xml:space="preserve">/
</v>
      </c>
      <c r="T128" s="309"/>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813"/>
      <c r="AV128" s="813"/>
      <c r="AW128" s="813"/>
      <c r="AX128" s="813"/>
    </row>
    <row r="129" spans="1:55" ht="96" customHeight="1" thickBot="1" x14ac:dyDescent="0.4">
      <c r="A129" s="815"/>
      <c r="B129" s="809" t="str">
        <f ca="1">IFERROR(IF(INDEX('Outcome Indicators - Section C '!AA$1:AA$100,MATCH($A128,'Outcome Indicators - Section C '!$A$1:$A$100,0))&lt;&gt;0,INDEX('Outcome Indicators - Section C '!AA$1:AA$100,MATCH($A128,'Outcome Indicators - Section C '!$A$1:$A$100,0)),""),"")</f>
        <v/>
      </c>
      <c r="C129" s="810"/>
      <c r="D129" s="810"/>
      <c r="E129" s="810"/>
      <c r="F129" s="810"/>
      <c r="G129" s="810"/>
      <c r="H129" s="810"/>
      <c r="I129" s="811"/>
      <c r="J129" s="811"/>
      <c r="K129" s="811"/>
      <c r="L129" s="811"/>
      <c r="M129" s="811"/>
      <c r="N129" s="811"/>
      <c r="O129" s="811"/>
      <c r="P129" s="811"/>
      <c r="Q129" s="811"/>
      <c r="R129" s="811"/>
      <c r="S129" s="812"/>
      <c r="T129" s="305"/>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813"/>
      <c r="AV129" s="813"/>
      <c r="AW129" s="813"/>
      <c r="AX129" s="813"/>
    </row>
    <row r="130" spans="1:55" s="220" customFormat="1" ht="172.4" customHeight="1" x14ac:dyDescent="0.35">
      <c r="A130" s="816">
        <v>12</v>
      </c>
      <c r="B130" s="818" t="str">
        <f ca="1">IFERROR(IF(INDEX('Outcome Indicators - Section C '!B$1:B$100,MATCH($A130,'Outcome Indicators - Section C '!$A$1:$A$100,0))&lt;&gt;0,INDEX('Outcome Indicators - Section C '!B$1:B$100,MATCH($A130,'Outcome Indicators - Section C '!$A$1:$A$100,0)),""),"")</f>
        <v/>
      </c>
      <c r="C130" s="819"/>
      <c r="D130" s="820"/>
      <c r="E130" s="818" t="str">
        <f ca="1">IFERROR(IF(INDEX('Outcome Indicators - Section C '!C$1:C$100,MATCH($A130,'Outcome Indicators - Section C '!$A$1:$A$100,0))&lt;&gt;0,INDEX('Outcome Indicators - Section C '!C$1:C$100,MATCH($A130,'Outcome Indicators - Section C '!$A$1:$A$100,0)),""),"")</f>
        <v/>
      </c>
      <c r="F130" s="819"/>
      <c r="G130" s="820"/>
      <c r="H130" s="421" t="str">
        <f ca="1">IFERROR(IF(INDEX('Outcome Indicators - Section C '!D$1:D$100,MATCH($A130,'Outcome Indicators - Section C '!$A$1:$A$100,0))&lt;&gt;"",FIXED(INDEX('Outcome Indicators - Section C '!D$1:D$100,MATCH($A130,'Outcome Indicators - Section C '!$A$1:$A$100,0)),4),""),"")&amp;"/"&amp;IFERROR(IF(INDEX('Outcome Indicators - Section C '!D$1:D$100,MATCH($A130,'Outcome Indicators - Section C '!$A$1:$A$100,0)+1)&lt;&gt;"",FIXED(INDEX('Outcome Indicators - Section C '!D$1:D$100,MATCH($A130,'Outcome Indicators - Section C '!$A$1:$A$100,0)+1),2),""),"")&amp;CHAR(10)&amp;IFERROR(IF(INDEX('Outcome Indicators - Section C '!E$1:E$100,MATCH($A130,'Outcome Indicators - Section C '!$A$1:$A$100,0))&lt;&gt;"",FIXED(INDEX('Outcome Indicators - Section C '!E$1:E$100,MATCH($A130,'Outcome Indicators - Section C '!$A$1:$A$100,0))*100,2)&amp;"%",""),"")</f>
        <v xml:space="preserve">/
</v>
      </c>
      <c r="I130" s="421" t="str">
        <f ca="1">IFERROR(IF(INDEX('Outcome Indicators - Section C '!F$1:F$100,MATCH($A130,'Outcome Indicators - Section C '!$A$1:$A$100,0))&lt;&gt;0,INDEX('Outcome Indicators - Section C '!F$1:F$100,MATCH($A130,'Outcome Indicators - Section C '!$A$1:$A$100,0)),""),"")&amp;CHAR(10)&amp;IFERROR(IF(INDEX('Outcome Indicators - Section C '!G$1:G$100,MATCH($A130,'Outcome Indicators - Section C '!$A$1:$A$100,0))&lt;&gt;0,INDEX('Outcome Indicators - Section C '!G$1:G$100,MATCH($A130,'Outcome Indicators - Section C '!$A$1:$A$100,0)),""),"")</f>
        <v xml:space="preserve">
</v>
      </c>
      <c r="J130" s="818" t="str">
        <f ca="1">IFERROR(IF(INDEX('Outcome Indicators - Section C '!H$1:H$100,MATCH($A130,'Outcome Indicators - Section C '!$A$1:$A$100,0))&lt;&gt;0,INDEX('Outcome Indicators - Section C '!H$1:H$100,MATCH($A130,'Outcome Indicators - Section C '!$A$1:$A$100,0)),""),"")</f>
        <v/>
      </c>
      <c r="K130" s="819"/>
      <c r="L130" s="819"/>
      <c r="M130" s="820"/>
      <c r="N130" s="422" t="str">
        <f ca="1">IFERROR(IF(AND('Overview - Section A'!AN$5="Grant Making",OR(B130&lt;&gt;"",E130&lt;&gt;"")),Setup!I15,IF(INDEX('Outcome Indicators - Section C '!I$1:I$100,MATCH($A130,'Outcome Indicators - Section C '!$A$1:$A$100,0))&lt;&gt;0,INDEX('Outcome Indicators - Section C '!I$1:I$100,MATCH($A130,'Outcome Indicators - Section C '!$A$1:$A$100,0)),"")),"")</f>
        <v/>
      </c>
      <c r="O130" s="422" t="str">
        <f>IFERROR(IF(INDEX('Outcome Indicators - Section C '!J$9:J$38,MATCH($A130,'Outcome Indicators - Section C '!$A$9:$A$38,0))&lt;&gt;0,INDEX('Outcome Indicators - Section C '!J$9:J$38,MATCH($A130,'Outcome Indicators - Section C '!$A$9:$A$38,0)),""),"")</f>
        <v/>
      </c>
      <c r="P130" s="423" t="str">
        <f ca="1">IFERROR(IF(INDEX('Outcome Indicators - Section C '!K$1:K$100,MATCH($A130,'Outcome Indicators - Section C '!$A$1:$A$100,0))&lt;&gt;"",FIXED(INDEX('Outcome Indicators - Section C '!K$1:K$100,MATCH($A130,'Outcome Indicators - Section C '!$A$1:$A$100,0)),4),""),"")&amp;"/"&amp;IFERROR(IF(INDEX('Outcome Indicators - Section C '!K$1:K$100,MATCH($A130,'Outcome Indicators - Section C '!$A$1:$A$100,0)+1)&lt;&gt;"",FIXED(INDEX('Outcome Indicators - Section C '!K$1:K$100,MATCH($A130,'Outcome Indicators - Section C '!$A$1:$A$100,0)+1),2),""),"")&amp;CHAR(10)&amp;IFERROR(IF(INDEX('Outcome Indicators - Section C '!L$1:L$100,MATCH($A130,'Outcome Indicators - Section C '!$A$1:$A$100,0))&lt;&gt;"",FIXED(INDEX('Outcome Indicators - Section C '!L$1:L$100,MATCH($A130,'Outcome Indicators - Section C '!$A$1:$A$100,0))*100,2)&amp;"%",""),"")&amp;CHAR(10)&amp;IFERROR(IF(INDEX('Outcome Indicators - Section C '!N$1:N$100,MATCH($A130,'Outcome Indicators - Section C '!$A$1:$A$100,0))&lt;&gt;"",INDEX('Outcome Indicators - Section C '!N$1:N$100,MATCH($A130,'Outcome Indicators - Section C '!$A$1:$A$100,0)),""),"")&amp;CHAR(10)&amp;IFERROR(IF(INDEX('Outcome Indicators - Section C '!M$1:M$100,MATCH($A130,'Outcome Indicators - Section C '!$A$1:$A$100,0))&lt;&gt;"",TEXT(INDEX('Outcome Indicators - Section C '!M$1:M$100,MATCH($A130,'Outcome Indicators - Section C '!$A$1:$A$100,0)),Setup!$A$33),""),"")</f>
        <v xml:space="preserve">/
</v>
      </c>
      <c r="Q130" s="421" t="str">
        <f ca="1">IFERROR(IF(INDEX('Outcome Indicators - Section C '!O$1:O$38,MATCH($A130,'Outcome Indicators - Section C '!$A$1:$A$38,0))&lt;&gt;"",FIXED(INDEX('Outcome Indicators - Section C '!O$1:O$38,MATCH($A130,'Outcome Indicators - Section C '!$A$1:$A$38,0)),4),""),"")&amp;"/"&amp;IFERROR(IF(INDEX('Outcome Indicators - Section C '!O$1:O$38,MATCH($A130,'Outcome Indicators - Section C '!$A$1:$A$38,0)+1)&lt;&gt;"",FIXED(INDEX('Outcome Indicators - Section C '!O$1:O$38,MATCH($A130,'Outcome Indicators - Section C '!$A$1:$A$38,0)+1),2),""),"")&amp;CHAR(10)&amp;IFERROR(IF(INDEX('Outcome Indicators - Section C '!P$1:P$38,MATCH($A130,'Outcome Indicators - Section C '!$A$1:$A$38,0))&lt;&gt;"",FIXED(INDEX('Outcome Indicators - Section C '!P$1:P$38,MATCH($A130,'Outcome Indicators - Section C '!$A$1:$A$38,0))*100,2)&amp;"%",""),"")&amp;CHAR(10)&amp;IFERROR(IF(INDEX('Outcome Indicators - Section C '!R$1:R$38,MATCH($A130,'Outcome Indicators - Section C '!$A$1:$A$38,0))&lt;&gt;"",INDEX('Outcome Indicators - Section C '!R$1:R$38,MATCH($A130,'Outcome Indicators - Section C '!$A$1:$A$38,0)),""),"")&amp;CHAR(10)&amp;IFERROR(IF(INDEX('Outcome Indicators - Section C '!Q$1:Q$38,MATCH($A130,'Outcome Indicators - Section C '!$A$1:$A$38,0))&lt;&gt;"",TEXT(INDEX('Outcome Indicators - Section C '!Q$1:Q$38,MATCH($A130,'Outcome Indicators - Section C '!$A$1:$A$38,0)),Setup!$A$33),""),"")</f>
        <v xml:space="preserve">/
</v>
      </c>
      <c r="R130" s="421" t="str">
        <f ca="1">IFERROR(IF(INDEX('Outcome Indicators - Section C '!S$1:S$38,MATCH($A130,'Outcome Indicators - Section C '!$A$1:$A$38,0))&lt;&gt;"",FIXED(INDEX('Outcome Indicators - Section C '!S$1:S$38,MATCH($A130,'Outcome Indicators - Section C '!$A$1:$A$38,0)),4),""),"")&amp;"/"&amp;IFERROR(IF(INDEX('Outcome Indicators - Section C '!S$1:S$38,MATCH($A130,'Outcome Indicators - Section C '!$A$1:$A$38,0)+1)&lt;&gt;"",FIXED(INDEX('Outcome Indicators - Section C '!S$1:S$38,MATCH($A130,'Outcome Indicators - Section C '!$A$1:$A$38,0)+1),2),""),"")&amp;CHAR(10)&amp;IFERROR(IF(INDEX('Outcome Indicators - Section C '!T$1:T$38,MATCH($A130,'Outcome Indicators - Section C '!$A$1:$A$38,0))&lt;&gt;"",FIXED(INDEX('Outcome Indicators - Section C '!T$1:T$38,MATCH($A130,'Outcome Indicators - Section C '!$A$1:$A$38,0))*100,2)&amp;"%",""),"")&amp;CHAR(10)&amp;IFERROR(IF(INDEX('Outcome Indicators - Section C '!V$1:V$38,MATCH($A130,'Outcome Indicators - Section C '!$A$1:$A$38,0))&lt;&gt;"",INDEX('Outcome Indicators - Section C '!V$1:V$38,MATCH($A130,'Outcome Indicators - Section C '!$A$1:$A$38,0)),""),"")&amp;CHAR(10)&amp;IFERROR(IF(INDEX('Outcome Indicators - Section C '!U$1:U$38,MATCH($A130,'Outcome Indicators - Section C '!$A$1:$A$38,0))&lt;&gt;"",TEXT(INDEX('Outcome Indicators - Section C '!U$1:U$38,MATCH($A130,'Outcome Indicators - Section C '!$A$1:$A$38,0)),Setup!$A$33),""),"")</f>
        <v xml:space="preserve">/
</v>
      </c>
      <c r="S130" s="421" t="str">
        <f ca="1">IFERROR(IF(INDEX('Outcome Indicators - Section C '!W$9:W$38,MATCH($A130,'Outcome Indicators - Section C '!$A$9:$A$38,0))&lt;&gt;"",FIXED(INDEX('Outcome Indicators - Section C '!W$9:W$38,MATCH($A130,'Outcome Indicators - Section C '!$A$9:$A$38,0)),4),""),"")&amp;"/"&amp;IFERROR(IF(INDEX('Outcome Indicators - Section C '!W$9:W$38,MATCH($A130,'Outcome Indicators - Section C '!$A$9:$A$38,0)+1)&lt;&gt;"",FIXED(INDEX('Outcome Indicators - Section C '!W$9:W$38,MATCH($A130,'Outcome Indicators - Section C '!$A$9:$A$38,0)+1),2),""),"")&amp;CHAR(10)&amp;IFERROR(IF(INDEX('Outcome Indicators - Section C '!X$9:X$38,MATCH($A130,'Outcome Indicators - Section C '!$A$9:$A$38,0))&lt;&gt;"",FIXED(INDEX('Outcome Indicators - Section C '!X$9:X$38,MATCH($A130,'Outcome Indicators - Section C '!$A$9:$A$38,0))*100,2)&amp;"%",""),"")&amp;CHAR(10)&amp;IFERROR(IF(INDEX('Outcome Indicators - Section C '!Z$9:Z$38,MATCH($A130,'Outcome Indicators - Section C '!$A$9:$A$38,0))&lt;&gt;"",INDEX('Outcome Indicators - Section C '!Z$9:Z$38,MATCH($A130,'Outcome Indicators - Section C '!$A$9:$A$38,0)),""),"")&amp;CHAR(10)&amp;IFERROR(IF(INDEX('Outcome Indicators - Section C '!Y$9:Y$38,MATCH($A130,'Outcome Indicators - Section C '!$A$9:$A$38,0))&lt;&gt;"",TEXT(INDEX('Outcome Indicators - Section C '!Y$9:Y$38,MATCH($A130,'Outcome Indicators - Section C '!$A$9:$A$38,0)),Setup!$A$33),""),"")</f>
        <v xml:space="preserve">/
</v>
      </c>
      <c r="T130" s="418"/>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802"/>
      <c r="AV130" s="802"/>
      <c r="AW130" s="802"/>
      <c r="AX130" s="802"/>
      <c r="AY130" s="204"/>
      <c r="AZ130" s="204"/>
      <c r="BA130" s="204"/>
      <c r="BB130" s="204"/>
      <c r="BC130" s="204"/>
    </row>
    <row r="131" spans="1:55" s="220" customFormat="1" ht="96" customHeight="1" thickBot="1" x14ac:dyDescent="0.4">
      <c r="A131" s="817"/>
      <c r="B131" s="821" t="str">
        <f ca="1">IFERROR(IF(INDEX('Outcome Indicators - Section C '!AA$1:AA$100,MATCH($A130,'Outcome Indicators - Section C '!$A$1:$A$100,0))&lt;&gt;0,INDEX('Outcome Indicators - Section C '!AA$1:AA$100,MATCH($A130,'Outcome Indicators - Section C '!$A$1:$A$100,0)),""),"")</f>
        <v/>
      </c>
      <c r="C131" s="822"/>
      <c r="D131" s="822"/>
      <c r="E131" s="822"/>
      <c r="F131" s="822"/>
      <c r="G131" s="822"/>
      <c r="H131" s="822"/>
      <c r="I131" s="822"/>
      <c r="J131" s="822"/>
      <c r="K131" s="822"/>
      <c r="L131" s="822"/>
      <c r="M131" s="822"/>
      <c r="N131" s="822"/>
      <c r="O131" s="822"/>
      <c r="P131" s="822"/>
      <c r="Q131" s="822"/>
      <c r="R131" s="822"/>
      <c r="S131" s="823"/>
      <c r="T131" s="310"/>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802"/>
      <c r="AV131" s="802"/>
      <c r="AW131" s="802"/>
      <c r="AX131" s="802"/>
      <c r="AY131" s="204"/>
      <c r="AZ131" s="204"/>
      <c r="BA131" s="204"/>
      <c r="BB131" s="204"/>
      <c r="BC131" s="204"/>
    </row>
    <row r="132" spans="1:55" ht="172.4" customHeight="1" x14ac:dyDescent="0.35">
      <c r="A132" s="814">
        <v>13</v>
      </c>
      <c r="B132" s="824" t="str">
        <f ca="1">IFERROR(IF(INDEX('Outcome Indicators - Section C '!B$1:B$100,MATCH($A132,'Outcome Indicators - Section C '!$A$1:$A$100,0))&lt;&gt;0,INDEX('Outcome Indicators - Section C '!B$1:B$100,MATCH($A132,'Outcome Indicators - Section C '!$A$1:$A$100,0)),""),"")</f>
        <v/>
      </c>
      <c r="C132" s="825"/>
      <c r="D132" s="826"/>
      <c r="E132" s="824" t="str">
        <f ca="1">IFERROR(IF(INDEX('Outcome Indicators - Section C '!C$1:C$100,MATCH($A132,'Outcome Indicators - Section C '!$A$1:$A$100,0))&lt;&gt;0,INDEX('Outcome Indicators - Section C '!C$1:C$100,MATCH($A132,'Outcome Indicators - Section C '!$A$1:$A$100,0)),""),"")</f>
        <v/>
      </c>
      <c r="F132" s="825"/>
      <c r="G132" s="826"/>
      <c r="H132" s="388" t="str">
        <f ca="1">IFERROR(IF(INDEX('Outcome Indicators - Section C '!D$1:D$100,MATCH($A132,'Outcome Indicators - Section C '!$A$1:$A$100,0))&lt;&gt;"",FIXED(INDEX('Outcome Indicators - Section C '!D$1:D$100,MATCH($A132,'Outcome Indicators - Section C '!$A$1:$A$100,0)),4),""),"")&amp;"/"&amp;IFERROR(IF(INDEX('Outcome Indicators - Section C '!D$1:D$100,MATCH($A132,'Outcome Indicators - Section C '!$A$1:$A$100,0)+1)&lt;&gt;"",FIXED(INDEX('Outcome Indicators - Section C '!D$1:D$100,MATCH($A132,'Outcome Indicators - Section C '!$A$1:$A$100,0)+1),2),""),"")&amp;CHAR(10)&amp;IFERROR(IF(INDEX('Outcome Indicators - Section C '!E$1:E$100,MATCH($A132,'Outcome Indicators - Section C '!$A$1:$A$100,0))&lt;&gt;"",FIXED(INDEX('Outcome Indicators - Section C '!E$1:E$100,MATCH($A132,'Outcome Indicators - Section C '!$A$1:$A$100,0))*100,2)&amp;"%",""),"")</f>
        <v xml:space="preserve">/
</v>
      </c>
      <c r="I132" s="388" t="str">
        <f ca="1">IFERROR(IF(INDEX('Outcome Indicators - Section C '!F$1:F$100,MATCH($A132,'Outcome Indicators - Section C '!$A$1:$A$100,0))&lt;&gt;0,INDEX('Outcome Indicators - Section C '!F$1:F$100,MATCH($A132,'Outcome Indicators - Section C '!$A$1:$A$100,0)),""),"")&amp;CHAR(10)&amp;IFERROR(IF(INDEX('Outcome Indicators - Section C '!G$1:G$100,MATCH($A132,'Outcome Indicators - Section C '!$A$1:$A$100,0))&lt;&gt;0,INDEX('Outcome Indicators - Section C '!G$1:G$100,MATCH($A132,'Outcome Indicators - Section C '!$A$1:$A$100,0)),""),"")</f>
        <v xml:space="preserve">
</v>
      </c>
      <c r="J132" s="824" t="str">
        <f ca="1">IFERROR(IF(INDEX('Outcome Indicators - Section C '!H$1:H$100,MATCH($A132,'Outcome Indicators - Section C '!$A$1:$A$100,0))&lt;&gt;0,INDEX('Outcome Indicators - Section C '!H$1:H$100,MATCH($A132,'Outcome Indicators - Section C '!$A$1:$A$100,0)),""),"")</f>
        <v/>
      </c>
      <c r="K132" s="825"/>
      <c r="L132" s="825"/>
      <c r="M132" s="826"/>
      <c r="N132" s="389" t="str">
        <f ca="1">IFERROR(IF(AND('Overview - Section A'!AN$5="Grant Making",OR(B132&lt;&gt;"",E132&lt;&gt;"")),Setup!I15,IF(INDEX('Outcome Indicators - Section C '!I$1:I$100,MATCH($A132,'Outcome Indicators - Section C '!$A$1:$A$100,0))&lt;&gt;0,INDEX('Outcome Indicators - Section C '!I$1:I$100,MATCH($A132,'Outcome Indicators - Section C '!$A$1:$A$100,0)),"")),"")</f>
        <v/>
      </c>
      <c r="O132" s="389" t="str">
        <f>IFERROR(IF(INDEX('Outcome Indicators - Section C '!J$9:J$38,MATCH($A132,'Outcome Indicators - Section C '!$A$9:$A$38,0))&lt;&gt;0,INDEX('Outcome Indicators - Section C '!J$9:J$38,MATCH($A132,'Outcome Indicators - Section C '!$A$9:$A$38,0)),""),"")</f>
        <v/>
      </c>
      <c r="P132" s="390" t="str">
        <f ca="1">IFERROR(IF(INDEX('Outcome Indicators - Section C '!K$1:K$100,MATCH($A132,'Outcome Indicators - Section C '!$A$1:$A$100,0))&lt;&gt;"",FIXED(INDEX('Outcome Indicators - Section C '!K$1:K$100,MATCH($A132,'Outcome Indicators - Section C '!$A$1:$A$100,0)),4),""),"")&amp;"/"&amp;IFERROR(IF(INDEX('Outcome Indicators - Section C '!K$1:K$100,MATCH($A132,'Outcome Indicators - Section C '!$A$1:$A$100,0)+1)&lt;&gt;"",FIXED(INDEX('Outcome Indicators - Section C '!K$1:K$100,MATCH($A132,'Outcome Indicators - Section C '!$A$1:$A$100,0)+1),2),""),"")&amp;CHAR(10)&amp;IFERROR(IF(INDEX('Outcome Indicators - Section C '!L$1:L$100,MATCH($A132,'Outcome Indicators - Section C '!$A$1:$A$100,0))&lt;&gt;"",FIXED(INDEX('Outcome Indicators - Section C '!L$1:L$100,MATCH($A132,'Outcome Indicators - Section C '!$A$1:$A$100,0))*100,2)&amp;"%",""),"")&amp;CHAR(10)&amp;IFERROR(IF(INDEX('Outcome Indicators - Section C '!N$1:N$100,MATCH($A132,'Outcome Indicators - Section C '!$A$1:$A$100,0))&lt;&gt;"",INDEX('Outcome Indicators - Section C '!N$1:N$100,MATCH($A132,'Outcome Indicators - Section C '!$A$1:$A$100,0)),""),"")&amp;CHAR(10)&amp;IFERROR(IF(INDEX('Outcome Indicators - Section C '!M$1:M$100,MATCH($A132,'Outcome Indicators - Section C '!$A$1:$A$100,0))&lt;&gt;"",TEXT(INDEX('Outcome Indicators - Section C '!M$1:M$100,MATCH($A132,'Outcome Indicators - Section C '!$A$1:$A$100,0)),Setup!$A$33),""),"")</f>
        <v xml:space="preserve">/
</v>
      </c>
      <c r="Q132" s="388" t="str">
        <f ca="1">IFERROR(IF(INDEX('Outcome Indicators - Section C '!O$1:O$38,MATCH($A132,'Outcome Indicators - Section C '!$A$1:$A$38,0))&lt;&gt;"",FIXED(INDEX('Outcome Indicators - Section C '!O$1:O$38,MATCH($A132,'Outcome Indicators - Section C '!$A$1:$A$38,0)),4),""),"")&amp;"/"&amp;IFERROR(IF(INDEX('Outcome Indicators - Section C '!O$1:O$38,MATCH($A132,'Outcome Indicators - Section C '!$A$1:$A$38,0)+1)&lt;&gt;"",FIXED(INDEX('Outcome Indicators - Section C '!O$1:O$38,MATCH($A132,'Outcome Indicators - Section C '!$A$1:$A$38,0)+1),2),""),"")&amp;CHAR(10)&amp;IFERROR(IF(INDEX('Outcome Indicators - Section C '!P$1:P$38,MATCH($A132,'Outcome Indicators - Section C '!$A$1:$A$38,0))&lt;&gt;"",FIXED(INDEX('Outcome Indicators - Section C '!P$1:P$38,MATCH($A132,'Outcome Indicators - Section C '!$A$1:$A$38,0))*100,2)&amp;"%",""),"")&amp;CHAR(10)&amp;IFERROR(IF(INDEX('Outcome Indicators - Section C '!R$1:R$38,MATCH($A132,'Outcome Indicators - Section C '!$A$1:$A$38,0))&lt;&gt;"",INDEX('Outcome Indicators - Section C '!R$1:R$38,MATCH($A132,'Outcome Indicators - Section C '!$A$1:$A$38,0)),""),"")&amp;CHAR(10)&amp;IFERROR(IF(INDEX('Outcome Indicators - Section C '!Q$1:Q$38,MATCH($A132,'Outcome Indicators - Section C '!$A$1:$A$38,0))&lt;&gt;"",TEXT(INDEX('Outcome Indicators - Section C '!Q$1:Q$38,MATCH($A132,'Outcome Indicators - Section C '!$A$1:$A$38,0)),Setup!$A$33),""),"")</f>
        <v xml:space="preserve">/
</v>
      </c>
      <c r="R132" s="388" t="str">
        <f ca="1">IFERROR(IF(INDEX('Outcome Indicators - Section C '!S$1:S$38,MATCH($A132,'Outcome Indicators - Section C '!$A$1:$A$38,0))&lt;&gt;"",FIXED(INDEX('Outcome Indicators - Section C '!S$1:S$38,MATCH($A132,'Outcome Indicators - Section C '!$A$1:$A$38,0)),4),""),"")&amp;"/"&amp;IFERROR(IF(INDEX('Outcome Indicators - Section C '!S$1:S$38,MATCH($A132,'Outcome Indicators - Section C '!$A$1:$A$38,0)+1)&lt;&gt;"",FIXED(INDEX('Outcome Indicators - Section C '!S$1:S$38,MATCH($A132,'Outcome Indicators - Section C '!$A$1:$A$38,0)+1),2),""),"")&amp;CHAR(10)&amp;IFERROR(IF(INDEX('Outcome Indicators - Section C '!T$1:T$38,MATCH($A132,'Outcome Indicators - Section C '!$A$1:$A$38,0))&lt;&gt;"",FIXED(INDEX('Outcome Indicators - Section C '!T$1:T$38,MATCH($A132,'Outcome Indicators - Section C '!$A$1:$A$38,0))*100,2)&amp;"%",""),"")&amp;CHAR(10)&amp;IFERROR(IF(INDEX('Outcome Indicators - Section C '!V$1:V$38,MATCH($A132,'Outcome Indicators - Section C '!$A$1:$A$38,0))&lt;&gt;"",INDEX('Outcome Indicators - Section C '!V$1:V$38,MATCH($A132,'Outcome Indicators - Section C '!$A$1:$A$38,0)),""),"")&amp;CHAR(10)&amp;IFERROR(IF(INDEX('Outcome Indicators - Section C '!U$1:U$38,MATCH($A132,'Outcome Indicators - Section C '!$A$1:$A$38,0))&lt;&gt;"",TEXT(INDEX('Outcome Indicators - Section C '!U$1:U$38,MATCH($A132,'Outcome Indicators - Section C '!$A$1:$A$38,0)),Setup!$A$33),""),"")</f>
        <v xml:space="preserve">/
</v>
      </c>
      <c r="S132" s="388" t="str">
        <f ca="1">IFERROR(IF(INDEX('Outcome Indicators - Section C '!W$9:W$38,MATCH($A132,'Outcome Indicators - Section C '!$A$9:$A$38,0))&lt;&gt;"",FIXED(INDEX('Outcome Indicators - Section C '!W$9:W$38,MATCH($A132,'Outcome Indicators - Section C '!$A$9:$A$38,0)),4),""),"")&amp;"/"&amp;IFERROR(IF(INDEX('Outcome Indicators - Section C '!W$9:W$38,MATCH($A132,'Outcome Indicators - Section C '!$A$9:$A$38,0)+1)&lt;&gt;"",FIXED(INDEX('Outcome Indicators - Section C '!W$9:W$38,MATCH($A132,'Outcome Indicators - Section C '!$A$9:$A$38,0)+1),2),""),"")&amp;CHAR(10)&amp;IFERROR(IF(INDEX('Outcome Indicators - Section C '!X$9:X$38,MATCH($A132,'Outcome Indicators - Section C '!$A$9:$A$38,0))&lt;&gt;"",FIXED(INDEX('Outcome Indicators - Section C '!X$9:X$38,MATCH($A132,'Outcome Indicators - Section C '!$A$9:$A$38,0))*100,2)&amp;"%",""),"")&amp;CHAR(10)&amp;IFERROR(IF(INDEX('Outcome Indicators - Section C '!Z$9:Z$38,MATCH($A132,'Outcome Indicators - Section C '!$A$9:$A$38,0))&lt;&gt;"",INDEX('Outcome Indicators - Section C '!Z$9:Z$38,MATCH($A132,'Outcome Indicators - Section C '!$A$9:$A$38,0)),""),"")&amp;CHAR(10)&amp;IFERROR(IF(INDEX('Outcome Indicators - Section C '!Y$9:Y$38,MATCH($A132,'Outcome Indicators - Section C '!$A$9:$A$38,0))&lt;&gt;"",TEXT(INDEX('Outcome Indicators - Section C '!Y$9:Y$38,MATCH($A132,'Outcome Indicators - Section C '!$A$9:$A$38,0)),Setup!$A$33),""),"")</f>
        <v xml:space="preserve">/
</v>
      </c>
      <c r="T132" s="309"/>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813"/>
      <c r="AV132" s="813"/>
      <c r="AW132" s="813"/>
      <c r="AX132" s="813"/>
    </row>
    <row r="133" spans="1:55" ht="96" customHeight="1" thickBot="1" x14ac:dyDescent="0.4">
      <c r="A133" s="815"/>
      <c r="B133" s="809" t="str">
        <f ca="1">IFERROR(IF(INDEX('Outcome Indicators - Section C '!AA$1:AA$100,MATCH($A132,'Outcome Indicators - Section C '!$A$1:$A$100,0))&lt;&gt;0,INDEX('Outcome Indicators - Section C '!AA$1:AA$100,MATCH($A132,'Outcome Indicators - Section C '!$A$1:$A$100,0)),""),"")</f>
        <v/>
      </c>
      <c r="C133" s="810"/>
      <c r="D133" s="810"/>
      <c r="E133" s="810"/>
      <c r="F133" s="810"/>
      <c r="G133" s="810"/>
      <c r="H133" s="810"/>
      <c r="I133" s="811"/>
      <c r="J133" s="811"/>
      <c r="K133" s="811"/>
      <c r="L133" s="811"/>
      <c r="M133" s="811"/>
      <c r="N133" s="811"/>
      <c r="O133" s="811"/>
      <c r="P133" s="811"/>
      <c r="Q133" s="811"/>
      <c r="R133" s="811"/>
      <c r="S133" s="812"/>
      <c r="T133" s="305"/>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813"/>
      <c r="AV133" s="813"/>
      <c r="AW133" s="813"/>
      <c r="AX133" s="813"/>
    </row>
    <row r="134" spans="1:55" s="220" customFormat="1" ht="172.4" customHeight="1" x14ac:dyDescent="0.35">
      <c r="A134" s="816">
        <v>14</v>
      </c>
      <c r="B134" s="818" t="str">
        <f ca="1">IFERROR(IF(INDEX('Outcome Indicators - Section C '!B$1:B$100,MATCH($A134,'Outcome Indicators - Section C '!$A$1:$A$100,0))&lt;&gt;0,INDEX('Outcome Indicators - Section C '!B$1:B$100,MATCH($A134,'Outcome Indicators - Section C '!$A$1:$A$100,0)),""),"")</f>
        <v/>
      </c>
      <c r="C134" s="819"/>
      <c r="D134" s="820"/>
      <c r="E134" s="818" t="str">
        <f ca="1">IFERROR(IF(INDEX('Outcome Indicators - Section C '!C$1:C$100,MATCH($A134,'Outcome Indicators - Section C '!$A$1:$A$100,0))&lt;&gt;0,INDEX('Outcome Indicators - Section C '!C$1:C$100,MATCH($A134,'Outcome Indicators - Section C '!$A$1:$A$100,0)),""),"")</f>
        <v/>
      </c>
      <c r="F134" s="819"/>
      <c r="G134" s="820"/>
      <c r="H134" s="421" t="str">
        <f ca="1">IFERROR(IF(INDEX('Outcome Indicators - Section C '!D$1:D$100,MATCH($A134,'Outcome Indicators - Section C '!$A$1:$A$100,0))&lt;&gt;"",FIXED(INDEX('Outcome Indicators - Section C '!D$1:D$100,MATCH($A134,'Outcome Indicators - Section C '!$A$1:$A$100,0)),4),""),"")&amp;"/"&amp;IFERROR(IF(INDEX('Outcome Indicators - Section C '!D$1:D$100,MATCH($A134,'Outcome Indicators - Section C '!$A$1:$A$100,0)+1)&lt;&gt;"",FIXED(INDEX('Outcome Indicators - Section C '!D$1:D$100,MATCH($A134,'Outcome Indicators - Section C '!$A$1:$A$100,0)+1),2),""),"")&amp;CHAR(10)&amp;IFERROR(IF(INDEX('Outcome Indicators - Section C '!E$1:E$100,MATCH($A134,'Outcome Indicators - Section C '!$A$1:$A$100,0))&lt;&gt;"",FIXED(INDEX('Outcome Indicators - Section C '!E$1:E$100,MATCH($A134,'Outcome Indicators - Section C '!$A$1:$A$100,0))*100,2)&amp;"%",""),"")</f>
        <v xml:space="preserve">/
</v>
      </c>
      <c r="I134" s="421" t="str">
        <f ca="1">IFERROR(IF(INDEX('Outcome Indicators - Section C '!F$1:F$100,MATCH($A134,'Outcome Indicators - Section C '!$A$1:$A$100,0))&lt;&gt;0,INDEX('Outcome Indicators - Section C '!F$1:F$100,MATCH($A134,'Outcome Indicators - Section C '!$A$1:$A$100,0)),""),"")&amp;CHAR(10)&amp;IFERROR(IF(INDEX('Outcome Indicators - Section C '!G$1:G$100,MATCH($A134,'Outcome Indicators - Section C '!$A$1:$A$100,0))&lt;&gt;0,INDEX('Outcome Indicators - Section C '!G$1:G$100,MATCH($A134,'Outcome Indicators - Section C '!$A$1:$A$100,0)),""),"")</f>
        <v xml:space="preserve">
</v>
      </c>
      <c r="J134" s="818" t="str">
        <f ca="1">IFERROR(IF(INDEX('Outcome Indicators - Section C '!H$1:H$100,MATCH($A134,'Outcome Indicators - Section C '!$A$1:$A$100,0))&lt;&gt;0,INDEX('Outcome Indicators - Section C '!H$1:H$100,MATCH($A134,'Outcome Indicators - Section C '!$A$1:$A$100,0)),""),"")</f>
        <v/>
      </c>
      <c r="K134" s="819"/>
      <c r="L134" s="819"/>
      <c r="M134" s="820"/>
      <c r="N134" s="422" t="str">
        <f ca="1">IFERROR(IF(AND('Overview - Section A'!AN$5="Grant Making",OR(B134&lt;&gt;"",E134&lt;&gt;"")),Setup!I15,IF(INDEX('Outcome Indicators - Section C '!I$1:I$100,MATCH($A134,'Outcome Indicators - Section C '!$A$1:$A$100,0))&lt;&gt;0,INDEX('Outcome Indicators - Section C '!I$1:I$100,MATCH($A134,'Outcome Indicators - Section C '!$A$1:$A$100,0)),"")),"")</f>
        <v/>
      </c>
      <c r="O134" s="422" t="str">
        <f>IFERROR(IF(INDEX('Outcome Indicators - Section C '!J$9:J$38,MATCH($A134,'Outcome Indicators - Section C '!$A$9:$A$38,0))&lt;&gt;0,INDEX('Outcome Indicators - Section C '!J$9:J$38,MATCH($A134,'Outcome Indicators - Section C '!$A$9:$A$38,0)),""),"")</f>
        <v/>
      </c>
      <c r="P134" s="423" t="str">
        <f ca="1">IFERROR(IF(INDEX('Outcome Indicators - Section C '!K$1:K$100,MATCH($A134,'Outcome Indicators - Section C '!$A$1:$A$100,0))&lt;&gt;"",FIXED(INDEX('Outcome Indicators - Section C '!K$1:K$100,MATCH($A134,'Outcome Indicators - Section C '!$A$1:$A$100,0)),4),""),"")&amp;"/"&amp;IFERROR(IF(INDEX('Outcome Indicators - Section C '!K$1:K$100,MATCH($A134,'Outcome Indicators - Section C '!$A$1:$A$100,0)+1)&lt;&gt;"",FIXED(INDEX('Outcome Indicators - Section C '!K$1:K$100,MATCH($A134,'Outcome Indicators - Section C '!$A$1:$A$100,0)+1),2),""),"")&amp;CHAR(10)&amp;IFERROR(IF(INDEX('Outcome Indicators - Section C '!L$1:L$100,MATCH($A134,'Outcome Indicators - Section C '!$A$1:$A$100,0))&lt;&gt;"",FIXED(INDEX('Outcome Indicators - Section C '!L$1:L$100,MATCH($A134,'Outcome Indicators - Section C '!$A$1:$A$100,0))*100,2)&amp;"%",""),"")&amp;CHAR(10)&amp;IFERROR(IF(INDEX('Outcome Indicators - Section C '!N$1:N$100,MATCH($A134,'Outcome Indicators - Section C '!$A$1:$A$100,0))&lt;&gt;"",INDEX('Outcome Indicators - Section C '!N$1:N$100,MATCH($A134,'Outcome Indicators - Section C '!$A$1:$A$100,0)),""),"")&amp;CHAR(10)&amp;IFERROR(IF(INDEX('Outcome Indicators - Section C '!M$1:M$100,MATCH($A134,'Outcome Indicators - Section C '!$A$1:$A$100,0))&lt;&gt;"",TEXT(INDEX('Outcome Indicators - Section C '!M$1:M$100,MATCH($A134,'Outcome Indicators - Section C '!$A$1:$A$100,0)),Setup!$A$33),""),"")</f>
        <v xml:space="preserve">/
</v>
      </c>
      <c r="Q134" s="421" t="str">
        <f ca="1">IFERROR(IF(INDEX('Outcome Indicators - Section C '!O$1:O$38,MATCH($A134,'Outcome Indicators - Section C '!$A$1:$A$38,0))&lt;&gt;"",FIXED(INDEX('Outcome Indicators - Section C '!O$1:O$38,MATCH($A134,'Outcome Indicators - Section C '!$A$1:$A$38,0)),4),""),"")&amp;"/"&amp;IFERROR(IF(INDEX('Outcome Indicators - Section C '!O$1:O$38,MATCH($A134,'Outcome Indicators - Section C '!$A$1:$A$38,0)+1)&lt;&gt;"",FIXED(INDEX('Outcome Indicators - Section C '!O$1:O$38,MATCH($A134,'Outcome Indicators - Section C '!$A$1:$A$38,0)+1),2),""),"")&amp;CHAR(10)&amp;IFERROR(IF(INDEX('Outcome Indicators - Section C '!P$1:P$38,MATCH($A134,'Outcome Indicators - Section C '!$A$1:$A$38,0))&lt;&gt;"",FIXED(INDEX('Outcome Indicators - Section C '!P$1:P$38,MATCH($A134,'Outcome Indicators - Section C '!$A$1:$A$38,0))*100,2)&amp;"%",""),"")&amp;CHAR(10)&amp;IFERROR(IF(INDEX('Outcome Indicators - Section C '!R$1:R$38,MATCH($A134,'Outcome Indicators - Section C '!$A$1:$A$38,0))&lt;&gt;"",INDEX('Outcome Indicators - Section C '!R$1:R$38,MATCH($A134,'Outcome Indicators - Section C '!$A$1:$A$38,0)),""),"")&amp;CHAR(10)&amp;IFERROR(IF(INDEX('Outcome Indicators - Section C '!Q$1:Q$38,MATCH($A134,'Outcome Indicators - Section C '!$A$1:$A$38,0))&lt;&gt;"",TEXT(INDEX('Outcome Indicators - Section C '!Q$1:Q$38,MATCH($A134,'Outcome Indicators - Section C '!$A$1:$A$38,0)),Setup!$A$33),""),"")</f>
        <v xml:space="preserve">/
</v>
      </c>
      <c r="R134" s="421" t="str">
        <f ca="1">IFERROR(IF(INDEX('Outcome Indicators - Section C '!S$1:S$38,MATCH($A134,'Outcome Indicators - Section C '!$A$1:$A$38,0))&lt;&gt;"",FIXED(INDEX('Outcome Indicators - Section C '!S$1:S$38,MATCH($A134,'Outcome Indicators - Section C '!$A$1:$A$38,0)),4),""),"")&amp;"/"&amp;IFERROR(IF(INDEX('Outcome Indicators - Section C '!S$1:S$38,MATCH($A134,'Outcome Indicators - Section C '!$A$1:$A$38,0)+1)&lt;&gt;"",FIXED(INDEX('Outcome Indicators - Section C '!S$1:S$38,MATCH($A134,'Outcome Indicators - Section C '!$A$1:$A$38,0)+1),2),""),"")&amp;CHAR(10)&amp;IFERROR(IF(INDEX('Outcome Indicators - Section C '!T$1:T$38,MATCH($A134,'Outcome Indicators - Section C '!$A$1:$A$38,0))&lt;&gt;"",FIXED(INDEX('Outcome Indicators - Section C '!T$1:T$38,MATCH($A134,'Outcome Indicators - Section C '!$A$1:$A$38,0))*100,2)&amp;"%",""),"")&amp;CHAR(10)&amp;IFERROR(IF(INDEX('Outcome Indicators - Section C '!V$1:V$38,MATCH($A134,'Outcome Indicators - Section C '!$A$1:$A$38,0))&lt;&gt;"",INDEX('Outcome Indicators - Section C '!V$1:V$38,MATCH($A134,'Outcome Indicators - Section C '!$A$1:$A$38,0)),""),"")&amp;CHAR(10)&amp;IFERROR(IF(INDEX('Outcome Indicators - Section C '!U$1:U$38,MATCH($A134,'Outcome Indicators - Section C '!$A$1:$A$38,0))&lt;&gt;"",TEXT(INDEX('Outcome Indicators - Section C '!U$1:U$38,MATCH($A134,'Outcome Indicators - Section C '!$A$1:$A$38,0)),Setup!$A$33),""),"")</f>
        <v xml:space="preserve">/
</v>
      </c>
      <c r="S134" s="421" t="str">
        <f ca="1">IFERROR(IF(INDEX('Outcome Indicators - Section C '!W$9:W$38,MATCH($A134,'Outcome Indicators - Section C '!$A$9:$A$38,0))&lt;&gt;"",FIXED(INDEX('Outcome Indicators - Section C '!W$9:W$38,MATCH($A134,'Outcome Indicators - Section C '!$A$9:$A$38,0)),4),""),"")&amp;"/"&amp;IFERROR(IF(INDEX('Outcome Indicators - Section C '!W$9:W$38,MATCH($A134,'Outcome Indicators - Section C '!$A$9:$A$38,0)+1)&lt;&gt;"",FIXED(INDEX('Outcome Indicators - Section C '!W$9:W$38,MATCH($A134,'Outcome Indicators - Section C '!$A$9:$A$38,0)+1),2),""),"")&amp;CHAR(10)&amp;IFERROR(IF(INDEX('Outcome Indicators - Section C '!X$9:X$38,MATCH($A134,'Outcome Indicators - Section C '!$A$9:$A$38,0))&lt;&gt;"",FIXED(INDEX('Outcome Indicators - Section C '!X$9:X$38,MATCH($A134,'Outcome Indicators - Section C '!$A$9:$A$38,0))*100,2)&amp;"%",""),"")&amp;CHAR(10)&amp;IFERROR(IF(INDEX('Outcome Indicators - Section C '!Z$9:Z$38,MATCH($A134,'Outcome Indicators - Section C '!$A$9:$A$38,0))&lt;&gt;"",INDEX('Outcome Indicators - Section C '!Z$9:Z$38,MATCH($A134,'Outcome Indicators - Section C '!$A$9:$A$38,0)),""),"")&amp;CHAR(10)&amp;IFERROR(IF(INDEX('Outcome Indicators - Section C '!Y$9:Y$38,MATCH($A134,'Outcome Indicators - Section C '!$A$9:$A$38,0))&lt;&gt;"",TEXT(INDEX('Outcome Indicators - Section C '!Y$9:Y$38,MATCH($A134,'Outcome Indicators - Section C '!$A$9:$A$38,0)),Setup!$A$33),""),"")</f>
        <v xml:space="preserve">/
</v>
      </c>
      <c r="T134" s="418"/>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802"/>
      <c r="AV134" s="802"/>
      <c r="AW134" s="802"/>
      <c r="AX134" s="802"/>
      <c r="AY134" s="204"/>
      <c r="AZ134" s="204"/>
      <c r="BA134" s="204"/>
      <c r="BB134" s="204"/>
      <c r="BC134" s="204"/>
    </row>
    <row r="135" spans="1:55" s="220" customFormat="1" ht="96" customHeight="1" thickBot="1" x14ac:dyDescent="0.4">
      <c r="A135" s="817"/>
      <c r="B135" s="821" t="str">
        <f ca="1">IFERROR(IF(INDEX('Outcome Indicators - Section C '!AA$1:AA$100,MATCH($A134,'Outcome Indicators - Section C '!$A$1:$A$100,0))&lt;&gt;0,INDEX('Outcome Indicators - Section C '!AA$1:AA$100,MATCH($A134,'Outcome Indicators - Section C '!$A$1:$A$100,0)),""),"")</f>
        <v/>
      </c>
      <c r="C135" s="822"/>
      <c r="D135" s="822"/>
      <c r="E135" s="822"/>
      <c r="F135" s="822"/>
      <c r="G135" s="822"/>
      <c r="H135" s="822"/>
      <c r="I135" s="822"/>
      <c r="J135" s="822"/>
      <c r="K135" s="822"/>
      <c r="L135" s="822"/>
      <c r="M135" s="822"/>
      <c r="N135" s="822"/>
      <c r="O135" s="822"/>
      <c r="P135" s="822"/>
      <c r="Q135" s="822"/>
      <c r="R135" s="822"/>
      <c r="S135" s="823"/>
      <c r="T135" s="310"/>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802"/>
      <c r="AV135" s="802"/>
      <c r="AW135" s="802"/>
      <c r="AX135" s="802"/>
      <c r="AY135" s="204"/>
      <c r="AZ135" s="204"/>
      <c r="BA135" s="204"/>
      <c r="BB135" s="204"/>
      <c r="BC135" s="204"/>
    </row>
    <row r="136" spans="1:55" ht="172.4" customHeight="1" x14ac:dyDescent="0.35">
      <c r="A136" s="814">
        <v>15</v>
      </c>
      <c r="B136" s="824" t="str">
        <f ca="1">IFERROR(IF(INDEX('Outcome Indicators - Section C '!B$1:B$100,MATCH($A136,'Outcome Indicators - Section C '!$A$1:$A$100,0))&lt;&gt;0,INDEX('Outcome Indicators - Section C '!B$1:B$100,MATCH($A136,'Outcome Indicators - Section C '!$A$1:$A$100,0)),""),"")</f>
        <v/>
      </c>
      <c r="C136" s="825"/>
      <c r="D136" s="826"/>
      <c r="E136" s="824" t="str">
        <f ca="1">IFERROR(IF(INDEX('Outcome Indicators - Section C '!C$1:C$100,MATCH($A136,'Outcome Indicators - Section C '!$A$1:$A$100,0))&lt;&gt;0,INDEX('Outcome Indicators - Section C '!C$1:C$100,MATCH($A136,'Outcome Indicators - Section C '!$A$1:$A$100,0)),""),"")</f>
        <v/>
      </c>
      <c r="F136" s="825"/>
      <c r="G136" s="826"/>
      <c r="H136" s="388" t="str">
        <f ca="1">IFERROR(IF(INDEX('Outcome Indicators - Section C '!D$1:D$100,MATCH($A136,'Outcome Indicators - Section C '!$A$1:$A$100,0))&lt;&gt;"",FIXED(INDEX('Outcome Indicators - Section C '!D$1:D$100,MATCH($A136,'Outcome Indicators - Section C '!$A$1:$A$100,0)),4),""),"")&amp;"/"&amp;IFERROR(IF(INDEX('Outcome Indicators - Section C '!D$1:D$100,MATCH($A136,'Outcome Indicators - Section C '!$A$1:$A$100,0)+1)&lt;&gt;"",FIXED(INDEX('Outcome Indicators - Section C '!D$1:D$100,MATCH($A136,'Outcome Indicators - Section C '!$A$1:$A$100,0)+1),2),""),"")&amp;CHAR(10)&amp;IFERROR(IF(INDEX('Outcome Indicators - Section C '!E$1:E$100,MATCH($A136,'Outcome Indicators - Section C '!$A$1:$A$100,0))&lt;&gt;"",FIXED(INDEX('Outcome Indicators - Section C '!E$1:E$100,MATCH($A136,'Outcome Indicators - Section C '!$A$1:$A$100,0))*100,2)&amp;"%",""),"")</f>
        <v xml:space="preserve">/
</v>
      </c>
      <c r="I136" s="388" t="str">
        <f ca="1">IFERROR(IF(INDEX('Outcome Indicators - Section C '!F$1:F$100,MATCH($A136,'Outcome Indicators - Section C '!$A$1:$A$100,0))&lt;&gt;0,INDEX('Outcome Indicators - Section C '!F$1:F$100,MATCH($A136,'Outcome Indicators - Section C '!$A$1:$A$100,0)),""),"")&amp;CHAR(10)&amp;IFERROR(IF(INDEX('Outcome Indicators - Section C '!G$1:G$100,MATCH($A136,'Outcome Indicators - Section C '!$A$1:$A$100,0))&lt;&gt;0,INDEX('Outcome Indicators - Section C '!G$1:G$100,MATCH($A136,'Outcome Indicators - Section C '!$A$1:$A$100,0)),""),"")</f>
        <v xml:space="preserve">
</v>
      </c>
      <c r="J136" s="824" t="str">
        <f ca="1">IFERROR(IF(INDEX('Outcome Indicators - Section C '!H$1:H$100,MATCH($A136,'Outcome Indicators - Section C '!$A$1:$A$100,0))&lt;&gt;0,INDEX('Outcome Indicators - Section C '!H$1:H$100,MATCH($A136,'Outcome Indicators - Section C '!$A$1:$A$100,0)),""),"")</f>
        <v/>
      </c>
      <c r="K136" s="825"/>
      <c r="L136" s="825"/>
      <c r="M136" s="826"/>
      <c r="N136" s="389" t="str">
        <f ca="1">IFERROR(IF(AND('Overview - Section A'!AN$5="Grant Making",OR(B136&lt;&gt;"",E136&lt;&gt;"")),Setup!I15,IF(INDEX('Outcome Indicators - Section C '!I$1:I$100,MATCH($A136,'Outcome Indicators - Section C '!$A$1:$A$100,0))&lt;&gt;0,INDEX('Outcome Indicators - Section C '!I$1:I$100,MATCH($A136,'Outcome Indicators - Section C '!$A$1:$A$100,0)),"")),"")</f>
        <v/>
      </c>
      <c r="O136" s="389" t="str">
        <f>IFERROR(IF(INDEX('Outcome Indicators - Section C '!J$9:J$38,MATCH($A136,'Outcome Indicators - Section C '!$A$9:$A$38,0))&lt;&gt;0,INDEX('Outcome Indicators - Section C '!J$9:J$38,MATCH($A136,'Outcome Indicators - Section C '!$A$9:$A$38,0)),""),"")</f>
        <v/>
      </c>
      <c r="P136" s="390" t="str">
        <f ca="1">IFERROR(IF(INDEX('Outcome Indicators - Section C '!K$1:K$100,MATCH($A136,'Outcome Indicators - Section C '!$A$1:$A$100,0))&lt;&gt;"",FIXED(INDEX('Outcome Indicators - Section C '!K$1:K$100,MATCH($A136,'Outcome Indicators - Section C '!$A$1:$A$100,0)),4),""),"")&amp;"/"&amp;IFERROR(IF(INDEX('Outcome Indicators - Section C '!K$1:K$100,MATCH($A136,'Outcome Indicators - Section C '!$A$1:$A$100,0)+1)&lt;&gt;"",FIXED(INDEX('Outcome Indicators - Section C '!K$1:K$100,MATCH($A136,'Outcome Indicators - Section C '!$A$1:$A$100,0)+1),2),""),"")&amp;CHAR(10)&amp;IFERROR(IF(INDEX('Outcome Indicators - Section C '!L$1:L$100,MATCH($A136,'Outcome Indicators - Section C '!$A$1:$A$100,0))&lt;&gt;"",FIXED(INDEX('Outcome Indicators - Section C '!L$1:L$100,MATCH($A136,'Outcome Indicators - Section C '!$A$1:$A$100,0))*100,2)&amp;"%",""),"")&amp;CHAR(10)&amp;IFERROR(IF(INDEX('Outcome Indicators - Section C '!N$1:N$100,MATCH($A136,'Outcome Indicators - Section C '!$A$1:$A$100,0))&lt;&gt;"",INDEX('Outcome Indicators - Section C '!N$1:N$100,MATCH($A136,'Outcome Indicators - Section C '!$A$1:$A$100,0)),""),"")&amp;CHAR(10)&amp;IFERROR(IF(INDEX('Outcome Indicators - Section C '!M$1:M$100,MATCH($A136,'Outcome Indicators - Section C '!$A$1:$A$100,0))&lt;&gt;"",TEXT(INDEX('Outcome Indicators - Section C '!M$1:M$100,MATCH($A136,'Outcome Indicators - Section C '!$A$1:$A$100,0)),Setup!$A$33),""),"")</f>
        <v xml:space="preserve">/
</v>
      </c>
      <c r="Q136" s="388" t="str">
        <f ca="1">IFERROR(IF(INDEX('Outcome Indicators - Section C '!O$1:O$38,MATCH($A136,'Outcome Indicators - Section C '!$A$1:$A$38,0))&lt;&gt;"",FIXED(INDEX('Outcome Indicators - Section C '!O$1:O$38,MATCH($A136,'Outcome Indicators - Section C '!$A$1:$A$38,0)),4),""),"")&amp;"/"&amp;IFERROR(IF(INDEX('Outcome Indicators - Section C '!O$1:O$38,MATCH($A136,'Outcome Indicators - Section C '!$A$1:$A$38,0)+1)&lt;&gt;"",FIXED(INDEX('Outcome Indicators - Section C '!O$1:O$38,MATCH($A136,'Outcome Indicators - Section C '!$A$1:$A$38,0)+1),2),""),"")&amp;CHAR(10)&amp;IFERROR(IF(INDEX('Outcome Indicators - Section C '!P$1:P$38,MATCH($A136,'Outcome Indicators - Section C '!$A$1:$A$38,0))&lt;&gt;"",FIXED(INDEX('Outcome Indicators - Section C '!P$1:P$38,MATCH($A136,'Outcome Indicators - Section C '!$A$1:$A$38,0))*100,2)&amp;"%",""),"")&amp;CHAR(10)&amp;IFERROR(IF(INDEX('Outcome Indicators - Section C '!R$1:R$38,MATCH($A136,'Outcome Indicators - Section C '!$A$1:$A$38,0))&lt;&gt;"",INDEX('Outcome Indicators - Section C '!R$1:R$38,MATCH($A136,'Outcome Indicators - Section C '!$A$1:$A$38,0)),""),"")&amp;CHAR(10)&amp;IFERROR(IF(INDEX('Outcome Indicators - Section C '!Q$1:Q$38,MATCH($A136,'Outcome Indicators - Section C '!$A$1:$A$38,0))&lt;&gt;"",TEXT(INDEX('Outcome Indicators - Section C '!Q$1:Q$38,MATCH($A136,'Outcome Indicators - Section C '!$A$1:$A$38,0)),Setup!$A$33),""),"")</f>
        <v xml:space="preserve">/
</v>
      </c>
      <c r="R136" s="388" t="str">
        <f ca="1">IFERROR(IF(INDEX('Outcome Indicators - Section C '!S$1:S$38,MATCH($A136,'Outcome Indicators - Section C '!$A$1:$A$38,0))&lt;&gt;"",FIXED(INDEX('Outcome Indicators - Section C '!S$1:S$38,MATCH($A136,'Outcome Indicators - Section C '!$A$1:$A$38,0)),4),""),"")&amp;"/"&amp;IFERROR(IF(INDEX('Outcome Indicators - Section C '!S$1:S$38,MATCH($A136,'Outcome Indicators - Section C '!$A$1:$A$38,0)+1)&lt;&gt;"",FIXED(INDEX('Outcome Indicators - Section C '!S$1:S$38,MATCH($A136,'Outcome Indicators - Section C '!$A$1:$A$38,0)+1),2),""),"")&amp;CHAR(10)&amp;IFERROR(IF(INDEX('Outcome Indicators - Section C '!T$1:T$38,MATCH($A136,'Outcome Indicators - Section C '!$A$1:$A$38,0))&lt;&gt;"",FIXED(INDEX('Outcome Indicators - Section C '!T$1:T$38,MATCH($A136,'Outcome Indicators - Section C '!$A$1:$A$38,0))*100,2)&amp;"%",""),"")&amp;CHAR(10)&amp;IFERROR(IF(INDEX('Outcome Indicators - Section C '!V$1:V$38,MATCH($A136,'Outcome Indicators - Section C '!$A$1:$A$38,0))&lt;&gt;"",INDEX('Outcome Indicators - Section C '!V$1:V$38,MATCH($A136,'Outcome Indicators - Section C '!$A$1:$A$38,0)),""),"")&amp;CHAR(10)&amp;IFERROR(IF(INDEX('Outcome Indicators - Section C '!U$1:U$38,MATCH($A136,'Outcome Indicators - Section C '!$A$1:$A$38,0))&lt;&gt;"",TEXT(INDEX('Outcome Indicators - Section C '!U$1:U$38,MATCH($A136,'Outcome Indicators - Section C '!$A$1:$A$38,0)),Setup!$A$33),""),"")</f>
        <v xml:space="preserve">/
</v>
      </c>
      <c r="S136" s="388" t="str">
        <f ca="1">IFERROR(IF(INDEX('Outcome Indicators - Section C '!W$9:W$38,MATCH($A136,'Outcome Indicators - Section C '!$A$9:$A$38,0))&lt;&gt;"",FIXED(INDEX('Outcome Indicators - Section C '!W$9:W$38,MATCH($A136,'Outcome Indicators - Section C '!$A$9:$A$38,0)),4),""),"")&amp;"/"&amp;IFERROR(IF(INDEX('Outcome Indicators - Section C '!W$9:W$38,MATCH($A136,'Outcome Indicators - Section C '!$A$9:$A$38,0)+1)&lt;&gt;"",FIXED(INDEX('Outcome Indicators - Section C '!W$9:W$38,MATCH($A136,'Outcome Indicators - Section C '!$A$9:$A$38,0)+1),2),""),"")&amp;CHAR(10)&amp;IFERROR(IF(INDEX('Outcome Indicators - Section C '!X$9:X$38,MATCH($A136,'Outcome Indicators - Section C '!$A$9:$A$38,0))&lt;&gt;"",FIXED(INDEX('Outcome Indicators - Section C '!X$9:X$38,MATCH($A136,'Outcome Indicators - Section C '!$A$9:$A$38,0))*100,2)&amp;"%",""),"")&amp;CHAR(10)&amp;IFERROR(IF(INDEX('Outcome Indicators - Section C '!Z$9:Z$38,MATCH($A136,'Outcome Indicators - Section C '!$A$9:$A$38,0))&lt;&gt;"",INDEX('Outcome Indicators - Section C '!Z$9:Z$38,MATCH($A136,'Outcome Indicators - Section C '!$A$9:$A$38,0)),""),"")&amp;CHAR(10)&amp;IFERROR(IF(INDEX('Outcome Indicators - Section C '!Y$9:Y$38,MATCH($A136,'Outcome Indicators - Section C '!$A$9:$A$38,0))&lt;&gt;"",TEXT(INDEX('Outcome Indicators - Section C '!Y$9:Y$38,MATCH($A136,'Outcome Indicators - Section C '!$A$9:$A$38,0)),Setup!$A$33),""),"")</f>
        <v xml:space="preserve">/
</v>
      </c>
      <c r="T136" s="309"/>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813"/>
      <c r="AV136" s="813"/>
      <c r="AW136" s="813"/>
      <c r="AX136" s="813"/>
    </row>
    <row r="137" spans="1:55" ht="96" customHeight="1" x14ac:dyDescent="0.35">
      <c r="A137" s="815"/>
      <c r="B137" s="809" t="str">
        <f ca="1">IFERROR(IF(INDEX('Outcome Indicators - Section C '!AA$1:AA$100,MATCH($A136,'Outcome Indicators - Section C '!$A$1:$A$100,0))&lt;&gt;0,INDEX('Outcome Indicators - Section C '!AA$1:AA$100,MATCH($A136,'Outcome Indicators - Section C '!$A$1:$A$100,0)),""),"")</f>
        <v/>
      </c>
      <c r="C137" s="810"/>
      <c r="D137" s="810"/>
      <c r="E137" s="810"/>
      <c r="F137" s="810"/>
      <c r="G137" s="810"/>
      <c r="H137" s="810"/>
      <c r="I137" s="811"/>
      <c r="J137" s="811"/>
      <c r="K137" s="811"/>
      <c r="L137" s="811"/>
      <c r="M137" s="811"/>
      <c r="N137" s="811"/>
      <c r="O137" s="811"/>
      <c r="P137" s="811"/>
      <c r="Q137" s="811"/>
      <c r="R137" s="811"/>
      <c r="S137" s="812"/>
      <c r="T137" s="305"/>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813"/>
      <c r="AV137" s="813"/>
      <c r="AW137" s="813"/>
      <c r="AX137" s="813"/>
    </row>
    <row r="138" spans="1:55" x14ac:dyDescent="0.35">
      <c r="A138" s="232"/>
      <c r="B138" s="232"/>
      <c r="C138" s="232"/>
      <c r="D138" s="232"/>
      <c r="E138" s="232"/>
      <c r="F138" s="232"/>
      <c r="G138" s="232"/>
      <c r="H138" s="232"/>
      <c r="I138" s="232"/>
      <c r="J138" s="232"/>
      <c r="K138" s="232"/>
      <c r="L138" s="232"/>
      <c r="M138" s="232"/>
      <c r="N138" s="232"/>
      <c r="O138" s="232"/>
      <c r="P138" s="232"/>
      <c r="Q138" s="232"/>
      <c r="R138" s="232"/>
      <c r="S138" s="232"/>
      <c r="T138" s="232"/>
      <c r="U138" s="104"/>
      <c r="V138" s="104"/>
      <c r="W138" s="104"/>
      <c r="X138" s="104"/>
      <c r="Y138" s="104"/>
      <c r="Z138" s="104"/>
      <c r="AA138" s="104"/>
      <c r="AB138" s="104"/>
      <c r="AC138" s="104"/>
      <c r="AD138" s="104"/>
      <c r="AE138" s="104"/>
      <c r="AF138" s="117"/>
      <c r="AG138" s="117"/>
      <c r="AH138" s="117"/>
      <c r="AI138" s="117"/>
      <c r="AJ138" s="117"/>
      <c r="AK138" s="117"/>
      <c r="AL138" s="117"/>
      <c r="AM138" s="117"/>
      <c r="AN138" s="117"/>
      <c r="AO138" s="117"/>
      <c r="AQ138" s="117"/>
      <c r="AR138" s="117"/>
      <c r="AS138" s="117"/>
    </row>
    <row r="139" spans="1:55" x14ac:dyDescent="0.35">
      <c r="A139" s="232"/>
      <c r="B139" s="232"/>
      <c r="C139" s="232"/>
      <c r="D139" s="232"/>
      <c r="E139" s="232"/>
      <c r="F139" s="232"/>
      <c r="G139" s="232"/>
      <c r="H139" s="232"/>
      <c r="I139" s="232"/>
      <c r="J139" s="232"/>
      <c r="K139" s="232"/>
      <c r="L139" s="232"/>
      <c r="M139" s="232"/>
      <c r="N139" s="232"/>
      <c r="O139" s="232"/>
      <c r="P139" s="232"/>
      <c r="Q139" s="232"/>
      <c r="R139" s="232"/>
      <c r="S139" s="232"/>
      <c r="T139" s="232"/>
      <c r="U139" s="223"/>
      <c r="V139" s="223"/>
      <c r="W139" s="223"/>
      <c r="X139" s="223"/>
      <c r="Y139" s="223"/>
      <c r="Z139" s="223"/>
      <c r="AA139" s="223"/>
      <c r="AB139" s="223"/>
      <c r="AC139" s="223"/>
      <c r="AD139" s="223"/>
      <c r="AE139" s="223"/>
      <c r="AF139" s="220"/>
      <c r="AG139" s="220"/>
      <c r="AH139" s="220"/>
      <c r="AI139" s="220"/>
      <c r="AJ139" s="220"/>
      <c r="AK139" s="220"/>
      <c r="AL139" s="220"/>
      <c r="AM139" s="220"/>
      <c r="AN139" s="220"/>
      <c r="AO139" s="220"/>
      <c r="AP139" s="220"/>
      <c r="AQ139" s="220"/>
      <c r="AR139" s="220"/>
      <c r="AS139" s="220"/>
      <c r="AT139" s="211"/>
    </row>
    <row r="140" spans="1:55" x14ac:dyDescent="0.35">
      <c r="A140" s="232"/>
      <c r="B140" s="232"/>
      <c r="C140" s="232"/>
      <c r="D140" s="232"/>
      <c r="E140" s="232"/>
      <c r="F140" s="232"/>
      <c r="G140" s="232"/>
      <c r="H140" s="232"/>
      <c r="I140" s="232"/>
      <c r="J140" s="232"/>
      <c r="K140" s="232"/>
      <c r="L140" s="232"/>
      <c r="M140" s="232"/>
      <c r="N140" s="232"/>
      <c r="O140" s="232"/>
      <c r="P140" s="232"/>
      <c r="Q140" s="232"/>
      <c r="R140" s="232"/>
      <c r="S140" s="232"/>
      <c r="T140" s="232"/>
      <c r="U140" s="223"/>
      <c r="V140" s="223"/>
      <c r="W140" s="223"/>
      <c r="X140" s="223"/>
      <c r="Y140" s="223"/>
      <c r="Z140" s="223"/>
      <c r="AA140" s="223"/>
      <c r="AB140" s="223"/>
      <c r="AC140" s="223"/>
      <c r="AD140" s="223"/>
      <c r="AE140" s="223"/>
      <c r="AF140" s="220"/>
      <c r="AG140" s="220"/>
      <c r="AH140" s="220"/>
      <c r="AI140" s="220"/>
      <c r="AJ140" s="220"/>
      <c r="AK140" s="220"/>
      <c r="AL140" s="220"/>
      <c r="AM140" s="220"/>
      <c r="AN140" s="220"/>
      <c r="AO140" s="220"/>
      <c r="AP140" s="220"/>
      <c r="AQ140" s="220"/>
      <c r="AR140" s="220"/>
      <c r="AS140" s="220"/>
      <c r="AT140" s="211"/>
    </row>
    <row r="141" spans="1:55" x14ac:dyDescent="0.35">
      <c r="A141" s="232"/>
      <c r="B141" s="232"/>
      <c r="C141" s="232"/>
      <c r="D141" s="232"/>
      <c r="E141" s="232"/>
      <c r="F141" s="232"/>
      <c r="G141" s="232"/>
      <c r="H141" s="232"/>
      <c r="I141" s="232"/>
      <c r="J141" s="232"/>
      <c r="K141" s="232"/>
      <c r="L141" s="232"/>
      <c r="M141" s="232"/>
      <c r="N141" s="232"/>
      <c r="O141" s="232"/>
      <c r="P141" s="232"/>
      <c r="Q141" s="232"/>
      <c r="R141" s="232"/>
      <c r="S141" s="232"/>
      <c r="T141" s="232"/>
      <c r="U141" s="223"/>
      <c r="V141" s="223"/>
      <c r="W141" s="223"/>
      <c r="X141" s="223"/>
      <c r="Y141" s="223"/>
      <c r="Z141" s="223"/>
      <c r="AA141" s="223"/>
      <c r="AB141" s="223"/>
      <c r="AC141" s="223"/>
      <c r="AD141" s="223"/>
      <c r="AE141" s="223"/>
      <c r="AF141" s="220"/>
      <c r="AG141" s="220"/>
      <c r="AH141" s="220"/>
      <c r="AI141" s="220"/>
      <c r="AJ141" s="220"/>
      <c r="AK141" s="220"/>
      <c r="AL141" s="220"/>
      <c r="AM141" s="220"/>
      <c r="AN141" s="220"/>
      <c r="AO141" s="220"/>
      <c r="AP141" s="220"/>
      <c r="AQ141" s="220"/>
      <c r="AR141" s="220"/>
      <c r="AS141" s="220"/>
      <c r="AT141" s="211"/>
    </row>
    <row r="142" spans="1:55" x14ac:dyDescent="0.35">
      <c r="A142" s="232"/>
      <c r="B142" s="232"/>
      <c r="C142" s="232"/>
      <c r="D142" s="232"/>
      <c r="E142" s="232"/>
      <c r="F142" s="232"/>
      <c r="G142" s="232"/>
      <c r="H142" s="232"/>
      <c r="I142" s="232"/>
      <c r="J142" s="232"/>
      <c r="K142" s="232"/>
      <c r="L142" s="232"/>
      <c r="M142" s="232"/>
      <c r="N142" s="232"/>
      <c r="O142" s="232"/>
      <c r="P142" s="232"/>
      <c r="Q142" s="232"/>
      <c r="R142" s="232"/>
      <c r="S142" s="232"/>
      <c r="T142" s="232"/>
      <c r="U142" s="223"/>
      <c r="V142" s="223"/>
      <c r="W142" s="223"/>
      <c r="X142" s="223"/>
      <c r="Y142" s="223"/>
      <c r="Z142" s="223"/>
      <c r="AA142" s="223"/>
      <c r="AB142" s="223"/>
      <c r="AC142" s="223"/>
      <c r="AD142" s="223"/>
      <c r="AE142" s="223"/>
      <c r="AF142" s="220"/>
      <c r="AG142" s="220"/>
      <c r="AH142" s="220"/>
      <c r="AI142" s="220"/>
      <c r="AJ142" s="220"/>
      <c r="AK142" s="220"/>
      <c r="AL142" s="220"/>
      <c r="AM142" s="220"/>
      <c r="AN142" s="220"/>
      <c r="AO142" s="220"/>
      <c r="AP142" s="220"/>
      <c r="AQ142" s="220"/>
      <c r="AR142" s="220"/>
      <c r="AS142" s="220"/>
      <c r="AT142" s="211"/>
    </row>
    <row r="143" spans="1:55" x14ac:dyDescent="0.35">
      <c r="A143" s="232"/>
      <c r="B143" s="232"/>
      <c r="C143" s="232"/>
      <c r="D143" s="232"/>
      <c r="E143" s="232"/>
      <c r="F143" s="232"/>
      <c r="G143" s="232"/>
      <c r="H143" s="232"/>
      <c r="I143" s="232"/>
      <c r="J143" s="232"/>
      <c r="K143" s="232"/>
      <c r="L143" s="232"/>
      <c r="M143" s="232"/>
      <c r="N143" s="232"/>
      <c r="O143" s="232"/>
      <c r="P143" s="232"/>
      <c r="Q143" s="232"/>
      <c r="R143" s="232"/>
      <c r="S143" s="232"/>
      <c r="T143" s="232"/>
      <c r="U143" s="104"/>
      <c r="V143" s="104"/>
      <c r="W143" s="104"/>
      <c r="X143" s="104"/>
      <c r="Y143" s="104"/>
      <c r="Z143" s="104"/>
      <c r="AA143" s="104"/>
      <c r="AB143" s="104"/>
      <c r="AC143" s="104"/>
      <c r="AD143" s="104"/>
      <c r="AE143" s="104"/>
      <c r="AF143" s="117"/>
      <c r="AG143" s="117"/>
      <c r="AH143" s="117"/>
      <c r="AI143" s="117"/>
      <c r="AJ143" s="117"/>
      <c r="AK143" s="117"/>
      <c r="AL143" s="117"/>
      <c r="AM143" s="117"/>
      <c r="AN143" s="117"/>
      <c r="AO143" s="117"/>
      <c r="AQ143" s="117"/>
      <c r="AR143" s="117"/>
      <c r="AS143" s="117"/>
    </row>
    <row r="144" spans="1:55" ht="47.25" customHeight="1" x14ac:dyDescent="0.35">
      <c r="A144" s="886" t="str">
        <f ca="1">Translations!A97</f>
        <v>Indicadores de cobertura</v>
      </c>
      <c r="B144" s="887"/>
      <c r="C144" s="887"/>
      <c r="D144" s="887"/>
      <c r="E144" s="887"/>
      <c r="F144" s="887"/>
      <c r="G144" s="887"/>
      <c r="H144" s="887"/>
      <c r="I144" s="887"/>
      <c r="J144" s="887"/>
      <c r="K144" s="887"/>
      <c r="L144" s="887"/>
      <c r="M144" s="887"/>
      <c r="N144" s="887"/>
      <c r="O144" s="887"/>
      <c r="P144" s="887"/>
      <c r="Q144" s="887"/>
      <c r="R144" s="887"/>
      <c r="S144" s="887"/>
      <c r="T144" s="232"/>
      <c r="U144" s="104"/>
      <c r="V144" s="104"/>
      <c r="W144" s="104"/>
      <c r="X144" s="104"/>
      <c r="Y144" s="104"/>
      <c r="Z144" s="104"/>
      <c r="AA144" s="104"/>
      <c r="AB144" s="104"/>
      <c r="AC144" s="104"/>
      <c r="AD144" s="104"/>
      <c r="AE144" s="104"/>
      <c r="AF144" s="117"/>
      <c r="AG144" s="117"/>
      <c r="AH144" s="117"/>
      <c r="AI144" s="117"/>
      <c r="AJ144" s="117"/>
      <c r="AK144" s="117"/>
      <c r="AL144" s="117"/>
      <c r="AM144" s="117"/>
      <c r="AN144" s="117"/>
      <c r="AO144" s="117"/>
      <c r="AQ144" s="117"/>
      <c r="AR144" s="117"/>
      <c r="AS144" s="117"/>
    </row>
    <row r="145" spans="1:55" ht="16" thickBot="1" x14ac:dyDescent="0.4">
      <c r="A145" s="232"/>
      <c r="B145" s="232"/>
      <c r="C145" s="232"/>
      <c r="D145" s="232"/>
      <c r="E145" s="232"/>
      <c r="F145" s="232"/>
      <c r="G145" s="232"/>
      <c r="H145" s="232"/>
      <c r="I145" s="232"/>
      <c r="J145" s="232"/>
      <c r="K145" s="232"/>
      <c r="L145" s="232"/>
      <c r="M145" s="232"/>
      <c r="N145" s="114"/>
      <c r="O145" s="232"/>
      <c r="P145" s="232"/>
      <c r="Q145" s="232"/>
      <c r="R145" s="232"/>
      <c r="S145" s="232"/>
      <c r="T145" s="232"/>
      <c r="U145" s="223"/>
      <c r="V145" s="223"/>
      <c r="W145" s="18"/>
      <c r="X145" s="223"/>
      <c r="Y145" s="223"/>
      <c r="Z145" s="223"/>
      <c r="AA145" s="223"/>
      <c r="AB145" s="223"/>
      <c r="AC145" s="223"/>
      <c r="AD145" s="223"/>
      <c r="AE145" s="223"/>
      <c r="AF145" s="220"/>
      <c r="AG145" s="220"/>
      <c r="AH145" s="220"/>
      <c r="AI145" s="220"/>
      <c r="AJ145" s="220"/>
      <c r="AK145" s="220"/>
      <c r="AL145" s="220"/>
      <c r="AM145" s="220"/>
      <c r="AN145" s="220"/>
      <c r="AO145" s="220"/>
      <c r="AP145" s="220"/>
      <c r="AQ145" s="220"/>
      <c r="AR145" s="220"/>
      <c r="AS145" s="220"/>
      <c r="AT145" s="222"/>
      <c r="AU145" s="204"/>
      <c r="AV145" s="204"/>
      <c r="AW145" s="204"/>
      <c r="AX145" s="204"/>
      <c r="AY145" s="204"/>
      <c r="AZ145" s="204"/>
      <c r="BA145" s="204"/>
      <c r="BB145" s="204"/>
    </row>
    <row r="146" spans="1:55" ht="40.4" customHeight="1" thickBot="1" x14ac:dyDescent="0.4">
      <c r="A146" s="391"/>
      <c r="B146" s="391"/>
      <c r="C146" s="391"/>
      <c r="D146" s="391"/>
      <c r="E146" s="391"/>
      <c r="F146" s="391"/>
      <c r="G146" s="391"/>
      <c r="H146" s="391"/>
      <c r="I146" s="391"/>
      <c r="J146" s="391"/>
      <c r="K146" s="391"/>
      <c r="L146" s="392" t="str">
        <f ca="1">TEXT(IFERROR(INDEX('Overview - Section A'!$A$39:$A$46,MATCH(D23,'Overview - Section A'!$B$39:$B$46,0)),""),Setup!$A$33)</f>
        <v>1-Jan-22</v>
      </c>
      <c r="M146" s="392" t="str">
        <f ca="1">TEXT(IFERROR(INDEX('Overview - Section A'!$A$39:$A$46,MATCH(D24,'Overview - Section A'!$B$39:$B$46,0)),""),Setup!$A$33)</f>
        <v>1-Jan-23</v>
      </c>
      <c r="N146" s="392" t="str">
        <f ca="1">TEXT(IFERROR(INDEX('Overview - Section A'!$A$39:$A$46,MATCH(D25,'Overview - Section A'!$B$39:$B$46,0)),""),Setup!$A$33)</f>
        <v>1-Jan-24</v>
      </c>
      <c r="O146" s="392" t="str">
        <f ca="1">TEXT(IFERROR(INDEX('Overview - Section A'!$A$39:$A$46,MATCH(D26,'Overview - Section A'!$B$39:$B$46,0)),""),Setup!$A$33)</f>
        <v>1-Jan-25</v>
      </c>
      <c r="P146" s="392" t="str">
        <f ca="1">TEXT(IFERROR(INDEX('Overview - Section A'!$A$39:$A$46,MATCH(D27,'Overview - Section A'!$B$39:$B$46,0)),""),Setup!$A$33)</f>
        <v>1-Jan-26</v>
      </c>
      <c r="Q146" s="392" t="str">
        <f ca="1">TEXT(IFERROR(INDEX('Overview - Section A'!$A$39:$A$46,MATCH(D28,'Overview - Section A'!$B$39:$B$46,0)),""),Setup!$A$33)</f>
        <v>1-Jan-27</v>
      </c>
      <c r="R146" s="392" t="str">
        <f ca="1">TEXT(IFERROR(INDEX('Overview - Section A'!$A$39:$A$46,MATCH(D29,'Overview - Section A'!$B$39:$B$46,0)),""),Setup!$A$33)</f>
        <v/>
      </c>
      <c r="S146" s="392" t="str">
        <f ca="1">TEXT(IFERROR(INDEX('Overview - Section A'!$A$39:$A$46,MATCH(D30,'Overview - Section A'!$B$39:$B$46,0)),""),Setup!$A$33)</f>
        <v/>
      </c>
      <c r="T146" s="311"/>
      <c r="U146" s="223"/>
      <c r="V146" s="225"/>
      <c r="W146" s="225"/>
      <c r="X146" s="225"/>
      <c r="Y146" s="225"/>
      <c r="Z146" s="225"/>
      <c r="AA146" s="225"/>
      <c r="AB146" s="225"/>
      <c r="AC146" s="225"/>
      <c r="AD146" s="225"/>
      <c r="AE146" s="225"/>
      <c r="AF146" s="225"/>
      <c r="AG146" s="225"/>
      <c r="AH146" s="225"/>
      <c r="AI146" s="225"/>
      <c r="AJ146" s="225"/>
      <c r="AK146" s="225"/>
      <c r="AL146" s="225"/>
      <c r="AM146" s="225"/>
      <c r="AN146" s="226"/>
      <c r="AO146" s="226"/>
      <c r="AP146" s="220"/>
      <c r="AQ146" s="227"/>
      <c r="AR146" s="227"/>
      <c r="AS146" s="227"/>
      <c r="AT146" s="222"/>
      <c r="AU146" s="204"/>
      <c r="AV146" s="204"/>
      <c r="AW146" s="204"/>
      <c r="AX146" s="204"/>
      <c r="AY146" s="204"/>
      <c r="AZ146" s="204"/>
      <c r="BA146" s="204"/>
      <c r="BB146" s="204"/>
    </row>
    <row r="147" spans="1:55" ht="40.4" customHeight="1" thickBot="1" x14ac:dyDescent="0.4">
      <c r="A147" s="393"/>
      <c r="B147" s="394"/>
      <c r="C147" s="394"/>
      <c r="D147" s="394"/>
      <c r="E147" s="394"/>
      <c r="F147" s="394"/>
      <c r="G147" s="394"/>
      <c r="H147" s="394"/>
      <c r="I147" s="394"/>
      <c r="J147" s="394"/>
      <c r="K147" s="394"/>
      <c r="L147" s="392" t="str">
        <f ca="1">TEXT(IFERROR(INDEX('Overview - Section A'!$E$39:$E$46,MATCH(D23,'Overview - Section A'!$B$39:$B$46,0)),""),Setup!$A$33)</f>
        <v>31-Dec-22</v>
      </c>
      <c r="M147" s="392" t="str">
        <f ca="1">TEXT(IFERROR(INDEX('Overview - Section A'!$E$39:$E$46,MATCH(D24,'Overview - Section A'!$B$39:$B$46,0)),""),Setup!$A$33)</f>
        <v>31-Dec-23</v>
      </c>
      <c r="N147" s="392" t="str">
        <f ca="1">TEXT(IFERROR(INDEX('Overview - Section A'!$E$39:$E$46,MATCH(D25,'Overview - Section A'!$B$39:$B$46,0)),""),Setup!$A$33)</f>
        <v>31-Dec-24</v>
      </c>
      <c r="O147" s="392" t="str">
        <f ca="1">TEXT(IFERROR(INDEX('Overview - Section A'!$E$39:$E$46,MATCH(D26,'Overview - Section A'!$B$39:$B$46,0)),""),Setup!$A$33)</f>
        <v>31-Dec-25</v>
      </c>
      <c r="P147" s="392" t="str">
        <f ca="1">TEXT(IFERROR(INDEX('Overview - Section A'!$E$39:$E$46,MATCH(D27,'Overview - Section A'!$B$39:$B$46,0)),""),Setup!$A$33)</f>
        <v>31-Dec-26</v>
      </c>
      <c r="Q147" s="392" t="str">
        <f ca="1">TEXT(IFERROR(INDEX('Overview - Section A'!$E$39:$E$46,MATCH(D28,'Overview - Section A'!$B$39:$B$46,0)),""),Setup!$A$33)</f>
        <v>31-Dec-27</v>
      </c>
      <c r="R147" s="392" t="str">
        <f ca="1">TEXT(IFERROR(INDEX('Overview - Section A'!$E$39:$E$46,MATCH(D29,'Overview - Section A'!$B$39:$B$46,0)),""),Setup!$A$33)</f>
        <v/>
      </c>
      <c r="S147" s="392" t="str">
        <f ca="1">TEXT(IFERROR(INDEX('Overview - Section A'!$E$39:$E$46,MATCH(D30,'Overview - Section A'!$B$39:$B$46,0)),""),Setup!$A$33)</f>
        <v/>
      </c>
      <c r="T147" s="311"/>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t="s">
        <v>219</v>
      </c>
      <c r="AR147" s="223"/>
      <c r="AS147" s="223"/>
      <c r="AT147" s="222"/>
      <c r="AU147" s="204"/>
      <c r="AV147" s="204"/>
      <c r="AW147" s="204"/>
      <c r="AX147" s="204"/>
      <c r="AY147" s="204"/>
      <c r="AZ147" s="204"/>
      <c r="BA147" s="204"/>
      <c r="BB147" s="204"/>
    </row>
    <row r="148" spans="1:55" ht="288.75" customHeight="1" x14ac:dyDescent="0.35">
      <c r="A148" s="258" t="str">
        <f ca="1">Translations!A91</f>
        <v>No.</v>
      </c>
      <c r="B148" s="259" t="str">
        <f ca="1">Translations!A30</f>
        <v>Nombre del módulo</v>
      </c>
      <c r="C148" s="260" t="str">
        <f ca="1">Translations!A38</f>
        <v xml:space="preserve">Indicador estándar </v>
      </c>
      <c r="D148" s="261" t="str">
        <f ca="1">Translations!A39</f>
        <v>Indicador personalizado</v>
      </c>
      <c r="E148" s="262" t="str">
        <f ca="1">Translations!A94</f>
        <v>Año y fuente de la línea de base</v>
      </c>
      <c r="F148" s="262" t="str">
        <f ca="1">Translations!A94</f>
        <v>Año y fuente de la línea de base</v>
      </c>
      <c r="G148" s="262" t="str">
        <f ca="1">Translations!A51</f>
        <v>Desagregación requerida</v>
      </c>
      <c r="H148" s="262" t="str">
        <f ca="1">Translations!A66</f>
        <v>Incluir en resultados del FM</v>
      </c>
      <c r="I148" s="262" t="str">
        <f ca="1">Translations!A52</f>
        <v>Receptor principal responsible</v>
      </c>
      <c r="J148" s="262" t="str">
        <f ca="1">Translations!A67</f>
        <v>País / Alcance de las metas</v>
      </c>
      <c r="K148" s="263" t="str">
        <f ca="1">Translations!A68</f>
        <v>Tipo de acumulación</v>
      </c>
      <c r="L148" s="381" t="str">
        <f ca="1">Translations!$A$95</f>
        <v>Valor de la meta</v>
      </c>
      <c r="M148" s="381" t="str">
        <f ca="1">Translations!$A$95</f>
        <v>Valor de la meta</v>
      </c>
      <c r="N148" s="381" t="str">
        <f ca="1">Translations!$A$95</f>
        <v>Valor de la meta</v>
      </c>
      <c r="O148" s="381" t="str">
        <f ca="1">Translations!$A$95</f>
        <v>Valor de la meta</v>
      </c>
      <c r="P148" s="381" t="str">
        <f ca="1">Translations!$A$95</f>
        <v>Valor de la meta</v>
      </c>
      <c r="Q148" s="381" t="str">
        <f ca="1">Translations!$A$95</f>
        <v>Valor de la meta</v>
      </c>
      <c r="R148" s="381" t="str">
        <f ca="1">Translations!$A$95</f>
        <v>Valor de la meta</v>
      </c>
      <c r="S148" s="381" t="str">
        <f ca="1">Translations!$A$95</f>
        <v>Valor de la meta</v>
      </c>
      <c r="T148" s="304"/>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2"/>
      <c r="AU148" s="204"/>
      <c r="AV148" s="204"/>
      <c r="AW148" s="204"/>
      <c r="AX148" s="204"/>
      <c r="AY148" s="204"/>
      <c r="AZ148" s="204"/>
      <c r="BA148" s="204"/>
      <c r="BB148" s="204"/>
    </row>
    <row r="149" spans="1:55" s="106" customFormat="1" ht="177" customHeight="1" x14ac:dyDescent="0.35">
      <c r="A149" s="801">
        <v>1</v>
      </c>
      <c r="B149" s="395" t="str">
        <f ca="1">IFERROR(IF(INDEX('Coverage Indicators - Section D'!B$1:B$100,MATCH('Print View'!$A149,'Coverage Indicators - Section D'!$A$1:$A$100,0))&lt;&gt;0,INDEX('Coverage Indicators - Section D'!B$1:B$100,MATCH('Print View'!$A149,'Coverage Indicators - Section D'!$A$1:$A$100,0)),""),"")</f>
        <v>Servicios diferenciados de diagnóstico del VIH</v>
      </c>
      <c r="C149" s="395" t="str">
        <f ca="1">IFERROR(IF(INDEX('Coverage Indicators - Section D'!D$1:D$100,MATCH('Print View'!$A149,'Coverage Indicators - Section D'!$A$1:$A$100,0))&lt;&gt;0,INDEX('Coverage Indicators - Section D'!D$1:D$100,MATCH('Print View'!$A149,'Coverage Indicators - Section D'!$A$1:$A$100,0)),""),"")</f>
        <v/>
      </c>
      <c r="D149" s="395" t="str">
        <f ca="1">IFERROR(IF(INDEX('Coverage Indicators - Section D'!E$1:E$100,MATCH('Print View'!$A149,'Coverage Indicators - Section D'!$A$1:$A$100,0))&lt;&gt;0,INDEX('Coverage Indicators - Section D'!E$1:E$100,MATCH('Print View'!$A149,'Coverage Indicators - Section D'!$A$1:$A$100,0)),""),"")</f>
        <v>HTS-Other 1 Porcentaje de resultados de VIH positivos entre el total de pruebas de VIH realizadas en HSH</v>
      </c>
      <c r="E149" s="396" t="str">
        <f ca="1">IFERROR(IF(INDEX('Coverage Indicators - Section D'!F$1:F$100,MATCH('Print View'!$A149,'Coverage Indicators - Section D'!$A$1:$A$100,0))&lt;&gt;"",INDEX('Coverage Indicators - Section D'!F$1:F$100,MATCH('Print View'!$A149,'Coverage Indicators - Section D'!$A$1:$A$100,0)),""),"")&amp;"/"&amp;IFERROR(IF(INDEX('Coverage Indicators - Section D'!F$1:F$100,MATCH('Print View'!$A149,'Coverage Indicators - Section D'!$A$1:$A$100,0)+1)&lt;&gt;"",INDEX('Coverage Indicators - Section D'!F$1:F$100,MATCH('Print View'!$A149,'Coverage Indicators - Section D'!$A$1:$A$100,0)+1),""),"")&amp;CHAR(10)&amp;IFERROR(IF(INDEX('Coverage Indicators - Section D'!G$1:G$100,MATCH('Print View'!$A149,'Coverage Indicators - Section D'!$A$1:$A$100,0))&lt;&gt;"",FIXED(INDEX('Coverage Indicators - Section D'!G$1:G$100,MATCH('Print View'!$A149,'Coverage Indicators - Section D'!$A$1:$A$100,0))*100,2)&amp;"%",""),"")</f>
        <v>321/18835
1.70%</v>
      </c>
      <c r="F149" s="397"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2019
SUMEVE</v>
      </c>
      <c r="G149" s="398" t="str">
        <f>IFERROR(IF(INDEX('Coverage Indicators - Section D'!J9:J38,MATCH('Print View'!$A149,'Coverage Indicators - Section D'!$A$9:$A$38,0))&lt;&gt;0,INDEX('Coverage Indicators - Section D'!J9:J38,MATCH('Print View'!$A149,'Coverage Indicators - Section D'!$A$9:$A$38,0)),""),"")</f>
        <v/>
      </c>
      <c r="H149" s="399" t="str">
        <f ca="1">IFERROR(IF(INDEX('Coverage Indicators - Section D'!K$1:K$100,MATCH('Print View'!$A149,'Coverage Indicators - Section D'!$A$1:$A$100,0))&lt;&gt;0,INDEX('Coverage Indicators - Section D'!K$1:K$100,MATCH('Print View'!$A149,'Coverage Indicators - Section D'!$A$1:$A$100,0)),""),"")</f>
        <v>Yes</v>
      </c>
      <c r="I149" s="398" t="str">
        <f ca="1">IFERROR(IF(AND('Overview - Section A'!AN$5="Grant Making",OR(C149&lt;&gt;"",D149&lt;&gt;"")),Setup!I15,IF(INDEX('Coverage Indicators - Section D'!L$1:L$100,MATCH('Print View'!$A149,'Coverage Indicators - Section D'!$A$1:$A$100,0))&lt;&gt;0,INDEX('Coverage Indicators - Section D'!L$1:L$100,MATCH('Print View'!$A149,'Coverage Indicators - Section D'!$A$1:$A$100,0)),"")),"")</f>
        <v>Ministry of Health of the Republic of El Salvador</v>
      </c>
      <c r="J149" s="396"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El Salvador
Geographic National, 100% of national program target</v>
      </c>
      <c r="K149" s="396" t="str">
        <f ca="1">IFERROR(IF(INDEX('Coverage Indicators - Section D'!N$1:N$100,MATCH('Print View'!$A149,'Coverage Indicators - Section D'!$A$1:$A$100,0))&lt;&gt;0,INDEX('Coverage Indicators - Section D'!N$1:N$100,MATCH('Print View'!$A149,'Coverage Indicators - Section D'!$A$1:$A$100,0)),""),"")</f>
        <v/>
      </c>
      <c r="L149" s="396" t="str">
        <f ca="1">IFERROR(IF(INDEX('Coverage Indicators - Section D'!O$1:O$100,MATCH('Print View'!$A149,'Coverage Indicators - Section D'!$A$1:$A$100,0))&lt;&gt;"",INDEX('Coverage Indicators - Section D'!O$1:O$100,MATCH('Print View'!$A149,'Coverage Indicators - Section D'!$A$1:$A$100,0)),""),"")&amp;"/"&amp;IFERROR(IF(INDEX('Coverage Indicators - Section D'!O$1:O$100,MATCH('Print View'!$A149,'Coverage Indicators - Section D'!$A$1:$A$100,0)+1)&lt;&gt;"",INDEX('Coverage Indicators - Section D'!O$1:O$100,MATCH('Print View'!$A149,'Coverage Indicators - Section D'!$A$1:$A$100,0)+1),""),"")&amp;CHAR(10)&amp;IFERROR(IF(INDEX('Coverage Indicators - Section D'!P$1:P$100,MATCH('Print View'!$A149,'Coverage Indicators - Section D'!$A$1:$A$100,0))&lt;&gt;"",FIXED(INDEX('Coverage Indicators - Section D'!P$1:P$100,MATCH('Print View'!$A149,'Coverage Indicators - Section D'!$A$1:$A$100,0))*100,2)&amp;"%",""),"")&amp;CHAR(10)&amp;IFERROR(IF(INDEX('Coverage Indicators - Section D'!Q$1:Q$100,MATCH('Print View'!$A149,'Coverage Indicators - Section D'!$A$1:$A$100,0))&lt;&gt;"",INDEX('Coverage Indicators - Section D'!Q$1:Q$100,MATCH('Print View'!$A149,'Coverage Indicators - Section D'!$A$1:$A$100,0)),""),"")</f>
        <v xml:space="preserve">/
3.70%
</v>
      </c>
      <c r="M149" s="397" t="str">
        <f ca="1">IFERROR(IF(INDEX('Coverage Indicators - Section D'!R$1:R$100,MATCH('Print View'!$A149,'Coverage Indicators - Section D'!$A$1:$A$100,0))&lt;&gt;"",INDEX('Coverage Indicators - Section D'!R$1:R$100,MATCH('Print View'!$A149,'Coverage Indicators - Section D'!$A$1:$A$100,0)),""),"")&amp;"/"&amp;IFERROR(IF(INDEX('Coverage Indicators - Section D'!R$1:R$100,MATCH('Print View'!$A149,'Coverage Indicators - Section D'!$A$1:$A$100,0)+1)&lt;&gt;"",INDEX('Coverage Indicators - Section D'!R$1:R$100,MATCH('Print View'!$A149,'Coverage Indicators - Section D'!$A$1:$A$100,0)+1),""),"")&amp;CHAR(10)&amp;IFERROR(IF(INDEX('Coverage Indicators - Section D'!S$1:S$100,MATCH('Print View'!$A149,'Coverage Indicators - Section D'!$A$1:$A$100,0))&lt;&gt;"",FIXED(INDEX('Coverage Indicators - Section D'!S$1:S$100,MATCH('Print View'!$A149,'Coverage Indicators - Section D'!$A$1:$A$100,0))*100,2)&amp;"%",""),"")&amp;CHAR(10)&amp;IFERROR(IF(INDEX('Coverage Indicators - Section D'!T$1:T$100,MATCH('Print View'!$A149,'Coverage Indicators - Section D'!$A$1:$A$100,0))&lt;&gt;"",INDEX('Coverage Indicators - Section D'!T$1:T$100,MATCH('Print View'!$A149,'Coverage Indicators - Section D'!$A$1:$A$100,0)),""),"")</f>
        <v>/
TBD</v>
      </c>
      <c r="N149" s="396" t="str">
        <f ca="1">IFERROR(IF(INDEX('Coverage Indicators - Section D'!U$1:U$100,MATCH('Print View'!$A149,'Coverage Indicators - Section D'!$A$1:$A$100,0))&lt;&gt;"",INDEX('Coverage Indicators - Section D'!U$1:U$100,MATCH('Print View'!$A149,'Coverage Indicators - Section D'!$A$1:$A$100,0)),""),"")&amp;"/"&amp;IFERROR(IF(INDEX('Coverage Indicators - Section D'!U$1:U$100,MATCH('Print View'!$A149,'Coverage Indicators - Section D'!$A$1:$A$100,0)+1)&lt;&gt;"",INDEX('Coverage Indicators - Section D'!U$1:U$100,MATCH('Print View'!$A149,'Coverage Indicators - Section D'!$A$1:$A$100,0)+1),""),"")&amp;CHAR(10)&amp;IFERROR(IF(INDEX('Coverage Indicators - Section D'!V$1:V$100,MATCH('Print View'!$A149,'Coverage Indicators - Section D'!$A$1:$A$100,0))&lt;&gt;"",FIXED(INDEX('Coverage Indicators - Section D'!V$1:V$100,MATCH('Print View'!$A149,'Coverage Indicators - Section D'!$A$1:$A$100,0))*100,2)&amp;"%",""),"")&amp;CHAR(10)&amp;IFERROR(IF(INDEX('Coverage Indicators - Section D'!W$1:W$100,MATCH('Print View'!$A149,'Coverage Indicators - Section D'!$A$1:$A$100,0))&lt;&gt;"",INDEX('Coverage Indicators - Section D'!W$1:W$100,MATCH('Print View'!$A149,'Coverage Indicators - Section D'!$A$1:$A$100,0)),""),"")</f>
        <v>/
TBD</v>
      </c>
      <c r="O149" s="397" t="str">
        <f ca="1">IFERROR(IF(INDEX('Coverage Indicators - Section D'!X$1:X$100,MATCH('Print View'!$A149,'Coverage Indicators - Section D'!$A$1:$A$100,0))&lt;&gt;"",INDEX('Coverage Indicators - Section D'!X$1:X$100,MATCH('Print View'!$A149,'Coverage Indicators - Section D'!$A$1:$A$100,0)),""),"")&amp;"/"&amp;IFERROR(IF(INDEX('Coverage Indicators - Section D'!X$1:X$100,MATCH('Print View'!$A149,'Coverage Indicators - Section D'!$A$1:$A$100,0)+1)&lt;&gt;"",INDEX('Coverage Indicators - Section D'!X$1:X$100,MATCH('Print View'!$A149,'Coverage Indicators - Section D'!$A$1:$A$100,0)+1),""),"")&amp;CHAR(10)&amp;IFERROR(IF(INDEX('Coverage Indicators - Section D'!Y$1:Y$100,MATCH('Print View'!$A149,'Coverage Indicators - Section D'!$A$1:$A$100,0))&lt;&gt;"",FIXED(INDEX('Coverage Indicators - Section D'!Y$1:Y$100,MATCH('Print View'!$A149,'Coverage Indicators - Section D'!$A$1:$A$100,0))*100,2)&amp;"%",""),"")&amp;CHAR(10)&amp;IFERROR(IF(INDEX('Coverage Indicators - Section D'!Z$1:Z$100,MATCH('Print View'!$A149,'Coverage Indicators - Section D'!$A$1:$A$100,0))&lt;&gt;"",INDEX('Coverage Indicators - Section D'!Z$1:Z$100,MATCH('Print View'!$A149,'Coverage Indicators - Section D'!$A$1:$A$100,0)),""),"")</f>
        <v xml:space="preserve">/
</v>
      </c>
      <c r="P149" s="397" t="str">
        <f ca="1">IFERROR(IF(INDEX('Coverage Indicators - Section D'!AA$1:AA$100,MATCH('Print View'!$A149,'Coverage Indicators - Section D'!$A$1:$A$100,0))&lt;&gt;"",INDEX('Coverage Indicators - Section D'!AA$1:AA$100,MATCH('Print View'!$A149,'Coverage Indicators - Section D'!$A$1:$A$100,0)),""),"")&amp;"/"&amp;IFERROR(IF(INDEX('Coverage Indicators - Section D'!AA$1:AA$100,MATCH('Print View'!$A149,'Coverage Indicators - Section D'!$A$1:$A$100,0)+1)&lt;&gt;"",INDEX('Coverage Indicators - Section D'!AA$1:AA$100,MATCH('Print View'!$A149,'Coverage Indicators - Section D'!$A$1:$A$100,0)+1),""),"")&amp;CHAR(10)&amp;IFERROR(IF(INDEX('Coverage Indicators - Section D'!AB$1:AB$100,MATCH('Print View'!$A149,'Coverage Indicators - Section D'!$A$1:$A$100,0))&lt;&gt;"",FIXED(INDEX('Coverage Indicators - Section D'!AB$1:AB$100,MATCH('Print View'!$A149,'Coverage Indicators - Section D'!$A$1:$A$100,0))*100,2)&amp;"%",""),"")&amp;CHAR(10)&amp;IFERROR(IF(INDEX('Coverage Indicators - Section D'!AC$1:AC$100,MATCH('Print View'!$A149,'Coverage Indicators - Section D'!$A$1:$A$100,0))&lt;&gt;"",INDEX('Coverage Indicators - Section D'!AC$1:AC$100,MATCH('Print View'!$A149,'Coverage Indicators - Section D'!$A$1:$A$100,0)),""),"")</f>
        <v xml:space="preserve">/
</v>
      </c>
      <c r="Q149" s="397" t="str">
        <f ca="1">IFERROR(IF(INDEX('Coverage Indicators - Section D'!AD$1:AD$100,MATCH('Print View'!$A149,'Coverage Indicators - Section D'!$A$1:$A$100,0))&lt;&gt;"",INDEX('Coverage Indicators - Section D'!AD$1:AD$100,MATCH('Print View'!$A149,'Coverage Indicators - Section D'!$A$1:$A$100,0)),""),"")&amp;"/"&amp;IFERROR(IF(INDEX('Coverage Indicators - Section D'!AD$1:AD$100,MATCH('Print View'!$A149,'Coverage Indicators - Section D'!$A$1:$A$100,0)+1)&lt;&gt;"",INDEX('Coverage Indicators - Section D'!AD$1:AD$100,MATCH('Print View'!$A149,'Coverage Indicators - Section D'!$A$1:$A$100,0)+1),""),"")&amp;CHAR(10)&amp;IFERROR(IF(INDEX('Coverage Indicators - Section D'!AE$1:AE$100,MATCH('Print View'!$A149,'Coverage Indicators - Section D'!$A$1:$A$100,0))&lt;&gt;"",FIXED(INDEX('Coverage Indicators - Section D'!AE$1:AE$100,MATCH('Print View'!$A149,'Coverage Indicators - Section D'!$A$1:$A$100,0))*100,2)&amp;"%",""),"")&amp;CHAR(10)&amp;IFERROR(IF(INDEX('Coverage Indicators - Section D'!AF$1:AF$100,MATCH('Print View'!$A149,'Coverage Indicators - Section D'!$A$1:$A$100,0))&lt;&gt;"",INDEX('Coverage Indicators - Section D'!AF$1:AF$100,MATCH('Print View'!$A149,'Coverage Indicators - Section D'!$A$1:$A$100,0)),""),"")</f>
        <v xml:space="preserve">/
</v>
      </c>
      <c r="R149" s="397" t="str">
        <f ca="1">IFERROR(IF(INDEX('Coverage Indicators - Section D'!AG$1:AG$100,MATCH('Print View'!$A149,'Coverage Indicators - Section D'!$A$1:$A$100,0))&lt;&gt;"",INDEX('Coverage Indicators - Section D'!AG$1:AG$100,MATCH('Print View'!$A149,'Coverage Indicators - Section D'!$A$1:$A$100,0)),""),"")&amp;"/"&amp;IFERROR(IF(INDEX('Coverage Indicators - Section D'!AG$1:AG$100,MATCH('Print View'!$A149,'Coverage Indicators - Section D'!$A$1:$A$100,0)+1)&lt;&gt;"",INDEX('Coverage Indicators - Section D'!AG$1:AG$100,MATCH('Print View'!$A149,'Coverage Indicators - Section D'!$A$1:$A$100,0)+1),""),"")&amp;CHAR(10)&amp;IFERROR(IF(INDEX('Coverage Indicators - Section D'!AH$1:AH$100,MATCH('Print View'!$A149,'Coverage Indicators - Section D'!$A$1:$A$100,0))&lt;&gt;"",FIXED(INDEX('Coverage Indicators - Section D'!AH$1:AH$100,MATCH('Print View'!$A149,'Coverage Indicators - Section D'!$A$1:$A$100,0))*100,2)&amp;"%",""),"")&amp;CHAR(10)&amp;IFERROR(IF(INDEX('Coverage Indicators - Section D'!AI$1:AI$100,MATCH('Print View'!$A149,'Coverage Indicators - Section D'!$A$1:$A$100,0))&lt;&gt;"",INDEX('Coverage Indicators - Section D'!AI$1:AI$100,MATCH('Print View'!$A149,'Coverage Indicators - Section D'!$A$1:$A$100,0)),""),"")</f>
        <v xml:space="preserve">/
</v>
      </c>
      <c r="S149" s="397" t="str">
        <f ca="1">IFERROR(IF(INDEX('Coverage Indicators - Section D'!AJ$1:AJ$100,MATCH('Print View'!$A149,'Coverage Indicators - Section D'!$A$1:$A$100,0))&lt;&gt;"",INDEX('Coverage Indicators - Section D'!AJ$1:AJ$100,MATCH('Print View'!$A149,'Coverage Indicators - Section D'!$A$1:$A$100,0)),""),"")&amp;"/"&amp;IFERROR(IF(INDEX('Coverage Indicators - Section D'!AJ$1:AJ$100,MATCH('Print View'!$A149,'Coverage Indicators - Section D'!$A$1:$A$100,0)+1)&lt;&gt;"",INDEX('Coverage Indicators - Section D'!AJ$1:AJ$100,MATCH('Print View'!$A149,'Coverage Indicators - Section D'!$A$1:$A$100,0)+1),""),"")&amp;CHAR(10)&amp;IFERROR(IF(INDEX('Coverage Indicators - Section D'!AK$1:AK$100,MATCH('Print View'!$A149,'Coverage Indicators - Section D'!$A$1:$A$100,0))&lt;&gt;"",FIXED(INDEX('Coverage Indicators - Section D'!AK$1:AK$100,MATCH('Print View'!$A149,'Coverage Indicators - Section D'!$A$1:$A$100,0))*100,2)&amp;"%",""),"")&amp;CHAR(10)&amp;IFERROR(IF(INDEX('Coverage Indicators - Section D'!AL$1:AL$100,MATCH('Print View'!$A149,'Coverage Indicators - Section D'!$A$1:$A$100,0))&lt;&gt;"",INDEX('Coverage Indicators - Section D'!AL$1:AL$100,MATCH('Print View'!$A149,'Coverage Indicators - Section D'!$A$1:$A$100,0)),""),"")</f>
        <v xml:space="preserve">/
</v>
      </c>
      <c r="T149" s="310"/>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t="str">
        <f ca="1">IFERROR(IF(INDEX('Coverage Indicators - Section D'!AD$1:AD$110,MATCH('Print View'!$A149,'Coverage Indicators - Section D'!$A$1:$A$110,0))&lt;&gt;0,INDEX('Coverage Indicators - Section D'!AD$1:AD$110,MATCH('Print View'!$A149,'Coverage Indicators - Section D'!$A$1:$A$110,0)),""),"")</f>
        <v/>
      </c>
      <c r="AP149" s="223"/>
      <c r="AQ149" s="223"/>
      <c r="AR149" s="223"/>
      <c r="AS149" s="223"/>
      <c r="AT149" s="803" t="str">
        <f ca="1">CONCATENATE($A149,N$147)</f>
        <v>131-Dec-24</v>
      </c>
      <c r="AU149" s="802" t="str">
        <f ca="1">CONCATENATE($A149,Q$147)</f>
        <v>131-Dec-27</v>
      </c>
      <c r="AV149" s="802" t="str">
        <f>CONCATENATE($A149,V$147)</f>
        <v>1</v>
      </c>
      <c r="AW149" s="802" t="str">
        <f>CONCATENATE($A149,Y$147)</f>
        <v>1</v>
      </c>
      <c r="AX149" s="802" t="str">
        <f>CONCATENATE($A149,AB$147)</f>
        <v>1</v>
      </c>
      <c r="AY149" s="802" t="str">
        <f>CONCATENATE($A149,AE$147)</f>
        <v>1</v>
      </c>
      <c r="AZ149" s="802" t="str">
        <f>CONCATENATE($A149,AH$147)</f>
        <v>1</v>
      </c>
      <c r="BA149" s="802" t="str">
        <f>CONCATENATE($A149,AK$147)</f>
        <v>1</v>
      </c>
      <c r="BB149" s="228"/>
      <c r="BC149" s="121"/>
    </row>
    <row r="150" spans="1:55" s="106" customFormat="1" ht="88.4" customHeight="1" x14ac:dyDescent="0.35">
      <c r="A150" s="801"/>
      <c r="B150" s="806" t="str">
        <f ca="1">IFERROR(IF(INDEX('Coverage Indicators - Section D'!AM$1:AM$110,MATCH('Print View'!$A149,'Coverage Indicators - Section D'!$A$1:$A$110,0))&lt;&gt;0,INDEX('Coverage Indicators - Section D'!AM$1:AM$110,MATCH('Print View'!$A149,'Coverage Indicators - Section D'!$A$1:$A$110,0)),""),"")</f>
        <v>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Numerador: Número total de HSH que resultaron positivos a realizarse  la prueba de VIH en el sistema nacional de salud durante el período a evaluar 
Denominador: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Fuente:  SUMEVE 
Supuestos: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C150" s="807"/>
      <c r="D150" s="807"/>
      <c r="E150" s="807"/>
      <c r="F150" s="807"/>
      <c r="G150" s="807"/>
      <c r="H150" s="807"/>
      <c r="I150" s="807"/>
      <c r="J150" s="807"/>
      <c r="K150" s="807"/>
      <c r="L150" s="807"/>
      <c r="M150" s="807"/>
      <c r="N150" s="807"/>
      <c r="O150" s="807"/>
      <c r="P150" s="807"/>
      <c r="Q150" s="807"/>
      <c r="R150" s="807"/>
      <c r="S150" s="808"/>
      <c r="T150" s="312"/>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803"/>
      <c r="AU150" s="802"/>
      <c r="AV150" s="802"/>
      <c r="AW150" s="802"/>
      <c r="AX150" s="802"/>
      <c r="AY150" s="802"/>
      <c r="AZ150" s="802"/>
      <c r="BA150" s="802"/>
      <c r="BB150" s="228"/>
      <c r="BC150" s="121"/>
    </row>
    <row r="151" spans="1:55" s="106" customFormat="1" ht="177" customHeight="1" x14ac:dyDescent="0.35">
      <c r="A151" s="804">
        <v>2</v>
      </c>
      <c r="B151" s="385" t="str">
        <f ca="1">IFERROR(IF(INDEX('Coverage Indicators - Section D'!B$1:B$100,MATCH('Print View'!$A151,'Coverage Indicators - Section D'!$A$1:$A$100,0))&lt;&gt;0,INDEX('Coverage Indicators - Section D'!B$1:B$100,MATCH('Print View'!$A151,'Coverage Indicators - Section D'!$A$1:$A$100,0)),""),"")</f>
        <v>Financiación basada en los resultados</v>
      </c>
      <c r="C151" s="385" t="str">
        <f ca="1">IFERROR(IF(INDEX('Coverage Indicators - Section D'!D$1:D$100,MATCH('Print View'!$A151,'Coverage Indicators - Section D'!$A$1:$A$100,0))&lt;&gt;0,INDEX('Coverage Indicators - Section D'!D$1:D$100,MATCH('Print View'!$A151,'Coverage Indicators - Section D'!$A$1:$A$100,0)),""),"")</f>
        <v>MDR TB-6 Porcentaje de pacientes con tuberculosis y resultados de sensibilidad a los fármacos al menos con respecto a la rifampicina entre el número total de casos notificados (nuevos y vueltos a tratar) en el mismo año.</v>
      </c>
      <c r="D151" s="385" t="str">
        <f ca="1">IFERROR(IF(INDEX('Coverage Indicators - Section D'!E$1:E$100,MATCH('Print View'!$A151,'Coverage Indicators - Section D'!$A$1:$A$100,0))&lt;&gt;0,INDEX('Coverage Indicators - Section D'!E$1:E$100,MATCH('Print View'!$A151,'Coverage Indicators - Section D'!$A$1:$A$100,0)),""),"")</f>
        <v/>
      </c>
      <c r="E151" s="386" t="str">
        <f ca="1">IFERROR(IF(INDEX('Coverage Indicators - Section D'!F$1:F$100,MATCH('Print View'!$A151,'Coverage Indicators - Section D'!$A$1:$A$100,0))&lt;&gt;"",INDEX('Coverage Indicators - Section D'!F$1:F$100,MATCH('Print View'!$A151,'Coverage Indicators - Section D'!$A$1:$A$100,0)),""),"")&amp;"/"&amp;IFERROR(IF(INDEX('Coverage Indicators - Section D'!F$1:F$100,MATCH('Print View'!$A151,'Coverage Indicators - Section D'!$A$1:$A$100,0)+1)&lt;&gt;"",INDEX('Coverage Indicators - Section D'!F$1:F$100,MATCH('Print View'!$A151,'Coverage Indicators - Section D'!$A$1:$A$100,0)+1),""),"")&amp;CHAR(10)&amp;IFERROR(IF(INDEX('Coverage Indicators - Section D'!G$1:G$100,MATCH('Print View'!$A151,'Coverage Indicators - Section D'!$A$1:$A$100,0))&lt;&gt;"",FIXED(INDEX('Coverage Indicators - Section D'!G$1:G$100,MATCH('Print View'!$A151,'Coverage Indicators - Section D'!$A$1:$A$100,0))*100,2)&amp;"%",""),"")</f>
        <v>2456/3025
81.19%</v>
      </c>
      <c r="F151" s="400"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2019
Base de datos de GeneXpert y base de datos de sensibilidad.</v>
      </c>
      <c r="G151" s="401" t="str">
        <f>IFERROR(IF(INDEX('Coverage Indicators - Section D'!J9:J38,MATCH('Print View'!$A151,'Coverage Indicators - Section D'!$A$9:$A$38,0))&lt;&gt;0,INDEX('Coverage Indicators - Section D'!J9:J38,MATCH('Print View'!$A151,'Coverage Indicators - Section D'!$A$9:$A$38,0)),""),"")</f>
        <v/>
      </c>
      <c r="H151" s="400" t="str">
        <f ca="1">IFERROR(IF(INDEX('Coverage Indicators - Section D'!K$1:K$100,MATCH('Print View'!$A151,'Coverage Indicators - Section D'!$A$1:$A$100,0))&lt;&gt;0,INDEX('Coverage Indicators - Section D'!K$1:K$100,MATCH('Print View'!$A151,'Coverage Indicators - Section D'!$A$1:$A$100,0)),""),"")</f>
        <v>Yes</v>
      </c>
      <c r="I151" s="401" t="str">
        <f ca="1">IFERROR(IF(AND('Overview - Section A'!AN$5="Grant Making",OR(C151&lt;&gt;"",D151&lt;&gt;"")),Setup!I15,IF(INDEX('Coverage Indicators - Section D'!L$1:L$100,MATCH('Print View'!$A151,'Coverage Indicators - Section D'!$A$1:$A$100,0))&lt;&gt;0,INDEX('Coverage Indicators - Section D'!L$1:L$100,MATCH('Print View'!$A151,'Coverage Indicators - Section D'!$A$1:$A$100,0)),"")),"")</f>
        <v>Ministry of Health of the Republic of El Salvador</v>
      </c>
      <c r="J151" s="402"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El Salvador
Geographic National, 100% of national program target</v>
      </c>
      <c r="K151" s="400" t="str">
        <f ca="1">IFERROR(IF(INDEX('Coverage Indicators - Section D'!N$1:N$100,MATCH('Print View'!$A151,'Coverage Indicators - Section D'!$A$1:$A$100,0))&lt;&gt;0,INDEX('Coverage Indicators - Section D'!N$1:N$100,MATCH('Print View'!$A151,'Coverage Indicators - Section D'!$A$1:$A$100,0)),""),"")</f>
        <v/>
      </c>
      <c r="L151" s="402" t="str">
        <f ca="1">IFERROR(IF(INDEX('Coverage Indicators - Section D'!O$1:O$100,MATCH('Print View'!$A151,'Coverage Indicators - Section D'!$A$1:$A$100,0))&lt;&gt;"",INDEX('Coverage Indicators - Section D'!O$1:O$100,MATCH('Print View'!$A151,'Coverage Indicators - Section D'!$A$1:$A$100,0)),""),"")&amp;"/"&amp;IFERROR(IF(INDEX('Coverage Indicators - Section D'!O$1:O$100,MATCH('Print View'!$A151,'Coverage Indicators - Section D'!$A$1:$A$100,0)+1)&lt;&gt;"",INDEX('Coverage Indicators - Section D'!O$1:O$100,MATCH('Print View'!$A151,'Coverage Indicators - Section D'!$A$1:$A$100,0)+1),""),"")&amp;CHAR(10)&amp;IFERROR(IF(INDEX('Coverage Indicators - Section D'!P$1:P$100,MATCH('Print View'!$A151,'Coverage Indicators - Section D'!$A$1:$A$100,0))&lt;&gt;"",FIXED(INDEX('Coverage Indicators - Section D'!P$1:P$100,MATCH('Print View'!$A151,'Coverage Indicators - Section D'!$A$1:$A$100,0))*100,2)&amp;"%",""),"")&amp;CHAR(10)&amp;IFERROR(IF(INDEX('Coverage Indicators - Section D'!Q$1:Q$100,MATCH('Print View'!$A151,'Coverage Indicators - Section D'!$A$1:$A$100,0))&lt;&gt;"",INDEX('Coverage Indicators - Section D'!Q$1:Q$100,MATCH('Print View'!$A151,'Coverage Indicators - Section D'!$A$1:$A$100,0)),""),"")</f>
        <v xml:space="preserve">/
82.00%
</v>
      </c>
      <c r="M151" s="402" t="str">
        <f ca="1">IFERROR(IF(INDEX('Coverage Indicators - Section D'!R$1:R$100,MATCH('Print View'!$A151,'Coverage Indicators - Section D'!$A$1:$A$100,0))&lt;&gt;"",INDEX('Coverage Indicators - Section D'!R$1:R$100,MATCH('Print View'!$A151,'Coverage Indicators - Section D'!$A$1:$A$100,0)),""),"")&amp;"/"&amp;IFERROR(IF(INDEX('Coverage Indicators - Section D'!R$1:R$100,MATCH('Print View'!$A151,'Coverage Indicators - Section D'!$A$1:$A$100,0)+1)&lt;&gt;"",INDEX('Coverage Indicators - Section D'!R$1:R$100,MATCH('Print View'!$A151,'Coverage Indicators - Section D'!$A$1:$A$100,0)+1),""),"")&amp;CHAR(10)&amp;IFERROR(IF(INDEX('Coverage Indicators - Section D'!S$1:S$100,MATCH('Print View'!$A151,'Coverage Indicators - Section D'!$A$1:$A$100,0))&lt;&gt;"",FIXED(INDEX('Coverage Indicators - Section D'!S$1:S$100,MATCH('Print View'!$A151,'Coverage Indicators - Section D'!$A$1:$A$100,0))*100,2)&amp;"%",""),"")&amp;CHAR(10)&amp;IFERROR(IF(INDEX('Coverage Indicators - Section D'!T$1:T$100,MATCH('Print View'!$A151,'Coverage Indicators - Section D'!$A$1:$A$100,0))&lt;&gt;"",INDEX('Coverage Indicators - Section D'!T$1:T$100,MATCH('Print View'!$A151,'Coverage Indicators - Section D'!$A$1:$A$100,0)),""),"")</f>
        <v xml:space="preserve">/
83.00%
</v>
      </c>
      <c r="N151" s="402" t="str">
        <f ca="1">IFERROR(IF(INDEX('Coverage Indicators - Section D'!U$1:U$100,MATCH('Print View'!$A151,'Coverage Indicators - Section D'!$A$1:$A$100,0))&lt;&gt;"",INDEX('Coverage Indicators - Section D'!U$1:U$100,MATCH('Print View'!$A151,'Coverage Indicators - Section D'!$A$1:$A$100,0)),""),"")&amp;"/"&amp;IFERROR(IF(INDEX('Coverage Indicators - Section D'!U$1:U$100,MATCH('Print View'!$A151,'Coverage Indicators - Section D'!$A$1:$A$100,0)+1)&lt;&gt;"",INDEX('Coverage Indicators - Section D'!U$1:U$100,MATCH('Print View'!$A151,'Coverage Indicators - Section D'!$A$1:$A$100,0)+1),""),"")&amp;CHAR(10)&amp;IFERROR(IF(INDEX('Coverage Indicators - Section D'!V$1:V$100,MATCH('Print View'!$A151,'Coverage Indicators - Section D'!$A$1:$A$100,0))&lt;&gt;"",FIXED(INDEX('Coverage Indicators - Section D'!V$1:V$100,MATCH('Print View'!$A151,'Coverage Indicators - Section D'!$A$1:$A$100,0))*100,2)&amp;"%",""),"")&amp;CHAR(10)&amp;IFERROR(IF(INDEX('Coverage Indicators - Section D'!W$1:W$100,MATCH('Print View'!$A151,'Coverage Indicators - Section D'!$A$1:$A$100,0))&lt;&gt;"",INDEX('Coverage Indicators - Section D'!W$1:W$100,MATCH('Print View'!$A151,'Coverage Indicators - Section D'!$A$1:$A$100,0)),""),"")</f>
        <v xml:space="preserve">/
85.00%
</v>
      </c>
      <c r="O151" s="402" t="str">
        <f ca="1">IFERROR(IF(INDEX('Coverage Indicators - Section D'!X$1:X$100,MATCH('Print View'!$A151,'Coverage Indicators - Section D'!$A$1:$A$100,0))&lt;&gt;"",INDEX('Coverage Indicators - Section D'!X$1:X$100,MATCH('Print View'!$A151,'Coverage Indicators - Section D'!$A$1:$A$100,0)),""),"")&amp;"/"&amp;IFERROR(IF(INDEX('Coverage Indicators - Section D'!X$1:X$100,MATCH('Print View'!$A151,'Coverage Indicators - Section D'!$A$1:$A$100,0)+1)&lt;&gt;"",INDEX('Coverage Indicators - Section D'!X$1:X$100,MATCH('Print View'!$A151,'Coverage Indicators - Section D'!$A$1:$A$100,0)+1),""),"")&amp;CHAR(10)&amp;IFERROR(IF(INDEX('Coverage Indicators - Section D'!Y$1:Y$100,MATCH('Print View'!$A151,'Coverage Indicators - Section D'!$A$1:$A$100,0))&lt;&gt;"",FIXED(INDEX('Coverage Indicators - Section D'!Y$1:Y$100,MATCH('Print View'!$A151,'Coverage Indicators - Section D'!$A$1:$A$100,0))*100,2)&amp;"%",""),"")&amp;CHAR(10)&amp;IFERROR(IF(INDEX('Coverage Indicators - Section D'!Z$1:Z$100,MATCH('Print View'!$A151,'Coverage Indicators - Section D'!$A$1:$A$100,0))&lt;&gt;"",INDEX('Coverage Indicators - Section D'!Z$1:Z$100,MATCH('Print View'!$A151,'Coverage Indicators - Section D'!$A$1:$A$100,0)),""),"")</f>
        <v xml:space="preserve">/
</v>
      </c>
      <c r="P151" s="402" t="str">
        <f ca="1">IFERROR(IF(INDEX('Coverage Indicators - Section D'!AA$1:AA$100,MATCH('Print View'!$A151,'Coverage Indicators - Section D'!$A$1:$A$100,0))&lt;&gt;"",INDEX('Coverage Indicators - Section D'!AA$1:AA$100,MATCH('Print View'!$A151,'Coverage Indicators - Section D'!$A$1:$A$100,0)),""),"")&amp;"/"&amp;IFERROR(IF(INDEX('Coverage Indicators - Section D'!AA$1:AA$100,MATCH('Print View'!$A151,'Coverage Indicators - Section D'!$A$1:$A$100,0)+1)&lt;&gt;"",INDEX('Coverage Indicators - Section D'!AA$1:AA$100,MATCH('Print View'!$A151,'Coverage Indicators - Section D'!$A$1:$A$100,0)+1),""),"")&amp;CHAR(10)&amp;IFERROR(IF(INDEX('Coverage Indicators - Section D'!AB$1:AB$100,MATCH('Print View'!$A151,'Coverage Indicators - Section D'!$A$1:$A$100,0))&lt;&gt;"",FIXED(INDEX('Coverage Indicators - Section D'!AB$1:AB$100,MATCH('Print View'!$A151,'Coverage Indicators - Section D'!$A$1:$A$100,0))*100,2)&amp;"%",""),"")&amp;CHAR(10)&amp;IFERROR(IF(INDEX('Coverage Indicators - Section D'!AC$1:AC$100,MATCH('Print View'!$A151,'Coverage Indicators - Section D'!$A$1:$A$100,0))&lt;&gt;"",INDEX('Coverage Indicators - Section D'!AC$1:AC$100,MATCH('Print View'!$A151,'Coverage Indicators - Section D'!$A$1:$A$100,0)),""),"")</f>
        <v xml:space="preserve">/
</v>
      </c>
      <c r="Q151" s="402" t="str">
        <f ca="1">IFERROR(IF(INDEX('Coverage Indicators - Section D'!AD$1:AD$100,MATCH('Print View'!$A151,'Coverage Indicators - Section D'!$A$1:$A$100,0))&lt;&gt;"",INDEX('Coverage Indicators - Section D'!AD$1:AD$100,MATCH('Print View'!$A151,'Coverage Indicators - Section D'!$A$1:$A$100,0)),""),"")&amp;"/"&amp;IFERROR(IF(INDEX('Coverage Indicators - Section D'!AD$1:AD$100,MATCH('Print View'!$A151,'Coverage Indicators - Section D'!$A$1:$A$100,0)+1)&lt;&gt;"",INDEX('Coverage Indicators - Section D'!AD$1:AD$100,MATCH('Print View'!$A151,'Coverage Indicators - Section D'!$A$1:$A$100,0)+1),""),"")&amp;CHAR(10)&amp;IFERROR(IF(INDEX('Coverage Indicators - Section D'!AE$1:AE$100,MATCH('Print View'!$A151,'Coverage Indicators - Section D'!$A$1:$A$100,0))&lt;&gt;"",FIXED(INDEX('Coverage Indicators - Section D'!AE$1:AE$100,MATCH('Print View'!$A151,'Coverage Indicators - Section D'!$A$1:$A$100,0))*100,2)&amp;"%",""),"")&amp;CHAR(10)&amp;IFERROR(IF(INDEX('Coverage Indicators - Section D'!AF$1:AF$100,MATCH('Print View'!$A151,'Coverage Indicators - Section D'!$A$1:$A$100,0))&lt;&gt;"",INDEX('Coverage Indicators - Section D'!AF$1:AF$100,MATCH('Print View'!$A151,'Coverage Indicators - Section D'!$A$1:$A$100,0)),""),"")</f>
        <v xml:space="preserve">/
</v>
      </c>
      <c r="R151" s="402" t="str">
        <f ca="1">IFERROR(IF(INDEX('Coverage Indicators - Section D'!AG$1:AG$100,MATCH('Print View'!$A151,'Coverage Indicators - Section D'!$A$1:$A$100,0))&lt;&gt;"",INDEX('Coverage Indicators - Section D'!AG$1:AG$100,MATCH('Print View'!$A151,'Coverage Indicators - Section D'!$A$1:$A$100,0)),""),"")&amp;"/"&amp;IFERROR(IF(INDEX('Coverage Indicators - Section D'!AG$1:AG$100,MATCH('Print View'!$A151,'Coverage Indicators - Section D'!$A$1:$A$100,0)+1)&lt;&gt;"",INDEX('Coverage Indicators - Section D'!AG$1:AG$100,MATCH('Print View'!$A151,'Coverage Indicators - Section D'!$A$1:$A$100,0)+1),""),"")&amp;CHAR(10)&amp;IFERROR(IF(INDEX('Coverage Indicators - Section D'!AH$1:AH$100,MATCH('Print View'!$A151,'Coverage Indicators - Section D'!$A$1:$A$100,0))&lt;&gt;"",FIXED(INDEX('Coverage Indicators - Section D'!AH$1:AH$100,MATCH('Print View'!$A151,'Coverage Indicators - Section D'!$A$1:$A$100,0))*100,2)&amp;"%",""),"")&amp;CHAR(10)&amp;IFERROR(IF(INDEX('Coverage Indicators - Section D'!AI$1:AI$100,MATCH('Print View'!$A151,'Coverage Indicators - Section D'!$A$1:$A$100,0))&lt;&gt;"",INDEX('Coverage Indicators - Section D'!AI$1:AI$100,MATCH('Print View'!$A151,'Coverage Indicators - Section D'!$A$1:$A$100,0)),""),"")</f>
        <v xml:space="preserve">/
</v>
      </c>
      <c r="S151" s="402" t="str">
        <f ca="1">IFERROR(IF(INDEX('Coverage Indicators - Section D'!AJ$1:AJ$100,MATCH('Print View'!$A151,'Coverage Indicators - Section D'!$A$1:$A$100,0))&lt;&gt;"",INDEX('Coverage Indicators - Section D'!AJ$1:AJ$100,MATCH('Print View'!$A151,'Coverage Indicators - Section D'!$A$1:$A$100,0)),""),"")&amp;"/"&amp;IFERROR(IF(INDEX('Coverage Indicators - Section D'!AJ$1:AJ$100,MATCH('Print View'!$A151,'Coverage Indicators - Section D'!$A$1:$A$100,0)+1)&lt;&gt;"",INDEX('Coverage Indicators - Section D'!AJ$1:AJ$100,MATCH('Print View'!$A151,'Coverage Indicators - Section D'!$A$1:$A$100,0)+1),""),"")&amp;CHAR(10)&amp;IFERROR(IF(INDEX('Coverage Indicators - Section D'!AK$1:AK$100,MATCH('Print View'!$A151,'Coverage Indicators - Section D'!$A$1:$A$100,0))&lt;&gt;"",FIXED(INDEX('Coverage Indicators - Section D'!AK$1:AK$100,MATCH('Print View'!$A151,'Coverage Indicators - Section D'!$A$1:$A$100,0))*100,2)&amp;"%",""),"")&amp;CHAR(10)&amp;IFERROR(IF(INDEX('Coverage Indicators - Section D'!AL$1:AL$100,MATCH('Print View'!$A151,'Coverage Indicators - Section D'!$A$1:$A$100,0))&lt;&gt;"",INDEX('Coverage Indicators - Section D'!AL$1:AL$100,MATCH('Print View'!$A151,'Coverage Indicators - Section D'!$A$1:$A$100,0)),""),"")</f>
        <v xml:space="preserve">/
</v>
      </c>
      <c r="T151" s="31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t="str">
        <f ca="1">IFERROR(IF(INDEX('Coverage Indicators - Section D'!AD$1:AD$110,MATCH('Print View'!$A151,'Coverage Indicators - Section D'!$A$1:$A$110,0))&lt;&gt;0,INDEX('Coverage Indicators - Section D'!AD$1:AD$110,MATCH('Print View'!$A151,'Coverage Indicators - Section D'!$A$1:$A$110,0)),""),"")</f>
        <v/>
      </c>
      <c r="AP151" s="223"/>
      <c r="AQ151" s="223"/>
      <c r="AR151" s="223"/>
      <c r="AS151" s="223"/>
      <c r="AT151" s="803" t="str">
        <f ca="1">CONCATENATE($A151,N$147)</f>
        <v>231-Dec-24</v>
      </c>
      <c r="AU151" s="802" t="str">
        <f ca="1">CONCATENATE($A151,Q$147)</f>
        <v>231-Dec-27</v>
      </c>
      <c r="AV151" s="802" t="str">
        <f>CONCATENATE($A151,V$147)</f>
        <v>2</v>
      </c>
      <c r="AW151" s="802" t="str">
        <f>CONCATENATE($A151,Y$147)</f>
        <v>2</v>
      </c>
      <c r="AX151" s="802" t="str">
        <f>CONCATENATE($A151,AB$147)</f>
        <v>2</v>
      </c>
      <c r="AY151" s="802" t="str">
        <f>CONCATENATE($A151,AE$147)</f>
        <v>2</v>
      </c>
      <c r="AZ151" s="802" t="str">
        <f>CONCATENATE($A151,AH$147)</f>
        <v>2</v>
      </c>
      <c r="BA151" s="802" t="str">
        <f>CONCATENATE($A151,AK$147)</f>
        <v>2</v>
      </c>
      <c r="BB151" s="228"/>
      <c r="BC151" s="121"/>
    </row>
    <row r="152" spans="1:55" s="106" customFormat="1" ht="88.4" customHeight="1" x14ac:dyDescent="0.35">
      <c r="A152" s="804"/>
      <c r="B152" s="809" t="str">
        <f ca="1">IFERROR(IF(INDEX('Coverage Indicators - Section D'!AM$1:AM$110,MATCH('Print View'!$A151,'Coverage Indicators - Section D'!$A$1:$A$110,0))&lt;&gt;0,INDEX('Coverage Indicators - Section D'!AM$1:AM$110,MATCH('Print View'!$A151,'Coverage Indicators - Section D'!$A$1:$A$110,0)),""),"")</f>
        <v>Supuesto de estimación de meta: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y ampliar esta capacidad por lo que se propone alcanzar 82, 83 y 85% para los tres años de la subvención, no se puede ampliar esta capacidad más allá de las metas propuestas debidas a que existe un porcentaje de entre 10 a 15% de casos atribuibles a la población pediátrica. Del mismo modo existen casos extrapulmonares en los que no se pueden realizar este tipo de pruebas.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Métodos de medición: 
Numerador: Número de casos (personas) notificados a los que se les hizo prueba de sensibilidad por pruebas moleculares o  por método de las proporciones, en el periodo a evaluar
Denominador: Número de casos (personas) notificados todas las forma en el periodo a evaluar. Expresado en porcentaje 
El reporte anual se reportara con numerado/denominador y porcentaje, en cada año de la subvencion de acuerdo a los datos reales del periodo a reportar.
La verificación de este indicador estará sujeta al método de verificación establecido para la modalidad de financiamiento basado en resultados y establecido en el acuerdo de subvención.
Fuente de Información: Base de datos de GeneXpert; base de datos de sensibilidad y PCT - 9 (informe trimestral sobre la detección de casos de TB).</v>
      </c>
      <c r="C152" s="810"/>
      <c r="D152" s="810"/>
      <c r="E152" s="810"/>
      <c r="F152" s="810"/>
      <c r="G152" s="810"/>
      <c r="H152" s="810"/>
      <c r="I152" s="811"/>
      <c r="J152" s="811"/>
      <c r="K152" s="811"/>
      <c r="L152" s="811"/>
      <c r="M152" s="811"/>
      <c r="N152" s="811"/>
      <c r="O152" s="811"/>
      <c r="P152" s="811"/>
      <c r="Q152" s="811"/>
      <c r="R152" s="811"/>
      <c r="S152" s="812"/>
      <c r="T152" s="314"/>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803"/>
      <c r="AU152" s="802"/>
      <c r="AV152" s="802"/>
      <c r="AW152" s="802"/>
      <c r="AX152" s="802"/>
      <c r="AY152" s="802"/>
      <c r="AZ152" s="802"/>
      <c r="BA152" s="802"/>
      <c r="BB152" s="228"/>
      <c r="BC152" s="121"/>
    </row>
    <row r="153" spans="1:55" s="106" customFormat="1" ht="177" customHeight="1" x14ac:dyDescent="0.35">
      <c r="A153" s="801">
        <v>3</v>
      </c>
      <c r="B153" s="395" t="str">
        <f ca="1">IFERROR(IF(INDEX('Coverage Indicators - Section D'!B$1:B$100,MATCH('Print View'!$A153,'Coverage Indicators - Section D'!$A$1:$A$100,0))&lt;&gt;0,INDEX('Coverage Indicators - Section D'!B$1:B$100,MATCH('Print View'!$A153,'Coverage Indicators - Section D'!$A$1:$A$100,0)),""),"")</f>
        <v>Servicios diferenciados de diagnóstico del VIH</v>
      </c>
      <c r="C153" s="395" t="str">
        <f ca="1">IFERROR(IF(INDEX('Coverage Indicators - Section D'!D$1:D$100,MATCH('Print View'!$A153,'Coverage Indicators - Section D'!$A$1:$A$100,0))&lt;&gt;0,INDEX('Coverage Indicators - Section D'!D$1:D$100,MATCH('Print View'!$A153,'Coverage Indicators - Section D'!$A$1:$A$100,0)),""),"")</f>
        <v/>
      </c>
      <c r="D153" s="395" t="str">
        <f ca="1">IFERROR(IF(INDEX('Coverage Indicators - Section D'!E$1:E$100,MATCH('Print View'!$A153,'Coverage Indicators - Section D'!$A$1:$A$100,0))&lt;&gt;0,INDEX('Coverage Indicators - Section D'!E$1:E$100,MATCH('Print View'!$A153,'Coverage Indicators - Section D'!$A$1:$A$100,0)),""),"")</f>
        <v>HTS-Other 2 Porcentaje de resultados de VIH positivos entre el total de pruebas de VIH realizadas en personas Trans</v>
      </c>
      <c r="E153" s="396" t="str">
        <f ca="1">IFERROR(IF(INDEX('Coverage Indicators - Section D'!F$1:F$100,MATCH('Print View'!$A153,'Coverage Indicators - Section D'!$A$1:$A$100,0))&lt;&gt;"",INDEX('Coverage Indicators - Section D'!F$1:F$100,MATCH('Print View'!$A153,'Coverage Indicators - Section D'!$A$1:$A$100,0)),""),"")&amp;"/"&amp;IFERROR(IF(INDEX('Coverage Indicators - Section D'!F$1:F$100,MATCH('Print View'!$A153,'Coverage Indicators - Section D'!$A$1:$A$100,0)+1)&lt;&gt;"",INDEX('Coverage Indicators - Section D'!F$1:F$100,MATCH('Print View'!$A153,'Coverage Indicators - Section D'!$A$1:$A$100,0)+1),""),"")&amp;CHAR(10)&amp;IFERROR(IF(INDEX('Coverage Indicators - Section D'!G$1:G$100,MATCH('Print View'!$A153,'Coverage Indicators - Section D'!$A$1:$A$100,0))&lt;&gt;"",FIXED(INDEX('Coverage Indicators - Section D'!G$1:G$100,MATCH('Print View'!$A153,'Coverage Indicators - Section D'!$A$1:$A$100,0))*100,2)&amp;"%",""),"")</f>
        <v>19/914
2.08%</v>
      </c>
      <c r="F153" s="397"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2019
SUMEVE</v>
      </c>
      <c r="G153" s="398" t="str">
        <f>IFERROR(IF(INDEX('Coverage Indicators - Section D'!J13:J42,MATCH('Print View'!$A153,'Coverage Indicators - Section D'!$A$9:$A$38,0))&lt;&gt;0,INDEX('Coverage Indicators - Section D'!J13:J42,MATCH('Print View'!$A153,'Coverage Indicators - Section D'!$A$9:$A$38,0)),""),"")</f>
        <v/>
      </c>
      <c r="H153" s="399" t="str">
        <f ca="1">IFERROR(IF(INDEX('Coverage Indicators - Section D'!K$1:K$100,MATCH('Print View'!$A153,'Coverage Indicators - Section D'!$A$1:$A$100,0))&lt;&gt;0,INDEX('Coverage Indicators - Section D'!K$1:K$100,MATCH('Print View'!$A153,'Coverage Indicators - Section D'!$A$1:$A$100,0)),""),"")</f>
        <v>Yes</v>
      </c>
      <c r="I153" s="398" t="str">
        <f ca="1">IFERROR(IF(AND('Overview - Section A'!AN$5="Grant Making",OR(C153&lt;&gt;"",D153&lt;&gt;"")),Setup!I15,IF(INDEX('Coverage Indicators - Section D'!L$1:L$100,MATCH('Print View'!$A153,'Coverage Indicators - Section D'!$A$1:$A$100,0))&lt;&gt;0,INDEX('Coverage Indicators - Section D'!L$1:L$100,MATCH('Print View'!$A153,'Coverage Indicators - Section D'!$A$1:$A$100,0)),"")),"")</f>
        <v>Ministry of Health of the Republic of El Salvador</v>
      </c>
      <c r="J153" s="396"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El Salvador
Geographic National, 100% of national program target</v>
      </c>
      <c r="K153" s="396" t="str">
        <f ca="1">IFERROR(IF(INDEX('Coverage Indicators - Section D'!N$1:N$100,MATCH('Print View'!$A153,'Coverage Indicators - Section D'!$A$1:$A$100,0))&lt;&gt;0,INDEX('Coverage Indicators - Section D'!N$1:N$100,MATCH('Print View'!$A153,'Coverage Indicators - Section D'!$A$1:$A$100,0)),""),"")</f>
        <v/>
      </c>
      <c r="L153" s="396" t="str">
        <f ca="1">IFERROR(IF(INDEX('Coverage Indicators - Section D'!O$1:O$100,MATCH('Print View'!$A153,'Coverage Indicators - Section D'!$A$1:$A$100,0))&lt;&gt;"",INDEX('Coverage Indicators - Section D'!O$1:O$100,MATCH('Print View'!$A153,'Coverage Indicators - Section D'!$A$1:$A$100,0)),""),"")&amp;"/"&amp;IFERROR(IF(INDEX('Coverage Indicators - Section D'!O$1:O$100,MATCH('Print View'!$A153,'Coverage Indicators - Section D'!$A$1:$A$100,0)+1)&lt;&gt;"",INDEX('Coverage Indicators - Section D'!O$1:O$100,MATCH('Print View'!$A153,'Coverage Indicators - Section D'!$A$1:$A$100,0)+1),""),"")&amp;CHAR(10)&amp;IFERROR(IF(INDEX('Coverage Indicators - Section D'!P$1:P$100,MATCH('Print View'!$A153,'Coverage Indicators - Section D'!$A$1:$A$100,0))&lt;&gt;"",FIXED(INDEX('Coverage Indicators - Section D'!P$1:P$100,MATCH('Print View'!$A153,'Coverage Indicators - Section D'!$A$1:$A$100,0))*100,2)&amp;"%",""),"")&amp;CHAR(10)&amp;IFERROR(IF(INDEX('Coverage Indicators - Section D'!Q$1:Q$100,MATCH('Print View'!$A153,'Coverage Indicators - Section D'!$A$1:$A$100,0))&lt;&gt;"",INDEX('Coverage Indicators - Section D'!Q$1:Q$100,MATCH('Print View'!$A153,'Coverage Indicators - Section D'!$A$1:$A$100,0)),""),"")</f>
        <v xml:space="preserve">/
4.00%
</v>
      </c>
      <c r="M153" s="397" t="str">
        <f ca="1">IFERROR(IF(INDEX('Coverage Indicators - Section D'!R$1:R$100,MATCH('Print View'!$A153,'Coverage Indicators - Section D'!$A$1:$A$100,0))&lt;&gt;"",INDEX('Coverage Indicators - Section D'!R$1:R$100,MATCH('Print View'!$A153,'Coverage Indicators - Section D'!$A$1:$A$100,0)),""),"")&amp;"/"&amp;IFERROR(IF(INDEX('Coverage Indicators - Section D'!R$1:R$100,MATCH('Print View'!$A153,'Coverage Indicators - Section D'!$A$1:$A$100,0)+1)&lt;&gt;"",INDEX('Coverage Indicators - Section D'!R$1:R$100,MATCH('Print View'!$A153,'Coverage Indicators - Section D'!$A$1:$A$100,0)+1),""),"")&amp;CHAR(10)&amp;IFERROR(IF(INDEX('Coverage Indicators - Section D'!S$1:S$100,MATCH('Print View'!$A153,'Coverage Indicators - Section D'!$A$1:$A$100,0))&lt;&gt;"",FIXED(INDEX('Coverage Indicators - Section D'!S$1:S$100,MATCH('Print View'!$A153,'Coverage Indicators - Section D'!$A$1:$A$100,0))*100,2)&amp;"%",""),"")&amp;CHAR(10)&amp;IFERROR(IF(INDEX('Coverage Indicators - Section D'!T$1:T$100,MATCH('Print View'!$A153,'Coverage Indicators - Section D'!$A$1:$A$100,0))&lt;&gt;"",INDEX('Coverage Indicators - Section D'!T$1:T$100,MATCH('Print View'!$A153,'Coverage Indicators - Section D'!$A$1:$A$100,0)),""),"")</f>
        <v>/
TBD</v>
      </c>
      <c r="N153" s="396" t="str">
        <f ca="1">IFERROR(IF(INDEX('Coverage Indicators - Section D'!U$1:U$100,MATCH('Print View'!$A153,'Coverage Indicators - Section D'!$A$1:$A$100,0))&lt;&gt;"",INDEX('Coverage Indicators - Section D'!U$1:U$100,MATCH('Print View'!$A153,'Coverage Indicators - Section D'!$A$1:$A$100,0)),""),"")&amp;"/"&amp;IFERROR(IF(INDEX('Coverage Indicators - Section D'!U$1:U$100,MATCH('Print View'!$A153,'Coverage Indicators - Section D'!$A$1:$A$100,0)+1)&lt;&gt;"",INDEX('Coverage Indicators - Section D'!U$1:U$100,MATCH('Print View'!$A153,'Coverage Indicators - Section D'!$A$1:$A$100,0)+1),""),"")&amp;CHAR(10)&amp;IFERROR(IF(INDEX('Coverage Indicators - Section D'!V$1:V$100,MATCH('Print View'!$A153,'Coverage Indicators - Section D'!$A$1:$A$100,0))&lt;&gt;"",FIXED(INDEX('Coverage Indicators - Section D'!V$1:V$100,MATCH('Print View'!$A153,'Coverage Indicators - Section D'!$A$1:$A$100,0))*100,2)&amp;"%",""),"")&amp;CHAR(10)&amp;IFERROR(IF(INDEX('Coverage Indicators - Section D'!W$1:W$100,MATCH('Print View'!$A153,'Coverage Indicators - Section D'!$A$1:$A$100,0))&lt;&gt;"",INDEX('Coverage Indicators - Section D'!W$1:W$100,MATCH('Print View'!$A153,'Coverage Indicators - Section D'!$A$1:$A$100,0)),""),"")</f>
        <v>/
TBD</v>
      </c>
      <c r="O153" s="397" t="str">
        <f ca="1">IFERROR(IF(INDEX('Coverage Indicators - Section D'!X$1:X$100,MATCH('Print View'!$A153,'Coverage Indicators - Section D'!$A$1:$A$100,0))&lt;&gt;"",INDEX('Coverage Indicators - Section D'!X$1:X$100,MATCH('Print View'!$A153,'Coverage Indicators - Section D'!$A$1:$A$100,0)),""),"")&amp;"/"&amp;IFERROR(IF(INDEX('Coverage Indicators - Section D'!X$1:X$100,MATCH('Print View'!$A153,'Coverage Indicators - Section D'!$A$1:$A$100,0)+1)&lt;&gt;"",INDEX('Coverage Indicators - Section D'!X$1:X$100,MATCH('Print View'!$A153,'Coverage Indicators - Section D'!$A$1:$A$100,0)+1),""),"")&amp;CHAR(10)&amp;IFERROR(IF(INDEX('Coverage Indicators - Section D'!Y$1:Y$100,MATCH('Print View'!$A153,'Coverage Indicators - Section D'!$A$1:$A$100,0))&lt;&gt;"",FIXED(INDEX('Coverage Indicators - Section D'!Y$1:Y$100,MATCH('Print View'!$A153,'Coverage Indicators - Section D'!$A$1:$A$100,0))*100,2)&amp;"%",""),"")&amp;CHAR(10)&amp;IFERROR(IF(INDEX('Coverage Indicators - Section D'!Z$1:Z$100,MATCH('Print View'!$A153,'Coverage Indicators - Section D'!$A$1:$A$100,0))&lt;&gt;"",INDEX('Coverage Indicators - Section D'!Z$1:Z$100,MATCH('Print View'!$A153,'Coverage Indicators - Section D'!$A$1:$A$100,0)),""),"")</f>
        <v xml:space="preserve">/
</v>
      </c>
      <c r="P153" s="397" t="str">
        <f ca="1">IFERROR(IF(INDEX('Coverage Indicators - Section D'!AA$1:AA$100,MATCH('Print View'!$A153,'Coverage Indicators - Section D'!$A$1:$A$100,0))&lt;&gt;"",INDEX('Coverage Indicators - Section D'!AA$1:AA$100,MATCH('Print View'!$A153,'Coverage Indicators - Section D'!$A$1:$A$100,0)),""),"")&amp;"/"&amp;IFERROR(IF(INDEX('Coverage Indicators - Section D'!AA$1:AA$100,MATCH('Print View'!$A153,'Coverage Indicators - Section D'!$A$1:$A$100,0)+1)&lt;&gt;"",INDEX('Coverage Indicators - Section D'!AA$1:AA$100,MATCH('Print View'!$A153,'Coverage Indicators - Section D'!$A$1:$A$100,0)+1),""),"")&amp;CHAR(10)&amp;IFERROR(IF(INDEX('Coverage Indicators - Section D'!AB$1:AB$100,MATCH('Print View'!$A153,'Coverage Indicators - Section D'!$A$1:$A$100,0))&lt;&gt;"",FIXED(INDEX('Coverage Indicators - Section D'!AB$1:AB$100,MATCH('Print View'!$A153,'Coverage Indicators - Section D'!$A$1:$A$100,0))*100,2)&amp;"%",""),"")&amp;CHAR(10)&amp;IFERROR(IF(INDEX('Coverage Indicators - Section D'!AC$1:AC$100,MATCH('Print View'!$A153,'Coverage Indicators - Section D'!$A$1:$A$100,0))&lt;&gt;"",INDEX('Coverage Indicators - Section D'!AC$1:AC$100,MATCH('Print View'!$A153,'Coverage Indicators - Section D'!$A$1:$A$100,0)),""),"")</f>
        <v xml:space="preserve">/
</v>
      </c>
      <c r="Q153" s="397" t="str">
        <f ca="1">IFERROR(IF(INDEX('Coverage Indicators - Section D'!AD$1:AD$100,MATCH('Print View'!$A153,'Coverage Indicators - Section D'!$A$1:$A$100,0))&lt;&gt;"",INDEX('Coverage Indicators - Section D'!AD$1:AD$100,MATCH('Print View'!$A153,'Coverage Indicators - Section D'!$A$1:$A$100,0)),""),"")&amp;"/"&amp;IFERROR(IF(INDEX('Coverage Indicators - Section D'!AD$1:AD$100,MATCH('Print View'!$A153,'Coverage Indicators - Section D'!$A$1:$A$100,0)+1)&lt;&gt;"",INDEX('Coverage Indicators - Section D'!AD$1:AD$100,MATCH('Print View'!$A153,'Coverage Indicators - Section D'!$A$1:$A$100,0)+1),""),"")&amp;CHAR(10)&amp;IFERROR(IF(INDEX('Coverage Indicators - Section D'!AE$1:AE$100,MATCH('Print View'!$A153,'Coverage Indicators - Section D'!$A$1:$A$100,0))&lt;&gt;"",FIXED(INDEX('Coverage Indicators - Section D'!AE$1:AE$100,MATCH('Print View'!$A153,'Coverage Indicators - Section D'!$A$1:$A$100,0))*100,2)&amp;"%",""),"")&amp;CHAR(10)&amp;IFERROR(IF(INDEX('Coverage Indicators - Section D'!AF$1:AF$100,MATCH('Print View'!$A153,'Coverage Indicators - Section D'!$A$1:$A$100,0))&lt;&gt;"",INDEX('Coverage Indicators - Section D'!AF$1:AF$100,MATCH('Print View'!$A153,'Coverage Indicators - Section D'!$A$1:$A$100,0)),""),"")</f>
        <v xml:space="preserve">/
</v>
      </c>
      <c r="R153" s="397" t="str">
        <f ca="1">IFERROR(IF(INDEX('Coverage Indicators - Section D'!AG$1:AG$100,MATCH('Print View'!$A153,'Coverage Indicators - Section D'!$A$1:$A$100,0))&lt;&gt;"",INDEX('Coverage Indicators - Section D'!AG$1:AG$100,MATCH('Print View'!$A153,'Coverage Indicators - Section D'!$A$1:$A$100,0)),""),"")&amp;"/"&amp;IFERROR(IF(INDEX('Coverage Indicators - Section D'!AG$1:AG$100,MATCH('Print View'!$A153,'Coverage Indicators - Section D'!$A$1:$A$100,0)+1)&lt;&gt;"",INDEX('Coverage Indicators - Section D'!AG$1:AG$100,MATCH('Print View'!$A153,'Coverage Indicators - Section D'!$A$1:$A$100,0)+1),""),"")&amp;CHAR(10)&amp;IFERROR(IF(INDEX('Coverage Indicators - Section D'!AH$1:AH$100,MATCH('Print View'!$A153,'Coverage Indicators - Section D'!$A$1:$A$100,0))&lt;&gt;"",FIXED(INDEX('Coverage Indicators - Section D'!AH$1:AH$100,MATCH('Print View'!$A153,'Coverage Indicators - Section D'!$A$1:$A$100,0))*100,2)&amp;"%",""),"")&amp;CHAR(10)&amp;IFERROR(IF(INDEX('Coverage Indicators - Section D'!AI$1:AI$100,MATCH('Print View'!$A153,'Coverage Indicators - Section D'!$A$1:$A$100,0))&lt;&gt;"",INDEX('Coverage Indicators - Section D'!AI$1:AI$100,MATCH('Print View'!$A153,'Coverage Indicators - Section D'!$A$1:$A$100,0)),""),"")</f>
        <v xml:space="preserve">/
</v>
      </c>
      <c r="S153" s="397" t="str">
        <f ca="1">IFERROR(IF(INDEX('Coverage Indicators - Section D'!AJ$1:AJ$100,MATCH('Print View'!$A153,'Coverage Indicators - Section D'!$A$1:$A$100,0))&lt;&gt;"",INDEX('Coverage Indicators - Section D'!AJ$1:AJ$100,MATCH('Print View'!$A153,'Coverage Indicators - Section D'!$A$1:$A$100,0)),""),"")&amp;"/"&amp;IFERROR(IF(INDEX('Coverage Indicators - Section D'!AJ$1:AJ$100,MATCH('Print View'!$A153,'Coverage Indicators - Section D'!$A$1:$A$100,0)+1)&lt;&gt;"",INDEX('Coverage Indicators - Section D'!AJ$1:AJ$100,MATCH('Print View'!$A153,'Coverage Indicators - Section D'!$A$1:$A$100,0)+1),""),"")&amp;CHAR(10)&amp;IFERROR(IF(INDEX('Coverage Indicators - Section D'!AK$1:AK$100,MATCH('Print View'!$A153,'Coverage Indicators - Section D'!$A$1:$A$100,0))&lt;&gt;"",FIXED(INDEX('Coverage Indicators - Section D'!AK$1:AK$100,MATCH('Print View'!$A153,'Coverage Indicators - Section D'!$A$1:$A$100,0))*100,2)&amp;"%",""),"")&amp;CHAR(10)&amp;IFERROR(IF(INDEX('Coverage Indicators - Section D'!AL$1:AL$100,MATCH('Print View'!$A153,'Coverage Indicators - Section D'!$A$1:$A$100,0))&lt;&gt;"",INDEX('Coverage Indicators - Section D'!AL$1:AL$100,MATCH('Print View'!$A153,'Coverage Indicators - Section D'!$A$1:$A$100,0)),""),"")</f>
        <v xml:space="preserve">/
</v>
      </c>
      <c r="T153" s="310"/>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t="str">
        <f ca="1">IFERROR(IF(INDEX('Coverage Indicators - Section D'!AD$1:AD$110,MATCH('Print View'!$A153,'Coverage Indicators - Section D'!$A$1:$A$110,0))&lt;&gt;0,INDEX('Coverage Indicators - Section D'!AD$1:AD$110,MATCH('Print View'!$A153,'Coverage Indicators - Section D'!$A$1:$A$110,0)),""),"")</f>
        <v/>
      </c>
      <c r="AP153" s="223"/>
      <c r="AQ153" s="223"/>
      <c r="AR153" s="223"/>
      <c r="AS153" s="223"/>
      <c r="AT153" s="803" t="str">
        <f ca="1">CONCATENATE($A153,N$147)</f>
        <v>331-Dec-24</v>
      </c>
      <c r="AU153" s="802" t="str">
        <f ca="1">CONCATENATE($A153,Q$147)</f>
        <v>331-Dec-27</v>
      </c>
      <c r="AV153" s="802" t="str">
        <f>CONCATENATE($A153,V$147)</f>
        <v>3</v>
      </c>
      <c r="AW153" s="802" t="str">
        <f>CONCATENATE($A153,Y$147)</f>
        <v>3</v>
      </c>
      <c r="AX153" s="802" t="str">
        <f>CONCATENATE($A153,AB$147)</f>
        <v>3</v>
      </c>
      <c r="AY153" s="802" t="str">
        <f>CONCATENATE($A153,AE$147)</f>
        <v>3</v>
      </c>
      <c r="AZ153" s="802" t="str">
        <f>CONCATENATE($A153,AH$147)</f>
        <v>3</v>
      </c>
      <c r="BA153" s="802" t="str">
        <f>CONCATENATE($A153,AK$147)</f>
        <v>3</v>
      </c>
      <c r="BB153" s="228"/>
      <c r="BC153" s="121"/>
    </row>
    <row r="154" spans="1:55" s="106" customFormat="1" ht="88.4" customHeight="1" x14ac:dyDescent="0.35">
      <c r="A154" s="801"/>
      <c r="B154" s="806" t="str">
        <f ca="1">IFERROR(IF(INDEX('Coverage Indicators - Section D'!AM$1:AM$110,MATCH('Print View'!$A153,'Coverage Indicators - Section D'!$A$1:$A$110,0))&lt;&gt;0,INDEX('Coverage Indicators - Section D'!AM$1:AM$110,MATCH('Print View'!$A153,'Coverage Indicators - Section D'!$A$1:$A$110,0)),""),"")</f>
        <v>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C154" s="807"/>
      <c r="D154" s="807"/>
      <c r="E154" s="807"/>
      <c r="F154" s="807"/>
      <c r="G154" s="807"/>
      <c r="H154" s="807"/>
      <c r="I154" s="807"/>
      <c r="J154" s="807"/>
      <c r="K154" s="807"/>
      <c r="L154" s="807"/>
      <c r="M154" s="807"/>
      <c r="N154" s="807"/>
      <c r="O154" s="807"/>
      <c r="P154" s="807"/>
      <c r="Q154" s="807"/>
      <c r="R154" s="807"/>
      <c r="S154" s="808"/>
      <c r="T154" s="312"/>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803"/>
      <c r="AU154" s="802"/>
      <c r="AV154" s="802"/>
      <c r="AW154" s="802"/>
      <c r="AX154" s="802"/>
      <c r="AY154" s="802"/>
      <c r="AZ154" s="802"/>
      <c r="BA154" s="802"/>
      <c r="BB154" s="228"/>
      <c r="BC154" s="121"/>
    </row>
    <row r="155" spans="1:55" s="106" customFormat="1" ht="177" customHeight="1" x14ac:dyDescent="0.35">
      <c r="A155" s="804">
        <v>4</v>
      </c>
      <c r="B155" s="385" t="str">
        <f ca="1">IFERROR(IF(INDEX('Coverage Indicators - Section D'!B$1:B$100,MATCH('Print View'!$A155,'Coverage Indicators - Section D'!$A$1:$A$100,0))&lt;&gt;0,INDEX('Coverage Indicators - Section D'!B$1:B$100,MATCH('Print View'!$A155,'Coverage Indicators - Section D'!$A$1:$A$100,0)),""),"")</f>
        <v>Financiación basada en los resultados</v>
      </c>
      <c r="C155" s="385" t="str">
        <f ca="1">IFERROR(IF(INDEX('Coverage Indicators - Section D'!D$1:D$100,MATCH('Print View'!$A155,'Coverage Indicators - Section D'!$A$1:$A$100,0))&lt;&gt;0,INDEX('Coverage Indicators - Section D'!D$1:D$100,MATCH('Print View'!$A155,'Coverage Indicators - Section D'!$A$1:$A$100,0)),""),"")</f>
        <v>MDR TB-3⁽ᴹ⁾ Número de casos de tuberculosis resistente a la rifampicina y/o multirresistente que empezaron a recibir tratamiento de segunda línea.</v>
      </c>
      <c r="D155" s="385" t="str">
        <f ca="1">IFERROR(IF(INDEX('Coverage Indicators - Section D'!E$1:E$100,MATCH('Print View'!$A155,'Coverage Indicators - Section D'!$A$1:$A$100,0))&lt;&gt;0,INDEX('Coverage Indicators - Section D'!E$1:E$100,MATCH('Print View'!$A155,'Coverage Indicators - Section D'!$A$1:$A$100,0)),""),"")</f>
        <v/>
      </c>
      <c r="E155" s="386" t="str">
        <f ca="1">IFERROR(IF(INDEX('Coverage Indicators - Section D'!F$1:F$100,MATCH('Print View'!$A155,'Coverage Indicators - Section D'!$A$1:$A$100,0))&lt;&gt;"",INDEX('Coverage Indicators - Section D'!F$1:F$100,MATCH('Print View'!$A155,'Coverage Indicators - Section D'!$A$1:$A$100,0)),""),"")&amp;"/"&amp;IFERROR(IF(INDEX('Coverage Indicators - Section D'!F$1:F$100,MATCH('Print View'!$A155,'Coverage Indicators - Section D'!$A$1:$A$100,0)+1)&lt;&gt;"",INDEX('Coverage Indicators - Section D'!F$1:F$100,MATCH('Print View'!$A155,'Coverage Indicators - Section D'!$A$1:$A$100,0)+1),""),"")&amp;CHAR(10)&amp;IFERROR(IF(INDEX('Coverage Indicators - Section D'!G$1:G$100,MATCH('Print View'!$A155,'Coverage Indicators - Section D'!$A$1:$A$100,0))&lt;&gt;"",FIXED(INDEX('Coverage Indicators - Section D'!G$1:G$100,MATCH('Print View'!$A155,'Coverage Indicators - Section D'!$A$1:$A$100,0))*100,2)&amp;"%",""),"")</f>
        <v xml:space="preserve">21/
</v>
      </c>
      <c r="F155" s="400"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2019
Libro de registro de casos con TB fármacorresistente y tarjeta de tratamiento farmacorresistente.</v>
      </c>
      <c r="G155" s="401" t="str">
        <f>IFERROR(IF(INDEX('Coverage Indicators - Section D'!J13:J42,MATCH('Print View'!$A155,'Coverage Indicators - Section D'!$A$9:$A$38,0))&lt;&gt;0,INDEX('Coverage Indicators - Section D'!J13:J42,MATCH('Print View'!$A155,'Coverage Indicators - Section D'!$A$9:$A$38,0)),""),"")</f>
        <v/>
      </c>
      <c r="H155" s="400" t="str">
        <f ca="1">IFERROR(IF(INDEX('Coverage Indicators - Section D'!K$1:K$100,MATCH('Print View'!$A155,'Coverage Indicators - Section D'!$A$1:$A$100,0))&lt;&gt;0,INDEX('Coverage Indicators - Section D'!K$1:K$100,MATCH('Print View'!$A155,'Coverage Indicators - Section D'!$A$1:$A$100,0)),""),"")</f>
        <v>Yes</v>
      </c>
      <c r="I155" s="401" t="str">
        <f ca="1">IFERROR(IF(AND('Overview - Section A'!AN$5="Grant Making",OR(C155&lt;&gt;"",D155&lt;&gt;"")),Setup!I15,IF(INDEX('Coverage Indicators - Section D'!L$1:L$100,MATCH('Print View'!$A155,'Coverage Indicators - Section D'!$A$1:$A$100,0))&lt;&gt;0,INDEX('Coverage Indicators - Section D'!L$1:L$100,MATCH('Print View'!$A155,'Coverage Indicators - Section D'!$A$1:$A$100,0)),"")),"")</f>
        <v>Ministry of Health of the Republic of El Salvador</v>
      </c>
      <c r="J155" s="402"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El Salvador
Geographic National, 100% of national program target</v>
      </c>
      <c r="K155" s="400" t="str">
        <f ca="1">IFERROR(IF(INDEX('Coverage Indicators - Section D'!N$1:N$100,MATCH('Print View'!$A155,'Coverage Indicators - Section D'!$A$1:$A$100,0))&lt;&gt;0,INDEX('Coverage Indicators - Section D'!N$1:N$100,MATCH('Print View'!$A155,'Coverage Indicators - Section D'!$A$1:$A$100,0)),""),"")</f>
        <v/>
      </c>
      <c r="L155" s="402" t="str">
        <f ca="1">IFERROR(IF(INDEX('Coverage Indicators - Section D'!O$1:O$100,MATCH('Print View'!$A155,'Coverage Indicators - Section D'!$A$1:$A$100,0))&lt;&gt;"",INDEX('Coverage Indicators - Section D'!O$1:O$100,MATCH('Print View'!$A155,'Coverage Indicators - Section D'!$A$1:$A$100,0)),""),"")&amp;"/"&amp;IFERROR(IF(INDEX('Coverage Indicators - Section D'!O$1:O$100,MATCH('Print View'!$A155,'Coverage Indicators - Section D'!$A$1:$A$100,0)+1)&lt;&gt;"",INDEX('Coverage Indicators - Section D'!O$1:O$100,MATCH('Print View'!$A155,'Coverage Indicators - Section D'!$A$1:$A$100,0)+1),""),"")&amp;CHAR(10)&amp;IFERROR(IF(INDEX('Coverage Indicators - Section D'!P$1:P$100,MATCH('Print View'!$A155,'Coverage Indicators - Section D'!$A$1:$A$100,0))&lt;&gt;"",FIXED(INDEX('Coverage Indicators - Section D'!P$1:P$100,MATCH('Print View'!$A155,'Coverage Indicators - Section D'!$A$1:$A$100,0))*100,2)&amp;"%",""),"")&amp;CHAR(10)&amp;IFERROR(IF(INDEX('Coverage Indicators - Section D'!Q$1:Q$100,MATCH('Print View'!$A155,'Coverage Indicators - Section D'!$A$1:$A$100,0))&lt;&gt;"",INDEX('Coverage Indicators - Section D'!Q$1:Q$100,MATCH('Print View'!$A155,'Coverage Indicators - Section D'!$A$1:$A$100,0)),""),"")</f>
        <v xml:space="preserve">41.6/
</v>
      </c>
      <c r="M155" s="402" t="str">
        <f ca="1">IFERROR(IF(INDEX('Coverage Indicators - Section D'!R$1:R$100,MATCH('Print View'!$A155,'Coverage Indicators - Section D'!$A$1:$A$100,0))&lt;&gt;"",INDEX('Coverage Indicators - Section D'!R$1:R$100,MATCH('Print View'!$A155,'Coverage Indicators - Section D'!$A$1:$A$100,0)),""),"")&amp;"/"&amp;IFERROR(IF(INDEX('Coverage Indicators - Section D'!R$1:R$100,MATCH('Print View'!$A155,'Coverage Indicators - Section D'!$A$1:$A$100,0)+1)&lt;&gt;"",INDEX('Coverage Indicators - Section D'!R$1:R$100,MATCH('Print View'!$A155,'Coverage Indicators - Section D'!$A$1:$A$100,0)+1),""),"")&amp;CHAR(10)&amp;IFERROR(IF(INDEX('Coverage Indicators - Section D'!S$1:S$100,MATCH('Print View'!$A155,'Coverage Indicators - Section D'!$A$1:$A$100,0))&lt;&gt;"",FIXED(INDEX('Coverage Indicators - Section D'!S$1:S$100,MATCH('Print View'!$A155,'Coverage Indicators - Section D'!$A$1:$A$100,0))*100,2)&amp;"%",""),"")&amp;CHAR(10)&amp;IFERROR(IF(INDEX('Coverage Indicators - Section D'!T$1:T$100,MATCH('Print View'!$A155,'Coverage Indicators - Section D'!$A$1:$A$100,0))&lt;&gt;"",INDEX('Coverage Indicators - Section D'!T$1:T$100,MATCH('Print View'!$A155,'Coverage Indicators - Section D'!$A$1:$A$100,0)),""),"")</f>
        <v xml:space="preserve">38.8/
</v>
      </c>
      <c r="N155" s="402" t="str">
        <f ca="1">IFERROR(IF(INDEX('Coverage Indicators - Section D'!U$1:U$100,MATCH('Print View'!$A155,'Coverage Indicators - Section D'!$A$1:$A$100,0))&lt;&gt;"",INDEX('Coverage Indicators - Section D'!U$1:U$100,MATCH('Print View'!$A155,'Coverage Indicators - Section D'!$A$1:$A$100,0)),""),"")&amp;"/"&amp;IFERROR(IF(INDEX('Coverage Indicators - Section D'!U$1:U$100,MATCH('Print View'!$A155,'Coverage Indicators - Section D'!$A$1:$A$100,0)+1)&lt;&gt;"",INDEX('Coverage Indicators - Section D'!U$1:U$100,MATCH('Print View'!$A155,'Coverage Indicators - Section D'!$A$1:$A$100,0)+1),""),"")&amp;CHAR(10)&amp;IFERROR(IF(INDEX('Coverage Indicators - Section D'!V$1:V$100,MATCH('Print View'!$A155,'Coverage Indicators - Section D'!$A$1:$A$100,0))&lt;&gt;"",FIXED(INDEX('Coverage Indicators - Section D'!V$1:V$100,MATCH('Print View'!$A155,'Coverage Indicators - Section D'!$A$1:$A$100,0))*100,2)&amp;"%",""),"")&amp;CHAR(10)&amp;IFERROR(IF(INDEX('Coverage Indicators - Section D'!W$1:W$100,MATCH('Print View'!$A155,'Coverage Indicators - Section D'!$A$1:$A$100,0))&lt;&gt;"",INDEX('Coverage Indicators - Section D'!W$1:W$100,MATCH('Print View'!$A155,'Coverage Indicators - Section D'!$A$1:$A$100,0)),""),"")</f>
        <v xml:space="preserve">35.7/
</v>
      </c>
      <c r="O155" s="402" t="str">
        <f ca="1">IFERROR(IF(INDEX('Coverage Indicators - Section D'!X$1:X$100,MATCH('Print View'!$A155,'Coverage Indicators - Section D'!$A$1:$A$100,0))&lt;&gt;"",INDEX('Coverage Indicators - Section D'!X$1:X$100,MATCH('Print View'!$A155,'Coverage Indicators - Section D'!$A$1:$A$100,0)),""),"")&amp;"/"&amp;IFERROR(IF(INDEX('Coverage Indicators - Section D'!X$1:X$100,MATCH('Print View'!$A155,'Coverage Indicators - Section D'!$A$1:$A$100,0)+1)&lt;&gt;"",INDEX('Coverage Indicators - Section D'!X$1:X$100,MATCH('Print View'!$A155,'Coverage Indicators - Section D'!$A$1:$A$100,0)+1),""),"")&amp;CHAR(10)&amp;IFERROR(IF(INDEX('Coverage Indicators - Section D'!Y$1:Y$100,MATCH('Print View'!$A155,'Coverage Indicators - Section D'!$A$1:$A$100,0))&lt;&gt;"",FIXED(INDEX('Coverage Indicators - Section D'!Y$1:Y$100,MATCH('Print View'!$A155,'Coverage Indicators - Section D'!$A$1:$A$100,0))*100,2)&amp;"%",""),"")&amp;CHAR(10)&amp;IFERROR(IF(INDEX('Coverage Indicators - Section D'!Z$1:Z$100,MATCH('Print View'!$A155,'Coverage Indicators - Section D'!$A$1:$A$100,0))&lt;&gt;"",INDEX('Coverage Indicators - Section D'!Z$1:Z$100,MATCH('Print View'!$A155,'Coverage Indicators - Section D'!$A$1:$A$100,0)),""),"")</f>
        <v xml:space="preserve">/
</v>
      </c>
      <c r="P155" s="402" t="str">
        <f ca="1">IFERROR(IF(INDEX('Coverage Indicators - Section D'!AA$1:AA$100,MATCH('Print View'!$A155,'Coverage Indicators - Section D'!$A$1:$A$100,0))&lt;&gt;"",INDEX('Coverage Indicators - Section D'!AA$1:AA$100,MATCH('Print View'!$A155,'Coverage Indicators - Section D'!$A$1:$A$100,0)),""),"")&amp;"/"&amp;IFERROR(IF(INDEX('Coverage Indicators - Section D'!AA$1:AA$100,MATCH('Print View'!$A155,'Coverage Indicators - Section D'!$A$1:$A$100,0)+1)&lt;&gt;"",INDEX('Coverage Indicators - Section D'!AA$1:AA$100,MATCH('Print View'!$A155,'Coverage Indicators - Section D'!$A$1:$A$100,0)+1),""),"")&amp;CHAR(10)&amp;IFERROR(IF(INDEX('Coverage Indicators - Section D'!AB$1:AB$100,MATCH('Print View'!$A155,'Coverage Indicators - Section D'!$A$1:$A$100,0))&lt;&gt;"",FIXED(INDEX('Coverage Indicators - Section D'!AB$1:AB$100,MATCH('Print View'!$A155,'Coverage Indicators - Section D'!$A$1:$A$100,0))*100,2)&amp;"%",""),"")&amp;CHAR(10)&amp;IFERROR(IF(INDEX('Coverage Indicators - Section D'!AC$1:AC$100,MATCH('Print View'!$A155,'Coverage Indicators - Section D'!$A$1:$A$100,0))&lt;&gt;"",INDEX('Coverage Indicators - Section D'!AC$1:AC$100,MATCH('Print View'!$A155,'Coverage Indicators - Section D'!$A$1:$A$100,0)),""),"")</f>
        <v xml:space="preserve">/
</v>
      </c>
      <c r="Q155" s="402" t="str">
        <f ca="1">IFERROR(IF(INDEX('Coverage Indicators - Section D'!AD$1:AD$100,MATCH('Print View'!$A155,'Coverage Indicators - Section D'!$A$1:$A$100,0))&lt;&gt;"",INDEX('Coverage Indicators - Section D'!AD$1:AD$100,MATCH('Print View'!$A155,'Coverage Indicators - Section D'!$A$1:$A$100,0)),""),"")&amp;"/"&amp;IFERROR(IF(INDEX('Coverage Indicators - Section D'!AD$1:AD$100,MATCH('Print View'!$A155,'Coverage Indicators - Section D'!$A$1:$A$100,0)+1)&lt;&gt;"",INDEX('Coverage Indicators - Section D'!AD$1:AD$100,MATCH('Print View'!$A155,'Coverage Indicators - Section D'!$A$1:$A$100,0)+1),""),"")&amp;CHAR(10)&amp;IFERROR(IF(INDEX('Coverage Indicators - Section D'!AE$1:AE$100,MATCH('Print View'!$A155,'Coverage Indicators - Section D'!$A$1:$A$100,0))&lt;&gt;"",FIXED(INDEX('Coverage Indicators - Section D'!AE$1:AE$100,MATCH('Print View'!$A155,'Coverage Indicators - Section D'!$A$1:$A$100,0))*100,2)&amp;"%",""),"")&amp;CHAR(10)&amp;IFERROR(IF(INDEX('Coverage Indicators - Section D'!AF$1:AF$100,MATCH('Print View'!$A155,'Coverage Indicators - Section D'!$A$1:$A$100,0))&lt;&gt;"",INDEX('Coverage Indicators - Section D'!AF$1:AF$100,MATCH('Print View'!$A155,'Coverage Indicators - Section D'!$A$1:$A$100,0)),""),"")</f>
        <v xml:space="preserve">/
</v>
      </c>
      <c r="R155" s="402" t="str">
        <f ca="1">IFERROR(IF(INDEX('Coverage Indicators - Section D'!AG$1:AG$100,MATCH('Print View'!$A155,'Coverage Indicators - Section D'!$A$1:$A$100,0))&lt;&gt;"",INDEX('Coverage Indicators - Section D'!AG$1:AG$100,MATCH('Print View'!$A155,'Coverage Indicators - Section D'!$A$1:$A$100,0)),""),"")&amp;"/"&amp;IFERROR(IF(INDEX('Coverage Indicators - Section D'!AG$1:AG$100,MATCH('Print View'!$A155,'Coverage Indicators - Section D'!$A$1:$A$100,0)+1)&lt;&gt;"",INDEX('Coverage Indicators - Section D'!AG$1:AG$100,MATCH('Print View'!$A155,'Coverage Indicators - Section D'!$A$1:$A$100,0)+1),""),"")&amp;CHAR(10)&amp;IFERROR(IF(INDEX('Coverage Indicators - Section D'!AH$1:AH$100,MATCH('Print View'!$A155,'Coverage Indicators - Section D'!$A$1:$A$100,0))&lt;&gt;"",FIXED(INDEX('Coverage Indicators - Section D'!AH$1:AH$100,MATCH('Print View'!$A155,'Coverage Indicators - Section D'!$A$1:$A$100,0))*100,2)&amp;"%",""),"")&amp;CHAR(10)&amp;IFERROR(IF(INDEX('Coverage Indicators - Section D'!AI$1:AI$100,MATCH('Print View'!$A155,'Coverage Indicators - Section D'!$A$1:$A$100,0))&lt;&gt;"",INDEX('Coverage Indicators - Section D'!AI$1:AI$100,MATCH('Print View'!$A155,'Coverage Indicators - Section D'!$A$1:$A$100,0)),""),"")</f>
        <v xml:space="preserve">/
</v>
      </c>
      <c r="S155" s="402" t="str">
        <f ca="1">IFERROR(IF(INDEX('Coverage Indicators - Section D'!AJ$1:AJ$100,MATCH('Print View'!$A155,'Coverage Indicators - Section D'!$A$1:$A$100,0))&lt;&gt;"",INDEX('Coverage Indicators - Section D'!AJ$1:AJ$100,MATCH('Print View'!$A155,'Coverage Indicators - Section D'!$A$1:$A$100,0)),""),"")&amp;"/"&amp;IFERROR(IF(INDEX('Coverage Indicators - Section D'!AJ$1:AJ$100,MATCH('Print View'!$A155,'Coverage Indicators - Section D'!$A$1:$A$100,0)+1)&lt;&gt;"",INDEX('Coverage Indicators - Section D'!AJ$1:AJ$100,MATCH('Print View'!$A155,'Coverage Indicators - Section D'!$A$1:$A$100,0)+1),""),"")&amp;CHAR(10)&amp;IFERROR(IF(INDEX('Coverage Indicators - Section D'!AK$1:AK$100,MATCH('Print View'!$A155,'Coverage Indicators - Section D'!$A$1:$A$100,0))&lt;&gt;"",FIXED(INDEX('Coverage Indicators - Section D'!AK$1:AK$100,MATCH('Print View'!$A155,'Coverage Indicators - Section D'!$A$1:$A$100,0))*100,2)&amp;"%",""),"")&amp;CHAR(10)&amp;IFERROR(IF(INDEX('Coverage Indicators - Section D'!AL$1:AL$100,MATCH('Print View'!$A155,'Coverage Indicators - Section D'!$A$1:$A$100,0))&lt;&gt;"",INDEX('Coverage Indicators - Section D'!AL$1:AL$100,MATCH('Print View'!$A155,'Coverage Indicators - Section D'!$A$1:$A$100,0)),""),"")</f>
        <v xml:space="preserve">/
</v>
      </c>
      <c r="T155" s="31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t="str">
        <f ca="1">IFERROR(IF(INDEX('Coverage Indicators - Section D'!AD$1:AD$110,MATCH('Print View'!$A155,'Coverage Indicators - Section D'!$A$1:$A$110,0))&lt;&gt;0,INDEX('Coverage Indicators - Section D'!AD$1:AD$110,MATCH('Print View'!$A155,'Coverage Indicators - Section D'!$A$1:$A$110,0)),""),"")</f>
        <v/>
      </c>
      <c r="AP155" s="223"/>
      <c r="AQ155" s="223"/>
      <c r="AR155" s="223"/>
      <c r="AS155" s="223"/>
      <c r="AT155" s="803" t="str">
        <f ca="1">CONCATENATE($A155,N$147)</f>
        <v>431-Dec-24</v>
      </c>
      <c r="AU155" s="802" t="str">
        <f ca="1">CONCATENATE($A155,Q$147)</f>
        <v>431-Dec-27</v>
      </c>
      <c r="AV155" s="802" t="str">
        <f>CONCATENATE($A155,V$147)</f>
        <v>4</v>
      </c>
      <c r="AW155" s="802" t="str">
        <f>CONCATENATE($A155,Y$147)</f>
        <v>4</v>
      </c>
      <c r="AX155" s="802" t="str">
        <f>CONCATENATE($A155,AB$147)</f>
        <v>4</v>
      </c>
      <c r="AY155" s="802" t="str">
        <f>CONCATENATE($A155,AE$147)</f>
        <v>4</v>
      </c>
      <c r="AZ155" s="802" t="str">
        <f>CONCATENATE($A155,AH$147)</f>
        <v>4</v>
      </c>
      <c r="BA155" s="802" t="str">
        <f>CONCATENATE($A155,AK$147)</f>
        <v>4</v>
      </c>
      <c r="BB155" s="228"/>
      <c r="BC155" s="121"/>
    </row>
    <row r="156" spans="1:55" s="106" customFormat="1" ht="88.4" customHeight="1" x14ac:dyDescent="0.35">
      <c r="A156" s="804"/>
      <c r="B156" s="809" t="str">
        <f ca="1">IFERROR(IF(INDEX('Coverage Indicators - Section D'!AM$1:AM$110,MATCH('Print View'!$A155,'Coverage Indicators - Section D'!$A$1:$A$110,0))&lt;&gt;0,INDEX('Coverage Indicators - Section D'!AM$1:AM$110,MATCH('Print View'!$A155,'Coverage Indicators - Section D'!$A$1:$A$110,0)),""),"")</f>
        <v>Supuesto de estimación de metas: el dato reportado para el año 2019 corresponde a 21 casos de TB-RR/TB-MDR que iniciaron tratamiento de segunda linea. Para las metas proyectadas, se ha estimado que el 2 %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Metodos de medicion: 
Numerador:  Total de casos de tuberculosis resistente a la rifampicina y/o tuberculosis multirresistente que han comenzado un tratamiento de segunda línea en el periodo a evaluar. se reporta en numero absoluto.
La verificación de este indicador estará sujeta al método de verificación establecido para la modalidad de financiamiento basado en resultados y establecido en el acuerdo de subvención.
Fuente de Información: Libro de registro de casos con TB fármacorresistente y tarjeta de tratamiento farmacorresistente.</v>
      </c>
      <c r="C156" s="810"/>
      <c r="D156" s="810"/>
      <c r="E156" s="810"/>
      <c r="F156" s="810"/>
      <c r="G156" s="810"/>
      <c r="H156" s="810"/>
      <c r="I156" s="811"/>
      <c r="J156" s="811"/>
      <c r="K156" s="811"/>
      <c r="L156" s="811"/>
      <c r="M156" s="811"/>
      <c r="N156" s="811"/>
      <c r="O156" s="811"/>
      <c r="P156" s="811"/>
      <c r="Q156" s="811"/>
      <c r="R156" s="811"/>
      <c r="S156" s="812"/>
      <c r="T156" s="314"/>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803"/>
      <c r="AU156" s="802"/>
      <c r="AV156" s="802"/>
      <c r="AW156" s="802"/>
      <c r="AX156" s="802"/>
      <c r="AY156" s="802"/>
      <c r="AZ156" s="802"/>
      <c r="BA156" s="802"/>
      <c r="BB156" s="228"/>
      <c r="BC156" s="121"/>
    </row>
    <row r="157" spans="1:55" s="106" customFormat="1" ht="177" customHeight="1" x14ac:dyDescent="0.35">
      <c r="A157" s="801">
        <v>5</v>
      </c>
      <c r="B157" s="395" t="str">
        <f ca="1">IFERROR(IF(INDEX('Coverage Indicators - Section D'!B$1:B$100,MATCH('Print View'!$A157,'Coverage Indicators - Section D'!$A$1:$A$100,0))&lt;&gt;0,INDEX('Coverage Indicators - Section D'!B$1:B$100,MATCH('Print View'!$A157,'Coverage Indicators - Section D'!$A$1:$A$100,0)),""),"")</f>
        <v>Servicios diferenciados de diagnóstico del VIH</v>
      </c>
      <c r="C157" s="395" t="str">
        <f ca="1">IFERROR(IF(INDEX('Coverage Indicators - Section D'!D$1:D$100,MATCH('Print View'!$A157,'Coverage Indicators - Section D'!$A$1:$A$100,0))&lt;&gt;0,INDEX('Coverage Indicators - Section D'!D$1:D$100,MATCH('Print View'!$A157,'Coverage Indicators - Section D'!$A$1:$A$100,0)),""),"")</f>
        <v/>
      </c>
      <c r="D157" s="395" t="str">
        <f ca="1">IFERROR(IF(INDEX('Coverage Indicators - Section D'!E$1:E$100,MATCH('Print View'!$A157,'Coverage Indicators - Section D'!$A$1:$A$100,0))&lt;&gt;0,INDEX('Coverage Indicators - Section D'!E$1:E$100,MATCH('Print View'!$A157,'Coverage Indicators - Section D'!$A$1:$A$100,0)),""),"")</f>
        <v>HTS-Other 3 Porcentaje de resultados de VIH positivos entre el total de pruebas de VIH realizadas en trabajadoras sexuales</v>
      </c>
      <c r="E157" s="396" t="str">
        <f ca="1">IFERROR(IF(INDEX('Coverage Indicators - Section D'!F$1:F$100,MATCH('Print View'!$A157,'Coverage Indicators - Section D'!$A$1:$A$100,0))&lt;&gt;"",INDEX('Coverage Indicators - Section D'!F$1:F$100,MATCH('Print View'!$A157,'Coverage Indicators - Section D'!$A$1:$A$100,0)),""),"")&amp;"/"&amp;IFERROR(IF(INDEX('Coverage Indicators - Section D'!F$1:F$100,MATCH('Print View'!$A157,'Coverage Indicators - Section D'!$A$1:$A$100,0)+1)&lt;&gt;"",INDEX('Coverage Indicators - Section D'!F$1:F$100,MATCH('Print View'!$A157,'Coverage Indicators - Section D'!$A$1:$A$100,0)+1),""),"")&amp;CHAR(10)&amp;IFERROR(IF(INDEX('Coverage Indicators - Section D'!G$1:G$100,MATCH('Print View'!$A157,'Coverage Indicators - Section D'!$A$1:$A$100,0))&lt;&gt;"",FIXED(INDEX('Coverage Indicators - Section D'!G$1:G$100,MATCH('Print View'!$A157,'Coverage Indicators - Section D'!$A$1:$A$100,0))*100,2)&amp;"%",""),"")</f>
        <v>17/7118
0.24%</v>
      </c>
      <c r="F157" s="397"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2019
SUMEVE</v>
      </c>
      <c r="G157" s="398" t="str">
        <f>IFERROR(IF(INDEX('Coverage Indicators - Section D'!J17:J46,MATCH('Print View'!$A157,'Coverage Indicators - Section D'!$A$9:$A$38,0))&lt;&gt;0,INDEX('Coverage Indicators - Section D'!J17:J46,MATCH('Print View'!$A157,'Coverage Indicators - Section D'!$A$9:$A$38,0)),""),"")</f>
        <v>Edad</v>
      </c>
      <c r="H157" s="399" t="str">
        <f ca="1">IFERROR(IF(INDEX('Coverage Indicators - Section D'!K$1:K$100,MATCH('Print View'!$A157,'Coverage Indicators - Section D'!$A$1:$A$100,0))&lt;&gt;0,INDEX('Coverage Indicators - Section D'!K$1:K$100,MATCH('Print View'!$A157,'Coverage Indicators - Section D'!$A$1:$A$100,0)),""),"")</f>
        <v>Yes</v>
      </c>
      <c r="I157" s="398" t="str">
        <f ca="1">IFERROR(IF(AND('Overview - Section A'!AN$5="Grant Making",OR(C157&lt;&gt;"",D157&lt;&gt;"")),Setup!I15,IF(INDEX('Coverage Indicators - Section D'!L$1:L$100,MATCH('Print View'!$A157,'Coverage Indicators - Section D'!$A$1:$A$100,0))&lt;&gt;0,INDEX('Coverage Indicators - Section D'!L$1:L$100,MATCH('Print View'!$A157,'Coverage Indicators - Section D'!$A$1:$A$100,0)),"")),"")</f>
        <v>Ministry of Health of the Republic of El Salvador</v>
      </c>
      <c r="J157" s="396"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El Salvador
Geographic National, 100% of national program target</v>
      </c>
      <c r="K157" s="396" t="str">
        <f ca="1">IFERROR(IF(INDEX('Coverage Indicators - Section D'!N$1:N$100,MATCH('Print View'!$A157,'Coverage Indicators - Section D'!$A$1:$A$100,0))&lt;&gt;0,INDEX('Coverage Indicators - Section D'!N$1:N$100,MATCH('Print View'!$A157,'Coverage Indicators - Section D'!$A$1:$A$100,0)),""),"")</f>
        <v/>
      </c>
      <c r="L157" s="396" t="str">
        <f ca="1">IFERROR(IF(INDEX('Coverage Indicators - Section D'!O$1:O$100,MATCH('Print View'!$A157,'Coverage Indicators - Section D'!$A$1:$A$100,0))&lt;&gt;"",INDEX('Coverage Indicators - Section D'!O$1:O$100,MATCH('Print View'!$A157,'Coverage Indicators - Section D'!$A$1:$A$100,0)),""),"")&amp;"/"&amp;IFERROR(IF(INDEX('Coverage Indicators - Section D'!O$1:O$100,MATCH('Print View'!$A157,'Coverage Indicators - Section D'!$A$1:$A$100,0)+1)&lt;&gt;"",INDEX('Coverage Indicators - Section D'!O$1:O$100,MATCH('Print View'!$A157,'Coverage Indicators - Section D'!$A$1:$A$100,0)+1),""),"")&amp;CHAR(10)&amp;IFERROR(IF(INDEX('Coverage Indicators - Section D'!P$1:P$100,MATCH('Print View'!$A157,'Coverage Indicators - Section D'!$A$1:$A$100,0))&lt;&gt;"",FIXED(INDEX('Coverage Indicators - Section D'!P$1:P$100,MATCH('Print View'!$A157,'Coverage Indicators - Section D'!$A$1:$A$100,0))*100,2)&amp;"%",""),"")&amp;CHAR(10)&amp;IFERROR(IF(INDEX('Coverage Indicators - Section D'!Q$1:Q$100,MATCH('Print View'!$A157,'Coverage Indicators - Section D'!$A$1:$A$100,0))&lt;&gt;"",INDEX('Coverage Indicators - Section D'!Q$1:Q$100,MATCH('Print View'!$A157,'Coverage Indicators - Section D'!$A$1:$A$100,0)),""),"")</f>
        <v xml:space="preserve">/
0.94%
</v>
      </c>
      <c r="M157" s="397" t="str">
        <f ca="1">IFERROR(IF(INDEX('Coverage Indicators - Section D'!R$1:R$100,MATCH('Print View'!$A157,'Coverage Indicators - Section D'!$A$1:$A$100,0))&lt;&gt;"",INDEX('Coverage Indicators - Section D'!R$1:R$100,MATCH('Print View'!$A157,'Coverage Indicators - Section D'!$A$1:$A$100,0)),""),"")&amp;"/"&amp;IFERROR(IF(INDEX('Coverage Indicators - Section D'!R$1:R$100,MATCH('Print View'!$A157,'Coverage Indicators - Section D'!$A$1:$A$100,0)+1)&lt;&gt;"",INDEX('Coverage Indicators - Section D'!R$1:R$100,MATCH('Print View'!$A157,'Coverage Indicators - Section D'!$A$1:$A$100,0)+1),""),"")&amp;CHAR(10)&amp;IFERROR(IF(INDEX('Coverage Indicators - Section D'!S$1:S$100,MATCH('Print View'!$A157,'Coverage Indicators - Section D'!$A$1:$A$100,0))&lt;&gt;"",FIXED(INDEX('Coverage Indicators - Section D'!S$1:S$100,MATCH('Print View'!$A157,'Coverage Indicators - Section D'!$A$1:$A$100,0))*100,2)&amp;"%",""),"")&amp;CHAR(10)&amp;IFERROR(IF(INDEX('Coverage Indicators - Section D'!T$1:T$100,MATCH('Print View'!$A157,'Coverage Indicators - Section D'!$A$1:$A$100,0))&lt;&gt;"",INDEX('Coverage Indicators - Section D'!T$1:T$100,MATCH('Print View'!$A157,'Coverage Indicators - Section D'!$A$1:$A$100,0)),""),"")</f>
        <v>/
TBD</v>
      </c>
      <c r="N157" s="396" t="str">
        <f ca="1">IFERROR(IF(INDEX('Coverage Indicators - Section D'!U$1:U$100,MATCH('Print View'!$A157,'Coverage Indicators - Section D'!$A$1:$A$100,0))&lt;&gt;"",INDEX('Coverage Indicators - Section D'!U$1:U$100,MATCH('Print View'!$A157,'Coverage Indicators - Section D'!$A$1:$A$100,0)),""),"")&amp;"/"&amp;IFERROR(IF(INDEX('Coverage Indicators - Section D'!U$1:U$100,MATCH('Print View'!$A157,'Coverage Indicators - Section D'!$A$1:$A$100,0)+1)&lt;&gt;"",INDEX('Coverage Indicators - Section D'!U$1:U$100,MATCH('Print View'!$A157,'Coverage Indicators - Section D'!$A$1:$A$100,0)+1),""),"")&amp;CHAR(10)&amp;IFERROR(IF(INDEX('Coverage Indicators - Section D'!V$1:V$100,MATCH('Print View'!$A157,'Coverage Indicators - Section D'!$A$1:$A$100,0))&lt;&gt;"",FIXED(INDEX('Coverage Indicators - Section D'!V$1:V$100,MATCH('Print View'!$A157,'Coverage Indicators - Section D'!$A$1:$A$100,0))*100,2)&amp;"%",""),"")&amp;CHAR(10)&amp;IFERROR(IF(INDEX('Coverage Indicators - Section D'!W$1:W$100,MATCH('Print View'!$A157,'Coverage Indicators - Section D'!$A$1:$A$100,0))&lt;&gt;"",INDEX('Coverage Indicators - Section D'!W$1:W$100,MATCH('Print View'!$A157,'Coverage Indicators - Section D'!$A$1:$A$100,0)),""),"")</f>
        <v>/
TBD</v>
      </c>
      <c r="O157" s="397" t="str">
        <f ca="1">IFERROR(IF(INDEX('Coverage Indicators - Section D'!X$1:X$100,MATCH('Print View'!$A157,'Coverage Indicators - Section D'!$A$1:$A$100,0))&lt;&gt;"",INDEX('Coverage Indicators - Section D'!X$1:X$100,MATCH('Print View'!$A157,'Coverage Indicators - Section D'!$A$1:$A$100,0)),""),"")&amp;"/"&amp;IFERROR(IF(INDEX('Coverage Indicators - Section D'!X$1:X$100,MATCH('Print View'!$A157,'Coverage Indicators - Section D'!$A$1:$A$100,0)+1)&lt;&gt;"",INDEX('Coverage Indicators - Section D'!X$1:X$100,MATCH('Print View'!$A157,'Coverage Indicators - Section D'!$A$1:$A$100,0)+1),""),"")&amp;CHAR(10)&amp;IFERROR(IF(INDEX('Coverage Indicators - Section D'!Y$1:Y$100,MATCH('Print View'!$A157,'Coverage Indicators - Section D'!$A$1:$A$100,0))&lt;&gt;"",FIXED(INDEX('Coverage Indicators - Section D'!Y$1:Y$100,MATCH('Print View'!$A157,'Coverage Indicators - Section D'!$A$1:$A$100,0))*100,2)&amp;"%",""),"")&amp;CHAR(10)&amp;IFERROR(IF(INDEX('Coverage Indicators - Section D'!Z$1:Z$100,MATCH('Print View'!$A157,'Coverage Indicators - Section D'!$A$1:$A$100,0))&lt;&gt;"",INDEX('Coverage Indicators - Section D'!Z$1:Z$100,MATCH('Print View'!$A157,'Coverage Indicators - Section D'!$A$1:$A$100,0)),""),"")</f>
        <v xml:space="preserve">/
</v>
      </c>
      <c r="P157" s="397" t="str">
        <f ca="1">IFERROR(IF(INDEX('Coverage Indicators - Section D'!AA$1:AA$100,MATCH('Print View'!$A157,'Coverage Indicators - Section D'!$A$1:$A$100,0))&lt;&gt;"",INDEX('Coverage Indicators - Section D'!AA$1:AA$100,MATCH('Print View'!$A157,'Coverage Indicators - Section D'!$A$1:$A$100,0)),""),"")&amp;"/"&amp;IFERROR(IF(INDEX('Coverage Indicators - Section D'!AA$1:AA$100,MATCH('Print View'!$A157,'Coverage Indicators - Section D'!$A$1:$A$100,0)+1)&lt;&gt;"",INDEX('Coverage Indicators - Section D'!AA$1:AA$100,MATCH('Print View'!$A157,'Coverage Indicators - Section D'!$A$1:$A$100,0)+1),""),"")&amp;CHAR(10)&amp;IFERROR(IF(INDEX('Coverage Indicators - Section D'!AB$1:AB$100,MATCH('Print View'!$A157,'Coverage Indicators - Section D'!$A$1:$A$100,0))&lt;&gt;"",FIXED(INDEX('Coverage Indicators - Section D'!AB$1:AB$100,MATCH('Print View'!$A157,'Coverage Indicators - Section D'!$A$1:$A$100,0))*100,2)&amp;"%",""),"")&amp;CHAR(10)&amp;IFERROR(IF(INDEX('Coverage Indicators - Section D'!AC$1:AC$100,MATCH('Print View'!$A157,'Coverage Indicators - Section D'!$A$1:$A$100,0))&lt;&gt;"",INDEX('Coverage Indicators - Section D'!AC$1:AC$100,MATCH('Print View'!$A157,'Coverage Indicators - Section D'!$A$1:$A$100,0)),""),"")</f>
        <v xml:space="preserve">/
</v>
      </c>
      <c r="Q157" s="397" t="str">
        <f ca="1">IFERROR(IF(INDEX('Coverage Indicators - Section D'!AD$1:AD$100,MATCH('Print View'!$A157,'Coverage Indicators - Section D'!$A$1:$A$100,0))&lt;&gt;"",INDEX('Coverage Indicators - Section D'!AD$1:AD$100,MATCH('Print View'!$A157,'Coverage Indicators - Section D'!$A$1:$A$100,0)),""),"")&amp;"/"&amp;IFERROR(IF(INDEX('Coverage Indicators - Section D'!AD$1:AD$100,MATCH('Print View'!$A157,'Coverage Indicators - Section D'!$A$1:$A$100,0)+1)&lt;&gt;"",INDEX('Coverage Indicators - Section D'!AD$1:AD$100,MATCH('Print View'!$A157,'Coverage Indicators - Section D'!$A$1:$A$100,0)+1),""),"")&amp;CHAR(10)&amp;IFERROR(IF(INDEX('Coverage Indicators - Section D'!AE$1:AE$100,MATCH('Print View'!$A157,'Coverage Indicators - Section D'!$A$1:$A$100,0))&lt;&gt;"",FIXED(INDEX('Coverage Indicators - Section D'!AE$1:AE$100,MATCH('Print View'!$A157,'Coverage Indicators - Section D'!$A$1:$A$100,0))*100,2)&amp;"%",""),"")&amp;CHAR(10)&amp;IFERROR(IF(INDEX('Coverage Indicators - Section D'!AF$1:AF$100,MATCH('Print View'!$A157,'Coverage Indicators - Section D'!$A$1:$A$100,0))&lt;&gt;"",INDEX('Coverage Indicators - Section D'!AF$1:AF$100,MATCH('Print View'!$A157,'Coverage Indicators - Section D'!$A$1:$A$100,0)),""),"")</f>
        <v xml:space="preserve">/
</v>
      </c>
      <c r="R157" s="397" t="str">
        <f ca="1">IFERROR(IF(INDEX('Coverage Indicators - Section D'!AG$1:AG$100,MATCH('Print View'!$A157,'Coverage Indicators - Section D'!$A$1:$A$100,0))&lt;&gt;"",INDEX('Coverage Indicators - Section D'!AG$1:AG$100,MATCH('Print View'!$A157,'Coverage Indicators - Section D'!$A$1:$A$100,0)),""),"")&amp;"/"&amp;IFERROR(IF(INDEX('Coverage Indicators - Section D'!AG$1:AG$100,MATCH('Print View'!$A157,'Coverage Indicators - Section D'!$A$1:$A$100,0)+1)&lt;&gt;"",INDEX('Coverage Indicators - Section D'!AG$1:AG$100,MATCH('Print View'!$A157,'Coverage Indicators - Section D'!$A$1:$A$100,0)+1),""),"")&amp;CHAR(10)&amp;IFERROR(IF(INDEX('Coverage Indicators - Section D'!AH$1:AH$100,MATCH('Print View'!$A157,'Coverage Indicators - Section D'!$A$1:$A$100,0))&lt;&gt;"",FIXED(INDEX('Coverage Indicators - Section D'!AH$1:AH$100,MATCH('Print View'!$A157,'Coverage Indicators - Section D'!$A$1:$A$100,0))*100,2)&amp;"%",""),"")&amp;CHAR(10)&amp;IFERROR(IF(INDEX('Coverage Indicators - Section D'!AI$1:AI$100,MATCH('Print View'!$A157,'Coverage Indicators - Section D'!$A$1:$A$100,0))&lt;&gt;"",INDEX('Coverage Indicators - Section D'!AI$1:AI$100,MATCH('Print View'!$A157,'Coverage Indicators - Section D'!$A$1:$A$100,0)),""),"")</f>
        <v xml:space="preserve">/
</v>
      </c>
      <c r="S157" s="397" t="str">
        <f ca="1">IFERROR(IF(INDEX('Coverage Indicators - Section D'!AJ$1:AJ$100,MATCH('Print View'!$A157,'Coverage Indicators - Section D'!$A$1:$A$100,0))&lt;&gt;"",INDEX('Coverage Indicators - Section D'!AJ$1:AJ$100,MATCH('Print View'!$A157,'Coverage Indicators - Section D'!$A$1:$A$100,0)),""),"")&amp;"/"&amp;IFERROR(IF(INDEX('Coverage Indicators - Section D'!AJ$1:AJ$100,MATCH('Print View'!$A157,'Coverage Indicators - Section D'!$A$1:$A$100,0)+1)&lt;&gt;"",INDEX('Coverage Indicators - Section D'!AJ$1:AJ$100,MATCH('Print View'!$A157,'Coverage Indicators - Section D'!$A$1:$A$100,0)+1),""),"")&amp;CHAR(10)&amp;IFERROR(IF(INDEX('Coverage Indicators - Section D'!AK$1:AK$100,MATCH('Print View'!$A157,'Coverage Indicators - Section D'!$A$1:$A$100,0))&lt;&gt;"",FIXED(INDEX('Coverage Indicators - Section D'!AK$1:AK$100,MATCH('Print View'!$A157,'Coverage Indicators - Section D'!$A$1:$A$100,0))*100,2)&amp;"%",""),"")&amp;CHAR(10)&amp;IFERROR(IF(INDEX('Coverage Indicators - Section D'!AL$1:AL$100,MATCH('Print View'!$A157,'Coverage Indicators - Section D'!$A$1:$A$100,0))&lt;&gt;"",INDEX('Coverage Indicators - Section D'!AL$1:AL$100,MATCH('Print View'!$A157,'Coverage Indicators - Section D'!$A$1:$A$100,0)),""),"")</f>
        <v xml:space="preserve">/
</v>
      </c>
      <c r="T157" s="310"/>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t="str">
        <f ca="1">IFERROR(IF(INDEX('Coverage Indicators - Section D'!AD$1:AD$110,MATCH('Print View'!$A157,'Coverage Indicators - Section D'!$A$1:$A$110,0))&lt;&gt;0,INDEX('Coverage Indicators - Section D'!AD$1:AD$110,MATCH('Print View'!$A157,'Coverage Indicators - Section D'!$A$1:$A$110,0)),""),"")</f>
        <v/>
      </c>
      <c r="AP157" s="223"/>
      <c r="AQ157" s="223"/>
      <c r="AR157" s="223"/>
      <c r="AS157" s="223"/>
      <c r="AT157" s="803" t="str">
        <f ca="1">CONCATENATE($A157,N$147)</f>
        <v>531-Dec-24</v>
      </c>
      <c r="AU157" s="802" t="str">
        <f ca="1">CONCATENATE($A157,Q$147)</f>
        <v>531-Dec-27</v>
      </c>
      <c r="AV157" s="802" t="str">
        <f>CONCATENATE($A157,V$147)</f>
        <v>5</v>
      </c>
      <c r="AW157" s="802" t="str">
        <f>CONCATENATE($A157,Y$147)</f>
        <v>5</v>
      </c>
      <c r="AX157" s="802" t="str">
        <f>CONCATENATE($A157,AB$147)</f>
        <v>5</v>
      </c>
      <c r="AY157" s="802" t="str">
        <f>CONCATENATE($A157,AE$147)</f>
        <v>5</v>
      </c>
      <c r="AZ157" s="802" t="str">
        <f>CONCATENATE($A157,AH$147)</f>
        <v>5</v>
      </c>
      <c r="BA157" s="802" t="str">
        <f>CONCATENATE($A157,AK$147)</f>
        <v>5</v>
      </c>
      <c r="BB157" s="228"/>
      <c r="BC157" s="121"/>
    </row>
    <row r="158" spans="1:55" s="106" customFormat="1" ht="88.4" customHeight="1" x14ac:dyDescent="0.35">
      <c r="A158" s="801"/>
      <c r="B158" s="806" t="str">
        <f ca="1">IFERROR(IF(INDEX('Coverage Indicators - Section D'!AM$1:AM$110,MATCH('Print View'!$A157,'Coverage Indicators - Section D'!$A$1:$A$110,0))&lt;&gt;0,INDEX('Coverage Indicators - Section D'!AM$1:AM$110,MATCH('Print View'!$A157,'Coverage Indicators - Section D'!$A$1:$A$110,0)),""),"")</f>
        <v xml:space="preserve">Línea de base de este indicador  0.24%  coorresponde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casi 1 punto porcentual,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
</v>
      </c>
      <c r="C158" s="807"/>
      <c r="D158" s="807"/>
      <c r="E158" s="807"/>
      <c r="F158" s="807"/>
      <c r="G158" s="807"/>
      <c r="H158" s="807"/>
      <c r="I158" s="807"/>
      <c r="J158" s="807"/>
      <c r="K158" s="807"/>
      <c r="L158" s="807"/>
      <c r="M158" s="807"/>
      <c r="N158" s="807"/>
      <c r="O158" s="807"/>
      <c r="P158" s="807"/>
      <c r="Q158" s="807"/>
      <c r="R158" s="807"/>
      <c r="S158" s="808"/>
      <c r="T158" s="312"/>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803"/>
      <c r="AU158" s="802"/>
      <c r="AV158" s="802"/>
      <c r="AW158" s="802"/>
      <c r="AX158" s="802"/>
      <c r="AY158" s="802"/>
      <c r="AZ158" s="802"/>
      <c r="BA158" s="802"/>
      <c r="BB158" s="228"/>
      <c r="BC158" s="121"/>
    </row>
    <row r="159" spans="1:55" s="106" customFormat="1" ht="177" customHeight="1" x14ac:dyDescent="0.35">
      <c r="A159" s="804">
        <v>6</v>
      </c>
      <c r="B159" s="385" t="str">
        <f ca="1">IFERROR(IF(INDEX('Coverage Indicators - Section D'!B$1:B$100,MATCH('Print View'!$A159,'Coverage Indicators - Section D'!$A$1:$A$100,0))&lt;&gt;0,INDEX('Coverage Indicators - Section D'!B$1:B$100,MATCH('Print View'!$A159,'Coverage Indicators - Section D'!$A$1:$A$100,0)),""),"")</f>
        <v>Financiación basada en los resultados</v>
      </c>
      <c r="C159" s="385" t="str">
        <f ca="1">IFERROR(IF(INDEX('Coverage Indicators - Section D'!D$1:D$100,MATCH('Print View'!$A159,'Coverage Indicators - Section D'!$A$1:$A$100,0))&lt;&gt;0,INDEX('Coverage Indicators - Section D'!D$1:D$100,MATCH('Print View'!$A159,'Coverage Indicators - Section D'!$A$1:$A$100,0)),""),"")</f>
        <v>TCP-6a Número de casos de tuberculosis (en todas sus formas) notificados entre reclusos.</v>
      </c>
      <c r="D159" s="385" t="str">
        <f ca="1">IFERROR(IF(INDEX('Coverage Indicators - Section D'!E$1:E$100,MATCH('Print View'!$A159,'Coverage Indicators - Section D'!$A$1:$A$100,0))&lt;&gt;0,INDEX('Coverage Indicators - Section D'!E$1:E$100,MATCH('Print View'!$A159,'Coverage Indicators - Section D'!$A$1:$A$100,0)),""),"")</f>
        <v/>
      </c>
      <c r="E159" s="386" t="str">
        <f ca="1">IFERROR(IF(INDEX('Coverage Indicators - Section D'!F$1:F$100,MATCH('Print View'!$A159,'Coverage Indicators - Section D'!$A$1:$A$100,0))&lt;&gt;"",INDEX('Coverage Indicators - Section D'!F$1:F$100,MATCH('Print View'!$A159,'Coverage Indicators - Section D'!$A$1:$A$100,0)),""),"")&amp;"/"&amp;IFERROR(IF(INDEX('Coverage Indicators - Section D'!F$1:F$100,MATCH('Print View'!$A159,'Coverage Indicators - Section D'!$A$1:$A$100,0)+1)&lt;&gt;"",INDEX('Coverage Indicators - Section D'!F$1:F$100,MATCH('Print View'!$A159,'Coverage Indicators - Section D'!$A$1:$A$100,0)+1),""),"")&amp;CHAR(10)&amp;IFERROR(IF(INDEX('Coverage Indicators - Section D'!G$1:G$100,MATCH('Print View'!$A159,'Coverage Indicators - Section D'!$A$1:$A$100,0))&lt;&gt;"",FIXED(INDEX('Coverage Indicators - Section D'!G$1:G$100,MATCH('Print View'!$A159,'Coverage Indicators - Section D'!$A$1:$A$100,0))*100,2)&amp;"%",""),"")</f>
        <v xml:space="preserve">1328/
</v>
      </c>
      <c r="F159" s="400"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2019
Libro de Registro de Casos (PCT-5)</v>
      </c>
      <c r="G159" s="401" t="str">
        <f>IFERROR(IF(INDEX('Coverage Indicators - Section D'!J17:J46,MATCH('Print View'!$A159,'Coverage Indicators - Section D'!$A$9:$A$38,0))&lt;&gt;0,INDEX('Coverage Indicators - Section D'!J17:J46,MATCH('Print View'!$A159,'Coverage Indicators - Section D'!$A$9:$A$38,0)),""),"")</f>
        <v>Edad,Género,Resultado de prueba del VIH,Definición de caso</v>
      </c>
      <c r="H159" s="400" t="str">
        <f ca="1">IFERROR(IF(INDEX('Coverage Indicators - Section D'!K$1:K$100,MATCH('Print View'!$A159,'Coverage Indicators - Section D'!$A$1:$A$100,0))&lt;&gt;0,INDEX('Coverage Indicators - Section D'!K$1:K$100,MATCH('Print View'!$A159,'Coverage Indicators - Section D'!$A$1:$A$100,0)),""),"")</f>
        <v>Yes</v>
      </c>
      <c r="I159" s="401" t="str">
        <f ca="1">IFERROR(IF(AND('Overview - Section A'!AN$5="Grant Making",OR(C159&lt;&gt;"",D159&lt;&gt;"")),Setup!I15,IF(INDEX('Coverage Indicators - Section D'!L$1:L$100,MATCH('Print View'!$A159,'Coverage Indicators - Section D'!$A$1:$A$100,0))&lt;&gt;0,INDEX('Coverage Indicators - Section D'!L$1:L$100,MATCH('Print View'!$A159,'Coverage Indicators - Section D'!$A$1:$A$100,0)),"")),"")</f>
        <v>Ministry of Health of the Republic of El Salvador</v>
      </c>
      <c r="J159" s="402"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El Salvador
Geographic National, 100% of national program target</v>
      </c>
      <c r="K159" s="400" t="str">
        <f ca="1">IFERROR(IF(INDEX('Coverage Indicators - Section D'!N$1:N$100,MATCH('Print View'!$A159,'Coverage Indicators - Section D'!$A$1:$A$100,0))&lt;&gt;0,INDEX('Coverage Indicators - Section D'!N$1:N$100,MATCH('Print View'!$A159,'Coverage Indicators - Section D'!$A$1:$A$100,0)),""),"")</f>
        <v/>
      </c>
      <c r="L159" s="402" t="str">
        <f ca="1">IFERROR(IF(INDEX('Coverage Indicators - Section D'!O$1:O$100,MATCH('Print View'!$A159,'Coverage Indicators - Section D'!$A$1:$A$100,0))&lt;&gt;"",INDEX('Coverage Indicators - Section D'!O$1:O$100,MATCH('Print View'!$A159,'Coverage Indicators - Section D'!$A$1:$A$100,0)),""),"")&amp;"/"&amp;IFERROR(IF(INDEX('Coverage Indicators - Section D'!O$1:O$100,MATCH('Print View'!$A159,'Coverage Indicators - Section D'!$A$1:$A$100,0)+1)&lt;&gt;"",INDEX('Coverage Indicators - Section D'!O$1:O$100,MATCH('Print View'!$A159,'Coverage Indicators - Section D'!$A$1:$A$100,0)+1),""),"")&amp;CHAR(10)&amp;IFERROR(IF(INDEX('Coverage Indicators - Section D'!P$1:P$100,MATCH('Print View'!$A159,'Coverage Indicators - Section D'!$A$1:$A$100,0))&lt;&gt;"",FIXED(INDEX('Coverage Indicators - Section D'!P$1:P$100,MATCH('Print View'!$A159,'Coverage Indicators - Section D'!$A$1:$A$100,0))*100,2)&amp;"%",""),"")&amp;CHAR(10)&amp;IFERROR(IF(INDEX('Coverage Indicators - Section D'!Q$1:Q$100,MATCH('Print View'!$A159,'Coverage Indicators - Section D'!$A$1:$A$100,0))&lt;&gt;"",INDEX('Coverage Indicators - Section D'!Q$1:Q$100,MATCH('Print View'!$A159,'Coverage Indicators - Section D'!$A$1:$A$100,0)),""),"")</f>
        <v xml:space="preserve">728/
</v>
      </c>
      <c r="M159" s="402" t="str">
        <f ca="1">IFERROR(IF(INDEX('Coverage Indicators - Section D'!R$1:R$100,MATCH('Print View'!$A159,'Coverage Indicators - Section D'!$A$1:$A$100,0))&lt;&gt;"",INDEX('Coverage Indicators - Section D'!R$1:R$100,MATCH('Print View'!$A159,'Coverage Indicators - Section D'!$A$1:$A$100,0)),""),"")&amp;"/"&amp;IFERROR(IF(INDEX('Coverage Indicators - Section D'!R$1:R$100,MATCH('Print View'!$A159,'Coverage Indicators - Section D'!$A$1:$A$100,0)+1)&lt;&gt;"",INDEX('Coverage Indicators - Section D'!R$1:R$100,MATCH('Print View'!$A159,'Coverage Indicators - Section D'!$A$1:$A$100,0)+1),""),"")&amp;CHAR(10)&amp;IFERROR(IF(INDEX('Coverage Indicators - Section D'!S$1:S$100,MATCH('Print View'!$A159,'Coverage Indicators - Section D'!$A$1:$A$100,0))&lt;&gt;"",FIXED(INDEX('Coverage Indicators - Section D'!S$1:S$100,MATCH('Print View'!$A159,'Coverage Indicators - Section D'!$A$1:$A$100,0))*100,2)&amp;"%",""),"")&amp;CHAR(10)&amp;IFERROR(IF(INDEX('Coverage Indicators - Section D'!T$1:T$100,MATCH('Print View'!$A159,'Coverage Indicators - Section D'!$A$1:$A$100,0))&lt;&gt;"",INDEX('Coverage Indicators - Section D'!T$1:T$100,MATCH('Print View'!$A159,'Coverage Indicators - Section D'!$A$1:$A$100,0)),""),"")</f>
        <v xml:space="preserve">582/
</v>
      </c>
      <c r="N159" s="402" t="str">
        <f ca="1">IFERROR(IF(INDEX('Coverage Indicators - Section D'!U$1:U$100,MATCH('Print View'!$A159,'Coverage Indicators - Section D'!$A$1:$A$100,0))&lt;&gt;"",INDEX('Coverage Indicators - Section D'!U$1:U$100,MATCH('Print View'!$A159,'Coverage Indicators - Section D'!$A$1:$A$100,0)),""),"")&amp;"/"&amp;IFERROR(IF(INDEX('Coverage Indicators - Section D'!U$1:U$100,MATCH('Print View'!$A159,'Coverage Indicators - Section D'!$A$1:$A$100,0)+1)&lt;&gt;"",INDEX('Coverage Indicators - Section D'!U$1:U$100,MATCH('Print View'!$A159,'Coverage Indicators - Section D'!$A$1:$A$100,0)+1),""),"")&amp;CHAR(10)&amp;IFERROR(IF(INDEX('Coverage Indicators - Section D'!V$1:V$100,MATCH('Print View'!$A159,'Coverage Indicators - Section D'!$A$1:$A$100,0))&lt;&gt;"",FIXED(INDEX('Coverage Indicators - Section D'!V$1:V$100,MATCH('Print View'!$A159,'Coverage Indicators - Section D'!$A$1:$A$100,0))*100,2)&amp;"%",""),"")&amp;CHAR(10)&amp;IFERROR(IF(INDEX('Coverage Indicators - Section D'!W$1:W$100,MATCH('Print View'!$A159,'Coverage Indicators - Section D'!$A$1:$A$100,0))&lt;&gt;"",INDEX('Coverage Indicators - Section D'!W$1:W$100,MATCH('Print View'!$A159,'Coverage Indicators - Section D'!$A$1:$A$100,0)),""),"")</f>
        <v xml:space="preserve">446/
</v>
      </c>
      <c r="O159" s="402" t="str">
        <f ca="1">IFERROR(IF(INDEX('Coverage Indicators - Section D'!X$1:X$100,MATCH('Print View'!$A159,'Coverage Indicators - Section D'!$A$1:$A$100,0))&lt;&gt;"",INDEX('Coverage Indicators - Section D'!X$1:X$100,MATCH('Print View'!$A159,'Coverage Indicators - Section D'!$A$1:$A$100,0)),""),"")&amp;"/"&amp;IFERROR(IF(INDEX('Coverage Indicators - Section D'!X$1:X$100,MATCH('Print View'!$A159,'Coverage Indicators - Section D'!$A$1:$A$100,0)+1)&lt;&gt;"",INDEX('Coverage Indicators - Section D'!X$1:X$100,MATCH('Print View'!$A159,'Coverage Indicators - Section D'!$A$1:$A$100,0)+1),""),"")&amp;CHAR(10)&amp;IFERROR(IF(INDEX('Coverage Indicators - Section D'!Y$1:Y$100,MATCH('Print View'!$A159,'Coverage Indicators - Section D'!$A$1:$A$100,0))&lt;&gt;"",FIXED(INDEX('Coverage Indicators - Section D'!Y$1:Y$100,MATCH('Print View'!$A159,'Coverage Indicators - Section D'!$A$1:$A$100,0))*100,2)&amp;"%",""),"")&amp;CHAR(10)&amp;IFERROR(IF(INDEX('Coverage Indicators - Section D'!Z$1:Z$100,MATCH('Print View'!$A159,'Coverage Indicators - Section D'!$A$1:$A$100,0))&lt;&gt;"",INDEX('Coverage Indicators - Section D'!Z$1:Z$100,MATCH('Print View'!$A159,'Coverage Indicators - Section D'!$A$1:$A$100,0)),""),"")</f>
        <v xml:space="preserve">/
</v>
      </c>
      <c r="P159" s="402" t="str">
        <f ca="1">IFERROR(IF(INDEX('Coverage Indicators - Section D'!AA$1:AA$100,MATCH('Print View'!$A159,'Coverage Indicators - Section D'!$A$1:$A$100,0))&lt;&gt;"",INDEX('Coverage Indicators - Section D'!AA$1:AA$100,MATCH('Print View'!$A159,'Coverage Indicators - Section D'!$A$1:$A$100,0)),""),"")&amp;"/"&amp;IFERROR(IF(INDEX('Coverage Indicators - Section D'!AA$1:AA$100,MATCH('Print View'!$A159,'Coverage Indicators - Section D'!$A$1:$A$100,0)+1)&lt;&gt;"",INDEX('Coverage Indicators - Section D'!AA$1:AA$100,MATCH('Print View'!$A159,'Coverage Indicators - Section D'!$A$1:$A$100,0)+1),""),"")&amp;CHAR(10)&amp;IFERROR(IF(INDEX('Coverage Indicators - Section D'!AB$1:AB$100,MATCH('Print View'!$A159,'Coverage Indicators - Section D'!$A$1:$A$100,0))&lt;&gt;"",FIXED(INDEX('Coverage Indicators - Section D'!AB$1:AB$100,MATCH('Print View'!$A159,'Coverage Indicators - Section D'!$A$1:$A$100,0))*100,2)&amp;"%",""),"")&amp;CHAR(10)&amp;IFERROR(IF(INDEX('Coverage Indicators - Section D'!AC$1:AC$100,MATCH('Print View'!$A159,'Coverage Indicators - Section D'!$A$1:$A$100,0))&lt;&gt;"",INDEX('Coverage Indicators - Section D'!AC$1:AC$100,MATCH('Print View'!$A159,'Coverage Indicators - Section D'!$A$1:$A$100,0)),""),"")</f>
        <v xml:space="preserve">/
</v>
      </c>
      <c r="Q159" s="402" t="str">
        <f ca="1">IFERROR(IF(INDEX('Coverage Indicators - Section D'!AD$1:AD$100,MATCH('Print View'!$A159,'Coverage Indicators - Section D'!$A$1:$A$100,0))&lt;&gt;"",INDEX('Coverage Indicators - Section D'!AD$1:AD$100,MATCH('Print View'!$A159,'Coverage Indicators - Section D'!$A$1:$A$100,0)),""),"")&amp;"/"&amp;IFERROR(IF(INDEX('Coverage Indicators - Section D'!AD$1:AD$100,MATCH('Print View'!$A159,'Coverage Indicators - Section D'!$A$1:$A$100,0)+1)&lt;&gt;"",INDEX('Coverage Indicators - Section D'!AD$1:AD$100,MATCH('Print View'!$A159,'Coverage Indicators - Section D'!$A$1:$A$100,0)+1),""),"")&amp;CHAR(10)&amp;IFERROR(IF(INDEX('Coverage Indicators - Section D'!AE$1:AE$100,MATCH('Print View'!$A159,'Coverage Indicators - Section D'!$A$1:$A$100,0))&lt;&gt;"",FIXED(INDEX('Coverage Indicators - Section D'!AE$1:AE$100,MATCH('Print View'!$A159,'Coverage Indicators - Section D'!$A$1:$A$100,0))*100,2)&amp;"%",""),"")&amp;CHAR(10)&amp;IFERROR(IF(INDEX('Coverage Indicators - Section D'!AF$1:AF$100,MATCH('Print View'!$A159,'Coverage Indicators - Section D'!$A$1:$A$100,0))&lt;&gt;"",INDEX('Coverage Indicators - Section D'!AF$1:AF$100,MATCH('Print View'!$A159,'Coverage Indicators - Section D'!$A$1:$A$100,0)),""),"")</f>
        <v xml:space="preserve">/
</v>
      </c>
      <c r="R159" s="402" t="str">
        <f ca="1">IFERROR(IF(INDEX('Coverage Indicators - Section D'!AG$1:AG$100,MATCH('Print View'!$A159,'Coverage Indicators - Section D'!$A$1:$A$100,0))&lt;&gt;"",INDEX('Coverage Indicators - Section D'!AG$1:AG$100,MATCH('Print View'!$A159,'Coverage Indicators - Section D'!$A$1:$A$100,0)),""),"")&amp;"/"&amp;IFERROR(IF(INDEX('Coverage Indicators - Section D'!AG$1:AG$100,MATCH('Print View'!$A159,'Coverage Indicators - Section D'!$A$1:$A$100,0)+1)&lt;&gt;"",INDEX('Coverage Indicators - Section D'!AG$1:AG$100,MATCH('Print View'!$A159,'Coverage Indicators - Section D'!$A$1:$A$100,0)+1),""),"")&amp;CHAR(10)&amp;IFERROR(IF(INDEX('Coverage Indicators - Section D'!AH$1:AH$100,MATCH('Print View'!$A159,'Coverage Indicators - Section D'!$A$1:$A$100,0))&lt;&gt;"",FIXED(INDEX('Coverage Indicators - Section D'!AH$1:AH$100,MATCH('Print View'!$A159,'Coverage Indicators - Section D'!$A$1:$A$100,0))*100,2)&amp;"%",""),"")&amp;CHAR(10)&amp;IFERROR(IF(INDEX('Coverage Indicators - Section D'!AI$1:AI$100,MATCH('Print View'!$A159,'Coverage Indicators - Section D'!$A$1:$A$100,0))&lt;&gt;"",INDEX('Coverage Indicators - Section D'!AI$1:AI$100,MATCH('Print View'!$A159,'Coverage Indicators - Section D'!$A$1:$A$100,0)),""),"")</f>
        <v xml:space="preserve">/
</v>
      </c>
      <c r="S159" s="402" t="str">
        <f ca="1">IFERROR(IF(INDEX('Coverage Indicators - Section D'!AJ$1:AJ$100,MATCH('Print View'!$A159,'Coverage Indicators - Section D'!$A$1:$A$100,0))&lt;&gt;"",INDEX('Coverage Indicators - Section D'!AJ$1:AJ$100,MATCH('Print View'!$A159,'Coverage Indicators - Section D'!$A$1:$A$100,0)),""),"")&amp;"/"&amp;IFERROR(IF(INDEX('Coverage Indicators - Section D'!AJ$1:AJ$100,MATCH('Print View'!$A159,'Coverage Indicators - Section D'!$A$1:$A$100,0)+1)&lt;&gt;"",INDEX('Coverage Indicators - Section D'!AJ$1:AJ$100,MATCH('Print View'!$A159,'Coverage Indicators - Section D'!$A$1:$A$100,0)+1),""),"")&amp;CHAR(10)&amp;IFERROR(IF(INDEX('Coverage Indicators - Section D'!AK$1:AK$100,MATCH('Print View'!$A159,'Coverage Indicators - Section D'!$A$1:$A$100,0))&lt;&gt;"",FIXED(INDEX('Coverage Indicators - Section D'!AK$1:AK$100,MATCH('Print View'!$A159,'Coverage Indicators - Section D'!$A$1:$A$100,0))*100,2)&amp;"%",""),"")&amp;CHAR(10)&amp;IFERROR(IF(INDEX('Coverage Indicators - Section D'!AL$1:AL$100,MATCH('Print View'!$A159,'Coverage Indicators - Section D'!$A$1:$A$100,0))&lt;&gt;"",INDEX('Coverage Indicators - Section D'!AL$1:AL$100,MATCH('Print View'!$A159,'Coverage Indicators - Section D'!$A$1:$A$100,0)),""),"")</f>
        <v xml:space="preserve">/
</v>
      </c>
      <c r="T159" s="31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t="str">
        <f ca="1">IFERROR(IF(INDEX('Coverage Indicators - Section D'!AD$1:AD$110,MATCH('Print View'!$A159,'Coverage Indicators - Section D'!$A$1:$A$110,0))&lt;&gt;0,INDEX('Coverage Indicators - Section D'!AD$1:AD$110,MATCH('Print View'!$A159,'Coverage Indicators - Section D'!$A$1:$A$110,0)),""),"")</f>
        <v/>
      </c>
      <c r="AP159" s="223"/>
      <c r="AQ159" s="223"/>
      <c r="AR159" s="223"/>
      <c r="AS159" s="223"/>
      <c r="AT159" s="803" t="str">
        <f ca="1">CONCATENATE($A159,N$147)</f>
        <v>631-Dec-24</v>
      </c>
      <c r="AU159" s="802" t="str">
        <f ca="1">CONCATENATE($A159,Q$147)</f>
        <v>631-Dec-27</v>
      </c>
      <c r="AV159" s="802" t="str">
        <f>CONCATENATE($A159,V$147)</f>
        <v>6</v>
      </c>
      <c r="AW159" s="802" t="str">
        <f>CONCATENATE($A159,Y$147)</f>
        <v>6</v>
      </c>
      <c r="AX159" s="802" t="str">
        <f>CONCATENATE($A159,AB$147)</f>
        <v>6</v>
      </c>
      <c r="AY159" s="802" t="str">
        <f>CONCATENATE($A159,AE$147)</f>
        <v>6</v>
      </c>
      <c r="AZ159" s="802" t="str">
        <f>CONCATENATE($A159,AH$147)</f>
        <v>6</v>
      </c>
      <c r="BA159" s="802" t="str">
        <f>CONCATENATE($A159,AK$147)</f>
        <v>6</v>
      </c>
      <c r="BB159" s="228"/>
      <c r="BC159" s="121"/>
    </row>
    <row r="160" spans="1:55" s="106" customFormat="1" ht="88.4" customHeight="1" x14ac:dyDescent="0.35">
      <c r="A160" s="804"/>
      <c r="B160" s="809" t="str">
        <f ca="1">IFERROR(IF(INDEX('Coverage Indicators - Section D'!AM$1:AM$110,MATCH('Print View'!$A159,'Coverage Indicators - Section D'!$A$1:$A$110,0))&lt;&gt;0,INDEX('Coverage Indicators - Section D'!AM$1:AM$110,MATCH('Print View'!$A159,'Coverage Indicators - Section D'!$A$1:$A$110,0)),""),"")</f>
        <v>Línea de base: corresponde al número total de casos de TB todas las formas en los PPL para el periodo de Enero a Diciembre 2019. (1,328)  fuente de información libro de registro de casos (PCT-5). 
Supuesto de estimación de metas: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Metodos de medición:
Numerador: total de casos de TB todas las formas (nuevos y recaídas) notificados en la población privada de libertad en el periodo a evaluar. se expresa en numero entero.
La verificación de este indicador estará sujeta al método de verificación establecido para la modalidad de financiamiento basado en resultados y establecido en el acuerdo de subvención.
Fuente de Información: Libro de Registro de Casos (PCT-5).
Periodicidad anual NO ACUMULATIVO (número absoluto), todo el país, todo el sistema penitenciario.</v>
      </c>
      <c r="C160" s="810"/>
      <c r="D160" s="810"/>
      <c r="E160" s="810"/>
      <c r="F160" s="810"/>
      <c r="G160" s="810"/>
      <c r="H160" s="810"/>
      <c r="I160" s="811"/>
      <c r="J160" s="811"/>
      <c r="K160" s="811"/>
      <c r="L160" s="811"/>
      <c r="M160" s="811"/>
      <c r="N160" s="811"/>
      <c r="O160" s="811"/>
      <c r="P160" s="811"/>
      <c r="Q160" s="811"/>
      <c r="R160" s="811"/>
      <c r="S160" s="812"/>
      <c r="T160" s="314"/>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803"/>
      <c r="AU160" s="802"/>
      <c r="AV160" s="802"/>
      <c r="AW160" s="802"/>
      <c r="AX160" s="802"/>
      <c r="AY160" s="802"/>
      <c r="AZ160" s="802"/>
      <c r="BA160" s="802"/>
      <c r="BB160" s="228"/>
      <c r="BC160" s="121"/>
    </row>
    <row r="161" spans="1:55" s="106" customFormat="1" ht="177" customHeight="1" x14ac:dyDescent="0.35">
      <c r="A161" s="801">
        <v>7</v>
      </c>
      <c r="B161" s="395" t="str">
        <f ca="1">IFERROR(IF(INDEX('Coverage Indicators - Section D'!B$1:B$100,MATCH('Print View'!$A161,'Coverage Indicators - Section D'!$A$1:$A$100,0))&lt;&gt;0,INDEX('Coverage Indicators - Section D'!B$1:B$100,MATCH('Print View'!$A161,'Coverage Indicators - Section D'!$A$1:$A$100,0)),""),"")</f>
        <v>Prevención</v>
      </c>
      <c r="C161" s="395" t="str">
        <f ca="1">IFERROR(IF(INDEX('Coverage Indicators - Section D'!D$1:D$100,MATCH('Print View'!$A161,'Coverage Indicators - Section D'!$A$1:$A$100,0))&lt;&gt;0,INDEX('Coverage Indicators - Section D'!D$1:D$100,MATCH('Print View'!$A161,'Coverage Indicators - Section D'!$A$1:$A$100,0)),""),"")</f>
        <v>KP-1a⁽ᴹ⁾ Porcentaje de HSH alcanzados por programas de prevención del VIH - paquete definido de servicios</v>
      </c>
      <c r="D161" s="395" t="str">
        <f ca="1">IFERROR(IF(INDEX('Coverage Indicators - Section D'!E$1:E$100,MATCH('Print View'!$A161,'Coverage Indicators - Section D'!$A$1:$A$100,0))&lt;&gt;0,INDEX('Coverage Indicators - Section D'!E$1:E$100,MATCH('Print View'!$A161,'Coverage Indicators - Section D'!$A$1:$A$100,0)),""),"")</f>
        <v/>
      </c>
      <c r="E161" s="396" t="str">
        <f ca="1">IFERROR(IF(INDEX('Coverage Indicators - Section D'!F$1:F$100,MATCH('Print View'!$A161,'Coverage Indicators - Section D'!$A$1:$A$100,0))&lt;&gt;"",INDEX('Coverage Indicators - Section D'!F$1:F$100,MATCH('Print View'!$A161,'Coverage Indicators - Section D'!$A$1:$A$100,0)),""),"")&amp;"/"&amp;IFERROR(IF(INDEX('Coverage Indicators - Section D'!F$1:F$100,MATCH('Print View'!$A161,'Coverage Indicators - Section D'!$A$1:$A$100,0)+1)&lt;&gt;"",INDEX('Coverage Indicators - Section D'!F$1:F$100,MATCH('Print View'!$A161,'Coverage Indicators - Section D'!$A$1:$A$100,0)+1),""),"")&amp;CHAR(10)&amp;IFERROR(IF(INDEX('Coverage Indicators - Section D'!G$1:G$100,MATCH('Print View'!$A161,'Coverage Indicators - Section D'!$A$1:$A$100,0))&lt;&gt;"",FIXED(INDEX('Coverage Indicators - Section D'!G$1:G$100,MATCH('Print View'!$A161,'Coverage Indicators - Section D'!$A$1:$A$100,0))*100,2)&amp;"%",""),"")</f>
        <v>24606/54140
45.45%</v>
      </c>
      <c r="F161" s="397"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2019
SIGPRO</v>
      </c>
      <c r="G161" s="398" t="str">
        <f>IFERROR(IF(INDEX('Coverage Indicators - Section D'!J21:J50,MATCH('Print View'!$A161,'Coverage Indicators - Section D'!$A$9:$A$38,0))&lt;&gt;0,INDEX('Coverage Indicators - Section D'!J21:J50,MATCH('Print View'!$A161,'Coverage Indicators - Section D'!$A$9:$A$38,0)),""),"")</f>
        <v/>
      </c>
      <c r="H161" s="399" t="str">
        <f ca="1">IFERROR(IF(INDEX('Coverage Indicators - Section D'!K$1:K$100,MATCH('Print View'!$A161,'Coverage Indicators - Section D'!$A$1:$A$100,0))&lt;&gt;0,INDEX('Coverage Indicators - Section D'!K$1:K$100,MATCH('Print View'!$A161,'Coverage Indicators - Section D'!$A$1:$A$100,0)),""),"")</f>
        <v>No</v>
      </c>
      <c r="I161" s="398" t="str">
        <f ca="1">IFERROR(IF(AND('Overview - Section A'!AN$5="Grant Making",OR(C161&lt;&gt;"",D161&lt;&gt;"")),Setup!I15,IF(INDEX('Coverage Indicators - Section D'!L$1:L$100,MATCH('Print View'!$A161,'Coverage Indicators - Section D'!$A$1:$A$100,0))&lt;&gt;0,INDEX('Coverage Indicators - Section D'!L$1:L$100,MATCH('Print View'!$A161,'Coverage Indicators - Section D'!$A$1:$A$100,0)),"")),"")</f>
        <v>Ministry of Health of the Republic of El Salvador</v>
      </c>
      <c r="J161" s="396"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El Salvador
Geographic National, 100% of national program target</v>
      </c>
      <c r="K161" s="396" t="str">
        <f ca="1">IFERROR(IF(INDEX('Coverage Indicators - Section D'!N$1:N$100,MATCH('Print View'!$A161,'Coverage Indicators - Section D'!$A$1:$A$100,0))&lt;&gt;0,INDEX('Coverage Indicators - Section D'!N$1:N$100,MATCH('Print View'!$A161,'Coverage Indicators - Section D'!$A$1:$A$100,0)),""),"")</f>
        <v/>
      </c>
      <c r="L161" s="396" t="str">
        <f ca="1">IFERROR(IF(INDEX('Coverage Indicators - Section D'!O$1:O$100,MATCH('Print View'!$A161,'Coverage Indicators - Section D'!$A$1:$A$100,0))&lt;&gt;"",INDEX('Coverage Indicators - Section D'!O$1:O$100,MATCH('Print View'!$A161,'Coverage Indicators - Section D'!$A$1:$A$100,0)),""),"")&amp;"/"&amp;IFERROR(IF(INDEX('Coverage Indicators - Section D'!O$1:O$100,MATCH('Print View'!$A161,'Coverage Indicators - Section D'!$A$1:$A$100,0)+1)&lt;&gt;"",INDEX('Coverage Indicators - Section D'!O$1:O$100,MATCH('Print View'!$A161,'Coverage Indicators - Section D'!$A$1:$A$100,0)+1),""),"")&amp;CHAR(10)&amp;IFERROR(IF(INDEX('Coverage Indicators - Section D'!P$1:P$100,MATCH('Print View'!$A161,'Coverage Indicators - Section D'!$A$1:$A$100,0))&lt;&gt;"",FIXED(INDEX('Coverage Indicators - Section D'!P$1:P$100,MATCH('Print View'!$A161,'Coverage Indicators - Section D'!$A$1:$A$100,0))*100,2)&amp;"%",""),"")&amp;CHAR(10)&amp;IFERROR(IF(INDEX('Coverage Indicators - Section D'!Q$1:Q$100,MATCH('Print View'!$A161,'Coverage Indicators - Section D'!$A$1:$A$100,0))&lt;&gt;"",INDEX('Coverage Indicators - Section D'!Q$1:Q$100,MATCH('Print View'!$A161,'Coverage Indicators - Section D'!$A$1:$A$100,0)),""),"")</f>
        <v xml:space="preserve">27611/54140
51.00%
</v>
      </c>
      <c r="M161" s="397" t="str">
        <f ca="1">IFERROR(IF(INDEX('Coverage Indicators - Section D'!R$1:R$100,MATCH('Print View'!$A161,'Coverage Indicators - Section D'!$A$1:$A$100,0))&lt;&gt;"",INDEX('Coverage Indicators - Section D'!R$1:R$100,MATCH('Print View'!$A161,'Coverage Indicators - Section D'!$A$1:$A$100,0)),""),"")&amp;"/"&amp;IFERROR(IF(INDEX('Coverage Indicators - Section D'!R$1:R$100,MATCH('Print View'!$A161,'Coverage Indicators - Section D'!$A$1:$A$100,0)+1)&lt;&gt;"",INDEX('Coverage Indicators - Section D'!R$1:R$100,MATCH('Print View'!$A161,'Coverage Indicators - Section D'!$A$1:$A$100,0)+1),""),"")&amp;CHAR(10)&amp;IFERROR(IF(INDEX('Coverage Indicators - Section D'!S$1:S$100,MATCH('Print View'!$A161,'Coverage Indicators - Section D'!$A$1:$A$100,0))&lt;&gt;"",FIXED(INDEX('Coverage Indicators - Section D'!S$1:S$100,MATCH('Print View'!$A161,'Coverage Indicators - Section D'!$A$1:$A$100,0))*100,2)&amp;"%",""),"")&amp;CHAR(10)&amp;IFERROR(IF(INDEX('Coverage Indicators - Section D'!T$1:T$100,MATCH('Print View'!$A161,'Coverage Indicators - Section D'!$A$1:$A$100,0))&lt;&gt;"",INDEX('Coverage Indicators - Section D'!T$1:T$100,MATCH('Print View'!$A161,'Coverage Indicators - Section D'!$A$1:$A$100,0)),""),"")</f>
        <v xml:space="preserve">30318/54140
56.00%
</v>
      </c>
      <c r="N161" s="396" t="str">
        <f ca="1">IFERROR(IF(INDEX('Coverage Indicators - Section D'!U$1:U$100,MATCH('Print View'!$A161,'Coverage Indicators - Section D'!$A$1:$A$100,0))&lt;&gt;"",INDEX('Coverage Indicators - Section D'!U$1:U$100,MATCH('Print View'!$A161,'Coverage Indicators - Section D'!$A$1:$A$100,0)),""),"")&amp;"/"&amp;IFERROR(IF(INDEX('Coverage Indicators - Section D'!U$1:U$100,MATCH('Print View'!$A161,'Coverage Indicators - Section D'!$A$1:$A$100,0)+1)&lt;&gt;"",INDEX('Coverage Indicators - Section D'!U$1:U$100,MATCH('Print View'!$A161,'Coverage Indicators - Section D'!$A$1:$A$100,0)+1),""),"")&amp;CHAR(10)&amp;IFERROR(IF(INDEX('Coverage Indicators - Section D'!V$1:V$100,MATCH('Print View'!$A161,'Coverage Indicators - Section D'!$A$1:$A$100,0))&lt;&gt;"",FIXED(INDEX('Coverage Indicators - Section D'!V$1:V$100,MATCH('Print View'!$A161,'Coverage Indicators - Section D'!$A$1:$A$100,0))*100,2)&amp;"%",""),"")&amp;CHAR(10)&amp;IFERROR(IF(INDEX('Coverage Indicators - Section D'!W$1:W$100,MATCH('Print View'!$A161,'Coverage Indicators - Section D'!$A$1:$A$100,0))&lt;&gt;"",INDEX('Coverage Indicators - Section D'!W$1:W$100,MATCH('Print View'!$A161,'Coverage Indicators - Section D'!$A$1:$A$100,0)),""),"")</f>
        <v xml:space="preserve">33025/54140
61.00%
</v>
      </c>
      <c r="O161" s="397" t="str">
        <f ca="1">IFERROR(IF(INDEX('Coverage Indicators - Section D'!X$1:X$100,MATCH('Print View'!$A161,'Coverage Indicators - Section D'!$A$1:$A$100,0))&lt;&gt;"",INDEX('Coverage Indicators - Section D'!X$1:X$100,MATCH('Print View'!$A161,'Coverage Indicators - Section D'!$A$1:$A$100,0)),""),"")&amp;"/"&amp;IFERROR(IF(INDEX('Coverage Indicators - Section D'!X$1:X$100,MATCH('Print View'!$A161,'Coverage Indicators - Section D'!$A$1:$A$100,0)+1)&lt;&gt;"",INDEX('Coverage Indicators - Section D'!X$1:X$100,MATCH('Print View'!$A161,'Coverage Indicators - Section D'!$A$1:$A$100,0)+1),""),"")&amp;CHAR(10)&amp;IFERROR(IF(INDEX('Coverage Indicators - Section D'!Y$1:Y$100,MATCH('Print View'!$A161,'Coverage Indicators - Section D'!$A$1:$A$100,0))&lt;&gt;"",FIXED(INDEX('Coverage Indicators - Section D'!Y$1:Y$100,MATCH('Print View'!$A161,'Coverage Indicators - Section D'!$A$1:$A$100,0))*100,2)&amp;"%",""),"")&amp;CHAR(10)&amp;IFERROR(IF(INDEX('Coverage Indicators - Section D'!Z$1:Z$100,MATCH('Print View'!$A161,'Coverage Indicators - Section D'!$A$1:$A$100,0))&lt;&gt;"",INDEX('Coverage Indicators - Section D'!Z$1:Z$100,MATCH('Print View'!$A161,'Coverage Indicators - Section D'!$A$1:$A$100,0)),""),"")</f>
        <v xml:space="preserve">/
</v>
      </c>
      <c r="P161" s="397" t="str">
        <f ca="1">IFERROR(IF(INDEX('Coverage Indicators - Section D'!AA$1:AA$100,MATCH('Print View'!$A161,'Coverage Indicators - Section D'!$A$1:$A$100,0))&lt;&gt;"",INDEX('Coverage Indicators - Section D'!AA$1:AA$100,MATCH('Print View'!$A161,'Coverage Indicators - Section D'!$A$1:$A$100,0)),""),"")&amp;"/"&amp;IFERROR(IF(INDEX('Coverage Indicators - Section D'!AA$1:AA$100,MATCH('Print View'!$A161,'Coverage Indicators - Section D'!$A$1:$A$100,0)+1)&lt;&gt;"",INDEX('Coverage Indicators - Section D'!AA$1:AA$100,MATCH('Print View'!$A161,'Coverage Indicators - Section D'!$A$1:$A$100,0)+1),""),"")&amp;CHAR(10)&amp;IFERROR(IF(INDEX('Coverage Indicators - Section D'!AB$1:AB$100,MATCH('Print View'!$A161,'Coverage Indicators - Section D'!$A$1:$A$100,0))&lt;&gt;"",FIXED(INDEX('Coverage Indicators - Section D'!AB$1:AB$100,MATCH('Print View'!$A161,'Coverage Indicators - Section D'!$A$1:$A$100,0))*100,2)&amp;"%",""),"")&amp;CHAR(10)&amp;IFERROR(IF(INDEX('Coverage Indicators - Section D'!AC$1:AC$100,MATCH('Print View'!$A161,'Coverage Indicators - Section D'!$A$1:$A$100,0))&lt;&gt;"",INDEX('Coverage Indicators - Section D'!AC$1:AC$100,MATCH('Print View'!$A161,'Coverage Indicators - Section D'!$A$1:$A$100,0)),""),"")</f>
        <v xml:space="preserve">/
</v>
      </c>
      <c r="Q161" s="397" t="str">
        <f ca="1">IFERROR(IF(INDEX('Coverage Indicators - Section D'!AD$1:AD$100,MATCH('Print View'!$A161,'Coverage Indicators - Section D'!$A$1:$A$100,0))&lt;&gt;"",INDEX('Coverage Indicators - Section D'!AD$1:AD$100,MATCH('Print View'!$A161,'Coverage Indicators - Section D'!$A$1:$A$100,0)),""),"")&amp;"/"&amp;IFERROR(IF(INDEX('Coverage Indicators - Section D'!AD$1:AD$100,MATCH('Print View'!$A161,'Coverage Indicators - Section D'!$A$1:$A$100,0)+1)&lt;&gt;"",INDEX('Coverage Indicators - Section D'!AD$1:AD$100,MATCH('Print View'!$A161,'Coverage Indicators - Section D'!$A$1:$A$100,0)+1),""),"")&amp;CHAR(10)&amp;IFERROR(IF(INDEX('Coverage Indicators - Section D'!AE$1:AE$100,MATCH('Print View'!$A161,'Coverage Indicators - Section D'!$A$1:$A$100,0))&lt;&gt;"",FIXED(INDEX('Coverage Indicators - Section D'!AE$1:AE$100,MATCH('Print View'!$A161,'Coverage Indicators - Section D'!$A$1:$A$100,0))*100,2)&amp;"%",""),"")&amp;CHAR(10)&amp;IFERROR(IF(INDEX('Coverage Indicators - Section D'!AF$1:AF$100,MATCH('Print View'!$A161,'Coverage Indicators - Section D'!$A$1:$A$100,0))&lt;&gt;"",INDEX('Coverage Indicators - Section D'!AF$1:AF$100,MATCH('Print View'!$A161,'Coverage Indicators - Section D'!$A$1:$A$100,0)),""),"")</f>
        <v xml:space="preserve">/
</v>
      </c>
      <c r="R161" s="397" t="str">
        <f ca="1">IFERROR(IF(INDEX('Coverage Indicators - Section D'!AG$1:AG$100,MATCH('Print View'!$A161,'Coverage Indicators - Section D'!$A$1:$A$100,0))&lt;&gt;"",INDEX('Coverage Indicators - Section D'!AG$1:AG$100,MATCH('Print View'!$A161,'Coverage Indicators - Section D'!$A$1:$A$100,0)),""),"")&amp;"/"&amp;IFERROR(IF(INDEX('Coverage Indicators - Section D'!AG$1:AG$100,MATCH('Print View'!$A161,'Coverage Indicators - Section D'!$A$1:$A$100,0)+1)&lt;&gt;"",INDEX('Coverage Indicators - Section D'!AG$1:AG$100,MATCH('Print View'!$A161,'Coverage Indicators - Section D'!$A$1:$A$100,0)+1),""),"")&amp;CHAR(10)&amp;IFERROR(IF(INDEX('Coverage Indicators - Section D'!AH$1:AH$100,MATCH('Print View'!$A161,'Coverage Indicators - Section D'!$A$1:$A$100,0))&lt;&gt;"",FIXED(INDEX('Coverage Indicators - Section D'!AH$1:AH$100,MATCH('Print View'!$A161,'Coverage Indicators - Section D'!$A$1:$A$100,0))*100,2)&amp;"%",""),"")&amp;CHAR(10)&amp;IFERROR(IF(INDEX('Coverage Indicators - Section D'!AI$1:AI$100,MATCH('Print View'!$A161,'Coverage Indicators - Section D'!$A$1:$A$100,0))&lt;&gt;"",INDEX('Coverage Indicators - Section D'!AI$1:AI$100,MATCH('Print View'!$A161,'Coverage Indicators - Section D'!$A$1:$A$100,0)),""),"")</f>
        <v xml:space="preserve">/
</v>
      </c>
      <c r="S161" s="397" t="str">
        <f ca="1">IFERROR(IF(INDEX('Coverage Indicators - Section D'!AJ$1:AJ$100,MATCH('Print View'!$A161,'Coverage Indicators - Section D'!$A$1:$A$100,0))&lt;&gt;"",INDEX('Coverage Indicators - Section D'!AJ$1:AJ$100,MATCH('Print View'!$A161,'Coverage Indicators - Section D'!$A$1:$A$100,0)),""),"")&amp;"/"&amp;IFERROR(IF(INDEX('Coverage Indicators - Section D'!AJ$1:AJ$100,MATCH('Print View'!$A161,'Coverage Indicators - Section D'!$A$1:$A$100,0)+1)&lt;&gt;"",INDEX('Coverage Indicators - Section D'!AJ$1:AJ$100,MATCH('Print View'!$A161,'Coverage Indicators - Section D'!$A$1:$A$100,0)+1),""),"")&amp;CHAR(10)&amp;IFERROR(IF(INDEX('Coverage Indicators - Section D'!AK$1:AK$100,MATCH('Print View'!$A161,'Coverage Indicators - Section D'!$A$1:$A$100,0))&lt;&gt;"",FIXED(INDEX('Coverage Indicators - Section D'!AK$1:AK$100,MATCH('Print View'!$A161,'Coverage Indicators - Section D'!$A$1:$A$100,0))*100,2)&amp;"%",""),"")&amp;CHAR(10)&amp;IFERROR(IF(INDEX('Coverage Indicators - Section D'!AL$1:AL$100,MATCH('Print View'!$A161,'Coverage Indicators - Section D'!$A$1:$A$100,0))&lt;&gt;"",INDEX('Coverage Indicators - Section D'!AL$1:AL$100,MATCH('Print View'!$A161,'Coverage Indicators - Section D'!$A$1:$A$100,0)),""),"")</f>
        <v xml:space="preserve">/
</v>
      </c>
      <c r="T161" s="310"/>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t="str">
        <f ca="1">IFERROR(IF(INDEX('Coverage Indicators - Section D'!AD$1:AD$110,MATCH('Print View'!$A161,'Coverage Indicators - Section D'!$A$1:$A$110,0))&lt;&gt;0,INDEX('Coverage Indicators - Section D'!AD$1:AD$110,MATCH('Print View'!$A161,'Coverage Indicators - Section D'!$A$1:$A$110,0)),""),"")</f>
        <v/>
      </c>
      <c r="AP161" s="223"/>
      <c r="AQ161" s="223"/>
      <c r="AR161" s="223"/>
      <c r="AS161" s="223"/>
      <c r="AT161" s="803" t="str">
        <f ca="1">CONCATENATE($A161,N$147)</f>
        <v>731-Dec-24</v>
      </c>
      <c r="AU161" s="802" t="str">
        <f ca="1">CONCATENATE($A161,Q$147)</f>
        <v>731-Dec-27</v>
      </c>
      <c r="AV161" s="802" t="str">
        <f>CONCATENATE($A161,V$147)</f>
        <v>7</v>
      </c>
      <c r="AW161" s="802" t="str">
        <f>CONCATENATE($A161,Y$147)</f>
        <v>7</v>
      </c>
      <c r="AX161" s="802" t="str">
        <f>CONCATENATE($A161,AB$147)</f>
        <v>7</v>
      </c>
      <c r="AY161" s="802" t="str">
        <f>CONCATENATE($A161,AE$147)</f>
        <v>7</v>
      </c>
      <c r="AZ161" s="802" t="str">
        <f>CONCATENATE($A161,AH$147)</f>
        <v>7</v>
      </c>
      <c r="BA161" s="802" t="str">
        <f>CONCATENATE($A161,AK$147)</f>
        <v>7</v>
      </c>
      <c r="BB161" s="228"/>
      <c r="BC161" s="121"/>
    </row>
    <row r="162" spans="1:55" s="106" customFormat="1" ht="88.4" customHeight="1" x14ac:dyDescent="0.35">
      <c r="A162" s="801"/>
      <c r="B162" s="806" t="str">
        <f ca="1">IFERROR(IF(INDEX('Coverage Indicators - Section D'!AM$1:AM$110,MATCH('Print View'!$A161,'Coverage Indicators - Section D'!$A$1:$A$110,0))&lt;&gt;0,INDEX('Coverage Indicators - Section D'!AM$1:AM$110,MATCH('Print View'!$A161,'Coverage Indicators - Section D'!$A$1:$A$110,0)),""),"")</f>
        <v>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posteriormente cuando se haya concretado los ajustes del módulo de prevención del SUMEVE, está información será brindada de esté sistema bajo la coordinación del RP Plan,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24 condones + 1 lubricantes en tubo + 20 lubricantes en sobres en un año, estas cantidades se han cambiado, ya que durante los dialogos comunitarios que se realizaron con las poblaciones claves, los HSH sugirieron las cantidades anteriormente descritas.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C162" s="807"/>
      <c r="D162" s="807"/>
      <c r="E162" s="807"/>
      <c r="F162" s="807"/>
      <c r="G162" s="807"/>
      <c r="H162" s="807"/>
      <c r="I162" s="807"/>
      <c r="J162" s="807"/>
      <c r="K162" s="807"/>
      <c r="L162" s="807"/>
      <c r="M162" s="807"/>
      <c r="N162" s="807"/>
      <c r="O162" s="807"/>
      <c r="P162" s="807"/>
      <c r="Q162" s="807"/>
      <c r="R162" s="807"/>
      <c r="S162" s="808"/>
      <c r="T162" s="312"/>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803"/>
      <c r="AU162" s="802"/>
      <c r="AV162" s="802"/>
      <c r="AW162" s="802"/>
      <c r="AX162" s="802"/>
      <c r="AY162" s="802"/>
      <c r="AZ162" s="802"/>
      <c r="BA162" s="802"/>
      <c r="BB162" s="228"/>
      <c r="BC162" s="121"/>
    </row>
    <row r="163" spans="1:55" s="106" customFormat="1" ht="177" customHeight="1" x14ac:dyDescent="0.35">
      <c r="A163" s="804">
        <v>8</v>
      </c>
      <c r="B163" s="385" t="str">
        <f ca="1">IFERROR(IF(INDEX('Coverage Indicators - Section D'!B$1:B$100,MATCH('Print View'!$A163,'Coverage Indicators - Section D'!$A$1:$A$100,0))&lt;&gt;0,INDEX('Coverage Indicators - Section D'!B$1:B$100,MATCH('Print View'!$A163,'Coverage Indicators - Section D'!$A$1:$A$100,0)),""),"")</f>
        <v>Financiación basada en los resultados</v>
      </c>
      <c r="C163" s="385" t="str">
        <f ca="1">IFERROR(IF(INDEX('Coverage Indicators - Section D'!D$1:D$100,MATCH('Print View'!$A163,'Coverage Indicators - Section D'!$A$1:$A$100,0))&lt;&gt;0,INDEX('Coverage Indicators - Section D'!D$1:D$100,MATCH('Print View'!$A163,'Coverage Indicators - Section D'!$A$1:$A$100,0)),""),"")</f>
        <v/>
      </c>
      <c r="D163" s="385" t="str">
        <f ca="1">IFERROR(IF(INDEX('Coverage Indicators - Section D'!E$1:E$100,MATCH('Print View'!$A163,'Coverage Indicators - Section D'!$A$1:$A$100,0))&lt;&gt;0,INDEX('Coverage Indicators - Section D'!E$1:E$100,MATCH('Print View'!$A163,'Coverage Indicators - Section D'!$A$1:$A$100,0)),""),"")</f>
        <v>TCP - other -1: Porcentaje de casos todas las formas de TB entre PPL tratados exitosamente entre el total de casos todas las formas notificados</v>
      </c>
      <c r="E163" s="386" t="str">
        <f ca="1">IFERROR(IF(INDEX('Coverage Indicators - Section D'!F$1:F$100,MATCH('Print View'!$A163,'Coverage Indicators - Section D'!$A$1:$A$100,0))&lt;&gt;"",INDEX('Coverage Indicators - Section D'!F$1:F$100,MATCH('Print View'!$A163,'Coverage Indicators - Section D'!$A$1:$A$100,0)),""),"")&amp;"/"&amp;IFERROR(IF(INDEX('Coverage Indicators - Section D'!F$1:F$100,MATCH('Print View'!$A163,'Coverage Indicators - Section D'!$A$1:$A$100,0)+1)&lt;&gt;"",INDEX('Coverage Indicators - Section D'!F$1:F$100,MATCH('Print View'!$A163,'Coverage Indicators - Section D'!$A$1:$A$100,0)+1),""),"")&amp;CHAR(10)&amp;IFERROR(IF(INDEX('Coverage Indicators - Section D'!G$1:G$100,MATCH('Print View'!$A163,'Coverage Indicators - Section D'!$A$1:$A$100,0))&lt;&gt;"",FIXED(INDEX('Coverage Indicators - Section D'!G$1:G$100,MATCH('Print View'!$A163,'Coverage Indicators - Section D'!$A$1:$A$100,0))*100,2)&amp;"%",""),"")</f>
        <v>1831/1953
93.75%</v>
      </c>
      <c r="F163" s="400"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2018
Libro de Registro de Casos (PCT-5)</v>
      </c>
      <c r="G163" s="401" t="str">
        <f>IFERROR(IF(INDEX('Coverage Indicators - Section D'!J21:J50,MATCH('Print View'!$A163,'Coverage Indicators - Section D'!$A$9:$A$38,0))&lt;&gt;0,INDEX('Coverage Indicators - Section D'!J21:J50,MATCH('Print View'!$A163,'Coverage Indicators - Section D'!$A$9:$A$38,0)),""),"")</f>
        <v/>
      </c>
      <c r="H163" s="400" t="str">
        <f ca="1">IFERROR(IF(INDEX('Coverage Indicators - Section D'!K$1:K$100,MATCH('Print View'!$A163,'Coverage Indicators - Section D'!$A$1:$A$100,0))&lt;&gt;0,INDEX('Coverage Indicators - Section D'!K$1:K$100,MATCH('Print View'!$A163,'Coverage Indicators - Section D'!$A$1:$A$100,0)),""),"")</f>
        <v>Yes</v>
      </c>
      <c r="I163" s="401" t="str">
        <f ca="1">IFERROR(IF(AND('Overview - Section A'!AN$5="Grant Making",OR(C163&lt;&gt;"",D163&lt;&gt;"")),Setup!I15,IF(INDEX('Coverage Indicators - Section D'!L$1:L$100,MATCH('Print View'!$A163,'Coverage Indicators - Section D'!$A$1:$A$100,0))&lt;&gt;0,INDEX('Coverage Indicators - Section D'!L$1:L$100,MATCH('Print View'!$A163,'Coverage Indicators - Section D'!$A$1:$A$100,0)),"")),"")</f>
        <v>Ministry of Health of the Republic of El Salvador</v>
      </c>
      <c r="J163" s="402"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El Salvador
Geographic National, 100% of national program target</v>
      </c>
      <c r="K163" s="400" t="str">
        <f ca="1">IFERROR(IF(INDEX('Coverage Indicators - Section D'!N$1:N$100,MATCH('Print View'!$A163,'Coverage Indicators - Section D'!$A$1:$A$100,0))&lt;&gt;0,INDEX('Coverage Indicators - Section D'!N$1:N$100,MATCH('Print View'!$A163,'Coverage Indicators - Section D'!$A$1:$A$100,0)),""),"")</f>
        <v/>
      </c>
      <c r="L163" s="402" t="str">
        <f ca="1">IFERROR(IF(INDEX('Coverage Indicators - Section D'!O$1:O$100,MATCH('Print View'!$A163,'Coverage Indicators - Section D'!$A$1:$A$100,0))&lt;&gt;"",INDEX('Coverage Indicators - Section D'!O$1:O$100,MATCH('Print View'!$A163,'Coverage Indicators - Section D'!$A$1:$A$100,0)),""),"")&amp;"/"&amp;IFERROR(IF(INDEX('Coverage Indicators - Section D'!O$1:O$100,MATCH('Print View'!$A163,'Coverage Indicators - Section D'!$A$1:$A$100,0)+1)&lt;&gt;"",INDEX('Coverage Indicators - Section D'!O$1:O$100,MATCH('Print View'!$A163,'Coverage Indicators - Section D'!$A$1:$A$100,0)+1),""),"")&amp;CHAR(10)&amp;IFERROR(IF(INDEX('Coverage Indicators - Section D'!P$1:P$100,MATCH('Print View'!$A163,'Coverage Indicators - Section D'!$A$1:$A$100,0))&lt;&gt;"",FIXED(INDEX('Coverage Indicators - Section D'!P$1:P$100,MATCH('Print View'!$A163,'Coverage Indicators - Section D'!$A$1:$A$100,0))*100,2)&amp;"%",""),"")&amp;CHAR(10)&amp;IFERROR(IF(INDEX('Coverage Indicators - Section D'!Q$1:Q$100,MATCH('Print View'!$A163,'Coverage Indicators - Section D'!$A$1:$A$100,0))&lt;&gt;"",INDEX('Coverage Indicators - Section D'!Q$1:Q$100,MATCH('Print View'!$A163,'Coverage Indicators - Section D'!$A$1:$A$100,0)),""),"")</f>
        <v xml:space="preserve">/
95.00%
</v>
      </c>
      <c r="M163" s="402" t="str">
        <f ca="1">IFERROR(IF(INDEX('Coverage Indicators - Section D'!R$1:R$100,MATCH('Print View'!$A163,'Coverage Indicators - Section D'!$A$1:$A$100,0))&lt;&gt;"",INDEX('Coverage Indicators - Section D'!R$1:R$100,MATCH('Print View'!$A163,'Coverage Indicators - Section D'!$A$1:$A$100,0)),""),"")&amp;"/"&amp;IFERROR(IF(INDEX('Coverage Indicators - Section D'!R$1:R$100,MATCH('Print View'!$A163,'Coverage Indicators - Section D'!$A$1:$A$100,0)+1)&lt;&gt;"",INDEX('Coverage Indicators - Section D'!R$1:R$100,MATCH('Print View'!$A163,'Coverage Indicators - Section D'!$A$1:$A$100,0)+1),""),"")&amp;CHAR(10)&amp;IFERROR(IF(INDEX('Coverage Indicators - Section D'!S$1:S$100,MATCH('Print View'!$A163,'Coverage Indicators - Section D'!$A$1:$A$100,0))&lt;&gt;"",FIXED(INDEX('Coverage Indicators - Section D'!S$1:S$100,MATCH('Print View'!$A163,'Coverage Indicators - Section D'!$A$1:$A$100,0))*100,2)&amp;"%",""),"")&amp;CHAR(10)&amp;IFERROR(IF(INDEX('Coverage Indicators - Section D'!T$1:T$100,MATCH('Print View'!$A163,'Coverage Indicators - Section D'!$A$1:$A$100,0))&lt;&gt;"",INDEX('Coverage Indicators - Section D'!T$1:T$100,MATCH('Print View'!$A163,'Coverage Indicators - Section D'!$A$1:$A$100,0)),""),"")</f>
        <v xml:space="preserve">/
95.00%
</v>
      </c>
      <c r="N163" s="402" t="str">
        <f ca="1">IFERROR(IF(INDEX('Coverage Indicators - Section D'!U$1:U$100,MATCH('Print View'!$A163,'Coverage Indicators - Section D'!$A$1:$A$100,0))&lt;&gt;"",INDEX('Coverage Indicators - Section D'!U$1:U$100,MATCH('Print View'!$A163,'Coverage Indicators - Section D'!$A$1:$A$100,0)),""),"")&amp;"/"&amp;IFERROR(IF(INDEX('Coverage Indicators - Section D'!U$1:U$100,MATCH('Print View'!$A163,'Coverage Indicators - Section D'!$A$1:$A$100,0)+1)&lt;&gt;"",INDEX('Coverage Indicators - Section D'!U$1:U$100,MATCH('Print View'!$A163,'Coverage Indicators - Section D'!$A$1:$A$100,0)+1),""),"")&amp;CHAR(10)&amp;IFERROR(IF(INDEX('Coverage Indicators - Section D'!V$1:V$100,MATCH('Print View'!$A163,'Coverage Indicators - Section D'!$A$1:$A$100,0))&lt;&gt;"",FIXED(INDEX('Coverage Indicators - Section D'!V$1:V$100,MATCH('Print View'!$A163,'Coverage Indicators - Section D'!$A$1:$A$100,0))*100,2)&amp;"%",""),"")&amp;CHAR(10)&amp;IFERROR(IF(INDEX('Coverage Indicators - Section D'!W$1:W$100,MATCH('Print View'!$A163,'Coverage Indicators - Section D'!$A$1:$A$100,0))&lt;&gt;"",INDEX('Coverage Indicators - Section D'!W$1:W$100,MATCH('Print View'!$A163,'Coverage Indicators - Section D'!$A$1:$A$100,0)),""),"")</f>
        <v xml:space="preserve">/
95.00%
</v>
      </c>
      <c r="O163" s="402" t="str">
        <f ca="1">IFERROR(IF(INDEX('Coverage Indicators - Section D'!X$1:X$100,MATCH('Print View'!$A163,'Coverage Indicators - Section D'!$A$1:$A$100,0))&lt;&gt;"",INDEX('Coverage Indicators - Section D'!X$1:X$100,MATCH('Print View'!$A163,'Coverage Indicators - Section D'!$A$1:$A$100,0)),""),"")&amp;"/"&amp;IFERROR(IF(INDEX('Coverage Indicators - Section D'!X$1:X$100,MATCH('Print View'!$A163,'Coverage Indicators - Section D'!$A$1:$A$100,0)+1)&lt;&gt;"",INDEX('Coverage Indicators - Section D'!X$1:X$100,MATCH('Print View'!$A163,'Coverage Indicators - Section D'!$A$1:$A$100,0)+1),""),"")&amp;CHAR(10)&amp;IFERROR(IF(INDEX('Coverage Indicators - Section D'!Y$1:Y$100,MATCH('Print View'!$A163,'Coverage Indicators - Section D'!$A$1:$A$100,0))&lt;&gt;"",FIXED(INDEX('Coverage Indicators - Section D'!Y$1:Y$100,MATCH('Print View'!$A163,'Coverage Indicators - Section D'!$A$1:$A$100,0))*100,2)&amp;"%",""),"")&amp;CHAR(10)&amp;IFERROR(IF(INDEX('Coverage Indicators - Section D'!Z$1:Z$100,MATCH('Print View'!$A163,'Coverage Indicators - Section D'!$A$1:$A$100,0))&lt;&gt;"",INDEX('Coverage Indicators - Section D'!Z$1:Z$100,MATCH('Print View'!$A163,'Coverage Indicators - Section D'!$A$1:$A$100,0)),""),"")</f>
        <v xml:space="preserve">/
</v>
      </c>
      <c r="P163" s="402" t="str">
        <f ca="1">IFERROR(IF(INDEX('Coverage Indicators - Section D'!AA$1:AA$100,MATCH('Print View'!$A163,'Coverage Indicators - Section D'!$A$1:$A$100,0))&lt;&gt;"",INDEX('Coverage Indicators - Section D'!AA$1:AA$100,MATCH('Print View'!$A163,'Coverage Indicators - Section D'!$A$1:$A$100,0)),""),"")&amp;"/"&amp;IFERROR(IF(INDEX('Coverage Indicators - Section D'!AA$1:AA$100,MATCH('Print View'!$A163,'Coverage Indicators - Section D'!$A$1:$A$100,0)+1)&lt;&gt;"",INDEX('Coverage Indicators - Section D'!AA$1:AA$100,MATCH('Print View'!$A163,'Coverage Indicators - Section D'!$A$1:$A$100,0)+1),""),"")&amp;CHAR(10)&amp;IFERROR(IF(INDEX('Coverage Indicators - Section D'!AB$1:AB$100,MATCH('Print View'!$A163,'Coverage Indicators - Section D'!$A$1:$A$100,0))&lt;&gt;"",FIXED(INDEX('Coverage Indicators - Section D'!AB$1:AB$100,MATCH('Print View'!$A163,'Coverage Indicators - Section D'!$A$1:$A$100,0))*100,2)&amp;"%",""),"")&amp;CHAR(10)&amp;IFERROR(IF(INDEX('Coverage Indicators - Section D'!AC$1:AC$100,MATCH('Print View'!$A163,'Coverage Indicators - Section D'!$A$1:$A$100,0))&lt;&gt;"",INDEX('Coverage Indicators - Section D'!AC$1:AC$100,MATCH('Print View'!$A163,'Coverage Indicators - Section D'!$A$1:$A$100,0)),""),"")</f>
        <v xml:space="preserve">/
</v>
      </c>
      <c r="Q163" s="402" t="str">
        <f ca="1">IFERROR(IF(INDEX('Coverage Indicators - Section D'!AD$1:AD$100,MATCH('Print View'!$A163,'Coverage Indicators - Section D'!$A$1:$A$100,0))&lt;&gt;"",INDEX('Coverage Indicators - Section D'!AD$1:AD$100,MATCH('Print View'!$A163,'Coverage Indicators - Section D'!$A$1:$A$100,0)),""),"")&amp;"/"&amp;IFERROR(IF(INDEX('Coverage Indicators - Section D'!AD$1:AD$100,MATCH('Print View'!$A163,'Coverage Indicators - Section D'!$A$1:$A$100,0)+1)&lt;&gt;"",INDEX('Coverage Indicators - Section D'!AD$1:AD$100,MATCH('Print View'!$A163,'Coverage Indicators - Section D'!$A$1:$A$100,0)+1),""),"")&amp;CHAR(10)&amp;IFERROR(IF(INDEX('Coverage Indicators - Section D'!AE$1:AE$100,MATCH('Print View'!$A163,'Coverage Indicators - Section D'!$A$1:$A$100,0))&lt;&gt;"",FIXED(INDEX('Coverage Indicators - Section D'!AE$1:AE$100,MATCH('Print View'!$A163,'Coverage Indicators - Section D'!$A$1:$A$100,0))*100,2)&amp;"%",""),"")&amp;CHAR(10)&amp;IFERROR(IF(INDEX('Coverage Indicators - Section D'!AF$1:AF$100,MATCH('Print View'!$A163,'Coverage Indicators - Section D'!$A$1:$A$100,0))&lt;&gt;"",INDEX('Coverage Indicators - Section D'!AF$1:AF$100,MATCH('Print View'!$A163,'Coverage Indicators - Section D'!$A$1:$A$100,0)),""),"")</f>
        <v xml:space="preserve">/
</v>
      </c>
      <c r="R163" s="402" t="str">
        <f ca="1">IFERROR(IF(INDEX('Coverage Indicators - Section D'!AG$1:AG$100,MATCH('Print View'!$A163,'Coverage Indicators - Section D'!$A$1:$A$100,0))&lt;&gt;"",INDEX('Coverage Indicators - Section D'!AG$1:AG$100,MATCH('Print View'!$A163,'Coverage Indicators - Section D'!$A$1:$A$100,0)),""),"")&amp;"/"&amp;IFERROR(IF(INDEX('Coverage Indicators - Section D'!AG$1:AG$100,MATCH('Print View'!$A163,'Coverage Indicators - Section D'!$A$1:$A$100,0)+1)&lt;&gt;"",INDEX('Coverage Indicators - Section D'!AG$1:AG$100,MATCH('Print View'!$A163,'Coverage Indicators - Section D'!$A$1:$A$100,0)+1),""),"")&amp;CHAR(10)&amp;IFERROR(IF(INDEX('Coverage Indicators - Section D'!AH$1:AH$100,MATCH('Print View'!$A163,'Coverage Indicators - Section D'!$A$1:$A$100,0))&lt;&gt;"",FIXED(INDEX('Coverage Indicators - Section D'!AH$1:AH$100,MATCH('Print View'!$A163,'Coverage Indicators - Section D'!$A$1:$A$100,0))*100,2)&amp;"%",""),"")&amp;CHAR(10)&amp;IFERROR(IF(INDEX('Coverage Indicators - Section D'!AI$1:AI$100,MATCH('Print View'!$A163,'Coverage Indicators - Section D'!$A$1:$A$100,0))&lt;&gt;"",INDEX('Coverage Indicators - Section D'!AI$1:AI$100,MATCH('Print View'!$A163,'Coverage Indicators - Section D'!$A$1:$A$100,0)),""),"")</f>
        <v xml:space="preserve">/
</v>
      </c>
      <c r="S163" s="402" t="str">
        <f ca="1">IFERROR(IF(INDEX('Coverage Indicators - Section D'!AJ$1:AJ$100,MATCH('Print View'!$A163,'Coverage Indicators - Section D'!$A$1:$A$100,0))&lt;&gt;"",INDEX('Coverage Indicators - Section D'!AJ$1:AJ$100,MATCH('Print View'!$A163,'Coverage Indicators - Section D'!$A$1:$A$100,0)),""),"")&amp;"/"&amp;IFERROR(IF(INDEX('Coverage Indicators - Section D'!AJ$1:AJ$100,MATCH('Print View'!$A163,'Coverage Indicators - Section D'!$A$1:$A$100,0)+1)&lt;&gt;"",INDEX('Coverage Indicators - Section D'!AJ$1:AJ$100,MATCH('Print View'!$A163,'Coverage Indicators - Section D'!$A$1:$A$100,0)+1),""),"")&amp;CHAR(10)&amp;IFERROR(IF(INDEX('Coverage Indicators - Section D'!AK$1:AK$100,MATCH('Print View'!$A163,'Coverage Indicators - Section D'!$A$1:$A$100,0))&lt;&gt;"",FIXED(INDEX('Coverage Indicators - Section D'!AK$1:AK$100,MATCH('Print View'!$A163,'Coverage Indicators - Section D'!$A$1:$A$100,0))*100,2)&amp;"%",""),"")&amp;CHAR(10)&amp;IFERROR(IF(INDEX('Coverage Indicators - Section D'!AL$1:AL$100,MATCH('Print View'!$A163,'Coverage Indicators - Section D'!$A$1:$A$100,0))&lt;&gt;"",INDEX('Coverage Indicators - Section D'!AL$1:AL$100,MATCH('Print View'!$A163,'Coverage Indicators - Section D'!$A$1:$A$100,0)),""),"")</f>
        <v xml:space="preserve">/
</v>
      </c>
      <c r="T163" s="31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t="str">
        <f ca="1">IFERROR(IF(INDEX('Coverage Indicators - Section D'!AD$1:AD$110,MATCH('Print View'!$A163,'Coverage Indicators - Section D'!$A$1:$A$110,0))&lt;&gt;0,INDEX('Coverage Indicators - Section D'!AD$1:AD$110,MATCH('Print View'!$A163,'Coverage Indicators - Section D'!$A$1:$A$110,0)),""),"")</f>
        <v/>
      </c>
      <c r="AP163" s="223"/>
      <c r="AQ163" s="223"/>
      <c r="AR163" s="223"/>
      <c r="AS163" s="223"/>
      <c r="AT163" s="803" t="str">
        <f ca="1">CONCATENATE($A163,N$147)</f>
        <v>831-Dec-24</v>
      </c>
      <c r="AU163" s="802" t="str">
        <f ca="1">CONCATENATE($A163,Q$147)</f>
        <v>831-Dec-27</v>
      </c>
      <c r="AV163" s="802" t="str">
        <f>CONCATENATE($A163,V$147)</f>
        <v>8</v>
      </c>
      <c r="AW163" s="802" t="str">
        <f>CONCATENATE($A163,Y$147)</f>
        <v>8</v>
      </c>
      <c r="AX163" s="802" t="str">
        <f>CONCATENATE($A163,AB$147)</f>
        <v>8</v>
      </c>
      <c r="AY163" s="802" t="str">
        <f>CONCATENATE($A163,AE$147)</f>
        <v>8</v>
      </c>
      <c r="AZ163" s="802" t="str">
        <f>CONCATENATE($A163,AH$147)</f>
        <v>8</v>
      </c>
      <c r="BA163" s="802" t="str">
        <f>CONCATENATE($A163,AK$147)</f>
        <v>8</v>
      </c>
      <c r="BB163" s="228"/>
      <c r="BC163" s="121"/>
    </row>
    <row r="164" spans="1:55" s="106" customFormat="1" ht="88.4" customHeight="1" x14ac:dyDescent="0.35">
      <c r="A164" s="804"/>
      <c r="B164" s="809" t="str">
        <f ca="1">IFERROR(IF(INDEX('Coverage Indicators - Section D'!AM$1:AM$110,MATCH('Print View'!$A163,'Coverage Indicators - Section D'!$A$1:$A$110,0))&lt;&gt;0,INDEX('Coverage Indicators - Section D'!AM$1:AM$110,MATCH('Print View'!$A163,'Coverage Indicators - Section D'!$A$1:$A$110,0)),""),"")</f>
        <v>Supuesto estimación de metas: El haber impactado positivamente a través del programa educativo al interior del sistema penitenciario por medio de actores y sectores (pares, voluntarios, iglesias, MINED, entre otros) a fin de que se mejore la eficacia del tratamiento y con ello impactar en la disminución de la farmacorresitencia y mortalidad y aumento de la curación; por este motivo se ejecutarán actividades no solo de búsqueda, tratamiento y educación; sino al más alto nivel político para continuar con las intervenciones, cortar la cadena de transmisión e iniciar la disminución de la incidencia en la población privada de libertad.
Para el reporte de este indicador, se tomará la cohorte disponible a reportar, la cual es la del año anterior, ya que, los que ingresaron de Enero a Diciembre 2020 finalizaran su tratamiento en Septiembre del año 2021, por lo tanto está cohorte será reportada en Marzo 2022 y así sucesivamente. 
Las metas establecidas para la PPL son diferentes a la de la población general, debido a ser una población de alta vulnerabilidad y riesgo (violencia, hacinamiento, desnutrición, comorbilidad asociada). Por lo que en las cohortes de éxito de tratamiento se excluirán las causas directas de muerte como: muerte violenta o cuya causa básica directa de muerte es otra patología no asociada a TB.
Por tal razón, el país se compromete a alcanzar una cobertura del  95% para los tres años de la subvención.
La contribución del Fondo Mundial a las metas nacionales corresponde a la siguiente:
2022: 49.4%
2023:49.5%
2024:49.5%
Numerador: total de casos de TB todas las formas tratados exitosamente (curados más tratamiento completo) en la población privada de libertad en el periodo a evaluar.
Denominador: total de casos de tuberculosis todas las formas diagnosticados en PPL  e ingresados a la cohorte de tratamiento en el periodo a evaluar expresado en porcentaje.
Fuente de Información: Libro de Registro de Casos PCT-5.
Periodicidad anual no acumulativo, todo el país, todo el sistema penitenciario</v>
      </c>
      <c r="C164" s="810"/>
      <c r="D164" s="810"/>
      <c r="E164" s="810"/>
      <c r="F164" s="810"/>
      <c r="G164" s="810"/>
      <c r="H164" s="810"/>
      <c r="I164" s="811"/>
      <c r="J164" s="811"/>
      <c r="K164" s="811"/>
      <c r="L164" s="811"/>
      <c r="M164" s="811"/>
      <c r="N164" s="811"/>
      <c r="O164" s="811"/>
      <c r="P164" s="811"/>
      <c r="Q164" s="811"/>
      <c r="R164" s="811"/>
      <c r="S164" s="812"/>
      <c r="T164" s="314"/>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803"/>
      <c r="AU164" s="802"/>
      <c r="AV164" s="802"/>
      <c r="AW164" s="802"/>
      <c r="AX164" s="802"/>
      <c r="AY164" s="802"/>
      <c r="AZ164" s="802"/>
      <c r="BA164" s="802"/>
      <c r="BB164" s="228"/>
      <c r="BC164" s="121"/>
    </row>
    <row r="165" spans="1:55" s="106" customFormat="1" ht="177" customHeight="1" x14ac:dyDescent="0.35">
      <c r="A165" s="801">
        <v>9</v>
      </c>
      <c r="B165" s="395" t="str">
        <f ca="1">IFERROR(IF(INDEX('Coverage Indicators - Section D'!B$1:B$100,MATCH('Print View'!$A165,'Coverage Indicators - Section D'!$A$1:$A$100,0))&lt;&gt;0,INDEX('Coverage Indicators - Section D'!B$1:B$100,MATCH('Print View'!$A165,'Coverage Indicators - Section D'!$A$1:$A$100,0)),""),"")</f>
        <v>Prevención</v>
      </c>
      <c r="C165" s="395" t="str">
        <f ca="1">IFERROR(IF(INDEX('Coverage Indicators - Section D'!D$1:D$100,MATCH('Print View'!$A165,'Coverage Indicators - Section D'!$A$1:$A$100,0))&lt;&gt;0,INDEX('Coverage Indicators - Section D'!D$1:D$100,MATCH('Print View'!$A165,'Coverage Indicators - Section D'!$A$1:$A$100,0)),""),"")</f>
        <v>KP-1b⁽ᴹ⁾ Porcentaje de personas transgénero alcanzados por programas de prevención del VIH - paquete definido de servicios</v>
      </c>
      <c r="D165" s="395" t="str">
        <f ca="1">IFERROR(IF(INDEX('Coverage Indicators - Section D'!E$1:E$100,MATCH('Print View'!$A165,'Coverage Indicators - Section D'!$A$1:$A$100,0))&lt;&gt;0,INDEX('Coverage Indicators - Section D'!E$1:E$100,MATCH('Print View'!$A165,'Coverage Indicators - Section D'!$A$1:$A$100,0)),""),"")</f>
        <v/>
      </c>
      <c r="E165" s="396" t="str">
        <f ca="1">IFERROR(IF(INDEX('Coverage Indicators - Section D'!F$1:F$100,MATCH('Print View'!$A165,'Coverage Indicators - Section D'!$A$1:$A$100,0))&lt;&gt;"",INDEX('Coverage Indicators - Section D'!F$1:F$100,MATCH('Print View'!$A165,'Coverage Indicators - Section D'!$A$1:$A$100,0)),""),"")&amp;"/"&amp;IFERROR(IF(INDEX('Coverage Indicators - Section D'!F$1:F$100,MATCH('Print View'!$A165,'Coverage Indicators - Section D'!$A$1:$A$100,0)+1)&lt;&gt;"",INDEX('Coverage Indicators - Section D'!F$1:F$100,MATCH('Print View'!$A165,'Coverage Indicators - Section D'!$A$1:$A$100,0)+1),""),"")&amp;CHAR(10)&amp;IFERROR(IF(INDEX('Coverage Indicators - Section D'!G$1:G$100,MATCH('Print View'!$A165,'Coverage Indicators - Section D'!$A$1:$A$100,0))&lt;&gt;"",FIXED(INDEX('Coverage Indicators - Section D'!G$1:G$100,MATCH('Print View'!$A165,'Coverage Indicators - Section D'!$A$1:$A$100,0))*100,2)&amp;"%",""),"")</f>
        <v>1456/2011
72.40%</v>
      </c>
      <c r="F165" s="397"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2019
SIGPRO</v>
      </c>
      <c r="G165" s="398" t="str">
        <f>IFERROR(IF(INDEX('Coverage Indicators - Section D'!J25:J54,MATCH('Print View'!$A165,'Coverage Indicators - Section D'!$A$9:$A$38,0))&lt;&gt;0,INDEX('Coverage Indicators - Section D'!J25:J54,MATCH('Print View'!$A165,'Coverage Indicators - Section D'!$A$9:$A$38,0)),""),"")</f>
        <v/>
      </c>
      <c r="H165" s="399" t="str">
        <f ca="1">IFERROR(IF(INDEX('Coverage Indicators - Section D'!K$1:K$100,MATCH('Print View'!$A165,'Coverage Indicators - Section D'!$A$1:$A$100,0))&lt;&gt;0,INDEX('Coverage Indicators - Section D'!K$1:K$100,MATCH('Print View'!$A165,'Coverage Indicators - Section D'!$A$1:$A$100,0)),""),"")</f>
        <v>No</v>
      </c>
      <c r="I165" s="398" t="str">
        <f ca="1">IFERROR(IF(AND('Overview - Section A'!AN$5="Grant Making",OR(C165&lt;&gt;"",D165&lt;&gt;"")),Setup!I15,IF(INDEX('Coverage Indicators - Section D'!L$1:L$100,MATCH('Print View'!$A165,'Coverage Indicators - Section D'!$A$1:$A$100,0))&lt;&gt;0,INDEX('Coverage Indicators - Section D'!L$1:L$100,MATCH('Print View'!$A165,'Coverage Indicators - Section D'!$A$1:$A$100,0)),"")),"")</f>
        <v>Ministry of Health of the Republic of El Salvador</v>
      </c>
      <c r="J165" s="396"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El Salvador
Geographic National, 100% of national program target</v>
      </c>
      <c r="K165" s="396" t="str">
        <f ca="1">IFERROR(IF(INDEX('Coverage Indicators - Section D'!N$1:N$100,MATCH('Print View'!$A165,'Coverage Indicators - Section D'!$A$1:$A$100,0))&lt;&gt;0,INDEX('Coverage Indicators - Section D'!N$1:N$100,MATCH('Print View'!$A165,'Coverage Indicators - Section D'!$A$1:$A$100,0)),""),"")</f>
        <v/>
      </c>
      <c r="L165" s="396" t="str">
        <f ca="1">IFERROR(IF(INDEX('Coverage Indicators - Section D'!O$1:O$100,MATCH('Print View'!$A165,'Coverage Indicators - Section D'!$A$1:$A$100,0))&lt;&gt;"",INDEX('Coverage Indicators - Section D'!O$1:O$100,MATCH('Print View'!$A165,'Coverage Indicators - Section D'!$A$1:$A$100,0)),""),"")&amp;"/"&amp;IFERROR(IF(INDEX('Coverage Indicators - Section D'!O$1:O$100,MATCH('Print View'!$A165,'Coverage Indicators - Section D'!$A$1:$A$100,0)+1)&lt;&gt;"",INDEX('Coverage Indicators - Section D'!O$1:O$100,MATCH('Print View'!$A165,'Coverage Indicators - Section D'!$A$1:$A$100,0)+1),""),"")&amp;CHAR(10)&amp;IFERROR(IF(INDEX('Coverage Indicators - Section D'!P$1:P$100,MATCH('Print View'!$A165,'Coverage Indicators - Section D'!$A$1:$A$100,0))&lt;&gt;"",FIXED(INDEX('Coverage Indicators - Section D'!P$1:P$100,MATCH('Print View'!$A165,'Coverage Indicators - Section D'!$A$1:$A$100,0))*100,2)&amp;"%",""),"")&amp;CHAR(10)&amp;IFERROR(IF(INDEX('Coverage Indicators - Section D'!Q$1:Q$100,MATCH('Print View'!$A165,'Coverage Indicators - Section D'!$A$1:$A$100,0))&lt;&gt;"",INDEX('Coverage Indicators - Section D'!Q$1:Q$100,MATCH('Print View'!$A165,'Coverage Indicators - Section D'!$A$1:$A$100,0)),""),"")</f>
        <v xml:space="preserve">1709/2011
84.98%
</v>
      </c>
      <c r="M165" s="397" t="str">
        <f ca="1">IFERROR(IF(INDEX('Coverage Indicators - Section D'!R$1:R$100,MATCH('Print View'!$A165,'Coverage Indicators - Section D'!$A$1:$A$100,0))&lt;&gt;"",INDEX('Coverage Indicators - Section D'!R$1:R$100,MATCH('Print View'!$A165,'Coverage Indicators - Section D'!$A$1:$A$100,0)),""),"")&amp;"/"&amp;IFERROR(IF(INDEX('Coverage Indicators - Section D'!R$1:R$100,MATCH('Print View'!$A165,'Coverage Indicators - Section D'!$A$1:$A$100,0)+1)&lt;&gt;"",INDEX('Coverage Indicators - Section D'!R$1:R$100,MATCH('Print View'!$A165,'Coverage Indicators - Section D'!$A$1:$A$100,0)+1),""),"")&amp;CHAR(10)&amp;IFERROR(IF(INDEX('Coverage Indicators - Section D'!S$1:S$100,MATCH('Print View'!$A165,'Coverage Indicators - Section D'!$A$1:$A$100,0))&lt;&gt;"",FIXED(INDEX('Coverage Indicators - Section D'!S$1:S$100,MATCH('Print View'!$A165,'Coverage Indicators - Section D'!$A$1:$A$100,0))*100,2)&amp;"%",""),"")&amp;CHAR(10)&amp;IFERROR(IF(INDEX('Coverage Indicators - Section D'!T$1:T$100,MATCH('Print View'!$A165,'Coverage Indicators - Section D'!$A$1:$A$100,0))&lt;&gt;"",INDEX('Coverage Indicators - Section D'!T$1:T$100,MATCH('Print View'!$A165,'Coverage Indicators - Section D'!$A$1:$A$100,0)),""),"")</f>
        <v xml:space="preserve">1729/2011
85.98%
</v>
      </c>
      <c r="N165" s="396" t="str">
        <f ca="1">IFERROR(IF(INDEX('Coverage Indicators - Section D'!U$1:U$100,MATCH('Print View'!$A165,'Coverage Indicators - Section D'!$A$1:$A$100,0))&lt;&gt;"",INDEX('Coverage Indicators - Section D'!U$1:U$100,MATCH('Print View'!$A165,'Coverage Indicators - Section D'!$A$1:$A$100,0)),""),"")&amp;"/"&amp;IFERROR(IF(INDEX('Coverage Indicators - Section D'!U$1:U$100,MATCH('Print View'!$A165,'Coverage Indicators - Section D'!$A$1:$A$100,0)+1)&lt;&gt;"",INDEX('Coverage Indicators - Section D'!U$1:U$100,MATCH('Print View'!$A165,'Coverage Indicators - Section D'!$A$1:$A$100,0)+1),""),"")&amp;CHAR(10)&amp;IFERROR(IF(INDEX('Coverage Indicators - Section D'!V$1:V$100,MATCH('Print View'!$A165,'Coverage Indicators - Section D'!$A$1:$A$100,0))&lt;&gt;"",FIXED(INDEX('Coverage Indicators - Section D'!V$1:V$100,MATCH('Print View'!$A165,'Coverage Indicators - Section D'!$A$1:$A$100,0))*100,2)&amp;"%",""),"")&amp;CHAR(10)&amp;IFERROR(IF(INDEX('Coverage Indicators - Section D'!W$1:W$100,MATCH('Print View'!$A165,'Coverage Indicators - Section D'!$A$1:$A$100,0))&lt;&gt;"",INDEX('Coverage Indicators - Section D'!W$1:W$100,MATCH('Print View'!$A165,'Coverage Indicators - Section D'!$A$1:$A$100,0)),""),"")</f>
        <v xml:space="preserve">1749/2011
86.97%
</v>
      </c>
      <c r="O165" s="397" t="str">
        <f ca="1">IFERROR(IF(INDEX('Coverage Indicators - Section D'!X$1:X$100,MATCH('Print View'!$A165,'Coverage Indicators - Section D'!$A$1:$A$100,0))&lt;&gt;"",INDEX('Coverage Indicators - Section D'!X$1:X$100,MATCH('Print View'!$A165,'Coverage Indicators - Section D'!$A$1:$A$100,0)),""),"")&amp;"/"&amp;IFERROR(IF(INDEX('Coverage Indicators - Section D'!X$1:X$100,MATCH('Print View'!$A165,'Coverage Indicators - Section D'!$A$1:$A$100,0)+1)&lt;&gt;"",INDEX('Coverage Indicators - Section D'!X$1:X$100,MATCH('Print View'!$A165,'Coverage Indicators - Section D'!$A$1:$A$100,0)+1),""),"")&amp;CHAR(10)&amp;IFERROR(IF(INDEX('Coverage Indicators - Section D'!Y$1:Y$100,MATCH('Print View'!$A165,'Coverage Indicators - Section D'!$A$1:$A$100,0))&lt;&gt;"",FIXED(INDEX('Coverage Indicators - Section D'!Y$1:Y$100,MATCH('Print View'!$A165,'Coverage Indicators - Section D'!$A$1:$A$100,0))*100,2)&amp;"%",""),"")&amp;CHAR(10)&amp;IFERROR(IF(INDEX('Coverage Indicators - Section D'!Z$1:Z$100,MATCH('Print View'!$A165,'Coverage Indicators - Section D'!$A$1:$A$100,0))&lt;&gt;"",INDEX('Coverage Indicators - Section D'!Z$1:Z$100,MATCH('Print View'!$A165,'Coverage Indicators - Section D'!$A$1:$A$100,0)),""),"")</f>
        <v xml:space="preserve">/
</v>
      </c>
      <c r="P165" s="397" t="str">
        <f ca="1">IFERROR(IF(INDEX('Coverage Indicators - Section D'!AA$1:AA$100,MATCH('Print View'!$A165,'Coverage Indicators - Section D'!$A$1:$A$100,0))&lt;&gt;"",INDEX('Coverage Indicators - Section D'!AA$1:AA$100,MATCH('Print View'!$A165,'Coverage Indicators - Section D'!$A$1:$A$100,0)),""),"")&amp;"/"&amp;IFERROR(IF(INDEX('Coverage Indicators - Section D'!AA$1:AA$100,MATCH('Print View'!$A165,'Coverage Indicators - Section D'!$A$1:$A$100,0)+1)&lt;&gt;"",INDEX('Coverage Indicators - Section D'!AA$1:AA$100,MATCH('Print View'!$A165,'Coverage Indicators - Section D'!$A$1:$A$100,0)+1),""),"")&amp;CHAR(10)&amp;IFERROR(IF(INDEX('Coverage Indicators - Section D'!AB$1:AB$100,MATCH('Print View'!$A165,'Coverage Indicators - Section D'!$A$1:$A$100,0))&lt;&gt;"",FIXED(INDEX('Coverage Indicators - Section D'!AB$1:AB$100,MATCH('Print View'!$A165,'Coverage Indicators - Section D'!$A$1:$A$100,0))*100,2)&amp;"%",""),"")&amp;CHAR(10)&amp;IFERROR(IF(INDEX('Coverage Indicators - Section D'!AC$1:AC$100,MATCH('Print View'!$A165,'Coverage Indicators - Section D'!$A$1:$A$100,0))&lt;&gt;"",INDEX('Coverage Indicators - Section D'!AC$1:AC$100,MATCH('Print View'!$A165,'Coverage Indicators - Section D'!$A$1:$A$100,0)),""),"")</f>
        <v xml:space="preserve">/
</v>
      </c>
      <c r="Q165" s="397" t="str">
        <f ca="1">IFERROR(IF(INDEX('Coverage Indicators - Section D'!AD$1:AD$100,MATCH('Print View'!$A165,'Coverage Indicators - Section D'!$A$1:$A$100,0))&lt;&gt;"",INDEX('Coverage Indicators - Section D'!AD$1:AD$100,MATCH('Print View'!$A165,'Coverage Indicators - Section D'!$A$1:$A$100,0)),""),"")&amp;"/"&amp;IFERROR(IF(INDEX('Coverage Indicators - Section D'!AD$1:AD$100,MATCH('Print View'!$A165,'Coverage Indicators - Section D'!$A$1:$A$100,0)+1)&lt;&gt;"",INDEX('Coverage Indicators - Section D'!AD$1:AD$100,MATCH('Print View'!$A165,'Coverage Indicators - Section D'!$A$1:$A$100,0)+1),""),"")&amp;CHAR(10)&amp;IFERROR(IF(INDEX('Coverage Indicators - Section D'!AE$1:AE$100,MATCH('Print View'!$A165,'Coverage Indicators - Section D'!$A$1:$A$100,0))&lt;&gt;"",FIXED(INDEX('Coverage Indicators - Section D'!AE$1:AE$100,MATCH('Print View'!$A165,'Coverage Indicators - Section D'!$A$1:$A$100,0))*100,2)&amp;"%",""),"")&amp;CHAR(10)&amp;IFERROR(IF(INDEX('Coverage Indicators - Section D'!AF$1:AF$100,MATCH('Print View'!$A165,'Coverage Indicators - Section D'!$A$1:$A$100,0))&lt;&gt;"",INDEX('Coverage Indicators - Section D'!AF$1:AF$100,MATCH('Print View'!$A165,'Coverage Indicators - Section D'!$A$1:$A$100,0)),""),"")</f>
        <v xml:space="preserve">/
</v>
      </c>
      <c r="R165" s="397" t="str">
        <f ca="1">IFERROR(IF(INDEX('Coverage Indicators - Section D'!AG$1:AG$100,MATCH('Print View'!$A165,'Coverage Indicators - Section D'!$A$1:$A$100,0))&lt;&gt;"",INDEX('Coverage Indicators - Section D'!AG$1:AG$100,MATCH('Print View'!$A165,'Coverage Indicators - Section D'!$A$1:$A$100,0)),""),"")&amp;"/"&amp;IFERROR(IF(INDEX('Coverage Indicators - Section D'!AG$1:AG$100,MATCH('Print View'!$A165,'Coverage Indicators - Section D'!$A$1:$A$100,0)+1)&lt;&gt;"",INDEX('Coverage Indicators - Section D'!AG$1:AG$100,MATCH('Print View'!$A165,'Coverage Indicators - Section D'!$A$1:$A$100,0)+1),""),"")&amp;CHAR(10)&amp;IFERROR(IF(INDEX('Coverage Indicators - Section D'!AH$1:AH$100,MATCH('Print View'!$A165,'Coverage Indicators - Section D'!$A$1:$A$100,0))&lt;&gt;"",FIXED(INDEX('Coverage Indicators - Section D'!AH$1:AH$100,MATCH('Print View'!$A165,'Coverage Indicators - Section D'!$A$1:$A$100,0))*100,2)&amp;"%",""),"")&amp;CHAR(10)&amp;IFERROR(IF(INDEX('Coverage Indicators - Section D'!AI$1:AI$100,MATCH('Print View'!$A165,'Coverage Indicators - Section D'!$A$1:$A$100,0))&lt;&gt;"",INDEX('Coverage Indicators - Section D'!AI$1:AI$100,MATCH('Print View'!$A165,'Coverage Indicators - Section D'!$A$1:$A$100,0)),""),"")</f>
        <v xml:space="preserve">/
</v>
      </c>
      <c r="S165" s="397" t="str">
        <f ca="1">IFERROR(IF(INDEX('Coverage Indicators - Section D'!AJ$1:AJ$100,MATCH('Print View'!$A165,'Coverage Indicators - Section D'!$A$1:$A$100,0))&lt;&gt;"",INDEX('Coverage Indicators - Section D'!AJ$1:AJ$100,MATCH('Print View'!$A165,'Coverage Indicators - Section D'!$A$1:$A$100,0)),""),"")&amp;"/"&amp;IFERROR(IF(INDEX('Coverage Indicators - Section D'!AJ$1:AJ$100,MATCH('Print View'!$A165,'Coverage Indicators - Section D'!$A$1:$A$100,0)+1)&lt;&gt;"",INDEX('Coverage Indicators - Section D'!AJ$1:AJ$100,MATCH('Print View'!$A165,'Coverage Indicators - Section D'!$A$1:$A$100,0)+1),""),"")&amp;CHAR(10)&amp;IFERROR(IF(INDEX('Coverage Indicators - Section D'!AK$1:AK$100,MATCH('Print View'!$A165,'Coverage Indicators - Section D'!$A$1:$A$100,0))&lt;&gt;"",FIXED(INDEX('Coverage Indicators - Section D'!AK$1:AK$100,MATCH('Print View'!$A165,'Coverage Indicators - Section D'!$A$1:$A$100,0))*100,2)&amp;"%",""),"")&amp;CHAR(10)&amp;IFERROR(IF(INDEX('Coverage Indicators - Section D'!AL$1:AL$100,MATCH('Print View'!$A165,'Coverage Indicators - Section D'!$A$1:$A$100,0))&lt;&gt;"",INDEX('Coverage Indicators - Section D'!AL$1:AL$100,MATCH('Print View'!$A165,'Coverage Indicators - Section D'!$A$1:$A$100,0)),""),"")</f>
        <v xml:space="preserve">/
</v>
      </c>
      <c r="T165" s="310"/>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t="str">
        <f ca="1">IFERROR(IF(INDEX('Coverage Indicators - Section D'!AD$1:AD$110,MATCH('Print View'!$A165,'Coverage Indicators - Section D'!$A$1:$A$110,0))&lt;&gt;0,INDEX('Coverage Indicators - Section D'!AD$1:AD$110,MATCH('Print View'!$A165,'Coverage Indicators - Section D'!$A$1:$A$110,0)),""),"")</f>
        <v/>
      </c>
      <c r="AP165" s="223"/>
      <c r="AQ165" s="223"/>
      <c r="AR165" s="223"/>
      <c r="AS165" s="223"/>
      <c r="AT165" s="803" t="str">
        <f ca="1">CONCATENATE($A165,N$147)</f>
        <v>931-Dec-24</v>
      </c>
      <c r="AU165" s="802" t="str">
        <f ca="1">CONCATENATE($A165,Q$147)</f>
        <v>931-Dec-27</v>
      </c>
      <c r="AV165" s="802" t="str">
        <f>CONCATENATE($A165,V$147)</f>
        <v>9</v>
      </c>
      <c r="AW165" s="802" t="str">
        <f>CONCATENATE($A165,Y$147)</f>
        <v>9</v>
      </c>
      <c r="AX165" s="802" t="str">
        <f>CONCATENATE($A165,AB$147)</f>
        <v>9</v>
      </c>
      <c r="AY165" s="802" t="str">
        <f>CONCATENATE($A165,AE$147)</f>
        <v>9</v>
      </c>
      <c r="AZ165" s="802" t="str">
        <f>CONCATENATE($A165,AH$147)</f>
        <v>9</v>
      </c>
      <c r="BA165" s="802" t="str">
        <f>CONCATENATE($A165,AK$147)</f>
        <v>9</v>
      </c>
      <c r="BB165" s="228"/>
      <c r="BC165" s="121"/>
    </row>
    <row r="166" spans="1:55" s="106" customFormat="1" ht="88.4" customHeight="1" x14ac:dyDescent="0.35">
      <c r="A166" s="801"/>
      <c r="B166" s="806" t="str">
        <f ca="1">IFERROR(IF(INDEX('Coverage Indicators - Section D'!AM$1:AM$110,MATCH('Print View'!$A165,'Coverage Indicators - Section D'!$A$1:$A$110,0))&lt;&gt;0,INDEX('Coverage Indicators - Section D'!AM$1:AM$110,MATCH('Print View'!$A165,'Coverage Indicators - Section D'!$A$1:$A$110,0)),""),"")</f>
        <v>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durante el primer año se reprotará los resultados registrados en el nuevo sistema de información  de Gestión de Proyectos (SIGPRO), posteriormente, cuando se haya concretado los ajustes del módulo de prevención del SUMEVE, está información será brindada de dicho sistema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288 condones + 15 lubricantes en tubo y además se les agregarán 20 sobres de lubricantes en sachet, estás cantidades, han sido sugeridas por las mujeres trans durante los dialogos comunitarios que se llevaron a cabo en la consultoría.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C166" s="807"/>
      <c r="D166" s="807"/>
      <c r="E166" s="807"/>
      <c r="F166" s="807"/>
      <c r="G166" s="807"/>
      <c r="H166" s="807"/>
      <c r="I166" s="807"/>
      <c r="J166" s="807"/>
      <c r="K166" s="807"/>
      <c r="L166" s="807"/>
      <c r="M166" s="807"/>
      <c r="N166" s="807"/>
      <c r="O166" s="807"/>
      <c r="P166" s="807"/>
      <c r="Q166" s="807"/>
      <c r="R166" s="807"/>
      <c r="S166" s="808"/>
      <c r="T166" s="312"/>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803"/>
      <c r="AU166" s="802"/>
      <c r="AV166" s="802"/>
      <c r="AW166" s="802"/>
      <c r="AX166" s="802"/>
      <c r="AY166" s="802"/>
      <c r="AZ166" s="802"/>
      <c r="BA166" s="802"/>
      <c r="BB166" s="228"/>
      <c r="BC166" s="121"/>
    </row>
    <row r="167" spans="1:55" s="106" customFormat="1" ht="177" customHeight="1" x14ac:dyDescent="0.35">
      <c r="A167" s="804">
        <v>10</v>
      </c>
      <c r="B167" s="385" t="str">
        <f ca="1">IFERROR(IF(INDEX('Coverage Indicators - Section D'!B$1:B$100,MATCH('Print View'!$A167,'Coverage Indicators - Section D'!$A$1:$A$100,0))&lt;&gt;0,INDEX('Coverage Indicators - Section D'!B$1:B$100,MATCH('Print View'!$A167,'Coverage Indicators - Section D'!$A$1:$A$100,0)),""),"")</f>
        <v>Financiación basada en los resultados</v>
      </c>
      <c r="C167" s="385" t="str">
        <f ca="1">IFERROR(IF(INDEX('Coverage Indicators - Section D'!D$1:D$100,MATCH('Print View'!$A167,'Coverage Indicators - Section D'!$A$1:$A$100,0))&lt;&gt;0,INDEX('Coverage Indicators - Section D'!D$1:D$100,MATCH('Print View'!$A167,'Coverage Indicators - Section D'!$A$1:$A$100,0)),""),"")</f>
        <v>TCP-1⁽ᴹ⁾ Número de casos notificados de todas las formas de tuberculosis (esto es, confirmados bacteriológicamente y con diagnóstico clínico), casos nuevos y recaídas.</v>
      </c>
      <c r="D167" s="385" t="str">
        <f ca="1">IFERROR(IF(INDEX('Coverage Indicators - Section D'!E$1:E$100,MATCH('Print View'!$A167,'Coverage Indicators - Section D'!$A$1:$A$100,0))&lt;&gt;0,INDEX('Coverage Indicators - Section D'!E$1:E$100,MATCH('Print View'!$A167,'Coverage Indicators - Section D'!$A$1:$A$100,0)),""),"")</f>
        <v/>
      </c>
      <c r="E167" s="386" t="str">
        <f ca="1">IFERROR(IF(INDEX('Coverage Indicators - Section D'!F$1:F$100,MATCH('Print View'!$A167,'Coverage Indicators - Section D'!$A$1:$A$100,0))&lt;&gt;"",INDEX('Coverage Indicators - Section D'!F$1:F$100,MATCH('Print View'!$A167,'Coverage Indicators - Section D'!$A$1:$A$100,0)),""),"")&amp;"/"&amp;IFERROR(IF(INDEX('Coverage Indicators - Section D'!F$1:F$100,MATCH('Print View'!$A167,'Coverage Indicators - Section D'!$A$1:$A$100,0)+1)&lt;&gt;"",INDEX('Coverage Indicators - Section D'!F$1:F$100,MATCH('Print View'!$A167,'Coverage Indicators - Section D'!$A$1:$A$100,0)+1),""),"")&amp;CHAR(10)&amp;IFERROR(IF(INDEX('Coverage Indicators - Section D'!G$1:G$100,MATCH('Print View'!$A167,'Coverage Indicators - Section D'!$A$1:$A$100,0))&lt;&gt;"",FIXED(INDEX('Coverage Indicators - Section D'!G$1:G$100,MATCH('Print View'!$A167,'Coverage Indicators - Section D'!$A$1:$A$100,0))*100,2)&amp;"%",""),"")</f>
        <v xml:space="preserve">3009/
</v>
      </c>
      <c r="F167" s="400"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2019
Libro de Registro de Casos (PCT-5)</v>
      </c>
      <c r="G167" s="401" t="str">
        <f>IFERROR(IF(INDEX('Coverage Indicators - Section D'!J25:J54,MATCH('Print View'!$A167,'Coverage Indicators - Section D'!$A$9:$A$38,0))&lt;&gt;0,INDEX('Coverage Indicators - Section D'!J25:J54,MATCH('Print View'!$A167,'Coverage Indicators - Section D'!$A$9:$A$38,0)),""),"")</f>
        <v>Edad,Resultado de prueba del VIH</v>
      </c>
      <c r="H167" s="400" t="str">
        <f ca="1">IFERROR(IF(INDEX('Coverage Indicators - Section D'!K$1:K$100,MATCH('Print View'!$A167,'Coverage Indicators - Section D'!$A$1:$A$100,0))&lt;&gt;0,INDEX('Coverage Indicators - Section D'!K$1:K$100,MATCH('Print View'!$A167,'Coverage Indicators - Section D'!$A$1:$A$100,0)),""),"")</f>
        <v>Yes</v>
      </c>
      <c r="I167" s="401" t="str">
        <f ca="1">IFERROR(IF(AND('Overview - Section A'!AN$5="Grant Making",OR(C167&lt;&gt;"",D167&lt;&gt;"")),Setup!I15,IF(INDEX('Coverage Indicators - Section D'!L$1:L$100,MATCH('Print View'!$A167,'Coverage Indicators - Section D'!$A$1:$A$100,0))&lt;&gt;0,INDEX('Coverage Indicators - Section D'!L$1:L$100,MATCH('Print View'!$A167,'Coverage Indicators - Section D'!$A$1:$A$100,0)),"")),"")</f>
        <v>Ministry of Health of the Republic of El Salvador</v>
      </c>
      <c r="J167" s="400"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El Salvador
Geographic National, 100% of national program target</v>
      </c>
      <c r="K167" s="400" t="str">
        <f ca="1">IFERROR(IF(INDEX('Coverage Indicators - Section D'!N$1:N$100,MATCH('Print View'!$A167,'Coverage Indicators - Section D'!$A$1:$A$100,0))&lt;&gt;0,INDEX('Coverage Indicators - Section D'!N$1:N$100,MATCH('Print View'!$A167,'Coverage Indicators - Section D'!$A$1:$A$100,0)),""),"")</f>
        <v/>
      </c>
      <c r="L167" s="402" t="str">
        <f ca="1">IFERROR(IF(INDEX('Coverage Indicators - Section D'!O$1:O$100,MATCH('Print View'!$A167,'Coverage Indicators - Section D'!$A$1:$A$100,0))&lt;&gt;"",INDEX('Coverage Indicators - Section D'!O$1:O$100,MATCH('Print View'!$A167,'Coverage Indicators - Section D'!$A$1:$A$100,0)),""),"")&amp;"/"&amp;IFERROR(IF(INDEX('Coverage Indicators - Section D'!O$1:O$100,MATCH('Print View'!$A167,'Coverage Indicators - Section D'!$A$1:$A$100,0)+1)&lt;&gt;"",INDEX('Coverage Indicators - Section D'!O$1:O$100,MATCH('Print View'!$A167,'Coverage Indicators - Section D'!$A$1:$A$100,0)+1),""),"")&amp;CHAR(10)&amp;IFERROR(IF(INDEX('Coverage Indicators - Section D'!P$1:P$100,MATCH('Print View'!$A167,'Coverage Indicators - Section D'!$A$1:$A$100,0))&lt;&gt;"",FIXED(INDEX('Coverage Indicators - Section D'!P$1:P$100,MATCH('Print View'!$A167,'Coverage Indicators - Section D'!$A$1:$A$100,0))*100,2)&amp;"%",""),"")&amp;CHAR(10)&amp;IFERROR(IF(INDEX('Coverage Indicators - Section D'!Q$1:Q$100,MATCH('Print View'!$A167,'Coverage Indicators - Section D'!$A$1:$A$100,0))&lt;&gt;"",INDEX('Coverage Indicators - Section D'!Q$1:Q$100,MATCH('Print View'!$A167,'Coverage Indicators - Section D'!$A$1:$A$100,0)),""),"")</f>
        <v xml:space="preserve">2079.9246648/
</v>
      </c>
      <c r="M167" s="402" t="str">
        <f ca="1">IFERROR(IF(INDEX('Coverage Indicators - Section D'!R$1:R$100,MATCH('Print View'!$A167,'Coverage Indicators - Section D'!$A$1:$A$100,0))&lt;&gt;"",INDEX('Coverage Indicators - Section D'!R$1:R$100,MATCH('Print View'!$A167,'Coverage Indicators - Section D'!$A$1:$A$100,0)),""),"")&amp;"/"&amp;IFERROR(IF(INDEX('Coverage Indicators - Section D'!R$1:R$100,MATCH('Print View'!$A167,'Coverage Indicators - Section D'!$A$1:$A$100,0)+1)&lt;&gt;"",INDEX('Coverage Indicators - Section D'!R$1:R$100,MATCH('Print View'!$A167,'Coverage Indicators - Section D'!$A$1:$A$100,0)+1),""),"")&amp;CHAR(10)&amp;IFERROR(IF(INDEX('Coverage Indicators - Section D'!S$1:S$100,MATCH('Print View'!$A167,'Coverage Indicators - Section D'!$A$1:$A$100,0))&lt;&gt;"",FIXED(INDEX('Coverage Indicators - Section D'!S$1:S$100,MATCH('Print View'!$A167,'Coverage Indicators - Section D'!$A$1:$A$100,0))*100,2)&amp;"%",""),"")&amp;CHAR(10)&amp;IFERROR(IF(INDEX('Coverage Indicators - Section D'!T$1:T$100,MATCH('Print View'!$A167,'Coverage Indicators - Section D'!$A$1:$A$100,0))&lt;&gt;"",INDEX('Coverage Indicators - Section D'!T$1:T$100,MATCH('Print View'!$A167,'Coverage Indicators - Section D'!$A$1:$A$100,0)),""),"")</f>
        <v xml:space="preserve">1939.8180406/
</v>
      </c>
      <c r="N167" s="402" t="str">
        <f ca="1">IFERROR(IF(INDEX('Coverage Indicators - Section D'!U$1:U$100,MATCH('Print View'!$A167,'Coverage Indicators - Section D'!$A$1:$A$100,0))&lt;&gt;"",INDEX('Coverage Indicators - Section D'!U$1:U$100,MATCH('Print View'!$A167,'Coverage Indicators - Section D'!$A$1:$A$100,0)),""),"")&amp;"/"&amp;IFERROR(IF(INDEX('Coverage Indicators - Section D'!U$1:U$100,MATCH('Print View'!$A167,'Coverage Indicators - Section D'!$A$1:$A$100,0)+1)&lt;&gt;"",INDEX('Coverage Indicators - Section D'!U$1:U$100,MATCH('Print View'!$A167,'Coverage Indicators - Section D'!$A$1:$A$100,0)+1),""),"")&amp;CHAR(10)&amp;IFERROR(IF(INDEX('Coverage Indicators - Section D'!V$1:V$100,MATCH('Print View'!$A167,'Coverage Indicators - Section D'!$A$1:$A$100,0))&lt;&gt;"",FIXED(INDEX('Coverage Indicators - Section D'!V$1:V$100,MATCH('Print View'!$A167,'Coverage Indicators - Section D'!$A$1:$A$100,0))*100,2)&amp;"%",""),"")&amp;CHAR(10)&amp;IFERROR(IF(INDEX('Coverage Indicators - Section D'!W$1:W$100,MATCH('Print View'!$A167,'Coverage Indicators - Section D'!$A$1:$A$100,0))&lt;&gt;"",INDEX('Coverage Indicators - Section D'!W$1:W$100,MATCH('Print View'!$A167,'Coverage Indicators - Section D'!$A$1:$A$100,0)),""),"")</f>
        <v xml:space="preserve">1785.17901/
</v>
      </c>
      <c r="O167" s="402" t="str">
        <f ca="1">IFERROR(IF(INDEX('Coverage Indicators - Section D'!X$1:X$100,MATCH('Print View'!$A167,'Coverage Indicators - Section D'!$A$1:$A$100,0))&lt;&gt;"",INDEX('Coverage Indicators - Section D'!X$1:X$100,MATCH('Print View'!$A167,'Coverage Indicators - Section D'!$A$1:$A$100,0)),""),"")&amp;"/"&amp;IFERROR(IF(INDEX('Coverage Indicators - Section D'!X$1:X$100,MATCH('Print View'!$A167,'Coverage Indicators - Section D'!$A$1:$A$100,0)+1)&lt;&gt;"",INDEX('Coverage Indicators - Section D'!X$1:X$100,MATCH('Print View'!$A167,'Coverage Indicators - Section D'!$A$1:$A$100,0)+1),""),"")&amp;CHAR(10)&amp;IFERROR(IF(INDEX('Coverage Indicators - Section D'!Y$1:Y$100,MATCH('Print View'!$A167,'Coverage Indicators - Section D'!$A$1:$A$100,0))&lt;&gt;"",FIXED(INDEX('Coverage Indicators - Section D'!Y$1:Y$100,MATCH('Print View'!$A167,'Coverage Indicators - Section D'!$A$1:$A$100,0))*100,2)&amp;"%",""),"")&amp;CHAR(10)&amp;IFERROR(IF(INDEX('Coverage Indicators - Section D'!Z$1:Z$100,MATCH('Print View'!$A167,'Coverage Indicators - Section D'!$A$1:$A$100,0))&lt;&gt;"",INDEX('Coverage Indicators - Section D'!Z$1:Z$100,MATCH('Print View'!$A167,'Coverage Indicators - Section D'!$A$1:$A$100,0)),""),"")</f>
        <v xml:space="preserve">/
</v>
      </c>
      <c r="P167" s="402" t="str">
        <f ca="1">IFERROR(IF(INDEX('Coverage Indicators - Section D'!AA$1:AA$100,MATCH('Print View'!$A167,'Coverage Indicators - Section D'!$A$1:$A$100,0))&lt;&gt;"",INDEX('Coverage Indicators - Section D'!AA$1:AA$100,MATCH('Print View'!$A167,'Coverage Indicators - Section D'!$A$1:$A$100,0)),""),"")&amp;"/"&amp;IFERROR(IF(INDEX('Coverage Indicators - Section D'!AA$1:AA$100,MATCH('Print View'!$A167,'Coverage Indicators - Section D'!$A$1:$A$100,0)+1)&lt;&gt;"",INDEX('Coverage Indicators - Section D'!AA$1:AA$100,MATCH('Print View'!$A167,'Coverage Indicators - Section D'!$A$1:$A$100,0)+1),""),"")&amp;CHAR(10)&amp;IFERROR(IF(INDEX('Coverage Indicators - Section D'!AB$1:AB$100,MATCH('Print View'!$A167,'Coverage Indicators - Section D'!$A$1:$A$100,0))&lt;&gt;"",FIXED(INDEX('Coverage Indicators - Section D'!AB$1:AB$100,MATCH('Print View'!$A167,'Coverage Indicators - Section D'!$A$1:$A$100,0))*100,2)&amp;"%",""),"")&amp;CHAR(10)&amp;IFERROR(IF(INDEX('Coverage Indicators - Section D'!AC$1:AC$100,MATCH('Print View'!$A167,'Coverage Indicators - Section D'!$A$1:$A$100,0))&lt;&gt;"",INDEX('Coverage Indicators - Section D'!AC$1:AC$100,MATCH('Print View'!$A167,'Coverage Indicators - Section D'!$A$1:$A$100,0)),""),"")</f>
        <v xml:space="preserve">/
</v>
      </c>
      <c r="Q167" s="402" t="str">
        <f ca="1">IFERROR(IF(INDEX('Coverage Indicators - Section D'!AD$1:AD$100,MATCH('Print View'!$A167,'Coverage Indicators - Section D'!$A$1:$A$100,0))&lt;&gt;"",INDEX('Coverage Indicators - Section D'!AD$1:AD$100,MATCH('Print View'!$A167,'Coverage Indicators - Section D'!$A$1:$A$100,0)),""),"")&amp;"/"&amp;IFERROR(IF(INDEX('Coverage Indicators - Section D'!AD$1:AD$100,MATCH('Print View'!$A167,'Coverage Indicators - Section D'!$A$1:$A$100,0)+1)&lt;&gt;"",INDEX('Coverage Indicators - Section D'!AD$1:AD$100,MATCH('Print View'!$A167,'Coverage Indicators - Section D'!$A$1:$A$100,0)+1),""),"")&amp;CHAR(10)&amp;IFERROR(IF(INDEX('Coverage Indicators - Section D'!AE$1:AE$100,MATCH('Print View'!$A167,'Coverage Indicators - Section D'!$A$1:$A$100,0))&lt;&gt;"",FIXED(INDEX('Coverage Indicators - Section D'!AE$1:AE$100,MATCH('Print View'!$A167,'Coverage Indicators - Section D'!$A$1:$A$100,0))*100,2)&amp;"%",""),"")&amp;CHAR(10)&amp;IFERROR(IF(INDEX('Coverage Indicators - Section D'!AF$1:AF$100,MATCH('Print View'!$A167,'Coverage Indicators - Section D'!$A$1:$A$100,0))&lt;&gt;"",INDEX('Coverage Indicators - Section D'!AF$1:AF$100,MATCH('Print View'!$A167,'Coverage Indicators - Section D'!$A$1:$A$100,0)),""),"")</f>
        <v xml:space="preserve">/
</v>
      </c>
      <c r="R167" s="402" t="str">
        <f ca="1">IFERROR(IF(INDEX('Coverage Indicators - Section D'!AG$1:AG$100,MATCH('Print View'!$A167,'Coverage Indicators - Section D'!$A$1:$A$100,0))&lt;&gt;"",INDEX('Coverage Indicators - Section D'!AG$1:AG$100,MATCH('Print View'!$A167,'Coverage Indicators - Section D'!$A$1:$A$100,0)),""),"")&amp;"/"&amp;IFERROR(IF(INDEX('Coverage Indicators - Section D'!AG$1:AG$100,MATCH('Print View'!$A167,'Coverage Indicators - Section D'!$A$1:$A$100,0)+1)&lt;&gt;"",INDEX('Coverage Indicators - Section D'!AG$1:AG$100,MATCH('Print View'!$A167,'Coverage Indicators - Section D'!$A$1:$A$100,0)+1),""),"")&amp;CHAR(10)&amp;IFERROR(IF(INDEX('Coverage Indicators - Section D'!AH$1:AH$100,MATCH('Print View'!$A167,'Coverage Indicators - Section D'!$A$1:$A$100,0))&lt;&gt;"",FIXED(INDEX('Coverage Indicators - Section D'!AH$1:AH$100,MATCH('Print View'!$A167,'Coverage Indicators - Section D'!$A$1:$A$100,0))*100,2)&amp;"%",""),"")&amp;CHAR(10)&amp;IFERROR(IF(INDEX('Coverage Indicators - Section D'!AI$1:AI$100,MATCH('Print View'!$A167,'Coverage Indicators - Section D'!$A$1:$A$100,0))&lt;&gt;"",INDEX('Coverage Indicators - Section D'!AI$1:AI$100,MATCH('Print View'!$A167,'Coverage Indicators - Section D'!$A$1:$A$100,0)),""),"")</f>
        <v xml:space="preserve">/
</v>
      </c>
      <c r="S167" s="402" t="str">
        <f ca="1">IFERROR(IF(INDEX('Coverage Indicators - Section D'!AJ$1:AJ$100,MATCH('Print View'!$A167,'Coverage Indicators - Section D'!$A$1:$A$100,0))&lt;&gt;"",INDEX('Coverage Indicators - Section D'!AJ$1:AJ$100,MATCH('Print View'!$A167,'Coverage Indicators - Section D'!$A$1:$A$100,0)),""),"")&amp;"/"&amp;IFERROR(IF(INDEX('Coverage Indicators - Section D'!AJ$1:AJ$100,MATCH('Print View'!$A167,'Coverage Indicators - Section D'!$A$1:$A$100,0)+1)&lt;&gt;"",INDEX('Coverage Indicators - Section D'!AJ$1:AJ$100,MATCH('Print View'!$A167,'Coverage Indicators - Section D'!$A$1:$A$100,0)+1),""),"")&amp;CHAR(10)&amp;IFERROR(IF(INDEX('Coverage Indicators - Section D'!AK$1:AK$100,MATCH('Print View'!$A167,'Coverage Indicators - Section D'!$A$1:$A$100,0))&lt;&gt;"",FIXED(INDEX('Coverage Indicators - Section D'!AK$1:AK$100,MATCH('Print View'!$A167,'Coverage Indicators - Section D'!$A$1:$A$100,0))*100,2)&amp;"%",""),"")&amp;CHAR(10)&amp;IFERROR(IF(INDEX('Coverage Indicators - Section D'!AL$1:AL$100,MATCH('Print View'!$A167,'Coverage Indicators - Section D'!$A$1:$A$100,0))&lt;&gt;"",INDEX('Coverage Indicators - Section D'!AL$1:AL$100,MATCH('Print View'!$A167,'Coverage Indicators - Section D'!$A$1:$A$100,0)),""),"")</f>
        <v xml:space="preserve">/
</v>
      </c>
      <c r="T167" s="31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t="str">
        <f ca="1">IFERROR(IF(INDEX('Coverage Indicators - Section D'!AD$1:AD$110,MATCH('Print View'!$A167,'Coverage Indicators - Section D'!$A$1:$A$110,0))&lt;&gt;0,INDEX('Coverage Indicators - Section D'!AD$1:AD$110,MATCH('Print View'!$A167,'Coverage Indicators - Section D'!$A$1:$A$110,0)),""),"")</f>
        <v/>
      </c>
      <c r="AP167" s="223"/>
      <c r="AQ167" s="223"/>
      <c r="AR167" s="223"/>
      <c r="AS167" s="223"/>
      <c r="AT167" s="803" t="str">
        <f ca="1">CONCATENATE($A167,N$147)</f>
        <v>1031-Dec-24</v>
      </c>
      <c r="AU167" s="802" t="str">
        <f ca="1">CONCATENATE($A167,Q$147)</f>
        <v>1031-Dec-27</v>
      </c>
      <c r="AV167" s="802" t="str">
        <f>CONCATENATE($A167,V$147)</f>
        <v>10</v>
      </c>
      <c r="AW167" s="802" t="str">
        <f>CONCATENATE($A167,Y$147)</f>
        <v>10</v>
      </c>
      <c r="AX167" s="802" t="str">
        <f>CONCATENATE($A167,AB$147)</f>
        <v>10</v>
      </c>
      <c r="AY167" s="802" t="str">
        <f>CONCATENATE($A167,AE$147)</f>
        <v>10</v>
      </c>
      <c r="AZ167" s="802" t="str">
        <f>CONCATENATE($A167,AH$147)</f>
        <v>10</v>
      </c>
      <c r="BA167" s="802" t="str">
        <f>CONCATENATE($A167,AK$147)</f>
        <v>10</v>
      </c>
      <c r="BB167" s="228"/>
      <c r="BC167" s="121"/>
    </row>
    <row r="168" spans="1:55" s="106" customFormat="1" ht="88.4" customHeight="1" x14ac:dyDescent="0.35">
      <c r="A168" s="804"/>
      <c r="B168" s="809" t="str">
        <f ca="1">IFERROR(IF(INDEX('Coverage Indicators - Section D'!AM$1:AM$110,MATCH('Print View'!$A167,'Coverage Indicators - Section D'!$A$1:$A$110,0))&lt;&gt;0,INDEX('Coverage Indicators - Section D'!AM$1:AM$110,MATCH('Print View'!$A167,'Coverage Indicators - Section D'!$A$1:$A$110,0)),""),"")</f>
        <v>Línea de base: corresponde al número total de casos de TB todas las formas notificados por el país para el periodo de Enero a Diciembre 2019. (3,009)  fuente de información PCT - 5: libro de registro de casos . 
Supuesto de estimación de metas: El número de casos de TB estimados, ha sido calculado con base a la incidencia para los años 2022 al 2026, tomando como  referencia el cuadro 2.1 del documento: "implementación de la estrategia Fin de la TB: Aspectos Esenciales" de la OMS y la proyeccion estimada de la tabla de datos esenciales de país. En el cual se toma como año de referencia el año 2015 (2,452 casos y una tasa de 39 por 100,000 hab ); y que en el año 2020 la reducción de la tasa de incidencia es del 5% menos en relación al año 2015; obteniendo una tasa de 34 por 100,000 hab, que corresponde a 2,300 casos.
En tal sentido las poblaciones estimadas por la DIGESTYC para los años de la subvencion son: para el año 2022 se estima una poblacion total de 6,884,888 con una tasa estimada de 30.2 dandonos una incidencia estimada total de casos de TB todas las formas de 2,080; para el año 2023 la poblacion proyectada es de 6,942,799 con una tasa estimada de 27.9 nos brinda una incidencia estimada de 1,940 casos de TB todas las formas y para el año 2024 con una tasa estimada de 25.5 nos da una incidencia estimada de casos de TB todas las formas de 1,785. Es de mencionar que las metas podrían requerir de algún ajuste al reporte del primer año de ejecucion de la subvencion.
Métodos de medición:
Numerador: total de casos de TB todas las formas (nuevos y recaídas) notificados en el periodo a evaluar. se expresa en numero entero
La verificación de este indicador estará sujeta al método de verificación establecido para la modalidad de financiamiento basado en resultados y establecido en el acuerdo de subvención.
Fuente de Información: Libro de Registro de Casos (PCT-5).
Periodicidad anual NO ACUMULATIVO (número absoluto).</v>
      </c>
      <c r="C168" s="810"/>
      <c r="D168" s="810"/>
      <c r="E168" s="810"/>
      <c r="F168" s="810"/>
      <c r="G168" s="810"/>
      <c r="H168" s="810"/>
      <c r="I168" s="811"/>
      <c r="J168" s="811"/>
      <c r="K168" s="811"/>
      <c r="L168" s="811"/>
      <c r="M168" s="811"/>
      <c r="N168" s="811"/>
      <c r="O168" s="811"/>
      <c r="P168" s="811"/>
      <c r="Q168" s="811"/>
      <c r="R168" s="811"/>
      <c r="S168" s="812"/>
      <c r="T168" s="314"/>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803"/>
      <c r="AU168" s="802"/>
      <c r="AV168" s="802"/>
      <c r="AW168" s="802"/>
      <c r="AX168" s="802"/>
      <c r="AY168" s="802"/>
      <c r="AZ168" s="802"/>
      <c r="BA168" s="802"/>
      <c r="BB168" s="228"/>
      <c r="BC168" s="121"/>
    </row>
    <row r="169" spans="1:55" s="106" customFormat="1" ht="177" customHeight="1" x14ac:dyDescent="0.35">
      <c r="A169" s="801">
        <v>11</v>
      </c>
      <c r="B169" s="395" t="str">
        <f ca="1">IFERROR(IF(INDEX('Coverage Indicators - Section D'!B$1:B$100,MATCH('Print View'!$A169,'Coverage Indicators - Section D'!$A$1:$A$100,0))&lt;&gt;0,INDEX('Coverage Indicators - Section D'!B$1:B$100,MATCH('Print View'!$A169,'Coverage Indicators - Section D'!$A$1:$A$100,0)),""),"")</f>
        <v>Prevención</v>
      </c>
      <c r="C169" s="395" t="str">
        <f ca="1">IFERROR(IF(INDEX('Coverage Indicators - Section D'!D$1:D$100,MATCH('Print View'!$A169,'Coverage Indicators - Section D'!$A$1:$A$100,0))&lt;&gt;0,INDEX('Coverage Indicators - Section D'!D$1:D$100,MATCH('Print View'!$A169,'Coverage Indicators - Section D'!$A$1:$A$100,0)),""),"")</f>
        <v>KP-1c⁽ᴹ⁾ Porcentaje de trabajadores sexuales alcanzados por programas de prevención del VIH - paquete definido de servicios</v>
      </c>
      <c r="D169" s="395" t="str">
        <f ca="1">IFERROR(IF(INDEX('Coverage Indicators - Section D'!E$1:E$100,MATCH('Print View'!$A169,'Coverage Indicators - Section D'!$A$1:$A$100,0))&lt;&gt;0,INDEX('Coverage Indicators - Section D'!E$1:E$100,MATCH('Print View'!$A169,'Coverage Indicators - Section D'!$A$1:$A$100,0)),""),"")</f>
        <v/>
      </c>
      <c r="E169" s="396" t="str">
        <f ca="1">IFERROR(IF(INDEX('Coverage Indicators - Section D'!F$1:F$100,MATCH('Print View'!$A169,'Coverage Indicators - Section D'!$A$1:$A$100,0))&lt;&gt;"",INDEX('Coverage Indicators - Section D'!F$1:F$100,MATCH('Print View'!$A169,'Coverage Indicators - Section D'!$A$1:$A$100,0)),""),"")&amp;"/"&amp;IFERROR(IF(INDEX('Coverage Indicators - Section D'!F$1:F$100,MATCH('Print View'!$A169,'Coverage Indicators - Section D'!$A$1:$A$100,0)+1)&lt;&gt;"",INDEX('Coverage Indicators - Section D'!F$1:F$100,MATCH('Print View'!$A169,'Coverage Indicators - Section D'!$A$1:$A$100,0)+1),""),"")&amp;CHAR(10)&amp;IFERROR(IF(INDEX('Coverage Indicators - Section D'!G$1:G$100,MATCH('Print View'!$A169,'Coverage Indicators - Section D'!$A$1:$A$100,0))&lt;&gt;"",FIXED(INDEX('Coverage Indicators - Section D'!G$1:G$100,MATCH('Print View'!$A169,'Coverage Indicators - Section D'!$A$1:$A$100,0))*100,2)&amp;"%",""),"")</f>
        <v>7765/44972
17.27%</v>
      </c>
      <c r="F169" s="397"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2019
SIGPRO</v>
      </c>
      <c r="G169" s="398" t="str">
        <f>IFERROR(IF(INDEX('Coverage Indicators - Section D'!J29:J58,MATCH('Print View'!$A169,'Coverage Indicators - Section D'!$A$9:$A$38,0))&lt;&gt;0,INDEX('Coverage Indicators - Section D'!J29:J58,MATCH('Print View'!$A169,'Coverage Indicators - Section D'!$A$9:$A$38,0)),""),"")</f>
        <v/>
      </c>
      <c r="H169" s="399" t="str">
        <f ca="1">IFERROR(IF(INDEX('Coverage Indicators - Section D'!K$1:K$100,MATCH('Print View'!$A169,'Coverage Indicators - Section D'!$A$1:$A$100,0))&lt;&gt;0,INDEX('Coverage Indicators - Section D'!K$1:K$100,MATCH('Print View'!$A169,'Coverage Indicators - Section D'!$A$1:$A$100,0)),""),"")</f>
        <v>No</v>
      </c>
      <c r="I169" s="398" t="str">
        <f ca="1">IFERROR(IF(AND('Overview - Section A'!AN$5="Grant Making",OR(C169&lt;&gt;"",D169&lt;&gt;"")),Setup!I15,IF(INDEX('Coverage Indicators - Section D'!L$1:L$100,MATCH('Print View'!$A169,'Coverage Indicators - Section D'!$A$1:$A$100,0))&lt;&gt;0,INDEX('Coverage Indicators - Section D'!L$1:L$100,MATCH('Print View'!$A169,'Coverage Indicators - Section D'!$A$1:$A$100,0)),"")),"")</f>
        <v>Ministry of Health of the Republic of El Salvador</v>
      </c>
      <c r="J169" s="396"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El Salvador
Geographic National, 100% of national program target</v>
      </c>
      <c r="K169" s="396" t="str">
        <f ca="1">IFERROR(IF(INDEX('Coverage Indicators - Section D'!N$1:N$100,MATCH('Print View'!$A169,'Coverage Indicators - Section D'!$A$1:$A$100,0))&lt;&gt;0,INDEX('Coverage Indicators - Section D'!N$1:N$100,MATCH('Print View'!$A169,'Coverage Indicators - Section D'!$A$1:$A$100,0)),""),"")</f>
        <v/>
      </c>
      <c r="L169" s="396" t="str">
        <f ca="1">IFERROR(IF(INDEX('Coverage Indicators - Section D'!O$1:O$100,MATCH('Print View'!$A169,'Coverage Indicators - Section D'!$A$1:$A$100,0))&lt;&gt;"",INDEX('Coverage Indicators - Section D'!O$1:O$100,MATCH('Print View'!$A169,'Coverage Indicators - Section D'!$A$1:$A$100,0)),""),"")&amp;"/"&amp;IFERROR(IF(INDEX('Coverage Indicators - Section D'!O$1:O$100,MATCH('Print View'!$A169,'Coverage Indicators - Section D'!$A$1:$A$100,0)+1)&lt;&gt;"",INDEX('Coverage Indicators - Section D'!O$1:O$100,MATCH('Print View'!$A169,'Coverage Indicators - Section D'!$A$1:$A$100,0)+1),""),"")&amp;CHAR(10)&amp;IFERROR(IF(INDEX('Coverage Indicators - Section D'!P$1:P$100,MATCH('Print View'!$A169,'Coverage Indicators - Section D'!$A$1:$A$100,0))&lt;&gt;"",FIXED(INDEX('Coverage Indicators - Section D'!P$1:P$100,MATCH('Print View'!$A169,'Coverage Indicators - Section D'!$A$1:$A$100,0))*100,2)&amp;"%",""),"")&amp;CHAR(10)&amp;IFERROR(IF(INDEX('Coverage Indicators - Section D'!Q$1:Q$100,MATCH('Print View'!$A169,'Coverage Indicators - Section D'!$A$1:$A$100,0))&lt;&gt;"",INDEX('Coverage Indicators - Section D'!Q$1:Q$100,MATCH('Print View'!$A169,'Coverage Indicators - Section D'!$A$1:$A$100,0)),""),"")</f>
        <v xml:space="preserve">15400/44972
34.24%
</v>
      </c>
      <c r="M169" s="397" t="str">
        <f ca="1">IFERROR(IF(INDEX('Coverage Indicators - Section D'!R$1:R$100,MATCH('Print View'!$A169,'Coverage Indicators - Section D'!$A$1:$A$100,0))&lt;&gt;"",INDEX('Coverage Indicators - Section D'!R$1:R$100,MATCH('Print View'!$A169,'Coverage Indicators - Section D'!$A$1:$A$100,0)),""),"")&amp;"/"&amp;IFERROR(IF(INDEX('Coverage Indicators - Section D'!R$1:R$100,MATCH('Print View'!$A169,'Coverage Indicators - Section D'!$A$1:$A$100,0)+1)&lt;&gt;"",INDEX('Coverage Indicators - Section D'!R$1:R$100,MATCH('Print View'!$A169,'Coverage Indicators - Section D'!$A$1:$A$100,0)+1),""),"")&amp;CHAR(10)&amp;IFERROR(IF(INDEX('Coverage Indicators - Section D'!S$1:S$100,MATCH('Print View'!$A169,'Coverage Indicators - Section D'!$A$1:$A$100,0))&lt;&gt;"",FIXED(INDEX('Coverage Indicators - Section D'!S$1:S$100,MATCH('Print View'!$A169,'Coverage Indicators - Section D'!$A$1:$A$100,0))*100,2)&amp;"%",""),"")&amp;CHAR(10)&amp;IFERROR(IF(INDEX('Coverage Indicators - Section D'!T$1:T$100,MATCH('Print View'!$A169,'Coverage Indicators - Section D'!$A$1:$A$100,0))&lt;&gt;"",INDEX('Coverage Indicators - Section D'!T$1:T$100,MATCH('Print View'!$A169,'Coverage Indicators - Section D'!$A$1:$A$100,0)),""),"")</f>
        <v xml:space="preserve">17500/44972
38.91%
</v>
      </c>
      <c r="N169" s="396" t="str">
        <f ca="1">IFERROR(IF(INDEX('Coverage Indicators - Section D'!U$1:U$100,MATCH('Print View'!$A169,'Coverage Indicators - Section D'!$A$1:$A$100,0))&lt;&gt;"",INDEX('Coverage Indicators - Section D'!U$1:U$100,MATCH('Print View'!$A169,'Coverage Indicators - Section D'!$A$1:$A$100,0)),""),"")&amp;"/"&amp;IFERROR(IF(INDEX('Coverage Indicators - Section D'!U$1:U$100,MATCH('Print View'!$A169,'Coverage Indicators - Section D'!$A$1:$A$100,0)+1)&lt;&gt;"",INDEX('Coverage Indicators - Section D'!U$1:U$100,MATCH('Print View'!$A169,'Coverage Indicators - Section D'!$A$1:$A$100,0)+1),""),"")&amp;CHAR(10)&amp;IFERROR(IF(INDEX('Coverage Indicators - Section D'!V$1:V$100,MATCH('Print View'!$A169,'Coverage Indicators - Section D'!$A$1:$A$100,0))&lt;&gt;"",FIXED(INDEX('Coverage Indicators - Section D'!V$1:V$100,MATCH('Print View'!$A169,'Coverage Indicators - Section D'!$A$1:$A$100,0))*100,2)&amp;"%",""),"")&amp;CHAR(10)&amp;IFERROR(IF(INDEX('Coverage Indicators - Section D'!W$1:W$100,MATCH('Print View'!$A169,'Coverage Indicators - Section D'!$A$1:$A$100,0))&lt;&gt;"",INDEX('Coverage Indicators - Section D'!W$1:W$100,MATCH('Print View'!$A169,'Coverage Indicators - Section D'!$A$1:$A$100,0)),""),"")</f>
        <v xml:space="preserve">19500/44972
43.36%
</v>
      </c>
      <c r="O169" s="397" t="str">
        <f ca="1">IFERROR(IF(INDEX('Coverage Indicators - Section D'!X$1:X$100,MATCH('Print View'!$A169,'Coverage Indicators - Section D'!$A$1:$A$100,0))&lt;&gt;"",INDEX('Coverage Indicators - Section D'!X$1:X$100,MATCH('Print View'!$A169,'Coverage Indicators - Section D'!$A$1:$A$100,0)),""),"")&amp;"/"&amp;IFERROR(IF(INDEX('Coverage Indicators - Section D'!X$1:X$100,MATCH('Print View'!$A169,'Coverage Indicators - Section D'!$A$1:$A$100,0)+1)&lt;&gt;"",INDEX('Coverage Indicators - Section D'!X$1:X$100,MATCH('Print View'!$A169,'Coverage Indicators - Section D'!$A$1:$A$100,0)+1),""),"")&amp;CHAR(10)&amp;IFERROR(IF(INDEX('Coverage Indicators - Section D'!Y$1:Y$100,MATCH('Print View'!$A169,'Coverage Indicators - Section D'!$A$1:$A$100,0))&lt;&gt;"",FIXED(INDEX('Coverage Indicators - Section D'!Y$1:Y$100,MATCH('Print View'!$A169,'Coverage Indicators - Section D'!$A$1:$A$100,0))*100,2)&amp;"%",""),"")&amp;CHAR(10)&amp;IFERROR(IF(INDEX('Coverage Indicators - Section D'!Z$1:Z$100,MATCH('Print View'!$A169,'Coverage Indicators - Section D'!$A$1:$A$100,0))&lt;&gt;"",INDEX('Coverage Indicators - Section D'!Z$1:Z$100,MATCH('Print View'!$A169,'Coverage Indicators - Section D'!$A$1:$A$100,0)),""),"")</f>
        <v xml:space="preserve">/
</v>
      </c>
      <c r="P169" s="397" t="str">
        <f ca="1">IFERROR(IF(INDEX('Coverage Indicators - Section D'!AA$1:AA$100,MATCH('Print View'!$A169,'Coverage Indicators - Section D'!$A$1:$A$100,0))&lt;&gt;"",INDEX('Coverage Indicators - Section D'!AA$1:AA$100,MATCH('Print View'!$A169,'Coverage Indicators - Section D'!$A$1:$A$100,0)),""),"")&amp;"/"&amp;IFERROR(IF(INDEX('Coverage Indicators - Section D'!AA$1:AA$100,MATCH('Print View'!$A169,'Coverage Indicators - Section D'!$A$1:$A$100,0)+1)&lt;&gt;"",INDEX('Coverage Indicators - Section D'!AA$1:AA$100,MATCH('Print View'!$A169,'Coverage Indicators - Section D'!$A$1:$A$100,0)+1),""),"")&amp;CHAR(10)&amp;IFERROR(IF(INDEX('Coverage Indicators - Section D'!AB$1:AB$100,MATCH('Print View'!$A169,'Coverage Indicators - Section D'!$A$1:$A$100,0))&lt;&gt;"",FIXED(INDEX('Coverage Indicators - Section D'!AB$1:AB$100,MATCH('Print View'!$A169,'Coverage Indicators - Section D'!$A$1:$A$100,0))*100,2)&amp;"%",""),"")&amp;CHAR(10)&amp;IFERROR(IF(INDEX('Coverage Indicators - Section D'!AC$1:AC$100,MATCH('Print View'!$A169,'Coverage Indicators - Section D'!$A$1:$A$100,0))&lt;&gt;"",INDEX('Coverage Indicators - Section D'!AC$1:AC$100,MATCH('Print View'!$A169,'Coverage Indicators - Section D'!$A$1:$A$100,0)),""),"")</f>
        <v xml:space="preserve">/
</v>
      </c>
      <c r="Q169" s="397" t="str">
        <f ca="1">IFERROR(IF(INDEX('Coverage Indicators - Section D'!AD$1:AD$100,MATCH('Print View'!$A169,'Coverage Indicators - Section D'!$A$1:$A$100,0))&lt;&gt;"",INDEX('Coverage Indicators - Section D'!AD$1:AD$100,MATCH('Print View'!$A169,'Coverage Indicators - Section D'!$A$1:$A$100,0)),""),"")&amp;"/"&amp;IFERROR(IF(INDEX('Coverage Indicators - Section D'!AD$1:AD$100,MATCH('Print View'!$A169,'Coverage Indicators - Section D'!$A$1:$A$100,0)+1)&lt;&gt;"",INDEX('Coverage Indicators - Section D'!AD$1:AD$100,MATCH('Print View'!$A169,'Coverage Indicators - Section D'!$A$1:$A$100,0)+1),""),"")&amp;CHAR(10)&amp;IFERROR(IF(INDEX('Coverage Indicators - Section D'!AE$1:AE$100,MATCH('Print View'!$A169,'Coverage Indicators - Section D'!$A$1:$A$100,0))&lt;&gt;"",FIXED(INDEX('Coverage Indicators - Section D'!AE$1:AE$100,MATCH('Print View'!$A169,'Coverage Indicators - Section D'!$A$1:$A$100,0))*100,2)&amp;"%",""),"")&amp;CHAR(10)&amp;IFERROR(IF(INDEX('Coverage Indicators - Section D'!AF$1:AF$100,MATCH('Print View'!$A169,'Coverage Indicators - Section D'!$A$1:$A$100,0))&lt;&gt;"",INDEX('Coverage Indicators - Section D'!AF$1:AF$100,MATCH('Print View'!$A169,'Coverage Indicators - Section D'!$A$1:$A$100,0)),""),"")</f>
        <v xml:space="preserve">/
</v>
      </c>
      <c r="R169" s="397" t="str">
        <f ca="1">IFERROR(IF(INDEX('Coverage Indicators - Section D'!AG$1:AG$100,MATCH('Print View'!$A169,'Coverage Indicators - Section D'!$A$1:$A$100,0))&lt;&gt;"",INDEX('Coverage Indicators - Section D'!AG$1:AG$100,MATCH('Print View'!$A169,'Coverage Indicators - Section D'!$A$1:$A$100,0)),""),"")&amp;"/"&amp;IFERROR(IF(INDEX('Coverage Indicators - Section D'!AG$1:AG$100,MATCH('Print View'!$A169,'Coverage Indicators - Section D'!$A$1:$A$100,0)+1)&lt;&gt;"",INDEX('Coverage Indicators - Section D'!AG$1:AG$100,MATCH('Print View'!$A169,'Coverage Indicators - Section D'!$A$1:$A$100,0)+1),""),"")&amp;CHAR(10)&amp;IFERROR(IF(INDEX('Coverage Indicators - Section D'!AH$1:AH$100,MATCH('Print View'!$A169,'Coverage Indicators - Section D'!$A$1:$A$100,0))&lt;&gt;"",FIXED(INDEX('Coverage Indicators - Section D'!AH$1:AH$100,MATCH('Print View'!$A169,'Coverage Indicators - Section D'!$A$1:$A$100,0))*100,2)&amp;"%",""),"")&amp;CHAR(10)&amp;IFERROR(IF(INDEX('Coverage Indicators - Section D'!AI$1:AI$100,MATCH('Print View'!$A169,'Coverage Indicators - Section D'!$A$1:$A$100,0))&lt;&gt;"",INDEX('Coverage Indicators - Section D'!AI$1:AI$100,MATCH('Print View'!$A169,'Coverage Indicators - Section D'!$A$1:$A$100,0)),""),"")</f>
        <v xml:space="preserve">/
</v>
      </c>
      <c r="S169" s="397" t="str">
        <f ca="1">IFERROR(IF(INDEX('Coverage Indicators - Section D'!AJ$1:AJ$100,MATCH('Print View'!$A169,'Coverage Indicators - Section D'!$A$1:$A$100,0))&lt;&gt;"",INDEX('Coverage Indicators - Section D'!AJ$1:AJ$100,MATCH('Print View'!$A169,'Coverage Indicators - Section D'!$A$1:$A$100,0)),""),"")&amp;"/"&amp;IFERROR(IF(INDEX('Coverage Indicators - Section D'!AJ$1:AJ$100,MATCH('Print View'!$A169,'Coverage Indicators - Section D'!$A$1:$A$100,0)+1)&lt;&gt;"",INDEX('Coverage Indicators - Section D'!AJ$1:AJ$100,MATCH('Print View'!$A169,'Coverage Indicators - Section D'!$A$1:$A$100,0)+1),""),"")&amp;CHAR(10)&amp;IFERROR(IF(INDEX('Coverage Indicators - Section D'!AK$1:AK$100,MATCH('Print View'!$A169,'Coverage Indicators - Section D'!$A$1:$A$100,0))&lt;&gt;"",FIXED(INDEX('Coverage Indicators - Section D'!AK$1:AK$100,MATCH('Print View'!$A169,'Coverage Indicators - Section D'!$A$1:$A$100,0))*100,2)&amp;"%",""),"")&amp;CHAR(10)&amp;IFERROR(IF(INDEX('Coverage Indicators - Section D'!AL$1:AL$100,MATCH('Print View'!$A169,'Coverage Indicators - Section D'!$A$1:$A$100,0))&lt;&gt;"",INDEX('Coverage Indicators - Section D'!AL$1:AL$100,MATCH('Print View'!$A169,'Coverage Indicators - Section D'!$A$1:$A$100,0)),""),"")</f>
        <v xml:space="preserve">/
</v>
      </c>
      <c r="T169" s="310"/>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t="str">
        <f ca="1">IFERROR(IF(INDEX('Coverage Indicators - Section D'!AD$1:AD$110,MATCH('Print View'!$A169,'Coverage Indicators - Section D'!$A$1:$A$110,0))&lt;&gt;0,INDEX('Coverage Indicators - Section D'!AD$1:AD$110,MATCH('Print View'!$A169,'Coverage Indicators - Section D'!$A$1:$A$110,0)),""),"")</f>
        <v/>
      </c>
      <c r="AP169" s="223"/>
      <c r="AQ169" s="223"/>
      <c r="AR169" s="223"/>
      <c r="AS169" s="223"/>
      <c r="AT169" s="803" t="str">
        <f ca="1">CONCATENATE($A169,N$147)</f>
        <v>1131-Dec-24</v>
      </c>
      <c r="AU169" s="802" t="str">
        <f ca="1">CONCATENATE($A169,Q$147)</f>
        <v>1131-Dec-27</v>
      </c>
      <c r="AV169" s="802" t="str">
        <f>CONCATENATE($A169,V$147)</f>
        <v>11</v>
      </c>
      <c r="AW169" s="802" t="str">
        <f>CONCATENATE($A169,Y$147)</f>
        <v>11</v>
      </c>
      <c r="AX169" s="802" t="str">
        <f>CONCATENATE($A169,AB$147)</f>
        <v>11</v>
      </c>
      <c r="AY169" s="802" t="str">
        <f>CONCATENATE($A169,AE$147)</f>
        <v>11</v>
      </c>
      <c r="AZ169" s="802" t="str">
        <f>CONCATENATE($A169,AH$147)</f>
        <v>11</v>
      </c>
      <c r="BA169" s="802" t="str">
        <f>CONCATENATE($A169,AK$147)</f>
        <v>11</v>
      </c>
      <c r="BB169" s="228"/>
      <c r="BC169" s="121"/>
    </row>
    <row r="170" spans="1:55" s="106" customFormat="1" ht="88.4" customHeight="1" x14ac:dyDescent="0.35">
      <c r="A170" s="801"/>
      <c r="B170" s="806" t="str">
        <f ca="1">IFERROR(IF(INDEX('Coverage Indicators - Section D'!AM$1:AM$110,MATCH('Print View'!$A169,'Coverage Indicators - Section D'!$A$1:$A$110,0))&lt;&gt;0,INDEX('Coverage Indicators - Section D'!AM$1:AM$110,MATCH('Print View'!$A169,'Coverage Indicators - Section D'!$A$1:$A$110,0)),""),"")</f>
        <v>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reprotará los resultados registrados en el nuevo sistema de información  de Gestión de Proyectos (SIGPRO), posteriormente, cuando se haya concretado los ajustes del módulo de prevención del SUMEVE, está información será brindada de dicho sistema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Para esta población, se mantiene las cantidades que se entregan actualmente, pues durante los dialogos comunitarios con las poblaciones claves, no se obtuvo comentarios que orientaran a realizar cambios de estos insumos.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C170" s="807"/>
      <c r="D170" s="807"/>
      <c r="E170" s="807"/>
      <c r="F170" s="807"/>
      <c r="G170" s="807"/>
      <c r="H170" s="807"/>
      <c r="I170" s="807"/>
      <c r="J170" s="807"/>
      <c r="K170" s="807"/>
      <c r="L170" s="807"/>
      <c r="M170" s="807"/>
      <c r="N170" s="807"/>
      <c r="O170" s="807"/>
      <c r="P170" s="807"/>
      <c r="Q170" s="807"/>
      <c r="R170" s="807"/>
      <c r="S170" s="808"/>
      <c r="T170" s="312"/>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803"/>
      <c r="AU170" s="802"/>
      <c r="AV170" s="802"/>
      <c r="AW170" s="802"/>
      <c r="AX170" s="802"/>
      <c r="AY170" s="802"/>
      <c r="AZ170" s="802"/>
      <c r="BA170" s="802"/>
      <c r="BB170" s="228"/>
      <c r="BC170" s="121"/>
    </row>
    <row r="171" spans="1:55" s="106" customFormat="1" ht="177" customHeight="1" x14ac:dyDescent="0.35">
      <c r="A171" s="827">
        <v>12</v>
      </c>
      <c r="B171" s="385" t="str">
        <f ca="1">IFERROR(IF(INDEX('Coverage Indicators - Section D'!B$1:B$100,MATCH('Print View'!$A171,'Coverage Indicators - Section D'!$A$1:$A$100,0))&lt;&gt;0,INDEX('Coverage Indicators - Section D'!B$1:B$100,MATCH('Print View'!$A171,'Coverage Indicators - Section D'!$A$1:$A$100,0)),""),"")</f>
        <v>Tratamiento, atención y apoyo</v>
      </c>
      <c r="C171" s="385" t="str">
        <f ca="1">IFERROR(IF(INDEX('Coverage Indicators - Section D'!D$1:D$100,MATCH('Print View'!$A171,'Coverage Indicators - Section D'!$A$1:$A$100,0))&lt;&gt;0,INDEX('Coverage Indicators - Section D'!D$1:D$100,MATCH('Print View'!$A171,'Coverage Indicators - Section D'!$A$1:$A$100,0)),""),"")</f>
        <v>TCS-1.1⁽ᴹ⁾ Porcentaje de personas en TARV entre todas las personas viviendo con VIH al final del período de reporte</v>
      </c>
      <c r="D171" s="385" t="str">
        <f ca="1">IFERROR(IF(INDEX('Coverage Indicators - Section D'!E$1:E$100,MATCH('Print View'!$A171,'Coverage Indicators - Section D'!$A$1:$A$100,0))&lt;&gt;0,INDEX('Coverage Indicators - Section D'!E$1:E$100,MATCH('Print View'!$A171,'Coverage Indicators - Section D'!$A$1:$A$100,0)),""),"")</f>
        <v/>
      </c>
      <c r="E171" s="386" t="str">
        <f ca="1">IFERROR(IF(INDEX('Coverage Indicators - Section D'!F$1:F$100,MATCH('Print View'!$A171,'Coverage Indicators - Section D'!$A$1:$A$100,0))&lt;&gt;"",INDEX('Coverage Indicators - Section D'!F$1:F$100,MATCH('Print View'!$A171,'Coverage Indicators - Section D'!$A$1:$A$100,0)),""),"")&amp;"/"&amp;IFERROR(IF(INDEX('Coverage Indicators - Section D'!F$1:F$100,MATCH('Print View'!$A171,'Coverage Indicators - Section D'!$A$1:$A$100,0)+1)&lt;&gt;"",INDEX('Coverage Indicators - Section D'!F$1:F$100,MATCH('Print View'!$A171,'Coverage Indicators - Section D'!$A$1:$A$100,0)+1),""),"")&amp;CHAR(10)&amp;IFERROR(IF(INDEX('Coverage Indicators - Section D'!G$1:G$100,MATCH('Print View'!$A171,'Coverage Indicators - Section D'!$A$1:$A$100,0))&lt;&gt;"",FIXED(INDEX('Coverage Indicators - Section D'!G$1:G$100,MATCH('Print View'!$A171,'Coverage Indicators - Section D'!$A$1:$A$100,0))*100,2)&amp;"%",""),"")</f>
        <v>13193/23936
55.12%</v>
      </c>
      <c r="F171" s="400"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2019
SUMEVE</v>
      </c>
      <c r="G171" s="401" t="str">
        <f>IFERROR(IF(INDEX('Coverage Indicators - Section D'!J29:J58,MATCH('Print View'!$A171,'Coverage Indicators - Section D'!$A$9:$A$38,0))&lt;&gt;0,INDEX('Coverage Indicators - Section D'!J29:J58,MATCH('Print View'!$A171,'Coverage Indicators - Section D'!$A$9:$A$38,0)),""),"")</f>
        <v>Edad,Género,Resultado de prueba del VIH</v>
      </c>
      <c r="H171" s="400" t="str">
        <f ca="1">IFERROR(IF(INDEX('Coverage Indicators - Section D'!K$1:K$100,MATCH('Print View'!$A171,'Coverage Indicators - Section D'!$A$1:$A$100,0))&lt;&gt;0,INDEX('Coverage Indicators - Section D'!K$1:K$100,MATCH('Print View'!$A171,'Coverage Indicators - Section D'!$A$1:$A$100,0)),""),"")</f>
        <v>Yes</v>
      </c>
      <c r="I171" s="401" t="str">
        <f ca="1">IFERROR(IF(AND('Overview - Section A'!AN$5="Grant Making",OR(C171&lt;&gt;"",D171&lt;&gt;"")),Setup!I15,IF(INDEX('Coverage Indicators - Section D'!L$1:L$100,MATCH('Print View'!$A171,'Coverage Indicators - Section D'!$A$1:$A$100,0))&lt;&gt;0,INDEX('Coverage Indicators - Section D'!L$1:L$100,MATCH('Print View'!$A171,'Coverage Indicators - Section D'!$A$1:$A$100,0)),"")),"")</f>
        <v>Ministry of Health of the Republic of El Salvador</v>
      </c>
      <c r="J171" s="400"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El Salvador
Geographic National, 100% of national program target</v>
      </c>
      <c r="K171" s="400" t="str">
        <f ca="1">IFERROR(IF(INDEX('Coverage Indicators - Section D'!N$1:N$100,MATCH('Print View'!$A171,'Coverage Indicators - Section D'!$A$1:$A$100,0))&lt;&gt;0,INDEX('Coverage Indicators - Section D'!N$1:N$100,MATCH('Print View'!$A171,'Coverage Indicators - Section D'!$A$1:$A$100,0)),""),"")</f>
        <v/>
      </c>
      <c r="L171" s="402" t="str">
        <f ca="1">IFERROR(IF(INDEX('Coverage Indicators - Section D'!O$1:O$100,MATCH('Print View'!$A171,'Coverage Indicators - Section D'!$A$1:$A$100,0))&lt;&gt;"",INDEX('Coverage Indicators - Section D'!O$1:O$100,MATCH('Print View'!$A171,'Coverage Indicators - Section D'!$A$1:$A$100,0)),""),"")&amp;"/"&amp;IFERROR(IF(INDEX('Coverage Indicators - Section D'!O$1:O$100,MATCH('Print View'!$A171,'Coverage Indicators - Section D'!$A$1:$A$100,0)+1)&lt;&gt;"",INDEX('Coverage Indicators - Section D'!O$1:O$100,MATCH('Print View'!$A171,'Coverage Indicators - Section D'!$A$1:$A$100,0)+1),""),"")&amp;CHAR(10)&amp;IFERROR(IF(INDEX('Coverage Indicators - Section D'!P$1:P$100,MATCH('Print View'!$A171,'Coverage Indicators - Section D'!$A$1:$A$100,0))&lt;&gt;"",FIXED(INDEX('Coverage Indicators - Section D'!P$1:P$100,MATCH('Print View'!$A171,'Coverage Indicators - Section D'!$A$1:$A$100,0))*100,2)&amp;"%",""),"")&amp;CHAR(10)&amp;IFERROR(IF(INDEX('Coverage Indicators - Section D'!Q$1:Q$100,MATCH('Print View'!$A171,'Coverage Indicators - Section D'!$A$1:$A$100,0))&lt;&gt;"",INDEX('Coverage Indicators - Section D'!Q$1:Q$100,MATCH('Print View'!$A171,'Coverage Indicators - Section D'!$A$1:$A$100,0)),""),"")</f>
        <v xml:space="preserve">19606/27230
72.00%
</v>
      </c>
      <c r="M171" s="402" t="str">
        <f ca="1">IFERROR(IF(INDEX('Coverage Indicators - Section D'!R$1:R$100,MATCH('Print View'!$A171,'Coverage Indicators - Section D'!$A$1:$A$100,0))&lt;&gt;"",INDEX('Coverage Indicators - Section D'!R$1:R$100,MATCH('Print View'!$A171,'Coverage Indicators - Section D'!$A$1:$A$100,0)),""),"")&amp;"/"&amp;IFERROR(IF(INDEX('Coverage Indicators - Section D'!R$1:R$100,MATCH('Print View'!$A171,'Coverage Indicators - Section D'!$A$1:$A$100,0)+1)&lt;&gt;"",INDEX('Coverage Indicators - Section D'!R$1:R$100,MATCH('Print View'!$A171,'Coverage Indicators - Section D'!$A$1:$A$100,0)+1),""),"")&amp;CHAR(10)&amp;IFERROR(IF(INDEX('Coverage Indicators - Section D'!S$1:S$100,MATCH('Print View'!$A171,'Coverage Indicators - Section D'!$A$1:$A$100,0))&lt;&gt;"",FIXED(INDEX('Coverage Indicators - Section D'!S$1:S$100,MATCH('Print View'!$A171,'Coverage Indicators - Section D'!$A$1:$A$100,0))*100,2)&amp;"%",""),"")&amp;CHAR(10)&amp;IFERROR(IF(INDEX('Coverage Indicators - Section D'!T$1:T$100,MATCH('Print View'!$A171,'Coverage Indicators - Section D'!$A$1:$A$100,0))&lt;&gt;"",INDEX('Coverage Indicators - Section D'!T$1:T$100,MATCH('Print View'!$A171,'Coverage Indicators - Section D'!$A$1:$A$100,0)),""),"")</f>
        <v xml:space="preserve">21094/27394
77.00%
</v>
      </c>
      <c r="N171" s="402" t="str">
        <f ca="1">IFERROR(IF(INDEX('Coverage Indicators - Section D'!U$1:U$100,MATCH('Print View'!$A171,'Coverage Indicators - Section D'!$A$1:$A$100,0))&lt;&gt;"",INDEX('Coverage Indicators - Section D'!U$1:U$100,MATCH('Print View'!$A171,'Coverage Indicators - Section D'!$A$1:$A$100,0)),""),"")&amp;"/"&amp;IFERROR(IF(INDEX('Coverage Indicators - Section D'!U$1:U$100,MATCH('Print View'!$A171,'Coverage Indicators - Section D'!$A$1:$A$100,0)+1)&lt;&gt;"",INDEX('Coverage Indicators - Section D'!U$1:U$100,MATCH('Print View'!$A171,'Coverage Indicators - Section D'!$A$1:$A$100,0)+1),""),"")&amp;CHAR(10)&amp;IFERROR(IF(INDEX('Coverage Indicators - Section D'!V$1:V$100,MATCH('Print View'!$A171,'Coverage Indicators - Section D'!$A$1:$A$100,0))&lt;&gt;"",FIXED(INDEX('Coverage Indicators - Section D'!V$1:V$100,MATCH('Print View'!$A171,'Coverage Indicators - Section D'!$A$1:$A$100,0))*100,2)&amp;"%",""),"")&amp;CHAR(10)&amp;IFERROR(IF(INDEX('Coverage Indicators - Section D'!W$1:W$100,MATCH('Print View'!$A171,'Coverage Indicators - Section D'!$A$1:$A$100,0))&lt;&gt;"",INDEX('Coverage Indicators - Section D'!W$1:W$100,MATCH('Print View'!$A171,'Coverage Indicators - Section D'!$A$1:$A$100,0)),""),"")</f>
        <v xml:space="preserve">22494/27541
81.67%
</v>
      </c>
      <c r="O171" s="402" t="str">
        <f ca="1">IFERROR(IF(INDEX('Coverage Indicators - Section D'!X$1:X$100,MATCH('Print View'!$A171,'Coverage Indicators - Section D'!$A$1:$A$100,0))&lt;&gt;"",INDEX('Coverage Indicators - Section D'!X$1:X$100,MATCH('Print View'!$A171,'Coverage Indicators - Section D'!$A$1:$A$100,0)),""),"")&amp;"/"&amp;IFERROR(IF(INDEX('Coverage Indicators - Section D'!X$1:X$100,MATCH('Print View'!$A171,'Coverage Indicators - Section D'!$A$1:$A$100,0)+1)&lt;&gt;"",INDEX('Coverage Indicators - Section D'!X$1:X$100,MATCH('Print View'!$A171,'Coverage Indicators - Section D'!$A$1:$A$100,0)+1),""),"")&amp;CHAR(10)&amp;IFERROR(IF(INDEX('Coverage Indicators - Section D'!Y$1:Y$100,MATCH('Print View'!$A171,'Coverage Indicators - Section D'!$A$1:$A$100,0))&lt;&gt;"",FIXED(INDEX('Coverage Indicators - Section D'!Y$1:Y$100,MATCH('Print View'!$A171,'Coverage Indicators - Section D'!$A$1:$A$100,0))*100,2)&amp;"%",""),"")&amp;CHAR(10)&amp;IFERROR(IF(INDEX('Coverage Indicators - Section D'!Z$1:Z$100,MATCH('Print View'!$A171,'Coverage Indicators - Section D'!$A$1:$A$100,0))&lt;&gt;"",INDEX('Coverage Indicators - Section D'!Z$1:Z$100,MATCH('Print View'!$A171,'Coverage Indicators - Section D'!$A$1:$A$100,0)),""),"")</f>
        <v xml:space="preserve">/
</v>
      </c>
      <c r="P171" s="402" t="str">
        <f ca="1">IFERROR(IF(INDEX('Coverage Indicators - Section D'!AA$1:AA$100,MATCH('Print View'!$A171,'Coverage Indicators - Section D'!$A$1:$A$100,0))&lt;&gt;"",INDEX('Coverage Indicators - Section D'!AA$1:AA$100,MATCH('Print View'!$A171,'Coverage Indicators - Section D'!$A$1:$A$100,0)),""),"")&amp;"/"&amp;IFERROR(IF(INDEX('Coverage Indicators - Section D'!AA$1:AA$100,MATCH('Print View'!$A171,'Coverage Indicators - Section D'!$A$1:$A$100,0)+1)&lt;&gt;"",INDEX('Coverage Indicators - Section D'!AA$1:AA$100,MATCH('Print View'!$A171,'Coverage Indicators - Section D'!$A$1:$A$100,0)+1),""),"")&amp;CHAR(10)&amp;IFERROR(IF(INDEX('Coverage Indicators - Section D'!AB$1:AB$100,MATCH('Print View'!$A171,'Coverage Indicators - Section D'!$A$1:$A$100,0))&lt;&gt;"",FIXED(INDEX('Coverage Indicators - Section D'!AB$1:AB$100,MATCH('Print View'!$A171,'Coverage Indicators - Section D'!$A$1:$A$100,0))*100,2)&amp;"%",""),"")&amp;CHAR(10)&amp;IFERROR(IF(INDEX('Coverage Indicators - Section D'!AC$1:AC$100,MATCH('Print View'!$A171,'Coverage Indicators - Section D'!$A$1:$A$100,0))&lt;&gt;"",INDEX('Coverage Indicators - Section D'!AC$1:AC$100,MATCH('Print View'!$A171,'Coverage Indicators - Section D'!$A$1:$A$100,0)),""),"")</f>
        <v xml:space="preserve">/
</v>
      </c>
      <c r="Q171" s="402" t="str">
        <f ca="1">IFERROR(IF(INDEX('Coverage Indicators - Section D'!AD$1:AD$100,MATCH('Print View'!$A171,'Coverage Indicators - Section D'!$A$1:$A$100,0))&lt;&gt;"",INDEX('Coverage Indicators - Section D'!AD$1:AD$100,MATCH('Print View'!$A171,'Coverage Indicators - Section D'!$A$1:$A$100,0)),""),"")&amp;"/"&amp;IFERROR(IF(INDEX('Coverage Indicators - Section D'!AD$1:AD$100,MATCH('Print View'!$A171,'Coverage Indicators - Section D'!$A$1:$A$100,0)+1)&lt;&gt;"",INDEX('Coverage Indicators - Section D'!AD$1:AD$100,MATCH('Print View'!$A171,'Coverage Indicators - Section D'!$A$1:$A$100,0)+1),""),"")&amp;CHAR(10)&amp;IFERROR(IF(INDEX('Coverage Indicators - Section D'!AE$1:AE$100,MATCH('Print View'!$A171,'Coverage Indicators - Section D'!$A$1:$A$100,0))&lt;&gt;"",FIXED(INDEX('Coverage Indicators - Section D'!AE$1:AE$100,MATCH('Print View'!$A171,'Coverage Indicators - Section D'!$A$1:$A$100,0))*100,2)&amp;"%",""),"")&amp;CHAR(10)&amp;IFERROR(IF(INDEX('Coverage Indicators - Section D'!AF$1:AF$100,MATCH('Print View'!$A171,'Coverage Indicators - Section D'!$A$1:$A$100,0))&lt;&gt;"",INDEX('Coverage Indicators - Section D'!AF$1:AF$100,MATCH('Print View'!$A171,'Coverage Indicators - Section D'!$A$1:$A$100,0)),""),"")</f>
        <v xml:space="preserve">/
</v>
      </c>
      <c r="R171" s="402" t="str">
        <f ca="1">IFERROR(IF(INDEX('Coverage Indicators - Section D'!AG$1:AG$100,MATCH('Print View'!$A171,'Coverage Indicators - Section D'!$A$1:$A$100,0))&lt;&gt;"",INDEX('Coverage Indicators - Section D'!AG$1:AG$100,MATCH('Print View'!$A171,'Coverage Indicators - Section D'!$A$1:$A$100,0)),""),"")&amp;"/"&amp;IFERROR(IF(INDEX('Coverage Indicators - Section D'!AG$1:AG$100,MATCH('Print View'!$A171,'Coverage Indicators - Section D'!$A$1:$A$100,0)+1)&lt;&gt;"",INDEX('Coverage Indicators - Section D'!AG$1:AG$100,MATCH('Print View'!$A171,'Coverage Indicators - Section D'!$A$1:$A$100,0)+1),""),"")&amp;CHAR(10)&amp;IFERROR(IF(INDEX('Coverage Indicators - Section D'!AH$1:AH$100,MATCH('Print View'!$A171,'Coverage Indicators - Section D'!$A$1:$A$100,0))&lt;&gt;"",FIXED(INDEX('Coverage Indicators - Section D'!AH$1:AH$100,MATCH('Print View'!$A171,'Coverage Indicators - Section D'!$A$1:$A$100,0))*100,2)&amp;"%",""),"")&amp;CHAR(10)&amp;IFERROR(IF(INDEX('Coverage Indicators - Section D'!AI$1:AI$100,MATCH('Print View'!$A171,'Coverage Indicators - Section D'!$A$1:$A$100,0))&lt;&gt;"",INDEX('Coverage Indicators - Section D'!AI$1:AI$100,MATCH('Print View'!$A171,'Coverage Indicators - Section D'!$A$1:$A$100,0)),""),"")</f>
        <v xml:space="preserve">/
</v>
      </c>
      <c r="S171" s="402" t="str">
        <f ca="1">IFERROR(IF(INDEX('Coverage Indicators - Section D'!AJ$1:AJ$100,MATCH('Print View'!$A171,'Coverage Indicators - Section D'!$A$1:$A$100,0))&lt;&gt;"",INDEX('Coverage Indicators - Section D'!AJ$1:AJ$100,MATCH('Print View'!$A171,'Coverage Indicators - Section D'!$A$1:$A$100,0)),""),"")&amp;"/"&amp;IFERROR(IF(INDEX('Coverage Indicators - Section D'!AJ$1:AJ$100,MATCH('Print View'!$A171,'Coverage Indicators - Section D'!$A$1:$A$100,0)+1)&lt;&gt;"",INDEX('Coverage Indicators - Section D'!AJ$1:AJ$100,MATCH('Print View'!$A171,'Coverage Indicators - Section D'!$A$1:$A$100,0)+1),""),"")&amp;CHAR(10)&amp;IFERROR(IF(INDEX('Coverage Indicators - Section D'!AK$1:AK$100,MATCH('Print View'!$A171,'Coverage Indicators - Section D'!$A$1:$A$100,0))&lt;&gt;"",FIXED(INDEX('Coverage Indicators - Section D'!AK$1:AK$100,MATCH('Print View'!$A171,'Coverage Indicators - Section D'!$A$1:$A$100,0))*100,2)&amp;"%",""),"")&amp;CHAR(10)&amp;IFERROR(IF(INDEX('Coverage Indicators - Section D'!AL$1:AL$100,MATCH('Print View'!$A171,'Coverage Indicators - Section D'!$A$1:$A$100,0))&lt;&gt;"",INDEX('Coverage Indicators - Section D'!AL$1:AL$100,MATCH('Print View'!$A171,'Coverage Indicators - Section D'!$A$1:$A$100,0)),""),"")</f>
        <v xml:space="preserve">/
</v>
      </c>
      <c r="T171" s="31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t="str">
        <f ca="1">IFERROR(IF(INDEX('Coverage Indicators - Section D'!AD$1:AD$110,MATCH('Print View'!$A171,'Coverage Indicators - Section D'!$A$1:$A$110,0))&lt;&gt;0,INDEX('Coverage Indicators - Section D'!AD$1:AD$110,MATCH('Print View'!$A171,'Coverage Indicators - Section D'!$A$1:$A$110,0)),""),"")</f>
        <v/>
      </c>
      <c r="AP171" s="223"/>
      <c r="AQ171" s="223"/>
      <c r="AR171" s="223"/>
      <c r="AS171" s="223"/>
      <c r="AT171" s="803" t="str">
        <f ca="1">CONCATENATE($A171,N$147)</f>
        <v>1231-Dec-24</v>
      </c>
      <c r="AU171" s="802" t="str">
        <f ca="1">CONCATENATE($A171,Q$147)</f>
        <v>1231-Dec-27</v>
      </c>
      <c r="AV171" s="802" t="str">
        <f>CONCATENATE($A171,V$147)</f>
        <v>12</v>
      </c>
      <c r="AW171" s="802" t="str">
        <f>CONCATENATE($A171,Y$147)</f>
        <v>12</v>
      </c>
      <c r="AX171" s="802" t="str">
        <f>CONCATENATE($A171,AB$147)</f>
        <v>12</v>
      </c>
      <c r="AY171" s="802" t="str">
        <f>CONCATENATE($A171,AE$147)</f>
        <v>12</v>
      </c>
      <c r="AZ171" s="802" t="str">
        <f>CONCATENATE($A171,AH$147)</f>
        <v>12</v>
      </c>
      <c r="BA171" s="802" t="str">
        <f>CONCATENATE($A171,AK$147)</f>
        <v>12</v>
      </c>
      <c r="BB171" s="228"/>
      <c r="BC171" s="121"/>
    </row>
    <row r="172" spans="1:55" s="106" customFormat="1" ht="88.4" customHeight="1" x14ac:dyDescent="0.35">
      <c r="A172" s="827"/>
      <c r="B172" s="809" t="str">
        <f ca="1">IFERROR(IF(INDEX('Coverage Indicators - Section D'!AM$1:AM$110,MATCH('Print View'!$A171,'Coverage Indicators - Section D'!$A$1:$A$110,0))&lt;&gt;0,INDEX('Coverage Indicators - Section D'!AM$1:AM$110,MATCH('Print View'!$A171,'Coverage Indicators - Section D'!$A$1:$A$110,0)),""),"")</f>
        <v>Línea de base: 55.12%
Generada por el Sistema único de monitoreo, evaluación y vigilancia epidemiológica del VIH-Sida (SUMEVE) , esta línea de base incluye los pacientes en TAR del Ministerio de Salud registrados en el SUMEVE los cuales se reflejan en la cascada de atención, más los del ISSS que aún no estan registrados en el SUMEVE solamente se encuentran registrados bajo el sistema de información de dicha institución.
Numerador: Número de personas que viven con el VIH que reciben tratamiento antirretroviral al momento del reporte.
Denominador: Número total de personas estimadas que viven con VIH según las estimaciones y proyecciones Spectrum 2019
Las proyecciones de spectrum 2019, se han utilizado para los denominadores de los 3 años.
Fuente: SUMEVE para el numerador,  el denominador será reportado como se indica en este marco de desempeño.
Supuestos:
Con las estrategias propuestas a nivel nacional para encontrar más casos VIH positivos, se estima que cada año se diagnostique un aproximado de 1400 nuevos casos, a  los cuales se les iniciará TAR. Se esta realizando esfuerzos para que el Instituto Salvadoreño del Seguro Social, termine de incorporar su información en el SUMEVE, ya que al momento solo se tiene los positivos diagnosticados por ello, se ha iniciado la depuración y cruce de información de los usuarios que actualmente se encuentran en TAR en dicha institución, lo que nos permitirá reportar un dato nacional y con control de calidad de este indicador.
Por ser país focalizado no se requiere desagregación.</v>
      </c>
      <c r="C172" s="810"/>
      <c r="D172" s="810"/>
      <c r="E172" s="810"/>
      <c r="F172" s="810"/>
      <c r="G172" s="810"/>
      <c r="H172" s="810"/>
      <c r="I172" s="811"/>
      <c r="J172" s="811"/>
      <c r="K172" s="811"/>
      <c r="L172" s="811"/>
      <c r="M172" s="811"/>
      <c r="N172" s="811"/>
      <c r="O172" s="811"/>
      <c r="P172" s="811"/>
      <c r="Q172" s="811"/>
      <c r="R172" s="811"/>
      <c r="S172" s="812"/>
      <c r="T172" s="314"/>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803"/>
      <c r="AU172" s="802"/>
      <c r="AV172" s="802"/>
      <c r="AW172" s="802"/>
      <c r="AX172" s="802"/>
      <c r="AY172" s="802"/>
      <c r="AZ172" s="802"/>
      <c r="BA172" s="802"/>
      <c r="BB172" s="228"/>
      <c r="BC172" s="121"/>
    </row>
    <row r="173" spans="1:55" s="106" customFormat="1" ht="177" customHeight="1" x14ac:dyDescent="0.35">
      <c r="A173" s="801">
        <v>13</v>
      </c>
      <c r="B173" s="395" t="str">
        <f ca="1">IFERROR(IF(INDEX('Coverage Indicators - Section D'!B$1:B$100,MATCH('Print View'!$A173,'Coverage Indicators - Section D'!$A$1:$A$100,0))&lt;&gt;0,INDEX('Coverage Indicators - Section D'!B$1:B$100,MATCH('Print View'!$A173,'Coverage Indicators - Section D'!$A$1:$A$100,0)),""),"")</f>
        <v>Prevención</v>
      </c>
      <c r="C173" s="395" t="str">
        <f ca="1">IFERROR(IF(INDEX('Coverage Indicators - Section D'!D$1:D$100,MATCH('Print View'!$A173,'Coverage Indicators - Section D'!$A$1:$A$100,0))&lt;&gt;0,INDEX('Coverage Indicators - Section D'!D$1:D$100,MATCH('Print View'!$A173,'Coverage Indicators - Section D'!$A$1:$A$100,0)),""),"")</f>
        <v>KP-6a Porcentaje de HSH elegibles que iniciaron PrEP durante el período de reporte</v>
      </c>
      <c r="D173" s="395" t="str">
        <f ca="1">IFERROR(IF(INDEX('Coverage Indicators - Section D'!E$1:E$100,MATCH('Print View'!$A173,'Coverage Indicators - Section D'!$A$1:$A$100,0))&lt;&gt;0,INDEX('Coverage Indicators - Section D'!E$1:E$100,MATCH('Print View'!$A173,'Coverage Indicators - Section D'!$A$1:$A$100,0)),""),"")</f>
        <v/>
      </c>
      <c r="E173" s="396" t="str">
        <f ca="1">IFERROR(IF(INDEX('Coverage Indicators - Section D'!F$1:F$100,MATCH('Print View'!$A173,'Coverage Indicators - Section D'!$A$1:$A$100,0))&lt;&gt;"",INDEX('Coverage Indicators - Section D'!F$1:F$100,MATCH('Print View'!$A173,'Coverage Indicators - Section D'!$A$1:$A$100,0)),""),"")&amp;"/"&amp;IFERROR(IF(INDEX('Coverage Indicators - Section D'!F$1:F$100,MATCH('Print View'!$A173,'Coverage Indicators - Section D'!$A$1:$A$100,0)+1)&lt;&gt;"",INDEX('Coverage Indicators - Section D'!F$1:F$100,MATCH('Print View'!$A173,'Coverage Indicators - Section D'!$A$1:$A$100,0)+1),""),"")&amp;CHAR(10)&amp;IFERROR(IF(INDEX('Coverage Indicators - Section D'!G$1:G$100,MATCH('Print View'!$A173,'Coverage Indicators - Section D'!$A$1:$A$100,0))&lt;&gt;"",FIXED(INDEX('Coverage Indicators - Section D'!G$1:G$100,MATCH('Print View'!$A173,'Coverage Indicators - Section D'!$A$1:$A$100,0))*100,2)&amp;"%",""),"")</f>
        <v xml:space="preserve">/
</v>
      </c>
      <c r="F173" s="397"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 xml:space="preserve">
</v>
      </c>
      <c r="G173" s="398" t="str">
        <f>IFERROR(IF(INDEX('Coverage Indicators - Section D'!J33:J62,MATCH('Print View'!$A173,'Coverage Indicators - Section D'!$A$9:$A$38,0))&lt;&gt;0,INDEX('Coverage Indicators - Section D'!J33:J62,MATCH('Print View'!$A173,'Coverage Indicators - Section D'!$A$9:$A$38,0)),""),"")</f>
        <v/>
      </c>
      <c r="H173" s="399" t="str">
        <f ca="1">IFERROR(IF(INDEX('Coverage Indicators - Section D'!K$1:K$100,MATCH('Print View'!$A173,'Coverage Indicators - Section D'!$A$1:$A$100,0))&lt;&gt;0,INDEX('Coverage Indicators - Section D'!K$1:K$100,MATCH('Print View'!$A173,'Coverage Indicators - Section D'!$A$1:$A$100,0)),""),"")</f>
        <v>Yes</v>
      </c>
      <c r="I173" s="398" t="str">
        <f ca="1">IFERROR(IF(AND('Overview - Section A'!AN$5="Grant Making",OR(C173&lt;&gt;"",D173&lt;&gt;"")),Setup!I15,IF(INDEX('Coverage Indicators - Section D'!L$1:L$100,MATCH('Print View'!$A173,'Coverage Indicators - Section D'!$A$1:$A$100,0))&lt;&gt;0,INDEX('Coverage Indicators - Section D'!L$1:L$100,MATCH('Print View'!$A173,'Coverage Indicators - Section D'!$A$1:$A$100,0)),"")),"")</f>
        <v>Ministry of Health of the Republic of El Salvador</v>
      </c>
      <c r="J173" s="396"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El Salvador
Geographic National, 100% of national program target</v>
      </c>
      <c r="K173" s="396" t="str">
        <f ca="1">IFERROR(IF(INDEX('Coverage Indicators - Section D'!N$1:N$100,MATCH('Print View'!$A173,'Coverage Indicators - Section D'!$A$1:$A$100,0))&lt;&gt;0,INDEX('Coverage Indicators - Section D'!N$1:N$100,MATCH('Print View'!$A173,'Coverage Indicators - Section D'!$A$1:$A$100,0)),""),"")</f>
        <v/>
      </c>
      <c r="L173" s="396" t="str">
        <f ca="1">IFERROR(IF(INDEX('Coverage Indicators - Section D'!O$1:O$100,MATCH('Print View'!$A173,'Coverage Indicators - Section D'!$A$1:$A$100,0))&lt;&gt;"",INDEX('Coverage Indicators - Section D'!O$1:O$100,MATCH('Print View'!$A173,'Coverage Indicators - Section D'!$A$1:$A$100,0)),""),"")&amp;"/"&amp;IFERROR(IF(INDEX('Coverage Indicators - Section D'!O$1:O$100,MATCH('Print View'!$A173,'Coverage Indicators - Section D'!$A$1:$A$100,0)+1)&lt;&gt;"",INDEX('Coverage Indicators - Section D'!O$1:O$100,MATCH('Print View'!$A173,'Coverage Indicators - Section D'!$A$1:$A$100,0)+1),""),"")&amp;CHAR(10)&amp;IFERROR(IF(INDEX('Coverage Indicators - Section D'!P$1:P$100,MATCH('Print View'!$A173,'Coverage Indicators - Section D'!$A$1:$A$100,0))&lt;&gt;"",FIXED(INDEX('Coverage Indicators - Section D'!P$1:P$100,MATCH('Print View'!$A173,'Coverage Indicators - Section D'!$A$1:$A$100,0))*100,2)&amp;"%",""),"")&amp;CHAR(10)&amp;IFERROR(IF(INDEX('Coverage Indicators - Section D'!Q$1:Q$100,MATCH('Print View'!$A173,'Coverage Indicators - Section D'!$A$1:$A$100,0))&lt;&gt;"",INDEX('Coverage Indicators - Section D'!Q$1:Q$100,MATCH('Print View'!$A173,'Coverage Indicators - Section D'!$A$1:$A$100,0)),""),"")</f>
        <v xml:space="preserve">1316/1880
70.00%
</v>
      </c>
      <c r="M173" s="397" t="str">
        <f ca="1">IFERROR(IF(INDEX('Coverage Indicators - Section D'!R$1:R$100,MATCH('Print View'!$A173,'Coverage Indicators - Section D'!$A$1:$A$100,0))&lt;&gt;"",INDEX('Coverage Indicators - Section D'!R$1:R$100,MATCH('Print View'!$A173,'Coverage Indicators - Section D'!$A$1:$A$100,0)),""),"")&amp;"/"&amp;IFERROR(IF(INDEX('Coverage Indicators - Section D'!R$1:R$100,MATCH('Print View'!$A173,'Coverage Indicators - Section D'!$A$1:$A$100,0)+1)&lt;&gt;"",INDEX('Coverage Indicators - Section D'!R$1:R$100,MATCH('Print View'!$A173,'Coverage Indicators - Section D'!$A$1:$A$100,0)+1),""),"")&amp;CHAR(10)&amp;IFERROR(IF(INDEX('Coverage Indicators - Section D'!S$1:S$100,MATCH('Print View'!$A173,'Coverage Indicators - Section D'!$A$1:$A$100,0))&lt;&gt;"",FIXED(INDEX('Coverage Indicators - Section D'!S$1:S$100,MATCH('Print View'!$A173,'Coverage Indicators - Section D'!$A$1:$A$100,0))*100,2)&amp;"%",""),"")&amp;CHAR(10)&amp;IFERROR(IF(INDEX('Coverage Indicators - Section D'!T$1:T$100,MATCH('Print View'!$A173,'Coverage Indicators - Section D'!$A$1:$A$100,0))&lt;&gt;"",INDEX('Coverage Indicators - Section D'!T$1:T$100,MATCH('Print View'!$A173,'Coverage Indicators - Section D'!$A$1:$A$100,0)),""),"")</f>
        <v xml:space="preserve">2849/3799
74.99%
</v>
      </c>
      <c r="N173" s="396" t="str">
        <f ca="1">IFERROR(IF(INDEX('Coverage Indicators - Section D'!U$1:U$100,MATCH('Print View'!$A173,'Coverage Indicators - Section D'!$A$1:$A$100,0))&lt;&gt;"",INDEX('Coverage Indicators - Section D'!U$1:U$100,MATCH('Print View'!$A173,'Coverage Indicators - Section D'!$A$1:$A$100,0)),""),"")&amp;"/"&amp;IFERROR(IF(INDEX('Coverage Indicators - Section D'!U$1:U$100,MATCH('Print View'!$A173,'Coverage Indicators - Section D'!$A$1:$A$100,0)+1)&lt;&gt;"",INDEX('Coverage Indicators - Section D'!U$1:U$100,MATCH('Print View'!$A173,'Coverage Indicators - Section D'!$A$1:$A$100,0)+1),""),"")&amp;CHAR(10)&amp;IFERROR(IF(INDEX('Coverage Indicators - Section D'!V$1:V$100,MATCH('Print View'!$A173,'Coverage Indicators - Section D'!$A$1:$A$100,0))&lt;&gt;"",FIXED(INDEX('Coverage Indicators - Section D'!V$1:V$100,MATCH('Print View'!$A173,'Coverage Indicators - Section D'!$A$1:$A$100,0))*100,2)&amp;"%",""),"")&amp;CHAR(10)&amp;IFERROR(IF(INDEX('Coverage Indicators - Section D'!W$1:W$100,MATCH('Print View'!$A173,'Coverage Indicators - Section D'!$A$1:$A$100,0))&lt;&gt;"",INDEX('Coverage Indicators - Section D'!W$1:W$100,MATCH('Print View'!$A173,'Coverage Indicators - Section D'!$A$1:$A$100,0)),""),"")</f>
        <v xml:space="preserve">5117/6396
80.00%
</v>
      </c>
      <c r="O173" s="397" t="str">
        <f ca="1">IFERROR(IF(INDEX('Coverage Indicators - Section D'!X$1:X$100,MATCH('Print View'!$A173,'Coverage Indicators - Section D'!$A$1:$A$100,0))&lt;&gt;"",INDEX('Coverage Indicators - Section D'!X$1:X$100,MATCH('Print View'!$A173,'Coverage Indicators - Section D'!$A$1:$A$100,0)),""),"")&amp;"/"&amp;IFERROR(IF(INDEX('Coverage Indicators - Section D'!X$1:X$100,MATCH('Print View'!$A173,'Coverage Indicators - Section D'!$A$1:$A$100,0)+1)&lt;&gt;"",INDEX('Coverage Indicators - Section D'!X$1:X$100,MATCH('Print View'!$A173,'Coverage Indicators - Section D'!$A$1:$A$100,0)+1),""),"")&amp;CHAR(10)&amp;IFERROR(IF(INDEX('Coverage Indicators - Section D'!Y$1:Y$100,MATCH('Print View'!$A173,'Coverage Indicators - Section D'!$A$1:$A$100,0))&lt;&gt;"",FIXED(INDEX('Coverage Indicators - Section D'!Y$1:Y$100,MATCH('Print View'!$A173,'Coverage Indicators - Section D'!$A$1:$A$100,0))*100,2)&amp;"%",""),"")&amp;CHAR(10)&amp;IFERROR(IF(INDEX('Coverage Indicators - Section D'!Z$1:Z$100,MATCH('Print View'!$A173,'Coverage Indicators - Section D'!$A$1:$A$100,0))&lt;&gt;"",INDEX('Coverage Indicators - Section D'!Z$1:Z$100,MATCH('Print View'!$A173,'Coverage Indicators - Section D'!$A$1:$A$100,0)),""),"")</f>
        <v xml:space="preserve">/
</v>
      </c>
      <c r="P173" s="397" t="str">
        <f ca="1">IFERROR(IF(INDEX('Coverage Indicators - Section D'!AA$1:AA$100,MATCH('Print View'!$A173,'Coverage Indicators - Section D'!$A$1:$A$100,0))&lt;&gt;"",INDEX('Coverage Indicators - Section D'!AA$1:AA$100,MATCH('Print View'!$A173,'Coverage Indicators - Section D'!$A$1:$A$100,0)),""),"")&amp;"/"&amp;IFERROR(IF(INDEX('Coverage Indicators - Section D'!AA$1:AA$100,MATCH('Print View'!$A173,'Coverage Indicators - Section D'!$A$1:$A$100,0)+1)&lt;&gt;"",INDEX('Coverage Indicators - Section D'!AA$1:AA$100,MATCH('Print View'!$A173,'Coverage Indicators - Section D'!$A$1:$A$100,0)+1),""),"")&amp;CHAR(10)&amp;IFERROR(IF(INDEX('Coverage Indicators - Section D'!AB$1:AB$100,MATCH('Print View'!$A173,'Coverage Indicators - Section D'!$A$1:$A$100,0))&lt;&gt;"",FIXED(INDEX('Coverage Indicators - Section D'!AB$1:AB$100,MATCH('Print View'!$A173,'Coverage Indicators - Section D'!$A$1:$A$100,0))*100,2)&amp;"%",""),"")&amp;CHAR(10)&amp;IFERROR(IF(INDEX('Coverage Indicators - Section D'!AC$1:AC$100,MATCH('Print View'!$A173,'Coverage Indicators - Section D'!$A$1:$A$100,0))&lt;&gt;"",INDEX('Coverage Indicators - Section D'!AC$1:AC$100,MATCH('Print View'!$A173,'Coverage Indicators - Section D'!$A$1:$A$100,0)),""),"")</f>
        <v xml:space="preserve">/
</v>
      </c>
      <c r="Q173" s="397" t="str">
        <f ca="1">IFERROR(IF(INDEX('Coverage Indicators - Section D'!AD$1:AD$100,MATCH('Print View'!$A173,'Coverage Indicators - Section D'!$A$1:$A$100,0))&lt;&gt;"",INDEX('Coverage Indicators - Section D'!AD$1:AD$100,MATCH('Print View'!$A173,'Coverage Indicators - Section D'!$A$1:$A$100,0)),""),"")&amp;"/"&amp;IFERROR(IF(INDEX('Coverage Indicators - Section D'!AD$1:AD$100,MATCH('Print View'!$A173,'Coverage Indicators - Section D'!$A$1:$A$100,0)+1)&lt;&gt;"",INDEX('Coverage Indicators - Section D'!AD$1:AD$100,MATCH('Print View'!$A173,'Coverage Indicators - Section D'!$A$1:$A$100,0)+1),""),"")&amp;CHAR(10)&amp;IFERROR(IF(INDEX('Coverage Indicators - Section D'!AE$1:AE$100,MATCH('Print View'!$A173,'Coverage Indicators - Section D'!$A$1:$A$100,0))&lt;&gt;"",FIXED(INDEX('Coverage Indicators - Section D'!AE$1:AE$100,MATCH('Print View'!$A173,'Coverage Indicators - Section D'!$A$1:$A$100,0))*100,2)&amp;"%",""),"")&amp;CHAR(10)&amp;IFERROR(IF(INDEX('Coverage Indicators - Section D'!AF$1:AF$100,MATCH('Print View'!$A173,'Coverage Indicators - Section D'!$A$1:$A$100,0))&lt;&gt;"",INDEX('Coverage Indicators - Section D'!AF$1:AF$100,MATCH('Print View'!$A173,'Coverage Indicators - Section D'!$A$1:$A$100,0)),""),"")</f>
        <v xml:space="preserve">/
</v>
      </c>
      <c r="R173" s="397" t="str">
        <f ca="1">IFERROR(IF(INDEX('Coverage Indicators - Section D'!AG$1:AG$100,MATCH('Print View'!$A173,'Coverage Indicators - Section D'!$A$1:$A$100,0))&lt;&gt;"",INDEX('Coverage Indicators - Section D'!AG$1:AG$100,MATCH('Print View'!$A173,'Coverage Indicators - Section D'!$A$1:$A$100,0)),""),"")&amp;"/"&amp;IFERROR(IF(INDEX('Coverage Indicators - Section D'!AG$1:AG$100,MATCH('Print View'!$A173,'Coverage Indicators - Section D'!$A$1:$A$100,0)+1)&lt;&gt;"",INDEX('Coverage Indicators - Section D'!AG$1:AG$100,MATCH('Print View'!$A173,'Coverage Indicators - Section D'!$A$1:$A$100,0)+1),""),"")&amp;CHAR(10)&amp;IFERROR(IF(INDEX('Coverage Indicators - Section D'!AH$1:AH$100,MATCH('Print View'!$A173,'Coverage Indicators - Section D'!$A$1:$A$100,0))&lt;&gt;"",FIXED(INDEX('Coverage Indicators - Section D'!AH$1:AH$100,MATCH('Print View'!$A173,'Coverage Indicators - Section D'!$A$1:$A$100,0))*100,2)&amp;"%",""),"")&amp;CHAR(10)&amp;IFERROR(IF(INDEX('Coverage Indicators - Section D'!AI$1:AI$100,MATCH('Print View'!$A173,'Coverage Indicators - Section D'!$A$1:$A$100,0))&lt;&gt;"",INDEX('Coverage Indicators - Section D'!AI$1:AI$100,MATCH('Print View'!$A173,'Coverage Indicators - Section D'!$A$1:$A$100,0)),""),"")</f>
        <v xml:space="preserve">/
</v>
      </c>
      <c r="S173" s="397" t="str">
        <f ca="1">IFERROR(IF(INDEX('Coverage Indicators - Section D'!AJ$1:AJ$100,MATCH('Print View'!$A173,'Coverage Indicators - Section D'!$A$1:$A$100,0))&lt;&gt;"",INDEX('Coverage Indicators - Section D'!AJ$1:AJ$100,MATCH('Print View'!$A173,'Coverage Indicators - Section D'!$A$1:$A$100,0)),""),"")&amp;"/"&amp;IFERROR(IF(INDEX('Coverage Indicators - Section D'!AJ$1:AJ$100,MATCH('Print View'!$A173,'Coverage Indicators - Section D'!$A$1:$A$100,0)+1)&lt;&gt;"",INDEX('Coverage Indicators - Section D'!AJ$1:AJ$100,MATCH('Print View'!$A173,'Coverage Indicators - Section D'!$A$1:$A$100,0)+1),""),"")&amp;CHAR(10)&amp;IFERROR(IF(INDEX('Coverage Indicators - Section D'!AK$1:AK$100,MATCH('Print View'!$A173,'Coverage Indicators - Section D'!$A$1:$A$100,0))&lt;&gt;"",FIXED(INDEX('Coverage Indicators - Section D'!AK$1:AK$100,MATCH('Print View'!$A173,'Coverage Indicators - Section D'!$A$1:$A$100,0))*100,2)&amp;"%",""),"")&amp;CHAR(10)&amp;IFERROR(IF(INDEX('Coverage Indicators - Section D'!AL$1:AL$100,MATCH('Print View'!$A173,'Coverage Indicators - Section D'!$A$1:$A$100,0))&lt;&gt;"",INDEX('Coverage Indicators - Section D'!AL$1:AL$100,MATCH('Print View'!$A173,'Coverage Indicators - Section D'!$A$1:$A$100,0)),""),"")</f>
        <v xml:space="preserve">/
</v>
      </c>
      <c r="T173" s="310"/>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t="str">
        <f ca="1">IFERROR(IF(INDEX('Coverage Indicators - Section D'!AD$1:AD$110,MATCH('Print View'!$A173,'Coverage Indicators - Section D'!$A$1:$A$110,0))&lt;&gt;0,INDEX('Coverage Indicators - Section D'!AD$1:AD$110,MATCH('Print View'!$A173,'Coverage Indicators - Section D'!$A$1:$A$110,0)),""),"")</f>
        <v/>
      </c>
      <c r="AP173" s="223"/>
      <c r="AQ173" s="223"/>
      <c r="AR173" s="223"/>
      <c r="AS173" s="223"/>
      <c r="AT173" s="803" t="str">
        <f ca="1">CONCATENATE($A173,N$147)</f>
        <v>1331-Dec-24</v>
      </c>
      <c r="AU173" s="802" t="str">
        <f ca="1">CONCATENATE($A173,Q$147)</f>
        <v>1331-Dec-27</v>
      </c>
      <c r="AV173" s="802" t="str">
        <f>CONCATENATE($A173,V$147)</f>
        <v>13</v>
      </c>
      <c r="AW173" s="802" t="str">
        <f>CONCATENATE($A173,Y$147)</f>
        <v>13</v>
      </c>
      <c r="AX173" s="802" t="str">
        <f>CONCATENATE($A173,AB$147)</f>
        <v>13</v>
      </c>
      <c r="AY173" s="802" t="str">
        <f>CONCATENATE($A173,AE$147)</f>
        <v>13</v>
      </c>
      <c r="AZ173" s="802" t="str">
        <f>CONCATENATE($A173,AH$147)</f>
        <v>13</v>
      </c>
      <c r="BA173" s="802" t="str">
        <f>CONCATENATE($A173,AK$147)</f>
        <v>13</v>
      </c>
      <c r="BB173" s="228"/>
      <c r="BC173" s="121"/>
    </row>
    <row r="174" spans="1:55" s="106" customFormat="1" ht="88.4" customHeight="1" x14ac:dyDescent="0.35">
      <c r="A174" s="801"/>
      <c r="B174" s="806" t="str">
        <f ca="1">IFERROR(IF(INDEX('Coverage Indicators - Section D'!AM$1:AM$110,MATCH('Print View'!$A173,'Coverage Indicators - Section D'!$A$1:$A$110,0))&lt;&gt;0,INDEX('Coverage Indicators - Section D'!AM$1:AM$110,MATCH('Print View'!$A173,'Coverage Indicators - Section D'!$A$1:$A$110,0)),""),"")</f>
        <v>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UCSF Unicentro Soyapango y San Miguel, apoyados con la referencia y promoción de la PrEP por las organizaciones de la sociedad civil y RP Plan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v>
      </c>
      <c r="C174" s="807"/>
      <c r="D174" s="807"/>
      <c r="E174" s="807"/>
      <c r="F174" s="807"/>
      <c r="G174" s="807"/>
      <c r="H174" s="807"/>
      <c r="I174" s="807"/>
      <c r="J174" s="807"/>
      <c r="K174" s="807"/>
      <c r="L174" s="807"/>
      <c r="M174" s="807"/>
      <c r="N174" s="807"/>
      <c r="O174" s="807"/>
      <c r="P174" s="807"/>
      <c r="Q174" s="807"/>
      <c r="R174" s="807"/>
      <c r="S174" s="808"/>
      <c r="T174" s="312"/>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803"/>
      <c r="AU174" s="802"/>
      <c r="AV174" s="802"/>
      <c r="AW174" s="802"/>
      <c r="AX174" s="802"/>
      <c r="AY174" s="802"/>
      <c r="AZ174" s="802"/>
      <c r="BA174" s="802"/>
      <c r="BB174" s="228"/>
      <c r="BC174" s="121"/>
    </row>
    <row r="175" spans="1:55" s="106" customFormat="1" ht="177" customHeight="1" x14ac:dyDescent="0.35">
      <c r="A175" s="804">
        <v>14</v>
      </c>
      <c r="B175" s="385" t="str">
        <f ca="1">IFERROR(IF(INDEX('Coverage Indicators - Section D'!B$1:B$100,MATCH('Print View'!$A175,'Coverage Indicators - Section D'!$A$1:$A$100,0))&lt;&gt;0,INDEX('Coverage Indicators - Section D'!B$1:B$100,MATCH('Print View'!$A175,'Coverage Indicators - Section D'!$A$1:$A$100,0)),""),"")</f>
        <v>Prevención</v>
      </c>
      <c r="C175" s="385" t="str">
        <f ca="1">IFERROR(IF(INDEX('Coverage Indicators - Section D'!D$1:D$100,MATCH('Print View'!$A175,'Coverage Indicators - Section D'!$A$1:$A$100,0))&lt;&gt;0,INDEX('Coverage Indicators - Section D'!D$1:D$100,MATCH('Print View'!$A175,'Coverage Indicators - Section D'!$A$1:$A$100,0)),""),"")</f>
        <v>KP-6b Porcentaje de personas transgénero elegibles que iniciaron PrEP durante el período de reporte</v>
      </c>
      <c r="D175" s="385" t="str">
        <f ca="1">IFERROR(IF(INDEX('Coverage Indicators - Section D'!E$1:E$100,MATCH('Print View'!$A175,'Coverage Indicators - Section D'!$A$1:$A$100,0))&lt;&gt;0,INDEX('Coverage Indicators - Section D'!E$1:E$100,MATCH('Print View'!$A175,'Coverage Indicators - Section D'!$A$1:$A$100,0)),""),"")</f>
        <v/>
      </c>
      <c r="E175" s="386" t="str">
        <f ca="1">IFERROR(IF(INDEX('Coverage Indicators - Section D'!F$1:F$100,MATCH('Print View'!$A175,'Coverage Indicators - Section D'!$A$1:$A$100,0))&lt;&gt;"",INDEX('Coverage Indicators - Section D'!F$1:F$100,MATCH('Print View'!$A175,'Coverage Indicators - Section D'!$A$1:$A$100,0)),""),"")&amp;"/"&amp;IFERROR(IF(INDEX('Coverage Indicators - Section D'!F$1:F$100,MATCH('Print View'!$A175,'Coverage Indicators - Section D'!$A$1:$A$100,0)+1)&lt;&gt;"",INDEX('Coverage Indicators - Section D'!F$1:F$100,MATCH('Print View'!$A175,'Coverage Indicators - Section D'!$A$1:$A$100,0)+1),""),"")&amp;CHAR(10)&amp;IFERROR(IF(INDEX('Coverage Indicators - Section D'!G$1:G$100,MATCH('Print View'!$A175,'Coverage Indicators - Section D'!$A$1:$A$100,0))&lt;&gt;"",FIXED(INDEX('Coverage Indicators - Section D'!G$1:G$100,MATCH('Print View'!$A175,'Coverage Indicators - Section D'!$A$1:$A$100,0))*100,2)&amp;"%",""),"")</f>
        <v xml:space="preserve">/
</v>
      </c>
      <c r="F175" s="400"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 xml:space="preserve">
</v>
      </c>
      <c r="G175" s="401" t="str">
        <f>IFERROR(IF(INDEX('Coverage Indicators - Section D'!J33:J62,MATCH('Print View'!$A175,'Coverage Indicators - Section D'!$A$9:$A$38,0))&lt;&gt;0,INDEX('Coverage Indicators - Section D'!J33:J62,MATCH('Print View'!$A175,'Coverage Indicators - Section D'!$A$9:$A$38,0)),""),"")</f>
        <v/>
      </c>
      <c r="H175" s="400" t="str">
        <f ca="1">IFERROR(IF(INDEX('Coverage Indicators - Section D'!K$1:K$100,MATCH('Print View'!$A175,'Coverage Indicators - Section D'!$A$1:$A$100,0))&lt;&gt;0,INDEX('Coverage Indicators - Section D'!K$1:K$100,MATCH('Print View'!$A175,'Coverage Indicators - Section D'!$A$1:$A$100,0)),""),"")</f>
        <v>Yes</v>
      </c>
      <c r="I175" s="401" t="str">
        <f ca="1">IFERROR(IF(AND('Overview - Section A'!AN$5="Grant Making",OR(C175&lt;&gt;"",D175&lt;&gt;"")),Setup!I15,IF(INDEX('Coverage Indicators - Section D'!L$1:L$100,MATCH('Print View'!$A175,'Coverage Indicators - Section D'!$A$1:$A$100,0))&lt;&gt;0,INDEX('Coverage Indicators - Section D'!L$1:L$100,MATCH('Print View'!$A175,'Coverage Indicators - Section D'!$A$1:$A$100,0)),"")),"")</f>
        <v>Ministry of Health of the Republic of El Salvador</v>
      </c>
      <c r="J175" s="400"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El Salvador
Geographic National, 100% of national program target</v>
      </c>
      <c r="K175" s="400" t="str">
        <f ca="1">IFERROR(IF(INDEX('Coverage Indicators - Section D'!N$1:N$100,MATCH('Print View'!$A175,'Coverage Indicators - Section D'!$A$1:$A$100,0))&lt;&gt;0,INDEX('Coverage Indicators - Section D'!N$1:N$100,MATCH('Print View'!$A175,'Coverage Indicators - Section D'!$A$1:$A$100,0)),""),"")</f>
        <v/>
      </c>
      <c r="L175" s="402" t="str">
        <f ca="1">IFERROR(IF(INDEX('Coverage Indicators - Section D'!O$1:O$100,MATCH('Print View'!$A175,'Coverage Indicators - Section D'!$A$1:$A$100,0))&lt;&gt;"",INDEX('Coverage Indicators - Section D'!O$1:O$100,MATCH('Print View'!$A175,'Coverage Indicators - Section D'!$A$1:$A$100,0)),""),"")&amp;"/"&amp;IFERROR(IF(INDEX('Coverage Indicators - Section D'!O$1:O$100,MATCH('Print View'!$A175,'Coverage Indicators - Section D'!$A$1:$A$100,0)+1)&lt;&gt;"",INDEX('Coverage Indicators - Section D'!O$1:O$100,MATCH('Print View'!$A175,'Coverage Indicators - Section D'!$A$1:$A$100,0)+1),""),"")&amp;CHAR(10)&amp;IFERROR(IF(INDEX('Coverage Indicators - Section D'!P$1:P$100,MATCH('Print View'!$A175,'Coverage Indicators - Section D'!$A$1:$A$100,0))&lt;&gt;"",FIXED(INDEX('Coverage Indicators - Section D'!P$1:P$100,MATCH('Print View'!$A175,'Coverage Indicators - Section D'!$A$1:$A$100,0))*100,2)&amp;"%",""),"")&amp;CHAR(10)&amp;IFERROR(IF(INDEX('Coverage Indicators - Section D'!Q$1:Q$100,MATCH('Print View'!$A175,'Coverage Indicators - Section D'!$A$1:$A$100,0))&lt;&gt;"",INDEX('Coverage Indicators - Section D'!Q$1:Q$100,MATCH('Print View'!$A175,'Coverage Indicators - Section D'!$A$1:$A$100,0)),""),"")</f>
        <v xml:space="preserve">77/110
70.00%
</v>
      </c>
      <c r="M175" s="402" t="str">
        <f ca="1">IFERROR(IF(INDEX('Coverage Indicators - Section D'!R$1:R$100,MATCH('Print View'!$A175,'Coverage Indicators - Section D'!$A$1:$A$100,0))&lt;&gt;"",INDEX('Coverage Indicators - Section D'!R$1:R$100,MATCH('Print View'!$A175,'Coverage Indicators - Section D'!$A$1:$A$100,0)),""),"")&amp;"/"&amp;IFERROR(IF(INDEX('Coverage Indicators - Section D'!R$1:R$100,MATCH('Print View'!$A175,'Coverage Indicators - Section D'!$A$1:$A$100,0)+1)&lt;&gt;"",INDEX('Coverage Indicators - Section D'!R$1:R$100,MATCH('Print View'!$A175,'Coverage Indicators - Section D'!$A$1:$A$100,0)+1),""),"")&amp;CHAR(10)&amp;IFERROR(IF(INDEX('Coverage Indicators - Section D'!S$1:S$100,MATCH('Print View'!$A175,'Coverage Indicators - Section D'!$A$1:$A$100,0))&lt;&gt;"",FIXED(INDEX('Coverage Indicators - Section D'!S$1:S$100,MATCH('Print View'!$A175,'Coverage Indicators - Section D'!$A$1:$A$100,0))*100,2)&amp;"%",""),"")&amp;CHAR(10)&amp;IFERROR(IF(INDEX('Coverage Indicators - Section D'!T$1:T$100,MATCH('Print View'!$A175,'Coverage Indicators - Section D'!$A$1:$A$100,0))&lt;&gt;"",INDEX('Coverage Indicators - Section D'!T$1:T$100,MATCH('Print View'!$A175,'Coverage Indicators - Section D'!$A$1:$A$100,0)),""),"")</f>
        <v xml:space="preserve">167/223
74.89%
</v>
      </c>
      <c r="N175" s="402" t="str">
        <f ca="1">IFERROR(IF(INDEX('Coverage Indicators - Section D'!U$1:U$100,MATCH('Print View'!$A175,'Coverage Indicators - Section D'!$A$1:$A$100,0))&lt;&gt;"",INDEX('Coverage Indicators - Section D'!U$1:U$100,MATCH('Print View'!$A175,'Coverage Indicators - Section D'!$A$1:$A$100,0)),""),"")&amp;"/"&amp;IFERROR(IF(INDEX('Coverage Indicators - Section D'!U$1:U$100,MATCH('Print View'!$A175,'Coverage Indicators - Section D'!$A$1:$A$100,0)+1)&lt;&gt;"",INDEX('Coverage Indicators - Section D'!U$1:U$100,MATCH('Print View'!$A175,'Coverage Indicators - Section D'!$A$1:$A$100,0)+1),""),"")&amp;CHAR(10)&amp;IFERROR(IF(INDEX('Coverage Indicators - Section D'!V$1:V$100,MATCH('Print View'!$A175,'Coverage Indicators - Section D'!$A$1:$A$100,0))&lt;&gt;"",FIXED(INDEX('Coverage Indicators - Section D'!V$1:V$100,MATCH('Print View'!$A175,'Coverage Indicators - Section D'!$A$1:$A$100,0))*100,2)&amp;"%",""),"")&amp;CHAR(10)&amp;IFERROR(IF(INDEX('Coverage Indicators - Section D'!W$1:W$100,MATCH('Print View'!$A175,'Coverage Indicators - Section D'!$A$1:$A$100,0))&lt;&gt;"",INDEX('Coverage Indicators - Section D'!W$1:W$100,MATCH('Print View'!$A175,'Coverage Indicators - Section D'!$A$1:$A$100,0)),""),"")</f>
        <v xml:space="preserve">300/375
80.00%
</v>
      </c>
      <c r="O175" s="402" t="str">
        <f ca="1">IFERROR(IF(INDEX('Coverage Indicators - Section D'!X$1:X$100,MATCH('Print View'!$A175,'Coverage Indicators - Section D'!$A$1:$A$100,0))&lt;&gt;"",INDEX('Coverage Indicators - Section D'!X$1:X$100,MATCH('Print View'!$A175,'Coverage Indicators - Section D'!$A$1:$A$100,0)),""),"")&amp;"/"&amp;IFERROR(IF(INDEX('Coverage Indicators - Section D'!X$1:X$100,MATCH('Print View'!$A175,'Coverage Indicators - Section D'!$A$1:$A$100,0)+1)&lt;&gt;"",INDEX('Coverage Indicators - Section D'!X$1:X$100,MATCH('Print View'!$A175,'Coverage Indicators - Section D'!$A$1:$A$100,0)+1),""),"")&amp;CHAR(10)&amp;IFERROR(IF(INDEX('Coverage Indicators - Section D'!Y$1:Y$100,MATCH('Print View'!$A175,'Coverage Indicators - Section D'!$A$1:$A$100,0))&lt;&gt;"",FIXED(INDEX('Coverage Indicators - Section D'!Y$1:Y$100,MATCH('Print View'!$A175,'Coverage Indicators - Section D'!$A$1:$A$100,0))*100,2)&amp;"%",""),"")&amp;CHAR(10)&amp;IFERROR(IF(INDEX('Coverage Indicators - Section D'!Z$1:Z$100,MATCH('Print View'!$A175,'Coverage Indicators - Section D'!$A$1:$A$100,0))&lt;&gt;"",INDEX('Coverage Indicators - Section D'!Z$1:Z$100,MATCH('Print View'!$A175,'Coverage Indicators - Section D'!$A$1:$A$100,0)),""),"")</f>
        <v xml:space="preserve">/
</v>
      </c>
      <c r="P175" s="402" t="str">
        <f ca="1">IFERROR(IF(INDEX('Coverage Indicators - Section D'!AA$1:AA$100,MATCH('Print View'!$A175,'Coverage Indicators - Section D'!$A$1:$A$100,0))&lt;&gt;"",INDEX('Coverage Indicators - Section D'!AA$1:AA$100,MATCH('Print View'!$A175,'Coverage Indicators - Section D'!$A$1:$A$100,0)),""),"")&amp;"/"&amp;IFERROR(IF(INDEX('Coverage Indicators - Section D'!AA$1:AA$100,MATCH('Print View'!$A175,'Coverage Indicators - Section D'!$A$1:$A$100,0)+1)&lt;&gt;"",INDEX('Coverage Indicators - Section D'!AA$1:AA$100,MATCH('Print View'!$A175,'Coverage Indicators - Section D'!$A$1:$A$100,0)+1),""),"")&amp;CHAR(10)&amp;IFERROR(IF(INDEX('Coverage Indicators - Section D'!AB$1:AB$100,MATCH('Print View'!$A175,'Coverage Indicators - Section D'!$A$1:$A$100,0))&lt;&gt;"",FIXED(INDEX('Coverage Indicators - Section D'!AB$1:AB$100,MATCH('Print View'!$A175,'Coverage Indicators - Section D'!$A$1:$A$100,0))*100,2)&amp;"%",""),"")&amp;CHAR(10)&amp;IFERROR(IF(INDEX('Coverage Indicators - Section D'!AC$1:AC$100,MATCH('Print View'!$A175,'Coverage Indicators - Section D'!$A$1:$A$100,0))&lt;&gt;"",INDEX('Coverage Indicators - Section D'!AC$1:AC$100,MATCH('Print View'!$A175,'Coverage Indicators - Section D'!$A$1:$A$100,0)),""),"")</f>
        <v xml:space="preserve">/
</v>
      </c>
      <c r="Q175" s="402" t="str">
        <f ca="1">IFERROR(IF(INDEX('Coverage Indicators - Section D'!AD$1:AD$100,MATCH('Print View'!$A175,'Coverage Indicators - Section D'!$A$1:$A$100,0))&lt;&gt;"",INDEX('Coverage Indicators - Section D'!AD$1:AD$100,MATCH('Print View'!$A175,'Coverage Indicators - Section D'!$A$1:$A$100,0)),""),"")&amp;"/"&amp;IFERROR(IF(INDEX('Coverage Indicators - Section D'!AD$1:AD$100,MATCH('Print View'!$A175,'Coverage Indicators - Section D'!$A$1:$A$100,0)+1)&lt;&gt;"",INDEX('Coverage Indicators - Section D'!AD$1:AD$100,MATCH('Print View'!$A175,'Coverage Indicators - Section D'!$A$1:$A$100,0)+1),""),"")&amp;CHAR(10)&amp;IFERROR(IF(INDEX('Coverage Indicators - Section D'!AE$1:AE$100,MATCH('Print View'!$A175,'Coverage Indicators - Section D'!$A$1:$A$100,0))&lt;&gt;"",FIXED(INDEX('Coverage Indicators - Section D'!AE$1:AE$100,MATCH('Print View'!$A175,'Coverage Indicators - Section D'!$A$1:$A$100,0))*100,2)&amp;"%",""),"")&amp;CHAR(10)&amp;IFERROR(IF(INDEX('Coverage Indicators - Section D'!AF$1:AF$100,MATCH('Print View'!$A175,'Coverage Indicators - Section D'!$A$1:$A$100,0))&lt;&gt;"",INDEX('Coverage Indicators - Section D'!AF$1:AF$100,MATCH('Print View'!$A175,'Coverage Indicators - Section D'!$A$1:$A$100,0)),""),"")</f>
        <v xml:space="preserve">/
</v>
      </c>
      <c r="R175" s="402" t="str">
        <f ca="1">IFERROR(IF(INDEX('Coverage Indicators - Section D'!AG$1:AG$100,MATCH('Print View'!$A175,'Coverage Indicators - Section D'!$A$1:$A$100,0))&lt;&gt;"",INDEX('Coverage Indicators - Section D'!AG$1:AG$100,MATCH('Print View'!$A175,'Coverage Indicators - Section D'!$A$1:$A$100,0)),""),"")&amp;"/"&amp;IFERROR(IF(INDEX('Coverage Indicators - Section D'!AG$1:AG$100,MATCH('Print View'!$A175,'Coverage Indicators - Section D'!$A$1:$A$100,0)+1)&lt;&gt;"",INDEX('Coverage Indicators - Section D'!AG$1:AG$100,MATCH('Print View'!$A175,'Coverage Indicators - Section D'!$A$1:$A$100,0)+1),""),"")&amp;CHAR(10)&amp;IFERROR(IF(INDEX('Coverage Indicators - Section D'!AH$1:AH$100,MATCH('Print View'!$A175,'Coverage Indicators - Section D'!$A$1:$A$100,0))&lt;&gt;"",FIXED(INDEX('Coverage Indicators - Section D'!AH$1:AH$100,MATCH('Print View'!$A175,'Coverage Indicators - Section D'!$A$1:$A$100,0))*100,2)&amp;"%",""),"")&amp;CHAR(10)&amp;IFERROR(IF(INDEX('Coverage Indicators - Section D'!AI$1:AI$100,MATCH('Print View'!$A175,'Coverage Indicators - Section D'!$A$1:$A$100,0))&lt;&gt;"",INDEX('Coverage Indicators - Section D'!AI$1:AI$100,MATCH('Print View'!$A175,'Coverage Indicators - Section D'!$A$1:$A$100,0)),""),"")</f>
        <v xml:space="preserve">/
</v>
      </c>
      <c r="S175" s="402" t="str">
        <f ca="1">IFERROR(IF(INDEX('Coverage Indicators - Section D'!AJ$1:AJ$100,MATCH('Print View'!$A175,'Coverage Indicators - Section D'!$A$1:$A$100,0))&lt;&gt;"",INDEX('Coverage Indicators - Section D'!AJ$1:AJ$100,MATCH('Print View'!$A175,'Coverage Indicators - Section D'!$A$1:$A$100,0)),""),"")&amp;"/"&amp;IFERROR(IF(INDEX('Coverage Indicators - Section D'!AJ$1:AJ$100,MATCH('Print View'!$A175,'Coverage Indicators - Section D'!$A$1:$A$100,0)+1)&lt;&gt;"",INDEX('Coverage Indicators - Section D'!AJ$1:AJ$100,MATCH('Print View'!$A175,'Coverage Indicators - Section D'!$A$1:$A$100,0)+1),""),"")&amp;CHAR(10)&amp;IFERROR(IF(INDEX('Coverage Indicators - Section D'!AK$1:AK$100,MATCH('Print View'!$A175,'Coverage Indicators - Section D'!$A$1:$A$100,0))&lt;&gt;"",FIXED(INDEX('Coverage Indicators - Section D'!AK$1:AK$100,MATCH('Print View'!$A175,'Coverage Indicators - Section D'!$A$1:$A$100,0))*100,2)&amp;"%",""),"")&amp;CHAR(10)&amp;IFERROR(IF(INDEX('Coverage Indicators - Section D'!AL$1:AL$100,MATCH('Print View'!$A175,'Coverage Indicators - Section D'!$A$1:$A$100,0))&lt;&gt;"",INDEX('Coverage Indicators - Section D'!AL$1:AL$100,MATCH('Print View'!$A175,'Coverage Indicators - Section D'!$A$1:$A$100,0)),""),"")</f>
        <v xml:space="preserve">/
</v>
      </c>
      <c r="T175" s="31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t="str">
        <f ca="1">IFERROR(IF(INDEX('Coverage Indicators - Section D'!AD$1:AD$110,MATCH('Print View'!$A175,'Coverage Indicators - Section D'!$A$1:$A$110,0))&lt;&gt;0,INDEX('Coverage Indicators - Section D'!AD$1:AD$110,MATCH('Print View'!$A175,'Coverage Indicators - Section D'!$A$1:$A$110,0)),""),"")</f>
        <v/>
      </c>
      <c r="AP175" s="223"/>
      <c r="AQ175" s="223"/>
      <c r="AR175" s="223"/>
      <c r="AS175" s="223"/>
      <c r="AT175" s="803" t="str">
        <f ca="1">CONCATENATE($A175,N$147)</f>
        <v>1431-Dec-24</v>
      </c>
      <c r="AU175" s="802" t="str">
        <f ca="1">CONCATENATE($A175,Q$147)</f>
        <v>1431-Dec-27</v>
      </c>
      <c r="AV175" s="802" t="str">
        <f>CONCATENATE($A175,V$147)</f>
        <v>14</v>
      </c>
      <c r="AW175" s="802" t="str">
        <f>CONCATENATE($A175,Y$147)</f>
        <v>14</v>
      </c>
      <c r="AX175" s="802" t="str">
        <f>CONCATENATE($A175,AB$147)</f>
        <v>14</v>
      </c>
      <c r="AY175" s="802" t="str">
        <f>CONCATENATE($A175,AE$147)</f>
        <v>14</v>
      </c>
      <c r="AZ175" s="802" t="str">
        <f>CONCATENATE($A175,AH$147)</f>
        <v>14</v>
      </c>
      <c r="BA175" s="802" t="str">
        <f>CONCATENATE($A175,AK$147)</f>
        <v>14</v>
      </c>
      <c r="BB175" s="228"/>
      <c r="BC175" s="121"/>
    </row>
    <row r="176" spans="1:55" s="106" customFormat="1" ht="88.4" customHeight="1" x14ac:dyDescent="0.35">
      <c r="A176" s="804"/>
      <c r="B176" s="809" t="str">
        <f ca="1">IFERROR(IF(INDEX('Coverage Indicators - Section D'!AM$1:AM$110,MATCH('Print View'!$A175,'Coverage Indicators - Section D'!$A$1:$A$110,0))&lt;&gt;0,INDEX('Coverage Indicators - Section D'!AM$1:AM$110,MATCH('Print View'!$A175,'Coverage Indicators - Section D'!$A$1:$A$110,0)),""),"")</f>
        <v>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UCSF Unicentro Soyapango y San Miguel, apoyados con la referencia y promoción de la PrEP por las organizaciones de la sociedad civil y RP Plan.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v>
      </c>
      <c r="C176" s="810"/>
      <c r="D176" s="810"/>
      <c r="E176" s="810"/>
      <c r="F176" s="810"/>
      <c r="G176" s="810"/>
      <c r="H176" s="810"/>
      <c r="I176" s="811"/>
      <c r="J176" s="811"/>
      <c r="K176" s="811"/>
      <c r="L176" s="811"/>
      <c r="M176" s="811"/>
      <c r="N176" s="811"/>
      <c r="O176" s="811"/>
      <c r="P176" s="811"/>
      <c r="Q176" s="811"/>
      <c r="R176" s="811"/>
      <c r="S176" s="812"/>
      <c r="T176" s="314"/>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803"/>
      <c r="AU176" s="802"/>
      <c r="AV176" s="802"/>
      <c r="AW176" s="802"/>
      <c r="AX176" s="802"/>
      <c r="AY176" s="802"/>
      <c r="AZ176" s="802"/>
      <c r="BA176" s="802"/>
      <c r="BB176" s="228"/>
      <c r="BC176" s="121"/>
    </row>
    <row r="177" spans="1:55" s="106" customFormat="1" ht="177" customHeight="1" x14ac:dyDescent="0.35">
      <c r="A177" s="801">
        <v>15</v>
      </c>
      <c r="B177" s="395" t="str">
        <f ca="1">IFERROR(IF(INDEX('Coverage Indicators - Section D'!B$1:B$100,MATCH('Print View'!$A177,'Coverage Indicators - Section D'!$A$1:$A$100,0))&lt;&gt;0,INDEX('Coverage Indicators - Section D'!B$1:B$100,MATCH('Print View'!$A177,'Coverage Indicators - Section D'!$A$1:$A$100,0)),""),"")</f>
        <v>Servicios diferenciados de diagnóstico del VIH</v>
      </c>
      <c r="C177" s="395" t="str">
        <f ca="1">IFERROR(IF(INDEX('Coverage Indicators - Section D'!D$1:D$100,MATCH('Print View'!$A177,'Coverage Indicators - Section D'!$A$1:$A$100,0))&lt;&gt;0,INDEX('Coverage Indicators - Section D'!D$1:D$100,MATCH('Print View'!$A177,'Coverage Indicators - Section D'!$A$1:$A$100,0)),""),"")</f>
        <v>HTS-5 Porcentaje de personas con diagnóstico nuevo de VIH que han iniciado terapia antirretroviral</v>
      </c>
      <c r="D177" s="395" t="str">
        <f ca="1">IFERROR(IF(INDEX('Coverage Indicators - Section D'!E$1:E$100,MATCH('Print View'!$A177,'Coverage Indicators - Section D'!$A$1:$A$100,0))&lt;&gt;0,INDEX('Coverage Indicators - Section D'!E$1:E$100,MATCH('Print View'!$A177,'Coverage Indicators - Section D'!$A$1:$A$100,0)),""),"")</f>
        <v/>
      </c>
      <c r="E177" s="396" t="str">
        <f ca="1">IFERROR(IF(INDEX('Coverage Indicators - Section D'!F$1:F$100,MATCH('Print View'!$A177,'Coverage Indicators - Section D'!$A$1:$A$100,0))&lt;&gt;"",INDEX('Coverage Indicators - Section D'!F$1:F$100,MATCH('Print View'!$A177,'Coverage Indicators - Section D'!$A$1:$A$100,0)),""),"")&amp;"/"&amp;IFERROR(IF(INDEX('Coverage Indicators - Section D'!F$1:F$100,MATCH('Print View'!$A177,'Coverage Indicators - Section D'!$A$1:$A$100,0)+1)&lt;&gt;"",INDEX('Coverage Indicators - Section D'!F$1:F$100,MATCH('Print View'!$A177,'Coverage Indicators - Section D'!$A$1:$A$100,0)+1),""),"")&amp;CHAR(10)&amp;IFERROR(IF(INDEX('Coverage Indicators - Section D'!G$1:G$100,MATCH('Print View'!$A177,'Coverage Indicators - Section D'!$A$1:$A$100,0))&lt;&gt;"",FIXED(INDEX('Coverage Indicators - Section D'!G$1:G$100,MATCH('Print View'!$A177,'Coverage Indicators - Section D'!$A$1:$A$100,0))*100,2)&amp;"%",""),"")</f>
        <v>153/862
18.00%</v>
      </c>
      <c r="F177" s="397"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2020
SUMEVE</v>
      </c>
      <c r="G177" s="398" t="str">
        <f>IFERROR(IF(INDEX('Coverage Indicators - Section D'!J37:J66,MATCH('Print View'!$A177,'Coverage Indicators - Section D'!$A$9:$A$38,0))&lt;&gt;0,INDEX('Coverage Indicators - Section D'!J37:J66,MATCH('Print View'!$A177,'Coverage Indicators - Section D'!$A$9:$A$38,0)),""),"")</f>
        <v/>
      </c>
      <c r="H177" s="399" t="str">
        <f ca="1">IFERROR(IF(INDEX('Coverage Indicators - Section D'!K$1:K$100,MATCH('Print View'!$A177,'Coverage Indicators - Section D'!$A$1:$A$100,0))&lt;&gt;0,INDEX('Coverage Indicators - Section D'!K$1:K$100,MATCH('Print View'!$A177,'Coverage Indicators - Section D'!$A$1:$A$100,0)),""),"")</f>
        <v>Yes</v>
      </c>
      <c r="I177" s="398" t="str">
        <f ca="1">IFERROR(IF(AND('Overview - Section A'!AN$5="Grant Making",OR(C177&lt;&gt;"",D177&lt;&gt;"")),Setup!I15,IF(INDEX('Coverage Indicators - Section D'!L$1:L$100,MATCH('Print View'!$A177,'Coverage Indicators - Section D'!$A$1:$A$100,0))&lt;&gt;0,INDEX('Coverage Indicators - Section D'!L$1:L$100,MATCH('Print View'!$A177,'Coverage Indicators - Section D'!$A$1:$A$100,0)),"")),"")</f>
        <v>Ministry of Health of the Republic of El Salvador</v>
      </c>
      <c r="J177" s="396"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El Salvador
Geographic National, 100% of national program target</v>
      </c>
      <c r="K177" s="396" t="str">
        <f ca="1">IFERROR(IF(INDEX('Coverage Indicators - Section D'!N$1:N$100,MATCH('Print View'!$A177,'Coverage Indicators - Section D'!$A$1:$A$100,0))&lt;&gt;0,INDEX('Coverage Indicators - Section D'!N$1:N$100,MATCH('Print View'!$A177,'Coverage Indicators - Section D'!$A$1:$A$100,0)),""),"")</f>
        <v/>
      </c>
      <c r="L177" s="396" t="str">
        <f ca="1">IFERROR(IF(INDEX('Coverage Indicators - Section D'!O$1:O$100,MATCH('Print View'!$A177,'Coverage Indicators - Section D'!$A$1:$A$100,0))&lt;&gt;"",INDEX('Coverage Indicators - Section D'!O$1:O$100,MATCH('Print View'!$A177,'Coverage Indicators - Section D'!$A$1:$A$100,0)),""),"")&amp;"/"&amp;IFERROR(IF(INDEX('Coverage Indicators - Section D'!O$1:O$100,MATCH('Print View'!$A177,'Coverage Indicators - Section D'!$A$1:$A$100,0)+1)&lt;&gt;"",INDEX('Coverage Indicators - Section D'!O$1:O$100,MATCH('Print View'!$A177,'Coverage Indicators - Section D'!$A$1:$A$100,0)+1),""),"")&amp;CHAR(10)&amp;IFERROR(IF(INDEX('Coverage Indicators - Section D'!P$1:P$100,MATCH('Print View'!$A177,'Coverage Indicators - Section D'!$A$1:$A$100,0))&lt;&gt;"",FIXED(INDEX('Coverage Indicators - Section D'!P$1:P$100,MATCH('Print View'!$A177,'Coverage Indicators - Section D'!$A$1:$A$100,0))*100,2)&amp;"%",""),"")&amp;CHAR(10)&amp;IFERROR(IF(INDEX('Coverage Indicators - Section D'!Q$1:Q$100,MATCH('Print View'!$A177,'Coverage Indicators - Section D'!$A$1:$A$100,0))&lt;&gt;"",INDEX('Coverage Indicators - Section D'!Q$1:Q$100,MATCH('Print View'!$A177,'Coverage Indicators - Section D'!$A$1:$A$100,0)),""),"")</f>
        <v xml:space="preserve">/
23.00%
</v>
      </c>
      <c r="M177" s="397" t="str">
        <f ca="1">IFERROR(IF(INDEX('Coverage Indicators - Section D'!R$1:R$100,MATCH('Print View'!$A177,'Coverage Indicators - Section D'!$A$1:$A$100,0))&lt;&gt;"",INDEX('Coverage Indicators - Section D'!R$1:R$100,MATCH('Print View'!$A177,'Coverage Indicators - Section D'!$A$1:$A$100,0)),""),"")&amp;"/"&amp;IFERROR(IF(INDEX('Coverage Indicators - Section D'!R$1:R$100,MATCH('Print View'!$A177,'Coverage Indicators - Section D'!$A$1:$A$100,0)+1)&lt;&gt;"",INDEX('Coverage Indicators - Section D'!R$1:R$100,MATCH('Print View'!$A177,'Coverage Indicators - Section D'!$A$1:$A$100,0)+1),""),"")&amp;CHAR(10)&amp;IFERROR(IF(INDEX('Coverage Indicators - Section D'!S$1:S$100,MATCH('Print View'!$A177,'Coverage Indicators - Section D'!$A$1:$A$100,0))&lt;&gt;"",FIXED(INDEX('Coverage Indicators - Section D'!S$1:S$100,MATCH('Print View'!$A177,'Coverage Indicators - Section D'!$A$1:$A$100,0))*100,2)&amp;"%",""),"")&amp;CHAR(10)&amp;IFERROR(IF(INDEX('Coverage Indicators - Section D'!T$1:T$100,MATCH('Print View'!$A177,'Coverage Indicators - Section D'!$A$1:$A$100,0))&lt;&gt;"",INDEX('Coverage Indicators - Section D'!T$1:T$100,MATCH('Print View'!$A177,'Coverage Indicators - Section D'!$A$1:$A$100,0)),""),"")</f>
        <v xml:space="preserve">/
30.00%
</v>
      </c>
      <c r="N177" s="396" t="str">
        <f ca="1">IFERROR(IF(INDEX('Coverage Indicators - Section D'!U$1:U$100,MATCH('Print View'!$A177,'Coverage Indicators - Section D'!$A$1:$A$100,0))&lt;&gt;"",INDEX('Coverage Indicators - Section D'!U$1:U$100,MATCH('Print View'!$A177,'Coverage Indicators - Section D'!$A$1:$A$100,0)),""),"")&amp;"/"&amp;IFERROR(IF(INDEX('Coverage Indicators - Section D'!U$1:U$100,MATCH('Print View'!$A177,'Coverage Indicators - Section D'!$A$1:$A$100,0)+1)&lt;&gt;"",INDEX('Coverage Indicators - Section D'!U$1:U$100,MATCH('Print View'!$A177,'Coverage Indicators - Section D'!$A$1:$A$100,0)+1),""),"")&amp;CHAR(10)&amp;IFERROR(IF(INDEX('Coverage Indicators - Section D'!V$1:V$100,MATCH('Print View'!$A177,'Coverage Indicators - Section D'!$A$1:$A$100,0))&lt;&gt;"",FIXED(INDEX('Coverage Indicators - Section D'!V$1:V$100,MATCH('Print View'!$A177,'Coverage Indicators - Section D'!$A$1:$A$100,0))*100,2)&amp;"%",""),"")&amp;CHAR(10)&amp;IFERROR(IF(INDEX('Coverage Indicators - Section D'!W$1:W$100,MATCH('Print View'!$A177,'Coverage Indicators - Section D'!$A$1:$A$100,0))&lt;&gt;"",INDEX('Coverage Indicators - Section D'!W$1:W$100,MATCH('Print View'!$A177,'Coverage Indicators - Section D'!$A$1:$A$100,0)),""),"")</f>
        <v xml:space="preserve">/
40.00%
</v>
      </c>
      <c r="O177" s="397" t="str">
        <f ca="1">IFERROR(IF(INDEX('Coverage Indicators - Section D'!X$1:X$100,MATCH('Print View'!$A177,'Coverage Indicators - Section D'!$A$1:$A$100,0))&lt;&gt;"",INDEX('Coverage Indicators - Section D'!X$1:X$100,MATCH('Print View'!$A177,'Coverage Indicators - Section D'!$A$1:$A$100,0)),""),"")&amp;"/"&amp;IFERROR(IF(INDEX('Coverage Indicators - Section D'!X$1:X$100,MATCH('Print View'!$A177,'Coverage Indicators - Section D'!$A$1:$A$100,0)+1)&lt;&gt;"",INDEX('Coverage Indicators - Section D'!X$1:X$100,MATCH('Print View'!$A177,'Coverage Indicators - Section D'!$A$1:$A$100,0)+1),""),"")&amp;CHAR(10)&amp;IFERROR(IF(INDEX('Coverage Indicators - Section D'!Y$1:Y$100,MATCH('Print View'!$A177,'Coverage Indicators - Section D'!$A$1:$A$100,0))&lt;&gt;"",FIXED(INDEX('Coverage Indicators - Section D'!Y$1:Y$100,MATCH('Print View'!$A177,'Coverage Indicators - Section D'!$A$1:$A$100,0))*100,2)&amp;"%",""),"")&amp;CHAR(10)&amp;IFERROR(IF(INDEX('Coverage Indicators - Section D'!Z$1:Z$100,MATCH('Print View'!$A177,'Coverage Indicators - Section D'!$A$1:$A$100,0))&lt;&gt;"",INDEX('Coverage Indicators - Section D'!Z$1:Z$100,MATCH('Print View'!$A177,'Coverage Indicators - Section D'!$A$1:$A$100,0)),""),"")</f>
        <v xml:space="preserve">/
</v>
      </c>
      <c r="P177" s="397" t="str">
        <f ca="1">IFERROR(IF(INDEX('Coverage Indicators - Section D'!AA$1:AA$100,MATCH('Print View'!$A177,'Coverage Indicators - Section D'!$A$1:$A$100,0))&lt;&gt;"",INDEX('Coverage Indicators - Section D'!AA$1:AA$100,MATCH('Print View'!$A177,'Coverage Indicators - Section D'!$A$1:$A$100,0)),""),"")&amp;"/"&amp;IFERROR(IF(INDEX('Coverage Indicators - Section D'!AA$1:AA$100,MATCH('Print View'!$A177,'Coverage Indicators - Section D'!$A$1:$A$100,0)+1)&lt;&gt;"",INDEX('Coverage Indicators - Section D'!AA$1:AA$100,MATCH('Print View'!$A177,'Coverage Indicators - Section D'!$A$1:$A$100,0)+1),""),"")&amp;CHAR(10)&amp;IFERROR(IF(INDEX('Coverage Indicators - Section D'!AB$1:AB$100,MATCH('Print View'!$A177,'Coverage Indicators - Section D'!$A$1:$A$100,0))&lt;&gt;"",FIXED(INDEX('Coverage Indicators - Section D'!AB$1:AB$100,MATCH('Print View'!$A177,'Coverage Indicators - Section D'!$A$1:$A$100,0))*100,2)&amp;"%",""),"")&amp;CHAR(10)&amp;IFERROR(IF(INDEX('Coverage Indicators - Section D'!AC$1:AC$100,MATCH('Print View'!$A177,'Coverage Indicators - Section D'!$A$1:$A$100,0))&lt;&gt;"",INDEX('Coverage Indicators - Section D'!AC$1:AC$100,MATCH('Print View'!$A177,'Coverage Indicators - Section D'!$A$1:$A$100,0)),""),"")</f>
        <v xml:space="preserve">/
</v>
      </c>
      <c r="Q177" s="397" t="str">
        <f ca="1">IFERROR(IF(INDEX('Coverage Indicators - Section D'!AD$1:AD$100,MATCH('Print View'!$A177,'Coverage Indicators - Section D'!$A$1:$A$100,0))&lt;&gt;"",INDEX('Coverage Indicators - Section D'!AD$1:AD$100,MATCH('Print View'!$A177,'Coverage Indicators - Section D'!$A$1:$A$100,0)),""),"")&amp;"/"&amp;IFERROR(IF(INDEX('Coverage Indicators - Section D'!AD$1:AD$100,MATCH('Print View'!$A177,'Coverage Indicators - Section D'!$A$1:$A$100,0)+1)&lt;&gt;"",INDEX('Coverage Indicators - Section D'!AD$1:AD$100,MATCH('Print View'!$A177,'Coverage Indicators - Section D'!$A$1:$A$100,0)+1),""),"")&amp;CHAR(10)&amp;IFERROR(IF(INDEX('Coverage Indicators - Section D'!AE$1:AE$100,MATCH('Print View'!$A177,'Coverage Indicators - Section D'!$A$1:$A$100,0))&lt;&gt;"",FIXED(INDEX('Coverage Indicators - Section D'!AE$1:AE$100,MATCH('Print View'!$A177,'Coverage Indicators - Section D'!$A$1:$A$100,0))*100,2)&amp;"%",""),"")&amp;CHAR(10)&amp;IFERROR(IF(INDEX('Coverage Indicators - Section D'!AF$1:AF$100,MATCH('Print View'!$A177,'Coverage Indicators - Section D'!$A$1:$A$100,0))&lt;&gt;"",INDEX('Coverage Indicators - Section D'!AF$1:AF$100,MATCH('Print View'!$A177,'Coverage Indicators - Section D'!$A$1:$A$100,0)),""),"")</f>
        <v xml:space="preserve">/
</v>
      </c>
      <c r="R177" s="397" t="str">
        <f ca="1">IFERROR(IF(INDEX('Coverage Indicators - Section D'!AG$1:AG$100,MATCH('Print View'!$A177,'Coverage Indicators - Section D'!$A$1:$A$100,0))&lt;&gt;"",INDEX('Coverage Indicators - Section D'!AG$1:AG$100,MATCH('Print View'!$A177,'Coverage Indicators - Section D'!$A$1:$A$100,0)),""),"")&amp;"/"&amp;IFERROR(IF(INDEX('Coverage Indicators - Section D'!AG$1:AG$100,MATCH('Print View'!$A177,'Coverage Indicators - Section D'!$A$1:$A$100,0)+1)&lt;&gt;"",INDEX('Coverage Indicators - Section D'!AG$1:AG$100,MATCH('Print View'!$A177,'Coverage Indicators - Section D'!$A$1:$A$100,0)+1),""),"")&amp;CHAR(10)&amp;IFERROR(IF(INDEX('Coverage Indicators - Section D'!AH$1:AH$100,MATCH('Print View'!$A177,'Coverage Indicators - Section D'!$A$1:$A$100,0))&lt;&gt;"",FIXED(INDEX('Coverage Indicators - Section D'!AH$1:AH$100,MATCH('Print View'!$A177,'Coverage Indicators - Section D'!$A$1:$A$100,0))*100,2)&amp;"%",""),"")&amp;CHAR(10)&amp;IFERROR(IF(INDEX('Coverage Indicators - Section D'!AI$1:AI$100,MATCH('Print View'!$A177,'Coverage Indicators - Section D'!$A$1:$A$100,0))&lt;&gt;"",INDEX('Coverage Indicators - Section D'!AI$1:AI$100,MATCH('Print View'!$A177,'Coverage Indicators - Section D'!$A$1:$A$100,0)),""),"")</f>
        <v xml:space="preserve">/
</v>
      </c>
      <c r="S177" s="397" t="str">
        <f ca="1">IFERROR(IF(INDEX('Coverage Indicators - Section D'!AJ$1:AJ$100,MATCH('Print View'!$A177,'Coverage Indicators - Section D'!$A$1:$A$100,0))&lt;&gt;"",INDEX('Coverage Indicators - Section D'!AJ$1:AJ$100,MATCH('Print View'!$A177,'Coverage Indicators - Section D'!$A$1:$A$100,0)),""),"")&amp;"/"&amp;IFERROR(IF(INDEX('Coverage Indicators - Section D'!AJ$1:AJ$100,MATCH('Print View'!$A177,'Coverage Indicators - Section D'!$A$1:$A$100,0)+1)&lt;&gt;"",INDEX('Coverage Indicators - Section D'!AJ$1:AJ$100,MATCH('Print View'!$A177,'Coverage Indicators - Section D'!$A$1:$A$100,0)+1),""),"")&amp;CHAR(10)&amp;IFERROR(IF(INDEX('Coverage Indicators - Section D'!AK$1:AK$100,MATCH('Print View'!$A177,'Coverage Indicators - Section D'!$A$1:$A$100,0))&lt;&gt;"",FIXED(INDEX('Coverage Indicators - Section D'!AK$1:AK$100,MATCH('Print View'!$A177,'Coverage Indicators - Section D'!$A$1:$A$100,0))*100,2)&amp;"%",""),"")&amp;CHAR(10)&amp;IFERROR(IF(INDEX('Coverage Indicators - Section D'!AL$1:AL$100,MATCH('Print View'!$A177,'Coverage Indicators - Section D'!$A$1:$A$100,0))&lt;&gt;"",INDEX('Coverage Indicators - Section D'!AL$1:AL$100,MATCH('Print View'!$A177,'Coverage Indicators - Section D'!$A$1:$A$100,0)),""),"")</f>
        <v xml:space="preserve">/
</v>
      </c>
      <c r="T177" s="310"/>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t="str">
        <f ca="1">IFERROR(IF(INDEX('Coverage Indicators - Section D'!AD$1:AD$110,MATCH('Print View'!$A177,'Coverage Indicators - Section D'!$A$1:$A$110,0))&lt;&gt;0,INDEX('Coverage Indicators - Section D'!AD$1:AD$110,MATCH('Print View'!$A177,'Coverage Indicators - Section D'!$A$1:$A$110,0)),""),"")</f>
        <v/>
      </c>
      <c r="AP177" s="223"/>
      <c r="AQ177" s="223"/>
      <c r="AR177" s="223"/>
      <c r="AS177" s="223"/>
      <c r="AT177" s="803" t="str">
        <f ca="1">CONCATENATE($A177,N$147)</f>
        <v>1531-Dec-24</v>
      </c>
      <c r="AU177" s="802" t="str">
        <f ca="1">CONCATENATE($A177,Q$147)</f>
        <v>1531-Dec-27</v>
      </c>
      <c r="AV177" s="802" t="str">
        <f>CONCATENATE($A177,V$147)</f>
        <v>15</v>
      </c>
      <c r="AW177" s="802" t="str">
        <f>CONCATENATE($A177,Y$147)</f>
        <v>15</v>
      </c>
      <c r="AX177" s="802" t="str">
        <f>CONCATENATE($A177,AB$147)</f>
        <v>15</v>
      </c>
      <c r="AY177" s="802" t="str">
        <f>CONCATENATE($A177,AE$147)</f>
        <v>15</v>
      </c>
      <c r="AZ177" s="802" t="str">
        <f>CONCATENATE($A177,AH$147)</f>
        <v>15</v>
      </c>
      <c r="BA177" s="802" t="str">
        <f>CONCATENATE($A177,AK$147)</f>
        <v>15</v>
      </c>
      <c r="BB177" s="228"/>
      <c r="BC177" s="121"/>
    </row>
    <row r="178" spans="1:55" s="106" customFormat="1" ht="88.4" customHeight="1" x14ac:dyDescent="0.35">
      <c r="A178" s="801"/>
      <c r="B178" s="806" t="str">
        <f ca="1">IFERROR(IF(INDEX('Coverage Indicators - Section D'!AM$1:AM$110,MATCH('Print View'!$A177,'Coverage Indicators - Section D'!$A$1:$A$110,0))&lt;&gt;0,INDEX('Coverage Indicators - Section D'!AM$1:AM$110,MATCH('Print View'!$A177,'Coverage Indicators - Section D'!$A$1:$A$110,0)),""),"")</f>
        <v xml:space="preserve">Línea de base 17.7% correspondiente al año 2020, fuente SUMEVE.
Numerador: Número de personas recientemente diagnosticadas con el VIH y que comenzaron el TAR durante el período del informe
Denominador: Número de personas recién diagnosticadas con el VIH durante el período del informe.
Supuestos:  Las metas se han considerado con un incremento anual del 5%, 7% y 10%, respectivamente y se han establecidos bajo el criterio que a partir del año 2021 las guías clínicas de atención a pacientes con VIH contemplaran el inicio rápido de tratamiento con las recomendaciones de ONUSIDA. Para el primer año estamos siendo conservadores, debido a que se consideran aún los efectos de la pandemia de COVID-19 en las prestaciones de los servicios de salud.
Métodos de medición: Para este indicador se reportará el número de personas recién diagnosticadas que se le ha logrado iniciar TAR a los 7 días después del diagnóstico, cuyo registro se encuentra en el sistema de información. Tanto el numerador como el denominador será reportado según datos reales registrados en el SUMEVE correspondientes al período a reportar.
Fuente: SUMEVE
</v>
      </c>
      <c r="C178" s="807"/>
      <c r="D178" s="807"/>
      <c r="E178" s="807"/>
      <c r="F178" s="807"/>
      <c r="G178" s="807"/>
      <c r="H178" s="807"/>
      <c r="I178" s="807"/>
      <c r="J178" s="807"/>
      <c r="K178" s="807"/>
      <c r="L178" s="807"/>
      <c r="M178" s="807"/>
      <c r="N178" s="807"/>
      <c r="O178" s="807"/>
      <c r="P178" s="807"/>
      <c r="Q178" s="807"/>
      <c r="R178" s="807"/>
      <c r="S178" s="808"/>
      <c r="T178" s="312"/>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803"/>
      <c r="AU178" s="802"/>
      <c r="AV178" s="802"/>
      <c r="AW178" s="802"/>
      <c r="AX178" s="802"/>
      <c r="AY178" s="802"/>
      <c r="AZ178" s="802"/>
      <c r="BA178" s="802"/>
      <c r="BB178" s="228"/>
      <c r="BC178" s="121"/>
    </row>
    <row r="179" spans="1:55" s="106" customFormat="1" ht="177" customHeight="1" x14ac:dyDescent="0.35">
      <c r="A179" s="804">
        <v>16</v>
      </c>
      <c r="B179" s="385" t="str">
        <f ca="1">IFERROR(IF(INDEX('Coverage Indicators - Section D'!B$1:B$100,MATCH('Print View'!$A179,'Coverage Indicators - Section D'!$A$1:$A$100,0))&lt;&gt;0,INDEX('Coverage Indicators - Section D'!B$1:B$100,MATCH('Print View'!$A179,'Coverage Indicators - Section D'!$A$1:$A$100,0)),""),"")</f>
        <v/>
      </c>
      <c r="C179" s="385" t="str">
        <f ca="1">IFERROR(IF(INDEX('Coverage Indicators - Section D'!D$1:D$100,MATCH('Print View'!$A179,'Coverage Indicators - Section D'!$A$1:$A$100,0))&lt;&gt;0,INDEX('Coverage Indicators - Section D'!D$1:D$100,MATCH('Print View'!$A179,'Coverage Indicators - Section D'!$A$1:$A$100,0)),""),"")</f>
        <v/>
      </c>
      <c r="D179" s="385" t="str">
        <f ca="1">IFERROR(IF(INDEX('Coverage Indicators - Section D'!E$1:E$100,MATCH('Print View'!$A179,'Coverage Indicators - Section D'!$A$1:$A$100,0))&lt;&gt;0,INDEX('Coverage Indicators - Section D'!E$1:E$100,MATCH('Print View'!$A179,'Coverage Indicators - Section D'!$A$1:$A$100,0)),""),"")</f>
        <v/>
      </c>
      <c r="E179" s="386" t="str">
        <f ca="1">IFERROR(IF(INDEX('Coverage Indicators - Section D'!F$1:F$100,MATCH('Print View'!$A179,'Coverage Indicators - Section D'!$A$1:$A$100,0))&lt;&gt;"",INDEX('Coverage Indicators - Section D'!F$1:F$100,MATCH('Print View'!$A179,'Coverage Indicators - Section D'!$A$1:$A$100,0)),""),"")&amp;"/"&amp;IFERROR(IF(INDEX('Coverage Indicators - Section D'!F$1:F$100,MATCH('Print View'!$A179,'Coverage Indicators - Section D'!$A$1:$A$100,0)+1)&lt;&gt;"",INDEX('Coverage Indicators - Section D'!F$1:F$100,MATCH('Print View'!$A179,'Coverage Indicators - Section D'!$A$1:$A$100,0)+1),""),"")&amp;CHAR(10)&amp;IFERROR(IF(INDEX('Coverage Indicators - Section D'!G$1:G$100,MATCH('Print View'!$A179,'Coverage Indicators - Section D'!$A$1:$A$100,0))&lt;&gt;"",FIXED(INDEX('Coverage Indicators - Section D'!G$1:G$100,MATCH('Print View'!$A179,'Coverage Indicators - Section D'!$A$1:$A$100,0))*100,2)&amp;"%",""),"")</f>
        <v xml:space="preserve">/
</v>
      </c>
      <c r="F179" s="400"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 xml:space="preserve">
</v>
      </c>
      <c r="G179" s="401" t="str">
        <f>IFERROR(IF(INDEX('Coverage Indicators - Section D'!J37:J66,MATCH('Print View'!$A179,'Coverage Indicators - Section D'!$A$9:$A$38,0))&lt;&gt;0,INDEX('Coverage Indicators - Section D'!J37:J66,MATCH('Print View'!$A179,'Coverage Indicators - Section D'!$A$9:$A$38,0)),""),"")</f>
        <v/>
      </c>
      <c r="H179" s="400" t="str">
        <f ca="1">IFERROR(IF(INDEX('Coverage Indicators - Section D'!K$1:K$100,MATCH('Print View'!$A179,'Coverage Indicators - Section D'!$A$1:$A$100,0))&lt;&gt;0,INDEX('Coverage Indicators - Section D'!K$1:K$100,MATCH('Print View'!$A179,'Coverage Indicators - Section D'!$A$1:$A$100,0)),""),"")</f>
        <v/>
      </c>
      <c r="I179" s="401" t="str">
        <f ca="1">IFERROR(IF(AND('Overview - Section A'!AN$5="Grant Making",OR(C179&lt;&gt;"",D179&lt;&gt;"")),Setup!I15,IF(INDEX('Coverage Indicators - Section D'!L$1:L$100,MATCH('Print View'!$A179,'Coverage Indicators - Section D'!$A$1:$A$100,0))&lt;&gt;0,INDEX('Coverage Indicators - Section D'!L$1:L$100,MATCH('Print View'!$A179,'Coverage Indicators - Section D'!$A$1:$A$100,0)),"")),"")</f>
        <v/>
      </c>
      <c r="J179" s="400"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 xml:space="preserve">
</v>
      </c>
      <c r="K179" s="400" t="str">
        <f ca="1">IFERROR(IF(INDEX('Coverage Indicators - Section D'!N$1:N$100,MATCH('Print View'!$A179,'Coverage Indicators - Section D'!$A$1:$A$100,0))&lt;&gt;0,INDEX('Coverage Indicators - Section D'!N$1:N$100,MATCH('Print View'!$A179,'Coverage Indicators - Section D'!$A$1:$A$100,0)),""),"")</f>
        <v/>
      </c>
      <c r="L179" s="402" t="str">
        <f ca="1">IFERROR(IF(INDEX('Coverage Indicators - Section D'!O$1:O$100,MATCH('Print View'!$A179,'Coverage Indicators - Section D'!$A$1:$A$100,0))&lt;&gt;"",INDEX('Coverage Indicators - Section D'!O$1:O$100,MATCH('Print View'!$A179,'Coverage Indicators - Section D'!$A$1:$A$100,0)),""),"")&amp;"/"&amp;IFERROR(IF(INDEX('Coverage Indicators - Section D'!O$1:O$100,MATCH('Print View'!$A179,'Coverage Indicators - Section D'!$A$1:$A$100,0)+1)&lt;&gt;"",INDEX('Coverage Indicators - Section D'!O$1:O$100,MATCH('Print View'!$A179,'Coverage Indicators - Section D'!$A$1:$A$100,0)+1),""),"")&amp;CHAR(10)&amp;IFERROR(IF(INDEX('Coverage Indicators - Section D'!P$1:P$100,MATCH('Print View'!$A179,'Coverage Indicators - Section D'!$A$1:$A$100,0))&lt;&gt;"",FIXED(INDEX('Coverage Indicators - Section D'!P$1:P$100,MATCH('Print View'!$A179,'Coverage Indicators - Section D'!$A$1:$A$100,0))*100,2)&amp;"%",""),"")&amp;CHAR(10)&amp;IFERROR(IF(INDEX('Coverage Indicators - Section D'!Q$1:Q$100,MATCH('Print View'!$A179,'Coverage Indicators - Section D'!$A$1:$A$100,0))&lt;&gt;"",INDEX('Coverage Indicators - Section D'!Q$1:Q$100,MATCH('Print View'!$A179,'Coverage Indicators - Section D'!$A$1:$A$100,0)),""),"")</f>
        <v xml:space="preserve">/
</v>
      </c>
      <c r="M179" s="402" t="str">
        <f ca="1">IFERROR(IF(INDEX('Coverage Indicators - Section D'!R$1:R$100,MATCH('Print View'!$A179,'Coverage Indicators - Section D'!$A$1:$A$100,0))&lt;&gt;"",INDEX('Coverage Indicators - Section D'!R$1:R$100,MATCH('Print View'!$A179,'Coverage Indicators - Section D'!$A$1:$A$100,0)),""),"")&amp;"/"&amp;IFERROR(IF(INDEX('Coverage Indicators - Section D'!R$1:R$100,MATCH('Print View'!$A179,'Coverage Indicators - Section D'!$A$1:$A$100,0)+1)&lt;&gt;"",INDEX('Coverage Indicators - Section D'!R$1:R$100,MATCH('Print View'!$A179,'Coverage Indicators - Section D'!$A$1:$A$100,0)+1),""),"")&amp;CHAR(10)&amp;IFERROR(IF(INDEX('Coverage Indicators - Section D'!S$1:S$100,MATCH('Print View'!$A179,'Coverage Indicators - Section D'!$A$1:$A$100,0))&lt;&gt;"",FIXED(INDEX('Coverage Indicators - Section D'!S$1:S$100,MATCH('Print View'!$A179,'Coverage Indicators - Section D'!$A$1:$A$100,0))*100,2)&amp;"%",""),"")&amp;CHAR(10)&amp;IFERROR(IF(INDEX('Coverage Indicators - Section D'!T$1:T$100,MATCH('Print View'!$A179,'Coverage Indicators - Section D'!$A$1:$A$100,0))&lt;&gt;"",INDEX('Coverage Indicators - Section D'!T$1:T$100,MATCH('Print View'!$A179,'Coverage Indicators - Section D'!$A$1:$A$100,0)),""),"")</f>
        <v xml:space="preserve">/
</v>
      </c>
      <c r="N179" s="402" t="str">
        <f ca="1">IFERROR(IF(INDEX('Coverage Indicators - Section D'!U$1:U$100,MATCH('Print View'!$A179,'Coverage Indicators - Section D'!$A$1:$A$100,0))&lt;&gt;"",INDEX('Coverage Indicators - Section D'!U$1:U$100,MATCH('Print View'!$A179,'Coverage Indicators - Section D'!$A$1:$A$100,0)),""),"")&amp;"/"&amp;IFERROR(IF(INDEX('Coverage Indicators - Section D'!U$1:U$100,MATCH('Print View'!$A179,'Coverage Indicators - Section D'!$A$1:$A$100,0)+1)&lt;&gt;"",INDEX('Coverage Indicators - Section D'!U$1:U$100,MATCH('Print View'!$A179,'Coverage Indicators - Section D'!$A$1:$A$100,0)+1),""),"")&amp;CHAR(10)&amp;IFERROR(IF(INDEX('Coverage Indicators - Section D'!V$1:V$100,MATCH('Print View'!$A179,'Coverage Indicators - Section D'!$A$1:$A$100,0))&lt;&gt;"",FIXED(INDEX('Coverage Indicators - Section D'!V$1:V$100,MATCH('Print View'!$A179,'Coverage Indicators - Section D'!$A$1:$A$100,0))*100,2)&amp;"%",""),"")&amp;CHAR(10)&amp;IFERROR(IF(INDEX('Coverage Indicators - Section D'!W$1:W$100,MATCH('Print View'!$A179,'Coverage Indicators - Section D'!$A$1:$A$100,0))&lt;&gt;"",INDEX('Coverage Indicators - Section D'!W$1:W$100,MATCH('Print View'!$A179,'Coverage Indicators - Section D'!$A$1:$A$100,0)),""),"")</f>
        <v xml:space="preserve">/
</v>
      </c>
      <c r="O179" s="402" t="str">
        <f ca="1">IFERROR(IF(INDEX('Coverage Indicators - Section D'!X$1:X$100,MATCH('Print View'!$A179,'Coverage Indicators - Section D'!$A$1:$A$100,0))&lt;&gt;"",INDEX('Coverage Indicators - Section D'!X$1:X$100,MATCH('Print View'!$A179,'Coverage Indicators - Section D'!$A$1:$A$100,0)),""),"")&amp;"/"&amp;IFERROR(IF(INDEX('Coverage Indicators - Section D'!X$1:X$100,MATCH('Print View'!$A179,'Coverage Indicators - Section D'!$A$1:$A$100,0)+1)&lt;&gt;"",INDEX('Coverage Indicators - Section D'!X$1:X$100,MATCH('Print View'!$A179,'Coverage Indicators - Section D'!$A$1:$A$100,0)+1),""),"")&amp;CHAR(10)&amp;IFERROR(IF(INDEX('Coverage Indicators - Section D'!Y$1:Y$100,MATCH('Print View'!$A179,'Coverage Indicators - Section D'!$A$1:$A$100,0))&lt;&gt;"",FIXED(INDEX('Coverage Indicators - Section D'!Y$1:Y$100,MATCH('Print View'!$A179,'Coverage Indicators - Section D'!$A$1:$A$100,0))*100,2)&amp;"%",""),"")&amp;CHAR(10)&amp;IFERROR(IF(INDEX('Coverage Indicators - Section D'!Z$1:Z$100,MATCH('Print View'!$A179,'Coverage Indicators - Section D'!$A$1:$A$100,0))&lt;&gt;"",INDEX('Coverage Indicators - Section D'!Z$1:Z$100,MATCH('Print View'!$A179,'Coverage Indicators - Section D'!$A$1:$A$100,0)),""),"")</f>
        <v xml:space="preserve">/
</v>
      </c>
      <c r="P179" s="402" t="str">
        <f ca="1">IFERROR(IF(INDEX('Coverage Indicators - Section D'!AA$1:AA$100,MATCH('Print View'!$A179,'Coverage Indicators - Section D'!$A$1:$A$100,0))&lt;&gt;"",INDEX('Coverage Indicators - Section D'!AA$1:AA$100,MATCH('Print View'!$A179,'Coverage Indicators - Section D'!$A$1:$A$100,0)),""),"")&amp;"/"&amp;IFERROR(IF(INDEX('Coverage Indicators - Section D'!AA$1:AA$100,MATCH('Print View'!$A179,'Coverage Indicators - Section D'!$A$1:$A$100,0)+1)&lt;&gt;"",INDEX('Coverage Indicators - Section D'!AA$1:AA$100,MATCH('Print View'!$A179,'Coverage Indicators - Section D'!$A$1:$A$100,0)+1),""),"")&amp;CHAR(10)&amp;IFERROR(IF(INDEX('Coverage Indicators - Section D'!AB$1:AB$100,MATCH('Print View'!$A179,'Coverage Indicators - Section D'!$A$1:$A$100,0))&lt;&gt;"",FIXED(INDEX('Coverage Indicators - Section D'!AB$1:AB$100,MATCH('Print View'!$A179,'Coverage Indicators - Section D'!$A$1:$A$100,0))*100,2)&amp;"%",""),"")&amp;CHAR(10)&amp;IFERROR(IF(INDEX('Coverage Indicators - Section D'!AC$1:AC$100,MATCH('Print View'!$A179,'Coverage Indicators - Section D'!$A$1:$A$100,0))&lt;&gt;"",INDEX('Coverage Indicators - Section D'!AC$1:AC$100,MATCH('Print View'!$A179,'Coverage Indicators - Section D'!$A$1:$A$100,0)),""),"")</f>
        <v xml:space="preserve">/
</v>
      </c>
      <c r="Q179" s="402" t="str">
        <f ca="1">IFERROR(IF(INDEX('Coverage Indicators - Section D'!AD$1:AD$100,MATCH('Print View'!$A179,'Coverage Indicators - Section D'!$A$1:$A$100,0))&lt;&gt;"",INDEX('Coverage Indicators - Section D'!AD$1:AD$100,MATCH('Print View'!$A179,'Coverage Indicators - Section D'!$A$1:$A$100,0)),""),"")&amp;"/"&amp;IFERROR(IF(INDEX('Coverage Indicators - Section D'!AD$1:AD$100,MATCH('Print View'!$A179,'Coverage Indicators - Section D'!$A$1:$A$100,0)+1)&lt;&gt;"",INDEX('Coverage Indicators - Section D'!AD$1:AD$100,MATCH('Print View'!$A179,'Coverage Indicators - Section D'!$A$1:$A$100,0)+1),""),"")&amp;CHAR(10)&amp;IFERROR(IF(INDEX('Coverage Indicators - Section D'!AE$1:AE$100,MATCH('Print View'!$A179,'Coverage Indicators - Section D'!$A$1:$A$100,0))&lt;&gt;"",FIXED(INDEX('Coverage Indicators - Section D'!AE$1:AE$100,MATCH('Print View'!$A179,'Coverage Indicators - Section D'!$A$1:$A$100,0))*100,2)&amp;"%",""),"")&amp;CHAR(10)&amp;IFERROR(IF(INDEX('Coverage Indicators - Section D'!AF$1:AF$100,MATCH('Print View'!$A179,'Coverage Indicators - Section D'!$A$1:$A$100,0))&lt;&gt;"",INDEX('Coverage Indicators - Section D'!AF$1:AF$100,MATCH('Print View'!$A179,'Coverage Indicators - Section D'!$A$1:$A$100,0)),""),"")</f>
        <v xml:space="preserve">/
</v>
      </c>
      <c r="R179" s="402" t="str">
        <f ca="1">IFERROR(IF(INDEX('Coverage Indicators - Section D'!AG$1:AG$100,MATCH('Print View'!$A179,'Coverage Indicators - Section D'!$A$1:$A$100,0))&lt;&gt;"",INDEX('Coverage Indicators - Section D'!AG$1:AG$100,MATCH('Print View'!$A179,'Coverage Indicators - Section D'!$A$1:$A$100,0)),""),"")&amp;"/"&amp;IFERROR(IF(INDEX('Coverage Indicators - Section D'!AG$1:AG$100,MATCH('Print View'!$A179,'Coverage Indicators - Section D'!$A$1:$A$100,0)+1)&lt;&gt;"",INDEX('Coverage Indicators - Section D'!AG$1:AG$100,MATCH('Print View'!$A179,'Coverage Indicators - Section D'!$A$1:$A$100,0)+1),""),"")&amp;CHAR(10)&amp;IFERROR(IF(INDEX('Coverage Indicators - Section D'!AH$1:AH$100,MATCH('Print View'!$A179,'Coverage Indicators - Section D'!$A$1:$A$100,0))&lt;&gt;"",FIXED(INDEX('Coverage Indicators - Section D'!AH$1:AH$100,MATCH('Print View'!$A179,'Coverage Indicators - Section D'!$A$1:$A$100,0))*100,2)&amp;"%",""),"")&amp;CHAR(10)&amp;IFERROR(IF(INDEX('Coverage Indicators - Section D'!AI$1:AI$100,MATCH('Print View'!$A179,'Coverage Indicators - Section D'!$A$1:$A$100,0))&lt;&gt;"",INDEX('Coverage Indicators - Section D'!AI$1:AI$100,MATCH('Print View'!$A179,'Coverage Indicators - Section D'!$A$1:$A$100,0)),""),"")</f>
        <v xml:space="preserve">/
</v>
      </c>
      <c r="S179" s="402" t="str">
        <f ca="1">IFERROR(IF(INDEX('Coverage Indicators - Section D'!AJ$1:AJ$100,MATCH('Print View'!$A179,'Coverage Indicators - Section D'!$A$1:$A$100,0))&lt;&gt;"",INDEX('Coverage Indicators - Section D'!AJ$1:AJ$100,MATCH('Print View'!$A179,'Coverage Indicators - Section D'!$A$1:$A$100,0)),""),"")&amp;"/"&amp;IFERROR(IF(INDEX('Coverage Indicators - Section D'!AJ$1:AJ$100,MATCH('Print View'!$A179,'Coverage Indicators - Section D'!$A$1:$A$100,0)+1)&lt;&gt;"",INDEX('Coverage Indicators - Section D'!AJ$1:AJ$100,MATCH('Print View'!$A179,'Coverage Indicators - Section D'!$A$1:$A$100,0)+1),""),"")&amp;CHAR(10)&amp;IFERROR(IF(INDEX('Coverage Indicators - Section D'!AK$1:AK$100,MATCH('Print View'!$A179,'Coverage Indicators - Section D'!$A$1:$A$100,0))&lt;&gt;"",FIXED(INDEX('Coverage Indicators - Section D'!AK$1:AK$100,MATCH('Print View'!$A179,'Coverage Indicators - Section D'!$A$1:$A$100,0))*100,2)&amp;"%",""),"")&amp;CHAR(10)&amp;IFERROR(IF(INDEX('Coverage Indicators - Section D'!AL$1:AL$100,MATCH('Print View'!$A179,'Coverage Indicators - Section D'!$A$1:$A$100,0))&lt;&gt;"",INDEX('Coverage Indicators - Section D'!AL$1:AL$100,MATCH('Print View'!$A179,'Coverage Indicators - Section D'!$A$1:$A$100,0)),""),"")</f>
        <v xml:space="preserve">/
</v>
      </c>
      <c r="T179" s="31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t="str">
        <f ca="1">IFERROR(IF(INDEX('Coverage Indicators - Section D'!AD$1:AD$110,MATCH('Print View'!$A179,'Coverage Indicators - Section D'!$A$1:$A$110,0))&lt;&gt;0,INDEX('Coverage Indicators - Section D'!AD$1:AD$110,MATCH('Print View'!$A179,'Coverage Indicators - Section D'!$A$1:$A$110,0)),""),"")</f>
        <v/>
      </c>
      <c r="AP179" s="223"/>
      <c r="AQ179" s="223"/>
      <c r="AR179" s="223"/>
      <c r="AS179" s="223"/>
      <c r="AT179" s="803" t="str">
        <f ca="1">CONCATENATE($A179,N$147)</f>
        <v>1631-Dec-24</v>
      </c>
      <c r="AU179" s="802" t="str">
        <f ca="1">CONCATENATE($A179,Q$147)</f>
        <v>1631-Dec-27</v>
      </c>
      <c r="AV179" s="802" t="str">
        <f>CONCATENATE($A179,V$147)</f>
        <v>16</v>
      </c>
      <c r="AW179" s="802" t="str">
        <f>CONCATENATE($A179,Y$147)</f>
        <v>16</v>
      </c>
      <c r="AX179" s="802" t="str">
        <f>CONCATENATE($A179,AB$147)</f>
        <v>16</v>
      </c>
      <c r="AY179" s="802" t="str">
        <f>CONCATENATE($A179,AE$147)</f>
        <v>16</v>
      </c>
      <c r="AZ179" s="802" t="str">
        <f>CONCATENATE($A179,AH$147)</f>
        <v>16</v>
      </c>
      <c r="BA179" s="802" t="str">
        <f>CONCATENATE($A179,AK$147)</f>
        <v>16</v>
      </c>
      <c r="BB179" s="228"/>
      <c r="BC179" s="121"/>
    </row>
    <row r="180" spans="1:55" s="106" customFormat="1" ht="88.4" customHeight="1" x14ac:dyDescent="0.35">
      <c r="A180" s="804"/>
      <c r="B180" s="809" t="str">
        <f ca="1">IFERROR(IF(INDEX('Coverage Indicators - Section D'!AM$1:AM$110,MATCH('Print View'!$A179,'Coverage Indicators - Section D'!$A$1:$A$110,0))&lt;&gt;0,INDEX('Coverage Indicators - Section D'!AM$1:AM$110,MATCH('Print View'!$A179,'Coverage Indicators - Section D'!$A$1:$A$110,0)),""),"")</f>
        <v/>
      </c>
      <c r="C180" s="810"/>
      <c r="D180" s="810"/>
      <c r="E180" s="810"/>
      <c r="F180" s="810"/>
      <c r="G180" s="810"/>
      <c r="H180" s="810"/>
      <c r="I180" s="811"/>
      <c r="J180" s="811"/>
      <c r="K180" s="811"/>
      <c r="L180" s="811"/>
      <c r="M180" s="811"/>
      <c r="N180" s="811"/>
      <c r="O180" s="811"/>
      <c r="P180" s="811"/>
      <c r="Q180" s="811"/>
      <c r="R180" s="811"/>
      <c r="S180" s="812"/>
      <c r="T180" s="314"/>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803"/>
      <c r="AU180" s="802"/>
      <c r="AV180" s="802"/>
      <c r="AW180" s="802"/>
      <c r="AX180" s="802"/>
      <c r="AY180" s="802"/>
      <c r="AZ180" s="802"/>
      <c r="BA180" s="802"/>
      <c r="BB180" s="228"/>
      <c r="BC180" s="121"/>
    </row>
    <row r="181" spans="1:55" s="106" customFormat="1" ht="177" customHeight="1" x14ac:dyDescent="0.35">
      <c r="A181" s="801">
        <v>17</v>
      </c>
      <c r="B181" s="395" t="str">
        <f ca="1">IFERROR(IF(INDEX('Coverage Indicators - Section D'!B$1:B$100,MATCH('Print View'!$A181,'Coverage Indicators - Section D'!$A$1:$A$100,0))&lt;&gt;0,INDEX('Coverage Indicators - Section D'!B$1:B$100,MATCH('Print View'!$A181,'Coverage Indicators - Section D'!$A$1:$A$100,0)),""),"")</f>
        <v>Tratamiento, atención y apoyo</v>
      </c>
      <c r="C181" s="395" t="str">
        <f ca="1">IFERROR(IF(INDEX('Coverage Indicators - Section D'!D$1:D$100,MATCH('Print View'!$A181,'Coverage Indicators - Section D'!$A$1:$A$100,0))&lt;&gt;0,INDEX('Coverage Indicators - Section D'!D$1:D$100,MATCH('Print View'!$A181,'Coverage Indicators - Section D'!$A$1:$A$100,0)),""),"")</f>
        <v/>
      </c>
      <c r="D181" s="395" t="str">
        <f ca="1">IFERROR(IF(INDEX('Coverage Indicators - Section D'!E$1:E$100,MATCH('Print View'!$A181,'Coverage Indicators - Section D'!$A$1:$A$100,0))&lt;&gt;0,INDEX('Coverage Indicators - Section D'!E$1:E$100,MATCH('Print View'!$A181,'Coverage Indicators - Section D'!$A$1:$A$100,0)),""),"")</f>
        <v>TCS-Other1 Porcentaje de personas en TARV a quienes se les ha realizado una prueba de carga viral en los últimos 6 meses.</v>
      </c>
      <c r="E181" s="396" t="str">
        <f ca="1">IFERROR(IF(INDEX('Coverage Indicators - Section D'!F$1:F$100,MATCH('Print View'!$A181,'Coverage Indicators - Section D'!$A$1:$A$100,0))&lt;&gt;"",INDEX('Coverage Indicators - Section D'!F$1:F$100,MATCH('Print View'!$A181,'Coverage Indicators - Section D'!$A$1:$A$100,0)),""),"")&amp;"/"&amp;IFERROR(IF(INDEX('Coverage Indicators - Section D'!F$1:F$100,MATCH('Print View'!$A181,'Coverage Indicators - Section D'!$A$1:$A$100,0)+1)&lt;&gt;"",INDEX('Coverage Indicators - Section D'!F$1:F$100,MATCH('Print View'!$A181,'Coverage Indicators - Section D'!$A$1:$A$100,0)+1),""),"")&amp;CHAR(10)&amp;IFERROR(IF(INDEX('Coverage Indicators - Section D'!G$1:G$100,MATCH('Print View'!$A181,'Coverage Indicators - Section D'!$A$1:$A$100,0))&lt;&gt;"",FIXED(INDEX('Coverage Indicators - Section D'!G$1:G$100,MATCH('Print View'!$A181,'Coverage Indicators - Section D'!$A$1:$A$100,0))*100,2)&amp;"%",""),"")</f>
        <v>8570/13336
64.00%</v>
      </c>
      <c r="F181" s="397"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2020
SUMEVE</v>
      </c>
      <c r="G181" s="398" t="str">
        <f>IFERROR(IF(INDEX('Coverage Indicators - Section D'!J41:J70,MATCH('Print View'!$A181,'Coverage Indicators - Section D'!$A$9:$A$38,0))&lt;&gt;0,INDEX('Coverage Indicators - Section D'!J41:J70,MATCH('Print View'!$A181,'Coverage Indicators - Section D'!$A$9:$A$38,0)),""),"")</f>
        <v/>
      </c>
      <c r="H181" s="399" t="str">
        <f ca="1">IFERROR(IF(INDEX('Coverage Indicators - Section D'!K$1:K$100,MATCH('Print View'!$A181,'Coverage Indicators - Section D'!$A$1:$A$100,0))&lt;&gt;0,INDEX('Coverage Indicators - Section D'!K$1:K$100,MATCH('Print View'!$A181,'Coverage Indicators - Section D'!$A$1:$A$100,0)),""),"")</f>
        <v>Yes</v>
      </c>
      <c r="I181" s="398" t="str">
        <f ca="1">IFERROR(IF(AND('Overview - Section A'!AN$5="Grant Making",OR(C181&lt;&gt;"",D181&lt;&gt;"")),Setup!I15,IF(INDEX('Coverage Indicators - Section D'!L$1:L$100,MATCH('Print View'!$A181,'Coverage Indicators - Section D'!$A$1:$A$100,0))&lt;&gt;0,INDEX('Coverage Indicators - Section D'!L$1:L$100,MATCH('Print View'!$A181,'Coverage Indicators - Section D'!$A$1:$A$100,0)),"")),"")</f>
        <v>Ministry of Health of the Republic of El Salvador</v>
      </c>
      <c r="J181" s="396"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El Salvador
Geographic National, 100% of national program target</v>
      </c>
      <c r="K181" s="396" t="str">
        <f ca="1">IFERROR(IF(INDEX('Coverage Indicators - Section D'!N$1:N$100,MATCH('Print View'!$A181,'Coverage Indicators - Section D'!$A$1:$A$100,0))&lt;&gt;0,INDEX('Coverage Indicators - Section D'!N$1:N$100,MATCH('Print View'!$A181,'Coverage Indicators - Section D'!$A$1:$A$100,0)),""),"")</f>
        <v/>
      </c>
      <c r="L181" s="396" t="str">
        <f ca="1">IFERROR(IF(INDEX('Coverage Indicators - Section D'!O$1:O$100,MATCH('Print View'!$A181,'Coverage Indicators - Section D'!$A$1:$A$100,0))&lt;&gt;"",INDEX('Coverage Indicators - Section D'!O$1:O$100,MATCH('Print View'!$A181,'Coverage Indicators - Section D'!$A$1:$A$100,0)),""),"")&amp;"/"&amp;IFERROR(IF(INDEX('Coverage Indicators - Section D'!O$1:O$100,MATCH('Print View'!$A181,'Coverage Indicators - Section D'!$A$1:$A$100,0)+1)&lt;&gt;"",INDEX('Coverage Indicators - Section D'!O$1:O$100,MATCH('Print View'!$A181,'Coverage Indicators - Section D'!$A$1:$A$100,0)+1),""),"")&amp;CHAR(10)&amp;IFERROR(IF(INDEX('Coverage Indicators - Section D'!P$1:P$100,MATCH('Print View'!$A181,'Coverage Indicators - Section D'!$A$1:$A$100,0))&lt;&gt;"",FIXED(INDEX('Coverage Indicators - Section D'!P$1:P$100,MATCH('Print View'!$A181,'Coverage Indicators - Section D'!$A$1:$A$100,0))*100,2)&amp;"%",""),"")&amp;CHAR(10)&amp;IFERROR(IF(INDEX('Coverage Indicators - Section D'!Q$1:Q$100,MATCH('Print View'!$A181,'Coverage Indicators - Section D'!$A$1:$A$100,0))&lt;&gt;"",INDEX('Coverage Indicators - Section D'!Q$1:Q$100,MATCH('Print View'!$A181,'Coverage Indicators - Section D'!$A$1:$A$100,0)),""),"")</f>
        <v xml:space="preserve">/
67.00%
</v>
      </c>
      <c r="M181" s="397" t="str">
        <f ca="1">IFERROR(IF(INDEX('Coverage Indicators - Section D'!R$1:R$100,MATCH('Print View'!$A181,'Coverage Indicators - Section D'!$A$1:$A$100,0))&lt;&gt;"",INDEX('Coverage Indicators - Section D'!R$1:R$100,MATCH('Print View'!$A181,'Coverage Indicators - Section D'!$A$1:$A$100,0)),""),"")&amp;"/"&amp;IFERROR(IF(INDEX('Coverage Indicators - Section D'!R$1:R$100,MATCH('Print View'!$A181,'Coverage Indicators - Section D'!$A$1:$A$100,0)+1)&lt;&gt;"",INDEX('Coverage Indicators - Section D'!R$1:R$100,MATCH('Print View'!$A181,'Coverage Indicators - Section D'!$A$1:$A$100,0)+1),""),"")&amp;CHAR(10)&amp;IFERROR(IF(INDEX('Coverage Indicators - Section D'!S$1:S$100,MATCH('Print View'!$A181,'Coverage Indicators - Section D'!$A$1:$A$100,0))&lt;&gt;"",FIXED(INDEX('Coverage Indicators - Section D'!S$1:S$100,MATCH('Print View'!$A181,'Coverage Indicators - Section D'!$A$1:$A$100,0))*100,2)&amp;"%",""),"")&amp;CHAR(10)&amp;IFERROR(IF(INDEX('Coverage Indicators - Section D'!T$1:T$100,MATCH('Print View'!$A181,'Coverage Indicators - Section D'!$A$1:$A$100,0))&lt;&gt;"",INDEX('Coverage Indicators - Section D'!T$1:T$100,MATCH('Print View'!$A181,'Coverage Indicators - Section D'!$A$1:$A$100,0)),""),"")</f>
        <v xml:space="preserve">/
70.00%
</v>
      </c>
      <c r="N181" s="396" t="str">
        <f ca="1">IFERROR(IF(INDEX('Coverage Indicators - Section D'!U$1:U$100,MATCH('Print View'!$A181,'Coverage Indicators - Section D'!$A$1:$A$100,0))&lt;&gt;"",INDEX('Coverage Indicators - Section D'!U$1:U$100,MATCH('Print View'!$A181,'Coverage Indicators - Section D'!$A$1:$A$100,0)),""),"")&amp;"/"&amp;IFERROR(IF(INDEX('Coverage Indicators - Section D'!U$1:U$100,MATCH('Print View'!$A181,'Coverage Indicators - Section D'!$A$1:$A$100,0)+1)&lt;&gt;"",INDEX('Coverage Indicators - Section D'!U$1:U$100,MATCH('Print View'!$A181,'Coverage Indicators - Section D'!$A$1:$A$100,0)+1),""),"")&amp;CHAR(10)&amp;IFERROR(IF(INDEX('Coverage Indicators - Section D'!V$1:V$100,MATCH('Print View'!$A181,'Coverage Indicators - Section D'!$A$1:$A$100,0))&lt;&gt;"",FIXED(INDEX('Coverage Indicators - Section D'!V$1:V$100,MATCH('Print View'!$A181,'Coverage Indicators - Section D'!$A$1:$A$100,0))*100,2)&amp;"%",""),"")&amp;CHAR(10)&amp;IFERROR(IF(INDEX('Coverage Indicators - Section D'!W$1:W$100,MATCH('Print View'!$A181,'Coverage Indicators - Section D'!$A$1:$A$100,0))&lt;&gt;"",INDEX('Coverage Indicators - Section D'!W$1:W$100,MATCH('Print View'!$A181,'Coverage Indicators - Section D'!$A$1:$A$100,0)),""),"")</f>
        <v xml:space="preserve">/
73.00%
</v>
      </c>
      <c r="O181" s="397" t="str">
        <f ca="1">IFERROR(IF(INDEX('Coverage Indicators - Section D'!X$1:X$100,MATCH('Print View'!$A181,'Coverage Indicators - Section D'!$A$1:$A$100,0))&lt;&gt;"",INDEX('Coverage Indicators - Section D'!X$1:X$100,MATCH('Print View'!$A181,'Coverage Indicators - Section D'!$A$1:$A$100,0)),""),"")&amp;"/"&amp;IFERROR(IF(INDEX('Coverage Indicators - Section D'!X$1:X$100,MATCH('Print View'!$A181,'Coverage Indicators - Section D'!$A$1:$A$100,0)+1)&lt;&gt;"",INDEX('Coverage Indicators - Section D'!X$1:X$100,MATCH('Print View'!$A181,'Coverage Indicators - Section D'!$A$1:$A$100,0)+1),""),"")&amp;CHAR(10)&amp;IFERROR(IF(INDEX('Coverage Indicators - Section D'!Y$1:Y$100,MATCH('Print View'!$A181,'Coverage Indicators - Section D'!$A$1:$A$100,0))&lt;&gt;"",FIXED(INDEX('Coverage Indicators - Section D'!Y$1:Y$100,MATCH('Print View'!$A181,'Coverage Indicators - Section D'!$A$1:$A$100,0))*100,2)&amp;"%",""),"")&amp;CHAR(10)&amp;IFERROR(IF(INDEX('Coverage Indicators - Section D'!Z$1:Z$100,MATCH('Print View'!$A181,'Coverage Indicators - Section D'!$A$1:$A$100,0))&lt;&gt;"",INDEX('Coverage Indicators - Section D'!Z$1:Z$100,MATCH('Print View'!$A181,'Coverage Indicators - Section D'!$A$1:$A$100,0)),""),"")</f>
        <v xml:space="preserve">/
</v>
      </c>
      <c r="P181" s="397" t="str">
        <f ca="1">IFERROR(IF(INDEX('Coverage Indicators - Section D'!AA$1:AA$100,MATCH('Print View'!$A181,'Coverage Indicators - Section D'!$A$1:$A$100,0))&lt;&gt;"",INDEX('Coverage Indicators - Section D'!AA$1:AA$100,MATCH('Print View'!$A181,'Coverage Indicators - Section D'!$A$1:$A$100,0)),""),"")&amp;"/"&amp;IFERROR(IF(INDEX('Coverage Indicators - Section D'!AA$1:AA$100,MATCH('Print View'!$A181,'Coverage Indicators - Section D'!$A$1:$A$100,0)+1)&lt;&gt;"",INDEX('Coverage Indicators - Section D'!AA$1:AA$100,MATCH('Print View'!$A181,'Coverage Indicators - Section D'!$A$1:$A$100,0)+1),""),"")&amp;CHAR(10)&amp;IFERROR(IF(INDEX('Coverage Indicators - Section D'!AB$1:AB$100,MATCH('Print View'!$A181,'Coverage Indicators - Section D'!$A$1:$A$100,0))&lt;&gt;"",FIXED(INDEX('Coverage Indicators - Section D'!AB$1:AB$100,MATCH('Print View'!$A181,'Coverage Indicators - Section D'!$A$1:$A$100,0))*100,2)&amp;"%",""),"")&amp;CHAR(10)&amp;IFERROR(IF(INDEX('Coverage Indicators - Section D'!AC$1:AC$100,MATCH('Print View'!$A181,'Coverage Indicators - Section D'!$A$1:$A$100,0))&lt;&gt;"",INDEX('Coverage Indicators - Section D'!AC$1:AC$100,MATCH('Print View'!$A181,'Coverage Indicators - Section D'!$A$1:$A$100,0)),""),"")</f>
        <v xml:space="preserve">/
</v>
      </c>
      <c r="Q181" s="397" t="str">
        <f ca="1">IFERROR(IF(INDEX('Coverage Indicators - Section D'!AD$1:AD$100,MATCH('Print View'!$A181,'Coverage Indicators - Section D'!$A$1:$A$100,0))&lt;&gt;"",INDEX('Coverage Indicators - Section D'!AD$1:AD$100,MATCH('Print View'!$A181,'Coverage Indicators - Section D'!$A$1:$A$100,0)),""),"")&amp;"/"&amp;IFERROR(IF(INDEX('Coverage Indicators - Section D'!AD$1:AD$100,MATCH('Print View'!$A181,'Coverage Indicators - Section D'!$A$1:$A$100,0)+1)&lt;&gt;"",INDEX('Coverage Indicators - Section D'!AD$1:AD$100,MATCH('Print View'!$A181,'Coverage Indicators - Section D'!$A$1:$A$100,0)+1),""),"")&amp;CHAR(10)&amp;IFERROR(IF(INDEX('Coverage Indicators - Section D'!AE$1:AE$100,MATCH('Print View'!$A181,'Coverage Indicators - Section D'!$A$1:$A$100,0))&lt;&gt;"",FIXED(INDEX('Coverage Indicators - Section D'!AE$1:AE$100,MATCH('Print View'!$A181,'Coverage Indicators - Section D'!$A$1:$A$100,0))*100,2)&amp;"%",""),"")&amp;CHAR(10)&amp;IFERROR(IF(INDEX('Coverage Indicators - Section D'!AF$1:AF$100,MATCH('Print View'!$A181,'Coverage Indicators - Section D'!$A$1:$A$100,0))&lt;&gt;"",INDEX('Coverage Indicators - Section D'!AF$1:AF$100,MATCH('Print View'!$A181,'Coverage Indicators - Section D'!$A$1:$A$100,0)),""),"")</f>
        <v xml:space="preserve">/
</v>
      </c>
      <c r="R181" s="397" t="str">
        <f ca="1">IFERROR(IF(INDEX('Coverage Indicators - Section D'!AG$1:AG$100,MATCH('Print View'!$A181,'Coverage Indicators - Section D'!$A$1:$A$100,0))&lt;&gt;"",INDEX('Coverage Indicators - Section D'!AG$1:AG$100,MATCH('Print View'!$A181,'Coverage Indicators - Section D'!$A$1:$A$100,0)),""),"")&amp;"/"&amp;IFERROR(IF(INDEX('Coverage Indicators - Section D'!AG$1:AG$100,MATCH('Print View'!$A181,'Coverage Indicators - Section D'!$A$1:$A$100,0)+1)&lt;&gt;"",INDEX('Coverage Indicators - Section D'!AG$1:AG$100,MATCH('Print View'!$A181,'Coverage Indicators - Section D'!$A$1:$A$100,0)+1),""),"")&amp;CHAR(10)&amp;IFERROR(IF(INDEX('Coverage Indicators - Section D'!AH$1:AH$100,MATCH('Print View'!$A181,'Coverage Indicators - Section D'!$A$1:$A$100,0))&lt;&gt;"",FIXED(INDEX('Coverage Indicators - Section D'!AH$1:AH$100,MATCH('Print View'!$A181,'Coverage Indicators - Section D'!$A$1:$A$100,0))*100,2)&amp;"%",""),"")&amp;CHAR(10)&amp;IFERROR(IF(INDEX('Coverage Indicators - Section D'!AI$1:AI$100,MATCH('Print View'!$A181,'Coverage Indicators - Section D'!$A$1:$A$100,0))&lt;&gt;"",INDEX('Coverage Indicators - Section D'!AI$1:AI$100,MATCH('Print View'!$A181,'Coverage Indicators - Section D'!$A$1:$A$100,0)),""),"")</f>
        <v xml:space="preserve">/
</v>
      </c>
      <c r="S181" s="397" t="str">
        <f ca="1">IFERROR(IF(INDEX('Coverage Indicators - Section D'!AJ$1:AJ$100,MATCH('Print View'!$A181,'Coverage Indicators - Section D'!$A$1:$A$100,0))&lt;&gt;"",INDEX('Coverage Indicators - Section D'!AJ$1:AJ$100,MATCH('Print View'!$A181,'Coverage Indicators - Section D'!$A$1:$A$100,0)),""),"")&amp;"/"&amp;IFERROR(IF(INDEX('Coverage Indicators - Section D'!AJ$1:AJ$100,MATCH('Print View'!$A181,'Coverage Indicators - Section D'!$A$1:$A$100,0)+1)&lt;&gt;"",INDEX('Coverage Indicators - Section D'!AJ$1:AJ$100,MATCH('Print View'!$A181,'Coverage Indicators - Section D'!$A$1:$A$100,0)+1),""),"")&amp;CHAR(10)&amp;IFERROR(IF(INDEX('Coverage Indicators - Section D'!AK$1:AK$100,MATCH('Print View'!$A181,'Coverage Indicators - Section D'!$A$1:$A$100,0))&lt;&gt;"",FIXED(INDEX('Coverage Indicators - Section D'!AK$1:AK$100,MATCH('Print View'!$A181,'Coverage Indicators - Section D'!$A$1:$A$100,0))*100,2)&amp;"%",""),"")&amp;CHAR(10)&amp;IFERROR(IF(INDEX('Coverage Indicators - Section D'!AL$1:AL$100,MATCH('Print View'!$A181,'Coverage Indicators - Section D'!$A$1:$A$100,0))&lt;&gt;"",INDEX('Coverage Indicators - Section D'!AL$1:AL$100,MATCH('Print View'!$A181,'Coverage Indicators - Section D'!$A$1:$A$100,0)),""),"")</f>
        <v xml:space="preserve">/
</v>
      </c>
      <c r="T181" s="310"/>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t="str">
        <f ca="1">IFERROR(IF(INDEX('Coverage Indicators - Section D'!AD$1:AD$110,MATCH('Print View'!$A181,'Coverage Indicators - Section D'!$A$1:$A$110,0))&lt;&gt;0,INDEX('Coverage Indicators - Section D'!AD$1:AD$110,MATCH('Print View'!$A181,'Coverage Indicators - Section D'!$A$1:$A$110,0)),""),"")</f>
        <v/>
      </c>
      <c r="AP181" s="223"/>
      <c r="AQ181" s="223"/>
      <c r="AR181" s="223"/>
      <c r="AS181" s="223"/>
      <c r="AT181" s="803" t="str">
        <f ca="1">CONCATENATE($A181,N$147)</f>
        <v>1731-Dec-24</v>
      </c>
      <c r="AU181" s="802" t="str">
        <f ca="1">CONCATENATE($A181,Q$147)</f>
        <v>1731-Dec-27</v>
      </c>
      <c r="AV181" s="802" t="str">
        <f>CONCATENATE($A181,V$147)</f>
        <v>17</v>
      </c>
      <c r="AW181" s="802" t="str">
        <f>CONCATENATE($A181,Y$147)</f>
        <v>17</v>
      </c>
      <c r="AX181" s="802" t="str">
        <f>CONCATENATE($A181,AB$147)</f>
        <v>17</v>
      </c>
      <c r="AY181" s="802" t="str">
        <f>CONCATENATE($A181,AE$147)</f>
        <v>17</v>
      </c>
      <c r="AZ181" s="802" t="str">
        <f>CONCATENATE($A181,AH$147)</f>
        <v>17</v>
      </c>
      <c r="BA181" s="802" t="str">
        <f>CONCATENATE($A181,AK$147)</f>
        <v>17</v>
      </c>
      <c r="BB181" s="228"/>
      <c r="BC181" s="121"/>
    </row>
    <row r="182" spans="1:55" s="106" customFormat="1" ht="88.4" customHeight="1" x14ac:dyDescent="0.35">
      <c r="A182" s="801"/>
      <c r="B182" s="806" t="str">
        <f ca="1">IFERROR(IF(INDEX('Coverage Indicators - Section D'!AM$1:AM$110,MATCH('Print View'!$A181,'Coverage Indicators - Section D'!$A$1:$A$110,0))&lt;&gt;0,INDEX('Coverage Indicators - Section D'!AM$1:AM$110,MATCH('Print View'!$A181,'Coverage Indicators - Section D'!$A$1:$A$110,0)),""),"")</f>
        <v xml:space="preserve">Línea de base 64.3% correspondiente al año 2020, fuente SUMEVE.
Numerador: Número de personas en TARV a quienes se les ha realizado una prueba de carga viral en los últimos 6 meses durante el periodo del informe.
Denominador: Número total de personas que se encuentran en TAR durante el periodo del informe.
Supuestos: Este indicador reportara el numero de personas en TAR al cual se le ha logrado realizar una prueba de CV en los últimos 6 meses durante el periodo del informe que se encuentren registradas en el sistema de información e incluye los usuarios del ISSS.
Se ha considerado un incremento anual del 3% para cada año de la subvención, bajo el criterio que se incorporaran los datos del ISSS, se continuara con la descetralización de la toma y procesamiento de la CV y la incorporación del inicio rápido de tratamiento en las guías clinicas nacionales de atención al VIH.
Tanto el numerador como el denominador será reportado según datos reales registrados en el SUMEVE correspondientes al período a reportar
Fuente: SUMEVE.
</v>
      </c>
      <c r="C182" s="807"/>
      <c r="D182" s="807"/>
      <c r="E182" s="807"/>
      <c r="F182" s="807"/>
      <c r="G182" s="807"/>
      <c r="H182" s="807"/>
      <c r="I182" s="807"/>
      <c r="J182" s="807"/>
      <c r="K182" s="807"/>
      <c r="L182" s="807"/>
      <c r="M182" s="807"/>
      <c r="N182" s="807"/>
      <c r="O182" s="807"/>
      <c r="P182" s="807"/>
      <c r="Q182" s="807"/>
      <c r="R182" s="807"/>
      <c r="S182" s="808"/>
      <c r="T182" s="312"/>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803"/>
      <c r="AU182" s="802"/>
      <c r="AV182" s="802"/>
      <c r="AW182" s="802"/>
      <c r="AX182" s="802"/>
      <c r="AY182" s="802"/>
      <c r="AZ182" s="802"/>
      <c r="BA182" s="802"/>
      <c r="BB182" s="228"/>
      <c r="BC182" s="121"/>
    </row>
    <row r="183" spans="1:55" s="106" customFormat="1" ht="177" customHeight="1" x14ac:dyDescent="0.35">
      <c r="A183" s="804">
        <v>18</v>
      </c>
      <c r="B183" s="385" t="str">
        <f ca="1">IFERROR(IF(INDEX('Coverage Indicators - Section D'!B$1:B$100,MATCH('Print View'!$A183,'Coverage Indicators - Section D'!$A$1:$A$100,0))&lt;&gt;0,INDEX('Coverage Indicators - Section D'!B$1:B$100,MATCH('Print View'!$A183,'Coverage Indicators - Section D'!$A$1:$A$100,0)),""),"")</f>
        <v>Servicios diferenciados de diagnóstico del VIH</v>
      </c>
      <c r="C183" s="385" t="str">
        <f ca="1">IFERROR(IF(INDEX('Coverage Indicators - Section D'!D$1:D$100,MATCH('Print View'!$A183,'Coverage Indicators - Section D'!$A$1:$A$100,0))&lt;&gt;0,INDEX('Coverage Indicators - Section D'!D$1:D$100,MATCH('Print View'!$A183,'Coverage Indicators - Section D'!$A$1:$A$100,0)),""),"")</f>
        <v>HTS-3a⁽ᴹ⁾ Porcentaje de HSH a los que se les ha realizado una prueba de VIH durante el período de reporte y que conocen sus resultados</v>
      </c>
      <c r="D183" s="385" t="str">
        <f ca="1">IFERROR(IF(INDEX('Coverage Indicators - Section D'!E$1:E$100,MATCH('Print View'!$A183,'Coverage Indicators - Section D'!$A$1:$A$100,0))&lt;&gt;0,INDEX('Coverage Indicators - Section D'!E$1:E$100,MATCH('Print View'!$A183,'Coverage Indicators - Section D'!$A$1:$A$100,0)),""),"")</f>
        <v/>
      </c>
      <c r="E183" s="386" t="str">
        <f ca="1">IFERROR(IF(INDEX('Coverage Indicators - Section D'!F$1:F$100,MATCH('Print View'!$A183,'Coverage Indicators - Section D'!$A$1:$A$100,0))&lt;&gt;"",INDEX('Coverage Indicators - Section D'!F$1:F$100,MATCH('Print View'!$A183,'Coverage Indicators - Section D'!$A$1:$A$100,0)),""),"")&amp;"/"&amp;IFERROR(IF(INDEX('Coverage Indicators - Section D'!F$1:F$100,MATCH('Print View'!$A183,'Coverage Indicators - Section D'!$A$1:$A$100,0)+1)&lt;&gt;"",INDEX('Coverage Indicators - Section D'!F$1:F$100,MATCH('Print View'!$A183,'Coverage Indicators - Section D'!$A$1:$A$100,0)+1),""),"")&amp;CHAR(10)&amp;IFERROR(IF(INDEX('Coverage Indicators - Section D'!G$1:G$100,MATCH('Print View'!$A183,'Coverage Indicators - Section D'!$A$1:$A$100,0))&lt;&gt;"",FIXED(INDEX('Coverage Indicators - Section D'!G$1:G$100,MATCH('Print View'!$A183,'Coverage Indicators - Section D'!$A$1:$A$100,0))*100,2)&amp;"%",""),"")</f>
        <v>11129/54140
20.56%</v>
      </c>
      <c r="F183" s="400"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2020
SUMEVE</v>
      </c>
      <c r="G183" s="401" t="str">
        <f>IFERROR(IF(INDEX('Coverage Indicators - Section D'!J41:J70,MATCH('Print View'!$A183,'Coverage Indicators - Section D'!$A$9:$A$38,0))&lt;&gt;0,INDEX('Coverage Indicators - Section D'!J41:J70,MATCH('Print View'!$A183,'Coverage Indicators - Section D'!$A$9:$A$38,0)),""),"")</f>
        <v/>
      </c>
      <c r="H183" s="400" t="str">
        <f ca="1">IFERROR(IF(INDEX('Coverage Indicators - Section D'!K$1:K$100,MATCH('Print View'!$A183,'Coverage Indicators - Section D'!$A$1:$A$100,0))&lt;&gt;0,INDEX('Coverage Indicators - Section D'!K$1:K$100,MATCH('Print View'!$A183,'Coverage Indicators - Section D'!$A$1:$A$100,0)),""),"")</f>
        <v>Yes</v>
      </c>
      <c r="I183" s="401" t="str">
        <f ca="1">IFERROR(IF(AND('Overview - Section A'!AN$5="Grant Making",OR(C183&lt;&gt;"",D183&lt;&gt;"")),Setup!I15,IF(INDEX('Coverage Indicators - Section D'!L$1:L$100,MATCH('Print View'!$A183,'Coverage Indicators - Section D'!$A$1:$A$100,0))&lt;&gt;0,INDEX('Coverage Indicators - Section D'!L$1:L$100,MATCH('Print View'!$A183,'Coverage Indicators - Section D'!$A$1:$A$100,0)),"")),"")</f>
        <v>Ministry of Health of the Republic of El Salvador</v>
      </c>
      <c r="J183" s="400"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El Salvador
Geographic National, 100% of national program target</v>
      </c>
      <c r="K183" s="400" t="str">
        <f ca="1">IFERROR(IF(INDEX('Coverage Indicators - Section D'!N$1:N$100,MATCH('Print View'!$A183,'Coverage Indicators - Section D'!$A$1:$A$100,0))&lt;&gt;0,INDEX('Coverage Indicators - Section D'!N$1:N$100,MATCH('Print View'!$A183,'Coverage Indicators - Section D'!$A$1:$A$100,0)),""),"")</f>
        <v/>
      </c>
      <c r="L183" s="402" t="str">
        <f ca="1">IFERROR(IF(INDEX('Coverage Indicators - Section D'!O$1:O$100,MATCH('Print View'!$A183,'Coverage Indicators - Section D'!$A$1:$A$100,0))&lt;&gt;"",INDEX('Coverage Indicators - Section D'!O$1:O$100,MATCH('Print View'!$A183,'Coverage Indicators - Section D'!$A$1:$A$100,0)),""),"")&amp;"/"&amp;IFERROR(IF(INDEX('Coverage Indicators - Section D'!O$1:O$100,MATCH('Print View'!$A183,'Coverage Indicators - Section D'!$A$1:$A$100,0)+1)&lt;&gt;"",INDEX('Coverage Indicators - Section D'!O$1:O$100,MATCH('Print View'!$A183,'Coverage Indicators - Section D'!$A$1:$A$100,0)+1),""),"")&amp;CHAR(10)&amp;IFERROR(IF(INDEX('Coverage Indicators - Section D'!P$1:P$100,MATCH('Print View'!$A183,'Coverage Indicators - Section D'!$A$1:$A$100,0))&lt;&gt;"",FIXED(INDEX('Coverage Indicators - Section D'!P$1:P$100,MATCH('Print View'!$A183,'Coverage Indicators - Section D'!$A$1:$A$100,0))*100,2)&amp;"%",""),"")&amp;CHAR(10)&amp;IFERROR(IF(INDEX('Coverage Indicators - Section D'!Q$1:Q$100,MATCH('Print View'!$A183,'Coverage Indicators - Section D'!$A$1:$A$100,0))&lt;&gt;"",INDEX('Coverage Indicators - Section D'!Q$1:Q$100,MATCH('Print View'!$A183,'Coverage Indicators - Section D'!$A$1:$A$100,0)),""),"")</f>
        <v xml:space="preserve">20152/54140
37.22%
</v>
      </c>
      <c r="M183" s="402" t="str">
        <f ca="1">IFERROR(IF(INDEX('Coverage Indicators - Section D'!R$1:R$100,MATCH('Print View'!$A183,'Coverage Indicators - Section D'!$A$1:$A$100,0))&lt;&gt;"",INDEX('Coverage Indicators - Section D'!R$1:R$100,MATCH('Print View'!$A183,'Coverage Indicators - Section D'!$A$1:$A$100,0)),""),"")&amp;"/"&amp;IFERROR(IF(INDEX('Coverage Indicators - Section D'!R$1:R$100,MATCH('Print View'!$A183,'Coverage Indicators - Section D'!$A$1:$A$100,0)+1)&lt;&gt;"",INDEX('Coverage Indicators - Section D'!R$1:R$100,MATCH('Print View'!$A183,'Coverage Indicators - Section D'!$A$1:$A$100,0)+1),""),"")&amp;CHAR(10)&amp;IFERROR(IF(INDEX('Coverage Indicators - Section D'!S$1:S$100,MATCH('Print View'!$A183,'Coverage Indicators - Section D'!$A$1:$A$100,0))&lt;&gt;"",FIXED(INDEX('Coverage Indicators - Section D'!S$1:S$100,MATCH('Print View'!$A183,'Coverage Indicators - Section D'!$A$1:$A$100,0))*100,2)&amp;"%",""),"")&amp;CHAR(10)&amp;IFERROR(IF(INDEX('Coverage Indicators - Section D'!T$1:T$100,MATCH('Print View'!$A183,'Coverage Indicators - Section D'!$A$1:$A$100,0))&lt;&gt;"",INDEX('Coverage Indicators - Section D'!T$1:T$100,MATCH('Print View'!$A183,'Coverage Indicators - Section D'!$A$1:$A$100,0)),""),"")</f>
        <v xml:space="preserve">20555/54140
37.97%
</v>
      </c>
      <c r="N183" s="402" t="str">
        <f ca="1">IFERROR(IF(INDEX('Coverage Indicators - Section D'!U$1:U$100,MATCH('Print View'!$A183,'Coverage Indicators - Section D'!$A$1:$A$100,0))&lt;&gt;"",INDEX('Coverage Indicators - Section D'!U$1:U$100,MATCH('Print View'!$A183,'Coverage Indicators - Section D'!$A$1:$A$100,0)),""),"")&amp;"/"&amp;IFERROR(IF(INDEX('Coverage Indicators - Section D'!U$1:U$100,MATCH('Print View'!$A183,'Coverage Indicators - Section D'!$A$1:$A$100,0)+1)&lt;&gt;"",INDEX('Coverage Indicators - Section D'!U$1:U$100,MATCH('Print View'!$A183,'Coverage Indicators - Section D'!$A$1:$A$100,0)+1),""),"")&amp;CHAR(10)&amp;IFERROR(IF(INDEX('Coverage Indicators - Section D'!V$1:V$100,MATCH('Print View'!$A183,'Coverage Indicators - Section D'!$A$1:$A$100,0))&lt;&gt;"",FIXED(INDEX('Coverage Indicators - Section D'!V$1:V$100,MATCH('Print View'!$A183,'Coverage Indicators - Section D'!$A$1:$A$100,0))*100,2)&amp;"%",""),"")&amp;CHAR(10)&amp;IFERROR(IF(INDEX('Coverage Indicators - Section D'!W$1:W$100,MATCH('Print View'!$A183,'Coverage Indicators - Section D'!$A$1:$A$100,0))&lt;&gt;"",INDEX('Coverage Indicators - Section D'!W$1:W$100,MATCH('Print View'!$A183,'Coverage Indicators - Section D'!$A$1:$A$100,0)),""),"")</f>
        <v xml:space="preserve">20966/54140
38.73%
</v>
      </c>
      <c r="O183" s="402" t="str">
        <f ca="1">IFERROR(IF(INDEX('Coverage Indicators - Section D'!X$1:X$100,MATCH('Print View'!$A183,'Coverage Indicators - Section D'!$A$1:$A$100,0))&lt;&gt;"",INDEX('Coverage Indicators - Section D'!X$1:X$100,MATCH('Print View'!$A183,'Coverage Indicators - Section D'!$A$1:$A$100,0)),""),"")&amp;"/"&amp;IFERROR(IF(INDEX('Coverage Indicators - Section D'!X$1:X$100,MATCH('Print View'!$A183,'Coverage Indicators - Section D'!$A$1:$A$100,0)+1)&lt;&gt;"",INDEX('Coverage Indicators - Section D'!X$1:X$100,MATCH('Print View'!$A183,'Coverage Indicators - Section D'!$A$1:$A$100,0)+1),""),"")&amp;CHAR(10)&amp;IFERROR(IF(INDEX('Coverage Indicators - Section D'!Y$1:Y$100,MATCH('Print View'!$A183,'Coverage Indicators - Section D'!$A$1:$A$100,0))&lt;&gt;"",FIXED(INDEX('Coverage Indicators - Section D'!Y$1:Y$100,MATCH('Print View'!$A183,'Coverage Indicators - Section D'!$A$1:$A$100,0))*100,2)&amp;"%",""),"")&amp;CHAR(10)&amp;IFERROR(IF(INDEX('Coverage Indicators - Section D'!Z$1:Z$100,MATCH('Print View'!$A183,'Coverage Indicators - Section D'!$A$1:$A$100,0))&lt;&gt;"",INDEX('Coverage Indicators - Section D'!Z$1:Z$100,MATCH('Print View'!$A183,'Coverage Indicators - Section D'!$A$1:$A$100,0)),""),"")</f>
        <v xml:space="preserve">/
</v>
      </c>
      <c r="P183" s="402" t="str">
        <f ca="1">IFERROR(IF(INDEX('Coverage Indicators - Section D'!AA$1:AA$100,MATCH('Print View'!$A183,'Coverage Indicators - Section D'!$A$1:$A$100,0))&lt;&gt;"",INDEX('Coverage Indicators - Section D'!AA$1:AA$100,MATCH('Print View'!$A183,'Coverage Indicators - Section D'!$A$1:$A$100,0)),""),"")&amp;"/"&amp;IFERROR(IF(INDEX('Coverage Indicators - Section D'!AA$1:AA$100,MATCH('Print View'!$A183,'Coverage Indicators - Section D'!$A$1:$A$100,0)+1)&lt;&gt;"",INDEX('Coverage Indicators - Section D'!AA$1:AA$100,MATCH('Print View'!$A183,'Coverage Indicators - Section D'!$A$1:$A$100,0)+1),""),"")&amp;CHAR(10)&amp;IFERROR(IF(INDEX('Coverage Indicators - Section D'!AB$1:AB$100,MATCH('Print View'!$A183,'Coverage Indicators - Section D'!$A$1:$A$100,0))&lt;&gt;"",FIXED(INDEX('Coverage Indicators - Section D'!AB$1:AB$100,MATCH('Print View'!$A183,'Coverage Indicators - Section D'!$A$1:$A$100,0))*100,2)&amp;"%",""),"")&amp;CHAR(10)&amp;IFERROR(IF(INDEX('Coverage Indicators - Section D'!AC$1:AC$100,MATCH('Print View'!$A183,'Coverage Indicators - Section D'!$A$1:$A$100,0))&lt;&gt;"",INDEX('Coverage Indicators - Section D'!AC$1:AC$100,MATCH('Print View'!$A183,'Coverage Indicators - Section D'!$A$1:$A$100,0)),""),"")</f>
        <v xml:space="preserve">/
</v>
      </c>
      <c r="Q183" s="402" t="str">
        <f ca="1">IFERROR(IF(INDEX('Coverage Indicators - Section D'!AD$1:AD$100,MATCH('Print View'!$A183,'Coverage Indicators - Section D'!$A$1:$A$100,0))&lt;&gt;"",INDEX('Coverage Indicators - Section D'!AD$1:AD$100,MATCH('Print View'!$A183,'Coverage Indicators - Section D'!$A$1:$A$100,0)),""),"")&amp;"/"&amp;IFERROR(IF(INDEX('Coverage Indicators - Section D'!AD$1:AD$100,MATCH('Print View'!$A183,'Coverage Indicators - Section D'!$A$1:$A$100,0)+1)&lt;&gt;"",INDEX('Coverage Indicators - Section D'!AD$1:AD$100,MATCH('Print View'!$A183,'Coverage Indicators - Section D'!$A$1:$A$100,0)+1),""),"")&amp;CHAR(10)&amp;IFERROR(IF(INDEX('Coverage Indicators - Section D'!AE$1:AE$100,MATCH('Print View'!$A183,'Coverage Indicators - Section D'!$A$1:$A$100,0))&lt;&gt;"",FIXED(INDEX('Coverage Indicators - Section D'!AE$1:AE$100,MATCH('Print View'!$A183,'Coverage Indicators - Section D'!$A$1:$A$100,0))*100,2)&amp;"%",""),"")&amp;CHAR(10)&amp;IFERROR(IF(INDEX('Coverage Indicators - Section D'!AF$1:AF$100,MATCH('Print View'!$A183,'Coverage Indicators - Section D'!$A$1:$A$100,0))&lt;&gt;"",INDEX('Coverage Indicators - Section D'!AF$1:AF$100,MATCH('Print View'!$A183,'Coverage Indicators - Section D'!$A$1:$A$100,0)),""),"")</f>
        <v xml:space="preserve">/
</v>
      </c>
      <c r="R183" s="402" t="str">
        <f ca="1">IFERROR(IF(INDEX('Coverage Indicators - Section D'!AG$1:AG$100,MATCH('Print View'!$A183,'Coverage Indicators - Section D'!$A$1:$A$100,0))&lt;&gt;"",INDEX('Coverage Indicators - Section D'!AG$1:AG$100,MATCH('Print View'!$A183,'Coverage Indicators - Section D'!$A$1:$A$100,0)),""),"")&amp;"/"&amp;IFERROR(IF(INDEX('Coverage Indicators - Section D'!AG$1:AG$100,MATCH('Print View'!$A183,'Coverage Indicators - Section D'!$A$1:$A$100,0)+1)&lt;&gt;"",INDEX('Coverage Indicators - Section D'!AG$1:AG$100,MATCH('Print View'!$A183,'Coverage Indicators - Section D'!$A$1:$A$100,0)+1),""),"")&amp;CHAR(10)&amp;IFERROR(IF(INDEX('Coverage Indicators - Section D'!AH$1:AH$100,MATCH('Print View'!$A183,'Coverage Indicators - Section D'!$A$1:$A$100,0))&lt;&gt;"",FIXED(INDEX('Coverage Indicators - Section D'!AH$1:AH$100,MATCH('Print View'!$A183,'Coverage Indicators - Section D'!$A$1:$A$100,0))*100,2)&amp;"%",""),"")&amp;CHAR(10)&amp;IFERROR(IF(INDEX('Coverage Indicators - Section D'!AI$1:AI$100,MATCH('Print View'!$A183,'Coverage Indicators - Section D'!$A$1:$A$100,0))&lt;&gt;"",INDEX('Coverage Indicators - Section D'!AI$1:AI$100,MATCH('Print View'!$A183,'Coverage Indicators - Section D'!$A$1:$A$100,0)),""),"")</f>
        <v xml:space="preserve">/
</v>
      </c>
      <c r="S183" s="402" t="str">
        <f ca="1">IFERROR(IF(INDEX('Coverage Indicators - Section D'!AJ$1:AJ$100,MATCH('Print View'!$A183,'Coverage Indicators - Section D'!$A$1:$A$100,0))&lt;&gt;"",INDEX('Coverage Indicators - Section D'!AJ$1:AJ$100,MATCH('Print View'!$A183,'Coverage Indicators - Section D'!$A$1:$A$100,0)),""),"")&amp;"/"&amp;IFERROR(IF(INDEX('Coverage Indicators - Section D'!AJ$1:AJ$100,MATCH('Print View'!$A183,'Coverage Indicators - Section D'!$A$1:$A$100,0)+1)&lt;&gt;"",INDEX('Coverage Indicators - Section D'!AJ$1:AJ$100,MATCH('Print View'!$A183,'Coverage Indicators - Section D'!$A$1:$A$100,0)+1),""),"")&amp;CHAR(10)&amp;IFERROR(IF(INDEX('Coverage Indicators - Section D'!AK$1:AK$100,MATCH('Print View'!$A183,'Coverage Indicators - Section D'!$A$1:$A$100,0))&lt;&gt;"",FIXED(INDEX('Coverage Indicators - Section D'!AK$1:AK$100,MATCH('Print View'!$A183,'Coverage Indicators - Section D'!$A$1:$A$100,0))*100,2)&amp;"%",""),"")&amp;CHAR(10)&amp;IFERROR(IF(INDEX('Coverage Indicators - Section D'!AL$1:AL$100,MATCH('Print View'!$A183,'Coverage Indicators - Section D'!$A$1:$A$100,0))&lt;&gt;"",INDEX('Coverage Indicators - Section D'!AL$1:AL$100,MATCH('Print View'!$A183,'Coverage Indicators - Section D'!$A$1:$A$100,0)),""),"")</f>
        <v xml:space="preserve">/
</v>
      </c>
      <c r="T183" s="31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t="str">
        <f ca="1">IFERROR(IF(INDEX('Coverage Indicators - Section D'!AD$1:AD$110,MATCH('Print View'!$A183,'Coverage Indicators - Section D'!$A$1:$A$110,0))&lt;&gt;0,INDEX('Coverage Indicators - Section D'!AD$1:AD$110,MATCH('Print View'!$A183,'Coverage Indicators - Section D'!$A$1:$A$110,0)),""),"")</f>
        <v/>
      </c>
      <c r="AP183" s="223"/>
      <c r="AQ183" s="223"/>
      <c r="AR183" s="223"/>
      <c r="AS183" s="223"/>
      <c r="AT183" s="803" t="str">
        <f ca="1">CONCATENATE($A183,N$147)</f>
        <v>1831-Dec-24</v>
      </c>
      <c r="AU183" s="802" t="str">
        <f ca="1">CONCATENATE($A183,Q$147)</f>
        <v>1831-Dec-27</v>
      </c>
      <c r="AV183" s="802" t="str">
        <f>CONCATENATE($A183,V$147)</f>
        <v>18</v>
      </c>
      <c r="AW183" s="802" t="str">
        <f>CONCATENATE($A183,Y$147)</f>
        <v>18</v>
      </c>
      <c r="AX183" s="802" t="str">
        <f>CONCATENATE($A183,AB$147)</f>
        <v>18</v>
      </c>
      <c r="AY183" s="802" t="str">
        <f>CONCATENATE($A183,AE$147)</f>
        <v>18</v>
      </c>
      <c r="AZ183" s="802" t="str">
        <f>CONCATENATE($A183,AH$147)</f>
        <v>18</v>
      </c>
      <c r="BA183" s="802" t="str">
        <f>CONCATENATE($A183,AK$147)</f>
        <v>18</v>
      </c>
      <c r="BB183" s="228"/>
      <c r="BC183" s="121"/>
    </row>
    <row r="184" spans="1:55" s="106" customFormat="1" ht="88.4" customHeight="1" x14ac:dyDescent="0.35">
      <c r="A184" s="804"/>
      <c r="B184" s="809" t="str">
        <f ca="1">IFERROR(IF(INDEX('Coverage Indicators - Section D'!AM$1:AM$110,MATCH('Print View'!$A183,'Coverage Indicators - Section D'!$A$1:$A$110,0))&lt;&gt;0,INDEX('Coverage Indicators - Section D'!AM$1:AM$110,MATCH('Print View'!$A183,'Coverage Indicators - Section D'!$A$1:$A$110,0)),""),"")</f>
        <v>Línea de base: 20.56% esta incluye los esfuerzos de FM y PEPFAR
Bajo la coordinación del RP Plan para las unidades móviles y  el RP MINSAL ,  para los laboratorios de la red de servicios de salud y los laboratporios privados que trabajan con PASMO.
Dicha linea de base es generada del SUMEVE.
Numerador: Número de HSH que se han sometido a pruebas de VIH durante el período de informe y conocen los resultados
Denominador: Corresponde a la estimación de tamaño de población de HSH, como parte de la ECVC 2016.El denominador se considera estable porque no existe mediciones para conocer si ha aumentado o disminuido.
Fuente:  SUMEVE para el numerador y el denominador corresponde al tamaño de población de HSH 2016.
Supuestos:
Las metas reflejan la cobertura nacional a alcanzar con prueba de VIH para HSH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38.73 % de la población de HSH a nivel nacional de acuerdo al estudio de tamaño de población en MTS 2016.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
Las metas de este indicador se revisaran durante para los años 2 y 3, serán revisadas posterior a los resultados de los estudios de tamaño poblacional a realizarse durante el primer año.</v>
      </c>
      <c r="C184" s="810"/>
      <c r="D184" s="810"/>
      <c r="E184" s="810"/>
      <c r="F184" s="810"/>
      <c r="G184" s="810"/>
      <c r="H184" s="810"/>
      <c r="I184" s="811"/>
      <c r="J184" s="811"/>
      <c r="K184" s="811"/>
      <c r="L184" s="811"/>
      <c r="M184" s="811"/>
      <c r="N184" s="811"/>
      <c r="O184" s="811"/>
      <c r="P184" s="811"/>
      <c r="Q184" s="811"/>
      <c r="R184" s="811"/>
      <c r="S184" s="812"/>
      <c r="T184" s="314"/>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803"/>
      <c r="AU184" s="802"/>
      <c r="AV184" s="802"/>
      <c r="AW184" s="802"/>
      <c r="AX184" s="802"/>
      <c r="AY184" s="802"/>
      <c r="AZ184" s="802"/>
      <c r="BA184" s="802"/>
      <c r="BB184" s="228"/>
      <c r="BC184" s="121"/>
    </row>
    <row r="185" spans="1:55" s="106" customFormat="1" ht="177" customHeight="1" x14ac:dyDescent="0.35">
      <c r="A185" s="801">
        <v>19</v>
      </c>
      <c r="B185" s="395" t="str">
        <f ca="1">IFERROR(IF(INDEX('Coverage Indicators - Section D'!B$1:B$100,MATCH('Print View'!$A185,'Coverage Indicators - Section D'!$A$1:$A$100,0))&lt;&gt;0,INDEX('Coverage Indicators - Section D'!B$1:B$100,MATCH('Print View'!$A185,'Coverage Indicators - Section D'!$A$1:$A$100,0)),""),"")</f>
        <v/>
      </c>
      <c r="C185" s="395" t="str">
        <f ca="1">IFERROR(IF(INDEX('Coverage Indicators - Section D'!D$1:D$100,MATCH('Print View'!$A185,'Coverage Indicators - Section D'!$A$1:$A$100,0))&lt;&gt;0,INDEX('Coverage Indicators - Section D'!D$1:D$100,MATCH('Print View'!$A185,'Coverage Indicators - Section D'!$A$1:$A$100,0)),""),"")</f>
        <v/>
      </c>
      <c r="D185" s="395" t="str">
        <f ca="1">IFERROR(IF(INDEX('Coverage Indicators - Section D'!E$1:E$100,MATCH('Print View'!$A185,'Coverage Indicators - Section D'!$A$1:$A$100,0))&lt;&gt;0,INDEX('Coverage Indicators - Section D'!E$1:E$100,MATCH('Print View'!$A185,'Coverage Indicators - Section D'!$A$1:$A$100,0)),""),"")</f>
        <v/>
      </c>
      <c r="E185" s="396" t="str">
        <f ca="1">IFERROR(IF(INDEX('Coverage Indicators - Section D'!F$1:F$100,MATCH('Print View'!$A185,'Coverage Indicators - Section D'!$A$1:$A$100,0))&lt;&gt;"",INDEX('Coverage Indicators - Section D'!F$1:F$100,MATCH('Print View'!$A185,'Coverage Indicators - Section D'!$A$1:$A$100,0)),""),"")&amp;"/"&amp;IFERROR(IF(INDEX('Coverage Indicators - Section D'!F$1:F$100,MATCH('Print View'!$A185,'Coverage Indicators - Section D'!$A$1:$A$100,0)+1)&lt;&gt;"",INDEX('Coverage Indicators - Section D'!F$1:F$100,MATCH('Print View'!$A185,'Coverage Indicators - Section D'!$A$1:$A$100,0)+1),""),"")&amp;CHAR(10)&amp;IFERROR(IF(INDEX('Coverage Indicators - Section D'!G$1:G$100,MATCH('Print View'!$A185,'Coverage Indicators - Section D'!$A$1:$A$100,0))&lt;&gt;"",FIXED(INDEX('Coverage Indicators - Section D'!G$1:G$100,MATCH('Print View'!$A185,'Coverage Indicators - Section D'!$A$1:$A$100,0))*100,2)&amp;"%",""),"")</f>
        <v xml:space="preserve">/
</v>
      </c>
      <c r="F185" s="397"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 xml:space="preserve">
</v>
      </c>
      <c r="G185" s="398" t="str">
        <f>IFERROR(IF(INDEX('Coverage Indicators - Section D'!J45:J74,MATCH('Print View'!$A185,'Coverage Indicators - Section D'!$A$9:$A$38,0))&lt;&gt;0,INDEX('Coverage Indicators - Section D'!J45:J74,MATCH('Print View'!$A185,'Coverage Indicators - Section D'!$A$9:$A$38,0)),""),"")</f>
        <v/>
      </c>
      <c r="H185" s="399" t="str">
        <f ca="1">IFERROR(IF(INDEX('Coverage Indicators - Section D'!K$1:K$100,MATCH('Print View'!$A185,'Coverage Indicators - Section D'!$A$1:$A$100,0))&lt;&gt;0,INDEX('Coverage Indicators - Section D'!K$1:K$100,MATCH('Print View'!$A185,'Coverage Indicators - Section D'!$A$1:$A$100,0)),""),"")</f>
        <v/>
      </c>
      <c r="I185" s="398" t="str">
        <f ca="1">IFERROR(IF(AND('Overview - Section A'!AN$5="Grant Making",OR(C185&lt;&gt;"",D185&lt;&gt;"")),Setup!I15,IF(INDEX('Coverage Indicators - Section D'!L$1:L$100,MATCH('Print View'!$A185,'Coverage Indicators - Section D'!$A$1:$A$100,0))&lt;&gt;0,INDEX('Coverage Indicators - Section D'!L$1:L$100,MATCH('Print View'!$A185,'Coverage Indicators - Section D'!$A$1:$A$100,0)),"")),"")</f>
        <v/>
      </c>
      <c r="J185" s="396"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 xml:space="preserve">
</v>
      </c>
      <c r="K185" s="396" t="str">
        <f ca="1">IFERROR(IF(INDEX('Coverage Indicators - Section D'!N$1:N$100,MATCH('Print View'!$A185,'Coverage Indicators - Section D'!$A$1:$A$100,0))&lt;&gt;0,INDEX('Coverage Indicators - Section D'!N$1:N$100,MATCH('Print View'!$A185,'Coverage Indicators - Section D'!$A$1:$A$100,0)),""),"")</f>
        <v/>
      </c>
      <c r="L185" s="396" t="str">
        <f ca="1">IFERROR(IF(INDEX('Coverage Indicators - Section D'!O$1:O$100,MATCH('Print View'!$A185,'Coverage Indicators - Section D'!$A$1:$A$100,0))&lt;&gt;"",INDEX('Coverage Indicators - Section D'!O$1:O$100,MATCH('Print View'!$A185,'Coverage Indicators - Section D'!$A$1:$A$100,0)),""),"")&amp;"/"&amp;IFERROR(IF(INDEX('Coverage Indicators - Section D'!O$1:O$100,MATCH('Print View'!$A185,'Coverage Indicators - Section D'!$A$1:$A$100,0)+1)&lt;&gt;"",INDEX('Coverage Indicators - Section D'!O$1:O$100,MATCH('Print View'!$A185,'Coverage Indicators - Section D'!$A$1:$A$100,0)+1),""),"")&amp;CHAR(10)&amp;IFERROR(IF(INDEX('Coverage Indicators - Section D'!P$1:P$100,MATCH('Print View'!$A185,'Coverage Indicators - Section D'!$A$1:$A$100,0))&lt;&gt;"",FIXED(INDEX('Coverage Indicators - Section D'!P$1:P$100,MATCH('Print View'!$A185,'Coverage Indicators - Section D'!$A$1:$A$100,0))*100,2)&amp;"%",""),"")&amp;CHAR(10)&amp;IFERROR(IF(INDEX('Coverage Indicators - Section D'!Q$1:Q$100,MATCH('Print View'!$A185,'Coverage Indicators - Section D'!$A$1:$A$100,0))&lt;&gt;"",INDEX('Coverage Indicators - Section D'!Q$1:Q$100,MATCH('Print View'!$A185,'Coverage Indicators - Section D'!$A$1:$A$100,0)),""),"")</f>
        <v xml:space="preserve">/
</v>
      </c>
      <c r="M185" s="397" t="str">
        <f ca="1">IFERROR(IF(INDEX('Coverage Indicators - Section D'!R$1:R$100,MATCH('Print View'!$A185,'Coverage Indicators - Section D'!$A$1:$A$100,0))&lt;&gt;"",INDEX('Coverage Indicators - Section D'!R$1:R$100,MATCH('Print View'!$A185,'Coverage Indicators - Section D'!$A$1:$A$100,0)),""),"")&amp;"/"&amp;IFERROR(IF(INDEX('Coverage Indicators - Section D'!R$1:R$100,MATCH('Print View'!$A185,'Coverage Indicators - Section D'!$A$1:$A$100,0)+1)&lt;&gt;"",INDEX('Coverage Indicators - Section D'!R$1:R$100,MATCH('Print View'!$A185,'Coverage Indicators - Section D'!$A$1:$A$100,0)+1),""),"")&amp;CHAR(10)&amp;IFERROR(IF(INDEX('Coverage Indicators - Section D'!S$1:S$100,MATCH('Print View'!$A185,'Coverage Indicators - Section D'!$A$1:$A$100,0))&lt;&gt;"",FIXED(INDEX('Coverage Indicators - Section D'!S$1:S$100,MATCH('Print View'!$A185,'Coverage Indicators - Section D'!$A$1:$A$100,0))*100,2)&amp;"%",""),"")&amp;CHAR(10)&amp;IFERROR(IF(INDEX('Coverage Indicators - Section D'!T$1:T$100,MATCH('Print View'!$A185,'Coverage Indicators - Section D'!$A$1:$A$100,0))&lt;&gt;"",INDEX('Coverage Indicators - Section D'!T$1:T$100,MATCH('Print View'!$A185,'Coverage Indicators - Section D'!$A$1:$A$100,0)),""),"")</f>
        <v xml:space="preserve">/
</v>
      </c>
      <c r="N185" s="396" t="str">
        <f ca="1">IFERROR(IF(INDEX('Coverage Indicators - Section D'!U$1:U$100,MATCH('Print View'!$A185,'Coverage Indicators - Section D'!$A$1:$A$100,0))&lt;&gt;"",INDEX('Coverage Indicators - Section D'!U$1:U$100,MATCH('Print View'!$A185,'Coverage Indicators - Section D'!$A$1:$A$100,0)),""),"")&amp;"/"&amp;IFERROR(IF(INDEX('Coverage Indicators - Section D'!U$1:U$100,MATCH('Print View'!$A185,'Coverage Indicators - Section D'!$A$1:$A$100,0)+1)&lt;&gt;"",INDEX('Coverage Indicators - Section D'!U$1:U$100,MATCH('Print View'!$A185,'Coverage Indicators - Section D'!$A$1:$A$100,0)+1),""),"")&amp;CHAR(10)&amp;IFERROR(IF(INDEX('Coverage Indicators - Section D'!V$1:V$100,MATCH('Print View'!$A185,'Coverage Indicators - Section D'!$A$1:$A$100,0))&lt;&gt;"",FIXED(INDEX('Coverage Indicators - Section D'!V$1:V$100,MATCH('Print View'!$A185,'Coverage Indicators - Section D'!$A$1:$A$100,0))*100,2)&amp;"%",""),"")&amp;CHAR(10)&amp;IFERROR(IF(INDEX('Coverage Indicators - Section D'!W$1:W$100,MATCH('Print View'!$A185,'Coverage Indicators - Section D'!$A$1:$A$100,0))&lt;&gt;"",INDEX('Coverage Indicators - Section D'!W$1:W$100,MATCH('Print View'!$A185,'Coverage Indicators - Section D'!$A$1:$A$100,0)),""),"")</f>
        <v xml:space="preserve">/
</v>
      </c>
      <c r="O185" s="397" t="str">
        <f ca="1">IFERROR(IF(INDEX('Coverage Indicators - Section D'!X$1:X$100,MATCH('Print View'!$A185,'Coverage Indicators - Section D'!$A$1:$A$100,0))&lt;&gt;"",INDEX('Coverage Indicators - Section D'!X$1:X$100,MATCH('Print View'!$A185,'Coverage Indicators - Section D'!$A$1:$A$100,0)),""),"")&amp;"/"&amp;IFERROR(IF(INDEX('Coverage Indicators - Section D'!X$1:X$100,MATCH('Print View'!$A185,'Coverage Indicators - Section D'!$A$1:$A$100,0)+1)&lt;&gt;"",INDEX('Coverage Indicators - Section D'!X$1:X$100,MATCH('Print View'!$A185,'Coverage Indicators - Section D'!$A$1:$A$100,0)+1),""),"")&amp;CHAR(10)&amp;IFERROR(IF(INDEX('Coverage Indicators - Section D'!Y$1:Y$100,MATCH('Print View'!$A185,'Coverage Indicators - Section D'!$A$1:$A$100,0))&lt;&gt;"",FIXED(INDEX('Coverage Indicators - Section D'!Y$1:Y$100,MATCH('Print View'!$A185,'Coverage Indicators - Section D'!$A$1:$A$100,0))*100,2)&amp;"%",""),"")&amp;CHAR(10)&amp;IFERROR(IF(INDEX('Coverage Indicators - Section D'!Z$1:Z$100,MATCH('Print View'!$A185,'Coverage Indicators - Section D'!$A$1:$A$100,0))&lt;&gt;"",INDEX('Coverage Indicators - Section D'!Z$1:Z$100,MATCH('Print View'!$A185,'Coverage Indicators - Section D'!$A$1:$A$100,0)),""),"")</f>
        <v xml:space="preserve">/
</v>
      </c>
      <c r="P185" s="397" t="str">
        <f ca="1">IFERROR(IF(INDEX('Coverage Indicators - Section D'!AA$1:AA$100,MATCH('Print View'!$A185,'Coverage Indicators - Section D'!$A$1:$A$100,0))&lt;&gt;"",INDEX('Coverage Indicators - Section D'!AA$1:AA$100,MATCH('Print View'!$A185,'Coverage Indicators - Section D'!$A$1:$A$100,0)),""),"")&amp;"/"&amp;IFERROR(IF(INDEX('Coverage Indicators - Section D'!AA$1:AA$100,MATCH('Print View'!$A185,'Coverage Indicators - Section D'!$A$1:$A$100,0)+1)&lt;&gt;"",INDEX('Coverage Indicators - Section D'!AA$1:AA$100,MATCH('Print View'!$A185,'Coverage Indicators - Section D'!$A$1:$A$100,0)+1),""),"")&amp;CHAR(10)&amp;IFERROR(IF(INDEX('Coverage Indicators - Section D'!AB$1:AB$100,MATCH('Print View'!$A185,'Coverage Indicators - Section D'!$A$1:$A$100,0))&lt;&gt;"",FIXED(INDEX('Coverage Indicators - Section D'!AB$1:AB$100,MATCH('Print View'!$A185,'Coverage Indicators - Section D'!$A$1:$A$100,0))*100,2)&amp;"%",""),"")&amp;CHAR(10)&amp;IFERROR(IF(INDEX('Coverage Indicators - Section D'!AC$1:AC$100,MATCH('Print View'!$A185,'Coverage Indicators - Section D'!$A$1:$A$100,0))&lt;&gt;"",INDEX('Coverage Indicators - Section D'!AC$1:AC$100,MATCH('Print View'!$A185,'Coverage Indicators - Section D'!$A$1:$A$100,0)),""),"")</f>
        <v xml:space="preserve">/
</v>
      </c>
      <c r="Q185" s="397" t="str">
        <f ca="1">IFERROR(IF(INDEX('Coverage Indicators - Section D'!AD$1:AD$100,MATCH('Print View'!$A185,'Coverage Indicators - Section D'!$A$1:$A$100,0))&lt;&gt;"",INDEX('Coverage Indicators - Section D'!AD$1:AD$100,MATCH('Print View'!$A185,'Coverage Indicators - Section D'!$A$1:$A$100,0)),""),"")&amp;"/"&amp;IFERROR(IF(INDEX('Coverage Indicators - Section D'!AD$1:AD$100,MATCH('Print View'!$A185,'Coverage Indicators - Section D'!$A$1:$A$100,0)+1)&lt;&gt;"",INDEX('Coverage Indicators - Section D'!AD$1:AD$100,MATCH('Print View'!$A185,'Coverage Indicators - Section D'!$A$1:$A$100,0)+1),""),"")&amp;CHAR(10)&amp;IFERROR(IF(INDEX('Coverage Indicators - Section D'!AE$1:AE$100,MATCH('Print View'!$A185,'Coverage Indicators - Section D'!$A$1:$A$100,0))&lt;&gt;"",FIXED(INDEX('Coverage Indicators - Section D'!AE$1:AE$100,MATCH('Print View'!$A185,'Coverage Indicators - Section D'!$A$1:$A$100,0))*100,2)&amp;"%",""),"")&amp;CHAR(10)&amp;IFERROR(IF(INDEX('Coverage Indicators - Section D'!AF$1:AF$100,MATCH('Print View'!$A185,'Coverage Indicators - Section D'!$A$1:$A$100,0))&lt;&gt;"",INDEX('Coverage Indicators - Section D'!AF$1:AF$100,MATCH('Print View'!$A185,'Coverage Indicators - Section D'!$A$1:$A$100,0)),""),"")</f>
        <v xml:space="preserve">/
</v>
      </c>
      <c r="R185" s="397" t="str">
        <f ca="1">IFERROR(IF(INDEX('Coverage Indicators - Section D'!AG$1:AG$100,MATCH('Print View'!$A185,'Coverage Indicators - Section D'!$A$1:$A$100,0))&lt;&gt;"",INDEX('Coverage Indicators - Section D'!AG$1:AG$100,MATCH('Print View'!$A185,'Coverage Indicators - Section D'!$A$1:$A$100,0)),""),"")&amp;"/"&amp;IFERROR(IF(INDEX('Coverage Indicators - Section D'!AG$1:AG$100,MATCH('Print View'!$A185,'Coverage Indicators - Section D'!$A$1:$A$100,0)+1)&lt;&gt;"",INDEX('Coverage Indicators - Section D'!AG$1:AG$100,MATCH('Print View'!$A185,'Coverage Indicators - Section D'!$A$1:$A$100,0)+1),""),"")&amp;CHAR(10)&amp;IFERROR(IF(INDEX('Coverage Indicators - Section D'!AH$1:AH$100,MATCH('Print View'!$A185,'Coverage Indicators - Section D'!$A$1:$A$100,0))&lt;&gt;"",FIXED(INDEX('Coverage Indicators - Section D'!AH$1:AH$100,MATCH('Print View'!$A185,'Coverage Indicators - Section D'!$A$1:$A$100,0))*100,2)&amp;"%",""),"")&amp;CHAR(10)&amp;IFERROR(IF(INDEX('Coverage Indicators - Section D'!AI$1:AI$100,MATCH('Print View'!$A185,'Coverage Indicators - Section D'!$A$1:$A$100,0))&lt;&gt;"",INDEX('Coverage Indicators - Section D'!AI$1:AI$100,MATCH('Print View'!$A185,'Coverage Indicators - Section D'!$A$1:$A$100,0)),""),"")</f>
        <v xml:space="preserve">/
</v>
      </c>
      <c r="S185" s="397" t="str">
        <f ca="1">IFERROR(IF(INDEX('Coverage Indicators - Section D'!AJ$1:AJ$100,MATCH('Print View'!$A185,'Coverage Indicators - Section D'!$A$1:$A$100,0))&lt;&gt;"",INDEX('Coverage Indicators - Section D'!AJ$1:AJ$100,MATCH('Print View'!$A185,'Coverage Indicators - Section D'!$A$1:$A$100,0)),""),"")&amp;"/"&amp;IFERROR(IF(INDEX('Coverage Indicators - Section D'!AJ$1:AJ$100,MATCH('Print View'!$A185,'Coverage Indicators - Section D'!$A$1:$A$100,0)+1)&lt;&gt;"",INDEX('Coverage Indicators - Section D'!AJ$1:AJ$100,MATCH('Print View'!$A185,'Coverage Indicators - Section D'!$A$1:$A$100,0)+1),""),"")&amp;CHAR(10)&amp;IFERROR(IF(INDEX('Coverage Indicators - Section D'!AK$1:AK$100,MATCH('Print View'!$A185,'Coverage Indicators - Section D'!$A$1:$A$100,0))&lt;&gt;"",FIXED(INDEX('Coverage Indicators - Section D'!AK$1:AK$100,MATCH('Print View'!$A185,'Coverage Indicators - Section D'!$A$1:$A$100,0))*100,2)&amp;"%",""),"")&amp;CHAR(10)&amp;IFERROR(IF(INDEX('Coverage Indicators - Section D'!AL$1:AL$100,MATCH('Print View'!$A185,'Coverage Indicators - Section D'!$A$1:$A$100,0))&lt;&gt;"",INDEX('Coverage Indicators - Section D'!AL$1:AL$100,MATCH('Print View'!$A185,'Coverage Indicators - Section D'!$A$1:$A$100,0)),""),"")</f>
        <v xml:space="preserve">/
</v>
      </c>
      <c r="T185" s="310"/>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t="str">
        <f ca="1">IFERROR(IF(INDEX('Coverage Indicators - Section D'!AD$1:AD$110,MATCH('Print View'!$A185,'Coverage Indicators - Section D'!$A$1:$A$110,0))&lt;&gt;0,INDEX('Coverage Indicators - Section D'!AD$1:AD$110,MATCH('Print View'!$A185,'Coverage Indicators - Section D'!$A$1:$A$110,0)),""),"")</f>
        <v/>
      </c>
      <c r="AP185" s="223"/>
      <c r="AQ185" s="223"/>
      <c r="AR185" s="223"/>
      <c r="AS185" s="223"/>
      <c r="AT185" s="803" t="str">
        <f ca="1">CONCATENATE($A185,N$147)</f>
        <v>1931-Dec-24</v>
      </c>
      <c r="AU185" s="802" t="str">
        <f ca="1">CONCATENATE($A185,Q$147)</f>
        <v>1931-Dec-27</v>
      </c>
      <c r="AV185" s="802" t="str">
        <f>CONCATENATE($A185,V$147)</f>
        <v>19</v>
      </c>
      <c r="AW185" s="802" t="str">
        <f>CONCATENATE($A185,Y$147)</f>
        <v>19</v>
      </c>
      <c r="AX185" s="802" t="str">
        <f>CONCATENATE($A185,AB$147)</f>
        <v>19</v>
      </c>
      <c r="AY185" s="802" t="str">
        <f>CONCATENATE($A185,AE$147)</f>
        <v>19</v>
      </c>
      <c r="AZ185" s="802" t="str">
        <f>CONCATENATE($A185,AH$147)</f>
        <v>19</v>
      </c>
      <c r="BA185" s="802" t="str">
        <f>CONCATENATE($A185,AK$147)</f>
        <v>19</v>
      </c>
      <c r="BB185" s="228"/>
      <c r="BC185" s="121"/>
    </row>
    <row r="186" spans="1:55" s="106" customFormat="1" ht="88.4" customHeight="1" x14ac:dyDescent="0.35">
      <c r="A186" s="801"/>
      <c r="B186" s="806" t="str">
        <f ca="1">IFERROR(IF(INDEX('Coverage Indicators - Section D'!AM$1:AM$110,MATCH('Print View'!$A185,'Coverage Indicators - Section D'!$A$1:$A$110,0))&lt;&gt;0,INDEX('Coverage Indicators - Section D'!AM$1:AM$110,MATCH('Print View'!$A185,'Coverage Indicators - Section D'!$A$1:$A$110,0)),""),"")</f>
        <v/>
      </c>
      <c r="C186" s="807"/>
      <c r="D186" s="807"/>
      <c r="E186" s="807"/>
      <c r="F186" s="807"/>
      <c r="G186" s="807"/>
      <c r="H186" s="807"/>
      <c r="I186" s="807"/>
      <c r="J186" s="807"/>
      <c r="K186" s="807"/>
      <c r="L186" s="807"/>
      <c r="M186" s="807"/>
      <c r="N186" s="807"/>
      <c r="O186" s="807"/>
      <c r="P186" s="807"/>
      <c r="Q186" s="807"/>
      <c r="R186" s="807"/>
      <c r="S186" s="808"/>
      <c r="T186" s="312"/>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803"/>
      <c r="AU186" s="802"/>
      <c r="AV186" s="802"/>
      <c r="AW186" s="802"/>
      <c r="AX186" s="802"/>
      <c r="AY186" s="802"/>
      <c r="AZ186" s="802"/>
      <c r="BA186" s="802"/>
      <c r="BB186" s="228"/>
      <c r="BC186" s="121"/>
    </row>
    <row r="187" spans="1:55" s="106" customFormat="1" ht="177" customHeight="1" x14ac:dyDescent="0.35">
      <c r="A187" s="804">
        <v>20</v>
      </c>
      <c r="B187" s="385" t="str">
        <f ca="1">IFERROR(IF(INDEX('Coverage Indicators - Section D'!B$1:B$100,MATCH('Print View'!$A187,'Coverage Indicators - Section D'!$A$1:$A$100,0))&lt;&gt;0,INDEX('Coverage Indicators - Section D'!B$1:B$100,MATCH('Print View'!$A187,'Coverage Indicators - Section D'!$A$1:$A$100,0)),""),"")</f>
        <v>Servicios diferenciados de diagnóstico del VIH</v>
      </c>
      <c r="C187" s="385" t="str">
        <f ca="1">IFERROR(IF(INDEX('Coverage Indicators - Section D'!D$1:D$100,MATCH('Print View'!$A187,'Coverage Indicators - Section D'!$A$1:$A$100,0))&lt;&gt;0,INDEX('Coverage Indicators - Section D'!D$1:D$100,MATCH('Print View'!$A187,'Coverage Indicators - Section D'!$A$1:$A$100,0)),""),"")</f>
        <v>HTS-3b⁽ᴹ⁾ Porcentaje de personas transgénero a los que se les ha realizado una prueba de VIH durante el período de reporte y que conocen sus resultados</v>
      </c>
      <c r="D187" s="385" t="str">
        <f ca="1">IFERROR(IF(INDEX('Coverage Indicators - Section D'!E$1:E$100,MATCH('Print View'!$A187,'Coverage Indicators - Section D'!$A$1:$A$100,0))&lt;&gt;0,INDEX('Coverage Indicators - Section D'!E$1:E$100,MATCH('Print View'!$A187,'Coverage Indicators - Section D'!$A$1:$A$100,0)),""),"")</f>
        <v/>
      </c>
      <c r="E187" s="386" t="str">
        <f ca="1">IFERROR(IF(INDEX('Coverage Indicators - Section D'!F$1:F$100,MATCH('Print View'!$A187,'Coverage Indicators - Section D'!$A$1:$A$100,0))&lt;&gt;"",INDEX('Coverage Indicators - Section D'!F$1:F$100,MATCH('Print View'!$A187,'Coverage Indicators - Section D'!$A$1:$A$100,0)),""),"")&amp;"/"&amp;IFERROR(IF(INDEX('Coverage Indicators - Section D'!F$1:F$100,MATCH('Print View'!$A187,'Coverage Indicators - Section D'!$A$1:$A$100,0)+1)&lt;&gt;"",INDEX('Coverage Indicators - Section D'!F$1:F$100,MATCH('Print View'!$A187,'Coverage Indicators - Section D'!$A$1:$A$100,0)+1),""),"")&amp;CHAR(10)&amp;IFERROR(IF(INDEX('Coverage Indicators - Section D'!G$1:G$100,MATCH('Print View'!$A187,'Coverage Indicators - Section D'!$A$1:$A$100,0))&lt;&gt;"",FIXED(INDEX('Coverage Indicators - Section D'!G$1:G$100,MATCH('Print View'!$A187,'Coverage Indicators - Section D'!$A$1:$A$100,0))*100,2)&amp;"%",""),"")</f>
        <v>577/2011
28.69%</v>
      </c>
      <c r="F187" s="400"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2020
SUMEVE</v>
      </c>
      <c r="G187" s="401" t="str">
        <f>IFERROR(IF(INDEX('Coverage Indicators - Section D'!J45:J74,MATCH('Print View'!$A187,'Coverage Indicators - Section D'!$A$9:$A$38,0))&lt;&gt;0,INDEX('Coverage Indicators - Section D'!J45:J74,MATCH('Print View'!$A187,'Coverage Indicators - Section D'!$A$9:$A$38,0)),""),"")</f>
        <v/>
      </c>
      <c r="H187" s="400" t="str">
        <f ca="1">IFERROR(IF(INDEX('Coverage Indicators - Section D'!K$1:K$100,MATCH('Print View'!$A187,'Coverage Indicators - Section D'!$A$1:$A$100,0))&lt;&gt;0,INDEX('Coverage Indicators - Section D'!K$1:K$100,MATCH('Print View'!$A187,'Coverage Indicators - Section D'!$A$1:$A$100,0)),""),"")</f>
        <v>Yes</v>
      </c>
      <c r="I187" s="401" t="str">
        <f ca="1">IFERROR(IF(AND('Overview - Section A'!AN$5="Grant Making",OR(C187&lt;&gt;"",D187&lt;&gt;"")),Setup!I15,IF(INDEX('Coverage Indicators - Section D'!L$1:L$100,MATCH('Print View'!$A187,'Coverage Indicators - Section D'!$A$1:$A$100,0))&lt;&gt;0,INDEX('Coverage Indicators - Section D'!L$1:L$100,MATCH('Print View'!$A187,'Coverage Indicators - Section D'!$A$1:$A$100,0)),"")),"")</f>
        <v>Ministry of Health of the Republic of El Salvador</v>
      </c>
      <c r="J187" s="400"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El Salvador
Geographic National, 100% of national program target</v>
      </c>
      <c r="K187" s="400" t="str">
        <f ca="1">IFERROR(IF(INDEX('Coverage Indicators - Section D'!N$1:N$100,MATCH('Print View'!$A187,'Coverage Indicators - Section D'!$A$1:$A$100,0))&lt;&gt;0,INDEX('Coverage Indicators - Section D'!N$1:N$100,MATCH('Print View'!$A187,'Coverage Indicators - Section D'!$A$1:$A$100,0)),""),"")</f>
        <v/>
      </c>
      <c r="L187" s="402" t="str">
        <f ca="1">IFERROR(IF(INDEX('Coverage Indicators - Section D'!O$1:O$100,MATCH('Print View'!$A187,'Coverage Indicators - Section D'!$A$1:$A$100,0))&lt;&gt;"",INDEX('Coverage Indicators - Section D'!O$1:O$100,MATCH('Print View'!$A187,'Coverage Indicators - Section D'!$A$1:$A$100,0)),""),"")&amp;"/"&amp;IFERROR(IF(INDEX('Coverage Indicators - Section D'!O$1:O$100,MATCH('Print View'!$A187,'Coverage Indicators - Section D'!$A$1:$A$100,0)+1)&lt;&gt;"",INDEX('Coverage Indicators - Section D'!O$1:O$100,MATCH('Print View'!$A187,'Coverage Indicators - Section D'!$A$1:$A$100,0)+1),""),"")&amp;CHAR(10)&amp;IFERROR(IF(INDEX('Coverage Indicators - Section D'!P$1:P$100,MATCH('Print View'!$A187,'Coverage Indicators - Section D'!$A$1:$A$100,0))&lt;&gt;"",FIXED(INDEX('Coverage Indicators - Section D'!P$1:P$100,MATCH('Print View'!$A187,'Coverage Indicators - Section D'!$A$1:$A$100,0))*100,2)&amp;"%",""),"")&amp;CHAR(10)&amp;IFERROR(IF(INDEX('Coverage Indicators - Section D'!Q$1:Q$100,MATCH('Print View'!$A187,'Coverage Indicators - Section D'!$A$1:$A$100,0))&lt;&gt;"",INDEX('Coverage Indicators - Section D'!Q$1:Q$100,MATCH('Print View'!$A187,'Coverage Indicators - Section D'!$A$1:$A$100,0)),""),"")</f>
        <v xml:space="preserve">1087/2011
54.05%
</v>
      </c>
      <c r="M187" s="402" t="str">
        <f ca="1">IFERROR(IF(INDEX('Coverage Indicators - Section D'!R$1:R$100,MATCH('Print View'!$A187,'Coverage Indicators - Section D'!$A$1:$A$100,0))&lt;&gt;"",INDEX('Coverage Indicators - Section D'!R$1:R$100,MATCH('Print View'!$A187,'Coverage Indicators - Section D'!$A$1:$A$100,0)),""),"")&amp;"/"&amp;IFERROR(IF(INDEX('Coverage Indicators - Section D'!R$1:R$100,MATCH('Print View'!$A187,'Coverage Indicators - Section D'!$A$1:$A$100,0)+1)&lt;&gt;"",INDEX('Coverage Indicators - Section D'!R$1:R$100,MATCH('Print View'!$A187,'Coverage Indicators - Section D'!$A$1:$A$100,0)+1),""),"")&amp;CHAR(10)&amp;IFERROR(IF(INDEX('Coverage Indicators - Section D'!S$1:S$100,MATCH('Print View'!$A187,'Coverage Indicators - Section D'!$A$1:$A$100,0))&lt;&gt;"",FIXED(INDEX('Coverage Indicators - Section D'!S$1:S$100,MATCH('Print View'!$A187,'Coverage Indicators - Section D'!$A$1:$A$100,0))*100,2)&amp;"%",""),"")&amp;CHAR(10)&amp;IFERROR(IF(INDEX('Coverage Indicators - Section D'!T$1:T$100,MATCH('Print View'!$A187,'Coverage Indicators - Section D'!$A$1:$A$100,0))&lt;&gt;"",INDEX('Coverage Indicators - Section D'!T$1:T$100,MATCH('Print View'!$A187,'Coverage Indicators - Section D'!$A$1:$A$100,0)),""),"")</f>
        <v xml:space="preserve">1109/2011
55.15%
</v>
      </c>
      <c r="N187" s="402" t="str">
        <f ca="1">IFERROR(IF(INDEX('Coverage Indicators - Section D'!U$1:U$100,MATCH('Print View'!$A187,'Coverage Indicators - Section D'!$A$1:$A$100,0))&lt;&gt;"",INDEX('Coverage Indicators - Section D'!U$1:U$100,MATCH('Print View'!$A187,'Coverage Indicators - Section D'!$A$1:$A$100,0)),""),"")&amp;"/"&amp;IFERROR(IF(INDEX('Coverage Indicators - Section D'!U$1:U$100,MATCH('Print View'!$A187,'Coverage Indicators - Section D'!$A$1:$A$100,0)+1)&lt;&gt;"",INDEX('Coverage Indicators - Section D'!U$1:U$100,MATCH('Print View'!$A187,'Coverage Indicators - Section D'!$A$1:$A$100,0)+1),""),"")&amp;CHAR(10)&amp;IFERROR(IF(INDEX('Coverage Indicators - Section D'!V$1:V$100,MATCH('Print View'!$A187,'Coverage Indicators - Section D'!$A$1:$A$100,0))&lt;&gt;"",FIXED(INDEX('Coverage Indicators - Section D'!V$1:V$100,MATCH('Print View'!$A187,'Coverage Indicators - Section D'!$A$1:$A$100,0))*100,2)&amp;"%",""),"")&amp;CHAR(10)&amp;IFERROR(IF(INDEX('Coverage Indicators - Section D'!W$1:W$100,MATCH('Print View'!$A187,'Coverage Indicators - Section D'!$A$1:$A$100,0))&lt;&gt;"",INDEX('Coverage Indicators - Section D'!W$1:W$100,MATCH('Print View'!$A187,'Coverage Indicators - Section D'!$A$1:$A$100,0)),""),"")</f>
        <v xml:space="preserve">1131/2011
56.24%
</v>
      </c>
      <c r="O187" s="402" t="str">
        <f ca="1">IFERROR(IF(INDEX('Coverage Indicators - Section D'!X$1:X$100,MATCH('Print View'!$A187,'Coverage Indicators - Section D'!$A$1:$A$100,0))&lt;&gt;"",INDEX('Coverage Indicators - Section D'!X$1:X$100,MATCH('Print View'!$A187,'Coverage Indicators - Section D'!$A$1:$A$100,0)),""),"")&amp;"/"&amp;IFERROR(IF(INDEX('Coverage Indicators - Section D'!X$1:X$100,MATCH('Print View'!$A187,'Coverage Indicators - Section D'!$A$1:$A$100,0)+1)&lt;&gt;"",INDEX('Coverage Indicators - Section D'!X$1:X$100,MATCH('Print View'!$A187,'Coverage Indicators - Section D'!$A$1:$A$100,0)+1),""),"")&amp;CHAR(10)&amp;IFERROR(IF(INDEX('Coverage Indicators - Section D'!Y$1:Y$100,MATCH('Print View'!$A187,'Coverage Indicators - Section D'!$A$1:$A$100,0))&lt;&gt;"",FIXED(INDEX('Coverage Indicators - Section D'!Y$1:Y$100,MATCH('Print View'!$A187,'Coverage Indicators - Section D'!$A$1:$A$100,0))*100,2)&amp;"%",""),"")&amp;CHAR(10)&amp;IFERROR(IF(INDEX('Coverage Indicators - Section D'!Z$1:Z$100,MATCH('Print View'!$A187,'Coverage Indicators - Section D'!$A$1:$A$100,0))&lt;&gt;"",INDEX('Coverage Indicators - Section D'!Z$1:Z$100,MATCH('Print View'!$A187,'Coverage Indicators - Section D'!$A$1:$A$100,0)),""),"")</f>
        <v xml:space="preserve">/
</v>
      </c>
      <c r="P187" s="402" t="str">
        <f ca="1">IFERROR(IF(INDEX('Coverage Indicators - Section D'!AA$1:AA$100,MATCH('Print View'!$A187,'Coverage Indicators - Section D'!$A$1:$A$100,0))&lt;&gt;"",INDEX('Coverage Indicators - Section D'!AA$1:AA$100,MATCH('Print View'!$A187,'Coverage Indicators - Section D'!$A$1:$A$100,0)),""),"")&amp;"/"&amp;IFERROR(IF(INDEX('Coverage Indicators - Section D'!AA$1:AA$100,MATCH('Print View'!$A187,'Coverage Indicators - Section D'!$A$1:$A$100,0)+1)&lt;&gt;"",INDEX('Coverage Indicators - Section D'!AA$1:AA$100,MATCH('Print View'!$A187,'Coverage Indicators - Section D'!$A$1:$A$100,0)+1),""),"")&amp;CHAR(10)&amp;IFERROR(IF(INDEX('Coverage Indicators - Section D'!AB$1:AB$100,MATCH('Print View'!$A187,'Coverage Indicators - Section D'!$A$1:$A$100,0))&lt;&gt;"",FIXED(INDEX('Coverage Indicators - Section D'!AB$1:AB$100,MATCH('Print View'!$A187,'Coverage Indicators - Section D'!$A$1:$A$100,0))*100,2)&amp;"%",""),"")&amp;CHAR(10)&amp;IFERROR(IF(INDEX('Coverage Indicators - Section D'!AC$1:AC$100,MATCH('Print View'!$A187,'Coverage Indicators - Section D'!$A$1:$A$100,0))&lt;&gt;"",INDEX('Coverage Indicators - Section D'!AC$1:AC$100,MATCH('Print View'!$A187,'Coverage Indicators - Section D'!$A$1:$A$100,0)),""),"")</f>
        <v xml:space="preserve">/
</v>
      </c>
      <c r="Q187" s="402" t="str">
        <f ca="1">IFERROR(IF(INDEX('Coverage Indicators - Section D'!AD$1:AD$100,MATCH('Print View'!$A187,'Coverage Indicators - Section D'!$A$1:$A$100,0))&lt;&gt;"",INDEX('Coverage Indicators - Section D'!AD$1:AD$100,MATCH('Print View'!$A187,'Coverage Indicators - Section D'!$A$1:$A$100,0)),""),"")&amp;"/"&amp;IFERROR(IF(INDEX('Coverage Indicators - Section D'!AD$1:AD$100,MATCH('Print View'!$A187,'Coverage Indicators - Section D'!$A$1:$A$100,0)+1)&lt;&gt;"",INDEX('Coverage Indicators - Section D'!AD$1:AD$100,MATCH('Print View'!$A187,'Coverage Indicators - Section D'!$A$1:$A$100,0)+1),""),"")&amp;CHAR(10)&amp;IFERROR(IF(INDEX('Coverage Indicators - Section D'!AE$1:AE$100,MATCH('Print View'!$A187,'Coverage Indicators - Section D'!$A$1:$A$100,0))&lt;&gt;"",FIXED(INDEX('Coverage Indicators - Section D'!AE$1:AE$100,MATCH('Print View'!$A187,'Coverage Indicators - Section D'!$A$1:$A$100,0))*100,2)&amp;"%",""),"")&amp;CHAR(10)&amp;IFERROR(IF(INDEX('Coverage Indicators - Section D'!AF$1:AF$100,MATCH('Print View'!$A187,'Coverage Indicators - Section D'!$A$1:$A$100,0))&lt;&gt;"",INDEX('Coverage Indicators - Section D'!AF$1:AF$100,MATCH('Print View'!$A187,'Coverage Indicators - Section D'!$A$1:$A$100,0)),""),"")</f>
        <v xml:space="preserve">/
</v>
      </c>
      <c r="R187" s="402" t="str">
        <f ca="1">IFERROR(IF(INDEX('Coverage Indicators - Section D'!AG$1:AG$100,MATCH('Print View'!$A187,'Coverage Indicators - Section D'!$A$1:$A$100,0))&lt;&gt;"",INDEX('Coverage Indicators - Section D'!AG$1:AG$100,MATCH('Print View'!$A187,'Coverage Indicators - Section D'!$A$1:$A$100,0)),""),"")&amp;"/"&amp;IFERROR(IF(INDEX('Coverage Indicators - Section D'!AG$1:AG$100,MATCH('Print View'!$A187,'Coverage Indicators - Section D'!$A$1:$A$100,0)+1)&lt;&gt;"",INDEX('Coverage Indicators - Section D'!AG$1:AG$100,MATCH('Print View'!$A187,'Coverage Indicators - Section D'!$A$1:$A$100,0)+1),""),"")&amp;CHAR(10)&amp;IFERROR(IF(INDEX('Coverage Indicators - Section D'!AH$1:AH$100,MATCH('Print View'!$A187,'Coverage Indicators - Section D'!$A$1:$A$100,0))&lt;&gt;"",FIXED(INDEX('Coverage Indicators - Section D'!AH$1:AH$100,MATCH('Print View'!$A187,'Coverage Indicators - Section D'!$A$1:$A$100,0))*100,2)&amp;"%",""),"")&amp;CHAR(10)&amp;IFERROR(IF(INDEX('Coverage Indicators - Section D'!AI$1:AI$100,MATCH('Print View'!$A187,'Coverage Indicators - Section D'!$A$1:$A$100,0))&lt;&gt;"",INDEX('Coverage Indicators - Section D'!AI$1:AI$100,MATCH('Print View'!$A187,'Coverage Indicators - Section D'!$A$1:$A$100,0)),""),"")</f>
        <v xml:space="preserve">/
</v>
      </c>
      <c r="S187" s="402" t="str">
        <f ca="1">IFERROR(IF(INDEX('Coverage Indicators - Section D'!AJ$1:AJ$100,MATCH('Print View'!$A187,'Coverage Indicators - Section D'!$A$1:$A$100,0))&lt;&gt;"",INDEX('Coverage Indicators - Section D'!AJ$1:AJ$100,MATCH('Print View'!$A187,'Coverage Indicators - Section D'!$A$1:$A$100,0)),""),"")&amp;"/"&amp;IFERROR(IF(INDEX('Coverage Indicators - Section D'!AJ$1:AJ$100,MATCH('Print View'!$A187,'Coverage Indicators - Section D'!$A$1:$A$100,0)+1)&lt;&gt;"",INDEX('Coverage Indicators - Section D'!AJ$1:AJ$100,MATCH('Print View'!$A187,'Coverage Indicators - Section D'!$A$1:$A$100,0)+1),""),"")&amp;CHAR(10)&amp;IFERROR(IF(INDEX('Coverage Indicators - Section D'!AK$1:AK$100,MATCH('Print View'!$A187,'Coverage Indicators - Section D'!$A$1:$A$100,0))&lt;&gt;"",FIXED(INDEX('Coverage Indicators - Section D'!AK$1:AK$100,MATCH('Print View'!$A187,'Coverage Indicators - Section D'!$A$1:$A$100,0))*100,2)&amp;"%",""),"")&amp;CHAR(10)&amp;IFERROR(IF(INDEX('Coverage Indicators - Section D'!AL$1:AL$100,MATCH('Print View'!$A187,'Coverage Indicators - Section D'!$A$1:$A$100,0))&lt;&gt;"",INDEX('Coverage Indicators - Section D'!AL$1:AL$100,MATCH('Print View'!$A187,'Coverage Indicators - Section D'!$A$1:$A$100,0)),""),"")</f>
        <v xml:space="preserve">/
</v>
      </c>
      <c r="T187" s="31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t="str">
        <f ca="1">IFERROR(IF(INDEX('Coverage Indicators - Section D'!AD$1:AD$110,MATCH('Print View'!$A187,'Coverage Indicators - Section D'!$A$1:$A$110,0))&lt;&gt;0,INDEX('Coverage Indicators - Section D'!AD$1:AD$110,MATCH('Print View'!$A187,'Coverage Indicators - Section D'!$A$1:$A$110,0)),""),"")</f>
        <v/>
      </c>
      <c r="AP187" s="223"/>
      <c r="AQ187" s="223"/>
      <c r="AR187" s="223"/>
      <c r="AS187" s="223"/>
      <c r="AT187" s="803" t="str">
        <f ca="1">CONCATENATE($A187,N$147)</f>
        <v>2031-Dec-24</v>
      </c>
      <c r="AU187" s="802" t="str">
        <f ca="1">CONCATENATE($A187,Q$147)</f>
        <v>2031-Dec-27</v>
      </c>
      <c r="AV187" s="802" t="str">
        <f>CONCATENATE($A187,V$147)</f>
        <v>20</v>
      </c>
      <c r="AW187" s="802" t="str">
        <f>CONCATENATE($A187,Y$147)</f>
        <v>20</v>
      </c>
      <c r="AX187" s="802" t="str">
        <f>CONCATENATE($A187,AB$147)</f>
        <v>20</v>
      </c>
      <c r="AY187" s="802" t="str">
        <f>CONCATENATE($A187,AE$147)</f>
        <v>20</v>
      </c>
      <c r="AZ187" s="802" t="str">
        <f>CONCATENATE($A187,AH$147)</f>
        <v>20</v>
      </c>
      <c r="BA187" s="802" t="str">
        <f>CONCATENATE($A187,AK$147)</f>
        <v>20</v>
      </c>
      <c r="BB187" s="228"/>
      <c r="BC187" s="121"/>
    </row>
    <row r="188" spans="1:55" s="106" customFormat="1" ht="88.4" customHeight="1" x14ac:dyDescent="0.35">
      <c r="A188" s="804"/>
      <c r="B188" s="809" t="str">
        <f ca="1">IFERROR(IF(INDEX('Coverage Indicators - Section D'!AM$1:AM$110,MATCH('Print View'!$A187,'Coverage Indicators - Section D'!$A$1:$A$110,0))&lt;&gt;0,INDEX('Coverage Indicators - Section D'!AM$1:AM$110,MATCH('Print View'!$A187,'Coverage Indicators - Section D'!$A$1:$A$110,0)),""),"")</f>
        <v>Línea de base: 28.69%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mujeres trans que se han sometido a pruebas de VIH durante el período de informe y conocen los resultados
Denominador: Corresponde a la estimación de tamaño de población de mujeres trans, como parte de la ECVC 2014. El denominador se considera estable porque no existe mediciones para conocer si ha aumentado o disminuido.
Fuente: Para el numerador el SUMEVE y el denominador corresponde al tamaño de población de mujeres trans 2014.
Supuestos:
Las metas reflejan la cobertura nacional a alcanzar con prueba de VIH para Trans con recursos del Fondo Mundial y nacionales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56.24% de la población de Trans a nivel nacional de acuerdo al estudio de tamaño de población en Trans 2014. Las metas para el año 2 y 3 serán revisados posterior al estudio de tamaño de población a realizarse durante el primer alo. Las metas para este indicador podrán ser ajustadas posterior a la evaluación de medio término del PENM.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v>
      </c>
      <c r="C188" s="810"/>
      <c r="D188" s="810"/>
      <c r="E188" s="810"/>
      <c r="F188" s="810"/>
      <c r="G188" s="810"/>
      <c r="H188" s="810"/>
      <c r="I188" s="811"/>
      <c r="J188" s="811"/>
      <c r="K188" s="811"/>
      <c r="L188" s="811"/>
      <c r="M188" s="811"/>
      <c r="N188" s="811"/>
      <c r="O188" s="811"/>
      <c r="P188" s="811"/>
      <c r="Q188" s="811"/>
      <c r="R188" s="811"/>
      <c r="S188" s="812"/>
      <c r="T188" s="314"/>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803"/>
      <c r="AU188" s="802"/>
      <c r="AV188" s="802"/>
      <c r="AW188" s="802"/>
      <c r="AX188" s="802"/>
      <c r="AY188" s="802"/>
      <c r="AZ188" s="802"/>
      <c r="BA188" s="802"/>
      <c r="BB188" s="228"/>
      <c r="BC188" s="121"/>
    </row>
    <row r="189" spans="1:55" s="106" customFormat="1" ht="177" customHeight="1" x14ac:dyDescent="0.35">
      <c r="A189" s="801">
        <v>21</v>
      </c>
      <c r="B189" s="395" t="str">
        <f ca="1">IFERROR(IF(INDEX('Coverage Indicators - Section D'!B$1:B$100,MATCH('Print View'!$A189,'Coverage Indicators - Section D'!$A$1:$A$100,0))&lt;&gt;0,INDEX('Coverage Indicators - Section D'!B$1:B$100,MATCH('Print View'!$A189,'Coverage Indicators - Section D'!$A$1:$A$100,0)),""),"")</f>
        <v/>
      </c>
      <c r="C189" s="395" t="str">
        <f ca="1">IFERROR(IF(INDEX('Coverage Indicators - Section D'!D$1:D$100,MATCH('Print View'!$A189,'Coverage Indicators - Section D'!$A$1:$A$100,0))&lt;&gt;0,INDEX('Coverage Indicators - Section D'!D$1:D$100,MATCH('Print View'!$A189,'Coverage Indicators - Section D'!$A$1:$A$100,0)),""),"")</f>
        <v/>
      </c>
      <c r="D189" s="395" t="str">
        <f ca="1">IFERROR(IF(INDEX('Coverage Indicators - Section D'!E$1:E$100,MATCH('Print View'!$A189,'Coverage Indicators - Section D'!$A$1:$A$100,0))&lt;&gt;0,INDEX('Coverage Indicators - Section D'!E$1:E$100,MATCH('Print View'!$A189,'Coverage Indicators - Section D'!$A$1:$A$100,0)),""),"")</f>
        <v/>
      </c>
      <c r="E189" s="396" t="str">
        <f ca="1">IFERROR(IF(INDEX('Coverage Indicators - Section D'!F$1:F$100,MATCH('Print View'!$A189,'Coverage Indicators - Section D'!$A$1:$A$100,0))&lt;&gt;"",INDEX('Coverage Indicators - Section D'!F$1:F$100,MATCH('Print View'!$A189,'Coverage Indicators - Section D'!$A$1:$A$100,0)),""),"")&amp;"/"&amp;IFERROR(IF(INDEX('Coverage Indicators - Section D'!F$1:F$100,MATCH('Print View'!$A189,'Coverage Indicators - Section D'!$A$1:$A$100,0)+1)&lt;&gt;"",INDEX('Coverage Indicators - Section D'!F$1:F$100,MATCH('Print View'!$A189,'Coverage Indicators - Section D'!$A$1:$A$100,0)+1),""),"")&amp;CHAR(10)&amp;IFERROR(IF(INDEX('Coverage Indicators - Section D'!G$1:G$100,MATCH('Print View'!$A189,'Coverage Indicators - Section D'!$A$1:$A$100,0))&lt;&gt;"",FIXED(INDEX('Coverage Indicators - Section D'!G$1:G$100,MATCH('Print View'!$A189,'Coverage Indicators - Section D'!$A$1:$A$100,0))*100,2)&amp;"%",""),"")</f>
        <v xml:space="preserve">/
</v>
      </c>
      <c r="F189" s="397"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398" t="str">
        <f>IFERROR(IF(INDEX('Coverage Indicators - Section D'!J49:J78,MATCH('Print View'!$A189,'Coverage Indicators - Section D'!$A$9:$A$38,0))&lt;&gt;0,INDEX('Coverage Indicators - Section D'!J49:J78,MATCH('Print View'!$A189,'Coverage Indicators - Section D'!$A$9:$A$38,0)),""),"")</f>
        <v/>
      </c>
      <c r="H189" s="399" t="str">
        <f ca="1">IFERROR(IF(INDEX('Coverage Indicators - Section D'!K$1:K$100,MATCH('Print View'!$A189,'Coverage Indicators - Section D'!$A$1:$A$100,0))&lt;&gt;0,INDEX('Coverage Indicators - Section D'!K$1:K$100,MATCH('Print View'!$A189,'Coverage Indicators - Section D'!$A$1:$A$100,0)),""),"")</f>
        <v/>
      </c>
      <c r="I189" s="398" t="str">
        <f ca="1">IFERROR(IF(AND('Overview - Section A'!AN$5="Grant Making",OR(C189&lt;&gt;"",D189&lt;&gt;"")),Setup!I15,IF(INDEX('Coverage Indicators - Section D'!L$1:L$100,MATCH('Print View'!$A189,'Coverage Indicators - Section D'!$A$1:$A$100,0))&lt;&gt;0,INDEX('Coverage Indicators - Section D'!L$1:L$100,MATCH('Print View'!$A189,'Coverage Indicators - Section D'!$A$1:$A$100,0)),"")),"")</f>
        <v/>
      </c>
      <c r="J189" s="396"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396" t="str">
        <f ca="1">IFERROR(IF(INDEX('Coverage Indicators - Section D'!N$1:N$100,MATCH('Print View'!$A189,'Coverage Indicators - Section D'!$A$1:$A$100,0))&lt;&gt;0,INDEX('Coverage Indicators - Section D'!N$1:N$100,MATCH('Print View'!$A189,'Coverage Indicators - Section D'!$A$1:$A$100,0)),""),"")</f>
        <v/>
      </c>
      <c r="L189" s="396" t="str">
        <f ca="1">IFERROR(IF(INDEX('Coverage Indicators - Section D'!O$1:O$100,MATCH('Print View'!$A189,'Coverage Indicators - Section D'!$A$1:$A$100,0))&lt;&gt;"",INDEX('Coverage Indicators - Section D'!O$1:O$100,MATCH('Print View'!$A189,'Coverage Indicators - Section D'!$A$1:$A$100,0)),""),"")&amp;"/"&amp;IFERROR(IF(INDEX('Coverage Indicators - Section D'!O$1:O$100,MATCH('Print View'!$A189,'Coverage Indicators - Section D'!$A$1:$A$100,0)+1)&lt;&gt;"",INDEX('Coverage Indicators - Section D'!O$1:O$100,MATCH('Print View'!$A189,'Coverage Indicators - Section D'!$A$1:$A$100,0)+1),""),"")&amp;CHAR(10)&amp;IFERROR(IF(INDEX('Coverage Indicators - Section D'!P$1:P$100,MATCH('Print View'!$A189,'Coverage Indicators - Section D'!$A$1:$A$100,0))&lt;&gt;"",FIXED(INDEX('Coverage Indicators - Section D'!P$1:P$100,MATCH('Print View'!$A189,'Coverage Indicators - Section D'!$A$1:$A$100,0))*100,2)&amp;"%",""),"")&amp;CHAR(10)&amp;IFERROR(IF(INDEX('Coverage Indicators - Section D'!Q$1:Q$100,MATCH('Print View'!$A189,'Coverage Indicators - Section D'!$A$1:$A$100,0))&lt;&gt;"",INDEX('Coverage Indicators - Section D'!Q$1:Q$100,MATCH('Print View'!$A189,'Coverage Indicators - Section D'!$A$1:$A$100,0)),""),"")</f>
        <v xml:space="preserve">/
</v>
      </c>
      <c r="M189" s="397" t="str">
        <f ca="1">IFERROR(IF(INDEX('Coverage Indicators - Section D'!R$1:R$100,MATCH('Print View'!$A189,'Coverage Indicators - Section D'!$A$1:$A$100,0))&lt;&gt;"",INDEX('Coverage Indicators - Section D'!R$1:R$100,MATCH('Print View'!$A189,'Coverage Indicators - Section D'!$A$1:$A$100,0)),""),"")&amp;"/"&amp;IFERROR(IF(INDEX('Coverage Indicators - Section D'!R$1:R$100,MATCH('Print View'!$A189,'Coverage Indicators - Section D'!$A$1:$A$100,0)+1)&lt;&gt;"",INDEX('Coverage Indicators - Section D'!R$1:R$100,MATCH('Print View'!$A189,'Coverage Indicators - Section D'!$A$1:$A$100,0)+1),""),"")&amp;CHAR(10)&amp;IFERROR(IF(INDEX('Coverage Indicators - Section D'!S$1:S$100,MATCH('Print View'!$A189,'Coverage Indicators - Section D'!$A$1:$A$100,0))&lt;&gt;"",FIXED(INDEX('Coverage Indicators - Section D'!S$1:S$100,MATCH('Print View'!$A189,'Coverage Indicators - Section D'!$A$1:$A$100,0))*100,2)&amp;"%",""),"")&amp;CHAR(10)&amp;IFERROR(IF(INDEX('Coverage Indicators - Section D'!T$1:T$100,MATCH('Print View'!$A189,'Coverage Indicators - Section D'!$A$1:$A$100,0))&lt;&gt;"",INDEX('Coverage Indicators - Section D'!T$1:T$100,MATCH('Print View'!$A189,'Coverage Indicators - Section D'!$A$1:$A$100,0)),""),"")</f>
        <v xml:space="preserve">/
</v>
      </c>
      <c r="N189" s="396" t="str">
        <f ca="1">IFERROR(IF(INDEX('Coverage Indicators - Section D'!U$1:U$100,MATCH('Print View'!$A189,'Coverage Indicators - Section D'!$A$1:$A$100,0))&lt;&gt;"",INDEX('Coverage Indicators - Section D'!U$1:U$100,MATCH('Print View'!$A189,'Coverage Indicators - Section D'!$A$1:$A$100,0)),""),"")&amp;"/"&amp;IFERROR(IF(INDEX('Coverage Indicators - Section D'!U$1:U$100,MATCH('Print View'!$A189,'Coverage Indicators - Section D'!$A$1:$A$100,0)+1)&lt;&gt;"",INDEX('Coverage Indicators - Section D'!U$1:U$100,MATCH('Print View'!$A189,'Coverage Indicators - Section D'!$A$1:$A$100,0)+1),""),"")&amp;CHAR(10)&amp;IFERROR(IF(INDEX('Coverage Indicators - Section D'!V$1:V$100,MATCH('Print View'!$A189,'Coverage Indicators - Section D'!$A$1:$A$100,0))&lt;&gt;"",FIXED(INDEX('Coverage Indicators - Section D'!V$1:V$100,MATCH('Print View'!$A189,'Coverage Indicators - Section D'!$A$1:$A$100,0))*100,2)&amp;"%",""),"")&amp;CHAR(10)&amp;IFERROR(IF(INDEX('Coverage Indicators - Section D'!W$1:W$100,MATCH('Print View'!$A189,'Coverage Indicators - Section D'!$A$1:$A$100,0))&lt;&gt;"",INDEX('Coverage Indicators - Section D'!W$1:W$100,MATCH('Print View'!$A189,'Coverage Indicators - Section D'!$A$1:$A$100,0)),""),"")</f>
        <v xml:space="preserve">/
</v>
      </c>
      <c r="O189" s="397" t="str">
        <f ca="1">IFERROR(IF(INDEX('Coverage Indicators - Section D'!X$1:X$100,MATCH('Print View'!$A189,'Coverage Indicators - Section D'!$A$1:$A$100,0))&lt;&gt;"",INDEX('Coverage Indicators - Section D'!X$1:X$100,MATCH('Print View'!$A189,'Coverage Indicators - Section D'!$A$1:$A$100,0)),""),"")&amp;"/"&amp;IFERROR(IF(INDEX('Coverage Indicators - Section D'!X$1:X$100,MATCH('Print View'!$A189,'Coverage Indicators - Section D'!$A$1:$A$100,0)+1)&lt;&gt;"",INDEX('Coverage Indicators - Section D'!X$1:X$100,MATCH('Print View'!$A189,'Coverage Indicators - Section D'!$A$1:$A$100,0)+1),""),"")&amp;CHAR(10)&amp;IFERROR(IF(INDEX('Coverage Indicators - Section D'!Y$1:Y$100,MATCH('Print View'!$A189,'Coverage Indicators - Section D'!$A$1:$A$100,0))&lt;&gt;"",FIXED(INDEX('Coverage Indicators - Section D'!Y$1:Y$100,MATCH('Print View'!$A189,'Coverage Indicators - Section D'!$A$1:$A$100,0))*100,2)&amp;"%",""),"")&amp;CHAR(10)&amp;IFERROR(IF(INDEX('Coverage Indicators - Section D'!Z$1:Z$100,MATCH('Print View'!$A189,'Coverage Indicators - Section D'!$A$1:$A$100,0))&lt;&gt;"",INDEX('Coverage Indicators - Section D'!Z$1:Z$100,MATCH('Print View'!$A189,'Coverage Indicators - Section D'!$A$1:$A$100,0)),""),"")</f>
        <v xml:space="preserve">/
</v>
      </c>
      <c r="P189" s="397" t="str">
        <f ca="1">IFERROR(IF(INDEX('Coverage Indicators - Section D'!AA$1:AA$100,MATCH('Print View'!$A189,'Coverage Indicators - Section D'!$A$1:$A$100,0))&lt;&gt;"",INDEX('Coverage Indicators - Section D'!AA$1:AA$100,MATCH('Print View'!$A189,'Coverage Indicators - Section D'!$A$1:$A$100,0)),""),"")&amp;"/"&amp;IFERROR(IF(INDEX('Coverage Indicators - Section D'!AA$1:AA$100,MATCH('Print View'!$A189,'Coverage Indicators - Section D'!$A$1:$A$100,0)+1)&lt;&gt;"",INDEX('Coverage Indicators - Section D'!AA$1:AA$100,MATCH('Print View'!$A189,'Coverage Indicators - Section D'!$A$1:$A$100,0)+1),""),"")&amp;CHAR(10)&amp;IFERROR(IF(INDEX('Coverage Indicators - Section D'!AB$1:AB$100,MATCH('Print View'!$A189,'Coverage Indicators - Section D'!$A$1:$A$100,0))&lt;&gt;"",FIXED(INDEX('Coverage Indicators - Section D'!AB$1:AB$100,MATCH('Print View'!$A189,'Coverage Indicators - Section D'!$A$1:$A$100,0))*100,2)&amp;"%",""),"")&amp;CHAR(10)&amp;IFERROR(IF(INDEX('Coverage Indicators - Section D'!AC$1:AC$100,MATCH('Print View'!$A189,'Coverage Indicators - Section D'!$A$1:$A$100,0))&lt;&gt;"",INDEX('Coverage Indicators - Section D'!AC$1:AC$100,MATCH('Print View'!$A189,'Coverage Indicators - Section D'!$A$1:$A$100,0)),""),"")</f>
        <v xml:space="preserve">/
</v>
      </c>
      <c r="Q189" s="397" t="str">
        <f ca="1">IFERROR(IF(INDEX('Coverage Indicators - Section D'!AD$1:AD$100,MATCH('Print View'!$A189,'Coverage Indicators - Section D'!$A$1:$A$100,0))&lt;&gt;"",INDEX('Coverage Indicators - Section D'!AD$1:AD$100,MATCH('Print View'!$A189,'Coverage Indicators - Section D'!$A$1:$A$100,0)),""),"")&amp;"/"&amp;IFERROR(IF(INDEX('Coverage Indicators - Section D'!AD$1:AD$100,MATCH('Print View'!$A189,'Coverage Indicators - Section D'!$A$1:$A$100,0)+1)&lt;&gt;"",INDEX('Coverage Indicators - Section D'!AD$1:AD$100,MATCH('Print View'!$A189,'Coverage Indicators - Section D'!$A$1:$A$100,0)+1),""),"")&amp;CHAR(10)&amp;IFERROR(IF(INDEX('Coverage Indicators - Section D'!AE$1:AE$100,MATCH('Print View'!$A189,'Coverage Indicators - Section D'!$A$1:$A$100,0))&lt;&gt;"",FIXED(INDEX('Coverage Indicators - Section D'!AE$1:AE$100,MATCH('Print View'!$A189,'Coverage Indicators - Section D'!$A$1:$A$100,0))*100,2)&amp;"%",""),"")&amp;CHAR(10)&amp;IFERROR(IF(INDEX('Coverage Indicators - Section D'!AF$1:AF$100,MATCH('Print View'!$A189,'Coverage Indicators - Section D'!$A$1:$A$100,0))&lt;&gt;"",INDEX('Coverage Indicators - Section D'!AF$1:AF$100,MATCH('Print View'!$A189,'Coverage Indicators - Section D'!$A$1:$A$100,0)),""),"")</f>
        <v xml:space="preserve">/
</v>
      </c>
      <c r="R189" s="397" t="str">
        <f ca="1">IFERROR(IF(INDEX('Coverage Indicators - Section D'!AG$1:AG$100,MATCH('Print View'!$A189,'Coverage Indicators - Section D'!$A$1:$A$100,0))&lt;&gt;"",INDEX('Coverage Indicators - Section D'!AG$1:AG$100,MATCH('Print View'!$A189,'Coverage Indicators - Section D'!$A$1:$A$100,0)),""),"")&amp;"/"&amp;IFERROR(IF(INDEX('Coverage Indicators - Section D'!AG$1:AG$100,MATCH('Print View'!$A189,'Coverage Indicators - Section D'!$A$1:$A$100,0)+1)&lt;&gt;"",INDEX('Coverage Indicators - Section D'!AG$1:AG$100,MATCH('Print View'!$A189,'Coverage Indicators - Section D'!$A$1:$A$100,0)+1),""),"")&amp;CHAR(10)&amp;IFERROR(IF(INDEX('Coverage Indicators - Section D'!AH$1:AH$100,MATCH('Print View'!$A189,'Coverage Indicators - Section D'!$A$1:$A$100,0))&lt;&gt;"",FIXED(INDEX('Coverage Indicators - Section D'!AH$1:AH$100,MATCH('Print View'!$A189,'Coverage Indicators - Section D'!$A$1:$A$100,0))*100,2)&amp;"%",""),"")&amp;CHAR(10)&amp;IFERROR(IF(INDEX('Coverage Indicators - Section D'!AI$1:AI$100,MATCH('Print View'!$A189,'Coverage Indicators - Section D'!$A$1:$A$100,0))&lt;&gt;"",INDEX('Coverage Indicators - Section D'!AI$1:AI$100,MATCH('Print View'!$A189,'Coverage Indicators - Section D'!$A$1:$A$100,0)),""),"")</f>
        <v xml:space="preserve">/
</v>
      </c>
      <c r="S189" s="397" t="str">
        <f ca="1">IFERROR(IF(INDEX('Coverage Indicators - Section D'!AJ$1:AJ$100,MATCH('Print View'!$A189,'Coverage Indicators - Section D'!$A$1:$A$100,0))&lt;&gt;"",INDEX('Coverage Indicators - Section D'!AJ$1:AJ$100,MATCH('Print View'!$A189,'Coverage Indicators - Section D'!$A$1:$A$100,0)),""),"")&amp;"/"&amp;IFERROR(IF(INDEX('Coverage Indicators - Section D'!AJ$1:AJ$100,MATCH('Print View'!$A189,'Coverage Indicators - Section D'!$A$1:$A$100,0)+1)&lt;&gt;"",INDEX('Coverage Indicators - Section D'!AJ$1:AJ$100,MATCH('Print View'!$A189,'Coverage Indicators - Section D'!$A$1:$A$100,0)+1),""),"")&amp;CHAR(10)&amp;IFERROR(IF(INDEX('Coverage Indicators - Section D'!AK$1:AK$100,MATCH('Print View'!$A189,'Coverage Indicators - Section D'!$A$1:$A$100,0))&lt;&gt;"",FIXED(INDEX('Coverage Indicators - Section D'!AK$1:AK$100,MATCH('Print View'!$A189,'Coverage Indicators - Section D'!$A$1:$A$100,0))*100,2)&amp;"%",""),"")&amp;CHAR(10)&amp;IFERROR(IF(INDEX('Coverage Indicators - Section D'!AL$1:AL$100,MATCH('Print View'!$A189,'Coverage Indicators - Section D'!$A$1:$A$100,0))&lt;&gt;"",INDEX('Coverage Indicators - Section D'!AL$1:AL$100,MATCH('Print View'!$A189,'Coverage Indicators - Section D'!$A$1:$A$100,0)),""),"")</f>
        <v xml:space="preserve">/
</v>
      </c>
      <c r="T189" s="310"/>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t="str">
        <f ca="1">IFERROR(IF(INDEX('Coverage Indicators - Section D'!AD$1:AD$110,MATCH('Print View'!$A189,'Coverage Indicators - Section D'!$A$1:$A$110,0))&lt;&gt;0,INDEX('Coverage Indicators - Section D'!AD$1:AD$110,MATCH('Print View'!$A189,'Coverage Indicators - Section D'!$A$1:$A$110,0)),""),"")</f>
        <v/>
      </c>
      <c r="AP189" s="223"/>
      <c r="AQ189" s="223"/>
      <c r="AR189" s="223"/>
      <c r="AS189" s="223"/>
      <c r="AT189" s="803" t="str">
        <f ca="1">CONCATENATE($A189,N$147)</f>
        <v>2131-Dec-24</v>
      </c>
      <c r="AU189" s="802" t="str">
        <f ca="1">CONCATENATE($A189,Q$147)</f>
        <v>2131-Dec-27</v>
      </c>
      <c r="AV189" s="802" t="str">
        <f>CONCATENATE($A189,V$147)</f>
        <v>21</v>
      </c>
      <c r="AW189" s="802" t="str">
        <f>CONCATENATE($A189,Y$147)</f>
        <v>21</v>
      </c>
      <c r="AX189" s="802" t="str">
        <f>CONCATENATE($A189,AB$147)</f>
        <v>21</v>
      </c>
      <c r="AY189" s="802" t="str">
        <f>CONCATENATE($A189,AE$147)</f>
        <v>21</v>
      </c>
      <c r="AZ189" s="802" t="str">
        <f>CONCATENATE($A189,AH$147)</f>
        <v>21</v>
      </c>
      <c r="BA189" s="802" t="str">
        <f>CONCATENATE($A189,AK$147)</f>
        <v>21</v>
      </c>
      <c r="BB189" s="228"/>
      <c r="BC189" s="121"/>
    </row>
    <row r="190" spans="1:55" s="106" customFormat="1" ht="88.4" customHeight="1" x14ac:dyDescent="0.35">
      <c r="A190" s="801"/>
      <c r="B190" s="806" t="str">
        <f ca="1">IFERROR(IF(INDEX('Coverage Indicators - Section D'!AM$1:AM$110,MATCH('Print View'!$A189,'Coverage Indicators - Section D'!$A$1:$A$110,0))&lt;&gt;0,INDEX('Coverage Indicators - Section D'!AM$1:AM$110,MATCH('Print View'!$A189,'Coverage Indicators - Section D'!$A$1:$A$110,0)),""),"")</f>
        <v/>
      </c>
      <c r="C190" s="807"/>
      <c r="D190" s="807"/>
      <c r="E190" s="807"/>
      <c r="F190" s="807"/>
      <c r="G190" s="807"/>
      <c r="H190" s="807"/>
      <c r="I190" s="807"/>
      <c r="J190" s="807"/>
      <c r="K190" s="807"/>
      <c r="L190" s="807"/>
      <c r="M190" s="807"/>
      <c r="N190" s="807"/>
      <c r="O190" s="807"/>
      <c r="P190" s="807"/>
      <c r="Q190" s="807"/>
      <c r="R190" s="807"/>
      <c r="S190" s="808"/>
      <c r="T190" s="312"/>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803"/>
      <c r="AU190" s="802"/>
      <c r="AV190" s="802"/>
      <c r="AW190" s="802"/>
      <c r="AX190" s="802"/>
      <c r="AY190" s="802"/>
      <c r="AZ190" s="802"/>
      <c r="BA190" s="802"/>
      <c r="BB190" s="228"/>
      <c r="BC190" s="121"/>
    </row>
    <row r="191" spans="1:55" s="106" customFormat="1" ht="177" customHeight="1" x14ac:dyDescent="0.35">
      <c r="A191" s="804">
        <v>22</v>
      </c>
      <c r="B191" s="385" t="str">
        <f ca="1">IFERROR(IF(INDEX('Coverage Indicators - Section D'!B$1:B$100,MATCH('Print View'!$A191,'Coverage Indicators - Section D'!$A$1:$A$100,0))&lt;&gt;0,INDEX('Coverage Indicators - Section D'!B$1:B$100,MATCH('Print View'!$A191,'Coverage Indicators - Section D'!$A$1:$A$100,0)),""),"")</f>
        <v>Servicios diferenciados de diagnóstico del VIH</v>
      </c>
      <c r="C191" s="385" t="str">
        <f ca="1">IFERROR(IF(INDEX('Coverage Indicators - Section D'!D$1:D$100,MATCH('Print View'!$A191,'Coverage Indicators - Section D'!$A$1:$A$100,0))&lt;&gt;0,INDEX('Coverage Indicators - Section D'!D$1:D$100,MATCH('Print View'!$A191,'Coverage Indicators - Section D'!$A$1:$A$100,0)),""),"")</f>
        <v>HTS-3c⁽ᴹ⁾ Porcentaje de trabajadores sexuales a los que se les ha realizado una prueba de VIH durante el período de reporte y que conocen sus resultados</v>
      </c>
      <c r="D191" s="385" t="str">
        <f ca="1">IFERROR(IF(INDEX('Coverage Indicators - Section D'!E$1:E$100,MATCH('Print View'!$A191,'Coverage Indicators - Section D'!$A$1:$A$100,0))&lt;&gt;0,INDEX('Coverage Indicators - Section D'!E$1:E$100,MATCH('Print View'!$A191,'Coverage Indicators - Section D'!$A$1:$A$100,0)),""),"")</f>
        <v/>
      </c>
      <c r="E191" s="386" t="str">
        <f ca="1">IFERROR(IF(INDEX('Coverage Indicators - Section D'!F$1:F$100,MATCH('Print View'!$A191,'Coverage Indicators - Section D'!$A$1:$A$100,0))&lt;&gt;"",INDEX('Coverage Indicators - Section D'!F$1:F$100,MATCH('Print View'!$A191,'Coverage Indicators - Section D'!$A$1:$A$100,0)),""),"")&amp;"/"&amp;IFERROR(IF(INDEX('Coverage Indicators - Section D'!F$1:F$100,MATCH('Print View'!$A191,'Coverage Indicators - Section D'!$A$1:$A$100,0)+1)&lt;&gt;"",INDEX('Coverage Indicators - Section D'!F$1:F$100,MATCH('Print View'!$A191,'Coverage Indicators - Section D'!$A$1:$A$100,0)+1),""),"")&amp;CHAR(10)&amp;IFERROR(IF(INDEX('Coverage Indicators - Section D'!G$1:G$100,MATCH('Print View'!$A191,'Coverage Indicators - Section D'!$A$1:$A$100,0))&lt;&gt;"",FIXED(INDEX('Coverage Indicators - Section D'!G$1:G$100,MATCH('Print View'!$A191,'Coverage Indicators - Section D'!$A$1:$A$100,0))*100,2)&amp;"%",""),"")</f>
        <v>4150/44972
9.23%</v>
      </c>
      <c r="F191" s="400"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2020
SUMEVE</v>
      </c>
      <c r="G191" s="401" t="str">
        <f>IFERROR(IF(INDEX('Coverage Indicators - Section D'!J49:J78,MATCH('Print View'!$A191,'Coverage Indicators - Section D'!$A$9:$A$38,0))&lt;&gt;0,INDEX('Coverage Indicators - Section D'!J49:J78,MATCH('Print View'!$A191,'Coverage Indicators - Section D'!$A$9:$A$38,0)),""),"")</f>
        <v/>
      </c>
      <c r="H191" s="400" t="str">
        <f ca="1">IFERROR(IF(INDEX('Coverage Indicators - Section D'!K$1:K$100,MATCH('Print View'!$A191,'Coverage Indicators - Section D'!$A$1:$A$100,0))&lt;&gt;0,INDEX('Coverage Indicators - Section D'!K$1:K$100,MATCH('Print View'!$A191,'Coverage Indicators - Section D'!$A$1:$A$100,0)),""),"")</f>
        <v>Yes</v>
      </c>
      <c r="I191" s="401" t="str">
        <f ca="1">IFERROR(IF(AND('Overview - Section A'!AN$5="Grant Making",OR(C191&lt;&gt;"",D191&lt;&gt;"")),Setup!I15,IF(INDEX('Coverage Indicators - Section D'!L$1:L$100,MATCH('Print View'!$A191,'Coverage Indicators - Section D'!$A$1:$A$100,0))&lt;&gt;0,INDEX('Coverage Indicators - Section D'!L$1:L$100,MATCH('Print View'!$A191,'Coverage Indicators - Section D'!$A$1:$A$100,0)),"")),"")</f>
        <v>Ministry of Health of the Republic of El Salvador</v>
      </c>
      <c r="J191" s="400"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El Salvador
Geographic National, 100% of national program target</v>
      </c>
      <c r="K191" s="400" t="str">
        <f ca="1">IFERROR(IF(INDEX('Coverage Indicators - Section D'!N$1:N$100,MATCH('Print View'!$A191,'Coverage Indicators - Section D'!$A$1:$A$100,0))&lt;&gt;0,INDEX('Coverage Indicators - Section D'!N$1:N$100,MATCH('Print View'!$A191,'Coverage Indicators - Section D'!$A$1:$A$100,0)),""),"")</f>
        <v/>
      </c>
      <c r="L191" s="402" t="str">
        <f ca="1">IFERROR(IF(INDEX('Coverage Indicators - Section D'!O$1:O$100,MATCH('Print View'!$A191,'Coverage Indicators - Section D'!$A$1:$A$100,0))&lt;&gt;"",INDEX('Coverage Indicators - Section D'!O$1:O$100,MATCH('Print View'!$A191,'Coverage Indicators - Section D'!$A$1:$A$100,0)),""),"")&amp;"/"&amp;IFERROR(IF(INDEX('Coverage Indicators - Section D'!O$1:O$100,MATCH('Print View'!$A191,'Coverage Indicators - Section D'!$A$1:$A$100,0)+1)&lt;&gt;"",INDEX('Coverage Indicators - Section D'!O$1:O$100,MATCH('Print View'!$A191,'Coverage Indicators - Section D'!$A$1:$A$100,0)+1),""),"")&amp;CHAR(10)&amp;IFERROR(IF(INDEX('Coverage Indicators - Section D'!P$1:P$100,MATCH('Print View'!$A191,'Coverage Indicators - Section D'!$A$1:$A$100,0))&lt;&gt;"",FIXED(INDEX('Coverage Indicators - Section D'!P$1:P$100,MATCH('Print View'!$A191,'Coverage Indicators - Section D'!$A$1:$A$100,0))*100,2)&amp;"%",""),"")&amp;CHAR(10)&amp;IFERROR(IF(INDEX('Coverage Indicators - Section D'!Q$1:Q$100,MATCH('Print View'!$A191,'Coverage Indicators - Section D'!$A$1:$A$100,0))&lt;&gt;"",INDEX('Coverage Indicators - Section D'!Q$1:Q$100,MATCH('Print View'!$A191,'Coverage Indicators - Section D'!$A$1:$A$100,0)),""),"")</f>
        <v xml:space="preserve">9477/44972
21.07%
</v>
      </c>
      <c r="M191" s="402" t="str">
        <f ca="1">IFERROR(IF(INDEX('Coverage Indicators - Section D'!R$1:R$100,MATCH('Print View'!$A191,'Coverage Indicators - Section D'!$A$1:$A$100,0))&lt;&gt;"",INDEX('Coverage Indicators - Section D'!R$1:R$100,MATCH('Print View'!$A191,'Coverage Indicators - Section D'!$A$1:$A$100,0)),""),"")&amp;"/"&amp;IFERROR(IF(INDEX('Coverage Indicators - Section D'!R$1:R$100,MATCH('Print View'!$A191,'Coverage Indicators - Section D'!$A$1:$A$100,0)+1)&lt;&gt;"",INDEX('Coverage Indicators - Section D'!R$1:R$100,MATCH('Print View'!$A191,'Coverage Indicators - Section D'!$A$1:$A$100,0)+1),""),"")&amp;CHAR(10)&amp;IFERROR(IF(INDEX('Coverage Indicators - Section D'!S$1:S$100,MATCH('Print View'!$A191,'Coverage Indicators - Section D'!$A$1:$A$100,0))&lt;&gt;"",FIXED(INDEX('Coverage Indicators - Section D'!S$1:S$100,MATCH('Print View'!$A191,'Coverage Indicators - Section D'!$A$1:$A$100,0))*100,2)&amp;"%",""),"")&amp;CHAR(10)&amp;IFERROR(IF(INDEX('Coverage Indicators - Section D'!T$1:T$100,MATCH('Print View'!$A191,'Coverage Indicators - Section D'!$A$1:$A$100,0))&lt;&gt;"",INDEX('Coverage Indicators - Section D'!T$1:T$100,MATCH('Print View'!$A191,'Coverage Indicators - Section D'!$A$1:$A$100,0)),""),"")</f>
        <v xml:space="preserve">9667/44972
21.50%
</v>
      </c>
      <c r="N191" s="402" t="str">
        <f ca="1">IFERROR(IF(INDEX('Coverage Indicators - Section D'!U$1:U$100,MATCH('Print View'!$A191,'Coverage Indicators - Section D'!$A$1:$A$100,0))&lt;&gt;"",INDEX('Coverage Indicators - Section D'!U$1:U$100,MATCH('Print View'!$A191,'Coverage Indicators - Section D'!$A$1:$A$100,0)),""),"")&amp;"/"&amp;IFERROR(IF(INDEX('Coverage Indicators - Section D'!U$1:U$100,MATCH('Print View'!$A191,'Coverage Indicators - Section D'!$A$1:$A$100,0)+1)&lt;&gt;"",INDEX('Coverage Indicators - Section D'!U$1:U$100,MATCH('Print View'!$A191,'Coverage Indicators - Section D'!$A$1:$A$100,0)+1),""),"")&amp;CHAR(10)&amp;IFERROR(IF(INDEX('Coverage Indicators - Section D'!V$1:V$100,MATCH('Print View'!$A191,'Coverage Indicators - Section D'!$A$1:$A$100,0))&lt;&gt;"",FIXED(INDEX('Coverage Indicators - Section D'!V$1:V$100,MATCH('Print View'!$A191,'Coverage Indicators - Section D'!$A$1:$A$100,0))*100,2)&amp;"%",""),"")&amp;CHAR(10)&amp;IFERROR(IF(INDEX('Coverage Indicators - Section D'!W$1:W$100,MATCH('Print View'!$A191,'Coverage Indicators - Section D'!$A$1:$A$100,0))&lt;&gt;"",INDEX('Coverage Indicators - Section D'!W$1:W$100,MATCH('Print View'!$A191,'Coverage Indicators - Section D'!$A$1:$A$100,0)),""),"")</f>
        <v xml:space="preserve">9860/44972
21.92%
</v>
      </c>
      <c r="O191" s="402" t="str">
        <f ca="1">IFERROR(IF(INDEX('Coverage Indicators - Section D'!X$1:X$100,MATCH('Print View'!$A191,'Coverage Indicators - Section D'!$A$1:$A$100,0))&lt;&gt;"",INDEX('Coverage Indicators - Section D'!X$1:X$100,MATCH('Print View'!$A191,'Coverage Indicators - Section D'!$A$1:$A$100,0)),""),"")&amp;"/"&amp;IFERROR(IF(INDEX('Coverage Indicators - Section D'!X$1:X$100,MATCH('Print View'!$A191,'Coverage Indicators - Section D'!$A$1:$A$100,0)+1)&lt;&gt;"",INDEX('Coverage Indicators - Section D'!X$1:X$100,MATCH('Print View'!$A191,'Coverage Indicators - Section D'!$A$1:$A$100,0)+1),""),"")&amp;CHAR(10)&amp;IFERROR(IF(INDEX('Coverage Indicators - Section D'!Y$1:Y$100,MATCH('Print View'!$A191,'Coverage Indicators - Section D'!$A$1:$A$100,0))&lt;&gt;"",FIXED(INDEX('Coverage Indicators - Section D'!Y$1:Y$100,MATCH('Print View'!$A191,'Coverage Indicators - Section D'!$A$1:$A$100,0))*100,2)&amp;"%",""),"")&amp;CHAR(10)&amp;IFERROR(IF(INDEX('Coverage Indicators - Section D'!Z$1:Z$100,MATCH('Print View'!$A191,'Coverage Indicators - Section D'!$A$1:$A$100,0))&lt;&gt;"",INDEX('Coverage Indicators - Section D'!Z$1:Z$100,MATCH('Print View'!$A191,'Coverage Indicators - Section D'!$A$1:$A$100,0)),""),"")</f>
        <v xml:space="preserve">/
</v>
      </c>
      <c r="P191" s="402" t="str">
        <f ca="1">IFERROR(IF(INDEX('Coverage Indicators - Section D'!AA$1:AA$100,MATCH('Print View'!$A191,'Coverage Indicators - Section D'!$A$1:$A$100,0))&lt;&gt;"",INDEX('Coverage Indicators - Section D'!AA$1:AA$100,MATCH('Print View'!$A191,'Coverage Indicators - Section D'!$A$1:$A$100,0)),""),"")&amp;"/"&amp;IFERROR(IF(INDEX('Coverage Indicators - Section D'!AA$1:AA$100,MATCH('Print View'!$A191,'Coverage Indicators - Section D'!$A$1:$A$100,0)+1)&lt;&gt;"",INDEX('Coverage Indicators - Section D'!AA$1:AA$100,MATCH('Print View'!$A191,'Coverage Indicators - Section D'!$A$1:$A$100,0)+1),""),"")&amp;CHAR(10)&amp;IFERROR(IF(INDEX('Coverage Indicators - Section D'!AB$1:AB$100,MATCH('Print View'!$A191,'Coverage Indicators - Section D'!$A$1:$A$100,0))&lt;&gt;"",FIXED(INDEX('Coverage Indicators - Section D'!AB$1:AB$100,MATCH('Print View'!$A191,'Coverage Indicators - Section D'!$A$1:$A$100,0))*100,2)&amp;"%",""),"")&amp;CHAR(10)&amp;IFERROR(IF(INDEX('Coverage Indicators - Section D'!AC$1:AC$100,MATCH('Print View'!$A191,'Coverage Indicators - Section D'!$A$1:$A$100,0))&lt;&gt;"",INDEX('Coverage Indicators - Section D'!AC$1:AC$100,MATCH('Print View'!$A191,'Coverage Indicators - Section D'!$A$1:$A$100,0)),""),"")</f>
        <v xml:space="preserve">/
</v>
      </c>
      <c r="Q191" s="402" t="str">
        <f ca="1">IFERROR(IF(INDEX('Coverage Indicators - Section D'!AD$1:AD$100,MATCH('Print View'!$A191,'Coverage Indicators - Section D'!$A$1:$A$100,0))&lt;&gt;"",INDEX('Coverage Indicators - Section D'!AD$1:AD$100,MATCH('Print View'!$A191,'Coverage Indicators - Section D'!$A$1:$A$100,0)),""),"")&amp;"/"&amp;IFERROR(IF(INDEX('Coverage Indicators - Section D'!AD$1:AD$100,MATCH('Print View'!$A191,'Coverage Indicators - Section D'!$A$1:$A$100,0)+1)&lt;&gt;"",INDEX('Coverage Indicators - Section D'!AD$1:AD$100,MATCH('Print View'!$A191,'Coverage Indicators - Section D'!$A$1:$A$100,0)+1),""),"")&amp;CHAR(10)&amp;IFERROR(IF(INDEX('Coverage Indicators - Section D'!AE$1:AE$100,MATCH('Print View'!$A191,'Coverage Indicators - Section D'!$A$1:$A$100,0))&lt;&gt;"",FIXED(INDEX('Coverage Indicators - Section D'!AE$1:AE$100,MATCH('Print View'!$A191,'Coverage Indicators - Section D'!$A$1:$A$100,0))*100,2)&amp;"%",""),"")&amp;CHAR(10)&amp;IFERROR(IF(INDEX('Coverage Indicators - Section D'!AF$1:AF$100,MATCH('Print View'!$A191,'Coverage Indicators - Section D'!$A$1:$A$100,0))&lt;&gt;"",INDEX('Coverage Indicators - Section D'!AF$1:AF$100,MATCH('Print View'!$A191,'Coverage Indicators - Section D'!$A$1:$A$100,0)),""),"")</f>
        <v xml:space="preserve">/
</v>
      </c>
      <c r="R191" s="402" t="str">
        <f ca="1">IFERROR(IF(INDEX('Coverage Indicators - Section D'!AG$1:AG$100,MATCH('Print View'!$A191,'Coverage Indicators - Section D'!$A$1:$A$100,0))&lt;&gt;"",INDEX('Coverage Indicators - Section D'!AG$1:AG$100,MATCH('Print View'!$A191,'Coverage Indicators - Section D'!$A$1:$A$100,0)),""),"")&amp;"/"&amp;IFERROR(IF(INDEX('Coverage Indicators - Section D'!AG$1:AG$100,MATCH('Print View'!$A191,'Coverage Indicators - Section D'!$A$1:$A$100,0)+1)&lt;&gt;"",INDEX('Coverage Indicators - Section D'!AG$1:AG$100,MATCH('Print View'!$A191,'Coverage Indicators - Section D'!$A$1:$A$100,0)+1),""),"")&amp;CHAR(10)&amp;IFERROR(IF(INDEX('Coverage Indicators - Section D'!AH$1:AH$100,MATCH('Print View'!$A191,'Coverage Indicators - Section D'!$A$1:$A$100,0))&lt;&gt;"",FIXED(INDEX('Coverage Indicators - Section D'!AH$1:AH$100,MATCH('Print View'!$A191,'Coverage Indicators - Section D'!$A$1:$A$100,0))*100,2)&amp;"%",""),"")&amp;CHAR(10)&amp;IFERROR(IF(INDEX('Coverage Indicators - Section D'!AI$1:AI$100,MATCH('Print View'!$A191,'Coverage Indicators - Section D'!$A$1:$A$100,0))&lt;&gt;"",INDEX('Coverage Indicators - Section D'!AI$1:AI$100,MATCH('Print View'!$A191,'Coverage Indicators - Section D'!$A$1:$A$100,0)),""),"")</f>
        <v xml:space="preserve">/
</v>
      </c>
      <c r="S191" s="402" t="str">
        <f ca="1">IFERROR(IF(INDEX('Coverage Indicators - Section D'!AJ$1:AJ$100,MATCH('Print View'!$A191,'Coverage Indicators - Section D'!$A$1:$A$100,0))&lt;&gt;"",INDEX('Coverage Indicators - Section D'!AJ$1:AJ$100,MATCH('Print View'!$A191,'Coverage Indicators - Section D'!$A$1:$A$100,0)),""),"")&amp;"/"&amp;IFERROR(IF(INDEX('Coverage Indicators - Section D'!AJ$1:AJ$100,MATCH('Print View'!$A191,'Coverage Indicators - Section D'!$A$1:$A$100,0)+1)&lt;&gt;"",INDEX('Coverage Indicators - Section D'!AJ$1:AJ$100,MATCH('Print View'!$A191,'Coverage Indicators - Section D'!$A$1:$A$100,0)+1),""),"")&amp;CHAR(10)&amp;IFERROR(IF(INDEX('Coverage Indicators - Section D'!AK$1:AK$100,MATCH('Print View'!$A191,'Coverage Indicators - Section D'!$A$1:$A$100,0))&lt;&gt;"",FIXED(INDEX('Coverage Indicators - Section D'!AK$1:AK$100,MATCH('Print View'!$A191,'Coverage Indicators - Section D'!$A$1:$A$100,0))*100,2)&amp;"%",""),"")&amp;CHAR(10)&amp;IFERROR(IF(INDEX('Coverage Indicators - Section D'!AL$1:AL$100,MATCH('Print View'!$A191,'Coverage Indicators - Section D'!$A$1:$A$100,0))&lt;&gt;"",INDEX('Coverage Indicators - Section D'!AL$1:AL$100,MATCH('Print View'!$A191,'Coverage Indicators - Section D'!$A$1:$A$100,0)),""),"")</f>
        <v xml:space="preserve">/
</v>
      </c>
      <c r="T191" s="31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t="str">
        <f ca="1">IFERROR(IF(INDEX('Coverage Indicators - Section D'!AD$1:AD$110,MATCH('Print View'!$A191,'Coverage Indicators - Section D'!$A$1:$A$110,0))&lt;&gt;0,INDEX('Coverage Indicators - Section D'!AD$1:AD$110,MATCH('Print View'!$A191,'Coverage Indicators - Section D'!$A$1:$A$110,0)),""),"")</f>
        <v/>
      </c>
      <c r="AP191" s="223"/>
      <c r="AQ191" s="223"/>
      <c r="AR191" s="223"/>
      <c r="AS191" s="223"/>
      <c r="AT191" s="803" t="str">
        <f ca="1">CONCATENATE($A191,N$147)</f>
        <v>2231-Dec-24</v>
      </c>
      <c r="AU191" s="802" t="str">
        <f ca="1">CONCATENATE($A191,Q$147)</f>
        <v>2231-Dec-27</v>
      </c>
      <c r="AV191" s="802" t="str">
        <f>CONCATENATE($A191,V$147)</f>
        <v>22</v>
      </c>
      <c r="AW191" s="802" t="str">
        <f>CONCATENATE($A191,Y$147)</f>
        <v>22</v>
      </c>
      <c r="AX191" s="802" t="str">
        <f>CONCATENATE($A191,AB$147)</f>
        <v>22</v>
      </c>
      <c r="AY191" s="802" t="str">
        <f>CONCATENATE($A191,AE$147)</f>
        <v>22</v>
      </c>
      <c r="AZ191" s="802" t="str">
        <f>CONCATENATE($A191,AH$147)</f>
        <v>22</v>
      </c>
      <c r="BA191" s="802" t="str">
        <f>CONCATENATE($A191,AK$147)</f>
        <v>22</v>
      </c>
      <c r="BB191" s="228"/>
      <c r="BC191" s="121"/>
    </row>
    <row r="192" spans="1:55" s="106" customFormat="1" ht="88.4" customHeight="1" x14ac:dyDescent="0.35">
      <c r="A192" s="804"/>
      <c r="B192" s="809" t="str">
        <f ca="1">IFERROR(IF(INDEX('Coverage Indicators - Section D'!AM$1:AM$110,MATCH('Print View'!$A191,'Coverage Indicators - Section D'!$A$1:$A$110,0))&lt;&gt;0,INDEX('Coverage Indicators - Section D'!AM$1:AM$110,MATCH('Print View'!$A191,'Coverage Indicators - Section D'!$A$1:$A$110,0)),""),"")</f>
        <v>Línea de base: 9.23%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trabajadoras sexuales que se han sometido a pruebas de VIH durante el período de informe y conocen los resultados
Denominador: Corresponde a la estimación de tamaño de población de mujeres trabajadoras sexuales, como parte de la ECVC 2016.El denominador se considera estable porque no existe mediciones para conocer si ha aumentado o disminuido.
Fuente: Para el numerador el SUMEVE  y el denominador corresponde al tamaño de población de TS 2016.
Supuestos:
Las metas reflejan la cobertura nacional a alcanzar con prueba de VIH para MTS con recursos del Fondo Mundial y nacionales. Se espera alcanzar estas metas a través de las 6 unidades móviles y los 175 laboratorios distribuidos en la red de servicios de los municipios prioritarios, en 30 hospitales, 114 unidades comunitarias de salud familiar ,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21.92 % de la población de MTS a nivel nacional de acuerdo al estudio de tamaño de población en MTS 2016.
Las metas del 2 y 3 año, serán ajustadas posterior al estudio de tamaño poblacional que se realizará en el 2022.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v>
      </c>
      <c r="C192" s="810"/>
      <c r="D192" s="810"/>
      <c r="E192" s="810"/>
      <c r="F192" s="810"/>
      <c r="G192" s="810"/>
      <c r="H192" s="810"/>
      <c r="I192" s="811"/>
      <c r="J192" s="811"/>
      <c r="K192" s="811"/>
      <c r="L192" s="811"/>
      <c r="M192" s="811"/>
      <c r="N192" s="811"/>
      <c r="O192" s="811"/>
      <c r="P192" s="811"/>
      <c r="Q192" s="811"/>
      <c r="R192" s="811"/>
      <c r="S192" s="812"/>
      <c r="T192" s="314"/>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803"/>
      <c r="AU192" s="802"/>
      <c r="AV192" s="802"/>
      <c r="AW192" s="802"/>
      <c r="AX192" s="802"/>
      <c r="AY192" s="802"/>
      <c r="AZ192" s="802"/>
      <c r="BA192" s="802"/>
      <c r="BB192" s="228"/>
      <c r="BC192" s="121"/>
    </row>
    <row r="193" spans="1:55" s="106" customFormat="1" ht="177" customHeight="1" x14ac:dyDescent="0.35">
      <c r="A193" s="801">
        <v>23</v>
      </c>
      <c r="B193" s="395" t="str">
        <f ca="1">IFERROR(IF(INDEX('Coverage Indicators - Section D'!B$1:B$100,MATCH('Print View'!$A193,'Coverage Indicators - Section D'!$A$1:$A$100,0))&lt;&gt;0,INDEX('Coverage Indicators - Section D'!B$1:B$100,MATCH('Print View'!$A193,'Coverage Indicators - Section D'!$A$1:$A$100,0)),""),"")</f>
        <v/>
      </c>
      <c r="C193" s="395" t="str">
        <f ca="1">IFERROR(IF(INDEX('Coverage Indicators - Section D'!D$1:D$100,MATCH('Print View'!$A193,'Coverage Indicators - Section D'!$A$1:$A$100,0))&lt;&gt;0,INDEX('Coverage Indicators - Section D'!D$1:D$100,MATCH('Print View'!$A193,'Coverage Indicators - Section D'!$A$1:$A$100,0)),""),"")</f>
        <v/>
      </c>
      <c r="D193" s="395" t="str">
        <f ca="1">IFERROR(IF(INDEX('Coverage Indicators - Section D'!E$1:E$100,MATCH('Print View'!$A193,'Coverage Indicators - Section D'!$A$1:$A$100,0))&lt;&gt;0,INDEX('Coverage Indicators - Section D'!E$1:E$100,MATCH('Print View'!$A193,'Coverage Indicators - Section D'!$A$1:$A$100,0)),""),"")</f>
        <v/>
      </c>
      <c r="E193" s="396" t="str">
        <f ca="1">IFERROR(IF(INDEX('Coverage Indicators - Section D'!F$1:F$100,MATCH('Print View'!$A193,'Coverage Indicators - Section D'!$A$1:$A$100,0))&lt;&gt;"",INDEX('Coverage Indicators - Section D'!F$1:F$100,MATCH('Print View'!$A193,'Coverage Indicators - Section D'!$A$1:$A$100,0)),""),"")&amp;"/"&amp;IFERROR(IF(INDEX('Coverage Indicators - Section D'!F$1:F$100,MATCH('Print View'!$A193,'Coverage Indicators - Section D'!$A$1:$A$100,0)+1)&lt;&gt;"",INDEX('Coverage Indicators - Section D'!F$1:F$100,MATCH('Print View'!$A193,'Coverage Indicators - Section D'!$A$1:$A$100,0)+1),""),"")&amp;CHAR(10)&amp;IFERROR(IF(INDEX('Coverage Indicators - Section D'!G$1:G$100,MATCH('Print View'!$A193,'Coverage Indicators - Section D'!$A$1:$A$100,0))&lt;&gt;"",FIXED(INDEX('Coverage Indicators - Section D'!G$1:G$100,MATCH('Print View'!$A193,'Coverage Indicators - Section D'!$A$1:$A$100,0))*100,2)&amp;"%",""),"")</f>
        <v xml:space="preserve">/
</v>
      </c>
      <c r="F193" s="397"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398" t="str">
        <f>IFERROR(IF(INDEX('Coverage Indicators - Section D'!J53:J82,MATCH('Print View'!$A193,'Coverage Indicators - Section D'!$A$9:$A$38,0))&lt;&gt;0,INDEX('Coverage Indicators - Section D'!J53:J82,MATCH('Print View'!$A193,'Coverage Indicators - Section D'!$A$9:$A$38,0)),""),"")</f>
        <v/>
      </c>
      <c r="H193" s="399" t="str">
        <f ca="1">IFERROR(IF(INDEX('Coverage Indicators - Section D'!K$1:K$100,MATCH('Print View'!$A193,'Coverage Indicators - Section D'!$A$1:$A$100,0))&lt;&gt;0,INDEX('Coverage Indicators - Section D'!K$1:K$100,MATCH('Print View'!$A193,'Coverage Indicators - Section D'!$A$1:$A$100,0)),""),"")</f>
        <v/>
      </c>
      <c r="I193" s="398" t="str">
        <f ca="1">IFERROR(IF(AND('Overview - Section A'!AN$5="Grant Making",OR(C193&lt;&gt;"",D193&lt;&gt;"")),Setup!I15,IF(INDEX('Coverage Indicators - Section D'!L$1:L$100,MATCH('Print View'!$A193,'Coverage Indicators - Section D'!$A$1:$A$100,0))&lt;&gt;0,INDEX('Coverage Indicators - Section D'!L$1:L$100,MATCH('Print View'!$A193,'Coverage Indicators - Section D'!$A$1:$A$100,0)),"")),"")</f>
        <v/>
      </c>
      <c r="J193" s="396"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396" t="str">
        <f ca="1">IFERROR(IF(INDEX('Coverage Indicators - Section D'!N$1:N$100,MATCH('Print View'!$A193,'Coverage Indicators - Section D'!$A$1:$A$100,0))&lt;&gt;0,INDEX('Coverage Indicators - Section D'!N$1:N$100,MATCH('Print View'!$A193,'Coverage Indicators - Section D'!$A$1:$A$100,0)),""),"")</f>
        <v/>
      </c>
      <c r="L193" s="396" t="str">
        <f ca="1">IFERROR(IF(INDEX('Coverage Indicators - Section D'!O$1:O$100,MATCH('Print View'!$A193,'Coverage Indicators - Section D'!$A$1:$A$100,0))&lt;&gt;"",INDEX('Coverage Indicators - Section D'!O$1:O$100,MATCH('Print View'!$A193,'Coverage Indicators - Section D'!$A$1:$A$100,0)),""),"")&amp;"/"&amp;IFERROR(IF(INDEX('Coverage Indicators - Section D'!O$1:O$100,MATCH('Print View'!$A193,'Coverage Indicators - Section D'!$A$1:$A$100,0)+1)&lt;&gt;"",INDEX('Coverage Indicators - Section D'!O$1:O$100,MATCH('Print View'!$A193,'Coverage Indicators - Section D'!$A$1:$A$100,0)+1),""),"")&amp;CHAR(10)&amp;IFERROR(IF(INDEX('Coverage Indicators - Section D'!P$1:P$100,MATCH('Print View'!$A193,'Coverage Indicators - Section D'!$A$1:$A$100,0))&lt;&gt;"",FIXED(INDEX('Coverage Indicators - Section D'!P$1:P$100,MATCH('Print View'!$A193,'Coverage Indicators - Section D'!$A$1:$A$100,0))*100,2)&amp;"%",""),"")&amp;CHAR(10)&amp;IFERROR(IF(INDEX('Coverage Indicators - Section D'!Q$1:Q$100,MATCH('Print View'!$A193,'Coverage Indicators - Section D'!$A$1:$A$100,0))&lt;&gt;"",INDEX('Coverage Indicators - Section D'!Q$1:Q$100,MATCH('Print View'!$A193,'Coverage Indicators - Section D'!$A$1:$A$100,0)),""),"")</f>
        <v xml:space="preserve">/
</v>
      </c>
      <c r="M193" s="397" t="str">
        <f ca="1">IFERROR(IF(INDEX('Coverage Indicators - Section D'!R$1:R$100,MATCH('Print View'!$A193,'Coverage Indicators - Section D'!$A$1:$A$100,0))&lt;&gt;"",INDEX('Coverage Indicators - Section D'!R$1:R$100,MATCH('Print View'!$A193,'Coverage Indicators - Section D'!$A$1:$A$100,0)),""),"")&amp;"/"&amp;IFERROR(IF(INDEX('Coverage Indicators - Section D'!R$1:R$100,MATCH('Print View'!$A193,'Coverage Indicators - Section D'!$A$1:$A$100,0)+1)&lt;&gt;"",INDEX('Coverage Indicators - Section D'!R$1:R$100,MATCH('Print View'!$A193,'Coverage Indicators - Section D'!$A$1:$A$100,0)+1),""),"")&amp;CHAR(10)&amp;IFERROR(IF(INDEX('Coverage Indicators - Section D'!S$1:S$100,MATCH('Print View'!$A193,'Coverage Indicators - Section D'!$A$1:$A$100,0))&lt;&gt;"",FIXED(INDEX('Coverage Indicators - Section D'!S$1:S$100,MATCH('Print View'!$A193,'Coverage Indicators - Section D'!$A$1:$A$100,0))*100,2)&amp;"%",""),"")&amp;CHAR(10)&amp;IFERROR(IF(INDEX('Coverage Indicators - Section D'!T$1:T$100,MATCH('Print View'!$A193,'Coverage Indicators - Section D'!$A$1:$A$100,0))&lt;&gt;"",INDEX('Coverage Indicators - Section D'!T$1:T$100,MATCH('Print View'!$A193,'Coverage Indicators - Section D'!$A$1:$A$100,0)),""),"")</f>
        <v xml:space="preserve">/
</v>
      </c>
      <c r="N193" s="396" t="str">
        <f ca="1">IFERROR(IF(INDEX('Coverage Indicators - Section D'!U$1:U$100,MATCH('Print View'!$A193,'Coverage Indicators - Section D'!$A$1:$A$100,0))&lt;&gt;"",INDEX('Coverage Indicators - Section D'!U$1:U$100,MATCH('Print View'!$A193,'Coverage Indicators - Section D'!$A$1:$A$100,0)),""),"")&amp;"/"&amp;IFERROR(IF(INDEX('Coverage Indicators - Section D'!U$1:U$100,MATCH('Print View'!$A193,'Coverage Indicators - Section D'!$A$1:$A$100,0)+1)&lt;&gt;"",INDEX('Coverage Indicators - Section D'!U$1:U$100,MATCH('Print View'!$A193,'Coverage Indicators - Section D'!$A$1:$A$100,0)+1),""),"")&amp;CHAR(10)&amp;IFERROR(IF(INDEX('Coverage Indicators - Section D'!V$1:V$100,MATCH('Print View'!$A193,'Coverage Indicators - Section D'!$A$1:$A$100,0))&lt;&gt;"",FIXED(INDEX('Coverage Indicators - Section D'!V$1:V$100,MATCH('Print View'!$A193,'Coverage Indicators - Section D'!$A$1:$A$100,0))*100,2)&amp;"%",""),"")&amp;CHAR(10)&amp;IFERROR(IF(INDEX('Coverage Indicators - Section D'!W$1:W$100,MATCH('Print View'!$A193,'Coverage Indicators - Section D'!$A$1:$A$100,0))&lt;&gt;"",INDEX('Coverage Indicators - Section D'!W$1:W$100,MATCH('Print View'!$A193,'Coverage Indicators - Section D'!$A$1:$A$100,0)),""),"")</f>
        <v xml:space="preserve">/
</v>
      </c>
      <c r="O193" s="397" t="str">
        <f ca="1">IFERROR(IF(INDEX('Coverage Indicators - Section D'!X$1:X$100,MATCH('Print View'!$A193,'Coverage Indicators - Section D'!$A$1:$A$100,0))&lt;&gt;"",INDEX('Coverage Indicators - Section D'!X$1:X$100,MATCH('Print View'!$A193,'Coverage Indicators - Section D'!$A$1:$A$100,0)),""),"")&amp;"/"&amp;IFERROR(IF(INDEX('Coverage Indicators - Section D'!X$1:X$100,MATCH('Print View'!$A193,'Coverage Indicators - Section D'!$A$1:$A$100,0)+1)&lt;&gt;"",INDEX('Coverage Indicators - Section D'!X$1:X$100,MATCH('Print View'!$A193,'Coverage Indicators - Section D'!$A$1:$A$100,0)+1),""),"")&amp;CHAR(10)&amp;IFERROR(IF(INDEX('Coverage Indicators - Section D'!Y$1:Y$100,MATCH('Print View'!$A193,'Coverage Indicators - Section D'!$A$1:$A$100,0))&lt;&gt;"",FIXED(INDEX('Coverage Indicators - Section D'!Y$1:Y$100,MATCH('Print View'!$A193,'Coverage Indicators - Section D'!$A$1:$A$100,0))*100,2)&amp;"%",""),"")&amp;CHAR(10)&amp;IFERROR(IF(INDEX('Coverage Indicators - Section D'!Z$1:Z$100,MATCH('Print View'!$A193,'Coverage Indicators - Section D'!$A$1:$A$100,0))&lt;&gt;"",INDEX('Coverage Indicators - Section D'!Z$1:Z$100,MATCH('Print View'!$A193,'Coverage Indicators - Section D'!$A$1:$A$100,0)),""),"")</f>
        <v xml:space="preserve">/
</v>
      </c>
      <c r="P193" s="397" t="str">
        <f ca="1">IFERROR(IF(INDEX('Coverage Indicators - Section D'!AA$1:AA$100,MATCH('Print View'!$A193,'Coverage Indicators - Section D'!$A$1:$A$100,0))&lt;&gt;"",INDEX('Coverage Indicators - Section D'!AA$1:AA$100,MATCH('Print View'!$A193,'Coverage Indicators - Section D'!$A$1:$A$100,0)),""),"")&amp;"/"&amp;IFERROR(IF(INDEX('Coverage Indicators - Section D'!AA$1:AA$100,MATCH('Print View'!$A193,'Coverage Indicators - Section D'!$A$1:$A$100,0)+1)&lt;&gt;"",INDEX('Coverage Indicators - Section D'!AA$1:AA$100,MATCH('Print View'!$A193,'Coverage Indicators - Section D'!$A$1:$A$100,0)+1),""),"")&amp;CHAR(10)&amp;IFERROR(IF(INDEX('Coverage Indicators - Section D'!AB$1:AB$100,MATCH('Print View'!$A193,'Coverage Indicators - Section D'!$A$1:$A$100,0))&lt;&gt;"",FIXED(INDEX('Coverage Indicators - Section D'!AB$1:AB$100,MATCH('Print View'!$A193,'Coverage Indicators - Section D'!$A$1:$A$100,0))*100,2)&amp;"%",""),"")&amp;CHAR(10)&amp;IFERROR(IF(INDEX('Coverage Indicators - Section D'!AC$1:AC$100,MATCH('Print View'!$A193,'Coverage Indicators - Section D'!$A$1:$A$100,0))&lt;&gt;"",INDEX('Coverage Indicators - Section D'!AC$1:AC$100,MATCH('Print View'!$A193,'Coverage Indicators - Section D'!$A$1:$A$100,0)),""),"")</f>
        <v xml:space="preserve">/
</v>
      </c>
      <c r="Q193" s="397" t="str">
        <f ca="1">IFERROR(IF(INDEX('Coverage Indicators - Section D'!AD$1:AD$100,MATCH('Print View'!$A193,'Coverage Indicators - Section D'!$A$1:$A$100,0))&lt;&gt;"",INDEX('Coverage Indicators - Section D'!AD$1:AD$100,MATCH('Print View'!$A193,'Coverage Indicators - Section D'!$A$1:$A$100,0)),""),"")&amp;"/"&amp;IFERROR(IF(INDEX('Coverage Indicators - Section D'!AD$1:AD$100,MATCH('Print View'!$A193,'Coverage Indicators - Section D'!$A$1:$A$100,0)+1)&lt;&gt;"",INDEX('Coverage Indicators - Section D'!AD$1:AD$100,MATCH('Print View'!$A193,'Coverage Indicators - Section D'!$A$1:$A$100,0)+1),""),"")&amp;CHAR(10)&amp;IFERROR(IF(INDEX('Coverage Indicators - Section D'!AE$1:AE$100,MATCH('Print View'!$A193,'Coverage Indicators - Section D'!$A$1:$A$100,0))&lt;&gt;"",FIXED(INDEX('Coverage Indicators - Section D'!AE$1:AE$100,MATCH('Print View'!$A193,'Coverage Indicators - Section D'!$A$1:$A$100,0))*100,2)&amp;"%",""),"")&amp;CHAR(10)&amp;IFERROR(IF(INDEX('Coverage Indicators - Section D'!AF$1:AF$100,MATCH('Print View'!$A193,'Coverage Indicators - Section D'!$A$1:$A$100,0))&lt;&gt;"",INDEX('Coverage Indicators - Section D'!AF$1:AF$100,MATCH('Print View'!$A193,'Coverage Indicators - Section D'!$A$1:$A$100,0)),""),"")</f>
        <v xml:space="preserve">/
</v>
      </c>
      <c r="R193" s="397" t="str">
        <f ca="1">IFERROR(IF(INDEX('Coverage Indicators - Section D'!AG$1:AG$100,MATCH('Print View'!$A193,'Coverage Indicators - Section D'!$A$1:$A$100,0))&lt;&gt;"",INDEX('Coverage Indicators - Section D'!AG$1:AG$100,MATCH('Print View'!$A193,'Coverage Indicators - Section D'!$A$1:$A$100,0)),""),"")&amp;"/"&amp;IFERROR(IF(INDEX('Coverage Indicators - Section D'!AG$1:AG$100,MATCH('Print View'!$A193,'Coverage Indicators - Section D'!$A$1:$A$100,0)+1)&lt;&gt;"",INDEX('Coverage Indicators - Section D'!AG$1:AG$100,MATCH('Print View'!$A193,'Coverage Indicators - Section D'!$A$1:$A$100,0)+1),""),"")&amp;CHAR(10)&amp;IFERROR(IF(INDEX('Coverage Indicators - Section D'!AH$1:AH$100,MATCH('Print View'!$A193,'Coverage Indicators - Section D'!$A$1:$A$100,0))&lt;&gt;"",FIXED(INDEX('Coverage Indicators - Section D'!AH$1:AH$100,MATCH('Print View'!$A193,'Coverage Indicators - Section D'!$A$1:$A$100,0))*100,2)&amp;"%",""),"")&amp;CHAR(10)&amp;IFERROR(IF(INDEX('Coverage Indicators - Section D'!AI$1:AI$100,MATCH('Print View'!$A193,'Coverage Indicators - Section D'!$A$1:$A$100,0))&lt;&gt;"",INDEX('Coverage Indicators - Section D'!AI$1:AI$100,MATCH('Print View'!$A193,'Coverage Indicators - Section D'!$A$1:$A$100,0)),""),"")</f>
        <v xml:space="preserve">/
</v>
      </c>
      <c r="S193" s="397" t="str">
        <f ca="1">IFERROR(IF(INDEX('Coverage Indicators - Section D'!AJ$1:AJ$100,MATCH('Print View'!$A193,'Coverage Indicators - Section D'!$A$1:$A$100,0))&lt;&gt;"",INDEX('Coverage Indicators - Section D'!AJ$1:AJ$100,MATCH('Print View'!$A193,'Coverage Indicators - Section D'!$A$1:$A$100,0)),""),"")&amp;"/"&amp;IFERROR(IF(INDEX('Coverage Indicators - Section D'!AJ$1:AJ$100,MATCH('Print View'!$A193,'Coverage Indicators - Section D'!$A$1:$A$100,0)+1)&lt;&gt;"",INDEX('Coverage Indicators - Section D'!AJ$1:AJ$100,MATCH('Print View'!$A193,'Coverage Indicators - Section D'!$A$1:$A$100,0)+1),""),"")&amp;CHAR(10)&amp;IFERROR(IF(INDEX('Coverage Indicators - Section D'!AK$1:AK$100,MATCH('Print View'!$A193,'Coverage Indicators - Section D'!$A$1:$A$100,0))&lt;&gt;"",FIXED(INDEX('Coverage Indicators - Section D'!AK$1:AK$100,MATCH('Print View'!$A193,'Coverage Indicators - Section D'!$A$1:$A$100,0))*100,2)&amp;"%",""),"")&amp;CHAR(10)&amp;IFERROR(IF(INDEX('Coverage Indicators - Section D'!AL$1:AL$100,MATCH('Print View'!$A193,'Coverage Indicators - Section D'!$A$1:$A$100,0))&lt;&gt;"",INDEX('Coverage Indicators - Section D'!AL$1:AL$100,MATCH('Print View'!$A193,'Coverage Indicators - Section D'!$A$1:$A$100,0)),""),"")</f>
        <v xml:space="preserve">/
</v>
      </c>
      <c r="T193" s="310"/>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t="str">
        <f ca="1">IFERROR(IF(INDEX('Coverage Indicators - Section D'!AD$1:AD$110,MATCH('Print View'!$A193,'Coverage Indicators - Section D'!$A$1:$A$110,0))&lt;&gt;0,INDEX('Coverage Indicators - Section D'!AD$1:AD$110,MATCH('Print View'!$A193,'Coverage Indicators - Section D'!$A$1:$A$110,0)),""),"")</f>
        <v/>
      </c>
      <c r="AP193" s="223"/>
      <c r="AQ193" s="223"/>
      <c r="AR193" s="223"/>
      <c r="AS193" s="223"/>
      <c r="AT193" s="803" t="str">
        <f ca="1">CONCATENATE($A193,N$147)</f>
        <v>2331-Dec-24</v>
      </c>
      <c r="AU193" s="802" t="str">
        <f ca="1">CONCATENATE($A193,Q$147)</f>
        <v>2331-Dec-27</v>
      </c>
      <c r="AV193" s="802" t="str">
        <f>CONCATENATE($A193,V$147)</f>
        <v>23</v>
      </c>
      <c r="AW193" s="802" t="str">
        <f>CONCATENATE($A193,Y$147)</f>
        <v>23</v>
      </c>
      <c r="AX193" s="802" t="str">
        <f>CONCATENATE($A193,AB$147)</f>
        <v>23</v>
      </c>
      <c r="AY193" s="802" t="str">
        <f>CONCATENATE($A193,AE$147)</f>
        <v>23</v>
      </c>
      <c r="AZ193" s="802" t="str">
        <f>CONCATENATE($A193,AH$147)</f>
        <v>23</v>
      </c>
      <c r="BA193" s="802" t="str">
        <f>CONCATENATE($A193,AK$147)</f>
        <v>23</v>
      </c>
      <c r="BB193" s="228"/>
      <c r="BC193" s="121"/>
    </row>
    <row r="194" spans="1:55" s="106" customFormat="1" ht="88.4" customHeight="1" x14ac:dyDescent="0.35">
      <c r="A194" s="801"/>
      <c r="B194" s="806" t="str">
        <f ca="1">IFERROR(IF(INDEX('Coverage Indicators - Section D'!AM$1:AM$110,MATCH('Print View'!$A193,'Coverage Indicators - Section D'!$A$1:$A$110,0))&lt;&gt;0,INDEX('Coverage Indicators - Section D'!AM$1:AM$110,MATCH('Print View'!$A193,'Coverage Indicators - Section D'!$A$1:$A$110,0)),""),"")</f>
        <v/>
      </c>
      <c r="C194" s="807"/>
      <c r="D194" s="807"/>
      <c r="E194" s="807"/>
      <c r="F194" s="807"/>
      <c r="G194" s="807"/>
      <c r="H194" s="807"/>
      <c r="I194" s="807"/>
      <c r="J194" s="807"/>
      <c r="K194" s="807"/>
      <c r="L194" s="807"/>
      <c r="M194" s="807"/>
      <c r="N194" s="807"/>
      <c r="O194" s="807"/>
      <c r="P194" s="807"/>
      <c r="Q194" s="807"/>
      <c r="R194" s="807"/>
      <c r="S194" s="808"/>
      <c r="T194" s="312"/>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803"/>
      <c r="AU194" s="802"/>
      <c r="AV194" s="802"/>
      <c r="AW194" s="802"/>
      <c r="AX194" s="802"/>
      <c r="AY194" s="802"/>
      <c r="AZ194" s="802"/>
      <c r="BA194" s="802"/>
      <c r="BB194" s="228"/>
      <c r="BC194" s="121"/>
    </row>
    <row r="195" spans="1:55" s="106" customFormat="1" ht="177" customHeight="1" x14ac:dyDescent="0.35">
      <c r="A195" s="804">
        <v>24</v>
      </c>
      <c r="B195" s="385" t="str">
        <f ca="1">IFERROR(IF(INDEX('Coverage Indicators - Section D'!B$1:B$100,MATCH('Print View'!$A195,'Coverage Indicators - Section D'!$A$1:$A$100,0))&lt;&gt;0,INDEX('Coverage Indicators - Section D'!B$1:B$100,MATCH('Print View'!$A195,'Coverage Indicators - Section D'!$A$1:$A$100,0)),""),"")</f>
        <v/>
      </c>
      <c r="C195" s="385" t="str">
        <f ca="1">IFERROR(IF(INDEX('Coverage Indicators - Section D'!D$1:D$100,MATCH('Print View'!$A195,'Coverage Indicators - Section D'!$A$1:$A$100,0))&lt;&gt;0,INDEX('Coverage Indicators - Section D'!D$1:D$100,MATCH('Print View'!$A195,'Coverage Indicators - Section D'!$A$1:$A$100,0)),""),"")</f>
        <v/>
      </c>
      <c r="D195" s="385" t="str">
        <f ca="1">IFERROR(IF(INDEX('Coverage Indicators - Section D'!E$1:E$100,MATCH('Print View'!$A195,'Coverage Indicators - Section D'!$A$1:$A$100,0))&lt;&gt;0,INDEX('Coverage Indicators - Section D'!E$1:E$100,MATCH('Print View'!$A195,'Coverage Indicators - Section D'!$A$1:$A$100,0)),""),"")</f>
        <v/>
      </c>
      <c r="E195" s="386" t="str">
        <f ca="1">IFERROR(IF(INDEX('Coverage Indicators - Section D'!F$1:F$100,MATCH('Print View'!$A195,'Coverage Indicators - Section D'!$A$1:$A$100,0))&lt;&gt;"",INDEX('Coverage Indicators - Section D'!F$1:F$100,MATCH('Print View'!$A195,'Coverage Indicators - Section D'!$A$1:$A$100,0)),""),"")&amp;"/"&amp;IFERROR(IF(INDEX('Coverage Indicators - Section D'!F$1:F$100,MATCH('Print View'!$A195,'Coverage Indicators - Section D'!$A$1:$A$100,0)+1)&lt;&gt;"",INDEX('Coverage Indicators - Section D'!F$1:F$100,MATCH('Print View'!$A195,'Coverage Indicators - Section D'!$A$1:$A$100,0)+1),""),"")&amp;CHAR(10)&amp;IFERROR(IF(INDEX('Coverage Indicators - Section D'!G$1:G$100,MATCH('Print View'!$A195,'Coverage Indicators - Section D'!$A$1:$A$100,0))&lt;&gt;"",FIXED(INDEX('Coverage Indicators - Section D'!G$1:G$100,MATCH('Print View'!$A195,'Coverage Indicators - Section D'!$A$1:$A$100,0))*100,2)&amp;"%",""),"")</f>
        <v xml:space="preserve">/
</v>
      </c>
      <c r="F195" s="400"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401" t="str">
        <f>IFERROR(IF(INDEX('Coverage Indicators - Section D'!J53:J82,MATCH('Print View'!$A195,'Coverage Indicators - Section D'!$A$9:$A$38,0))&lt;&gt;0,INDEX('Coverage Indicators - Section D'!J53:J82,MATCH('Print View'!$A195,'Coverage Indicators - Section D'!$A$9:$A$38,0)),""),"")</f>
        <v/>
      </c>
      <c r="H195" s="400" t="str">
        <f ca="1">IFERROR(IF(INDEX('Coverage Indicators - Section D'!K$1:K$100,MATCH('Print View'!$A195,'Coverage Indicators - Section D'!$A$1:$A$100,0))&lt;&gt;0,INDEX('Coverage Indicators - Section D'!K$1:K$100,MATCH('Print View'!$A195,'Coverage Indicators - Section D'!$A$1:$A$100,0)),""),"")</f>
        <v/>
      </c>
      <c r="I195" s="401" t="str">
        <f ca="1">IFERROR(IF(AND('Overview - Section A'!AN$5="Grant Making",OR(C195&lt;&gt;"",D195&lt;&gt;"")),Setup!I15,IF(INDEX('Coverage Indicators - Section D'!L$1:L$100,MATCH('Print View'!$A195,'Coverage Indicators - Section D'!$A$1:$A$100,0))&lt;&gt;0,INDEX('Coverage Indicators - Section D'!L$1:L$100,MATCH('Print View'!$A195,'Coverage Indicators - Section D'!$A$1:$A$100,0)),"")),"")</f>
        <v/>
      </c>
      <c r="J195" s="400"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400" t="str">
        <f ca="1">IFERROR(IF(INDEX('Coverage Indicators - Section D'!N$1:N$100,MATCH('Print View'!$A195,'Coverage Indicators - Section D'!$A$1:$A$100,0))&lt;&gt;0,INDEX('Coverage Indicators - Section D'!N$1:N$100,MATCH('Print View'!$A195,'Coverage Indicators - Section D'!$A$1:$A$100,0)),""),"")</f>
        <v/>
      </c>
      <c r="L195" s="402" t="str">
        <f ca="1">IFERROR(IF(INDEX('Coverage Indicators - Section D'!O$1:O$100,MATCH('Print View'!$A195,'Coverage Indicators - Section D'!$A$1:$A$100,0))&lt;&gt;"",INDEX('Coverage Indicators - Section D'!O$1:O$100,MATCH('Print View'!$A195,'Coverage Indicators - Section D'!$A$1:$A$100,0)),""),"")&amp;"/"&amp;IFERROR(IF(INDEX('Coverage Indicators - Section D'!O$1:O$100,MATCH('Print View'!$A195,'Coverage Indicators - Section D'!$A$1:$A$100,0)+1)&lt;&gt;"",INDEX('Coverage Indicators - Section D'!O$1:O$100,MATCH('Print View'!$A195,'Coverage Indicators - Section D'!$A$1:$A$100,0)+1),""),"")&amp;CHAR(10)&amp;IFERROR(IF(INDEX('Coverage Indicators - Section D'!P$1:P$100,MATCH('Print View'!$A195,'Coverage Indicators - Section D'!$A$1:$A$100,0))&lt;&gt;"",FIXED(INDEX('Coverage Indicators - Section D'!P$1:P$100,MATCH('Print View'!$A195,'Coverage Indicators - Section D'!$A$1:$A$100,0))*100,2)&amp;"%",""),"")&amp;CHAR(10)&amp;IFERROR(IF(INDEX('Coverage Indicators - Section D'!Q$1:Q$100,MATCH('Print View'!$A195,'Coverage Indicators - Section D'!$A$1:$A$100,0))&lt;&gt;"",INDEX('Coverage Indicators - Section D'!Q$1:Q$100,MATCH('Print View'!$A195,'Coverage Indicators - Section D'!$A$1:$A$100,0)),""),"")</f>
        <v xml:space="preserve">/
</v>
      </c>
      <c r="M195" s="402" t="str">
        <f ca="1">IFERROR(IF(INDEX('Coverage Indicators - Section D'!R$1:R$100,MATCH('Print View'!$A195,'Coverage Indicators - Section D'!$A$1:$A$100,0))&lt;&gt;"",INDEX('Coverage Indicators - Section D'!R$1:R$100,MATCH('Print View'!$A195,'Coverage Indicators - Section D'!$A$1:$A$100,0)),""),"")&amp;"/"&amp;IFERROR(IF(INDEX('Coverage Indicators - Section D'!R$1:R$100,MATCH('Print View'!$A195,'Coverage Indicators - Section D'!$A$1:$A$100,0)+1)&lt;&gt;"",INDEX('Coverage Indicators - Section D'!R$1:R$100,MATCH('Print View'!$A195,'Coverage Indicators - Section D'!$A$1:$A$100,0)+1),""),"")&amp;CHAR(10)&amp;IFERROR(IF(INDEX('Coverage Indicators - Section D'!S$1:S$100,MATCH('Print View'!$A195,'Coverage Indicators - Section D'!$A$1:$A$100,0))&lt;&gt;"",FIXED(INDEX('Coverage Indicators - Section D'!S$1:S$100,MATCH('Print View'!$A195,'Coverage Indicators - Section D'!$A$1:$A$100,0))*100,2)&amp;"%",""),"")&amp;CHAR(10)&amp;IFERROR(IF(INDEX('Coverage Indicators - Section D'!T$1:T$100,MATCH('Print View'!$A195,'Coverage Indicators - Section D'!$A$1:$A$100,0))&lt;&gt;"",INDEX('Coverage Indicators - Section D'!T$1:T$100,MATCH('Print View'!$A195,'Coverage Indicators - Section D'!$A$1:$A$100,0)),""),"")</f>
        <v xml:space="preserve">/
</v>
      </c>
      <c r="N195" s="402" t="str">
        <f ca="1">IFERROR(IF(INDEX('Coverage Indicators - Section D'!U$1:U$100,MATCH('Print View'!$A195,'Coverage Indicators - Section D'!$A$1:$A$100,0))&lt;&gt;"",INDEX('Coverage Indicators - Section D'!U$1:U$100,MATCH('Print View'!$A195,'Coverage Indicators - Section D'!$A$1:$A$100,0)),""),"")&amp;"/"&amp;IFERROR(IF(INDEX('Coverage Indicators - Section D'!U$1:U$100,MATCH('Print View'!$A195,'Coverage Indicators - Section D'!$A$1:$A$100,0)+1)&lt;&gt;"",INDEX('Coverage Indicators - Section D'!U$1:U$100,MATCH('Print View'!$A195,'Coverage Indicators - Section D'!$A$1:$A$100,0)+1),""),"")&amp;CHAR(10)&amp;IFERROR(IF(INDEX('Coverage Indicators - Section D'!V$1:V$100,MATCH('Print View'!$A195,'Coverage Indicators - Section D'!$A$1:$A$100,0))&lt;&gt;"",FIXED(INDEX('Coverage Indicators - Section D'!V$1:V$100,MATCH('Print View'!$A195,'Coverage Indicators - Section D'!$A$1:$A$100,0))*100,2)&amp;"%",""),"")&amp;CHAR(10)&amp;IFERROR(IF(INDEX('Coverage Indicators - Section D'!W$1:W$100,MATCH('Print View'!$A195,'Coverage Indicators - Section D'!$A$1:$A$100,0))&lt;&gt;"",INDEX('Coverage Indicators - Section D'!W$1:W$100,MATCH('Print View'!$A195,'Coverage Indicators - Section D'!$A$1:$A$100,0)),""),"")</f>
        <v xml:space="preserve">/
</v>
      </c>
      <c r="O195" s="402" t="str">
        <f ca="1">IFERROR(IF(INDEX('Coverage Indicators - Section D'!X$1:X$100,MATCH('Print View'!$A195,'Coverage Indicators - Section D'!$A$1:$A$100,0))&lt;&gt;"",INDEX('Coverage Indicators - Section D'!X$1:X$100,MATCH('Print View'!$A195,'Coverage Indicators - Section D'!$A$1:$A$100,0)),""),"")&amp;"/"&amp;IFERROR(IF(INDEX('Coverage Indicators - Section D'!X$1:X$100,MATCH('Print View'!$A195,'Coverage Indicators - Section D'!$A$1:$A$100,0)+1)&lt;&gt;"",INDEX('Coverage Indicators - Section D'!X$1:X$100,MATCH('Print View'!$A195,'Coverage Indicators - Section D'!$A$1:$A$100,0)+1),""),"")&amp;CHAR(10)&amp;IFERROR(IF(INDEX('Coverage Indicators - Section D'!Y$1:Y$100,MATCH('Print View'!$A195,'Coverage Indicators - Section D'!$A$1:$A$100,0))&lt;&gt;"",FIXED(INDEX('Coverage Indicators - Section D'!Y$1:Y$100,MATCH('Print View'!$A195,'Coverage Indicators - Section D'!$A$1:$A$100,0))*100,2)&amp;"%",""),"")&amp;CHAR(10)&amp;IFERROR(IF(INDEX('Coverage Indicators - Section D'!Z$1:Z$100,MATCH('Print View'!$A195,'Coverage Indicators - Section D'!$A$1:$A$100,0))&lt;&gt;"",INDEX('Coverage Indicators - Section D'!Z$1:Z$100,MATCH('Print View'!$A195,'Coverage Indicators - Section D'!$A$1:$A$100,0)),""),"")</f>
        <v xml:space="preserve">/
</v>
      </c>
      <c r="P195" s="402" t="str">
        <f ca="1">IFERROR(IF(INDEX('Coverage Indicators - Section D'!AA$1:AA$100,MATCH('Print View'!$A195,'Coverage Indicators - Section D'!$A$1:$A$100,0))&lt;&gt;"",INDEX('Coverage Indicators - Section D'!AA$1:AA$100,MATCH('Print View'!$A195,'Coverage Indicators - Section D'!$A$1:$A$100,0)),""),"")&amp;"/"&amp;IFERROR(IF(INDEX('Coverage Indicators - Section D'!AA$1:AA$100,MATCH('Print View'!$A195,'Coverage Indicators - Section D'!$A$1:$A$100,0)+1)&lt;&gt;"",INDEX('Coverage Indicators - Section D'!AA$1:AA$100,MATCH('Print View'!$A195,'Coverage Indicators - Section D'!$A$1:$A$100,0)+1),""),"")&amp;CHAR(10)&amp;IFERROR(IF(INDEX('Coverage Indicators - Section D'!AB$1:AB$100,MATCH('Print View'!$A195,'Coverage Indicators - Section D'!$A$1:$A$100,0))&lt;&gt;"",FIXED(INDEX('Coverage Indicators - Section D'!AB$1:AB$100,MATCH('Print View'!$A195,'Coverage Indicators - Section D'!$A$1:$A$100,0))*100,2)&amp;"%",""),"")&amp;CHAR(10)&amp;IFERROR(IF(INDEX('Coverage Indicators - Section D'!AC$1:AC$100,MATCH('Print View'!$A195,'Coverage Indicators - Section D'!$A$1:$A$100,0))&lt;&gt;"",INDEX('Coverage Indicators - Section D'!AC$1:AC$100,MATCH('Print View'!$A195,'Coverage Indicators - Section D'!$A$1:$A$100,0)),""),"")</f>
        <v xml:space="preserve">/
</v>
      </c>
      <c r="Q195" s="402" t="str">
        <f ca="1">IFERROR(IF(INDEX('Coverage Indicators - Section D'!AD$1:AD$100,MATCH('Print View'!$A195,'Coverage Indicators - Section D'!$A$1:$A$100,0))&lt;&gt;"",INDEX('Coverage Indicators - Section D'!AD$1:AD$100,MATCH('Print View'!$A195,'Coverage Indicators - Section D'!$A$1:$A$100,0)),""),"")&amp;"/"&amp;IFERROR(IF(INDEX('Coverage Indicators - Section D'!AD$1:AD$100,MATCH('Print View'!$A195,'Coverage Indicators - Section D'!$A$1:$A$100,0)+1)&lt;&gt;"",INDEX('Coverage Indicators - Section D'!AD$1:AD$100,MATCH('Print View'!$A195,'Coverage Indicators - Section D'!$A$1:$A$100,0)+1),""),"")&amp;CHAR(10)&amp;IFERROR(IF(INDEX('Coverage Indicators - Section D'!AE$1:AE$100,MATCH('Print View'!$A195,'Coverage Indicators - Section D'!$A$1:$A$100,0))&lt;&gt;"",FIXED(INDEX('Coverage Indicators - Section D'!AE$1:AE$100,MATCH('Print View'!$A195,'Coverage Indicators - Section D'!$A$1:$A$100,0))*100,2)&amp;"%",""),"")&amp;CHAR(10)&amp;IFERROR(IF(INDEX('Coverage Indicators - Section D'!AF$1:AF$100,MATCH('Print View'!$A195,'Coverage Indicators - Section D'!$A$1:$A$100,0))&lt;&gt;"",INDEX('Coverage Indicators - Section D'!AF$1:AF$100,MATCH('Print View'!$A195,'Coverage Indicators - Section D'!$A$1:$A$100,0)),""),"")</f>
        <v xml:space="preserve">/
</v>
      </c>
      <c r="R195" s="402" t="str">
        <f ca="1">IFERROR(IF(INDEX('Coverage Indicators - Section D'!AG$1:AG$100,MATCH('Print View'!$A195,'Coverage Indicators - Section D'!$A$1:$A$100,0))&lt;&gt;"",INDEX('Coverage Indicators - Section D'!AG$1:AG$100,MATCH('Print View'!$A195,'Coverage Indicators - Section D'!$A$1:$A$100,0)),""),"")&amp;"/"&amp;IFERROR(IF(INDEX('Coverage Indicators - Section D'!AG$1:AG$100,MATCH('Print View'!$A195,'Coverage Indicators - Section D'!$A$1:$A$100,0)+1)&lt;&gt;"",INDEX('Coverage Indicators - Section D'!AG$1:AG$100,MATCH('Print View'!$A195,'Coverage Indicators - Section D'!$A$1:$A$100,0)+1),""),"")&amp;CHAR(10)&amp;IFERROR(IF(INDEX('Coverage Indicators - Section D'!AH$1:AH$100,MATCH('Print View'!$A195,'Coverage Indicators - Section D'!$A$1:$A$100,0))&lt;&gt;"",FIXED(INDEX('Coverage Indicators - Section D'!AH$1:AH$100,MATCH('Print View'!$A195,'Coverage Indicators - Section D'!$A$1:$A$100,0))*100,2)&amp;"%",""),"")&amp;CHAR(10)&amp;IFERROR(IF(INDEX('Coverage Indicators - Section D'!AI$1:AI$100,MATCH('Print View'!$A195,'Coverage Indicators - Section D'!$A$1:$A$100,0))&lt;&gt;"",INDEX('Coverage Indicators - Section D'!AI$1:AI$100,MATCH('Print View'!$A195,'Coverage Indicators - Section D'!$A$1:$A$100,0)),""),"")</f>
        <v xml:space="preserve">/
</v>
      </c>
      <c r="S195" s="402" t="str">
        <f ca="1">IFERROR(IF(INDEX('Coverage Indicators - Section D'!AJ$1:AJ$100,MATCH('Print View'!$A195,'Coverage Indicators - Section D'!$A$1:$A$100,0))&lt;&gt;"",INDEX('Coverage Indicators - Section D'!AJ$1:AJ$100,MATCH('Print View'!$A195,'Coverage Indicators - Section D'!$A$1:$A$100,0)),""),"")&amp;"/"&amp;IFERROR(IF(INDEX('Coverage Indicators - Section D'!AJ$1:AJ$100,MATCH('Print View'!$A195,'Coverage Indicators - Section D'!$A$1:$A$100,0)+1)&lt;&gt;"",INDEX('Coverage Indicators - Section D'!AJ$1:AJ$100,MATCH('Print View'!$A195,'Coverage Indicators - Section D'!$A$1:$A$100,0)+1),""),"")&amp;CHAR(10)&amp;IFERROR(IF(INDEX('Coverage Indicators - Section D'!AK$1:AK$100,MATCH('Print View'!$A195,'Coverage Indicators - Section D'!$A$1:$A$100,0))&lt;&gt;"",FIXED(INDEX('Coverage Indicators - Section D'!AK$1:AK$100,MATCH('Print View'!$A195,'Coverage Indicators - Section D'!$A$1:$A$100,0))*100,2)&amp;"%",""),"")&amp;CHAR(10)&amp;IFERROR(IF(INDEX('Coverage Indicators - Section D'!AL$1:AL$100,MATCH('Print View'!$A195,'Coverage Indicators - Section D'!$A$1:$A$100,0))&lt;&gt;"",INDEX('Coverage Indicators - Section D'!AL$1:AL$100,MATCH('Print View'!$A195,'Coverage Indicators - Section D'!$A$1:$A$100,0)),""),"")</f>
        <v xml:space="preserve">/
</v>
      </c>
      <c r="T195" s="31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t="str">
        <f ca="1">IFERROR(IF(INDEX('Coverage Indicators - Section D'!AD$1:AD$110,MATCH('Print View'!$A195,'Coverage Indicators - Section D'!$A$1:$A$110,0))&lt;&gt;0,INDEX('Coverage Indicators - Section D'!AD$1:AD$110,MATCH('Print View'!$A195,'Coverage Indicators - Section D'!$A$1:$A$110,0)),""),"")</f>
        <v/>
      </c>
      <c r="AP195" s="223"/>
      <c r="AQ195" s="223"/>
      <c r="AR195" s="223"/>
      <c r="AS195" s="223"/>
      <c r="AT195" s="803" t="str">
        <f ca="1">CONCATENATE($A195,N$147)</f>
        <v>2431-Dec-24</v>
      </c>
      <c r="AU195" s="802" t="str">
        <f ca="1">CONCATENATE($A195,Q$147)</f>
        <v>2431-Dec-27</v>
      </c>
      <c r="AV195" s="802" t="str">
        <f>CONCATENATE($A195,V$147)</f>
        <v>24</v>
      </c>
      <c r="AW195" s="802" t="str">
        <f>CONCATENATE($A195,Y$147)</f>
        <v>24</v>
      </c>
      <c r="AX195" s="802" t="str">
        <f>CONCATENATE($A195,AB$147)</f>
        <v>24</v>
      </c>
      <c r="AY195" s="802" t="str">
        <f>CONCATENATE($A195,AE$147)</f>
        <v>24</v>
      </c>
      <c r="AZ195" s="802" t="str">
        <f>CONCATENATE($A195,AH$147)</f>
        <v>24</v>
      </c>
      <c r="BA195" s="802" t="str">
        <f>CONCATENATE($A195,AK$147)</f>
        <v>24</v>
      </c>
      <c r="BB195" s="228"/>
      <c r="BC195" s="121"/>
    </row>
    <row r="196" spans="1:55" s="106" customFormat="1" ht="88.4" customHeight="1" x14ac:dyDescent="0.35">
      <c r="A196" s="804"/>
      <c r="B196" s="809" t="str">
        <f ca="1">IFERROR(IF(INDEX('Coverage Indicators - Section D'!AM$1:AM$110,MATCH('Print View'!$A195,'Coverage Indicators - Section D'!$A$1:$A$110,0))&lt;&gt;0,INDEX('Coverage Indicators - Section D'!AM$1:AM$110,MATCH('Print View'!$A195,'Coverage Indicators - Section D'!$A$1:$A$110,0)),""),"")</f>
        <v/>
      </c>
      <c r="C196" s="810"/>
      <c r="D196" s="810"/>
      <c r="E196" s="810"/>
      <c r="F196" s="810"/>
      <c r="G196" s="810"/>
      <c r="H196" s="810"/>
      <c r="I196" s="811"/>
      <c r="J196" s="811"/>
      <c r="K196" s="811"/>
      <c r="L196" s="811"/>
      <c r="M196" s="811"/>
      <c r="N196" s="811"/>
      <c r="O196" s="811"/>
      <c r="P196" s="811"/>
      <c r="Q196" s="811"/>
      <c r="R196" s="811"/>
      <c r="S196" s="812"/>
      <c r="T196" s="314"/>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803"/>
      <c r="AU196" s="802"/>
      <c r="AV196" s="802"/>
      <c r="AW196" s="802"/>
      <c r="AX196" s="802"/>
      <c r="AY196" s="802"/>
      <c r="AZ196" s="802"/>
      <c r="BA196" s="802"/>
      <c r="BB196" s="228"/>
      <c r="BC196" s="121"/>
    </row>
    <row r="197" spans="1:55" s="106" customFormat="1" ht="177" customHeight="1" x14ac:dyDescent="0.35">
      <c r="A197" s="801">
        <v>25</v>
      </c>
      <c r="B197" s="395" t="str">
        <f ca="1">IFERROR(IF(INDEX('Coverage Indicators - Section D'!B$1:B$100,MATCH('Print View'!$A197,'Coverage Indicators - Section D'!$A$1:$A$100,0))&lt;&gt;0,INDEX('Coverage Indicators - Section D'!B$1:B$100,MATCH('Print View'!$A197,'Coverage Indicators - Section D'!$A$1:$A$100,0)),""),"")</f>
        <v/>
      </c>
      <c r="C197" s="395" t="str">
        <f ca="1">IFERROR(IF(INDEX('Coverage Indicators - Section D'!D$1:D$100,MATCH('Print View'!$A197,'Coverage Indicators - Section D'!$A$1:$A$100,0))&lt;&gt;0,INDEX('Coverage Indicators - Section D'!D$1:D$100,MATCH('Print View'!$A197,'Coverage Indicators - Section D'!$A$1:$A$100,0)),""),"")</f>
        <v/>
      </c>
      <c r="D197" s="395" t="str">
        <f ca="1">IFERROR(IF(INDEX('Coverage Indicators - Section D'!E$1:E$100,MATCH('Print View'!$A197,'Coverage Indicators - Section D'!$A$1:$A$100,0))&lt;&gt;0,INDEX('Coverage Indicators - Section D'!E$1:E$100,MATCH('Print View'!$A197,'Coverage Indicators - Section D'!$A$1:$A$100,0)),""),"")</f>
        <v/>
      </c>
      <c r="E197" s="396" t="str">
        <f ca="1">IFERROR(IF(INDEX('Coverage Indicators - Section D'!F$1:F$100,MATCH('Print View'!$A197,'Coverage Indicators - Section D'!$A$1:$A$100,0))&lt;&gt;"",INDEX('Coverage Indicators - Section D'!F$1:F$100,MATCH('Print View'!$A197,'Coverage Indicators - Section D'!$A$1:$A$100,0)),""),"")&amp;"/"&amp;IFERROR(IF(INDEX('Coverage Indicators - Section D'!F$1:F$100,MATCH('Print View'!$A197,'Coverage Indicators - Section D'!$A$1:$A$100,0)+1)&lt;&gt;"",INDEX('Coverage Indicators - Section D'!F$1:F$100,MATCH('Print View'!$A197,'Coverage Indicators - Section D'!$A$1:$A$100,0)+1),""),"")&amp;CHAR(10)&amp;IFERROR(IF(INDEX('Coverage Indicators - Section D'!G$1:G$100,MATCH('Print View'!$A197,'Coverage Indicators - Section D'!$A$1:$A$100,0))&lt;&gt;"",FIXED(INDEX('Coverage Indicators - Section D'!G$1:G$100,MATCH('Print View'!$A197,'Coverage Indicators - Section D'!$A$1:$A$100,0))*100,2)&amp;"%",""),"")</f>
        <v xml:space="preserve">/
</v>
      </c>
      <c r="F197" s="397"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398" t="str">
        <f>IFERROR(IF(INDEX('Coverage Indicators - Section D'!J57:J86,MATCH('Print View'!$A197,'Coverage Indicators - Section D'!$A$9:$A$38,0))&lt;&gt;0,INDEX('Coverage Indicators - Section D'!J57:J86,MATCH('Print View'!$A197,'Coverage Indicators - Section D'!$A$9:$A$38,0)),""),"")</f>
        <v/>
      </c>
      <c r="H197" s="399" t="str">
        <f ca="1">IFERROR(IF(INDEX('Coverage Indicators - Section D'!K$1:K$100,MATCH('Print View'!$A197,'Coverage Indicators - Section D'!$A$1:$A$100,0))&lt;&gt;0,INDEX('Coverage Indicators - Section D'!K$1:K$100,MATCH('Print View'!$A197,'Coverage Indicators - Section D'!$A$1:$A$100,0)),""),"")</f>
        <v/>
      </c>
      <c r="I197" s="398" t="str">
        <f ca="1">IFERROR(IF(AND('Overview - Section A'!AN$5="Grant Making",OR(C197&lt;&gt;"",D197&lt;&gt;"")),Setup!I15,IF(INDEX('Coverage Indicators - Section D'!L$1:L$100,MATCH('Print View'!$A197,'Coverage Indicators - Section D'!$A$1:$A$100,0))&lt;&gt;0,INDEX('Coverage Indicators - Section D'!L$1:L$100,MATCH('Print View'!$A197,'Coverage Indicators - Section D'!$A$1:$A$100,0)),"")),"")</f>
        <v/>
      </c>
      <c r="J197" s="396"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396" t="str">
        <f ca="1">IFERROR(IF(INDEX('Coverage Indicators - Section D'!N$1:N$100,MATCH('Print View'!$A197,'Coverage Indicators - Section D'!$A$1:$A$100,0))&lt;&gt;0,INDEX('Coverage Indicators - Section D'!N$1:N$100,MATCH('Print View'!$A197,'Coverage Indicators - Section D'!$A$1:$A$100,0)),""),"")</f>
        <v/>
      </c>
      <c r="L197" s="396" t="str">
        <f ca="1">IFERROR(IF(INDEX('Coverage Indicators - Section D'!O$1:O$100,MATCH('Print View'!$A197,'Coverage Indicators - Section D'!$A$1:$A$100,0))&lt;&gt;"",INDEX('Coverage Indicators - Section D'!O$1:O$100,MATCH('Print View'!$A197,'Coverage Indicators - Section D'!$A$1:$A$100,0)),""),"")&amp;"/"&amp;IFERROR(IF(INDEX('Coverage Indicators - Section D'!O$1:O$100,MATCH('Print View'!$A197,'Coverage Indicators - Section D'!$A$1:$A$100,0)+1)&lt;&gt;"",INDEX('Coverage Indicators - Section D'!O$1:O$100,MATCH('Print View'!$A197,'Coverage Indicators - Section D'!$A$1:$A$100,0)+1),""),"")&amp;CHAR(10)&amp;IFERROR(IF(INDEX('Coverage Indicators - Section D'!P$1:P$100,MATCH('Print View'!$A197,'Coverage Indicators - Section D'!$A$1:$A$100,0))&lt;&gt;"",FIXED(INDEX('Coverage Indicators - Section D'!P$1:P$100,MATCH('Print View'!$A197,'Coverage Indicators - Section D'!$A$1:$A$100,0))*100,2)&amp;"%",""),"")&amp;CHAR(10)&amp;IFERROR(IF(INDEX('Coverage Indicators - Section D'!Q$1:Q$100,MATCH('Print View'!$A197,'Coverage Indicators - Section D'!$A$1:$A$100,0))&lt;&gt;"",INDEX('Coverage Indicators - Section D'!Q$1:Q$100,MATCH('Print View'!$A197,'Coverage Indicators - Section D'!$A$1:$A$100,0)),""),"")</f>
        <v xml:space="preserve">/
</v>
      </c>
      <c r="M197" s="397" t="str">
        <f ca="1">IFERROR(IF(INDEX('Coverage Indicators - Section D'!R$1:R$100,MATCH('Print View'!$A197,'Coverage Indicators - Section D'!$A$1:$A$100,0))&lt;&gt;"",INDEX('Coverage Indicators - Section D'!R$1:R$100,MATCH('Print View'!$A197,'Coverage Indicators - Section D'!$A$1:$A$100,0)),""),"")&amp;"/"&amp;IFERROR(IF(INDEX('Coverage Indicators - Section D'!R$1:R$100,MATCH('Print View'!$A197,'Coverage Indicators - Section D'!$A$1:$A$100,0)+1)&lt;&gt;"",INDEX('Coverage Indicators - Section D'!R$1:R$100,MATCH('Print View'!$A197,'Coverage Indicators - Section D'!$A$1:$A$100,0)+1),""),"")&amp;CHAR(10)&amp;IFERROR(IF(INDEX('Coverage Indicators - Section D'!S$1:S$100,MATCH('Print View'!$A197,'Coverage Indicators - Section D'!$A$1:$A$100,0))&lt;&gt;"",FIXED(INDEX('Coverage Indicators - Section D'!S$1:S$100,MATCH('Print View'!$A197,'Coverage Indicators - Section D'!$A$1:$A$100,0))*100,2)&amp;"%",""),"")&amp;CHAR(10)&amp;IFERROR(IF(INDEX('Coverage Indicators - Section D'!T$1:T$100,MATCH('Print View'!$A197,'Coverage Indicators - Section D'!$A$1:$A$100,0))&lt;&gt;"",INDEX('Coverage Indicators - Section D'!T$1:T$100,MATCH('Print View'!$A197,'Coverage Indicators - Section D'!$A$1:$A$100,0)),""),"")</f>
        <v xml:space="preserve">/
</v>
      </c>
      <c r="N197" s="396" t="str">
        <f ca="1">IFERROR(IF(INDEX('Coverage Indicators - Section D'!U$1:U$100,MATCH('Print View'!$A197,'Coverage Indicators - Section D'!$A$1:$A$100,0))&lt;&gt;"",INDEX('Coverage Indicators - Section D'!U$1:U$100,MATCH('Print View'!$A197,'Coverage Indicators - Section D'!$A$1:$A$100,0)),""),"")&amp;"/"&amp;IFERROR(IF(INDEX('Coverage Indicators - Section D'!U$1:U$100,MATCH('Print View'!$A197,'Coverage Indicators - Section D'!$A$1:$A$100,0)+1)&lt;&gt;"",INDEX('Coverage Indicators - Section D'!U$1:U$100,MATCH('Print View'!$A197,'Coverage Indicators - Section D'!$A$1:$A$100,0)+1),""),"")&amp;CHAR(10)&amp;IFERROR(IF(INDEX('Coverage Indicators - Section D'!V$1:V$100,MATCH('Print View'!$A197,'Coverage Indicators - Section D'!$A$1:$A$100,0))&lt;&gt;"",FIXED(INDEX('Coverage Indicators - Section D'!V$1:V$100,MATCH('Print View'!$A197,'Coverage Indicators - Section D'!$A$1:$A$100,0))*100,2)&amp;"%",""),"")&amp;CHAR(10)&amp;IFERROR(IF(INDEX('Coverage Indicators - Section D'!W$1:W$100,MATCH('Print View'!$A197,'Coverage Indicators - Section D'!$A$1:$A$100,0))&lt;&gt;"",INDEX('Coverage Indicators - Section D'!W$1:W$100,MATCH('Print View'!$A197,'Coverage Indicators - Section D'!$A$1:$A$100,0)),""),"")</f>
        <v xml:space="preserve">/
</v>
      </c>
      <c r="O197" s="397" t="str">
        <f ca="1">IFERROR(IF(INDEX('Coverage Indicators - Section D'!X$1:X$100,MATCH('Print View'!$A197,'Coverage Indicators - Section D'!$A$1:$A$100,0))&lt;&gt;"",INDEX('Coverage Indicators - Section D'!X$1:X$100,MATCH('Print View'!$A197,'Coverage Indicators - Section D'!$A$1:$A$100,0)),""),"")&amp;"/"&amp;IFERROR(IF(INDEX('Coverage Indicators - Section D'!X$1:X$100,MATCH('Print View'!$A197,'Coverage Indicators - Section D'!$A$1:$A$100,0)+1)&lt;&gt;"",INDEX('Coverage Indicators - Section D'!X$1:X$100,MATCH('Print View'!$A197,'Coverage Indicators - Section D'!$A$1:$A$100,0)+1),""),"")&amp;CHAR(10)&amp;IFERROR(IF(INDEX('Coverage Indicators - Section D'!Y$1:Y$100,MATCH('Print View'!$A197,'Coverage Indicators - Section D'!$A$1:$A$100,0))&lt;&gt;"",FIXED(INDEX('Coverage Indicators - Section D'!Y$1:Y$100,MATCH('Print View'!$A197,'Coverage Indicators - Section D'!$A$1:$A$100,0))*100,2)&amp;"%",""),"")&amp;CHAR(10)&amp;IFERROR(IF(INDEX('Coverage Indicators - Section D'!Z$1:Z$100,MATCH('Print View'!$A197,'Coverage Indicators - Section D'!$A$1:$A$100,0))&lt;&gt;"",INDEX('Coverage Indicators - Section D'!Z$1:Z$100,MATCH('Print View'!$A197,'Coverage Indicators - Section D'!$A$1:$A$100,0)),""),"")</f>
        <v xml:space="preserve">/
</v>
      </c>
      <c r="P197" s="397" t="str">
        <f ca="1">IFERROR(IF(INDEX('Coverage Indicators - Section D'!AA$1:AA$100,MATCH('Print View'!$A197,'Coverage Indicators - Section D'!$A$1:$A$100,0))&lt;&gt;"",INDEX('Coverage Indicators - Section D'!AA$1:AA$100,MATCH('Print View'!$A197,'Coverage Indicators - Section D'!$A$1:$A$100,0)),""),"")&amp;"/"&amp;IFERROR(IF(INDEX('Coverage Indicators - Section D'!AA$1:AA$100,MATCH('Print View'!$A197,'Coverage Indicators - Section D'!$A$1:$A$100,0)+1)&lt;&gt;"",INDEX('Coverage Indicators - Section D'!AA$1:AA$100,MATCH('Print View'!$A197,'Coverage Indicators - Section D'!$A$1:$A$100,0)+1),""),"")&amp;CHAR(10)&amp;IFERROR(IF(INDEX('Coverage Indicators - Section D'!AB$1:AB$100,MATCH('Print View'!$A197,'Coverage Indicators - Section D'!$A$1:$A$100,0))&lt;&gt;"",FIXED(INDEX('Coverage Indicators - Section D'!AB$1:AB$100,MATCH('Print View'!$A197,'Coverage Indicators - Section D'!$A$1:$A$100,0))*100,2)&amp;"%",""),"")&amp;CHAR(10)&amp;IFERROR(IF(INDEX('Coverage Indicators - Section D'!AC$1:AC$100,MATCH('Print View'!$A197,'Coverage Indicators - Section D'!$A$1:$A$100,0))&lt;&gt;"",INDEX('Coverage Indicators - Section D'!AC$1:AC$100,MATCH('Print View'!$A197,'Coverage Indicators - Section D'!$A$1:$A$100,0)),""),"")</f>
        <v xml:space="preserve">/
</v>
      </c>
      <c r="Q197" s="397" t="str">
        <f ca="1">IFERROR(IF(INDEX('Coverage Indicators - Section D'!AD$1:AD$100,MATCH('Print View'!$A197,'Coverage Indicators - Section D'!$A$1:$A$100,0))&lt;&gt;"",INDEX('Coverage Indicators - Section D'!AD$1:AD$100,MATCH('Print View'!$A197,'Coverage Indicators - Section D'!$A$1:$A$100,0)),""),"")&amp;"/"&amp;IFERROR(IF(INDEX('Coverage Indicators - Section D'!AD$1:AD$100,MATCH('Print View'!$A197,'Coverage Indicators - Section D'!$A$1:$A$100,0)+1)&lt;&gt;"",INDEX('Coverage Indicators - Section D'!AD$1:AD$100,MATCH('Print View'!$A197,'Coverage Indicators - Section D'!$A$1:$A$100,0)+1),""),"")&amp;CHAR(10)&amp;IFERROR(IF(INDEX('Coverage Indicators - Section D'!AE$1:AE$100,MATCH('Print View'!$A197,'Coverage Indicators - Section D'!$A$1:$A$100,0))&lt;&gt;"",FIXED(INDEX('Coverage Indicators - Section D'!AE$1:AE$100,MATCH('Print View'!$A197,'Coverage Indicators - Section D'!$A$1:$A$100,0))*100,2)&amp;"%",""),"")&amp;CHAR(10)&amp;IFERROR(IF(INDEX('Coverage Indicators - Section D'!AF$1:AF$100,MATCH('Print View'!$A197,'Coverage Indicators - Section D'!$A$1:$A$100,0))&lt;&gt;"",INDEX('Coverage Indicators - Section D'!AF$1:AF$100,MATCH('Print View'!$A197,'Coverage Indicators - Section D'!$A$1:$A$100,0)),""),"")</f>
        <v xml:space="preserve">/
</v>
      </c>
      <c r="R197" s="397" t="str">
        <f ca="1">IFERROR(IF(INDEX('Coverage Indicators - Section D'!AG$1:AG$100,MATCH('Print View'!$A197,'Coverage Indicators - Section D'!$A$1:$A$100,0))&lt;&gt;"",INDEX('Coverage Indicators - Section D'!AG$1:AG$100,MATCH('Print View'!$A197,'Coverage Indicators - Section D'!$A$1:$A$100,0)),""),"")&amp;"/"&amp;IFERROR(IF(INDEX('Coverage Indicators - Section D'!AG$1:AG$100,MATCH('Print View'!$A197,'Coverage Indicators - Section D'!$A$1:$A$100,0)+1)&lt;&gt;"",INDEX('Coverage Indicators - Section D'!AG$1:AG$100,MATCH('Print View'!$A197,'Coverage Indicators - Section D'!$A$1:$A$100,0)+1),""),"")&amp;CHAR(10)&amp;IFERROR(IF(INDEX('Coverage Indicators - Section D'!AH$1:AH$100,MATCH('Print View'!$A197,'Coverage Indicators - Section D'!$A$1:$A$100,0))&lt;&gt;"",FIXED(INDEX('Coverage Indicators - Section D'!AH$1:AH$100,MATCH('Print View'!$A197,'Coverage Indicators - Section D'!$A$1:$A$100,0))*100,2)&amp;"%",""),"")&amp;CHAR(10)&amp;IFERROR(IF(INDEX('Coverage Indicators - Section D'!AI$1:AI$100,MATCH('Print View'!$A197,'Coverage Indicators - Section D'!$A$1:$A$100,0))&lt;&gt;"",INDEX('Coverage Indicators - Section D'!AI$1:AI$100,MATCH('Print View'!$A197,'Coverage Indicators - Section D'!$A$1:$A$100,0)),""),"")</f>
        <v xml:space="preserve">/
</v>
      </c>
      <c r="S197" s="397" t="str">
        <f ca="1">IFERROR(IF(INDEX('Coverage Indicators - Section D'!AJ$1:AJ$100,MATCH('Print View'!$A197,'Coverage Indicators - Section D'!$A$1:$A$100,0))&lt;&gt;"",INDEX('Coverage Indicators - Section D'!AJ$1:AJ$100,MATCH('Print View'!$A197,'Coverage Indicators - Section D'!$A$1:$A$100,0)),""),"")&amp;"/"&amp;IFERROR(IF(INDEX('Coverage Indicators - Section D'!AJ$1:AJ$100,MATCH('Print View'!$A197,'Coverage Indicators - Section D'!$A$1:$A$100,0)+1)&lt;&gt;"",INDEX('Coverage Indicators - Section D'!AJ$1:AJ$100,MATCH('Print View'!$A197,'Coverage Indicators - Section D'!$A$1:$A$100,0)+1),""),"")&amp;CHAR(10)&amp;IFERROR(IF(INDEX('Coverage Indicators - Section D'!AK$1:AK$100,MATCH('Print View'!$A197,'Coverage Indicators - Section D'!$A$1:$A$100,0))&lt;&gt;"",FIXED(INDEX('Coverage Indicators - Section D'!AK$1:AK$100,MATCH('Print View'!$A197,'Coverage Indicators - Section D'!$A$1:$A$100,0))*100,2)&amp;"%",""),"")&amp;CHAR(10)&amp;IFERROR(IF(INDEX('Coverage Indicators - Section D'!AL$1:AL$100,MATCH('Print View'!$A197,'Coverage Indicators - Section D'!$A$1:$A$100,0))&lt;&gt;"",INDEX('Coverage Indicators - Section D'!AL$1:AL$100,MATCH('Print View'!$A197,'Coverage Indicators - Section D'!$A$1:$A$100,0)),""),"")</f>
        <v xml:space="preserve">/
</v>
      </c>
      <c r="T197" s="310"/>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t="str">
        <f ca="1">IFERROR(IF(INDEX('Coverage Indicators - Section D'!AD$1:AD$110,MATCH('Print View'!$A197,'Coverage Indicators - Section D'!$A$1:$A$110,0))&lt;&gt;0,INDEX('Coverage Indicators - Section D'!AD$1:AD$110,MATCH('Print View'!$A197,'Coverage Indicators - Section D'!$A$1:$A$110,0)),""),"")</f>
        <v/>
      </c>
      <c r="AP197" s="223"/>
      <c r="AQ197" s="223"/>
      <c r="AR197" s="223"/>
      <c r="AS197" s="223"/>
      <c r="AT197" s="803" t="str">
        <f ca="1">CONCATENATE($A197,N$147)</f>
        <v>2531-Dec-24</v>
      </c>
      <c r="AU197" s="802" t="str">
        <f ca="1">CONCATENATE($A197,Q$147)</f>
        <v>2531-Dec-27</v>
      </c>
      <c r="AV197" s="802" t="str">
        <f>CONCATENATE($A197,V$147)</f>
        <v>25</v>
      </c>
      <c r="AW197" s="802" t="str">
        <f>CONCATENATE($A197,Y$147)</f>
        <v>25</v>
      </c>
      <c r="AX197" s="802" t="str">
        <f>CONCATENATE($A197,AB$147)</f>
        <v>25</v>
      </c>
      <c r="AY197" s="802" t="str">
        <f>CONCATENATE($A197,AE$147)</f>
        <v>25</v>
      </c>
      <c r="AZ197" s="802" t="str">
        <f>CONCATENATE($A197,AH$147)</f>
        <v>25</v>
      </c>
      <c r="BA197" s="802" t="str">
        <f>CONCATENATE($A197,AK$147)</f>
        <v>25</v>
      </c>
      <c r="BB197" s="228"/>
      <c r="BC197" s="121"/>
    </row>
    <row r="198" spans="1:55" s="106" customFormat="1" ht="88.4" customHeight="1" x14ac:dyDescent="0.35">
      <c r="A198" s="801"/>
      <c r="B198" s="806" t="str">
        <f ca="1">IFERROR(IF(INDEX('Coverage Indicators - Section D'!AM$1:AM$110,MATCH('Print View'!$A197,'Coverage Indicators - Section D'!$A$1:$A$110,0))&lt;&gt;0,INDEX('Coverage Indicators - Section D'!AM$1:AM$110,MATCH('Print View'!$A197,'Coverage Indicators - Section D'!$A$1:$A$110,0)),""),"")</f>
        <v/>
      </c>
      <c r="C198" s="807"/>
      <c r="D198" s="807"/>
      <c r="E198" s="807"/>
      <c r="F198" s="807"/>
      <c r="G198" s="807"/>
      <c r="H198" s="807"/>
      <c r="I198" s="807"/>
      <c r="J198" s="807"/>
      <c r="K198" s="807"/>
      <c r="L198" s="807"/>
      <c r="M198" s="807"/>
      <c r="N198" s="807"/>
      <c r="O198" s="807"/>
      <c r="P198" s="807"/>
      <c r="Q198" s="807"/>
      <c r="R198" s="807"/>
      <c r="S198" s="808"/>
      <c r="T198" s="312"/>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803"/>
      <c r="AU198" s="802"/>
      <c r="AV198" s="802"/>
      <c r="AW198" s="802"/>
      <c r="AX198" s="802"/>
      <c r="AY198" s="802"/>
      <c r="AZ198" s="802"/>
      <c r="BA198" s="802"/>
      <c r="BB198" s="228"/>
      <c r="BC198" s="121"/>
    </row>
    <row r="199" spans="1:55" s="106" customFormat="1" ht="177" customHeight="1" x14ac:dyDescent="0.35">
      <c r="A199" s="804">
        <v>26</v>
      </c>
      <c r="B199" s="385" t="str">
        <f ca="1">IFERROR(IF(INDEX('Coverage Indicators - Section D'!B$1:B$100,MATCH('Print View'!$A199,'Coverage Indicators - Section D'!$A$1:$A$100,0))&lt;&gt;0,INDEX('Coverage Indicators - Section D'!B$1:B$100,MATCH('Print View'!$A199,'Coverage Indicators - Section D'!$A$1:$A$100,0)),""),"")</f>
        <v/>
      </c>
      <c r="C199" s="385" t="str">
        <f ca="1">IFERROR(IF(INDEX('Coverage Indicators - Section D'!D$1:D$100,MATCH('Print View'!$A199,'Coverage Indicators - Section D'!$A$1:$A$100,0))&lt;&gt;0,INDEX('Coverage Indicators - Section D'!D$1:D$100,MATCH('Print View'!$A199,'Coverage Indicators - Section D'!$A$1:$A$100,0)),""),"")</f>
        <v/>
      </c>
      <c r="D199" s="385" t="str">
        <f ca="1">IFERROR(IF(INDEX('Coverage Indicators - Section D'!E$1:E$100,MATCH('Print View'!$A199,'Coverage Indicators - Section D'!$A$1:$A$100,0))&lt;&gt;0,INDEX('Coverage Indicators - Section D'!E$1:E$100,MATCH('Print View'!$A199,'Coverage Indicators - Section D'!$A$1:$A$100,0)),""),"")</f>
        <v/>
      </c>
      <c r="E199" s="386" t="str">
        <f ca="1">IFERROR(IF(INDEX('Coverage Indicators - Section D'!F$1:F$100,MATCH('Print View'!$A199,'Coverage Indicators - Section D'!$A$1:$A$100,0))&lt;&gt;"",INDEX('Coverage Indicators - Section D'!F$1:F$100,MATCH('Print View'!$A199,'Coverage Indicators - Section D'!$A$1:$A$100,0)),""),"")&amp;"/"&amp;IFERROR(IF(INDEX('Coverage Indicators - Section D'!F$1:F$100,MATCH('Print View'!$A199,'Coverage Indicators - Section D'!$A$1:$A$100,0)+1)&lt;&gt;"",INDEX('Coverage Indicators - Section D'!F$1:F$100,MATCH('Print View'!$A199,'Coverage Indicators - Section D'!$A$1:$A$100,0)+1),""),"")&amp;CHAR(10)&amp;IFERROR(IF(INDEX('Coverage Indicators - Section D'!G$1:G$100,MATCH('Print View'!$A199,'Coverage Indicators - Section D'!$A$1:$A$100,0))&lt;&gt;"",FIXED(INDEX('Coverage Indicators - Section D'!G$1:G$100,MATCH('Print View'!$A199,'Coverage Indicators - Section D'!$A$1:$A$100,0))*100,2)&amp;"%",""),"")</f>
        <v xml:space="preserve">/
</v>
      </c>
      <c r="F199" s="400"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401" t="str">
        <f>IFERROR(IF(INDEX('Coverage Indicators - Section D'!J57:J86,MATCH('Print View'!$A199,'Coverage Indicators - Section D'!$A$9:$A$38,0))&lt;&gt;0,INDEX('Coverage Indicators - Section D'!J57:J86,MATCH('Print View'!$A199,'Coverage Indicators - Section D'!$A$9:$A$38,0)),""),"")</f>
        <v/>
      </c>
      <c r="H199" s="400" t="str">
        <f ca="1">IFERROR(IF(INDEX('Coverage Indicators - Section D'!K$1:K$100,MATCH('Print View'!$A199,'Coverage Indicators - Section D'!$A$1:$A$100,0))&lt;&gt;0,INDEX('Coverage Indicators - Section D'!K$1:K$100,MATCH('Print View'!$A199,'Coverage Indicators - Section D'!$A$1:$A$100,0)),""),"")</f>
        <v/>
      </c>
      <c r="I199" s="401" t="str">
        <f ca="1">IFERROR(IF(AND('Overview - Section A'!AN$5="Grant Making",OR(C199&lt;&gt;"",D199&lt;&gt;"")),Setup!I15,IF(INDEX('Coverage Indicators - Section D'!L$1:L$100,MATCH('Print View'!$A199,'Coverage Indicators - Section D'!$A$1:$A$100,0))&lt;&gt;0,INDEX('Coverage Indicators - Section D'!L$1:L$100,MATCH('Print View'!$A199,'Coverage Indicators - Section D'!$A$1:$A$100,0)),"")),"")</f>
        <v/>
      </c>
      <c r="J199" s="400"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400" t="str">
        <f ca="1">IFERROR(IF(INDEX('Coverage Indicators - Section D'!N$1:N$100,MATCH('Print View'!$A199,'Coverage Indicators - Section D'!$A$1:$A$100,0))&lt;&gt;0,INDEX('Coverage Indicators - Section D'!N$1:N$100,MATCH('Print View'!$A199,'Coverage Indicators - Section D'!$A$1:$A$100,0)),""),"")</f>
        <v/>
      </c>
      <c r="L199" s="402" t="str">
        <f ca="1">IFERROR(IF(INDEX('Coverage Indicators - Section D'!O$1:O$100,MATCH('Print View'!$A199,'Coverage Indicators - Section D'!$A$1:$A$100,0))&lt;&gt;"",INDEX('Coverage Indicators - Section D'!O$1:O$100,MATCH('Print View'!$A199,'Coverage Indicators - Section D'!$A$1:$A$100,0)),""),"")&amp;"/"&amp;IFERROR(IF(INDEX('Coverage Indicators - Section D'!O$1:O$100,MATCH('Print View'!$A199,'Coverage Indicators - Section D'!$A$1:$A$100,0)+1)&lt;&gt;"",INDEX('Coverage Indicators - Section D'!O$1:O$100,MATCH('Print View'!$A199,'Coverage Indicators - Section D'!$A$1:$A$100,0)+1),""),"")&amp;CHAR(10)&amp;IFERROR(IF(INDEX('Coverage Indicators - Section D'!P$1:P$100,MATCH('Print View'!$A199,'Coverage Indicators - Section D'!$A$1:$A$100,0))&lt;&gt;"",FIXED(INDEX('Coverage Indicators - Section D'!P$1:P$100,MATCH('Print View'!$A199,'Coverage Indicators - Section D'!$A$1:$A$100,0))*100,2)&amp;"%",""),"")&amp;CHAR(10)&amp;IFERROR(IF(INDEX('Coverage Indicators - Section D'!Q$1:Q$100,MATCH('Print View'!$A199,'Coverage Indicators - Section D'!$A$1:$A$100,0))&lt;&gt;"",INDEX('Coverage Indicators - Section D'!Q$1:Q$100,MATCH('Print View'!$A199,'Coverage Indicators - Section D'!$A$1:$A$100,0)),""),"")</f>
        <v xml:space="preserve">/
</v>
      </c>
      <c r="M199" s="402" t="str">
        <f ca="1">IFERROR(IF(INDEX('Coverage Indicators - Section D'!R$1:R$100,MATCH('Print View'!$A199,'Coverage Indicators - Section D'!$A$1:$A$100,0))&lt;&gt;"",INDEX('Coverage Indicators - Section D'!R$1:R$100,MATCH('Print View'!$A199,'Coverage Indicators - Section D'!$A$1:$A$100,0)),""),"")&amp;"/"&amp;IFERROR(IF(INDEX('Coverage Indicators - Section D'!R$1:R$100,MATCH('Print View'!$A199,'Coverage Indicators - Section D'!$A$1:$A$100,0)+1)&lt;&gt;"",INDEX('Coverage Indicators - Section D'!R$1:R$100,MATCH('Print View'!$A199,'Coverage Indicators - Section D'!$A$1:$A$100,0)+1),""),"")&amp;CHAR(10)&amp;IFERROR(IF(INDEX('Coverage Indicators - Section D'!S$1:S$100,MATCH('Print View'!$A199,'Coverage Indicators - Section D'!$A$1:$A$100,0))&lt;&gt;"",FIXED(INDEX('Coverage Indicators - Section D'!S$1:S$100,MATCH('Print View'!$A199,'Coverage Indicators - Section D'!$A$1:$A$100,0))*100,2)&amp;"%",""),"")&amp;CHAR(10)&amp;IFERROR(IF(INDEX('Coverage Indicators - Section D'!T$1:T$100,MATCH('Print View'!$A199,'Coverage Indicators - Section D'!$A$1:$A$100,0))&lt;&gt;"",INDEX('Coverage Indicators - Section D'!T$1:T$100,MATCH('Print View'!$A199,'Coverage Indicators - Section D'!$A$1:$A$100,0)),""),"")</f>
        <v xml:space="preserve">/
</v>
      </c>
      <c r="N199" s="402" t="str">
        <f ca="1">IFERROR(IF(INDEX('Coverage Indicators - Section D'!U$1:U$100,MATCH('Print View'!$A199,'Coverage Indicators - Section D'!$A$1:$A$100,0))&lt;&gt;"",INDEX('Coverage Indicators - Section D'!U$1:U$100,MATCH('Print View'!$A199,'Coverage Indicators - Section D'!$A$1:$A$100,0)),""),"")&amp;"/"&amp;IFERROR(IF(INDEX('Coverage Indicators - Section D'!U$1:U$100,MATCH('Print View'!$A199,'Coverage Indicators - Section D'!$A$1:$A$100,0)+1)&lt;&gt;"",INDEX('Coverage Indicators - Section D'!U$1:U$100,MATCH('Print View'!$A199,'Coverage Indicators - Section D'!$A$1:$A$100,0)+1),""),"")&amp;CHAR(10)&amp;IFERROR(IF(INDEX('Coverage Indicators - Section D'!V$1:V$100,MATCH('Print View'!$A199,'Coverage Indicators - Section D'!$A$1:$A$100,0))&lt;&gt;"",FIXED(INDEX('Coverage Indicators - Section D'!V$1:V$100,MATCH('Print View'!$A199,'Coverage Indicators - Section D'!$A$1:$A$100,0))*100,2)&amp;"%",""),"")&amp;CHAR(10)&amp;IFERROR(IF(INDEX('Coverage Indicators - Section D'!W$1:W$100,MATCH('Print View'!$A199,'Coverage Indicators - Section D'!$A$1:$A$100,0))&lt;&gt;"",INDEX('Coverage Indicators - Section D'!W$1:W$100,MATCH('Print View'!$A199,'Coverage Indicators - Section D'!$A$1:$A$100,0)),""),"")</f>
        <v xml:space="preserve">/
</v>
      </c>
      <c r="O199" s="402" t="str">
        <f ca="1">IFERROR(IF(INDEX('Coverage Indicators - Section D'!X$1:X$100,MATCH('Print View'!$A199,'Coverage Indicators - Section D'!$A$1:$A$100,0))&lt;&gt;"",INDEX('Coverage Indicators - Section D'!X$1:X$100,MATCH('Print View'!$A199,'Coverage Indicators - Section D'!$A$1:$A$100,0)),""),"")&amp;"/"&amp;IFERROR(IF(INDEX('Coverage Indicators - Section D'!X$1:X$100,MATCH('Print View'!$A199,'Coverage Indicators - Section D'!$A$1:$A$100,0)+1)&lt;&gt;"",INDEX('Coverage Indicators - Section D'!X$1:X$100,MATCH('Print View'!$A199,'Coverage Indicators - Section D'!$A$1:$A$100,0)+1),""),"")&amp;CHAR(10)&amp;IFERROR(IF(INDEX('Coverage Indicators - Section D'!Y$1:Y$100,MATCH('Print View'!$A199,'Coverage Indicators - Section D'!$A$1:$A$100,0))&lt;&gt;"",FIXED(INDEX('Coverage Indicators - Section D'!Y$1:Y$100,MATCH('Print View'!$A199,'Coverage Indicators - Section D'!$A$1:$A$100,0))*100,2)&amp;"%",""),"")&amp;CHAR(10)&amp;IFERROR(IF(INDEX('Coverage Indicators - Section D'!Z$1:Z$100,MATCH('Print View'!$A199,'Coverage Indicators - Section D'!$A$1:$A$100,0))&lt;&gt;"",INDEX('Coverage Indicators - Section D'!Z$1:Z$100,MATCH('Print View'!$A199,'Coverage Indicators - Section D'!$A$1:$A$100,0)),""),"")</f>
        <v xml:space="preserve">/
</v>
      </c>
      <c r="P199" s="402" t="str">
        <f ca="1">IFERROR(IF(INDEX('Coverage Indicators - Section D'!AA$1:AA$100,MATCH('Print View'!$A199,'Coverage Indicators - Section D'!$A$1:$A$100,0))&lt;&gt;"",INDEX('Coverage Indicators - Section D'!AA$1:AA$100,MATCH('Print View'!$A199,'Coverage Indicators - Section D'!$A$1:$A$100,0)),""),"")&amp;"/"&amp;IFERROR(IF(INDEX('Coverage Indicators - Section D'!AA$1:AA$100,MATCH('Print View'!$A199,'Coverage Indicators - Section D'!$A$1:$A$100,0)+1)&lt;&gt;"",INDEX('Coverage Indicators - Section D'!AA$1:AA$100,MATCH('Print View'!$A199,'Coverage Indicators - Section D'!$A$1:$A$100,0)+1),""),"")&amp;CHAR(10)&amp;IFERROR(IF(INDEX('Coverage Indicators - Section D'!AB$1:AB$100,MATCH('Print View'!$A199,'Coverage Indicators - Section D'!$A$1:$A$100,0))&lt;&gt;"",FIXED(INDEX('Coverage Indicators - Section D'!AB$1:AB$100,MATCH('Print View'!$A199,'Coverage Indicators - Section D'!$A$1:$A$100,0))*100,2)&amp;"%",""),"")&amp;CHAR(10)&amp;IFERROR(IF(INDEX('Coverage Indicators - Section D'!AC$1:AC$100,MATCH('Print View'!$A199,'Coverage Indicators - Section D'!$A$1:$A$100,0))&lt;&gt;"",INDEX('Coverage Indicators - Section D'!AC$1:AC$100,MATCH('Print View'!$A199,'Coverage Indicators - Section D'!$A$1:$A$100,0)),""),"")</f>
        <v xml:space="preserve">/
</v>
      </c>
      <c r="Q199" s="402" t="str">
        <f ca="1">IFERROR(IF(INDEX('Coverage Indicators - Section D'!AD$1:AD$100,MATCH('Print View'!$A199,'Coverage Indicators - Section D'!$A$1:$A$100,0))&lt;&gt;"",INDEX('Coverage Indicators - Section D'!AD$1:AD$100,MATCH('Print View'!$A199,'Coverage Indicators - Section D'!$A$1:$A$100,0)),""),"")&amp;"/"&amp;IFERROR(IF(INDEX('Coverage Indicators - Section D'!AD$1:AD$100,MATCH('Print View'!$A199,'Coverage Indicators - Section D'!$A$1:$A$100,0)+1)&lt;&gt;"",INDEX('Coverage Indicators - Section D'!AD$1:AD$100,MATCH('Print View'!$A199,'Coverage Indicators - Section D'!$A$1:$A$100,0)+1),""),"")&amp;CHAR(10)&amp;IFERROR(IF(INDEX('Coverage Indicators - Section D'!AE$1:AE$100,MATCH('Print View'!$A199,'Coverage Indicators - Section D'!$A$1:$A$100,0))&lt;&gt;"",FIXED(INDEX('Coverage Indicators - Section D'!AE$1:AE$100,MATCH('Print View'!$A199,'Coverage Indicators - Section D'!$A$1:$A$100,0))*100,2)&amp;"%",""),"")&amp;CHAR(10)&amp;IFERROR(IF(INDEX('Coverage Indicators - Section D'!AF$1:AF$100,MATCH('Print View'!$A199,'Coverage Indicators - Section D'!$A$1:$A$100,0))&lt;&gt;"",INDEX('Coverage Indicators - Section D'!AF$1:AF$100,MATCH('Print View'!$A199,'Coverage Indicators - Section D'!$A$1:$A$100,0)),""),"")</f>
        <v xml:space="preserve">/
</v>
      </c>
      <c r="R199" s="402" t="str">
        <f ca="1">IFERROR(IF(INDEX('Coverage Indicators - Section D'!AG$1:AG$100,MATCH('Print View'!$A199,'Coverage Indicators - Section D'!$A$1:$A$100,0))&lt;&gt;"",INDEX('Coverage Indicators - Section D'!AG$1:AG$100,MATCH('Print View'!$A199,'Coverage Indicators - Section D'!$A$1:$A$100,0)),""),"")&amp;"/"&amp;IFERROR(IF(INDEX('Coverage Indicators - Section D'!AG$1:AG$100,MATCH('Print View'!$A199,'Coverage Indicators - Section D'!$A$1:$A$100,0)+1)&lt;&gt;"",INDEX('Coverage Indicators - Section D'!AG$1:AG$100,MATCH('Print View'!$A199,'Coverage Indicators - Section D'!$A$1:$A$100,0)+1),""),"")&amp;CHAR(10)&amp;IFERROR(IF(INDEX('Coverage Indicators - Section D'!AH$1:AH$100,MATCH('Print View'!$A199,'Coverage Indicators - Section D'!$A$1:$A$100,0))&lt;&gt;"",FIXED(INDEX('Coverage Indicators - Section D'!AH$1:AH$100,MATCH('Print View'!$A199,'Coverage Indicators - Section D'!$A$1:$A$100,0))*100,2)&amp;"%",""),"")&amp;CHAR(10)&amp;IFERROR(IF(INDEX('Coverage Indicators - Section D'!AI$1:AI$100,MATCH('Print View'!$A199,'Coverage Indicators - Section D'!$A$1:$A$100,0))&lt;&gt;"",INDEX('Coverage Indicators - Section D'!AI$1:AI$100,MATCH('Print View'!$A199,'Coverage Indicators - Section D'!$A$1:$A$100,0)),""),"")</f>
        <v xml:space="preserve">/
</v>
      </c>
      <c r="S199" s="402" t="str">
        <f ca="1">IFERROR(IF(INDEX('Coverage Indicators - Section D'!AJ$1:AJ$100,MATCH('Print View'!$A199,'Coverage Indicators - Section D'!$A$1:$A$100,0))&lt;&gt;"",INDEX('Coverage Indicators - Section D'!AJ$1:AJ$100,MATCH('Print View'!$A199,'Coverage Indicators - Section D'!$A$1:$A$100,0)),""),"")&amp;"/"&amp;IFERROR(IF(INDEX('Coverage Indicators - Section D'!AJ$1:AJ$100,MATCH('Print View'!$A199,'Coverage Indicators - Section D'!$A$1:$A$100,0)+1)&lt;&gt;"",INDEX('Coverage Indicators - Section D'!AJ$1:AJ$100,MATCH('Print View'!$A199,'Coverage Indicators - Section D'!$A$1:$A$100,0)+1),""),"")&amp;CHAR(10)&amp;IFERROR(IF(INDEX('Coverage Indicators - Section D'!AK$1:AK$100,MATCH('Print View'!$A199,'Coverage Indicators - Section D'!$A$1:$A$100,0))&lt;&gt;"",FIXED(INDEX('Coverage Indicators - Section D'!AK$1:AK$100,MATCH('Print View'!$A199,'Coverage Indicators - Section D'!$A$1:$A$100,0))*100,2)&amp;"%",""),"")&amp;CHAR(10)&amp;IFERROR(IF(INDEX('Coverage Indicators - Section D'!AL$1:AL$100,MATCH('Print View'!$A199,'Coverage Indicators - Section D'!$A$1:$A$100,0))&lt;&gt;"",INDEX('Coverage Indicators - Section D'!AL$1:AL$100,MATCH('Print View'!$A199,'Coverage Indicators - Section D'!$A$1:$A$100,0)),""),"")</f>
        <v xml:space="preserve">/
</v>
      </c>
      <c r="T199" s="31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t="str">
        <f ca="1">IFERROR(IF(INDEX('Coverage Indicators - Section D'!AD$1:AD$110,MATCH('Print View'!$A199,'Coverage Indicators - Section D'!$A$1:$A$110,0))&lt;&gt;0,INDEX('Coverage Indicators - Section D'!AD$1:AD$110,MATCH('Print View'!$A199,'Coverage Indicators - Section D'!$A$1:$A$110,0)),""),"")</f>
        <v/>
      </c>
      <c r="AP199" s="223"/>
      <c r="AQ199" s="223"/>
      <c r="AR199" s="223"/>
      <c r="AS199" s="223"/>
      <c r="AT199" s="803" t="str">
        <f ca="1">CONCATENATE($A199,N$147)</f>
        <v>2631-Dec-24</v>
      </c>
      <c r="AU199" s="802" t="str">
        <f ca="1">CONCATENATE($A199,Q$147)</f>
        <v>2631-Dec-27</v>
      </c>
      <c r="AV199" s="802" t="str">
        <f>CONCATENATE($A199,V$147)</f>
        <v>26</v>
      </c>
      <c r="AW199" s="802" t="str">
        <f>CONCATENATE($A199,Y$147)</f>
        <v>26</v>
      </c>
      <c r="AX199" s="802" t="str">
        <f>CONCATENATE($A199,AB$147)</f>
        <v>26</v>
      </c>
      <c r="AY199" s="802" t="str">
        <f>CONCATENATE($A199,AE$147)</f>
        <v>26</v>
      </c>
      <c r="AZ199" s="802" t="str">
        <f>CONCATENATE($A199,AH$147)</f>
        <v>26</v>
      </c>
      <c r="BA199" s="802" t="str">
        <f>CONCATENATE($A199,AK$147)</f>
        <v>26</v>
      </c>
      <c r="BB199" s="228"/>
      <c r="BC199" s="121"/>
    </row>
    <row r="200" spans="1:55" s="106" customFormat="1" ht="88.4" customHeight="1" x14ac:dyDescent="0.35">
      <c r="A200" s="804"/>
      <c r="B200" s="809" t="str">
        <f ca="1">IFERROR(IF(INDEX('Coverage Indicators - Section D'!AM$1:AM$110,MATCH('Print View'!$A199,'Coverage Indicators - Section D'!$A$1:$A$110,0))&lt;&gt;0,INDEX('Coverage Indicators - Section D'!AM$1:AM$110,MATCH('Print View'!$A199,'Coverage Indicators - Section D'!$A$1:$A$110,0)),""),"")</f>
        <v/>
      </c>
      <c r="C200" s="810"/>
      <c r="D200" s="810"/>
      <c r="E200" s="810"/>
      <c r="F200" s="810"/>
      <c r="G200" s="810"/>
      <c r="H200" s="810"/>
      <c r="I200" s="811"/>
      <c r="J200" s="811"/>
      <c r="K200" s="811"/>
      <c r="L200" s="811"/>
      <c r="M200" s="811"/>
      <c r="N200" s="811"/>
      <c r="O200" s="811"/>
      <c r="P200" s="811"/>
      <c r="Q200" s="811"/>
      <c r="R200" s="811"/>
      <c r="S200" s="812"/>
      <c r="T200" s="314"/>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803"/>
      <c r="AU200" s="802"/>
      <c r="AV200" s="802"/>
      <c r="AW200" s="802"/>
      <c r="AX200" s="802"/>
      <c r="AY200" s="802"/>
      <c r="AZ200" s="802"/>
      <c r="BA200" s="802"/>
      <c r="BB200" s="228"/>
      <c r="BC200" s="121"/>
    </row>
    <row r="201" spans="1:55" s="106" customFormat="1" ht="177" customHeight="1" x14ac:dyDescent="0.35">
      <c r="A201" s="801">
        <v>27</v>
      </c>
      <c r="B201" s="395" t="str">
        <f ca="1">IFERROR(IF(INDEX('Coverage Indicators - Section D'!B$1:B$100,MATCH('Print View'!$A201,'Coverage Indicators - Section D'!$A$1:$A$100,0))&lt;&gt;0,INDEX('Coverage Indicators - Section D'!B$1:B$100,MATCH('Print View'!$A201,'Coverage Indicators - Section D'!$A$1:$A$100,0)),""),"")</f>
        <v/>
      </c>
      <c r="C201" s="395" t="str">
        <f ca="1">IFERROR(IF(INDEX('Coverage Indicators - Section D'!D$1:D$100,MATCH('Print View'!$A201,'Coverage Indicators - Section D'!$A$1:$A$100,0))&lt;&gt;0,INDEX('Coverage Indicators - Section D'!D$1:D$100,MATCH('Print View'!$A201,'Coverage Indicators - Section D'!$A$1:$A$100,0)),""),"")</f>
        <v/>
      </c>
      <c r="D201" s="395" t="str">
        <f ca="1">IFERROR(IF(INDEX('Coverage Indicators - Section D'!E$1:E$100,MATCH('Print View'!$A201,'Coverage Indicators - Section D'!$A$1:$A$100,0))&lt;&gt;0,INDEX('Coverage Indicators - Section D'!E$1:E$100,MATCH('Print View'!$A201,'Coverage Indicators - Section D'!$A$1:$A$100,0)),""),"")</f>
        <v/>
      </c>
      <c r="E201" s="396" t="str">
        <f ca="1">IFERROR(IF(INDEX('Coverage Indicators - Section D'!F$1:F$100,MATCH('Print View'!$A201,'Coverage Indicators - Section D'!$A$1:$A$100,0))&lt;&gt;"",INDEX('Coverage Indicators - Section D'!F$1:F$100,MATCH('Print View'!$A201,'Coverage Indicators - Section D'!$A$1:$A$100,0)),""),"")&amp;"/"&amp;IFERROR(IF(INDEX('Coverage Indicators - Section D'!F$1:F$100,MATCH('Print View'!$A201,'Coverage Indicators - Section D'!$A$1:$A$100,0)+1)&lt;&gt;"",INDEX('Coverage Indicators - Section D'!F$1:F$100,MATCH('Print View'!$A201,'Coverage Indicators - Section D'!$A$1:$A$100,0)+1),""),"")&amp;CHAR(10)&amp;IFERROR(IF(INDEX('Coverage Indicators - Section D'!G$1:G$100,MATCH('Print View'!$A201,'Coverage Indicators - Section D'!$A$1:$A$100,0))&lt;&gt;"",FIXED(INDEX('Coverage Indicators - Section D'!G$1:G$100,MATCH('Print View'!$A201,'Coverage Indicators - Section D'!$A$1:$A$100,0))*100,2)&amp;"%",""),"")</f>
        <v xml:space="preserve">/
</v>
      </c>
      <c r="F201" s="397"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398" t="str">
        <f>IFERROR(IF(INDEX('Coverage Indicators - Section D'!J61:J90,MATCH('Print View'!$A201,'Coverage Indicators - Section D'!$A$9:$A$38,0))&lt;&gt;0,INDEX('Coverage Indicators - Section D'!J61:J90,MATCH('Print View'!$A201,'Coverage Indicators - Section D'!$A$9:$A$38,0)),""),"")</f>
        <v/>
      </c>
      <c r="H201" s="399" t="str">
        <f ca="1">IFERROR(IF(INDEX('Coverage Indicators - Section D'!K$1:K$100,MATCH('Print View'!$A201,'Coverage Indicators - Section D'!$A$1:$A$100,0))&lt;&gt;0,INDEX('Coverage Indicators - Section D'!K$1:K$100,MATCH('Print View'!$A201,'Coverage Indicators - Section D'!$A$1:$A$100,0)),""),"")</f>
        <v/>
      </c>
      <c r="I201" s="398" t="str">
        <f ca="1">IFERROR(IF(AND('Overview - Section A'!AN$5="Grant Making",OR(C201&lt;&gt;"",D201&lt;&gt;"")),Setup!I15,IF(INDEX('Coverage Indicators - Section D'!L$1:L$100,MATCH('Print View'!$A201,'Coverage Indicators - Section D'!$A$1:$A$100,0))&lt;&gt;0,INDEX('Coverage Indicators - Section D'!L$1:L$100,MATCH('Print View'!$A201,'Coverage Indicators - Section D'!$A$1:$A$100,0)),"")),"")</f>
        <v/>
      </c>
      <c r="J201" s="396"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396" t="str">
        <f ca="1">IFERROR(IF(INDEX('Coverage Indicators - Section D'!N$1:N$100,MATCH('Print View'!$A201,'Coverage Indicators - Section D'!$A$1:$A$100,0))&lt;&gt;0,INDEX('Coverage Indicators - Section D'!N$1:N$100,MATCH('Print View'!$A201,'Coverage Indicators - Section D'!$A$1:$A$100,0)),""),"")</f>
        <v/>
      </c>
      <c r="L201" s="396" t="str">
        <f ca="1">IFERROR(IF(INDEX('Coverage Indicators - Section D'!O$1:O$100,MATCH('Print View'!$A201,'Coverage Indicators - Section D'!$A$1:$A$100,0))&lt;&gt;"",INDEX('Coverage Indicators - Section D'!O$1:O$100,MATCH('Print View'!$A201,'Coverage Indicators - Section D'!$A$1:$A$100,0)),""),"")&amp;"/"&amp;IFERROR(IF(INDEX('Coverage Indicators - Section D'!O$1:O$100,MATCH('Print View'!$A201,'Coverage Indicators - Section D'!$A$1:$A$100,0)+1)&lt;&gt;"",INDEX('Coverage Indicators - Section D'!O$1:O$100,MATCH('Print View'!$A201,'Coverage Indicators - Section D'!$A$1:$A$100,0)+1),""),"")&amp;CHAR(10)&amp;IFERROR(IF(INDEX('Coverage Indicators - Section D'!P$1:P$100,MATCH('Print View'!$A201,'Coverage Indicators - Section D'!$A$1:$A$100,0))&lt;&gt;"",FIXED(INDEX('Coverage Indicators - Section D'!P$1:P$100,MATCH('Print View'!$A201,'Coverage Indicators - Section D'!$A$1:$A$100,0))*100,2)&amp;"%",""),"")&amp;CHAR(10)&amp;IFERROR(IF(INDEX('Coverage Indicators - Section D'!Q$1:Q$100,MATCH('Print View'!$A201,'Coverage Indicators - Section D'!$A$1:$A$100,0))&lt;&gt;"",INDEX('Coverage Indicators - Section D'!Q$1:Q$100,MATCH('Print View'!$A201,'Coverage Indicators - Section D'!$A$1:$A$100,0)),""),"")</f>
        <v xml:space="preserve">/
</v>
      </c>
      <c r="M201" s="397" t="str">
        <f ca="1">IFERROR(IF(INDEX('Coverage Indicators - Section D'!R$1:R$100,MATCH('Print View'!$A201,'Coverage Indicators - Section D'!$A$1:$A$100,0))&lt;&gt;"",INDEX('Coverage Indicators - Section D'!R$1:R$100,MATCH('Print View'!$A201,'Coverage Indicators - Section D'!$A$1:$A$100,0)),""),"")&amp;"/"&amp;IFERROR(IF(INDEX('Coverage Indicators - Section D'!R$1:R$100,MATCH('Print View'!$A201,'Coverage Indicators - Section D'!$A$1:$A$100,0)+1)&lt;&gt;"",INDEX('Coverage Indicators - Section D'!R$1:R$100,MATCH('Print View'!$A201,'Coverage Indicators - Section D'!$A$1:$A$100,0)+1),""),"")&amp;CHAR(10)&amp;IFERROR(IF(INDEX('Coverage Indicators - Section D'!S$1:S$100,MATCH('Print View'!$A201,'Coverage Indicators - Section D'!$A$1:$A$100,0))&lt;&gt;"",FIXED(INDEX('Coverage Indicators - Section D'!S$1:S$100,MATCH('Print View'!$A201,'Coverage Indicators - Section D'!$A$1:$A$100,0))*100,2)&amp;"%",""),"")&amp;CHAR(10)&amp;IFERROR(IF(INDEX('Coverage Indicators - Section D'!T$1:T$100,MATCH('Print View'!$A201,'Coverage Indicators - Section D'!$A$1:$A$100,0))&lt;&gt;"",INDEX('Coverage Indicators - Section D'!T$1:T$100,MATCH('Print View'!$A201,'Coverage Indicators - Section D'!$A$1:$A$100,0)),""),"")</f>
        <v xml:space="preserve">/
</v>
      </c>
      <c r="N201" s="396" t="str">
        <f ca="1">IFERROR(IF(INDEX('Coverage Indicators - Section D'!U$1:U$100,MATCH('Print View'!$A201,'Coverage Indicators - Section D'!$A$1:$A$100,0))&lt;&gt;"",INDEX('Coverage Indicators - Section D'!U$1:U$100,MATCH('Print View'!$A201,'Coverage Indicators - Section D'!$A$1:$A$100,0)),""),"")&amp;"/"&amp;IFERROR(IF(INDEX('Coverage Indicators - Section D'!U$1:U$100,MATCH('Print View'!$A201,'Coverage Indicators - Section D'!$A$1:$A$100,0)+1)&lt;&gt;"",INDEX('Coverage Indicators - Section D'!U$1:U$100,MATCH('Print View'!$A201,'Coverage Indicators - Section D'!$A$1:$A$100,0)+1),""),"")&amp;CHAR(10)&amp;IFERROR(IF(INDEX('Coverage Indicators - Section D'!V$1:V$100,MATCH('Print View'!$A201,'Coverage Indicators - Section D'!$A$1:$A$100,0))&lt;&gt;"",FIXED(INDEX('Coverage Indicators - Section D'!V$1:V$100,MATCH('Print View'!$A201,'Coverage Indicators - Section D'!$A$1:$A$100,0))*100,2)&amp;"%",""),"")&amp;CHAR(10)&amp;IFERROR(IF(INDEX('Coverage Indicators - Section D'!W$1:W$100,MATCH('Print View'!$A201,'Coverage Indicators - Section D'!$A$1:$A$100,0))&lt;&gt;"",INDEX('Coverage Indicators - Section D'!W$1:W$100,MATCH('Print View'!$A201,'Coverage Indicators - Section D'!$A$1:$A$100,0)),""),"")</f>
        <v xml:space="preserve">/
</v>
      </c>
      <c r="O201" s="397" t="str">
        <f ca="1">IFERROR(IF(INDEX('Coverage Indicators - Section D'!X$1:X$100,MATCH('Print View'!$A201,'Coverage Indicators - Section D'!$A$1:$A$100,0))&lt;&gt;"",INDEX('Coverage Indicators - Section D'!X$1:X$100,MATCH('Print View'!$A201,'Coverage Indicators - Section D'!$A$1:$A$100,0)),""),"")&amp;"/"&amp;IFERROR(IF(INDEX('Coverage Indicators - Section D'!X$1:X$100,MATCH('Print View'!$A201,'Coverage Indicators - Section D'!$A$1:$A$100,0)+1)&lt;&gt;"",INDEX('Coverage Indicators - Section D'!X$1:X$100,MATCH('Print View'!$A201,'Coverage Indicators - Section D'!$A$1:$A$100,0)+1),""),"")&amp;CHAR(10)&amp;IFERROR(IF(INDEX('Coverage Indicators - Section D'!Y$1:Y$100,MATCH('Print View'!$A201,'Coverage Indicators - Section D'!$A$1:$A$100,0))&lt;&gt;"",FIXED(INDEX('Coverage Indicators - Section D'!Y$1:Y$100,MATCH('Print View'!$A201,'Coverage Indicators - Section D'!$A$1:$A$100,0))*100,2)&amp;"%",""),"")&amp;CHAR(10)&amp;IFERROR(IF(INDEX('Coverage Indicators - Section D'!Z$1:Z$100,MATCH('Print View'!$A201,'Coverage Indicators - Section D'!$A$1:$A$100,0))&lt;&gt;"",INDEX('Coverage Indicators - Section D'!Z$1:Z$100,MATCH('Print View'!$A201,'Coverage Indicators - Section D'!$A$1:$A$100,0)),""),"")</f>
        <v xml:space="preserve">/
</v>
      </c>
      <c r="P201" s="397" t="str">
        <f ca="1">IFERROR(IF(INDEX('Coverage Indicators - Section D'!AA$1:AA$100,MATCH('Print View'!$A201,'Coverage Indicators - Section D'!$A$1:$A$100,0))&lt;&gt;"",INDEX('Coverage Indicators - Section D'!AA$1:AA$100,MATCH('Print View'!$A201,'Coverage Indicators - Section D'!$A$1:$A$100,0)),""),"")&amp;"/"&amp;IFERROR(IF(INDEX('Coverage Indicators - Section D'!AA$1:AA$100,MATCH('Print View'!$A201,'Coverage Indicators - Section D'!$A$1:$A$100,0)+1)&lt;&gt;"",INDEX('Coverage Indicators - Section D'!AA$1:AA$100,MATCH('Print View'!$A201,'Coverage Indicators - Section D'!$A$1:$A$100,0)+1),""),"")&amp;CHAR(10)&amp;IFERROR(IF(INDEX('Coverage Indicators - Section D'!AB$1:AB$100,MATCH('Print View'!$A201,'Coverage Indicators - Section D'!$A$1:$A$100,0))&lt;&gt;"",FIXED(INDEX('Coverage Indicators - Section D'!AB$1:AB$100,MATCH('Print View'!$A201,'Coverage Indicators - Section D'!$A$1:$A$100,0))*100,2)&amp;"%",""),"")&amp;CHAR(10)&amp;IFERROR(IF(INDEX('Coverage Indicators - Section D'!AC$1:AC$100,MATCH('Print View'!$A201,'Coverage Indicators - Section D'!$A$1:$A$100,0))&lt;&gt;"",INDEX('Coverage Indicators - Section D'!AC$1:AC$100,MATCH('Print View'!$A201,'Coverage Indicators - Section D'!$A$1:$A$100,0)),""),"")</f>
        <v xml:space="preserve">/
</v>
      </c>
      <c r="Q201" s="397" t="str">
        <f ca="1">IFERROR(IF(INDEX('Coverage Indicators - Section D'!AD$1:AD$100,MATCH('Print View'!$A201,'Coverage Indicators - Section D'!$A$1:$A$100,0))&lt;&gt;"",INDEX('Coverage Indicators - Section D'!AD$1:AD$100,MATCH('Print View'!$A201,'Coverage Indicators - Section D'!$A$1:$A$100,0)),""),"")&amp;"/"&amp;IFERROR(IF(INDEX('Coverage Indicators - Section D'!AD$1:AD$100,MATCH('Print View'!$A201,'Coverage Indicators - Section D'!$A$1:$A$100,0)+1)&lt;&gt;"",INDEX('Coverage Indicators - Section D'!AD$1:AD$100,MATCH('Print View'!$A201,'Coverage Indicators - Section D'!$A$1:$A$100,0)+1),""),"")&amp;CHAR(10)&amp;IFERROR(IF(INDEX('Coverage Indicators - Section D'!AE$1:AE$100,MATCH('Print View'!$A201,'Coverage Indicators - Section D'!$A$1:$A$100,0))&lt;&gt;"",FIXED(INDEX('Coverage Indicators - Section D'!AE$1:AE$100,MATCH('Print View'!$A201,'Coverage Indicators - Section D'!$A$1:$A$100,0))*100,2)&amp;"%",""),"")&amp;CHAR(10)&amp;IFERROR(IF(INDEX('Coverage Indicators - Section D'!AF$1:AF$100,MATCH('Print View'!$A201,'Coverage Indicators - Section D'!$A$1:$A$100,0))&lt;&gt;"",INDEX('Coverage Indicators - Section D'!AF$1:AF$100,MATCH('Print View'!$A201,'Coverage Indicators - Section D'!$A$1:$A$100,0)),""),"")</f>
        <v xml:space="preserve">/
</v>
      </c>
      <c r="R201" s="397" t="str">
        <f ca="1">IFERROR(IF(INDEX('Coverage Indicators - Section D'!AG$1:AG$100,MATCH('Print View'!$A201,'Coverage Indicators - Section D'!$A$1:$A$100,0))&lt;&gt;"",INDEX('Coverage Indicators - Section D'!AG$1:AG$100,MATCH('Print View'!$A201,'Coverage Indicators - Section D'!$A$1:$A$100,0)),""),"")&amp;"/"&amp;IFERROR(IF(INDEX('Coverage Indicators - Section D'!AG$1:AG$100,MATCH('Print View'!$A201,'Coverage Indicators - Section D'!$A$1:$A$100,0)+1)&lt;&gt;"",INDEX('Coverage Indicators - Section D'!AG$1:AG$100,MATCH('Print View'!$A201,'Coverage Indicators - Section D'!$A$1:$A$100,0)+1),""),"")&amp;CHAR(10)&amp;IFERROR(IF(INDEX('Coverage Indicators - Section D'!AH$1:AH$100,MATCH('Print View'!$A201,'Coverage Indicators - Section D'!$A$1:$A$100,0))&lt;&gt;"",FIXED(INDEX('Coverage Indicators - Section D'!AH$1:AH$100,MATCH('Print View'!$A201,'Coverage Indicators - Section D'!$A$1:$A$100,0))*100,2)&amp;"%",""),"")&amp;CHAR(10)&amp;IFERROR(IF(INDEX('Coverage Indicators - Section D'!AI$1:AI$100,MATCH('Print View'!$A201,'Coverage Indicators - Section D'!$A$1:$A$100,0))&lt;&gt;"",INDEX('Coverage Indicators - Section D'!AI$1:AI$100,MATCH('Print View'!$A201,'Coverage Indicators - Section D'!$A$1:$A$100,0)),""),"")</f>
        <v xml:space="preserve">/
</v>
      </c>
      <c r="S201" s="397" t="str">
        <f ca="1">IFERROR(IF(INDEX('Coverage Indicators - Section D'!AJ$1:AJ$100,MATCH('Print View'!$A201,'Coverage Indicators - Section D'!$A$1:$A$100,0))&lt;&gt;"",INDEX('Coverage Indicators - Section D'!AJ$1:AJ$100,MATCH('Print View'!$A201,'Coverage Indicators - Section D'!$A$1:$A$100,0)),""),"")&amp;"/"&amp;IFERROR(IF(INDEX('Coverage Indicators - Section D'!AJ$1:AJ$100,MATCH('Print View'!$A201,'Coverage Indicators - Section D'!$A$1:$A$100,0)+1)&lt;&gt;"",INDEX('Coverage Indicators - Section D'!AJ$1:AJ$100,MATCH('Print View'!$A201,'Coverage Indicators - Section D'!$A$1:$A$100,0)+1),""),"")&amp;CHAR(10)&amp;IFERROR(IF(INDEX('Coverage Indicators - Section D'!AK$1:AK$100,MATCH('Print View'!$A201,'Coverage Indicators - Section D'!$A$1:$A$100,0))&lt;&gt;"",FIXED(INDEX('Coverage Indicators - Section D'!AK$1:AK$100,MATCH('Print View'!$A201,'Coverage Indicators - Section D'!$A$1:$A$100,0))*100,2)&amp;"%",""),"")&amp;CHAR(10)&amp;IFERROR(IF(INDEX('Coverage Indicators - Section D'!AL$1:AL$100,MATCH('Print View'!$A201,'Coverage Indicators - Section D'!$A$1:$A$100,0))&lt;&gt;"",INDEX('Coverage Indicators - Section D'!AL$1:AL$100,MATCH('Print View'!$A201,'Coverage Indicators - Section D'!$A$1:$A$100,0)),""),"")</f>
        <v xml:space="preserve">/
</v>
      </c>
      <c r="T201" s="310"/>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t="str">
        <f ca="1">IFERROR(IF(INDEX('Coverage Indicators - Section D'!AD$1:AD$110,MATCH('Print View'!$A201,'Coverage Indicators - Section D'!$A$1:$A$110,0))&lt;&gt;0,INDEX('Coverage Indicators - Section D'!AD$1:AD$110,MATCH('Print View'!$A201,'Coverage Indicators - Section D'!$A$1:$A$110,0)),""),"")</f>
        <v/>
      </c>
      <c r="AP201" s="223"/>
      <c r="AQ201" s="223"/>
      <c r="AR201" s="223"/>
      <c r="AS201" s="223"/>
      <c r="AT201" s="803" t="str">
        <f ca="1">CONCATENATE($A201,N$147)</f>
        <v>2731-Dec-24</v>
      </c>
      <c r="AU201" s="802" t="str">
        <f ca="1">CONCATENATE($A201,Q$147)</f>
        <v>2731-Dec-27</v>
      </c>
      <c r="AV201" s="802" t="str">
        <f>CONCATENATE($A201,V$147)</f>
        <v>27</v>
      </c>
      <c r="AW201" s="802" t="str">
        <f>CONCATENATE($A201,Y$147)</f>
        <v>27</v>
      </c>
      <c r="AX201" s="802" t="str">
        <f>CONCATENATE($A201,AB$147)</f>
        <v>27</v>
      </c>
      <c r="AY201" s="802" t="str">
        <f>CONCATENATE($A201,AE$147)</f>
        <v>27</v>
      </c>
      <c r="AZ201" s="802" t="str">
        <f>CONCATENATE($A201,AH$147)</f>
        <v>27</v>
      </c>
      <c r="BA201" s="802" t="str">
        <f>CONCATENATE($A201,AK$147)</f>
        <v>27</v>
      </c>
      <c r="BB201" s="228"/>
      <c r="BC201" s="121"/>
    </row>
    <row r="202" spans="1:55" s="106" customFormat="1" ht="88.4" customHeight="1" x14ac:dyDescent="0.35">
      <c r="A202" s="801"/>
      <c r="B202" s="806" t="str">
        <f ca="1">IFERROR(IF(INDEX('Coverage Indicators - Section D'!AM$1:AM$110,MATCH('Print View'!$A201,'Coverage Indicators - Section D'!$A$1:$A$110,0))&lt;&gt;0,INDEX('Coverage Indicators - Section D'!AM$1:AM$110,MATCH('Print View'!$A201,'Coverage Indicators - Section D'!$A$1:$A$110,0)),""),"")</f>
        <v/>
      </c>
      <c r="C202" s="807"/>
      <c r="D202" s="807"/>
      <c r="E202" s="807"/>
      <c r="F202" s="807"/>
      <c r="G202" s="807"/>
      <c r="H202" s="807"/>
      <c r="I202" s="807"/>
      <c r="J202" s="807"/>
      <c r="K202" s="807"/>
      <c r="L202" s="807"/>
      <c r="M202" s="807"/>
      <c r="N202" s="807"/>
      <c r="O202" s="807"/>
      <c r="P202" s="807"/>
      <c r="Q202" s="807"/>
      <c r="R202" s="807"/>
      <c r="S202" s="808"/>
      <c r="T202" s="312"/>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803"/>
      <c r="AU202" s="802"/>
      <c r="AV202" s="802"/>
      <c r="AW202" s="802"/>
      <c r="AX202" s="802"/>
      <c r="AY202" s="802"/>
      <c r="AZ202" s="802"/>
      <c r="BA202" s="802"/>
      <c r="BB202" s="228"/>
      <c r="BC202" s="121"/>
    </row>
    <row r="203" spans="1:55" s="106" customFormat="1" ht="177" customHeight="1" x14ac:dyDescent="0.35">
      <c r="A203" s="804">
        <v>28</v>
      </c>
      <c r="B203" s="385" t="str">
        <f ca="1">IFERROR(IF(INDEX('Coverage Indicators - Section D'!B$1:B$100,MATCH('Print View'!$A203,'Coverage Indicators - Section D'!$A$1:$A$100,0))&lt;&gt;0,INDEX('Coverage Indicators - Section D'!B$1:B$100,MATCH('Print View'!$A203,'Coverage Indicators - Section D'!$A$1:$A$100,0)),""),"")</f>
        <v/>
      </c>
      <c r="C203" s="385" t="str">
        <f ca="1">IFERROR(IF(INDEX('Coverage Indicators - Section D'!D$1:D$100,MATCH('Print View'!$A203,'Coverage Indicators - Section D'!$A$1:$A$100,0))&lt;&gt;0,INDEX('Coverage Indicators - Section D'!D$1:D$100,MATCH('Print View'!$A203,'Coverage Indicators - Section D'!$A$1:$A$100,0)),""),"")</f>
        <v/>
      </c>
      <c r="D203" s="385" t="str">
        <f ca="1">IFERROR(IF(INDEX('Coverage Indicators - Section D'!E$1:E$100,MATCH('Print View'!$A203,'Coverage Indicators - Section D'!$A$1:$A$100,0))&lt;&gt;0,INDEX('Coverage Indicators - Section D'!E$1:E$100,MATCH('Print View'!$A203,'Coverage Indicators - Section D'!$A$1:$A$100,0)),""),"")</f>
        <v/>
      </c>
      <c r="E203" s="386" t="str">
        <f ca="1">IFERROR(IF(INDEX('Coverage Indicators - Section D'!F$1:F$100,MATCH('Print View'!$A203,'Coverage Indicators - Section D'!$A$1:$A$100,0))&lt;&gt;"",INDEX('Coverage Indicators - Section D'!F$1:F$100,MATCH('Print View'!$A203,'Coverage Indicators - Section D'!$A$1:$A$100,0)),""),"")&amp;"/"&amp;IFERROR(IF(INDEX('Coverage Indicators - Section D'!F$1:F$100,MATCH('Print View'!$A203,'Coverage Indicators - Section D'!$A$1:$A$100,0)+1)&lt;&gt;"",INDEX('Coverage Indicators - Section D'!F$1:F$100,MATCH('Print View'!$A203,'Coverage Indicators - Section D'!$A$1:$A$100,0)+1),""),"")&amp;CHAR(10)&amp;IFERROR(IF(INDEX('Coverage Indicators - Section D'!G$1:G$100,MATCH('Print View'!$A203,'Coverage Indicators - Section D'!$A$1:$A$100,0))&lt;&gt;"",FIXED(INDEX('Coverage Indicators - Section D'!G$1:G$100,MATCH('Print View'!$A203,'Coverage Indicators - Section D'!$A$1:$A$100,0))*100,2)&amp;"%",""),"")</f>
        <v xml:space="preserve">/
</v>
      </c>
      <c r="F203" s="400"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401" t="str">
        <f>IFERROR(IF(INDEX('Coverage Indicators - Section D'!J61:J90,MATCH('Print View'!$A203,'Coverage Indicators - Section D'!$A$9:$A$38,0))&lt;&gt;0,INDEX('Coverage Indicators - Section D'!J61:J90,MATCH('Print View'!$A203,'Coverage Indicators - Section D'!$A$9:$A$38,0)),""),"")</f>
        <v/>
      </c>
      <c r="H203" s="400" t="str">
        <f ca="1">IFERROR(IF(INDEX('Coverage Indicators - Section D'!K$1:K$100,MATCH('Print View'!$A203,'Coverage Indicators - Section D'!$A$1:$A$100,0))&lt;&gt;0,INDEX('Coverage Indicators - Section D'!K$1:K$100,MATCH('Print View'!$A203,'Coverage Indicators - Section D'!$A$1:$A$100,0)),""),"")</f>
        <v/>
      </c>
      <c r="I203" s="401" t="str">
        <f ca="1">IFERROR(IF(AND('Overview - Section A'!AN$5="Grant Making",OR(C203&lt;&gt;"",D203&lt;&gt;"")),Setup!I15,IF(INDEX('Coverage Indicators - Section D'!L$1:L$100,MATCH('Print View'!$A203,'Coverage Indicators - Section D'!$A$1:$A$100,0))&lt;&gt;0,INDEX('Coverage Indicators - Section D'!L$1:L$100,MATCH('Print View'!$A203,'Coverage Indicators - Section D'!$A$1:$A$100,0)),"")),"")</f>
        <v/>
      </c>
      <c r="J203" s="400"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400" t="str">
        <f ca="1">IFERROR(IF(INDEX('Coverage Indicators - Section D'!N$1:N$100,MATCH('Print View'!$A203,'Coverage Indicators - Section D'!$A$1:$A$100,0))&lt;&gt;0,INDEX('Coverage Indicators - Section D'!N$1:N$100,MATCH('Print View'!$A203,'Coverage Indicators - Section D'!$A$1:$A$100,0)),""),"")</f>
        <v/>
      </c>
      <c r="L203" s="402" t="str">
        <f ca="1">IFERROR(IF(INDEX('Coverage Indicators - Section D'!O$1:O$100,MATCH('Print View'!$A203,'Coverage Indicators - Section D'!$A$1:$A$100,0))&lt;&gt;"",INDEX('Coverage Indicators - Section D'!O$1:O$100,MATCH('Print View'!$A203,'Coverage Indicators - Section D'!$A$1:$A$100,0)),""),"")&amp;"/"&amp;IFERROR(IF(INDEX('Coverage Indicators - Section D'!O$1:O$100,MATCH('Print View'!$A203,'Coverage Indicators - Section D'!$A$1:$A$100,0)+1)&lt;&gt;"",INDEX('Coverage Indicators - Section D'!O$1:O$100,MATCH('Print View'!$A203,'Coverage Indicators - Section D'!$A$1:$A$100,0)+1),""),"")&amp;CHAR(10)&amp;IFERROR(IF(INDEX('Coverage Indicators - Section D'!P$1:P$100,MATCH('Print View'!$A203,'Coverage Indicators - Section D'!$A$1:$A$100,0))&lt;&gt;"",FIXED(INDEX('Coverage Indicators - Section D'!P$1:P$100,MATCH('Print View'!$A203,'Coverage Indicators - Section D'!$A$1:$A$100,0))*100,2)&amp;"%",""),"")&amp;CHAR(10)&amp;IFERROR(IF(INDEX('Coverage Indicators - Section D'!Q$1:Q$100,MATCH('Print View'!$A203,'Coverage Indicators - Section D'!$A$1:$A$100,0))&lt;&gt;"",INDEX('Coverage Indicators - Section D'!Q$1:Q$100,MATCH('Print View'!$A203,'Coverage Indicators - Section D'!$A$1:$A$100,0)),""),"")</f>
        <v xml:space="preserve">/
</v>
      </c>
      <c r="M203" s="402" t="str">
        <f ca="1">IFERROR(IF(INDEX('Coverage Indicators - Section D'!R$1:R$100,MATCH('Print View'!$A203,'Coverage Indicators - Section D'!$A$1:$A$100,0))&lt;&gt;"",INDEX('Coverage Indicators - Section D'!R$1:R$100,MATCH('Print View'!$A203,'Coverage Indicators - Section D'!$A$1:$A$100,0)),""),"")&amp;"/"&amp;IFERROR(IF(INDEX('Coverage Indicators - Section D'!R$1:R$100,MATCH('Print View'!$A203,'Coverage Indicators - Section D'!$A$1:$A$100,0)+1)&lt;&gt;"",INDEX('Coverage Indicators - Section D'!R$1:R$100,MATCH('Print View'!$A203,'Coverage Indicators - Section D'!$A$1:$A$100,0)+1),""),"")&amp;CHAR(10)&amp;IFERROR(IF(INDEX('Coverage Indicators - Section D'!S$1:S$100,MATCH('Print View'!$A203,'Coverage Indicators - Section D'!$A$1:$A$100,0))&lt;&gt;"",FIXED(INDEX('Coverage Indicators - Section D'!S$1:S$100,MATCH('Print View'!$A203,'Coverage Indicators - Section D'!$A$1:$A$100,0))*100,2)&amp;"%",""),"")&amp;CHAR(10)&amp;IFERROR(IF(INDEX('Coverage Indicators - Section D'!T$1:T$100,MATCH('Print View'!$A203,'Coverage Indicators - Section D'!$A$1:$A$100,0))&lt;&gt;"",INDEX('Coverage Indicators - Section D'!T$1:T$100,MATCH('Print View'!$A203,'Coverage Indicators - Section D'!$A$1:$A$100,0)),""),"")</f>
        <v xml:space="preserve">/
</v>
      </c>
      <c r="N203" s="402" t="str">
        <f ca="1">IFERROR(IF(INDEX('Coverage Indicators - Section D'!U$1:U$100,MATCH('Print View'!$A203,'Coverage Indicators - Section D'!$A$1:$A$100,0))&lt;&gt;"",INDEX('Coverage Indicators - Section D'!U$1:U$100,MATCH('Print View'!$A203,'Coverage Indicators - Section D'!$A$1:$A$100,0)),""),"")&amp;"/"&amp;IFERROR(IF(INDEX('Coverage Indicators - Section D'!U$1:U$100,MATCH('Print View'!$A203,'Coverage Indicators - Section D'!$A$1:$A$100,0)+1)&lt;&gt;"",INDEX('Coverage Indicators - Section D'!U$1:U$100,MATCH('Print View'!$A203,'Coverage Indicators - Section D'!$A$1:$A$100,0)+1),""),"")&amp;CHAR(10)&amp;IFERROR(IF(INDEX('Coverage Indicators - Section D'!V$1:V$100,MATCH('Print View'!$A203,'Coverage Indicators - Section D'!$A$1:$A$100,0))&lt;&gt;"",FIXED(INDEX('Coverage Indicators - Section D'!V$1:V$100,MATCH('Print View'!$A203,'Coverage Indicators - Section D'!$A$1:$A$100,0))*100,2)&amp;"%",""),"")&amp;CHAR(10)&amp;IFERROR(IF(INDEX('Coverage Indicators - Section D'!W$1:W$100,MATCH('Print View'!$A203,'Coverage Indicators - Section D'!$A$1:$A$100,0))&lt;&gt;"",INDEX('Coverage Indicators - Section D'!W$1:W$100,MATCH('Print View'!$A203,'Coverage Indicators - Section D'!$A$1:$A$100,0)),""),"")</f>
        <v xml:space="preserve">/
</v>
      </c>
      <c r="O203" s="402" t="str">
        <f ca="1">IFERROR(IF(INDEX('Coverage Indicators - Section D'!X$1:X$100,MATCH('Print View'!$A203,'Coverage Indicators - Section D'!$A$1:$A$100,0))&lt;&gt;"",INDEX('Coverage Indicators - Section D'!X$1:X$100,MATCH('Print View'!$A203,'Coverage Indicators - Section D'!$A$1:$A$100,0)),""),"")&amp;"/"&amp;IFERROR(IF(INDEX('Coverage Indicators - Section D'!X$1:X$100,MATCH('Print View'!$A203,'Coverage Indicators - Section D'!$A$1:$A$100,0)+1)&lt;&gt;"",INDEX('Coverage Indicators - Section D'!X$1:X$100,MATCH('Print View'!$A203,'Coverage Indicators - Section D'!$A$1:$A$100,0)+1),""),"")&amp;CHAR(10)&amp;IFERROR(IF(INDEX('Coverage Indicators - Section D'!Y$1:Y$100,MATCH('Print View'!$A203,'Coverage Indicators - Section D'!$A$1:$A$100,0))&lt;&gt;"",FIXED(INDEX('Coverage Indicators - Section D'!Y$1:Y$100,MATCH('Print View'!$A203,'Coverage Indicators - Section D'!$A$1:$A$100,0))*100,2)&amp;"%",""),"")&amp;CHAR(10)&amp;IFERROR(IF(INDEX('Coverage Indicators - Section D'!Z$1:Z$100,MATCH('Print View'!$A203,'Coverage Indicators - Section D'!$A$1:$A$100,0))&lt;&gt;"",INDEX('Coverage Indicators - Section D'!Z$1:Z$100,MATCH('Print View'!$A203,'Coverage Indicators - Section D'!$A$1:$A$100,0)),""),"")</f>
        <v xml:space="preserve">/
</v>
      </c>
      <c r="P203" s="402" t="str">
        <f ca="1">IFERROR(IF(INDEX('Coverage Indicators - Section D'!AA$1:AA$100,MATCH('Print View'!$A203,'Coverage Indicators - Section D'!$A$1:$A$100,0))&lt;&gt;"",INDEX('Coverage Indicators - Section D'!AA$1:AA$100,MATCH('Print View'!$A203,'Coverage Indicators - Section D'!$A$1:$A$100,0)),""),"")&amp;"/"&amp;IFERROR(IF(INDEX('Coverage Indicators - Section D'!AA$1:AA$100,MATCH('Print View'!$A203,'Coverage Indicators - Section D'!$A$1:$A$100,0)+1)&lt;&gt;"",INDEX('Coverage Indicators - Section D'!AA$1:AA$100,MATCH('Print View'!$A203,'Coverage Indicators - Section D'!$A$1:$A$100,0)+1),""),"")&amp;CHAR(10)&amp;IFERROR(IF(INDEX('Coverage Indicators - Section D'!AB$1:AB$100,MATCH('Print View'!$A203,'Coverage Indicators - Section D'!$A$1:$A$100,0))&lt;&gt;"",FIXED(INDEX('Coverage Indicators - Section D'!AB$1:AB$100,MATCH('Print View'!$A203,'Coverage Indicators - Section D'!$A$1:$A$100,0))*100,2)&amp;"%",""),"")&amp;CHAR(10)&amp;IFERROR(IF(INDEX('Coverage Indicators - Section D'!AC$1:AC$100,MATCH('Print View'!$A203,'Coverage Indicators - Section D'!$A$1:$A$100,0))&lt;&gt;"",INDEX('Coverage Indicators - Section D'!AC$1:AC$100,MATCH('Print View'!$A203,'Coverage Indicators - Section D'!$A$1:$A$100,0)),""),"")</f>
        <v xml:space="preserve">/
</v>
      </c>
      <c r="Q203" s="402" t="str">
        <f ca="1">IFERROR(IF(INDEX('Coverage Indicators - Section D'!AD$1:AD$100,MATCH('Print View'!$A203,'Coverage Indicators - Section D'!$A$1:$A$100,0))&lt;&gt;"",INDEX('Coverage Indicators - Section D'!AD$1:AD$100,MATCH('Print View'!$A203,'Coverage Indicators - Section D'!$A$1:$A$100,0)),""),"")&amp;"/"&amp;IFERROR(IF(INDEX('Coverage Indicators - Section D'!AD$1:AD$100,MATCH('Print View'!$A203,'Coverage Indicators - Section D'!$A$1:$A$100,0)+1)&lt;&gt;"",INDEX('Coverage Indicators - Section D'!AD$1:AD$100,MATCH('Print View'!$A203,'Coverage Indicators - Section D'!$A$1:$A$100,0)+1),""),"")&amp;CHAR(10)&amp;IFERROR(IF(INDEX('Coverage Indicators - Section D'!AE$1:AE$100,MATCH('Print View'!$A203,'Coverage Indicators - Section D'!$A$1:$A$100,0))&lt;&gt;"",FIXED(INDEX('Coverage Indicators - Section D'!AE$1:AE$100,MATCH('Print View'!$A203,'Coverage Indicators - Section D'!$A$1:$A$100,0))*100,2)&amp;"%",""),"")&amp;CHAR(10)&amp;IFERROR(IF(INDEX('Coverage Indicators - Section D'!AF$1:AF$100,MATCH('Print View'!$A203,'Coverage Indicators - Section D'!$A$1:$A$100,0))&lt;&gt;"",INDEX('Coverage Indicators - Section D'!AF$1:AF$100,MATCH('Print View'!$A203,'Coverage Indicators - Section D'!$A$1:$A$100,0)),""),"")</f>
        <v xml:space="preserve">/
</v>
      </c>
      <c r="R203" s="402" t="str">
        <f ca="1">IFERROR(IF(INDEX('Coverage Indicators - Section D'!AG$1:AG$100,MATCH('Print View'!$A203,'Coverage Indicators - Section D'!$A$1:$A$100,0))&lt;&gt;"",INDEX('Coverage Indicators - Section D'!AG$1:AG$100,MATCH('Print View'!$A203,'Coverage Indicators - Section D'!$A$1:$A$100,0)),""),"")&amp;"/"&amp;IFERROR(IF(INDEX('Coverage Indicators - Section D'!AG$1:AG$100,MATCH('Print View'!$A203,'Coverage Indicators - Section D'!$A$1:$A$100,0)+1)&lt;&gt;"",INDEX('Coverage Indicators - Section D'!AG$1:AG$100,MATCH('Print View'!$A203,'Coverage Indicators - Section D'!$A$1:$A$100,0)+1),""),"")&amp;CHAR(10)&amp;IFERROR(IF(INDEX('Coverage Indicators - Section D'!AH$1:AH$100,MATCH('Print View'!$A203,'Coverage Indicators - Section D'!$A$1:$A$100,0))&lt;&gt;"",FIXED(INDEX('Coverage Indicators - Section D'!AH$1:AH$100,MATCH('Print View'!$A203,'Coverage Indicators - Section D'!$A$1:$A$100,0))*100,2)&amp;"%",""),"")&amp;CHAR(10)&amp;IFERROR(IF(INDEX('Coverage Indicators - Section D'!AI$1:AI$100,MATCH('Print View'!$A203,'Coverage Indicators - Section D'!$A$1:$A$100,0))&lt;&gt;"",INDEX('Coverage Indicators - Section D'!AI$1:AI$100,MATCH('Print View'!$A203,'Coverage Indicators - Section D'!$A$1:$A$100,0)),""),"")</f>
        <v xml:space="preserve">/
</v>
      </c>
      <c r="S203" s="402" t="str">
        <f ca="1">IFERROR(IF(INDEX('Coverage Indicators - Section D'!AJ$1:AJ$100,MATCH('Print View'!$A203,'Coverage Indicators - Section D'!$A$1:$A$100,0))&lt;&gt;"",INDEX('Coverage Indicators - Section D'!AJ$1:AJ$100,MATCH('Print View'!$A203,'Coverage Indicators - Section D'!$A$1:$A$100,0)),""),"")&amp;"/"&amp;IFERROR(IF(INDEX('Coverage Indicators - Section D'!AJ$1:AJ$100,MATCH('Print View'!$A203,'Coverage Indicators - Section D'!$A$1:$A$100,0)+1)&lt;&gt;"",INDEX('Coverage Indicators - Section D'!AJ$1:AJ$100,MATCH('Print View'!$A203,'Coverage Indicators - Section D'!$A$1:$A$100,0)+1),""),"")&amp;CHAR(10)&amp;IFERROR(IF(INDEX('Coverage Indicators - Section D'!AK$1:AK$100,MATCH('Print View'!$A203,'Coverage Indicators - Section D'!$A$1:$A$100,0))&lt;&gt;"",FIXED(INDEX('Coverage Indicators - Section D'!AK$1:AK$100,MATCH('Print View'!$A203,'Coverage Indicators - Section D'!$A$1:$A$100,0))*100,2)&amp;"%",""),"")&amp;CHAR(10)&amp;IFERROR(IF(INDEX('Coverage Indicators - Section D'!AL$1:AL$100,MATCH('Print View'!$A203,'Coverage Indicators - Section D'!$A$1:$A$100,0))&lt;&gt;"",INDEX('Coverage Indicators - Section D'!AL$1:AL$100,MATCH('Print View'!$A203,'Coverage Indicators - Section D'!$A$1:$A$100,0)),""),"")</f>
        <v xml:space="preserve">/
</v>
      </c>
      <c r="T203" s="31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t="str">
        <f ca="1">IFERROR(IF(INDEX('Coverage Indicators - Section D'!AD$1:AD$110,MATCH('Print View'!$A203,'Coverage Indicators - Section D'!$A$1:$A$110,0))&lt;&gt;0,INDEX('Coverage Indicators - Section D'!AD$1:AD$110,MATCH('Print View'!$A203,'Coverage Indicators - Section D'!$A$1:$A$110,0)),""),"")</f>
        <v/>
      </c>
      <c r="AP203" s="223"/>
      <c r="AQ203" s="223"/>
      <c r="AR203" s="223"/>
      <c r="AS203" s="223"/>
      <c r="AT203" s="803" t="str">
        <f ca="1">CONCATENATE($A203,N$147)</f>
        <v>2831-Dec-24</v>
      </c>
      <c r="AU203" s="802" t="str">
        <f ca="1">CONCATENATE($A203,Q$147)</f>
        <v>2831-Dec-27</v>
      </c>
      <c r="AV203" s="802" t="str">
        <f>CONCATENATE($A203,V$147)</f>
        <v>28</v>
      </c>
      <c r="AW203" s="802" t="str">
        <f>CONCATENATE($A203,Y$147)</f>
        <v>28</v>
      </c>
      <c r="AX203" s="802" t="str">
        <f>CONCATENATE($A203,AB$147)</f>
        <v>28</v>
      </c>
      <c r="AY203" s="802" t="str">
        <f>CONCATENATE($A203,AE$147)</f>
        <v>28</v>
      </c>
      <c r="AZ203" s="802" t="str">
        <f>CONCATENATE($A203,AH$147)</f>
        <v>28</v>
      </c>
      <c r="BA203" s="802" t="str">
        <f>CONCATENATE($A203,AK$147)</f>
        <v>28</v>
      </c>
      <c r="BB203" s="228"/>
      <c r="BC203" s="121"/>
    </row>
    <row r="204" spans="1:55" s="106" customFormat="1" ht="88.4" customHeight="1" x14ac:dyDescent="0.35">
      <c r="A204" s="804"/>
      <c r="B204" s="809" t="str">
        <f ca="1">IFERROR(IF(INDEX('Coverage Indicators - Section D'!AM$1:AM$110,MATCH('Print View'!$A203,'Coverage Indicators - Section D'!$A$1:$A$110,0))&lt;&gt;0,INDEX('Coverage Indicators - Section D'!AM$1:AM$110,MATCH('Print View'!$A203,'Coverage Indicators - Section D'!$A$1:$A$110,0)),""),"")</f>
        <v/>
      </c>
      <c r="C204" s="810"/>
      <c r="D204" s="810"/>
      <c r="E204" s="810"/>
      <c r="F204" s="810"/>
      <c r="G204" s="810"/>
      <c r="H204" s="810"/>
      <c r="I204" s="811"/>
      <c r="J204" s="811"/>
      <c r="K204" s="811"/>
      <c r="L204" s="811"/>
      <c r="M204" s="811"/>
      <c r="N204" s="811"/>
      <c r="O204" s="811"/>
      <c r="P204" s="811"/>
      <c r="Q204" s="811"/>
      <c r="R204" s="811"/>
      <c r="S204" s="812"/>
      <c r="T204" s="314"/>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803"/>
      <c r="AU204" s="802"/>
      <c r="AV204" s="802"/>
      <c r="AW204" s="802"/>
      <c r="AX204" s="802"/>
      <c r="AY204" s="802"/>
      <c r="AZ204" s="802"/>
      <c r="BA204" s="802"/>
      <c r="BB204" s="228"/>
      <c r="BC204" s="121"/>
    </row>
    <row r="205" spans="1:55" s="106" customFormat="1" ht="177" customHeight="1" x14ac:dyDescent="0.35">
      <c r="A205" s="801">
        <v>29</v>
      </c>
      <c r="B205" s="395" t="str">
        <f ca="1">IFERROR(IF(INDEX('Coverage Indicators - Section D'!B$1:B$100,MATCH('Print View'!$A205,'Coverage Indicators - Section D'!$A$1:$A$100,0))&lt;&gt;0,INDEX('Coverage Indicators - Section D'!B$1:B$100,MATCH('Print View'!$A205,'Coverage Indicators - Section D'!$A$1:$A$100,0)),""),"")</f>
        <v/>
      </c>
      <c r="C205" s="395" t="str">
        <f ca="1">IFERROR(IF(INDEX('Coverage Indicators - Section D'!D$1:D$100,MATCH('Print View'!$A205,'Coverage Indicators - Section D'!$A$1:$A$100,0))&lt;&gt;0,INDEX('Coverage Indicators - Section D'!D$1:D$100,MATCH('Print View'!$A205,'Coverage Indicators - Section D'!$A$1:$A$100,0)),""),"")</f>
        <v/>
      </c>
      <c r="D205" s="395" t="str">
        <f ca="1">IFERROR(IF(INDEX('Coverage Indicators - Section D'!E$1:E$100,MATCH('Print View'!$A205,'Coverage Indicators - Section D'!$A$1:$A$100,0))&lt;&gt;0,INDEX('Coverage Indicators - Section D'!E$1:E$100,MATCH('Print View'!$A205,'Coverage Indicators - Section D'!$A$1:$A$100,0)),""),"")</f>
        <v/>
      </c>
      <c r="E205" s="396" t="str">
        <f ca="1">IFERROR(IF(INDEX('Coverage Indicators - Section D'!F$1:F$100,MATCH('Print View'!$A205,'Coverage Indicators - Section D'!$A$1:$A$100,0))&lt;&gt;"",INDEX('Coverage Indicators - Section D'!F$1:F$100,MATCH('Print View'!$A205,'Coverage Indicators - Section D'!$A$1:$A$100,0)),""),"")&amp;"/"&amp;IFERROR(IF(INDEX('Coverage Indicators - Section D'!F$1:F$100,MATCH('Print View'!$A205,'Coverage Indicators - Section D'!$A$1:$A$100,0)+1)&lt;&gt;"",INDEX('Coverage Indicators - Section D'!F$1:F$100,MATCH('Print View'!$A205,'Coverage Indicators - Section D'!$A$1:$A$100,0)+1),""),"")&amp;CHAR(10)&amp;IFERROR(IF(INDEX('Coverage Indicators - Section D'!G$1:G$100,MATCH('Print View'!$A205,'Coverage Indicators - Section D'!$A$1:$A$100,0))&lt;&gt;"",FIXED(INDEX('Coverage Indicators - Section D'!G$1:G$100,MATCH('Print View'!$A205,'Coverage Indicators - Section D'!$A$1:$A$100,0))*100,2)&amp;"%",""),"")</f>
        <v xml:space="preserve">/
</v>
      </c>
      <c r="F205" s="397"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398" t="str">
        <f>IFERROR(IF(INDEX('Coverage Indicators - Section D'!J65:J94,MATCH('Print View'!$A205,'Coverage Indicators - Section D'!$A$9:$A$38,0))&lt;&gt;0,INDEX('Coverage Indicators - Section D'!J65:J94,MATCH('Print View'!$A205,'Coverage Indicators - Section D'!$A$9:$A$38,0)),""),"")</f>
        <v/>
      </c>
      <c r="H205" s="399" t="str">
        <f ca="1">IFERROR(IF(INDEX('Coverage Indicators - Section D'!K$1:K$100,MATCH('Print View'!$A205,'Coverage Indicators - Section D'!$A$1:$A$100,0))&lt;&gt;0,INDEX('Coverage Indicators - Section D'!K$1:K$100,MATCH('Print View'!$A205,'Coverage Indicators - Section D'!$A$1:$A$100,0)),""),"")</f>
        <v/>
      </c>
      <c r="I205" s="398" t="str">
        <f ca="1">IFERROR(IF(AND('Overview - Section A'!AN$5="Grant Making",OR(C205&lt;&gt;"",D205&lt;&gt;"")),Setup!I15,IF(INDEX('Coverage Indicators - Section D'!L$1:L$100,MATCH('Print View'!$A205,'Coverage Indicators - Section D'!$A$1:$A$100,0))&lt;&gt;0,INDEX('Coverage Indicators - Section D'!L$1:L$100,MATCH('Print View'!$A205,'Coverage Indicators - Section D'!$A$1:$A$100,0)),"")),"")</f>
        <v/>
      </c>
      <c r="J205" s="396"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396" t="str">
        <f ca="1">IFERROR(IF(INDEX('Coverage Indicators - Section D'!N$1:N$100,MATCH('Print View'!$A205,'Coverage Indicators - Section D'!$A$1:$A$100,0))&lt;&gt;0,INDEX('Coverage Indicators - Section D'!N$1:N$100,MATCH('Print View'!$A205,'Coverage Indicators - Section D'!$A$1:$A$100,0)),""),"")</f>
        <v/>
      </c>
      <c r="L205" s="396" t="str">
        <f ca="1">IFERROR(IF(INDEX('Coverage Indicators - Section D'!O$1:O$100,MATCH('Print View'!$A205,'Coverage Indicators - Section D'!$A$1:$A$100,0))&lt;&gt;"",INDEX('Coverage Indicators - Section D'!O$1:O$100,MATCH('Print View'!$A205,'Coverage Indicators - Section D'!$A$1:$A$100,0)),""),"")&amp;"/"&amp;IFERROR(IF(INDEX('Coverage Indicators - Section D'!O$1:O$100,MATCH('Print View'!$A205,'Coverage Indicators - Section D'!$A$1:$A$100,0)+1)&lt;&gt;"",INDEX('Coverage Indicators - Section D'!O$1:O$100,MATCH('Print View'!$A205,'Coverage Indicators - Section D'!$A$1:$A$100,0)+1),""),"")&amp;CHAR(10)&amp;IFERROR(IF(INDEX('Coverage Indicators - Section D'!P$1:P$100,MATCH('Print View'!$A205,'Coverage Indicators - Section D'!$A$1:$A$100,0))&lt;&gt;"",FIXED(INDEX('Coverage Indicators - Section D'!P$1:P$100,MATCH('Print View'!$A205,'Coverage Indicators - Section D'!$A$1:$A$100,0))*100,2)&amp;"%",""),"")&amp;CHAR(10)&amp;IFERROR(IF(INDEX('Coverage Indicators - Section D'!Q$1:Q$100,MATCH('Print View'!$A205,'Coverage Indicators - Section D'!$A$1:$A$100,0))&lt;&gt;"",INDEX('Coverage Indicators - Section D'!Q$1:Q$100,MATCH('Print View'!$A205,'Coverage Indicators - Section D'!$A$1:$A$100,0)),""),"")</f>
        <v xml:space="preserve">/
</v>
      </c>
      <c r="M205" s="397" t="str">
        <f ca="1">IFERROR(IF(INDEX('Coverage Indicators - Section D'!R$1:R$100,MATCH('Print View'!$A205,'Coverage Indicators - Section D'!$A$1:$A$100,0))&lt;&gt;"",INDEX('Coverage Indicators - Section D'!R$1:R$100,MATCH('Print View'!$A205,'Coverage Indicators - Section D'!$A$1:$A$100,0)),""),"")&amp;"/"&amp;IFERROR(IF(INDEX('Coverage Indicators - Section D'!R$1:R$100,MATCH('Print View'!$A205,'Coverage Indicators - Section D'!$A$1:$A$100,0)+1)&lt;&gt;"",INDEX('Coverage Indicators - Section D'!R$1:R$100,MATCH('Print View'!$A205,'Coverage Indicators - Section D'!$A$1:$A$100,0)+1),""),"")&amp;CHAR(10)&amp;IFERROR(IF(INDEX('Coverage Indicators - Section D'!S$1:S$100,MATCH('Print View'!$A205,'Coverage Indicators - Section D'!$A$1:$A$100,0))&lt;&gt;"",FIXED(INDEX('Coverage Indicators - Section D'!S$1:S$100,MATCH('Print View'!$A205,'Coverage Indicators - Section D'!$A$1:$A$100,0))*100,2)&amp;"%",""),"")&amp;CHAR(10)&amp;IFERROR(IF(INDEX('Coverage Indicators - Section D'!T$1:T$100,MATCH('Print View'!$A205,'Coverage Indicators - Section D'!$A$1:$A$100,0))&lt;&gt;"",INDEX('Coverage Indicators - Section D'!T$1:T$100,MATCH('Print View'!$A205,'Coverage Indicators - Section D'!$A$1:$A$100,0)),""),"")</f>
        <v xml:space="preserve">/
</v>
      </c>
      <c r="N205" s="396" t="str">
        <f ca="1">IFERROR(IF(INDEX('Coverage Indicators - Section D'!U$1:U$100,MATCH('Print View'!$A205,'Coverage Indicators - Section D'!$A$1:$A$100,0))&lt;&gt;"",INDEX('Coverage Indicators - Section D'!U$1:U$100,MATCH('Print View'!$A205,'Coverage Indicators - Section D'!$A$1:$A$100,0)),""),"")&amp;"/"&amp;IFERROR(IF(INDEX('Coverage Indicators - Section D'!U$1:U$100,MATCH('Print View'!$A205,'Coverage Indicators - Section D'!$A$1:$A$100,0)+1)&lt;&gt;"",INDEX('Coverage Indicators - Section D'!U$1:U$100,MATCH('Print View'!$A205,'Coverage Indicators - Section D'!$A$1:$A$100,0)+1),""),"")&amp;CHAR(10)&amp;IFERROR(IF(INDEX('Coverage Indicators - Section D'!V$1:V$100,MATCH('Print View'!$A205,'Coverage Indicators - Section D'!$A$1:$A$100,0))&lt;&gt;"",FIXED(INDEX('Coverage Indicators - Section D'!V$1:V$100,MATCH('Print View'!$A205,'Coverage Indicators - Section D'!$A$1:$A$100,0))*100,2)&amp;"%",""),"")&amp;CHAR(10)&amp;IFERROR(IF(INDEX('Coverage Indicators - Section D'!W$1:W$100,MATCH('Print View'!$A205,'Coverage Indicators - Section D'!$A$1:$A$100,0))&lt;&gt;"",INDEX('Coverage Indicators - Section D'!W$1:W$100,MATCH('Print View'!$A205,'Coverage Indicators - Section D'!$A$1:$A$100,0)),""),"")</f>
        <v xml:space="preserve">/
</v>
      </c>
      <c r="O205" s="397" t="str">
        <f ca="1">IFERROR(IF(INDEX('Coverage Indicators - Section D'!X$1:X$100,MATCH('Print View'!$A205,'Coverage Indicators - Section D'!$A$1:$A$100,0))&lt;&gt;"",INDEX('Coverage Indicators - Section D'!X$1:X$100,MATCH('Print View'!$A205,'Coverage Indicators - Section D'!$A$1:$A$100,0)),""),"")&amp;"/"&amp;IFERROR(IF(INDEX('Coverage Indicators - Section D'!X$1:X$100,MATCH('Print View'!$A205,'Coverage Indicators - Section D'!$A$1:$A$100,0)+1)&lt;&gt;"",INDEX('Coverage Indicators - Section D'!X$1:X$100,MATCH('Print View'!$A205,'Coverage Indicators - Section D'!$A$1:$A$100,0)+1),""),"")&amp;CHAR(10)&amp;IFERROR(IF(INDEX('Coverage Indicators - Section D'!Y$1:Y$100,MATCH('Print View'!$A205,'Coverage Indicators - Section D'!$A$1:$A$100,0))&lt;&gt;"",FIXED(INDEX('Coverage Indicators - Section D'!Y$1:Y$100,MATCH('Print View'!$A205,'Coverage Indicators - Section D'!$A$1:$A$100,0))*100,2)&amp;"%",""),"")&amp;CHAR(10)&amp;IFERROR(IF(INDEX('Coverage Indicators - Section D'!Z$1:Z$100,MATCH('Print View'!$A205,'Coverage Indicators - Section D'!$A$1:$A$100,0))&lt;&gt;"",INDEX('Coverage Indicators - Section D'!Z$1:Z$100,MATCH('Print View'!$A205,'Coverage Indicators - Section D'!$A$1:$A$100,0)),""),"")</f>
        <v xml:space="preserve">/
</v>
      </c>
      <c r="P205" s="397" t="str">
        <f ca="1">IFERROR(IF(INDEX('Coverage Indicators - Section D'!AA$1:AA$100,MATCH('Print View'!$A205,'Coverage Indicators - Section D'!$A$1:$A$100,0))&lt;&gt;"",INDEX('Coverage Indicators - Section D'!AA$1:AA$100,MATCH('Print View'!$A205,'Coverage Indicators - Section D'!$A$1:$A$100,0)),""),"")&amp;"/"&amp;IFERROR(IF(INDEX('Coverage Indicators - Section D'!AA$1:AA$100,MATCH('Print View'!$A205,'Coverage Indicators - Section D'!$A$1:$A$100,0)+1)&lt;&gt;"",INDEX('Coverage Indicators - Section D'!AA$1:AA$100,MATCH('Print View'!$A205,'Coverage Indicators - Section D'!$A$1:$A$100,0)+1),""),"")&amp;CHAR(10)&amp;IFERROR(IF(INDEX('Coverage Indicators - Section D'!AB$1:AB$100,MATCH('Print View'!$A205,'Coverage Indicators - Section D'!$A$1:$A$100,0))&lt;&gt;"",FIXED(INDEX('Coverage Indicators - Section D'!AB$1:AB$100,MATCH('Print View'!$A205,'Coverage Indicators - Section D'!$A$1:$A$100,0))*100,2)&amp;"%",""),"")&amp;CHAR(10)&amp;IFERROR(IF(INDEX('Coverage Indicators - Section D'!AC$1:AC$100,MATCH('Print View'!$A205,'Coverage Indicators - Section D'!$A$1:$A$100,0))&lt;&gt;"",INDEX('Coverage Indicators - Section D'!AC$1:AC$100,MATCH('Print View'!$A205,'Coverage Indicators - Section D'!$A$1:$A$100,0)),""),"")</f>
        <v xml:space="preserve">/
</v>
      </c>
      <c r="Q205" s="397" t="str">
        <f ca="1">IFERROR(IF(INDEX('Coverage Indicators - Section D'!AD$1:AD$100,MATCH('Print View'!$A205,'Coverage Indicators - Section D'!$A$1:$A$100,0))&lt;&gt;"",INDEX('Coverage Indicators - Section D'!AD$1:AD$100,MATCH('Print View'!$A205,'Coverage Indicators - Section D'!$A$1:$A$100,0)),""),"")&amp;"/"&amp;IFERROR(IF(INDEX('Coverage Indicators - Section D'!AD$1:AD$100,MATCH('Print View'!$A205,'Coverage Indicators - Section D'!$A$1:$A$100,0)+1)&lt;&gt;"",INDEX('Coverage Indicators - Section D'!AD$1:AD$100,MATCH('Print View'!$A205,'Coverage Indicators - Section D'!$A$1:$A$100,0)+1),""),"")&amp;CHAR(10)&amp;IFERROR(IF(INDEX('Coverage Indicators - Section D'!AE$1:AE$100,MATCH('Print View'!$A205,'Coverage Indicators - Section D'!$A$1:$A$100,0))&lt;&gt;"",FIXED(INDEX('Coverage Indicators - Section D'!AE$1:AE$100,MATCH('Print View'!$A205,'Coverage Indicators - Section D'!$A$1:$A$100,0))*100,2)&amp;"%",""),"")&amp;CHAR(10)&amp;IFERROR(IF(INDEX('Coverage Indicators - Section D'!AF$1:AF$100,MATCH('Print View'!$A205,'Coverage Indicators - Section D'!$A$1:$A$100,0))&lt;&gt;"",INDEX('Coverage Indicators - Section D'!AF$1:AF$100,MATCH('Print View'!$A205,'Coverage Indicators - Section D'!$A$1:$A$100,0)),""),"")</f>
        <v xml:space="preserve">/
</v>
      </c>
      <c r="R205" s="397" t="str">
        <f ca="1">IFERROR(IF(INDEX('Coverage Indicators - Section D'!AG$1:AG$100,MATCH('Print View'!$A205,'Coverage Indicators - Section D'!$A$1:$A$100,0))&lt;&gt;"",INDEX('Coverage Indicators - Section D'!AG$1:AG$100,MATCH('Print View'!$A205,'Coverage Indicators - Section D'!$A$1:$A$100,0)),""),"")&amp;"/"&amp;IFERROR(IF(INDEX('Coverage Indicators - Section D'!AG$1:AG$100,MATCH('Print View'!$A205,'Coverage Indicators - Section D'!$A$1:$A$100,0)+1)&lt;&gt;"",INDEX('Coverage Indicators - Section D'!AG$1:AG$100,MATCH('Print View'!$A205,'Coverage Indicators - Section D'!$A$1:$A$100,0)+1),""),"")&amp;CHAR(10)&amp;IFERROR(IF(INDEX('Coverage Indicators - Section D'!AH$1:AH$100,MATCH('Print View'!$A205,'Coverage Indicators - Section D'!$A$1:$A$100,0))&lt;&gt;"",FIXED(INDEX('Coverage Indicators - Section D'!AH$1:AH$100,MATCH('Print View'!$A205,'Coverage Indicators - Section D'!$A$1:$A$100,0))*100,2)&amp;"%",""),"")&amp;CHAR(10)&amp;IFERROR(IF(INDEX('Coverage Indicators - Section D'!AI$1:AI$100,MATCH('Print View'!$A205,'Coverage Indicators - Section D'!$A$1:$A$100,0))&lt;&gt;"",INDEX('Coverage Indicators - Section D'!AI$1:AI$100,MATCH('Print View'!$A205,'Coverage Indicators - Section D'!$A$1:$A$100,0)),""),"")</f>
        <v xml:space="preserve">/
</v>
      </c>
      <c r="S205" s="397" t="str">
        <f ca="1">IFERROR(IF(INDEX('Coverage Indicators - Section D'!AJ$1:AJ$100,MATCH('Print View'!$A205,'Coverage Indicators - Section D'!$A$1:$A$100,0))&lt;&gt;"",INDEX('Coverage Indicators - Section D'!AJ$1:AJ$100,MATCH('Print View'!$A205,'Coverage Indicators - Section D'!$A$1:$A$100,0)),""),"")&amp;"/"&amp;IFERROR(IF(INDEX('Coverage Indicators - Section D'!AJ$1:AJ$100,MATCH('Print View'!$A205,'Coverage Indicators - Section D'!$A$1:$A$100,0)+1)&lt;&gt;"",INDEX('Coverage Indicators - Section D'!AJ$1:AJ$100,MATCH('Print View'!$A205,'Coverage Indicators - Section D'!$A$1:$A$100,0)+1),""),"")&amp;CHAR(10)&amp;IFERROR(IF(INDEX('Coverage Indicators - Section D'!AK$1:AK$100,MATCH('Print View'!$A205,'Coverage Indicators - Section D'!$A$1:$A$100,0))&lt;&gt;"",FIXED(INDEX('Coverage Indicators - Section D'!AK$1:AK$100,MATCH('Print View'!$A205,'Coverage Indicators - Section D'!$A$1:$A$100,0))*100,2)&amp;"%",""),"")&amp;CHAR(10)&amp;IFERROR(IF(INDEX('Coverage Indicators - Section D'!AL$1:AL$100,MATCH('Print View'!$A205,'Coverage Indicators - Section D'!$A$1:$A$100,0))&lt;&gt;"",INDEX('Coverage Indicators - Section D'!AL$1:AL$100,MATCH('Print View'!$A205,'Coverage Indicators - Section D'!$A$1:$A$100,0)),""),"")</f>
        <v xml:space="preserve">/
</v>
      </c>
      <c r="T205" s="310"/>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t="str">
        <f ca="1">IFERROR(IF(INDEX('Coverage Indicators - Section D'!AD$1:AD$110,MATCH('Print View'!$A205,'Coverage Indicators - Section D'!$A$1:$A$110,0))&lt;&gt;0,INDEX('Coverage Indicators - Section D'!AD$1:AD$110,MATCH('Print View'!$A205,'Coverage Indicators - Section D'!$A$1:$A$110,0)),""),"")</f>
        <v/>
      </c>
      <c r="AP205" s="223"/>
      <c r="AQ205" s="223"/>
      <c r="AR205" s="223"/>
      <c r="AS205" s="223"/>
      <c r="AT205" s="803" t="str">
        <f ca="1">CONCATENATE($A205,N$147)</f>
        <v>2931-Dec-24</v>
      </c>
      <c r="AU205" s="802" t="str">
        <f ca="1">CONCATENATE($A205,Q$147)</f>
        <v>2931-Dec-27</v>
      </c>
      <c r="AV205" s="802" t="str">
        <f>CONCATENATE($A205,V$147)</f>
        <v>29</v>
      </c>
      <c r="AW205" s="802" t="str">
        <f>CONCATENATE($A205,Y$147)</f>
        <v>29</v>
      </c>
      <c r="AX205" s="802" t="str">
        <f>CONCATENATE($A205,AB$147)</f>
        <v>29</v>
      </c>
      <c r="AY205" s="802" t="str">
        <f>CONCATENATE($A205,AE$147)</f>
        <v>29</v>
      </c>
      <c r="AZ205" s="802" t="str">
        <f>CONCATENATE($A205,AH$147)</f>
        <v>29</v>
      </c>
      <c r="BA205" s="802" t="str">
        <f>CONCATENATE($A205,AK$147)</f>
        <v>29</v>
      </c>
      <c r="BB205" s="228"/>
      <c r="BC205" s="121"/>
    </row>
    <row r="206" spans="1:55" s="106" customFormat="1" ht="88.4" customHeight="1" x14ac:dyDescent="0.35">
      <c r="A206" s="801"/>
      <c r="B206" s="806" t="str">
        <f ca="1">IFERROR(IF(INDEX('Coverage Indicators - Section D'!AM$1:AM$110,MATCH('Print View'!$A205,'Coverage Indicators - Section D'!$A$1:$A$110,0))&lt;&gt;0,INDEX('Coverage Indicators - Section D'!AM$1:AM$110,MATCH('Print View'!$A205,'Coverage Indicators - Section D'!$A$1:$A$110,0)),""),"")</f>
        <v/>
      </c>
      <c r="C206" s="807"/>
      <c r="D206" s="807"/>
      <c r="E206" s="807"/>
      <c r="F206" s="807"/>
      <c r="G206" s="807"/>
      <c r="H206" s="807"/>
      <c r="I206" s="807"/>
      <c r="J206" s="807"/>
      <c r="K206" s="807"/>
      <c r="L206" s="807"/>
      <c r="M206" s="807"/>
      <c r="N206" s="807"/>
      <c r="O206" s="807"/>
      <c r="P206" s="807"/>
      <c r="Q206" s="807"/>
      <c r="R206" s="807"/>
      <c r="S206" s="808"/>
      <c r="T206" s="312"/>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803"/>
      <c r="AU206" s="802"/>
      <c r="AV206" s="802"/>
      <c r="AW206" s="802"/>
      <c r="AX206" s="802"/>
      <c r="AY206" s="802"/>
      <c r="AZ206" s="802"/>
      <c r="BA206" s="802"/>
      <c r="BB206" s="228"/>
      <c r="BC206" s="121"/>
    </row>
    <row r="207" spans="1:55" s="106" customFormat="1" ht="177" customHeight="1" x14ac:dyDescent="0.35">
      <c r="A207" s="804">
        <v>30</v>
      </c>
      <c r="B207" s="385" t="str">
        <f ca="1">IFERROR(IF(INDEX('Coverage Indicators - Section D'!B$1:B$100,MATCH('Print View'!$A207,'Coverage Indicators - Section D'!$A$1:$A$100,0))&lt;&gt;0,INDEX('Coverage Indicators - Section D'!B$1:B$100,MATCH('Print View'!$A207,'Coverage Indicators - Section D'!$A$1:$A$100,0)),""),"")</f>
        <v/>
      </c>
      <c r="C207" s="385" t="str">
        <f ca="1">IFERROR(IF(INDEX('Coverage Indicators - Section D'!D$1:D$100,MATCH('Print View'!$A207,'Coverage Indicators - Section D'!$A$1:$A$100,0))&lt;&gt;0,INDEX('Coverage Indicators - Section D'!D$1:D$100,MATCH('Print View'!$A207,'Coverage Indicators - Section D'!$A$1:$A$100,0)),""),"")</f>
        <v/>
      </c>
      <c r="D207" s="385" t="str">
        <f ca="1">IFERROR(IF(INDEX('Coverage Indicators - Section D'!E$1:E$100,MATCH('Print View'!$A207,'Coverage Indicators - Section D'!$A$1:$A$100,0))&lt;&gt;0,INDEX('Coverage Indicators - Section D'!E$1:E$100,MATCH('Print View'!$A207,'Coverage Indicators - Section D'!$A$1:$A$100,0)),""),"")</f>
        <v/>
      </c>
      <c r="E207" s="386" t="str">
        <f ca="1">IFERROR(IF(INDEX('Coverage Indicators - Section D'!F$1:F$100,MATCH('Print View'!$A207,'Coverage Indicators - Section D'!$A$1:$A$100,0))&lt;&gt;"",INDEX('Coverage Indicators - Section D'!F$1:F$100,MATCH('Print View'!$A207,'Coverage Indicators - Section D'!$A$1:$A$100,0)),""),"")&amp;"/"&amp;IFERROR(IF(INDEX('Coverage Indicators - Section D'!F$1:F$100,MATCH('Print View'!$A207,'Coverage Indicators - Section D'!$A$1:$A$100,0)+1)&lt;&gt;"",INDEX('Coverage Indicators - Section D'!F$1:F$100,MATCH('Print View'!$A207,'Coverage Indicators - Section D'!$A$1:$A$100,0)+1),""),"")&amp;CHAR(10)&amp;IFERROR(IF(INDEX('Coverage Indicators - Section D'!G$1:G$100,MATCH('Print View'!$A207,'Coverage Indicators - Section D'!$A$1:$A$100,0))&lt;&gt;"",FIXED(INDEX('Coverage Indicators - Section D'!G$1:G$100,MATCH('Print View'!$A207,'Coverage Indicators - Section D'!$A$1:$A$100,0))*100,2)&amp;"%",""),"")</f>
        <v xml:space="preserve">/
</v>
      </c>
      <c r="F207" s="400"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401" t="str">
        <f>IFERROR(IF(INDEX('Coverage Indicators - Section D'!J65:J94,MATCH('Print View'!$A207,'Coverage Indicators - Section D'!$A$9:$A$38,0))&lt;&gt;0,INDEX('Coverage Indicators - Section D'!J65:J94,MATCH('Print View'!$A207,'Coverage Indicators - Section D'!$A$9:$A$38,0)),""),"")</f>
        <v/>
      </c>
      <c r="H207" s="400" t="str">
        <f ca="1">IFERROR(IF(INDEX('Coverage Indicators - Section D'!K$1:K$100,MATCH('Print View'!$A207,'Coverage Indicators - Section D'!$A$1:$A$100,0))&lt;&gt;0,INDEX('Coverage Indicators - Section D'!K$1:K$100,MATCH('Print View'!$A207,'Coverage Indicators - Section D'!$A$1:$A$100,0)),""),"")</f>
        <v/>
      </c>
      <c r="I207" s="401" t="str">
        <f ca="1">IFERROR(IF(AND('Overview - Section A'!AN$5="Grant Making",OR(C207&lt;&gt;"",D207&lt;&gt;"")),Setup!I15,IF(INDEX('Coverage Indicators - Section D'!L$1:L$100,MATCH('Print View'!$A207,'Coverage Indicators - Section D'!$A$1:$A$100,0))&lt;&gt;0,INDEX('Coverage Indicators - Section D'!L$1:L$100,MATCH('Print View'!$A207,'Coverage Indicators - Section D'!$A$1:$A$100,0)),"")),"")</f>
        <v/>
      </c>
      <c r="J207" s="400"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400" t="str">
        <f ca="1">IFERROR(IF(INDEX('Coverage Indicators - Section D'!N$1:N$100,MATCH('Print View'!$A207,'Coverage Indicators - Section D'!$A$1:$A$100,0))&lt;&gt;0,INDEX('Coverage Indicators - Section D'!N$1:N$100,MATCH('Print View'!$A207,'Coverage Indicators - Section D'!$A$1:$A$100,0)),""),"")</f>
        <v/>
      </c>
      <c r="L207" s="402" t="str">
        <f ca="1">IFERROR(IF(INDEX('Coverage Indicators - Section D'!O$1:O$100,MATCH('Print View'!$A207,'Coverage Indicators - Section D'!$A$1:$A$100,0))&lt;&gt;"",INDEX('Coverage Indicators - Section D'!O$1:O$100,MATCH('Print View'!$A207,'Coverage Indicators - Section D'!$A$1:$A$100,0)),""),"")&amp;"/"&amp;IFERROR(IF(INDEX('Coverage Indicators - Section D'!O$1:O$100,MATCH('Print View'!$A207,'Coverage Indicators - Section D'!$A$1:$A$100,0)+1)&lt;&gt;"",INDEX('Coverage Indicators - Section D'!O$1:O$100,MATCH('Print View'!$A207,'Coverage Indicators - Section D'!$A$1:$A$100,0)+1),""),"")&amp;CHAR(10)&amp;IFERROR(IF(INDEX('Coverage Indicators - Section D'!P$1:P$100,MATCH('Print View'!$A207,'Coverage Indicators - Section D'!$A$1:$A$100,0))&lt;&gt;"",FIXED(INDEX('Coverage Indicators - Section D'!P$1:P$100,MATCH('Print View'!$A207,'Coverage Indicators - Section D'!$A$1:$A$100,0))*100,2)&amp;"%",""),"")&amp;CHAR(10)&amp;IFERROR(IF(INDEX('Coverage Indicators - Section D'!Q$1:Q$100,MATCH('Print View'!$A207,'Coverage Indicators - Section D'!$A$1:$A$100,0))&lt;&gt;"",INDEX('Coverage Indicators - Section D'!Q$1:Q$100,MATCH('Print View'!$A207,'Coverage Indicators - Section D'!$A$1:$A$100,0)),""),"")</f>
        <v xml:space="preserve">/
</v>
      </c>
      <c r="M207" s="402" t="str">
        <f ca="1">IFERROR(IF(INDEX('Coverage Indicators - Section D'!R$1:R$100,MATCH('Print View'!$A207,'Coverage Indicators - Section D'!$A$1:$A$100,0))&lt;&gt;"",INDEX('Coverage Indicators - Section D'!R$1:R$100,MATCH('Print View'!$A207,'Coverage Indicators - Section D'!$A$1:$A$100,0)),""),"")&amp;"/"&amp;IFERROR(IF(INDEX('Coverage Indicators - Section D'!R$1:R$100,MATCH('Print View'!$A207,'Coverage Indicators - Section D'!$A$1:$A$100,0)+1)&lt;&gt;"",INDEX('Coverage Indicators - Section D'!R$1:R$100,MATCH('Print View'!$A207,'Coverage Indicators - Section D'!$A$1:$A$100,0)+1),""),"")&amp;CHAR(10)&amp;IFERROR(IF(INDEX('Coverage Indicators - Section D'!S$1:S$100,MATCH('Print View'!$A207,'Coverage Indicators - Section D'!$A$1:$A$100,0))&lt;&gt;"",FIXED(INDEX('Coverage Indicators - Section D'!S$1:S$100,MATCH('Print View'!$A207,'Coverage Indicators - Section D'!$A$1:$A$100,0))*100,2)&amp;"%",""),"")&amp;CHAR(10)&amp;IFERROR(IF(INDEX('Coverage Indicators - Section D'!T$1:T$100,MATCH('Print View'!$A207,'Coverage Indicators - Section D'!$A$1:$A$100,0))&lt;&gt;"",INDEX('Coverage Indicators - Section D'!T$1:T$100,MATCH('Print View'!$A207,'Coverage Indicators - Section D'!$A$1:$A$100,0)),""),"")</f>
        <v xml:space="preserve">/
</v>
      </c>
      <c r="N207" s="402" t="str">
        <f ca="1">IFERROR(IF(INDEX('Coverage Indicators - Section D'!U$1:U$100,MATCH('Print View'!$A207,'Coverage Indicators - Section D'!$A$1:$A$100,0))&lt;&gt;"",INDEX('Coverage Indicators - Section D'!U$1:U$100,MATCH('Print View'!$A207,'Coverage Indicators - Section D'!$A$1:$A$100,0)),""),"")&amp;"/"&amp;IFERROR(IF(INDEX('Coverage Indicators - Section D'!U$1:U$100,MATCH('Print View'!$A207,'Coverage Indicators - Section D'!$A$1:$A$100,0)+1)&lt;&gt;"",INDEX('Coverage Indicators - Section D'!U$1:U$100,MATCH('Print View'!$A207,'Coverage Indicators - Section D'!$A$1:$A$100,0)+1),""),"")&amp;CHAR(10)&amp;IFERROR(IF(INDEX('Coverage Indicators - Section D'!V$1:V$100,MATCH('Print View'!$A207,'Coverage Indicators - Section D'!$A$1:$A$100,0))&lt;&gt;"",FIXED(INDEX('Coverage Indicators - Section D'!V$1:V$100,MATCH('Print View'!$A207,'Coverage Indicators - Section D'!$A$1:$A$100,0))*100,2)&amp;"%",""),"")&amp;CHAR(10)&amp;IFERROR(IF(INDEX('Coverage Indicators - Section D'!W$1:W$100,MATCH('Print View'!$A207,'Coverage Indicators - Section D'!$A$1:$A$100,0))&lt;&gt;"",INDEX('Coverage Indicators - Section D'!W$1:W$100,MATCH('Print View'!$A207,'Coverage Indicators - Section D'!$A$1:$A$100,0)),""),"")</f>
        <v xml:space="preserve">/
</v>
      </c>
      <c r="O207" s="402" t="str">
        <f ca="1">IFERROR(IF(INDEX('Coverage Indicators - Section D'!X$1:X$100,MATCH('Print View'!$A207,'Coverage Indicators - Section D'!$A$1:$A$100,0))&lt;&gt;"",INDEX('Coverage Indicators - Section D'!X$1:X$100,MATCH('Print View'!$A207,'Coverage Indicators - Section D'!$A$1:$A$100,0)),""),"")&amp;"/"&amp;IFERROR(IF(INDEX('Coverage Indicators - Section D'!X$1:X$100,MATCH('Print View'!$A207,'Coverage Indicators - Section D'!$A$1:$A$100,0)+1)&lt;&gt;"",INDEX('Coverage Indicators - Section D'!X$1:X$100,MATCH('Print View'!$A207,'Coverage Indicators - Section D'!$A$1:$A$100,0)+1),""),"")&amp;CHAR(10)&amp;IFERROR(IF(INDEX('Coverage Indicators - Section D'!Y$1:Y$100,MATCH('Print View'!$A207,'Coverage Indicators - Section D'!$A$1:$A$100,0))&lt;&gt;"",FIXED(INDEX('Coverage Indicators - Section D'!Y$1:Y$100,MATCH('Print View'!$A207,'Coverage Indicators - Section D'!$A$1:$A$100,0))*100,2)&amp;"%",""),"")&amp;CHAR(10)&amp;IFERROR(IF(INDEX('Coverage Indicators - Section D'!Z$1:Z$100,MATCH('Print View'!$A207,'Coverage Indicators - Section D'!$A$1:$A$100,0))&lt;&gt;"",INDEX('Coverage Indicators - Section D'!Z$1:Z$100,MATCH('Print View'!$A207,'Coverage Indicators - Section D'!$A$1:$A$100,0)),""),"")</f>
        <v xml:space="preserve">/
</v>
      </c>
      <c r="P207" s="402" t="str">
        <f ca="1">IFERROR(IF(INDEX('Coverage Indicators - Section D'!AA$1:AA$100,MATCH('Print View'!$A207,'Coverage Indicators - Section D'!$A$1:$A$100,0))&lt;&gt;"",INDEX('Coverage Indicators - Section D'!AA$1:AA$100,MATCH('Print View'!$A207,'Coverage Indicators - Section D'!$A$1:$A$100,0)),""),"")&amp;"/"&amp;IFERROR(IF(INDEX('Coverage Indicators - Section D'!AA$1:AA$100,MATCH('Print View'!$A207,'Coverage Indicators - Section D'!$A$1:$A$100,0)+1)&lt;&gt;"",INDEX('Coverage Indicators - Section D'!AA$1:AA$100,MATCH('Print View'!$A207,'Coverage Indicators - Section D'!$A$1:$A$100,0)+1),""),"")&amp;CHAR(10)&amp;IFERROR(IF(INDEX('Coverage Indicators - Section D'!AB$1:AB$100,MATCH('Print View'!$A207,'Coverage Indicators - Section D'!$A$1:$A$100,0))&lt;&gt;"",FIXED(INDEX('Coverage Indicators - Section D'!AB$1:AB$100,MATCH('Print View'!$A207,'Coverage Indicators - Section D'!$A$1:$A$100,0))*100,2)&amp;"%",""),"")&amp;CHAR(10)&amp;IFERROR(IF(INDEX('Coverage Indicators - Section D'!AC$1:AC$100,MATCH('Print View'!$A207,'Coverage Indicators - Section D'!$A$1:$A$100,0))&lt;&gt;"",INDEX('Coverage Indicators - Section D'!AC$1:AC$100,MATCH('Print View'!$A207,'Coverage Indicators - Section D'!$A$1:$A$100,0)),""),"")</f>
        <v xml:space="preserve">/
</v>
      </c>
      <c r="Q207" s="402" t="str">
        <f ca="1">IFERROR(IF(INDEX('Coverage Indicators - Section D'!AD$1:AD$100,MATCH('Print View'!$A207,'Coverage Indicators - Section D'!$A$1:$A$100,0))&lt;&gt;"",INDEX('Coverage Indicators - Section D'!AD$1:AD$100,MATCH('Print View'!$A207,'Coverage Indicators - Section D'!$A$1:$A$100,0)),""),"")&amp;"/"&amp;IFERROR(IF(INDEX('Coverage Indicators - Section D'!AD$1:AD$100,MATCH('Print View'!$A207,'Coverage Indicators - Section D'!$A$1:$A$100,0)+1)&lt;&gt;"",INDEX('Coverage Indicators - Section D'!AD$1:AD$100,MATCH('Print View'!$A207,'Coverage Indicators - Section D'!$A$1:$A$100,0)+1),""),"")&amp;CHAR(10)&amp;IFERROR(IF(INDEX('Coverage Indicators - Section D'!AE$1:AE$100,MATCH('Print View'!$A207,'Coverage Indicators - Section D'!$A$1:$A$100,0))&lt;&gt;"",FIXED(INDEX('Coverage Indicators - Section D'!AE$1:AE$100,MATCH('Print View'!$A207,'Coverage Indicators - Section D'!$A$1:$A$100,0))*100,2)&amp;"%",""),"")&amp;CHAR(10)&amp;IFERROR(IF(INDEX('Coverage Indicators - Section D'!AF$1:AF$100,MATCH('Print View'!$A207,'Coverage Indicators - Section D'!$A$1:$A$100,0))&lt;&gt;"",INDEX('Coverage Indicators - Section D'!AF$1:AF$100,MATCH('Print View'!$A207,'Coverage Indicators - Section D'!$A$1:$A$100,0)),""),"")</f>
        <v xml:space="preserve">/
</v>
      </c>
      <c r="R207" s="402" t="str">
        <f ca="1">IFERROR(IF(INDEX('Coverage Indicators - Section D'!AG$1:AG$100,MATCH('Print View'!$A207,'Coverage Indicators - Section D'!$A$1:$A$100,0))&lt;&gt;"",INDEX('Coverage Indicators - Section D'!AG$1:AG$100,MATCH('Print View'!$A207,'Coverage Indicators - Section D'!$A$1:$A$100,0)),""),"")&amp;"/"&amp;IFERROR(IF(INDEX('Coverage Indicators - Section D'!AG$1:AG$100,MATCH('Print View'!$A207,'Coverage Indicators - Section D'!$A$1:$A$100,0)+1)&lt;&gt;"",INDEX('Coverage Indicators - Section D'!AG$1:AG$100,MATCH('Print View'!$A207,'Coverage Indicators - Section D'!$A$1:$A$100,0)+1),""),"")&amp;CHAR(10)&amp;IFERROR(IF(INDEX('Coverage Indicators - Section D'!AH$1:AH$100,MATCH('Print View'!$A207,'Coverage Indicators - Section D'!$A$1:$A$100,0))&lt;&gt;"",FIXED(INDEX('Coverage Indicators - Section D'!AH$1:AH$100,MATCH('Print View'!$A207,'Coverage Indicators - Section D'!$A$1:$A$100,0))*100,2)&amp;"%",""),"")&amp;CHAR(10)&amp;IFERROR(IF(INDEX('Coverage Indicators - Section D'!AI$1:AI$100,MATCH('Print View'!$A207,'Coverage Indicators - Section D'!$A$1:$A$100,0))&lt;&gt;"",INDEX('Coverage Indicators - Section D'!AI$1:AI$100,MATCH('Print View'!$A207,'Coverage Indicators - Section D'!$A$1:$A$100,0)),""),"")</f>
        <v xml:space="preserve">/
</v>
      </c>
      <c r="S207" s="402" t="str">
        <f ca="1">IFERROR(IF(INDEX('Coverage Indicators - Section D'!AJ$1:AJ$100,MATCH('Print View'!$A207,'Coverage Indicators - Section D'!$A$1:$A$100,0))&lt;&gt;"",INDEX('Coverage Indicators - Section D'!AJ$1:AJ$100,MATCH('Print View'!$A207,'Coverage Indicators - Section D'!$A$1:$A$100,0)),""),"")&amp;"/"&amp;IFERROR(IF(INDEX('Coverage Indicators - Section D'!AJ$1:AJ$100,MATCH('Print View'!$A207,'Coverage Indicators - Section D'!$A$1:$A$100,0)+1)&lt;&gt;"",INDEX('Coverage Indicators - Section D'!AJ$1:AJ$100,MATCH('Print View'!$A207,'Coverage Indicators - Section D'!$A$1:$A$100,0)+1),""),"")&amp;CHAR(10)&amp;IFERROR(IF(INDEX('Coverage Indicators - Section D'!AK$1:AK$100,MATCH('Print View'!$A207,'Coverage Indicators - Section D'!$A$1:$A$100,0))&lt;&gt;"",FIXED(INDEX('Coverage Indicators - Section D'!AK$1:AK$100,MATCH('Print View'!$A207,'Coverage Indicators - Section D'!$A$1:$A$100,0))*100,2)&amp;"%",""),"")&amp;CHAR(10)&amp;IFERROR(IF(INDEX('Coverage Indicators - Section D'!AL$1:AL$100,MATCH('Print View'!$A207,'Coverage Indicators - Section D'!$A$1:$A$100,0))&lt;&gt;"",INDEX('Coverage Indicators - Section D'!AL$1:AL$100,MATCH('Print View'!$A207,'Coverage Indicators - Section D'!$A$1:$A$100,0)),""),"")</f>
        <v xml:space="preserve">/
</v>
      </c>
      <c r="T207" s="31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t="str">
        <f ca="1">IFERROR(IF(INDEX('Coverage Indicators - Section D'!AD$1:AD$110,MATCH('Print View'!$A207,'Coverage Indicators - Section D'!$A$1:$A$110,0))&lt;&gt;0,INDEX('Coverage Indicators - Section D'!AD$1:AD$110,MATCH('Print View'!$A207,'Coverage Indicators - Section D'!$A$1:$A$110,0)),""),"")</f>
        <v/>
      </c>
      <c r="AP207" s="223"/>
      <c r="AQ207" s="223"/>
      <c r="AR207" s="223"/>
      <c r="AS207" s="223"/>
      <c r="AT207" s="803"/>
      <c r="AU207" s="802" t="str">
        <f ca="1">CONCATENATE($A207,Q$147)</f>
        <v>3031-Dec-27</v>
      </c>
      <c r="AV207" s="802" t="str">
        <f>CONCATENATE($A207,V$147)</f>
        <v>30</v>
      </c>
      <c r="AW207" s="802" t="str">
        <f>CONCATENATE($A207,Y$147)</f>
        <v>30</v>
      </c>
      <c r="AX207" s="802" t="str">
        <f>CONCATENATE($A207,AB$147)</f>
        <v>30</v>
      </c>
      <c r="AY207" s="802" t="str">
        <f>CONCATENATE($A207,AE$147)</f>
        <v>30</v>
      </c>
      <c r="AZ207" s="802" t="str">
        <f>CONCATENATE($A207,AH$147)</f>
        <v>30</v>
      </c>
      <c r="BA207" s="802" t="str">
        <f>CONCATENATE($A207,AK$147)</f>
        <v>30</v>
      </c>
      <c r="BB207" s="228"/>
      <c r="BC207" s="121"/>
    </row>
    <row r="208" spans="1:55" ht="88.4" customHeight="1" thickBot="1" x14ac:dyDescent="0.4">
      <c r="A208" s="805"/>
      <c r="B208" s="809" t="str">
        <f ca="1">IFERROR(IF(INDEX('Coverage Indicators - Section D'!AM$1:AM$110,MATCH('Print View'!$A207,'Coverage Indicators - Section D'!$A$1:$A$110,0))&lt;&gt;0,INDEX('Coverage Indicators - Section D'!AM$1:AM$110,MATCH('Print View'!$A207,'Coverage Indicators - Section D'!$A$1:$A$110,0)),""),"")</f>
        <v/>
      </c>
      <c r="C208" s="810"/>
      <c r="D208" s="810"/>
      <c r="E208" s="810"/>
      <c r="F208" s="810"/>
      <c r="G208" s="810"/>
      <c r="H208" s="810"/>
      <c r="I208" s="811"/>
      <c r="J208" s="811"/>
      <c r="K208" s="811"/>
      <c r="L208" s="811"/>
      <c r="M208" s="811"/>
      <c r="N208" s="811"/>
      <c r="O208" s="811"/>
      <c r="P208" s="811"/>
      <c r="Q208" s="811"/>
      <c r="R208" s="811"/>
      <c r="S208" s="812"/>
      <c r="T208" s="314"/>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803"/>
      <c r="AU208" s="802"/>
      <c r="AV208" s="802"/>
      <c r="AW208" s="802"/>
      <c r="AX208" s="802"/>
      <c r="AY208" s="802"/>
      <c r="AZ208" s="802"/>
      <c r="BA208" s="802"/>
      <c r="BB208" s="204"/>
    </row>
    <row r="209" spans="1:86" s="107" customFormat="1" x14ac:dyDescent="0.35">
      <c r="A209" s="232"/>
      <c r="B209" s="108"/>
      <c r="C209" s="232"/>
      <c r="D209" s="232"/>
      <c r="E209" s="232"/>
      <c r="F209" s="232"/>
      <c r="G209" s="232"/>
      <c r="H209" s="232"/>
      <c r="I209" s="232"/>
      <c r="J209" s="232"/>
      <c r="K209" s="232"/>
      <c r="L209" s="232"/>
      <c r="M209" s="232"/>
      <c r="N209" s="232"/>
      <c r="O209" s="232"/>
      <c r="P209" s="232"/>
      <c r="Q209" s="232"/>
      <c r="R209" s="232"/>
      <c r="S209" s="232"/>
      <c r="T209" s="232"/>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4"/>
      <c r="AU209" s="3"/>
      <c r="AV209" s="3"/>
      <c r="AW209" s="3"/>
      <c r="AX209" s="3"/>
      <c r="AY209" s="3"/>
      <c r="AZ209" s="3"/>
      <c r="BA209" s="3"/>
      <c r="BB209" s="3"/>
      <c r="BC209" s="7"/>
    </row>
    <row r="210" spans="1:86" s="107" customFormat="1" x14ac:dyDescent="0.35">
      <c r="A210" s="232"/>
      <c r="B210" s="232"/>
      <c r="C210" s="232"/>
      <c r="D210" s="232"/>
      <c r="E210" s="232"/>
      <c r="F210" s="232"/>
      <c r="G210" s="232"/>
      <c r="H210" s="232"/>
      <c r="I210" s="232"/>
      <c r="J210" s="232"/>
      <c r="K210" s="232"/>
      <c r="L210" s="232"/>
      <c r="M210" s="232"/>
      <c r="N210" s="232"/>
      <c r="O210" s="232"/>
      <c r="P210" s="232"/>
      <c r="Q210" s="232"/>
      <c r="R210" s="232"/>
      <c r="S210" s="232"/>
      <c r="T210" s="232"/>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4"/>
      <c r="AU210" s="3"/>
      <c r="AV210" s="3"/>
      <c r="AW210" s="3"/>
      <c r="AX210" s="3"/>
      <c r="AY210" s="3"/>
      <c r="AZ210" s="3"/>
      <c r="BA210" s="3"/>
      <c r="BB210" s="3"/>
      <c r="BC210" s="7"/>
    </row>
    <row r="211" spans="1:86" s="107" customFormat="1" x14ac:dyDescent="0.35">
      <c r="A211" s="232"/>
      <c r="B211" s="232"/>
      <c r="C211" s="232"/>
      <c r="D211" s="232"/>
      <c r="E211" s="232"/>
      <c r="F211" s="232"/>
      <c r="G211" s="232"/>
      <c r="H211" s="232"/>
      <c r="I211" s="232"/>
      <c r="J211" s="232"/>
      <c r="K211" s="232"/>
      <c r="L211" s="232"/>
      <c r="M211" s="232"/>
      <c r="N211" s="232"/>
      <c r="O211" s="232"/>
      <c r="P211" s="232"/>
      <c r="Q211" s="232"/>
      <c r="R211" s="232"/>
      <c r="S211" s="232"/>
      <c r="T211" s="232"/>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4"/>
      <c r="AU211" s="3"/>
      <c r="AV211" s="3"/>
      <c r="AW211" s="3"/>
      <c r="AX211" s="3"/>
      <c r="AY211" s="3"/>
      <c r="AZ211" s="3"/>
      <c r="BA211" s="3"/>
      <c r="BB211" s="3"/>
      <c r="BC211" s="7"/>
    </row>
    <row r="212" spans="1:86" s="107" customFormat="1" x14ac:dyDescent="0.35">
      <c r="A212" s="232"/>
      <c r="B212" s="108"/>
      <c r="C212" s="232"/>
      <c r="D212" s="232"/>
      <c r="E212" s="232"/>
      <c r="F212" s="232"/>
      <c r="G212" s="232"/>
      <c r="H212" s="232"/>
      <c r="I212" s="232"/>
      <c r="J212" s="232"/>
      <c r="K212" s="232"/>
      <c r="L212" s="232"/>
      <c r="M212" s="232"/>
      <c r="N212" s="232"/>
      <c r="O212" s="232"/>
      <c r="P212" s="232"/>
      <c r="Q212" s="232"/>
      <c r="R212" s="232"/>
      <c r="S212" s="232"/>
      <c r="T212" s="232"/>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4"/>
      <c r="AU212" s="3"/>
      <c r="AV212" s="3"/>
      <c r="AW212" s="3"/>
      <c r="AX212" s="3"/>
      <c r="AY212" s="3"/>
      <c r="AZ212" s="3"/>
      <c r="BA212" s="3"/>
      <c r="BB212" s="3"/>
      <c r="BC212" s="7"/>
    </row>
    <row r="213" spans="1:86" s="107" customFormat="1" ht="45.75" customHeight="1" x14ac:dyDescent="0.35">
      <c r="A213" s="830" t="str">
        <f ca="1">Translations!A98</f>
        <v>Medidas de seguimiento al plan de trabajo</v>
      </c>
      <c r="B213" s="831"/>
      <c r="C213" s="831"/>
      <c r="D213" s="831"/>
      <c r="E213" s="831"/>
      <c r="F213" s="831"/>
      <c r="G213" s="831"/>
      <c r="H213" s="831"/>
      <c r="I213" s="831"/>
      <c r="J213" s="831"/>
      <c r="K213" s="831"/>
      <c r="L213" s="831"/>
      <c r="M213" s="831"/>
      <c r="N213" s="831"/>
      <c r="O213" s="831"/>
      <c r="P213" s="831"/>
      <c r="Q213" s="831"/>
      <c r="R213" s="831"/>
      <c r="S213" s="831"/>
      <c r="T213" s="232"/>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4"/>
      <c r="AU213" s="3"/>
      <c r="AV213" s="3"/>
      <c r="AW213" s="3"/>
      <c r="AX213" s="3"/>
      <c r="AY213" s="3"/>
      <c r="AZ213" s="3"/>
      <c r="BA213" s="3"/>
      <c r="BB213" s="3"/>
      <c r="BC213" s="7"/>
    </row>
    <row r="214" spans="1:86" s="107" customFormat="1" ht="45.75" customHeight="1" x14ac:dyDescent="0.35">
      <c r="A214" s="232"/>
      <c r="B214" s="232"/>
      <c r="C214" s="232"/>
      <c r="D214" s="232"/>
      <c r="E214" s="232"/>
      <c r="F214" s="232"/>
      <c r="G214" s="232"/>
      <c r="H214" s="232"/>
      <c r="I214" s="232"/>
      <c r="J214" s="232"/>
      <c r="K214" s="232"/>
      <c r="L214" s="232"/>
      <c r="M214" s="232"/>
      <c r="N214" s="232"/>
      <c r="O214" s="232"/>
      <c r="P214" s="232"/>
      <c r="Q214" s="232"/>
      <c r="R214" s="232"/>
      <c r="S214" s="232"/>
      <c r="T214" s="232"/>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4"/>
      <c r="AU214" s="7"/>
      <c r="AV214" s="7"/>
      <c r="AW214" s="7"/>
      <c r="AX214" s="7"/>
      <c r="AY214" s="7"/>
      <c r="AZ214" s="7"/>
      <c r="BA214" s="7"/>
      <c r="BB214" s="7"/>
      <c r="BC214" s="7"/>
    </row>
    <row r="215" spans="1:86" s="107" customFormat="1" ht="45.75" hidden="1" customHeight="1" x14ac:dyDescent="0.35">
      <c r="A215" s="232"/>
      <c r="B215" s="232"/>
      <c r="C215" s="232"/>
      <c r="D215" s="232"/>
      <c r="E215" s="232"/>
      <c r="F215" s="232"/>
      <c r="G215" s="232"/>
      <c r="H215" s="232"/>
      <c r="I215" s="232"/>
      <c r="J215" s="232"/>
      <c r="K215" s="232"/>
      <c r="L215" s="232"/>
      <c r="M215" s="232"/>
      <c r="N215" s="232"/>
      <c r="O215" s="232"/>
      <c r="P215" s="232"/>
      <c r="Q215" s="232"/>
      <c r="R215" s="232"/>
      <c r="S215" s="232"/>
      <c r="T215" s="232"/>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4"/>
      <c r="AU215" s="7"/>
      <c r="AV215" s="7"/>
      <c r="AW215" s="7"/>
      <c r="AX215" s="7"/>
      <c r="AY215" s="7"/>
      <c r="AZ215" s="7"/>
      <c r="BA215" s="7"/>
      <c r="BB215" s="7"/>
      <c r="BC215" s="7"/>
    </row>
    <row r="216" spans="1:86" s="107" customFormat="1" ht="45.75" hidden="1" customHeight="1" x14ac:dyDescent="0.35">
      <c r="A216" s="232"/>
      <c r="B216" s="232"/>
      <c r="C216" s="232"/>
      <c r="D216" s="232"/>
      <c r="E216" s="232"/>
      <c r="F216" s="232"/>
      <c r="G216" s="232"/>
      <c r="H216" s="232"/>
      <c r="I216" s="232"/>
      <c r="J216" s="232"/>
      <c r="K216" s="232"/>
      <c r="L216" s="232"/>
      <c r="M216" s="232"/>
      <c r="N216" s="232"/>
      <c r="O216" s="232"/>
      <c r="P216" s="232"/>
      <c r="Q216" s="232"/>
      <c r="R216" s="232"/>
      <c r="S216" s="232"/>
      <c r="T216" s="232"/>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4"/>
      <c r="AU216" s="7"/>
      <c r="AV216" s="7"/>
      <c r="AW216" s="7"/>
      <c r="AX216" s="7"/>
      <c r="AY216" s="7"/>
      <c r="AZ216" s="7"/>
      <c r="BA216" s="7"/>
      <c r="BB216" s="7"/>
      <c r="BC216" s="7"/>
    </row>
    <row r="217" spans="1:86" s="107" customFormat="1" ht="45.75" hidden="1" customHeight="1" x14ac:dyDescent="0.35">
      <c r="A217" s="232"/>
      <c r="B217" s="232"/>
      <c r="C217" s="232"/>
      <c r="D217" s="232"/>
      <c r="E217" s="232"/>
      <c r="F217" s="232"/>
      <c r="G217" s="232"/>
      <c r="H217" s="232"/>
      <c r="I217" s="232"/>
      <c r="J217" s="232"/>
      <c r="K217" s="232"/>
      <c r="L217" s="232"/>
      <c r="M217" s="232"/>
      <c r="N217" s="232"/>
      <c r="O217" s="232"/>
      <c r="P217" s="232"/>
      <c r="Q217" s="232"/>
      <c r="R217" s="232"/>
      <c r="S217" s="232"/>
      <c r="T217" s="232"/>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4"/>
      <c r="AU217" s="7"/>
      <c r="AV217" s="7"/>
      <c r="AW217" s="7"/>
      <c r="AX217" s="7"/>
      <c r="AY217" s="7"/>
      <c r="AZ217" s="7"/>
      <c r="BA217" s="7"/>
      <c r="BB217" s="7"/>
      <c r="BC217" s="7"/>
    </row>
    <row r="218" spans="1:86" s="107" customFormat="1" ht="16" thickBot="1" x14ac:dyDescent="0.4">
      <c r="A218" s="232"/>
      <c r="B218" s="108"/>
      <c r="C218" s="232"/>
      <c r="D218" s="232"/>
      <c r="E218" s="232"/>
      <c r="F218" s="232"/>
      <c r="G218" s="232"/>
      <c r="H218" s="232"/>
      <c r="I218" s="232"/>
      <c r="J218" s="232"/>
      <c r="K218" s="232"/>
      <c r="L218" s="232"/>
      <c r="M218" s="232"/>
      <c r="N218" s="232"/>
      <c r="O218" s="232"/>
      <c r="P218" s="232"/>
      <c r="Q218" s="232"/>
      <c r="R218" s="232"/>
      <c r="S218" s="232"/>
      <c r="T218" s="232"/>
      <c r="U218" s="104"/>
      <c r="V218" s="104"/>
      <c r="W218" s="104"/>
      <c r="X218" s="104"/>
      <c r="Y218" s="104"/>
      <c r="Z218" s="104"/>
      <c r="AA218" s="104"/>
      <c r="AB218" s="104"/>
      <c r="AC218" s="223"/>
      <c r="AD218" s="223"/>
      <c r="AE218" s="223"/>
      <c r="AF218" s="223"/>
      <c r="AG218" s="223"/>
      <c r="AH218" s="223"/>
      <c r="AI218" s="223"/>
      <c r="AJ218" s="223"/>
      <c r="AK218" s="223"/>
      <c r="AL218" s="223"/>
      <c r="AM218" s="223"/>
      <c r="AN218" s="223"/>
      <c r="AO218" s="223"/>
      <c r="AP218" s="104"/>
      <c r="AQ218" s="104"/>
      <c r="AR218" s="104"/>
      <c r="AS218" s="104"/>
      <c r="AT218" s="4"/>
      <c r="AU218" s="7"/>
      <c r="AV218" s="7"/>
      <c r="AW218" s="7"/>
      <c r="AX218" s="7"/>
      <c r="AY218" s="7"/>
      <c r="AZ218" s="7"/>
      <c r="BA218" s="7"/>
      <c r="BB218" s="7"/>
      <c r="BC218" s="7"/>
    </row>
    <row r="219" spans="1:86" s="107" customFormat="1" ht="29" thickBot="1" x14ac:dyDescent="0.7">
      <c r="A219" s="403"/>
      <c r="B219" s="404"/>
      <c r="C219" s="404"/>
      <c r="D219" s="404"/>
      <c r="E219" s="404"/>
      <c r="F219" s="404"/>
      <c r="G219" s="404"/>
      <c r="H219" s="891"/>
      <c r="I219" s="892"/>
      <c r="J219" s="892"/>
      <c r="K219" s="893"/>
      <c r="L219" s="891"/>
      <c r="M219" s="892"/>
      <c r="N219" s="892"/>
      <c r="O219" s="893"/>
      <c r="P219" s="405"/>
      <c r="Q219" s="406"/>
      <c r="R219" s="406"/>
      <c r="S219" s="406"/>
      <c r="T219" s="315"/>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row>
    <row r="220" spans="1:86" s="107" customFormat="1" ht="87" customHeight="1" x14ac:dyDescent="0.35">
      <c r="A220" s="264" t="str">
        <f ca="1">Translations!A91</f>
        <v>No.</v>
      </c>
      <c r="B220" s="265" t="str">
        <f ca="1">Translations!A28</f>
        <v>Módulos</v>
      </c>
      <c r="C220" s="265" t="str">
        <f ca="1">Translations!A35</f>
        <v>Población</v>
      </c>
      <c r="D220" s="265" t="str">
        <f ca="1">Translations!A46</f>
        <v>Intervención</v>
      </c>
      <c r="E220" s="265" t="str">
        <f ca="1">Translations!A85</f>
        <v>Actividad clave</v>
      </c>
      <c r="F220" s="265" t="str">
        <f ca="1">Translations!A52</f>
        <v>Receptor principal responsible</v>
      </c>
      <c r="G220" s="266" t="str">
        <f ca="1">Translations!A53</f>
        <v>País</v>
      </c>
      <c r="H220" s="267" t="str">
        <f ca="1">Translations!A100</f>
        <v>Fechas</v>
      </c>
      <c r="I220" s="894" t="str">
        <f ca="1">Translations!A99</f>
        <v>Hitos</v>
      </c>
      <c r="J220" s="894"/>
      <c r="K220" s="894"/>
      <c r="L220" s="894"/>
      <c r="M220" s="895"/>
      <c r="N220" s="899" t="str">
        <f ca="1">Translations!A87</f>
        <v>Criterios para la finalización</v>
      </c>
      <c r="O220" s="894"/>
      <c r="P220" s="894"/>
      <c r="Q220" s="894"/>
      <c r="R220" s="894"/>
      <c r="S220" s="894"/>
      <c r="T220" s="316"/>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row>
    <row r="221" spans="1:86" s="107" customFormat="1" ht="60" customHeight="1" x14ac:dyDescent="0.65">
      <c r="A221" s="906">
        <v>1</v>
      </c>
      <c r="B221" s="909" t="str">
        <f ca="1">IFERROR(IF(INDEX('WPTM - Section F'!B$1:B$100,MATCH('Print View'!$A221,'WPTM - Section F'!$A$1:$A$100,0))&lt;&gt;0,INDEX('WPTM - Section F'!B$1:B$100,MATCH('Print View'!$A221,'WPTM - Section F'!$A$1:$A$100,0)),""),"")</f>
        <v>SSRS: sistemas de laboratorio</v>
      </c>
      <c r="C221" s="912" t="str">
        <f ca="1">IFERROR(IF(INDEX('WPTM - Section F'!C$1:C$100,MATCH('Print View'!$A221,'WPTM - Section F'!$A$1:$A$100,0))&lt;&gt;0,INDEX('WPTM - Section F'!C$1:C$100,MATCH('Print View'!$A221,'WPTM - Section F'!$A$1:$A$100,0)),""),"")</f>
        <v>No aplicable</v>
      </c>
      <c r="D221" s="909" t="str">
        <f ca="1">IFERROR(IF(INDEX('WPTM - Section F'!D$1:D$100,MATCH('Print View'!$A221,'WPTM - Section F'!$A$1:$A$100,0))&lt;&gt;0,INDEX('WPTM - Section F'!D$1:D$100,MATCH('Print View'!$A221,'WPTM - Section F'!$A$1:$A$100,0)),""),"")</f>
        <v>Sistemas de gestión de infraestructuras y equipos</v>
      </c>
      <c r="E221" s="909" t="str">
        <f ca="1">IFERROR(IF(INDEX('WPTM - Section F'!E$1:E$100,MATCH('Print View'!$A221,'WPTM - Section F'!$A$1:$A$100,0))&lt;&gt;0,INDEX('WPTM - Section F'!E$1:E$100,MATCH('Print View'!$A221,'WPTM - Section F'!$A$1:$A$100,0)),""),"")</f>
        <v>Remodelación del edificio LNR</v>
      </c>
      <c r="F221" s="909" t="str">
        <f ca="1">IFERROR(IF(INDEX('WPTM - Section F'!F$1:F$100,MATCH('Print View'!$A221,'WPTM - Section F'!$A$1:$A$100,0))&lt;&gt;0,INDEX('WPTM - Section F'!F$1:F$100,MATCH('Print View'!$A221,'WPTM - Section F'!$A$1:$A$100,0)),""),"")</f>
        <v/>
      </c>
      <c r="G221" s="915" t="str">
        <f ca="1">IFERROR(IF(INDEX('WPTM - Section F'!G$1:G$100,MATCH('Print View'!$A221,'WPTM - Section F'!$A$1:$A$100,0))&lt;&gt;0,INDEX('WPTM - Section F'!G$1:G$100,MATCH('Print View'!$A221,'WPTM - Section F'!$A$1:$A$100,0)),""),"")</f>
        <v>El Salvador</v>
      </c>
      <c r="H221" s="407"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21" s="900" t="str">
        <f ca="1">IFERROR(IF(INDEX('WPTM - Section F'!J$1:J$100,MATCH('Print View'!$A221,'WPTM - Section F'!$A$1:$A$100,0))&lt;&gt;0,INDEX('WPTM - Section F'!J$1:J$100,MATCH('Print View'!$A221,'WPTM - Section F'!$A$1:$A$100,0)),""),"")</f>
        <v xml:space="preserve"> RNL building remodeled </v>
      </c>
      <c r="J221" s="901"/>
      <c r="K221" s="901"/>
      <c r="L221" s="901"/>
      <c r="M221" s="902"/>
      <c r="N221" s="900" t="str">
        <f ca="1">IFERROR(IF(INDEX('WPTM - Section F'!K$1:K$100,MATCH('Print View'!$A221,'WPTM - Section F'!$A$1:$A$100,0))&lt;&gt;"",INDEX('WPTM - Section F'!K$1:K$100,MATCH('Print View'!$A221,'WPTM - Section F'!$A$1:$A$100,0)),""),"")</f>
        <v>MSPT rating:
(0) Not Started: No progress against the milestone is  reported by the PR
(1) Started: by 2022 the implementation of the NRL remodeling contract will be continued. The PR presents evidence of the progress of works with technical reports being documented, expecting to have a progress of the work according to pre-defined criteria in the contract.
(2) Advanced: The PR will present evidence of 50% progress of the LNR relocation and improvement work, according to pre-defined criteria and according to the quarterly report of the supervising company.
(3) Completed: The PR will present evidence of 100% progress of the remodeling work and equipment relocation with the reception of the work verifying that they have complied with all the requirements established in the contract and in the stipulated time. Note: The work will be considered completed upon delivery of a contract compliance document evidencing satisfactory receipt of the work and establishing the technical warranty period.</v>
      </c>
      <c r="O221" s="901"/>
      <c r="P221" s="901"/>
      <c r="Q221" s="901"/>
      <c r="R221" s="901"/>
      <c r="S221" s="902"/>
      <c r="T221" s="317"/>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row>
    <row r="222" spans="1:86" s="107" customFormat="1" ht="60" customHeight="1" x14ac:dyDescent="0.65">
      <c r="A222" s="907"/>
      <c r="B222" s="910"/>
      <c r="C222" s="913"/>
      <c r="D222" s="910"/>
      <c r="E222" s="910"/>
      <c r="F222" s="910"/>
      <c r="G222" s="916"/>
      <c r="H222" s="407"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22" s="900" t="str">
        <f ca="1">IFERROR(IF(INDEX('WPTM - Section F'!N$1:N$100,MATCH('Print View'!$A221,'WPTM - Section F'!$A$1:$A$100,0))&lt;&gt;0,INDEX('WPTM - Section F'!N$1:N$100,MATCH('Print View'!$A221,'WPTM - Section F'!$A$1:$A$100,0)),""),"")</f>
        <v/>
      </c>
      <c r="J222" s="901"/>
      <c r="K222" s="901"/>
      <c r="L222" s="901"/>
      <c r="M222" s="902"/>
      <c r="N222" s="900" t="str">
        <f ca="1">IFERROR(IF(INDEX('WPTM - Section F'!O$1:O$100,MATCH('Print View'!$A221,'WPTM - Section F'!$A$1:$A$100,0))&lt;&gt;0,INDEX('WPTM - Section F'!O$1:O$100,MATCH('Print View'!$A221,'WPTM - Section F'!$A$1:$A$100,0)),""),"")</f>
        <v/>
      </c>
      <c r="O222" s="901"/>
      <c r="P222" s="901"/>
      <c r="Q222" s="901"/>
      <c r="R222" s="901"/>
      <c r="S222" s="902"/>
      <c r="T222" s="317"/>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row>
    <row r="223" spans="1:86" s="107" customFormat="1" ht="60" customHeight="1" x14ac:dyDescent="0.65">
      <c r="A223" s="907"/>
      <c r="B223" s="910"/>
      <c r="C223" s="913"/>
      <c r="D223" s="910"/>
      <c r="E223" s="910"/>
      <c r="F223" s="910"/>
      <c r="G223" s="916"/>
      <c r="H223" s="407"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23" s="900" t="str">
        <f ca="1">IFERROR(IF(INDEX('WPTM - Section F'!R$1:R$100,MATCH('Print View'!$A221,'WPTM - Section F'!$A$1:$A$100,0))&lt;&gt;0,INDEX('WPTM - Section F'!R$1:R$100,MATCH('Print View'!$A221,'WPTM - Section F'!$A$1:$A$100,0)),""),"")</f>
        <v/>
      </c>
      <c r="J223" s="901"/>
      <c r="K223" s="901"/>
      <c r="L223" s="901"/>
      <c r="M223" s="902"/>
      <c r="N223" s="900" t="str">
        <f ca="1">IFERROR(IF(INDEX('WPTM - Section F'!S$1:S$100,MATCH('Print View'!$A221,'WPTM - Section F'!$A$1:$A$100,0))&lt;&gt;0,INDEX('WPTM - Section F'!S$1:S$100,MATCH('Print View'!$A221,'WPTM - Section F'!$A$1:$A$100,0)),""),"")</f>
        <v/>
      </c>
      <c r="O223" s="901"/>
      <c r="P223" s="901"/>
      <c r="Q223" s="901"/>
      <c r="R223" s="901"/>
      <c r="S223" s="902"/>
      <c r="T223" s="317"/>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row>
    <row r="224" spans="1:86" s="107" customFormat="1" ht="60" customHeight="1" x14ac:dyDescent="0.65">
      <c r="A224" s="907"/>
      <c r="B224" s="910"/>
      <c r="C224" s="913"/>
      <c r="D224" s="910"/>
      <c r="E224" s="910"/>
      <c r="F224" s="910"/>
      <c r="G224" s="916"/>
      <c r="H224" s="407"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24" s="900" t="str">
        <f ca="1">IFERROR(IF(INDEX('WPTM - Section F'!V$1:V$100,MATCH('Print View'!$A221,'WPTM - Section F'!$A$1:$A$100,0))&lt;&gt;0,INDEX('WPTM - Section F'!V$1:V$100,MATCH('Print View'!$A221,'WPTM - Section F'!$A$1:$A$100,0)),""),"")</f>
        <v/>
      </c>
      <c r="J224" s="901"/>
      <c r="K224" s="901"/>
      <c r="L224" s="901"/>
      <c r="M224" s="902"/>
      <c r="N224" s="900" t="str">
        <f ca="1">IFERROR(IF(INDEX('WPTM - Section F'!W$1:W$100,MATCH('Print View'!$A221,'WPTM - Section F'!$A$1:$A$100,0))&lt;&gt;0,INDEX('WPTM - Section F'!W$1:W$100,MATCH('Print View'!$A221,'WPTM - Section F'!$A$1:$A$100,0)),""),"")</f>
        <v/>
      </c>
      <c r="O224" s="901"/>
      <c r="P224" s="901"/>
      <c r="Q224" s="901"/>
      <c r="R224" s="901"/>
      <c r="S224" s="902"/>
      <c r="T224" s="317"/>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row>
    <row r="225" spans="1:86" s="107" customFormat="1" ht="60" customHeight="1" x14ac:dyDescent="0.65">
      <c r="A225" s="907"/>
      <c r="B225" s="910"/>
      <c r="C225" s="913"/>
      <c r="D225" s="910"/>
      <c r="E225" s="910"/>
      <c r="F225" s="910"/>
      <c r="G225" s="916"/>
      <c r="H225" s="407"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25" s="900" t="str">
        <f ca="1">IFERROR(IF(INDEX('WPTM - Section F'!Z$1:Z$100,MATCH('Print View'!$A221,'WPTM - Section F'!$A$1:$A$100,0))&lt;&gt;0,INDEX('WPTM - Section F'!Z$1:Z$100,MATCH('Print View'!$A221,'WPTM - Section F'!$A$1:$A$100,0)),""),"")</f>
        <v/>
      </c>
      <c r="J225" s="901"/>
      <c r="K225" s="901"/>
      <c r="L225" s="901"/>
      <c r="M225" s="902"/>
      <c r="N225" s="900" t="str">
        <f ca="1">IFERROR(IF(INDEX('WPTM - Section F'!AA$1:AA$100,MATCH('Print View'!$A221,'WPTM - Section F'!$A$1:$A$100,0))&lt;&gt;0,INDEX('WPTM - Section F'!AA$1:AA$100,MATCH('Print View'!$A221,'WPTM - Section F'!$A$1:$A$100,0)),""),"")</f>
        <v/>
      </c>
      <c r="O225" s="901"/>
      <c r="P225" s="901"/>
      <c r="Q225" s="901"/>
      <c r="R225" s="901"/>
      <c r="S225" s="902"/>
      <c r="T225" s="317"/>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row>
    <row r="226" spans="1:86" s="107" customFormat="1" ht="60" customHeight="1" x14ac:dyDescent="0.65">
      <c r="A226" s="907"/>
      <c r="B226" s="910"/>
      <c r="C226" s="913"/>
      <c r="D226" s="910"/>
      <c r="E226" s="910"/>
      <c r="F226" s="910"/>
      <c r="G226" s="916"/>
      <c r="H226" s="407"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26" s="900" t="str">
        <f ca="1">IFERROR(IF(INDEX('WPTM - Section F'!AD$1:AD$100,MATCH('Print View'!$A221,'WPTM - Section F'!$A$1:$A$100,0))&lt;&gt;0,INDEX('WPTM - Section F'!AD$1:AD$100,MATCH('Print View'!$A221,'WPTM - Section F'!$A$1:$A$100,0)),""),"")</f>
        <v/>
      </c>
      <c r="J226" s="901"/>
      <c r="K226" s="901"/>
      <c r="L226" s="901"/>
      <c r="M226" s="902"/>
      <c r="N226" s="900" t="str">
        <f ca="1">IFERROR(IF(INDEX('WPTM - Section F'!AE$1:AE$100,MATCH('Print View'!$A221,'WPTM - Section F'!$A$1:$A$100,0))&lt;&gt;0,INDEX('WPTM - Section F'!AE$1:AE$100,MATCH('Print View'!$A221,'WPTM - Section F'!$A$1:$A$100,0)),""),"")</f>
        <v/>
      </c>
      <c r="O226" s="901"/>
      <c r="P226" s="901"/>
      <c r="Q226" s="901"/>
      <c r="R226" s="901"/>
      <c r="S226" s="902"/>
      <c r="T226" s="317"/>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row>
    <row r="227" spans="1:86" s="107" customFormat="1" ht="60" customHeight="1" x14ac:dyDescent="0.65">
      <c r="A227" s="907"/>
      <c r="B227" s="911"/>
      <c r="C227" s="914"/>
      <c r="D227" s="911"/>
      <c r="E227" s="911"/>
      <c r="F227" s="911"/>
      <c r="G227" s="917"/>
      <c r="H227" s="407" t="str">
        <f>IF(IFERROR(INDEX('Overview - Section A'!$A$39:$A$46,MATCH(D$29,'Overview - Section A'!$B$39:$B$46,0)),"")="","",TEXT(IFERROR(INDEX('Overview - Section A'!$A$39:$A$46,MATCH(D$29,'Overview - Section A'!$B$39:$B$46,0)),""),Setup!$A$33) &amp;" to " &amp; TEXT(IFERROR(INDEX('Overview - Section A'!$E$39:$E$46,MATCH(D$29,'Overview - Section A'!$B$39:$B$46,0)),""),Setup!$A$33))</f>
        <v/>
      </c>
      <c r="I227" s="900" t="str">
        <f ca="1">IFERROR(IF(INDEX('WPTM - Section F'!AH$1:AH$100,MATCH('Print View'!$A221,'WPTM - Section F'!$A$1:$A$100,0))&lt;&gt;0,INDEX('WPTM - Section F'!AH$1:AH$100,MATCH('Print View'!$A221,'WPTM - Section F'!$A$1:$A$100,0)),""),"")</f>
        <v/>
      </c>
      <c r="J227" s="901"/>
      <c r="K227" s="901"/>
      <c r="L227" s="901"/>
      <c r="M227" s="902"/>
      <c r="N227" s="900" t="str">
        <f ca="1">IFERROR(IF(INDEX('WPTM - Section F'!AI$1:AI$100,MATCH('Print View'!$A221,'WPTM - Section F'!$A$1:$A$100,0))&lt;&gt;0,INDEX('WPTM - Section F'!AI$1:AI$100,MATCH('Print View'!$A221,'WPTM - Section F'!$A$1:$A$100,0)),""),"")</f>
        <v/>
      </c>
      <c r="O227" s="901"/>
      <c r="P227" s="901"/>
      <c r="Q227" s="901"/>
      <c r="R227" s="901"/>
      <c r="S227" s="902"/>
      <c r="T227" s="317"/>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row>
    <row r="228" spans="1:86" s="107" customFormat="1" ht="60" customHeight="1" x14ac:dyDescent="0.65">
      <c r="A228" s="908"/>
      <c r="B228" s="896" t="str">
        <f ca="1">IFERROR(IF(INDEX('WPTM - Section F'!AV$1:AV$100,MATCH('Print View'!$A221,'WPTM - Section F'!$A$1:$A$100,0))&lt;&gt;0,INDEX('WPTM - Section F'!AV$1:AV$100,MATCH('Print View'!$A221,'WPTM - Section F'!$A$1:$A$100,0)),""),"")</f>
        <v/>
      </c>
      <c r="C228" s="897"/>
      <c r="D228" s="897"/>
      <c r="E228" s="897"/>
      <c r="F228" s="897"/>
      <c r="G228" s="897"/>
      <c r="H228" s="897"/>
      <c r="I228" s="897"/>
      <c r="J228" s="897"/>
      <c r="K228" s="897"/>
      <c r="L228" s="897"/>
      <c r="M228" s="897"/>
      <c r="N228" s="897"/>
      <c r="O228" s="897"/>
      <c r="P228" s="897"/>
      <c r="Q228" s="897"/>
      <c r="R228" s="897"/>
      <c r="S228" s="898"/>
      <c r="T228" s="318"/>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row>
    <row r="229" spans="1:86" s="427" customFormat="1" ht="60" customHeight="1" x14ac:dyDescent="0.35">
      <c r="A229" s="933">
        <v>2</v>
      </c>
      <c r="B229" s="921" t="str">
        <f ca="1">IFERROR(IF(INDEX('WPTM - Section F'!B$1:B$100,MATCH('Print View'!$A229,'WPTM - Section F'!$A$1:$A$100,0))&lt;&gt;0,INDEX('WPTM - Section F'!B$1:B$100,MATCH('Print View'!$A229,'WPTM - Section F'!$A$1:$A$100,0)),""),"")</f>
        <v>SSRS: sistemas de laboratorio</v>
      </c>
      <c r="C229" s="930" t="str">
        <f ca="1">IFERROR(IF(INDEX('WPTM - Section F'!C$1:C$100,MATCH('Print View'!$A229,'WPTM - Section F'!$A$1:$A$100,0))&lt;&gt;0,INDEX('WPTM - Section F'!C$1:C$100,MATCH('Print View'!$A229,'WPTM - Section F'!$A$1:$A$100,0)),""),"")</f>
        <v>No aplicable</v>
      </c>
      <c r="D229" s="921" t="str">
        <f ca="1">IFERROR(IF(INDEX('WPTM - Section F'!D$1:D$100,MATCH('Print View'!$A229,'WPTM - Section F'!$A$1:$A$100,0))&lt;&gt;0,INDEX('WPTM - Section F'!D$1:D$100,MATCH('Print View'!$A229,'WPTM - Section F'!$A$1:$A$100,0)),""),"")</f>
        <v>Sistemas de gestión de infraestructuras y equipos</v>
      </c>
      <c r="E229" s="921" t="str">
        <f ca="1">IFERROR(IF(INDEX('WPTM - Section F'!E$1:E$100,MATCH('Print View'!$A229,'WPTM - Section F'!$A$1:$A$100,0))&lt;&gt;0,INDEX('WPTM - Section F'!E$1:E$100,MATCH('Print View'!$A229,'WPTM - Section F'!$A$1:$A$100,0)),""),"")</f>
        <v>Servicios y suministros para la gestión y respuesta del LNR</v>
      </c>
      <c r="F229" s="921" t="str">
        <f ca="1">IFERROR(IF(INDEX('WPTM - Section F'!F$1:F$100,MATCH('Print View'!$A229,'WPTM - Section F'!$A$1:$A$100,0))&lt;&gt;0,INDEX('WPTM - Section F'!F$1:F$100,MATCH('Print View'!$A229,'WPTM - Section F'!$A$1:$A$100,0)),""),"")</f>
        <v/>
      </c>
      <c r="G229" s="936" t="str">
        <f ca="1">IFERROR(IF(INDEX('WPTM - Section F'!G$1:G$100,MATCH('Print View'!$A229,'WPTM - Section F'!$A$1:$A$100,0))&lt;&gt;0,INDEX('WPTM - Section F'!G$1:G$100,MATCH('Print View'!$A229,'WPTM - Section F'!$A$1:$A$100,0)),""),"")</f>
        <v>El Salvador</v>
      </c>
      <c r="H229" s="425"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29" s="903" t="str">
        <f ca="1">IFERROR(IF(INDEX('WPTM - Section F'!J$1:J$100,MATCH('Print View'!$A229,'WPTM - Section F'!$A$1:$A$100,0))&lt;&gt;0,INDEX('WPTM - Section F'!J$1:J$100,MATCH('Print View'!$A229,'WPTM - Section F'!$A$1:$A$100,0)),""),"")</f>
        <v>Administrative processes for the equipment of the National Reference Laboratory (NRL) completed</v>
      </c>
      <c r="J229" s="904"/>
      <c r="K229" s="904"/>
      <c r="L229" s="904"/>
      <c r="M229" s="905"/>
      <c r="N229" s="903" t="str">
        <f ca="1">IFERROR(IF(INDEX('WPTM - Section F'!K$1:K$100,MATCH('Print View'!$A229,'WPTM - Section F'!$A$1:$A$100,0))&lt;&gt;0,INDEX('WPTM - Section F'!K$1:K$100,MATCH('Print View'!$A229,'WPTM - Section F'!$A$1:$A$100,0)),""),"")</f>
        <v xml:space="preserve">MSPT Rating:
(0) Not initiated: PR presents no evidence of milestone progress.
(1) Initiated: The PR presents evidence that the definition of technical specifications and bidding bases for complex and minor equipment has been completed.
(2) Advanced: The PR presents evidence that the request for purchase of complex and minor equipment has been prepared and approved, also presents evidence that the calls for bids/procurement of equipment and evaluation of bids/procurement of equipment have been carried out.
(3) Completed: The PR submits evidence of award and signature of equipment contracts. </v>
      </c>
      <c r="O229" s="904"/>
      <c r="P229" s="904"/>
      <c r="Q229" s="904"/>
      <c r="R229" s="904"/>
      <c r="S229" s="904"/>
      <c r="T229" s="426"/>
    </row>
    <row r="230" spans="1:86" s="427" customFormat="1" ht="60" customHeight="1" x14ac:dyDescent="0.35">
      <c r="A230" s="934"/>
      <c r="B230" s="922"/>
      <c r="C230" s="931"/>
      <c r="D230" s="922"/>
      <c r="E230" s="922"/>
      <c r="F230" s="922"/>
      <c r="G230" s="937"/>
      <c r="H230" s="425"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30" s="903" t="str">
        <f ca="1">IFERROR(IF(INDEX('WPTM - Section F'!N$1:N$100,MATCH('Print View'!$A229,'WPTM - Section F'!$A$1:$A$100,0))&lt;&gt;0,INDEX('WPTM - Section F'!N$1:N$100,MATCH('Print View'!$A229,'WPTM - Section F'!$A$1:$A$100,0)),""),"")</f>
        <v xml:space="preserve"> new equipment at the National Reference Laboratory (NRL) Installed</v>
      </c>
      <c r="J230" s="904"/>
      <c r="K230" s="904"/>
      <c r="L230" s="904"/>
      <c r="M230" s="905"/>
      <c r="N230" s="903" t="str">
        <f ca="1">IFERROR(IF(INDEX('WPTM - Section F'!O$1:O$100,MATCH('Print View'!$A229,'WPTM - Section F'!$A$1:$A$100,0))&lt;&gt;0,INDEX('WPTM - Section F'!O$1:O$100,MATCH('Print View'!$A229,'WPTM - Section F'!$A$1:$A$100,0)),""),"")</f>
        <v>MSPT Rating:
(0) Not initiated: PR presents no evidence of milestone progress.
(1) Initiated: The PR presents evidence of receipt of at least part of the laboratory equipment and its installation in the corresponding areas initiated and documented.
(2) Advanced: The PR presents evidence of receipt of all laboratory equipment and its installation in the corresponding areas initiated and documented.
(3) Completed: The PR presents evidence of satisfactory contract fulfillment demonstrating that each of the equipment is installed in the new building in the respective work areas, and its operation is guaranteed.</v>
      </c>
      <c r="O230" s="904"/>
      <c r="P230" s="904"/>
      <c r="Q230" s="904"/>
      <c r="R230" s="904"/>
      <c r="S230" s="904"/>
      <c r="T230" s="426"/>
    </row>
    <row r="231" spans="1:86" s="427" customFormat="1" ht="60" customHeight="1" x14ac:dyDescent="0.35">
      <c r="A231" s="934"/>
      <c r="B231" s="922"/>
      <c r="C231" s="931"/>
      <c r="D231" s="922"/>
      <c r="E231" s="922"/>
      <c r="F231" s="922"/>
      <c r="G231" s="937"/>
      <c r="H231" s="425"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31" s="903" t="str">
        <f ca="1">IFERROR(IF(INDEX('WPTM - Section F'!R$1:R$100,MATCH('Print View'!$A229,'WPTM - Section F'!$A$1:$A$100,0))&lt;&gt;0,INDEX('WPTM - Section F'!R$1:R$100,MATCH('Print View'!$A229,'WPTM - Section F'!$A$1:$A$100,0)),""),"")</f>
        <v/>
      </c>
      <c r="J231" s="904"/>
      <c r="K231" s="904"/>
      <c r="L231" s="904"/>
      <c r="M231" s="905"/>
      <c r="N231" s="903" t="str">
        <f ca="1">IFERROR(IF(INDEX('WPTM - Section F'!S$1:S$100,MATCH('Print View'!$A229,'WPTM - Section F'!$A$1:$A$100,0))&lt;&gt;0,INDEX('WPTM - Section F'!S$1:S$100,MATCH('Print View'!$A229,'WPTM - Section F'!$A$1:$A$100,0)),""),"")</f>
        <v/>
      </c>
      <c r="O231" s="904"/>
      <c r="P231" s="904"/>
      <c r="Q231" s="904"/>
      <c r="R231" s="904"/>
      <c r="S231" s="904"/>
      <c r="T231" s="426"/>
    </row>
    <row r="232" spans="1:86" s="427" customFormat="1" ht="60" customHeight="1" x14ac:dyDescent="0.35">
      <c r="A232" s="934"/>
      <c r="B232" s="922"/>
      <c r="C232" s="931"/>
      <c r="D232" s="922"/>
      <c r="E232" s="922"/>
      <c r="F232" s="922"/>
      <c r="G232" s="937"/>
      <c r="H232" s="425"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32" s="903" t="str">
        <f ca="1">IFERROR(IF(INDEX('WPTM - Section F'!V$1:V$100,MATCH('Print View'!$A229,'WPTM - Section F'!$A$1:$A$100,0))&lt;&gt;0,INDEX('WPTM - Section F'!V$1:V$100,MATCH('Print View'!$A229,'WPTM - Section F'!$A$1:$A$100,0)),""),"")</f>
        <v/>
      </c>
      <c r="J232" s="904"/>
      <c r="K232" s="904"/>
      <c r="L232" s="904"/>
      <c r="M232" s="905"/>
      <c r="N232" s="903" t="str">
        <f ca="1">IFERROR(IF(INDEX('WPTM - Section F'!W$1:W$100,MATCH('Print View'!$A229,'WPTM - Section F'!$A$1:$A$100,0))&lt;&gt;0,INDEX('WPTM - Section F'!W$1:W$100,MATCH('Print View'!$A229,'WPTM - Section F'!$A$1:$A$100,0)),""),"")</f>
        <v/>
      </c>
      <c r="O232" s="904"/>
      <c r="P232" s="904"/>
      <c r="Q232" s="904"/>
      <c r="R232" s="904"/>
      <c r="S232" s="904"/>
      <c r="T232" s="426"/>
    </row>
    <row r="233" spans="1:86" s="427" customFormat="1" ht="60" customHeight="1" x14ac:dyDescent="0.35">
      <c r="A233" s="934"/>
      <c r="B233" s="922"/>
      <c r="C233" s="931"/>
      <c r="D233" s="922"/>
      <c r="E233" s="922"/>
      <c r="F233" s="922"/>
      <c r="G233" s="937"/>
      <c r="H233" s="425"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33" s="903" t="str">
        <f ca="1">IFERROR(IF(INDEX('WPTM - Section F'!Z$1:Z$100,MATCH('Print View'!$A229,'WPTM - Section F'!$A$1:$A$100,0))&lt;&gt;0,INDEX('WPTM - Section F'!Z$1:Z$100,MATCH('Print View'!$A229,'WPTM - Section F'!$A$1:$A$100,0)),""),"")</f>
        <v/>
      </c>
      <c r="J233" s="904"/>
      <c r="K233" s="904"/>
      <c r="L233" s="904"/>
      <c r="M233" s="905"/>
      <c r="N233" s="903" t="str">
        <f ca="1">IFERROR(IF(INDEX('WPTM - Section F'!AA$1:AA$100,MATCH('Print View'!$A229,'WPTM - Section F'!$A$1:$A$100,0))&lt;&gt;0,INDEX('WPTM - Section F'!AA$1:AA$100,MATCH('Print View'!$A229,'WPTM - Section F'!$A$1:$A$100,0)),""),"")</f>
        <v/>
      </c>
      <c r="O233" s="904"/>
      <c r="P233" s="904"/>
      <c r="Q233" s="904"/>
      <c r="R233" s="904"/>
      <c r="S233" s="904"/>
      <c r="T233" s="426"/>
    </row>
    <row r="234" spans="1:86" s="427" customFormat="1" ht="60" customHeight="1" x14ac:dyDescent="0.35">
      <c r="A234" s="934"/>
      <c r="B234" s="922"/>
      <c r="C234" s="931"/>
      <c r="D234" s="922"/>
      <c r="E234" s="922"/>
      <c r="F234" s="922"/>
      <c r="G234" s="937"/>
      <c r="H234" s="425"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34" s="903" t="str">
        <f ca="1">IFERROR(IF(INDEX('WPTM - Section F'!AD$1:AD$100,MATCH('Print View'!$A229,'WPTM - Section F'!$A$1:$A$100,0))&lt;&gt;0,INDEX('WPTM - Section F'!AD$1:AD$100,MATCH('Print View'!$A229,'WPTM - Section F'!$A$1:$A$100,0)),""),"")</f>
        <v/>
      </c>
      <c r="J234" s="904"/>
      <c r="K234" s="904"/>
      <c r="L234" s="904"/>
      <c r="M234" s="905"/>
      <c r="N234" s="903" t="str">
        <f ca="1">IFERROR(IF(INDEX('WPTM - Section F'!AE$1:AE$100,MATCH('Print View'!$A229,'WPTM - Section F'!$A$1:$A$100,0))&lt;&gt;0,INDEX('WPTM - Section F'!AE$1:AE$100,MATCH('Print View'!$A229,'WPTM - Section F'!$A$1:$A$100,0)),""),"")</f>
        <v/>
      </c>
      <c r="O234" s="904"/>
      <c r="P234" s="904"/>
      <c r="Q234" s="904"/>
      <c r="R234" s="904"/>
      <c r="S234" s="904"/>
      <c r="T234" s="426"/>
    </row>
    <row r="235" spans="1:86" s="427" customFormat="1" ht="60" customHeight="1" x14ac:dyDescent="0.35">
      <c r="A235" s="934"/>
      <c r="B235" s="923"/>
      <c r="C235" s="932"/>
      <c r="D235" s="923"/>
      <c r="E235" s="923"/>
      <c r="F235" s="923"/>
      <c r="G235" s="938"/>
      <c r="H235" s="425" t="str">
        <f>IF(IFERROR(INDEX('Overview - Section A'!$A$39:$A$46,MATCH(D$29,'Overview - Section A'!$B$39:$B$46,0)),"")="","",TEXT(IFERROR(INDEX('Overview - Section A'!$A$39:$A$46,MATCH(D$29,'Overview - Section A'!$B$39:$B$46,0)),""),Setup!$A$33) &amp;" to " &amp; TEXT(IFERROR(INDEX('Overview - Section A'!$E$39:$E$46,MATCH(D$29,'Overview - Section A'!$B$39:$B$46,0)),""),Setup!$A$33))</f>
        <v/>
      </c>
      <c r="I235" s="903" t="str">
        <f ca="1">IFERROR(IF(INDEX('WPTM - Section F'!AH$1:AH$100,MATCH('Print View'!$A229,'WPTM - Section F'!$A$1:$A$100,0))&lt;&gt;0,INDEX('WPTM - Section F'!AH$1:AH$100,MATCH('Print View'!$A229,'WPTM - Section F'!$A$1:$A$100,0)),""),"")</f>
        <v/>
      </c>
      <c r="J235" s="904"/>
      <c r="K235" s="904"/>
      <c r="L235" s="904"/>
      <c r="M235" s="905"/>
      <c r="N235" s="903" t="str">
        <f ca="1">IFERROR(IF(INDEX('WPTM - Section F'!AI$1:AI$100,MATCH('Print View'!$A229,'WPTM - Section F'!$A$1:$A$100,0))&lt;&gt;0,INDEX('WPTM - Section F'!AI$1:AI$100,MATCH('Print View'!$A229,'WPTM - Section F'!$A$1:$A$100,0)),""),"")</f>
        <v/>
      </c>
      <c r="O235" s="904"/>
      <c r="P235" s="904"/>
      <c r="Q235" s="904"/>
      <c r="R235" s="904"/>
      <c r="S235" s="904"/>
      <c r="T235" s="426"/>
    </row>
    <row r="236" spans="1:86" s="427" customFormat="1" ht="60" customHeight="1" x14ac:dyDescent="0.65">
      <c r="A236" s="935"/>
      <c r="B236" s="918" t="str">
        <f ca="1">IFERROR(IF(INDEX('WPTM - Section F'!AV$1:AV$100,MATCH('Print View'!$A229,'WPTM - Section F'!$A$1:$A$100,0))&lt;&gt;0,INDEX('WPTM - Section F'!AV$1:AV$100,MATCH('Print View'!$A229,'WPTM - Section F'!$A$1:$A$100,0)),""),"")</f>
        <v/>
      </c>
      <c r="C236" s="919"/>
      <c r="D236" s="919"/>
      <c r="E236" s="919"/>
      <c r="F236" s="919"/>
      <c r="G236" s="919"/>
      <c r="H236" s="919"/>
      <c r="I236" s="919"/>
      <c r="J236" s="919"/>
      <c r="K236" s="919"/>
      <c r="L236" s="919"/>
      <c r="M236" s="919"/>
      <c r="N236" s="919"/>
      <c r="O236" s="919"/>
      <c r="P236" s="919"/>
      <c r="Q236" s="919"/>
      <c r="R236" s="919"/>
      <c r="S236" s="920"/>
      <c r="T236" s="314"/>
    </row>
    <row r="237" spans="1:86" s="107" customFormat="1" ht="60" customHeight="1" x14ac:dyDescent="0.65">
      <c r="A237" s="906">
        <v>3</v>
      </c>
      <c r="B237" s="909" t="str">
        <f ca="1">IFERROR(IF(INDEX('WPTM - Section F'!B$1:B$100,MATCH('Print View'!$A237,'WPTM - Section F'!$A$1:$A$100,0))&lt;&gt;0,INDEX('WPTM - Section F'!B$1:B$100,MATCH('Print View'!$A237,'WPTM - Section F'!$A$1:$A$100,0)),""),"")</f>
        <v/>
      </c>
      <c r="C237" s="912" t="str">
        <f ca="1">IFERROR(IF(INDEX('WPTM - Section F'!C$1:C$100,MATCH('Print View'!$A237,'WPTM - Section F'!$A$1:$A$100,0))&lt;&gt;0,INDEX('WPTM - Section F'!C$1:C$100,MATCH('Print View'!$A237,'WPTM - Section F'!$A$1:$A$100,0)),""),"")</f>
        <v/>
      </c>
      <c r="D237" s="909" t="str">
        <f ca="1">IFERROR(IF(INDEX('WPTM - Section F'!D$1:D$100,MATCH('Print View'!$A237,'WPTM - Section F'!$A$1:$A$100,0))&lt;&gt;0,INDEX('WPTM - Section F'!D$1:D$100,MATCH('Print View'!$A237,'WPTM - Section F'!$A$1:$A$100,0)),""),"")</f>
        <v/>
      </c>
      <c r="E237" s="909" t="str">
        <f ca="1">IFERROR(IF(INDEX('WPTM - Section F'!E$1:E$100,MATCH('Print View'!$A237,'WPTM - Section F'!$A$1:$A$100,0))&lt;&gt;0,INDEX('WPTM - Section F'!E$1:E$100,MATCH('Print View'!$A237,'WPTM - Section F'!$A$1:$A$100,0)),""),"")</f>
        <v/>
      </c>
      <c r="F237" s="909" t="str">
        <f ca="1">IFERROR(IF(INDEX('WPTM - Section F'!F$1:F$100,MATCH('Print View'!$A237,'WPTM - Section F'!$A$1:$A$100,0))&lt;&gt;0,INDEX('WPTM - Section F'!F$1:F$100,MATCH('Print View'!$A237,'WPTM - Section F'!$A$1:$A$100,0)),""),"")</f>
        <v/>
      </c>
      <c r="G237" s="924" t="str">
        <f ca="1">IFERROR(IF(INDEX('WPTM - Section F'!G$1:G$100,MATCH('Print View'!$A237,'WPTM - Section F'!$A$1:$A$100,0))&lt;&gt;0,INDEX('WPTM - Section F'!G$1:G$100,MATCH('Print View'!$A237,'WPTM - Section F'!$A$1:$A$100,0)),""),"")</f>
        <v/>
      </c>
      <c r="H237" s="407"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37" s="900" t="str">
        <f ca="1">IFERROR(IF(INDEX('WPTM - Section F'!J$1:J$100,MATCH('Print View'!$A237,'WPTM - Section F'!$A$1:$A$100,0))&lt;&gt;0,INDEX('WPTM - Section F'!J$1:J$100,MATCH('Print View'!$A237,'WPTM - Section F'!$A$1:$A$100,0)),""),"")</f>
        <v/>
      </c>
      <c r="J237" s="901"/>
      <c r="K237" s="901"/>
      <c r="L237" s="901"/>
      <c r="M237" s="902"/>
      <c r="N237" s="900" t="str">
        <f ca="1">IFERROR(IF(INDEX('WPTM - Section F'!K$1:K$100,MATCH('Print View'!$A237,'WPTM - Section F'!$A$1:$A$100,0))&lt;&gt;0,INDEX('WPTM - Section F'!K$1:K$100,MATCH('Print View'!$A237,'WPTM - Section F'!$A$1:$A$100,0)),""),"")</f>
        <v/>
      </c>
      <c r="O237" s="901"/>
      <c r="P237" s="901"/>
      <c r="Q237" s="901"/>
      <c r="R237" s="901"/>
      <c r="S237" s="902"/>
      <c r="T237" s="318"/>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223"/>
      <c r="BX237" s="223"/>
      <c r="BY237" s="223"/>
      <c r="BZ237" s="223"/>
      <c r="CA237" s="223"/>
      <c r="CB237" s="223"/>
      <c r="CC237" s="223"/>
      <c r="CD237" s="223"/>
      <c r="CE237" s="223"/>
      <c r="CF237" s="223"/>
      <c r="CG237" s="223"/>
      <c r="CH237" s="223"/>
    </row>
    <row r="238" spans="1:86" s="107" customFormat="1" ht="60" customHeight="1" x14ac:dyDescent="0.65">
      <c r="A238" s="907"/>
      <c r="B238" s="910"/>
      <c r="C238" s="913"/>
      <c r="D238" s="910"/>
      <c r="E238" s="910"/>
      <c r="F238" s="910"/>
      <c r="G238" s="925"/>
      <c r="H238" s="407"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38" s="900" t="str">
        <f ca="1">IFERROR(IF(INDEX('WPTM - Section F'!N$1:N$100,MATCH('Print View'!$A237,'WPTM - Section F'!$A$1:$A$100,0))&lt;&gt;0,INDEX('WPTM - Section F'!N$1:N$100,MATCH('Print View'!$A237,'WPTM - Section F'!$A$1:$A$100,0)),""),"")</f>
        <v/>
      </c>
      <c r="J238" s="901"/>
      <c r="K238" s="901"/>
      <c r="L238" s="901"/>
      <c r="M238" s="902"/>
      <c r="N238" s="900" t="str">
        <f ca="1">IFERROR(IF(INDEX('WPTM - Section F'!O$1:O$100,MATCH('Print View'!$A237,'WPTM - Section F'!$A$1:$A$100,0))&lt;&gt;0,INDEX('WPTM - Section F'!O$1:O$100,MATCH('Print View'!$A237,'WPTM - Section F'!$A$1:$A$100,0)),""),"")</f>
        <v/>
      </c>
      <c r="O238" s="901"/>
      <c r="P238" s="901"/>
      <c r="Q238" s="901"/>
      <c r="R238" s="901"/>
      <c r="S238" s="902"/>
      <c r="T238" s="318"/>
      <c r="U238" s="223"/>
      <c r="V238" s="223"/>
      <c r="W238" s="223"/>
      <c r="X238" s="223"/>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223"/>
      <c r="BK238" s="223"/>
      <c r="BL238" s="223"/>
      <c r="BM238" s="223"/>
      <c r="BN238" s="223"/>
      <c r="BO238" s="223"/>
      <c r="BP238" s="223"/>
      <c r="BQ238" s="223"/>
      <c r="BR238" s="223"/>
      <c r="BS238" s="223"/>
      <c r="BT238" s="223"/>
      <c r="BU238" s="223"/>
      <c r="BV238" s="223"/>
      <c r="BW238" s="223"/>
      <c r="BX238" s="223"/>
      <c r="BY238" s="223"/>
      <c r="BZ238" s="223"/>
      <c r="CA238" s="223"/>
      <c r="CB238" s="223"/>
      <c r="CC238" s="223"/>
      <c r="CD238" s="223"/>
      <c r="CE238" s="223"/>
      <c r="CF238" s="223"/>
      <c r="CG238" s="223"/>
      <c r="CH238" s="223"/>
    </row>
    <row r="239" spans="1:86" s="107" customFormat="1" ht="60" customHeight="1" x14ac:dyDescent="0.65">
      <c r="A239" s="907"/>
      <c r="B239" s="910"/>
      <c r="C239" s="913"/>
      <c r="D239" s="910"/>
      <c r="E239" s="910"/>
      <c r="F239" s="910"/>
      <c r="G239" s="925"/>
      <c r="H239" s="407"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39" s="900" t="str">
        <f ca="1">IFERROR(IF(INDEX('WPTM - Section F'!R$1:R$100,MATCH('Print View'!$A237,'WPTM - Section F'!$A$1:$A$100,0))&lt;&gt;0,INDEX('WPTM - Section F'!R$1:R$100,MATCH('Print View'!$A237,'WPTM - Section F'!$A$1:$A$100,0)),""),"")</f>
        <v/>
      </c>
      <c r="J239" s="901"/>
      <c r="K239" s="901"/>
      <c r="L239" s="901"/>
      <c r="M239" s="902"/>
      <c r="N239" s="900" t="str">
        <f ca="1">IFERROR(IF(INDEX('WPTM - Section F'!S$1:S$100,MATCH('Print View'!$A237,'WPTM - Section F'!$A$1:$A$100,0))&lt;&gt;0,INDEX('WPTM - Section F'!S$1:S$100,MATCH('Print View'!$A237,'WPTM - Section F'!$A$1:$A$100,0)),""),"")</f>
        <v/>
      </c>
      <c r="O239" s="901"/>
      <c r="P239" s="901"/>
      <c r="Q239" s="901"/>
      <c r="R239" s="901"/>
      <c r="S239" s="902"/>
      <c r="T239" s="318"/>
      <c r="U239" s="223"/>
      <c r="V239" s="223"/>
      <c r="W239" s="223"/>
      <c r="X239" s="223"/>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223"/>
      <c r="BK239" s="223"/>
      <c r="BL239" s="223"/>
      <c r="BM239" s="223"/>
      <c r="BN239" s="223"/>
      <c r="BO239" s="223"/>
      <c r="BP239" s="223"/>
      <c r="BQ239" s="223"/>
      <c r="BR239" s="223"/>
      <c r="BS239" s="223"/>
      <c r="BT239" s="223"/>
      <c r="BU239" s="223"/>
      <c r="BV239" s="223"/>
      <c r="BW239" s="223"/>
      <c r="BX239" s="223"/>
      <c r="BY239" s="223"/>
      <c r="BZ239" s="223"/>
      <c r="CA239" s="223"/>
      <c r="CB239" s="223"/>
      <c r="CC239" s="223"/>
      <c r="CD239" s="223"/>
      <c r="CE239" s="223"/>
      <c r="CF239" s="223"/>
      <c r="CG239" s="223"/>
      <c r="CH239" s="223"/>
    </row>
    <row r="240" spans="1:86" s="107" customFormat="1" ht="60" customHeight="1" x14ac:dyDescent="0.65">
      <c r="A240" s="907"/>
      <c r="B240" s="910"/>
      <c r="C240" s="913"/>
      <c r="D240" s="910"/>
      <c r="E240" s="910"/>
      <c r="F240" s="910"/>
      <c r="G240" s="925"/>
      <c r="H240" s="407"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40" s="900" t="str">
        <f ca="1">IFERROR(IF(INDEX('WPTM - Section F'!V$1:V$100,MATCH('Print View'!$A237,'WPTM - Section F'!$A$1:$A$100,0))&lt;&gt;0,INDEX('WPTM - Section F'!V$1:V$100,MATCH('Print View'!$A237,'WPTM - Section F'!$A$1:$A$100,0)),""),"")</f>
        <v/>
      </c>
      <c r="J240" s="901"/>
      <c r="K240" s="901"/>
      <c r="L240" s="901"/>
      <c r="M240" s="902"/>
      <c r="N240" s="900" t="str">
        <f ca="1">IFERROR(IF(INDEX('WPTM - Section F'!W$1:W$100,MATCH('Print View'!$A237,'WPTM - Section F'!$A$1:$A$100,0))&lt;&gt;0,INDEX('WPTM - Section F'!W$1:W$100,MATCH('Print View'!$A237,'WPTM - Section F'!$A$1:$A$100,0)),""),"")</f>
        <v/>
      </c>
      <c r="O240" s="901"/>
      <c r="P240" s="901"/>
      <c r="Q240" s="901"/>
      <c r="R240" s="901"/>
      <c r="S240" s="902"/>
      <c r="T240" s="318"/>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223"/>
      <c r="BK240" s="223"/>
      <c r="BL240" s="223"/>
      <c r="BM240" s="223"/>
      <c r="BN240" s="223"/>
      <c r="BO240" s="223"/>
      <c r="BP240" s="223"/>
      <c r="BQ240" s="223"/>
      <c r="BR240" s="223"/>
      <c r="BS240" s="223"/>
      <c r="BT240" s="223"/>
      <c r="BU240" s="223"/>
      <c r="BV240" s="223"/>
      <c r="BW240" s="223"/>
      <c r="BX240" s="223"/>
      <c r="BY240" s="223"/>
      <c r="BZ240" s="223"/>
      <c r="CA240" s="223"/>
      <c r="CB240" s="223"/>
      <c r="CC240" s="223"/>
      <c r="CD240" s="223"/>
      <c r="CE240" s="223"/>
      <c r="CF240" s="223"/>
      <c r="CG240" s="223"/>
      <c r="CH240" s="223"/>
    </row>
    <row r="241" spans="1:86" s="107" customFormat="1" ht="60" customHeight="1" x14ac:dyDescent="0.65">
      <c r="A241" s="907"/>
      <c r="B241" s="910"/>
      <c r="C241" s="913"/>
      <c r="D241" s="910"/>
      <c r="E241" s="910"/>
      <c r="F241" s="910"/>
      <c r="G241" s="925"/>
      <c r="H241" s="407"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41" s="900" t="str">
        <f ca="1">IFERROR(IF(INDEX('WPTM - Section F'!Z$1:Z$100,MATCH('Print View'!$A237,'WPTM - Section F'!$A$1:$A$100,0))&lt;&gt;0,INDEX('WPTM - Section F'!Z$1:Z$100,MATCH('Print View'!$A237,'WPTM - Section F'!$A$1:$A$100,0)),""),"")</f>
        <v/>
      </c>
      <c r="J241" s="901"/>
      <c r="K241" s="901"/>
      <c r="L241" s="901"/>
      <c r="M241" s="902"/>
      <c r="N241" s="900" t="str">
        <f ca="1">IFERROR(IF(INDEX('WPTM - Section F'!AA$1:AA$100,MATCH('Print View'!$A237,'WPTM - Section F'!$A$1:$A$100,0))&lt;&gt;0,INDEX('WPTM - Section F'!AA$1:AA$100,MATCH('Print View'!$A237,'WPTM - Section F'!$A$1:$A$100,0)),""),"")</f>
        <v/>
      </c>
      <c r="O241" s="901"/>
      <c r="P241" s="901"/>
      <c r="Q241" s="901"/>
      <c r="R241" s="901"/>
      <c r="S241" s="902"/>
      <c r="T241" s="318"/>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223"/>
      <c r="BK241" s="223"/>
      <c r="BL241" s="223"/>
      <c r="BM241" s="223"/>
      <c r="BN241" s="223"/>
      <c r="BO241" s="223"/>
      <c r="BP241" s="223"/>
      <c r="BQ241" s="223"/>
      <c r="BR241" s="223"/>
      <c r="BS241" s="223"/>
      <c r="BT241" s="223"/>
      <c r="BU241" s="223"/>
      <c r="BV241" s="223"/>
      <c r="BW241" s="223"/>
      <c r="BX241" s="223"/>
      <c r="BY241" s="223"/>
      <c r="BZ241" s="223"/>
      <c r="CA241" s="223"/>
      <c r="CB241" s="223"/>
      <c r="CC241" s="223"/>
      <c r="CD241" s="223"/>
      <c r="CE241" s="223"/>
      <c r="CF241" s="223"/>
      <c r="CG241" s="223"/>
      <c r="CH241" s="223"/>
    </row>
    <row r="242" spans="1:86" s="107" customFormat="1" ht="60" customHeight="1" x14ac:dyDescent="0.65">
      <c r="A242" s="907"/>
      <c r="B242" s="910"/>
      <c r="C242" s="913"/>
      <c r="D242" s="910"/>
      <c r="E242" s="910"/>
      <c r="F242" s="910"/>
      <c r="G242" s="925"/>
      <c r="H242" s="407"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42" s="900" t="str">
        <f ca="1">IFERROR(IF(INDEX('WPTM - Section F'!AD$1:AD$100,MATCH('Print View'!$A237,'WPTM - Section F'!$A$1:$A$100,0))&lt;&gt;0,INDEX('WPTM - Section F'!AD$1:AD$100,MATCH('Print View'!$A237,'WPTM - Section F'!$A$1:$A$100,0)),""),"")</f>
        <v/>
      </c>
      <c r="J242" s="901"/>
      <c r="K242" s="901"/>
      <c r="L242" s="901"/>
      <c r="M242" s="902"/>
      <c r="N242" s="900" t="str">
        <f ca="1">IFERROR(IF(INDEX('WPTM - Section F'!AE$1:AE$100,MATCH('Print View'!$A237,'WPTM - Section F'!$A$1:$A$100,0))&lt;&gt;0,INDEX('WPTM - Section F'!AE$1:AE$100,MATCH('Print View'!$A237,'WPTM - Section F'!$A$1:$A$100,0)),""),"")</f>
        <v/>
      </c>
      <c r="O242" s="901"/>
      <c r="P242" s="901"/>
      <c r="Q242" s="901"/>
      <c r="R242" s="901"/>
      <c r="S242" s="902"/>
      <c r="T242" s="318"/>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c r="BM242" s="223"/>
      <c r="BN242" s="223"/>
      <c r="BO242" s="223"/>
      <c r="BP242" s="223"/>
      <c r="BQ242" s="223"/>
      <c r="BR242" s="223"/>
      <c r="BS242" s="223"/>
      <c r="BT242" s="223"/>
      <c r="BU242" s="223"/>
      <c r="BV242" s="223"/>
      <c r="BW242" s="223"/>
      <c r="BX242" s="223"/>
      <c r="BY242" s="223"/>
      <c r="BZ242" s="223"/>
      <c r="CA242" s="223"/>
      <c r="CB242" s="223"/>
      <c r="CC242" s="223"/>
      <c r="CD242" s="223"/>
      <c r="CE242" s="223"/>
      <c r="CF242" s="223"/>
      <c r="CG242" s="223"/>
      <c r="CH242" s="223"/>
    </row>
    <row r="243" spans="1:86" s="107" customFormat="1" ht="60" customHeight="1" x14ac:dyDescent="0.65">
      <c r="A243" s="907"/>
      <c r="B243" s="911"/>
      <c r="C243" s="914"/>
      <c r="D243" s="911"/>
      <c r="E243" s="911"/>
      <c r="F243" s="911"/>
      <c r="G243" s="926"/>
      <c r="H243" s="407" t="str">
        <f>IF(IFERROR(INDEX('Overview - Section A'!$A$39:$A$46,MATCH(D$29,'Overview - Section A'!$B$39:$B$46,0)),"")="","",TEXT(IFERROR(INDEX('Overview - Section A'!$A$39:$A$46,MATCH(D$29,'Overview - Section A'!$B$39:$B$46,0)),""),Setup!$A$33) &amp;" to " &amp; TEXT(IFERROR(INDEX('Overview - Section A'!$E$39:$E$46,MATCH(D$29,'Overview - Section A'!$B$39:$B$46,0)),""),Setup!$A$33))</f>
        <v/>
      </c>
      <c r="I243" s="900" t="str">
        <f ca="1">IFERROR(IF(INDEX('WPTM - Section F'!AH$1:AH$100,MATCH('Print View'!$A237,'WPTM - Section F'!$A$1:$A$100,0))&lt;&gt;0,INDEX('WPTM - Section F'!AH$1:AH$100,MATCH('Print View'!$A237,'WPTM - Section F'!$A$1:$A$100,0)),""),"")</f>
        <v/>
      </c>
      <c r="J243" s="901"/>
      <c r="K243" s="901"/>
      <c r="L243" s="901"/>
      <c r="M243" s="902"/>
      <c r="N243" s="900" t="str">
        <f ca="1">IFERROR(IF(INDEX('WPTM - Section F'!AI$1:AI$100,MATCH('Print View'!$A237,'WPTM - Section F'!$A$1:$A$100,0))&lt;&gt;0,INDEX('WPTM - Section F'!AI$1:AI$100,MATCH('Print View'!$A237,'WPTM - Section F'!$A$1:$A$100,0)),""),"")</f>
        <v/>
      </c>
      <c r="O243" s="901"/>
      <c r="P243" s="901"/>
      <c r="Q243" s="901"/>
      <c r="R243" s="901"/>
      <c r="S243" s="902"/>
      <c r="T243" s="318"/>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223"/>
      <c r="BK243" s="223"/>
      <c r="BL243" s="223"/>
      <c r="BM243" s="223"/>
      <c r="BN243" s="223"/>
      <c r="BO243" s="223"/>
      <c r="BP243" s="223"/>
      <c r="BQ243" s="223"/>
      <c r="BR243" s="223"/>
      <c r="BS243" s="223"/>
      <c r="BT243" s="223"/>
      <c r="BU243" s="223"/>
      <c r="BV243" s="223"/>
      <c r="BW243" s="223"/>
      <c r="BX243" s="223"/>
      <c r="BY243" s="223"/>
      <c r="BZ243" s="223"/>
      <c r="CA243" s="223"/>
      <c r="CB243" s="223"/>
      <c r="CC243" s="223"/>
      <c r="CD243" s="223"/>
      <c r="CE243" s="223"/>
      <c r="CF243" s="223"/>
      <c r="CG243" s="223"/>
      <c r="CH243" s="223"/>
    </row>
    <row r="244" spans="1:86" s="107" customFormat="1" ht="60" customHeight="1" x14ac:dyDescent="0.65">
      <c r="A244" s="907"/>
      <c r="B244" s="896" t="str">
        <f ca="1">IFERROR(IF(INDEX('WPTM - Section F'!AV$1:AV$100,MATCH('Print View'!$A237,'WPTM - Section F'!$A$1:$A$100,0))&lt;&gt;0,INDEX('WPTM - Section F'!AV$1:AV$100,MATCH('Print View'!$A237,'WPTM - Section F'!$A$1:$A$100,0)),""),"")</f>
        <v/>
      </c>
      <c r="C244" s="897"/>
      <c r="D244" s="897"/>
      <c r="E244" s="897"/>
      <c r="F244" s="897"/>
      <c r="G244" s="897"/>
      <c r="H244" s="897"/>
      <c r="I244" s="897"/>
      <c r="J244" s="897"/>
      <c r="K244" s="897"/>
      <c r="L244" s="897"/>
      <c r="M244" s="897"/>
      <c r="N244" s="897"/>
      <c r="O244" s="897"/>
      <c r="P244" s="897"/>
      <c r="Q244" s="897"/>
      <c r="R244" s="897"/>
      <c r="S244" s="898"/>
      <c r="T244" s="318"/>
      <c r="U244" s="223"/>
      <c r="V244" s="223"/>
      <c r="W244" s="223"/>
      <c r="X244" s="223"/>
      <c r="Y244" s="223"/>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223"/>
      <c r="BK244" s="223"/>
      <c r="BL244" s="223"/>
      <c r="BM244" s="223"/>
      <c r="BN244" s="223"/>
      <c r="BO244" s="223"/>
      <c r="BP244" s="223"/>
      <c r="BQ244" s="223"/>
      <c r="BR244" s="223"/>
      <c r="BS244" s="223"/>
      <c r="BT244" s="223"/>
      <c r="BU244" s="223"/>
      <c r="BV244" s="223"/>
      <c r="BW244" s="223"/>
      <c r="BX244" s="223"/>
      <c r="BY244" s="223"/>
      <c r="BZ244" s="223"/>
      <c r="CA244" s="223"/>
      <c r="CB244" s="223"/>
      <c r="CC244" s="223"/>
      <c r="CD244" s="223"/>
      <c r="CE244" s="223"/>
      <c r="CF244" s="223"/>
      <c r="CG244" s="223"/>
      <c r="CH244" s="223"/>
    </row>
    <row r="245" spans="1:86" s="427" customFormat="1" ht="60" customHeight="1" x14ac:dyDescent="0.35">
      <c r="A245" s="927">
        <v>4</v>
      </c>
      <c r="B245" s="921" t="str">
        <f ca="1">IFERROR(IF(INDEX('WPTM - Section F'!B$1:B$100,MATCH('Print View'!$A245,'WPTM - Section F'!$A$1:$A$100,0))&lt;&gt;0,INDEX('WPTM - Section F'!B$1:B$100,MATCH('Print View'!$A245,'WPTM - Section F'!$A$1:$A$100,0)),""),"")</f>
        <v/>
      </c>
      <c r="C245" s="930" t="str">
        <f ca="1">IFERROR(IF(INDEX('WPTM - Section F'!C$1:C$100,MATCH('Print View'!$A245,'WPTM - Section F'!$A$1:$A$100,0))&lt;&gt;0,INDEX('WPTM - Section F'!C$1:C$100,MATCH('Print View'!$A245,'WPTM - Section F'!$A$1:$A$100,0)),""),"")</f>
        <v/>
      </c>
      <c r="D245" s="921" t="str">
        <f ca="1">IFERROR(IF(INDEX('WPTM - Section F'!D$1:D$100,MATCH('Print View'!$A245,'WPTM - Section F'!$A$1:$A$100,0))&lt;&gt;0,INDEX('WPTM - Section F'!D$1:D$100,MATCH('Print View'!$A245,'WPTM - Section F'!$A$1:$A$100,0)),""),"")</f>
        <v/>
      </c>
      <c r="E245" s="921" t="str">
        <f ca="1">IFERROR(IF(INDEX('WPTM - Section F'!E$1:E$100,MATCH('Print View'!$A245,'WPTM - Section F'!$A$1:$A$100,0))&lt;&gt;0,INDEX('WPTM - Section F'!E$1:E$100,MATCH('Print View'!$A245,'WPTM - Section F'!$A$1:$A$100,0)),""),"")</f>
        <v/>
      </c>
      <c r="F245" s="921" t="str">
        <f ca="1">IFERROR(IF(INDEX('WPTM - Section F'!F$1:F$100,MATCH('Print View'!$A245,'WPTM - Section F'!$A$1:$A$100,0))&lt;&gt;0,INDEX('WPTM - Section F'!F$1:F$100,MATCH('Print View'!$A245,'WPTM - Section F'!$A$1:$A$100,0)),""),"")</f>
        <v/>
      </c>
      <c r="G245" s="921" t="str">
        <f ca="1">IFERROR(IF(INDEX('WPTM - Section F'!G$1:G$100,MATCH('Print View'!A245,'WPTM - Section F'!$A$1:$A$100,0))&lt;&gt;0,INDEX('WPTM - Section F'!G$1:G$100,MATCH('Print View'!A245,'WPTM - Section F'!$A$1:$A$100,0)),""),"")</f>
        <v/>
      </c>
      <c r="H245" s="425"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45" s="903" t="str">
        <f ca="1">IFERROR(IF(INDEX('WPTM - Section F'!J$1:J$100,MATCH('Print View'!$A245,'WPTM - Section F'!$A$1:$A$100,0))&lt;&gt;0,INDEX('WPTM - Section F'!J$1:J$100,MATCH('Print View'!$A245,'WPTM - Section F'!$A$1:$A$100,0)),""),"")</f>
        <v/>
      </c>
      <c r="J245" s="904"/>
      <c r="K245" s="904"/>
      <c r="L245" s="904"/>
      <c r="M245" s="905"/>
      <c r="N245" s="903" t="str">
        <f ca="1">IFERROR(IF(INDEX('WPTM - Section F'!K$1:K$100,MATCH('Print View'!$A245,'WPTM - Section F'!$A$1:$A$100,0))&lt;&gt;0,INDEX('WPTM - Section F'!K$1:K$100,MATCH('Print View'!$A245,'WPTM - Section F'!$A$1:$A$100,0)),""),"")</f>
        <v/>
      </c>
      <c r="O245" s="904"/>
      <c r="P245" s="904"/>
      <c r="Q245" s="904"/>
      <c r="R245" s="904"/>
      <c r="S245" s="904"/>
      <c r="T245" s="314"/>
    </row>
    <row r="246" spans="1:86" s="427" customFormat="1" ht="60" customHeight="1" x14ac:dyDescent="0.35">
      <c r="A246" s="928"/>
      <c r="B246" s="922"/>
      <c r="C246" s="931"/>
      <c r="D246" s="922"/>
      <c r="E246" s="922"/>
      <c r="F246" s="922"/>
      <c r="G246" s="922"/>
      <c r="H246" s="425"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46" s="903" t="str">
        <f ca="1">IFERROR(IF(INDEX('WPTM - Section F'!J$1:J$100,MATCH('Print View'!$A245,'WPTM - Section F'!$A$1:$A$100,0))&lt;&gt;0,INDEX('WPTM - Section F'!J$1:J$100,MATCH('Print View'!$A245,'WPTM - Section F'!$A$1:$A$100,0)),""),"")</f>
        <v/>
      </c>
      <c r="J246" s="904"/>
      <c r="K246" s="904"/>
      <c r="L246" s="904"/>
      <c r="M246" s="905"/>
      <c r="N246" s="903" t="str">
        <f ca="1">IFERROR(IF(INDEX('WPTM - Section F'!O$1:O$100,MATCH('Print View'!$A245,'WPTM - Section F'!$A$1:$A$100,0))&lt;&gt;0,INDEX('WPTM - Section F'!O$1:O$100,MATCH('Print View'!$A245,'WPTM - Section F'!$A$1:$A$100,0)),""),"")</f>
        <v/>
      </c>
      <c r="O246" s="904"/>
      <c r="P246" s="904"/>
      <c r="Q246" s="904"/>
      <c r="R246" s="904"/>
      <c r="S246" s="904"/>
      <c r="T246" s="314"/>
    </row>
    <row r="247" spans="1:86" s="427" customFormat="1" ht="60" customHeight="1" x14ac:dyDescent="0.35">
      <c r="A247" s="928"/>
      <c r="B247" s="922"/>
      <c r="C247" s="931"/>
      <c r="D247" s="922"/>
      <c r="E247" s="922"/>
      <c r="F247" s="922"/>
      <c r="G247" s="922"/>
      <c r="H247" s="425"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47" s="903" t="str">
        <f ca="1">IFERROR(IF(INDEX('WPTM - Section F'!R$1:R$100,MATCH('Print View'!$A245,'WPTM - Section F'!$A$1:$A$100,0))&lt;&gt;0,INDEX('WPTM - Section F'!R$1:R$100,MATCH('Print View'!$A245,'WPTM - Section F'!$A$1:$A$100,0)),""),"")</f>
        <v/>
      </c>
      <c r="J247" s="904"/>
      <c r="K247" s="904"/>
      <c r="L247" s="904"/>
      <c r="M247" s="905"/>
      <c r="N247" s="903" t="str">
        <f ca="1">IFERROR(IF(INDEX('WPTM - Section F'!S$1:S$100,MATCH('Print View'!$A245,'WPTM - Section F'!$A$1:$A$100,0))&lt;&gt;0,INDEX('WPTM - Section F'!S$1:S$100,MATCH('Print View'!$A245,'WPTM - Section F'!$A$1:$A$100,0)),""),"")</f>
        <v/>
      </c>
      <c r="O247" s="904"/>
      <c r="P247" s="904"/>
      <c r="Q247" s="904"/>
      <c r="R247" s="904"/>
      <c r="S247" s="904"/>
      <c r="T247" s="314"/>
    </row>
    <row r="248" spans="1:86" s="427" customFormat="1" ht="60" customHeight="1" x14ac:dyDescent="0.35">
      <c r="A248" s="928"/>
      <c r="B248" s="922"/>
      <c r="C248" s="931"/>
      <c r="D248" s="922"/>
      <c r="E248" s="922"/>
      <c r="F248" s="922"/>
      <c r="G248" s="922"/>
      <c r="H248" s="425"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48" s="903" t="str">
        <f ca="1">IFERROR(IF(INDEX('WPTM - Section F'!V$1:V$100,MATCH('Print View'!$A245,'WPTM - Section F'!$A$1:$A$100,0))&lt;&gt;0,INDEX('WPTM - Section F'!V$1:V$100,MATCH('Print View'!$A245,'WPTM - Section F'!$A$1:$A$100,0)),""),"")</f>
        <v/>
      </c>
      <c r="J248" s="904"/>
      <c r="K248" s="904"/>
      <c r="L248" s="904"/>
      <c r="M248" s="905"/>
      <c r="N248" s="903" t="str">
        <f ca="1">IFERROR(IF(INDEX('WPTM - Section F'!W$1:W$100,MATCH('Print View'!$A245,'WPTM - Section F'!$A$1:$A$100,0))&lt;&gt;0,INDEX('WPTM - Section F'!W$1:W$100,MATCH('Print View'!$A245,'WPTM - Section F'!$A$1:$A$100,0)),""),"")</f>
        <v/>
      </c>
      <c r="O248" s="904"/>
      <c r="P248" s="904"/>
      <c r="Q248" s="904"/>
      <c r="R248" s="904"/>
      <c r="S248" s="904"/>
      <c r="T248" s="314"/>
    </row>
    <row r="249" spans="1:86" s="427" customFormat="1" ht="60" customHeight="1" x14ac:dyDescent="0.35">
      <c r="A249" s="928"/>
      <c r="B249" s="922"/>
      <c r="C249" s="931"/>
      <c r="D249" s="922"/>
      <c r="E249" s="922"/>
      <c r="F249" s="922"/>
      <c r="G249" s="922"/>
      <c r="H249" s="425"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49" s="903" t="str">
        <f ca="1">IFERROR(IF(INDEX('WPTM - Section F'!Z$1:Z$100,MATCH('Print View'!$A245,'WPTM - Section F'!$A$1:$A$100,0))&lt;&gt;0,INDEX('WPTM - Section F'!Z$1:Z$100,MATCH('Print View'!$A245,'WPTM - Section F'!$A$1:$A$100,0)),""),"")</f>
        <v/>
      </c>
      <c r="J249" s="904"/>
      <c r="K249" s="904"/>
      <c r="L249" s="904"/>
      <c r="M249" s="905"/>
      <c r="N249" s="903" t="str">
        <f ca="1">IFERROR(IF(INDEX('WPTM - Section F'!AA$1:AA$100,MATCH('Print View'!$A245,'WPTM - Section F'!$A$1:$A$100,0))&lt;&gt;0,INDEX('WPTM - Section F'!AA$1:AA$100,MATCH('Print View'!$A245,'WPTM - Section F'!$A$1:$A$100,0)),""),"")</f>
        <v/>
      </c>
      <c r="O249" s="904"/>
      <c r="P249" s="904"/>
      <c r="Q249" s="904"/>
      <c r="R249" s="904"/>
      <c r="S249" s="904"/>
      <c r="T249" s="314"/>
    </row>
    <row r="250" spans="1:86" s="427" customFormat="1" ht="60" customHeight="1" x14ac:dyDescent="0.35">
      <c r="A250" s="928"/>
      <c r="B250" s="922"/>
      <c r="C250" s="931"/>
      <c r="D250" s="922"/>
      <c r="E250" s="922"/>
      <c r="F250" s="922"/>
      <c r="G250" s="922"/>
      <c r="H250" s="425"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50" s="903" t="str">
        <f ca="1">IFERROR(IF(INDEX('WPTM - Section F'!AD$1:AD$100,MATCH('Print View'!$A245,'WPTM - Section F'!$A$1:$A$100,0))&lt;&gt;0,INDEX('WPTM - Section F'!AD$1:AD$100,MATCH('Print View'!$A245,'WPTM - Section F'!$A$1:$A$100,0)),""),"")</f>
        <v/>
      </c>
      <c r="J250" s="904"/>
      <c r="K250" s="904"/>
      <c r="L250" s="904"/>
      <c r="M250" s="905"/>
      <c r="N250" s="903" t="str">
        <f ca="1">IFERROR(IF(INDEX('WPTM - Section F'!AE$1:AE$100,MATCH('Print View'!$A245,'WPTM - Section F'!$A$1:$A$100,0))&lt;&gt;0,INDEX('WPTM - Section F'!AE$1:AE$100,MATCH('Print View'!$A245,'WPTM - Section F'!$A$1:$A$100,0)),""),"")</f>
        <v/>
      </c>
      <c r="O250" s="904"/>
      <c r="P250" s="904"/>
      <c r="Q250" s="904"/>
      <c r="R250" s="904"/>
      <c r="S250" s="904"/>
      <c r="T250" s="314"/>
    </row>
    <row r="251" spans="1:86" s="427" customFormat="1" ht="60" customHeight="1" x14ac:dyDescent="0.35">
      <c r="A251" s="928"/>
      <c r="B251" s="923"/>
      <c r="C251" s="932"/>
      <c r="D251" s="923"/>
      <c r="E251" s="923"/>
      <c r="F251" s="923"/>
      <c r="G251" s="923"/>
      <c r="H251" s="425" t="str">
        <f>IF(IFERROR(INDEX('Overview - Section A'!$A$39:$A$46,MATCH(D$29,'Overview - Section A'!$B$39:$B$46,0)),"")="","",TEXT(IFERROR(INDEX('Overview - Section A'!$A$39:$A$46,MATCH(D$29,'Overview - Section A'!$B$39:$B$46,0)),""),Setup!$A$33) &amp;" to " &amp; TEXT(IFERROR(INDEX('Overview - Section A'!$E$39:$E$46,MATCH(D$29,'Overview - Section A'!$B$39:$B$46,0)),""),Setup!$A$33))</f>
        <v/>
      </c>
      <c r="I251" s="903" t="str">
        <f ca="1">IFERROR(IF(INDEX('WPTM - Section F'!AH$1:AH$100,MATCH('Print View'!$A245,'WPTM - Section F'!$A$1:$A$100,0))&lt;&gt;0,INDEX('WPTM - Section F'!AH$1:AH$100,MATCH('Print View'!$A245,'WPTM - Section F'!$A$1:$A$100,0)),""),"")</f>
        <v/>
      </c>
      <c r="J251" s="904"/>
      <c r="K251" s="904"/>
      <c r="L251" s="904"/>
      <c r="M251" s="905"/>
      <c r="N251" s="903" t="str">
        <f ca="1">IFERROR(IF(INDEX('WPTM - Section F'!AI$1:AI$100,MATCH('Print View'!$A245,'WPTM - Section F'!$A$1:$A$100,0))&lt;&gt;0,INDEX('WPTM - Section F'!AI$1:AI$100,MATCH('Print View'!$A245,'WPTM - Section F'!$A$1:$A$100,0)),""),"")</f>
        <v/>
      </c>
      <c r="O251" s="904"/>
      <c r="P251" s="904"/>
      <c r="Q251" s="904"/>
      <c r="R251" s="904"/>
      <c r="S251" s="904"/>
      <c r="T251" s="314"/>
    </row>
    <row r="252" spans="1:86" s="427" customFormat="1" ht="60" customHeight="1" x14ac:dyDescent="0.65">
      <c r="A252" s="929"/>
      <c r="B252" s="918" t="str">
        <f ca="1">IFERROR(IF(INDEX('WPTM - Section F'!AV$1:AV$100,MATCH('Print View'!$A245,'WPTM - Section F'!$A$1:$A$100,0))&lt;&gt;0,INDEX('WPTM - Section F'!AV$1:AV$100,MATCH('Print View'!$A245,'WPTM - Section F'!$A$1:$A$100,0)),""),"")</f>
        <v/>
      </c>
      <c r="C252" s="919"/>
      <c r="D252" s="919"/>
      <c r="E252" s="919"/>
      <c r="F252" s="919"/>
      <c r="G252" s="919"/>
      <c r="H252" s="919"/>
      <c r="I252" s="919"/>
      <c r="J252" s="919"/>
      <c r="K252" s="919"/>
      <c r="L252" s="919"/>
      <c r="M252" s="919"/>
      <c r="N252" s="919"/>
      <c r="O252" s="919"/>
      <c r="P252" s="919"/>
      <c r="Q252" s="919"/>
      <c r="R252" s="919"/>
      <c r="S252" s="920"/>
      <c r="T252" s="314"/>
    </row>
    <row r="253" spans="1:86" s="107" customFormat="1" ht="60" customHeight="1" x14ac:dyDescent="0.65">
      <c r="A253" s="906">
        <v>5</v>
      </c>
      <c r="B253" s="909" t="str">
        <f ca="1">IFERROR(IF(INDEX('WPTM - Section F'!B$1:B$100,MATCH('Print View'!$A253,'WPTM - Section F'!$A$1:$A$100,0))&lt;&gt;0,INDEX('WPTM - Section F'!B$1:B$100,MATCH('Print View'!$A253,'WPTM - Section F'!$A$1:$A$100,0)),""),"")</f>
        <v/>
      </c>
      <c r="C253" s="912" t="str">
        <f ca="1">IFERROR(IF(INDEX('WPTM - Section F'!C$1:C$100,MATCH('Print View'!$A253,'WPTM - Section F'!$A$1:$A$100,0))&lt;&gt;0,INDEX('WPTM - Section F'!C$1:C$100,MATCH('Print View'!$A253,'WPTM - Section F'!$A$1:$A$100,0)),""),"")</f>
        <v/>
      </c>
      <c r="D253" s="909" t="str">
        <f ca="1">IFERROR(IF(INDEX('WPTM - Section F'!D$1:D$100,MATCH('Print View'!$A253,'WPTM - Section F'!$A$1:$A$100,0))&lt;&gt;0,INDEX('WPTM - Section F'!D$1:D$100,MATCH('Print View'!$A253,'WPTM - Section F'!$A$1:$A$100,0)),""),"")</f>
        <v/>
      </c>
      <c r="E253" s="909" t="str">
        <f ca="1">IFERROR(IF(INDEX('WPTM - Section F'!E$1:E$100,MATCH('Print View'!$A253,'WPTM - Section F'!$A$1:$A$100,0))&lt;&gt;0,INDEX('WPTM - Section F'!E$1:E$100,MATCH('Print View'!$A253,'WPTM - Section F'!$A$1:$A$100,0)),""),"")</f>
        <v/>
      </c>
      <c r="F253" s="909" t="str">
        <f ca="1">IFERROR(IF(INDEX('WPTM - Section F'!F$1:F$100,MATCH('Print View'!$A253,'WPTM - Section F'!$A$1:$A$100,0))&lt;&gt;0,INDEX('WPTM - Section F'!F$1:F$100,MATCH('Print View'!$A253,'WPTM - Section F'!$A$1:$A$100,0)),""),"")</f>
        <v/>
      </c>
      <c r="G253" s="924" t="str">
        <f ca="1">IFERROR(IF(INDEX('WPTM - Section F'!G$1:G$100,MATCH('Print View'!$A253,'WPTM - Section F'!$A$1:$A$100,0))&lt;&gt;0,INDEX('WPTM - Section F'!G$1:G$100,MATCH('Print View'!$A253,'WPTM - Section F'!$A$1:$A$100,0)),""),"")</f>
        <v/>
      </c>
      <c r="H253" s="407"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53" s="900" t="str">
        <f ca="1">IFERROR(IF(INDEX('WPTM - Section F'!J$1:J$100,MATCH('Print View'!$A253,'WPTM - Section F'!$A$1:$A$100,0))&lt;&gt;0,INDEX('WPTM - Section F'!J$1:J$100,MATCH('Print View'!$A253,'WPTM - Section F'!$A$1:$A$100,0)),""),"")</f>
        <v/>
      </c>
      <c r="J253" s="901"/>
      <c r="K253" s="901"/>
      <c r="L253" s="901"/>
      <c r="M253" s="902"/>
      <c r="N253" s="900" t="str">
        <f ca="1">IFERROR(IF(INDEX('WPTM - Section F'!K$1:K$100,MATCH('Print View'!$A253,'WPTM - Section F'!$A$1:$A$100,0))&lt;&gt;0,INDEX('WPTM - Section F'!K$1:K$100,MATCH('Print View'!$A253,'WPTM - Section F'!$A$1:$A$100,0)),""),"")</f>
        <v/>
      </c>
      <c r="O253" s="901"/>
      <c r="P253" s="901"/>
      <c r="Q253" s="901"/>
      <c r="R253" s="901"/>
      <c r="S253" s="902"/>
      <c r="T253" s="318"/>
      <c r="U253" s="223"/>
      <c r="V253" s="223"/>
      <c r="W253" s="223"/>
      <c r="X253" s="223"/>
      <c r="Y253" s="223"/>
      <c r="Z253" s="223"/>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223"/>
      <c r="BK253" s="223"/>
      <c r="BL253" s="223"/>
      <c r="BM253" s="223"/>
      <c r="BN253" s="223"/>
      <c r="BO253" s="223"/>
      <c r="BP253" s="223"/>
      <c r="BQ253" s="223"/>
      <c r="BR253" s="223"/>
      <c r="BS253" s="223"/>
      <c r="BT253" s="223"/>
      <c r="BU253" s="223"/>
      <c r="BV253" s="223"/>
      <c r="BW253" s="223"/>
      <c r="BX253" s="223"/>
      <c r="BY253" s="223"/>
      <c r="BZ253" s="223"/>
      <c r="CA253" s="223"/>
      <c r="CB253" s="223"/>
      <c r="CC253" s="223"/>
      <c r="CD253" s="223"/>
      <c r="CE253" s="223"/>
      <c r="CF253" s="223"/>
      <c r="CG253" s="223"/>
      <c r="CH253" s="223"/>
    </row>
    <row r="254" spans="1:86" s="107" customFormat="1" ht="60" customHeight="1" x14ac:dyDescent="0.65">
      <c r="A254" s="907">
        <v>34</v>
      </c>
      <c r="B254" s="910"/>
      <c r="C254" s="913" t="str">
        <f ca="1">IFERROR(IF(INDEX('WPTM - Section F'!C$1:C$100,MATCH('Print View'!$A254,'WPTM - Section F'!$A$1:$A$100,0))&lt;&gt;0,INDEX('WPTM - Section F'!C$1:C$100,MATCH('Print View'!$A254,'WPTM - Section F'!$A$1:$A$100,0)),""),"")</f>
        <v/>
      </c>
      <c r="D254" s="910"/>
      <c r="E254" s="910"/>
      <c r="F254" s="910"/>
      <c r="G254" s="925" t="str">
        <f ca="1">IFERROR(IF(INDEX('WPTM - Section F'!G$1:G$100,MATCH('Print View'!$A254,'WPTM - Section F'!$A$1:$A$100,0))&lt;&gt;0,INDEX('WPTM - Section F'!G$1:G$100,MATCH('Print View'!$A254,'WPTM - Section F'!$A$1:$A$100,0)),""),"")</f>
        <v/>
      </c>
      <c r="H254" s="407"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54" s="900" t="str">
        <f ca="1">IFERROR(IF(INDEX('WPTM - Section F'!N$1:N$100,MATCH('Print View'!$A253,'WPTM - Section F'!$A$1:$A$100,0))&lt;&gt;0,INDEX('WPTM - Section F'!N$1:N$100,MATCH('Print View'!$A253,'WPTM - Section F'!$A$1:$A$100,0)),""),"")</f>
        <v/>
      </c>
      <c r="J254" s="901"/>
      <c r="K254" s="901"/>
      <c r="L254" s="901"/>
      <c r="M254" s="902"/>
      <c r="N254" s="900" t="str">
        <f ca="1">IFERROR(IF(INDEX('WPTM - Section F'!O$1:O$100,MATCH('Print View'!$A253,'WPTM - Section F'!$A$1:$A$100,0))&lt;&gt;0,INDEX('WPTM - Section F'!O$1:O$100,MATCH('Print View'!$A253,'WPTM - Section F'!$A$1:$A$100,0)),""),"")</f>
        <v/>
      </c>
      <c r="O254" s="901"/>
      <c r="P254" s="901"/>
      <c r="Q254" s="901"/>
      <c r="R254" s="901"/>
      <c r="S254" s="902"/>
      <c r="T254" s="318"/>
      <c r="U254" s="223"/>
      <c r="V254" s="223"/>
      <c r="W254" s="223"/>
      <c r="X254" s="223"/>
      <c r="Y254" s="223"/>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223"/>
      <c r="BK254" s="223"/>
      <c r="BL254" s="223"/>
      <c r="BM254" s="223"/>
      <c r="BN254" s="223"/>
      <c r="BO254" s="223"/>
      <c r="BP254" s="223"/>
      <c r="BQ254" s="223"/>
      <c r="BR254" s="223"/>
      <c r="BS254" s="223"/>
      <c r="BT254" s="223"/>
      <c r="BU254" s="223"/>
      <c r="BV254" s="223"/>
      <c r="BW254" s="223"/>
      <c r="BX254" s="223"/>
      <c r="BY254" s="223"/>
      <c r="BZ254" s="223"/>
      <c r="CA254" s="223"/>
      <c r="CB254" s="223"/>
      <c r="CC254" s="223"/>
      <c r="CD254" s="223"/>
      <c r="CE254" s="223"/>
      <c r="CF254" s="223"/>
      <c r="CG254" s="223"/>
      <c r="CH254" s="223"/>
    </row>
    <row r="255" spans="1:86" s="107" customFormat="1" ht="60" customHeight="1" x14ac:dyDescent="0.65">
      <c r="A255" s="907">
        <v>35</v>
      </c>
      <c r="B255" s="910"/>
      <c r="C255" s="913" t="str">
        <f ca="1">IFERROR(IF(INDEX('WPTM - Section F'!C$1:C$100,MATCH('Print View'!$A255,'WPTM - Section F'!$A$1:$A$100,0))&lt;&gt;0,INDEX('WPTM - Section F'!C$1:C$100,MATCH('Print View'!$A255,'WPTM - Section F'!$A$1:$A$100,0)),""),"")</f>
        <v/>
      </c>
      <c r="D255" s="910"/>
      <c r="E255" s="910"/>
      <c r="F255" s="910"/>
      <c r="G255" s="925" t="str">
        <f ca="1">IFERROR(IF(INDEX('WPTM - Section F'!G$1:G$100,MATCH('Print View'!$A255,'WPTM - Section F'!$A$1:$A$100,0))&lt;&gt;0,INDEX('WPTM - Section F'!G$1:G$100,MATCH('Print View'!$A255,'WPTM - Section F'!$A$1:$A$100,0)),""),"")</f>
        <v/>
      </c>
      <c r="H255" s="407"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55" s="900" t="str">
        <f ca="1">IFERROR(IF(INDEX('WPTM - Section F'!R$1:R$100,MATCH('Print View'!$A253,'WPTM - Section F'!$A$1:$A$100,0))&lt;&gt;0,INDEX('WPTM - Section F'!R$1:R$100,MATCH('Print View'!$A253,'WPTM - Section F'!$A$1:$A$100,0)),""),"")</f>
        <v/>
      </c>
      <c r="J255" s="901"/>
      <c r="K255" s="901"/>
      <c r="L255" s="901"/>
      <c r="M255" s="902"/>
      <c r="N255" s="900" t="str">
        <f ca="1">IFERROR(IF(INDEX('WPTM - Section F'!S$1:S$100,MATCH('Print View'!$A253,'WPTM - Section F'!$A$1:$A$100,0))&lt;&gt;0,INDEX('WPTM - Section F'!S$1:S$100,MATCH('Print View'!$A253,'WPTM - Section F'!$A$1:$A$100,0)),""),"")</f>
        <v/>
      </c>
      <c r="O255" s="901"/>
      <c r="P255" s="901"/>
      <c r="Q255" s="901"/>
      <c r="R255" s="901"/>
      <c r="S255" s="902"/>
      <c r="T255" s="318"/>
      <c r="U255" s="223"/>
      <c r="V255" s="223"/>
      <c r="W255" s="223"/>
      <c r="X255" s="223"/>
      <c r="Y255" s="223"/>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223"/>
      <c r="BK255" s="223"/>
      <c r="BL255" s="223"/>
      <c r="BM255" s="223"/>
      <c r="BN255" s="223"/>
      <c r="BO255" s="223"/>
      <c r="BP255" s="223"/>
      <c r="BQ255" s="223"/>
      <c r="BR255" s="223"/>
      <c r="BS255" s="223"/>
      <c r="BT255" s="223"/>
      <c r="BU255" s="223"/>
      <c r="BV255" s="223"/>
      <c r="BW255" s="223"/>
      <c r="BX255" s="223"/>
      <c r="BY255" s="223"/>
      <c r="BZ255" s="223"/>
      <c r="CA255" s="223"/>
      <c r="CB255" s="223"/>
      <c r="CC255" s="223"/>
      <c r="CD255" s="223"/>
      <c r="CE255" s="223"/>
      <c r="CF255" s="223"/>
      <c r="CG255" s="223"/>
      <c r="CH255" s="223"/>
    </row>
    <row r="256" spans="1:86" s="107" customFormat="1" ht="60" customHeight="1" x14ac:dyDescent="0.65">
      <c r="A256" s="907">
        <v>36</v>
      </c>
      <c r="B256" s="910"/>
      <c r="C256" s="913" t="str">
        <f ca="1">IFERROR(IF(INDEX('WPTM - Section F'!C$1:C$100,MATCH('Print View'!$A256,'WPTM - Section F'!$A$1:$A$100,0))&lt;&gt;0,INDEX('WPTM - Section F'!C$1:C$100,MATCH('Print View'!$A256,'WPTM - Section F'!$A$1:$A$100,0)),""),"")</f>
        <v/>
      </c>
      <c r="D256" s="910"/>
      <c r="E256" s="910"/>
      <c r="F256" s="910"/>
      <c r="G256" s="925" t="str">
        <f ca="1">IFERROR(IF(INDEX('WPTM - Section F'!G$1:G$100,MATCH('Print View'!$A256,'WPTM - Section F'!$A$1:$A$100,0))&lt;&gt;0,INDEX('WPTM - Section F'!G$1:G$100,MATCH('Print View'!$A256,'WPTM - Section F'!$A$1:$A$100,0)),""),"")</f>
        <v/>
      </c>
      <c r="H256" s="407"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56" s="900" t="str">
        <f ca="1">IFERROR(IF(INDEX('WPTM - Section F'!V$1:V$100,MATCH('Print View'!$A253,'WPTM - Section F'!$A$1:$A$100,0))&lt;&gt;0,INDEX('WPTM - Section F'!V$1:V$100,MATCH('Print View'!$A253,'WPTM - Section F'!$A$1:$A$100,0)),""),"")</f>
        <v/>
      </c>
      <c r="J256" s="901"/>
      <c r="K256" s="901"/>
      <c r="L256" s="901"/>
      <c r="M256" s="902"/>
      <c r="N256" s="900" t="str">
        <f ca="1">IFERROR(IF(INDEX('WPTM - Section F'!W$1:W$100,MATCH('Print View'!$A253,'WPTM - Section F'!$A$1:$A$100,0))&lt;&gt;0,INDEX('WPTM - Section F'!W$1:W$100,MATCH('Print View'!$A253,'WPTM - Section F'!$A$1:$A$100,0)),""),"")</f>
        <v/>
      </c>
      <c r="O256" s="901"/>
      <c r="P256" s="901"/>
      <c r="Q256" s="901"/>
      <c r="R256" s="901"/>
      <c r="S256" s="902"/>
      <c r="T256" s="318"/>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row>
    <row r="257" spans="1:86" s="107" customFormat="1" ht="60" customHeight="1" x14ac:dyDescent="0.65">
      <c r="A257" s="907">
        <v>37</v>
      </c>
      <c r="B257" s="910"/>
      <c r="C257" s="913" t="str">
        <f ca="1">IFERROR(IF(INDEX('WPTM - Section F'!C$1:C$100,MATCH('Print View'!$A257,'WPTM - Section F'!$A$1:$A$100,0))&lt;&gt;0,INDEX('WPTM - Section F'!C$1:C$100,MATCH('Print View'!$A257,'WPTM - Section F'!$A$1:$A$100,0)),""),"")</f>
        <v/>
      </c>
      <c r="D257" s="910"/>
      <c r="E257" s="910"/>
      <c r="F257" s="910"/>
      <c r="G257" s="925" t="str">
        <f ca="1">IFERROR(IF(INDEX('WPTM - Section F'!G$1:G$100,MATCH('Print View'!$A257,'WPTM - Section F'!$A$1:$A$100,0))&lt;&gt;0,INDEX('WPTM - Section F'!G$1:G$100,MATCH('Print View'!$A257,'WPTM - Section F'!$A$1:$A$100,0)),""),"")</f>
        <v/>
      </c>
      <c r="H257" s="407"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57" s="900" t="str">
        <f ca="1">IFERROR(IF(INDEX('WPTM - Section F'!Z$1:Z$100,MATCH('Print View'!$A253,'WPTM - Section F'!$A$1:$A$100,0))&lt;&gt;0,INDEX('WPTM - Section F'!Z$1:Z$100,MATCH('Print View'!$A253,'WPTM - Section F'!$A$1:$A$100,0)),""),"")</f>
        <v/>
      </c>
      <c r="J257" s="901"/>
      <c r="K257" s="901"/>
      <c r="L257" s="901"/>
      <c r="M257" s="902"/>
      <c r="N257" s="900" t="str">
        <f ca="1">IFERROR(IF(INDEX('WPTM - Section F'!AA$1:AA$100,MATCH('Print View'!$A253,'WPTM - Section F'!$A$1:$A$100,0))&lt;&gt;0,INDEX('WPTM - Section F'!AA$1:AA$100,MATCH('Print View'!$A253,'WPTM - Section F'!$A$1:$A$100,0)),""),"")</f>
        <v/>
      </c>
      <c r="O257" s="901"/>
      <c r="P257" s="901"/>
      <c r="Q257" s="901"/>
      <c r="R257" s="901"/>
      <c r="S257" s="902"/>
      <c r="T257" s="318"/>
      <c r="U257" s="223"/>
      <c r="V257" s="223"/>
      <c r="W257" s="223"/>
      <c r="X257" s="223"/>
      <c r="Y257" s="223"/>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223"/>
      <c r="BK257" s="223"/>
      <c r="BL257" s="223"/>
      <c r="BM257" s="223"/>
      <c r="BN257" s="223"/>
      <c r="BO257" s="223"/>
      <c r="BP257" s="223"/>
      <c r="BQ257" s="223"/>
      <c r="BR257" s="223"/>
      <c r="BS257" s="223"/>
      <c r="BT257" s="223"/>
      <c r="BU257" s="223"/>
      <c r="BV257" s="223"/>
      <c r="BW257" s="223"/>
      <c r="BX257" s="223"/>
      <c r="BY257" s="223"/>
      <c r="BZ257" s="223"/>
      <c r="CA257" s="223"/>
      <c r="CB257" s="223"/>
      <c r="CC257" s="223"/>
      <c r="CD257" s="223"/>
      <c r="CE257" s="223"/>
      <c r="CF257" s="223"/>
      <c r="CG257" s="223"/>
      <c r="CH257" s="223"/>
    </row>
    <row r="258" spans="1:86" s="107" customFormat="1" ht="60" customHeight="1" x14ac:dyDescent="0.65">
      <c r="A258" s="907">
        <v>38</v>
      </c>
      <c r="B258" s="910"/>
      <c r="C258" s="913" t="str">
        <f ca="1">IFERROR(IF(INDEX('WPTM - Section F'!C$1:C$100,MATCH('Print View'!$A258,'WPTM - Section F'!$A$1:$A$100,0))&lt;&gt;0,INDEX('WPTM - Section F'!C$1:C$100,MATCH('Print View'!$A258,'WPTM - Section F'!$A$1:$A$100,0)),""),"")</f>
        <v/>
      </c>
      <c r="D258" s="910"/>
      <c r="E258" s="910"/>
      <c r="F258" s="910"/>
      <c r="G258" s="925" t="str">
        <f ca="1">IFERROR(IF(INDEX('WPTM - Section F'!G$1:G$100,MATCH('Print View'!$A258,'WPTM - Section F'!$A$1:$A$100,0))&lt;&gt;0,INDEX('WPTM - Section F'!G$1:G$100,MATCH('Print View'!$A258,'WPTM - Section F'!$A$1:$A$100,0)),""),"")</f>
        <v/>
      </c>
      <c r="H258" s="407"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58" s="900" t="str">
        <f ca="1">IFERROR(IF(INDEX('WPTM - Section F'!AD$1:AD$100,MATCH('Print View'!$A253,'WPTM - Section F'!$A$1:$A$100,0))&lt;&gt;0,INDEX('WPTM - Section F'!AD$1:AD$100,MATCH('Print View'!$A253,'WPTM - Section F'!$A$1:$A$100,0)),""),"")</f>
        <v/>
      </c>
      <c r="J258" s="901"/>
      <c r="K258" s="901"/>
      <c r="L258" s="901"/>
      <c r="M258" s="902"/>
      <c r="N258" s="900" t="str">
        <f ca="1">IFERROR(IF(INDEX('WPTM - Section F'!AE$1:AE$100,MATCH('Print View'!$A253,'WPTM - Section F'!$A$1:$A$100,0))&lt;&gt;0,INDEX('WPTM - Section F'!AE$1:AE$100,MATCH('Print View'!$A253,'WPTM - Section F'!$A$1:$A$100,0)),""),"")</f>
        <v/>
      </c>
      <c r="O258" s="901"/>
      <c r="P258" s="901"/>
      <c r="Q258" s="901"/>
      <c r="R258" s="901"/>
      <c r="S258" s="902"/>
      <c r="T258" s="318"/>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row>
    <row r="259" spans="1:86" s="107" customFormat="1" ht="60" customHeight="1" x14ac:dyDescent="0.65">
      <c r="A259" s="907">
        <v>39</v>
      </c>
      <c r="B259" s="911"/>
      <c r="C259" s="914" t="str">
        <f ca="1">IFERROR(IF(INDEX('WPTM - Section F'!C$1:C$100,MATCH('Print View'!$A259,'WPTM - Section F'!$A$1:$A$100,0))&lt;&gt;0,INDEX('WPTM - Section F'!C$1:C$100,MATCH('Print View'!$A259,'WPTM - Section F'!$A$1:$A$100,0)),""),"")</f>
        <v/>
      </c>
      <c r="D259" s="911"/>
      <c r="E259" s="911"/>
      <c r="F259" s="911"/>
      <c r="G259" s="926" t="str">
        <f ca="1">IFERROR(IF(INDEX('WPTM - Section F'!G$1:G$100,MATCH('Print View'!$A259,'WPTM - Section F'!$A$1:$A$100,0))&lt;&gt;0,INDEX('WPTM - Section F'!G$1:G$100,MATCH('Print View'!$A259,'WPTM - Section F'!$A$1:$A$100,0)),""),"")</f>
        <v/>
      </c>
      <c r="H259" s="407" t="str">
        <f>IF(IFERROR(INDEX('Overview - Section A'!$A$39:$A$46,MATCH(D$29,'Overview - Section A'!$B$39:$B$46,0)),"")="","",TEXT(IFERROR(INDEX('Overview - Section A'!$A$39:$A$46,MATCH(D$29,'Overview - Section A'!$B$39:$B$46,0)),""),Setup!$A$33) &amp;" to " &amp; TEXT(IFERROR(INDEX('Overview - Section A'!$E$39:$E$46,MATCH(D$29,'Overview - Section A'!$B$39:$B$46,0)),""),Setup!$A$33))</f>
        <v/>
      </c>
      <c r="I259" s="900" t="str">
        <f ca="1">IFERROR(IF(INDEX('WPTM - Section F'!AH$1:AH$100,MATCH('Print View'!$A253,'WPTM - Section F'!$A$1:$A$100,0))&lt;&gt;0,INDEX('WPTM - Section F'!AH$1:AH$100,MATCH('Print View'!$A253,'WPTM - Section F'!$A$1:$A$100,0)),""),"")</f>
        <v/>
      </c>
      <c r="J259" s="901"/>
      <c r="K259" s="901"/>
      <c r="L259" s="901"/>
      <c r="M259" s="902"/>
      <c r="N259" s="900" t="str">
        <f ca="1">IFERROR(IF(INDEX('WPTM - Section F'!AI$1:AI$100,MATCH('Print View'!$A253,'WPTM - Section F'!$A$1:$A$100,0))&lt;&gt;0,INDEX('WPTM - Section F'!AI$1:AI$100,MATCH('Print View'!$A253,'WPTM - Section F'!$A$1:$A$100,0)),""),"")</f>
        <v/>
      </c>
      <c r="O259" s="901"/>
      <c r="P259" s="901"/>
      <c r="Q259" s="901"/>
      <c r="R259" s="901"/>
      <c r="S259" s="902"/>
      <c r="T259" s="318"/>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223"/>
      <c r="BK259" s="223"/>
      <c r="BL259" s="223"/>
      <c r="BM259" s="223"/>
      <c r="BN259" s="223"/>
      <c r="BO259" s="223"/>
      <c r="BP259" s="223"/>
      <c r="BQ259" s="223"/>
      <c r="BR259" s="223"/>
      <c r="BS259" s="223"/>
      <c r="BT259" s="223"/>
      <c r="BU259" s="223"/>
      <c r="BV259" s="223"/>
      <c r="BW259" s="223"/>
      <c r="BX259" s="223"/>
      <c r="BY259" s="223"/>
      <c r="BZ259" s="223"/>
      <c r="CA259" s="223"/>
      <c r="CB259" s="223"/>
      <c r="CC259" s="223"/>
      <c r="CD259" s="223"/>
      <c r="CE259" s="223"/>
      <c r="CF259" s="223"/>
      <c r="CG259" s="223"/>
      <c r="CH259" s="223"/>
    </row>
    <row r="260" spans="1:86" s="107" customFormat="1" ht="60" customHeight="1" x14ac:dyDescent="0.65">
      <c r="A260" s="908">
        <v>40</v>
      </c>
      <c r="B260" s="896" t="str">
        <f ca="1">IFERROR(IF(INDEX('WPTM - Section F'!AV$1:AV$100,MATCH('Print View'!$A253,'WPTM - Section F'!$A$1:$A$100,0))&lt;&gt;0,INDEX('WPTM - Section F'!AV$1:AV$100,MATCH('Print View'!$A253,'WPTM - Section F'!$A$1:$A$100,0)),""),"")</f>
        <v/>
      </c>
      <c r="C260" s="897"/>
      <c r="D260" s="897"/>
      <c r="E260" s="897"/>
      <c r="F260" s="897"/>
      <c r="G260" s="897"/>
      <c r="H260" s="897"/>
      <c r="I260" s="897"/>
      <c r="J260" s="897"/>
      <c r="K260" s="897"/>
      <c r="L260" s="897"/>
      <c r="M260" s="897"/>
      <c r="N260" s="897"/>
      <c r="O260" s="897"/>
      <c r="P260" s="897"/>
      <c r="Q260" s="897"/>
      <c r="R260" s="897"/>
      <c r="S260" s="898"/>
      <c r="T260" s="318"/>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c r="BM260" s="223"/>
      <c r="BN260" s="223"/>
      <c r="BO260" s="223"/>
      <c r="BP260" s="223"/>
      <c r="BQ260" s="223"/>
      <c r="BR260" s="223"/>
      <c r="BS260" s="223"/>
      <c r="BT260" s="223"/>
      <c r="BU260" s="223"/>
      <c r="BV260" s="223"/>
      <c r="BW260" s="223"/>
      <c r="BX260" s="223"/>
      <c r="BY260" s="223"/>
      <c r="BZ260" s="223"/>
      <c r="CA260" s="223"/>
      <c r="CB260" s="223"/>
      <c r="CC260" s="223"/>
      <c r="CD260" s="223"/>
      <c r="CE260" s="223"/>
      <c r="CF260" s="223"/>
      <c r="CG260" s="223"/>
      <c r="CH260" s="223"/>
    </row>
    <row r="261" spans="1:86" s="427" customFormat="1" ht="60" customHeight="1" x14ac:dyDescent="0.35">
      <c r="A261" s="927">
        <v>6</v>
      </c>
      <c r="B261" s="921" t="str">
        <f ca="1">IFERROR(IF(INDEX('WPTM - Section F'!B$1:B$100,MATCH('Print View'!$A261,'WPTM - Section F'!$A$1:$A$100,0))&lt;&gt;0,INDEX('WPTM - Section F'!B$1:B$100,MATCH('Print View'!$A261,'WPTM - Section F'!$A$1:$A$100,0)),""),"")</f>
        <v/>
      </c>
      <c r="C261" s="930" t="str">
        <f ca="1">IFERROR(IF(INDEX('WPTM - Section F'!C$1:C$100,MATCH('Print View'!$A261,'WPTM - Section F'!$A$1:$A$100,0))&lt;&gt;0,INDEX('WPTM - Section F'!C$1:C$100,MATCH('Print View'!$A261,'WPTM - Section F'!$A$1:$A$100,0)),""),"")</f>
        <v/>
      </c>
      <c r="D261" s="921" t="str">
        <f ca="1">IFERROR(IF(INDEX('WPTM - Section F'!D$1:D$100,MATCH('Print View'!$A261,'WPTM - Section F'!$A$1:$A$100,0))&lt;&gt;0,INDEX('WPTM - Section F'!D$1:D$100,MATCH('Print View'!$A261,'WPTM - Section F'!$A$1:$A$100,0)),""),"")</f>
        <v/>
      </c>
      <c r="E261" s="921" t="str">
        <f ca="1">IFERROR(IF(INDEX('WPTM - Section F'!E$1:E$100,MATCH('Print View'!$A261,'WPTM - Section F'!$A$1:$A$100,0))&lt;&gt;0,INDEX('WPTM - Section F'!E$1:E$100,MATCH('Print View'!$A261,'WPTM - Section F'!$A$1:$A$100,0)),""),"")</f>
        <v/>
      </c>
      <c r="F261" s="921" t="str">
        <f ca="1">IFERROR(IF(INDEX('WPTM - Section F'!F$1:F$100,MATCH('Print View'!$A261,'WPTM - Section F'!$A$1:$A$100,0))&lt;&gt;0,INDEX('WPTM - Section F'!F$1:F$100,MATCH('Print View'!$A261,'WPTM - Section F'!$A$1:$A$100,0)),""),"")</f>
        <v/>
      </c>
      <c r="G261" s="930" t="str">
        <f ca="1">IFERROR(IF(INDEX('WPTM - Section F'!G$1:G$100,MATCH('Print View'!$A261,'WPTM - Section F'!$A$1:$A$100,0))&lt;&gt;0,INDEX('WPTM - Section F'!G$1:G$100,MATCH('Print View'!$A261,'WPTM - Section F'!$A$1:$A$100,0)),""),"")</f>
        <v/>
      </c>
      <c r="H261" s="425"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61" s="903" t="str">
        <f ca="1">IFERROR(IF(INDEX('WPTM - Section F'!J$1:J$100,MATCH('Print View'!$A261,'WPTM - Section F'!$A$1:$A$100,0))&lt;&gt;0,INDEX('WPTM - Section F'!J$1:J$100,MATCH('Print View'!$A261,'WPTM - Section F'!$A$1:$A$100,0)),""),"")</f>
        <v/>
      </c>
      <c r="J261" s="904"/>
      <c r="K261" s="904"/>
      <c r="L261" s="904"/>
      <c r="M261" s="905"/>
      <c r="N261" s="903" t="str">
        <f ca="1">IFERROR(IF(INDEX('WPTM - Section F'!K$1:K$100,MATCH('Print View'!$A261,'WPTM - Section F'!$A$1:$A$100,0))&lt;&gt;0,INDEX('WPTM - Section F'!K$1:K$100,MATCH('Print View'!$A261,'WPTM - Section F'!$A$1:$A$100,0)),""),"")</f>
        <v/>
      </c>
      <c r="O261" s="904"/>
      <c r="P261" s="904"/>
      <c r="Q261" s="904"/>
      <c r="R261" s="904"/>
      <c r="S261" s="904"/>
      <c r="T261" s="314"/>
    </row>
    <row r="262" spans="1:86" s="427" customFormat="1" ht="60" customHeight="1" x14ac:dyDescent="0.35">
      <c r="A262" s="928">
        <v>42</v>
      </c>
      <c r="B262" s="922"/>
      <c r="C262" s="931" t="str">
        <f ca="1">IFERROR(IF(INDEX('WPTM - Section F'!C$1:C$100,MATCH('Print View'!$A262,'WPTM - Section F'!$A$1:$A$100,0))&lt;&gt;0,INDEX('WPTM - Section F'!C$1:C$100,MATCH('Print View'!$A262,'WPTM - Section F'!$A$1:$A$100,0)),""),"")</f>
        <v/>
      </c>
      <c r="D262" s="922"/>
      <c r="E262" s="922"/>
      <c r="F262" s="922"/>
      <c r="G262" s="931" t="str">
        <f ca="1">IFERROR(IF(INDEX('WPTM - Section F'!G$1:G$100,MATCH('Print View'!$A262,'WPTM - Section F'!$A$1:$A$100,0))&lt;&gt;0,INDEX('WPTM - Section F'!G$1:G$100,MATCH('Print View'!$A262,'WPTM - Section F'!$A$1:$A$100,0)),""),"")</f>
        <v/>
      </c>
      <c r="H262" s="425"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62" s="903" t="str">
        <f ca="1">IFERROR(IF(INDEX('WPTM - Section F'!J$1:J$100,MATCH('Print View'!$A261,'WPTM - Section F'!$A$1:$A$100,0))&lt;&gt;0,INDEX('WPTM - Section F'!J$1:J$100,MATCH('Print View'!$A261,'WPTM - Section F'!$A$1:$A$100,0)),""),"")</f>
        <v/>
      </c>
      <c r="J262" s="904"/>
      <c r="K262" s="904"/>
      <c r="L262" s="904"/>
      <c r="M262" s="905"/>
      <c r="N262" s="903" t="str">
        <f ca="1">IFERROR(IF(INDEX('WPTM - Section F'!O$1:O$100,MATCH('Print View'!$A261,'WPTM - Section F'!$A$1:$A$100,0))&lt;&gt;0,INDEX('WPTM - Section F'!O$1:O$100,MATCH('Print View'!$A261,'WPTM - Section F'!$A$1:$A$100,0)),""),"")</f>
        <v/>
      </c>
      <c r="O262" s="904"/>
      <c r="P262" s="904"/>
      <c r="Q262" s="904"/>
      <c r="R262" s="904"/>
      <c r="S262" s="904"/>
      <c r="T262" s="314"/>
    </row>
    <row r="263" spans="1:86" s="427" customFormat="1" ht="60" customHeight="1" x14ac:dyDescent="0.35">
      <c r="A263" s="928">
        <v>43</v>
      </c>
      <c r="B263" s="922"/>
      <c r="C263" s="931" t="str">
        <f ca="1">IFERROR(IF(INDEX('WPTM - Section F'!C$1:C$100,MATCH('Print View'!$A263,'WPTM - Section F'!$A$1:$A$100,0))&lt;&gt;0,INDEX('WPTM - Section F'!C$1:C$100,MATCH('Print View'!$A263,'WPTM - Section F'!$A$1:$A$100,0)),""),"")</f>
        <v/>
      </c>
      <c r="D263" s="922"/>
      <c r="E263" s="922"/>
      <c r="F263" s="922"/>
      <c r="G263" s="931" t="str">
        <f ca="1">IFERROR(IF(INDEX('WPTM - Section F'!G$1:G$100,MATCH('Print View'!$A263,'WPTM - Section F'!$A$1:$A$100,0))&lt;&gt;0,INDEX('WPTM - Section F'!G$1:G$100,MATCH('Print View'!$A263,'WPTM - Section F'!$A$1:$A$100,0)),""),"")</f>
        <v/>
      </c>
      <c r="H263" s="425"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63" s="903" t="str">
        <f ca="1">IFERROR(IF(INDEX('WPTM - Section F'!R$1:R$100,MATCH('Print View'!$A261,'WPTM - Section F'!$A$1:$A$100,0))&lt;&gt;0,INDEX('WPTM - Section F'!R$1:R$100,MATCH('Print View'!$A261,'WPTM - Section F'!$A$1:$A$100,0)),""),"")</f>
        <v/>
      </c>
      <c r="J263" s="904"/>
      <c r="K263" s="904"/>
      <c r="L263" s="904"/>
      <c r="M263" s="905"/>
      <c r="N263" s="903" t="str">
        <f ca="1">IFERROR(IF(INDEX('WPTM - Section F'!S$1:S$100,MATCH('Print View'!$A261,'WPTM - Section F'!$A$1:$A$100,0))&lt;&gt;0,INDEX('WPTM - Section F'!S$1:S$100,MATCH('Print View'!$A261,'WPTM - Section F'!$A$1:$A$100,0)),""),"")</f>
        <v/>
      </c>
      <c r="O263" s="904"/>
      <c r="P263" s="904"/>
      <c r="Q263" s="904"/>
      <c r="R263" s="904"/>
      <c r="S263" s="904"/>
      <c r="T263" s="314"/>
    </row>
    <row r="264" spans="1:86" s="427" customFormat="1" ht="60" customHeight="1" x14ac:dyDescent="0.35">
      <c r="A264" s="928">
        <v>44</v>
      </c>
      <c r="B264" s="922"/>
      <c r="C264" s="931" t="str">
        <f ca="1">IFERROR(IF(INDEX('WPTM - Section F'!C$1:C$100,MATCH('Print View'!$A264,'WPTM - Section F'!$A$1:$A$100,0))&lt;&gt;0,INDEX('WPTM - Section F'!C$1:C$100,MATCH('Print View'!$A264,'WPTM - Section F'!$A$1:$A$100,0)),""),"")</f>
        <v/>
      </c>
      <c r="D264" s="922"/>
      <c r="E264" s="922"/>
      <c r="F264" s="922"/>
      <c r="G264" s="931" t="str">
        <f ca="1">IFERROR(IF(INDEX('WPTM - Section F'!G$1:G$100,MATCH('Print View'!$A264,'WPTM - Section F'!$A$1:$A$100,0))&lt;&gt;0,INDEX('WPTM - Section F'!G$1:G$100,MATCH('Print View'!$A264,'WPTM - Section F'!$A$1:$A$100,0)),""),"")</f>
        <v/>
      </c>
      <c r="H264" s="425"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64" s="903" t="str">
        <f ca="1">IFERROR(IF(INDEX('WPTM - Section F'!V$1:V$100,MATCH('Print View'!$A261,'WPTM - Section F'!$A$1:$A$100,0))&lt;&gt;0,INDEX('WPTM - Section F'!V$1:V$100,MATCH('Print View'!$A261,'WPTM - Section F'!$A$1:$A$100,0)),""),"")</f>
        <v/>
      </c>
      <c r="J264" s="904"/>
      <c r="K264" s="904"/>
      <c r="L264" s="904"/>
      <c r="M264" s="905"/>
      <c r="N264" s="903" t="str">
        <f ca="1">IFERROR(IF(INDEX('WPTM - Section F'!W$1:W$100,MATCH('Print View'!$A261,'WPTM - Section F'!$A$1:$A$100,0))&lt;&gt;0,INDEX('WPTM - Section F'!W$1:W$100,MATCH('Print View'!$A261,'WPTM - Section F'!$A$1:$A$100,0)),""),"")</f>
        <v/>
      </c>
      <c r="O264" s="904"/>
      <c r="P264" s="904"/>
      <c r="Q264" s="904"/>
      <c r="R264" s="904"/>
      <c r="S264" s="904"/>
      <c r="T264" s="314"/>
    </row>
    <row r="265" spans="1:86" s="427" customFormat="1" ht="60" customHeight="1" x14ac:dyDescent="0.35">
      <c r="A265" s="928">
        <v>45</v>
      </c>
      <c r="B265" s="922"/>
      <c r="C265" s="931" t="str">
        <f ca="1">IFERROR(IF(INDEX('WPTM - Section F'!C$1:C$100,MATCH('Print View'!$A265,'WPTM - Section F'!$A$1:$A$100,0))&lt;&gt;0,INDEX('WPTM - Section F'!C$1:C$100,MATCH('Print View'!$A265,'WPTM - Section F'!$A$1:$A$100,0)),""),"")</f>
        <v/>
      </c>
      <c r="D265" s="922"/>
      <c r="E265" s="922"/>
      <c r="F265" s="922"/>
      <c r="G265" s="931" t="str">
        <f ca="1">IFERROR(IF(INDEX('WPTM - Section F'!G$1:G$100,MATCH('Print View'!$A265,'WPTM - Section F'!$A$1:$A$100,0))&lt;&gt;0,INDEX('WPTM - Section F'!G$1:G$100,MATCH('Print View'!$A265,'WPTM - Section F'!$A$1:$A$100,0)),""),"")</f>
        <v/>
      </c>
      <c r="H265" s="425"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65" s="903" t="str">
        <f ca="1">IFERROR(IF(INDEX('WPTM - Section F'!Z$1:Z$100,MATCH('Print View'!$A261,'WPTM - Section F'!$A$1:$A$100,0))&lt;&gt;0,INDEX('WPTM - Section F'!Z$1:Z$100,MATCH('Print View'!$A261,'WPTM - Section F'!$A$1:$A$100,0)),""),"")</f>
        <v/>
      </c>
      <c r="J265" s="904"/>
      <c r="K265" s="904"/>
      <c r="L265" s="904"/>
      <c r="M265" s="905"/>
      <c r="N265" s="903" t="str">
        <f ca="1">IFERROR(IF(INDEX('WPTM - Section F'!AA$1:AA$100,MATCH('Print View'!$A261,'WPTM - Section F'!$A$1:$A$100,0))&lt;&gt;0,INDEX('WPTM - Section F'!AA$1:AA$100,MATCH('Print View'!$A261,'WPTM - Section F'!$A$1:$A$100,0)),""),"")</f>
        <v/>
      </c>
      <c r="O265" s="904"/>
      <c r="P265" s="904"/>
      <c r="Q265" s="904"/>
      <c r="R265" s="904"/>
      <c r="S265" s="904"/>
      <c r="T265" s="314"/>
    </row>
    <row r="266" spans="1:86" s="427" customFormat="1" ht="60" customHeight="1" x14ac:dyDescent="0.35">
      <c r="A266" s="928">
        <v>46</v>
      </c>
      <c r="B266" s="922"/>
      <c r="C266" s="931" t="str">
        <f ca="1">IFERROR(IF(INDEX('WPTM - Section F'!C$1:C$100,MATCH('Print View'!$A266,'WPTM - Section F'!$A$1:$A$100,0))&lt;&gt;0,INDEX('WPTM - Section F'!C$1:C$100,MATCH('Print View'!$A266,'WPTM - Section F'!$A$1:$A$100,0)),""),"")</f>
        <v/>
      </c>
      <c r="D266" s="922"/>
      <c r="E266" s="922"/>
      <c r="F266" s="922"/>
      <c r="G266" s="931" t="str">
        <f ca="1">IFERROR(IF(INDEX('WPTM - Section F'!G$1:G$100,MATCH('Print View'!$A266,'WPTM - Section F'!$A$1:$A$100,0))&lt;&gt;0,INDEX('WPTM - Section F'!G$1:G$100,MATCH('Print View'!$A266,'WPTM - Section F'!$A$1:$A$100,0)),""),"")</f>
        <v/>
      </c>
      <c r="H266" s="425"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66" s="903" t="str">
        <f ca="1">IFERROR(IF(INDEX('WPTM - Section F'!AD$1:AD$100,MATCH('Print View'!$A261,'WPTM - Section F'!$A$1:$A$100,0))&lt;&gt;0,INDEX('WPTM - Section F'!AD$1:AD$100,MATCH('Print View'!$A261,'WPTM - Section F'!$A$1:$A$100,0)),""),"")</f>
        <v/>
      </c>
      <c r="J266" s="904"/>
      <c r="K266" s="904"/>
      <c r="L266" s="904"/>
      <c r="M266" s="905"/>
      <c r="N266" s="903" t="str">
        <f ca="1">IFERROR(IF(INDEX('WPTM - Section F'!AE$1:AE$100,MATCH('Print View'!$A261,'WPTM - Section F'!$A$1:$A$100,0))&lt;&gt;0,INDEX('WPTM - Section F'!AE$1:AE$100,MATCH('Print View'!$A261,'WPTM - Section F'!$A$1:$A$100,0)),""),"")</f>
        <v/>
      </c>
      <c r="O266" s="904"/>
      <c r="P266" s="904"/>
      <c r="Q266" s="904"/>
      <c r="R266" s="904"/>
      <c r="S266" s="904"/>
      <c r="T266" s="314"/>
    </row>
    <row r="267" spans="1:86" s="427" customFormat="1" ht="60" customHeight="1" x14ac:dyDescent="0.35">
      <c r="A267" s="928">
        <v>47</v>
      </c>
      <c r="B267" s="923"/>
      <c r="C267" s="932" t="str">
        <f ca="1">IFERROR(IF(INDEX('WPTM - Section F'!C$1:C$100,MATCH('Print View'!$A267,'WPTM - Section F'!$A$1:$A$100,0))&lt;&gt;0,INDEX('WPTM - Section F'!C$1:C$100,MATCH('Print View'!$A267,'WPTM - Section F'!$A$1:$A$100,0)),""),"")</f>
        <v/>
      </c>
      <c r="D267" s="923"/>
      <c r="E267" s="923"/>
      <c r="F267" s="923"/>
      <c r="G267" s="932" t="str">
        <f ca="1">IFERROR(IF(INDEX('WPTM - Section F'!G$1:G$100,MATCH('Print View'!$A267,'WPTM - Section F'!$A$1:$A$100,0))&lt;&gt;0,INDEX('WPTM - Section F'!G$1:G$100,MATCH('Print View'!$A267,'WPTM - Section F'!$A$1:$A$100,0)),""),"")</f>
        <v/>
      </c>
      <c r="H267" s="425" t="str">
        <f>IF(IFERROR(INDEX('Overview - Section A'!$A$39:$A$46,MATCH(D$29,'Overview - Section A'!$B$39:$B$46,0)),"")="","",TEXT(IFERROR(INDEX('Overview - Section A'!$A$39:$A$46,MATCH(D$29,'Overview - Section A'!$B$39:$B$46,0)),""),Setup!$A$33) &amp;" to " &amp; TEXT(IFERROR(INDEX('Overview - Section A'!$E$39:$E$46,MATCH(D$29,'Overview - Section A'!$B$39:$B$46,0)),""),Setup!$A$33))</f>
        <v/>
      </c>
      <c r="I267" s="903" t="str">
        <f ca="1">IFERROR(IF(INDEX('WPTM - Section F'!AH$1:AH$100,MATCH('Print View'!$A261,'WPTM - Section F'!$A$1:$A$100,0))&lt;&gt;0,INDEX('WPTM - Section F'!AH$1:AH$100,MATCH('Print View'!$A261,'WPTM - Section F'!$A$1:$A$100,0)),""),"")</f>
        <v/>
      </c>
      <c r="J267" s="904"/>
      <c r="K267" s="904"/>
      <c r="L267" s="904"/>
      <c r="M267" s="905"/>
      <c r="N267" s="903" t="str">
        <f ca="1">IFERROR(IF(INDEX('WPTM - Section F'!AI$1:AI$100,MATCH('Print View'!$A261,'WPTM - Section F'!$A$1:$A$100,0))&lt;&gt;0,INDEX('WPTM - Section F'!AI$1:AI$100,MATCH('Print View'!$A261,'WPTM - Section F'!$A$1:$A$100,0)),""),"")</f>
        <v/>
      </c>
      <c r="O267" s="904"/>
      <c r="P267" s="904"/>
      <c r="Q267" s="904"/>
      <c r="R267" s="904"/>
      <c r="S267" s="904"/>
      <c r="T267" s="314"/>
    </row>
    <row r="268" spans="1:86" s="427" customFormat="1" ht="60" customHeight="1" x14ac:dyDescent="0.65">
      <c r="A268" s="929">
        <v>48</v>
      </c>
      <c r="B268" s="918" t="str">
        <f ca="1">IFERROR(IF(INDEX('WPTM - Section F'!AV$1:AV$100,MATCH('Print View'!$A261,'WPTM - Section F'!$A$1:$A$100,0))&lt;&gt;0,INDEX('WPTM - Section F'!AV$1:AV$100,MATCH('Print View'!$A261,'WPTM - Section F'!$A$1:$A$100,0)),""),"")</f>
        <v/>
      </c>
      <c r="C268" s="919"/>
      <c r="D268" s="919"/>
      <c r="E268" s="919"/>
      <c r="F268" s="919"/>
      <c r="G268" s="919"/>
      <c r="H268" s="919"/>
      <c r="I268" s="919"/>
      <c r="J268" s="919"/>
      <c r="K268" s="919"/>
      <c r="L268" s="919"/>
      <c r="M268" s="919"/>
      <c r="N268" s="919"/>
      <c r="O268" s="919"/>
      <c r="P268" s="919"/>
      <c r="Q268" s="919"/>
      <c r="R268" s="919"/>
      <c r="S268" s="920"/>
      <c r="T268" s="314"/>
    </row>
    <row r="269" spans="1:86" s="107" customFormat="1" ht="60" customHeight="1" x14ac:dyDescent="0.65">
      <c r="A269" s="906">
        <v>7</v>
      </c>
      <c r="B269" s="909" t="str">
        <f ca="1">IFERROR(IF(INDEX('WPTM - Section F'!B$1:B$100,MATCH('Print View'!$A269,'WPTM - Section F'!$A$1:$A$100,0))&lt;&gt;0,INDEX('WPTM - Section F'!B$1:B$100,MATCH('Print View'!$A269,'WPTM - Section F'!$A$1:$A$100,0)),""),"")</f>
        <v/>
      </c>
      <c r="C269" s="912" t="str">
        <f ca="1">IFERROR(IF(INDEX('WPTM - Section F'!C$1:C$100,MATCH('Print View'!$A269,'WPTM - Section F'!$A$1:$A$100,0))&lt;&gt;0,INDEX('WPTM - Section F'!C$1:C$100,MATCH('Print View'!$A269,'WPTM - Section F'!$A$1:$A$100,0)),""),"")</f>
        <v/>
      </c>
      <c r="D269" s="909" t="str">
        <f ca="1">IFERROR(IF(INDEX('WPTM - Section F'!D$1:D$100,MATCH('Print View'!$A269,'WPTM - Section F'!$A$1:$A$100,0))&lt;&gt;0,INDEX('WPTM - Section F'!D$1:D$100,MATCH('Print View'!$A269,'WPTM - Section F'!$A$1:$A$100,0)),""),"")</f>
        <v/>
      </c>
      <c r="E269" s="909" t="str">
        <f ca="1">IFERROR(IF(INDEX('WPTM - Section F'!E$1:E$100,MATCH('Print View'!$A269,'WPTM - Section F'!$A$1:$A$100,0))&lt;&gt;0,INDEX('WPTM - Section F'!E$1:E$100,MATCH('Print View'!$A269,'WPTM - Section F'!$A$1:$A$100,0)),""),"")</f>
        <v/>
      </c>
      <c r="F269" s="909" t="str">
        <f ca="1">IFERROR(IF(INDEX('WPTM - Section F'!F$1:F$100,MATCH('Print View'!$A269,'WPTM - Section F'!$A$1:$A$100,0))&lt;&gt;0,INDEX('WPTM - Section F'!F$1:F$100,MATCH('Print View'!$A269,'WPTM - Section F'!$A$1:$A$100,0)),""),"")</f>
        <v/>
      </c>
      <c r="G269" s="912" t="str">
        <f ca="1">IFERROR(IF(INDEX('WPTM - Section F'!G$1:G$100,MATCH('Print View'!$A269,'WPTM - Section F'!$A$1:$A$100,0))&lt;&gt;0,INDEX('WPTM - Section F'!G$1:G$100,MATCH('Print View'!$A269,'WPTM - Section F'!$A$1:$A$100,0)),""),"")</f>
        <v/>
      </c>
      <c r="H269" s="407"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69" s="900" t="str">
        <f ca="1">IFERROR(IF(INDEX('WPTM - Section F'!J$1:J$100,MATCH('Print View'!$A269,'WPTM - Section F'!$A$1:$A$100,0))&lt;&gt;0,INDEX('WPTM - Section F'!J$1:J$100,MATCH('Print View'!$A269,'WPTM - Section F'!$A$1:$A$100,0)),""),"")</f>
        <v/>
      </c>
      <c r="J269" s="901"/>
      <c r="K269" s="901"/>
      <c r="L269" s="901"/>
      <c r="M269" s="902"/>
      <c r="N269" s="900" t="str">
        <f ca="1">IFERROR(IF(INDEX('WPTM - Section F'!K$1:K$100,MATCH('Print View'!$A269,'WPTM - Section F'!$A$1:$A$100,0))&lt;&gt;0,INDEX('WPTM - Section F'!K$1:K$100,MATCH('Print View'!$A269,'WPTM - Section F'!$A$1:$A$100,0)),""),"")</f>
        <v/>
      </c>
      <c r="O269" s="901"/>
      <c r="P269" s="901"/>
      <c r="Q269" s="901"/>
      <c r="R269" s="901"/>
      <c r="S269" s="902"/>
      <c r="T269" s="319"/>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223"/>
      <c r="BK269" s="223"/>
      <c r="BL269" s="223"/>
      <c r="BM269" s="223"/>
      <c r="BN269" s="223"/>
      <c r="BO269" s="223"/>
      <c r="BP269" s="223"/>
      <c r="BQ269" s="223"/>
      <c r="BR269" s="223"/>
      <c r="BS269" s="223"/>
      <c r="BT269" s="223"/>
      <c r="BU269" s="223"/>
      <c r="BV269" s="223"/>
      <c r="BW269" s="223"/>
      <c r="BX269" s="223"/>
      <c r="BY269" s="223"/>
      <c r="BZ269" s="223"/>
      <c r="CA269" s="223"/>
      <c r="CB269" s="223"/>
      <c r="CC269" s="223"/>
      <c r="CD269" s="223"/>
      <c r="CE269" s="223"/>
      <c r="CF269" s="223"/>
      <c r="CG269" s="223"/>
      <c r="CH269" s="223"/>
    </row>
    <row r="270" spans="1:86" s="107" customFormat="1" ht="60" customHeight="1" x14ac:dyDescent="0.65">
      <c r="A270" s="907">
        <v>50</v>
      </c>
      <c r="B270" s="910"/>
      <c r="C270" s="913" t="str">
        <f ca="1">IFERROR(IF(INDEX('WPTM - Section F'!C$1:C$100,MATCH('Print View'!$A270,'WPTM - Section F'!$A$1:$A$100,0))&lt;&gt;0,INDEX('WPTM - Section F'!C$1:C$100,MATCH('Print View'!$A270,'WPTM - Section F'!$A$1:$A$100,0)),""),"")</f>
        <v/>
      </c>
      <c r="D270" s="910"/>
      <c r="E270" s="910"/>
      <c r="F270" s="910"/>
      <c r="G270" s="913" t="str">
        <f ca="1">IFERROR(IF(INDEX('WPTM - Section F'!G$1:G$100,MATCH('Print View'!$A270,'WPTM - Section F'!$A$1:$A$100,0))&lt;&gt;0,INDEX('WPTM - Section F'!G$1:G$100,MATCH('Print View'!$A270,'WPTM - Section F'!$A$1:$A$100,0)),""),"")</f>
        <v/>
      </c>
      <c r="H270" s="407"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70" s="900" t="str">
        <f ca="1">IFERROR(IF(INDEX('WPTM - Section F'!N$1:N$100,MATCH('Print View'!$A269,'WPTM - Section F'!$A$1:$A$100,0))&lt;&gt;0,INDEX('WPTM - Section F'!N$1:N$100,MATCH('Print View'!$A269,'WPTM - Section F'!$A$1:$A$100,0)),""),"")</f>
        <v/>
      </c>
      <c r="J270" s="901"/>
      <c r="K270" s="901"/>
      <c r="L270" s="901"/>
      <c r="M270" s="902"/>
      <c r="N270" s="900" t="str">
        <f ca="1">IFERROR(IF(INDEX('WPTM - Section F'!O$1:O$100,MATCH('Print View'!$A269,'WPTM - Section F'!$A$1:$A$100,0))&lt;&gt;0,INDEX('WPTM - Section F'!O$1:O$100,MATCH('Print View'!$A269,'WPTM - Section F'!$A$1:$A$100,0)),""),"")</f>
        <v/>
      </c>
      <c r="O270" s="901"/>
      <c r="P270" s="901"/>
      <c r="Q270" s="901"/>
      <c r="R270" s="901"/>
      <c r="S270" s="902"/>
      <c r="T270" s="319"/>
      <c r="U270" s="223"/>
      <c r="V270" s="223"/>
      <c r="W270" s="223"/>
      <c r="X270" s="223"/>
      <c r="Y270" s="223"/>
      <c r="Z270" s="223"/>
      <c r="AA270" s="223"/>
      <c r="AB270" s="223"/>
      <c r="AC270"/>
      <c r="AD270"/>
      <c r="AE270"/>
      <c r="AF270"/>
      <c r="AG270"/>
      <c r="AH270"/>
      <c r="AI270"/>
      <c r="AJ270"/>
      <c r="AK270"/>
      <c r="AL270"/>
      <c r="AM270"/>
      <c r="AN270"/>
      <c r="AO270"/>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row>
    <row r="271" spans="1:86" s="107" customFormat="1" ht="60" customHeight="1" x14ac:dyDescent="0.65">
      <c r="A271" s="907">
        <v>51</v>
      </c>
      <c r="B271" s="910"/>
      <c r="C271" s="913" t="str">
        <f ca="1">IFERROR(IF(INDEX('WPTM - Section F'!C$1:C$100,MATCH('Print View'!$A271,'WPTM - Section F'!$A$1:$A$100,0))&lt;&gt;0,INDEX('WPTM - Section F'!C$1:C$100,MATCH('Print View'!$A271,'WPTM - Section F'!$A$1:$A$100,0)),""),"")</f>
        <v/>
      </c>
      <c r="D271" s="910"/>
      <c r="E271" s="910"/>
      <c r="F271" s="910"/>
      <c r="G271" s="913" t="str">
        <f ca="1">IFERROR(IF(INDEX('WPTM - Section F'!G$1:G$100,MATCH('Print View'!$A271,'WPTM - Section F'!$A$1:$A$100,0))&lt;&gt;0,INDEX('WPTM - Section F'!G$1:G$100,MATCH('Print View'!$A271,'WPTM - Section F'!$A$1:$A$100,0)),""),"")</f>
        <v/>
      </c>
      <c r="H271" s="407"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71" s="900" t="str">
        <f ca="1">IFERROR(IF(INDEX('WPTM - Section F'!R$1:R$100,MATCH('Print View'!$A269,'WPTM - Section F'!$A$1:$A$100,0))&lt;&gt;0,INDEX('WPTM - Section F'!R$1:R$100,MATCH('Print View'!$A269,'WPTM - Section F'!$A$1:$A$100,0)),""),"")</f>
        <v/>
      </c>
      <c r="J271" s="901"/>
      <c r="K271" s="901"/>
      <c r="L271" s="901"/>
      <c r="M271" s="902"/>
      <c r="N271" s="900" t="str">
        <f ca="1">IFERROR(IF(INDEX('WPTM - Section F'!S$1:S$100,MATCH('Print View'!$A269,'WPTM - Section F'!$A$1:$A$100,0))&lt;&gt;0,INDEX('WPTM - Section F'!S$1:S$100,MATCH('Print View'!$A269,'WPTM - Section F'!$A$1:$A$100,0)),""),"")</f>
        <v/>
      </c>
      <c r="O271" s="901"/>
      <c r="P271" s="901"/>
      <c r="Q271" s="901"/>
      <c r="R271" s="901"/>
      <c r="S271" s="902"/>
      <c r="T271" s="319"/>
      <c r="U271" s="223"/>
      <c r="V271" s="223"/>
      <c r="W271" s="223"/>
      <c r="X271" s="223"/>
      <c r="Y271" s="223"/>
      <c r="Z271" s="223"/>
      <c r="AA271" s="223"/>
      <c r="AB271" s="223"/>
      <c r="AC271"/>
      <c r="AD271"/>
      <c r="AE271"/>
      <c r="AF271"/>
      <c r="AG271"/>
      <c r="AH271"/>
      <c r="AI271"/>
      <c r="AJ271"/>
      <c r="AK271"/>
      <c r="AL271"/>
      <c r="AM271"/>
      <c r="AN271"/>
      <c r="AO271"/>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223"/>
      <c r="BK271" s="223"/>
      <c r="BL271" s="223"/>
      <c r="BM271" s="223"/>
      <c r="BN271" s="223"/>
      <c r="BO271" s="223"/>
      <c r="BP271" s="223"/>
      <c r="BQ271" s="223"/>
      <c r="BR271" s="223"/>
      <c r="BS271" s="223"/>
      <c r="BT271" s="223"/>
      <c r="BU271" s="223"/>
      <c r="BV271" s="223"/>
      <c r="BW271" s="223"/>
      <c r="BX271" s="223"/>
      <c r="BY271" s="223"/>
      <c r="BZ271" s="223"/>
      <c r="CA271" s="223"/>
      <c r="CB271" s="223"/>
      <c r="CC271" s="223"/>
      <c r="CD271" s="223"/>
      <c r="CE271" s="223"/>
      <c r="CF271" s="223"/>
      <c r="CG271" s="223"/>
      <c r="CH271" s="223"/>
    </row>
    <row r="272" spans="1:86" s="107" customFormat="1" ht="60" customHeight="1" x14ac:dyDescent="0.65">
      <c r="A272" s="907">
        <v>52</v>
      </c>
      <c r="B272" s="910"/>
      <c r="C272" s="913" t="str">
        <f ca="1">IFERROR(IF(INDEX('WPTM - Section F'!C$1:C$100,MATCH('Print View'!$A272,'WPTM - Section F'!$A$1:$A$100,0))&lt;&gt;0,INDEX('WPTM - Section F'!C$1:C$100,MATCH('Print View'!$A272,'WPTM - Section F'!$A$1:$A$100,0)),""),"")</f>
        <v/>
      </c>
      <c r="D272" s="910"/>
      <c r="E272" s="910"/>
      <c r="F272" s="910"/>
      <c r="G272" s="913" t="str">
        <f ca="1">IFERROR(IF(INDEX('WPTM - Section F'!G$1:G$100,MATCH('Print View'!$A272,'WPTM - Section F'!$A$1:$A$100,0))&lt;&gt;0,INDEX('WPTM - Section F'!G$1:G$100,MATCH('Print View'!$A272,'WPTM - Section F'!$A$1:$A$100,0)),""),"")</f>
        <v/>
      </c>
      <c r="H272" s="407"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72" s="900" t="str">
        <f ca="1">IFERROR(IF(INDEX('WPTM - Section F'!V$1:V$100,MATCH('Print View'!$A269,'WPTM - Section F'!$A$1:$A$100,0))&lt;&gt;0,INDEX('WPTM - Section F'!V$1:V$100,MATCH('Print View'!$A269,'WPTM - Section F'!$A$1:$A$100,0)),""),"")</f>
        <v/>
      </c>
      <c r="J272" s="901"/>
      <c r="K272" s="901"/>
      <c r="L272" s="901"/>
      <c r="M272" s="902"/>
      <c r="N272" s="900" t="str">
        <f ca="1">IFERROR(IF(INDEX('WPTM - Section F'!W$1:W$100,MATCH('Print View'!$A269,'WPTM - Section F'!$A$1:$A$100,0))&lt;&gt;0,INDEX('WPTM - Section F'!W$1:W$100,MATCH('Print View'!$A269,'WPTM - Section F'!$A$1:$A$100,0)),""),"")</f>
        <v/>
      </c>
      <c r="O272" s="901"/>
      <c r="P272" s="901"/>
      <c r="Q272" s="901"/>
      <c r="R272" s="901"/>
      <c r="S272" s="902"/>
      <c r="T272" s="319"/>
      <c r="U272" s="223"/>
      <c r="V272" s="223"/>
      <c r="W272" s="223"/>
      <c r="X272" s="223"/>
      <c r="Y272" s="223"/>
      <c r="Z272" s="223"/>
      <c r="AA272" s="223"/>
      <c r="AB272" s="223"/>
      <c r="AC272"/>
      <c r="AD272"/>
      <c r="AE272"/>
      <c r="AF272"/>
      <c r="AG272"/>
      <c r="AH272"/>
      <c r="AI272"/>
      <c r="AJ272"/>
      <c r="AK272"/>
      <c r="AL272"/>
      <c r="AM272"/>
      <c r="AN272"/>
      <c r="AO272"/>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223"/>
      <c r="BK272" s="223"/>
      <c r="BL272" s="223"/>
      <c r="BM272" s="223"/>
      <c r="BN272" s="223"/>
      <c r="BO272" s="223"/>
      <c r="BP272" s="223"/>
      <c r="BQ272" s="223"/>
      <c r="BR272" s="223"/>
      <c r="BS272" s="223"/>
      <c r="BT272" s="223"/>
      <c r="BU272" s="223"/>
      <c r="BV272" s="223"/>
      <c r="BW272" s="223"/>
      <c r="BX272" s="223"/>
      <c r="BY272" s="223"/>
      <c r="BZ272" s="223"/>
      <c r="CA272" s="223"/>
      <c r="CB272" s="223"/>
      <c r="CC272" s="223"/>
      <c r="CD272" s="223"/>
      <c r="CE272" s="223"/>
      <c r="CF272" s="223"/>
      <c r="CG272" s="223"/>
      <c r="CH272" s="223"/>
    </row>
    <row r="273" spans="1:86" s="107" customFormat="1" ht="60" customHeight="1" x14ac:dyDescent="0.65">
      <c r="A273" s="907">
        <v>53</v>
      </c>
      <c r="B273" s="910"/>
      <c r="C273" s="913" t="str">
        <f ca="1">IFERROR(IF(INDEX('WPTM - Section F'!C$1:C$100,MATCH('Print View'!$A273,'WPTM - Section F'!$A$1:$A$100,0))&lt;&gt;0,INDEX('WPTM - Section F'!C$1:C$100,MATCH('Print View'!$A273,'WPTM - Section F'!$A$1:$A$100,0)),""),"")</f>
        <v/>
      </c>
      <c r="D273" s="910"/>
      <c r="E273" s="910"/>
      <c r="F273" s="910"/>
      <c r="G273" s="913" t="str">
        <f ca="1">IFERROR(IF(INDEX('WPTM - Section F'!G$1:G$100,MATCH('Print View'!$A273,'WPTM - Section F'!$A$1:$A$100,0))&lt;&gt;0,INDEX('WPTM - Section F'!G$1:G$100,MATCH('Print View'!$A273,'WPTM - Section F'!$A$1:$A$100,0)),""),"")</f>
        <v/>
      </c>
      <c r="H273" s="407"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73" s="900" t="str">
        <f ca="1">IFERROR(IF(INDEX('WPTM - Section F'!Z$1:Z$100,MATCH('Print View'!$A269,'WPTM - Section F'!$A$1:$A$100,0))&lt;&gt;0,INDEX('WPTM - Section F'!Z$1:Z$100,MATCH('Print View'!$A269,'WPTM - Section F'!$A$1:$A$100,0)),""),"")</f>
        <v/>
      </c>
      <c r="J273" s="901"/>
      <c r="K273" s="901"/>
      <c r="L273" s="901"/>
      <c r="M273" s="902"/>
      <c r="N273" s="900" t="str">
        <f ca="1">IFERROR(IF(INDEX('WPTM - Section F'!AA$1:AA$100,MATCH('Print View'!$A269,'WPTM - Section F'!$A$1:$A$100,0))&lt;&gt;0,INDEX('WPTM - Section F'!AA$1:AA$100,MATCH('Print View'!$A269,'WPTM - Section F'!$A$1:$A$100,0)),""),"")</f>
        <v/>
      </c>
      <c r="O273" s="901"/>
      <c r="P273" s="901"/>
      <c r="Q273" s="901"/>
      <c r="R273" s="901"/>
      <c r="S273" s="902"/>
      <c r="T273" s="319"/>
      <c r="U273" s="223"/>
      <c r="V273" s="223"/>
      <c r="W273" s="223"/>
      <c r="X273" s="223"/>
      <c r="Y273" s="223"/>
      <c r="Z273" s="223"/>
      <c r="AA273" s="223"/>
      <c r="AB273" s="223"/>
      <c r="AC273"/>
      <c r="AD273"/>
      <c r="AE273"/>
      <c r="AF273"/>
      <c r="AG273"/>
      <c r="AH273"/>
      <c r="AI273"/>
      <c r="AJ273"/>
      <c r="AK273"/>
      <c r="AL273"/>
      <c r="AM273"/>
      <c r="AN273"/>
      <c r="AO27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223"/>
      <c r="BK273" s="223"/>
      <c r="BL273" s="223"/>
      <c r="BM273" s="223"/>
      <c r="BN273" s="223"/>
      <c r="BO273" s="223"/>
      <c r="BP273" s="223"/>
      <c r="BQ273" s="223"/>
      <c r="BR273" s="223"/>
      <c r="BS273" s="223"/>
      <c r="BT273" s="223"/>
      <c r="BU273" s="223"/>
      <c r="BV273" s="223"/>
      <c r="BW273" s="223"/>
      <c r="BX273" s="223"/>
      <c r="BY273" s="223"/>
      <c r="BZ273" s="223"/>
      <c r="CA273" s="223"/>
      <c r="CB273" s="223"/>
      <c r="CC273" s="223"/>
      <c r="CD273" s="223"/>
      <c r="CE273" s="223"/>
      <c r="CF273" s="223"/>
      <c r="CG273" s="223"/>
      <c r="CH273" s="223"/>
    </row>
    <row r="274" spans="1:86" s="107" customFormat="1" ht="60" customHeight="1" x14ac:dyDescent="0.65">
      <c r="A274" s="907">
        <v>54</v>
      </c>
      <c r="B274" s="910"/>
      <c r="C274" s="913" t="str">
        <f ca="1">IFERROR(IF(INDEX('WPTM - Section F'!C$1:C$100,MATCH('Print View'!$A274,'WPTM - Section F'!$A$1:$A$100,0))&lt;&gt;0,INDEX('WPTM - Section F'!C$1:C$100,MATCH('Print View'!$A274,'WPTM - Section F'!$A$1:$A$100,0)),""),"")</f>
        <v/>
      </c>
      <c r="D274" s="910"/>
      <c r="E274" s="910"/>
      <c r="F274" s="910"/>
      <c r="G274" s="913" t="str">
        <f ca="1">IFERROR(IF(INDEX('WPTM - Section F'!G$1:G$100,MATCH('Print View'!$A274,'WPTM - Section F'!$A$1:$A$100,0))&lt;&gt;0,INDEX('WPTM - Section F'!G$1:G$100,MATCH('Print View'!$A274,'WPTM - Section F'!$A$1:$A$100,0)),""),"")</f>
        <v/>
      </c>
      <c r="H274" s="407"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74" s="900" t="str">
        <f ca="1">IFERROR(IF(INDEX('WPTM - Section F'!AD$1:AD$100,MATCH('Print View'!$A269,'WPTM - Section F'!$A$1:$A$100,0))&lt;&gt;0,INDEX('WPTM - Section F'!AD$1:AD$100,MATCH('Print View'!$A269,'WPTM - Section F'!$A$1:$A$100,0)),""),"")</f>
        <v/>
      </c>
      <c r="J274" s="901"/>
      <c r="K274" s="901"/>
      <c r="L274" s="901"/>
      <c r="M274" s="902"/>
      <c r="N274" s="900" t="str">
        <f ca="1">IFERROR(IF(INDEX('WPTM - Section F'!AE$1:AE$100,MATCH('Print View'!$A269,'WPTM - Section F'!$A$1:$A$100,0))&lt;&gt;0,INDEX('WPTM - Section F'!AE$1:AE$100,MATCH('Print View'!$A269,'WPTM - Section F'!$A$1:$A$100,0)),""),"")</f>
        <v/>
      </c>
      <c r="O274" s="901"/>
      <c r="P274" s="901"/>
      <c r="Q274" s="901"/>
      <c r="R274" s="901"/>
      <c r="S274" s="902"/>
      <c r="T274" s="319"/>
      <c r="U274" s="223"/>
      <c r="V274" s="223"/>
      <c r="W274" s="223"/>
      <c r="X274" s="223"/>
      <c r="Y274" s="223"/>
      <c r="Z274" s="223"/>
      <c r="AA274" s="223"/>
      <c r="AB274" s="223"/>
      <c r="AC274"/>
      <c r="AD274"/>
      <c r="AE274"/>
      <c r="AF274"/>
      <c r="AG274"/>
      <c r="AH274"/>
      <c r="AI274"/>
      <c r="AJ274"/>
      <c r="AK274"/>
      <c r="AL274"/>
      <c r="AM274"/>
      <c r="AN274"/>
      <c r="AO274"/>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223"/>
      <c r="BK274" s="223"/>
      <c r="BL274" s="223"/>
      <c r="BM274" s="223"/>
      <c r="BN274" s="223"/>
      <c r="BO274" s="223"/>
      <c r="BP274" s="223"/>
      <c r="BQ274" s="223"/>
      <c r="BR274" s="223"/>
      <c r="BS274" s="223"/>
      <c r="BT274" s="223"/>
      <c r="BU274" s="223"/>
      <c r="BV274" s="223"/>
      <c r="BW274" s="223"/>
      <c r="BX274" s="223"/>
      <c r="BY274" s="223"/>
      <c r="BZ274" s="223"/>
      <c r="CA274" s="223"/>
      <c r="CB274" s="223"/>
      <c r="CC274" s="223"/>
      <c r="CD274" s="223"/>
      <c r="CE274" s="223"/>
      <c r="CF274" s="223"/>
      <c r="CG274" s="223"/>
      <c r="CH274" s="223"/>
    </row>
    <row r="275" spans="1:86" s="107" customFormat="1" ht="60" customHeight="1" x14ac:dyDescent="0.65">
      <c r="A275" s="907">
        <v>55</v>
      </c>
      <c r="B275" s="911"/>
      <c r="C275" s="914" t="str">
        <f ca="1">IFERROR(IF(INDEX('WPTM - Section F'!C$1:C$100,MATCH('Print View'!$A275,'WPTM - Section F'!$A$1:$A$100,0))&lt;&gt;0,INDEX('WPTM - Section F'!C$1:C$100,MATCH('Print View'!$A275,'WPTM - Section F'!$A$1:$A$100,0)),""),"")</f>
        <v/>
      </c>
      <c r="D275" s="911"/>
      <c r="E275" s="911"/>
      <c r="F275" s="911"/>
      <c r="G275" s="914" t="str">
        <f ca="1">IFERROR(IF(INDEX('WPTM - Section F'!G$1:G$100,MATCH('Print View'!$A275,'WPTM - Section F'!$A$1:$A$100,0))&lt;&gt;0,INDEX('WPTM - Section F'!G$1:G$100,MATCH('Print View'!$A275,'WPTM - Section F'!$A$1:$A$100,0)),""),"")</f>
        <v/>
      </c>
      <c r="H275" s="407" t="str">
        <f>IF(IFERROR(INDEX('Overview - Section A'!$A$39:$A$46,MATCH(D$29,'Overview - Section A'!$B$39:$B$46,0)),"")="","",TEXT(IFERROR(INDEX('Overview - Section A'!$A$39:$A$46,MATCH(D$29,'Overview - Section A'!$B$39:$B$46,0)),""),Setup!$A$33) &amp;" to " &amp; TEXT(IFERROR(INDEX('Overview - Section A'!$E$39:$E$46,MATCH(D$29,'Overview - Section A'!$B$39:$B$46,0)),""),Setup!$A$33))</f>
        <v/>
      </c>
      <c r="I275" s="900" t="str">
        <f ca="1">IFERROR(IF(INDEX('WPTM - Section F'!AH$1:AH$100,MATCH('Print View'!$A269,'WPTM - Section F'!$A$1:$A$100,0))&lt;&gt;0,INDEX('WPTM - Section F'!AH$1:AH$100,MATCH('Print View'!$A269,'WPTM - Section F'!$A$1:$A$100,0)),""),"")</f>
        <v/>
      </c>
      <c r="J275" s="901"/>
      <c r="K275" s="901"/>
      <c r="L275" s="901"/>
      <c r="M275" s="902"/>
      <c r="N275" s="900" t="str">
        <f ca="1">IFERROR(IF(INDEX('WPTM - Section F'!AI$1:AI$100,MATCH('Print View'!$A269,'WPTM - Section F'!$A$1:$A$100,0))&lt;&gt;0,INDEX('WPTM - Section F'!AI$1:AI$100,MATCH('Print View'!$A269,'WPTM - Section F'!$A$1:$A$100,0)),""),"")</f>
        <v/>
      </c>
      <c r="O275" s="901"/>
      <c r="P275" s="901"/>
      <c r="Q275" s="901"/>
      <c r="R275" s="901"/>
      <c r="S275" s="902"/>
      <c r="T275" s="319"/>
      <c r="U275" s="223"/>
      <c r="V275" s="223"/>
      <c r="W275" s="223"/>
      <c r="X275" s="223"/>
      <c r="Y275" s="223"/>
      <c r="Z275" s="223"/>
      <c r="AA275" s="223"/>
      <c r="AB275" s="223"/>
      <c r="AC275"/>
      <c r="AD275"/>
      <c r="AE275"/>
      <c r="AF275"/>
      <c r="AG275"/>
      <c r="AH275"/>
      <c r="AI275"/>
      <c r="AJ275"/>
      <c r="AK275"/>
      <c r="AL275"/>
      <c r="AM275"/>
      <c r="AN275"/>
      <c r="AO275"/>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223"/>
      <c r="BK275" s="223"/>
      <c r="BL275" s="223"/>
      <c r="BM275" s="223"/>
      <c r="BN275" s="223"/>
      <c r="BO275" s="223"/>
      <c r="BP275" s="223"/>
      <c r="BQ275" s="223"/>
      <c r="BR275" s="223"/>
      <c r="BS275" s="223"/>
      <c r="BT275" s="223"/>
      <c r="BU275" s="223"/>
      <c r="BV275" s="223"/>
      <c r="BW275" s="223"/>
      <c r="BX275" s="223"/>
      <c r="BY275" s="223"/>
      <c r="BZ275" s="223"/>
      <c r="CA275" s="223"/>
      <c r="CB275" s="223"/>
      <c r="CC275" s="223"/>
      <c r="CD275" s="223"/>
      <c r="CE275" s="223"/>
      <c r="CF275" s="223"/>
      <c r="CG275" s="223"/>
      <c r="CH275" s="223"/>
    </row>
    <row r="276" spans="1:86" s="107" customFormat="1" ht="60" customHeight="1" x14ac:dyDescent="0.65">
      <c r="A276" s="908">
        <v>56</v>
      </c>
      <c r="B276" s="896" t="str">
        <f ca="1">IFERROR(IF(INDEX('WPTM - Section F'!AV$1:AV$100,MATCH('Print View'!$A269,'WPTM - Section F'!$A$1:$A$100,0))&lt;&gt;0,INDEX('WPTM - Section F'!AV$1:AV$100,MATCH('Print View'!$A269,'WPTM - Section F'!$A$1:$A$100,0)),""),"")</f>
        <v/>
      </c>
      <c r="C276" s="897"/>
      <c r="D276" s="897"/>
      <c r="E276" s="897"/>
      <c r="F276" s="897"/>
      <c r="G276" s="897"/>
      <c r="H276" s="897"/>
      <c r="I276" s="897"/>
      <c r="J276" s="897"/>
      <c r="K276" s="897"/>
      <c r="L276" s="897"/>
      <c r="M276" s="897"/>
      <c r="N276" s="897"/>
      <c r="O276" s="897"/>
      <c r="P276" s="897"/>
      <c r="Q276" s="897"/>
      <c r="R276" s="897"/>
      <c r="S276" s="898"/>
      <c r="T276" s="318"/>
      <c r="U276" s="223"/>
      <c r="V276" s="223"/>
      <c r="W276" s="223"/>
      <c r="X276" s="223"/>
      <c r="Y276" s="223"/>
      <c r="Z276" s="223"/>
      <c r="AA276" s="223"/>
      <c r="AB276" s="223"/>
      <c r="AC276"/>
      <c r="AD276"/>
      <c r="AE276"/>
      <c r="AF276"/>
      <c r="AG276"/>
      <c r="AH276"/>
      <c r="AI276"/>
      <c r="AJ276"/>
      <c r="AK276"/>
      <c r="AL276"/>
      <c r="AM276"/>
      <c r="AN276"/>
      <c r="AO276"/>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223"/>
      <c r="BK276" s="223"/>
      <c r="BL276" s="223"/>
      <c r="BM276" s="223"/>
      <c r="BN276" s="223"/>
      <c r="BO276" s="223"/>
      <c r="BP276" s="223"/>
      <c r="BQ276" s="223"/>
      <c r="BR276" s="223"/>
      <c r="BS276" s="223"/>
      <c r="BT276" s="223"/>
      <c r="BU276" s="223"/>
      <c r="BV276" s="223"/>
      <c r="BW276" s="223"/>
      <c r="BX276" s="223"/>
      <c r="BY276" s="223"/>
      <c r="BZ276" s="223"/>
      <c r="CA276" s="223"/>
      <c r="CB276" s="223"/>
      <c r="CC276" s="223"/>
      <c r="CD276" s="223"/>
      <c r="CE276" s="223"/>
      <c r="CF276" s="223"/>
      <c r="CG276" s="223"/>
      <c r="CH276" s="223"/>
    </row>
    <row r="277" spans="1:86" s="427" customFormat="1" ht="60" customHeight="1" x14ac:dyDescent="0.35">
      <c r="A277" s="927">
        <v>8</v>
      </c>
      <c r="B277" s="921" t="str">
        <f ca="1">IFERROR(IF(INDEX('WPTM - Section F'!B$1:B$100,MATCH('Print View'!$A277,'WPTM - Section F'!$A$1:$A$100,0))&lt;&gt;0,INDEX('WPTM - Section F'!B$1:B$100,MATCH('Print View'!$A277,'WPTM - Section F'!$A$1:$A$100,0)),""),"")</f>
        <v/>
      </c>
      <c r="C277" s="930" t="str">
        <f ca="1">IFERROR(IF(INDEX('WPTM - Section F'!C$1:C$100,MATCH('Print View'!$A277,'WPTM - Section F'!$A$1:$A$100,0))&lt;&gt;0,INDEX('WPTM - Section F'!C$1:C$100,MATCH('Print View'!$A277,'WPTM - Section F'!$A$1:$A$100,0)),""),"")</f>
        <v/>
      </c>
      <c r="D277" s="921" t="str">
        <f ca="1">IFERROR(IF(INDEX('WPTM - Section F'!D$1:D$100,MATCH('Print View'!$A277,'WPTM - Section F'!$A$1:$A$100,0))&lt;&gt;0,INDEX('WPTM - Section F'!D$1:D$100,MATCH('Print View'!$A277,'WPTM - Section F'!$A$1:$A$100,0)),""),"")</f>
        <v/>
      </c>
      <c r="E277" s="921" t="str">
        <f ca="1">IFERROR(IF(INDEX('WPTM - Section F'!E$1:E$100,MATCH('Print View'!$A277,'WPTM - Section F'!$A$1:$A$100,0))&lt;&gt;0,INDEX('WPTM - Section F'!E$1:E$100,MATCH('Print View'!$A277,'WPTM - Section F'!$A$1:$A$100,0)),""),"")</f>
        <v/>
      </c>
      <c r="F277" s="921" t="str">
        <f ca="1">IFERROR(IF(INDEX('WPTM - Section F'!F$1:F$100,MATCH('Print View'!$A277,'WPTM - Section F'!$A$1:$A$100,0))&lt;&gt;0,INDEX('WPTM - Section F'!F$1:F$100,MATCH('Print View'!$A277,'WPTM - Section F'!$A$1:$A$100,0)),""),"")</f>
        <v/>
      </c>
      <c r="G277" s="930" t="str">
        <f ca="1">IFERROR(IF(INDEX('WPTM - Section F'!G$1:G$100,MATCH('Print View'!$A277,'WPTM - Section F'!$A$1:$A$100,0))&lt;&gt;0,INDEX('WPTM - Section F'!G$1:G$100,MATCH('Print View'!$A277,'WPTM - Section F'!$A$1:$A$100,0)),""),"")</f>
        <v/>
      </c>
      <c r="H277" s="425"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77" s="903" t="str">
        <f ca="1">IFERROR(IF(INDEX('WPTM - Section F'!J$1:J$100,MATCH('Print View'!$A277,'WPTM - Section F'!$A$1:$A$100,0))&lt;&gt;0,INDEX('WPTM - Section F'!J$1:J$100,MATCH('Print View'!$A277,'WPTM - Section F'!$A$1:$A$100,0)),""),"")</f>
        <v/>
      </c>
      <c r="J277" s="904"/>
      <c r="K277" s="904"/>
      <c r="L277" s="904"/>
      <c r="M277" s="905"/>
      <c r="N277" s="903" t="str">
        <f ca="1">IFERROR(IF(INDEX('WPTM - Section F'!K$1:K$100,MATCH('Print View'!$A277,'WPTM - Section F'!$A$1:$A$100,0))&lt;&gt;0,INDEX('WPTM - Section F'!K$1:K$100,MATCH('Print View'!$A277,'WPTM - Section F'!$A$1:$A$100,0)),""),"")</f>
        <v/>
      </c>
      <c r="O277" s="904"/>
      <c r="P277" s="904"/>
      <c r="Q277" s="904"/>
      <c r="R277" s="904"/>
      <c r="S277" s="904"/>
      <c r="T277" s="314"/>
      <c r="AC277" s="424"/>
      <c r="AD277" s="424"/>
      <c r="AE277" s="424"/>
      <c r="AF277" s="424"/>
      <c r="AG277" s="424"/>
      <c r="AH277" s="424"/>
      <c r="AI277" s="424"/>
      <c r="AJ277" s="424"/>
      <c r="AK277" s="424"/>
      <c r="AL277" s="424"/>
      <c r="AM277" s="424"/>
      <c r="AN277" s="424"/>
      <c r="AO277" s="424"/>
    </row>
    <row r="278" spans="1:86" s="427" customFormat="1" ht="60" customHeight="1" x14ac:dyDescent="0.35">
      <c r="A278" s="928">
        <v>58</v>
      </c>
      <c r="B278" s="922"/>
      <c r="C278" s="931" t="str">
        <f ca="1">IFERROR(IF(INDEX('WPTM - Section F'!C$1:C$100,MATCH('Print View'!$A278,'WPTM - Section F'!$A$1:$A$100,0))&lt;&gt;0,INDEX('WPTM - Section F'!C$1:C$100,MATCH('Print View'!$A278,'WPTM - Section F'!$A$1:$A$100,0)),""),"")</f>
        <v/>
      </c>
      <c r="D278" s="922"/>
      <c r="E278" s="922"/>
      <c r="F278" s="922"/>
      <c r="G278" s="931" t="str">
        <f ca="1">IFERROR(IF(INDEX('WPTM - Section F'!G$1:G$100,MATCH('Print View'!$A278,'WPTM - Section F'!$A$1:$A$100,0))&lt;&gt;0,INDEX('WPTM - Section F'!G$1:G$100,MATCH('Print View'!$A278,'WPTM - Section F'!$A$1:$A$100,0)),""),"")</f>
        <v/>
      </c>
      <c r="H278" s="425"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78" s="903" t="str">
        <f ca="1">IFERROR(IF(INDEX('WPTM - Section F'!J$1:J$100,MATCH('Print View'!$A277,'WPTM - Section F'!$A$1:$A$100,0))&lt;&gt;0,INDEX('WPTM - Section F'!J$1:J$100,MATCH('Print View'!$A277,'WPTM - Section F'!$A$1:$A$100,0)),""),"")</f>
        <v/>
      </c>
      <c r="J278" s="904"/>
      <c r="K278" s="904"/>
      <c r="L278" s="904"/>
      <c r="M278" s="905"/>
      <c r="N278" s="903" t="str">
        <f ca="1">IFERROR(IF(INDEX('WPTM - Section F'!O$1:O$100,MATCH('Print View'!$A277,'WPTM - Section F'!$A$1:$A$100,0))&lt;&gt;0,INDEX('WPTM - Section F'!O$1:O$100,MATCH('Print View'!$A277,'WPTM - Section F'!$A$1:$A$100,0)),""),"")</f>
        <v/>
      </c>
      <c r="O278" s="904"/>
      <c r="P278" s="904"/>
      <c r="Q278" s="904"/>
      <c r="R278" s="904"/>
      <c r="S278" s="904"/>
      <c r="T278" s="314"/>
      <c r="AC278" s="424"/>
      <c r="AD278" s="424"/>
      <c r="AE278" s="424"/>
      <c r="AF278" s="424"/>
      <c r="AG278" s="424"/>
      <c r="AH278" s="424"/>
      <c r="AI278" s="424"/>
      <c r="AJ278" s="424"/>
      <c r="AK278" s="424"/>
      <c r="AL278" s="424"/>
      <c r="AM278" s="424"/>
      <c r="AN278" s="424"/>
      <c r="AO278" s="424"/>
    </row>
    <row r="279" spans="1:86" s="427" customFormat="1" ht="60" customHeight="1" x14ac:dyDescent="0.35">
      <c r="A279" s="928">
        <v>59</v>
      </c>
      <c r="B279" s="922"/>
      <c r="C279" s="931" t="str">
        <f ca="1">IFERROR(IF(INDEX('WPTM - Section F'!C$1:C$100,MATCH('Print View'!$A279,'WPTM - Section F'!$A$1:$A$100,0))&lt;&gt;0,INDEX('WPTM - Section F'!C$1:C$100,MATCH('Print View'!$A279,'WPTM - Section F'!$A$1:$A$100,0)),""),"")</f>
        <v/>
      </c>
      <c r="D279" s="922"/>
      <c r="E279" s="922"/>
      <c r="F279" s="922"/>
      <c r="G279" s="931" t="str">
        <f ca="1">IFERROR(IF(INDEX('WPTM - Section F'!G$1:G$100,MATCH('Print View'!$A279,'WPTM - Section F'!$A$1:$A$100,0))&lt;&gt;0,INDEX('WPTM - Section F'!G$1:G$100,MATCH('Print View'!$A279,'WPTM - Section F'!$A$1:$A$100,0)),""),"")</f>
        <v/>
      </c>
      <c r="H279" s="425"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79" s="903" t="str">
        <f ca="1">IFERROR(IF(INDEX('WPTM - Section F'!R$1:R$100,MATCH('Print View'!$A277,'WPTM - Section F'!$A$1:$A$100,0))&lt;&gt;0,INDEX('WPTM - Section F'!R$1:R$100,MATCH('Print View'!$A277,'WPTM - Section F'!$A$1:$A$100,0)),""),"")</f>
        <v/>
      </c>
      <c r="J279" s="904"/>
      <c r="K279" s="904"/>
      <c r="L279" s="904"/>
      <c r="M279" s="905"/>
      <c r="N279" s="903" t="str">
        <f ca="1">IFERROR(IF(INDEX('WPTM - Section F'!S$1:S$100,MATCH('Print View'!$A277,'WPTM - Section F'!$A$1:$A$100,0))&lt;&gt;0,INDEX('WPTM - Section F'!S$1:S$100,MATCH('Print View'!$A277,'WPTM - Section F'!$A$1:$A$100,0)),""),"")</f>
        <v/>
      </c>
      <c r="O279" s="904"/>
      <c r="P279" s="904"/>
      <c r="Q279" s="904"/>
      <c r="R279" s="904"/>
      <c r="S279" s="904"/>
      <c r="T279" s="314"/>
      <c r="AC279" s="424"/>
      <c r="AD279" s="424"/>
      <c r="AE279" s="424"/>
      <c r="AF279" s="424"/>
      <c r="AG279" s="424"/>
      <c r="AH279" s="424"/>
      <c r="AI279" s="424"/>
      <c r="AJ279" s="424"/>
      <c r="AK279" s="424"/>
      <c r="AL279" s="424"/>
      <c r="AM279" s="424"/>
      <c r="AN279" s="424"/>
      <c r="AO279" s="424"/>
    </row>
    <row r="280" spans="1:86" s="427" customFormat="1" ht="60" customHeight="1" x14ac:dyDescent="0.35">
      <c r="A280" s="928">
        <v>60</v>
      </c>
      <c r="B280" s="922"/>
      <c r="C280" s="931" t="str">
        <f ca="1">IFERROR(IF(INDEX('WPTM - Section F'!C$1:C$100,MATCH('Print View'!$A280,'WPTM - Section F'!$A$1:$A$100,0))&lt;&gt;0,INDEX('WPTM - Section F'!C$1:C$100,MATCH('Print View'!$A280,'WPTM - Section F'!$A$1:$A$100,0)),""),"")</f>
        <v/>
      </c>
      <c r="D280" s="922"/>
      <c r="E280" s="922"/>
      <c r="F280" s="922"/>
      <c r="G280" s="931" t="str">
        <f ca="1">IFERROR(IF(INDEX('WPTM - Section F'!G$1:G$100,MATCH('Print View'!$A280,'WPTM - Section F'!$A$1:$A$100,0))&lt;&gt;0,INDEX('WPTM - Section F'!G$1:G$100,MATCH('Print View'!$A280,'WPTM - Section F'!$A$1:$A$100,0)),""),"")</f>
        <v/>
      </c>
      <c r="H280" s="425"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80" s="903" t="str">
        <f ca="1">IFERROR(IF(INDEX('WPTM - Section F'!V$1:V$100,MATCH('Print View'!$A277,'WPTM - Section F'!$A$1:$A$100,0))&lt;&gt;0,INDEX('WPTM - Section F'!V$1:V$100,MATCH('Print View'!$A277,'WPTM - Section F'!$A$1:$A$100,0)),""),"")</f>
        <v/>
      </c>
      <c r="J280" s="904"/>
      <c r="K280" s="904"/>
      <c r="L280" s="904"/>
      <c r="M280" s="905"/>
      <c r="N280" s="903" t="str">
        <f ca="1">IFERROR(IF(INDEX('WPTM - Section F'!W$1:W$100,MATCH('Print View'!$A277,'WPTM - Section F'!$A$1:$A$100,0))&lt;&gt;0,INDEX('WPTM - Section F'!W$1:W$100,MATCH('Print View'!$A277,'WPTM - Section F'!$A$1:$A$100,0)),""),"")</f>
        <v/>
      </c>
      <c r="O280" s="904"/>
      <c r="P280" s="904"/>
      <c r="Q280" s="904"/>
      <c r="R280" s="904"/>
      <c r="S280" s="904"/>
      <c r="T280" s="314"/>
      <c r="AC280" s="424"/>
      <c r="AD280" s="424"/>
      <c r="AE280" s="424"/>
      <c r="AF280" s="424"/>
      <c r="AG280" s="424"/>
      <c r="AH280" s="424"/>
      <c r="AI280" s="424"/>
      <c r="AJ280" s="424"/>
      <c r="AK280" s="424"/>
      <c r="AL280" s="424"/>
      <c r="AM280" s="424"/>
      <c r="AN280" s="424"/>
      <c r="AO280" s="424"/>
    </row>
    <row r="281" spans="1:86" s="427" customFormat="1" ht="60" customHeight="1" x14ac:dyDescent="0.35">
      <c r="A281" s="928">
        <v>61</v>
      </c>
      <c r="B281" s="922"/>
      <c r="C281" s="931" t="str">
        <f ca="1">IFERROR(IF(INDEX('WPTM - Section F'!C$1:C$100,MATCH('Print View'!$A281,'WPTM - Section F'!$A$1:$A$100,0))&lt;&gt;0,INDEX('WPTM - Section F'!C$1:C$100,MATCH('Print View'!$A281,'WPTM - Section F'!$A$1:$A$100,0)),""),"")</f>
        <v/>
      </c>
      <c r="D281" s="922"/>
      <c r="E281" s="922"/>
      <c r="F281" s="922"/>
      <c r="G281" s="931" t="str">
        <f ca="1">IFERROR(IF(INDEX('WPTM - Section F'!G$1:G$100,MATCH('Print View'!$A281,'WPTM - Section F'!$A$1:$A$100,0))&lt;&gt;0,INDEX('WPTM - Section F'!G$1:G$100,MATCH('Print View'!$A281,'WPTM - Section F'!$A$1:$A$100,0)),""),"")</f>
        <v/>
      </c>
      <c r="H281" s="425"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81" s="903" t="str">
        <f ca="1">IFERROR(IF(INDEX('WPTM - Section F'!Z$1:Z$100,MATCH('Print View'!$A277,'WPTM - Section F'!$A$1:$A$100,0))&lt;&gt;0,INDEX('WPTM - Section F'!Z$1:Z$100,MATCH('Print View'!$A277,'WPTM - Section F'!$A$1:$A$100,0)),""),"")</f>
        <v/>
      </c>
      <c r="J281" s="904"/>
      <c r="K281" s="904"/>
      <c r="L281" s="904"/>
      <c r="M281" s="905"/>
      <c r="N281" s="903" t="str">
        <f ca="1">IFERROR(IF(INDEX('WPTM - Section F'!AA$1:AA$100,MATCH('Print View'!$A277,'WPTM - Section F'!$A$1:$A$100,0))&lt;&gt;0,INDEX('WPTM - Section F'!AA$1:AA$100,MATCH('Print View'!$A277,'WPTM - Section F'!$A$1:$A$100,0)),""),"")</f>
        <v/>
      </c>
      <c r="O281" s="904"/>
      <c r="P281" s="904"/>
      <c r="Q281" s="904"/>
      <c r="R281" s="904"/>
      <c r="S281" s="904"/>
      <c r="T281" s="314"/>
      <c r="AC281" s="424"/>
      <c r="AD281" s="424"/>
      <c r="AE281" s="424"/>
      <c r="AF281" s="424"/>
      <c r="AG281" s="424"/>
      <c r="AH281" s="424"/>
      <c r="AI281" s="424"/>
      <c r="AJ281" s="424"/>
      <c r="AK281" s="424"/>
      <c r="AL281" s="424"/>
      <c r="AM281" s="424"/>
      <c r="AN281" s="424"/>
      <c r="AO281" s="424"/>
    </row>
    <row r="282" spans="1:86" s="427" customFormat="1" ht="60" customHeight="1" x14ac:dyDescent="0.35">
      <c r="A282" s="928">
        <v>62</v>
      </c>
      <c r="B282" s="922"/>
      <c r="C282" s="931" t="str">
        <f ca="1">IFERROR(IF(INDEX('WPTM - Section F'!C$1:C$100,MATCH('Print View'!$A282,'WPTM - Section F'!$A$1:$A$100,0))&lt;&gt;0,INDEX('WPTM - Section F'!C$1:C$100,MATCH('Print View'!$A282,'WPTM - Section F'!$A$1:$A$100,0)),""),"")</f>
        <v/>
      </c>
      <c r="D282" s="922"/>
      <c r="E282" s="922"/>
      <c r="F282" s="922"/>
      <c r="G282" s="931" t="str">
        <f ca="1">IFERROR(IF(INDEX('WPTM - Section F'!G$1:G$100,MATCH('Print View'!$A282,'WPTM - Section F'!$A$1:$A$100,0))&lt;&gt;0,INDEX('WPTM - Section F'!G$1:G$100,MATCH('Print View'!$A282,'WPTM - Section F'!$A$1:$A$100,0)),""),"")</f>
        <v/>
      </c>
      <c r="H282" s="425"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82" s="903" t="str">
        <f ca="1">IFERROR(IF(INDEX('WPTM - Section F'!AD$1:AD$100,MATCH('Print View'!$A277,'WPTM - Section F'!$A$1:$A$100,0))&lt;&gt;0,INDEX('WPTM - Section F'!AD$1:AD$100,MATCH('Print View'!$A277,'WPTM - Section F'!$A$1:$A$100,0)),""),"")</f>
        <v/>
      </c>
      <c r="J282" s="904"/>
      <c r="K282" s="904"/>
      <c r="L282" s="904"/>
      <c r="M282" s="905"/>
      <c r="N282" s="903" t="str">
        <f ca="1">IFERROR(IF(INDEX('WPTM - Section F'!AE$1:AE$100,MATCH('Print View'!$A277,'WPTM - Section F'!$A$1:$A$100,0))&lt;&gt;0,INDEX('WPTM - Section F'!AE$1:AE$100,MATCH('Print View'!$A277,'WPTM - Section F'!$A$1:$A$100,0)),""),"")</f>
        <v/>
      </c>
      <c r="O282" s="904"/>
      <c r="P282" s="904"/>
      <c r="Q282" s="904"/>
      <c r="R282" s="904"/>
      <c r="S282" s="904"/>
      <c r="T282" s="314"/>
      <c r="AC282" s="424"/>
      <c r="AD282" s="424"/>
      <c r="AE282" s="424"/>
      <c r="AF282" s="424"/>
      <c r="AG282" s="424"/>
      <c r="AH282" s="424"/>
      <c r="AI282" s="424"/>
      <c r="AJ282" s="424"/>
      <c r="AK282" s="424"/>
      <c r="AL282" s="424"/>
      <c r="AM282" s="424"/>
      <c r="AN282" s="424"/>
      <c r="AO282" s="424"/>
    </row>
    <row r="283" spans="1:86" s="427" customFormat="1" ht="60" customHeight="1" x14ac:dyDescent="0.35">
      <c r="A283" s="928">
        <v>63</v>
      </c>
      <c r="B283" s="923"/>
      <c r="C283" s="932" t="str">
        <f ca="1">IFERROR(IF(INDEX('WPTM - Section F'!C$1:C$100,MATCH('Print View'!$A283,'WPTM - Section F'!$A$1:$A$100,0))&lt;&gt;0,INDEX('WPTM - Section F'!C$1:C$100,MATCH('Print View'!$A283,'WPTM - Section F'!$A$1:$A$100,0)),""),"")</f>
        <v/>
      </c>
      <c r="D283" s="923"/>
      <c r="E283" s="923"/>
      <c r="F283" s="923"/>
      <c r="G283" s="932" t="str">
        <f ca="1">IFERROR(IF(INDEX('WPTM - Section F'!G$1:G$100,MATCH('Print View'!$A283,'WPTM - Section F'!$A$1:$A$100,0))&lt;&gt;0,INDEX('WPTM - Section F'!G$1:G$100,MATCH('Print View'!$A283,'WPTM - Section F'!$A$1:$A$100,0)),""),"")</f>
        <v/>
      </c>
      <c r="H283" s="425" t="str">
        <f>IF(IFERROR(INDEX('Overview - Section A'!$A$39:$A$46,MATCH(D$29,'Overview - Section A'!$B$39:$B$46,0)),"")="","",TEXT(IFERROR(INDEX('Overview - Section A'!$A$39:$A$46,MATCH(D$29,'Overview - Section A'!$B$39:$B$46,0)),""),Setup!$A$33) &amp;" to " &amp; TEXT(IFERROR(INDEX('Overview - Section A'!$E$39:$E$46,MATCH(D$29,'Overview - Section A'!$B$39:$B$46,0)),""),Setup!$A$33))</f>
        <v/>
      </c>
      <c r="I283" s="903" t="str">
        <f ca="1">IFERROR(IF(INDEX('WPTM - Section F'!AH$1:AH$100,MATCH('Print View'!$A277,'WPTM - Section F'!$A$1:$A$100,0))&lt;&gt;0,INDEX('WPTM - Section F'!AH$1:AH$100,MATCH('Print View'!$A277,'WPTM - Section F'!$A$1:$A$100,0)),""),"")</f>
        <v/>
      </c>
      <c r="J283" s="904"/>
      <c r="K283" s="904"/>
      <c r="L283" s="904"/>
      <c r="M283" s="905"/>
      <c r="N283" s="903" t="str">
        <f ca="1">IFERROR(IF(INDEX('WPTM - Section F'!AI$1:AI$100,MATCH('Print View'!$A277,'WPTM - Section F'!$A$1:$A$100,0))&lt;&gt;0,INDEX('WPTM - Section F'!AI$1:AI$100,MATCH('Print View'!$A277,'WPTM - Section F'!$A$1:$A$100,0)),""),"")</f>
        <v/>
      </c>
      <c r="O283" s="904"/>
      <c r="P283" s="904"/>
      <c r="Q283" s="904"/>
      <c r="R283" s="904"/>
      <c r="S283" s="904"/>
      <c r="T283" s="314"/>
      <c r="AC283" s="424"/>
      <c r="AD283" s="424"/>
      <c r="AE283" s="424"/>
      <c r="AF283" s="424"/>
      <c r="AG283" s="424"/>
      <c r="AH283" s="424"/>
      <c r="AI283" s="424"/>
      <c r="AJ283" s="424"/>
      <c r="AK283" s="424"/>
      <c r="AL283" s="424"/>
      <c r="AM283" s="424"/>
      <c r="AN283" s="424"/>
      <c r="AO283" s="424"/>
    </row>
    <row r="284" spans="1:86" s="427" customFormat="1" ht="60" customHeight="1" x14ac:dyDescent="0.65">
      <c r="A284" s="929">
        <v>64</v>
      </c>
      <c r="B284" s="918" t="str">
        <f ca="1">IFERROR(IF(INDEX('WPTM - Section F'!AV$1:AV$100,MATCH('Print View'!$A277,'WPTM - Section F'!$A$1:$A$100,0))&lt;&gt;0,INDEX('WPTM - Section F'!AV$1:AV$100,MATCH('Print View'!$A277,'WPTM - Section F'!$A$1:$A$100,0)),""),"")</f>
        <v/>
      </c>
      <c r="C284" s="919"/>
      <c r="D284" s="919"/>
      <c r="E284" s="919"/>
      <c r="F284" s="919"/>
      <c r="G284" s="919"/>
      <c r="H284" s="919"/>
      <c r="I284" s="919"/>
      <c r="J284" s="919"/>
      <c r="K284" s="919"/>
      <c r="L284" s="919"/>
      <c r="M284" s="919"/>
      <c r="N284" s="919"/>
      <c r="O284" s="919"/>
      <c r="P284" s="919"/>
      <c r="Q284" s="919"/>
      <c r="R284" s="919"/>
      <c r="S284" s="920"/>
      <c r="T284" s="314"/>
      <c r="AC284" s="424"/>
      <c r="AD284" s="424"/>
      <c r="AE284" s="424"/>
      <c r="AF284" s="424"/>
      <c r="AG284" s="424"/>
      <c r="AH284" s="424"/>
      <c r="AI284" s="424"/>
      <c r="AJ284" s="424"/>
      <c r="AK284" s="424"/>
      <c r="AL284" s="424"/>
      <c r="AM284" s="424"/>
      <c r="AN284" s="424"/>
      <c r="AO284" s="424"/>
    </row>
    <row r="285" spans="1:86" s="107" customFormat="1" ht="60" customHeight="1" x14ac:dyDescent="0.65">
      <c r="A285" s="906">
        <v>9</v>
      </c>
      <c r="B285" s="909" t="str">
        <f ca="1">IFERROR(IF(INDEX('WPTM - Section F'!B$1:B$100,MATCH('Print View'!$A285,'WPTM - Section F'!$A$1:$A$100,0))&lt;&gt;0,INDEX('WPTM - Section F'!B$1:B$100,MATCH('Print View'!$A285,'WPTM - Section F'!$A$1:$A$100,0)),""),"")</f>
        <v/>
      </c>
      <c r="C285" s="912" t="str">
        <f ca="1">IFERROR(IF(INDEX('WPTM - Section F'!C$1:C$100,MATCH('Print View'!$A285,'WPTM - Section F'!$A$1:$A$100,0))&lt;&gt;0,INDEX('WPTM - Section F'!C$1:C$100,MATCH('Print View'!$A285,'WPTM - Section F'!$A$1:$A$100,0)),""),"")</f>
        <v/>
      </c>
      <c r="D285" s="909" t="str">
        <f ca="1">IFERROR(IF(INDEX('WPTM - Section F'!D$1:D$100,MATCH('Print View'!$A285,'WPTM - Section F'!$A$1:$A$100,0))&lt;&gt;0,INDEX('WPTM - Section F'!D$1:D$100,MATCH('Print View'!$A285,'WPTM - Section F'!$A$1:$A$100,0)),""),"")</f>
        <v/>
      </c>
      <c r="E285" s="909" t="str">
        <f ca="1">IFERROR(IF(INDEX('WPTM - Section F'!E$1:E$100,MATCH('Print View'!$A285,'WPTM - Section F'!$A$1:$A$100,0))&lt;&gt;0,INDEX('WPTM - Section F'!E$1:E$100,MATCH('Print View'!$A285,'WPTM - Section F'!$A$1:$A$100,0)),""),"")</f>
        <v/>
      </c>
      <c r="F285" s="909" t="str">
        <f ca="1">IFERROR(IF(INDEX('WPTM - Section F'!F$1:F$100,MATCH('Print View'!$A285,'WPTM - Section F'!$A$1:$A$100,0))&lt;&gt;0,INDEX('WPTM - Section F'!F$1:F$100,MATCH('Print View'!$A285,'WPTM - Section F'!$A$1:$A$100,0)),""),"")</f>
        <v/>
      </c>
      <c r="G285" s="912" t="str">
        <f ca="1">IFERROR(IF(INDEX('WPTM - Section F'!G$1:G$100,MATCH('Print View'!$A285,'WPTM - Section F'!$A$1:$A$100,0))&lt;&gt;0,INDEX('WPTM - Section F'!G$1:G$100,MATCH('Print View'!$A285,'WPTM - Section F'!$A$1:$A$100,0)),""),"")</f>
        <v/>
      </c>
      <c r="H285" s="407"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85" s="900" t="str">
        <f ca="1">IFERROR(IF(INDEX('WPTM - Section F'!J$1:J$100,MATCH('Print View'!$A285,'WPTM - Section F'!$A$1:$A$100,0))&lt;&gt;0,INDEX('WPTM - Section F'!J$1:J$100,MATCH('Print View'!$A285,'WPTM - Section F'!$A$1:$A$100,0)),""),"")</f>
        <v/>
      </c>
      <c r="J285" s="901"/>
      <c r="K285" s="901"/>
      <c r="L285" s="901"/>
      <c r="M285" s="902"/>
      <c r="N285" s="900" t="str">
        <f ca="1">IFERROR(IF(INDEX('WPTM - Section F'!K$1:K$100,MATCH('Print View'!$A285,'WPTM - Section F'!$A$1:$A$100,0))&lt;&gt;0,INDEX('WPTM - Section F'!K$1:K$100,MATCH('Print View'!$A285,'WPTM - Section F'!$A$1:$A$100,0)),""),"")</f>
        <v/>
      </c>
      <c r="O285" s="901"/>
      <c r="P285" s="901"/>
      <c r="Q285" s="901"/>
      <c r="R285" s="901"/>
      <c r="S285" s="902"/>
      <c r="T285" s="319"/>
      <c r="U285" s="223"/>
      <c r="V285" s="223"/>
      <c r="W285" s="223"/>
      <c r="X285" s="223"/>
      <c r="Y285" s="223"/>
      <c r="Z285" s="223"/>
      <c r="AA285" s="223"/>
      <c r="AB285" s="223"/>
      <c r="AC285"/>
      <c r="AD285"/>
      <c r="AE285"/>
      <c r="AF285"/>
      <c r="AG285"/>
      <c r="AH285"/>
      <c r="AI285"/>
      <c r="AJ285"/>
      <c r="AK285"/>
      <c r="AL285"/>
      <c r="AM285"/>
      <c r="AN285"/>
      <c r="AO285"/>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223"/>
      <c r="BK285" s="223"/>
      <c r="BL285" s="223"/>
      <c r="BM285" s="223"/>
      <c r="BN285" s="223"/>
      <c r="BO285" s="223"/>
      <c r="BP285" s="223"/>
      <c r="BQ285" s="223"/>
      <c r="BR285" s="223"/>
      <c r="BS285" s="223"/>
      <c r="BT285" s="223"/>
      <c r="BU285" s="223"/>
      <c r="BV285" s="223"/>
      <c r="BW285" s="223"/>
      <c r="BX285" s="223"/>
      <c r="BY285" s="223"/>
      <c r="BZ285" s="223"/>
      <c r="CA285" s="223"/>
      <c r="CB285" s="223"/>
      <c r="CC285" s="223"/>
      <c r="CD285" s="223"/>
      <c r="CE285" s="223"/>
      <c r="CF285" s="223"/>
      <c r="CG285" s="223"/>
      <c r="CH285" s="223"/>
    </row>
    <row r="286" spans="1:86" s="107" customFormat="1" ht="60" customHeight="1" x14ac:dyDescent="0.65">
      <c r="A286" s="907">
        <v>66</v>
      </c>
      <c r="B286" s="910"/>
      <c r="C286" s="913" t="str">
        <f ca="1">IFERROR(IF(INDEX('WPTM - Section F'!C$1:C$100,MATCH('Print View'!$A286,'WPTM - Section F'!$A$1:$A$100,0))&lt;&gt;0,INDEX('WPTM - Section F'!C$1:C$100,MATCH('Print View'!$A286,'WPTM - Section F'!$A$1:$A$100,0)),""),"")</f>
        <v/>
      </c>
      <c r="D286" s="910"/>
      <c r="E286" s="910"/>
      <c r="F286" s="910"/>
      <c r="G286" s="913" t="str">
        <f ca="1">IFERROR(IF(INDEX('WPTM - Section F'!G$1:G$100,MATCH('Print View'!$A286,'WPTM - Section F'!$A$1:$A$100,0))&lt;&gt;0,INDEX('WPTM - Section F'!G$1:G$100,MATCH('Print View'!$A286,'WPTM - Section F'!$A$1:$A$100,0)),""),"")</f>
        <v/>
      </c>
      <c r="H286" s="407"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86" s="900" t="str">
        <f ca="1">IFERROR(IF(INDEX('WPTM - Section F'!N$1:N$100,MATCH('Print View'!$A285,'WPTM - Section F'!$A$1:$A$100,0))&lt;&gt;0,INDEX('WPTM - Section F'!N$1:N$100,MATCH('Print View'!$A285,'WPTM - Section F'!$A$1:$A$100,0)),""),"")</f>
        <v/>
      </c>
      <c r="J286" s="901"/>
      <c r="K286" s="901"/>
      <c r="L286" s="901"/>
      <c r="M286" s="902"/>
      <c r="N286" s="900" t="str">
        <f ca="1">IFERROR(IF(INDEX('WPTM - Section F'!O$1:O$100,MATCH('Print View'!$A285,'WPTM - Section F'!$A$1:$A$100,0))&lt;&gt;0,INDEX('WPTM - Section F'!O$1:O$100,MATCH('Print View'!$A285,'WPTM - Section F'!$A$1:$A$100,0)),""),"")</f>
        <v/>
      </c>
      <c r="O286" s="901"/>
      <c r="P286" s="901"/>
      <c r="Q286" s="901"/>
      <c r="R286" s="901"/>
      <c r="S286" s="902"/>
      <c r="T286" s="319"/>
      <c r="U286" s="223"/>
      <c r="V286" s="223"/>
      <c r="W286" s="223"/>
      <c r="X286" s="223"/>
      <c r="Y286" s="223"/>
      <c r="Z286" s="223"/>
      <c r="AA286" s="223"/>
      <c r="AB286" s="223"/>
      <c r="AC286"/>
      <c r="AD286"/>
      <c r="AE286"/>
      <c r="AF286"/>
      <c r="AG286"/>
      <c r="AH286"/>
      <c r="AI286"/>
      <c r="AJ286"/>
      <c r="AK286"/>
      <c r="AL286"/>
      <c r="AM286"/>
      <c r="AN286"/>
      <c r="AO286"/>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c r="BY286" s="223"/>
      <c r="BZ286" s="223"/>
      <c r="CA286" s="223"/>
      <c r="CB286" s="223"/>
      <c r="CC286" s="223"/>
      <c r="CD286" s="223"/>
      <c r="CE286" s="223"/>
      <c r="CF286" s="223"/>
      <c r="CG286" s="223"/>
      <c r="CH286" s="223"/>
    </row>
    <row r="287" spans="1:86" s="107" customFormat="1" ht="60" customHeight="1" x14ac:dyDescent="0.65">
      <c r="A287" s="907">
        <v>67</v>
      </c>
      <c r="B287" s="910"/>
      <c r="C287" s="913" t="str">
        <f ca="1">IFERROR(IF(INDEX('WPTM - Section F'!C$1:C$100,MATCH('Print View'!$A287,'WPTM - Section F'!$A$1:$A$100,0))&lt;&gt;0,INDEX('WPTM - Section F'!C$1:C$100,MATCH('Print View'!$A287,'WPTM - Section F'!$A$1:$A$100,0)),""),"")</f>
        <v/>
      </c>
      <c r="D287" s="910"/>
      <c r="E287" s="910"/>
      <c r="F287" s="910"/>
      <c r="G287" s="913" t="str">
        <f ca="1">IFERROR(IF(INDEX('WPTM - Section F'!G$1:G$100,MATCH('Print View'!$A287,'WPTM - Section F'!$A$1:$A$100,0))&lt;&gt;0,INDEX('WPTM - Section F'!G$1:G$100,MATCH('Print View'!$A287,'WPTM - Section F'!$A$1:$A$100,0)),""),"")</f>
        <v/>
      </c>
      <c r="H287" s="407"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87" s="900" t="str">
        <f ca="1">IFERROR(IF(INDEX('WPTM - Section F'!R$1:R$100,MATCH('Print View'!$A285,'WPTM - Section F'!$A$1:$A$100,0))&lt;&gt;0,INDEX('WPTM - Section F'!R$1:R$100,MATCH('Print View'!$A285,'WPTM - Section F'!$A$1:$A$100,0)),""),"")</f>
        <v/>
      </c>
      <c r="J287" s="901"/>
      <c r="K287" s="901"/>
      <c r="L287" s="901"/>
      <c r="M287" s="902"/>
      <c r="N287" s="900" t="str">
        <f ca="1">IFERROR(IF(INDEX('WPTM - Section F'!S$1:S$100,MATCH('Print View'!$A285,'WPTM - Section F'!$A$1:$A$100,0))&lt;&gt;0,INDEX('WPTM - Section F'!S$1:S$100,MATCH('Print View'!$A285,'WPTM - Section F'!$A$1:$A$100,0)),""),"")</f>
        <v/>
      </c>
      <c r="O287" s="901"/>
      <c r="P287" s="901"/>
      <c r="Q287" s="901"/>
      <c r="R287" s="901"/>
      <c r="S287" s="902"/>
      <c r="T287" s="319"/>
      <c r="U287" s="223"/>
      <c r="V287" s="223"/>
      <c r="W287" s="223"/>
      <c r="X287" s="223"/>
      <c r="Y287" s="223"/>
      <c r="Z287" s="223"/>
      <c r="AA287" s="223"/>
      <c r="AB287" s="223"/>
      <c r="AC287"/>
      <c r="AD287"/>
      <c r="AE287"/>
      <c r="AF287"/>
      <c r="AG287"/>
      <c r="AH287"/>
      <c r="AI287"/>
      <c r="AJ287"/>
      <c r="AK287"/>
      <c r="AL287"/>
      <c r="AM287"/>
      <c r="AN287"/>
      <c r="AO287"/>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row>
    <row r="288" spans="1:86" s="107" customFormat="1" ht="60" customHeight="1" x14ac:dyDescent="0.65">
      <c r="A288" s="907">
        <v>68</v>
      </c>
      <c r="B288" s="910"/>
      <c r="C288" s="913" t="str">
        <f ca="1">IFERROR(IF(INDEX('WPTM - Section F'!C$1:C$100,MATCH('Print View'!$A288,'WPTM - Section F'!$A$1:$A$100,0))&lt;&gt;0,INDEX('WPTM - Section F'!C$1:C$100,MATCH('Print View'!$A288,'WPTM - Section F'!$A$1:$A$100,0)),""),"")</f>
        <v/>
      </c>
      <c r="D288" s="910"/>
      <c r="E288" s="910"/>
      <c r="F288" s="910"/>
      <c r="G288" s="913" t="str">
        <f ca="1">IFERROR(IF(INDEX('WPTM - Section F'!G$1:G$100,MATCH('Print View'!$A288,'WPTM - Section F'!$A$1:$A$100,0))&lt;&gt;0,INDEX('WPTM - Section F'!G$1:G$100,MATCH('Print View'!$A288,'WPTM - Section F'!$A$1:$A$100,0)),""),"")</f>
        <v/>
      </c>
      <c r="H288" s="407"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88" s="900" t="str">
        <f ca="1">IFERROR(IF(INDEX('WPTM - Section F'!V$1:V$100,MATCH('Print View'!$A285,'WPTM - Section F'!$A$1:$A$100,0))&lt;&gt;0,INDEX('WPTM - Section F'!V$1:V$100,MATCH('Print View'!$A285,'WPTM - Section F'!$A$1:$A$100,0)),""),"")</f>
        <v/>
      </c>
      <c r="J288" s="901"/>
      <c r="K288" s="901"/>
      <c r="L288" s="901"/>
      <c r="M288" s="902"/>
      <c r="N288" s="900" t="str">
        <f ca="1">IFERROR(IF(INDEX('WPTM - Section F'!W$1:W$100,MATCH('Print View'!$A285,'WPTM - Section F'!$A$1:$A$100,0))&lt;&gt;0,INDEX('WPTM - Section F'!W$1:W$100,MATCH('Print View'!$A285,'WPTM - Section F'!$A$1:$A$100,0)),""),"")</f>
        <v/>
      </c>
      <c r="O288" s="901"/>
      <c r="P288" s="901"/>
      <c r="Q288" s="901"/>
      <c r="R288" s="901"/>
      <c r="S288" s="902"/>
      <c r="T288" s="319"/>
      <c r="U288" s="223"/>
      <c r="V288" s="223"/>
      <c r="W288" s="223"/>
      <c r="X288" s="223"/>
      <c r="Y288" s="223"/>
      <c r="Z288" s="223"/>
      <c r="AA288" s="223"/>
      <c r="AB288" s="223"/>
      <c r="AC288"/>
      <c r="AD288"/>
      <c r="AE288"/>
      <c r="AF288"/>
      <c r="AG288"/>
      <c r="AH288"/>
      <c r="AI288"/>
      <c r="AJ288"/>
      <c r="AK288"/>
      <c r="AL288"/>
      <c r="AM288"/>
      <c r="AN288"/>
      <c r="AO288"/>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223"/>
      <c r="BK288" s="223"/>
      <c r="BL288" s="223"/>
      <c r="BM288" s="223"/>
      <c r="BN288" s="223"/>
      <c r="BO288" s="223"/>
      <c r="BP288" s="223"/>
      <c r="BQ288" s="223"/>
      <c r="BR288" s="223"/>
      <c r="BS288" s="223"/>
      <c r="BT288" s="223"/>
      <c r="BU288" s="223"/>
      <c r="BV288" s="223"/>
      <c r="BW288" s="223"/>
      <c r="BX288" s="223"/>
      <c r="BY288" s="223"/>
      <c r="BZ288" s="223"/>
      <c r="CA288" s="223"/>
      <c r="CB288" s="223"/>
      <c r="CC288" s="223"/>
      <c r="CD288" s="223"/>
      <c r="CE288" s="223"/>
      <c r="CF288" s="223"/>
      <c r="CG288" s="223"/>
      <c r="CH288" s="223"/>
    </row>
    <row r="289" spans="1:86" s="107" customFormat="1" ht="60" customHeight="1" x14ac:dyDescent="0.65">
      <c r="A289" s="907">
        <v>69</v>
      </c>
      <c r="B289" s="910"/>
      <c r="C289" s="913" t="str">
        <f ca="1">IFERROR(IF(INDEX('WPTM - Section F'!C$1:C$100,MATCH('Print View'!$A289,'WPTM - Section F'!$A$1:$A$100,0))&lt;&gt;0,INDEX('WPTM - Section F'!C$1:C$100,MATCH('Print View'!$A289,'WPTM - Section F'!$A$1:$A$100,0)),""),"")</f>
        <v/>
      </c>
      <c r="D289" s="910"/>
      <c r="E289" s="910"/>
      <c r="F289" s="910"/>
      <c r="G289" s="913" t="str">
        <f ca="1">IFERROR(IF(INDEX('WPTM - Section F'!G$1:G$100,MATCH('Print View'!$A289,'WPTM - Section F'!$A$1:$A$100,0))&lt;&gt;0,INDEX('WPTM - Section F'!G$1:G$100,MATCH('Print View'!$A289,'WPTM - Section F'!$A$1:$A$100,0)),""),"")</f>
        <v/>
      </c>
      <c r="H289" s="407"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89" s="900" t="str">
        <f ca="1">IFERROR(IF(INDEX('WPTM - Section F'!Z$1:Z$100,MATCH('Print View'!$A285,'WPTM - Section F'!$A$1:$A$100,0))&lt;&gt;0,INDEX('WPTM - Section F'!Z$1:Z$100,MATCH('Print View'!$A285,'WPTM - Section F'!$A$1:$A$100,0)),""),"")</f>
        <v/>
      </c>
      <c r="J289" s="901"/>
      <c r="K289" s="901"/>
      <c r="L289" s="901"/>
      <c r="M289" s="902"/>
      <c r="N289" s="900" t="str">
        <f ca="1">IFERROR(IF(INDEX('WPTM - Section F'!AA$1:AA$100,MATCH('Print View'!$A285,'WPTM - Section F'!$A$1:$A$100,0))&lt;&gt;0,INDEX('WPTM - Section F'!AA$1:AA$100,MATCH('Print View'!$A285,'WPTM - Section F'!$A$1:$A$100,0)),""),"")</f>
        <v/>
      </c>
      <c r="O289" s="901"/>
      <c r="P289" s="901"/>
      <c r="Q289" s="901"/>
      <c r="R289" s="901"/>
      <c r="S289" s="902"/>
      <c r="T289" s="319"/>
      <c r="U289" s="223"/>
      <c r="V289" s="223"/>
      <c r="W289" s="223"/>
      <c r="X289" s="223"/>
      <c r="Y289" s="223"/>
      <c r="Z289" s="223"/>
      <c r="AA289" s="223"/>
      <c r="AB289" s="223"/>
      <c r="AC289"/>
      <c r="AD289"/>
      <c r="AE289"/>
      <c r="AF289"/>
      <c r="AG289"/>
      <c r="AH289"/>
      <c r="AI289"/>
      <c r="AJ289"/>
      <c r="AK289"/>
      <c r="AL289"/>
      <c r="AM289"/>
      <c r="AN289"/>
      <c r="AO289"/>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223"/>
      <c r="BK289" s="223"/>
      <c r="BL289" s="223"/>
      <c r="BM289" s="223"/>
      <c r="BN289" s="223"/>
      <c r="BO289" s="223"/>
      <c r="BP289" s="223"/>
      <c r="BQ289" s="223"/>
      <c r="BR289" s="223"/>
      <c r="BS289" s="223"/>
      <c r="BT289" s="223"/>
      <c r="BU289" s="223"/>
      <c r="BV289" s="223"/>
      <c r="BW289" s="223"/>
      <c r="BX289" s="223"/>
      <c r="BY289" s="223"/>
      <c r="BZ289" s="223"/>
      <c r="CA289" s="223"/>
      <c r="CB289" s="223"/>
      <c r="CC289" s="223"/>
      <c r="CD289" s="223"/>
      <c r="CE289" s="223"/>
      <c r="CF289" s="223"/>
      <c r="CG289" s="223"/>
      <c r="CH289" s="223"/>
    </row>
    <row r="290" spans="1:86" s="107" customFormat="1" ht="60" customHeight="1" x14ac:dyDescent="0.65">
      <c r="A290" s="907">
        <v>70</v>
      </c>
      <c r="B290" s="910"/>
      <c r="C290" s="913" t="str">
        <f ca="1">IFERROR(IF(INDEX('WPTM - Section F'!C$1:C$100,MATCH('Print View'!$A290,'WPTM - Section F'!$A$1:$A$100,0))&lt;&gt;0,INDEX('WPTM - Section F'!C$1:C$100,MATCH('Print View'!$A290,'WPTM - Section F'!$A$1:$A$100,0)),""),"")</f>
        <v/>
      </c>
      <c r="D290" s="910"/>
      <c r="E290" s="910"/>
      <c r="F290" s="910"/>
      <c r="G290" s="913" t="str">
        <f ca="1">IFERROR(IF(INDEX('WPTM - Section F'!G$1:G$100,MATCH('Print View'!$A290,'WPTM - Section F'!$A$1:$A$100,0))&lt;&gt;0,INDEX('WPTM - Section F'!G$1:G$100,MATCH('Print View'!$A290,'WPTM - Section F'!$A$1:$A$100,0)),""),"")</f>
        <v/>
      </c>
      <c r="H290" s="407"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90" s="900" t="str">
        <f ca="1">IFERROR(IF(INDEX('WPTM - Section F'!AD$1:AD$100,MATCH('Print View'!$A285,'WPTM - Section F'!$A$1:$A$100,0))&lt;&gt;0,INDEX('WPTM - Section F'!AD$1:AD$100,MATCH('Print View'!$A285,'WPTM - Section F'!$A$1:$A$100,0)),""),"")</f>
        <v/>
      </c>
      <c r="J290" s="901"/>
      <c r="K290" s="901"/>
      <c r="L290" s="901"/>
      <c r="M290" s="902"/>
      <c r="N290" s="900" t="str">
        <f ca="1">IFERROR(IF(INDEX('WPTM - Section F'!AE$1:AE$100,MATCH('Print View'!$A285,'WPTM - Section F'!$A$1:$A$100,0))&lt;&gt;0,INDEX('WPTM - Section F'!AE$1:AE$100,MATCH('Print View'!$A285,'WPTM - Section F'!$A$1:$A$100,0)),""),"")</f>
        <v/>
      </c>
      <c r="O290" s="901"/>
      <c r="P290" s="901"/>
      <c r="Q290" s="901"/>
      <c r="R290" s="901"/>
      <c r="S290" s="902"/>
      <c r="T290" s="319"/>
      <c r="U290" s="223"/>
      <c r="V290" s="223"/>
      <c r="W290" s="223"/>
      <c r="X290" s="223"/>
      <c r="Y290" s="223"/>
      <c r="Z290" s="223"/>
      <c r="AA290" s="223"/>
      <c r="AB290" s="223"/>
      <c r="AC290"/>
      <c r="AD290"/>
      <c r="AE290"/>
      <c r="AF290"/>
      <c r="AG290"/>
      <c r="AH290"/>
      <c r="AI290"/>
      <c r="AJ290"/>
      <c r="AK290"/>
      <c r="AL290"/>
      <c r="AM290"/>
      <c r="AN290"/>
      <c r="AO290"/>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row>
    <row r="291" spans="1:86" s="107" customFormat="1" ht="60" customHeight="1" x14ac:dyDescent="0.65">
      <c r="A291" s="907">
        <v>71</v>
      </c>
      <c r="B291" s="911"/>
      <c r="C291" s="914" t="str">
        <f ca="1">IFERROR(IF(INDEX('WPTM - Section F'!C$1:C$100,MATCH('Print View'!$A291,'WPTM - Section F'!$A$1:$A$100,0))&lt;&gt;0,INDEX('WPTM - Section F'!C$1:C$100,MATCH('Print View'!$A291,'WPTM - Section F'!$A$1:$A$100,0)),""),"")</f>
        <v/>
      </c>
      <c r="D291" s="911"/>
      <c r="E291" s="911"/>
      <c r="F291" s="911"/>
      <c r="G291" s="914" t="str">
        <f ca="1">IFERROR(IF(INDEX('WPTM - Section F'!G$1:G$100,MATCH('Print View'!$A291,'WPTM - Section F'!$A$1:$A$100,0))&lt;&gt;0,INDEX('WPTM - Section F'!G$1:G$100,MATCH('Print View'!$A291,'WPTM - Section F'!$A$1:$A$100,0)),""),"")</f>
        <v/>
      </c>
      <c r="H291" s="407" t="str">
        <f>IF(IFERROR(INDEX('Overview - Section A'!$A$39:$A$46,MATCH(D$29,'Overview - Section A'!$B$39:$B$46,0)),"")="","",TEXT(IFERROR(INDEX('Overview - Section A'!$A$39:$A$46,MATCH(D$29,'Overview - Section A'!$B$39:$B$46,0)),""),Setup!$A$33) &amp;" to " &amp; TEXT(IFERROR(INDEX('Overview - Section A'!$E$39:$E$46,MATCH(D$29,'Overview - Section A'!$B$39:$B$46,0)),""),Setup!$A$33))</f>
        <v/>
      </c>
      <c r="I291" s="900" t="str">
        <f ca="1">IFERROR(IF(INDEX('WPTM - Section F'!AH$1:AH$100,MATCH('Print View'!$A285,'WPTM - Section F'!$A$1:$A$100,0))&lt;&gt;0,INDEX('WPTM - Section F'!AH$1:AH$100,MATCH('Print View'!$A285,'WPTM - Section F'!$A$1:$A$100,0)),""),"")</f>
        <v/>
      </c>
      <c r="J291" s="901"/>
      <c r="K291" s="901"/>
      <c r="L291" s="901"/>
      <c r="M291" s="902"/>
      <c r="N291" s="900" t="str">
        <f ca="1">IFERROR(IF(INDEX('WPTM - Section F'!AI$1:AI$100,MATCH('Print View'!$A285,'WPTM - Section F'!$A$1:$A$100,0))&lt;&gt;0,INDEX('WPTM - Section F'!AI$1:AI$100,MATCH('Print View'!$A285,'WPTM - Section F'!$A$1:$A$100,0)),""),"")</f>
        <v/>
      </c>
      <c r="O291" s="901"/>
      <c r="P291" s="901"/>
      <c r="Q291" s="901"/>
      <c r="R291" s="901"/>
      <c r="S291" s="902"/>
      <c r="T291" s="319"/>
      <c r="U291" s="223"/>
      <c r="V291" s="223"/>
      <c r="W291" s="223"/>
      <c r="X291" s="223"/>
      <c r="Y291" s="223"/>
      <c r="Z291" s="223"/>
      <c r="AA291" s="223"/>
      <c r="AB291" s="223"/>
      <c r="AC291"/>
      <c r="AD291"/>
      <c r="AE291"/>
      <c r="AF291"/>
      <c r="AG291"/>
      <c r="AH291"/>
      <c r="AI291"/>
      <c r="AJ291"/>
      <c r="AK291"/>
      <c r="AL291"/>
      <c r="AM291"/>
      <c r="AN291"/>
      <c r="AO291"/>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223"/>
      <c r="BK291" s="223"/>
      <c r="BL291" s="223"/>
      <c r="BM291" s="223"/>
      <c r="BN291" s="223"/>
      <c r="BO291" s="223"/>
      <c r="BP291" s="223"/>
      <c r="BQ291" s="223"/>
      <c r="BR291" s="223"/>
      <c r="BS291" s="223"/>
      <c r="BT291" s="223"/>
      <c r="BU291" s="223"/>
      <c r="BV291" s="223"/>
      <c r="BW291" s="223"/>
      <c r="BX291" s="223"/>
      <c r="BY291" s="223"/>
      <c r="BZ291" s="223"/>
      <c r="CA291" s="223"/>
      <c r="CB291" s="223"/>
      <c r="CC291" s="223"/>
      <c r="CD291" s="223"/>
      <c r="CE291" s="223"/>
      <c r="CF291" s="223"/>
      <c r="CG291" s="223"/>
      <c r="CH291" s="223"/>
    </row>
    <row r="292" spans="1:86" s="107" customFormat="1" ht="60" customHeight="1" x14ac:dyDescent="0.65">
      <c r="A292" s="908">
        <v>72</v>
      </c>
      <c r="B292" s="896" t="str">
        <f ca="1">IFERROR(IF(INDEX('WPTM - Section F'!AV$1:AV$100,MATCH('Print View'!$A285,'WPTM - Section F'!$A$1:$A$100,0))&lt;&gt;0,INDEX('WPTM - Section F'!AV$1:AV$100,MATCH('Print View'!$A285,'WPTM - Section F'!$A$1:$A$100,0)),""),"")</f>
        <v/>
      </c>
      <c r="C292" s="897"/>
      <c r="D292" s="897"/>
      <c r="E292" s="897"/>
      <c r="F292" s="897"/>
      <c r="G292" s="897"/>
      <c r="H292" s="897"/>
      <c r="I292" s="897"/>
      <c r="J292" s="897"/>
      <c r="K292" s="897"/>
      <c r="L292" s="897"/>
      <c r="M292" s="897"/>
      <c r="N292" s="897"/>
      <c r="O292" s="897"/>
      <c r="P292" s="897"/>
      <c r="Q292" s="897"/>
      <c r="R292" s="897"/>
      <c r="S292" s="898"/>
      <c r="T292" s="318"/>
      <c r="U292" s="223"/>
      <c r="V292" s="223"/>
      <c r="W292" s="223"/>
      <c r="X292" s="223"/>
      <c r="Y292" s="223"/>
      <c r="Z292" s="223"/>
      <c r="AA292" s="223"/>
      <c r="AB292" s="223"/>
      <c r="AC292"/>
      <c r="AD292"/>
      <c r="AE292"/>
      <c r="AF292"/>
      <c r="AG292"/>
      <c r="AH292"/>
      <c r="AI292"/>
      <c r="AJ292"/>
      <c r="AK292"/>
      <c r="AL292"/>
      <c r="AM292"/>
      <c r="AN292"/>
      <c r="AO292"/>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223"/>
      <c r="BK292" s="223"/>
      <c r="BL292" s="223"/>
      <c r="BM292" s="223"/>
      <c r="BN292" s="223"/>
      <c r="BO292" s="223"/>
      <c r="BP292" s="223"/>
      <c r="BQ292" s="223"/>
      <c r="BR292" s="223"/>
      <c r="BS292" s="223"/>
      <c r="BT292" s="223"/>
      <c r="BU292" s="223"/>
      <c r="BV292" s="223"/>
      <c r="BW292" s="223"/>
      <c r="BX292" s="223"/>
      <c r="BY292" s="223"/>
      <c r="BZ292" s="223"/>
      <c r="CA292" s="223"/>
      <c r="CB292" s="223"/>
      <c r="CC292" s="223"/>
      <c r="CD292" s="223"/>
      <c r="CE292" s="223"/>
      <c r="CF292" s="223"/>
      <c r="CG292" s="223"/>
      <c r="CH292" s="223"/>
    </row>
    <row r="293" spans="1:86" s="427" customFormat="1" ht="60" customHeight="1" x14ac:dyDescent="0.35">
      <c r="A293" s="927">
        <v>10</v>
      </c>
      <c r="B293" s="921" t="str">
        <f ca="1">IFERROR(IF(INDEX('WPTM - Section F'!B$1:B$100,MATCH('Print View'!$A293,'WPTM - Section F'!$A$1:$A$100,0))&lt;&gt;0,INDEX('WPTM - Section F'!B$1:B$100,MATCH('Print View'!$A293,'WPTM - Section F'!$A$1:$A$100,0)),""),"")</f>
        <v/>
      </c>
      <c r="C293" s="930" t="str">
        <f ca="1">IFERROR(IF(INDEX('WPTM - Section F'!C$1:C$100,MATCH('Print View'!$A293,'WPTM - Section F'!$A$1:$A$100,0))&lt;&gt;0,INDEX('WPTM - Section F'!C$1:C$100,MATCH('Print View'!$A293,'WPTM - Section F'!$A$1:$A$100,0)),""),"")</f>
        <v/>
      </c>
      <c r="D293" s="921" t="str">
        <f ca="1">IFERROR(IF(INDEX('WPTM - Section F'!D$1:D$100,MATCH('Print View'!$A293,'WPTM - Section F'!$A$1:$A$100,0))&lt;&gt;0,INDEX('WPTM - Section F'!D$1:D$100,MATCH('Print View'!$A293,'WPTM - Section F'!$A$1:$A$100,0)),""),"")</f>
        <v/>
      </c>
      <c r="E293" s="921" t="str">
        <f ca="1">IFERROR(IF(INDEX('WPTM - Section F'!E$1:E$100,MATCH('Print View'!$A293,'WPTM - Section F'!$A$1:$A$100,0))&lt;&gt;0,INDEX('WPTM - Section F'!E$1:E$100,MATCH('Print View'!$A293,'WPTM - Section F'!$A$1:$A$100,0)),""),"")</f>
        <v/>
      </c>
      <c r="F293" s="921" t="str">
        <f ca="1">IFERROR(IF(INDEX('WPTM - Section F'!F$1:F$100,MATCH('Print View'!$A293,'WPTM - Section F'!$A$1:$A$100,0))&lt;&gt;0,INDEX('WPTM - Section F'!F$1:F$100,MATCH('Print View'!$A293,'WPTM - Section F'!$A$1:$A$100,0)),""),"")</f>
        <v/>
      </c>
      <c r="G293" s="930" t="str">
        <f ca="1">IFERROR(IF(INDEX('WPTM - Section F'!G$1:G$100,MATCH('Print View'!$A293,'WPTM - Section F'!$A$1:$A$100,0))&lt;&gt;0,INDEX('WPTM - Section F'!G$1:G$100,MATCH('Print View'!$A293,'WPTM - Section F'!$A$1:$A$100,0)),""),"")</f>
        <v/>
      </c>
      <c r="H293" s="425" t="str">
        <f ca="1">IF(IFERROR(INDEX('Overview - Section A'!$A$39:$A$46,MATCH(D$23,'Overview - Section A'!$B$39:$B$46,0)),"")="","",TEXT(IFERROR(INDEX('Overview - Section A'!$A$39:$A$46,MATCH(D$23,'Overview - Section A'!$B$39:$B$46,0)),""),Setup!$A$33) &amp;" to " &amp; TEXT(IFERROR(INDEX('Overview - Section A'!$E$39:$E$46,MATCH(D$23,'Overview - Section A'!$B$39:$B$46,0)),""),Setup!$A$33))</f>
        <v>1-Jan-22 to 31-Dec-22</v>
      </c>
      <c r="I293" s="903" t="str">
        <f ca="1">IFERROR(IF(INDEX('WPTM - Section F'!J$1:J$100,MATCH('Print View'!$A293,'WPTM - Section F'!$A$1:$A$100,0))&lt;&gt;0,INDEX('WPTM - Section F'!J$1:J$100,MATCH('Print View'!$A293,'WPTM - Section F'!$A$1:$A$100,0)),""),"")</f>
        <v/>
      </c>
      <c r="J293" s="904"/>
      <c r="K293" s="904"/>
      <c r="L293" s="904"/>
      <c r="M293" s="905"/>
      <c r="N293" s="903" t="str">
        <f ca="1">IFERROR(IF(INDEX('WPTM - Section F'!K$1:K$100,MATCH('Print View'!$A293,'WPTM - Section F'!$A$1:$A$100,0))&lt;&gt;0,INDEX('WPTM - Section F'!K$1:K$100,MATCH('Print View'!$A293,'WPTM - Section F'!$A$1:$A$100,0)),""),"")</f>
        <v/>
      </c>
      <c r="O293" s="904"/>
      <c r="P293" s="904"/>
      <c r="Q293" s="904"/>
      <c r="R293" s="904"/>
      <c r="S293" s="904"/>
      <c r="T293" s="314"/>
      <c r="AC293" s="424"/>
      <c r="AD293" s="424"/>
      <c r="AE293" s="424"/>
      <c r="AF293" s="424"/>
      <c r="AG293" s="424"/>
      <c r="AH293" s="424"/>
      <c r="AI293" s="424"/>
      <c r="AJ293" s="424"/>
      <c r="AK293" s="424"/>
      <c r="AL293" s="424"/>
      <c r="AM293" s="424"/>
      <c r="AN293" s="424"/>
      <c r="AO293" s="424"/>
    </row>
    <row r="294" spans="1:86" s="427" customFormat="1" ht="60" customHeight="1" x14ac:dyDescent="0.35">
      <c r="A294" s="928">
        <v>74</v>
      </c>
      <c r="B294" s="922"/>
      <c r="C294" s="931" t="str">
        <f ca="1">IFERROR(IF(INDEX('WPTM - Section F'!C$1:C$100,MATCH('Print View'!$A294,'WPTM - Section F'!$A$1:$A$100,0))&lt;&gt;0,INDEX('WPTM - Section F'!C$1:C$100,MATCH('Print View'!$A294,'WPTM - Section F'!$A$1:$A$100,0)),""),"")</f>
        <v/>
      </c>
      <c r="D294" s="922"/>
      <c r="E294" s="922"/>
      <c r="F294" s="922"/>
      <c r="G294" s="931" t="str">
        <f ca="1">IFERROR(IF(INDEX('WPTM - Section F'!G$1:G$100,MATCH('Print View'!$A294,'WPTM - Section F'!$A$1:$A$100,0))&lt;&gt;0,INDEX('WPTM - Section F'!G$1:G$100,MATCH('Print View'!$A294,'WPTM - Section F'!$A$1:$A$100,0)),""),"")</f>
        <v/>
      </c>
      <c r="H294" s="425" t="str">
        <f ca="1">IF(IFERROR(INDEX('Overview - Section A'!$A$39:$A$46,MATCH(D$24,'Overview - Section A'!$B$39:$B$46,0)),"")="","",TEXT(IFERROR(INDEX('Overview - Section A'!$A$39:$A$46,MATCH(D$24,'Overview - Section A'!$B$39:$B$46,0)),""),Setup!$A$33) &amp;" to " &amp; TEXT(IFERROR(INDEX('Overview - Section A'!$E$39:$E$46,MATCH(D$24,'Overview - Section A'!$B$39:$B$46,0)),""),Setup!$A$33))</f>
        <v>1-Jan-23 to 31-Dec-23</v>
      </c>
      <c r="I294" s="903" t="str">
        <f ca="1">IFERROR(IF(INDEX('WPTM - Section F'!J$1:J$100,MATCH('Print View'!$A293,'WPTM - Section F'!$A$1:$A$100,0))&lt;&gt;0,INDEX('WPTM - Section F'!J$1:J$100,MATCH('Print View'!$A293,'WPTM - Section F'!$A$1:$A$100,0)),""),"")</f>
        <v/>
      </c>
      <c r="J294" s="904"/>
      <c r="K294" s="904"/>
      <c r="L294" s="904"/>
      <c r="M294" s="905"/>
      <c r="N294" s="903" t="str">
        <f ca="1">IFERROR(IF(INDEX('WPTM - Section F'!O$1:O$100,MATCH('Print View'!$A293,'WPTM - Section F'!$A$1:$A$100,0))&lt;&gt;0,INDEX('WPTM - Section F'!O$1:O$100,MATCH('Print View'!$A293,'WPTM - Section F'!$A$1:$A$100,0)),""),"")</f>
        <v/>
      </c>
      <c r="O294" s="904"/>
      <c r="P294" s="904"/>
      <c r="Q294" s="904"/>
      <c r="R294" s="904"/>
      <c r="S294" s="904"/>
      <c r="T294" s="314"/>
      <c r="AC294" s="424"/>
      <c r="AD294" s="424"/>
      <c r="AE294" s="424"/>
      <c r="AF294" s="424"/>
      <c r="AG294" s="424"/>
      <c r="AH294" s="424"/>
      <c r="AI294" s="424"/>
      <c r="AJ294" s="424"/>
      <c r="AK294" s="424"/>
      <c r="AL294" s="424"/>
      <c r="AM294" s="424"/>
      <c r="AN294" s="424"/>
      <c r="AO294" s="424"/>
    </row>
    <row r="295" spans="1:86" s="427" customFormat="1" ht="60" customHeight="1" x14ac:dyDescent="0.35">
      <c r="A295" s="928">
        <v>75</v>
      </c>
      <c r="B295" s="922"/>
      <c r="C295" s="931" t="str">
        <f ca="1">IFERROR(IF(INDEX('WPTM - Section F'!C$1:C$100,MATCH('Print View'!$A295,'WPTM - Section F'!$A$1:$A$100,0))&lt;&gt;0,INDEX('WPTM - Section F'!C$1:C$100,MATCH('Print View'!$A295,'WPTM - Section F'!$A$1:$A$100,0)),""),"")</f>
        <v/>
      </c>
      <c r="D295" s="922"/>
      <c r="E295" s="922"/>
      <c r="F295" s="922"/>
      <c r="G295" s="931" t="str">
        <f ca="1">IFERROR(IF(INDEX('WPTM - Section F'!G$1:G$100,MATCH('Print View'!$A295,'WPTM - Section F'!$A$1:$A$100,0))&lt;&gt;0,INDEX('WPTM - Section F'!G$1:G$100,MATCH('Print View'!$A295,'WPTM - Section F'!$A$1:$A$100,0)),""),"")</f>
        <v/>
      </c>
      <c r="H295" s="425" t="str">
        <f ca="1">IF(IFERROR(INDEX('Overview - Section A'!$A$39:$A$46,MATCH(D$25,'Overview - Section A'!$B$39:$B$46,0)),"")="","",TEXT(IFERROR(INDEX('Overview - Section A'!$A$39:$A$46,MATCH(D$25,'Overview - Section A'!$B$39:$B$46,0)),""),Setup!$A$33) &amp;" to " &amp; TEXT(IFERROR(INDEX('Overview - Section A'!$E$39:$E$46,MATCH(D$25,'Overview - Section A'!$B$39:$B$46,0)),""),Setup!$A$33))</f>
        <v>1-Jan-24 to 31-Dec-24</v>
      </c>
      <c r="I295" s="903" t="str">
        <f ca="1">IFERROR(IF(INDEX('WPTM - Section F'!R$1:R$100,MATCH('Print View'!$A293,'WPTM - Section F'!$A$1:$A$100,0))&lt;&gt;0,INDEX('WPTM - Section F'!R$1:R$100,MATCH('Print View'!$A293,'WPTM - Section F'!$A$1:$A$100,0)),""),"")</f>
        <v/>
      </c>
      <c r="J295" s="904"/>
      <c r="K295" s="904"/>
      <c r="L295" s="904"/>
      <c r="M295" s="905"/>
      <c r="N295" s="903" t="str">
        <f ca="1">IFERROR(IF(INDEX('WPTM - Section F'!S$1:S$100,MATCH('Print View'!$A293,'WPTM - Section F'!$A$1:$A$100,0))&lt;&gt;0,INDEX('WPTM - Section F'!S$1:S$100,MATCH('Print View'!$A293,'WPTM - Section F'!$A$1:$A$100,0)),""),"")</f>
        <v/>
      </c>
      <c r="O295" s="904"/>
      <c r="P295" s="904"/>
      <c r="Q295" s="904"/>
      <c r="R295" s="904"/>
      <c r="S295" s="904"/>
      <c r="T295" s="314"/>
      <c r="AC295" s="424"/>
      <c r="AD295" s="424"/>
      <c r="AE295" s="424"/>
      <c r="AF295" s="424"/>
      <c r="AG295" s="424"/>
      <c r="AH295" s="424"/>
      <c r="AI295" s="424"/>
      <c r="AJ295" s="424"/>
      <c r="AK295" s="424"/>
      <c r="AL295" s="424"/>
      <c r="AM295" s="424"/>
      <c r="AN295" s="424"/>
      <c r="AO295" s="424"/>
    </row>
    <row r="296" spans="1:86" s="427" customFormat="1" ht="60" customHeight="1" x14ac:dyDescent="0.35">
      <c r="A296" s="928">
        <v>76</v>
      </c>
      <c r="B296" s="922"/>
      <c r="C296" s="931" t="str">
        <f ca="1">IFERROR(IF(INDEX('WPTM - Section F'!C$1:C$100,MATCH('Print View'!$A296,'WPTM - Section F'!$A$1:$A$100,0))&lt;&gt;0,INDEX('WPTM - Section F'!C$1:C$100,MATCH('Print View'!$A296,'WPTM - Section F'!$A$1:$A$100,0)),""),"")</f>
        <v/>
      </c>
      <c r="D296" s="922"/>
      <c r="E296" s="922"/>
      <c r="F296" s="922"/>
      <c r="G296" s="931" t="str">
        <f ca="1">IFERROR(IF(INDEX('WPTM - Section F'!G$1:G$100,MATCH('Print View'!$A296,'WPTM - Section F'!$A$1:$A$100,0))&lt;&gt;0,INDEX('WPTM - Section F'!G$1:G$100,MATCH('Print View'!$A296,'WPTM - Section F'!$A$1:$A$100,0)),""),"")</f>
        <v/>
      </c>
      <c r="H296" s="425" t="str">
        <f ca="1">IF(IFERROR(INDEX('Overview - Section A'!$A$39:$A$46,MATCH(D$26,'Overview - Section A'!$B$39:$B$46,0)),"")="","",TEXT(IFERROR(INDEX('Overview - Section A'!$A$39:$A$46,MATCH(D$26,'Overview - Section A'!$B$39:$B$46,0)),""),Setup!$A$33) &amp;" to " &amp; TEXT(IFERROR(INDEX('Overview - Section A'!$E$39:$E$46,MATCH(D$26,'Overview - Section A'!$B$39:$B$46,0)),""),Setup!$A$33))</f>
        <v>1-Jan-25 to 31-Dec-25</v>
      </c>
      <c r="I296" s="903" t="str">
        <f ca="1">IFERROR(IF(INDEX('WPTM - Section F'!V$1:V$100,MATCH('Print View'!$A293,'WPTM - Section F'!$A$1:$A$100,0))&lt;&gt;0,INDEX('WPTM - Section F'!V$1:V$100,MATCH('Print View'!$A293,'WPTM - Section F'!$A$1:$A$100,0)),""),"")</f>
        <v/>
      </c>
      <c r="J296" s="904"/>
      <c r="K296" s="904"/>
      <c r="L296" s="904"/>
      <c r="M296" s="905"/>
      <c r="N296" s="903" t="str">
        <f ca="1">IFERROR(IF(INDEX('WPTM - Section F'!W$1:W$100,MATCH('Print View'!$A293,'WPTM - Section F'!$A$1:$A$100,0))&lt;&gt;0,INDEX('WPTM - Section F'!W$1:W$100,MATCH('Print View'!$A293,'WPTM - Section F'!$A$1:$A$100,0)),""),"")</f>
        <v/>
      </c>
      <c r="O296" s="904"/>
      <c r="P296" s="904"/>
      <c r="Q296" s="904"/>
      <c r="R296" s="904"/>
      <c r="S296" s="904"/>
      <c r="T296" s="314"/>
      <c r="AC296" s="424"/>
      <c r="AD296" s="424"/>
      <c r="AE296" s="424"/>
      <c r="AF296" s="424"/>
      <c r="AG296" s="424"/>
      <c r="AH296" s="424"/>
      <c r="AI296" s="424"/>
      <c r="AJ296" s="424"/>
      <c r="AK296" s="424"/>
      <c r="AL296" s="424"/>
      <c r="AM296" s="424"/>
      <c r="AN296" s="424"/>
      <c r="AO296" s="424"/>
    </row>
    <row r="297" spans="1:86" s="427" customFormat="1" ht="60" customHeight="1" x14ac:dyDescent="0.35">
      <c r="A297" s="928">
        <v>77</v>
      </c>
      <c r="B297" s="922"/>
      <c r="C297" s="931" t="str">
        <f ca="1">IFERROR(IF(INDEX('WPTM - Section F'!C$1:C$100,MATCH('Print View'!$A297,'WPTM - Section F'!$A$1:$A$100,0))&lt;&gt;0,INDEX('WPTM - Section F'!C$1:C$100,MATCH('Print View'!$A297,'WPTM - Section F'!$A$1:$A$100,0)),""),"")</f>
        <v/>
      </c>
      <c r="D297" s="922"/>
      <c r="E297" s="922"/>
      <c r="F297" s="922"/>
      <c r="G297" s="931" t="str">
        <f ca="1">IFERROR(IF(INDEX('WPTM - Section F'!G$1:G$100,MATCH('Print View'!$A297,'WPTM - Section F'!$A$1:$A$100,0))&lt;&gt;0,INDEX('WPTM - Section F'!G$1:G$100,MATCH('Print View'!$A297,'WPTM - Section F'!$A$1:$A$100,0)),""),"")</f>
        <v/>
      </c>
      <c r="H297" s="425" t="str">
        <f ca="1">IF(IFERROR(INDEX('Overview - Section A'!$A$39:$A$46,MATCH(D$27,'Overview - Section A'!$B$39:$B$46,0)),"")="","",TEXT(IFERROR(INDEX('Overview - Section A'!$A$39:$A$46,MATCH(D$27,'Overview - Section A'!$B$39:$B$46,0)),""),Setup!$A$33) &amp;" to " &amp; TEXT(IFERROR(INDEX('Overview - Section A'!$E$39:$E$46,MATCH(D$27,'Overview - Section A'!$B$39:$B$46,0)),""),Setup!$A$33))</f>
        <v>1-Jan-26 to 31-Dec-26</v>
      </c>
      <c r="I297" s="903" t="str">
        <f ca="1">IFERROR(IF(INDEX('WPTM - Section F'!Z$1:Z$100,MATCH('Print View'!$A293,'WPTM - Section F'!$A$1:$A$100,0))&lt;&gt;0,INDEX('WPTM - Section F'!Z$1:Z$100,MATCH('Print View'!$A293,'WPTM - Section F'!$A$1:$A$100,0)),""),"")</f>
        <v/>
      </c>
      <c r="J297" s="904"/>
      <c r="K297" s="904"/>
      <c r="L297" s="904"/>
      <c r="M297" s="905"/>
      <c r="N297" s="903" t="str">
        <f ca="1">IFERROR(IF(INDEX('WPTM - Section F'!AA$1:AA$100,MATCH('Print View'!$A293,'WPTM - Section F'!$A$1:$A$100,0))&lt;&gt;0,INDEX('WPTM - Section F'!AA$1:AA$100,MATCH('Print View'!$A293,'WPTM - Section F'!$A$1:$A$100,0)),""),"")</f>
        <v/>
      </c>
      <c r="O297" s="904"/>
      <c r="P297" s="904"/>
      <c r="Q297" s="904"/>
      <c r="R297" s="904"/>
      <c r="S297" s="904"/>
      <c r="T297" s="314"/>
      <c r="AC297" s="424"/>
      <c r="AD297" s="424"/>
      <c r="AE297" s="424"/>
      <c r="AF297" s="424"/>
      <c r="AG297" s="424"/>
      <c r="AH297" s="424"/>
      <c r="AI297" s="424"/>
      <c r="AJ297" s="424"/>
      <c r="AK297" s="424"/>
      <c r="AL297" s="424"/>
      <c r="AM297" s="424"/>
      <c r="AN297" s="424"/>
      <c r="AO297" s="424"/>
    </row>
    <row r="298" spans="1:86" s="427" customFormat="1" ht="60" customHeight="1" x14ac:dyDescent="0.35">
      <c r="A298" s="928">
        <v>78</v>
      </c>
      <c r="B298" s="922"/>
      <c r="C298" s="931" t="str">
        <f ca="1">IFERROR(IF(INDEX('WPTM - Section F'!C$1:C$100,MATCH('Print View'!$A298,'WPTM - Section F'!$A$1:$A$100,0))&lt;&gt;0,INDEX('WPTM - Section F'!C$1:C$100,MATCH('Print View'!$A298,'WPTM - Section F'!$A$1:$A$100,0)),""),"")</f>
        <v/>
      </c>
      <c r="D298" s="922"/>
      <c r="E298" s="922"/>
      <c r="F298" s="922"/>
      <c r="G298" s="931" t="str">
        <f ca="1">IFERROR(IF(INDEX('WPTM - Section F'!G$1:G$100,MATCH('Print View'!$A298,'WPTM - Section F'!$A$1:$A$100,0))&lt;&gt;0,INDEX('WPTM - Section F'!G$1:G$100,MATCH('Print View'!$A298,'WPTM - Section F'!$A$1:$A$100,0)),""),"")</f>
        <v/>
      </c>
      <c r="H298" s="425" t="str">
        <f ca="1">IF(IFERROR(INDEX('Overview - Section A'!$A$39:$A$46,MATCH(D$28,'Overview - Section A'!$B$39:$B$46,0)),"")="","",TEXT(IFERROR(INDEX('Overview - Section A'!$A$39:$A$46,MATCH(D$28,'Overview - Section A'!$B$39:$B$46,0)),""),Setup!$A$33) &amp;" to " &amp; TEXT(IFERROR(INDEX('Overview - Section A'!$E$39:$E$46,MATCH(D$28,'Overview - Section A'!$B$39:$B$46,0)),""),Setup!$A$33))</f>
        <v>1-Jan-27 to 31-Dec-27</v>
      </c>
      <c r="I298" s="903" t="str">
        <f ca="1">IFERROR(IF(INDEX('WPTM - Section F'!AD$1:AD$100,MATCH('Print View'!$A293,'WPTM - Section F'!$A$1:$A$100,0))&lt;&gt;0,INDEX('WPTM - Section F'!AD$1:AD$100,MATCH('Print View'!$A293,'WPTM - Section F'!$A$1:$A$100,0)),""),"")</f>
        <v/>
      </c>
      <c r="J298" s="904"/>
      <c r="K298" s="904"/>
      <c r="L298" s="904"/>
      <c r="M298" s="905"/>
      <c r="N298" s="903" t="str">
        <f ca="1">IFERROR(IF(INDEX('WPTM - Section F'!AE$1:AE$100,MATCH('Print View'!$A293,'WPTM - Section F'!$A$1:$A$100,0))&lt;&gt;0,INDEX('WPTM - Section F'!AE$1:AE$100,MATCH('Print View'!$A293,'WPTM - Section F'!$A$1:$A$100,0)),""),"")</f>
        <v/>
      </c>
      <c r="O298" s="904"/>
      <c r="P298" s="904"/>
      <c r="Q298" s="904"/>
      <c r="R298" s="904"/>
      <c r="S298" s="904"/>
      <c r="T298" s="314"/>
      <c r="AC298" s="424"/>
      <c r="AD298" s="424"/>
      <c r="AE298" s="424"/>
      <c r="AF298" s="424"/>
      <c r="AG298" s="424"/>
      <c r="AH298" s="424"/>
      <c r="AI298" s="424"/>
      <c r="AJ298" s="424"/>
      <c r="AK298" s="424"/>
      <c r="AL298" s="424"/>
      <c r="AM298" s="424"/>
      <c r="AN298" s="424"/>
      <c r="AO298" s="424"/>
    </row>
    <row r="299" spans="1:86" s="427" customFormat="1" ht="60" customHeight="1" x14ac:dyDescent="0.35">
      <c r="A299" s="928">
        <v>79</v>
      </c>
      <c r="B299" s="923"/>
      <c r="C299" s="932" t="str">
        <f ca="1">IFERROR(IF(INDEX('WPTM - Section F'!C$1:C$100,MATCH('Print View'!$A299,'WPTM - Section F'!$A$1:$A$100,0))&lt;&gt;0,INDEX('WPTM - Section F'!C$1:C$100,MATCH('Print View'!$A299,'WPTM - Section F'!$A$1:$A$100,0)),""),"")</f>
        <v/>
      </c>
      <c r="D299" s="923"/>
      <c r="E299" s="923"/>
      <c r="F299" s="923"/>
      <c r="G299" s="932" t="str">
        <f ca="1">IFERROR(IF(INDEX('WPTM - Section F'!G$1:G$100,MATCH('Print View'!$A299,'WPTM - Section F'!$A$1:$A$100,0))&lt;&gt;0,INDEX('WPTM - Section F'!G$1:G$100,MATCH('Print View'!$A299,'WPTM - Section F'!$A$1:$A$100,0)),""),"")</f>
        <v/>
      </c>
      <c r="H299" s="425" t="str">
        <f>IF(IFERROR(INDEX('Overview - Section A'!$A$39:$A$46,MATCH(D$29,'Overview - Section A'!$B$39:$B$46,0)),"")="","",TEXT(IFERROR(INDEX('Overview - Section A'!$A$39:$A$46,MATCH(D$29,'Overview - Section A'!$B$39:$B$46,0)),""),Setup!$A$33) &amp;" to " &amp; TEXT(IFERROR(INDEX('Overview - Section A'!$E$39:$E$46,MATCH(D$29,'Overview - Section A'!$B$39:$B$46,0)),""),Setup!$A$33))</f>
        <v/>
      </c>
      <c r="I299" s="903" t="str">
        <f ca="1">IFERROR(IF(INDEX('WPTM - Section F'!AH$1:AH$100,MATCH('Print View'!$A293,'WPTM - Section F'!$A$1:$A$100,0))&lt;&gt;0,INDEX('WPTM - Section F'!AH$1:AH$100,MATCH('Print View'!$A293,'WPTM - Section F'!$A$1:$A$100,0)),""),"")</f>
        <v/>
      </c>
      <c r="J299" s="904"/>
      <c r="K299" s="904"/>
      <c r="L299" s="904"/>
      <c r="M299" s="905"/>
      <c r="N299" s="903" t="str">
        <f ca="1">IFERROR(IF(INDEX('WPTM - Section F'!AI$1:AI$100,MATCH('Print View'!$A293,'WPTM - Section F'!$A$1:$A$100,0))&lt;&gt;0,INDEX('WPTM - Section F'!AI$1:AI$100,MATCH('Print View'!$A293,'WPTM - Section F'!$A$1:$A$100,0)),""),"")</f>
        <v/>
      </c>
      <c r="O299" s="904"/>
      <c r="P299" s="904"/>
      <c r="Q299" s="904"/>
      <c r="R299" s="904"/>
      <c r="S299" s="904"/>
      <c r="T299" s="314"/>
      <c r="AC299" s="424"/>
      <c r="AD299" s="424"/>
      <c r="AE299" s="424"/>
      <c r="AF299" s="424"/>
      <c r="AG299" s="424"/>
      <c r="AH299" s="424"/>
      <c r="AI299" s="424"/>
      <c r="AJ299" s="424"/>
      <c r="AK299" s="424"/>
      <c r="AL299" s="424"/>
      <c r="AM299" s="424"/>
      <c r="AN299" s="424"/>
      <c r="AO299" s="424"/>
    </row>
    <row r="300" spans="1:86" s="427" customFormat="1" ht="60" customHeight="1" x14ac:dyDescent="0.65">
      <c r="A300" s="929">
        <v>80</v>
      </c>
      <c r="B300" s="918" t="str">
        <f ca="1">IFERROR(IF(INDEX('WPTM - Section F'!AV$1:AV$100,MATCH('Print View'!$A293,'WPTM - Section F'!$A$1:$A$100,0))&lt;&gt;0,INDEX('WPTM - Section F'!AV$1:AV$100,MATCH('Print View'!$A293,'WPTM - Section F'!$A$1:$A$100,0)),""),"")</f>
        <v/>
      </c>
      <c r="C300" s="919"/>
      <c r="D300" s="919"/>
      <c r="E300" s="919"/>
      <c r="F300" s="919"/>
      <c r="G300" s="919"/>
      <c r="H300" s="919"/>
      <c r="I300" s="919"/>
      <c r="J300" s="919"/>
      <c r="K300" s="919"/>
      <c r="L300" s="919"/>
      <c r="M300" s="919"/>
      <c r="N300" s="919"/>
      <c r="O300" s="919"/>
      <c r="P300" s="919"/>
      <c r="Q300" s="919"/>
      <c r="R300" s="919"/>
      <c r="S300" s="920"/>
      <c r="T300" s="314"/>
      <c r="AC300" s="424"/>
      <c r="AD300" s="424"/>
      <c r="AE300" s="424"/>
      <c r="AF300" s="424"/>
      <c r="AG300" s="424"/>
      <c r="AH300" s="424"/>
      <c r="AI300" s="424"/>
      <c r="AJ300" s="424"/>
      <c r="AK300" s="424"/>
      <c r="AL300" s="424"/>
      <c r="AM300" s="424"/>
      <c r="AN300" s="424"/>
      <c r="AO300" s="424"/>
    </row>
    <row r="301" spans="1:86" s="107" customFormat="1" x14ac:dyDescent="0.35">
      <c r="A301" s="108"/>
      <c r="V301" s="223"/>
      <c r="W301" s="223"/>
      <c r="X301" s="223"/>
      <c r="Y301" s="223"/>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4"/>
      <c r="AU301" s="3"/>
      <c r="AV301" s="3"/>
      <c r="AW301" s="3"/>
      <c r="AX301" s="3"/>
      <c r="AY301" s="3"/>
      <c r="AZ301" s="3"/>
      <c r="BA301" s="3"/>
      <c r="BB301" s="3"/>
      <c r="BC301" s="3"/>
      <c r="BD301" s="223"/>
      <c r="BE301" s="223"/>
      <c r="BF301" s="223"/>
      <c r="BG301" s="223"/>
      <c r="BH301" s="223"/>
      <c r="BI301" s="223"/>
      <c r="BJ301" s="223"/>
      <c r="BK301" s="223"/>
      <c r="BL301" s="223"/>
      <c r="BM301" s="223"/>
      <c r="BN301" s="223"/>
      <c r="BO301" s="223"/>
      <c r="BP301" s="223"/>
      <c r="BQ301" s="223"/>
      <c r="BR301" s="223"/>
      <c r="BS301" s="223"/>
      <c r="BT301" s="223"/>
      <c r="BU301" s="223"/>
      <c r="BV301" s="223"/>
      <c r="BW301" s="223"/>
      <c r="BX301" s="223"/>
      <c r="BY301" s="223"/>
      <c r="BZ301" s="223"/>
      <c r="CA301" s="223"/>
      <c r="CB301" s="223"/>
      <c r="CC301" s="223"/>
      <c r="CD301" s="223"/>
      <c r="CE301" s="223"/>
      <c r="CF301" s="223"/>
      <c r="CG301" s="223"/>
      <c r="CH301" s="223"/>
    </row>
    <row r="302" spans="1:86" s="107" customFormat="1" x14ac:dyDescent="0.35">
      <c r="A302" s="108"/>
      <c r="V302" s="223"/>
      <c r="W302" s="223"/>
      <c r="X302" s="223"/>
      <c r="Y302" s="223"/>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4"/>
      <c r="AU302" s="3"/>
      <c r="AV302" s="3"/>
      <c r="AW302" s="3"/>
      <c r="AX302" s="3"/>
      <c r="AY302" s="3"/>
      <c r="AZ302" s="3"/>
      <c r="BA302" s="3"/>
      <c r="BB302" s="3"/>
      <c r="BC302" s="3"/>
      <c r="BD302" s="223"/>
      <c r="BE302" s="223"/>
      <c r="BF302" s="223"/>
      <c r="BG302" s="223"/>
      <c r="BH302" s="223"/>
      <c r="BI302" s="223"/>
      <c r="BJ302" s="223"/>
      <c r="BK302" s="223"/>
      <c r="BL302" s="223"/>
      <c r="BM302" s="223"/>
      <c r="BN302" s="223"/>
      <c r="BO302" s="223"/>
      <c r="BP302" s="223"/>
      <c r="BQ302" s="223"/>
      <c r="BR302" s="223"/>
      <c r="BS302" s="223"/>
      <c r="BT302" s="223"/>
      <c r="BU302" s="223"/>
      <c r="BV302" s="223"/>
      <c r="BW302" s="223"/>
      <c r="BX302" s="223"/>
      <c r="BY302" s="223"/>
      <c r="BZ302" s="223"/>
      <c r="CA302" s="223"/>
      <c r="CB302" s="223"/>
      <c r="CC302" s="223"/>
      <c r="CD302" s="223"/>
      <c r="CE302" s="223"/>
      <c r="CF302" s="223"/>
      <c r="CG302" s="223"/>
      <c r="CH302" s="223"/>
    </row>
    <row r="303" spans="1:86" s="107" customFormat="1" x14ac:dyDescent="0.35">
      <c r="A303" s="108"/>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4"/>
      <c r="AU303" s="3"/>
      <c r="AV303" s="3"/>
      <c r="AW303" s="3"/>
      <c r="AX303" s="3"/>
      <c r="AY303" s="3"/>
      <c r="AZ303" s="3"/>
      <c r="BA303" s="3"/>
      <c r="BB303" s="3"/>
      <c r="BC303" s="3"/>
      <c r="BD303" s="223"/>
      <c r="BE303" s="223"/>
      <c r="BF303" s="223"/>
      <c r="BG303" s="223"/>
      <c r="BH303" s="223"/>
      <c r="BI303" s="223"/>
      <c r="BJ303" s="223"/>
      <c r="BK303" s="223"/>
      <c r="BL303" s="223"/>
      <c r="BM303" s="223"/>
      <c r="BN303" s="223"/>
      <c r="BO303" s="223"/>
      <c r="BP303" s="223"/>
      <c r="BQ303" s="223"/>
      <c r="BR303" s="223"/>
      <c r="BS303" s="223"/>
      <c r="BT303" s="223"/>
      <c r="BU303" s="223"/>
      <c r="BV303" s="223"/>
      <c r="BW303" s="223"/>
      <c r="BX303" s="223"/>
      <c r="BY303" s="223"/>
      <c r="BZ303" s="223"/>
      <c r="CA303" s="223"/>
      <c r="CB303" s="223"/>
      <c r="CC303" s="223"/>
      <c r="CD303" s="223"/>
      <c r="CE303" s="223"/>
      <c r="CF303" s="223"/>
      <c r="CG303" s="223"/>
      <c r="CH303" s="223"/>
    </row>
    <row r="304" spans="1:86" s="107" customFormat="1" x14ac:dyDescent="0.35">
      <c r="A304" s="108"/>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4"/>
      <c r="AU304" s="3"/>
      <c r="AV304" s="3"/>
      <c r="AW304" s="3"/>
      <c r="AX304" s="3"/>
      <c r="AY304" s="3"/>
      <c r="AZ304" s="3"/>
      <c r="BA304" s="3"/>
      <c r="BB304" s="3"/>
      <c r="BC304" s="3"/>
      <c r="BD304" s="223"/>
      <c r="BE304" s="223"/>
      <c r="BF304" s="223"/>
      <c r="BG304" s="223"/>
      <c r="BH304" s="223"/>
      <c r="BI304" s="223"/>
      <c r="BJ304" s="223"/>
      <c r="BK304" s="223"/>
      <c r="BL304" s="223"/>
      <c r="BM304" s="223"/>
      <c r="BN304" s="223"/>
      <c r="BO304" s="223"/>
      <c r="BP304" s="223"/>
      <c r="BQ304" s="223"/>
      <c r="BR304" s="223"/>
      <c r="BS304" s="223"/>
      <c r="BT304" s="223"/>
      <c r="BU304" s="223"/>
      <c r="BV304" s="223"/>
      <c r="BW304" s="223"/>
      <c r="BX304" s="223"/>
      <c r="BY304" s="223"/>
      <c r="BZ304" s="223"/>
      <c r="CA304" s="223"/>
      <c r="CB304" s="223"/>
      <c r="CC304" s="223"/>
      <c r="CD304" s="223"/>
      <c r="CE304" s="223"/>
      <c r="CF304" s="223"/>
      <c r="CG304" s="223"/>
      <c r="CH304" s="223"/>
    </row>
    <row r="305" spans="1:86" s="107" customFormat="1" x14ac:dyDescent="0.35">
      <c r="A305" s="108"/>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c r="AS305" s="223"/>
      <c r="AT305" s="224"/>
      <c r="AU305" s="3"/>
      <c r="AV305" s="3"/>
      <c r="AW305" s="3"/>
      <c r="AX305" s="3"/>
      <c r="AY305" s="3"/>
      <c r="AZ305" s="3"/>
      <c r="BA305" s="3"/>
      <c r="BB305" s="3"/>
      <c r="BC305" s="3"/>
      <c r="BD305" s="223"/>
      <c r="BE305" s="223"/>
      <c r="BF305" s="223"/>
      <c r="BG305" s="223"/>
      <c r="BH305" s="223"/>
      <c r="BI305" s="223"/>
      <c r="BJ305" s="223"/>
      <c r="BK305" s="223"/>
      <c r="BL305" s="223"/>
      <c r="BM305" s="223"/>
      <c r="BN305" s="223"/>
      <c r="BO305" s="223"/>
      <c r="BP305" s="223"/>
      <c r="BQ305" s="223"/>
      <c r="BR305" s="223"/>
      <c r="BS305" s="223"/>
      <c r="BT305" s="223"/>
      <c r="BU305" s="223"/>
      <c r="BV305" s="223"/>
      <c r="BW305" s="223"/>
      <c r="BX305" s="223"/>
      <c r="BY305" s="223"/>
      <c r="BZ305" s="223"/>
      <c r="CA305" s="223"/>
      <c r="CB305" s="223"/>
      <c r="CC305" s="223"/>
      <c r="CD305" s="223"/>
      <c r="CE305" s="223"/>
      <c r="CF305" s="223"/>
      <c r="CG305" s="223"/>
      <c r="CH305" s="223"/>
    </row>
    <row r="306" spans="1:86" s="107" customFormat="1" x14ac:dyDescent="0.35">
      <c r="A306" s="108"/>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4"/>
      <c r="AU306" s="3"/>
      <c r="AV306" s="3"/>
      <c r="AW306" s="3"/>
      <c r="AX306" s="3"/>
      <c r="AY306" s="3"/>
      <c r="AZ306" s="3"/>
      <c r="BA306" s="3"/>
      <c r="BB306" s="3"/>
      <c r="BC306" s="3"/>
      <c r="BD306" s="223"/>
      <c r="BE306" s="223"/>
      <c r="BF306" s="223"/>
      <c r="BG306" s="223"/>
      <c r="BH306" s="223"/>
      <c r="BI306" s="223"/>
      <c r="BJ306" s="223"/>
      <c r="BK306" s="223"/>
      <c r="BL306" s="223"/>
      <c r="BM306" s="223"/>
      <c r="BN306" s="223"/>
      <c r="BO306" s="223"/>
      <c r="BP306" s="223"/>
      <c r="BQ306" s="223"/>
      <c r="BR306" s="223"/>
      <c r="BS306" s="223"/>
      <c r="BT306" s="223"/>
      <c r="BU306" s="223"/>
      <c r="BV306" s="223"/>
      <c r="BW306" s="223"/>
      <c r="BX306" s="223"/>
      <c r="BY306" s="223"/>
      <c r="BZ306" s="223"/>
      <c r="CA306" s="223"/>
      <c r="CB306" s="223"/>
      <c r="CC306" s="223"/>
      <c r="CD306" s="223"/>
      <c r="CE306" s="223"/>
      <c r="CF306" s="223"/>
      <c r="CG306" s="223"/>
      <c r="CH306" s="223"/>
    </row>
    <row r="307" spans="1:86" s="107" customFormat="1" x14ac:dyDescent="0.35">
      <c r="A307" s="108"/>
      <c r="V307" s="223"/>
      <c r="W307" s="223"/>
      <c r="X307" s="223"/>
      <c r="Y307" s="223"/>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4"/>
      <c r="AU307" s="3"/>
      <c r="AV307" s="3"/>
      <c r="AW307" s="3"/>
      <c r="AX307" s="3"/>
      <c r="AY307" s="3"/>
      <c r="AZ307" s="3"/>
      <c r="BA307" s="3"/>
      <c r="BB307" s="3"/>
      <c r="BC307" s="3"/>
      <c r="BD307" s="223"/>
      <c r="BE307" s="223"/>
      <c r="BF307" s="223"/>
      <c r="BG307" s="223"/>
      <c r="BH307" s="223"/>
      <c r="BI307" s="223"/>
      <c r="BJ307" s="223"/>
      <c r="BK307" s="223"/>
      <c r="BL307" s="223"/>
      <c r="BM307" s="223"/>
      <c r="BN307" s="223"/>
      <c r="BO307" s="223"/>
      <c r="BP307" s="223"/>
      <c r="BQ307" s="223"/>
      <c r="BR307" s="223"/>
      <c r="BS307" s="223"/>
      <c r="BT307" s="223"/>
      <c r="BU307" s="223"/>
      <c r="BV307" s="223"/>
      <c r="BW307" s="223"/>
      <c r="BX307" s="223"/>
      <c r="BY307" s="223"/>
      <c r="BZ307" s="223"/>
      <c r="CA307" s="223"/>
      <c r="CB307" s="223"/>
      <c r="CC307" s="223"/>
      <c r="CD307" s="223"/>
      <c r="CE307" s="223"/>
      <c r="CF307" s="223"/>
      <c r="CG307" s="223"/>
      <c r="CH307" s="223"/>
    </row>
    <row r="308" spans="1:86" s="107" customFormat="1" x14ac:dyDescent="0.35">
      <c r="A308" s="108"/>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4"/>
      <c r="AU308" s="3"/>
      <c r="AV308" s="3"/>
      <c r="AW308" s="3"/>
      <c r="AX308" s="3"/>
      <c r="AY308" s="3"/>
      <c r="AZ308" s="3"/>
      <c r="BA308" s="3"/>
      <c r="BB308" s="3"/>
      <c r="BC308" s="3"/>
      <c r="BD308" s="223"/>
      <c r="BE308" s="223"/>
      <c r="BF308" s="223"/>
      <c r="BG308" s="223"/>
      <c r="BH308" s="223"/>
      <c r="BI308" s="223"/>
      <c r="BJ308" s="223"/>
      <c r="BK308" s="223"/>
      <c r="BL308" s="223"/>
      <c r="BM308" s="223"/>
      <c r="BN308" s="223"/>
      <c r="BO308" s="223"/>
      <c r="BP308" s="223"/>
      <c r="BQ308" s="223"/>
      <c r="BR308" s="223"/>
      <c r="BS308" s="223"/>
      <c r="BT308" s="223"/>
      <c r="BU308" s="223"/>
      <c r="BV308" s="223"/>
      <c r="BW308" s="223"/>
      <c r="BX308" s="223"/>
      <c r="BY308" s="223"/>
      <c r="BZ308" s="223"/>
      <c r="CA308" s="223"/>
      <c r="CB308" s="223"/>
      <c r="CC308" s="223"/>
      <c r="CD308" s="223"/>
      <c r="CE308" s="223"/>
      <c r="CF308" s="223"/>
      <c r="CG308" s="223"/>
      <c r="CH308" s="223"/>
    </row>
    <row r="309" spans="1:86" s="107" customFormat="1" x14ac:dyDescent="0.35">
      <c r="A309" s="108"/>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4"/>
      <c r="AU309" s="3"/>
      <c r="AV309" s="3"/>
      <c r="AW309" s="3"/>
      <c r="AX309" s="3"/>
      <c r="AY309" s="3"/>
      <c r="AZ309" s="3"/>
      <c r="BA309" s="3"/>
      <c r="BB309" s="3"/>
      <c r="BC309" s="3"/>
      <c r="BD309" s="223"/>
      <c r="BE309" s="223"/>
      <c r="BF309" s="223"/>
      <c r="BG309" s="223"/>
      <c r="BH309" s="223"/>
      <c r="BI309" s="223"/>
      <c r="BJ309" s="223"/>
      <c r="BK309" s="223"/>
      <c r="BL309" s="223"/>
      <c r="BM309" s="223"/>
      <c r="BN309" s="223"/>
      <c r="BO309" s="223"/>
      <c r="BP309" s="223"/>
      <c r="BQ309" s="223"/>
      <c r="BR309" s="223"/>
      <c r="BS309" s="223"/>
      <c r="BT309" s="223"/>
      <c r="BU309" s="223"/>
      <c r="BV309" s="223"/>
      <c r="BW309" s="223"/>
      <c r="BX309" s="223"/>
      <c r="BY309" s="223"/>
      <c r="BZ309" s="223"/>
      <c r="CA309" s="223"/>
      <c r="CB309" s="223"/>
      <c r="CC309" s="223"/>
      <c r="CD309" s="223"/>
      <c r="CE309" s="223"/>
      <c r="CF309" s="223"/>
      <c r="CG309" s="223"/>
      <c r="CH309" s="223"/>
    </row>
    <row r="310" spans="1:86" s="107" customFormat="1" x14ac:dyDescent="0.35">
      <c r="A310" s="108"/>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4"/>
      <c r="AU310" s="3"/>
      <c r="AV310" s="3"/>
      <c r="AW310" s="3"/>
      <c r="AX310" s="3"/>
      <c r="AY310" s="3"/>
      <c r="AZ310" s="3"/>
      <c r="BA310" s="3"/>
      <c r="BB310" s="3"/>
      <c r="BC310" s="3"/>
      <c r="BD310" s="223"/>
      <c r="BE310" s="223"/>
      <c r="BF310" s="223"/>
      <c r="BG310" s="223"/>
      <c r="BH310" s="223"/>
      <c r="BI310" s="223"/>
      <c r="BJ310" s="223"/>
      <c r="BK310" s="223"/>
      <c r="BL310" s="223"/>
      <c r="BM310" s="223"/>
      <c r="BN310" s="223"/>
      <c r="BO310" s="223"/>
      <c r="BP310" s="223"/>
      <c r="BQ310" s="223"/>
      <c r="BR310" s="223"/>
      <c r="BS310" s="223"/>
      <c r="BT310" s="223"/>
      <c r="BU310" s="223"/>
      <c r="BV310" s="223"/>
      <c r="BW310" s="223"/>
      <c r="BX310" s="223"/>
      <c r="BY310" s="223"/>
      <c r="BZ310" s="223"/>
      <c r="CA310" s="223"/>
      <c r="CB310" s="223"/>
      <c r="CC310" s="223"/>
      <c r="CD310" s="223"/>
      <c r="CE310" s="223"/>
      <c r="CF310" s="223"/>
      <c r="CG310" s="223"/>
      <c r="CH310" s="223"/>
    </row>
    <row r="311" spans="1:86" s="107" customFormat="1" x14ac:dyDescent="0.35">
      <c r="A311" s="108"/>
      <c r="V311" s="223"/>
      <c r="W311" s="223"/>
      <c r="X311" s="223"/>
      <c r="Y311" s="223"/>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4"/>
      <c r="AU311" s="3"/>
      <c r="AV311" s="3"/>
      <c r="AW311" s="3"/>
      <c r="AX311" s="3"/>
      <c r="AY311" s="3"/>
      <c r="AZ311" s="3"/>
      <c r="BA311" s="3"/>
      <c r="BB311" s="3"/>
      <c r="BC311" s="3"/>
      <c r="BD311" s="223"/>
      <c r="BE311" s="223"/>
      <c r="BF311" s="223"/>
      <c r="BG311" s="223"/>
      <c r="BH311" s="223"/>
      <c r="BI311" s="223"/>
      <c r="BJ311" s="223"/>
      <c r="BK311" s="223"/>
      <c r="BL311" s="223"/>
      <c r="BM311" s="223"/>
      <c r="BN311" s="223"/>
      <c r="BO311" s="223"/>
      <c r="BP311" s="223"/>
      <c r="BQ311" s="223"/>
      <c r="BR311" s="223"/>
      <c r="BS311" s="223"/>
      <c r="BT311" s="223"/>
      <c r="BU311" s="223"/>
      <c r="BV311" s="223"/>
      <c r="BW311" s="223"/>
      <c r="BX311" s="223"/>
      <c r="BY311" s="223"/>
      <c r="BZ311" s="223"/>
      <c r="CA311" s="223"/>
      <c r="CB311" s="223"/>
      <c r="CC311" s="223"/>
      <c r="CD311" s="223"/>
      <c r="CE311" s="223"/>
      <c r="CF311" s="223"/>
      <c r="CG311" s="223"/>
      <c r="CH311" s="223"/>
    </row>
    <row r="312" spans="1:86" s="107" customFormat="1" x14ac:dyDescent="0.35">
      <c r="A312" s="108"/>
      <c r="V312" s="223"/>
      <c r="W312" s="223"/>
      <c r="X312" s="223"/>
      <c r="Y312" s="223"/>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4"/>
      <c r="AU312" s="3"/>
      <c r="AV312" s="3"/>
      <c r="AW312" s="3"/>
      <c r="AX312" s="3"/>
      <c r="AY312" s="3"/>
      <c r="AZ312" s="3"/>
      <c r="BA312" s="3"/>
      <c r="BB312" s="3"/>
      <c r="BC312" s="3"/>
      <c r="BD312" s="223"/>
      <c r="BE312" s="223"/>
      <c r="BF312" s="223"/>
      <c r="BG312" s="223"/>
      <c r="BH312" s="223"/>
      <c r="BI312" s="223"/>
      <c r="BJ312" s="223"/>
      <c r="BK312" s="223"/>
      <c r="BL312" s="223"/>
      <c r="BM312" s="223"/>
      <c r="BN312" s="223"/>
      <c r="BO312" s="223"/>
      <c r="BP312" s="223"/>
      <c r="BQ312" s="223"/>
      <c r="BR312" s="223"/>
      <c r="BS312" s="223"/>
      <c r="BT312" s="223"/>
      <c r="BU312" s="223"/>
      <c r="BV312" s="223"/>
      <c r="BW312" s="223"/>
      <c r="BX312" s="223"/>
      <c r="BY312" s="223"/>
      <c r="BZ312" s="223"/>
      <c r="CA312" s="223"/>
      <c r="CB312" s="223"/>
      <c r="CC312" s="223"/>
      <c r="CD312" s="223"/>
      <c r="CE312" s="223"/>
      <c r="CF312" s="223"/>
      <c r="CG312" s="223"/>
      <c r="CH312" s="223"/>
    </row>
    <row r="313" spans="1:86" s="107" customFormat="1" x14ac:dyDescent="0.35">
      <c r="A313" s="108"/>
      <c r="V313" s="223"/>
      <c r="W313" s="223"/>
      <c r="X313" s="223"/>
      <c r="Y313" s="223"/>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4"/>
      <c r="AU313" s="3"/>
      <c r="AV313" s="3"/>
      <c r="AW313" s="3"/>
      <c r="AX313" s="3"/>
      <c r="AY313" s="3"/>
      <c r="AZ313" s="3"/>
      <c r="BA313" s="3"/>
      <c r="BB313" s="3"/>
      <c r="BC313" s="3"/>
      <c r="BD313" s="223"/>
      <c r="BE313" s="223"/>
      <c r="BF313" s="223"/>
      <c r="BG313" s="223"/>
      <c r="BH313" s="223"/>
      <c r="BI313" s="223"/>
      <c r="BJ313" s="223"/>
      <c r="BK313" s="223"/>
      <c r="BL313" s="223"/>
      <c r="BM313" s="223"/>
      <c r="BN313" s="223"/>
      <c r="BO313" s="223"/>
      <c r="BP313" s="223"/>
      <c r="BQ313" s="223"/>
      <c r="BR313" s="223"/>
      <c r="BS313" s="223"/>
      <c r="BT313" s="223"/>
      <c r="BU313" s="223"/>
      <c r="BV313" s="223"/>
      <c r="BW313" s="223"/>
      <c r="BX313" s="223"/>
      <c r="BY313" s="223"/>
      <c r="BZ313" s="223"/>
      <c r="CA313" s="223"/>
      <c r="CB313" s="223"/>
      <c r="CC313" s="223"/>
      <c r="CD313" s="223"/>
      <c r="CE313" s="223"/>
      <c r="CF313" s="223"/>
      <c r="CG313" s="223"/>
      <c r="CH313" s="223"/>
    </row>
    <row r="314" spans="1:86" s="107" customFormat="1" x14ac:dyDescent="0.35">
      <c r="A314" s="108"/>
      <c r="V314" s="223"/>
      <c r="W314" s="223"/>
      <c r="X314" s="223"/>
      <c r="Y314" s="223"/>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4"/>
      <c r="AU314" s="3"/>
      <c r="AV314" s="3"/>
      <c r="AW314" s="3"/>
      <c r="AX314" s="3"/>
      <c r="AY314" s="3"/>
      <c r="AZ314" s="3"/>
      <c r="BA314" s="3"/>
      <c r="BB314" s="3"/>
      <c r="BC314" s="3"/>
      <c r="BD314" s="223"/>
      <c r="BE314" s="223"/>
      <c r="BF314" s="223"/>
      <c r="BG314" s="223"/>
      <c r="BH314" s="223"/>
      <c r="BI314" s="223"/>
      <c r="BJ314" s="223"/>
      <c r="BK314" s="223"/>
      <c r="BL314" s="223"/>
      <c r="BM314" s="223"/>
      <c r="BN314" s="223"/>
      <c r="BO314" s="223"/>
      <c r="BP314" s="223"/>
      <c r="BQ314" s="223"/>
      <c r="BR314" s="223"/>
      <c r="BS314" s="223"/>
      <c r="BT314" s="223"/>
      <c r="BU314" s="223"/>
      <c r="BV314" s="223"/>
      <c r="BW314" s="223"/>
      <c r="BX314" s="223"/>
      <c r="BY314" s="223"/>
      <c r="BZ314" s="223"/>
      <c r="CA314" s="223"/>
      <c r="CB314" s="223"/>
      <c r="CC314" s="223"/>
      <c r="CD314" s="223"/>
      <c r="CE314" s="223"/>
      <c r="CF314" s="223"/>
      <c r="CG314" s="223"/>
      <c r="CH314" s="223"/>
    </row>
    <row r="315" spans="1:86" s="107" customFormat="1" x14ac:dyDescent="0.35">
      <c r="A315" s="108"/>
      <c r="V315" s="223"/>
      <c r="W315" s="223"/>
      <c r="X315" s="223"/>
      <c r="Y315" s="223"/>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4"/>
      <c r="AU315" s="3"/>
      <c r="AV315" s="3"/>
      <c r="AW315" s="3"/>
      <c r="AX315" s="3"/>
      <c r="AY315" s="3"/>
      <c r="AZ315" s="3"/>
      <c r="BA315" s="3"/>
      <c r="BB315" s="3"/>
      <c r="BC315" s="3"/>
      <c r="BD315" s="223"/>
      <c r="BE315" s="223"/>
      <c r="BF315" s="223"/>
      <c r="BG315" s="223"/>
      <c r="BH315" s="223"/>
      <c r="BI315" s="223"/>
      <c r="BJ315" s="223"/>
      <c r="BK315" s="223"/>
      <c r="BL315" s="223"/>
      <c r="BM315" s="223"/>
      <c r="BN315" s="223"/>
      <c r="BO315" s="223"/>
      <c r="BP315" s="223"/>
      <c r="BQ315" s="223"/>
      <c r="BR315" s="223"/>
      <c r="BS315" s="223"/>
      <c r="BT315" s="223"/>
      <c r="BU315" s="223"/>
      <c r="BV315" s="223"/>
      <c r="BW315" s="223"/>
      <c r="BX315" s="223"/>
      <c r="BY315" s="223"/>
      <c r="BZ315" s="223"/>
      <c r="CA315" s="223"/>
      <c r="CB315" s="223"/>
      <c r="CC315" s="223"/>
      <c r="CD315" s="223"/>
      <c r="CE315" s="223"/>
      <c r="CF315" s="223"/>
      <c r="CG315" s="223"/>
      <c r="CH315" s="223"/>
    </row>
    <row r="316" spans="1:86" s="107" customFormat="1" x14ac:dyDescent="0.35">
      <c r="A316" s="108"/>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4"/>
      <c r="AU316" s="3"/>
      <c r="AV316" s="3"/>
      <c r="AW316" s="3"/>
      <c r="AX316" s="3"/>
      <c r="AY316" s="3"/>
      <c r="AZ316" s="3"/>
      <c r="BA316" s="3"/>
      <c r="BB316" s="3"/>
      <c r="BC316" s="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row>
    <row r="317" spans="1:86" s="107" customFormat="1" x14ac:dyDescent="0.35">
      <c r="A317" s="108"/>
      <c r="V317" s="223"/>
      <c r="W317" s="223"/>
      <c r="X317" s="223"/>
      <c r="Y317" s="223"/>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4"/>
      <c r="AU317" s="3"/>
      <c r="AV317" s="3"/>
      <c r="AW317" s="3"/>
      <c r="AX317" s="3"/>
      <c r="AY317" s="3"/>
      <c r="AZ317" s="3"/>
      <c r="BA317" s="3"/>
      <c r="BB317" s="3"/>
      <c r="BC317" s="3"/>
      <c r="BD317" s="223"/>
      <c r="BE317" s="223"/>
      <c r="BF317" s="223"/>
      <c r="BG317" s="223"/>
      <c r="BH317" s="223"/>
      <c r="BI317" s="223"/>
      <c r="BJ317" s="223"/>
      <c r="BK317" s="223"/>
      <c r="BL317" s="223"/>
      <c r="BM317" s="223"/>
      <c r="BN317" s="223"/>
      <c r="BO317" s="223"/>
      <c r="BP317" s="223"/>
      <c r="BQ317" s="223"/>
      <c r="BR317" s="223"/>
      <c r="BS317" s="223"/>
      <c r="BT317" s="223"/>
      <c r="BU317" s="223"/>
      <c r="BV317" s="223"/>
      <c r="BW317" s="223"/>
      <c r="BX317" s="223"/>
      <c r="BY317" s="223"/>
      <c r="BZ317" s="223"/>
      <c r="CA317" s="223"/>
      <c r="CB317" s="223"/>
      <c r="CC317" s="223"/>
      <c r="CD317" s="223"/>
      <c r="CE317" s="223"/>
      <c r="CF317" s="223"/>
      <c r="CG317" s="223"/>
      <c r="CH317" s="223"/>
    </row>
    <row r="318" spans="1:86" s="107" customFormat="1" x14ac:dyDescent="0.35">
      <c r="A318" s="108"/>
      <c r="V318" s="223"/>
      <c r="W318" s="223"/>
      <c r="X318" s="223"/>
      <c r="Y318" s="223"/>
      <c r="Z318" s="223"/>
      <c r="AA318" s="223"/>
      <c r="AB318" s="223"/>
      <c r="AC318" s="223"/>
      <c r="AD318" s="223"/>
      <c r="AE318" s="223"/>
      <c r="AF318" s="223"/>
      <c r="AG318" s="223"/>
      <c r="AH318" s="223"/>
      <c r="AI318" s="223"/>
      <c r="AJ318" s="223"/>
      <c r="AK318" s="223"/>
      <c r="AL318" s="223"/>
      <c r="AM318" s="223"/>
      <c r="AN318" s="223"/>
      <c r="AO318" s="223"/>
      <c r="AP318" s="223"/>
      <c r="AQ318" s="223"/>
      <c r="AR318" s="223"/>
      <c r="AS318" s="223"/>
      <c r="AT318" s="224"/>
      <c r="AU318" s="3"/>
      <c r="AV318" s="3"/>
      <c r="AW318" s="3"/>
      <c r="AX318" s="3"/>
      <c r="AY318" s="3"/>
      <c r="AZ318" s="3"/>
      <c r="BA318" s="3"/>
      <c r="BB318" s="3"/>
      <c r="BC318" s="3"/>
      <c r="BD318" s="223"/>
      <c r="BE318" s="223"/>
      <c r="BF318" s="223"/>
      <c r="BG318" s="223"/>
      <c r="BH318" s="223"/>
      <c r="BI318" s="223"/>
      <c r="BJ318" s="223"/>
      <c r="BK318" s="223"/>
      <c r="BL318" s="223"/>
      <c r="BM318" s="223"/>
      <c r="BN318" s="223"/>
      <c r="BO318" s="223"/>
      <c r="BP318" s="223"/>
      <c r="BQ318" s="223"/>
      <c r="BR318" s="223"/>
      <c r="BS318" s="223"/>
      <c r="BT318" s="223"/>
      <c r="BU318" s="223"/>
      <c r="BV318" s="223"/>
      <c r="BW318" s="223"/>
      <c r="BX318" s="223"/>
      <c r="BY318" s="223"/>
      <c r="BZ318" s="223"/>
      <c r="CA318" s="223"/>
      <c r="CB318" s="223"/>
      <c r="CC318" s="223"/>
      <c r="CD318" s="223"/>
      <c r="CE318" s="223"/>
      <c r="CF318" s="223"/>
      <c r="CG318" s="223"/>
      <c r="CH318" s="223"/>
    </row>
    <row r="319" spans="1:86" s="107" customFormat="1" x14ac:dyDescent="0.35">
      <c r="A319" s="108"/>
      <c r="V319" s="223"/>
      <c r="W319" s="223"/>
      <c r="X319" s="223"/>
      <c r="Y319" s="223"/>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4"/>
      <c r="AU319" s="3"/>
      <c r="AV319" s="3"/>
      <c r="AW319" s="3"/>
      <c r="AX319" s="3"/>
      <c r="AY319" s="3"/>
      <c r="AZ319" s="3"/>
      <c r="BA319" s="3"/>
      <c r="BB319" s="3"/>
      <c r="BC319" s="3"/>
      <c r="BD319" s="223"/>
      <c r="BE319" s="223"/>
      <c r="BF319" s="223"/>
      <c r="BG319" s="223"/>
      <c r="BH319" s="223"/>
      <c r="BI319" s="223"/>
      <c r="BJ319" s="223"/>
      <c r="BK319" s="223"/>
      <c r="BL319" s="223"/>
      <c r="BM319" s="223"/>
      <c r="BN319" s="223"/>
      <c r="BO319" s="223"/>
      <c r="BP319" s="223"/>
      <c r="BQ319" s="223"/>
      <c r="BR319" s="223"/>
      <c r="BS319" s="223"/>
      <c r="BT319" s="223"/>
      <c r="BU319" s="223"/>
      <c r="BV319" s="223"/>
      <c r="BW319" s="223"/>
      <c r="BX319" s="223"/>
      <c r="BY319" s="223"/>
      <c r="BZ319" s="223"/>
      <c r="CA319" s="223"/>
      <c r="CB319" s="223"/>
      <c r="CC319" s="223"/>
      <c r="CD319" s="223"/>
      <c r="CE319" s="223"/>
      <c r="CF319" s="223"/>
      <c r="CG319" s="223"/>
      <c r="CH319" s="223"/>
    </row>
    <row r="320" spans="1:86" s="107" customFormat="1" x14ac:dyDescent="0.35">
      <c r="A320" s="108"/>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4"/>
      <c r="AU320" s="3"/>
      <c r="AV320" s="3"/>
      <c r="AW320" s="3"/>
      <c r="AX320" s="3"/>
      <c r="AY320" s="3"/>
      <c r="AZ320" s="3"/>
      <c r="BA320" s="3"/>
      <c r="BB320" s="3"/>
      <c r="BC320" s="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row>
    <row r="321" spans="1:86" s="107" customFormat="1" x14ac:dyDescent="0.35">
      <c r="A321" s="108"/>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4"/>
      <c r="AU321" s="3"/>
      <c r="AV321" s="3"/>
      <c r="AW321" s="3"/>
      <c r="AX321" s="3"/>
      <c r="AY321" s="3"/>
      <c r="AZ321" s="3"/>
      <c r="BA321" s="3"/>
      <c r="BB321" s="3"/>
      <c r="BC321" s="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row>
    <row r="322" spans="1:86" s="107" customFormat="1" x14ac:dyDescent="0.35">
      <c r="A322" s="108"/>
      <c r="V322" s="223"/>
      <c r="W322" s="223"/>
      <c r="X322" s="223"/>
      <c r="Y322" s="223"/>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4"/>
      <c r="AU322" s="3"/>
      <c r="AV322" s="3"/>
      <c r="AW322" s="3"/>
      <c r="AX322" s="3"/>
      <c r="AY322" s="3"/>
      <c r="AZ322" s="3"/>
      <c r="BA322" s="3"/>
      <c r="BB322" s="3"/>
      <c r="BC322" s="3"/>
      <c r="BD322" s="223"/>
      <c r="BE322" s="223"/>
      <c r="BF322" s="223"/>
      <c r="BG322" s="223"/>
      <c r="BH322" s="223"/>
      <c r="BI322" s="223"/>
      <c r="BJ322" s="223"/>
      <c r="BK322" s="223"/>
      <c r="BL322" s="223"/>
      <c r="BM322" s="223"/>
      <c r="BN322" s="223"/>
      <c r="BO322" s="223"/>
      <c r="BP322" s="223"/>
      <c r="BQ322" s="223"/>
      <c r="BR322" s="223"/>
      <c r="BS322" s="223"/>
      <c r="BT322" s="223"/>
      <c r="BU322" s="223"/>
      <c r="BV322" s="223"/>
      <c r="BW322" s="223"/>
      <c r="BX322" s="223"/>
      <c r="BY322" s="223"/>
      <c r="BZ322" s="223"/>
      <c r="CA322" s="223"/>
      <c r="CB322" s="223"/>
      <c r="CC322" s="223"/>
      <c r="CD322" s="223"/>
      <c r="CE322" s="223"/>
      <c r="CF322" s="223"/>
      <c r="CG322" s="223"/>
      <c r="CH322" s="223"/>
    </row>
    <row r="323" spans="1:86" s="107" customFormat="1" x14ac:dyDescent="0.35">
      <c r="A323" s="108"/>
      <c r="V323" s="223"/>
      <c r="W323" s="223"/>
      <c r="X323" s="223"/>
      <c r="Y323" s="223"/>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4"/>
      <c r="AU323" s="3"/>
      <c r="AV323" s="3"/>
      <c r="AW323" s="3"/>
      <c r="AX323" s="3"/>
      <c r="AY323" s="3"/>
      <c r="AZ323" s="3"/>
      <c r="BA323" s="3"/>
      <c r="BB323" s="3"/>
      <c r="BC323" s="3"/>
      <c r="BD323" s="223"/>
      <c r="BE323" s="223"/>
      <c r="BF323" s="223"/>
      <c r="BG323" s="223"/>
      <c r="BH323" s="223"/>
      <c r="BI323" s="223"/>
      <c r="BJ323" s="223"/>
      <c r="BK323" s="223"/>
      <c r="BL323" s="223"/>
      <c r="BM323" s="223"/>
      <c r="BN323" s="223"/>
      <c r="BO323" s="223"/>
      <c r="BP323" s="223"/>
      <c r="BQ323" s="223"/>
      <c r="BR323" s="223"/>
      <c r="BS323" s="223"/>
      <c r="BT323" s="223"/>
      <c r="BU323" s="223"/>
      <c r="BV323" s="223"/>
      <c r="BW323" s="223"/>
      <c r="BX323" s="223"/>
      <c r="BY323" s="223"/>
      <c r="BZ323" s="223"/>
      <c r="CA323" s="223"/>
      <c r="CB323" s="223"/>
      <c r="CC323" s="223"/>
      <c r="CD323" s="223"/>
      <c r="CE323" s="223"/>
      <c r="CF323" s="223"/>
      <c r="CG323" s="223"/>
      <c r="CH323" s="223"/>
    </row>
    <row r="324" spans="1:86" s="107" customFormat="1" x14ac:dyDescent="0.35">
      <c r="A324" s="108"/>
      <c r="V324" s="223"/>
      <c r="W324" s="223"/>
      <c r="X324" s="223"/>
      <c r="Y324" s="223"/>
      <c r="Z324" s="223"/>
      <c r="AA324" s="223"/>
      <c r="AB324" s="223"/>
      <c r="AC324" s="223"/>
      <c r="AD324" s="223"/>
      <c r="AE324" s="223"/>
      <c r="AF324" s="223"/>
      <c r="AG324" s="223"/>
      <c r="AH324" s="223"/>
      <c r="AI324" s="223"/>
      <c r="AJ324" s="223"/>
      <c r="AK324" s="223"/>
      <c r="AL324" s="223"/>
      <c r="AM324" s="223"/>
      <c r="AN324" s="223"/>
      <c r="AO324" s="223"/>
      <c r="AP324" s="223"/>
      <c r="AQ324" s="223"/>
      <c r="AR324" s="223"/>
      <c r="AS324" s="223"/>
      <c r="AT324" s="224"/>
      <c r="AU324" s="3"/>
      <c r="AV324" s="3"/>
      <c r="AW324" s="3"/>
      <c r="AX324" s="3"/>
      <c r="AY324" s="3"/>
      <c r="AZ324" s="3"/>
      <c r="BA324" s="3"/>
      <c r="BB324" s="3"/>
      <c r="BC324" s="3"/>
      <c r="BD324" s="223"/>
      <c r="BE324" s="223"/>
      <c r="BF324" s="223"/>
      <c r="BG324" s="223"/>
      <c r="BH324" s="223"/>
      <c r="BI324" s="223"/>
      <c r="BJ324" s="223"/>
      <c r="BK324" s="223"/>
      <c r="BL324" s="223"/>
      <c r="BM324" s="223"/>
      <c r="BN324" s="223"/>
      <c r="BO324" s="223"/>
      <c r="BP324" s="223"/>
      <c r="BQ324" s="223"/>
      <c r="BR324" s="223"/>
      <c r="BS324" s="223"/>
      <c r="BT324" s="223"/>
      <c r="BU324" s="223"/>
      <c r="BV324" s="223"/>
      <c r="BW324" s="223"/>
      <c r="BX324" s="223"/>
      <c r="BY324" s="223"/>
      <c r="BZ324" s="223"/>
      <c r="CA324" s="223"/>
      <c r="CB324" s="223"/>
      <c r="CC324" s="223"/>
      <c r="CD324" s="223"/>
      <c r="CE324" s="223"/>
      <c r="CF324" s="223"/>
      <c r="CG324" s="223"/>
      <c r="CH324" s="223"/>
    </row>
    <row r="325" spans="1:86" s="107" customFormat="1" x14ac:dyDescent="0.35">
      <c r="A325" s="108"/>
      <c r="V325" s="223"/>
      <c r="W325" s="223"/>
      <c r="X325" s="223"/>
      <c r="Y325" s="223"/>
      <c r="Z325" s="223"/>
      <c r="AA325" s="223"/>
      <c r="AB325" s="223"/>
      <c r="AC325" s="223"/>
      <c r="AD325" s="223"/>
      <c r="AE325" s="223"/>
      <c r="AF325" s="223"/>
      <c r="AG325" s="223"/>
      <c r="AH325" s="223"/>
      <c r="AI325" s="223"/>
      <c r="AJ325" s="223"/>
      <c r="AK325" s="223"/>
      <c r="AL325" s="223"/>
      <c r="AM325" s="223"/>
      <c r="AN325" s="223"/>
      <c r="AO325" s="223"/>
      <c r="AP325" s="223"/>
      <c r="AQ325" s="223"/>
      <c r="AR325" s="223"/>
      <c r="AS325" s="223"/>
      <c r="AT325" s="224"/>
      <c r="AU325" s="3"/>
      <c r="AV325" s="3"/>
      <c r="AW325" s="3"/>
      <c r="AX325" s="3"/>
      <c r="AY325" s="3"/>
      <c r="AZ325" s="3"/>
      <c r="BA325" s="3"/>
      <c r="BB325" s="3"/>
      <c r="BC325" s="3"/>
      <c r="BD325" s="223"/>
      <c r="BE325" s="223"/>
      <c r="BF325" s="223"/>
      <c r="BG325" s="223"/>
      <c r="BH325" s="223"/>
      <c r="BI325" s="223"/>
      <c r="BJ325" s="223"/>
      <c r="BK325" s="223"/>
      <c r="BL325" s="223"/>
      <c r="BM325" s="223"/>
      <c r="BN325" s="223"/>
      <c r="BO325" s="223"/>
      <c r="BP325" s="223"/>
      <c r="BQ325" s="223"/>
      <c r="BR325" s="223"/>
      <c r="BS325" s="223"/>
      <c r="BT325" s="223"/>
      <c r="BU325" s="223"/>
      <c r="BV325" s="223"/>
      <c r="BW325" s="223"/>
      <c r="BX325" s="223"/>
      <c r="BY325" s="223"/>
      <c r="BZ325" s="223"/>
      <c r="CA325" s="223"/>
      <c r="CB325" s="223"/>
      <c r="CC325" s="223"/>
      <c r="CD325" s="223"/>
      <c r="CE325" s="223"/>
      <c r="CF325" s="223"/>
      <c r="CG325" s="223"/>
      <c r="CH325" s="223"/>
    </row>
    <row r="326" spans="1:86" s="107" customFormat="1" x14ac:dyDescent="0.35">
      <c r="A326" s="108"/>
      <c r="V326" s="223"/>
      <c r="W326" s="223"/>
      <c r="X326" s="223"/>
      <c r="Y326" s="223"/>
      <c r="Z326" s="223"/>
      <c r="AA326" s="223"/>
      <c r="AB326" s="223"/>
      <c r="AC326" s="223"/>
      <c r="AD326" s="223"/>
      <c r="AE326" s="223"/>
      <c r="AF326" s="223"/>
      <c r="AG326" s="223"/>
      <c r="AH326" s="223"/>
      <c r="AI326" s="223"/>
      <c r="AJ326" s="223"/>
      <c r="AK326" s="223"/>
      <c r="AL326" s="223"/>
      <c r="AM326" s="223"/>
      <c r="AN326" s="223"/>
      <c r="AO326" s="223"/>
      <c r="AP326" s="223"/>
      <c r="AQ326" s="223"/>
      <c r="AR326" s="223"/>
      <c r="AS326" s="223"/>
      <c r="AT326" s="224"/>
      <c r="AU326" s="3"/>
      <c r="AV326" s="3"/>
      <c r="AW326" s="3"/>
      <c r="AX326" s="3"/>
      <c r="AY326" s="3"/>
      <c r="AZ326" s="3"/>
      <c r="BA326" s="3"/>
      <c r="BB326" s="3"/>
      <c r="BC326" s="3"/>
      <c r="BD326" s="223"/>
      <c r="BE326" s="223"/>
      <c r="BF326" s="223"/>
      <c r="BG326" s="223"/>
      <c r="BH326" s="223"/>
      <c r="BI326" s="223"/>
      <c r="BJ326" s="223"/>
      <c r="BK326" s="223"/>
      <c r="BL326" s="223"/>
      <c r="BM326" s="223"/>
      <c r="BN326" s="223"/>
      <c r="BO326" s="223"/>
      <c r="BP326" s="223"/>
      <c r="BQ326" s="223"/>
      <c r="BR326" s="223"/>
      <c r="BS326" s="223"/>
      <c r="BT326" s="223"/>
      <c r="BU326" s="223"/>
      <c r="BV326" s="223"/>
      <c r="BW326" s="223"/>
      <c r="BX326" s="223"/>
      <c r="BY326" s="223"/>
      <c r="BZ326" s="223"/>
      <c r="CA326" s="223"/>
      <c r="CB326" s="223"/>
      <c r="CC326" s="223"/>
      <c r="CD326" s="223"/>
      <c r="CE326" s="223"/>
      <c r="CF326" s="223"/>
      <c r="CG326" s="223"/>
      <c r="CH326" s="223"/>
    </row>
    <row r="327" spans="1:86" s="107" customFormat="1" x14ac:dyDescent="0.35">
      <c r="A327" s="108"/>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4"/>
      <c r="AU327" s="3"/>
      <c r="AV327" s="3"/>
      <c r="AW327" s="3"/>
      <c r="AX327" s="3"/>
      <c r="AY327" s="3"/>
      <c r="AZ327" s="3"/>
      <c r="BA327" s="3"/>
      <c r="BB327" s="3"/>
      <c r="BC327" s="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row>
    <row r="328" spans="1:86" s="107" customFormat="1" x14ac:dyDescent="0.35">
      <c r="A328" s="108"/>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4"/>
      <c r="AU328" s="3"/>
      <c r="AV328" s="3"/>
      <c r="AW328" s="3"/>
      <c r="AX328" s="3"/>
      <c r="AY328" s="3"/>
      <c r="AZ328" s="3"/>
      <c r="BA328" s="3"/>
      <c r="BB328" s="3"/>
      <c r="BC328" s="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row>
    <row r="329" spans="1:86" s="107" customFormat="1" x14ac:dyDescent="0.35">
      <c r="A329" s="108"/>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4"/>
      <c r="AU329" s="3"/>
      <c r="AV329" s="3"/>
      <c r="AW329" s="3"/>
      <c r="AX329" s="3"/>
      <c r="AY329" s="3"/>
      <c r="AZ329" s="3"/>
      <c r="BA329" s="3"/>
      <c r="BB329" s="3"/>
      <c r="BC329" s="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row>
    <row r="330" spans="1:86" s="107" customFormat="1" x14ac:dyDescent="0.35">
      <c r="A330" s="108"/>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4"/>
      <c r="AU330" s="3"/>
      <c r="AV330" s="3"/>
      <c r="AW330" s="3"/>
      <c r="AX330" s="3"/>
      <c r="AY330" s="3"/>
      <c r="AZ330" s="3"/>
      <c r="BA330" s="3"/>
      <c r="BB330" s="3"/>
      <c r="BC330" s="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row>
    <row r="331" spans="1:86" s="107" customFormat="1" x14ac:dyDescent="0.35">
      <c r="A331" s="108"/>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4"/>
      <c r="AU331" s="3"/>
      <c r="AV331" s="3"/>
      <c r="AW331" s="3"/>
      <c r="AX331" s="3"/>
      <c r="AY331" s="3"/>
      <c r="AZ331" s="3"/>
      <c r="BA331" s="3"/>
      <c r="BB331" s="3"/>
      <c r="BC331" s="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row>
    <row r="332" spans="1:86" s="107" customFormat="1" x14ac:dyDescent="0.35">
      <c r="A332" s="108"/>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4"/>
      <c r="AU332" s="3"/>
      <c r="AV332" s="3"/>
      <c r="AW332" s="3"/>
      <c r="AX332" s="3"/>
      <c r="AY332" s="3"/>
      <c r="AZ332" s="3"/>
      <c r="BA332" s="3"/>
      <c r="BB332" s="3"/>
      <c r="BC332" s="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row>
    <row r="333" spans="1:86" s="107" customFormat="1" x14ac:dyDescent="0.35">
      <c r="A333" s="108"/>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4"/>
      <c r="AU333" s="3"/>
      <c r="AV333" s="3"/>
      <c r="AW333" s="3"/>
      <c r="AX333" s="3"/>
      <c r="AY333" s="3"/>
      <c r="AZ333" s="3"/>
      <c r="BA333" s="3"/>
      <c r="BB333" s="3"/>
      <c r="BC333" s="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row>
    <row r="334" spans="1:86" s="107" customFormat="1" x14ac:dyDescent="0.35">
      <c r="A334" s="108"/>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4"/>
      <c r="AU334" s="3"/>
      <c r="AV334" s="3"/>
      <c r="AW334" s="3"/>
      <c r="AX334" s="3"/>
      <c r="AY334" s="3"/>
      <c r="AZ334" s="3"/>
      <c r="BA334" s="3"/>
      <c r="BB334" s="3"/>
      <c r="BC334" s="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row>
    <row r="335" spans="1:86" s="107" customFormat="1" x14ac:dyDescent="0.35">
      <c r="A335" s="108"/>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4"/>
      <c r="AU335" s="3"/>
      <c r="AV335" s="3"/>
      <c r="AW335" s="3"/>
      <c r="AX335" s="3"/>
      <c r="AY335" s="3"/>
      <c r="AZ335" s="3"/>
      <c r="BA335" s="3"/>
      <c r="BB335" s="3"/>
      <c r="BC335" s="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row>
    <row r="336" spans="1:86" s="107" customFormat="1" x14ac:dyDescent="0.35">
      <c r="A336" s="108"/>
      <c r="AP336" s="104"/>
      <c r="AT336" s="4"/>
      <c r="AU336" s="7"/>
      <c r="AV336" s="7"/>
      <c r="AW336" s="7"/>
      <c r="AX336" s="7"/>
      <c r="AY336" s="7"/>
      <c r="AZ336" s="7"/>
      <c r="BA336" s="7"/>
      <c r="BB336" s="7"/>
      <c r="BC336" s="7"/>
    </row>
    <row r="337" spans="1:55" s="107" customFormat="1" x14ac:dyDescent="0.35">
      <c r="A337" s="108"/>
      <c r="AP337" s="104"/>
      <c r="AT337" s="4"/>
      <c r="AU337" s="7"/>
      <c r="AV337" s="7"/>
      <c r="AW337" s="7"/>
      <c r="AX337" s="7"/>
      <c r="AY337" s="7"/>
      <c r="AZ337" s="7"/>
      <c r="BA337" s="7"/>
      <c r="BB337" s="7"/>
      <c r="BC337" s="7"/>
    </row>
    <row r="338" spans="1:55" s="107" customFormat="1" x14ac:dyDescent="0.35">
      <c r="A338" s="108"/>
      <c r="AP338" s="104"/>
      <c r="AT338" s="4"/>
      <c r="AU338" s="7"/>
      <c r="AV338" s="7"/>
      <c r="AW338" s="7"/>
      <c r="AX338" s="7"/>
      <c r="AY338" s="7"/>
      <c r="AZ338" s="7"/>
      <c r="BA338" s="7"/>
      <c r="BB338" s="7"/>
      <c r="BC338" s="7"/>
    </row>
    <row r="339" spans="1:55" s="107" customFormat="1" x14ac:dyDescent="0.35">
      <c r="A339" s="108"/>
      <c r="AP339" s="104"/>
      <c r="AT339" s="4"/>
      <c r="AU339" s="7"/>
      <c r="AV339" s="7"/>
      <c r="AW339" s="7"/>
      <c r="AX339" s="7"/>
      <c r="AY339" s="7"/>
      <c r="AZ339" s="7"/>
      <c r="BA339" s="7"/>
      <c r="BB339" s="7"/>
      <c r="BC339" s="7"/>
    </row>
    <row r="340" spans="1:55" s="107" customFormat="1" x14ac:dyDescent="0.35">
      <c r="A340" s="108"/>
      <c r="AP340" s="104"/>
      <c r="AT340" s="4"/>
      <c r="AU340" s="7"/>
      <c r="AV340" s="7"/>
      <c r="AW340" s="7"/>
      <c r="AX340" s="7"/>
      <c r="AY340" s="7"/>
      <c r="AZ340" s="7"/>
      <c r="BA340" s="7"/>
      <c r="BB340" s="7"/>
      <c r="BC340" s="7"/>
    </row>
    <row r="341" spans="1:55" s="107" customFormat="1" x14ac:dyDescent="0.35">
      <c r="A341" s="108"/>
      <c r="AP341" s="104"/>
      <c r="AT341" s="4"/>
      <c r="AU341" s="7"/>
      <c r="AV341" s="7"/>
      <c r="AW341" s="7"/>
      <c r="AX341" s="7"/>
      <c r="AY341" s="7"/>
      <c r="AZ341" s="7"/>
      <c r="BA341" s="7"/>
      <c r="BB341" s="7"/>
      <c r="BC341" s="7"/>
    </row>
    <row r="342" spans="1:55" s="107" customFormat="1" x14ac:dyDescent="0.35">
      <c r="A342" s="108"/>
      <c r="AP342" s="104"/>
      <c r="AT342" s="4"/>
      <c r="AU342" s="7"/>
      <c r="AV342" s="7"/>
      <c r="AW342" s="7"/>
      <c r="AX342" s="7"/>
      <c r="AY342" s="7"/>
      <c r="AZ342" s="7"/>
      <c r="BA342" s="7"/>
      <c r="BB342" s="7"/>
      <c r="BC342" s="7"/>
    </row>
    <row r="343" spans="1:55" s="107" customFormat="1" x14ac:dyDescent="0.35">
      <c r="A343" s="108"/>
      <c r="AP343" s="104"/>
      <c r="AT343" s="4"/>
      <c r="AU343" s="7"/>
      <c r="AV343" s="7"/>
      <c r="AW343" s="7"/>
      <c r="AX343" s="7"/>
      <c r="AY343" s="7"/>
      <c r="AZ343" s="7"/>
      <c r="BA343" s="7"/>
      <c r="BB343" s="7"/>
      <c r="BC343" s="7"/>
    </row>
    <row r="344" spans="1:55" s="107" customFormat="1" x14ac:dyDescent="0.35">
      <c r="A344" s="108"/>
      <c r="AP344" s="104"/>
      <c r="AT344" s="4"/>
      <c r="AU344" s="7"/>
      <c r="AV344" s="7"/>
      <c r="AW344" s="7"/>
      <c r="AX344" s="7"/>
      <c r="AY344" s="7"/>
      <c r="AZ344" s="7"/>
      <c r="BA344" s="7"/>
      <c r="BB344" s="7"/>
      <c r="BC344" s="7"/>
    </row>
    <row r="345" spans="1:55" s="107" customFormat="1" x14ac:dyDescent="0.35">
      <c r="A345" s="108"/>
      <c r="AP345" s="104"/>
      <c r="AT345" s="4"/>
      <c r="AU345" s="7"/>
      <c r="AV345" s="7"/>
      <c r="AW345" s="7"/>
      <c r="AX345" s="7"/>
      <c r="AY345" s="7"/>
      <c r="AZ345" s="7"/>
      <c r="BA345" s="7"/>
      <c r="BB345" s="7"/>
      <c r="BC345" s="7"/>
    </row>
    <row r="346" spans="1:55" s="107" customFormat="1" x14ac:dyDescent="0.35">
      <c r="A346" s="108"/>
      <c r="AP346" s="104"/>
      <c r="AT346" s="4"/>
      <c r="AU346" s="7"/>
      <c r="AV346" s="7"/>
      <c r="AW346" s="7"/>
      <c r="AX346" s="7"/>
      <c r="AY346" s="7"/>
      <c r="AZ346" s="7"/>
      <c r="BA346" s="7"/>
      <c r="BB346" s="7"/>
      <c r="BC346" s="7"/>
    </row>
    <row r="347" spans="1:55" s="107" customFormat="1" x14ac:dyDescent="0.35">
      <c r="A347" s="108"/>
      <c r="AP347" s="104"/>
      <c r="AT347" s="4"/>
      <c r="AU347" s="7"/>
      <c r="AV347" s="7"/>
      <c r="AW347" s="7"/>
      <c r="AX347" s="7"/>
      <c r="AY347" s="7"/>
      <c r="AZ347" s="7"/>
      <c r="BA347" s="7"/>
      <c r="BB347" s="7"/>
      <c r="BC347" s="7"/>
    </row>
    <row r="348" spans="1:55" s="107" customFormat="1" x14ac:dyDescent="0.35">
      <c r="A348" s="108"/>
      <c r="AP348" s="104"/>
      <c r="AT348" s="4"/>
      <c r="AU348" s="7"/>
      <c r="AV348" s="7"/>
      <c r="AW348" s="7"/>
      <c r="AX348" s="7"/>
      <c r="AY348" s="7"/>
      <c r="AZ348" s="7"/>
      <c r="BA348" s="7"/>
      <c r="BB348" s="7"/>
      <c r="BC348" s="7"/>
    </row>
    <row r="349" spans="1:55" s="107" customFormat="1" x14ac:dyDescent="0.35">
      <c r="A349" s="108"/>
      <c r="AP349" s="104"/>
      <c r="AT349" s="4"/>
      <c r="AU349" s="7"/>
      <c r="AV349" s="7"/>
      <c r="AW349" s="7"/>
      <c r="AX349" s="7"/>
      <c r="AY349" s="7"/>
      <c r="AZ349" s="7"/>
      <c r="BA349" s="7"/>
      <c r="BB349" s="7"/>
      <c r="BC349" s="7"/>
    </row>
    <row r="350" spans="1:55" s="107" customFormat="1" x14ac:dyDescent="0.35">
      <c r="A350" s="108"/>
      <c r="AP350" s="104"/>
      <c r="AT350" s="4"/>
      <c r="AU350" s="7"/>
      <c r="AV350" s="7"/>
      <c r="AW350" s="7"/>
      <c r="AX350" s="7"/>
      <c r="AY350" s="7"/>
      <c r="AZ350" s="7"/>
      <c r="BA350" s="7"/>
      <c r="BB350" s="7"/>
      <c r="BC350" s="7"/>
    </row>
    <row r="351" spans="1:55" s="107" customFormat="1" x14ac:dyDescent="0.35">
      <c r="A351" s="108"/>
      <c r="AP351" s="104"/>
      <c r="AT351" s="4"/>
      <c r="AU351" s="7"/>
      <c r="AV351" s="7"/>
      <c r="AW351" s="7"/>
      <c r="AX351" s="7"/>
      <c r="AY351" s="7"/>
      <c r="AZ351" s="7"/>
      <c r="BA351" s="7"/>
      <c r="BB351" s="7"/>
      <c r="BC351" s="7"/>
    </row>
    <row r="352" spans="1:55" s="107" customFormat="1" x14ac:dyDescent="0.35">
      <c r="A352" s="108"/>
      <c r="AP352" s="104"/>
      <c r="AT352" s="4"/>
      <c r="AU352" s="7"/>
      <c r="AV352" s="7"/>
      <c r="AW352" s="7"/>
      <c r="AX352" s="7"/>
      <c r="AY352" s="7"/>
      <c r="AZ352" s="7"/>
      <c r="BA352" s="7"/>
      <c r="BB352" s="7"/>
      <c r="BC352" s="7"/>
    </row>
    <row r="353" spans="1:55" s="107" customFormat="1" x14ac:dyDescent="0.35">
      <c r="A353" s="108"/>
      <c r="AP353" s="104"/>
      <c r="AT353" s="4"/>
      <c r="AU353" s="7"/>
      <c r="AV353" s="7"/>
      <c r="AW353" s="7"/>
      <c r="AX353" s="7"/>
      <c r="AY353" s="7"/>
      <c r="AZ353" s="7"/>
      <c r="BA353" s="7"/>
      <c r="BB353" s="7"/>
      <c r="BC353" s="7"/>
    </row>
    <row r="354" spans="1:55" s="107" customFormat="1" x14ac:dyDescent="0.35">
      <c r="A354" s="108"/>
      <c r="AP354" s="104"/>
      <c r="AT354" s="4"/>
      <c r="AU354" s="7"/>
      <c r="AV354" s="7"/>
      <c r="AW354" s="7"/>
      <c r="AX354" s="7"/>
      <c r="AY354" s="7"/>
      <c r="AZ354" s="7"/>
      <c r="BA354" s="7"/>
      <c r="BB354" s="7"/>
      <c r="BC354" s="7"/>
    </row>
    <row r="355" spans="1:55" s="107" customFormat="1" x14ac:dyDescent="0.35">
      <c r="A355" s="108"/>
      <c r="AP355" s="104"/>
      <c r="AT355" s="4"/>
      <c r="AU355" s="7"/>
      <c r="AV355" s="7"/>
      <c r="AW355" s="7"/>
      <c r="AX355" s="7"/>
      <c r="AY355" s="7"/>
      <c r="AZ355" s="7"/>
      <c r="BA355" s="7"/>
      <c r="BB355" s="7"/>
      <c r="BC355" s="7"/>
    </row>
    <row r="356" spans="1:55" s="107" customFormat="1" x14ac:dyDescent="0.35">
      <c r="A356" s="108"/>
      <c r="AP356" s="104"/>
      <c r="AT356" s="4"/>
      <c r="AU356" s="7"/>
      <c r="AV356" s="7"/>
      <c r="AW356" s="7"/>
      <c r="AX356" s="7"/>
      <c r="AY356" s="7"/>
      <c r="AZ356" s="7"/>
      <c r="BA356" s="7"/>
      <c r="BB356" s="7"/>
      <c r="BC356" s="7"/>
    </row>
    <row r="357" spans="1:55" s="107" customFormat="1" x14ac:dyDescent="0.35">
      <c r="A357" s="108"/>
      <c r="AP357" s="104"/>
      <c r="AT357" s="4"/>
      <c r="AU357" s="7"/>
      <c r="AV357" s="7"/>
      <c r="AW357" s="7"/>
      <c r="AX357" s="7"/>
      <c r="AY357" s="7"/>
      <c r="AZ357" s="7"/>
      <c r="BA357" s="7"/>
      <c r="BB357" s="7"/>
      <c r="BC357" s="7"/>
    </row>
    <row r="358" spans="1:55" s="107" customFormat="1" x14ac:dyDescent="0.35">
      <c r="A358" s="108"/>
      <c r="AP358" s="104"/>
      <c r="AT358" s="4"/>
      <c r="AU358" s="7"/>
      <c r="AV358" s="7"/>
      <c r="AW358" s="7"/>
      <c r="AX358" s="7"/>
      <c r="AY358" s="7"/>
      <c r="AZ358" s="7"/>
      <c r="BA358" s="7"/>
      <c r="BB358" s="7"/>
      <c r="BC358" s="7"/>
    </row>
    <row r="359" spans="1:55" s="107" customFormat="1" x14ac:dyDescent="0.35">
      <c r="A359" s="108"/>
      <c r="AP359" s="104"/>
      <c r="AT359" s="4"/>
      <c r="AU359" s="7"/>
      <c r="AV359" s="7"/>
      <c r="AW359" s="7"/>
      <c r="AX359" s="7"/>
      <c r="AY359" s="7"/>
      <c r="AZ359" s="7"/>
      <c r="BA359" s="7"/>
      <c r="BB359" s="7"/>
      <c r="BC359" s="7"/>
    </row>
    <row r="360" spans="1:55" s="107" customFormat="1" x14ac:dyDescent="0.35">
      <c r="A360" s="108"/>
      <c r="AP360" s="104"/>
      <c r="AT360" s="4"/>
      <c r="AU360" s="7"/>
      <c r="AV360" s="7"/>
      <c r="AW360" s="7"/>
      <c r="AX360" s="7"/>
      <c r="AY360" s="7"/>
      <c r="AZ360" s="7"/>
      <c r="BA360" s="7"/>
      <c r="BB360" s="7"/>
      <c r="BC360" s="7"/>
    </row>
    <row r="361" spans="1:55" s="107" customFormat="1" x14ac:dyDescent="0.35">
      <c r="A361" s="108"/>
      <c r="AP361" s="104"/>
      <c r="AT361" s="4"/>
      <c r="AU361" s="7"/>
      <c r="AV361" s="7"/>
      <c r="AW361" s="7"/>
      <c r="AX361" s="7"/>
      <c r="AY361" s="7"/>
      <c r="AZ361" s="7"/>
      <c r="BA361" s="7"/>
      <c r="BB361" s="7"/>
      <c r="BC361" s="7"/>
    </row>
    <row r="362" spans="1:55" s="107" customFormat="1" x14ac:dyDescent="0.35">
      <c r="A362" s="108"/>
      <c r="AP362" s="104"/>
      <c r="AT362" s="4"/>
      <c r="AU362" s="7"/>
      <c r="AV362" s="7"/>
      <c r="AW362" s="7"/>
      <c r="AX362" s="7"/>
      <c r="AY362" s="7"/>
      <c r="AZ362" s="7"/>
      <c r="BA362" s="7"/>
      <c r="BB362" s="7"/>
      <c r="BC362" s="7"/>
    </row>
    <row r="363" spans="1:55" s="107" customFormat="1" x14ac:dyDescent="0.35">
      <c r="A363" s="108"/>
      <c r="AP363" s="104"/>
      <c r="AT363" s="4"/>
      <c r="AU363" s="7"/>
      <c r="AV363" s="7"/>
      <c r="AW363" s="7"/>
      <c r="AX363" s="7"/>
      <c r="AY363" s="7"/>
      <c r="AZ363" s="7"/>
      <c r="BA363" s="7"/>
      <c r="BB363" s="7"/>
      <c r="BC363" s="7"/>
    </row>
    <row r="364" spans="1:55" s="107" customFormat="1" x14ac:dyDescent="0.35">
      <c r="A364" s="108"/>
      <c r="AP364" s="104"/>
      <c r="AT364" s="4"/>
      <c r="AU364" s="7"/>
      <c r="AV364" s="7"/>
      <c r="AW364" s="7"/>
      <c r="AX364" s="7"/>
      <c r="AY364" s="7"/>
      <c r="AZ364" s="7"/>
      <c r="BA364" s="7"/>
      <c r="BB364" s="7"/>
      <c r="BC364" s="7"/>
    </row>
    <row r="365" spans="1:55" s="107" customFormat="1" x14ac:dyDescent="0.35">
      <c r="A365" s="108"/>
      <c r="AP365" s="104"/>
      <c r="AT365" s="4"/>
      <c r="AU365" s="7"/>
      <c r="AV365" s="7"/>
      <c r="AW365" s="7"/>
      <c r="AX365" s="7"/>
      <c r="AY365" s="7"/>
      <c r="AZ365" s="7"/>
      <c r="BA365" s="7"/>
      <c r="BB365" s="7"/>
      <c r="BC365" s="7"/>
    </row>
    <row r="366" spans="1:55" s="107" customFormat="1" x14ac:dyDescent="0.35">
      <c r="A366" s="108"/>
      <c r="AP366" s="104"/>
      <c r="AT366" s="4"/>
      <c r="AU366" s="7"/>
      <c r="AV366" s="7"/>
      <c r="AW366" s="7"/>
      <c r="AX366" s="7"/>
      <c r="AY366" s="7"/>
      <c r="AZ366" s="7"/>
      <c r="BA366" s="7"/>
      <c r="BB366" s="7"/>
      <c r="BC366" s="7"/>
    </row>
    <row r="367" spans="1:55" s="107" customFormat="1" x14ac:dyDescent="0.35">
      <c r="A367" s="108"/>
      <c r="AP367" s="104"/>
      <c r="AT367" s="4"/>
      <c r="AU367" s="7"/>
      <c r="AV367" s="7"/>
      <c r="AW367" s="7"/>
      <c r="AX367" s="7"/>
      <c r="AY367" s="7"/>
      <c r="AZ367" s="7"/>
      <c r="BA367" s="7"/>
      <c r="BB367" s="7"/>
      <c r="BC367" s="7"/>
    </row>
    <row r="368" spans="1:55" s="107" customFormat="1" x14ac:dyDescent="0.35">
      <c r="A368" s="108"/>
      <c r="AP368" s="104"/>
      <c r="AT368" s="4"/>
      <c r="AU368" s="7"/>
      <c r="AV368" s="7"/>
      <c r="AW368" s="7"/>
      <c r="AX368" s="7"/>
      <c r="AY368" s="7"/>
      <c r="AZ368" s="7"/>
      <c r="BA368" s="7"/>
      <c r="BB368" s="7"/>
      <c r="BC368" s="7"/>
    </row>
    <row r="369" spans="1:55" s="107" customFormat="1" x14ac:dyDescent="0.35">
      <c r="A369" s="108"/>
      <c r="AP369" s="104"/>
      <c r="AT369" s="4"/>
      <c r="AU369" s="7"/>
      <c r="AV369" s="7"/>
      <c r="AW369" s="7"/>
      <c r="AX369" s="7"/>
      <c r="AY369" s="7"/>
      <c r="AZ369" s="7"/>
      <c r="BA369" s="7"/>
      <c r="BB369" s="7"/>
      <c r="BC369" s="7"/>
    </row>
    <row r="370" spans="1:55" s="107" customFormat="1" x14ac:dyDescent="0.35">
      <c r="A370" s="108"/>
      <c r="AP370" s="104"/>
      <c r="AT370" s="4"/>
      <c r="AU370" s="7"/>
      <c r="AV370" s="7"/>
      <c r="AW370" s="7"/>
      <c r="AX370" s="7"/>
      <c r="AY370" s="7"/>
      <c r="AZ370" s="7"/>
      <c r="BA370" s="7"/>
      <c r="BB370" s="7"/>
      <c r="BC370" s="7"/>
    </row>
    <row r="371" spans="1:55" s="107" customFormat="1" x14ac:dyDescent="0.35">
      <c r="A371" s="108"/>
      <c r="AP371" s="104"/>
      <c r="AT371" s="4"/>
      <c r="AU371" s="7"/>
      <c r="AV371" s="7"/>
      <c r="AW371" s="7"/>
      <c r="AX371" s="7"/>
      <c r="AY371" s="7"/>
      <c r="AZ371" s="7"/>
      <c r="BA371" s="7"/>
      <c r="BB371" s="7"/>
      <c r="BC371" s="7"/>
    </row>
    <row r="372" spans="1:55" s="107" customFormat="1" x14ac:dyDescent="0.35">
      <c r="A372" s="108"/>
      <c r="AP372" s="104"/>
      <c r="AT372" s="4"/>
      <c r="AU372" s="7"/>
      <c r="AV372" s="7"/>
      <c r="AW372" s="7"/>
      <c r="AX372" s="7"/>
      <c r="AY372" s="7"/>
      <c r="AZ372" s="7"/>
      <c r="BA372" s="7"/>
      <c r="BB372" s="7"/>
      <c r="BC372" s="7"/>
    </row>
    <row r="373" spans="1:55" s="107" customFormat="1" x14ac:dyDescent="0.35">
      <c r="A373" s="108"/>
      <c r="AP373" s="104"/>
      <c r="AT373" s="4"/>
      <c r="AU373" s="7"/>
      <c r="AV373" s="7"/>
      <c r="AW373" s="7"/>
      <c r="AX373" s="7"/>
      <c r="AY373" s="7"/>
      <c r="AZ373" s="7"/>
      <c r="BA373" s="7"/>
      <c r="BB373" s="7"/>
      <c r="BC373" s="7"/>
    </row>
  </sheetData>
  <sheetProtection algorithmName="SHA-512" hashValue="vVagM8C06B4PXTSrfZGEVPkIdsMnOVR+HZz3N5PyZAhDHvosPWCW6sryaZqryM5F1ZsJJIiLPj2UZ9plV1fnRw==" saltValue="iaO3v8abnYrPt7Y6IfTSmA==" spinCount="100000" sheet="1" formatCells="0" formatColumns="0" formatRows="0"/>
  <mergeCells count="807">
    <mergeCell ref="B164:S164"/>
    <mergeCell ref="B166:S166"/>
    <mergeCell ref="J136:M136"/>
    <mergeCell ref="J107:M107"/>
    <mergeCell ref="J108:M108"/>
    <mergeCell ref="J110:M110"/>
    <mergeCell ref="J112:M112"/>
    <mergeCell ref="J114:M114"/>
    <mergeCell ref="J116:M116"/>
    <mergeCell ref="J118:M118"/>
    <mergeCell ref="J120:M120"/>
    <mergeCell ref="B113:S113"/>
    <mergeCell ref="B114:D114"/>
    <mergeCell ref="E114:G114"/>
    <mergeCell ref="B115:S115"/>
    <mergeCell ref="B116:D116"/>
    <mergeCell ref="E116:G116"/>
    <mergeCell ref="B117:S117"/>
    <mergeCell ref="E134:G134"/>
    <mergeCell ref="B135:S135"/>
    <mergeCell ref="B136:D136"/>
    <mergeCell ref="E136:G136"/>
    <mergeCell ref="B158:S158"/>
    <mergeCell ref="B120:D120"/>
    <mergeCell ref="B62:D62"/>
    <mergeCell ref="E62:G62"/>
    <mergeCell ref="B63:S63"/>
    <mergeCell ref="N246:S246"/>
    <mergeCell ref="B245:B251"/>
    <mergeCell ref="N250:S250"/>
    <mergeCell ref="N251:S251"/>
    <mergeCell ref="N238:S238"/>
    <mergeCell ref="I239:M239"/>
    <mergeCell ref="N239:S239"/>
    <mergeCell ref="I240:M240"/>
    <mergeCell ref="N240:S240"/>
    <mergeCell ref="I241:M241"/>
    <mergeCell ref="N241:S241"/>
    <mergeCell ref="I234:M234"/>
    <mergeCell ref="N234:S234"/>
    <mergeCell ref="I235:M235"/>
    <mergeCell ref="N235:S235"/>
    <mergeCell ref="B236:S236"/>
    <mergeCell ref="J64:M64"/>
    <mergeCell ref="J62:M62"/>
    <mergeCell ref="J66:M66"/>
    <mergeCell ref="J68:M68"/>
    <mergeCell ref="J70:M70"/>
    <mergeCell ref="A245:A252"/>
    <mergeCell ref="C245:C251"/>
    <mergeCell ref="C237:C243"/>
    <mergeCell ref="D237:D243"/>
    <mergeCell ref="E237:E243"/>
    <mergeCell ref="F237:F243"/>
    <mergeCell ref="G237:G243"/>
    <mergeCell ref="I237:M237"/>
    <mergeCell ref="B73:S73"/>
    <mergeCell ref="B74:D74"/>
    <mergeCell ref="E74:G74"/>
    <mergeCell ref="A237:A244"/>
    <mergeCell ref="A229:A236"/>
    <mergeCell ref="B229:B235"/>
    <mergeCell ref="C229:C235"/>
    <mergeCell ref="D229:D235"/>
    <mergeCell ref="E229:E235"/>
    <mergeCell ref="F229:F235"/>
    <mergeCell ref="G229:G235"/>
    <mergeCell ref="I229:M229"/>
    <mergeCell ref="N229:S229"/>
    <mergeCell ref="I230:M230"/>
    <mergeCell ref="N230:S230"/>
    <mergeCell ref="I231:M231"/>
    <mergeCell ref="A269:A276"/>
    <mergeCell ref="B269:B275"/>
    <mergeCell ref="C269:C275"/>
    <mergeCell ref="D269:D275"/>
    <mergeCell ref="E269:E275"/>
    <mergeCell ref="F269:F275"/>
    <mergeCell ref="G269:G275"/>
    <mergeCell ref="I269:M269"/>
    <mergeCell ref="I274:M274"/>
    <mergeCell ref="A293:A300"/>
    <mergeCell ref="B293:B299"/>
    <mergeCell ref="C293:C299"/>
    <mergeCell ref="D293:D299"/>
    <mergeCell ref="E293:E299"/>
    <mergeCell ref="F293:F299"/>
    <mergeCell ref="G293:G299"/>
    <mergeCell ref="I293:M293"/>
    <mergeCell ref="I298:M298"/>
    <mergeCell ref="N293:S293"/>
    <mergeCell ref="I294:M294"/>
    <mergeCell ref="N294:S294"/>
    <mergeCell ref="I295:M295"/>
    <mergeCell ref="N295:S295"/>
    <mergeCell ref="I296:M296"/>
    <mergeCell ref="N296:S296"/>
    <mergeCell ref="I297:M297"/>
    <mergeCell ref="N297:S297"/>
    <mergeCell ref="N298:S298"/>
    <mergeCell ref="I299:M299"/>
    <mergeCell ref="N299:S299"/>
    <mergeCell ref="B300:S300"/>
    <mergeCell ref="A285:A292"/>
    <mergeCell ref="B285:B291"/>
    <mergeCell ref="C285:C291"/>
    <mergeCell ref="D285:D291"/>
    <mergeCell ref="E285:E291"/>
    <mergeCell ref="F285:F291"/>
    <mergeCell ref="G285:G291"/>
    <mergeCell ref="I285:M285"/>
    <mergeCell ref="N285:S285"/>
    <mergeCell ref="I286:M286"/>
    <mergeCell ref="N286:S286"/>
    <mergeCell ref="I287:M287"/>
    <mergeCell ref="N287:S287"/>
    <mergeCell ref="I288:M288"/>
    <mergeCell ref="N288:S288"/>
    <mergeCell ref="I289:M289"/>
    <mergeCell ref="N289:S289"/>
    <mergeCell ref="I290:M290"/>
    <mergeCell ref="N290:S290"/>
    <mergeCell ref="I291:M291"/>
    <mergeCell ref="N291:S291"/>
    <mergeCell ref="B292:S292"/>
    <mergeCell ref="A277:A284"/>
    <mergeCell ref="B277:B283"/>
    <mergeCell ref="C277:C283"/>
    <mergeCell ref="D277:D283"/>
    <mergeCell ref="E277:E283"/>
    <mergeCell ref="F277:F283"/>
    <mergeCell ref="G277:G283"/>
    <mergeCell ref="I277:M277"/>
    <mergeCell ref="N277:S277"/>
    <mergeCell ref="I278:M278"/>
    <mergeCell ref="N278:S278"/>
    <mergeCell ref="I279:M279"/>
    <mergeCell ref="N279:S279"/>
    <mergeCell ref="I280:M280"/>
    <mergeCell ref="N280:S280"/>
    <mergeCell ref="I281:M281"/>
    <mergeCell ref="N281:S281"/>
    <mergeCell ref="I282:M282"/>
    <mergeCell ref="N282:S282"/>
    <mergeCell ref="I283:M283"/>
    <mergeCell ref="N283:S283"/>
    <mergeCell ref="B284:S284"/>
    <mergeCell ref="N269:S269"/>
    <mergeCell ref="I270:M270"/>
    <mergeCell ref="N270:S270"/>
    <mergeCell ref="I271:M271"/>
    <mergeCell ref="N271:S271"/>
    <mergeCell ref="I272:M272"/>
    <mergeCell ref="N272:S272"/>
    <mergeCell ref="I273:M273"/>
    <mergeCell ref="N273:S273"/>
    <mergeCell ref="N274:S274"/>
    <mergeCell ref="I275:M275"/>
    <mergeCell ref="N275:S275"/>
    <mergeCell ref="B276:S276"/>
    <mergeCell ref="A261:A268"/>
    <mergeCell ref="B261:B267"/>
    <mergeCell ref="C261:C267"/>
    <mergeCell ref="D261:D267"/>
    <mergeCell ref="E261:E267"/>
    <mergeCell ref="F261:F267"/>
    <mergeCell ref="G261:G267"/>
    <mergeCell ref="I261:M261"/>
    <mergeCell ref="N261:S261"/>
    <mergeCell ref="I262:M262"/>
    <mergeCell ref="N262:S262"/>
    <mergeCell ref="I263:M263"/>
    <mergeCell ref="N263:S263"/>
    <mergeCell ref="I264:M264"/>
    <mergeCell ref="N264:S264"/>
    <mergeCell ref="I265:M265"/>
    <mergeCell ref="N265:S265"/>
    <mergeCell ref="I266:M266"/>
    <mergeCell ref="N266:S266"/>
    <mergeCell ref="I267:M267"/>
    <mergeCell ref="A253:A260"/>
    <mergeCell ref="B253:B259"/>
    <mergeCell ref="C253:C259"/>
    <mergeCell ref="D253:D259"/>
    <mergeCell ref="E253:E259"/>
    <mergeCell ref="F253:F259"/>
    <mergeCell ref="G253:G259"/>
    <mergeCell ref="I253:M253"/>
    <mergeCell ref="N253:S253"/>
    <mergeCell ref="I254:M254"/>
    <mergeCell ref="N254:S254"/>
    <mergeCell ref="I255:M255"/>
    <mergeCell ref="N255:S255"/>
    <mergeCell ref="I256:M256"/>
    <mergeCell ref="N256:S256"/>
    <mergeCell ref="I257:M257"/>
    <mergeCell ref="N257:S257"/>
    <mergeCell ref="I258:M258"/>
    <mergeCell ref="N258:S258"/>
    <mergeCell ref="I259:M259"/>
    <mergeCell ref="N259:S259"/>
    <mergeCell ref="B260:S260"/>
    <mergeCell ref="N267:S267"/>
    <mergeCell ref="B268:S268"/>
    <mergeCell ref="I242:M242"/>
    <mergeCell ref="D245:D251"/>
    <mergeCell ref="E245:E251"/>
    <mergeCell ref="F245:F251"/>
    <mergeCell ref="I246:M246"/>
    <mergeCell ref="I251:M251"/>
    <mergeCell ref="B252:S252"/>
    <mergeCell ref="I247:M247"/>
    <mergeCell ref="N247:S247"/>
    <mergeCell ref="I248:M248"/>
    <mergeCell ref="N248:S248"/>
    <mergeCell ref="I249:M249"/>
    <mergeCell ref="N249:S249"/>
    <mergeCell ref="I250:M250"/>
    <mergeCell ref="B237:B243"/>
    <mergeCell ref="N242:S242"/>
    <mergeCell ref="I243:M243"/>
    <mergeCell ref="N243:S243"/>
    <mergeCell ref="G245:G251"/>
    <mergeCell ref="I245:M245"/>
    <mergeCell ref="N245:S245"/>
    <mergeCell ref="B244:S244"/>
    <mergeCell ref="N231:S231"/>
    <mergeCell ref="I232:M232"/>
    <mergeCell ref="N232:S232"/>
    <mergeCell ref="I233:M233"/>
    <mergeCell ref="N233:S233"/>
    <mergeCell ref="N237:S237"/>
    <mergeCell ref="I238:M238"/>
    <mergeCell ref="A221:A228"/>
    <mergeCell ref="B221:B227"/>
    <mergeCell ref="C221:C227"/>
    <mergeCell ref="D221:D227"/>
    <mergeCell ref="E221:E227"/>
    <mergeCell ref="F221:F227"/>
    <mergeCell ref="G221:G227"/>
    <mergeCell ref="I221:M221"/>
    <mergeCell ref="I220:M220"/>
    <mergeCell ref="B228:S228"/>
    <mergeCell ref="N220:S220"/>
    <mergeCell ref="N221:S221"/>
    <mergeCell ref="I222:M222"/>
    <mergeCell ref="I223:M223"/>
    <mergeCell ref="I224:M224"/>
    <mergeCell ref="I225:M225"/>
    <mergeCell ref="I226:M226"/>
    <mergeCell ref="I227:M227"/>
    <mergeCell ref="N222:S222"/>
    <mergeCell ref="N223:S223"/>
    <mergeCell ref="N224:S224"/>
    <mergeCell ref="N225:S225"/>
    <mergeCell ref="N226:S226"/>
    <mergeCell ref="N227:S227"/>
    <mergeCell ref="B186:S186"/>
    <mergeCell ref="B188:S188"/>
    <mergeCell ref="B190:S190"/>
    <mergeCell ref="B192:S192"/>
    <mergeCell ref="H219:K219"/>
    <mergeCell ref="L219:O219"/>
    <mergeCell ref="B194:S194"/>
    <mergeCell ref="B196:S196"/>
    <mergeCell ref="B152:S152"/>
    <mergeCell ref="B154:S154"/>
    <mergeCell ref="B156:S156"/>
    <mergeCell ref="B204:S204"/>
    <mergeCell ref="B168:S168"/>
    <mergeCell ref="B170:S170"/>
    <mergeCell ref="B172:S172"/>
    <mergeCell ref="B174:S174"/>
    <mergeCell ref="B176:S176"/>
    <mergeCell ref="B178:S178"/>
    <mergeCell ref="B180:S180"/>
    <mergeCell ref="B182:S182"/>
    <mergeCell ref="B184:S184"/>
    <mergeCell ref="A213:S213"/>
    <mergeCell ref="B160:S160"/>
    <mergeCell ref="B162:S162"/>
    <mergeCell ref="E120:G120"/>
    <mergeCell ref="B121:S121"/>
    <mergeCell ref="B122:D122"/>
    <mergeCell ref="E122:G122"/>
    <mergeCell ref="B123:S123"/>
    <mergeCell ref="B124:D124"/>
    <mergeCell ref="E124:G124"/>
    <mergeCell ref="B125:S125"/>
    <mergeCell ref="B126:D126"/>
    <mergeCell ref="E126:G126"/>
    <mergeCell ref="B127:S127"/>
    <mergeCell ref="B128:D128"/>
    <mergeCell ref="E128:G128"/>
    <mergeCell ref="B132:D132"/>
    <mergeCell ref="E132:G132"/>
    <mergeCell ref="A144:S144"/>
    <mergeCell ref="J132:M132"/>
    <mergeCell ref="J134:M134"/>
    <mergeCell ref="B64:D64"/>
    <mergeCell ref="E64:G64"/>
    <mergeCell ref="B65:S65"/>
    <mergeCell ref="B66:D66"/>
    <mergeCell ref="E66:G66"/>
    <mergeCell ref="B118:D118"/>
    <mergeCell ref="E118:G118"/>
    <mergeCell ref="B137:S137"/>
    <mergeCell ref="B67:S67"/>
    <mergeCell ref="B68:D68"/>
    <mergeCell ref="E68:G68"/>
    <mergeCell ref="B69:S69"/>
    <mergeCell ref="A80:A81"/>
    <mergeCell ref="B83:S83"/>
    <mergeCell ref="B79:S79"/>
    <mergeCell ref="B80:D80"/>
    <mergeCell ref="B150:S150"/>
    <mergeCell ref="B133:S133"/>
    <mergeCell ref="B134:D134"/>
    <mergeCell ref="B70:D70"/>
    <mergeCell ref="E70:G70"/>
    <mergeCell ref="B71:S71"/>
    <mergeCell ref="B72:D72"/>
    <mergeCell ref="E72:G72"/>
    <mergeCell ref="J72:M72"/>
    <mergeCell ref="J74:M74"/>
    <mergeCell ref="J76:M76"/>
    <mergeCell ref="J78:M78"/>
    <mergeCell ref="B95:S95"/>
    <mergeCell ref="B96:S96"/>
    <mergeCell ref="B76:D76"/>
    <mergeCell ref="E76:G76"/>
    <mergeCell ref="B88:S88"/>
    <mergeCell ref="A87:S87"/>
    <mergeCell ref="B89:S89"/>
    <mergeCell ref="B90:S90"/>
    <mergeCell ref="B91:S91"/>
    <mergeCell ref="B92:S92"/>
    <mergeCell ref="B93:S93"/>
    <mergeCell ref="A78:A79"/>
    <mergeCell ref="A56:A57"/>
    <mergeCell ref="A60:A61"/>
    <mergeCell ref="A58:A59"/>
    <mergeCell ref="B61:S61"/>
    <mergeCell ref="J54:M54"/>
    <mergeCell ref="J56:M56"/>
    <mergeCell ref="J60:M60"/>
    <mergeCell ref="J58:M58"/>
    <mergeCell ref="A50:S50"/>
    <mergeCell ref="B53:D53"/>
    <mergeCell ref="E53:G53"/>
    <mergeCell ref="B54:D54"/>
    <mergeCell ref="E54:G54"/>
    <mergeCell ref="B55:S55"/>
    <mergeCell ref="B56:D56"/>
    <mergeCell ref="E56:G56"/>
    <mergeCell ref="J53:M53"/>
    <mergeCell ref="B57:S57"/>
    <mergeCell ref="B58:D58"/>
    <mergeCell ref="E58:G58"/>
    <mergeCell ref="B59:S59"/>
    <mergeCell ref="B60:D60"/>
    <mergeCell ref="E60:G60"/>
    <mergeCell ref="E80:G80"/>
    <mergeCell ref="B81:S81"/>
    <mergeCell ref="B82:D82"/>
    <mergeCell ref="E82:G82"/>
    <mergeCell ref="J80:M80"/>
    <mergeCell ref="J82:M82"/>
    <mergeCell ref="E78:G78"/>
    <mergeCell ref="B75:S75"/>
    <mergeCell ref="B77:S77"/>
    <mergeCell ref="B78:D78"/>
    <mergeCell ref="AZ161:AZ162"/>
    <mergeCell ref="BA161:BA162"/>
    <mergeCell ref="AZ163:AZ164"/>
    <mergeCell ref="BA163:BA164"/>
    <mergeCell ref="AZ165:AZ166"/>
    <mergeCell ref="BA165:BA166"/>
    <mergeCell ref="AW151:AW152"/>
    <mergeCell ref="AX151:AX152"/>
    <mergeCell ref="AY151:AY152"/>
    <mergeCell ref="AT153:AT154"/>
    <mergeCell ref="AU153:AU154"/>
    <mergeCell ref="AV153:AV154"/>
    <mergeCell ref="AW153:AW154"/>
    <mergeCell ref="AX153:AX154"/>
    <mergeCell ref="AY153:AY154"/>
    <mergeCell ref="AU155:AU156"/>
    <mergeCell ref="AY155:AY156"/>
    <mergeCell ref="AT157:AT158"/>
    <mergeCell ref="AU157:AU158"/>
    <mergeCell ref="AV157:AV158"/>
    <mergeCell ref="AY157:AY158"/>
    <mergeCell ref="B94:S94"/>
    <mergeCell ref="AZ179:AZ180"/>
    <mergeCell ref="BA179:BA180"/>
    <mergeCell ref="AZ181:AZ182"/>
    <mergeCell ref="BA181:BA182"/>
    <mergeCell ref="AZ183:AZ184"/>
    <mergeCell ref="BA183:BA184"/>
    <mergeCell ref="AZ185:AZ186"/>
    <mergeCell ref="BA185:BA186"/>
    <mergeCell ref="BA159:BA160"/>
    <mergeCell ref="BA175:BA176"/>
    <mergeCell ref="AZ177:AZ178"/>
    <mergeCell ref="BA177:BA178"/>
    <mergeCell ref="AZ159:AZ160"/>
    <mergeCell ref="AZ167:AZ168"/>
    <mergeCell ref="BA167:BA168"/>
    <mergeCell ref="AZ169:AZ170"/>
    <mergeCell ref="BA169:BA170"/>
    <mergeCell ref="AZ171:AZ172"/>
    <mergeCell ref="BA171:BA172"/>
    <mergeCell ref="AZ173:AZ174"/>
    <mergeCell ref="BA173:BA174"/>
    <mergeCell ref="AZ175:AZ176"/>
    <mergeCell ref="AZ149:AZ150"/>
    <mergeCell ref="AZ205:AZ206"/>
    <mergeCell ref="BA205:BA206"/>
    <mergeCell ref="AZ207:AZ208"/>
    <mergeCell ref="BA207:BA208"/>
    <mergeCell ref="AZ187:AZ188"/>
    <mergeCell ref="BA187:BA188"/>
    <mergeCell ref="AZ189:AZ190"/>
    <mergeCell ref="BA189:BA190"/>
    <mergeCell ref="AZ191:AZ192"/>
    <mergeCell ref="BA191:BA192"/>
    <mergeCell ref="AZ193:AZ194"/>
    <mergeCell ref="BA193:BA194"/>
    <mergeCell ref="AZ195:AZ196"/>
    <mergeCell ref="BA195:BA196"/>
    <mergeCell ref="AZ197:AZ198"/>
    <mergeCell ref="BA197:BA198"/>
    <mergeCell ref="AZ199:AZ200"/>
    <mergeCell ref="BA199:BA200"/>
    <mergeCell ref="AZ201:AZ202"/>
    <mergeCell ref="BA201:BA202"/>
    <mergeCell ref="AZ203:AZ204"/>
    <mergeCell ref="BA203:BA204"/>
    <mergeCell ref="A2:D2"/>
    <mergeCell ref="E2:H2"/>
    <mergeCell ref="I2:L2"/>
    <mergeCell ref="M2:P2"/>
    <mergeCell ref="Q2:S2"/>
    <mergeCell ref="A1:S1"/>
    <mergeCell ref="A10:C10"/>
    <mergeCell ref="D10:E10"/>
    <mergeCell ref="A11:C11"/>
    <mergeCell ref="D11:E11"/>
    <mergeCell ref="BA149:BA150"/>
    <mergeCell ref="AZ151:AZ152"/>
    <mergeCell ref="BA151:BA152"/>
    <mergeCell ref="AZ153:AZ154"/>
    <mergeCell ref="BA153:BA154"/>
    <mergeCell ref="AZ155:AZ156"/>
    <mergeCell ref="BA155:BA156"/>
    <mergeCell ref="AZ157:AZ158"/>
    <mergeCell ref="BA157:BA158"/>
    <mergeCell ref="AY149:AY150"/>
    <mergeCell ref="AT151:AT152"/>
    <mergeCell ref="AU151:AU152"/>
    <mergeCell ref="AV151:AV152"/>
    <mergeCell ref="A21:C21"/>
    <mergeCell ref="A22:B22"/>
    <mergeCell ref="A23:B23"/>
    <mergeCell ref="A24:B24"/>
    <mergeCell ref="A25:B25"/>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4:A55"/>
    <mergeCell ref="A62:A63"/>
    <mergeCell ref="A66:A67"/>
    <mergeCell ref="A68:A69"/>
    <mergeCell ref="A72:A73"/>
    <mergeCell ref="A70:A71"/>
    <mergeCell ref="A76:A77"/>
    <mergeCell ref="A74:A75"/>
    <mergeCell ref="A108:A109"/>
    <mergeCell ref="A82:A83"/>
    <mergeCell ref="A64:A65"/>
    <mergeCell ref="A110:A111"/>
    <mergeCell ref="B109:S109"/>
    <mergeCell ref="B110:D110"/>
    <mergeCell ref="A112:A113"/>
    <mergeCell ref="A116:A117"/>
    <mergeCell ref="A114:A115"/>
    <mergeCell ref="B119:S119"/>
    <mergeCell ref="A118:A119"/>
    <mergeCell ref="B97:S97"/>
    <mergeCell ref="B98:S98"/>
    <mergeCell ref="B99:S99"/>
    <mergeCell ref="A104:S104"/>
    <mergeCell ref="B107:D107"/>
    <mergeCell ref="E107:G107"/>
    <mergeCell ref="B108:D108"/>
    <mergeCell ref="E108:G108"/>
    <mergeCell ref="E110:G110"/>
    <mergeCell ref="B111:S111"/>
    <mergeCell ref="B112:D112"/>
    <mergeCell ref="E112:G112"/>
    <mergeCell ref="AV114:AV115"/>
    <mergeCell ref="AW114:AW115"/>
    <mergeCell ref="AX114:AX115"/>
    <mergeCell ref="AU116:AU117"/>
    <mergeCell ref="AV116:AV117"/>
    <mergeCell ref="AW116:AW117"/>
    <mergeCell ref="AX116:AX117"/>
    <mergeCell ref="A181:A182"/>
    <mergeCell ref="A179:A180"/>
    <mergeCell ref="A161:A162"/>
    <mergeCell ref="A159:A160"/>
    <mergeCell ref="A165:A166"/>
    <mergeCell ref="A163:A164"/>
    <mergeCell ref="A169:A170"/>
    <mergeCell ref="A167:A168"/>
    <mergeCell ref="A173:A174"/>
    <mergeCell ref="A171:A172"/>
    <mergeCell ref="A177:A178"/>
    <mergeCell ref="A175:A176"/>
    <mergeCell ref="A132:A133"/>
    <mergeCell ref="A134:A135"/>
    <mergeCell ref="A149:A150"/>
    <mergeCell ref="A136:A137"/>
    <mergeCell ref="A122:A123"/>
    <mergeCell ref="AV108:AV109"/>
    <mergeCell ref="AW108:AW109"/>
    <mergeCell ref="AX108:AX109"/>
    <mergeCell ref="AU110:AU111"/>
    <mergeCell ref="AV110:AV111"/>
    <mergeCell ref="AW110:AW111"/>
    <mergeCell ref="AX110:AX111"/>
    <mergeCell ref="AU112:AU113"/>
    <mergeCell ref="AV112:AV113"/>
    <mergeCell ref="AW112:AW113"/>
    <mergeCell ref="AX112:AX113"/>
    <mergeCell ref="A151:A152"/>
    <mergeCell ref="A153:A154"/>
    <mergeCell ref="A157:A158"/>
    <mergeCell ref="A155:A156"/>
    <mergeCell ref="B198:S198"/>
    <mergeCell ref="B200:S200"/>
    <mergeCell ref="B202:S202"/>
    <mergeCell ref="AT149:AT150"/>
    <mergeCell ref="AU108:AU109"/>
    <mergeCell ref="AU114:AU115"/>
    <mergeCell ref="A120:A121"/>
    <mergeCell ref="A126:A127"/>
    <mergeCell ref="A124:A125"/>
    <mergeCell ref="A128:A129"/>
    <mergeCell ref="B129:S129"/>
    <mergeCell ref="A130:A131"/>
    <mergeCell ref="B130:D130"/>
    <mergeCell ref="E130:G130"/>
    <mergeCell ref="B131:S131"/>
    <mergeCell ref="J122:M122"/>
    <mergeCell ref="J124:M124"/>
    <mergeCell ref="J126:M126"/>
    <mergeCell ref="J128:M128"/>
    <mergeCell ref="J130:M130"/>
    <mergeCell ref="A199:A200"/>
    <mergeCell ref="A197:A198"/>
    <mergeCell ref="A201:A202"/>
    <mergeCell ref="A203:A204"/>
    <mergeCell ref="A185:A186"/>
    <mergeCell ref="A183:A184"/>
    <mergeCell ref="A189:A190"/>
    <mergeCell ref="A187:A188"/>
    <mergeCell ref="A191:A192"/>
    <mergeCell ref="A193:A194"/>
    <mergeCell ref="A195:A196"/>
    <mergeCell ref="AU124:AU125"/>
    <mergeCell ref="AV124:AV125"/>
    <mergeCell ref="AW124:AW125"/>
    <mergeCell ref="AX124:AX125"/>
    <mergeCell ref="AU126:AU127"/>
    <mergeCell ref="AV126:AV127"/>
    <mergeCell ref="AW126:AW127"/>
    <mergeCell ref="AX126:AX127"/>
    <mergeCell ref="AU128:AU129"/>
    <mergeCell ref="AV128:AV129"/>
    <mergeCell ref="AW128:AW129"/>
    <mergeCell ref="AX128:AX129"/>
    <mergeCell ref="AU118:AU119"/>
    <mergeCell ref="AV118:AV119"/>
    <mergeCell ref="AW118:AW119"/>
    <mergeCell ref="AX118:AX119"/>
    <mergeCell ref="AU120:AU121"/>
    <mergeCell ref="AV120:AV121"/>
    <mergeCell ref="AW120:AW121"/>
    <mergeCell ref="AX120:AX121"/>
    <mergeCell ref="AU122:AU123"/>
    <mergeCell ref="AV122:AV123"/>
    <mergeCell ref="AW122:AW123"/>
    <mergeCell ref="AX122:AX123"/>
    <mergeCell ref="AU130:AU131"/>
    <mergeCell ref="AV155:AV156"/>
    <mergeCell ref="AW155:AW156"/>
    <mergeCell ref="AX155:AX156"/>
    <mergeCell ref="AU134:AU135"/>
    <mergeCell ref="AV134:AV135"/>
    <mergeCell ref="AW134:AW135"/>
    <mergeCell ref="AX134:AX135"/>
    <mergeCell ref="AU136:AU137"/>
    <mergeCell ref="AV136:AV137"/>
    <mergeCell ref="AW136:AW137"/>
    <mergeCell ref="AX136:AX137"/>
    <mergeCell ref="AU149:AU150"/>
    <mergeCell ref="AV149:AV150"/>
    <mergeCell ref="AW149:AW150"/>
    <mergeCell ref="AX149:AX150"/>
    <mergeCell ref="AV130:AV131"/>
    <mergeCell ref="AW130:AW131"/>
    <mergeCell ref="AX130:AX131"/>
    <mergeCell ref="AU132:AU133"/>
    <mergeCell ref="AV132:AV133"/>
    <mergeCell ref="AW132:AW133"/>
    <mergeCell ref="AX132:AX133"/>
    <mergeCell ref="AT159:AT160"/>
    <mergeCell ref="AU159:AU160"/>
    <mergeCell ref="AV159:AV160"/>
    <mergeCell ref="AW159:AW160"/>
    <mergeCell ref="AX159:AX160"/>
    <mergeCell ref="AY159:AY160"/>
    <mergeCell ref="AT155:AT156"/>
    <mergeCell ref="AT161:AT162"/>
    <mergeCell ref="AU161:AU162"/>
    <mergeCell ref="AV161:AV162"/>
    <mergeCell ref="AW161:AW162"/>
    <mergeCell ref="AX161:AX162"/>
    <mergeCell ref="AY161:AY162"/>
    <mergeCell ref="AW157:AW158"/>
    <mergeCell ref="AX157:AX158"/>
    <mergeCell ref="AT163:AT164"/>
    <mergeCell ref="AU163:AU164"/>
    <mergeCell ref="AV163:AV164"/>
    <mergeCell ref="AW163:AW164"/>
    <mergeCell ref="AX163:AX164"/>
    <mergeCell ref="AY163:AY164"/>
    <mergeCell ref="AT165:AT166"/>
    <mergeCell ref="AU165:AU166"/>
    <mergeCell ref="AV165:AV166"/>
    <mergeCell ref="AW165:AW166"/>
    <mergeCell ref="AX165:AX166"/>
    <mergeCell ref="AY165:AY166"/>
    <mergeCell ref="AT167:AT168"/>
    <mergeCell ref="AU167:AU168"/>
    <mergeCell ref="AV167:AV168"/>
    <mergeCell ref="AW167:AW168"/>
    <mergeCell ref="AX167:AX168"/>
    <mergeCell ref="AY167:AY168"/>
    <mergeCell ref="AT169:AT170"/>
    <mergeCell ref="AU169:AU170"/>
    <mergeCell ref="AV169:AV170"/>
    <mergeCell ref="AW169:AW170"/>
    <mergeCell ref="AX169:AX170"/>
    <mergeCell ref="AY169:AY170"/>
    <mergeCell ref="AT171:AT172"/>
    <mergeCell ref="AU171:AU172"/>
    <mergeCell ref="AV171:AV172"/>
    <mergeCell ref="AW171:AW172"/>
    <mergeCell ref="AX171:AX172"/>
    <mergeCell ref="AY171:AY172"/>
    <mergeCell ref="AT173:AT174"/>
    <mergeCell ref="AU173:AU174"/>
    <mergeCell ref="AV173:AV174"/>
    <mergeCell ref="AW173:AW174"/>
    <mergeCell ref="AX173:AX174"/>
    <mergeCell ref="AY173:AY174"/>
    <mergeCell ref="AT175:AT176"/>
    <mergeCell ref="AU175:AU176"/>
    <mergeCell ref="AV175:AV176"/>
    <mergeCell ref="AW175:AW176"/>
    <mergeCell ref="AX175:AX176"/>
    <mergeCell ref="AY175:AY176"/>
    <mergeCell ref="AT177:AT178"/>
    <mergeCell ref="AU177:AU178"/>
    <mergeCell ref="AV177:AV178"/>
    <mergeCell ref="AW177:AW178"/>
    <mergeCell ref="AX177:AX178"/>
    <mergeCell ref="AY177:AY178"/>
    <mergeCell ref="AT179:AT180"/>
    <mergeCell ref="AU179:AU180"/>
    <mergeCell ref="AV179:AV180"/>
    <mergeCell ref="AW179:AW180"/>
    <mergeCell ref="AX179:AX180"/>
    <mergeCell ref="AY179:AY180"/>
    <mergeCell ref="AT181:AT182"/>
    <mergeCell ref="AU181:AU182"/>
    <mergeCell ref="AV181:AV182"/>
    <mergeCell ref="AW181:AW182"/>
    <mergeCell ref="AX181:AX182"/>
    <mergeCell ref="AY181:AY182"/>
    <mergeCell ref="AT183:AT184"/>
    <mergeCell ref="AU183:AU184"/>
    <mergeCell ref="AV183:AV184"/>
    <mergeCell ref="AW183:AW184"/>
    <mergeCell ref="AX183:AX184"/>
    <mergeCell ref="AY183:AY184"/>
    <mergeCell ref="AT185:AT186"/>
    <mergeCell ref="AU185:AU186"/>
    <mergeCell ref="AV185:AV186"/>
    <mergeCell ref="AW185:AW186"/>
    <mergeCell ref="AX185:AX186"/>
    <mergeCell ref="AY185:AY186"/>
    <mergeCell ref="AT187:AT188"/>
    <mergeCell ref="AU187:AU188"/>
    <mergeCell ref="AV187:AV188"/>
    <mergeCell ref="AW187:AW188"/>
    <mergeCell ref="AX187:AX188"/>
    <mergeCell ref="AY187:AY188"/>
    <mergeCell ref="AT189:AT190"/>
    <mergeCell ref="AU189:AU190"/>
    <mergeCell ref="AV189:AV190"/>
    <mergeCell ref="AW189:AW190"/>
    <mergeCell ref="AX189:AX190"/>
    <mergeCell ref="AY189:AY190"/>
    <mergeCell ref="AT191:AT192"/>
    <mergeCell ref="AU191:AU192"/>
    <mergeCell ref="AV191:AV192"/>
    <mergeCell ref="AW191:AW192"/>
    <mergeCell ref="AX191:AX192"/>
    <mergeCell ref="AY191:AY192"/>
    <mergeCell ref="AT193:AT194"/>
    <mergeCell ref="AU193:AU194"/>
    <mergeCell ref="AV193:AV194"/>
    <mergeCell ref="AW193:AW194"/>
    <mergeCell ref="AX193:AX194"/>
    <mergeCell ref="AY193:AY194"/>
    <mergeCell ref="AT195:AT196"/>
    <mergeCell ref="AU195:AU196"/>
    <mergeCell ref="AV195:AV196"/>
    <mergeCell ref="AW195:AW196"/>
    <mergeCell ref="AX195:AX196"/>
    <mergeCell ref="AY195:AY196"/>
    <mergeCell ref="AX197:AX198"/>
    <mergeCell ref="AY197:AY198"/>
    <mergeCell ref="AT199:AT200"/>
    <mergeCell ref="AU199:AU200"/>
    <mergeCell ref="AV199:AV200"/>
    <mergeCell ref="AW199:AW200"/>
    <mergeCell ref="AX199:AX200"/>
    <mergeCell ref="AY199:AY200"/>
    <mergeCell ref="AT201:AT202"/>
    <mergeCell ref="AU201:AU202"/>
    <mergeCell ref="AV201:AV202"/>
    <mergeCell ref="AW201:AW202"/>
    <mergeCell ref="AX201:AX202"/>
    <mergeCell ref="AY201:AY202"/>
    <mergeCell ref="AT197:AT198"/>
    <mergeCell ref="AU197:AU198"/>
    <mergeCell ref="AV197:AV198"/>
    <mergeCell ref="AW197:AW198"/>
    <mergeCell ref="AT203:AT204"/>
    <mergeCell ref="AU203:AU204"/>
    <mergeCell ref="AV203:AV204"/>
    <mergeCell ref="AW203:AW204"/>
    <mergeCell ref="AX203:AX204"/>
    <mergeCell ref="AY203:AY204"/>
    <mergeCell ref="AT205:AT206"/>
    <mergeCell ref="AU205:AU206"/>
    <mergeCell ref="AV205:AV206"/>
    <mergeCell ref="AW205:AW206"/>
    <mergeCell ref="A205:A206"/>
    <mergeCell ref="AX205:AX206"/>
    <mergeCell ref="AY205:AY206"/>
    <mergeCell ref="AT207:AT208"/>
    <mergeCell ref="AU207:AU208"/>
    <mergeCell ref="AV207:AV208"/>
    <mergeCell ref="AW207:AW208"/>
    <mergeCell ref="AX207:AX208"/>
    <mergeCell ref="AY207:AY208"/>
    <mergeCell ref="A207:A208"/>
    <mergeCell ref="B206:S206"/>
    <mergeCell ref="B208:S208"/>
    <mergeCell ref="A26:B26"/>
    <mergeCell ref="A27:B27"/>
    <mergeCell ref="A28:B28"/>
    <mergeCell ref="A29:B29"/>
    <mergeCell ref="G10:J10"/>
    <mergeCell ref="G11:J11"/>
    <mergeCell ref="G12:J12"/>
    <mergeCell ref="G13:J13"/>
    <mergeCell ref="G14:J14"/>
    <mergeCell ref="G15:J15"/>
    <mergeCell ref="G16:J16"/>
    <mergeCell ref="D12:E12"/>
    <mergeCell ref="D13:E13"/>
    <mergeCell ref="A12:C12"/>
    <mergeCell ref="A13:C13"/>
    <mergeCell ref="A14:C14"/>
    <mergeCell ref="A15:C15"/>
    <mergeCell ref="D14:E14"/>
    <mergeCell ref="D15:E15"/>
    <mergeCell ref="A16:C16"/>
    <mergeCell ref="D16:E16"/>
  </mergeCells>
  <conditionalFormatting sqref="O52:T52 P106:T106">
    <cfRule type="expression" dxfId="19" priority="1757">
      <formula>$J$52&gt;$D$13</formula>
    </cfRule>
  </conditionalFormatting>
  <conditionalFormatting sqref="A22:B22">
    <cfRule type="expression" dxfId="18" priority="1668">
      <formula>$D22&gt;$D$13</formula>
    </cfRule>
  </conditionalFormatting>
  <conditionalFormatting sqref="C22:C23">
    <cfRule type="expression" dxfId="17" priority="1666">
      <formula>$D22&gt;$D$13</formula>
    </cfRule>
  </conditionalFormatting>
  <conditionalFormatting sqref="A23:C23">
    <cfRule type="expression" dxfId="16" priority="1657">
      <formula>$A23&gt;$D$13</formula>
    </cfRule>
  </conditionalFormatting>
  <conditionalFormatting sqref="T52 S56:T56 S58:T58 S60:T60 S62:T62 S64:T64 S66:T66 S68:T68 S70:T70 S72:T72 S74:T74 S76:T76 S78:T78 S80:T80 S82:T82 S54:T54">
    <cfRule type="expression" dxfId="15" priority="430">
      <formula>#REF!&gt;YEAR($F$13)</formula>
    </cfRule>
  </conditionalFormatting>
  <conditionalFormatting sqref="S106:T106 S108:T108 S110:T110 S112:T112 S116:T116 S120:T120 S124:T124 S128:T128 S132:T132 S136:T136 S114:T114 S118:T118 S122:T122 S126:T126 S130:T130 S134:T134">
    <cfRule type="expression" dxfId="14" priority="429">
      <formula>$S$106&gt;YEAR($D$10)</formula>
    </cfRule>
  </conditionalFormatting>
  <conditionalFormatting sqref="C24">
    <cfRule type="expression" dxfId="13" priority="305">
      <formula>$D24&gt;$D$13</formula>
    </cfRule>
  </conditionalFormatting>
  <conditionalFormatting sqref="A24:C24">
    <cfRule type="expression" dxfId="12" priority="304">
      <formula>$A24&gt;$D$13</formula>
    </cfRule>
  </conditionalFormatting>
  <conditionalFormatting sqref="C25">
    <cfRule type="expression" dxfId="11" priority="303">
      <formula>$D25&gt;$D$13</formula>
    </cfRule>
  </conditionalFormatting>
  <conditionalFormatting sqref="A25:C25">
    <cfRule type="expression" dxfId="10" priority="302">
      <formula>$A25&gt;$D$13</formula>
    </cfRule>
  </conditionalFormatting>
  <conditionalFormatting sqref="C26">
    <cfRule type="expression" dxfId="9" priority="301">
      <formula>$D26&gt;$D$13</formula>
    </cfRule>
  </conditionalFormatting>
  <conditionalFormatting sqref="A26:C26">
    <cfRule type="expression" dxfId="8" priority="300">
      <formula>$A26&gt;$D$13</formula>
    </cfRule>
  </conditionalFormatting>
  <conditionalFormatting sqref="C27">
    <cfRule type="expression" dxfId="7" priority="299">
      <formula>$D27&gt;$D$13</formula>
    </cfRule>
  </conditionalFormatting>
  <conditionalFormatting sqref="A27:C27">
    <cfRule type="expression" dxfId="6" priority="298">
      <formula>$A27&gt;$D$13</formula>
    </cfRule>
  </conditionalFormatting>
  <conditionalFormatting sqref="C28">
    <cfRule type="expression" dxfId="5" priority="295">
      <formula>$D28&gt;$D$13</formula>
    </cfRule>
  </conditionalFormatting>
  <conditionalFormatting sqref="A28:C28">
    <cfRule type="expression" dxfId="4" priority="294">
      <formula>$A28&gt;$D$13</formula>
    </cfRule>
  </conditionalFormatting>
  <conditionalFormatting sqref="C29">
    <cfRule type="expression" dxfId="3" priority="293">
      <formula>$D29&gt;$D$13</formula>
    </cfRule>
  </conditionalFormatting>
  <conditionalFormatting sqref="A29:C29">
    <cfRule type="expression" dxfId="2" priority="292">
      <formula>$A29&gt;$D$13</formula>
    </cfRule>
  </conditionalFormatting>
  <conditionalFormatting sqref="C30">
    <cfRule type="expression" dxfId="1" priority="291">
      <formula>$D30&gt;$D$13</formula>
    </cfRule>
  </conditionalFormatting>
  <conditionalFormatting sqref="A30:C30">
    <cfRule type="expression" dxfId="0" priority="290">
      <formula>$A30&gt;$D$13</formula>
    </cfRule>
  </conditionalFormatting>
  <pageMargins left="0.7" right="0.7" top="0.75" bottom="0.75" header="0.3" footer="0.3"/>
  <pageSetup paperSize="8" scale="29" fitToHeight="0" orientation="landscape" r:id="rId1"/>
  <rowBreaks count="2" manualBreakCount="2">
    <brk id="131" max="17" man="1"/>
    <brk id="161"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369"/>
  <sheetViews>
    <sheetView topLeftCell="B1" workbookViewId="0">
      <selection activeCell="D30" sqref="D30"/>
    </sheetView>
  </sheetViews>
  <sheetFormatPr defaultColWidth="8.58203125" defaultRowHeight="12.5" x14ac:dyDescent="0.25"/>
  <cols>
    <col min="1" max="1" width="19.08203125" style="9" customWidth="1"/>
    <col min="2" max="2" width="28.08203125" style="9" bestFit="1" customWidth="1"/>
    <col min="3" max="3" width="8.58203125" style="9"/>
    <col min="4" max="4" width="17" style="9" customWidth="1"/>
    <col min="5" max="6" width="8.58203125" style="9"/>
    <col min="7" max="7" width="25.5" style="9" customWidth="1"/>
    <col min="8" max="8" width="17.08203125" style="9" customWidth="1"/>
    <col min="9" max="16384" width="8.58203125" style="9"/>
  </cols>
  <sheetData>
    <row r="1" spans="1:11" x14ac:dyDescent="0.25">
      <c r="A1" s="9" t="s">
        <v>209</v>
      </c>
    </row>
    <row r="4" spans="1:11" ht="13" x14ac:dyDescent="0.3">
      <c r="A4" s="6" t="s">
        <v>92</v>
      </c>
    </row>
    <row r="5" spans="1:11" x14ac:dyDescent="0.25">
      <c r="B5" s="156" t="s">
        <v>89</v>
      </c>
      <c r="C5" s="156"/>
      <c r="D5" s="156" t="s">
        <v>448</v>
      </c>
      <c r="E5" s="156"/>
      <c r="F5" s="156"/>
      <c r="G5" s="156" t="s">
        <v>48</v>
      </c>
      <c r="H5" s="156" t="s">
        <v>228</v>
      </c>
      <c r="I5" s="156" t="s">
        <v>43</v>
      </c>
      <c r="J5" s="156" t="s">
        <v>446</v>
      </c>
      <c r="K5" s="156" t="s">
        <v>444</v>
      </c>
    </row>
    <row r="6" spans="1:11" hidden="1" x14ac:dyDescent="0.25">
      <c r="B6" s="156" t="s">
        <v>88</v>
      </c>
      <c r="C6" s="156"/>
      <c r="D6" s="156" t="str">
        <f>CHOOSE(Translations!$C$1+1,I6,J6,K6)</f>
        <v>[Name - ES]</v>
      </c>
      <c r="E6" s="156"/>
      <c r="F6" s="156"/>
      <c r="G6" s="156" t="s">
        <v>47</v>
      </c>
      <c r="H6" s="157" t="s">
        <v>227</v>
      </c>
      <c r="I6" s="157" t="s">
        <v>66</v>
      </c>
      <c r="J6" s="157" t="s">
        <v>445</v>
      </c>
      <c r="K6" s="157" t="s">
        <v>443</v>
      </c>
    </row>
    <row r="7" spans="1:11" x14ac:dyDescent="0.25">
      <c r="B7" s="156" t="s">
        <v>1421</v>
      </c>
      <c r="C7" s="156"/>
      <c r="D7" s="156" t="str">
        <f>CHOOSE(Translations!$C$1+1,I7,J7,K7)</f>
        <v>HIV I-13 Porcentaje de personas que viven con el VIH</v>
      </c>
      <c r="E7" s="156"/>
      <c r="F7" s="156"/>
      <c r="G7" s="156" t="s">
        <v>8183</v>
      </c>
      <c r="H7" s="157"/>
      <c r="I7" s="157" t="s">
        <v>1430</v>
      </c>
      <c r="J7" s="157" t="s">
        <v>1431</v>
      </c>
      <c r="K7" s="157" t="s">
        <v>1432</v>
      </c>
    </row>
    <row r="8" spans="1:11" x14ac:dyDescent="0.25">
      <c r="B8" s="156" t="s">
        <v>1469</v>
      </c>
      <c r="C8" s="156"/>
      <c r="D8" s="156" t="str">
        <f>CHOOSE(Translations!$C$1+1,I8,J8,K8)</f>
        <v>HIV I-14 Número de infecciones nuevas de VIH por 1.000 habitantes no infectados</v>
      </c>
      <c r="E8" s="156"/>
      <c r="F8" s="156"/>
      <c r="G8" s="156" t="s">
        <v>8184</v>
      </c>
      <c r="H8" s="157"/>
      <c r="I8" s="157" t="s">
        <v>1472</v>
      </c>
      <c r="J8" s="157" t="s">
        <v>1473</v>
      </c>
      <c r="K8" s="157" t="s">
        <v>1474</v>
      </c>
    </row>
    <row r="9" spans="1:11" x14ac:dyDescent="0.25">
      <c r="B9" s="156" t="s">
        <v>1489</v>
      </c>
      <c r="C9" s="156"/>
      <c r="D9" s="156" t="str">
        <f>CHOOSE(Translations!$C$1+1,I9,J9,K9)</f>
        <v>HIV I-4 Número de muertes relacionadas con el sida por cada 100.000 habitantes</v>
      </c>
      <c r="E9" s="156"/>
      <c r="F9" s="156"/>
      <c r="G9" s="156" t="s">
        <v>8185</v>
      </c>
      <c r="H9" s="157"/>
      <c r="I9" s="157" t="s">
        <v>1492</v>
      </c>
      <c r="J9" s="157" t="s">
        <v>1493</v>
      </c>
      <c r="K9" s="157" t="s">
        <v>1494</v>
      </c>
    </row>
    <row r="10" spans="1:11" x14ac:dyDescent="0.25">
      <c r="B10" s="156" t="s">
        <v>2789</v>
      </c>
      <c r="C10" s="156"/>
      <c r="D10" s="156" t="str">
        <f>CHOOSE(Translations!$C$1+1,I10,J10,K10)</f>
        <v>HIV I-6 Porcentaje estimado de niños que contraen el VIH mediante transmisión maternoinfantil entre el número de mujeres que viven con el VIH que han dado a luz en los 12 meses anteriores</v>
      </c>
      <c r="E10" s="156"/>
      <c r="F10" s="156"/>
      <c r="G10" s="156" t="s">
        <v>8186</v>
      </c>
      <c r="H10" s="157"/>
      <c r="I10" s="157" t="s">
        <v>2792</v>
      </c>
      <c r="J10" s="157" t="s">
        <v>2793</v>
      </c>
      <c r="K10" s="157" t="s">
        <v>2794</v>
      </c>
    </row>
    <row r="11" spans="1:11" x14ac:dyDescent="0.25">
      <c r="B11" s="156" t="s">
        <v>1513</v>
      </c>
      <c r="C11" s="156"/>
      <c r="D11" s="156" t="str">
        <f>CHOOSE(Translations!$C$1+1,I11,J11,K11)</f>
        <v>HIV I-9a⁽ᴹ⁾ Porcentaje de HSH y viven con el VIH</v>
      </c>
      <c r="E11" s="156"/>
      <c r="F11" s="156"/>
      <c r="G11" s="156" t="s">
        <v>8187</v>
      </c>
      <c r="H11" s="157"/>
      <c r="I11" s="157" t="s">
        <v>1517</v>
      </c>
      <c r="J11" s="157" t="s">
        <v>1518</v>
      </c>
      <c r="K11" s="157" t="s">
        <v>1519</v>
      </c>
    </row>
    <row r="12" spans="1:11" x14ac:dyDescent="0.25">
      <c r="B12" s="156" t="s">
        <v>1523</v>
      </c>
      <c r="C12" s="156"/>
      <c r="D12" s="156" t="str">
        <f>CHOOSE(Translations!$C$1+1,I12,J12,K12)</f>
        <v>HIV I-9b⁽ᴹ⁾ Porcentaje de personas transgénero que viven con el VIH</v>
      </c>
      <c r="E12" s="156"/>
      <c r="F12" s="156"/>
      <c r="G12" s="156" t="s">
        <v>8188</v>
      </c>
      <c r="H12" s="157"/>
      <c r="I12" s="157" t="s">
        <v>1526</v>
      </c>
      <c r="J12" s="157" t="s">
        <v>1527</v>
      </c>
      <c r="K12" s="157" t="s">
        <v>1528</v>
      </c>
    </row>
    <row r="13" spans="1:11" x14ac:dyDescent="0.25">
      <c r="B13" s="156" t="s">
        <v>1531</v>
      </c>
      <c r="C13" s="156"/>
      <c r="D13" s="156" t="str">
        <f>CHOOSE(Translations!$C$1+1,I13,J13,K13)</f>
        <v>HIV I-10⁽ᴹ⁾ Porcentaje de trabajadores sexuales que viven con el VIH</v>
      </c>
      <c r="E13" s="156"/>
      <c r="F13" s="156"/>
      <c r="G13" s="156" t="s">
        <v>8189</v>
      </c>
      <c r="H13" s="157"/>
      <c r="I13" s="157" t="s">
        <v>1537</v>
      </c>
      <c r="J13" s="157" t="s">
        <v>1538</v>
      </c>
      <c r="K13" s="157" t="s">
        <v>1539</v>
      </c>
    </row>
    <row r="14" spans="1:11" x14ac:dyDescent="0.25">
      <c r="B14" s="156" t="s">
        <v>1548</v>
      </c>
      <c r="C14" s="156"/>
      <c r="D14" s="156" t="str">
        <f>CHOOSE(Translations!$C$1+1,I14,J14,K14)</f>
        <v>HIV I-11⁽ᴹ⁾ Porcentaje de personas que consumen drogas inyectables y que viven con el VIH</v>
      </c>
      <c r="E14" s="156"/>
      <c r="F14" s="156"/>
      <c r="G14" s="156" t="s">
        <v>8190</v>
      </c>
      <c r="H14" s="157"/>
      <c r="I14" s="157" t="s">
        <v>1551</v>
      </c>
      <c r="J14" s="157" t="s">
        <v>1552</v>
      </c>
      <c r="K14" s="157" t="s">
        <v>1553</v>
      </c>
    </row>
    <row r="15" spans="1:11" x14ac:dyDescent="0.25">
      <c r="B15" s="156" t="s">
        <v>2804</v>
      </c>
      <c r="C15" s="156"/>
      <c r="D15" s="156" t="str">
        <f>CHOOSE(Translations!$C$1+1,I15,J15,K15)</f>
        <v>HIV I-12 Porcentaje de otras poblaciones vulnerables (especifíquense) que viven con el VIH</v>
      </c>
      <c r="E15" s="156"/>
      <c r="F15" s="156"/>
      <c r="G15" s="156" t="s">
        <v>8191</v>
      </c>
      <c r="H15" s="157"/>
      <c r="I15" s="157" t="s">
        <v>2807</v>
      </c>
      <c r="J15" s="157" t="s">
        <v>2808</v>
      </c>
      <c r="K15" s="157" t="s">
        <v>2809</v>
      </c>
    </row>
    <row r="16" spans="1:11" x14ac:dyDescent="0.25">
      <c r="B16" s="156" t="s">
        <v>2810</v>
      </c>
      <c r="C16" s="156"/>
      <c r="D16" s="156" t="str">
        <f>CHOOSE(Translations!$C$1+1,I16,J16,K16)</f>
        <v>TB I-2 Tasa de incidencia de la tuberculosis por 100.000 habitantes.</v>
      </c>
      <c r="E16" s="156"/>
      <c r="F16" s="156"/>
      <c r="G16" s="156" t="s">
        <v>8192</v>
      </c>
      <c r="H16" s="157"/>
      <c r="I16" s="157" t="s">
        <v>2813</v>
      </c>
      <c r="J16" s="157" t="s">
        <v>2814</v>
      </c>
      <c r="K16" s="157" t="s">
        <v>2815</v>
      </c>
    </row>
    <row r="17" spans="1:11" x14ac:dyDescent="0.25">
      <c r="B17" s="156" t="s">
        <v>2816</v>
      </c>
      <c r="C17" s="156"/>
      <c r="D17" s="156" t="str">
        <f>CHOOSE(Translations!$C$1+1,I17,J17,K17)</f>
        <v>TB I-3⁽ᴹ⁾ Tasa de mortalidad de la tuberculosis por 100.000 habitantes</v>
      </c>
      <c r="E17" s="156"/>
      <c r="F17" s="156"/>
      <c r="G17" s="156" t="s">
        <v>8193</v>
      </c>
      <c r="H17" s="157"/>
      <c r="I17" s="157" t="s">
        <v>2819</v>
      </c>
      <c r="J17" s="157" t="s">
        <v>2820</v>
      </c>
      <c r="K17" s="157" t="s">
        <v>2821</v>
      </c>
    </row>
    <row r="18" spans="1:11" x14ac:dyDescent="0.25">
      <c r="B18" s="156" t="s">
        <v>2822</v>
      </c>
      <c r="C18" s="156"/>
      <c r="D18" s="156" t="str">
        <f>CHOOSE(Translations!$C$1+1,I18,J18,K18)</f>
        <v>TB I-4⁽ᴹ⁾ Prevalencia de la tuberculosis resistente a la rifampicina y/o la tuberculosis multirresistente en pacientes nuevos de la enfermedad: Proporción de nuevos casos de tuberculosis resistente a la rifampicina y/o tuberculosis multirresistente.</v>
      </c>
      <c r="E18" s="156"/>
      <c r="F18" s="156"/>
      <c r="G18" s="156" t="s">
        <v>8194</v>
      </c>
      <c r="H18" s="157"/>
      <c r="I18" s="157" t="s">
        <v>2825</v>
      </c>
      <c r="J18" s="157" t="s">
        <v>2826</v>
      </c>
      <c r="K18" s="157" t="s">
        <v>2827</v>
      </c>
    </row>
    <row r="19" spans="1:11" x14ac:dyDescent="0.25">
      <c r="B19" s="156" t="s">
        <v>2828</v>
      </c>
      <c r="C19" s="156"/>
      <c r="D19" s="156" t="str">
        <f>CHOOSE(Translations!$C$1+1,I19,J19,K19)</f>
        <v>TB/HIV I-1 Tasa de mortalidad de la TB y el VIH por 100.000 habitantes</v>
      </c>
      <c r="E19" s="156"/>
      <c r="F19" s="156"/>
      <c r="G19" s="156" t="s">
        <v>8195</v>
      </c>
      <c r="H19" s="157"/>
      <c r="I19" s="157" t="s">
        <v>2831</v>
      </c>
      <c r="J19" s="157" t="s">
        <v>2832</v>
      </c>
      <c r="K19" s="157" t="s">
        <v>2833</v>
      </c>
    </row>
    <row r="20" spans="1:11" x14ac:dyDescent="0.25">
      <c r="B20" s="156" t="s">
        <v>2828</v>
      </c>
      <c r="C20" s="156"/>
      <c r="D20" s="156" t="str">
        <f>CHOOSE(Translations!$C$1+1,I20,J20,K20)</f>
        <v>TB/HIV I-1 Tasa de mortalidad de la TB y el VIH por 100.000 habitantes</v>
      </c>
      <c r="E20" s="156"/>
      <c r="F20" s="156"/>
      <c r="G20" s="156" t="s">
        <v>8196</v>
      </c>
      <c r="H20" s="157"/>
      <c r="I20" s="157" t="s">
        <v>2831</v>
      </c>
      <c r="J20" s="157" t="s">
        <v>2832</v>
      </c>
      <c r="K20" s="157" t="s">
        <v>2833</v>
      </c>
    </row>
    <row r="24" spans="1:11" ht="13" x14ac:dyDescent="0.3">
      <c r="A24" s="6" t="s">
        <v>93</v>
      </c>
    </row>
    <row r="25" spans="1:11" x14ac:dyDescent="0.25">
      <c r="B25" s="156" t="s">
        <v>89</v>
      </c>
      <c r="C25" s="156"/>
      <c r="D25" s="156" t="s">
        <v>448</v>
      </c>
      <c r="E25" s="156"/>
      <c r="F25" s="156"/>
      <c r="G25" s="156" t="s">
        <v>48</v>
      </c>
      <c r="H25" s="156" t="s">
        <v>228</v>
      </c>
      <c r="I25" s="156" t="s">
        <v>43</v>
      </c>
      <c r="J25" s="156" t="s">
        <v>446</v>
      </c>
      <c r="K25" s="156" t="s">
        <v>444</v>
      </c>
    </row>
    <row r="26" spans="1:11" hidden="1" x14ac:dyDescent="0.25">
      <c r="B26" s="156" t="s">
        <v>88</v>
      </c>
      <c r="C26" s="156"/>
      <c r="D26" s="156" t="str">
        <f>CHOOSE(Translations!$C$1+1,I26,J26,K26)</f>
        <v>[Name - ES]</v>
      </c>
      <c r="E26" s="156"/>
      <c r="F26" s="156"/>
      <c r="G26" s="156" t="s">
        <v>47</v>
      </c>
      <c r="H26" s="157" t="s">
        <v>227</v>
      </c>
      <c r="I26" s="157" t="s">
        <v>66</v>
      </c>
      <c r="J26" s="157" t="s">
        <v>445</v>
      </c>
      <c r="K26" s="157" t="s">
        <v>443</v>
      </c>
    </row>
    <row r="27" spans="1:11" x14ac:dyDescent="0.25">
      <c r="B27" s="156" t="s">
        <v>1685</v>
      </c>
      <c r="C27" s="156"/>
      <c r="D27" s="156" t="str">
        <f>CHOOSE(Translations!$C$1+1,I27,J27,K27)</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E27" s="156"/>
      <c r="F27" s="156"/>
      <c r="G27" s="156" t="s">
        <v>8197</v>
      </c>
      <c r="H27" s="157"/>
      <c r="I27" s="157" t="s">
        <v>1688</v>
      </c>
      <c r="J27" s="157" t="s">
        <v>1689</v>
      </c>
      <c r="K27" s="157" t="s">
        <v>1690</v>
      </c>
    </row>
    <row r="28" spans="1:11" x14ac:dyDescent="0.25">
      <c r="B28" s="156" t="s">
        <v>1701</v>
      </c>
      <c r="C28" s="156"/>
      <c r="D28" s="156" t="str">
        <f>CHOOSE(Translations!$C$1+1,I28,J28,K28)</f>
        <v>HIV O-4a⁽ᴹ⁾ Porcentaje de hombres que afirman haber utilizado preservativo en su última relación de sexo anal con una pareja masculina no regular</v>
      </c>
      <c r="E28" s="156"/>
      <c r="F28" s="156"/>
      <c r="G28" s="156" t="s">
        <v>8198</v>
      </c>
      <c r="H28" s="157"/>
      <c r="I28" s="157" t="s">
        <v>1704</v>
      </c>
      <c r="J28" s="157" t="s">
        <v>1705</v>
      </c>
      <c r="K28" s="157" t="s">
        <v>1706</v>
      </c>
    </row>
    <row r="29" spans="1:11" x14ac:dyDescent="0.25">
      <c r="B29" s="156" t="s">
        <v>1709</v>
      </c>
      <c r="C29" s="156"/>
      <c r="D29" s="156" t="str">
        <f>CHOOSE(Translations!$C$1+1,I29,J29,K29)</f>
        <v>HIV O-4.1b⁽ᴹ⁾ Porcentaje de personas transgénero que afirman haber utilizado preservativo en su último encuentro sexual o relación de sexo anal con una pareja masculina no regular</v>
      </c>
      <c r="E29" s="156"/>
      <c r="F29" s="156"/>
      <c r="G29" s="156" t="s">
        <v>8199</v>
      </c>
      <c r="H29" s="157"/>
      <c r="I29" s="157" t="s">
        <v>1712</v>
      </c>
      <c r="J29" s="157" t="s">
        <v>1713</v>
      </c>
      <c r="K29" s="157" t="s">
        <v>1714</v>
      </c>
    </row>
    <row r="30" spans="1:11" x14ac:dyDescent="0.25">
      <c r="B30" s="156" t="s">
        <v>1717</v>
      </c>
      <c r="C30" s="156"/>
      <c r="D30" s="156" t="str">
        <f>CHOOSE(Translations!$C$1+1,I30,J30,K30)</f>
        <v>HIV O-5⁽ᴹ⁾ Porcentaje de trabajadores sexuales que afirman haber utilizado preservativo con su último cliente</v>
      </c>
      <c r="E30" s="156"/>
      <c r="F30" s="156"/>
      <c r="G30" s="156" t="s">
        <v>8200</v>
      </c>
      <c r="H30" s="157"/>
      <c r="I30" s="157" t="s">
        <v>1720</v>
      </c>
      <c r="J30" s="157" t="s">
        <v>1721</v>
      </c>
      <c r="K30" s="157" t="s">
        <v>1722</v>
      </c>
    </row>
    <row r="31" spans="1:11" x14ac:dyDescent="0.25">
      <c r="B31" s="156" t="s">
        <v>1731</v>
      </c>
      <c r="C31" s="156"/>
      <c r="D31" s="156" t="str">
        <f>CHOOSE(Translations!$C$1+1,I31,J31,K31)</f>
        <v>HIV O-6⁽ᴹ⁾ Porcentaje de consumidores de drogas inyectables que afirman haber utilizado material de inyección esterilizado en su última inyección</v>
      </c>
      <c r="E31" s="156"/>
      <c r="F31" s="156"/>
      <c r="G31" s="156" t="s">
        <v>8201</v>
      </c>
      <c r="H31" s="157"/>
      <c r="I31" s="157" t="s">
        <v>1734</v>
      </c>
      <c r="J31" s="157" t="s">
        <v>1735</v>
      </c>
      <c r="K31" s="157" t="s">
        <v>1736</v>
      </c>
    </row>
    <row r="32" spans="1:11" x14ac:dyDescent="0.25">
      <c r="B32" s="156" t="s">
        <v>1745</v>
      </c>
      <c r="C32" s="156"/>
      <c r="D32" s="156" t="str">
        <f>CHOOSE(Translations!$C$1+1,I32,J32,K32)</f>
        <v>HIV O-9 Porcentaje de consumidores de drogas inyectables que afirman haber utilizado preservativo en su última relación sexual</v>
      </c>
      <c r="E32" s="156"/>
      <c r="F32" s="156"/>
      <c r="G32" s="156" t="s">
        <v>8202</v>
      </c>
      <c r="H32" s="157"/>
      <c r="I32" s="157" t="s">
        <v>1748</v>
      </c>
      <c r="J32" s="157" t="s">
        <v>1749</v>
      </c>
      <c r="K32" s="157" t="s">
        <v>1750</v>
      </c>
    </row>
    <row r="33" spans="2:11" x14ac:dyDescent="0.25">
      <c r="B33" s="156" t="s">
        <v>2847</v>
      </c>
      <c r="C33" s="156"/>
      <c r="D33" s="156" t="str">
        <f>CHOOSE(Translations!$C$1+1,I33,J33,K33)</f>
        <v>HIV O-7 Porcentaje de otras poblaciones vulnerables que afirman haber utilizado preservativo en su última relación sexual</v>
      </c>
      <c r="E33" s="156"/>
      <c r="F33" s="156"/>
      <c r="G33" s="156" t="s">
        <v>8203</v>
      </c>
      <c r="H33" s="157"/>
      <c r="I33" s="157" t="s">
        <v>2850</v>
      </c>
      <c r="J33" s="157" t="s">
        <v>2851</v>
      </c>
      <c r="K33" s="157" t="s">
        <v>2852</v>
      </c>
    </row>
    <row r="34" spans="2:11" x14ac:dyDescent="0.25">
      <c r="B34" s="156" t="s">
        <v>1759</v>
      </c>
      <c r="C34" s="156"/>
      <c r="D34" s="156" t="str">
        <f>CHOOSE(Translations!$C$1+1,I34,J34,K34)</f>
        <v>HIV O-11⁽ᴹ⁾ Porcentaje de personas que viven con el VIH que conocen su Estatus de VIH al final del período de reporte</v>
      </c>
      <c r="E34" s="156"/>
      <c r="F34" s="156"/>
      <c r="G34" s="156" t="s">
        <v>8204</v>
      </c>
      <c r="H34" s="157"/>
      <c r="I34" s="157" t="s">
        <v>1762</v>
      </c>
      <c r="J34" s="157" t="s">
        <v>1763</v>
      </c>
      <c r="K34" s="157" t="s">
        <v>1764</v>
      </c>
    </row>
    <row r="35" spans="2:11" x14ac:dyDescent="0.25">
      <c r="B35" s="156" t="s">
        <v>1769</v>
      </c>
      <c r="C35" s="156"/>
      <c r="D35" s="156" t="str">
        <f>CHOOSE(Translations!$C$1+1,I35,J35,K35)</f>
        <v>HIV O-12 Porcentaje de personas que viven con VIH que reciben tratamiento antirretroviral y tienen carga viral suprimida</v>
      </c>
      <c r="E35" s="156"/>
      <c r="F35" s="156"/>
      <c r="G35" s="156" t="s">
        <v>8205</v>
      </c>
      <c r="H35" s="157"/>
      <c r="I35" s="157" t="s">
        <v>1772</v>
      </c>
      <c r="J35" s="157" t="s">
        <v>1773</v>
      </c>
      <c r="K35" s="157" t="s">
        <v>1774</v>
      </c>
    </row>
    <row r="36" spans="2:11" x14ac:dyDescent="0.25">
      <c r="B36" s="156" t="s">
        <v>1779</v>
      </c>
      <c r="C36" s="156"/>
      <c r="D36" s="156" t="str">
        <f>CHOOSE(Translations!$C$1+1,I36,J36,K36)</f>
        <v>HIV O-13 Porcentaje de mujeres de 15 a 49 años, no solteras o con pareja, que han sufrido violencia física o sexual de una pareja masculina en los últimos 12 meses</v>
      </c>
      <c r="E36" s="156"/>
      <c r="F36" s="156"/>
      <c r="G36" s="156" t="s">
        <v>8206</v>
      </c>
      <c r="H36" s="157"/>
      <c r="I36" s="157" t="s">
        <v>1782</v>
      </c>
      <c r="J36" s="157" t="s">
        <v>1783</v>
      </c>
      <c r="K36" s="157" t="s">
        <v>1784</v>
      </c>
    </row>
    <row r="37" spans="2:11" x14ac:dyDescent="0.25">
      <c r="B37" s="156" t="s">
        <v>2859</v>
      </c>
      <c r="C37" s="156"/>
      <c r="D37" s="156" t="str">
        <f>CHOOSE(Translations!$C$1+1,I37,J37,K37)</f>
        <v>HIV O-14 Porcentaje de mujeres y hombres de 15 a 49 años que informan de actitudes discriminatorias hacia las personas que viven con el VIH</v>
      </c>
      <c r="E37" s="156"/>
      <c r="F37" s="156"/>
      <c r="G37" s="156" t="s">
        <v>8207</v>
      </c>
      <c r="H37" s="157"/>
      <c r="I37" s="157" t="s">
        <v>2862</v>
      </c>
      <c r="J37" s="157" t="s">
        <v>2863</v>
      </c>
      <c r="K37" s="157" t="s">
        <v>2864</v>
      </c>
    </row>
    <row r="38" spans="2:11" x14ac:dyDescent="0.25">
      <c r="B38" s="156" t="s">
        <v>2865</v>
      </c>
      <c r="C38" s="156"/>
      <c r="D38" s="156" t="str">
        <f>CHOOSE(Translations!$C$1+1,I38,J38,K38)</f>
        <v>HIV O-15 Porcentaje de personas que viven con el VIH que afirman haber experimentado discriminación relacionada con el VIH en el ámbito de servicios de salud</v>
      </c>
      <c r="E38" s="156"/>
      <c r="F38" s="156"/>
      <c r="G38" s="156" t="s">
        <v>8208</v>
      </c>
      <c r="H38" s="157"/>
      <c r="I38" s="157" t="s">
        <v>2868</v>
      </c>
      <c r="J38" s="157" t="s">
        <v>2869</v>
      </c>
      <c r="K38" s="157" t="s">
        <v>2870</v>
      </c>
    </row>
    <row r="39" spans="2:11" x14ac:dyDescent="0.25">
      <c r="B39" s="156" t="s">
        <v>1787</v>
      </c>
      <c r="C39" s="156"/>
      <c r="D39" s="156" t="str">
        <f>CHOOSE(Translations!$C$1+1,I39,J39,K39)</f>
        <v>HIV O-16a Porcentaje de HSH que evitan la atención sanitaria debido al estigma y la discriminación</v>
      </c>
      <c r="E39" s="156"/>
      <c r="F39" s="156"/>
      <c r="G39" s="156" t="s">
        <v>8209</v>
      </c>
      <c r="H39" s="157"/>
      <c r="I39" s="157" t="s">
        <v>1790</v>
      </c>
      <c r="J39" s="157" t="s">
        <v>1791</v>
      </c>
      <c r="K39" s="157" t="s">
        <v>1792</v>
      </c>
    </row>
    <row r="40" spans="2:11" x14ac:dyDescent="0.25">
      <c r="B40" s="156" t="s">
        <v>1795</v>
      </c>
      <c r="C40" s="156"/>
      <c r="D40" s="156" t="str">
        <f>CHOOSE(Translations!$C$1+1,I40,J40,K40)</f>
        <v>HIV O-16b Porcentaje de grupos objetivo que evitan la atención sanitaria debido al estigma y la discriminación</v>
      </c>
      <c r="E40" s="156"/>
      <c r="F40" s="156"/>
      <c r="G40" s="156" t="s">
        <v>8210</v>
      </c>
      <c r="H40" s="157"/>
      <c r="I40" s="157" t="s">
        <v>1798</v>
      </c>
      <c r="J40" s="157" t="s">
        <v>1799</v>
      </c>
      <c r="K40" s="157" t="s">
        <v>1800</v>
      </c>
    </row>
    <row r="41" spans="2:11" x14ac:dyDescent="0.25">
      <c r="B41" s="156" t="s">
        <v>1803</v>
      </c>
      <c r="C41" s="156"/>
      <c r="D41" s="156" t="str">
        <f>CHOOSE(Translations!$C$1+1,I41,J41,K41)</f>
        <v>HIV O-16c Porcentaje de trabajadores sexuales que evitan la atención sanitaria debido al estigma y la discriminación</v>
      </c>
      <c r="E41" s="156"/>
      <c r="F41" s="156"/>
      <c r="G41" s="156" t="s">
        <v>8211</v>
      </c>
      <c r="H41" s="157"/>
      <c r="I41" s="157" t="s">
        <v>1806</v>
      </c>
      <c r="J41" s="157" t="s">
        <v>1807</v>
      </c>
      <c r="K41" s="157" t="s">
        <v>1808</v>
      </c>
    </row>
    <row r="42" spans="2:11" x14ac:dyDescent="0.25">
      <c r="B42" s="156" t="s">
        <v>1817</v>
      </c>
      <c r="C42" s="156"/>
      <c r="D42" s="156" t="str">
        <f>CHOOSE(Translations!$C$1+1,I42,J42,K42)</f>
        <v>HIV O-16d Porcentaje de personas que consumen drogas inyectables que evitan la atención sanitaria debido al estigma y la discriminación</v>
      </c>
      <c r="E42" s="156"/>
      <c r="F42" s="156"/>
      <c r="G42" s="156" t="s">
        <v>8212</v>
      </c>
      <c r="H42" s="157"/>
      <c r="I42" s="157" t="s">
        <v>1820</v>
      </c>
      <c r="J42" s="157" t="s">
        <v>1821</v>
      </c>
      <c r="K42" s="157" t="s">
        <v>1822</v>
      </c>
    </row>
    <row r="43" spans="2:11" x14ac:dyDescent="0.25">
      <c r="B43" s="156" t="s">
        <v>1831</v>
      </c>
      <c r="C43" s="156"/>
      <c r="D43" s="156" t="str">
        <f>CHOOSE(Translations!$C$1+1,I43,J43,K43)</f>
        <v>HIV O-17 Porcentaje de personas que viven con el VIH que, habiendo notificado la violación de sus derechos, buscaron compensación jurídica</v>
      </c>
      <c r="E43" s="156"/>
      <c r="F43" s="156"/>
      <c r="G43" s="156" t="s">
        <v>8213</v>
      </c>
      <c r="H43" s="157"/>
      <c r="I43" s="157" t="s">
        <v>1840</v>
      </c>
      <c r="J43" s="157" t="s">
        <v>1841</v>
      </c>
      <c r="K43" s="157" t="s">
        <v>1842</v>
      </c>
    </row>
    <row r="44" spans="2:11" x14ac:dyDescent="0.25">
      <c r="B44" s="156" t="s">
        <v>2884</v>
      </c>
      <c r="C44" s="156"/>
      <c r="D44" s="156" t="str">
        <f>CHOOSE(Translations!$C$1+1,I44,J44,K44)</f>
        <v>HIV O-18 Porcentajes de mujeres de 15 a 24 años de edad que han tenido dos o más parejas en los últimos 12 meses</v>
      </c>
      <c r="E44" s="156"/>
      <c r="F44" s="156"/>
      <c r="G44" s="156" t="s">
        <v>8214</v>
      </c>
      <c r="H44" s="157"/>
      <c r="I44" s="157" t="s">
        <v>2887</v>
      </c>
      <c r="J44" s="157" t="s">
        <v>2888</v>
      </c>
      <c r="K44" s="157" t="s">
        <v>2889</v>
      </c>
    </row>
    <row r="45" spans="2:11" x14ac:dyDescent="0.25">
      <c r="B45" s="156" t="s">
        <v>2890</v>
      </c>
      <c r="C45" s="156"/>
      <c r="D45" s="156" t="str">
        <f>CHOOSE(Translations!$C$1+1,I45,J45,K45)</f>
        <v>HIV O-19 Porcentaje de mujeres de 15 a 19 años de edad que han tenido un niño nacido vivo o que están embarazadas actualmente</v>
      </c>
      <c r="E45" s="156"/>
      <c r="F45" s="156"/>
      <c r="G45" s="156" t="s">
        <v>8215</v>
      </c>
      <c r="H45" s="157"/>
      <c r="I45" s="157" t="s">
        <v>2893</v>
      </c>
      <c r="J45" s="157" t="s">
        <v>2894</v>
      </c>
      <c r="K45" s="157" t="s">
        <v>2895</v>
      </c>
    </row>
    <row r="46" spans="2:11" x14ac:dyDescent="0.25">
      <c r="B46" s="156" t="s">
        <v>2896</v>
      </c>
      <c r="C46" s="156"/>
      <c r="D46" s="156" t="str">
        <f>CHOOSE(Translations!$C$1+1,I46,J46,K46)</f>
        <v>HIV O-20 Porcentaje de mujeres de 15 a 24 años de edad que abandonaron los estudios en el último año</v>
      </c>
      <c r="E46" s="156"/>
      <c r="F46" s="156"/>
      <c r="G46" s="156" t="s">
        <v>8216</v>
      </c>
      <c r="H46" s="157"/>
      <c r="I46" s="157" t="s">
        <v>2899</v>
      </c>
      <c r="J46" s="157" t="s">
        <v>2900</v>
      </c>
      <c r="K46" s="157" t="s">
        <v>2901</v>
      </c>
    </row>
    <row r="47" spans="2:11" x14ac:dyDescent="0.25">
      <c r="B47" s="156" t="s">
        <v>1867</v>
      </c>
      <c r="C47" s="156"/>
      <c r="D47" s="156" t="str">
        <f>CHOOSE(Translations!$C$1+1,I47,J47,K47)</f>
        <v>HIV O-21 Porcentaje de personas que viven con el VIH que no reciben TARV al final del período de reporte entre el total de personas que viven con el VIH en TARV o que iniciaron TARV durante el período de reporte</v>
      </c>
      <c r="E47" s="156"/>
      <c r="F47" s="156"/>
      <c r="G47" s="156" t="s">
        <v>8217</v>
      </c>
      <c r="H47" s="157"/>
      <c r="I47" s="157" t="s">
        <v>1876</v>
      </c>
      <c r="J47" s="157" t="s">
        <v>1877</v>
      </c>
      <c r="K47" s="157" t="s">
        <v>1878</v>
      </c>
    </row>
    <row r="48" spans="2:11" x14ac:dyDescent="0.25">
      <c r="B48" s="156" t="s">
        <v>2907</v>
      </c>
      <c r="C48" s="156"/>
      <c r="D48" s="156" t="str">
        <f>CHOOSE(Translations!$C$1+1,I48,J48,K48)</f>
        <v>TB O-1a Tasa de notificación de casos de todas las  forma de tuberculosis por cada 100.000 habitantes, confirmados bacteriológicamente y con diagnóstico clínico, casos nuevos y recaídas.</v>
      </c>
      <c r="E48" s="156"/>
      <c r="F48" s="156"/>
      <c r="G48" s="156" t="s">
        <v>8218</v>
      </c>
      <c r="H48" s="157"/>
      <c r="I48" s="157" t="s">
        <v>2910</v>
      </c>
      <c r="J48" s="157" t="s">
        <v>2911</v>
      </c>
      <c r="K48" s="157" t="s">
        <v>2912</v>
      </c>
    </row>
    <row r="49" spans="2:11" x14ac:dyDescent="0.25">
      <c r="B49" s="156" t="s">
        <v>2913</v>
      </c>
      <c r="C49" s="156"/>
      <c r="D49" s="156" t="str">
        <f>CHOOSE(Translations!$C$1+1,I49,J49,K49)</f>
        <v>TB O-2a Tasa de éxito del tratamiento en todas las formas de tuberculosis, confirmada bacteriológicamente y con diagnóstico clínico, casos nuevos y recaídas.</v>
      </c>
      <c r="E49" s="156"/>
      <c r="F49" s="156"/>
      <c r="G49" s="156" t="s">
        <v>8219</v>
      </c>
      <c r="H49" s="157"/>
      <c r="I49" s="157" t="s">
        <v>2916</v>
      </c>
      <c r="J49" s="157" t="s">
        <v>2917</v>
      </c>
      <c r="K49" s="157" t="s">
        <v>2918</v>
      </c>
    </row>
    <row r="50" spans="2:11" x14ac:dyDescent="0.25">
      <c r="B50" s="156" t="s">
        <v>2925</v>
      </c>
      <c r="C50" s="156"/>
      <c r="D50" s="156" t="str">
        <f>CHOOSE(Translations!$C$1+1,I50,J50,K50)</f>
        <v>TB O-4⁽ᴹ⁾ Tasa de éxito del tratamiento de los casos de tuberculosis resistente a la rifampicina y/o tuberculosis multirresistente: Porcentaje de casos de tuberculosis resistente a la rifampicina y/o tuberculosis multirresistente tratados con éxito.</v>
      </c>
      <c r="E50" s="156"/>
      <c r="F50" s="156"/>
      <c r="G50" s="156" t="s">
        <v>8220</v>
      </c>
      <c r="H50" s="157"/>
      <c r="I50" s="157" t="s">
        <v>2928</v>
      </c>
      <c r="J50" s="157" t="s">
        <v>2929</v>
      </c>
      <c r="K50" s="157" t="s">
        <v>2930</v>
      </c>
    </row>
    <row r="51" spans="2:11" x14ac:dyDescent="0.25">
      <c r="B51" s="156" t="s">
        <v>2931</v>
      </c>
      <c r="C51" s="156"/>
      <c r="D51" s="156" t="str">
        <f>CHOOSE(Translations!$C$1+1,I51,J51,K51)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E51" s="156"/>
      <c r="F51" s="156"/>
      <c r="G51" s="156" t="s">
        <v>8221</v>
      </c>
      <c r="H51" s="157"/>
      <c r="I51" s="157" t="s">
        <v>2934</v>
      </c>
      <c r="J51" s="157" t="s">
        <v>2935</v>
      </c>
      <c r="K51" s="157" t="s">
        <v>2936</v>
      </c>
    </row>
    <row r="52" spans="2:11" x14ac:dyDescent="0.25">
      <c r="B52" s="156" t="s">
        <v>2919</v>
      </c>
      <c r="C52" s="156"/>
      <c r="D52" s="156" t="str">
        <f>CHOOSE(Translations!$C$1+1,I52,J52,K52)</f>
        <v>TB O-6 Notificación de casos de tuberculosis resistente a la rifampicina (TB-RR) y/o tuberculosis multirresistente (TB-MR): porcentaje de casos notificados de TB-RR y/o TB-MR confirmados bacteriológicamente como proporción de todos los casos estimados de TB-RR y/o TB-MR.</v>
      </c>
      <c r="E52" s="156"/>
      <c r="F52" s="156"/>
      <c r="G52" s="156" t="s">
        <v>8222</v>
      </c>
      <c r="H52" s="157"/>
      <c r="I52" s="157" t="s">
        <v>2922</v>
      </c>
      <c r="J52" s="157" t="s">
        <v>2923</v>
      </c>
      <c r="K52" s="157" t="s">
        <v>2924</v>
      </c>
    </row>
    <row r="53" spans="2:11" x14ac:dyDescent="0.25">
      <c r="B53" s="156" t="s">
        <v>1899</v>
      </c>
      <c r="C53" s="156"/>
      <c r="D53" s="156" t="str">
        <f>CHOOSE(Translations!$C$1+1,I53,J53,K53)</f>
        <v>TB O-7 Porcentaje de personas con tuberculosis que han sufrido autoestigmatización a causa de su estado con respecto a la enfermedad que les ha impedido buscar servicios relacionados con la tuberculosis y acceder</v>
      </c>
      <c r="E53" s="156"/>
      <c r="F53" s="156"/>
      <c r="G53" s="156" t="s">
        <v>8223</v>
      </c>
      <c r="H53" s="157"/>
      <c r="I53" s="157" t="s">
        <v>1902</v>
      </c>
      <c r="J53" s="157" t="s">
        <v>1903</v>
      </c>
      <c r="K53" s="157" t="s">
        <v>1904</v>
      </c>
    </row>
    <row r="54" spans="2:11" x14ac:dyDescent="0.25">
      <c r="B54" s="156" t="s">
        <v>1907</v>
      </c>
      <c r="C54" s="156"/>
      <c r="D54" s="156" t="str">
        <f>CHOOSE(Translations!$C$1+1,I54,J54,K54)</f>
        <v>TB O-8 Porcentaje de personas con tuberculosis que han sufrido estigmatización en centros de atención de la salud a causa de su estado con respecto a la enfermedad que les ha impedido buscar servicios relacionados con la tuberculosis y acceder</v>
      </c>
      <c r="E54" s="156"/>
      <c r="F54" s="156"/>
      <c r="G54" s="156" t="s">
        <v>8224</v>
      </c>
      <c r="H54" s="157"/>
      <c r="I54" s="157" t="s">
        <v>1910</v>
      </c>
      <c r="J54" s="157" t="s">
        <v>1911</v>
      </c>
      <c r="K54" s="157" t="s">
        <v>1912</v>
      </c>
    </row>
    <row r="55" spans="2:11" x14ac:dyDescent="0.25">
      <c r="B55" s="156" t="s">
        <v>1915</v>
      </c>
      <c r="C55" s="156"/>
      <c r="D55" s="156" t="str">
        <f>CHOOSE(Translations!$C$1+1,I55,J55,K55)</f>
        <v>TB O-9 Porcentajeo de personas con tuberculosis que han sufrido estigmatización en centros comunitarios a causa de su estado con respecto a la enfermedad que les ha impedido buscar servicios relacionados con la tuberculosis y acceder</v>
      </c>
      <c r="E55" s="156"/>
      <c r="F55" s="156"/>
      <c r="G55" s="156" t="s">
        <v>8225</v>
      </c>
      <c r="H55" s="157"/>
      <c r="I55" s="157" t="s">
        <v>1918</v>
      </c>
      <c r="J55" s="157" t="s">
        <v>1919</v>
      </c>
      <c r="K55" s="157" t="s">
        <v>1920</v>
      </c>
    </row>
    <row r="56" spans="2:11" x14ac:dyDescent="0.25">
      <c r="B56" s="156" t="s">
        <v>2943</v>
      </c>
      <c r="C56" s="156"/>
      <c r="D56" s="156" t="str">
        <f>CHOOSE(Translations!$C$1+1,I56,J56,K56)</f>
        <v>HSS O-5 Porcentaje de centros de establecimientos de salud con medicamentos marcadores para las tres enfermedades disponibles el día de la visita o el día de la notificación</v>
      </c>
      <c r="E56" s="156"/>
      <c r="F56" s="156"/>
      <c r="G56" s="156" t="s">
        <v>8226</v>
      </c>
      <c r="H56" s="157"/>
      <c r="I56" s="157" t="s">
        <v>2946</v>
      </c>
      <c r="J56" s="157" t="s">
        <v>2947</v>
      </c>
      <c r="K56" s="157" t="s">
        <v>2948</v>
      </c>
    </row>
    <row r="57" spans="2:11" x14ac:dyDescent="0.25">
      <c r="B57" s="156" t="s">
        <v>2951</v>
      </c>
      <c r="C57" s="156"/>
      <c r="D57" s="156" t="str">
        <f>CHOOSE(Translations!$C$1+1,I57,J57,K57)</f>
        <v>HSS O-6 Porcentaje de establecimientos  de salud que prestan servicios de diagnóstico el día de la evaluación</v>
      </c>
      <c r="E57" s="156"/>
      <c r="F57" s="156"/>
      <c r="G57" s="156" t="s">
        <v>8227</v>
      </c>
      <c r="H57" s="157"/>
      <c r="I57" s="157" t="s">
        <v>2954</v>
      </c>
      <c r="J57" s="157" t="s">
        <v>2955</v>
      </c>
      <c r="K57" s="157" t="s">
        <v>2956</v>
      </c>
    </row>
    <row r="58" spans="2:11" x14ac:dyDescent="0.25">
      <c r="B58" s="156" t="s">
        <v>2959</v>
      </c>
      <c r="C58" s="156"/>
      <c r="D58" s="156" t="str">
        <f>CHOOSE(Translations!$C$1+1,I58,J58,K58)</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58" s="156"/>
      <c r="F58" s="156"/>
      <c r="G58" s="156" t="s">
        <v>8228</v>
      </c>
      <c r="H58" s="157"/>
      <c r="I58" s="157" t="s">
        <v>2962</v>
      </c>
      <c r="J58" s="157" t="s">
        <v>2963</v>
      </c>
      <c r="K58" s="157" t="s">
        <v>2964</v>
      </c>
    </row>
    <row r="59" spans="2:11" x14ac:dyDescent="0.25">
      <c r="B59" s="156" t="s">
        <v>1954</v>
      </c>
      <c r="C59" s="156"/>
      <c r="D59" s="156" t="str">
        <f>CHOOSE(Translations!$C$1+1,I59,J59,K59)</f>
        <v>HSS O-8 Trabajadores de  salud activos por cada 10.000 habitantes</v>
      </c>
      <c r="E59" s="156"/>
      <c r="F59" s="156"/>
      <c r="G59" s="156" t="s">
        <v>8229</v>
      </c>
      <c r="H59" s="157"/>
      <c r="I59" s="157" t="s">
        <v>1963</v>
      </c>
      <c r="J59" s="157" t="s">
        <v>1964</v>
      </c>
      <c r="K59" s="157" t="s">
        <v>1965</v>
      </c>
    </row>
    <row r="60" spans="2:11" x14ac:dyDescent="0.25">
      <c r="B60" s="156" t="s">
        <v>1986</v>
      </c>
      <c r="C60" s="156"/>
      <c r="D60" s="156" t="str">
        <f>CHOOSE(Translations!$C$1+1,I60,J60,K60)</f>
        <v>HSS O-9 Porcentaje de clientes prenatales con primera visita antes de las 12 semanas</v>
      </c>
      <c r="E60" s="156"/>
      <c r="F60" s="156"/>
      <c r="G60" s="156" t="s">
        <v>8230</v>
      </c>
      <c r="H60" s="157"/>
      <c r="I60" s="157" t="s">
        <v>1989</v>
      </c>
      <c r="J60" s="157" t="s">
        <v>1990</v>
      </c>
      <c r="K60" s="157" t="s">
        <v>1991</v>
      </c>
    </row>
    <row r="61" spans="2:11" x14ac:dyDescent="0.25">
      <c r="B61" s="156" t="s">
        <v>2975</v>
      </c>
      <c r="C61" s="156"/>
      <c r="D61" s="156" t="str">
        <f>CHOOSE(Translations!$C$1+1,I61,J61,K61)</f>
        <v>HSS O-10 Proporción de población con importantes gastos en salud en el hogar como parte de los gastos o ingresos totales del hogar (gastos catastróficos en salud)</v>
      </c>
      <c r="E61" s="156"/>
      <c r="F61" s="156"/>
      <c r="G61" s="156" t="s">
        <v>8231</v>
      </c>
      <c r="H61" s="157"/>
      <c r="I61" s="157" t="s">
        <v>2978</v>
      </c>
      <c r="J61" s="157" t="s">
        <v>2979</v>
      </c>
      <c r="K61" s="157" t="s">
        <v>2980</v>
      </c>
    </row>
    <row r="62" spans="2:11" x14ac:dyDescent="0.25">
      <c r="B62" s="156" t="s">
        <v>2943</v>
      </c>
      <c r="C62" s="156"/>
      <c r="D62" s="156" t="str">
        <f>CHOOSE(Translations!$C$1+1,I62,J62,K62)</f>
        <v>HSS O-5 Porcentaje de centros de establecimientos de salud con medicamentos marcadores para las tres enfermedades disponibles el día de la visita o el día de la notificación</v>
      </c>
      <c r="E62" s="156"/>
      <c r="F62" s="156"/>
      <c r="G62" s="156" t="s">
        <v>8232</v>
      </c>
      <c r="H62" s="157"/>
      <c r="I62" s="157" t="s">
        <v>2946</v>
      </c>
      <c r="J62" s="157" t="s">
        <v>2947</v>
      </c>
      <c r="K62" s="157" t="s">
        <v>2948</v>
      </c>
    </row>
    <row r="63" spans="2:11" x14ac:dyDescent="0.25">
      <c r="B63" s="156" t="s">
        <v>2951</v>
      </c>
      <c r="C63" s="156"/>
      <c r="D63" s="156" t="str">
        <f>CHOOSE(Translations!$C$1+1,I63,J63,K63)</f>
        <v>HSS O-6 Porcentaje de establecimientos  de salud que prestan servicios de diagnóstico el día de la evaluación</v>
      </c>
      <c r="E63" s="156"/>
      <c r="F63" s="156"/>
      <c r="G63" s="156" t="s">
        <v>8233</v>
      </c>
      <c r="H63" s="157"/>
      <c r="I63" s="157" t="s">
        <v>2954</v>
      </c>
      <c r="J63" s="157" t="s">
        <v>2955</v>
      </c>
      <c r="K63" s="157" t="s">
        <v>2956</v>
      </c>
    </row>
    <row r="64" spans="2:11" x14ac:dyDescent="0.25">
      <c r="B64" s="156" t="s">
        <v>2959</v>
      </c>
      <c r="C64" s="156"/>
      <c r="D64" s="156" t="str">
        <f>CHOOSE(Translations!$C$1+1,I64,J64,K64)</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64" s="156"/>
      <c r="F64" s="156"/>
      <c r="G64" s="156" t="s">
        <v>8234</v>
      </c>
      <c r="H64" s="157"/>
      <c r="I64" s="157" t="s">
        <v>2962</v>
      </c>
      <c r="J64" s="157" t="s">
        <v>2963</v>
      </c>
      <c r="K64" s="157" t="s">
        <v>2964</v>
      </c>
    </row>
    <row r="65" spans="2:11" x14ac:dyDescent="0.25">
      <c r="B65" s="156" t="s">
        <v>1954</v>
      </c>
      <c r="C65" s="156"/>
      <c r="D65" s="156" t="str">
        <f>CHOOSE(Translations!$C$1+1,I65,J65,K65)</f>
        <v>HSS O-8 Trabajadores de  salud activos por cada 10.000 habitantes</v>
      </c>
      <c r="E65" s="156"/>
      <c r="F65" s="156"/>
      <c r="G65" s="156" t="s">
        <v>8235</v>
      </c>
      <c r="H65" s="157"/>
      <c r="I65" s="157" t="s">
        <v>1963</v>
      </c>
      <c r="J65" s="157" t="s">
        <v>1964</v>
      </c>
      <c r="K65" s="157" t="s">
        <v>1965</v>
      </c>
    </row>
    <row r="66" spans="2:11" x14ac:dyDescent="0.25">
      <c r="B66" s="156" t="s">
        <v>1986</v>
      </c>
      <c r="C66" s="156"/>
      <c r="D66" s="156" t="str">
        <f>CHOOSE(Translations!$C$1+1,I66,J66,K66)</f>
        <v>HSS O-9 Porcentaje de clientes prenatales con primera visita antes de las 12 semanas</v>
      </c>
      <c r="E66" s="156"/>
      <c r="F66" s="156"/>
      <c r="G66" s="156" t="s">
        <v>8236</v>
      </c>
      <c r="H66" s="157"/>
      <c r="I66" s="157" t="s">
        <v>1989</v>
      </c>
      <c r="J66" s="157" t="s">
        <v>1990</v>
      </c>
      <c r="K66" s="157" t="s">
        <v>1991</v>
      </c>
    </row>
    <row r="67" spans="2:11" x14ac:dyDescent="0.25">
      <c r="B67" s="156" t="s">
        <v>2975</v>
      </c>
      <c r="C67" s="156"/>
      <c r="D67" s="156" t="str">
        <f>CHOOSE(Translations!$C$1+1,I67,J67,K67)</f>
        <v>HSS O-10 Proporción de población con importantes gastos en salud en el hogar como parte de los gastos o ingresos totales del hogar (gastos catastróficos en salud)</v>
      </c>
      <c r="E67" s="156"/>
      <c r="F67" s="156"/>
      <c r="G67" s="156" t="s">
        <v>8237</v>
      </c>
      <c r="H67" s="157"/>
      <c r="I67" s="157" t="s">
        <v>2978</v>
      </c>
      <c r="J67" s="157" t="s">
        <v>2979</v>
      </c>
      <c r="K67" s="157" t="s">
        <v>2980</v>
      </c>
    </row>
    <row r="68" spans="2:11" x14ac:dyDescent="0.25">
      <c r="B68" s="156" t="s">
        <v>2943</v>
      </c>
      <c r="C68" s="156"/>
      <c r="D68" s="156" t="str">
        <f>CHOOSE(Translations!$C$1+1,I68,J68,K68)</f>
        <v>HSS O-5 Porcentaje de centros de establecimientos de salud con medicamentos marcadores para las tres enfermedades disponibles el día de la visita o el día de la notificación</v>
      </c>
      <c r="E68" s="156"/>
      <c r="F68" s="156"/>
      <c r="G68" s="156" t="s">
        <v>8238</v>
      </c>
      <c r="H68" s="157"/>
      <c r="I68" s="157" t="s">
        <v>2946</v>
      </c>
      <c r="J68" s="157" t="s">
        <v>2947</v>
      </c>
      <c r="K68" s="157" t="s">
        <v>2948</v>
      </c>
    </row>
    <row r="69" spans="2:11" x14ac:dyDescent="0.25">
      <c r="B69" s="156" t="s">
        <v>2951</v>
      </c>
      <c r="C69" s="156"/>
      <c r="D69" s="156" t="str">
        <f>CHOOSE(Translations!$C$1+1,I69,J69,K69)</f>
        <v>HSS O-6 Porcentaje de establecimientos  de salud que prestan servicios de diagnóstico el día de la evaluación</v>
      </c>
      <c r="E69" s="156"/>
      <c r="F69" s="156"/>
      <c r="G69" s="156" t="s">
        <v>8239</v>
      </c>
      <c r="H69" s="157"/>
      <c r="I69" s="157" t="s">
        <v>2954</v>
      </c>
      <c r="J69" s="157" t="s">
        <v>2955</v>
      </c>
      <c r="K69" s="157" t="s">
        <v>2956</v>
      </c>
    </row>
    <row r="70" spans="2:11" x14ac:dyDescent="0.25">
      <c r="B70" s="156" t="s">
        <v>2959</v>
      </c>
      <c r="C70" s="156"/>
      <c r="D70" s="156" t="str">
        <f>CHOOSE(Translations!$C$1+1,I70,J70,K70)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70" s="156"/>
      <c r="F70" s="156"/>
      <c r="G70" s="156" t="s">
        <v>8240</v>
      </c>
      <c r="H70" s="157"/>
      <c r="I70" s="157" t="s">
        <v>2962</v>
      </c>
      <c r="J70" s="157" t="s">
        <v>2963</v>
      </c>
      <c r="K70" s="157" t="s">
        <v>2964</v>
      </c>
    </row>
    <row r="71" spans="2:11" x14ac:dyDescent="0.25">
      <c r="B71" s="156" t="s">
        <v>1954</v>
      </c>
      <c r="C71" s="156"/>
      <c r="D71" s="156" t="str">
        <f>CHOOSE(Translations!$C$1+1,I71,J71,K71)</f>
        <v>HSS O-8 Trabajadores de  salud activos por cada 10.000 habitantes</v>
      </c>
      <c r="E71" s="156"/>
      <c r="F71" s="156"/>
      <c r="G71" s="156" t="s">
        <v>8241</v>
      </c>
      <c r="H71" s="157"/>
      <c r="I71" s="157" t="s">
        <v>1963</v>
      </c>
      <c r="J71" s="157" t="s">
        <v>1964</v>
      </c>
      <c r="K71" s="157" t="s">
        <v>1965</v>
      </c>
    </row>
    <row r="72" spans="2:11" x14ac:dyDescent="0.25">
      <c r="B72" s="156" t="s">
        <v>1986</v>
      </c>
      <c r="C72" s="156"/>
      <c r="D72" s="156" t="str">
        <f>CHOOSE(Translations!$C$1+1,I72,J72,K72)</f>
        <v>HSS O-9 Porcentaje de clientes prenatales con primera visita antes de las 12 semanas</v>
      </c>
      <c r="E72" s="156"/>
      <c r="F72" s="156"/>
      <c r="G72" s="156" t="s">
        <v>8242</v>
      </c>
      <c r="H72" s="157"/>
      <c r="I72" s="157" t="s">
        <v>1989</v>
      </c>
      <c r="J72" s="157" t="s">
        <v>1990</v>
      </c>
      <c r="K72" s="157" t="s">
        <v>1991</v>
      </c>
    </row>
    <row r="73" spans="2:11" x14ac:dyDescent="0.25">
      <c r="B73" s="156" t="s">
        <v>2975</v>
      </c>
      <c r="C73" s="156"/>
      <c r="D73" s="156" t="str">
        <f>CHOOSE(Translations!$C$1+1,I73,J73,K73)</f>
        <v>HSS O-10 Proporción de población con importantes gastos en salud en el hogar como parte de los gastos o ingresos totales del hogar (gastos catastróficos en salud)</v>
      </c>
      <c r="E73" s="156"/>
      <c r="F73" s="156"/>
      <c r="G73" s="156" t="s">
        <v>8243</v>
      </c>
      <c r="H73" s="157"/>
      <c r="I73" s="157" t="s">
        <v>2978</v>
      </c>
      <c r="J73" s="157" t="s">
        <v>2979</v>
      </c>
      <c r="K73" s="157" t="s">
        <v>2980</v>
      </c>
    </row>
    <row r="74" spans="2:11" x14ac:dyDescent="0.25">
      <c r="B74" s="156" t="s">
        <v>8244</v>
      </c>
      <c r="C74" s="156"/>
      <c r="D74" s="156" t="str">
        <f>CHOOSE(Translations!$C$1+1,I74,J74,K74)</f>
        <v>HIV O-1(M): Porcentaje de adultos y niños con VIH que se sabe que continúan con el tratamiento 12 meses después de iniciar la terapia antirretroviral</v>
      </c>
      <c r="E74" s="156"/>
      <c r="F74" s="156"/>
      <c r="G74" s="156" t="s">
        <v>8245</v>
      </c>
      <c r="H74" s="157" t="s">
        <v>258</v>
      </c>
      <c r="I74" s="157" t="s">
        <v>8246</v>
      </c>
      <c r="J74" s="157" t="s">
        <v>8247</v>
      </c>
      <c r="K74" s="157" t="s">
        <v>8248</v>
      </c>
    </row>
    <row r="75" spans="2:11" x14ac:dyDescent="0.25">
      <c r="B75" s="156" t="s">
        <v>8249</v>
      </c>
      <c r="C75" s="156"/>
      <c r="D75" s="156" t="str">
        <f>CHOOSE(Translations!$C$1+1,I75,J75,K75)</f>
        <v>HIV O-2: Porcentaje de mujeres y hombres de entre 15 y 49 años que han tenido más de una pareja sexual en los últimos 12 meses</v>
      </c>
      <c r="E75" s="156"/>
      <c r="F75" s="156"/>
      <c r="G75" s="156" t="s">
        <v>8250</v>
      </c>
      <c r="H75" s="157" t="s">
        <v>258</v>
      </c>
      <c r="I75" s="157" t="s">
        <v>8251</v>
      </c>
      <c r="J75" s="157" t="s">
        <v>8252</v>
      </c>
      <c r="K75" s="157" t="s">
        <v>8253</v>
      </c>
    </row>
    <row r="76" spans="2:11" x14ac:dyDescent="0.25">
      <c r="B76" s="156" t="s">
        <v>8254</v>
      </c>
      <c r="C76" s="156"/>
      <c r="D76" s="156" t="str">
        <f>CHOOSE(Translations!$C$1+1,I76,J76,K76)</f>
        <v>HIV O-3: Porcentaje de mujeres y hombres de entre 15 y 49 años que han tenido más de una pareja sexual en los últimos 12 meses y dicen haber utilizado preservativo en su última relación sexual</v>
      </c>
      <c r="E76" s="156"/>
      <c r="F76" s="156"/>
      <c r="G76" s="156" t="s">
        <v>8255</v>
      </c>
      <c r="H76" s="157" t="s">
        <v>258</v>
      </c>
      <c r="I76" s="157" t="s">
        <v>8256</v>
      </c>
      <c r="J76" s="157" t="s">
        <v>8257</v>
      </c>
      <c r="K76" s="157" t="s">
        <v>8258</v>
      </c>
    </row>
    <row r="77" spans="2:11" x14ac:dyDescent="0.25">
      <c r="B77" s="156" t="s">
        <v>8259</v>
      </c>
      <c r="C77" s="156"/>
      <c r="D77" s="156" t="str">
        <f>CHOOSE(Translations!$C$1+1,I77,J77,K77)</f>
        <v>HIV O-4a(M): Porcentaje de hombres que afirman haber utilizado preservativo en su última relación de sexo anal con otro hombre</v>
      </c>
      <c r="E77" s="156"/>
      <c r="F77" s="156"/>
      <c r="G77" s="156" t="s">
        <v>8260</v>
      </c>
      <c r="H77" s="157" t="s">
        <v>258</v>
      </c>
      <c r="I77" s="157" t="s">
        <v>8261</v>
      </c>
      <c r="J77" s="157" t="s">
        <v>8262</v>
      </c>
      <c r="K77" s="157" t="s">
        <v>8263</v>
      </c>
    </row>
    <row r="78" spans="2:11" x14ac:dyDescent="0.25">
      <c r="B78" s="156" t="s">
        <v>8264</v>
      </c>
      <c r="C78" s="156"/>
      <c r="D78" s="156" t="str">
        <f>CHOOSE(Translations!$C$1+1,I78,J78,K78)</f>
        <v>HIV O-4b: porcentaje de personas transgénero que comercian con sexo que dicen haber utilizado preservativo con su último cliente</v>
      </c>
      <c r="E78" s="156"/>
      <c r="F78" s="156"/>
      <c r="G78" s="156" t="s">
        <v>8265</v>
      </c>
      <c r="H78" s="157" t="s">
        <v>258</v>
      </c>
      <c r="I78" s="157" t="s">
        <v>8266</v>
      </c>
      <c r="J78" s="157" t="s">
        <v>8267</v>
      </c>
      <c r="K78" s="157" t="s">
        <v>8268</v>
      </c>
    </row>
    <row r="79" spans="2:11" x14ac:dyDescent="0.25">
      <c r="B79" s="156" t="s">
        <v>8269</v>
      </c>
      <c r="C79" s="156"/>
      <c r="D79" s="156" t="str">
        <f>CHOOSE(Translations!$C$1+1,I79,J79,K79)</f>
        <v>HIV O-5(M): Porcentaje de trabajadores del sexo que reportan haber utilizado preservativo con su último cliente</v>
      </c>
      <c r="E79" s="156"/>
      <c r="F79" s="156"/>
      <c r="G79" s="156" t="s">
        <v>8270</v>
      </c>
      <c r="H79" s="157" t="s">
        <v>258</v>
      </c>
      <c r="I79" s="157" t="s">
        <v>8271</v>
      </c>
      <c r="J79" s="157" t="s">
        <v>8272</v>
      </c>
      <c r="K79" s="157" t="s">
        <v>8273</v>
      </c>
    </row>
    <row r="80" spans="2:11" x14ac:dyDescent="0.25">
      <c r="B80" s="156" t="s">
        <v>8274</v>
      </c>
      <c r="C80" s="156"/>
      <c r="D80" s="156" t="str">
        <f>CHOOSE(Translations!$C$1+1,I80,J80,K80)</f>
        <v>HIV O-6(M): Porcentaje de personas que consumen drogas inyectables que reportan haber utilizado materiales de inyección estériles la última vez que se inyectaron</v>
      </c>
      <c r="E80" s="156"/>
      <c r="F80" s="156"/>
      <c r="G80" s="156" t="s">
        <v>8275</v>
      </c>
      <c r="H80" s="157" t="s">
        <v>258</v>
      </c>
      <c r="I80" s="157" t="s">
        <v>8276</v>
      </c>
      <c r="J80" s="157" t="s">
        <v>8277</v>
      </c>
      <c r="K80" s="157" t="s">
        <v>8278</v>
      </c>
    </row>
    <row r="81" spans="2:11" x14ac:dyDescent="0.25">
      <c r="B81" s="156" t="s">
        <v>8279</v>
      </c>
      <c r="C81" s="156"/>
      <c r="D81" s="156" t="str">
        <f>CHOOSE(Translations!$C$1+1,I81,J81,K81)</f>
        <v>HIV O-7: Porcentaje de otras poblaciones vulnerables que dicen haber utilizado preservativo en su última relación sexual</v>
      </c>
      <c r="E81" s="156"/>
      <c r="F81" s="156"/>
      <c r="G81" s="156" t="s">
        <v>8280</v>
      </c>
      <c r="H81" s="157" t="s">
        <v>258</v>
      </c>
      <c r="I81" s="157" t="s">
        <v>8281</v>
      </c>
      <c r="J81" s="157" t="s">
        <v>8282</v>
      </c>
      <c r="K81" s="157" t="s">
        <v>8283</v>
      </c>
    </row>
    <row r="82" spans="2:11" x14ac:dyDescent="0.25">
      <c r="B82" s="156" t="s">
        <v>8284</v>
      </c>
      <c r="C82" s="156"/>
      <c r="D82" s="156" t="str">
        <f>CHOOSE(Translations!$C$1+1,I82,J82,K82)</f>
        <v>HIV O-8: Tasa de asistencia escolar actual entre huérfanos y no huérfanos</v>
      </c>
      <c r="E82" s="156"/>
      <c r="F82" s="156"/>
      <c r="G82" s="156" t="s">
        <v>8285</v>
      </c>
      <c r="H82" s="157" t="s">
        <v>258</v>
      </c>
      <c r="I82" s="157" t="s">
        <v>8286</v>
      </c>
      <c r="J82" s="157" t="s">
        <v>8287</v>
      </c>
      <c r="K82" s="157" t="s">
        <v>8288</v>
      </c>
    </row>
    <row r="83" spans="2:11" x14ac:dyDescent="0.25">
      <c r="B83" s="156" t="s">
        <v>8289</v>
      </c>
      <c r="C83" s="156"/>
      <c r="D83" s="156" t="str">
        <f>CHOOSE(Translations!$C$1+1,I83,J83,K83)</f>
        <v>HSS O-1: Porcentaje de mujeres que asisten a los servicios de atención prenatal</v>
      </c>
      <c r="E83" s="156"/>
      <c r="F83" s="156"/>
      <c r="G83" s="156" t="s">
        <v>8290</v>
      </c>
      <c r="H83" s="157" t="s">
        <v>260</v>
      </c>
      <c r="I83" s="157" t="s">
        <v>8291</v>
      </c>
      <c r="J83" s="157" t="s">
        <v>8292</v>
      </c>
      <c r="K83" s="157" t="s">
        <v>8293</v>
      </c>
    </row>
    <row r="84" spans="2:11" x14ac:dyDescent="0.25">
      <c r="B84" s="156" t="s">
        <v>8294</v>
      </c>
      <c r="C84" s="156"/>
      <c r="D84" s="156" t="str">
        <f>CHOOSE(Translations!$C$1+1,I84,J84,K84)</f>
        <v>HSS O-2: Porcentaje de nacimientos asistidos por un profesional de la salud capacitado</v>
      </c>
      <c r="E84" s="156"/>
      <c r="F84" s="156"/>
      <c r="G84" s="156" t="s">
        <v>8295</v>
      </c>
      <c r="H84" s="157" t="s">
        <v>260</v>
      </c>
      <c r="I84" s="157" t="s">
        <v>8296</v>
      </c>
      <c r="J84" s="157" t="s">
        <v>8297</v>
      </c>
      <c r="K84" s="157" t="s">
        <v>8298</v>
      </c>
    </row>
    <row r="85" spans="2:11" x14ac:dyDescent="0.25">
      <c r="B85" s="156" t="s">
        <v>8299</v>
      </c>
      <c r="C85" s="156"/>
      <c r="D85" s="156" t="str">
        <f>CHOOSE(Translations!$C$1+1,I85,J85,K85)</f>
        <v>HSS O-3: Razón del gasto de bolsillo por hogar en salud y el gasto total en salud</v>
      </c>
      <c r="E85" s="156"/>
      <c r="F85" s="156"/>
      <c r="G85" s="156" t="s">
        <v>8300</v>
      </c>
      <c r="H85" s="157" t="s">
        <v>258</v>
      </c>
      <c r="I85" s="157" t="s">
        <v>8301</v>
      </c>
      <c r="J85" s="157" t="s">
        <v>8302</v>
      </c>
      <c r="K85" s="157" t="s">
        <v>8303</v>
      </c>
    </row>
    <row r="86" spans="2:11" x14ac:dyDescent="0.25">
      <c r="B86" s="156" t="s">
        <v>8304</v>
      </c>
      <c r="C86" s="156"/>
      <c r="D86" s="156" t="str">
        <f>CHOOSE(Translations!$C$1+1,I86,J86,K86)</f>
        <v>HSS O-5: Puntuación de la prontitud de servicios específicos en los centros de salud</v>
      </c>
      <c r="E86" s="156"/>
      <c r="F86" s="156"/>
      <c r="G86" s="156" t="s">
        <v>8305</v>
      </c>
      <c r="H86" s="157" t="s">
        <v>257</v>
      </c>
      <c r="I86" s="157" t="s">
        <v>8306</v>
      </c>
      <c r="J86" s="157" t="s">
        <v>8307</v>
      </c>
      <c r="K86" s="157" t="s">
        <v>8308</v>
      </c>
    </row>
    <row r="87" spans="2:11" x14ac:dyDescent="0.25">
      <c r="B87" s="156" t="s">
        <v>8309</v>
      </c>
      <c r="C87" s="156"/>
      <c r="D87" s="156" t="str">
        <f>CHOOSE(Translations!$C$1+1,I87,J87,K87)</f>
        <v>HSS O-4: Puntuación de la prontitud de servicios generales en los centros de salud</v>
      </c>
      <c r="E87" s="156"/>
      <c r="F87" s="156"/>
      <c r="G87" s="156" t="s">
        <v>8310</v>
      </c>
      <c r="H87" s="157" t="s">
        <v>257</v>
      </c>
      <c r="I87" s="157" t="s">
        <v>8311</v>
      </c>
      <c r="J87" s="157" t="s">
        <v>8312</v>
      </c>
      <c r="K87" s="157" t="s">
        <v>8313</v>
      </c>
    </row>
    <row r="88" spans="2:11" x14ac:dyDescent="0.25">
      <c r="B88" s="156" t="s">
        <v>8314</v>
      </c>
      <c r="C88" s="156"/>
      <c r="D88" s="156" t="str">
        <f>CHOOSE(Translations!$C$1+1,I88,J88,K88)</f>
        <v>HIV O-10: Porcentaje de mujeres y hombres con parejas casuales en los últimos 12 meses, que reportan el uso de preservativo durante su última relación sexual</v>
      </c>
      <c r="E88" s="156"/>
      <c r="F88" s="156"/>
      <c r="G88" s="156" t="s">
        <v>8315</v>
      </c>
      <c r="H88" s="157" t="s">
        <v>258</v>
      </c>
      <c r="I88" s="157" t="s">
        <v>8316</v>
      </c>
      <c r="J88" s="157" t="s">
        <v>8317</v>
      </c>
      <c r="K88" s="157" t="s">
        <v>8318</v>
      </c>
    </row>
    <row r="89" spans="2:11" x14ac:dyDescent="0.25">
      <c r="B89" s="156" t="s">
        <v>8319</v>
      </c>
      <c r="C89" s="156"/>
      <c r="D89" s="156" t="str">
        <f>CHOOSE(Translations!$C$1+1,I89,J89,K89)</f>
        <v>HIV O-4.1b(M): Porcentaje de personas transgénero que reportan uso de condón la última vez que sostuvieron relaciones sexuales con una pareja</v>
      </c>
      <c r="E89" s="156"/>
      <c r="F89" s="156"/>
      <c r="G89" s="156" t="s">
        <v>8320</v>
      </c>
      <c r="H89" s="157" t="s">
        <v>258</v>
      </c>
      <c r="I89" s="157" t="s">
        <v>8321</v>
      </c>
      <c r="J89" s="157" t="s">
        <v>8322</v>
      </c>
      <c r="K89" s="157" t="s">
        <v>8323</v>
      </c>
    </row>
    <row r="90" spans="2:11" x14ac:dyDescent="0.25">
      <c r="B90" s="156" t="s">
        <v>8324</v>
      </c>
      <c r="C90" s="156"/>
      <c r="D90" s="156" t="str">
        <f>CHOOSE(Translations!$C$1+1,I90,J90,K90)</f>
        <v>HIV O-9: Porcentaje de personas que consumen drogas inyectables que reportan uso del preservativo en su ultima relación sexual</v>
      </c>
      <c r="E90" s="156"/>
      <c r="F90" s="156"/>
      <c r="G90" s="156" t="s">
        <v>8325</v>
      </c>
      <c r="H90" s="157" t="s">
        <v>258</v>
      </c>
      <c r="I90" s="157" t="s">
        <v>8326</v>
      </c>
      <c r="J90" s="157" t="s">
        <v>8327</v>
      </c>
      <c r="K90" s="157" t="s">
        <v>8328</v>
      </c>
    </row>
    <row r="91" spans="2:11" x14ac:dyDescent="0.25">
      <c r="B91" s="156" t="s">
        <v>8329</v>
      </c>
      <c r="C91" s="156"/>
      <c r="D91" s="156" t="str">
        <f>CHOOSE(Translations!$C$1+1,I91,J91,K91)</f>
        <v>HIV O-11: Porcentaje de personas que viven con el VIH (estimadas) con prueba de VIH positiva</v>
      </c>
      <c r="E91" s="156"/>
      <c r="F91" s="156"/>
      <c r="G91" s="156" t="s">
        <v>8330</v>
      </c>
      <c r="H91" s="157" t="s">
        <v>258</v>
      </c>
      <c r="I91" s="157" t="s">
        <v>8331</v>
      </c>
      <c r="J91" s="157" t="s">
        <v>8332</v>
      </c>
      <c r="K91" s="157" t="s">
        <v>8333</v>
      </c>
    </row>
    <row r="92" spans="2:11" x14ac:dyDescent="0.25">
      <c r="B92" s="156" t="s">
        <v>8334</v>
      </c>
      <c r="C92" s="156"/>
      <c r="D92" s="156" t="str">
        <f>CHOOSE(Translations!$C$1+1,I92,J92,K92)</f>
        <v>HIV O-12: Porcentaje de personas que viven con VIH que están en TARV y tienen carga viral suprimida (entre todas las PVVIH en TARV que tienen una medición de carga viral independientemente de cuándo iniciaron TARV)</v>
      </c>
      <c r="E92" s="156"/>
      <c r="F92" s="156"/>
      <c r="G92" s="156" t="s">
        <v>8335</v>
      </c>
      <c r="H92" s="157" t="s">
        <v>258</v>
      </c>
      <c r="I92" s="157" t="s">
        <v>8336</v>
      </c>
      <c r="J92" s="157" t="s">
        <v>8337</v>
      </c>
      <c r="K92" s="157" t="s">
        <v>8338</v>
      </c>
    </row>
    <row r="93" spans="2:11" x14ac:dyDescent="0.25">
      <c r="B93" s="156" t="s">
        <v>8339</v>
      </c>
      <c r="C93" s="156"/>
      <c r="D93" s="156" t="str">
        <f>CHOOSE(Translations!$C$1+1,I93,J93,K93)</f>
        <v>HIV O-13: Porcentaje de mujeres de 15-49 años, casadas o que viven en pareja, que han sufrido violencia física o sexual por una pareja masculina en los últimos 12 meses</v>
      </c>
      <c r="E93" s="156"/>
      <c r="F93" s="156"/>
      <c r="G93" s="156" t="s">
        <v>8340</v>
      </c>
      <c r="H93" s="157" t="s">
        <v>258</v>
      </c>
      <c r="I93" s="157" t="s">
        <v>8341</v>
      </c>
      <c r="J93" s="157" t="s">
        <v>8342</v>
      </c>
      <c r="K93" s="157" t="s">
        <v>8343</v>
      </c>
    </row>
    <row r="94" spans="2:11" x14ac:dyDescent="0.25">
      <c r="B94" s="156" t="s">
        <v>8344</v>
      </c>
      <c r="C94" s="156"/>
      <c r="D94" s="156" t="str">
        <f>CHOOSE(Translations!$C$1+1,I94,J94,K94)</f>
        <v>HIV O-14: Porcentaje de mujeres y hombres de 15-49 años que reportan actitudes discriminatorias hacia las personas que viven con el VIH</v>
      </c>
      <c r="E94" s="156"/>
      <c r="F94" s="156"/>
      <c r="G94" s="156" t="s">
        <v>8345</v>
      </c>
      <c r="H94" s="157" t="s">
        <v>258</v>
      </c>
      <c r="I94" s="157" t="s">
        <v>8346</v>
      </c>
      <c r="J94" s="157" t="s">
        <v>8347</v>
      </c>
      <c r="K94" s="157" t="s">
        <v>8348</v>
      </c>
    </row>
    <row r="95" spans="2:11" x14ac:dyDescent="0.25">
      <c r="B95" s="156" t="s">
        <v>8349</v>
      </c>
      <c r="C95" s="156"/>
      <c r="D95" s="156" t="str">
        <f>CHOOSE(Translations!$C$1+1,I95,J95,K95)</f>
        <v>HIV O-15: Porcentaje de personas que viven con el VIH que reportan haber experimentado discriminación en los servicios de salud</v>
      </c>
      <c r="E95" s="156"/>
      <c r="F95" s="156"/>
      <c r="G95" s="156" t="s">
        <v>8350</v>
      </c>
      <c r="H95" s="157" t="s">
        <v>258</v>
      </c>
      <c r="I95" s="157" t="s">
        <v>8351</v>
      </c>
      <c r="J95" s="157" t="s">
        <v>8352</v>
      </c>
      <c r="K95" s="157" t="s">
        <v>8353</v>
      </c>
    </row>
    <row r="96" spans="2:11" x14ac:dyDescent="0.25">
      <c r="B96" s="156" t="s">
        <v>8354</v>
      </c>
      <c r="C96" s="156"/>
      <c r="D96" s="156" t="str">
        <f>CHOOSE(Translations!$C$1+1,I96,J96,K96)</f>
        <v>TB O-1a: Tasa de notificación de casos de TB todas las formas por 100,000 habitantes - confirmados bacteriológicamente y con diagnóstico clínico, casos nuevos y recaídas</v>
      </c>
      <c r="E96" s="156"/>
      <c r="F96" s="156"/>
      <c r="G96" s="156" t="s">
        <v>8355</v>
      </c>
      <c r="H96" s="157" t="s">
        <v>257</v>
      </c>
      <c r="I96" s="157" t="s">
        <v>8356</v>
      </c>
      <c r="J96" s="157" t="s">
        <v>8357</v>
      </c>
      <c r="K96" s="157" t="s">
        <v>8358</v>
      </c>
    </row>
    <row r="97" spans="2:11" x14ac:dyDescent="0.25">
      <c r="B97" s="156" t="s">
        <v>8359</v>
      </c>
      <c r="C97" s="156"/>
      <c r="D97" s="156" t="str">
        <f>CHOOSE(Translations!$C$1+1,I97,J97,K97)</f>
        <v>TB O-1b: Tasa de notificación de casos de tuberculosis por cada 100.000 habitantes, confirmados bacteriológicamente, (casos nuevos y recaídas)</v>
      </c>
      <c r="E97" s="156"/>
      <c r="F97" s="156"/>
      <c r="G97" s="156" t="s">
        <v>8360</v>
      </c>
      <c r="H97" s="157" t="s">
        <v>257</v>
      </c>
      <c r="I97" s="157" t="s">
        <v>8361</v>
      </c>
      <c r="J97" s="157" t="s">
        <v>8362</v>
      </c>
      <c r="K97" s="157" t="s">
        <v>8363</v>
      </c>
    </row>
    <row r="98" spans="2:11" x14ac:dyDescent="0.25">
      <c r="B98" s="156" t="s">
        <v>8364</v>
      </c>
      <c r="C98" s="156"/>
      <c r="D98" s="156" t="str">
        <f>CHOOSE(Translations!$C$1+1,I98,J98,K98)</f>
        <v>TB O-2a: Tasa de éxito del tratamiento de casos de TB todas las formas - confirmados bacteriológicamente y con diagnóstico clínico, casos nuevos y recaídas</v>
      </c>
      <c r="E98" s="156"/>
      <c r="F98" s="156"/>
      <c r="G98" s="156" t="s">
        <v>8365</v>
      </c>
      <c r="H98" s="157" t="s">
        <v>258</v>
      </c>
      <c r="I98" s="157" t="s">
        <v>8366</v>
      </c>
      <c r="J98" s="157" t="s">
        <v>8367</v>
      </c>
      <c r="K98" s="157" t="s">
        <v>8368</v>
      </c>
    </row>
    <row r="99" spans="2:11" x14ac:dyDescent="0.25">
      <c r="B99" s="156" t="s">
        <v>8369</v>
      </c>
      <c r="C99" s="156"/>
      <c r="D99" s="156" t="str">
        <f>CHOOSE(Translations!$C$1+1,I99,J99,K99)</f>
        <v>TB O-2b: Tasa de éxito del tratamiento en los casos de tuberculosis confirmados bacteriológicamente</v>
      </c>
      <c r="E99" s="156"/>
      <c r="F99" s="156"/>
      <c r="G99" s="156" t="s">
        <v>8370</v>
      </c>
      <c r="H99" s="157" t="s">
        <v>258</v>
      </c>
      <c r="I99" s="157" t="s">
        <v>8371</v>
      </c>
      <c r="J99" s="157" t="s">
        <v>8372</v>
      </c>
      <c r="K99" s="157" t="s">
        <v>8373</v>
      </c>
    </row>
    <row r="100" spans="2:11" x14ac:dyDescent="0.25">
      <c r="B100" s="156" t="s">
        <v>8374</v>
      </c>
      <c r="C100" s="156"/>
      <c r="D100" s="156" t="str">
        <f>CHOOSE(Translations!$C$1+1,I100,J100,K100)</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E100" s="156"/>
      <c r="F100" s="156"/>
      <c r="G100" s="156" t="s">
        <v>8375</v>
      </c>
      <c r="H100" s="157" t="s">
        <v>258</v>
      </c>
      <c r="I100" s="157" t="s">
        <v>8376</v>
      </c>
      <c r="J100" s="157" t="s">
        <v>8377</v>
      </c>
      <c r="K100" s="157" t="s">
        <v>8378</v>
      </c>
    </row>
    <row r="101" spans="2:11" x14ac:dyDescent="0.25">
      <c r="B101" s="156" t="s">
        <v>8379</v>
      </c>
      <c r="C101" s="156"/>
      <c r="D101" s="156" t="str">
        <f>CHOOSE(Translations!$C$1+1,I101,J101,K101)</f>
        <v>TB O-4(M): Tasa de éxito del tratamiento de TB-RR y/o TB-MDR: Porcentaje de casos TB-RR y/o TB-MR que fueron tratados exitosamente</v>
      </c>
      <c r="E101" s="156"/>
      <c r="F101" s="156"/>
      <c r="G101" s="156" t="s">
        <v>8380</v>
      </c>
      <c r="H101" s="157" t="s">
        <v>258</v>
      </c>
      <c r="I101" s="157" t="s">
        <v>8381</v>
      </c>
      <c r="J101" s="157" t="s">
        <v>8382</v>
      </c>
      <c r="K101" s="157" t="s">
        <v>8383</v>
      </c>
    </row>
    <row r="102" spans="2:11" x14ac:dyDescent="0.25">
      <c r="B102" s="156" t="s">
        <v>8289</v>
      </c>
      <c r="C102" s="156"/>
      <c r="D102" s="156" t="str">
        <f>CHOOSE(Translations!$C$1+1,I102,J102,K102)</f>
        <v>HSS O-1: Porcentaje de mujeres que asisten a los servicios de atención prenatal</v>
      </c>
      <c r="E102" s="156"/>
      <c r="F102" s="156"/>
      <c r="G102" s="156" t="s">
        <v>8384</v>
      </c>
      <c r="H102" s="157" t="s">
        <v>260</v>
      </c>
      <c r="I102" s="157" t="s">
        <v>8291</v>
      </c>
      <c r="J102" s="157" t="s">
        <v>8292</v>
      </c>
      <c r="K102" s="157" t="s">
        <v>8293</v>
      </c>
    </row>
    <row r="103" spans="2:11" x14ac:dyDescent="0.25">
      <c r="B103" s="156" t="s">
        <v>8294</v>
      </c>
      <c r="C103" s="156"/>
      <c r="D103" s="156" t="str">
        <f>CHOOSE(Translations!$C$1+1,I103,J103,K103)</f>
        <v>HSS O-2: Porcentaje de nacimientos asistidos por un profesional de la salud capacitado</v>
      </c>
      <c r="E103" s="156"/>
      <c r="F103" s="156"/>
      <c r="G103" s="156" t="s">
        <v>8385</v>
      </c>
      <c r="H103" s="157" t="s">
        <v>260</v>
      </c>
      <c r="I103" s="157" t="s">
        <v>8296</v>
      </c>
      <c r="J103" s="157" t="s">
        <v>8297</v>
      </c>
      <c r="K103" s="157" t="s">
        <v>8298</v>
      </c>
    </row>
    <row r="104" spans="2:11" x14ac:dyDescent="0.25">
      <c r="B104" s="156" t="s">
        <v>8299</v>
      </c>
      <c r="C104" s="156"/>
      <c r="D104" s="156" t="str">
        <f>CHOOSE(Translations!$C$1+1,I104,J104,K104)</f>
        <v>HSS O-3: Razón del gasto de bolsillo por hogar en salud y el gasto total en salud</v>
      </c>
      <c r="E104" s="156"/>
      <c r="F104" s="156"/>
      <c r="G104" s="156" t="s">
        <v>8386</v>
      </c>
      <c r="H104" s="157" t="s">
        <v>258</v>
      </c>
      <c r="I104" s="157" t="s">
        <v>8301</v>
      </c>
      <c r="J104" s="157" t="s">
        <v>8302</v>
      </c>
      <c r="K104" s="157" t="s">
        <v>8303</v>
      </c>
    </row>
    <row r="105" spans="2:11" x14ac:dyDescent="0.25">
      <c r="B105" s="156" t="s">
        <v>8304</v>
      </c>
      <c r="C105" s="156"/>
      <c r="D105" s="156" t="str">
        <f>CHOOSE(Translations!$C$1+1,I105,J105,K105)</f>
        <v>HSS O-5: Puntuación de la prontitud de servicios específicos en los centros de salud</v>
      </c>
      <c r="E105" s="156"/>
      <c r="F105" s="156"/>
      <c r="G105" s="156" t="s">
        <v>8387</v>
      </c>
      <c r="H105" s="157" t="s">
        <v>257</v>
      </c>
      <c r="I105" s="157" t="s">
        <v>8306</v>
      </c>
      <c r="J105" s="157" t="s">
        <v>8307</v>
      </c>
      <c r="K105" s="157" t="s">
        <v>8308</v>
      </c>
    </row>
    <row r="106" spans="2:11" x14ac:dyDescent="0.25">
      <c r="B106" s="156" t="s">
        <v>8309</v>
      </c>
      <c r="C106" s="156"/>
      <c r="D106" s="156" t="str">
        <f>CHOOSE(Translations!$C$1+1,I106,J106,K106)</f>
        <v>HSS O-4: Puntuación de la prontitud de servicios generales en los centros de salud</v>
      </c>
      <c r="E106" s="156"/>
      <c r="F106" s="156"/>
      <c r="G106" s="156" t="s">
        <v>8388</v>
      </c>
      <c r="H106" s="157" t="s">
        <v>257</v>
      </c>
      <c r="I106" s="157" t="s">
        <v>8311</v>
      </c>
      <c r="J106" s="157" t="s">
        <v>8312</v>
      </c>
      <c r="K106" s="157" t="s">
        <v>8313</v>
      </c>
    </row>
    <row r="107" spans="2:11" x14ac:dyDescent="0.25">
      <c r="B107" s="156" t="s">
        <v>8389</v>
      </c>
      <c r="C107" s="156"/>
      <c r="D107" s="156" t="str">
        <f>CHOOSE(Translations!$C$1+1,I107,J107,K107)</f>
        <v>TB O-6: Notificación de casos TB-RR y/o TB-MDR - Porcentaje de casos notificados de RR-TB y/o MDR-TB bacteriologicamente confirmados, como una proporción de todos los casos estimados de TB-RR y/o TB-MDR</v>
      </c>
      <c r="E107" s="156"/>
      <c r="F107" s="156"/>
      <c r="G107" s="156" t="s">
        <v>8390</v>
      </c>
      <c r="H107" s="157" t="s">
        <v>258</v>
      </c>
      <c r="I107" s="157" t="s">
        <v>8391</v>
      </c>
      <c r="J107" s="157" t="s">
        <v>8392</v>
      </c>
      <c r="K107" s="157" t="s">
        <v>8393</v>
      </c>
    </row>
    <row r="108" spans="2:11" x14ac:dyDescent="0.25">
      <c r="B108" s="156" t="s">
        <v>8394</v>
      </c>
      <c r="C108" s="156"/>
      <c r="D108" s="156" t="str">
        <f>CHOOSE(Translations!$C$1+1,I108,J108,K108)</f>
        <v>TB O-5(M): Cobertura del tratamiento de TB: Porcentaje de casos nuevos y recaídas que fueron notificados y tratados entre el número de casos incidentes estimados para el mismo año (todas las formas de TB: confirmados bacteriológicamente y diagnosticados clínicamente)</v>
      </c>
      <c r="E108" s="156"/>
      <c r="F108" s="156"/>
      <c r="G108" s="156" t="s">
        <v>8395</v>
      </c>
      <c r="H108" s="157" t="s">
        <v>258</v>
      </c>
      <c r="I108" s="157" t="s">
        <v>8396</v>
      </c>
      <c r="J108" s="157" t="s">
        <v>8397</v>
      </c>
      <c r="K108" s="157" t="s">
        <v>8398</v>
      </c>
    </row>
    <row r="109" spans="2:11" x14ac:dyDescent="0.25">
      <c r="B109" s="156" t="s">
        <v>8289</v>
      </c>
      <c r="C109" s="156"/>
      <c r="D109" s="156" t="str">
        <f>CHOOSE(Translations!$C$1+1,I109,J109,K109)</f>
        <v>HSS O-1: Porcentaje de mujeres que asisten a los servicios de atención prenatal</v>
      </c>
      <c r="E109" s="156"/>
      <c r="F109" s="156"/>
      <c r="G109" s="156" t="s">
        <v>8399</v>
      </c>
      <c r="H109" s="157" t="s">
        <v>260</v>
      </c>
      <c r="I109" s="157" t="s">
        <v>8291</v>
      </c>
      <c r="J109" s="157" t="s">
        <v>8292</v>
      </c>
      <c r="K109" s="157" t="s">
        <v>8293</v>
      </c>
    </row>
    <row r="110" spans="2:11" x14ac:dyDescent="0.25">
      <c r="B110" s="156" t="s">
        <v>8294</v>
      </c>
      <c r="C110" s="156"/>
      <c r="D110" s="156" t="str">
        <f>CHOOSE(Translations!$C$1+1,I110,J110,K110)</f>
        <v>HSS O-2: Porcentaje de nacimientos asistidos por un profesional de la salud capacitado</v>
      </c>
      <c r="E110" s="156"/>
      <c r="F110" s="156"/>
      <c r="G110" s="156" t="s">
        <v>8400</v>
      </c>
      <c r="H110" s="157" t="s">
        <v>260</v>
      </c>
      <c r="I110" s="157" t="s">
        <v>8296</v>
      </c>
      <c r="J110" s="157" t="s">
        <v>8297</v>
      </c>
      <c r="K110" s="157" t="s">
        <v>8298</v>
      </c>
    </row>
    <row r="111" spans="2:11" x14ac:dyDescent="0.25">
      <c r="B111" s="156" t="s">
        <v>8299</v>
      </c>
      <c r="C111" s="156"/>
      <c r="D111" s="156" t="str">
        <f>CHOOSE(Translations!$C$1+1,I111,J111,K111)</f>
        <v>HSS O-3: Razón del gasto de bolsillo por hogar en salud y el gasto total en salud</v>
      </c>
      <c r="E111" s="156"/>
      <c r="F111" s="156"/>
      <c r="G111" s="156" t="s">
        <v>8401</v>
      </c>
      <c r="H111" s="157" t="s">
        <v>258</v>
      </c>
      <c r="I111" s="157" t="s">
        <v>8301</v>
      </c>
      <c r="J111" s="157" t="s">
        <v>8302</v>
      </c>
      <c r="K111" s="157" t="s">
        <v>8303</v>
      </c>
    </row>
    <row r="112" spans="2:11" x14ac:dyDescent="0.25">
      <c r="B112" s="156" t="s">
        <v>8304</v>
      </c>
      <c r="C112" s="156"/>
      <c r="D112" s="156" t="str">
        <f>CHOOSE(Translations!$C$1+1,I112,J112,K112)</f>
        <v>HSS O-5: Puntuación de la prontitud de servicios específicos en los centros de salud</v>
      </c>
      <c r="E112" s="156"/>
      <c r="F112" s="156"/>
      <c r="G112" s="156" t="s">
        <v>8402</v>
      </c>
      <c r="H112" s="157" t="s">
        <v>257</v>
      </c>
      <c r="I112" s="157" t="s">
        <v>8306</v>
      </c>
      <c r="J112" s="157" t="s">
        <v>8307</v>
      </c>
      <c r="K112" s="157" t="s">
        <v>8308</v>
      </c>
    </row>
    <row r="113" spans="1:11" x14ac:dyDescent="0.25">
      <c r="B113" s="156" t="s">
        <v>8309</v>
      </c>
      <c r="C113" s="156"/>
      <c r="D113" s="156" t="str">
        <f>CHOOSE(Translations!$C$1+1,I113,J113,K113)</f>
        <v>HSS O-4: Puntuación de la prontitud de servicios generales en los centros de salud</v>
      </c>
      <c r="E113" s="156"/>
      <c r="F113" s="156"/>
      <c r="G113" s="156" t="s">
        <v>8403</v>
      </c>
      <c r="H113" s="157" t="s">
        <v>257</v>
      </c>
      <c r="I113" s="157" t="s">
        <v>8311</v>
      </c>
      <c r="J113" s="157" t="s">
        <v>8312</v>
      </c>
      <c r="K113" s="157" t="s">
        <v>8313</v>
      </c>
    </row>
    <row r="116" spans="1:11" ht="13" x14ac:dyDescent="0.3">
      <c r="A116" s="6" t="s">
        <v>210</v>
      </c>
    </row>
    <row r="117" spans="1:11" x14ac:dyDescent="0.25">
      <c r="B117" s="156" t="s">
        <v>194</v>
      </c>
      <c r="C117" s="156"/>
      <c r="D117" s="156" t="s">
        <v>448</v>
      </c>
      <c r="E117" s="156"/>
      <c r="F117" s="156" t="s">
        <v>236</v>
      </c>
      <c r="G117" s="156" t="s">
        <v>48</v>
      </c>
      <c r="H117" s="156" t="s">
        <v>285</v>
      </c>
      <c r="I117" s="156" t="s">
        <v>43</v>
      </c>
      <c r="J117" s="156" t="s">
        <v>446</v>
      </c>
      <c r="K117" s="156" t="s">
        <v>444</v>
      </c>
    </row>
    <row r="118" spans="1:11" hidden="1" x14ac:dyDescent="0.25">
      <c r="B118" s="156" t="s">
        <v>94</v>
      </c>
      <c r="C118" s="156"/>
      <c r="D118" s="156" t="str">
        <f>CHOOSE(Translations!$C$1+1,I118,J118,K118)</f>
        <v>[Name - ES]</v>
      </c>
      <c r="E118" s="156"/>
      <c r="F118" s="156" t="s">
        <v>47</v>
      </c>
      <c r="G118" s="156" t="s">
        <v>47</v>
      </c>
      <c r="H118" s="157" t="s">
        <v>284</v>
      </c>
      <c r="I118" s="157" t="s">
        <v>66</v>
      </c>
      <c r="J118" s="157" t="s">
        <v>445</v>
      </c>
      <c r="K118" s="157" t="s">
        <v>443</v>
      </c>
    </row>
    <row r="119" spans="1:11" x14ac:dyDescent="0.25">
      <c r="B119" s="156" t="s">
        <v>2984</v>
      </c>
      <c r="C119" s="156"/>
      <c r="D119" s="156" t="str">
        <f>CHOOSE(Translations!$C$1+1,I119,J119,K119)</f>
        <v>COVID-19</v>
      </c>
      <c r="E119" s="156"/>
      <c r="F119" s="156" t="s">
        <v>2986</v>
      </c>
      <c r="G119" s="156" t="s">
        <v>2985</v>
      </c>
      <c r="H119" s="157" t="s">
        <v>2778</v>
      </c>
      <c r="I119" s="157" t="s">
        <v>2983</v>
      </c>
      <c r="J119" s="157" t="s">
        <v>2983</v>
      </c>
      <c r="K119" s="157" t="s">
        <v>2983</v>
      </c>
    </row>
    <row r="120" spans="1:11" x14ac:dyDescent="0.25">
      <c r="B120" s="156" t="s">
        <v>2984</v>
      </c>
      <c r="C120" s="156"/>
      <c r="D120" s="156" t="str">
        <f>CHOOSE(Translations!$C$1+1,I120,J120,K120)</f>
        <v>COVID-19</v>
      </c>
      <c r="E120" s="156"/>
      <c r="F120" s="156" t="s">
        <v>2986</v>
      </c>
      <c r="G120" s="156" t="s">
        <v>2988</v>
      </c>
      <c r="H120" s="157" t="s">
        <v>2778</v>
      </c>
      <c r="I120" s="157" t="s">
        <v>2983</v>
      </c>
      <c r="J120" s="157" t="s">
        <v>2983</v>
      </c>
      <c r="K120" s="157" t="s">
        <v>2983</v>
      </c>
    </row>
    <row r="121" spans="1:11" x14ac:dyDescent="0.25">
      <c r="B121" s="156" t="s">
        <v>1156</v>
      </c>
      <c r="C121" s="156"/>
      <c r="D121" s="156" t="str">
        <f>CHOOSE(Translations!$C$1+1,I121,J121,K121)</f>
        <v>Prevención</v>
      </c>
      <c r="E121" s="156"/>
      <c r="F121" s="156" t="s">
        <v>1158</v>
      </c>
      <c r="G121" s="156" t="s">
        <v>3017</v>
      </c>
      <c r="H121" s="157" t="s">
        <v>2778</v>
      </c>
      <c r="I121" s="157" t="s">
        <v>3016</v>
      </c>
      <c r="J121" s="157" t="s">
        <v>3019</v>
      </c>
      <c r="K121" s="157" t="s">
        <v>3020</v>
      </c>
    </row>
    <row r="122" spans="1:11" x14ac:dyDescent="0.25">
      <c r="B122" s="156" t="s">
        <v>1148</v>
      </c>
      <c r="C122" s="156"/>
      <c r="D122" s="156" t="str">
        <f>CHOOSE(Translations!$C$1+1,I122,J122,K122)</f>
        <v>PTMI</v>
      </c>
      <c r="E122" s="156"/>
      <c r="F122" s="156" t="s">
        <v>1150</v>
      </c>
      <c r="G122" s="156" t="s">
        <v>3012</v>
      </c>
      <c r="H122" s="157" t="s">
        <v>2778</v>
      </c>
      <c r="I122" s="157" t="s">
        <v>3011</v>
      </c>
      <c r="J122" s="157" t="s">
        <v>3014</v>
      </c>
      <c r="K122" s="157" t="s">
        <v>3015</v>
      </c>
    </row>
    <row r="123" spans="1:11" x14ac:dyDescent="0.25">
      <c r="B123" s="156" t="s">
        <v>1140</v>
      </c>
      <c r="C123" s="156"/>
      <c r="D123" s="156" t="str">
        <f>CHOOSE(Translations!$C$1+1,I123,J123,K123)</f>
        <v>Servicios diferenciados de diagnóstico del VIH</v>
      </c>
      <c r="E123" s="156"/>
      <c r="F123" s="156" t="s">
        <v>1142</v>
      </c>
      <c r="G123" s="156" t="s">
        <v>2993</v>
      </c>
      <c r="H123" s="157" t="s">
        <v>2778</v>
      </c>
      <c r="I123" s="157" t="s">
        <v>2992</v>
      </c>
      <c r="J123" s="157" t="s">
        <v>2995</v>
      </c>
      <c r="K123" s="157" t="s">
        <v>2996</v>
      </c>
    </row>
    <row r="124" spans="1:11" x14ac:dyDescent="0.25">
      <c r="B124" s="156" t="s">
        <v>1164</v>
      </c>
      <c r="C124" s="156"/>
      <c r="D124" s="156" t="str">
        <f>CHOOSE(Translations!$C$1+1,I124,J124,K124)</f>
        <v>Tratamiento, atención y apoyo</v>
      </c>
      <c r="E124" s="156"/>
      <c r="F124" s="156" t="s">
        <v>1166</v>
      </c>
      <c r="G124" s="156" t="s">
        <v>3149</v>
      </c>
      <c r="H124" s="157" t="s">
        <v>2778</v>
      </c>
      <c r="I124" s="157" t="s">
        <v>3148</v>
      </c>
      <c r="J124" s="157" t="s">
        <v>3151</v>
      </c>
      <c r="K124" s="157" t="s">
        <v>3152</v>
      </c>
    </row>
    <row r="125" spans="1:11" x14ac:dyDescent="0.25">
      <c r="B125" s="156" t="s">
        <v>3033</v>
      </c>
      <c r="C125" s="156"/>
      <c r="D125" s="156" t="str">
        <f>CHOOSE(Translations!$C$1+1,I125,J125,K125)</f>
        <v>Reducción de las barreras relacionadas con los derechos humanos para acceder a los servicios del VIH y la tuberculosis</v>
      </c>
      <c r="E125" s="156"/>
      <c r="F125" s="156" t="s">
        <v>3035</v>
      </c>
      <c r="G125" s="156" t="s">
        <v>3034</v>
      </c>
      <c r="H125" s="157" t="s">
        <v>2778</v>
      </c>
      <c r="I125" s="157" t="s">
        <v>3032</v>
      </c>
      <c r="J125" s="157" t="s">
        <v>3037</v>
      </c>
      <c r="K125" s="157" t="s">
        <v>3038</v>
      </c>
    </row>
    <row r="126" spans="1:11" x14ac:dyDescent="0.25">
      <c r="B126" s="156" t="s">
        <v>1152</v>
      </c>
      <c r="C126" s="156"/>
      <c r="D126" s="156" t="str">
        <f>CHOOSE(Translations!$C$1+1,I126,J126,K126)</f>
        <v>Atención y prevención de la tuberculosis</v>
      </c>
      <c r="E126" s="156"/>
      <c r="F126" s="156" t="s">
        <v>1154</v>
      </c>
      <c r="G126" s="156" t="s">
        <v>3135</v>
      </c>
      <c r="H126" s="157" t="s">
        <v>2778</v>
      </c>
      <c r="I126" s="157" t="s">
        <v>3134</v>
      </c>
      <c r="J126" s="157" t="s">
        <v>3137</v>
      </c>
      <c r="K126" s="157" t="s">
        <v>3138</v>
      </c>
    </row>
    <row r="127" spans="1:11" x14ac:dyDescent="0.25">
      <c r="B127" s="156" t="s">
        <v>1160</v>
      </c>
      <c r="C127" s="156"/>
      <c r="D127" s="156" t="str">
        <f>CHOOSE(Translations!$C$1+1,I127,J127,K127)</f>
        <v>Tuberculosis multirresistente</v>
      </c>
      <c r="E127" s="156"/>
      <c r="F127" s="156" t="s">
        <v>1162</v>
      </c>
      <c r="G127" s="156" t="s">
        <v>2998</v>
      </c>
      <c r="H127" s="157" t="s">
        <v>2778</v>
      </c>
      <c r="I127" s="157" t="s">
        <v>2997</v>
      </c>
      <c r="J127" s="157" t="s">
        <v>3000</v>
      </c>
      <c r="K127" s="157" t="s">
        <v>3001</v>
      </c>
    </row>
    <row r="128" spans="1:11" x14ac:dyDescent="0.25">
      <c r="B128" s="156" t="s">
        <v>3040</v>
      </c>
      <c r="C128" s="156"/>
      <c r="D128" s="156" t="str">
        <f>CHOOSE(Translations!$C$1+1,I128,J128,K128)</f>
        <v>Eliminar las barreras relacionadas con los derechos humanos y el género que dificultan el acceso a los servicios de tuberculosis</v>
      </c>
      <c r="E128" s="156"/>
      <c r="F128" s="156" t="s">
        <v>3042</v>
      </c>
      <c r="G128" s="156" t="s">
        <v>3041</v>
      </c>
      <c r="H128" s="157" t="s">
        <v>2778</v>
      </c>
      <c r="I128" s="157" t="s">
        <v>3039</v>
      </c>
      <c r="J128" s="157" t="s">
        <v>3044</v>
      </c>
      <c r="K128" s="157" t="s">
        <v>3045</v>
      </c>
    </row>
    <row r="129" spans="2:11" x14ac:dyDescent="0.25">
      <c r="B129" s="156" t="s">
        <v>3140</v>
      </c>
      <c r="C129" s="156"/>
      <c r="D129" s="156" t="str">
        <f>CHOOSE(Translations!$C$1+1,I129,J129,K129)</f>
        <v>TB/VIH</v>
      </c>
      <c r="E129" s="156"/>
      <c r="F129" s="156" t="s">
        <v>3142</v>
      </c>
      <c r="G129" s="156" t="s">
        <v>3141</v>
      </c>
      <c r="H129" s="157" t="s">
        <v>2778</v>
      </c>
      <c r="I129" s="157" t="s">
        <v>3139</v>
      </c>
      <c r="J129" s="157" t="s">
        <v>3144</v>
      </c>
      <c r="K129" s="157" t="s">
        <v>3145</v>
      </c>
    </row>
    <row r="130" spans="2:11" x14ac:dyDescent="0.25">
      <c r="B130" s="156" t="s">
        <v>3140</v>
      </c>
      <c r="C130" s="156"/>
      <c r="D130" s="156" t="str">
        <f>CHOOSE(Translations!$C$1+1,I130,J130,K130)</f>
        <v>TB/VIH</v>
      </c>
      <c r="E130" s="156"/>
      <c r="F130" s="156" t="s">
        <v>3142</v>
      </c>
      <c r="G130" s="156" t="s">
        <v>3146</v>
      </c>
      <c r="H130" s="157" t="s">
        <v>2778</v>
      </c>
      <c r="I130" s="157" t="s">
        <v>3139</v>
      </c>
      <c r="J130" s="157" t="s">
        <v>3144</v>
      </c>
      <c r="K130" s="157" t="s">
        <v>3145</v>
      </c>
    </row>
    <row r="131" spans="2:11" x14ac:dyDescent="0.25">
      <c r="B131" s="156" t="s">
        <v>3022</v>
      </c>
      <c r="C131" s="156"/>
      <c r="D131" s="156" t="str">
        <f>CHOOSE(Translations!$C$1+1,I131,J131,K131)</f>
        <v>Gestión de programas</v>
      </c>
      <c r="E131" s="156"/>
      <c r="F131" s="156" t="s">
        <v>3024</v>
      </c>
      <c r="G131" s="156" t="s">
        <v>3023</v>
      </c>
      <c r="H131" s="157" t="s">
        <v>2778</v>
      </c>
      <c r="I131" s="157" t="s">
        <v>3021</v>
      </c>
      <c r="J131" s="157" t="s">
        <v>3026</v>
      </c>
      <c r="K131" s="157" t="s">
        <v>3027</v>
      </c>
    </row>
    <row r="132" spans="2:11" x14ac:dyDescent="0.25">
      <c r="B132" s="156" t="s">
        <v>3080</v>
      </c>
      <c r="C132" s="156"/>
      <c r="D132" s="156" t="str">
        <f>CHOOSE(Translations!$C$1+1,I132,J132,K132)</f>
        <v>SSRS: sistemas de gestión de productos para la salud</v>
      </c>
      <c r="E132" s="156"/>
      <c r="F132" s="156" t="s">
        <v>3082</v>
      </c>
      <c r="G132" s="156" t="s">
        <v>3081</v>
      </c>
      <c r="H132" s="157" t="s">
        <v>2778</v>
      </c>
      <c r="I132" s="157" t="s">
        <v>3079</v>
      </c>
      <c r="J132" s="157" t="s">
        <v>3084</v>
      </c>
      <c r="K132" s="157" t="s">
        <v>3085</v>
      </c>
    </row>
    <row r="133" spans="2:11" x14ac:dyDescent="0.25">
      <c r="B133" s="156" t="s">
        <v>3069</v>
      </c>
      <c r="C133" s="156"/>
      <c r="D133" s="156" t="str">
        <f>CHOOSE(Translations!$C$1+1,I133,J133,K133)</f>
        <v>SSRS: Sistemas de información de gestión de salud y M&amp;E (Monitoria y Evaluación)</v>
      </c>
      <c r="E133" s="156"/>
      <c r="F133" s="156" t="s">
        <v>3071</v>
      </c>
      <c r="G133" s="156" t="s">
        <v>3070</v>
      </c>
      <c r="H133" s="157" t="s">
        <v>2778</v>
      </c>
      <c r="I133" s="157" t="s">
        <v>3068</v>
      </c>
      <c r="J133" s="157" t="s">
        <v>3073</v>
      </c>
      <c r="K133" s="157" t="s">
        <v>3074</v>
      </c>
    </row>
    <row r="134" spans="2:11" x14ac:dyDescent="0.25">
      <c r="B134" s="156" t="s">
        <v>3102</v>
      </c>
      <c r="C134" s="156"/>
      <c r="D134" s="156" t="str">
        <f>CHOOSE(Translations!$C$1+1,I134,J134,K134)</f>
        <v>SSRS: recursos humanos para la salud  incluidos los trabajadores de la salud comunitarios</v>
      </c>
      <c r="E134" s="156"/>
      <c r="F134" s="156" t="s">
        <v>3104</v>
      </c>
      <c r="G134" s="156" t="s">
        <v>3103</v>
      </c>
      <c r="H134" s="157" t="s">
        <v>2778</v>
      </c>
      <c r="I134" s="157" t="s">
        <v>3101</v>
      </c>
      <c r="J134" s="157" t="s">
        <v>3106</v>
      </c>
      <c r="K134" s="157" t="s">
        <v>3107</v>
      </c>
    </row>
    <row r="135" spans="2:11" x14ac:dyDescent="0.25">
      <c r="B135" s="156" t="s">
        <v>3113</v>
      </c>
      <c r="C135" s="156"/>
      <c r="D135" s="156" t="str">
        <f>CHOOSE(Translations!$C$1+1,I135,J135,K135)</f>
        <v>SSRS: mejora de la calidad y la prestación de servicios integrados</v>
      </c>
      <c r="E135" s="156"/>
      <c r="F135" s="156" t="s">
        <v>3115</v>
      </c>
      <c r="G135" s="156" t="s">
        <v>3114</v>
      </c>
      <c r="H135" s="157" t="s">
        <v>2778</v>
      </c>
      <c r="I135" s="157" t="s">
        <v>3112</v>
      </c>
      <c r="J135" s="157" t="s">
        <v>3117</v>
      </c>
      <c r="K135" s="157" t="s">
        <v>3118</v>
      </c>
    </row>
    <row r="136" spans="2:11" x14ac:dyDescent="0.25">
      <c r="B136" s="156" t="s">
        <v>3058</v>
      </c>
      <c r="C136" s="156"/>
      <c r="D136" s="156" t="str">
        <f>CHOOSE(Translations!$C$1+1,I136,J136,K136)</f>
        <v>SSRS: Sistemas de gestión financiera</v>
      </c>
      <c r="E136" s="156"/>
      <c r="F136" s="156" t="s">
        <v>3060</v>
      </c>
      <c r="G136" s="156" t="s">
        <v>3059</v>
      </c>
      <c r="H136" s="157" t="s">
        <v>2778</v>
      </c>
      <c r="I136" s="157" t="s">
        <v>3057</v>
      </c>
      <c r="J136" s="157" t="s">
        <v>3062</v>
      </c>
      <c r="K136" s="157" t="s">
        <v>3063</v>
      </c>
    </row>
    <row r="137" spans="2:11" x14ac:dyDescent="0.25">
      <c r="B137" s="156" t="s">
        <v>3091</v>
      </c>
      <c r="C137" s="156"/>
      <c r="D137" s="156" t="str">
        <f>CHOOSE(Translations!$C$1+1,I137,J137,K137)</f>
        <v>SSRS: gobernanza y planificación del sector de la salud</v>
      </c>
      <c r="E137" s="156"/>
      <c r="F137" s="156" t="s">
        <v>3093</v>
      </c>
      <c r="G137" s="156" t="s">
        <v>3092</v>
      </c>
      <c r="H137" s="157" t="s">
        <v>2778</v>
      </c>
      <c r="I137" s="157" t="s">
        <v>3090</v>
      </c>
      <c r="J137" s="157" t="s">
        <v>3095</v>
      </c>
      <c r="K137" s="157" t="s">
        <v>3096</v>
      </c>
    </row>
    <row r="138" spans="2:11" x14ac:dyDescent="0.25">
      <c r="B138" s="156" t="s">
        <v>3047</v>
      </c>
      <c r="C138" s="156"/>
      <c r="D138" s="156" t="str">
        <f>CHOOSE(Translations!$C$1+1,I138,J138,K138)</f>
        <v>SSRS: fortalecimiento de los sistemas comunitarios</v>
      </c>
      <c r="E138" s="156"/>
      <c r="F138" s="156" t="s">
        <v>3049</v>
      </c>
      <c r="G138" s="156" t="s">
        <v>3048</v>
      </c>
      <c r="H138" s="157" t="s">
        <v>2778</v>
      </c>
      <c r="I138" s="157" t="s">
        <v>3046</v>
      </c>
      <c r="J138" s="157" t="s">
        <v>3051</v>
      </c>
      <c r="K138" s="157" t="s">
        <v>3052</v>
      </c>
    </row>
    <row r="139" spans="2:11" x14ac:dyDescent="0.25">
      <c r="B139" s="156" t="s">
        <v>3124</v>
      </c>
      <c r="C139" s="156"/>
      <c r="D139" s="156" t="str">
        <f>CHOOSE(Translations!$C$1+1,I139,J139,K139)</f>
        <v>SSRS: sistemas de laboratorio</v>
      </c>
      <c r="E139" s="156"/>
      <c r="F139" s="156" t="s">
        <v>3126</v>
      </c>
      <c r="G139" s="156" t="s">
        <v>3125</v>
      </c>
      <c r="H139" s="157" t="s">
        <v>2778</v>
      </c>
      <c r="I139" s="157" t="s">
        <v>3123</v>
      </c>
      <c r="J139" s="157" t="s">
        <v>3128</v>
      </c>
      <c r="K139" s="157" t="s">
        <v>3129</v>
      </c>
    </row>
    <row r="140" spans="2:11" x14ac:dyDescent="0.25">
      <c r="B140" s="156" t="s">
        <v>1144</v>
      </c>
      <c r="C140" s="156"/>
      <c r="D140" s="156" t="str">
        <f>CHOOSE(Translations!$C$1+1,I140,J140,K140)</f>
        <v>Financiación basada en los resultados</v>
      </c>
      <c r="E140" s="156"/>
      <c r="F140" s="156" t="s">
        <v>1146</v>
      </c>
      <c r="G140" s="156" t="s">
        <v>3003</v>
      </c>
      <c r="H140" s="157" t="s">
        <v>2778</v>
      </c>
      <c r="I140" s="157" t="s">
        <v>3002</v>
      </c>
      <c r="J140" s="157" t="s">
        <v>3005</v>
      </c>
      <c r="K140" s="157" t="s">
        <v>3006</v>
      </c>
    </row>
    <row r="141" spans="2:11" x14ac:dyDescent="0.25">
      <c r="B141" s="156" t="s">
        <v>3022</v>
      </c>
      <c r="C141" s="156"/>
      <c r="D141" s="156" t="str">
        <f>CHOOSE(Translations!$C$1+1,I141,J141,K141)</f>
        <v>Gestión de programas</v>
      </c>
      <c r="E141" s="156"/>
      <c r="F141" s="156" t="s">
        <v>3024</v>
      </c>
      <c r="G141" s="156" t="s">
        <v>3028</v>
      </c>
      <c r="H141" s="157" t="s">
        <v>2778</v>
      </c>
      <c r="I141" s="157" t="s">
        <v>3021</v>
      </c>
      <c r="J141" s="157" t="s">
        <v>3026</v>
      </c>
      <c r="K141" s="157" t="s">
        <v>3027</v>
      </c>
    </row>
    <row r="142" spans="2:11" x14ac:dyDescent="0.25">
      <c r="B142" s="156" t="s">
        <v>3080</v>
      </c>
      <c r="C142" s="156"/>
      <c r="D142" s="156" t="str">
        <f>CHOOSE(Translations!$C$1+1,I142,J142,K142)</f>
        <v>SSRS: sistemas de gestión de productos para la salud</v>
      </c>
      <c r="E142" s="156"/>
      <c r="F142" s="156" t="s">
        <v>3082</v>
      </c>
      <c r="G142" s="156" t="s">
        <v>3086</v>
      </c>
      <c r="H142" s="157" t="s">
        <v>2778</v>
      </c>
      <c r="I142" s="157" t="s">
        <v>3079</v>
      </c>
      <c r="J142" s="157" t="s">
        <v>3084</v>
      </c>
      <c r="K142" s="157" t="s">
        <v>3085</v>
      </c>
    </row>
    <row r="143" spans="2:11" x14ac:dyDescent="0.25">
      <c r="B143" s="156" t="s">
        <v>3069</v>
      </c>
      <c r="C143" s="156"/>
      <c r="D143" s="156" t="str">
        <f>CHOOSE(Translations!$C$1+1,I143,J143,K143)</f>
        <v>SSRS: Sistemas de información de gestión de salud y M&amp;E (Monitoria y Evaluación)</v>
      </c>
      <c r="E143" s="156"/>
      <c r="F143" s="156" t="s">
        <v>3071</v>
      </c>
      <c r="G143" s="156" t="s">
        <v>3075</v>
      </c>
      <c r="H143" s="157" t="s">
        <v>2778</v>
      </c>
      <c r="I143" s="157" t="s">
        <v>3068</v>
      </c>
      <c r="J143" s="157" t="s">
        <v>3073</v>
      </c>
      <c r="K143" s="157" t="s">
        <v>3074</v>
      </c>
    </row>
    <row r="144" spans="2:11" x14ac:dyDescent="0.25">
      <c r="B144" s="156" t="s">
        <v>3102</v>
      </c>
      <c r="C144" s="156"/>
      <c r="D144" s="156" t="str">
        <f>CHOOSE(Translations!$C$1+1,I144,J144,K144)</f>
        <v>SSRS: recursos humanos para la salud  incluidos los trabajadores de la salud comunitarios</v>
      </c>
      <c r="E144" s="156"/>
      <c r="F144" s="156" t="s">
        <v>3104</v>
      </c>
      <c r="G144" s="156" t="s">
        <v>3108</v>
      </c>
      <c r="H144" s="157" t="s">
        <v>2778</v>
      </c>
      <c r="I144" s="157" t="s">
        <v>3101</v>
      </c>
      <c r="J144" s="157" t="s">
        <v>3106</v>
      </c>
      <c r="K144" s="157" t="s">
        <v>3107</v>
      </c>
    </row>
    <row r="145" spans="2:11" x14ac:dyDescent="0.25">
      <c r="B145" s="156" t="s">
        <v>3113</v>
      </c>
      <c r="C145" s="156"/>
      <c r="D145" s="156" t="str">
        <f>CHOOSE(Translations!$C$1+1,I145,J145,K145)</f>
        <v>SSRS: mejora de la calidad y la prestación de servicios integrados</v>
      </c>
      <c r="E145" s="156"/>
      <c r="F145" s="156" t="s">
        <v>3115</v>
      </c>
      <c r="G145" s="156" t="s">
        <v>3119</v>
      </c>
      <c r="H145" s="157" t="s">
        <v>2778</v>
      </c>
      <c r="I145" s="157" t="s">
        <v>3112</v>
      </c>
      <c r="J145" s="157" t="s">
        <v>3117</v>
      </c>
      <c r="K145" s="157" t="s">
        <v>3118</v>
      </c>
    </row>
    <row r="146" spans="2:11" x14ac:dyDescent="0.25">
      <c r="B146" s="156" t="s">
        <v>3058</v>
      </c>
      <c r="C146" s="156"/>
      <c r="D146" s="156" t="str">
        <f>CHOOSE(Translations!$C$1+1,I146,J146,K146)</f>
        <v>SSRS: Sistemas de gestión financiera</v>
      </c>
      <c r="E146" s="156"/>
      <c r="F146" s="156" t="s">
        <v>3060</v>
      </c>
      <c r="G146" s="156" t="s">
        <v>3064</v>
      </c>
      <c r="H146" s="157" t="s">
        <v>2778</v>
      </c>
      <c r="I146" s="157" t="s">
        <v>3057</v>
      </c>
      <c r="J146" s="157" t="s">
        <v>3062</v>
      </c>
      <c r="K146" s="157" t="s">
        <v>3063</v>
      </c>
    </row>
    <row r="147" spans="2:11" x14ac:dyDescent="0.25">
      <c r="B147" s="156" t="s">
        <v>3091</v>
      </c>
      <c r="C147" s="156"/>
      <c r="D147" s="156" t="str">
        <f>CHOOSE(Translations!$C$1+1,I147,J147,K147)</f>
        <v>SSRS: gobernanza y planificación del sector de la salud</v>
      </c>
      <c r="E147" s="156"/>
      <c r="F147" s="156" t="s">
        <v>3093</v>
      </c>
      <c r="G147" s="156" t="s">
        <v>3097</v>
      </c>
      <c r="H147" s="157" t="s">
        <v>2778</v>
      </c>
      <c r="I147" s="157" t="s">
        <v>3090</v>
      </c>
      <c r="J147" s="157" t="s">
        <v>3095</v>
      </c>
      <c r="K147" s="157" t="s">
        <v>3096</v>
      </c>
    </row>
    <row r="148" spans="2:11" x14ac:dyDescent="0.25">
      <c r="B148" s="156" t="s">
        <v>3047</v>
      </c>
      <c r="C148" s="156"/>
      <c r="D148" s="156" t="str">
        <f>CHOOSE(Translations!$C$1+1,I148,J148,K148)</f>
        <v>SSRS: fortalecimiento de los sistemas comunitarios</v>
      </c>
      <c r="E148" s="156"/>
      <c r="F148" s="156" t="s">
        <v>3049</v>
      </c>
      <c r="G148" s="156" t="s">
        <v>3053</v>
      </c>
      <c r="H148" s="157" t="s">
        <v>2778</v>
      </c>
      <c r="I148" s="157" t="s">
        <v>3046</v>
      </c>
      <c r="J148" s="157" t="s">
        <v>3051</v>
      </c>
      <c r="K148" s="157" t="s">
        <v>3052</v>
      </c>
    </row>
    <row r="149" spans="2:11" x14ac:dyDescent="0.25">
      <c r="B149" s="156" t="s">
        <v>3124</v>
      </c>
      <c r="C149" s="156"/>
      <c r="D149" s="156" t="str">
        <f>CHOOSE(Translations!$C$1+1,I149,J149,K149)</f>
        <v>SSRS: sistemas de laboratorio</v>
      </c>
      <c r="E149" s="156"/>
      <c r="F149" s="156" t="s">
        <v>3126</v>
      </c>
      <c r="G149" s="156" t="s">
        <v>3130</v>
      </c>
      <c r="H149" s="157" t="s">
        <v>2778</v>
      </c>
      <c r="I149" s="157" t="s">
        <v>3123</v>
      </c>
      <c r="J149" s="157" t="s">
        <v>3128</v>
      </c>
      <c r="K149" s="157" t="s">
        <v>3129</v>
      </c>
    </row>
    <row r="150" spans="2:11" x14ac:dyDescent="0.25">
      <c r="B150" s="156" t="s">
        <v>1144</v>
      </c>
      <c r="C150" s="156"/>
      <c r="D150" s="156" t="str">
        <f>CHOOSE(Translations!$C$1+1,I150,J150,K150)</f>
        <v>Financiación basada en los resultados</v>
      </c>
      <c r="E150" s="156"/>
      <c r="F150" s="156" t="s">
        <v>1146</v>
      </c>
      <c r="G150" s="156" t="s">
        <v>3007</v>
      </c>
      <c r="H150" s="157" t="s">
        <v>2778</v>
      </c>
      <c r="I150" s="157" t="s">
        <v>3002</v>
      </c>
      <c r="J150" s="157" t="s">
        <v>3005</v>
      </c>
      <c r="K150" s="157" t="s">
        <v>3006</v>
      </c>
    </row>
    <row r="151" spans="2:11" x14ac:dyDescent="0.25">
      <c r="B151" s="156" t="s">
        <v>3022</v>
      </c>
      <c r="C151" s="156"/>
      <c r="D151" s="156" t="str">
        <f>CHOOSE(Translations!$C$1+1,I151,J151,K151)</f>
        <v>Gestión de programas</v>
      </c>
      <c r="E151" s="156"/>
      <c r="F151" s="156" t="s">
        <v>3024</v>
      </c>
      <c r="G151" s="156" t="s">
        <v>3030</v>
      </c>
      <c r="H151" s="157" t="s">
        <v>2778</v>
      </c>
      <c r="I151" s="157" t="s">
        <v>3021</v>
      </c>
      <c r="J151" s="157" t="s">
        <v>3026</v>
      </c>
      <c r="K151" s="157" t="s">
        <v>3027</v>
      </c>
    </row>
    <row r="152" spans="2:11" x14ac:dyDescent="0.25">
      <c r="B152" s="156" t="s">
        <v>3080</v>
      </c>
      <c r="C152" s="156"/>
      <c r="D152" s="156" t="str">
        <f>CHOOSE(Translations!$C$1+1,I152,J152,K152)</f>
        <v>SSRS: sistemas de gestión de productos para la salud</v>
      </c>
      <c r="E152" s="156"/>
      <c r="F152" s="156" t="s">
        <v>3082</v>
      </c>
      <c r="G152" s="156" t="s">
        <v>3088</v>
      </c>
      <c r="H152" s="157" t="s">
        <v>2778</v>
      </c>
      <c r="I152" s="157" t="s">
        <v>3079</v>
      </c>
      <c r="J152" s="157" t="s">
        <v>3084</v>
      </c>
      <c r="K152" s="157" t="s">
        <v>3085</v>
      </c>
    </row>
    <row r="153" spans="2:11" x14ac:dyDescent="0.25">
      <c r="B153" s="156" t="s">
        <v>3069</v>
      </c>
      <c r="C153" s="156"/>
      <c r="D153" s="156" t="str">
        <f>CHOOSE(Translations!$C$1+1,I153,J153,K153)</f>
        <v>SSRS: Sistemas de información de gestión de salud y M&amp;E (Monitoria y Evaluación)</v>
      </c>
      <c r="E153" s="156"/>
      <c r="F153" s="156" t="s">
        <v>3071</v>
      </c>
      <c r="G153" s="156" t="s">
        <v>3077</v>
      </c>
      <c r="H153" s="157" t="s">
        <v>2778</v>
      </c>
      <c r="I153" s="157" t="s">
        <v>3068</v>
      </c>
      <c r="J153" s="157" t="s">
        <v>3073</v>
      </c>
      <c r="K153" s="157" t="s">
        <v>3074</v>
      </c>
    </row>
    <row r="154" spans="2:11" x14ac:dyDescent="0.25">
      <c r="B154" s="156" t="s">
        <v>3102</v>
      </c>
      <c r="C154" s="156"/>
      <c r="D154" s="156" t="str">
        <f>CHOOSE(Translations!$C$1+1,I154,J154,K154)</f>
        <v>SSRS: recursos humanos para la salud  incluidos los trabajadores de la salud comunitarios</v>
      </c>
      <c r="E154" s="156"/>
      <c r="F154" s="156" t="s">
        <v>3104</v>
      </c>
      <c r="G154" s="156" t="s">
        <v>3110</v>
      </c>
      <c r="H154" s="157" t="s">
        <v>2778</v>
      </c>
      <c r="I154" s="157" t="s">
        <v>3101</v>
      </c>
      <c r="J154" s="157" t="s">
        <v>3106</v>
      </c>
      <c r="K154" s="157" t="s">
        <v>3107</v>
      </c>
    </row>
    <row r="155" spans="2:11" x14ac:dyDescent="0.25">
      <c r="B155" s="156" t="s">
        <v>3113</v>
      </c>
      <c r="C155" s="156"/>
      <c r="D155" s="156" t="str">
        <f>CHOOSE(Translations!$C$1+1,I155,J155,K155)</f>
        <v>SSRS: mejora de la calidad y la prestación de servicios integrados</v>
      </c>
      <c r="E155" s="156"/>
      <c r="F155" s="156" t="s">
        <v>3115</v>
      </c>
      <c r="G155" s="156" t="s">
        <v>3121</v>
      </c>
      <c r="H155" s="157" t="s">
        <v>2778</v>
      </c>
      <c r="I155" s="157" t="s">
        <v>3112</v>
      </c>
      <c r="J155" s="157" t="s">
        <v>3117</v>
      </c>
      <c r="K155" s="157" t="s">
        <v>3118</v>
      </c>
    </row>
    <row r="156" spans="2:11" x14ac:dyDescent="0.25">
      <c r="B156" s="156" t="s">
        <v>3058</v>
      </c>
      <c r="C156" s="156"/>
      <c r="D156" s="156" t="str">
        <f>CHOOSE(Translations!$C$1+1,I156,J156,K156)</f>
        <v>SSRS: Sistemas de gestión financiera</v>
      </c>
      <c r="E156" s="156"/>
      <c r="F156" s="156" t="s">
        <v>3060</v>
      </c>
      <c r="G156" s="156" t="s">
        <v>3066</v>
      </c>
      <c r="H156" s="157" t="s">
        <v>2778</v>
      </c>
      <c r="I156" s="157" t="s">
        <v>3057</v>
      </c>
      <c r="J156" s="157" t="s">
        <v>3062</v>
      </c>
      <c r="K156" s="157" t="s">
        <v>3063</v>
      </c>
    </row>
    <row r="157" spans="2:11" x14ac:dyDescent="0.25">
      <c r="B157" s="156" t="s">
        <v>3091</v>
      </c>
      <c r="C157" s="156"/>
      <c r="D157" s="156" t="str">
        <f>CHOOSE(Translations!$C$1+1,I157,J157,K157)</f>
        <v>SSRS: gobernanza y planificación del sector de la salud</v>
      </c>
      <c r="E157" s="156"/>
      <c r="F157" s="156" t="s">
        <v>3093</v>
      </c>
      <c r="G157" s="156" t="s">
        <v>3099</v>
      </c>
      <c r="H157" s="157" t="s">
        <v>2778</v>
      </c>
      <c r="I157" s="157" t="s">
        <v>3090</v>
      </c>
      <c r="J157" s="157" t="s">
        <v>3095</v>
      </c>
      <c r="K157" s="157" t="s">
        <v>3096</v>
      </c>
    </row>
    <row r="158" spans="2:11" x14ac:dyDescent="0.25">
      <c r="B158" s="156" t="s">
        <v>3047</v>
      </c>
      <c r="C158" s="156"/>
      <c r="D158" s="156" t="str">
        <f>CHOOSE(Translations!$C$1+1,I158,J158,K158)</f>
        <v>SSRS: fortalecimiento de los sistemas comunitarios</v>
      </c>
      <c r="E158" s="156"/>
      <c r="F158" s="156" t="s">
        <v>3049</v>
      </c>
      <c r="G158" s="156" t="s">
        <v>3055</v>
      </c>
      <c r="H158" s="157" t="s">
        <v>2778</v>
      </c>
      <c r="I158" s="157" t="s">
        <v>3046</v>
      </c>
      <c r="J158" s="157" t="s">
        <v>3051</v>
      </c>
      <c r="K158" s="157" t="s">
        <v>3052</v>
      </c>
    </row>
    <row r="159" spans="2:11" x14ac:dyDescent="0.25">
      <c r="B159" s="156" t="s">
        <v>3124</v>
      </c>
      <c r="C159" s="156"/>
      <c r="D159" s="156" t="str">
        <f>CHOOSE(Translations!$C$1+1,I159,J159,K159)</f>
        <v>SSRS: sistemas de laboratorio</v>
      </c>
      <c r="E159" s="156"/>
      <c r="F159" s="156" t="s">
        <v>3126</v>
      </c>
      <c r="G159" s="156" t="s">
        <v>3132</v>
      </c>
      <c r="H159" s="157" t="s">
        <v>2778</v>
      </c>
      <c r="I159" s="157" t="s">
        <v>3123</v>
      </c>
      <c r="J159" s="157" t="s">
        <v>3128</v>
      </c>
      <c r="K159" s="157" t="s">
        <v>3129</v>
      </c>
    </row>
    <row r="160" spans="2:11" x14ac:dyDescent="0.25">
      <c r="B160" s="156" t="s">
        <v>1144</v>
      </c>
      <c r="C160" s="156"/>
      <c r="D160" s="156" t="str">
        <f>CHOOSE(Translations!$C$1+1,I160,J160,K160)</f>
        <v>Financiación basada en los resultados</v>
      </c>
      <c r="E160" s="156"/>
      <c r="F160" s="156" t="s">
        <v>1146</v>
      </c>
      <c r="G160" s="156" t="s">
        <v>3009</v>
      </c>
      <c r="H160" s="157" t="s">
        <v>2778</v>
      </c>
      <c r="I160" s="157" t="s">
        <v>3002</v>
      </c>
      <c r="J160" s="157" t="s">
        <v>3005</v>
      </c>
      <c r="K160" s="157" t="s">
        <v>3006</v>
      </c>
    </row>
    <row r="161" spans="1:11" x14ac:dyDescent="0.25">
      <c r="B161" s="156" t="s">
        <v>2984</v>
      </c>
      <c r="C161" s="156"/>
      <c r="D161" s="156" t="str">
        <f>CHOOSE(Translations!$C$1+1,I161,J161,K161)</f>
        <v>COVID-19</v>
      </c>
      <c r="E161" s="156"/>
      <c r="F161" s="156" t="s">
        <v>2986</v>
      </c>
      <c r="G161" s="156" t="s">
        <v>2990</v>
      </c>
      <c r="H161" s="157" t="s">
        <v>2778</v>
      </c>
      <c r="I161" s="157" t="s">
        <v>2983</v>
      </c>
      <c r="J161" s="157" t="s">
        <v>2983</v>
      </c>
      <c r="K161" s="157" t="s">
        <v>2983</v>
      </c>
    </row>
    <row r="165" spans="1:11" ht="13" x14ac:dyDescent="0.3">
      <c r="A165" s="6" t="s">
        <v>124</v>
      </c>
    </row>
    <row r="166" spans="1:11" x14ac:dyDescent="0.25">
      <c r="B166" s="156" t="s">
        <v>107</v>
      </c>
      <c r="C166" s="156"/>
      <c r="D166" s="156" t="s">
        <v>448</v>
      </c>
      <c r="E166" s="156"/>
      <c r="F166" s="156"/>
      <c r="G166" s="156" t="s">
        <v>48</v>
      </c>
      <c r="H166" s="156" t="s">
        <v>230</v>
      </c>
      <c r="I166" s="156" t="s">
        <v>43</v>
      </c>
      <c r="J166" s="156" t="s">
        <v>446</v>
      </c>
      <c r="K166" s="156" t="s">
        <v>444</v>
      </c>
    </row>
    <row r="167" spans="1:11" ht="18" hidden="1" customHeight="1" x14ac:dyDescent="0.25">
      <c r="B167" s="157" t="s">
        <v>79</v>
      </c>
      <c r="C167" s="156"/>
      <c r="D167" s="156" t="str">
        <f>CHOOSE(Translations!$C$1+1,I167,J167,K167)</f>
        <v>[Name - ES]</v>
      </c>
      <c r="E167" s="156"/>
      <c r="F167" s="156"/>
      <c r="G167" s="156" t="s">
        <v>47</v>
      </c>
      <c r="H167" s="157" t="s">
        <v>229</v>
      </c>
      <c r="I167" s="157" t="s">
        <v>66</v>
      </c>
      <c r="J167" s="157" t="s">
        <v>445</v>
      </c>
      <c r="K167" s="157" t="s">
        <v>443</v>
      </c>
    </row>
    <row r="168" spans="1:11" ht="18" customHeight="1" x14ac:dyDescent="0.25">
      <c r="B168" s="157" t="s">
        <v>3195</v>
      </c>
      <c r="C168" s="156"/>
      <c r="D168" s="156" t="str">
        <f>CHOOSE(Translations!$C$1+1,I168,J168,K168)</f>
        <v>MEN-1 Número de circuncisiones masculinas médicas realizadas de conformidad con las normas nacionales</v>
      </c>
      <c r="E168" s="156"/>
      <c r="F168" s="156"/>
      <c r="G168" s="156" t="s">
        <v>3196</v>
      </c>
      <c r="H168" s="157"/>
      <c r="I168" s="157" t="s">
        <v>3197</v>
      </c>
      <c r="J168" s="157" t="s">
        <v>3198</v>
      </c>
      <c r="K168" s="157" t="s">
        <v>3199</v>
      </c>
    </row>
    <row r="169" spans="1:11" ht="18" customHeight="1" x14ac:dyDescent="0.25">
      <c r="B169" s="157" t="s">
        <v>1995</v>
      </c>
      <c r="C169" s="156"/>
      <c r="D169" s="156" t="str">
        <f>CHOOSE(Translations!$C$1+1,I169,J169,K169)</f>
        <v>KP-1a⁽ᴹ⁾ Porcentaje de HSH alcanzados por programas de prevención del VIH - paquete definido de servicios</v>
      </c>
      <c r="E169" s="156"/>
      <c r="F169" s="156"/>
      <c r="G169" s="156" t="s">
        <v>3153</v>
      </c>
      <c r="H169" s="157"/>
      <c r="I169" s="157" t="s">
        <v>1998</v>
      </c>
      <c r="J169" s="157" t="s">
        <v>1999</v>
      </c>
      <c r="K169" s="157" t="s">
        <v>2000</v>
      </c>
    </row>
    <row r="170" spans="1:11" ht="18" customHeight="1" x14ac:dyDescent="0.25">
      <c r="B170" s="157" t="s">
        <v>2762</v>
      </c>
      <c r="C170" s="156"/>
      <c r="D170" s="156" t="str">
        <f>CHOOSE(Translations!$C$1+1,I170,J170,K170)</f>
        <v>TB/HIV-3.1a Porcentaje de personas que viven con VIH que iniciaron TARV que se han sometido a un tamizaje de TB</v>
      </c>
      <c r="E170" s="156"/>
      <c r="F170" s="156"/>
      <c r="G170" s="156" t="s">
        <v>3323</v>
      </c>
      <c r="H170" s="157"/>
      <c r="I170" s="157" t="s">
        <v>2765</v>
      </c>
      <c r="J170" s="157" t="s">
        <v>2766</v>
      </c>
      <c r="K170" s="157" t="s">
        <v>2767</v>
      </c>
    </row>
    <row r="171" spans="1:11" ht="18" customHeight="1" x14ac:dyDescent="0.25">
      <c r="B171" s="157" t="s">
        <v>2003</v>
      </c>
      <c r="C171" s="156"/>
      <c r="D171" s="156" t="str">
        <f>CHOOSE(Translations!$C$1+1,I171,J171,K171)</f>
        <v>KP-1b⁽ᴹ⁾ Porcentaje de personas transgénero alcanzados por programas de prevención del VIH - paquete definido de servicios</v>
      </c>
      <c r="E171" s="156"/>
      <c r="F171" s="156"/>
      <c r="G171" s="156" t="s">
        <v>3156</v>
      </c>
      <c r="H171" s="157"/>
      <c r="I171" s="157" t="s">
        <v>2006</v>
      </c>
      <c r="J171" s="157" t="s">
        <v>2007</v>
      </c>
      <c r="K171" s="157" t="s">
        <v>2008</v>
      </c>
    </row>
    <row r="172" spans="1:11" ht="18" customHeight="1" x14ac:dyDescent="0.25">
      <c r="B172" s="157" t="s">
        <v>2011</v>
      </c>
      <c r="C172" s="156"/>
      <c r="D172" s="156" t="str">
        <f>CHOOSE(Translations!$C$1+1,I172,J172,K172)</f>
        <v>KP-1c⁽ᴹ⁾ Porcentaje de trabajadores sexuales alcanzados por programas de prevención del VIH - paquete definido de servicios</v>
      </c>
      <c r="E172" s="156"/>
      <c r="F172" s="156"/>
      <c r="G172" s="156" t="s">
        <v>3157</v>
      </c>
      <c r="H172" s="157"/>
      <c r="I172" s="157" t="s">
        <v>2014</v>
      </c>
      <c r="J172" s="157" t="s">
        <v>2015</v>
      </c>
      <c r="K172" s="157" t="s">
        <v>2016</v>
      </c>
    </row>
    <row r="173" spans="1:11" ht="18" customHeight="1" x14ac:dyDescent="0.25">
      <c r="B173" s="157" t="s">
        <v>2025</v>
      </c>
      <c r="C173" s="156"/>
      <c r="D173" s="156" t="str">
        <f>CHOOSE(Translations!$C$1+1,I173,J173,K173)</f>
        <v>KP-1d⁽ᴹ⁾ Porcentaje de personas que consumen drogas inyectables alcanzados por programas de prevención del VIH - paquete definido de servicios</v>
      </c>
      <c r="E173" s="156"/>
      <c r="F173" s="156"/>
      <c r="G173" s="156" t="s">
        <v>3158</v>
      </c>
      <c r="H173" s="157"/>
      <c r="I173" s="157" t="s">
        <v>2028</v>
      </c>
      <c r="J173" s="157" t="s">
        <v>2029</v>
      </c>
      <c r="K173" s="157" t="s">
        <v>2030</v>
      </c>
    </row>
    <row r="174" spans="1:11" ht="18" customHeight="1" x14ac:dyDescent="0.25">
      <c r="B174" s="157" t="s">
        <v>3160</v>
      </c>
      <c r="C174" s="156"/>
      <c r="D174" s="156" t="str">
        <f>CHOOSE(Translations!$C$1+1,I174,J174,K174)</f>
        <v>KP-1e Porcentaje de otras poblaciones vulnerables alcanzados por programas de prevención del VIH - paquete definido de servicios</v>
      </c>
      <c r="E174" s="156"/>
      <c r="F174" s="156"/>
      <c r="G174" s="156" t="s">
        <v>3161</v>
      </c>
      <c r="H174" s="157"/>
      <c r="I174" s="157" t="s">
        <v>3162</v>
      </c>
      <c r="J174" s="157" t="s">
        <v>3163</v>
      </c>
      <c r="K174" s="157" t="s">
        <v>3164</v>
      </c>
    </row>
    <row r="175" spans="1:11" ht="18" customHeight="1" x14ac:dyDescent="0.25">
      <c r="B175" s="157" t="s">
        <v>3165</v>
      </c>
      <c r="C175" s="156"/>
      <c r="D175" s="156" t="str">
        <f>CHOOSE(Translations!$C$1+1,I175,J175,K175)</f>
        <v>KP-1f⁽ᴹ⁾ Número de personas privadas de libertad en centros penitenciarios y otros lugares de reclusión alcanzados por programas de prevención del VIH - paquete definido de servicios</v>
      </c>
      <c r="E175" s="156"/>
      <c r="F175" s="156"/>
      <c r="G175" s="156" t="s">
        <v>3166</v>
      </c>
      <c r="H175" s="157"/>
      <c r="I175" s="157" t="s">
        <v>3167</v>
      </c>
      <c r="J175" s="157" t="s">
        <v>3168</v>
      </c>
      <c r="K175" s="157" t="s">
        <v>3169</v>
      </c>
    </row>
    <row r="176" spans="1:11" ht="18" customHeight="1" x14ac:dyDescent="0.25">
      <c r="B176" s="157" t="s">
        <v>3170</v>
      </c>
      <c r="C176" s="156"/>
      <c r="D176" s="156" t="str">
        <f>CHOOSE(Translations!$C$1+1,I176,J176,K176)</f>
        <v>KP-4 Número de agujas y jeringuillas distribuidas al año por persona que consume drogas inyectables a través de programas de agujas y jeringuillas</v>
      </c>
      <c r="E176" s="156"/>
      <c r="F176" s="156"/>
      <c r="G176" s="156" t="s">
        <v>3171</v>
      </c>
      <c r="H176" s="157"/>
      <c r="I176" s="157" t="s">
        <v>3172</v>
      </c>
      <c r="J176" s="157" t="s">
        <v>3173</v>
      </c>
      <c r="K176" s="157" t="s">
        <v>3174</v>
      </c>
    </row>
    <row r="177" spans="2:11" ht="18" customHeight="1" x14ac:dyDescent="0.25">
      <c r="B177" s="157" t="s">
        <v>3175</v>
      </c>
      <c r="C177" s="156"/>
      <c r="D177" s="156" t="str">
        <f>CHOOSE(Translations!$C$1+1,I177,J177,K177)</f>
        <v>KP-5 Porcentaje de personas en terapia de sustitución de opiáceos que recibieron tratamiento durante al menos 6 meses</v>
      </c>
      <c r="E177" s="156"/>
      <c r="F177" s="156"/>
      <c r="G177" s="156" t="s">
        <v>3176</v>
      </c>
      <c r="H177" s="157"/>
      <c r="I177" s="157" t="s">
        <v>3177</v>
      </c>
      <c r="J177" s="157" t="s">
        <v>3178</v>
      </c>
      <c r="K177" s="157" t="s">
        <v>3179</v>
      </c>
    </row>
    <row r="178" spans="2:11" ht="18" customHeight="1" x14ac:dyDescent="0.25">
      <c r="B178" s="157" t="s">
        <v>3180</v>
      </c>
      <c r="C178" s="156"/>
      <c r="D178" s="156" t="str">
        <f>CHOOSE(Translations!$C$1+1,I178,J178,K178)</f>
        <v>KP-6a Porcentaje de HSH elegibles que iniciaron PrEP durante el período de reporte</v>
      </c>
      <c r="E178" s="156"/>
      <c r="F178" s="156"/>
      <c r="G178" s="156" t="s">
        <v>3181</v>
      </c>
      <c r="H178" s="157"/>
      <c r="I178" s="157" t="s">
        <v>3182</v>
      </c>
      <c r="J178" s="157" t="s">
        <v>3183</v>
      </c>
      <c r="K178" s="157" t="s">
        <v>3184</v>
      </c>
    </row>
    <row r="179" spans="2:11" ht="18" customHeight="1" x14ac:dyDescent="0.25">
      <c r="B179" s="157" t="s">
        <v>3185</v>
      </c>
      <c r="C179" s="156"/>
      <c r="D179" s="156" t="str">
        <f>CHOOSE(Translations!$C$1+1,I179,J179,K179)</f>
        <v>KP-6b Porcentaje de personas transgénero elegibles que iniciaron PrEP durante el período de reporte</v>
      </c>
      <c r="E179" s="156"/>
      <c r="F179" s="156"/>
      <c r="G179" s="156" t="s">
        <v>3186</v>
      </c>
      <c r="H179" s="157"/>
      <c r="I179" s="157" t="s">
        <v>3187</v>
      </c>
      <c r="J179" s="157" t="s">
        <v>3188</v>
      </c>
      <c r="K179" s="157" t="s">
        <v>3189</v>
      </c>
    </row>
    <row r="180" spans="2:11" ht="18" customHeight="1" x14ac:dyDescent="0.25">
      <c r="B180" s="157" t="s">
        <v>3190</v>
      </c>
      <c r="C180" s="156"/>
      <c r="D180" s="156" t="str">
        <f>CHOOSE(Translations!$C$1+1,I180,J180,K180)</f>
        <v>KP-6c Porcentaje de trabajadores sexuales elegibles que iniciaron PrEP durante el período de reporte</v>
      </c>
      <c r="E180" s="156"/>
      <c r="F180" s="156"/>
      <c r="G180" s="156" t="s">
        <v>3191</v>
      </c>
      <c r="H180" s="157"/>
      <c r="I180" s="157" t="s">
        <v>3192</v>
      </c>
      <c r="J180" s="157" t="s">
        <v>3193</v>
      </c>
      <c r="K180" s="157" t="s">
        <v>3194</v>
      </c>
    </row>
    <row r="181" spans="2:11" ht="18" customHeight="1" x14ac:dyDescent="0.25">
      <c r="B181" s="157" t="s">
        <v>3330</v>
      </c>
      <c r="C181" s="156"/>
      <c r="D181" s="156" t="str">
        <f>CHOOSE(Translations!$C$1+1,I181,J181,K181)</f>
        <v>PSM-3 Porcentaje de establecimientos  de salud que prestan servicios de diagnóstico con productos marcadores disponibles el día de la visita o el día de la notificación</v>
      </c>
      <c r="E181" s="156"/>
      <c r="F181" s="156"/>
      <c r="G181" s="156" t="s">
        <v>3331</v>
      </c>
      <c r="H181" s="157"/>
      <c r="I181" s="157" t="s">
        <v>3332</v>
      </c>
      <c r="J181" s="157" t="s">
        <v>3333</v>
      </c>
      <c r="K181" s="157" t="s">
        <v>3334</v>
      </c>
    </row>
    <row r="182" spans="2:11" ht="18" customHeight="1" x14ac:dyDescent="0.25">
      <c r="B182" s="157" t="s">
        <v>3335</v>
      </c>
      <c r="C182" s="156"/>
      <c r="D182" s="156" t="str">
        <f>CHOOSE(Translations!$C$1+1,I182,J182,K182)</f>
        <v>PSM-4 Porcentaje de establecimientos de salud con medicamentos marcadores para las tres enfermedades disponibles el día de la visita o el día de la notificación</v>
      </c>
      <c r="E182" s="156"/>
      <c r="F182" s="156"/>
      <c r="G182" s="156" t="s">
        <v>3336</v>
      </c>
      <c r="H182" s="157"/>
      <c r="I182" s="157" t="s">
        <v>3337</v>
      </c>
      <c r="J182" s="157" t="s">
        <v>3338</v>
      </c>
      <c r="K182" s="157" t="s">
        <v>3339</v>
      </c>
    </row>
    <row r="183" spans="2:11" ht="18" customHeight="1" x14ac:dyDescent="0.25">
      <c r="B183" s="157" t="s">
        <v>2039</v>
      </c>
      <c r="C183" s="156"/>
      <c r="D183" s="156" t="str">
        <f>CHOOSE(Translations!$C$1+1,I183,J183,K183)</f>
        <v>YP-1a Porcentaje de jóvenes de 10 a 24 años asistiendo a la escuela alcanzados con programas de educación sexual integral y/o educación basada en el desarrollo de habilidades para la vida y  VIH, en las escuelas</v>
      </c>
      <c r="E183" s="156"/>
      <c r="F183" s="156"/>
      <c r="G183" s="156" t="s">
        <v>3200</v>
      </c>
      <c r="H183" s="157"/>
      <c r="I183" s="157" t="s">
        <v>2042</v>
      </c>
      <c r="J183" s="157" t="s">
        <v>2043</v>
      </c>
      <c r="K183" s="157" t="s">
        <v>2044</v>
      </c>
    </row>
    <row r="184" spans="2:11" ht="18" customHeight="1" x14ac:dyDescent="0.25">
      <c r="B184" s="157" t="s">
        <v>2047</v>
      </c>
      <c r="C184" s="156"/>
      <c r="D184" s="156" t="str">
        <f>CHOOSE(Translations!$C$1+1,I184,J184,K184)</f>
        <v>YP-1b Porcentaje de jóvenes de 10 a 24 años alcanzados por programas de educación sexual integral y/o educación basada en el desarrollo de habilidades para la vida y VIH, fuera de las escuelas</v>
      </c>
      <c r="E184" s="156"/>
      <c r="F184" s="156"/>
      <c r="G184" s="156" t="s">
        <v>3201</v>
      </c>
      <c r="H184" s="157"/>
      <c r="I184" s="157" t="s">
        <v>2050</v>
      </c>
      <c r="J184" s="157" t="s">
        <v>2051</v>
      </c>
      <c r="K184" s="157" t="s">
        <v>2052</v>
      </c>
    </row>
    <row r="185" spans="2:11" ht="18" customHeight="1" x14ac:dyDescent="0.25">
      <c r="B185" s="157" t="s">
        <v>2055</v>
      </c>
      <c r="C185" s="156"/>
      <c r="D185" s="156" t="str">
        <f>CHOOSE(Translations!$C$1+1,I185,J185,K185)</f>
        <v>YP-2 Porcentaje de niñas adolescentes y mujeres jóvenes alcanzadas por programas de prevención del VIH - paquete definido de servicios</v>
      </c>
      <c r="E185" s="156"/>
      <c r="F185" s="156"/>
      <c r="G185" s="156" t="s">
        <v>3202</v>
      </c>
      <c r="H185" s="157"/>
      <c r="I185" s="157" t="s">
        <v>2058</v>
      </c>
      <c r="J185" s="157" t="s">
        <v>2059</v>
      </c>
      <c r="K185" s="157" t="s">
        <v>2060</v>
      </c>
    </row>
    <row r="186" spans="2:11" ht="18" customHeight="1" x14ac:dyDescent="0.25">
      <c r="B186" s="157" t="s">
        <v>3203</v>
      </c>
      <c r="C186" s="156"/>
      <c r="D186" s="156" t="str">
        <f>CHOOSE(Translations!$C$1+1,I186,J186,K186)</f>
        <v>YP-4 Porcentaje de niñas adolescentes y mujeres jóvenes elegibles que iniciaron PrEP durante el período de reporte</v>
      </c>
      <c r="E186" s="156"/>
      <c r="F186" s="156"/>
      <c r="G186" s="156" t="s">
        <v>3204</v>
      </c>
      <c r="H186" s="157"/>
      <c r="I186" s="157" t="s">
        <v>3205</v>
      </c>
      <c r="J186" s="157" t="s">
        <v>3206</v>
      </c>
      <c r="K186" s="157" t="s">
        <v>3207</v>
      </c>
    </row>
    <row r="187" spans="2:11" ht="18" customHeight="1" x14ac:dyDescent="0.25">
      <c r="B187" s="157" t="s">
        <v>2065</v>
      </c>
      <c r="C187" s="156"/>
      <c r="D187" s="156" t="str">
        <f>CHOOSE(Translations!$C$1+1,I187,J187,K187)</f>
        <v>PMTCT-1 Porcentaje de mujeres embarazadas que conocen su Estatus de VIH</v>
      </c>
      <c r="E187" s="156"/>
      <c r="F187" s="156"/>
      <c r="G187" s="156" t="s">
        <v>3208</v>
      </c>
      <c r="H187" s="157"/>
      <c r="I187" s="157" t="s">
        <v>2074</v>
      </c>
      <c r="J187" s="157" t="s">
        <v>2075</v>
      </c>
      <c r="K187" s="157" t="s">
        <v>2076</v>
      </c>
    </row>
    <row r="188" spans="2:11" ht="18" customHeight="1" x14ac:dyDescent="0.25">
      <c r="B188" s="157" t="s">
        <v>3209</v>
      </c>
      <c r="C188" s="156"/>
      <c r="D188" s="156" t="str">
        <f>CHOOSE(Translations!$C$1+1,I188,J188,K188)</f>
        <v>PMTCT-2.1 Porcentaje de mujeres seropositivas que recibieron TARV durante el embarazo y/o trabajo de parto y parto</v>
      </c>
      <c r="E188" s="156"/>
      <c r="F188" s="156"/>
      <c r="G188" s="156" t="s">
        <v>3210</v>
      </c>
      <c r="H188" s="157"/>
      <c r="I188" s="157" t="s">
        <v>3211</v>
      </c>
      <c r="J188" s="157" t="s">
        <v>3212</v>
      </c>
      <c r="K188" s="157" t="s">
        <v>3213</v>
      </c>
    </row>
    <row r="189" spans="2:11" ht="18" customHeight="1" x14ac:dyDescent="0.25">
      <c r="B189" s="157" t="s">
        <v>3340</v>
      </c>
      <c r="C189" s="156"/>
      <c r="D189" s="156" t="str">
        <f>CHOOSE(Translations!$C$1+1,I189,J189,K189)</f>
        <v>PSM-5 Porcentaje de envíos entregados a tiempo y completos en el número total de envíos que se espera que sean entregados para las tres enfermedades durante el período del informe</v>
      </c>
      <c r="E189" s="156"/>
      <c r="F189" s="156"/>
      <c r="G189" s="156" t="s">
        <v>3341</v>
      </c>
      <c r="H189" s="157"/>
      <c r="I189" s="157" t="s">
        <v>3342</v>
      </c>
      <c r="J189" s="157" t="s">
        <v>3343</v>
      </c>
      <c r="K189" s="157" t="s">
        <v>3344</v>
      </c>
    </row>
    <row r="190" spans="2:11" ht="18" customHeight="1" x14ac:dyDescent="0.25">
      <c r="B190" s="157" t="s">
        <v>3345</v>
      </c>
      <c r="C190" s="156"/>
      <c r="D190" s="156" t="str">
        <f>CHOOSE(Translations!$C$1+1,I190,J190,K190)</f>
        <v>PSM-6 Porcentaje de productos sanitarios para órdenes de compra confirmadas con los proveedores en las cantidades previstas para las tres enfermedades durante el período del informe</v>
      </c>
      <c r="E190" s="156"/>
      <c r="F190" s="156"/>
      <c r="G190" s="156" t="s">
        <v>3346</v>
      </c>
      <c r="H190" s="157"/>
      <c r="I190" s="157" t="s">
        <v>3347</v>
      </c>
      <c r="J190" s="157" t="s">
        <v>3348</v>
      </c>
      <c r="K190" s="157" t="s">
        <v>3349</v>
      </c>
    </row>
    <row r="191" spans="2:11" ht="18" customHeight="1" x14ac:dyDescent="0.25">
      <c r="B191" s="157" t="s">
        <v>3350</v>
      </c>
      <c r="C191" s="156"/>
      <c r="D191" s="156" t="str">
        <f>CHOOSE(Translations!$C$1+1,I191,J191,K191)</f>
        <v>PSM-7 Porcentaje de lotes de productos sanitarios para las tres enfermedades sometidos a pruebas de calidad de acuerdo con la política de aseguramiento de la calidad del Fondo Mundial</v>
      </c>
      <c r="E191" s="156"/>
      <c r="F191" s="156"/>
      <c r="G191" s="156" t="s">
        <v>3351</v>
      </c>
      <c r="H191" s="157"/>
      <c r="I191" s="157" t="s">
        <v>3352</v>
      </c>
      <c r="J191" s="157" t="s">
        <v>3353</v>
      </c>
      <c r="K191" s="157" t="s">
        <v>3354</v>
      </c>
    </row>
    <row r="192" spans="2:11" ht="18" customHeight="1" x14ac:dyDescent="0.25">
      <c r="B192" s="157" t="s">
        <v>2670</v>
      </c>
      <c r="C192" s="156"/>
      <c r="D192" s="156" t="str">
        <f>CHOOSE(Translations!$C$1+1,I192,J192,K192)</f>
        <v>M&amp;E-2a Exhaustividad de los informes de los establecimientos de salud  : porcentaje de informes mensuales previstos  de los establecimientos de salud  (para el período de reporte) que se reciben realmente</v>
      </c>
      <c r="E192" s="156"/>
      <c r="F192" s="156"/>
      <c r="G192" s="156" t="s">
        <v>3355</v>
      </c>
      <c r="H192" s="157"/>
      <c r="I192" s="157" t="s">
        <v>2679</v>
      </c>
      <c r="J192" s="157" t="s">
        <v>2680</v>
      </c>
      <c r="K192" s="157" t="s">
        <v>2681</v>
      </c>
    </row>
    <row r="193" spans="2:11" ht="18" customHeight="1" x14ac:dyDescent="0.25">
      <c r="B193" s="157" t="s">
        <v>2697</v>
      </c>
      <c r="C193" s="156"/>
      <c r="D193" s="156" t="str">
        <f>CHOOSE(Translations!$C$1+1,I193,J193,K193)</f>
        <v>M&amp;E-2b Puntualidad de los informes de los  establecimientos de salud : porcentaje de informes de los establecimientos de salud  enviados mensualmente ( para el período de reporte) que se reciben puntualmente de acuerdo con las directrices nacionales</v>
      </c>
      <c r="E193" s="156"/>
      <c r="F193" s="156"/>
      <c r="G193" s="156" t="s">
        <v>3356</v>
      </c>
      <c r="H193" s="157"/>
      <c r="I193" s="157" t="s">
        <v>2700</v>
      </c>
      <c r="J193" s="157" t="s">
        <v>2701</v>
      </c>
      <c r="K193" s="157" t="s">
        <v>2702</v>
      </c>
    </row>
    <row r="194" spans="2:11" ht="18" customHeight="1" x14ac:dyDescent="0.25">
      <c r="B194" s="157" t="s">
        <v>2082</v>
      </c>
      <c r="C194" s="156"/>
      <c r="D194" s="156" t="str">
        <f>CHOOSE(Translations!$C$1+1,I194,J194,K194)</f>
        <v>PMTCT-3.1 Porcentaje de recién nacidos expuestos al VIH que se sometieron a una prueba virológica del VIH durante los 2 meses posteriores a su nacimiento</v>
      </c>
      <c r="E194" s="156"/>
      <c r="F194" s="156"/>
      <c r="G194" s="156" t="s">
        <v>3215</v>
      </c>
      <c r="H194" s="157"/>
      <c r="I194" s="157" t="s">
        <v>2088</v>
      </c>
      <c r="J194" s="157" t="s">
        <v>2089</v>
      </c>
      <c r="K194" s="157" t="s">
        <v>2090</v>
      </c>
    </row>
    <row r="195" spans="2:11" ht="18" customHeight="1" x14ac:dyDescent="0.25">
      <c r="B195" s="157" t="s">
        <v>3216</v>
      </c>
      <c r="C195" s="156"/>
      <c r="D195" s="156" t="str">
        <f>CHOOSE(Translations!$C$1+1,I195,J195,K195)</f>
        <v>PMTCT-4 Porcentaje de pacientes de atención prenatal que se sometieron a la prueba de la sífilis</v>
      </c>
      <c r="E195" s="156"/>
      <c r="F195" s="156"/>
      <c r="G195" s="156" t="s">
        <v>3217</v>
      </c>
      <c r="H195" s="157"/>
      <c r="I195" s="157" t="s">
        <v>3218</v>
      </c>
      <c r="J195" s="157" t="s">
        <v>3219</v>
      </c>
      <c r="K195" s="157" t="s">
        <v>3220</v>
      </c>
    </row>
    <row r="196" spans="2:11" ht="18" customHeight="1" x14ac:dyDescent="0.25">
      <c r="B196" s="157" t="s">
        <v>2095</v>
      </c>
      <c r="C196" s="156"/>
      <c r="D196" s="156" t="str">
        <f>CHOOSE(Translations!$C$1+1,I196,J196,K196)</f>
        <v>HTS-2 Número de niñas adolescentes y mujeres jóvenes que se sometieron a la prueba del VIH y recibieron los resultados durante el período de reporte</v>
      </c>
      <c r="E196" s="156"/>
      <c r="F196" s="156"/>
      <c r="G196" s="156" t="s">
        <v>3221</v>
      </c>
      <c r="H196" s="157"/>
      <c r="I196" s="157" t="s">
        <v>2098</v>
      </c>
      <c r="J196" s="157" t="s">
        <v>2099</v>
      </c>
      <c r="K196" s="157" t="s">
        <v>2100</v>
      </c>
    </row>
    <row r="197" spans="2:11" ht="18" customHeight="1" x14ac:dyDescent="0.25">
      <c r="B197" s="157" t="s">
        <v>2110</v>
      </c>
      <c r="C197" s="156"/>
      <c r="D197" s="156" t="str">
        <f>CHOOSE(Translations!$C$1+1,I197,J197,K197)</f>
        <v>HTS-3a⁽ᴹ⁾ Porcentaje de HSH a los que se les ha realizado una prueba de VIH durante el período de reporte y que conocen sus resultados</v>
      </c>
      <c r="E197" s="156"/>
      <c r="F197" s="156"/>
      <c r="G197" s="156" t="s">
        <v>3225</v>
      </c>
      <c r="H197" s="157"/>
      <c r="I197" s="157" t="s">
        <v>2113</v>
      </c>
      <c r="J197" s="157" t="s">
        <v>2114</v>
      </c>
      <c r="K197" s="157" t="s">
        <v>2115</v>
      </c>
    </row>
    <row r="198" spans="2:11" ht="18" customHeight="1" x14ac:dyDescent="0.25">
      <c r="B198" s="157" t="s">
        <v>2122</v>
      </c>
      <c r="C198" s="156"/>
      <c r="D198" s="156" t="str">
        <f>CHOOSE(Translations!$C$1+1,I198,J198,K198)</f>
        <v>HTS-3b⁽ᴹ⁾ Porcentaje de personas transgénero a los que se les ha realizado una prueba de VIH durante el período de reporte y que conocen sus resultados</v>
      </c>
      <c r="E198" s="156"/>
      <c r="F198" s="156"/>
      <c r="G198" s="156" t="s">
        <v>3226</v>
      </c>
      <c r="H198" s="157"/>
      <c r="I198" s="157" t="s">
        <v>2125</v>
      </c>
      <c r="J198" s="157" t="s">
        <v>2126</v>
      </c>
      <c r="K198" s="157" t="s">
        <v>2127</v>
      </c>
    </row>
    <row r="199" spans="2:11" ht="18" customHeight="1" x14ac:dyDescent="0.25">
      <c r="B199" s="157" t="s">
        <v>2134</v>
      </c>
      <c r="C199" s="156"/>
      <c r="D199" s="156" t="str">
        <f>CHOOSE(Translations!$C$1+1,I199,J199,K199)</f>
        <v>HTS-3c⁽ᴹ⁾ Porcentaje de trabajadores sexuales a los que se les ha realizado una prueba de VIH durante el período de reporte y que conocen sus resultados</v>
      </c>
      <c r="E199" s="156"/>
      <c r="F199" s="156"/>
      <c r="G199" s="156" t="s">
        <v>3227</v>
      </c>
      <c r="H199" s="157"/>
      <c r="I199" s="157" t="s">
        <v>2137</v>
      </c>
      <c r="J199" s="157" t="s">
        <v>2138</v>
      </c>
      <c r="K199" s="157" t="s">
        <v>2139</v>
      </c>
    </row>
    <row r="200" spans="2:11" ht="18" customHeight="1" x14ac:dyDescent="0.25">
      <c r="B200" s="157" t="s">
        <v>3357</v>
      </c>
      <c r="C200" s="156"/>
      <c r="D200" s="156" t="str">
        <f>CHOOSE(Translations!$C$1+1,I200,J200,K200)</f>
        <v>M&amp;E-4 Porcentaje de  informes sobre la prestación de servicios de los trabajadores de la salud comunitarios integrados en el Sistema de información de gestión de salud  nacional</v>
      </c>
      <c r="E200" s="156"/>
      <c r="F200" s="156"/>
      <c r="G200" s="156" t="s">
        <v>3358</v>
      </c>
      <c r="H200" s="157"/>
      <c r="I200" s="157" t="s">
        <v>3359</v>
      </c>
      <c r="J200" s="157" t="s">
        <v>3360</v>
      </c>
      <c r="K200" s="157" t="s">
        <v>3361</v>
      </c>
    </row>
    <row r="201" spans="2:11" ht="18" customHeight="1" x14ac:dyDescent="0.25">
      <c r="B201" s="157" t="s">
        <v>3362</v>
      </c>
      <c r="C201" s="156"/>
      <c r="D201" s="156" t="str">
        <f>CHOOSE(Translations!$C$1+1,I201,J201,K201)</f>
        <v>M&amp;E-5 Porcentaje de establecimientos de salud que registran y envían los datos mediante el sistema de comunicación electrónico</v>
      </c>
      <c r="E201" s="156"/>
      <c r="F201" s="156"/>
      <c r="G201" s="156" t="s">
        <v>3363</v>
      </c>
      <c r="H201" s="157"/>
      <c r="I201" s="157" t="s">
        <v>3364</v>
      </c>
      <c r="J201" s="157" t="s">
        <v>3365</v>
      </c>
      <c r="K201" s="157" t="s">
        <v>3366</v>
      </c>
    </row>
    <row r="202" spans="2:11" ht="18" customHeight="1" x14ac:dyDescent="0.25">
      <c r="B202" s="157" t="s">
        <v>3367</v>
      </c>
      <c r="C202" s="156"/>
      <c r="D202" s="156" t="str">
        <f>CHOOSE(Translations!$C$1+1,I202,J202,K202)</f>
        <v>M&amp;E-6 Porcentaje de distritos que producen informe(s) analíticos periódicos de acuerdo con el plan y el formato de los informes acordados a nivel nacional durante el período de reporte</v>
      </c>
      <c r="E202" s="156"/>
      <c r="F202" s="156"/>
      <c r="G202" s="156" t="s">
        <v>3368</v>
      </c>
      <c r="H202" s="157"/>
      <c r="I202" s="157" t="s">
        <v>3369</v>
      </c>
      <c r="J202" s="157" t="s">
        <v>3370</v>
      </c>
      <c r="K202" s="157" t="s">
        <v>3371</v>
      </c>
    </row>
    <row r="203" spans="2:11" ht="18" customHeight="1" x14ac:dyDescent="0.25">
      <c r="B203" s="157" t="s">
        <v>2709</v>
      </c>
      <c r="C203" s="156"/>
      <c r="D203" s="156" t="str">
        <f>CHOOSE(Translations!$C$1+1,I203,J203,K203)</f>
        <v>HRH-1 Tasa de puestos vacantes: número de puestos de salud a tiempo completo vacantes durante al menos 6 meses como porcentaje total del número de puestos financiados</v>
      </c>
      <c r="E203" s="156"/>
      <c r="F203" s="156"/>
      <c r="G203" s="156" t="s">
        <v>3372</v>
      </c>
      <c r="H203" s="157"/>
      <c r="I203" s="157" t="s">
        <v>2712</v>
      </c>
      <c r="J203" s="157" t="s">
        <v>2713</v>
      </c>
      <c r="K203" s="157" t="s">
        <v>2714</v>
      </c>
    </row>
    <row r="204" spans="2:11" ht="18" customHeight="1" x14ac:dyDescent="0.25">
      <c r="B204" s="157" t="s">
        <v>2170</v>
      </c>
      <c r="C204" s="156"/>
      <c r="D204" s="156" t="str">
        <f>CHOOSE(Translations!$C$1+1,I204,J204,K204)</f>
        <v>HTS-3e Porcentaje de otras poblaciones vulnerables a los que se les ha realizado una prueba de VIH durante el período de reporte y que conocen sus resultados</v>
      </c>
      <c r="E204" s="156"/>
      <c r="F204" s="156"/>
      <c r="G204" s="156" t="s">
        <v>3232</v>
      </c>
      <c r="H204" s="157"/>
      <c r="I204" s="157" t="s">
        <v>2173</v>
      </c>
      <c r="J204" s="157" t="s">
        <v>2174</v>
      </c>
      <c r="K204" s="157" t="s">
        <v>2175</v>
      </c>
    </row>
    <row r="205" spans="2:11" ht="18" customHeight="1" x14ac:dyDescent="0.25">
      <c r="B205" s="157" t="s">
        <v>2178</v>
      </c>
      <c r="C205" s="156"/>
      <c r="D205" s="156" t="str">
        <f>CHOOSE(Translations!$C$1+1,I205,J205,K205)</f>
        <v>HTS-3f⁽ᴹ⁾ Número de personas privadas de libertad en centros penitenciarios y otros lugares de reclusión a los que se les ha realizado una prueba de VIH durante el período de reporte y que conocen sus resultados</v>
      </c>
      <c r="E205" s="156"/>
      <c r="F205" s="156"/>
      <c r="G205" s="156" t="s">
        <v>3233</v>
      </c>
      <c r="H205" s="157"/>
      <c r="I205" s="157" t="s">
        <v>2181</v>
      </c>
      <c r="J205" s="157" t="s">
        <v>2182</v>
      </c>
      <c r="K205" s="157" t="s">
        <v>2183</v>
      </c>
    </row>
    <row r="206" spans="2:11" ht="18" customHeight="1" x14ac:dyDescent="0.25">
      <c r="B206" s="157" t="s">
        <v>2186</v>
      </c>
      <c r="C206" s="156"/>
      <c r="D206" s="156" t="str">
        <f>CHOOSE(Translations!$C$1+1,I206,J206,K206)</f>
        <v>HTS-4 Porcentaje de resultados de VIH positivos entre el total de pruebas de VIH realizadas durante el período de reporte.</v>
      </c>
      <c r="E206" s="156"/>
      <c r="F206" s="156"/>
      <c r="G206" s="156" t="s">
        <v>3234</v>
      </c>
      <c r="H206" s="157"/>
      <c r="I206" s="157" t="s">
        <v>2195</v>
      </c>
      <c r="J206" s="157" t="s">
        <v>2196</v>
      </c>
      <c r="K206" s="157" t="s">
        <v>2197</v>
      </c>
    </row>
    <row r="207" spans="2:11" ht="18" customHeight="1" x14ac:dyDescent="0.25">
      <c r="B207" s="157" t="s">
        <v>2239</v>
      </c>
      <c r="C207" s="156"/>
      <c r="D207" s="156" t="str">
        <f>CHOOSE(Translations!$C$1+1,I207,J207,K207)</f>
        <v>HTS-5 Porcentaje de personas con diagnóstico nuevo de VIH que han iniciado terapia antirretroviral</v>
      </c>
      <c r="E207" s="156"/>
      <c r="F207" s="156"/>
      <c r="G207" s="156" t="s">
        <v>3238</v>
      </c>
      <c r="H207" s="157"/>
      <c r="I207" s="157" t="s">
        <v>2242</v>
      </c>
      <c r="J207" s="157" t="s">
        <v>2243</v>
      </c>
      <c r="K207" s="157" t="s">
        <v>2244</v>
      </c>
    </row>
    <row r="208" spans="2:11" ht="18" customHeight="1" x14ac:dyDescent="0.25">
      <c r="B208" s="157" t="s">
        <v>2152</v>
      </c>
      <c r="C208" s="156"/>
      <c r="D208" s="156" t="str">
        <f>CHOOSE(Translations!$C$1+1,I208,J208,K208)</f>
        <v>HTS-3d⁽ᴹ⁾ Porcentaje de consumidores de drogas inyectables a los que se les ha realizado una prueba de VIH durante el período de reporte y que conocen sus resultados</v>
      </c>
      <c r="E208" s="156"/>
      <c r="F208" s="156"/>
      <c r="G208" s="156" t="s">
        <v>3231</v>
      </c>
      <c r="H208" s="157"/>
      <c r="I208" s="157" t="s">
        <v>2155</v>
      </c>
      <c r="J208" s="157" t="s">
        <v>2156</v>
      </c>
      <c r="K208" s="157" t="s">
        <v>2157</v>
      </c>
    </row>
    <row r="209" spans="2:11" ht="18" customHeight="1" x14ac:dyDescent="0.25">
      <c r="B209" s="157" t="s">
        <v>2315</v>
      </c>
      <c r="C209" s="156"/>
      <c r="D209" s="156" t="str">
        <f>CHOOSE(Translations!$C$1+1,I209,J209,K209)</f>
        <v>TCS-1b⁽ᴹ⁾ Porcentaje de adultos (15 años o más) en TARV entre el total de adultos viviendo con VIH al final del período de reporte</v>
      </c>
      <c r="E209" s="156"/>
      <c r="F209" s="156"/>
      <c r="G209" s="156" t="s">
        <v>3246</v>
      </c>
      <c r="H209" s="157"/>
      <c r="I209" s="157" t="s">
        <v>2318</v>
      </c>
      <c r="J209" s="157" t="s">
        <v>2319</v>
      </c>
      <c r="K209" s="157" t="s">
        <v>2320</v>
      </c>
    </row>
    <row r="210" spans="2:11" ht="18" customHeight="1" x14ac:dyDescent="0.25">
      <c r="B210" s="157" t="s">
        <v>2351</v>
      </c>
      <c r="C210" s="156"/>
      <c r="D210" s="156" t="str">
        <f>CHOOSE(Translations!$C$1+1,I210,J210,K210)</f>
        <v>TCS-1c⁽ᴹ⁾ Porcentaje de niños (menores de 15 años) en TARV entre el total de niños viviendo con VIH al final del período de reporte</v>
      </c>
      <c r="E210" s="156"/>
      <c r="F210" s="156"/>
      <c r="G210" s="156" t="s">
        <v>3250</v>
      </c>
      <c r="H210" s="157"/>
      <c r="I210" s="157" t="s">
        <v>2354</v>
      </c>
      <c r="J210" s="157" t="s">
        <v>2355</v>
      </c>
      <c r="K210" s="157" t="s">
        <v>2356</v>
      </c>
    </row>
    <row r="211" spans="2:11" ht="18" customHeight="1" x14ac:dyDescent="0.25">
      <c r="B211" s="157" t="s">
        <v>2361</v>
      </c>
      <c r="C211" s="156"/>
      <c r="D211" s="156" t="str">
        <f>CHOOSE(Translations!$C$1+1,I211,J211,K211)</f>
        <v>TCP-1⁽ᴹ⁾ Número de casos notificados de todas las formas de tuberculosis (esto es, confirmados bacteriológicamente y con diagnóstico clínico), casos nuevos y recaídas.</v>
      </c>
      <c r="E211" s="156"/>
      <c r="F211" s="156"/>
      <c r="G211" s="156" t="s">
        <v>3254</v>
      </c>
      <c r="H211" s="157"/>
      <c r="I211" s="157" t="s">
        <v>2368</v>
      </c>
      <c r="J211" s="157" t="s">
        <v>2369</v>
      </c>
      <c r="K211" s="157" t="s">
        <v>2370</v>
      </c>
    </row>
    <row r="212" spans="2:11" ht="18" customHeight="1" x14ac:dyDescent="0.25">
      <c r="B212" s="157" t="s">
        <v>2257</v>
      </c>
      <c r="C212" s="156"/>
      <c r="D212" s="156" t="str">
        <f>CHOOSE(Translations!$C$1+1,I212,J212,K212)</f>
        <v>TCS-1.1⁽ᴹ⁾ Porcentaje de personas en TARV entre todas las personas viviendo con VIH al final del período de reporte</v>
      </c>
      <c r="E212" s="156"/>
      <c r="F212" s="156"/>
      <c r="G212" s="156" t="s">
        <v>3242</v>
      </c>
      <c r="H212" s="157"/>
      <c r="I212" s="157" t="s">
        <v>2260</v>
      </c>
      <c r="J212" s="157" t="s">
        <v>2261</v>
      </c>
      <c r="K212" s="157" t="s">
        <v>2262</v>
      </c>
    </row>
    <row r="213" spans="2:11" ht="18" customHeight="1" x14ac:dyDescent="0.25">
      <c r="B213" s="157" t="s">
        <v>2388</v>
      </c>
      <c r="C213" s="156"/>
      <c r="D213" s="156" t="str">
        <f>CHOOSE(Translations!$C$1+1,I213,J213,K213)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E213" s="156"/>
      <c r="F213" s="156"/>
      <c r="G213" s="156" t="s">
        <v>3258</v>
      </c>
      <c r="H213" s="157"/>
      <c r="I213" s="157" t="s">
        <v>2391</v>
      </c>
      <c r="J213" s="157" t="s">
        <v>2392</v>
      </c>
      <c r="K213" s="157" t="s">
        <v>2393</v>
      </c>
    </row>
    <row r="214" spans="2:11" ht="18" customHeight="1" x14ac:dyDescent="0.25">
      <c r="B214" s="157" t="s">
        <v>3259</v>
      </c>
      <c r="C214" s="156"/>
      <c r="D214" s="156" t="str">
        <f>CHOOSE(Translations!$C$1+1,I214,J214,K214)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E214" s="156"/>
      <c r="F214" s="156"/>
      <c r="G214" s="156" t="s">
        <v>3260</v>
      </c>
      <c r="H214" s="157"/>
      <c r="I214" s="157" t="s">
        <v>3262</v>
      </c>
      <c r="J214" s="157" t="s">
        <v>3263</v>
      </c>
      <c r="K214" s="157" t="s">
        <v>3264</v>
      </c>
    </row>
    <row r="215" spans="2:11" ht="18" customHeight="1" x14ac:dyDescent="0.25">
      <c r="B215" s="157" t="s">
        <v>2406</v>
      </c>
      <c r="C215" s="156"/>
      <c r="D215" s="156" t="str">
        <f>CHOOSE(Translations!$C$1+1,I215,J215,K215)</f>
        <v>TCP-5.1 Número de personas en contacto con pacientes de tuberculosis que empezaron a recibir terapia preventiva.</v>
      </c>
      <c r="E215" s="156"/>
      <c r="F215" s="156"/>
      <c r="G215" s="156" t="s">
        <v>3265</v>
      </c>
      <c r="H215" s="157"/>
      <c r="I215" s="157" t="s">
        <v>2409</v>
      </c>
      <c r="J215" s="157" t="s">
        <v>2410</v>
      </c>
      <c r="K215" s="157" t="s">
        <v>2411</v>
      </c>
    </row>
    <row r="216" spans="2:11" ht="18" customHeight="1" x14ac:dyDescent="0.25">
      <c r="B216" s="157" t="s">
        <v>3266</v>
      </c>
      <c r="C216" s="156"/>
      <c r="D216" s="156" t="str">
        <f>CHOOSE(Translations!$C$1+1,I216,J216,K216)</f>
        <v>TCP-6a Número de casos de tuberculosis (en todas sus formas) notificados entre reclusos.</v>
      </c>
      <c r="E216" s="156"/>
      <c r="F216" s="156"/>
      <c r="G216" s="156" t="s">
        <v>3267</v>
      </c>
      <c r="H216" s="157"/>
      <c r="I216" s="157" t="s">
        <v>3268</v>
      </c>
      <c r="J216" s="157" t="s">
        <v>3269</v>
      </c>
      <c r="K216" s="157" t="s">
        <v>3270</v>
      </c>
    </row>
    <row r="217" spans="2:11" ht="18" customHeight="1" x14ac:dyDescent="0.25">
      <c r="B217" s="157" t="s">
        <v>3374</v>
      </c>
      <c r="C217" s="156"/>
      <c r="D217" s="156" t="str">
        <f>CHOOSE(Translations!$C$1+1,I217,J217,K217)</f>
        <v>HRH-3 Proporción de trabajadores de  salud comunitarios que recibieron al menos una supervisión de apoyo  durante el período de reporte</v>
      </c>
      <c r="E217" s="156"/>
      <c r="F217" s="156"/>
      <c r="G217" s="156" t="s">
        <v>3375</v>
      </c>
      <c r="H217" s="157"/>
      <c r="I217" s="157" t="s">
        <v>3376</v>
      </c>
      <c r="J217" s="157" t="s">
        <v>3377</v>
      </c>
      <c r="K217" s="157" t="s">
        <v>3378</v>
      </c>
    </row>
    <row r="218" spans="2:11" ht="18" customHeight="1" x14ac:dyDescent="0.25">
      <c r="B218" s="157" t="s">
        <v>2723</v>
      </c>
      <c r="C218" s="156"/>
      <c r="D218" s="156" t="str">
        <f>CHOOSE(Translations!$C$1+1,I218,J218,K218)</f>
        <v>HRH-2 Proporción de estudiantes graduados de un programa de educación y formación de personal sanitario respecto del número de estudiantes inscritos en primer año</v>
      </c>
      <c r="E218" s="156"/>
      <c r="F218" s="156"/>
      <c r="G218" s="156" t="s">
        <v>3373</v>
      </c>
      <c r="H218" s="157"/>
      <c r="I218" s="157" t="s">
        <v>2726</v>
      </c>
      <c r="J218" s="157" t="s">
        <v>2727</v>
      </c>
      <c r="K218" s="157" t="s">
        <v>2728</v>
      </c>
    </row>
    <row r="219" spans="2:11" ht="18" customHeight="1" x14ac:dyDescent="0.25">
      <c r="B219" s="157" t="s">
        <v>3379</v>
      </c>
      <c r="C219" s="156"/>
      <c r="D219" s="156" t="str">
        <f>CHOOSE(Translations!$C$1+1,I219,J219,K219)</f>
        <v>SD-3 Número de visitas al departamento de pacientes ambulatorios por persona y año</v>
      </c>
      <c r="E219" s="156"/>
      <c r="F219" s="156"/>
      <c r="G219" s="156" t="s">
        <v>3380</v>
      </c>
      <c r="H219" s="157"/>
      <c r="I219" s="157" t="s">
        <v>3381</v>
      </c>
      <c r="J219" s="157" t="s">
        <v>3382</v>
      </c>
      <c r="K219" s="157" t="s">
        <v>3383</v>
      </c>
    </row>
    <row r="220" spans="2:11" ht="18" customHeight="1" x14ac:dyDescent="0.25">
      <c r="B220" s="157" t="s">
        <v>3384</v>
      </c>
      <c r="C220" s="156"/>
      <c r="D220" s="156" t="str">
        <f>CHOOSE(Translations!$C$1+1,I220,J220,K220)</f>
        <v>SD-4 Porcentaje de establecimientos de salud con comité de salud en funcionamiento (o similar) que incluya a los miembros comunitarios y se reúna al menos una vez por trimestre</v>
      </c>
      <c r="E220" s="156"/>
      <c r="F220" s="156"/>
      <c r="G220" s="156" t="s">
        <v>3385</v>
      </c>
      <c r="H220" s="157"/>
      <c r="I220" s="157" t="s">
        <v>3386</v>
      </c>
      <c r="J220" s="157" t="s">
        <v>3387</v>
      </c>
      <c r="K220" s="157" t="s">
        <v>3388</v>
      </c>
    </row>
    <row r="221" spans="2:11" ht="18" customHeight="1" x14ac:dyDescent="0.25">
      <c r="B221" s="157" t="s">
        <v>2416</v>
      </c>
      <c r="C221" s="156"/>
      <c r="D221" s="156" t="str">
        <f>CHOOSE(Translations!$C$1+1,I221,J221,K221)</f>
        <v>TCP-6b Número de casos de tuberculosis (en todas sus formas) notificados entre las poblaciones clave afectadas o los grupos de alto riesgo (distintos de los reclusos).</v>
      </c>
      <c r="E221" s="156"/>
      <c r="F221" s="156"/>
      <c r="G221" s="156" t="s">
        <v>3271</v>
      </c>
      <c r="H221" s="157"/>
      <c r="I221" s="157" t="s">
        <v>2422</v>
      </c>
      <c r="J221" s="157" t="s">
        <v>2423</v>
      </c>
      <c r="K221" s="157" t="s">
        <v>2424</v>
      </c>
    </row>
    <row r="222" spans="2:11" ht="18" customHeight="1" x14ac:dyDescent="0.25">
      <c r="B222" s="157" t="s">
        <v>3272</v>
      </c>
      <c r="C222" s="156"/>
      <c r="D222" s="156" t="str">
        <f>CHOOSE(Translations!$C$1+1,I222,J222,K222)</f>
        <v>TCP-7a Número de casos de tuberculosis notificados (en todas sus formas) aportados por proveedores que no pertenecen al programa nacional para el control de la tuberculosis: centros privados o no gubernamentales.</v>
      </c>
      <c r="E222" s="156"/>
      <c r="F222" s="156"/>
      <c r="G222" s="156" t="s">
        <v>3273</v>
      </c>
      <c r="H222" s="157"/>
      <c r="I222" s="157" t="s">
        <v>3274</v>
      </c>
      <c r="J222" s="157" t="s">
        <v>3275</v>
      </c>
      <c r="K222" s="157" t="s">
        <v>3276</v>
      </c>
    </row>
    <row r="223" spans="2:11" ht="18" customHeight="1" x14ac:dyDescent="0.25">
      <c r="B223" s="157" t="s">
        <v>3277</v>
      </c>
      <c r="C223" s="156"/>
      <c r="D223" s="156" t="str">
        <f>CHOOSE(Translations!$C$1+1,I223,J223,K223)</f>
        <v>TCP-7b Número de casos de tuberculosis notificados (en todas sus formas) aportados por proveedores que no pertenecen al programa nacional para el control de la tuberculosis: sector público.</v>
      </c>
      <c r="E223" s="156"/>
      <c r="F223" s="156"/>
      <c r="G223" s="156" t="s">
        <v>3278</v>
      </c>
      <c r="H223" s="157"/>
      <c r="I223" s="157" t="s">
        <v>3279</v>
      </c>
      <c r="J223" s="157" t="s">
        <v>3280</v>
      </c>
      <c r="K223" s="157" t="s">
        <v>3281</v>
      </c>
    </row>
    <row r="224" spans="2:11" ht="18" customHeight="1" x14ac:dyDescent="0.25">
      <c r="B224" s="157" t="s">
        <v>3389</v>
      </c>
      <c r="C224" s="156"/>
      <c r="D224" s="156" t="str">
        <f>CHOOSE(Translations!$C$1+1,I224,J224,K224)</f>
        <v>SD-5 Porcentaje de establecimientos de salud que reciben supervisión de apoyo al menos una vez por trimestre</v>
      </c>
      <c r="E224" s="156"/>
      <c r="F224" s="156"/>
      <c r="G224" s="156" t="s">
        <v>3390</v>
      </c>
      <c r="H224" s="157"/>
      <c r="I224" s="157" t="s">
        <v>3391</v>
      </c>
      <c r="J224" s="157" t="s">
        <v>3392</v>
      </c>
      <c r="K224" s="157" t="s">
        <v>3393</v>
      </c>
    </row>
    <row r="225" spans="2:11" ht="18" customHeight="1" x14ac:dyDescent="0.25">
      <c r="B225" s="157" t="s">
        <v>2737</v>
      </c>
      <c r="C225" s="156"/>
      <c r="D225" s="156" t="str">
        <f>CHOOSE(Translations!$C$1+1,I225,J225,K225)</f>
        <v>SD-6 Número de  condiciones de la atención integrada en la comunidad de enfermedades infantiles tratadas en niños menores de 5 años en áreas objetivo durante el período de informes</v>
      </c>
      <c r="E225" s="156"/>
      <c r="F225" s="156"/>
      <c r="G225" s="156" t="s">
        <v>3394</v>
      </c>
      <c r="H225" s="157"/>
      <c r="I225" s="157" t="s">
        <v>2745</v>
      </c>
      <c r="J225" s="157" t="s">
        <v>2746</v>
      </c>
      <c r="K225" s="157" t="s">
        <v>2747</v>
      </c>
    </row>
    <row r="226" spans="2:11" ht="18" customHeight="1" x14ac:dyDescent="0.25">
      <c r="B226" s="157" t="s">
        <v>3395</v>
      </c>
      <c r="C226" s="156"/>
      <c r="D226" s="156" t="str">
        <f>CHOOSE(Translations!$C$1+1,I226,J226,K226)</f>
        <v>FMS-1 Porcentaje de componentes del sistema de gestión de financiamiento público utilizado para la gestión de financiamiento de las subvenciones</v>
      </c>
      <c r="E226" s="156"/>
      <c r="F226" s="156"/>
      <c r="G226" s="156" t="s">
        <v>3396</v>
      </c>
      <c r="H226" s="157"/>
      <c r="I226" s="157" t="s">
        <v>3397</v>
      </c>
      <c r="J226" s="157" t="s">
        <v>3398</v>
      </c>
      <c r="K226" s="157" t="s">
        <v>3399</v>
      </c>
    </row>
    <row r="227" spans="2:11" ht="18" customHeight="1" x14ac:dyDescent="0.25">
      <c r="B227" s="157" t="s">
        <v>3400</v>
      </c>
      <c r="C227" s="156"/>
      <c r="D227" s="156" t="str">
        <f>CHOOSE(Translations!$C$1+1,I227,J227,K227)</f>
        <v>HSG-1 Porcentaje de equipos de gestión sanitaria en los distritos u otras unidades administrativas que han elaborado un plan de monitoreo, incluidos objetivos de trabajo anuales y medidas de desempeño</v>
      </c>
      <c r="E227" s="156"/>
      <c r="F227" s="156"/>
      <c r="G227" s="156" t="s">
        <v>3401</v>
      </c>
      <c r="H227" s="157"/>
      <c r="I227" s="157" t="s">
        <v>3402</v>
      </c>
      <c r="J227" s="157" t="s">
        <v>3403</v>
      </c>
      <c r="K227" s="157" t="s">
        <v>3404</v>
      </c>
    </row>
    <row r="228" spans="2:11" ht="18" customHeight="1" x14ac:dyDescent="0.25">
      <c r="B228" s="157" t="s">
        <v>3287</v>
      </c>
      <c r="C228" s="156"/>
      <c r="D228" s="156" t="str">
        <f>CHOOSE(Translations!$C$1+1,I228,J228,K228)</f>
        <v>TCP-8 Porcentaje de pacientes de tuberculosis notificados como casos nuevos y recaídas analizados con las pruebas rápidas recomendadas por la OMS en el momento del diagnóstico.</v>
      </c>
      <c r="E228" s="156"/>
      <c r="F228" s="156"/>
      <c r="G228" s="156" t="s">
        <v>3288</v>
      </c>
      <c r="H228" s="157"/>
      <c r="I228" s="157" t="s">
        <v>3289</v>
      </c>
      <c r="J228" s="157" t="s">
        <v>3290</v>
      </c>
      <c r="K228" s="157" t="s">
        <v>3291</v>
      </c>
    </row>
    <row r="229" spans="2:11" ht="18" customHeight="1" x14ac:dyDescent="0.25">
      <c r="B229" s="157" t="s">
        <v>2430</v>
      </c>
      <c r="C229" s="156"/>
      <c r="D229" s="156" t="str">
        <f>CHOOSE(Translations!$C$1+1,I229,J229,K229)</f>
        <v>MDR TB-2⁽ᴹ⁾ Número de casos de tuberculosis resistente a la rifampicina y/o multirresistente notificados.</v>
      </c>
      <c r="E229" s="156"/>
      <c r="F229" s="156"/>
      <c r="G229" s="156" t="s">
        <v>3292</v>
      </c>
      <c r="H229" s="157"/>
      <c r="I229" s="157" t="s">
        <v>2433</v>
      </c>
      <c r="J229" s="157" t="s">
        <v>2434</v>
      </c>
      <c r="K229" s="157" t="s">
        <v>2435</v>
      </c>
    </row>
    <row r="230" spans="2:11" ht="18" customHeight="1" x14ac:dyDescent="0.25">
      <c r="B230" s="157" t="s">
        <v>2442</v>
      </c>
      <c r="C230" s="156"/>
      <c r="D230" s="156" t="str">
        <f>CHOOSE(Translations!$C$1+1,I230,J230,K230)</f>
        <v>MDR TB-3⁽ᴹ⁾ Número de casos de tuberculosis resistente a la rifampicina y/o multirresistente que empezaron a recibir tratamiento de segunda línea.</v>
      </c>
      <c r="E230" s="156"/>
      <c r="F230" s="156"/>
      <c r="G230" s="156" t="s">
        <v>3293</v>
      </c>
      <c r="H230" s="157"/>
      <c r="I230" s="157" t="s">
        <v>2451</v>
      </c>
      <c r="J230" s="157" t="s">
        <v>2452</v>
      </c>
      <c r="K230" s="157" t="s">
        <v>2453</v>
      </c>
    </row>
    <row r="231" spans="2:11" ht="18" customHeight="1" x14ac:dyDescent="0.25">
      <c r="B231" s="157" t="s">
        <v>3282</v>
      </c>
      <c r="C231" s="156"/>
      <c r="D231" s="156" t="str">
        <f>CHOOSE(Translations!$C$1+1,I231,J231,K231)</f>
        <v>TCP-7c Número de casos de tuberculosis notificados (en todas sus formas) aportados por proveedores que no pertenecen al programa nacional para el control de la tuberculosis: derivados desde las comunidades.</v>
      </c>
      <c r="E231" s="156"/>
      <c r="F231" s="156"/>
      <c r="G231" s="156" t="s">
        <v>3283</v>
      </c>
      <c r="H231" s="157"/>
      <c r="I231" s="157" t="s">
        <v>3284</v>
      </c>
      <c r="J231" s="157" t="s">
        <v>3285</v>
      </c>
      <c r="K231" s="157" t="s">
        <v>3286</v>
      </c>
    </row>
    <row r="232" spans="2:11" ht="18" customHeight="1" x14ac:dyDescent="0.25">
      <c r="B232" s="157" t="s">
        <v>3410</v>
      </c>
      <c r="C232" s="156"/>
      <c r="D232" s="156" t="str">
        <f>CHOOSE(Translations!$C$1+1,I232,J232,K232)</f>
        <v>CSS-2 Número de organizaciones comunitarias que recibieron un paquete de formación predefinido</v>
      </c>
      <c r="E232" s="156"/>
      <c r="F232" s="156"/>
      <c r="G232" s="156" t="s">
        <v>3411</v>
      </c>
      <c r="H232" s="157"/>
      <c r="I232" s="157" t="s">
        <v>3412</v>
      </c>
      <c r="J232" s="157" t="s">
        <v>3413</v>
      </c>
      <c r="K232" s="157" t="s">
        <v>3414</v>
      </c>
    </row>
    <row r="233" spans="2:11" ht="18" customHeight="1" x14ac:dyDescent="0.25">
      <c r="B233" s="157" t="s">
        <v>3415</v>
      </c>
      <c r="C233" s="156"/>
      <c r="D233" s="156" t="str">
        <f>CHOOSE(Translations!$C$1+1,I233,J233,K233)</f>
        <v>LAB-1 Porcentaje de laboratorios nacionales de referencia acreditados de acuerdo con el estándar ISO15189 o que hayan conseguido al menos cuatro estrellas con vistas a obtener la acreditación</v>
      </c>
      <c r="E233" s="156"/>
      <c r="F233" s="156"/>
      <c r="G233" s="156" t="s">
        <v>3416</v>
      </c>
      <c r="H233" s="157"/>
      <c r="I233" s="157" t="s">
        <v>3417</v>
      </c>
      <c r="J233" s="157" t="s">
        <v>3418</v>
      </c>
      <c r="K233" s="157" t="s">
        <v>3419</v>
      </c>
    </row>
    <row r="234" spans="2:11" ht="18" customHeight="1" x14ac:dyDescent="0.25">
      <c r="B234" s="157" t="s">
        <v>3405</v>
      </c>
      <c r="C234" s="156"/>
      <c r="D234" s="156" t="str">
        <f>CHOOSE(Translations!$C$1+1,I234,J234,K234)</f>
        <v>CSS-1 Porcentaje de informes de monitoreo  comunitarios presentados a los mecanismos de supervisión pertinentes</v>
      </c>
      <c r="E234" s="156"/>
      <c r="F234" s="156"/>
      <c r="G234" s="156" t="s">
        <v>3406</v>
      </c>
      <c r="H234" s="157"/>
      <c r="I234" s="157" t="s">
        <v>3407</v>
      </c>
      <c r="J234" s="157" t="s">
        <v>3408</v>
      </c>
      <c r="K234" s="157" t="s">
        <v>3409</v>
      </c>
    </row>
    <row r="235" spans="2:11" ht="18" customHeight="1" x14ac:dyDescent="0.25">
      <c r="B235" s="157" t="s">
        <v>3297</v>
      </c>
      <c r="C235" s="156"/>
      <c r="D235" s="156" t="str">
        <f>CHOOSE(Translations!$C$1+1,I235,J235,K235)</f>
        <v>MDR TB-4 Porcentaje de casos de tuberculosis resistente a la rifampicina y/o multirresistente que comenzaron a recibir tratamiento para la tuberculosis multirresistente y cuyo seguimiento se interrumpió a los seis meses.</v>
      </c>
      <c r="E235" s="156"/>
      <c r="F235" s="156"/>
      <c r="G235" s="156" t="s">
        <v>3298</v>
      </c>
      <c r="H235" s="157"/>
      <c r="I235" s="157" t="s">
        <v>3299</v>
      </c>
      <c r="J235" s="157" t="s">
        <v>3300</v>
      </c>
      <c r="K235" s="157" t="s">
        <v>3301</v>
      </c>
    </row>
    <row r="236" spans="2:11" ht="18" customHeight="1" x14ac:dyDescent="0.25">
      <c r="B236" s="157" t="s">
        <v>3302</v>
      </c>
      <c r="C236" s="156"/>
      <c r="D236" s="156" t="str">
        <f>CHOOSE(Translations!$C$1+1,I236,J236,K236)</f>
        <v>MDR TB-5 Porcentaje de laboratorios de pruebas de sensibilidad a los medicamentos que muestran un desempeño adecuado en lo que se refiere al aseguramiento externo de la calidad.</v>
      </c>
      <c r="E236" s="156"/>
      <c r="F236" s="156"/>
      <c r="G236" s="156" t="s">
        <v>3303</v>
      </c>
      <c r="H236" s="157"/>
      <c r="I236" s="157" t="s">
        <v>3304</v>
      </c>
      <c r="J236" s="157" t="s">
        <v>3305</v>
      </c>
      <c r="K236" s="157" t="s">
        <v>3306</v>
      </c>
    </row>
    <row r="237" spans="2:11" ht="18" customHeight="1" x14ac:dyDescent="0.25">
      <c r="B237" s="157" t="s">
        <v>3307</v>
      </c>
      <c r="C237" s="156"/>
      <c r="D237" s="156" t="str">
        <f>CHOOSE(Translations!$C$1+1,I237,J237,K237)</f>
        <v>MDR TB-6 Porcentaje de pacientes con tuberculosis y resultados de sensibilidad a los fármacos al menos con respecto a la rifampicina entre el número total de casos notificados (nuevos y vueltos a tratar) en el mismo año.</v>
      </c>
      <c r="E237" s="156"/>
      <c r="F237" s="156"/>
      <c r="G237" s="156" t="s">
        <v>3308</v>
      </c>
      <c r="H237" s="157"/>
      <c r="I237" s="157" t="s">
        <v>3309</v>
      </c>
      <c r="J237" s="157" t="s">
        <v>3310</v>
      </c>
      <c r="K237" s="157" t="s">
        <v>3311</v>
      </c>
    </row>
    <row r="238" spans="2:11" ht="18" customHeight="1" x14ac:dyDescent="0.25">
      <c r="B238" s="157" t="s">
        <v>3312</v>
      </c>
      <c r="C238" s="156"/>
      <c r="D238" s="156" t="str">
        <f>CHOOSE(Translations!$C$1+1,I238,J238,K238)</f>
        <v>MDR TB-7.1 Porcentaje de casos confirmados de tuberculosis resistente a la rifampicina y/o multirresistente que se han sometido a pruebas para detectar la resistencia a medicamentos de segunda línea.</v>
      </c>
      <c r="E238" s="156"/>
      <c r="F238" s="156"/>
      <c r="G238" s="156" t="s">
        <v>3313</v>
      </c>
      <c r="H238" s="157"/>
      <c r="I238" s="157" t="s">
        <v>3314</v>
      </c>
      <c r="J238" s="157" t="s">
        <v>3315</v>
      </c>
      <c r="K238" s="157" t="s">
        <v>3316</v>
      </c>
    </row>
    <row r="239" spans="2:11" ht="18" customHeight="1" x14ac:dyDescent="0.25">
      <c r="B239" s="157" t="s">
        <v>3317</v>
      </c>
      <c r="C239" s="156"/>
      <c r="D239" s="156" t="str">
        <f>CHOOSE(Translations!$C$1+1,I239,J239,K239)</f>
        <v>MDR TB-8 Número de casos de tuberculosis ultrarresistente (TB-XR) que reciben tratamiento.</v>
      </c>
      <c r="E239" s="156"/>
      <c r="F239" s="156"/>
      <c r="G239" s="156" t="s">
        <v>3318</v>
      </c>
      <c r="H239" s="157"/>
      <c r="I239" s="157" t="s">
        <v>3319</v>
      </c>
      <c r="J239" s="157" t="s">
        <v>3320</v>
      </c>
      <c r="K239" s="157" t="s">
        <v>3321</v>
      </c>
    </row>
    <row r="240" spans="2:11" ht="18" customHeight="1" x14ac:dyDescent="0.25">
      <c r="B240" s="157" t="s">
        <v>2467</v>
      </c>
      <c r="C240" s="156"/>
      <c r="D240" s="156" t="str">
        <f>CHOOSE(Translations!$C$1+1,I240,J240,K240)</f>
        <v>MDR TB-9 Índice de éxito del tratamiento de los casos de tuberculosis resistente a la rifampicina y/o tuberculosis multirresistente: Porcentaje de casos de tuberculosis resistente a la rifampicina y/o tuberculosis multirresistente tratados con éxito.</v>
      </c>
      <c r="E240" s="156"/>
      <c r="F240" s="156"/>
      <c r="G240" s="156" t="s">
        <v>3322</v>
      </c>
      <c r="H240" s="157"/>
      <c r="I240" s="157" t="s">
        <v>2472</v>
      </c>
      <c r="J240" s="157" t="s">
        <v>2473</v>
      </c>
      <c r="K240" s="157" t="s">
        <v>2474</v>
      </c>
    </row>
    <row r="241" spans="1:11" ht="18" customHeight="1" x14ac:dyDescent="0.25">
      <c r="B241" s="157" t="s">
        <v>2485</v>
      </c>
      <c r="C241" s="156"/>
      <c r="D241" s="156" t="str">
        <f>CHOOSE(Translations!$C$1+1,I241,J241,K241)</f>
        <v>TB/HIV-5 Porcentaje de casos nuevos y recaídas de TB registrados, con estado serológico de VIH documentado</v>
      </c>
      <c r="E241" s="156"/>
      <c r="F241" s="156"/>
      <c r="G241" s="156" t="s">
        <v>3324</v>
      </c>
      <c r="H241" s="157"/>
      <c r="I241" s="157" t="s">
        <v>2488</v>
      </c>
      <c r="J241" s="157" t="s">
        <v>2489</v>
      </c>
      <c r="K241" s="157" t="s">
        <v>2490</v>
      </c>
    </row>
    <row r="242" spans="1:11" ht="18" customHeight="1" x14ac:dyDescent="0.25">
      <c r="B242" s="157" t="s">
        <v>2501</v>
      </c>
      <c r="C242" s="156"/>
      <c r="D242" s="156" t="str">
        <f>CHOOSE(Translations!$C$1+1,I242,J242,K242)</f>
        <v>TB/HIV-6⁽ᴹ⁾ Porcentaje de casos nuevos y recaídas de TB coinfectados con VIH que recibieron TARV durante el tratamiento de la TB</v>
      </c>
      <c r="E242" s="156"/>
      <c r="F242" s="156"/>
      <c r="G242" s="156" t="s">
        <v>3325</v>
      </c>
      <c r="H242" s="157"/>
      <c r="I242" s="157" t="s">
        <v>2504</v>
      </c>
      <c r="J242" s="157" t="s">
        <v>2505</v>
      </c>
      <c r="K242" s="157" t="s">
        <v>2506</v>
      </c>
    </row>
    <row r="243" spans="1:11" ht="18" customHeight="1" x14ac:dyDescent="0.25">
      <c r="B243" s="157" t="s">
        <v>2515</v>
      </c>
      <c r="C243" s="156"/>
      <c r="D243" s="156" t="str">
        <f>CHOOSE(Translations!$C$1+1,I243,J243,K243)</f>
        <v>TB/HIV-7 Porcentaje de personas que viven con el VIH recibiendo terapia antirretroviral que han iniciado la terapia preventiva de TB entre las personas que viven con el VIH elegibles durante el período de reporte</v>
      </c>
      <c r="E243" s="156"/>
      <c r="F243" s="156"/>
      <c r="G243" s="156" t="s">
        <v>3326</v>
      </c>
      <c r="H243" s="157"/>
      <c r="I243" s="157" t="s">
        <v>2522</v>
      </c>
      <c r="J243" s="157" t="s">
        <v>2523</v>
      </c>
      <c r="K243" s="157" t="s">
        <v>2524</v>
      </c>
    </row>
    <row r="245" spans="1:11" hidden="1" x14ac:dyDescent="0.25"/>
    <row r="246" spans="1:11" hidden="1" x14ac:dyDescent="0.25"/>
    <row r="248" spans="1:11" ht="13" x14ac:dyDescent="0.3">
      <c r="A248" s="6" t="s">
        <v>211</v>
      </c>
    </row>
    <row r="249" spans="1:11" ht="32.15" customHeight="1" x14ac:dyDescent="0.25">
      <c r="B249" s="156" t="s">
        <v>107</v>
      </c>
      <c r="C249" s="156"/>
      <c r="D249" s="156" t="s">
        <v>448</v>
      </c>
      <c r="E249" s="156"/>
      <c r="F249" s="156"/>
      <c r="G249" s="156" t="s">
        <v>48</v>
      </c>
      <c r="H249" s="156"/>
      <c r="I249" s="156" t="s">
        <v>43</v>
      </c>
      <c r="J249" s="156" t="s">
        <v>446</v>
      </c>
      <c r="K249" s="156" t="s">
        <v>444</v>
      </c>
    </row>
    <row r="250" spans="1:11" ht="12" hidden="1" customHeight="1" x14ac:dyDescent="0.25">
      <c r="B250" s="157" t="s">
        <v>79</v>
      </c>
      <c r="C250" s="156"/>
      <c r="D250" s="156" t="str">
        <f>CHOOSE(Translations!$C$1+1,I250,J250,K250)</f>
        <v>[Name - ES]</v>
      </c>
      <c r="E250" s="156"/>
      <c r="F250" s="156"/>
      <c r="G250" s="156" t="s">
        <v>47</v>
      </c>
      <c r="H250" s="156"/>
      <c r="I250" s="157" t="s">
        <v>66</v>
      </c>
      <c r="J250" s="157" t="s">
        <v>445</v>
      </c>
      <c r="K250" s="157" t="s">
        <v>443</v>
      </c>
    </row>
    <row r="251" spans="1:11" ht="12" customHeight="1" x14ac:dyDescent="0.25">
      <c r="B251" s="157" t="s">
        <v>4002</v>
      </c>
      <c r="C251" s="156"/>
      <c r="D251" s="156" t="str">
        <f>CHOOSE(Translations!$C$1+1,I251,J251,K251)</f>
        <v>Control y contención relacionada a COVID-19, incluyendo el fortalecimiento de los sistemas de salud</v>
      </c>
      <c r="E251" s="156"/>
      <c r="F251" s="156"/>
      <c r="G251" s="156" t="s">
        <v>4003</v>
      </c>
      <c r="H251" s="156"/>
      <c r="I251" s="157" t="s">
        <v>4004</v>
      </c>
      <c r="J251" s="157" t="s">
        <v>4005</v>
      </c>
      <c r="K251" s="157" t="s">
        <v>4006</v>
      </c>
    </row>
    <row r="252" spans="1:11" ht="12" customHeight="1" x14ac:dyDescent="0.25">
      <c r="B252" s="157" t="s">
        <v>3440</v>
      </c>
      <c r="C252" s="156"/>
      <c r="D252" s="156" t="str">
        <f>CHOOSE(Translations!$C$1+1,I252,J252,K252)</f>
        <v>Programas de preservativos y lubricantes</v>
      </c>
      <c r="E252" s="156"/>
      <c r="F252" s="156"/>
      <c r="G252" s="156" t="s">
        <v>3441</v>
      </c>
      <c r="H252" s="156"/>
      <c r="I252" s="157" t="s">
        <v>3442</v>
      </c>
      <c r="J252" s="157" t="s">
        <v>3443</v>
      </c>
      <c r="K252" s="157" t="s">
        <v>3444</v>
      </c>
    </row>
    <row r="253" spans="1:11" ht="12" customHeight="1" x14ac:dyDescent="0.25">
      <c r="B253" s="157" t="s">
        <v>3490</v>
      </c>
      <c r="C253" s="156"/>
      <c r="D253" s="156" t="str">
        <f>CHOOSE(Translations!$C$1+1,I253,J253,K253)</f>
        <v>PrEP</v>
      </c>
      <c r="E253" s="156"/>
      <c r="F253" s="156"/>
      <c r="G253" s="156" t="s">
        <v>3491</v>
      </c>
      <c r="H253" s="156"/>
      <c r="I253" s="157" t="s">
        <v>3492</v>
      </c>
      <c r="J253" s="157" t="s">
        <v>3493</v>
      </c>
      <c r="K253" s="157" t="s">
        <v>3494</v>
      </c>
    </row>
    <row r="254" spans="1:11" ht="12" customHeight="1" x14ac:dyDescent="0.25">
      <c r="B254" s="157" t="s">
        <v>3425</v>
      </c>
      <c r="C254" s="156"/>
      <c r="D254" s="156" t="str">
        <f>CHOOSE(Translations!$C$1+1,I254,J254,K254)</f>
        <v>Intervenciones para cambio de comportamiento</v>
      </c>
      <c r="E254" s="156"/>
      <c r="F254" s="156"/>
      <c r="G254" s="156" t="s">
        <v>3426</v>
      </c>
      <c r="H254" s="156"/>
      <c r="I254" s="157" t="s">
        <v>3427</v>
      </c>
      <c r="J254" s="157" t="s">
        <v>3428</v>
      </c>
      <c r="K254" s="157" t="s">
        <v>3429</v>
      </c>
    </row>
    <row r="255" spans="1:11" ht="12" customHeight="1" x14ac:dyDescent="0.25">
      <c r="B255" s="157" t="s">
        <v>3430</v>
      </c>
      <c r="C255" s="156"/>
      <c r="D255" s="156" t="str">
        <f>CHOOSE(Translations!$C$1+1,I255,J255,K255)</f>
        <v>Empoderamiento comunitario</v>
      </c>
      <c r="E255" s="156"/>
      <c r="F255" s="156"/>
      <c r="G255" s="156" t="s">
        <v>3431</v>
      </c>
      <c r="H255" s="156"/>
      <c r="I255" s="157" t="s">
        <v>3432</v>
      </c>
      <c r="J255" s="157" t="s">
        <v>3433</v>
      </c>
      <c r="K255" s="157" t="s">
        <v>3434</v>
      </c>
    </row>
    <row r="256" spans="1:11" ht="12" customHeight="1" x14ac:dyDescent="0.25">
      <c r="B256" s="157" t="s">
        <v>3500</v>
      </c>
      <c r="C256" s="156"/>
      <c r="D256" s="156" t="str">
        <f>CHOOSE(Translations!$C$1+1,I256,J256,K256)</f>
        <v>Servicios de salud sexual y reproductiva, incluyendo las ITS</v>
      </c>
      <c r="E256" s="156"/>
      <c r="F256" s="156"/>
      <c r="G256" s="156" t="s">
        <v>3501</v>
      </c>
      <c r="H256" s="156"/>
      <c r="I256" s="157" t="s">
        <v>3502</v>
      </c>
      <c r="J256" s="157" t="s">
        <v>3503</v>
      </c>
      <c r="K256" s="157" t="s">
        <v>3504</v>
      </c>
    </row>
    <row r="257" spans="2:11" ht="12" customHeight="1" x14ac:dyDescent="0.25">
      <c r="B257" s="157" t="s">
        <v>3450</v>
      </c>
      <c r="C257" s="156"/>
      <c r="D257" s="156" t="str">
        <f>CHOOSE(Translations!$C$1+1,I257,J257,K257)</f>
        <v>Intervenciones de reducción de daño por consumo de drogas</v>
      </c>
      <c r="E257" s="156"/>
      <c r="F257" s="156"/>
      <c r="G257" s="156" t="s">
        <v>3451</v>
      </c>
      <c r="H257" s="156"/>
      <c r="I257" s="157" t="s">
        <v>3452</v>
      </c>
      <c r="J257" s="157" t="s">
        <v>3453</v>
      </c>
      <c r="K257" s="157" t="s">
        <v>3454</v>
      </c>
    </row>
    <row r="258" spans="2:11" ht="12" customHeight="1" x14ac:dyDescent="0.25">
      <c r="B258" s="157" t="s">
        <v>3475</v>
      </c>
      <c r="C258" s="156"/>
      <c r="D258" s="156" t="str">
        <f>CHOOSE(Translations!$C$1+1,I258,J258,K258)</f>
        <v>Programas de agujas y jeringuillas</v>
      </c>
      <c r="E258" s="156"/>
      <c r="F258" s="156"/>
      <c r="G258" s="156" t="s">
        <v>3476</v>
      </c>
      <c r="H258" s="156"/>
      <c r="I258" s="157" t="s">
        <v>3477</v>
      </c>
      <c r="J258" s="157" t="s">
        <v>3478</v>
      </c>
      <c r="K258" s="157" t="s">
        <v>3479</v>
      </c>
    </row>
    <row r="259" spans="2:11" ht="12" customHeight="1" x14ac:dyDescent="0.25">
      <c r="B259" s="157" t="s">
        <v>3480</v>
      </c>
      <c r="C259" s="156"/>
      <c r="D259" s="156" t="str">
        <f>CHOOSE(Translations!$C$1+1,I259,J259,K259)</f>
        <v>Tratamiento de sustitución de opiáceos y otros tratamientos de la drogodependencia que requieren atención médica</v>
      </c>
      <c r="E259" s="156"/>
      <c r="F259" s="156"/>
      <c r="G259" s="156" t="s">
        <v>3481</v>
      </c>
      <c r="H259" s="156"/>
      <c r="I259" s="157" t="s">
        <v>3482</v>
      </c>
      <c r="J259" s="157" t="s">
        <v>3483</v>
      </c>
      <c r="K259" s="157" t="s">
        <v>3484</v>
      </c>
    </row>
    <row r="260" spans="2:11" ht="12" customHeight="1" x14ac:dyDescent="0.25">
      <c r="B260" s="157" t="s">
        <v>3485</v>
      </c>
      <c r="C260" s="156"/>
      <c r="D260" s="156" t="str">
        <f>CHOOSE(Translations!$C$1+1,I260,J260,K260)</f>
        <v>Prevención y tratamiento de la sobredosis</v>
      </c>
      <c r="E260" s="156"/>
      <c r="F260" s="156"/>
      <c r="G260" s="156" t="s">
        <v>3486</v>
      </c>
      <c r="H260" s="156"/>
      <c r="I260" s="157" t="s">
        <v>3487</v>
      </c>
      <c r="J260" s="157" t="s">
        <v>3488</v>
      </c>
      <c r="K260" s="157" t="s">
        <v>3489</v>
      </c>
    </row>
    <row r="261" spans="2:11" ht="12" customHeight="1" x14ac:dyDescent="0.25">
      <c r="B261" s="157" t="s">
        <v>3420</v>
      </c>
      <c r="C261" s="156"/>
      <c r="D261" s="156" t="str">
        <f>CHOOSE(Translations!$C$1+1,I261,J261,K261)</f>
        <v>Abordaje del estigma, la discriminación y la violencia</v>
      </c>
      <c r="E261" s="156"/>
      <c r="F261" s="156"/>
      <c r="G261" s="156" t="s">
        <v>3421</v>
      </c>
      <c r="H261" s="156"/>
      <c r="I261" s="157" t="s">
        <v>3422</v>
      </c>
      <c r="J261" s="157" t="s">
        <v>3423</v>
      </c>
      <c r="K261" s="157" t="s">
        <v>3424</v>
      </c>
    </row>
    <row r="262" spans="2:11" ht="12" customHeight="1" x14ac:dyDescent="0.25">
      <c r="B262" s="157" t="s">
        <v>3460</v>
      </c>
      <c r="C262" s="156"/>
      <c r="D262" s="156" t="str">
        <f>CHOOSE(Translations!$C$1+1,I262,J262,K262)</f>
        <v>Intervenciones para poblaciones jóvenes clave</v>
      </c>
      <c r="E262" s="156"/>
      <c r="F262" s="156"/>
      <c r="G262" s="156" t="s">
        <v>3461</v>
      </c>
      <c r="H262" s="156"/>
      <c r="I262" s="157" t="s">
        <v>3462</v>
      </c>
      <c r="J262" s="157" t="s">
        <v>3463</v>
      </c>
      <c r="K262" s="157" t="s">
        <v>3464</v>
      </c>
    </row>
    <row r="263" spans="2:11" ht="12" customHeight="1" x14ac:dyDescent="0.25">
      <c r="B263" s="157" t="s">
        <v>3435</v>
      </c>
      <c r="C263" s="156"/>
      <c r="D263" s="156" t="str">
        <f>CHOOSE(Translations!$C$1+1,I263,J263,K263)</f>
        <v>Educación sexual integral</v>
      </c>
      <c r="E263" s="156"/>
      <c r="F263" s="156"/>
      <c r="G263" s="156" t="s">
        <v>3436</v>
      </c>
      <c r="H263" s="156"/>
      <c r="I263" s="157" t="s">
        <v>3437</v>
      </c>
      <c r="J263" s="157" t="s">
        <v>3438</v>
      </c>
      <c r="K263" s="157" t="s">
        <v>3439</v>
      </c>
    </row>
    <row r="264" spans="2:11" ht="12" customHeight="1" x14ac:dyDescent="0.25">
      <c r="B264" s="157" t="s">
        <v>3445</v>
      </c>
      <c r="C264" s="156"/>
      <c r="D264" s="156" t="str">
        <f>CHOOSE(Translations!$C$1+1,I264,J264,K264)</f>
        <v>Prevención de la violencia de género y atención posterior a un episodio de violencia</v>
      </c>
      <c r="E264" s="156"/>
      <c r="F264" s="156"/>
      <c r="G264" s="156" t="s">
        <v>3446</v>
      </c>
      <c r="H264" s="156"/>
      <c r="I264" s="157" t="s">
        <v>3447</v>
      </c>
      <c r="J264" s="157" t="s">
        <v>3448</v>
      </c>
      <c r="K264" s="157" t="s">
        <v>3449</v>
      </c>
    </row>
    <row r="265" spans="2:11" ht="12" customHeight="1" x14ac:dyDescent="0.25">
      <c r="B265" s="157" t="s">
        <v>3505</v>
      </c>
      <c r="C265" s="156"/>
      <c r="D265" s="156" t="str">
        <f>CHOOSE(Translations!$C$1+1,I265,J265,K265)</f>
        <v>Intervenciones de protección social</v>
      </c>
      <c r="E265" s="156"/>
      <c r="F265" s="156"/>
      <c r="G265" s="156" t="s">
        <v>3506</v>
      </c>
      <c r="H265" s="156"/>
      <c r="I265" s="157" t="s">
        <v>3507</v>
      </c>
      <c r="J265" s="157" t="s">
        <v>3508</v>
      </c>
      <c r="K265" s="157" t="s">
        <v>3509</v>
      </c>
    </row>
    <row r="266" spans="2:11" ht="12" customHeight="1" x14ac:dyDescent="0.25">
      <c r="B266" s="157" t="s">
        <v>3455</v>
      </c>
      <c r="C266" s="156"/>
      <c r="D266" s="156" t="str">
        <f>CHOOSE(Translations!$C$1+1,I266,J266,K266)</f>
        <v>Integración de los programas para niñas adolescentes y mujeres jóvenes en las respuestas nacionales multisectoriales</v>
      </c>
      <c r="E266" s="156"/>
      <c r="F266" s="156"/>
      <c r="G266" s="156" t="s">
        <v>3456</v>
      </c>
      <c r="H266" s="156"/>
      <c r="I266" s="157" t="s">
        <v>3457</v>
      </c>
      <c r="J266" s="157" t="s">
        <v>3458</v>
      </c>
      <c r="K266" s="157" t="s">
        <v>3459</v>
      </c>
    </row>
    <row r="267" spans="2:11" ht="12" customHeight="1" x14ac:dyDescent="0.25">
      <c r="B267" s="157" t="s">
        <v>3510</v>
      </c>
      <c r="C267" s="156"/>
      <c r="D267" s="156" t="str">
        <f>CHOOSE(Translations!$C$1+1,I267,J267,K267)</f>
        <v>Circuncisión médica masculina voluntaria</v>
      </c>
      <c r="E267" s="156"/>
      <c r="F267" s="156"/>
      <c r="G267" s="156" t="s">
        <v>3511</v>
      </c>
      <c r="H267" s="156"/>
      <c r="I267" s="157" t="s">
        <v>3512</v>
      </c>
      <c r="J267" s="157" t="s">
        <v>3513</v>
      </c>
      <c r="K267" s="157" t="s">
        <v>3514</v>
      </c>
    </row>
    <row r="268" spans="2:11" ht="12" customHeight="1" x14ac:dyDescent="0.25">
      <c r="B268" s="157" t="s">
        <v>3470</v>
      </c>
      <c r="C268" s="156"/>
      <c r="D268" s="156" t="str">
        <f>CHOOSE(Translations!$C$1+1,I268,J268,K268)</f>
        <v>Gestión de programas nacionales para preservativos</v>
      </c>
      <c r="E268" s="156"/>
      <c r="F268" s="156"/>
      <c r="G268" s="156" t="s">
        <v>3471</v>
      </c>
      <c r="H268" s="156"/>
      <c r="I268" s="157" t="s">
        <v>3472</v>
      </c>
      <c r="J268" s="157" t="s">
        <v>3473</v>
      </c>
      <c r="K268" s="157" t="s">
        <v>3474</v>
      </c>
    </row>
    <row r="269" spans="2:11" ht="12" customHeight="1" x14ac:dyDescent="0.25">
      <c r="B269" s="157" t="s">
        <v>3465</v>
      </c>
      <c r="C269" s="156"/>
      <c r="D269" s="156" t="str">
        <f>CHOOSE(Translations!$C$1+1,I269,J269,K269)</f>
        <v>Integración de los programas de VIH y la salud reproductiva, materna, adolescente, infantil y neonatal</v>
      </c>
      <c r="E269" s="156"/>
      <c r="F269" s="156"/>
      <c r="G269" s="156" t="s">
        <v>3466</v>
      </c>
      <c r="H269" s="156"/>
      <c r="I269" s="157" t="s">
        <v>3467</v>
      </c>
      <c r="J269" s="157" t="s">
        <v>3468</v>
      </c>
      <c r="K269" s="157" t="s">
        <v>3469</v>
      </c>
    </row>
    <row r="270" spans="2:11" ht="12" customHeight="1" x14ac:dyDescent="0.25">
      <c r="B270" s="157" t="s">
        <v>3515</v>
      </c>
      <c r="C270" s="156"/>
      <c r="D270" s="156" t="str">
        <f>CHOOSE(Translations!$C$1+1,I270,J270,K270)</f>
        <v>Vertiente 1: Prevención primaria de la infección por el VIH en mujeres en edad fecunda</v>
      </c>
      <c r="E270" s="156"/>
      <c r="F270" s="156"/>
      <c r="G270" s="156" t="s">
        <v>3516</v>
      </c>
      <c r="H270" s="156"/>
      <c r="I270" s="157" t="s">
        <v>3517</v>
      </c>
      <c r="J270" s="157" t="s">
        <v>3518</v>
      </c>
      <c r="K270" s="157" t="s">
        <v>3519</v>
      </c>
    </row>
    <row r="271" spans="2:11" ht="12" customHeight="1" x14ac:dyDescent="0.25">
      <c r="B271" s="157" t="s">
        <v>3520</v>
      </c>
      <c r="C271" s="156"/>
      <c r="D271" s="156" t="str">
        <f>CHOOSE(Translations!$C$1+1,I271,J271,K271)</f>
        <v>Vertiente 2: Prevención de embarazos no deseados en mujeres que viven con el VIH</v>
      </c>
      <c r="E271" s="156"/>
      <c r="F271" s="156"/>
      <c r="G271" s="156" t="s">
        <v>3521</v>
      </c>
      <c r="H271" s="156"/>
      <c r="I271" s="157" t="s">
        <v>3522</v>
      </c>
      <c r="J271" s="157" t="s">
        <v>3523</v>
      </c>
      <c r="K271" s="157" t="s">
        <v>3524</v>
      </c>
    </row>
    <row r="272" spans="2:11" ht="12" customHeight="1" x14ac:dyDescent="0.25">
      <c r="B272" s="157" t="s">
        <v>3495</v>
      </c>
      <c r="C272" s="156"/>
      <c r="D272" s="156" t="str">
        <f>CHOOSE(Translations!$C$1+1,I272,J272,K272)</f>
        <v>Prevención y manejo de coinfecciones y comorbilidades (Prevención)</v>
      </c>
      <c r="E272" s="156"/>
      <c r="F272" s="156"/>
      <c r="G272" s="156" t="s">
        <v>3496</v>
      </c>
      <c r="H272" s="156"/>
      <c r="I272" s="157" t="s">
        <v>3497</v>
      </c>
      <c r="J272" s="157" t="s">
        <v>3498</v>
      </c>
      <c r="K272" s="157" t="s">
        <v>3499</v>
      </c>
    </row>
    <row r="273" spans="2:11" ht="12" customHeight="1" x14ac:dyDescent="0.25">
      <c r="B273" s="157" t="s">
        <v>3530</v>
      </c>
      <c r="C273" s="156"/>
      <c r="D273" s="156" t="str">
        <f>CHOOSE(Translations!$C$1+1,I273,J273,K273)</f>
        <v>Vertiente 4: Tratamiento, atención y apoyo para madres que viven con el VIH, así como para sus hijos y familias</v>
      </c>
      <c r="E273" s="156"/>
      <c r="F273" s="156"/>
      <c r="G273" s="156" t="s">
        <v>3531</v>
      </c>
      <c r="H273" s="156"/>
      <c r="I273" s="157" t="s">
        <v>3532</v>
      </c>
      <c r="J273" s="157" t="s">
        <v>3533</v>
      </c>
      <c r="K273" s="157" t="s">
        <v>3534</v>
      </c>
    </row>
    <row r="274" spans="2:11" ht="12" customHeight="1" x14ac:dyDescent="0.25">
      <c r="B274" s="157" t="s">
        <v>3540</v>
      </c>
      <c r="C274" s="156"/>
      <c r="D274" s="156" t="str">
        <f>CHOOSE(Translations!$C$1+1,I274,J274,K274)</f>
        <v>Pruebas a nivel de establecimientos de salud</v>
      </c>
      <c r="E274" s="156"/>
      <c r="F274" s="156"/>
      <c r="G274" s="156" t="s">
        <v>3541</v>
      </c>
      <c r="H274" s="156"/>
      <c r="I274" s="157" t="s">
        <v>3542</v>
      </c>
      <c r="J274" s="157" t="s">
        <v>3543</v>
      </c>
      <c r="K274" s="157" t="s">
        <v>3544</v>
      </c>
    </row>
    <row r="275" spans="2:11" ht="12" customHeight="1" x14ac:dyDescent="0.25">
      <c r="B275" s="157" t="s">
        <v>3535</v>
      </c>
      <c r="C275" s="156"/>
      <c r="D275" s="156" t="str">
        <f>CHOOSE(Translations!$C$1+1,I275,J275,K275)</f>
        <v>Pruebas a nivel comunitario</v>
      </c>
      <c r="E275" s="156"/>
      <c r="F275" s="156"/>
      <c r="G275" s="156" t="s">
        <v>3536</v>
      </c>
      <c r="H275" s="156"/>
      <c r="I275" s="157" t="s">
        <v>3537</v>
      </c>
      <c r="J275" s="157" t="s">
        <v>3538</v>
      </c>
      <c r="K275" s="157" t="s">
        <v>3539</v>
      </c>
    </row>
    <row r="276" spans="2:11" ht="12" customHeight="1" x14ac:dyDescent="0.25">
      <c r="B276" s="157" t="s">
        <v>3545</v>
      </c>
      <c r="C276" s="156"/>
      <c r="D276" s="156" t="str">
        <f>CHOOSE(Translations!$C$1+1,I276,J276,K276)</f>
        <v>Autoprueba (self testing)</v>
      </c>
      <c r="E276" s="156"/>
      <c r="F276" s="156"/>
      <c r="G276" s="156" t="s">
        <v>3546</v>
      </c>
      <c r="H276" s="156"/>
      <c r="I276" s="157" t="s">
        <v>3547</v>
      </c>
      <c r="J276" s="157" t="s">
        <v>3548</v>
      </c>
      <c r="K276" s="157" t="s">
        <v>3549</v>
      </c>
    </row>
    <row r="277" spans="2:11" ht="12" customHeight="1" x14ac:dyDescent="0.25">
      <c r="B277" s="157" t="s">
        <v>3555</v>
      </c>
      <c r="C277" s="156"/>
      <c r="D277" s="156" t="str">
        <f>CHOOSE(Translations!$C$1+1,I277,J277,K277)</f>
        <v>Prestación de servicios diferenciados de tratamiento antirretroviral y atención para el VIH</v>
      </c>
      <c r="E277" s="156"/>
      <c r="F277" s="156"/>
      <c r="G277" s="156" t="s">
        <v>3556</v>
      </c>
      <c r="H277" s="156"/>
      <c r="I277" s="157" t="s">
        <v>3557</v>
      </c>
      <c r="J277" s="157" t="s">
        <v>3558</v>
      </c>
      <c r="K277" s="157" t="s">
        <v>3559</v>
      </c>
    </row>
    <row r="278" spans="2:11" ht="12" customHeight="1" x14ac:dyDescent="0.25">
      <c r="B278" s="157" t="s">
        <v>3575</v>
      </c>
      <c r="C278" s="156"/>
      <c r="D278" s="156" t="str">
        <f>CHOOSE(Translations!$C$1+1,I278,J278,K278)</f>
        <v>Seguimiento del tratamiento: farmacorresistencia</v>
      </c>
      <c r="E278" s="156"/>
      <c r="F278" s="156"/>
      <c r="G278" s="156" t="s">
        <v>3576</v>
      </c>
      <c r="H278" s="156"/>
      <c r="I278" s="157" t="s">
        <v>3577</v>
      </c>
      <c r="J278" s="157" t="s">
        <v>3578</v>
      </c>
      <c r="K278" s="157" t="s">
        <v>3579</v>
      </c>
    </row>
    <row r="279" spans="2:11" ht="12" customHeight="1" x14ac:dyDescent="0.25">
      <c r="B279" s="157" t="s">
        <v>3570</v>
      </c>
      <c r="C279" s="156"/>
      <c r="D279" s="156" t="str">
        <f>CHOOSE(Translations!$C$1+1,I279,J279,K279)</f>
        <v>Seguimiento del tratamiento: toxicidad de la terapia antirretroviral</v>
      </c>
      <c r="E279" s="156"/>
      <c r="F279" s="156"/>
      <c r="G279" s="156" t="s">
        <v>3571</v>
      </c>
      <c r="H279" s="156"/>
      <c r="I279" s="157" t="s">
        <v>3572</v>
      </c>
      <c r="J279" s="157" t="s">
        <v>3573</v>
      </c>
      <c r="K279" s="157" t="s">
        <v>3574</v>
      </c>
    </row>
    <row r="280" spans="2:11" ht="12" customHeight="1" x14ac:dyDescent="0.25">
      <c r="B280" s="157" t="s">
        <v>3525</v>
      </c>
      <c r="C280" s="156"/>
      <c r="D280" s="156" t="str">
        <f>CHOOSE(Translations!$C$1+1,I280,J280,K280)</f>
        <v>Vertiente 3: Prevención de la transmisión vertical del VIH</v>
      </c>
      <c r="E280" s="156"/>
      <c r="F280" s="156"/>
      <c r="G280" s="156" t="s">
        <v>3526</v>
      </c>
      <c r="H280" s="156"/>
      <c r="I280" s="157" t="s">
        <v>3527</v>
      </c>
      <c r="J280" s="157" t="s">
        <v>3528</v>
      </c>
      <c r="K280" s="157" t="s">
        <v>3529</v>
      </c>
    </row>
    <row r="281" spans="2:11" ht="12" customHeight="1" x14ac:dyDescent="0.25">
      <c r="B281" s="157" t="s">
        <v>3580</v>
      </c>
      <c r="C281" s="156"/>
      <c r="D281" s="156" t="str">
        <f>CHOOSE(Translations!$C$1+1,I281,J281,K281)</f>
        <v>Seguimiento del tratamiento: carga viral</v>
      </c>
      <c r="E281" s="156"/>
      <c r="F281" s="156"/>
      <c r="G281" s="156" t="s">
        <v>3581</v>
      </c>
      <c r="H281" s="156"/>
      <c r="I281" s="157" t="s">
        <v>3582</v>
      </c>
      <c r="J281" s="157" t="s">
        <v>3583</v>
      </c>
      <c r="K281" s="157" t="s">
        <v>3584</v>
      </c>
    </row>
    <row r="282" spans="2:11" ht="12" customHeight="1" x14ac:dyDescent="0.25">
      <c r="B282" s="157" t="s">
        <v>3565</v>
      </c>
      <c r="C282" s="156"/>
      <c r="D282" s="156" t="str">
        <f>CHOOSE(Translations!$C$1+1,I282,J282,K282)</f>
        <v>Prevención y manejo de coinfecciones y comorbilidades (Tratamiento, atención y apoyo)</v>
      </c>
      <c r="E282" s="156"/>
      <c r="F282" s="156"/>
      <c r="G282" s="156" t="s">
        <v>3566</v>
      </c>
      <c r="H282" s="156"/>
      <c r="I282" s="157" t="s">
        <v>3567</v>
      </c>
      <c r="J282" s="157" t="s">
        <v>3568</v>
      </c>
      <c r="K282" s="157" t="s">
        <v>3569</v>
      </c>
    </row>
    <row r="283" spans="2:11" ht="12" customHeight="1" x14ac:dyDescent="0.25">
      <c r="B283" s="157" t="s">
        <v>3550</v>
      </c>
      <c r="C283" s="156"/>
      <c r="D283" s="156" t="str">
        <f>CHOOSE(Translations!$C$1+1,I283,J283,K283)</f>
        <v>Consejería y apoyo psicosocial</v>
      </c>
      <c r="E283" s="156"/>
      <c r="F283" s="156"/>
      <c r="G283" s="156" t="s">
        <v>3551</v>
      </c>
      <c r="H283" s="156"/>
      <c r="I283" s="157" t="s">
        <v>3552</v>
      </c>
      <c r="J283" s="157" t="s">
        <v>3553</v>
      </c>
      <c r="K283" s="157" t="s">
        <v>3554</v>
      </c>
    </row>
    <row r="284" spans="2:11" ht="12" customHeight="1" x14ac:dyDescent="0.25">
      <c r="B284" s="157" t="s">
        <v>3560</v>
      </c>
      <c r="C284" s="156"/>
      <c r="D284" s="156" t="str">
        <f>CHOOSE(Translations!$C$1+1,I284,J284,K284)</f>
        <v>Paquete para huérfanos y niños vulnerables</v>
      </c>
      <c r="E284" s="156"/>
      <c r="F284" s="156"/>
      <c r="G284" s="156" t="s">
        <v>3561</v>
      </c>
      <c r="H284" s="156"/>
      <c r="I284" s="157" t="s">
        <v>3562</v>
      </c>
      <c r="J284" s="157" t="s">
        <v>3563</v>
      </c>
      <c r="K284" s="157" t="s">
        <v>3564</v>
      </c>
    </row>
    <row r="285" spans="2:11" ht="12" customHeight="1" x14ac:dyDescent="0.25">
      <c r="B285" s="157" t="s">
        <v>3620</v>
      </c>
      <c r="C285" s="156"/>
      <c r="D285" s="156" t="str">
        <f>CHOOSE(Translations!$C$1+1,I285,J285,K285)</f>
        <v>Reducción del estigma y la discriminación (VIH/TB)</v>
      </c>
      <c r="E285" s="156"/>
      <c r="F285" s="156"/>
      <c r="G285" s="156" t="s">
        <v>3621</v>
      </c>
      <c r="H285" s="156"/>
      <c r="I285" s="157" t="s">
        <v>3622</v>
      </c>
      <c r="J285" s="157" t="s">
        <v>3623</v>
      </c>
      <c r="K285" s="157" t="s">
        <v>3624</v>
      </c>
    </row>
    <row r="286" spans="2:11" ht="12" customHeight="1" x14ac:dyDescent="0.25">
      <c r="B286" s="157" t="s">
        <v>3605</v>
      </c>
      <c r="C286" s="156"/>
      <c r="D286" s="156" t="str">
        <f>CHOOSE(Translations!$C$1+1,I286,J286,K286)</f>
        <v>Conocimientos jurídicos («Conoce tus derechos»)</v>
      </c>
      <c r="E286" s="156"/>
      <c r="F286" s="156"/>
      <c r="G286" s="156" t="s">
        <v>3606</v>
      </c>
      <c r="H286" s="156"/>
      <c r="I286" s="157" t="s">
        <v>3607</v>
      </c>
      <c r="J286" s="157" t="s">
        <v>3608</v>
      </c>
      <c r="K286" s="157" t="s">
        <v>3609</v>
      </c>
    </row>
    <row r="287" spans="2:11" ht="12" customHeight="1" x14ac:dyDescent="0.25">
      <c r="B287" s="157" t="s">
        <v>3595</v>
      </c>
      <c r="C287" s="156"/>
      <c r="D287" s="156" t="str">
        <f>CHOOSE(Translations!$C$1+1,I287,J287,K287)</f>
        <v>Derechos humanos y ética médica en relación con el VIH y la tuberculosis y el VIH para personal sanitario</v>
      </c>
      <c r="E287" s="156"/>
      <c r="F287" s="156"/>
      <c r="G287" s="156" t="s">
        <v>3596</v>
      </c>
      <c r="H287" s="156"/>
      <c r="I287" s="157" t="s">
        <v>3597</v>
      </c>
      <c r="J287" s="157" t="s">
        <v>3598</v>
      </c>
      <c r="K287" s="157" t="s">
        <v>3599</v>
      </c>
    </row>
    <row r="288" spans="2:11" ht="12" customHeight="1" x14ac:dyDescent="0.25">
      <c r="B288" s="157" t="s">
        <v>3590</v>
      </c>
      <c r="C288" s="156"/>
      <c r="D288" s="156" t="str">
        <f>CHOOSE(Translations!$C$1+1,I288,J288,K288)</f>
        <v>Servicios jurídicos relacionados con el VIH y la TB/VIH</v>
      </c>
      <c r="E288" s="156"/>
      <c r="F288" s="156"/>
      <c r="G288" s="156" t="s">
        <v>3591</v>
      </c>
      <c r="H288" s="156"/>
      <c r="I288" s="157" t="s">
        <v>3592</v>
      </c>
      <c r="J288" s="157" t="s">
        <v>3593</v>
      </c>
      <c r="K288" s="157" t="s">
        <v>3594</v>
      </c>
    </row>
    <row r="289" spans="2:11" ht="12" customHeight="1" x14ac:dyDescent="0.25">
      <c r="B289" s="157" t="s">
        <v>3615</v>
      </c>
      <c r="C289" s="156"/>
      <c r="D289" s="156" t="str">
        <f>CHOOSE(Translations!$C$1+1,I289,J289,K289)</f>
        <v>Sensibilización de los cuerpos de seguridad y cuerpos de seguridad</v>
      </c>
      <c r="E289" s="156"/>
      <c r="F289" s="156"/>
      <c r="G289" s="156" t="s">
        <v>3616</v>
      </c>
      <c r="H289" s="156"/>
      <c r="I289" s="157" t="s">
        <v>3617</v>
      </c>
      <c r="J289" s="157" t="s">
        <v>3618</v>
      </c>
      <c r="K289" s="157" t="s">
        <v>3619</v>
      </c>
    </row>
    <row r="290" spans="2:11" ht="12" customHeight="1" x14ac:dyDescent="0.25">
      <c r="B290" s="157" t="s">
        <v>3600</v>
      </c>
      <c r="C290" s="156"/>
      <c r="D290" s="156" t="str">
        <f>CHOOSE(Translations!$C$1+1,I290,J290,K290)</f>
        <v>Mejora de leyes, reglamentos y políticas relacionadas con el VIH y la TB/VIH</v>
      </c>
      <c r="E290" s="156"/>
      <c r="F290" s="156"/>
      <c r="G290" s="156" t="s">
        <v>3601</v>
      </c>
      <c r="H290" s="156"/>
      <c r="I290" s="157" t="s">
        <v>3602</v>
      </c>
      <c r="J290" s="157" t="s">
        <v>3603</v>
      </c>
      <c r="K290" s="157" t="s">
        <v>3604</v>
      </c>
    </row>
    <row r="291" spans="2:11" ht="12" customHeight="1" x14ac:dyDescent="0.25">
      <c r="B291" s="157" t="s">
        <v>3585</v>
      </c>
      <c r="C291" s="156"/>
      <c r="D291" s="156" t="str">
        <f>CHOOSE(Translations!$C$1+1,I291,J291,K291)</f>
        <v>Movilización y promoción comunitarias (VIH/TB)</v>
      </c>
      <c r="E291" s="156"/>
      <c r="F291" s="156"/>
      <c r="G291" s="156" t="s">
        <v>3586</v>
      </c>
      <c r="H291" s="156"/>
      <c r="I291" s="157" t="s">
        <v>3587</v>
      </c>
      <c r="J291" s="157" t="s">
        <v>3588</v>
      </c>
      <c r="K291" s="157" t="s">
        <v>3589</v>
      </c>
    </row>
    <row r="292" spans="2:11" ht="12" customHeight="1" x14ac:dyDescent="0.25">
      <c r="B292" s="157" t="s">
        <v>3610</v>
      </c>
      <c r="C292" s="156"/>
      <c r="D292" s="156" t="str">
        <f>CHOOSE(Translations!$C$1+1,I292,J292,K292)</f>
        <v>Reducción de la discriminación de género relacionada con el VIH, las normas de género perjudiciales y la violencia contra las mujeres y las niñas en toda su diversidad</v>
      </c>
      <c r="E292" s="156"/>
      <c r="F292" s="156"/>
      <c r="G292" s="156" t="s">
        <v>3611</v>
      </c>
      <c r="H292" s="156"/>
      <c r="I292" s="157" t="s">
        <v>3612</v>
      </c>
      <c r="J292" s="157" t="s">
        <v>3613</v>
      </c>
      <c r="K292" s="157" t="s">
        <v>3614</v>
      </c>
    </row>
    <row r="293" spans="2:11" ht="12" customHeight="1" x14ac:dyDescent="0.25">
      <c r="B293" s="157" t="s">
        <v>3625</v>
      </c>
      <c r="C293" s="156"/>
      <c r="D293" s="156" t="str">
        <f>CHOOSE(Translations!$C$1+1,I293,J293,K293)</f>
        <v>Detección y diagnóstico de casos (Atención y prevención de la tuberculosis)</v>
      </c>
      <c r="E293" s="156"/>
      <c r="F293" s="156"/>
      <c r="G293" s="156" t="s">
        <v>3626</v>
      </c>
      <c r="H293" s="156"/>
      <c r="I293" s="157" t="s">
        <v>3627</v>
      </c>
      <c r="J293" s="157" t="s">
        <v>3628</v>
      </c>
      <c r="K293" s="157" t="s">
        <v>3629</v>
      </c>
    </row>
    <row r="294" spans="2:11" ht="12" customHeight="1" x14ac:dyDescent="0.25">
      <c r="B294" s="157" t="s">
        <v>3675</v>
      </c>
      <c r="C294" s="156"/>
      <c r="D294" s="156" t="str">
        <f>CHOOSE(Translations!$C$1+1,I294,J294,K294)</f>
        <v>Tratamiento (Atención y prevención de la tuberculosis)</v>
      </c>
      <c r="E294" s="156"/>
      <c r="F294" s="156"/>
      <c r="G294" s="156" t="s">
        <v>3676</v>
      </c>
      <c r="H294" s="156"/>
      <c r="I294" s="157" t="s">
        <v>3677</v>
      </c>
      <c r="J294" s="157" t="s">
        <v>3678</v>
      </c>
      <c r="K294" s="157" t="s">
        <v>3679</v>
      </c>
    </row>
    <row r="295" spans="2:11" ht="12" customHeight="1" x14ac:dyDescent="0.25">
      <c r="B295" s="157" t="s">
        <v>3670</v>
      </c>
      <c r="C295" s="156"/>
      <c r="D295" s="156" t="str">
        <f>CHOOSE(Translations!$C$1+1,I295,J295,K295)</f>
        <v>Prevención (Atención y prevención de la tuberculosis)</v>
      </c>
      <c r="E295" s="156"/>
      <c r="F295" s="156"/>
      <c r="G295" s="156" t="s">
        <v>3671</v>
      </c>
      <c r="H295" s="156"/>
      <c r="I295" s="157" t="s">
        <v>3672</v>
      </c>
      <c r="J295" s="157" t="s">
        <v>3673</v>
      </c>
      <c r="K295" s="157" t="s">
        <v>3674</v>
      </c>
    </row>
    <row r="296" spans="2:11" ht="12" customHeight="1" x14ac:dyDescent="0.25">
      <c r="B296" s="157" t="s">
        <v>3640</v>
      </c>
      <c r="C296" s="156"/>
      <c r="D296" s="156" t="str">
        <f>CHOOSE(Translations!$C$1+1,I296,J296,K296)</f>
        <v>Implicar a todos los proveedores de atención (Atención y prevención de la tuberculosis)</v>
      </c>
      <c r="E296" s="156"/>
      <c r="F296" s="156"/>
      <c r="G296" s="156" t="s">
        <v>3641</v>
      </c>
      <c r="H296" s="156"/>
      <c r="I296" s="157" t="s">
        <v>3642</v>
      </c>
      <c r="J296" s="157" t="s">
        <v>3643</v>
      </c>
      <c r="K296" s="157" t="s">
        <v>3644</v>
      </c>
    </row>
    <row r="297" spans="2:11" ht="12" customHeight="1" x14ac:dyDescent="0.25">
      <c r="B297" s="157" t="s">
        <v>3725</v>
      </c>
      <c r="C297" s="156"/>
      <c r="D297" s="156" t="str">
        <f>CHOOSE(Translations!$C$1+1,I297,J297,K297)</f>
        <v>Prevención (Tuberculosis multirresistente)</v>
      </c>
      <c r="E297" s="156"/>
      <c r="F297" s="156"/>
      <c r="G297" s="156" t="s">
        <v>3726</v>
      </c>
      <c r="H297" s="156"/>
      <c r="I297" s="157" t="s">
        <v>3727</v>
      </c>
      <c r="J297" s="157" t="s">
        <v>3728</v>
      </c>
      <c r="K297" s="157" t="s">
        <v>3729</v>
      </c>
    </row>
    <row r="298" spans="2:11" ht="12" customHeight="1" x14ac:dyDescent="0.25">
      <c r="B298" s="157" t="s">
        <v>3635</v>
      </c>
      <c r="C298" s="156"/>
      <c r="D298" s="156" t="str">
        <f>CHOOSE(Translations!$C$1+1,I298,J298,K298)</f>
        <v>Prestación de servicios de atención de la tuberculosis en la comunidad</v>
      </c>
      <c r="E298" s="156"/>
      <c r="F298" s="156"/>
      <c r="G298" s="156" t="s">
        <v>3636</v>
      </c>
      <c r="H298" s="156"/>
      <c r="I298" s="157" t="s">
        <v>3637</v>
      </c>
      <c r="J298" s="157" t="s">
        <v>3638</v>
      </c>
      <c r="K298" s="157" t="s">
        <v>3639</v>
      </c>
    </row>
    <row r="299" spans="2:11" ht="12" customHeight="1" x14ac:dyDescent="0.25">
      <c r="B299" s="157" t="s">
        <v>3645</v>
      </c>
      <c r="C299" s="156"/>
      <c r="D299" s="156" t="str">
        <f>CHOOSE(Translations!$C$1+1,I299,J299,K299)</f>
        <v>Poblaciones clave (Atención y prevención de la tuberculosis): niños</v>
      </c>
      <c r="E299" s="156"/>
      <c r="F299" s="156"/>
      <c r="G299" s="156" t="s">
        <v>3646</v>
      </c>
      <c r="H299" s="156"/>
      <c r="I299" s="157" t="s">
        <v>3647</v>
      </c>
      <c r="J299" s="157" t="s">
        <v>3648</v>
      </c>
      <c r="K299" s="157" t="s">
        <v>3649</v>
      </c>
    </row>
    <row r="300" spans="2:11" ht="12" customHeight="1" x14ac:dyDescent="0.25">
      <c r="B300" s="157" t="s">
        <v>3665</v>
      </c>
      <c r="C300" s="156"/>
      <c r="D300" s="156" t="str">
        <f>CHOOSE(Translations!$C$1+1,I300,J300,K300)</f>
        <v>Poblaciones clave (Atención y prevención de la tuberculosis): reclusos</v>
      </c>
      <c r="E300" s="156"/>
      <c r="F300" s="156"/>
      <c r="G300" s="156" t="s">
        <v>3666</v>
      </c>
      <c r="H300" s="156"/>
      <c r="I300" s="157" t="s">
        <v>3667</v>
      </c>
      <c r="J300" s="157" t="s">
        <v>3668</v>
      </c>
      <c r="K300" s="157" t="s">
        <v>3669</v>
      </c>
    </row>
    <row r="301" spans="2:11" ht="12" customHeight="1" x14ac:dyDescent="0.25">
      <c r="B301" s="157" t="s">
        <v>3655</v>
      </c>
      <c r="C301" s="156"/>
      <c r="D301" s="156" t="str">
        <f>CHOOSE(Translations!$C$1+1,I301,J301,K301)</f>
        <v>Poblaciones clave (Atención y prevención de la tuberculosis): poblaciones móviles (refugiados, migrantes y personas desplazadas internamente)</v>
      </c>
      <c r="E301" s="156"/>
      <c r="F301" s="156"/>
      <c r="G301" s="156" t="s">
        <v>3656</v>
      </c>
      <c r="H301" s="156"/>
      <c r="I301" s="157" t="s">
        <v>3657</v>
      </c>
      <c r="J301" s="157" t="s">
        <v>3658</v>
      </c>
      <c r="K301" s="157" t="s">
        <v>3659</v>
      </c>
    </row>
    <row r="302" spans="2:11" ht="12" customHeight="1" x14ac:dyDescent="0.25">
      <c r="B302" s="157" t="s">
        <v>3650</v>
      </c>
      <c r="C302" s="156"/>
      <c r="D302" s="156" t="str">
        <f>CHOOSE(Translations!$C$1+1,I302,J302,K302)</f>
        <v>Poblaciones clave (Atención y prevención de la tuberculosis): mineros y comunidades mineras</v>
      </c>
      <c r="E302" s="156"/>
      <c r="F302" s="156"/>
      <c r="G302" s="156" t="s">
        <v>3651</v>
      </c>
      <c r="H302" s="156"/>
      <c r="I302" s="157" t="s">
        <v>3652</v>
      </c>
      <c r="J302" s="157" t="s">
        <v>3653</v>
      </c>
      <c r="K302" s="157" t="s">
        <v>3654</v>
      </c>
    </row>
    <row r="303" spans="2:11" ht="12" customHeight="1" x14ac:dyDescent="0.25">
      <c r="B303" s="157" t="s">
        <v>3660</v>
      </c>
      <c r="C303" s="156"/>
      <c r="D303" s="156" t="str">
        <f>CHOOSE(Translations!$C$1+1,I303,J303,K303)</f>
        <v>Poblaciones clave (Atención y prevención de la tuberculosis): otros</v>
      </c>
      <c r="E303" s="156"/>
      <c r="F303" s="156"/>
      <c r="G303" s="156" t="s">
        <v>3661</v>
      </c>
      <c r="H303" s="156"/>
      <c r="I303" s="157" t="s">
        <v>3662</v>
      </c>
      <c r="J303" s="157" t="s">
        <v>3663</v>
      </c>
      <c r="K303" s="157" t="s">
        <v>3664</v>
      </c>
    </row>
    <row r="304" spans="2:11" ht="12" customHeight="1" x14ac:dyDescent="0.25">
      <c r="B304" s="157" t="s">
        <v>3630</v>
      </c>
      <c r="C304" s="156"/>
      <c r="D304" s="156" t="str">
        <f>CHOOSE(Translations!$C$1+1,I304,J304,K304)</f>
        <v>Actividades de colaboración con otros programas y sectores (Atención y prevención de la tuberculosis)</v>
      </c>
      <c r="E304" s="156"/>
      <c r="F304" s="156"/>
      <c r="G304" s="156" t="s">
        <v>3631</v>
      </c>
      <c r="H304" s="156"/>
      <c r="I304" s="157" t="s">
        <v>3632</v>
      </c>
      <c r="J304" s="157" t="s">
        <v>3633</v>
      </c>
      <c r="K304" s="157" t="s">
        <v>3634</v>
      </c>
    </row>
    <row r="305" spans="2:11" ht="12" customHeight="1" x14ac:dyDescent="0.25">
      <c r="B305" s="157" t="s">
        <v>3680</v>
      </c>
      <c r="C305" s="156"/>
      <c r="D305" s="156" t="str">
        <f>CHOOSE(Translations!$C$1+1,I305,J305,K305)</f>
        <v>Detección y diagnóstico de casos (Tuberculosis multirresistente)</v>
      </c>
      <c r="E305" s="156"/>
      <c r="F305" s="156"/>
      <c r="G305" s="156" t="s">
        <v>3681</v>
      </c>
      <c r="H305" s="156"/>
      <c r="I305" s="157" t="s">
        <v>3682</v>
      </c>
      <c r="J305" s="157" t="s">
        <v>3683</v>
      </c>
      <c r="K305" s="157" t="s">
        <v>3684</v>
      </c>
    </row>
    <row r="306" spans="2:11" ht="12" customHeight="1" x14ac:dyDescent="0.25">
      <c r="B306" s="157" t="s">
        <v>3730</v>
      </c>
      <c r="C306" s="156"/>
      <c r="D306" s="156" t="str">
        <f>CHOOSE(Translations!$C$1+1,I306,J306,K306)</f>
        <v>Tratamiento (Tuberculosis multirresistente)</v>
      </c>
      <c r="E306" s="156"/>
      <c r="F306" s="156"/>
      <c r="G306" s="156" t="s">
        <v>3731</v>
      </c>
      <c r="H306" s="156"/>
      <c r="I306" s="157" t="s">
        <v>3732</v>
      </c>
      <c r="J306" s="157" t="s">
        <v>3733</v>
      </c>
      <c r="K306" s="157" t="s">
        <v>3734</v>
      </c>
    </row>
    <row r="307" spans="2:11" ht="12" customHeight="1" x14ac:dyDescent="0.25">
      <c r="B307" s="157" t="s">
        <v>3690</v>
      </c>
      <c r="C307" s="156"/>
      <c r="D307" s="156" t="str">
        <f>CHOOSE(Translations!$C$1+1,I307,J307,K307)</f>
        <v>Prestación de servicios de atención de la tuberculosis multirresistente en la comunidad</v>
      </c>
      <c r="E307" s="156"/>
      <c r="F307" s="156"/>
      <c r="G307" s="156" t="s">
        <v>3691</v>
      </c>
      <c r="H307" s="156"/>
      <c r="I307" s="157" t="s">
        <v>3692</v>
      </c>
      <c r="J307" s="157" t="s">
        <v>3693</v>
      </c>
      <c r="K307" s="157" t="s">
        <v>3694</v>
      </c>
    </row>
    <row r="308" spans="2:11" ht="12" customHeight="1" x14ac:dyDescent="0.25">
      <c r="B308" s="157" t="s">
        <v>3700</v>
      </c>
      <c r="C308" s="156"/>
      <c r="D308" s="156" t="str">
        <f>CHOOSE(Translations!$C$1+1,I308,J308,K308)</f>
        <v>Poblaciones clave (Tuberculosis multirresistente): niños</v>
      </c>
      <c r="E308" s="156"/>
      <c r="F308" s="156"/>
      <c r="G308" s="156" t="s">
        <v>3701</v>
      </c>
      <c r="H308" s="156"/>
      <c r="I308" s="157" t="s">
        <v>3702</v>
      </c>
      <c r="J308" s="157" t="s">
        <v>3703</v>
      </c>
      <c r="K308" s="157" t="s">
        <v>3704</v>
      </c>
    </row>
    <row r="309" spans="2:11" ht="12" customHeight="1" x14ac:dyDescent="0.25">
      <c r="B309" s="157" t="s">
        <v>3720</v>
      </c>
      <c r="C309" s="156"/>
      <c r="D309" s="156" t="str">
        <f>CHOOSE(Translations!$C$1+1,I309,J309,K309)</f>
        <v>Poblaciones clave (Tuberculosis multirresistente): reclusos</v>
      </c>
      <c r="E309" s="156"/>
      <c r="F309" s="156"/>
      <c r="G309" s="156" t="s">
        <v>3721</v>
      </c>
      <c r="H309" s="156"/>
      <c r="I309" s="157" t="s">
        <v>3722</v>
      </c>
      <c r="J309" s="157" t="s">
        <v>3723</v>
      </c>
      <c r="K309" s="157" t="s">
        <v>3724</v>
      </c>
    </row>
    <row r="310" spans="2:11" ht="12" customHeight="1" x14ac:dyDescent="0.25">
      <c r="B310" s="157" t="s">
        <v>3710</v>
      </c>
      <c r="C310" s="156"/>
      <c r="D310" s="156" t="str">
        <f>CHOOSE(Translations!$C$1+1,I310,J310,K310)</f>
        <v>Poblaciones clave (Tuberculosis multirresistente): poblaciones móviles (refugiados, migrantes y personas desplazadas internamente)</v>
      </c>
      <c r="E310" s="156"/>
      <c r="F310" s="156"/>
      <c r="G310" s="156" t="s">
        <v>3711</v>
      </c>
      <c r="H310" s="156"/>
      <c r="I310" s="157" t="s">
        <v>3712</v>
      </c>
      <c r="J310" s="157" t="s">
        <v>3713</v>
      </c>
      <c r="K310" s="157" t="s">
        <v>3714</v>
      </c>
    </row>
    <row r="311" spans="2:11" ht="12" customHeight="1" x14ac:dyDescent="0.25">
      <c r="B311" s="157" t="s">
        <v>3705</v>
      </c>
      <c r="C311" s="156"/>
      <c r="D311" s="156" t="str">
        <f>CHOOSE(Translations!$C$1+1,I311,J311,K311)</f>
        <v>Poblaciones clave (Tuberculosis multirresistente): mineros y comunidades mineras</v>
      </c>
      <c r="E311" s="156"/>
      <c r="F311" s="156"/>
      <c r="G311" s="156" t="s">
        <v>3706</v>
      </c>
      <c r="H311" s="156"/>
      <c r="I311" s="157" t="s">
        <v>3707</v>
      </c>
      <c r="J311" s="157" t="s">
        <v>3708</v>
      </c>
      <c r="K311" s="157" t="s">
        <v>3709</v>
      </c>
    </row>
    <row r="312" spans="2:11" ht="12" customHeight="1" x14ac:dyDescent="0.25">
      <c r="B312" s="157" t="s">
        <v>3715</v>
      </c>
      <c r="C312" s="156"/>
      <c r="D312" s="156" t="str">
        <f>CHOOSE(Translations!$C$1+1,I312,J312,K312)</f>
        <v>Poblaciones clave (Tuberculosis multirresistente): otros</v>
      </c>
      <c r="E312" s="156"/>
      <c r="F312" s="156"/>
      <c r="G312" s="156" t="s">
        <v>3716</v>
      </c>
      <c r="H312" s="156"/>
      <c r="I312" s="157" t="s">
        <v>3717</v>
      </c>
      <c r="J312" s="157" t="s">
        <v>3718</v>
      </c>
      <c r="K312" s="157" t="s">
        <v>3719</v>
      </c>
    </row>
    <row r="313" spans="2:11" ht="12" customHeight="1" x14ac:dyDescent="0.25">
      <c r="B313" s="157" t="s">
        <v>3685</v>
      </c>
      <c r="C313" s="156"/>
      <c r="D313" s="156" t="str">
        <f>CHOOSE(Translations!$C$1+1,I313,J313,K313)</f>
        <v>Actividades de colaboración con otros programas y sectores (Tuberculosis multirresistente)</v>
      </c>
      <c r="E313" s="156"/>
      <c r="F313" s="156"/>
      <c r="G313" s="156" t="s">
        <v>3686</v>
      </c>
      <c r="H313" s="156"/>
      <c r="I313" s="157" t="s">
        <v>3687</v>
      </c>
      <c r="J313" s="157" t="s">
        <v>3688</v>
      </c>
      <c r="K313" s="157" t="s">
        <v>3689</v>
      </c>
    </row>
    <row r="314" spans="2:11" ht="12" customHeight="1" x14ac:dyDescent="0.25">
      <c r="B314" s="157" t="s">
        <v>3755</v>
      </c>
      <c r="C314" s="156"/>
      <c r="D314" s="156" t="str">
        <f>CHOOSE(Translations!$C$1+1,I314,J314,K314)</f>
        <v>Reducción del estigma y la discriminación (TB)</v>
      </c>
      <c r="E314" s="156"/>
      <c r="F314" s="156"/>
      <c r="G314" s="156" t="s">
        <v>3756</v>
      </c>
      <c r="H314" s="156"/>
      <c r="I314" s="157" t="s">
        <v>3757</v>
      </c>
      <c r="J314" s="157" t="s">
        <v>3758</v>
      </c>
      <c r="K314" s="157" t="s">
        <v>3759</v>
      </c>
    </row>
    <row r="315" spans="2:11" ht="12" customHeight="1" x14ac:dyDescent="0.25">
      <c r="B315" s="157" t="s">
        <v>3740</v>
      </c>
      <c r="C315" s="156"/>
      <c r="D315" s="156" t="str">
        <f>CHOOSE(Translations!$C$1+1,I315,J315,K315)</f>
        <v>Derechos humanos, ética médica y educación sobre cuestiones jurídicas</v>
      </c>
      <c r="E315" s="156"/>
      <c r="F315" s="156"/>
      <c r="G315" s="156" t="s">
        <v>3741</v>
      </c>
      <c r="H315" s="156"/>
      <c r="I315" s="157" t="s">
        <v>3742</v>
      </c>
      <c r="J315" s="157" t="s">
        <v>3743</v>
      </c>
      <c r="K315" s="157" t="s">
        <v>3744</v>
      </c>
    </row>
    <row r="316" spans="2:11" ht="12" customHeight="1" x14ac:dyDescent="0.25">
      <c r="B316" s="157" t="s">
        <v>3745</v>
      </c>
      <c r="C316" s="156"/>
      <c r="D316" s="156" t="str">
        <f>CHOOSE(Translations!$C$1+1,I316,J316,K316)</f>
        <v>Asistencia y servicios jurídicos</v>
      </c>
      <c r="E316" s="156"/>
      <c r="F316" s="156"/>
      <c r="G316" s="156" t="s">
        <v>3746</v>
      </c>
      <c r="H316" s="156"/>
      <c r="I316" s="157" t="s">
        <v>3747</v>
      </c>
      <c r="J316" s="157" t="s">
        <v>3748</v>
      </c>
      <c r="K316" s="157" t="s">
        <v>3749</v>
      </c>
    </row>
    <row r="317" spans="2:11" ht="12" customHeight="1" x14ac:dyDescent="0.25">
      <c r="B317" s="157" t="s">
        <v>3750</v>
      </c>
      <c r="C317" s="156"/>
      <c r="D317" s="156" t="str">
        <f>CHOOSE(Translations!$C$1+1,I317,J317,K317)</f>
        <v>Reforma de leyes y políticas</v>
      </c>
      <c r="E317" s="156"/>
      <c r="F317" s="156"/>
      <c r="G317" s="156" t="s">
        <v>3751</v>
      </c>
      <c r="H317" s="156"/>
      <c r="I317" s="157" t="s">
        <v>3752</v>
      </c>
      <c r="J317" s="157" t="s">
        <v>3753</v>
      </c>
      <c r="K317" s="157" t="s">
        <v>3754</v>
      </c>
    </row>
    <row r="318" spans="2:11" ht="12" customHeight="1" x14ac:dyDescent="0.25">
      <c r="B318" s="157" t="s">
        <v>3735</v>
      </c>
      <c r="C318" s="156"/>
      <c r="D318" s="156" t="str">
        <f>CHOOSE(Translations!$C$1+1,I318,J318,K318)</f>
        <v>Movilización y promoción comunitarias (TB)</v>
      </c>
      <c r="E318" s="156"/>
      <c r="F318" s="156"/>
      <c r="G318" s="156" t="s">
        <v>3736</v>
      </c>
      <c r="H318" s="156"/>
      <c r="I318" s="157" t="s">
        <v>3737</v>
      </c>
      <c r="J318" s="157" t="s">
        <v>3738</v>
      </c>
      <c r="K318" s="157" t="s">
        <v>3739</v>
      </c>
    </row>
    <row r="319" spans="2:11" ht="12" customHeight="1" x14ac:dyDescent="0.25">
      <c r="B319" s="157" t="s">
        <v>3810</v>
      </c>
      <c r="C319" s="156"/>
      <c r="D319" s="156" t="str">
        <f>CHOOSE(Translations!$C$1+1,I319,J319,K319)</f>
        <v>Actividades de colaboración en materia de TB/VIH</v>
      </c>
      <c r="E319" s="156"/>
      <c r="F319" s="156"/>
      <c r="G319" s="156" t="s">
        <v>3811</v>
      </c>
      <c r="H319" s="156"/>
      <c r="I319" s="157" t="s">
        <v>3812</v>
      </c>
      <c r="J319" s="157" t="s">
        <v>3813</v>
      </c>
      <c r="K319" s="157" t="s">
        <v>3814</v>
      </c>
    </row>
    <row r="320" spans="2:11" ht="12" customHeight="1" x14ac:dyDescent="0.25">
      <c r="B320" s="157" t="s">
        <v>3805</v>
      </c>
      <c r="C320" s="156"/>
      <c r="D320" s="156" t="str">
        <f>CHOOSE(Translations!$C$1+1,I320,J320,K320)</f>
        <v>Tamizaje, prueba y diagnóstico</v>
      </c>
      <c r="E320" s="156"/>
      <c r="F320" s="156"/>
      <c r="G320" s="156" t="s">
        <v>3806</v>
      </c>
      <c r="H320" s="156"/>
      <c r="I320" s="157" t="s">
        <v>3807</v>
      </c>
      <c r="J320" s="157" t="s">
        <v>3808</v>
      </c>
      <c r="K320" s="157" t="s">
        <v>3809</v>
      </c>
    </row>
    <row r="321" spans="2:11" ht="12" customHeight="1" x14ac:dyDescent="0.25">
      <c r="B321" s="157" t="s">
        <v>3815</v>
      </c>
      <c r="C321" s="156"/>
      <c r="D321" s="156" t="str">
        <f>CHOOSE(Translations!$C$1+1,I321,J321,K321)</f>
        <v>Tratamiento (TB/VIH)</v>
      </c>
      <c r="E321" s="156"/>
      <c r="F321" s="156"/>
      <c r="G321" s="156" t="s">
        <v>3816</v>
      </c>
      <c r="H321" s="156"/>
      <c r="I321" s="157" t="s">
        <v>3817</v>
      </c>
      <c r="J321" s="157" t="s">
        <v>3818</v>
      </c>
      <c r="K321" s="157" t="s">
        <v>3819</v>
      </c>
    </row>
    <row r="322" spans="2:11" ht="12" customHeight="1" x14ac:dyDescent="0.25">
      <c r="B322" s="157" t="s">
        <v>3695</v>
      </c>
      <c r="C322" s="156"/>
      <c r="D322" s="156" t="str">
        <f>CHOOSE(Translations!$C$1+1,I322,J322,K322)</f>
        <v>Implicar a todos los proveedores de atención (Tuberculosis multirresistente)</v>
      </c>
      <c r="E322" s="156"/>
      <c r="F322" s="156"/>
      <c r="G322" s="156" t="s">
        <v>3696</v>
      </c>
      <c r="H322" s="156"/>
      <c r="I322" s="157" t="s">
        <v>3697</v>
      </c>
      <c r="J322" s="157" t="s">
        <v>3698</v>
      </c>
      <c r="K322" s="157" t="s">
        <v>3699</v>
      </c>
    </row>
    <row r="323" spans="2:11" ht="12" customHeight="1" x14ac:dyDescent="0.25">
      <c r="B323" s="157" t="s">
        <v>3800</v>
      </c>
      <c r="C323" s="156"/>
      <c r="D323" s="156" t="str">
        <f>CHOOSE(Translations!$C$1+1,I323,J323,K323)</f>
        <v>Prevención (TB/VIH)</v>
      </c>
      <c r="E323" s="156"/>
      <c r="F323" s="156"/>
      <c r="G323" s="156" t="s">
        <v>3801</v>
      </c>
      <c r="H323" s="156"/>
      <c r="I323" s="157" t="s">
        <v>3802</v>
      </c>
      <c r="J323" s="157" t="s">
        <v>3803</v>
      </c>
      <c r="K323" s="157" t="s">
        <v>3804</v>
      </c>
    </row>
    <row r="324" spans="2:11" ht="12" customHeight="1" x14ac:dyDescent="0.25">
      <c r="B324" s="157" t="s">
        <v>3770</v>
      </c>
      <c r="C324" s="156"/>
      <c r="D324" s="156" t="str">
        <f>CHOOSE(Translations!$C$1+1,I324,J324,K324)</f>
        <v>Involucramiento de todos los proveedores de salud (TB/VIH)</v>
      </c>
      <c r="E324" s="156"/>
      <c r="F324" s="156"/>
      <c r="G324" s="156" t="s">
        <v>3771</v>
      </c>
      <c r="H324" s="156"/>
      <c r="I324" s="157" t="s">
        <v>3772</v>
      </c>
      <c r="J324" s="157" t="s">
        <v>3773</v>
      </c>
      <c r="K324" s="157" t="s">
        <v>3774</v>
      </c>
    </row>
    <row r="325" spans="2:11" ht="12" customHeight="1" x14ac:dyDescent="0.25">
      <c r="B325" s="157" t="s">
        <v>3765</v>
      </c>
      <c r="C325" s="156"/>
      <c r="D325" s="156" t="str">
        <f>CHOOSE(Translations!$C$1+1,I325,J325,K325)</f>
        <v>Prestación de servicios comunitarios de TB/VIH</v>
      </c>
      <c r="E325" s="156"/>
      <c r="F325" s="156"/>
      <c r="G325" s="156" t="s">
        <v>3766</v>
      </c>
      <c r="H325" s="156"/>
      <c r="I325" s="157" t="s">
        <v>3767</v>
      </c>
      <c r="J325" s="157" t="s">
        <v>3768</v>
      </c>
      <c r="K325" s="157" t="s">
        <v>3769</v>
      </c>
    </row>
    <row r="326" spans="2:11" ht="12" customHeight="1" x14ac:dyDescent="0.25">
      <c r="B326" s="157" t="s">
        <v>3775</v>
      </c>
      <c r="C326" s="156"/>
      <c r="D326" s="156" t="str">
        <f>CHOOSE(Translations!$C$1+1,I326,J326,K326)</f>
        <v>Poblaciones clave (TB/VIH): niños</v>
      </c>
      <c r="E326" s="156"/>
      <c r="F326" s="156"/>
      <c r="G326" s="156" t="s">
        <v>3776</v>
      </c>
      <c r="H326" s="156"/>
      <c r="I326" s="157" t="s">
        <v>3777</v>
      </c>
      <c r="J326" s="157" t="s">
        <v>3778</v>
      </c>
      <c r="K326" s="157" t="s">
        <v>3779</v>
      </c>
    </row>
    <row r="327" spans="2:11" ht="12" customHeight="1" x14ac:dyDescent="0.25">
      <c r="B327" s="157" t="s">
        <v>3795</v>
      </c>
      <c r="C327" s="156"/>
      <c r="D327" s="156" t="str">
        <f>CHOOSE(Translations!$C$1+1,I327,J327,K327)</f>
        <v>Poblaciones clave (TB/VIH): personas privadas de libertad</v>
      </c>
      <c r="E327" s="156"/>
      <c r="F327" s="156"/>
      <c r="G327" s="156" t="s">
        <v>3796</v>
      </c>
      <c r="H327" s="156"/>
      <c r="I327" s="157" t="s">
        <v>3797</v>
      </c>
      <c r="J327" s="157" t="s">
        <v>3798</v>
      </c>
      <c r="K327" s="157" t="s">
        <v>3799</v>
      </c>
    </row>
    <row r="328" spans="2:11" ht="12" customHeight="1" x14ac:dyDescent="0.25">
      <c r="B328" s="157" t="s">
        <v>3785</v>
      </c>
      <c r="C328" s="156"/>
      <c r="D328" s="156" t="str">
        <f>CHOOSE(Translations!$C$1+1,I328,J328,K328)</f>
        <v>Poblaciones clave (TB/VIH): poblaciones móviles (refugiados, migrantes y personas desplazadas internamente)</v>
      </c>
      <c r="E328" s="156"/>
      <c r="F328" s="156"/>
      <c r="G328" s="156" t="s">
        <v>3786</v>
      </c>
      <c r="H328" s="156"/>
      <c r="I328" s="157" t="s">
        <v>3787</v>
      </c>
      <c r="J328" s="157" t="s">
        <v>3788</v>
      </c>
      <c r="K328" s="157" t="s">
        <v>3789</v>
      </c>
    </row>
    <row r="329" spans="2:11" ht="12" customHeight="1" x14ac:dyDescent="0.25">
      <c r="B329" s="157" t="s">
        <v>3780</v>
      </c>
      <c r="C329" s="156"/>
      <c r="D329" s="156" t="str">
        <f>CHOOSE(Translations!$C$1+1,I329,J329,K329)</f>
        <v>Poblaciones clave (TB/VIH): mineros y comunidades mineras</v>
      </c>
      <c r="E329" s="156"/>
      <c r="F329" s="156"/>
      <c r="G329" s="156" t="s">
        <v>3781</v>
      </c>
      <c r="H329" s="156"/>
      <c r="I329" s="157" t="s">
        <v>3782</v>
      </c>
      <c r="J329" s="157" t="s">
        <v>3783</v>
      </c>
      <c r="K329" s="157" t="s">
        <v>3784</v>
      </c>
    </row>
    <row r="330" spans="2:11" ht="12" customHeight="1" x14ac:dyDescent="0.25">
      <c r="B330" s="157" t="s">
        <v>3790</v>
      </c>
      <c r="C330" s="156"/>
      <c r="D330" s="156" t="str">
        <f>CHOOSE(Translations!$C$1+1,I330,J330,K330)</f>
        <v>Poblaciones clave (TB/VIH): otros</v>
      </c>
      <c r="E330" s="156"/>
      <c r="F330" s="156"/>
      <c r="G330" s="156" t="s">
        <v>3791</v>
      </c>
      <c r="H330" s="156"/>
      <c r="I330" s="157" t="s">
        <v>3792</v>
      </c>
      <c r="J330" s="157" t="s">
        <v>3793</v>
      </c>
      <c r="K330" s="157" t="s">
        <v>3794</v>
      </c>
    </row>
    <row r="331" spans="2:11" ht="12" customHeight="1" x14ac:dyDescent="0.25">
      <c r="B331" s="157" t="s">
        <v>3760</v>
      </c>
      <c r="C331" s="156"/>
      <c r="D331" s="156" t="str">
        <f>CHOOSE(Translations!$C$1+1,I331,J331,K331)</f>
        <v>Actividades de colaboración con otros programas y sectores (TB/VIH)</v>
      </c>
      <c r="E331" s="156"/>
      <c r="F331" s="156"/>
      <c r="G331" s="156" t="s">
        <v>3761</v>
      </c>
      <c r="H331" s="156"/>
      <c r="I331" s="157" t="s">
        <v>3762</v>
      </c>
      <c r="J331" s="157" t="s">
        <v>3763</v>
      </c>
      <c r="K331" s="157" t="s">
        <v>3764</v>
      </c>
    </row>
    <row r="332" spans="2:11" ht="12" customHeight="1" x14ac:dyDescent="0.25">
      <c r="B332" s="157" t="s">
        <v>3820</v>
      </c>
      <c r="C332" s="156"/>
      <c r="D332" s="156" t="str">
        <f>CHOOSE(Translations!$C$1+1,I332,J332,K332)</f>
        <v>Coordinación y gestión de los programas nacionales de control de enfermedades</v>
      </c>
      <c r="E332" s="156"/>
      <c r="F332" s="156"/>
      <c r="G332" s="156" t="s">
        <v>3821</v>
      </c>
      <c r="H332" s="156"/>
      <c r="I332" s="157" t="s">
        <v>3822</v>
      </c>
      <c r="J332" s="157" t="s">
        <v>3823</v>
      </c>
      <c r="K332" s="157" t="s">
        <v>3824</v>
      </c>
    </row>
    <row r="333" spans="2:11" ht="12" customHeight="1" x14ac:dyDescent="0.25">
      <c r="B333" s="157" t="s">
        <v>3825</v>
      </c>
      <c r="C333" s="156"/>
      <c r="D333" s="156" t="str">
        <f>CHOOSE(Translations!$C$1+1,I333,J333,K333)</f>
        <v>Gestión de subvenciones</v>
      </c>
      <c r="E333" s="156"/>
      <c r="F333" s="156"/>
      <c r="G333" s="156" t="s">
        <v>3826</v>
      </c>
      <c r="H333" s="156"/>
      <c r="I333" s="157" t="s">
        <v>3827</v>
      </c>
      <c r="J333" s="157" t="s">
        <v>3828</v>
      </c>
      <c r="K333" s="157" t="s">
        <v>3829</v>
      </c>
    </row>
    <row r="334" spans="2:11" ht="12" customHeight="1" x14ac:dyDescent="0.25">
      <c r="B334" s="157" t="s">
        <v>3835</v>
      </c>
      <c r="C334" s="156"/>
      <c r="D334" s="156" t="str">
        <f>CHOOSE(Translations!$C$1+1,I334,J334,K334)</f>
        <v>Política, estrategia, gobernanza</v>
      </c>
      <c r="E334" s="156"/>
      <c r="F334" s="156"/>
      <c r="G334" s="156" t="s">
        <v>3836</v>
      </c>
      <c r="H334" s="156"/>
      <c r="I334" s="157" t="s">
        <v>3837</v>
      </c>
      <c r="J334" s="157" t="s">
        <v>3838</v>
      </c>
      <c r="K334" s="157" t="s">
        <v>3839</v>
      </c>
    </row>
    <row r="335" spans="2:11" ht="12" customHeight="1" x14ac:dyDescent="0.25">
      <c r="B335" s="157" t="s">
        <v>3850</v>
      </c>
      <c r="C335" s="156"/>
      <c r="D335" s="156" t="str">
        <f>CHOOSE(Translations!$C$1+1,I335,J335,K335)</f>
        <v>Capacidad de almacenamiento y distribución</v>
      </c>
      <c r="E335" s="156"/>
      <c r="F335" s="156"/>
      <c r="G335" s="156" t="s">
        <v>3851</v>
      </c>
      <c r="H335" s="156"/>
      <c r="I335" s="157" t="s">
        <v>3852</v>
      </c>
      <c r="J335" s="157" t="s">
        <v>3853</v>
      </c>
      <c r="K335" s="157" t="s">
        <v>3854</v>
      </c>
    </row>
    <row r="336" spans="2:11" ht="12" customHeight="1" x14ac:dyDescent="0.25">
      <c r="B336" s="157" t="s">
        <v>3840</v>
      </c>
      <c r="C336" s="156"/>
      <c r="D336" s="156" t="str">
        <f>CHOOSE(Translations!$C$1+1,I336,J336,K336)</f>
        <v>Capacidad de adquisición</v>
      </c>
      <c r="E336" s="156"/>
      <c r="F336" s="156"/>
      <c r="G336" s="156" t="s">
        <v>3841</v>
      </c>
      <c r="H336" s="156"/>
      <c r="I336" s="157" t="s">
        <v>3842</v>
      </c>
      <c r="J336" s="157" t="s">
        <v>3843</v>
      </c>
      <c r="K336" s="157" t="s">
        <v>3844</v>
      </c>
    </row>
    <row r="337" spans="2:11" ht="12" customHeight="1" x14ac:dyDescent="0.25">
      <c r="B337" s="157" t="s">
        <v>3845</v>
      </c>
      <c r="C337" s="156"/>
      <c r="D337" s="156" t="str">
        <f>CHOOSE(Translations!$C$1+1,I337,J337,K337)</f>
        <v>Apoyo regulador/aseguramiento de la calidad</v>
      </c>
      <c r="E337" s="156"/>
      <c r="F337" s="156"/>
      <c r="G337" s="156" t="s">
        <v>3846</v>
      </c>
      <c r="H337" s="156"/>
      <c r="I337" s="157" t="s">
        <v>3847</v>
      </c>
      <c r="J337" s="157" t="s">
        <v>3848</v>
      </c>
      <c r="K337" s="157" t="s">
        <v>3849</v>
      </c>
    </row>
    <row r="338" spans="2:11" ht="12" customHeight="1" x14ac:dyDescent="0.25">
      <c r="B338" s="157" t="s">
        <v>3830</v>
      </c>
      <c r="C338" s="156"/>
      <c r="D338" s="156" t="str">
        <f>CHOOSE(Translations!$C$1+1,I338,J338,K338)</f>
        <v>Gestión de los residuos de la atención sanitaria</v>
      </c>
      <c r="E338" s="156"/>
      <c r="F338" s="156"/>
      <c r="G338" s="156" t="s">
        <v>3831</v>
      </c>
      <c r="H338" s="156"/>
      <c r="I338" s="157" t="s">
        <v>3832</v>
      </c>
      <c r="J338" s="157" t="s">
        <v>3833</v>
      </c>
      <c r="K338" s="157" t="s">
        <v>3834</v>
      </c>
    </row>
    <row r="339" spans="2:11" ht="12" customHeight="1" x14ac:dyDescent="0.25">
      <c r="B339" s="157" t="s">
        <v>3875</v>
      </c>
      <c r="C339" s="156"/>
      <c r="D339" s="156" t="str">
        <f>CHOOSE(Translations!$C$1+1,I339,J339,K339)</f>
        <v>Informes rutinarios</v>
      </c>
      <c r="E339" s="156"/>
      <c r="F339" s="156"/>
      <c r="G339" s="156" t="s">
        <v>3876</v>
      </c>
      <c r="H339" s="156"/>
      <c r="I339" s="157" t="s">
        <v>3877</v>
      </c>
      <c r="J339" s="157" t="s">
        <v>3878</v>
      </c>
      <c r="K339" s="157" t="s">
        <v>3879</v>
      </c>
    </row>
    <row r="340" spans="2:11" ht="12" customHeight="1" x14ac:dyDescent="0.25">
      <c r="B340" s="157" t="s">
        <v>3870</v>
      </c>
      <c r="C340" s="156"/>
      <c r="D340" s="156" t="str">
        <f>CHOOSE(Translations!$C$1+1,I340,J340,K340)</f>
        <v>Calidad del programa y los datos</v>
      </c>
      <c r="E340" s="156"/>
      <c r="F340" s="156"/>
      <c r="G340" s="156" t="s">
        <v>3871</v>
      </c>
      <c r="H340" s="156"/>
      <c r="I340" s="157" t="s">
        <v>3872</v>
      </c>
      <c r="J340" s="157" t="s">
        <v>3873</v>
      </c>
      <c r="K340" s="157" t="s">
        <v>3874</v>
      </c>
    </row>
    <row r="341" spans="2:11" ht="12" customHeight="1" x14ac:dyDescent="0.25">
      <c r="B341" s="157" t="s">
        <v>3860</v>
      </c>
      <c r="C341" s="156"/>
      <c r="D341" s="156" t="str">
        <f>CHOOSE(Translations!$C$1+1,I341,J341,K341)</f>
        <v>Análisis, evaluaciones, revisión y transparencia</v>
      </c>
      <c r="E341" s="156"/>
      <c r="F341" s="156"/>
      <c r="G341" s="156" t="s">
        <v>3861</v>
      </c>
      <c r="H341" s="156"/>
      <c r="I341" s="157" t="s">
        <v>3862</v>
      </c>
      <c r="J341" s="157" t="s">
        <v>3863</v>
      </c>
      <c r="K341" s="157" t="s">
        <v>3864</v>
      </c>
    </row>
    <row r="342" spans="2:11" ht="12" customHeight="1" x14ac:dyDescent="0.25">
      <c r="B342" s="157" t="s">
        <v>3880</v>
      </c>
      <c r="C342" s="156"/>
      <c r="D342" s="156" t="str">
        <f>CHOOSE(Translations!$C$1+1,I342,J342,K342)</f>
        <v>Encuestas</v>
      </c>
      <c r="E342" s="156"/>
      <c r="F342" s="156"/>
      <c r="G342" s="156" t="s">
        <v>3881</v>
      </c>
      <c r="H342" s="156"/>
      <c r="I342" s="157" t="s">
        <v>3882</v>
      </c>
      <c r="J342" s="157" t="s">
        <v>3883</v>
      </c>
      <c r="K342" s="157" t="s">
        <v>3884</v>
      </c>
    </row>
    <row r="343" spans="2:11" ht="12" customHeight="1" x14ac:dyDescent="0.25">
      <c r="B343" s="157" t="s">
        <v>3855</v>
      </c>
      <c r="C343" s="156"/>
      <c r="D343" s="156" t="str">
        <f>CHOOSE(Translations!$C$1+1,I343,J343,K343)</f>
        <v>Fuentes de los datos financieros y administrativos</v>
      </c>
      <c r="E343" s="156"/>
      <c r="F343" s="156"/>
      <c r="G343" s="156" t="s">
        <v>3856</v>
      </c>
      <c r="H343" s="156"/>
      <c r="I343" s="157" t="s">
        <v>3857</v>
      </c>
      <c r="J343" s="157" t="s">
        <v>3858</v>
      </c>
      <c r="K343" s="157" t="s">
        <v>3859</v>
      </c>
    </row>
    <row r="344" spans="2:11" ht="12" customHeight="1" x14ac:dyDescent="0.25">
      <c r="B344" s="157" t="s">
        <v>3865</v>
      </c>
      <c r="C344" s="156"/>
      <c r="D344" s="156" t="str">
        <f>CHOOSE(Translations!$C$1+1,I344,J344,K344)</f>
        <v>Registro civil y estadísticas vitales</v>
      </c>
      <c r="E344" s="156"/>
      <c r="F344" s="156"/>
      <c r="G344" s="156" t="s">
        <v>3866</v>
      </c>
      <c r="H344" s="156"/>
      <c r="I344" s="157" t="s">
        <v>3867</v>
      </c>
      <c r="J344" s="157" t="s">
        <v>3868</v>
      </c>
      <c r="K344" s="157" t="s">
        <v>3869</v>
      </c>
    </row>
    <row r="345" spans="2:11" ht="12" customHeight="1" x14ac:dyDescent="0.25">
      <c r="B345" s="157" t="s">
        <v>3900</v>
      </c>
      <c r="C345" s="156"/>
      <c r="D345" s="156" t="str">
        <f>CHOOSE(Translations!$C$1+1,I345,J345,K345)</f>
        <v>Educación y producción de nuevos trabajadores de  salud (excepto los trabajadores de la salud comunitarios)</v>
      </c>
      <c r="E345" s="156"/>
      <c r="F345" s="156"/>
      <c r="G345" s="156" t="s">
        <v>3901</v>
      </c>
      <c r="H345" s="156"/>
      <c r="I345" s="157" t="s">
        <v>3902</v>
      </c>
      <c r="J345" s="157" t="s">
        <v>3903</v>
      </c>
      <c r="K345" s="157" t="s">
        <v>3904</v>
      </c>
    </row>
    <row r="346" spans="2:11" ht="12" customHeight="1" x14ac:dyDescent="0.25">
      <c r="B346" s="157" t="s">
        <v>3915</v>
      </c>
      <c r="C346" s="156"/>
      <c r="D346" s="156" t="str">
        <f>CHOOSE(Translations!$C$1+1,I346,J346,K346)</f>
        <v>Remuneración y despliegue de personal nuevo/existente (excepto los trabajadores de la salud comunitarios)</v>
      </c>
      <c r="E346" s="156"/>
      <c r="F346" s="156"/>
      <c r="G346" s="156" t="s">
        <v>3916</v>
      </c>
      <c r="H346" s="156"/>
      <c r="I346" s="157" t="s">
        <v>3917</v>
      </c>
      <c r="J346" s="157" t="s">
        <v>3918</v>
      </c>
      <c r="K346" s="157" t="s">
        <v>3919</v>
      </c>
    </row>
    <row r="347" spans="2:11" ht="12" customHeight="1" x14ac:dyDescent="0.25">
      <c r="B347" s="157" t="s">
        <v>3910</v>
      </c>
      <c r="C347" s="156"/>
      <c r="D347" s="156" t="str">
        <f>CHOOSE(Translations!$C$1+1,I347,J347,K347)</f>
        <v>Formación durante la prestación de servicios (excepto los trabajadores de  salud comunitarios)</v>
      </c>
      <c r="E347" s="156"/>
      <c r="F347" s="156"/>
      <c r="G347" s="156" t="s">
        <v>3911</v>
      </c>
      <c r="H347" s="156"/>
      <c r="I347" s="157" t="s">
        <v>3912</v>
      </c>
      <c r="J347" s="157" t="s">
        <v>3913</v>
      </c>
      <c r="K347" s="157" t="s">
        <v>3914</v>
      </c>
    </row>
    <row r="348" spans="2:11" ht="12" customHeight="1" x14ac:dyDescent="0.25">
      <c r="B348" s="157" t="s">
        <v>3905</v>
      </c>
      <c r="C348" s="156"/>
      <c r="D348" s="156" t="str">
        <f>CHOOSE(Translations!$C$1+1,I348,J348,K348)</f>
        <v>Política y gobernanza de Recursos Humanos de Salud</v>
      </c>
      <c r="E348" s="156"/>
      <c r="F348" s="156"/>
      <c r="G348" s="156" t="s">
        <v>3906</v>
      </c>
      <c r="H348" s="156"/>
      <c r="I348" s="157" t="s">
        <v>3907</v>
      </c>
      <c r="J348" s="157" t="s">
        <v>3908</v>
      </c>
      <c r="K348" s="157" t="s">
        <v>3909</v>
      </c>
    </row>
    <row r="349" spans="2:11" ht="12" customHeight="1" x14ac:dyDescent="0.25">
      <c r="B349" s="157" t="s">
        <v>3885</v>
      </c>
      <c r="C349" s="156"/>
      <c r="D349" s="156" t="str">
        <f>CHOOSE(Translations!$C$1+1,I349,J349,K349)</f>
        <v>Trabajadores de salud comunitarios: educación y producción</v>
      </c>
      <c r="E349" s="156"/>
      <c r="F349" s="156"/>
      <c r="G349" s="156" t="s">
        <v>3886</v>
      </c>
      <c r="H349" s="156"/>
      <c r="I349" s="157" t="s">
        <v>3887</v>
      </c>
      <c r="J349" s="157" t="s">
        <v>3888</v>
      </c>
      <c r="K349" s="157" t="s">
        <v>3889</v>
      </c>
    </row>
    <row r="350" spans="2:11" ht="12" customHeight="1" x14ac:dyDescent="0.25">
      <c r="B350" s="157" t="s">
        <v>3895</v>
      </c>
      <c r="C350" s="156"/>
      <c r="D350" s="156" t="str">
        <f>CHOOSE(Translations!$C$1+1,I350,J350,K350)</f>
        <v>Trabajadores de salud comunitarios: remuneración y despliegue</v>
      </c>
      <c r="E350" s="156"/>
      <c r="F350" s="156"/>
      <c r="G350" s="156" t="s">
        <v>3896</v>
      </c>
      <c r="H350" s="156"/>
      <c r="I350" s="157" t="s">
        <v>3897</v>
      </c>
      <c r="J350" s="157" t="s">
        <v>3898</v>
      </c>
      <c r="K350" s="157" t="s">
        <v>3899</v>
      </c>
    </row>
    <row r="351" spans="2:11" ht="12" customHeight="1" x14ac:dyDescent="0.25">
      <c r="B351" s="157" t="s">
        <v>3890</v>
      </c>
      <c r="C351" s="156"/>
      <c r="D351" s="156" t="str">
        <f>CHOOSE(Translations!$C$1+1,I351,J351,K351)</f>
        <v>Trabajadores de salud comunitarios: formación durante la prestación de los servicios</v>
      </c>
      <c r="E351" s="156"/>
      <c r="F351" s="156"/>
      <c r="G351" s="156" t="s">
        <v>3891</v>
      </c>
      <c r="H351" s="156"/>
      <c r="I351" s="157" t="s">
        <v>3892</v>
      </c>
      <c r="J351" s="157" t="s">
        <v>3893</v>
      </c>
      <c r="K351" s="157" t="s">
        <v>3894</v>
      </c>
    </row>
    <row r="352" spans="2:11" ht="12" customHeight="1" x14ac:dyDescent="0.25">
      <c r="B352" s="157" t="s">
        <v>3920</v>
      </c>
      <c r="C352" s="156"/>
      <c r="D352" s="156" t="str">
        <f>CHOOSE(Translations!$C$1+1,I352,J352,K352)</f>
        <v>Calidad de la atención</v>
      </c>
      <c r="E352" s="156"/>
      <c r="F352" s="156"/>
      <c r="G352" s="156" t="s">
        <v>3921</v>
      </c>
      <c r="H352" s="156"/>
      <c r="I352" s="157" t="s">
        <v>3922</v>
      </c>
      <c r="J352" s="157" t="s">
        <v>3923</v>
      </c>
      <c r="K352" s="157" t="s">
        <v>3924</v>
      </c>
    </row>
    <row r="353" spans="2:11" ht="12" customHeight="1" x14ac:dyDescent="0.25">
      <c r="B353" s="157" t="s">
        <v>3930</v>
      </c>
      <c r="C353" s="156"/>
      <c r="D353" s="156" t="str">
        <f>CHOOSE(Translations!$C$1+1,I353,J353,K353)</f>
        <v>Organización de los servicios y gestión de establecimientos de salud</v>
      </c>
      <c r="E353" s="156"/>
      <c r="F353" s="156"/>
      <c r="G353" s="156" t="s">
        <v>3931</v>
      </c>
      <c r="H353" s="156"/>
      <c r="I353" s="157" t="s">
        <v>3932</v>
      </c>
      <c r="J353" s="157" t="s">
        <v>3933</v>
      </c>
      <c r="K353" s="157" t="s">
        <v>3934</v>
      </c>
    </row>
    <row r="354" spans="2:11" ht="12" customHeight="1" x14ac:dyDescent="0.25">
      <c r="B354" s="157" t="s">
        <v>3925</v>
      </c>
      <c r="C354" s="156"/>
      <c r="D354" s="156" t="str">
        <f>CHOOSE(Translations!$C$1+1,I354,J354,K354)</f>
        <v>Infraestructura de la prestación de servicios</v>
      </c>
      <c r="E354" s="156"/>
      <c r="F354" s="156"/>
      <c r="G354" s="156" t="s">
        <v>3926</v>
      </c>
      <c r="H354" s="156"/>
      <c r="I354" s="157" t="s">
        <v>3927</v>
      </c>
      <c r="J354" s="157" t="s">
        <v>3928</v>
      </c>
      <c r="K354" s="157" t="s">
        <v>3929</v>
      </c>
    </row>
    <row r="355" spans="2:11" ht="12" customHeight="1" x14ac:dyDescent="0.25">
      <c r="B355" s="157" t="s">
        <v>3935</v>
      </c>
      <c r="C355" s="156"/>
      <c r="D355" s="156" t="str">
        <f>CHOOSE(Translations!$C$1+1,I355,J355,K355)</f>
        <v>Sistemas de gestión financiera pública (nacionales o armonizados de donantes)</v>
      </c>
      <c r="E355" s="156"/>
      <c r="F355" s="156"/>
      <c r="G355" s="156" t="s">
        <v>3936</v>
      </c>
      <c r="H355" s="156"/>
      <c r="I355" s="157" t="s">
        <v>3937</v>
      </c>
      <c r="J355" s="157" t="s">
        <v>3938</v>
      </c>
      <c r="K355" s="157" t="s">
        <v>3939</v>
      </c>
    </row>
    <row r="356" spans="2:11" ht="12" customHeight="1" x14ac:dyDescent="0.25">
      <c r="B356" s="157" t="s">
        <v>3940</v>
      </c>
      <c r="C356" s="156"/>
      <c r="D356" s="156" t="str">
        <f>CHOOSE(Translations!$C$1+1,I356,J356,K356)</f>
        <v>Gestión financiera ordinaria de las subvenciones</v>
      </c>
      <c r="E356" s="156"/>
      <c r="F356" s="156"/>
      <c r="G356" s="156" t="s">
        <v>3941</v>
      </c>
      <c r="H356" s="156"/>
      <c r="I356" s="157" t="s">
        <v>3942</v>
      </c>
      <c r="J356" s="157" t="s">
        <v>3943</v>
      </c>
      <c r="K356" s="157" t="s">
        <v>3944</v>
      </c>
    </row>
    <row r="357" spans="2:11" ht="12" customHeight="1" x14ac:dyDescent="0.25">
      <c r="B357" s="157" t="s">
        <v>3945</v>
      </c>
      <c r="C357" s="156"/>
      <c r="D357" s="156" t="str">
        <f>CHOOSE(Translations!$C$1+1,I357,J357,K357)</f>
        <v>Estrategias y financiamiento del sector nacional de la salud</v>
      </c>
      <c r="E357" s="156"/>
      <c r="F357" s="156"/>
      <c r="G357" s="156" t="s">
        <v>3946</v>
      </c>
      <c r="H357" s="156"/>
      <c r="I357" s="157" t="s">
        <v>3947</v>
      </c>
      <c r="J357" s="157" t="s">
        <v>3948</v>
      </c>
      <c r="K357" s="157" t="s">
        <v>3949</v>
      </c>
    </row>
    <row r="358" spans="2:11" ht="12" customHeight="1" x14ac:dyDescent="0.25">
      <c r="B358" s="157" t="s">
        <v>3950</v>
      </c>
      <c r="C358" s="156"/>
      <c r="D358" s="156" t="str">
        <f>CHOOSE(Translations!$C$1+1,I358,J358,K358)</f>
        <v>Política y planificación para los programas nacionales de control de enfermedades</v>
      </c>
      <c r="E358" s="156"/>
      <c r="F358" s="156"/>
      <c r="G358" s="156" t="s">
        <v>3951</v>
      </c>
      <c r="H358" s="156"/>
      <c r="I358" s="157" t="s">
        <v>3952</v>
      </c>
      <c r="J358" s="157" t="s">
        <v>3953</v>
      </c>
      <c r="K358" s="157" t="s">
        <v>3954</v>
      </c>
    </row>
    <row r="359" spans="2:11" ht="12" customHeight="1" x14ac:dyDescent="0.25">
      <c r="B359" s="157" t="s">
        <v>3955</v>
      </c>
      <c r="C359" s="156"/>
      <c r="D359" s="156" t="str">
        <f>CHOOSE(Translations!$C$1+1,I359,J359,K359)</f>
        <v>Monitoreo a nivel comunitario</v>
      </c>
      <c r="E359" s="156"/>
      <c r="F359" s="156"/>
      <c r="G359" s="156" t="s">
        <v>3956</v>
      </c>
      <c r="H359" s="156"/>
      <c r="I359" s="157" t="s">
        <v>3957</v>
      </c>
      <c r="J359" s="157" t="s">
        <v>3958</v>
      </c>
      <c r="K359" s="157" t="s">
        <v>3959</v>
      </c>
    </row>
    <row r="360" spans="2:11" ht="12" customHeight="1" x14ac:dyDescent="0.25">
      <c r="B360" s="157" t="s">
        <v>3960</v>
      </c>
      <c r="C360" s="156"/>
      <c r="D360" s="156" t="str">
        <f>CHOOSE(Translations!$C$1+1,I360,J360,K360)</f>
        <v>Sensibilización e investigación dirigidas por la comunidad</v>
      </c>
      <c r="E360" s="156"/>
      <c r="F360" s="156"/>
      <c r="G360" s="156" t="s">
        <v>3961</v>
      </c>
      <c r="H360" s="156"/>
      <c r="I360" s="157" t="s">
        <v>3962</v>
      </c>
      <c r="J360" s="157" t="s">
        <v>3963</v>
      </c>
      <c r="K360" s="157" t="s">
        <v>3964</v>
      </c>
    </row>
    <row r="361" spans="2:11" ht="12" customHeight="1" x14ac:dyDescent="0.25">
      <c r="B361" s="157" t="s">
        <v>3970</v>
      </c>
      <c r="C361" s="156"/>
      <c r="D361" s="156" t="str">
        <f>CHOOSE(Translations!$C$1+1,I361,J361,K361)</f>
        <v>Movilización social, creación de vínculos comunitarios y coordinación</v>
      </c>
      <c r="E361" s="156"/>
      <c r="F361" s="156"/>
      <c r="G361" s="156" t="s">
        <v>3971</v>
      </c>
      <c r="H361" s="156"/>
      <c r="I361" s="157" t="s">
        <v>3972</v>
      </c>
      <c r="J361" s="157" t="s">
        <v>3973</v>
      </c>
      <c r="K361" s="157" t="s">
        <v>3974</v>
      </c>
    </row>
    <row r="362" spans="2:11" ht="12" customHeight="1" x14ac:dyDescent="0.25">
      <c r="B362" s="157" t="s">
        <v>3965</v>
      </c>
      <c r="C362" s="156"/>
      <c r="D362" s="156" t="str">
        <f>CHOOSE(Translations!$C$1+1,I362,J362,K362)</f>
        <v>Creación de capacidad institucional, planificación y desarrollo del liderazgo</v>
      </c>
      <c r="E362" s="156"/>
      <c r="F362" s="156"/>
      <c r="G362" s="156" t="s">
        <v>3966</v>
      </c>
      <c r="H362" s="156"/>
      <c r="I362" s="157" t="s">
        <v>3967</v>
      </c>
      <c r="J362" s="157" t="s">
        <v>3968</v>
      </c>
      <c r="K362" s="157" t="s">
        <v>3969</v>
      </c>
    </row>
    <row r="363" spans="2:11" ht="12" customHeight="1" x14ac:dyDescent="0.25">
      <c r="B363" s="157" t="s">
        <v>3990</v>
      </c>
      <c r="C363" s="156"/>
      <c r="D363" s="156" t="str">
        <f>CHOOSE(Translations!$C$1+1,I363,J363,K363)</f>
        <v>Estructuras de gestión y gobernanza de los laboratorios nacionales</v>
      </c>
      <c r="E363" s="156"/>
      <c r="F363" s="156"/>
      <c r="G363" s="156" t="s">
        <v>3991</v>
      </c>
      <c r="H363" s="156"/>
      <c r="I363" s="157" t="s">
        <v>3992</v>
      </c>
      <c r="J363" s="157" t="s">
        <v>3993</v>
      </c>
      <c r="K363" s="157" t="s">
        <v>3994</v>
      </c>
    </row>
    <row r="364" spans="2:11" ht="12" customHeight="1" x14ac:dyDescent="0.25">
      <c r="B364" s="157" t="s">
        <v>3980</v>
      </c>
      <c r="C364" s="156"/>
      <c r="D364" s="156" t="str">
        <f>CHOOSE(Translations!$C$1+1,I364,J364,K364)</f>
        <v>Sistemas de gestión de infraestructuras y equipos</v>
      </c>
      <c r="E364" s="156"/>
      <c r="F364" s="156"/>
      <c r="G364" s="156" t="s">
        <v>3981</v>
      </c>
      <c r="H364" s="156"/>
      <c r="I364" s="157" t="s">
        <v>3982</v>
      </c>
      <c r="J364" s="157" t="s">
        <v>3983</v>
      </c>
      <c r="K364" s="157" t="s">
        <v>3984</v>
      </c>
    </row>
    <row r="365" spans="2:11" ht="12" customHeight="1" x14ac:dyDescent="0.25">
      <c r="B365" s="157" t="s">
        <v>3995</v>
      </c>
      <c r="C365" s="156"/>
      <c r="D365" s="156" t="str">
        <f>CHOOSE(Translations!$C$1+1,I365,J365,K365)</f>
        <v>Sistemas de gestión de la calidad y acreditación</v>
      </c>
      <c r="E365" s="156"/>
      <c r="F365" s="156"/>
      <c r="G365" s="156" t="s">
        <v>3996</v>
      </c>
      <c r="H365" s="156"/>
      <c r="I365" s="157" t="s">
        <v>3997</v>
      </c>
      <c r="J365" s="157" t="s">
        <v>3998</v>
      </c>
      <c r="K365" s="157" t="s">
        <v>3999</v>
      </c>
    </row>
    <row r="366" spans="2:11" ht="12" customHeight="1" x14ac:dyDescent="0.25">
      <c r="B366" s="157" t="s">
        <v>3975</v>
      </c>
      <c r="C366" s="156"/>
      <c r="D366" s="156" t="str">
        <f>CHOOSE(Translations!$C$1+1,I366,J366,K366)</f>
        <v>Sistemas de información y redes de transporte de muestras integradas</v>
      </c>
      <c r="E366" s="156"/>
      <c r="F366" s="156"/>
      <c r="G366" s="156" t="s">
        <v>3976</v>
      </c>
      <c r="H366" s="156"/>
      <c r="I366" s="157" t="s">
        <v>3977</v>
      </c>
      <c r="J366" s="157" t="s">
        <v>3978</v>
      </c>
      <c r="K366" s="157" t="s">
        <v>3979</v>
      </c>
    </row>
    <row r="367" spans="2:11" ht="12" customHeight="1" x14ac:dyDescent="0.25">
      <c r="B367" s="157" t="s">
        <v>3985</v>
      </c>
      <c r="C367" s="156"/>
      <c r="D367" s="156" t="str">
        <f>CHOOSE(Translations!$C$1+1,I367,J367,K367)</f>
        <v>Sistemas de cadena de suministros para los laboratorios</v>
      </c>
      <c r="E367" s="156"/>
      <c r="F367" s="156"/>
      <c r="G367" s="156" t="s">
        <v>3986</v>
      </c>
      <c r="H367" s="156"/>
      <c r="I367" s="157" t="s">
        <v>3987</v>
      </c>
      <c r="J367" s="157" t="s">
        <v>3988</v>
      </c>
      <c r="K367" s="157" t="s">
        <v>3989</v>
      </c>
    </row>
    <row r="368" spans="2:11" ht="12" customHeight="1" x14ac:dyDescent="0.25">
      <c r="B368" s="157" t="s">
        <v>4000</v>
      </c>
      <c r="C368" s="156"/>
      <c r="D368" s="156" t="str">
        <f>CHOOSE(Translations!$C$1+1,I368,J368,K368)</f>
        <v>Financiación basada en los resultados</v>
      </c>
      <c r="E368" s="156"/>
      <c r="F368" s="156"/>
      <c r="G368" s="156" t="s">
        <v>4001</v>
      </c>
      <c r="H368" s="156"/>
      <c r="I368" s="157" t="s">
        <v>3002</v>
      </c>
      <c r="J368" s="157" t="s">
        <v>3005</v>
      </c>
      <c r="K368" s="157" t="s">
        <v>3006</v>
      </c>
    </row>
    <row r="369" spans="2:11" ht="12" customHeight="1" x14ac:dyDescent="0.25">
      <c r="B369" s="157" t="s">
        <v>4007</v>
      </c>
      <c r="C369" s="156"/>
      <c r="D369" s="156" t="str">
        <f>CHOOSE(Translations!$C$1+1,I369,J369,K369)</f>
        <v>Mitigación de riesgos para los programas de las enfermedades</v>
      </c>
      <c r="E369" s="156"/>
      <c r="F369" s="156"/>
      <c r="G369" s="156" t="s">
        <v>4008</v>
      </c>
      <c r="H369" s="156"/>
      <c r="I369" s="157" t="s">
        <v>4009</v>
      </c>
      <c r="J369" s="157" t="s">
        <v>4010</v>
      </c>
      <c r="K369" s="157" t="s">
        <v>4011</v>
      </c>
    </row>
  </sheetData>
  <dataValidations count="3">
    <dataValidation type="custom" allowBlank="1" showInputMessage="1" showErrorMessage="1" errorTitle="X-Author for Excel" error="Id and Lookup fields are not editable." promptTitle="X-Author for Excel" sqref="G167:G243 G6:G20 G26:G113 F118:G161 G250:G369" xr:uid="{00000000-0002-0000-0E00-000000000000}">
      <formula1>""</formula1>
    </dataValidation>
    <dataValidation type="list" allowBlank="1" showInputMessage="1" showErrorMessage="1" errorTitle="X-Author for Excel" error="Please select a value from the drop-down." promptTitle="X-Author for Excel" sqref="H6:H20 H26:H113" xr:uid="{C4E4E3EA-5528-4E56-80AD-F9E807C9DA06}">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67:H243" xr:uid="{3B607FE8-E3DB-4AAC-8293-2596DB769B5C}">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dimension ref="A1:S384"/>
  <sheetViews>
    <sheetView zoomScale="85" zoomScaleNormal="85" workbookViewId="0">
      <selection activeCell="I3" sqref="I3"/>
    </sheetView>
  </sheetViews>
  <sheetFormatPr defaultColWidth="8.58203125" defaultRowHeight="12.5" x14ac:dyDescent="0.25"/>
  <cols>
    <col min="1" max="1" width="18.58203125" style="1" customWidth="1"/>
    <col min="2" max="2" width="43.08203125" style="1" customWidth="1"/>
    <col min="3" max="3" width="8.58203125" style="1"/>
    <col min="4" max="4" width="40.08203125" style="1" customWidth="1"/>
    <col min="5" max="5" width="14.08203125" style="1" customWidth="1"/>
    <col min="6" max="6" width="19" style="1" customWidth="1"/>
    <col min="7" max="7" width="8.58203125" style="1"/>
    <col min="8" max="8" width="37.58203125" style="1" customWidth="1"/>
    <col min="9" max="9" width="22" style="1" customWidth="1"/>
    <col min="10" max="10" width="15" style="1" customWidth="1"/>
    <col min="11" max="11" width="13.5" style="1" customWidth="1"/>
    <col min="12" max="12" width="8.58203125" style="1"/>
    <col min="13" max="13" width="27" style="1" customWidth="1"/>
    <col min="14" max="14" width="26.58203125" style="1" customWidth="1"/>
    <col min="15" max="16384" width="8.58203125" style="1"/>
  </cols>
  <sheetData>
    <row r="1" spans="1:19" ht="13" x14ac:dyDescent="0.3">
      <c r="A1" s="2" t="s">
        <v>73</v>
      </c>
    </row>
    <row r="2" spans="1:19" x14ac:dyDescent="0.25">
      <c r="A2" s="156" t="s">
        <v>75</v>
      </c>
      <c r="B2" s="156" t="s">
        <v>448</v>
      </c>
      <c r="C2" s="156">
        <v>0</v>
      </c>
      <c r="D2" s="156" t="s">
        <v>83</v>
      </c>
      <c r="E2" s="156" t="s">
        <v>464</v>
      </c>
      <c r="F2" s="156" t="s">
        <v>465</v>
      </c>
      <c r="G2" s="156" t="s">
        <v>48</v>
      </c>
      <c r="H2" s="156" t="s">
        <v>366</v>
      </c>
      <c r="I2" s="156" t="s">
        <v>34</v>
      </c>
      <c r="J2" s="156" t="s">
        <v>457</v>
      </c>
      <c r="K2" s="156" t="s">
        <v>459</v>
      </c>
      <c r="L2" s="156"/>
      <c r="M2" s="156" t="s">
        <v>27</v>
      </c>
      <c r="N2" s="156" t="s">
        <v>461</v>
      </c>
      <c r="O2" s="156" t="s">
        <v>463</v>
      </c>
      <c r="P2" s="156"/>
      <c r="Q2" s="156" t="s">
        <v>43</v>
      </c>
      <c r="R2" s="156" t="s">
        <v>446</v>
      </c>
      <c r="S2" s="156" t="s">
        <v>444</v>
      </c>
    </row>
    <row r="3" spans="1:19" hidden="1" x14ac:dyDescent="0.25">
      <c r="A3" s="156" t="s">
        <v>74</v>
      </c>
      <c r="B3" s="156" t="str">
        <f>CHOOSE(Translations!$C$1+1,Q3,R3,S3)</f>
        <v>[Name - ES]</v>
      </c>
      <c r="C3" s="156">
        <f>IF(Q3=Q2,C2+1,0)</f>
        <v>0</v>
      </c>
      <c r="D3" s="156" t="str">
        <f>B3&amp;"-"&amp;C3</f>
        <v>[Name - ES]-0</v>
      </c>
      <c r="E3" s="156" t="str">
        <f>CHOOSE(Translations!$C$1+1,I3,J3,K3)</f>
        <v>[Category - ES]</v>
      </c>
      <c r="F3" s="156" t="str">
        <f>CHOOSE(Translations!$C$1+1,M3,N3,O3)</f>
        <v>[Disaggregation - ES]</v>
      </c>
      <c r="G3" s="156" t="s">
        <v>47</v>
      </c>
      <c r="H3" s="157" t="s">
        <v>365</v>
      </c>
      <c r="I3" s="157" t="s">
        <v>77</v>
      </c>
      <c r="J3" s="157" t="s">
        <v>456</v>
      </c>
      <c r="K3" s="157" t="s">
        <v>458</v>
      </c>
      <c r="L3" s="156"/>
      <c r="M3" s="157" t="s">
        <v>76</v>
      </c>
      <c r="N3" s="157" t="s">
        <v>460</v>
      </c>
      <c r="O3" s="157" t="s">
        <v>462</v>
      </c>
      <c r="P3" s="156"/>
      <c r="Q3" s="157" t="s">
        <v>66</v>
      </c>
      <c r="R3" s="157" t="s">
        <v>445</v>
      </c>
      <c r="S3" s="157" t="s">
        <v>443</v>
      </c>
    </row>
    <row r="4" spans="1:19" s="9" customFormat="1" x14ac:dyDescent="0.25">
      <c r="A4" s="156" t="s">
        <v>1421</v>
      </c>
      <c r="B4" s="156" t="str">
        <f>CHOOSE(Translations!$C$1+1,Q4,R4,S4)</f>
        <v>HIV I-13 Porcentaje de personas que viven con el VIH</v>
      </c>
      <c r="C4" s="156">
        <f t="shared" ref="C4:C65" si="0">IF(Q4=Q3,C3+1,0)</f>
        <v>0</v>
      </c>
      <c r="D4" s="156" t="str">
        <f t="shared" ref="D4:D65" si="1">B4&amp;"-"&amp;C4</f>
        <v>HIV I-13 Porcentaje de personas que viven con el VIH-0</v>
      </c>
      <c r="E4" s="156" t="str">
        <f>CHOOSE(Translations!$C$1+1,I4,J4,K4)</f>
        <v>Género | Edad</v>
      </c>
      <c r="F4" s="156" t="str">
        <f>CHOOSE(Translations!$C$1+1,M4,N4,O4)</f>
        <v>Mujeres 20-24</v>
      </c>
      <c r="G4" s="156" t="s">
        <v>1422</v>
      </c>
      <c r="H4" s="157" t="s">
        <v>1423</v>
      </c>
      <c r="I4" s="157" t="s">
        <v>1424</v>
      </c>
      <c r="J4" s="157" t="s">
        <v>1425</v>
      </c>
      <c r="K4" s="157" t="s">
        <v>1426</v>
      </c>
      <c r="L4" s="156"/>
      <c r="M4" s="157" t="s">
        <v>1427</v>
      </c>
      <c r="N4" s="157" t="s">
        <v>1428</v>
      </c>
      <c r="O4" s="157" t="s">
        <v>1429</v>
      </c>
      <c r="P4" s="156"/>
      <c r="Q4" s="157" t="s">
        <v>1430</v>
      </c>
      <c r="R4" s="157" t="s">
        <v>1431</v>
      </c>
      <c r="S4" s="157" t="s">
        <v>1432</v>
      </c>
    </row>
    <row r="5" spans="1:19" s="9" customFormat="1" x14ac:dyDescent="0.25">
      <c r="A5" s="156" t="s">
        <v>1421</v>
      </c>
      <c r="B5" s="156" t="str">
        <f>CHOOSE(Translations!$C$1+1,Q5,R5,S5)</f>
        <v>HIV I-13 Porcentaje de personas que viven con el VIH</v>
      </c>
      <c r="C5" s="156">
        <f t="shared" si="0"/>
        <v>1</v>
      </c>
      <c r="D5" s="156" t="str">
        <f t="shared" si="1"/>
        <v>HIV I-13 Porcentaje de personas que viven con el VIH-1</v>
      </c>
      <c r="E5" s="156" t="str">
        <f>CHOOSE(Translations!$C$1+1,I5,J5,K5)</f>
        <v>Género | Edad</v>
      </c>
      <c r="F5" s="156" t="str">
        <f>CHOOSE(Translations!$C$1+1,M5,N5,O5)</f>
        <v>Hombres 20-24</v>
      </c>
      <c r="G5" s="156" t="s">
        <v>1433</v>
      </c>
      <c r="H5" s="157" t="s">
        <v>1434</v>
      </c>
      <c r="I5" s="157" t="s">
        <v>1424</v>
      </c>
      <c r="J5" s="157" t="s">
        <v>1425</v>
      </c>
      <c r="K5" s="157" t="s">
        <v>1426</v>
      </c>
      <c r="L5" s="156"/>
      <c r="M5" s="157" t="s">
        <v>1435</v>
      </c>
      <c r="N5" s="157" t="s">
        <v>1436</v>
      </c>
      <c r="O5" s="157" t="s">
        <v>1437</v>
      </c>
      <c r="P5" s="156"/>
      <c r="Q5" s="157" t="s">
        <v>1430</v>
      </c>
      <c r="R5" s="157" t="s">
        <v>1431</v>
      </c>
      <c r="S5" s="157" t="s">
        <v>1432</v>
      </c>
    </row>
    <row r="6" spans="1:19" s="9" customFormat="1" x14ac:dyDescent="0.25">
      <c r="A6" s="156" t="s">
        <v>1421</v>
      </c>
      <c r="B6" s="156" t="str">
        <f>CHOOSE(Translations!$C$1+1,Q6,R6,S6)</f>
        <v>HIV I-13 Porcentaje de personas que viven con el VIH</v>
      </c>
      <c r="C6" s="156">
        <f t="shared" si="0"/>
        <v>2</v>
      </c>
      <c r="D6" s="156" t="str">
        <f t="shared" si="1"/>
        <v>HIV I-13 Porcentaje de personas que viven con el VIH-2</v>
      </c>
      <c r="E6" s="156" t="str">
        <f>CHOOSE(Translations!$C$1+1,I6,J6,K6)</f>
        <v>Género | Edad</v>
      </c>
      <c r="F6" s="156" t="str">
        <f>CHOOSE(Translations!$C$1+1,M6,N6,O6)</f>
        <v>Mujeres 15-19</v>
      </c>
      <c r="G6" s="156" t="s">
        <v>1438</v>
      </c>
      <c r="H6" s="157" t="s">
        <v>1439</v>
      </c>
      <c r="I6" s="157" t="s">
        <v>1424</v>
      </c>
      <c r="J6" s="157" t="s">
        <v>1425</v>
      </c>
      <c r="K6" s="157" t="s">
        <v>1426</v>
      </c>
      <c r="L6" s="156"/>
      <c r="M6" s="157" t="s">
        <v>1440</v>
      </c>
      <c r="N6" s="157" t="s">
        <v>1441</v>
      </c>
      <c r="O6" s="157" t="s">
        <v>1442</v>
      </c>
      <c r="P6" s="156"/>
      <c r="Q6" s="157" t="s">
        <v>1430</v>
      </c>
      <c r="R6" s="157" t="s">
        <v>1431</v>
      </c>
      <c r="S6" s="157" t="s">
        <v>1432</v>
      </c>
    </row>
    <row r="7" spans="1:19" s="9" customFormat="1" x14ac:dyDescent="0.25">
      <c r="A7" s="156" t="s">
        <v>1421</v>
      </c>
      <c r="B7" s="156" t="str">
        <f>CHOOSE(Translations!$C$1+1,Q7,R7,S7)</f>
        <v>HIV I-13 Porcentaje de personas que viven con el VIH</v>
      </c>
      <c r="C7" s="156">
        <f t="shared" si="0"/>
        <v>3</v>
      </c>
      <c r="D7" s="156" t="str">
        <f t="shared" si="1"/>
        <v>HIV I-13 Porcentaje de personas que viven con el VIH-3</v>
      </c>
      <c r="E7" s="156" t="str">
        <f>CHOOSE(Translations!$C$1+1,I7,J7,K7)</f>
        <v>Género | Edad</v>
      </c>
      <c r="F7" s="156" t="str">
        <f>CHOOSE(Translations!$C$1+1,M7,N7,O7)</f>
        <v>Hombres 15-19</v>
      </c>
      <c r="G7" s="156" t="s">
        <v>1443</v>
      </c>
      <c r="H7" s="157" t="s">
        <v>1444</v>
      </c>
      <c r="I7" s="157" t="s">
        <v>1424</v>
      </c>
      <c r="J7" s="157" t="s">
        <v>1425</v>
      </c>
      <c r="K7" s="157" t="s">
        <v>1426</v>
      </c>
      <c r="L7" s="156"/>
      <c r="M7" s="157" t="s">
        <v>1445</v>
      </c>
      <c r="N7" s="157" t="s">
        <v>1446</v>
      </c>
      <c r="O7" s="157" t="s">
        <v>1447</v>
      </c>
      <c r="P7" s="156"/>
      <c r="Q7" s="157" t="s">
        <v>1430</v>
      </c>
      <c r="R7" s="157" t="s">
        <v>1431</v>
      </c>
      <c r="S7" s="157" t="s">
        <v>1432</v>
      </c>
    </row>
    <row r="8" spans="1:19" s="9" customFormat="1" x14ac:dyDescent="0.25">
      <c r="A8" s="156" t="s">
        <v>1421</v>
      </c>
      <c r="B8" s="156" t="str">
        <f>CHOOSE(Translations!$C$1+1,Q8,R8,S8)</f>
        <v>HIV I-13 Porcentaje de personas que viven con el VIH</v>
      </c>
      <c r="C8" s="156">
        <f t="shared" si="0"/>
        <v>4</v>
      </c>
      <c r="D8" s="156" t="str">
        <f t="shared" si="1"/>
        <v>HIV I-13 Porcentaje de personas que viven con el VIH-4</v>
      </c>
      <c r="E8" s="156" t="str">
        <f>CHOOSE(Translations!$C$1+1,I8,J8,K8)</f>
        <v>Género</v>
      </c>
      <c r="F8" s="156" t="str">
        <f>CHOOSE(Translations!$C$1+1,M8,N8,O8)</f>
        <v>Mujeres</v>
      </c>
      <c r="G8" s="156" t="s">
        <v>1448</v>
      </c>
      <c r="H8" s="157" t="s">
        <v>1449</v>
      </c>
      <c r="I8" s="157" t="s">
        <v>1450</v>
      </c>
      <c r="J8" s="157" t="s">
        <v>1451</v>
      </c>
      <c r="K8" s="157" t="s">
        <v>1452</v>
      </c>
      <c r="L8" s="156"/>
      <c r="M8" s="157" t="s">
        <v>1453</v>
      </c>
      <c r="N8" s="157" t="s">
        <v>1454</v>
      </c>
      <c r="O8" s="157" t="s">
        <v>1455</v>
      </c>
      <c r="P8" s="156"/>
      <c r="Q8" s="157" t="s">
        <v>1430</v>
      </c>
      <c r="R8" s="157" t="s">
        <v>1431</v>
      </c>
      <c r="S8" s="157" t="s">
        <v>1432</v>
      </c>
    </row>
    <row r="9" spans="1:19" s="9" customFormat="1" x14ac:dyDescent="0.25">
      <c r="A9" s="156" t="s">
        <v>1421</v>
      </c>
      <c r="B9" s="156" t="str">
        <f>CHOOSE(Translations!$C$1+1,Q9,R9,S9)</f>
        <v>HIV I-13 Porcentaje de personas que viven con el VIH</v>
      </c>
      <c r="C9" s="156">
        <f t="shared" si="0"/>
        <v>5</v>
      </c>
      <c r="D9" s="156" t="str">
        <f t="shared" si="1"/>
        <v>HIV I-13 Porcentaje de personas que viven con el VIH-5</v>
      </c>
      <c r="E9" s="156" t="str">
        <f>CHOOSE(Translations!$C$1+1,I9,J9,K9)</f>
        <v>Género</v>
      </c>
      <c r="F9" s="156" t="str">
        <f>CHOOSE(Translations!$C$1+1,M9,N9,O9)</f>
        <v>Hombres</v>
      </c>
      <c r="G9" s="156" t="s">
        <v>1456</v>
      </c>
      <c r="H9" s="157" t="s">
        <v>1457</v>
      </c>
      <c r="I9" s="157" t="s">
        <v>1450</v>
      </c>
      <c r="J9" s="157" t="s">
        <v>1451</v>
      </c>
      <c r="K9" s="157" t="s">
        <v>1452</v>
      </c>
      <c r="L9" s="156"/>
      <c r="M9" s="157" t="s">
        <v>1458</v>
      </c>
      <c r="N9" s="157" t="s">
        <v>1459</v>
      </c>
      <c r="O9" s="157" t="s">
        <v>1460</v>
      </c>
      <c r="P9" s="156"/>
      <c r="Q9" s="157" t="s">
        <v>1430</v>
      </c>
      <c r="R9" s="157" t="s">
        <v>1431</v>
      </c>
      <c r="S9" s="157" t="s">
        <v>1432</v>
      </c>
    </row>
    <row r="10" spans="1:19" s="9" customFormat="1" x14ac:dyDescent="0.25">
      <c r="A10" s="156" t="s">
        <v>1421</v>
      </c>
      <c r="B10" s="156" t="str">
        <f>CHOOSE(Translations!$C$1+1,Q10,R10,S10)</f>
        <v>HIV I-13 Porcentaje de personas que viven con el VIH</v>
      </c>
      <c r="C10" s="156">
        <f t="shared" si="0"/>
        <v>6</v>
      </c>
      <c r="D10" s="156" t="str">
        <f t="shared" si="1"/>
        <v>HIV I-13 Porcentaje de personas que viven con el VIH-6</v>
      </c>
      <c r="E10" s="156" t="str">
        <f>CHOOSE(Translations!$C$1+1,I10,J10,K10)</f>
        <v>Edad</v>
      </c>
      <c r="F10" s="156" t="str">
        <f>CHOOSE(Translations!$C$1+1,M10,N10,O10)</f>
        <v>15+</v>
      </c>
      <c r="G10" s="156" t="s">
        <v>1461</v>
      </c>
      <c r="H10" s="157" t="s">
        <v>1462</v>
      </c>
      <c r="I10" s="157" t="s">
        <v>1463</v>
      </c>
      <c r="J10" s="157" t="s">
        <v>1463</v>
      </c>
      <c r="K10" s="157" t="s">
        <v>1464</v>
      </c>
      <c r="L10" s="156"/>
      <c r="M10" s="157" t="s">
        <v>1465</v>
      </c>
      <c r="N10" s="157" t="s">
        <v>1465</v>
      </c>
      <c r="O10" s="157" t="s">
        <v>1465</v>
      </c>
      <c r="P10" s="156"/>
      <c r="Q10" s="157" t="s">
        <v>1430</v>
      </c>
      <c r="R10" s="157" t="s">
        <v>1431</v>
      </c>
      <c r="S10" s="157" t="s">
        <v>1432</v>
      </c>
    </row>
    <row r="11" spans="1:19" s="9" customFormat="1" x14ac:dyDescent="0.25">
      <c r="A11" s="156" t="s">
        <v>1421</v>
      </c>
      <c r="B11" s="156" t="str">
        <f>CHOOSE(Translations!$C$1+1,Q11,R11,S11)</f>
        <v>HIV I-13 Porcentaje de personas que viven con el VIH</v>
      </c>
      <c r="C11" s="156">
        <f t="shared" si="0"/>
        <v>7</v>
      </c>
      <c r="D11" s="156" t="str">
        <f t="shared" si="1"/>
        <v>HIV I-13 Porcentaje de personas que viven con el VIH-7</v>
      </c>
      <c r="E11" s="156" t="str">
        <f>CHOOSE(Translations!$C$1+1,I11,J11,K11)</f>
        <v>Edad</v>
      </c>
      <c r="F11" s="156" t="str">
        <f>CHOOSE(Translations!$C$1+1,M11,N11,O11)</f>
        <v>&lt;15</v>
      </c>
      <c r="G11" s="156" t="s">
        <v>1466</v>
      </c>
      <c r="H11" s="157" t="s">
        <v>1467</v>
      </c>
      <c r="I11" s="157" t="s">
        <v>1463</v>
      </c>
      <c r="J11" s="157" t="s">
        <v>1463</v>
      </c>
      <c r="K11" s="157" t="s">
        <v>1464</v>
      </c>
      <c r="L11" s="156"/>
      <c r="M11" s="157" t="s">
        <v>1468</v>
      </c>
      <c r="N11" s="157" t="s">
        <v>1468</v>
      </c>
      <c r="O11" s="157" t="s">
        <v>1468</v>
      </c>
      <c r="P11" s="156"/>
      <c r="Q11" s="157" t="s">
        <v>1430</v>
      </c>
      <c r="R11" s="157" t="s">
        <v>1431</v>
      </c>
      <c r="S11" s="157" t="s">
        <v>1432</v>
      </c>
    </row>
    <row r="12" spans="1:19" s="9" customFormat="1" x14ac:dyDescent="0.25">
      <c r="A12" s="156" t="s">
        <v>1469</v>
      </c>
      <c r="B12" s="156" t="str">
        <f>CHOOSE(Translations!$C$1+1,Q12,R12,S12)</f>
        <v>HIV I-14 Número de infecciones nuevas de VIH por 1.000 habitantes no infectados</v>
      </c>
      <c r="C12" s="156">
        <f t="shared" si="0"/>
        <v>0</v>
      </c>
      <c r="D12" s="156" t="str">
        <f t="shared" si="1"/>
        <v>HIV I-14 Número de infecciones nuevas de VIH por 1.000 habitantes no infectados-0</v>
      </c>
      <c r="E12" s="156" t="str">
        <f>CHOOSE(Translations!$C$1+1,I12,J12,K12)</f>
        <v>Género | Edad</v>
      </c>
      <c r="F12" s="156" t="str">
        <f>CHOOSE(Translations!$C$1+1,M12,N12,O12)</f>
        <v>Mujeres 20-24</v>
      </c>
      <c r="G12" s="156" t="s">
        <v>1470</v>
      </c>
      <c r="H12" s="157" t="s">
        <v>1471</v>
      </c>
      <c r="I12" s="157" t="s">
        <v>1424</v>
      </c>
      <c r="J12" s="157" t="s">
        <v>1425</v>
      </c>
      <c r="K12" s="157" t="s">
        <v>1426</v>
      </c>
      <c r="L12" s="156"/>
      <c r="M12" s="157" t="s">
        <v>1427</v>
      </c>
      <c r="N12" s="157" t="s">
        <v>1428</v>
      </c>
      <c r="O12" s="157" t="s">
        <v>1429</v>
      </c>
      <c r="P12" s="156"/>
      <c r="Q12" s="157" t="s">
        <v>1472</v>
      </c>
      <c r="R12" s="157" t="s">
        <v>1473</v>
      </c>
      <c r="S12" s="157" t="s">
        <v>1474</v>
      </c>
    </row>
    <row r="13" spans="1:19" s="9" customFormat="1" x14ac:dyDescent="0.25">
      <c r="A13" s="156" t="s">
        <v>1469</v>
      </c>
      <c r="B13" s="156" t="str">
        <f>CHOOSE(Translations!$C$1+1,Q13,R13,S13)</f>
        <v>HIV I-14 Número de infecciones nuevas de VIH por 1.000 habitantes no infectados</v>
      </c>
      <c r="C13" s="156">
        <f t="shared" si="0"/>
        <v>1</v>
      </c>
      <c r="D13" s="156" t="str">
        <f t="shared" si="1"/>
        <v>HIV I-14 Número de infecciones nuevas de VIH por 1.000 habitantes no infectados-1</v>
      </c>
      <c r="E13" s="156" t="str">
        <f>CHOOSE(Translations!$C$1+1,I13,J13,K13)</f>
        <v>Género | Edad</v>
      </c>
      <c r="F13" s="156" t="str">
        <f>CHOOSE(Translations!$C$1+1,M13,N13,O13)</f>
        <v>Hombres 20-24</v>
      </c>
      <c r="G13" s="156" t="s">
        <v>1475</v>
      </c>
      <c r="H13" s="157" t="s">
        <v>1476</v>
      </c>
      <c r="I13" s="157" t="s">
        <v>1424</v>
      </c>
      <c r="J13" s="157" t="s">
        <v>1425</v>
      </c>
      <c r="K13" s="157" t="s">
        <v>1426</v>
      </c>
      <c r="L13" s="156"/>
      <c r="M13" s="157" t="s">
        <v>1435</v>
      </c>
      <c r="N13" s="157" t="s">
        <v>1436</v>
      </c>
      <c r="O13" s="157" t="s">
        <v>1437</v>
      </c>
      <c r="P13" s="156"/>
      <c r="Q13" s="157" t="s">
        <v>1472</v>
      </c>
      <c r="R13" s="157" t="s">
        <v>1473</v>
      </c>
      <c r="S13" s="157" t="s">
        <v>1474</v>
      </c>
    </row>
    <row r="14" spans="1:19" s="9" customFormat="1" x14ac:dyDescent="0.25">
      <c r="A14" s="156" t="s">
        <v>1469</v>
      </c>
      <c r="B14" s="156" t="str">
        <f>CHOOSE(Translations!$C$1+1,Q14,R14,S14)</f>
        <v>HIV I-14 Número de infecciones nuevas de VIH por 1.000 habitantes no infectados</v>
      </c>
      <c r="C14" s="156">
        <f t="shared" si="0"/>
        <v>2</v>
      </c>
      <c r="D14" s="156" t="str">
        <f t="shared" si="1"/>
        <v>HIV I-14 Número de infecciones nuevas de VIH por 1.000 habitantes no infectados-2</v>
      </c>
      <c r="E14" s="156" t="str">
        <f>CHOOSE(Translations!$C$1+1,I14,J14,K14)</f>
        <v>Género | Edad</v>
      </c>
      <c r="F14" s="156" t="str">
        <f>CHOOSE(Translations!$C$1+1,M14,N14,O14)</f>
        <v>Mujeres 15-19</v>
      </c>
      <c r="G14" s="156" t="s">
        <v>1477</v>
      </c>
      <c r="H14" s="157" t="s">
        <v>1478</v>
      </c>
      <c r="I14" s="157" t="s">
        <v>1424</v>
      </c>
      <c r="J14" s="157" t="s">
        <v>1425</v>
      </c>
      <c r="K14" s="157" t="s">
        <v>1426</v>
      </c>
      <c r="L14" s="156"/>
      <c r="M14" s="157" t="s">
        <v>1440</v>
      </c>
      <c r="N14" s="157" t="s">
        <v>1441</v>
      </c>
      <c r="O14" s="157" t="s">
        <v>1442</v>
      </c>
      <c r="P14" s="156"/>
      <c r="Q14" s="157" t="s">
        <v>1472</v>
      </c>
      <c r="R14" s="157" t="s">
        <v>1473</v>
      </c>
      <c r="S14" s="157" t="s">
        <v>1474</v>
      </c>
    </row>
    <row r="15" spans="1:19" s="9" customFormat="1" x14ac:dyDescent="0.25">
      <c r="A15" s="156" t="s">
        <v>1469</v>
      </c>
      <c r="B15" s="156" t="str">
        <f>CHOOSE(Translations!$C$1+1,Q15,R15,S15)</f>
        <v>HIV I-14 Número de infecciones nuevas de VIH por 1.000 habitantes no infectados</v>
      </c>
      <c r="C15" s="156">
        <f t="shared" si="0"/>
        <v>3</v>
      </c>
      <c r="D15" s="156" t="str">
        <f t="shared" si="1"/>
        <v>HIV I-14 Número de infecciones nuevas de VIH por 1.000 habitantes no infectados-3</v>
      </c>
      <c r="E15" s="156" t="str">
        <f>CHOOSE(Translations!$C$1+1,I15,J15,K15)</f>
        <v>Género | Edad</v>
      </c>
      <c r="F15" s="156" t="str">
        <f>CHOOSE(Translations!$C$1+1,M15,N15,O15)</f>
        <v>Hombres 15-19</v>
      </c>
      <c r="G15" s="156" t="s">
        <v>1479</v>
      </c>
      <c r="H15" s="157" t="s">
        <v>1480</v>
      </c>
      <c r="I15" s="157" t="s">
        <v>1424</v>
      </c>
      <c r="J15" s="157" t="s">
        <v>1425</v>
      </c>
      <c r="K15" s="157" t="s">
        <v>1426</v>
      </c>
      <c r="L15" s="156"/>
      <c r="M15" s="157" t="s">
        <v>1445</v>
      </c>
      <c r="N15" s="157" t="s">
        <v>1446</v>
      </c>
      <c r="O15" s="157" t="s">
        <v>1447</v>
      </c>
      <c r="P15" s="156"/>
      <c r="Q15" s="157" t="s">
        <v>1472</v>
      </c>
      <c r="R15" s="157" t="s">
        <v>1473</v>
      </c>
      <c r="S15" s="157" t="s">
        <v>1474</v>
      </c>
    </row>
    <row r="16" spans="1:19" s="9" customFormat="1" x14ac:dyDescent="0.25">
      <c r="A16" s="156" t="s">
        <v>1469</v>
      </c>
      <c r="B16" s="156" t="str">
        <f>CHOOSE(Translations!$C$1+1,Q16,R16,S16)</f>
        <v>HIV I-14 Número de infecciones nuevas de VIH por 1.000 habitantes no infectados</v>
      </c>
      <c r="C16" s="156">
        <f t="shared" si="0"/>
        <v>4</v>
      </c>
      <c r="D16" s="156" t="str">
        <f t="shared" si="1"/>
        <v>HIV I-14 Número de infecciones nuevas de VIH por 1.000 habitantes no infectados-4</v>
      </c>
      <c r="E16" s="156" t="str">
        <f>CHOOSE(Translations!$C$1+1,I16,J16,K16)</f>
        <v>Género</v>
      </c>
      <c r="F16" s="156" t="str">
        <f>CHOOSE(Translations!$C$1+1,M16,N16,O16)</f>
        <v>Mujeres</v>
      </c>
      <c r="G16" s="156" t="s">
        <v>1481</v>
      </c>
      <c r="H16" s="157" t="s">
        <v>1482</v>
      </c>
      <c r="I16" s="157" t="s">
        <v>1450</v>
      </c>
      <c r="J16" s="157" t="s">
        <v>1451</v>
      </c>
      <c r="K16" s="157" t="s">
        <v>1452</v>
      </c>
      <c r="L16" s="156"/>
      <c r="M16" s="157" t="s">
        <v>1453</v>
      </c>
      <c r="N16" s="157" t="s">
        <v>1454</v>
      </c>
      <c r="O16" s="157" t="s">
        <v>1455</v>
      </c>
      <c r="P16" s="156"/>
      <c r="Q16" s="157" t="s">
        <v>1472</v>
      </c>
      <c r="R16" s="157" t="s">
        <v>1473</v>
      </c>
      <c r="S16" s="157" t="s">
        <v>1474</v>
      </c>
    </row>
    <row r="17" spans="1:19" s="9" customFormat="1" x14ac:dyDescent="0.25">
      <c r="A17" s="156" t="s">
        <v>1469</v>
      </c>
      <c r="B17" s="156" t="str">
        <f>CHOOSE(Translations!$C$1+1,Q17,R17,S17)</f>
        <v>HIV I-14 Número de infecciones nuevas de VIH por 1.000 habitantes no infectados</v>
      </c>
      <c r="C17" s="156">
        <f t="shared" si="0"/>
        <v>5</v>
      </c>
      <c r="D17" s="156" t="str">
        <f t="shared" si="1"/>
        <v>HIV I-14 Número de infecciones nuevas de VIH por 1.000 habitantes no infectados-5</v>
      </c>
      <c r="E17" s="156" t="str">
        <f>CHOOSE(Translations!$C$1+1,I17,J17,K17)</f>
        <v>Género</v>
      </c>
      <c r="F17" s="156" t="str">
        <f>CHOOSE(Translations!$C$1+1,M17,N17,O17)</f>
        <v>Hombres</v>
      </c>
      <c r="G17" s="156" t="s">
        <v>1483</v>
      </c>
      <c r="H17" s="157" t="s">
        <v>1484</v>
      </c>
      <c r="I17" s="157" t="s">
        <v>1450</v>
      </c>
      <c r="J17" s="157" t="s">
        <v>1451</v>
      </c>
      <c r="K17" s="157" t="s">
        <v>1452</v>
      </c>
      <c r="L17" s="156"/>
      <c r="M17" s="157" t="s">
        <v>1458</v>
      </c>
      <c r="N17" s="157" t="s">
        <v>1459</v>
      </c>
      <c r="O17" s="157" t="s">
        <v>1460</v>
      </c>
      <c r="P17" s="156"/>
      <c r="Q17" s="157" t="s">
        <v>1472</v>
      </c>
      <c r="R17" s="157" t="s">
        <v>1473</v>
      </c>
      <c r="S17" s="157" t="s">
        <v>1474</v>
      </c>
    </row>
    <row r="18" spans="1:19" s="9" customFormat="1" x14ac:dyDescent="0.25">
      <c r="A18" s="156" t="s">
        <v>1469</v>
      </c>
      <c r="B18" s="156" t="str">
        <f>CHOOSE(Translations!$C$1+1,Q18,R18,S18)</f>
        <v>HIV I-14 Número de infecciones nuevas de VIH por 1.000 habitantes no infectados</v>
      </c>
      <c r="C18" s="156">
        <f t="shared" si="0"/>
        <v>6</v>
      </c>
      <c r="D18" s="156" t="str">
        <f t="shared" si="1"/>
        <v>HIV I-14 Número de infecciones nuevas de VIH por 1.000 habitantes no infectados-6</v>
      </c>
      <c r="E18" s="156" t="str">
        <f>CHOOSE(Translations!$C$1+1,I18,J18,K18)</f>
        <v>Edad</v>
      </c>
      <c r="F18" s="156" t="str">
        <f>CHOOSE(Translations!$C$1+1,M18,N18,O18)</f>
        <v>15+</v>
      </c>
      <c r="G18" s="156" t="s">
        <v>1485</v>
      </c>
      <c r="H18" s="157" t="s">
        <v>1486</v>
      </c>
      <c r="I18" s="157" t="s">
        <v>1463</v>
      </c>
      <c r="J18" s="157" t="s">
        <v>1463</v>
      </c>
      <c r="K18" s="157" t="s">
        <v>1464</v>
      </c>
      <c r="L18" s="156"/>
      <c r="M18" s="157" t="s">
        <v>1465</v>
      </c>
      <c r="N18" s="157" t="s">
        <v>1465</v>
      </c>
      <c r="O18" s="157" t="s">
        <v>1465</v>
      </c>
      <c r="P18" s="156"/>
      <c r="Q18" s="157" t="s">
        <v>1472</v>
      </c>
      <c r="R18" s="157" t="s">
        <v>1473</v>
      </c>
      <c r="S18" s="157" t="s">
        <v>1474</v>
      </c>
    </row>
    <row r="19" spans="1:19" s="9" customFormat="1" x14ac:dyDescent="0.25">
      <c r="A19" s="156" t="s">
        <v>1469</v>
      </c>
      <c r="B19" s="156" t="str">
        <f>CHOOSE(Translations!$C$1+1,Q19,R19,S19)</f>
        <v>HIV I-14 Número de infecciones nuevas de VIH por 1.000 habitantes no infectados</v>
      </c>
      <c r="C19" s="156">
        <f t="shared" si="0"/>
        <v>7</v>
      </c>
      <c r="D19" s="156" t="str">
        <f t="shared" si="1"/>
        <v>HIV I-14 Número de infecciones nuevas de VIH por 1.000 habitantes no infectados-7</v>
      </c>
      <c r="E19" s="156" t="str">
        <f>CHOOSE(Translations!$C$1+1,I19,J19,K19)</f>
        <v>Edad</v>
      </c>
      <c r="F19" s="156" t="str">
        <f>CHOOSE(Translations!$C$1+1,M19,N19,O19)</f>
        <v>&lt;15</v>
      </c>
      <c r="G19" s="156" t="s">
        <v>1487</v>
      </c>
      <c r="H19" s="157" t="s">
        <v>1488</v>
      </c>
      <c r="I19" s="157" t="s">
        <v>1463</v>
      </c>
      <c r="J19" s="157" t="s">
        <v>1463</v>
      </c>
      <c r="K19" s="157" t="s">
        <v>1464</v>
      </c>
      <c r="L19" s="156"/>
      <c r="M19" s="157" t="s">
        <v>1468</v>
      </c>
      <c r="N19" s="157" t="s">
        <v>1468</v>
      </c>
      <c r="O19" s="157" t="s">
        <v>1468</v>
      </c>
      <c r="P19" s="156"/>
      <c r="Q19" s="157" t="s">
        <v>1472</v>
      </c>
      <c r="R19" s="157" t="s">
        <v>1473</v>
      </c>
      <c r="S19" s="157" t="s">
        <v>1474</v>
      </c>
    </row>
    <row r="20" spans="1:19" s="9" customFormat="1" x14ac:dyDescent="0.25">
      <c r="A20" s="156" t="s">
        <v>1489</v>
      </c>
      <c r="B20" s="156" t="str">
        <f>CHOOSE(Translations!$C$1+1,Q20,R20,S20)</f>
        <v>HIV I-4 Número de muertes relacionadas con el sida por cada 100.000 habitantes</v>
      </c>
      <c r="C20" s="156">
        <f t="shared" si="0"/>
        <v>0</v>
      </c>
      <c r="D20" s="156" t="str">
        <f t="shared" si="1"/>
        <v>HIV I-4 Número de muertes relacionadas con el sida por cada 100.000 habitantes-0</v>
      </c>
      <c r="E20" s="156" t="str">
        <f>CHOOSE(Translations!$C$1+1,I20,J20,K20)</f>
        <v>Género | Edad</v>
      </c>
      <c r="F20" s="156" t="str">
        <f>CHOOSE(Translations!$C$1+1,M20,N20,O20)</f>
        <v>Mujeres 20-24</v>
      </c>
      <c r="G20" s="156" t="s">
        <v>1490</v>
      </c>
      <c r="H20" s="157" t="s">
        <v>1491</v>
      </c>
      <c r="I20" s="157" t="s">
        <v>1424</v>
      </c>
      <c r="J20" s="157" t="s">
        <v>1425</v>
      </c>
      <c r="K20" s="157" t="s">
        <v>1426</v>
      </c>
      <c r="L20" s="156"/>
      <c r="M20" s="157" t="s">
        <v>1427</v>
      </c>
      <c r="N20" s="157" t="s">
        <v>1428</v>
      </c>
      <c r="O20" s="157" t="s">
        <v>1429</v>
      </c>
      <c r="P20" s="156"/>
      <c r="Q20" s="157" t="s">
        <v>1492</v>
      </c>
      <c r="R20" s="157" t="s">
        <v>1493</v>
      </c>
      <c r="S20" s="157" t="s">
        <v>1494</v>
      </c>
    </row>
    <row r="21" spans="1:19" s="9" customFormat="1" x14ac:dyDescent="0.25">
      <c r="A21" s="156" t="s">
        <v>1489</v>
      </c>
      <c r="B21" s="156" t="str">
        <f>CHOOSE(Translations!$C$1+1,Q21,R21,S21)</f>
        <v>HIV I-4 Número de muertes relacionadas con el sida por cada 100.000 habitantes</v>
      </c>
      <c r="C21" s="156">
        <f t="shared" si="0"/>
        <v>1</v>
      </c>
      <c r="D21" s="156" t="str">
        <f t="shared" si="1"/>
        <v>HIV I-4 Número de muertes relacionadas con el sida por cada 100.000 habitantes-1</v>
      </c>
      <c r="E21" s="156" t="str">
        <f>CHOOSE(Translations!$C$1+1,I21,J21,K21)</f>
        <v>Género | Edad</v>
      </c>
      <c r="F21" s="156" t="str">
        <f>CHOOSE(Translations!$C$1+1,M21,N21,O21)</f>
        <v>Hombres 20-24</v>
      </c>
      <c r="G21" s="156" t="s">
        <v>1495</v>
      </c>
      <c r="H21" s="157" t="s">
        <v>1496</v>
      </c>
      <c r="I21" s="157" t="s">
        <v>1424</v>
      </c>
      <c r="J21" s="157" t="s">
        <v>1425</v>
      </c>
      <c r="K21" s="157" t="s">
        <v>1426</v>
      </c>
      <c r="L21" s="156"/>
      <c r="M21" s="157" t="s">
        <v>1435</v>
      </c>
      <c r="N21" s="157" t="s">
        <v>1436</v>
      </c>
      <c r="O21" s="157" t="s">
        <v>1437</v>
      </c>
      <c r="P21" s="156"/>
      <c r="Q21" s="157" t="s">
        <v>1492</v>
      </c>
      <c r="R21" s="157" t="s">
        <v>1493</v>
      </c>
      <c r="S21" s="157" t="s">
        <v>1494</v>
      </c>
    </row>
    <row r="22" spans="1:19" s="9" customFormat="1" x14ac:dyDescent="0.25">
      <c r="A22" s="156" t="s">
        <v>1489</v>
      </c>
      <c r="B22" s="156" t="str">
        <f>CHOOSE(Translations!$C$1+1,Q22,R22,S22)</f>
        <v>HIV I-4 Número de muertes relacionadas con el sida por cada 100.000 habitantes</v>
      </c>
      <c r="C22" s="156">
        <f t="shared" si="0"/>
        <v>2</v>
      </c>
      <c r="D22" s="156" t="str">
        <f t="shared" si="1"/>
        <v>HIV I-4 Número de muertes relacionadas con el sida por cada 100.000 habitantes-2</v>
      </c>
      <c r="E22" s="156" t="str">
        <f>CHOOSE(Translations!$C$1+1,I22,J22,K22)</f>
        <v>Género | Edad</v>
      </c>
      <c r="F22" s="156" t="str">
        <f>CHOOSE(Translations!$C$1+1,M22,N22,O22)</f>
        <v>Mujeres 15-19</v>
      </c>
      <c r="G22" s="156" t="s">
        <v>1497</v>
      </c>
      <c r="H22" s="157" t="s">
        <v>1498</v>
      </c>
      <c r="I22" s="157" t="s">
        <v>1424</v>
      </c>
      <c r="J22" s="157" t="s">
        <v>1425</v>
      </c>
      <c r="K22" s="157" t="s">
        <v>1426</v>
      </c>
      <c r="L22" s="156"/>
      <c r="M22" s="157" t="s">
        <v>1440</v>
      </c>
      <c r="N22" s="157" t="s">
        <v>1441</v>
      </c>
      <c r="O22" s="157" t="s">
        <v>1442</v>
      </c>
      <c r="P22" s="156"/>
      <c r="Q22" s="157" t="s">
        <v>1492</v>
      </c>
      <c r="R22" s="157" t="s">
        <v>1493</v>
      </c>
      <c r="S22" s="157" t="s">
        <v>1494</v>
      </c>
    </row>
    <row r="23" spans="1:19" s="9" customFormat="1" x14ac:dyDescent="0.25">
      <c r="A23" s="156" t="s">
        <v>1489</v>
      </c>
      <c r="B23" s="156" t="str">
        <f>CHOOSE(Translations!$C$1+1,Q23,R23,S23)</f>
        <v>HIV I-4 Número de muertes relacionadas con el sida por cada 100.000 habitantes</v>
      </c>
      <c r="C23" s="156">
        <f t="shared" si="0"/>
        <v>3</v>
      </c>
      <c r="D23" s="156" t="str">
        <f t="shared" si="1"/>
        <v>HIV I-4 Número de muertes relacionadas con el sida por cada 100.000 habitantes-3</v>
      </c>
      <c r="E23" s="156" t="str">
        <f>CHOOSE(Translations!$C$1+1,I23,J23,K23)</f>
        <v>Género | Edad</v>
      </c>
      <c r="F23" s="156" t="str">
        <f>CHOOSE(Translations!$C$1+1,M23,N23,O23)</f>
        <v>Hombres 15-19</v>
      </c>
      <c r="G23" s="156" t="s">
        <v>1499</v>
      </c>
      <c r="H23" s="157" t="s">
        <v>1500</v>
      </c>
      <c r="I23" s="157" t="s">
        <v>1424</v>
      </c>
      <c r="J23" s="157" t="s">
        <v>1425</v>
      </c>
      <c r="K23" s="157" t="s">
        <v>1426</v>
      </c>
      <c r="L23" s="156"/>
      <c r="M23" s="157" t="s">
        <v>1445</v>
      </c>
      <c r="N23" s="157" t="s">
        <v>1446</v>
      </c>
      <c r="O23" s="157" t="s">
        <v>1447</v>
      </c>
      <c r="P23" s="156"/>
      <c r="Q23" s="157" t="s">
        <v>1492</v>
      </c>
      <c r="R23" s="157" t="s">
        <v>1493</v>
      </c>
      <c r="S23" s="157" t="s">
        <v>1494</v>
      </c>
    </row>
    <row r="24" spans="1:19" s="9" customFormat="1" x14ac:dyDescent="0.25">
      <c r="A24" s="156" t="s">
        <v>1489</v>
      </c>
      <c r="B24" s="156" t="str">
        <f>CHOOSE(Translations!$C$1+1,Q24,R24,S24)</f>
        <v>HIV I-4 Número de muertes relacionadas con el sida por cada 100.000 habitantes</v>
      </c>
      <c r="C24" s="156">
        <f t="shared" si="0"/>
        <v>4</v>
      </c>
      <c r="D24" s="156" t="str">
        <f t="shared" si="1"/>
        <v>HIV I-4 Número de muertes relacionadas con el sida por cada 100.000 habitantes-4</v>
      </c>
      <c r="E24" s="156" t="str">
        <f>CHOOSE(Translations!$C$1+1,I24,J24,K24)</f>
        <v>Género</v>
      </c>
      <c r="F24" s="156" t="str">
        <f>CHOOSE(Translations!$C$1+1,M24,N24,O24)</f>
        <v>Mujeres</v>
      </c>
      <c r="G24" s="156" t="s">
        <v>1501</v>
      </c>
      <c r="H24" s="157" t="s">
        <v>1502</v>
      </c>
      <c r="I24" s="157" t="s">
        <v>1450</v>
      </c>
      <c r="J24" s="157" t="s">
        <v>1451</v>
      </c>
      <c r="K24" s="157" t="s">
        <v>1452</v>
      </c>
      <c r="L24" s="156"/>
      <c r="M24" s="157" t="s">
        <v>1453</v>
      </c>
      <c r="N24" s="157" t="s">
        <v>1454</v>
      </c>
      <c r="O24" s="157" t="s">
        <v>1455</v>
      </c>
      <c r="P24" s="156"/>
      <c r="Q24" s="157" t="s">
        <v>1492</v>
      </c>
      <c r="R24" s="157" t="s">
        <v>1493</v>
      </c>
      <c r="S24" s="157" t="s">
        <v>1494</v>
      </c>
    </row>
    <row r="25" spans="1:19" s="9" customFormat="1" x14ac:dyDescent="0.25">
      <c r="A25" s="156" t="s">
        <v>1489</v>
      </c>
      <c r="B25" s="156" t="str">
        <f>CHOOSE(Translations!$C$1+1,Q25,R25,S25)</f>
        <v>HIV I-4 Número de muertes relacionadas con el sida por cada 100.000 habitantes</v>
      </c>
      <c r="C25" s="156">
        <f t="shared" si="0"/>
        <v>5</v>
      </c>
      <c r="D25" s="156" t="str">
        <f t="shared" si="1"/>
        <v>HIV I-4 Número de muertes relacionadas con el sida por cada 100.000 habitantes-5</v>
      </c>
      <c r="E25" s="156" t="str">
        <f>CHOOSE(Translations!$C$1+1,I25,J25,K25)</f>
        <v>Género</v>
      </c>
      <c r="F25" s="156" t="str">
        <f>CHOOSE(Translations!$C$1+1,M25,N25,O25)</f>
        <v>Hombres</v>
      </c>
      <c r="G25" s="156" t="s">
        <v>1503</v>
      </c>
      <c r="H25" s="157" t="s">
        <v>1504</v>
      </c>
      <c r="I25" s="157" t="s">
        <v>1450</v>
      </c>
      <c r="J25" s="157" t="s">
        <v>1451</v>
      </c>
      <c r="K25" s="157" t="s">
        <v>1452</v>
      </c>
      <c r="L25" s="156"/>
      <c r="M25" s="157" t="s">
        <v>1458</v>
      </c>
      <c r="N25" s="157" t="s">
        <v>1459</v>
      </c>
      <c r="O25" s="157" t="s">
        <v>1460</v>
      </c>
      <c r="P25" s="156"/>
      <c r="Q25" s="157" t="s">
        <v>1492</v>
      </c>
      <c r="R25" s="157" t="s">
        <v>1493</v>
      </c>
      <c r="S25" s="157" t="s">
        <v>1494</v>
      </c>
    </row>
    <row r="26" spans="1:19" s="9" customFormat="1" x14ac:dyDescent="0.25">
      <c r="A26" s="156" t="s">
        <v>1489</v>
      </c>
      <c r="B26" s="156" t="str">
        <f>CHOOSE(Translations!$C$1+1,Q26,R26,S26)</f>
        <v>HIV I-4 Número de muertes relacionadas con el sida por cada 100.000 habitantes</v>
      </c>
      <c r="C26" s="156">
        <f t="shared" si="0"/>
        <v>6</v>
      </c>
      <c r="D26" s="156" t="str">
        <f t="shared" si="1"/>
        <v>HIV I-4 Número de muertes relacionadas con el sida por cada 100.000 habitantes-6</v>
      </c>
      <c r="E26" s="156" t="str">
        <f>CHOOSE(Translations!$C$1+1,I26,J26,K26)</f>
        <v>Edad</v>
      </c>
      <c r="F26" s="156" t="str">
        <f>CHOOSE(Translations!$C$1+1,M26,N26,O26)</f>
        <v>15+</v>
      </c>
      <c r="G26" s="156" t="s">
        <v>1505</v>
      </c>
      <c r="H26" s="157" t="s">
        <v>1506</v>
      </c>
      <c r="I26" s="157" t="s">
        <v>1463</v>
      </c>
      <c r="J26" s="157" t="s">
        <v>1463</v>
      </c>
      <c r="K26" s="157" t="s">
        <v>1464</v>
      </c>
      <c r="L26" s="156"/>
      <c r="M26" s="157" t="s">
        <v>1465</v>
      </c>
      <c r="N26" s="157" t="s">
        <v>1465</v>
      </c>
      <c r="O26" s="157" t="s">
        <v>1465</v>
      </c>
      <c r="P26" s="156"/>
      <c r="Q26" s="157" t="s">
        <v>1492</v>
      </c>
      <c r="R26" s="157" t="s">
        <v>1493</v>
      </c>
      <c r="S26" s="157" t="s">
        <v>1494</v>
      </c>
    </row>
    <row r="27" spans="1:19" s="9" customFormat="1" x14ac:dyDescent="0.25">
      <c r="A27" s="156" t="s">
        <v>1489</v>
      </c>
      <c r="B27" s="156" t="str">
        <f>CHOOSE(Translations!$C$1+1,Q27,R27,S27)</f>
        <v>HIV I-4 Número de muertes relacionadas con el sida por cada 100.000 habitantes</v>
      </c>
      <c r="C27" s="156">
        <f t="shared" si="0"/>
        <v>7</v>
      </c>
      <c r="D27" s="156" t="str">
        <f t="shared" si="1"/>
        <v>HIV I-4 Número de muertes relacionadas con el sida por cada 100.000 habitantes-7</v>
      </c>
      <c r="E27" s="156" t="str">
        <f>CHOOSE(Translations!$C$1+1,I27,J27,K27)</f>
        <v>Edad</v>
      </c>
      <c r="F27" s="156" t="str">
        <f>CHOOSE(Translations!$C$1+1,M27,N27,O27)</f>
        <v>5-14</v>
      </c>
      <c r="G27" s="156" t="s">
        <v>1507</v>
      </c>
      <c r="H27" s="157" t="s">
        <v>1508</v>
      </c>
      <c r="I27" s="157" t="s">
        <v>1463</v>
      </c>
      <c r="J27" s="157" t="s">
        <v>1463</v>
      </c>
      <c r="K27" s="157" t="s">
        <v>1464</v>
      </c>
      <c r="L27" s="156"/>
      <c r="M27" s="157" t="s">
        <v>1509</v>
      </c>
      <c r="N27" s="157" t="s">
        <v>1509</v>
      </c>
      <c r="O27" s="157" t="s">
        <v>1509</v>
      </c>
      <c r="P27" s="156"/>
      <c r="Q27" s="157" t="s">
        <v>1492</v>
      </c>
      <c r="R27" s="157" t="s">
        <v>1493</v>
      </c>
      <c r="S27" s="157" t="s">
        <v>1494</v>
      </c>
    </row>
    <row r="28" spans="1:19" s="9" customFormat="1" x14ac:dyDescent="0.25">
      <c r="A28" s="156" t="s">
        <v>1489</v>
      </c>
      <c r="B28" s="156" t="str">
        <f>CHOOSE(Translations!$C$1+1,Q28,R28,S28)</f>
        <v>HIV I-4 Número de muertes relacionadas con el sida por cada 100.000 habitantes</v>
      </c>
      <c r="C28" s="156">
        <f t="shared" si="0"/>
        <v>8</v>
      </c>
      <c r="D28" s="156" t="str">
        <f t="shared" si="1"/>
        <v>HIV I-4 Número de muertes relacionadas con el sida por cada 100.000 habitantes-8</v>
      </c>
      <c r="E28" s="156" t="str">
        <f>CHOOSE(Translations!$C$1+1,I28,J28,K28)</f>
        <v>Edad</v>
      </c>
      <c r="F28" s="156" t="str">
        <f>CHOOSE(Translations!$C$1+1,M28,N28,O28)</f>
        <v>&lt;5</v>
      </c>
      <c r="G28" s="156" t="s">
        <v>1510</v>
      </c>
      <c r="H28" s="157" t="s">
        <v>1511</v>
      </c>
      <c r="I28" s="157" t="s">
        <v>1463</v>
      </c>
      <c r="J28" s="157" t="s">
        <v>1463</v>
      </c>
      <c r="K28" s="157" t="s">
        <v>1464</v>
      </c>
      <c r="L28" s="156"/>
      <c r="M28" s="157" t="s">
        <v>1512</v>
      </c>
      <c r="N28" s="157" t="s">
        <v>1512</v>
      </c>
      <c r="O28" s="157" t="s">
        <v>1512</v>
      </c>
      <c r="P28" s="156"/>
      <c r="Q28" s="157" t="s">
        <v>1492</v>
      </c>
      <c r="R28" s="157" t="s">
        <v>1493</v>
      </c>
      <c r="S28" s="157" t="s">
        <v>1494</v>
      </c>
    </row>
    <row r="29" spans="1:19" s="9" customFormat="1" x14ac:dyDescent="0.25">
      <c r="A29" s="156" t="s">
        <v>1513</v>
      </c>
      <c r="B29" s="156" t="str">
        <f>CHOOSE(Translations!$C$1+1,Q29,R29,S29)</f>
        <v>HIV I-9a⁽ᴹ⁾ Porcentaje de HSH y viven con el VIH</v>
      </c>
      <c r="C29" s="156">
        <f t="shared" si="0"/>
        <v>0</v>
      </c>
      <c r="D29" s="156" t="str">
        <f t="shared" si="1"/>
        <v>HIV I-9a⁽ᴹ⁾ Porcentaje de HSH y viven con el VIH-0</v>
      </c>
      <c r="E29" s="156" t="str">
        <f>CHOOSE(Translations!$C$1+1,I29,J29,K29)</f>
        <v>Edad</v>
      </c>
      <c r="F29" s="156" t="str">
        <f>CHOOSE(Translations!$C$1+1,M29,N29,O29)</f>
        <v>25+</v>
      </c>
      <c r="G29" s="156" t="s">
        <v>1514</v>
      </c>
      <c r="H29" s="157" t="s">
        <v>1515</v>
      </c>
      <c r="I29" s="157" t="s">
        <v>1463</v>
      </c>
      <c r="J29" s="157" t="s">
        <v>1463</v>
      </c>
      <c r="K29" s="157" t="s">
        <v>1464</v>
      </c>
      <c r="L29" s="156"/>
      <c r="M29" s="157" t="s">
        <v>1516</v>
      </c>
      <c r="N29" s="157" t="s">
        <v>1516</v>
      </c>
      <c r="O29" s="157" t="s">
        <v>1516</v>
      </c>
      <c r="P29" s="156"/>
      <c r="Q29" s="157" t="s">
        <v>1517</v>
      </c>
      <c r="R29" s="157" t="s">
        <v>1518</v>
      </c>
      <c r="S29" s="157" t="s">
        <v>1519</v>
      </c>
    </row>
    <row r="30" spans="1:19" s="9" customFormat="1" x14ac:dyDescent="0.25">
      <c r="A30" s="156" t="s">
        <v>1513</v>
      </c>
      <c r="B30" s="156" t="str">
        <f>CHOOSE(Translations!$C$1+1,Q30,R30,S30)</f>
        <v>HIV I-9a⁽ᴹ⁾ Porcentaje de HSH y viven con el VIH</v>
      </c>
      <c r="C30" s="156">
        <f t="shared" si="0"/>
        <v>1</v>
      </c>
      <c r="D30" s="156" t="str">
        <f t="shared" si="1"/>
        <v>HIV I-9a⁽ᴹ⁾ Porcentaje de HSH y viven con el VIH-1</v>
      </c>
      <c r="E30" s="156" t="str">
        <f>CHOOSE(Translations!$C$1+1,I30,J30,K30)</f>
        <v>Edad</v>
      </c>
      <c r="F30" s="156" t="str">
        <f>CHOOSE(Translations!$C$1+1,M30,N30,O30)</f>
        <v>&lt;25</v>
      </c>
      <c r="G30" s="156" t="s">
        <v>1520</v>
      </c>
      <c r="H30" s="157" t="s">
        <v>1521</v>
      </c>
      <c r="I30" s="157" t="s">
        <v>1463</v>
      </c>
      <c r="J30" s="157" t="s">
        <v>1463</v>
      </c>
      <c r="K30" s="157" t="s">
        <v>1464</v>
      </c>
      <c r="L30" s="156"/>
      <c r="M30" s="157" t="s">
        <v>1522</v>
      </c>
      <c r="N30" s="157" t="s">
        <v>1522</v>
      </c>
      <c r="O30" s="157" t="s">
        <v>1522</v>
      </c>
      <c r="P30" s="156"/>
      <c r="Q30" s="157" t="s">
        <v>1517</v>
      </c>
      <c r="R30" s="157" t="s">
        <v>1518</v>
      </c>
      <c r="S30" s="157" t="s">
        <v>1519</v>
      </c>
    </row>
    <row r="31" spans="1:19" s="9" customFormat="1" x14ac:dyDescent="0.25">
      <c r="A31" s="156" t="s">
        <v>1523</v>
      </c>
      <c r="B31" s="156" t="str">
        <f>CHOOSE(Translations!$C$1+1,Q31,R31,S31)</f>
        <v>HIV I-9b⁽ᴹ⁾ Porcentaje de personas transgénero que viven con el VIH</v>
      </c>
      <c r="C31" s="156">
        <f t="shared" si="0"/>
        <v>0</v>
      </c>
      <c r="D31" s="156" t="str">
        <f t="shared" si="1"/>
        <v>HIV I-9b⁽ᴹ⁾ Porcentaje de personas transgénero que viven con el VIH-0</v>
      </c>
      <c r="E31" s="156" t="str">
        <f>CHOOSE(Translations!$C$1+1,I31,J31,K31)</f>
        <v>Edad</v>
      </c>
      <c r="F31" s="156" t="str">
        <f>CHOOSE(Translations!$C$1+1,M31,N31,O31)</f>
        <v>25+</v>
      </c>
      <c r="G31" s="156" t="s">
        <v>1524</v>
      </c>
      <c r="H31" s="157" t="s">
        <v>1525</v>
      </c>
      <c r="I31" s="157" t="s">
        <v>1463</v>
      </c>
      <c r="J31" s="157" t="s">
        <v>1463</v>
      </c>
      <c r="K31" s="157" t="s">
        <v>1464</v>
      </c>
      <c r="L31" s="156"/>
      <c r="M31" s="157" t="s">
        <v>1516</v>
      </c>
      <c r="N31" s="157" t="s">
        <v>1516</v>
      </c>
      <c r="O31" s="157" t="s">
        <v>1516</v>
      </c>
      <c r="P31" s="156"/>
      <c r="Q31" s="157" t="s">
        <v>1526</v>
      </c>
      <c r="R31" s="157" t="s">
        <v>1527</v>
      </c>
      <c r="S31" s="157" t="s">
        <v>1528</v>
      </c>
    </row>
    <row r="32" spans="1:19" s="9" customFormat="1" x14ac:dyDescent="0.25">
      <c r="A32" s="156" t="s">
        <v>1523</v>
      </c>
      <c r="B32" s="156" t="str">
        <f>CHOOSE(Translations!$C$1+1,Q32,R32,S32)</f>
        <v>HIV I-9b⁽ᴹ⁾ Porcentaje de personas transgénero que viven con el VIH</v>
      </c>
      <c r="C32" s="156">
        <f t="shared" si="0"/>
        <v>1</v>
      </c>
      <c r="D32" s="156" t="str">
        <f t="shared" si="1"/>
        <v>HIV I-9b⁽ᴹ⁾ Porcentaje de personas transgénero que viven con el VIH-1</v>
      </c>
      <c r="E32" s="156" t="str">
        <f>CHOOSE(Translations!$C$1+1,I32,J32,K32)</f>
        <v>Edad</v>
      </c>
      <c r="F32" s="156" t="str">
        <f>CHOOSE(Translations!$C$1+1,M32,N32,O32)</f>
        <v>&lt;25</v>
      </c>
      <c r="G32" s="156" t="s">
        <v>1529</v>
      </c>
      <c r="H32" s="157" t="s">
        <v>1530</v>
      </c>
      <c r="I32" s="157" t="s">
        <v>1463</v>
      </c>
      <c r="J32" s="157" t="s">
        <v>1463</v>
      </c>
      <c r="K32" s="157" t="s">
        <v>1464</v>
      </c>
      <c r="L32" s="156"/>
      <c r="M32" s="157" t="s">
        <v>1522</v>
      </c>
      <c r="N32" s="157" t="s">
        <v>1522</v>
      </c>
      <c r="O32" s="157" t="s">
        <v>1522</v>
      </c>
      <c r="P32" s="156"/>
      <c r="Q32" s="157" t="s">
        <v>1526</v>
      </c>
      <c r="R32" s="157" t="s">
        <v>1527</v>
      </c>
      <c r="S32" s="157" t="s">
        <v>1528</v>
      </c>
    </row>
    <row r="33" spans="1:19" s="9" customFormat="1" x14ac:dyDescent="0.25">
      <c r="A33" s="156" t="s">
        <v>1531</v>
      </c>
      <c r="B33" s="156" t="str">
        <f>CHOOSE(Translations!$C$1+1,Q33,R33,S33)</f>
        <v>HIV I-10⁽ᴹ⁾ Porcentaje de trabajadores sexuales que viven con el VIH</v>
      </c>
      <c r="C33" s="156">
        <f t="shared" si="0"/>
        <v>0</v>
      </c>
      <c r="D33" s="156" t="str">
        <f t="shared" si="1"/>
        <v>HIV I-10⁽ᴹ⁾ Porcentaje de trabajadores sexuales que viven con el VIH-0</v>
      </c>
      <c r="E33" s="156" t="str">
        <f>CHOOSE(Translations!$C$1+1,I33,J33,K33)</f>
        <v>Género</v>
      </c>
      <c r="F33" s="156" t="str">
        <f>CHOOSE(Translations!$C$1+1,M33,N33,O33)</f>
        <v>Transgénero</v>
      </c>
      <c r="G33" s="156" t="s">
        <v>1532</v>
      </c>
      <c r="H33" s="157" t="s">
        <v>1533</v>
      </c>
      <c r="I33" s="157" t="s">
        <v>1450</v>
      </c>
      <c r="J33" s="157" t="s">
        <v>1451</v>
      </c>
      <c r="K33" s="157" t="s">
        <v>1452</v>
      </c>
      <c r="L33" s="156"/>
      <c r="M33" s="157" t="s">
        <v>1534</v>
      </c>
      <c r="N33" s="157" t="s">
        <v>1535</v>
      </c>
      <c r="O33" s="157" t="s">
        <v>1536</v>
      </c>
      <c r="P33" s="156"/>
      <c r="Q33" s="157" t="s">
        <v>1537</v>
      </c>
      <c r="R33" s="157" t="s">
        <v>1538</v>
      </c>
      <c r="S33" s="157" t="s">
        <v>1539</v>
      </c>
    </row>
    <row r="34" spans="1:19" s="9" customFormat="1" x14ac:dyDescent="0.25">
      <c r="A34" s="156" t="s">
        <v>1531</v>
      </c>
      <c r="B34" s="156" t="str">
        <f>CHOOSE(Translations!$C$1+1,Q34,R34,S34)</f>
        <v>HIV I-10⁽ᴹ⁾ Porcentaje de trabajadores sexuales que viven con el VIH</v>
      </c>
      <c r="C34" s="156">
        <f t="shared" si="0"/>
        <v>1</v>
      </c>
      <c r="D34" s="156" t="str">
        <f t="shared" si="1"/>
        <v>HIV I-10⁽ᴹ⁾ Porcentaje de trabajadores sexuales que viven con el VIH-1</v>
      </c>
      <c r="E34" s="156" t="str">
        <f>CHOOSE(Translations!$C$1+1,I34,J34,K34)</f>
        <v>Género</v>
      </c>
      <c r="F34" s="156" t="str">
        <f>CHOOSE(Translations!$C$1+1,M34,N34,O34)</f>
        <v>Mujeres</v>
      </c>
      <c r="G34" s="156" t="s">
        <v>1540</v>
      </c>
      <c r="H34" s="157" t="s">
        <v>1541</v>
      </c>
      <c r="I34" s="157" t="s">
        <v>1450</v>
      </c>
      <c r="J34" s="157" t="s">
        <v>1451</v>
      </c>
      <c r="K34" s="157" t="s">
        <v>1452</v>
      </c>
      <c r="L34" s="156"/>
      <c r="M34" s="157" t="s">
        <v>1453</v>
      </c>
      <c r="N34" s="157" t="s">
        <v>1454</v>
      </c>
      <c r="O34" s="157" t="s">
        <v>1455</v>
      </c>
      <c r="P34" s="156"/>
      <c r="Q34" s="157" t="s">
        <v>1537</v>
      </c>
      <c r="R34" s="157" t="s">
        <v>1538</v>
      </c>
      <c r="S34" s="157" t="s">
        <v>1539</v>
      </c>
    </row>
    <row r="35" spans="1:19" s="9" customFormat="1" x14ac:dyDescent="0.25">
      <c r="A35" s="156" t="s">
        <v>1531</v>
      </c>
      <c r="B35" s="156" t="str">
        <f>CHOOSE(Translations!$C$1+1,Q35,R35,S35)</f>
        <v>HIV I-10⁽ᴹ⁾ Porcentaje de trabajadores sexuales que viven con el VIH</v>
      </c>
      <c r="C35" s="156">
        <f t="shared" si="0"/>
        <v>2</v>
      </c>
      <c r="D35" s="156" t="str">
        <f t="shared" si="1"/>
        <v>HIV I-10⁽ᴹ⁾ Porcentaje de trabajadores sexuales que viven con el VIH-2</v>
      </c>
      <c r="E35" s="156" t="str">
        <f>CHOOSE(Translations!$C$1+1,I35,J35,K35)</f>
        <v>Género</v>
      </c>
      <c r="F35" s="156" t="str">
        <f>CHOOSE(Translations!$C$1+1,M35,N35,O35)</f>
        <v>Hombres</v>
      </c>
      <c r="G35" s="156" t="s">
        <v>1542</v>
      </c>
      <c r="H35" s="157" t="s">
        <v>1543</v>
      </c>
      <c r="I35" s="157" t="s">
        <v>1450</v>
      </c>
      <c r="J35" s="157" t="s">
        <v>1451</v>
      </c>
      <c r="K35" s="157" t="s">
        <v>1452</v>
      </c>
      <c r="L35" s="156"/>
      <c r="M35" s="157" t="s">
        <v>1458</v>
      </c>
      <c r="N35" s="157" t="s">
        <v>1459</v>
      </c>
      <c r="O35" s="157" t="s">
        <v>1460</v>
      </c>
      <c r="P35" s="156"/>
      <c r="Q35" s="157" t="s">
        <v>1537</v>
      </c>
      <c r="R35" s="157" t="s">
        <v>1538</v>
      </c>
      <c r="S35" s="157" t="s">
        <v>1539</v>
      </c>
    </row>
    <row r="36" spans="1:19" s="9" customFormat="1" x14ac:dyDescent="0.25">
      <c r="A36" s="156" t="s">
        <v>1531</v>
      </c>
      <c r="B36" s="156" t="str">
        <f>CHOOSE(Translations!$C$1+1,Q36,R36,S36)</f>
        <v>HIV I-10⁽ᴹ⁾ Porcentaje de trabajadores sexuales que viven con el VIH</v>
      </c>
      <c r="C36" s="156">
        <f t="shared" si="0"/>
        <v>3</v>
      </c>
      <c r="D36" s="156" t="str">
        <f t="shared" si="1"/>
        <v>HIV I-10⁽ᴹ⁾ Porcentaje de trabajadores sexuales que viven con el VIH-3</v>
      </c>
      <c r="E36" s="156" t="str">
        <f>CHOOSE(Translations!$C$1+1,I36,J36,K36)</f>
        <v>Edad</v>
      </c>
      <c r="F36" s="156" t="str">
        <f>CHOOSE(Translations!$C$1+1,M36,N36,O36)</f>
        <v>25+</v>
      </c>
      <c r="G36" s="156" t="s">
        <v>1544</v>
      </c>
      <c r="H36" s="157" t="s">
        <v>1545</v>
      </c>
      <c r="I36" s="157" t="s">
        <v>1463</v>
      </c>
      <c r="J36" s="157" t="s">
        <v>1463</v>
      </c>
      <c r="K36" s="157" t="s">
        <v>1464</v>
      </c>
      <c r="L36" s="156"/>
      <c r="M36" s="157" t="s">
        <v>1516</v>
      </c>
      <c r="N36" s="157" t="s">
        <v>1516</v>
      </c>
      <c r="O36" s="157" t="s">
        <v>1516</v>
      </c>
      <c r="P36" s="156"/>
      <c r="Q36" s="157" t="s">
        <v>1537</v>
      </c>
      <c r="R36" s="157" t="s">
        <v>1538</v>
      </c>
      <c r="S36" s="157" t="s">
        <v>1539</v>
      </c>
    </row>
    <row r="37" spans="1:19" s="9" customFormat="1" x14ac:dyDescent="0.25">
      <c r="A37" s="156" t="s">
        <v>1531</v>
      </c>
      <c r="B37" s="156" t="str">
        <f>CHOOSE(Translations!$C$1+1,Q37,R37,S37)</f>
        <v>HIV I-10⁽ᴹ⁾ Porcentaje de trabajadores sexuales que viven con el VIH</v>
      </c>
      <c r="C37" s="156">
        <f t="shared" si="0"/>
        <v>4</v>
      </c>
      <c r="D37" s="156" t="str">
        <f t="shared" si="1"/>
        <v>HIV I-10⁽ᴹ⁾ Porcentaje de trabajadores sexuales que viven con el VIH-4</v>
      </c>
      <c r="E37" s="156" t="str">
        <f>CHOOSE(Translations!$C$1+1,I37,J37,K37)</f>
        <v>Edad</v>
      </c>
      <c r="F37" s="156" t="str">
        <f>CHOOSE(Translations!$C$1+1,M37,N37,O37)</f>
        <v>&lt;25</v>
      </c>
      <c r="G37" s="156" t="s">
        <v>1546</v>
      </c>
      <c r="H37" s="157" t="s">
        <v>1547</v>
      </c>
      <c r="I37" s="157" t="s">
        <v>1463</v>
      </c>
      <c r="J37" s="157" t="s">
        <v>1463</v>
      </c>
      <c r="K37" s="157" t="s">
        <v>1464</v>
      </c>
      <c r="L37" s="156"/>
      <c r="M37" s="157" t="s">
        <v>1522</v>
      </c>
      <c r="N37" s="157" t="s">
        <v>1522</v>
      </c>
      <c r="O37" s="157" t="s">
        <v>1522</v>
      </c>
      <c r="P37" s="156"/>
      <c r="Q37" s="157" t="s">
        <v>1537</v>
      </c>
      <c r="R37" s="157" t="s">
        <v>1538</v>
      </c>
      <c r="S37" s="157" t="s">
        <v>1539</v>
      </c>
    </row>
    <row r="38" spans="1:19" s="9" customFormat="1" x14ac:dyDescent="0.25">
      <c r="A38" s="156" t="s">
        <v>1548</v>
      </c>
      <c r="B38" s="156" t="str">
        <f>CHOOSE(Translations!$C$1+1,Q38,R38,S38)</f>
        <v>HIV I-11⁽ᴹ⁾ Porcentaje de personas que consumen drogas inyectables y que viven con el VIH</v>
      </c>
      <c r="C38" s="156">
        <f t="shared" si="0"/>
        <v>0</v>
      </c>
      <c r="D38" s="156" t="str">
        <f t="shared" si="1"/>
        <v>HIV I-11⁽ᴹ⁾ Porcentaje de personas que consumen drogas inyectables y que viven con el VIH-0</v>
      </c>
      <c r="E38" s="156" t="str">
        <f>CHOOSE(Translations!$C$1+1,I38,J38,K38)</f>
        <v>Género</v>
      </c>
      <c r="F38" s="156" t="str">
        <f>CHOOSE(Translations!$C$1+1,M38,N38,O38)</f>
        <v>Transgénero</v>
      </c>
      <c r="G38" s="156" t="s">
        <v>1549</v>
      </c>
      <c r="H38" s="157" t="s">
        <v>1550</v>
      </c>
      <c r="I38" s="157" t="s">
        <v>1450</v>
      </c>
      <c r="J38" s="157" t="s">
        <v>1451</v>
      </c>
      <c r="K38" s="157" t="s">
        <v>1452</v>
      </c>
      <c r="L38" s="156"/>
      <c r="M38" s="157" t="s">
        <v>1534</v>
      </c>
      <c r="N38" s="157" t="s">
        <v>1535</v>
      </c>
      <c r="O38" s="157" t="s">
        <v>1536</v>
      </c>
      <c r="P38" s="156"/>
      <c r="Q38" s="157" t="s">
        <v>1551</v>
      </c>
      <c r="R38" s="157" t="s">
        <v>1552</v>
      </c>
      <c r="S38" s="157" t="s">
        <v>1553</v>
      </c>
    </row>
    <row r="39" spans="1:19" s="9" customFormat="1" x14ac:dyDescent="0.25">
      <c r="A39" s="156" t="s">
        <v>1548</v>
      </c>
      <c r="B39" s="156" t="str">
        <f>CHOOSE(Translations!$C$1+1,Q39,R39,S39)</f>
        <v>HIV I-11⁽ᴹ⁾ Porcentaje de personas que consumen drogas inyectables y que viven con el VIH</v>
      </c>
      <c r="C39" s="156">
        <f t="shared" si="0"/>
        <v>1</v>
      </c>
      <c r="D39" s="156" t="str">
        <f t="shared" si="1"/>
        <v>HIV I-11⁽ᴹ⁾ Porcentaje de personas que consumen drogas inyectables y que viven con el VIH-1</v>
      </c>
      <c r="E39" s="156" t="str">
        <f>CHOOSE(Translations!$C$1+1,I39,J39,K39)</f>
        <v>Género</v>
      </c>
      <c r="F39" s="156" t="str">
        <f>CHOOSE(Translations!$C$1+1,M39,N39,O39)</f>
        <v>Mujeres</v>
      </c>
      <c r="G39" s="156" t="s">
        <v>1554</v>
      </c>
      <c r="H39" s="157" t="s">
        <v>1555</v>
      </c>
      <c r="I39" s="157" t="s">
        <v>1450</v>
      </c>
      <c r="J39" s="157" t="s">
        <v>1451</v>
      </c>
      <c r="K39" s="157" t="s">
        <v>1452</v>
      </c>
      <c r="L39" s="156"/>
      <c r="M39" s="157" t="s">
        <v>1453</v>
      </c>
      <c r="N39" s="157" t="s">
        <v>1454</v>
      </c>
      <c r="O39" s="157" t="s">
        <v>1455</v>
      </c>
      <c r="P39" s="156"/>
      <c r="Q39" s="157" t="s">
        <v>1551</v>
      </c>
      <c r="R39" s="157" t="s">
        <v>1552</v>
      </c>
      <c r="S39" s="157" t="s">
        <v>1553</v>
      </c>
    </row>
    <row r="40" spans="1:19" s="9" customFormat="1" x14ac:dyDescent="0.25">
      <c r="A40" s="156" t="s">
        <v>1548</v>
      </c>
      <c r="B40" s="156" t="str">
        <f>CHOOSE(Translations!$C$1+1,Q40,R40,S40)</f>
        <v>HIV I-11⁽ᴹ⁾ Porcentaje de personas que consumen drogas inyectables y que viven con el VIH</v>
      </c>
      <c r="C40" s="156">
        <f t="shared" si="0"/>
        <v>2</v>
      </c>
      <c r="D40" s="156" t="str">
        <f t="shared" si="1"/>
        <v>HIV I-11⁽ᴹ⁾ Porcentaje de personas que consumen drogas inyectables y que viven con el VIH-2</v>
      </c>
      <c r="E40" s="156" t="str">
        <f>CHOOSE(Translations!$C$1+1,I40,J40,K40)</f>
        <v>Género</v>
      </c>
      <c r="F40" s="156" t="str">
        <f>CHOOSE(Translations!$C$1+1,M40,N40,O40)</f>
        <v>Hombres</v>
      </c>
      <c r="G40" s="156" t="s">
        <v>1556</v>
      </c>
      <c r="H40" s="157" t="s">
        <v>1557</v>
      </c>
      <c r="I40" s="157" t="s">
        <v>1450</v>
      </c>
      <c r="J40" s="157" t="s">
        <v>1451</v>
      </c>
      <c r="K40" s="157" t="s">
        <v>1452</v>
      </c>
      <c r="L40" s="156"/>
      <c r="M40" s="157" t="s">
        <v>1458</v>
      </c>
      <c r="N40" s="157" t="s">
        <v>1459</v>
      </c>
      <c r="O40" s="157" t="s">
        <v>1460</v>
      </c>
      <c r="P40" s="156"/>
      <c r="Q40" s="157" t="s">
        <v>1551</v>
      </c>
      <c r="R40" s="157" t="s">
        <v>1552</v>
      </c>
      <c r="S40" s="157" t="s">
        <v>1553</v>
      </c>
    </row>
    <row r="41" spans="1:19" s="9" customFormat="1" x14ac:dyDescent="0.25">
      <c r="A41" s="156" t="s">
        <v>1548</v>
      </c>
      <c r="B41" s="156" t="str">
        <f>CHOOSE(Translations!$C$1+1,Q41,R41,S41)</f>
        <v>HIV I-11⁽ᴹ⁾ Porcentaje de personas que consumen drogas inyectables y que viven con el VIH</v>
      </c>
      <c r="C41" s="156">
        <f t="shared" si="0"/>
        <v>3</v>
      </c>
      <c r="D41" s="156" t="str">
        <f t="shared" si="1"/>
        <v>HIV I-11⁽ᴹ⁾ Porcentaje de personas que consumen drogas inyectables y que viven con el VIH-3</v>
      </c>
      <c r="E41" s="156" t="str">
        <f>CHOOSE(Translations!$C$1+1,I41,J41,K41)</f>
        <v>Edad</v>
      </c>
      <c r="F41" s="156" t="str">
        <f>CHOOSE(Translations!$C$1+1,M41,N41,O41)</f>
        <v>25+</v>
      </c>
      <c r="G41" s="156" t="s">
        <v>1558</v>
      </c>
      <c r="H41" s="157" t="s">
        <v>1559</v>
      </c>
      <c r="I41" s="157" t="s">
        <v>1463</v>
      </c>
      <c r="J41" s="157" t="s">
        <v>1463</v>
      </c>
      <c r="K41" s="157" t="s">
        <v>1464</v>
      </c>
      <c r="L41" s="156"/>
      <c r="M41" s="157" t="s">
        <v>1516</v>
      </c>
      <c r="N41" s="157" t="s">
        <v>1516</v>
      </c>
      <c r="O41" s="157" t="s">
        <v>1516</v>
      </c>
      <c r="P41" s="156"/>
      <c r="Q41" s="157" t="s">
        <v>1551</v>
      </c>
      <c r="R41" s="157" t="s">
        <v>1552</v>
      </c>
      <c r="S41" s="157" t="s">
        <v>1553</v>
      </c>
    </row>
    <row r="42" spans="1:19" s="9" customFormat="1" x14ac:dyDescent="0.25">
      <c r="A42" s="156" t="s">
        <v>1548</v>
      </c>
      <c r="B42" s="156" t="str">
        <f>CHOOSE(Translations!$C$1+1,Q42,R42,S42)</f>
        <v>HIV I-11⁽ᴹ⁾ Porcentaje de personas que consumen drogas inyectables y que viven con el VIH</v>
      </c>
      <c r="C42" s="156">
        <f t="shared" si="0"/>
        <v>4</v>
      </c>
      <c r="D42" s="156" t="str">
        <f t="shared" si="1"/>
        <v>HIV I-11⁽ᴹ⁾ Porcentaje de personas que consumen drogas inyectables y que viven con el VIH-4</v>
      </c>
      <c r="E42" s="156" t="str">
        <f>CHOOSE(Translations!$C$1+1,I42,J42,K42)</f>
        <v>Edad</v>
      </c>
      <c r="F42" s="156" t="str">
        <f>CHOOSE(Translations!$C$1+1,M42,N42,O42)</f>
        <v>&lt;25</v>
      </c>
      <c r="G42" s="156" t="s">
        <v>1560</v>
      </c>
      <c r="H42" s="157" t="s">
        <v>1561</v>
      </c>
      <c r="I42" s="157" t="s">
        <v>1463</v>
      </c>
      <c r="J42" s="157" t="s">
        <v>1463</v>
      </c>
      <c r="K42" s="157" t="s">
        <v>1464</v>
      </c>
      <c r="L42" s="156"/>
      <c r="M42" s="157" t="s">
        <v>1522</v>
      </c>
      <c r="N42" s="157" t="s">
        <v>1522</v>
      </c>
      <c r="O42" s="157" t="s">
        <v>1522</v>
      </c>
      <c r="P42" s="156"/>
      <c r="Q42" s="157" t="s">
        <v>1551</v>
      </c>
      <c r="R42" s="157" t="s">
        <v>1552</v>
      </c>
      <c r="S42" s="157" t="s">
        <v>1553</v>
      </c>
    </row>
    <row r="43" spans="1:19" s="9" customFormat="1" x14ac:dyDescent="0.25">
      <c r="A43" s="156" t="s">
        <v>1562</v>
      </c>
      <c r="B43" s="156" t="str">
        <f>CHOOSE(Translations!$C$1+1,Q43,R43,S43)</f>
        <v>Malaria I-1⁽ᴹ⁾ Casos de malaria notificados (supuestos y confirmados)</v>
      </c>
      <c r="C43" s="156">
        <f t="shared" si="0"/>
        <v>0</v>
      </c>
      <c r="D43" s="156" t="str">
        <f t="shared" si="1"/>
        <v>Malaria I-1⁽ᴹ⁾ Casos de malaria notificados (supuestos y confirmados)-0</v>
      </c>
      <c r="E43" s="156" t="str">
        <f>CHOOSE(Translations!$C$1+1,I43,J43,K43)</f>
        <v>Definición de caso</v>
      </c>
      <c r="F43" s="156" t="str">
        <f>CHOOSE(Translations!$C$1+1,M43,N43,O43)</f>
        <v>Posible</v>
      </c>
      <c r="G43" s="156" t="s">
        <v>1563</v>
      </c>
      <c r="H43" s="157" t="s">
        <v>1564</v>
      </c>
      <c r="I43" s="157" t="s">
        <v>1565</v>
      </c>
      <c r="J43" s="157" t="s">
        <v>1566</v>
      </c>
      <c r="K43" s="157" t="s">
        <v>1567</v>
      </c>
      <c r="L43" s="156"/>
      <c r="M43" s="157" t="s">
        <v>1568</v>
      </c>
      <c r="N43" s="157" t="s">
        <v>1569</v>
      </c>
      <c r="O43" s="157" t="s">
        <v>1570</v>
      </c>
      <c r="P43" s="156"/>
      <c r="Q43" s="157" t="s">
        <v>1571</v>
      </c>
      <c r="R43" s="157" t="s">
        <v>1572</v>
      </c>
      <c r="S43" s="157" t="s">
        <v>1573</v>
      </c>
    </row>
    <row r="44" spans="1:19" s="9" customFormat="1" x14ac:dyDescent="0.25">
      <c r="A44" s="156" t="s">
        <v>1562</v>
      </c>
      <c r="B44" s="156" t="str">
        <f>CHOOSE(Translations!$C$1+1,Q44,R44,S44)</f>
        <v>Malaria I-1⁽ᴹ⁾ Casos de malaria notificados (supuestos y confirmados)</v>
      </c>
      <c r="C44" s="156">
        <f t="shared" si="0"/>
        <v>1</v>
      </c>
      <c r="D44" s="156" t="str">
        <f t="shared" si="1"/>
        <v>Malaria I-1⁽ᴹ⁾ Casos de malaria notificados (supuestos y confirmados)-1</v>
      </c>
      <c r="E44" s="156" t="str">
        <f>CHOOSE(Translations!$C$1+1,I44,J44,K44)</f>
        <v>Definición de caso</v>
      </c>
      <c r="F44" s="156" t="str">
        <f>CHOOSE(Translations!$C$1+1,M44,N44,O44)</f>
        <v>Confirmado</v>
      </c>
      <c r="G44" s="156" t="s">
        <v>1574</v>
      </c>
      <c r="H44" s="157" t="s">
        <v>1575</v>
      </c>
      <c r="I44" s="157" t="s">
        <v>1565</v>
      </c>
      <c r="J44" s="157" t="s">
        <v>1566</v>
      </c>
      <c r="K44" s="157" t="s">
        <v>1567</v>
      </c>
      <c r="L44" s="156"/>
      <c r="M44" s="157" t="s">
        <v>1576</v>
      </c>
      <c r="N44" s="157" t="s">
        <v>1577</v>
      </c>
      <c r="O44" s="157" t="s">
        <v>1578</v>
      </c>
      <c r="P44" s="156"/>
      <c r="Q44" s="157" t="s">
        <v>1571</v>
      </c>
      <c r="R44" s="157" t="s">
        <v>1572</v>
      </c>
      <c r="S44" s="157" t="s">
        <v>1573</v>
      </c>
    </row>
    <row r="45" spans="1:19" s="9" customFormat="1" x14ac:dyDescent="0.25">
      <c r="A45" s="156" t="s">
        <v>1562</v>
      </c>
      <c r="B45" s="156" t="str">
        <f>CHOOSE(Translations!$C$1+1,Q45,R45,S45)</f>
        <v>Malaria I-1⁽ᴹ⁾ Casos de malaria notificados (supuestos y confirmados)</v>
      </c>
      <c r="C45" s="156">
        <f t="shared" si="0"/>
        <v>2</v>
      </c>
      <c r="D45" s="156" t="str">
        <f t="shared" si="1"/>
        <v>Malaria I-1⁽ᴹ⁾ Casos de malaria notificados (supuestos y confirmados)-2</v>
      </c>
      <c r="E45" s="156" t="str">
        <f>CHOOSE(Translations!$C$1+1,I45,J45,K45)</f>
        <v>Edad</v>
      </c>
      <c r="F45" s="156" t="str">
        <f>CHOOSE(Translations!$C$1+1,M45,N45,O45)</f>
        <v>5+</v>
      </c>
      <c r="G45" s="156" t="s">
        <v>1579</v>
      </c>
      <c r="H45" s="157" t="s">
        <v>1580</v>
      </c>
      <c r="I45" s="157" t="s">
        <v>1463</v>
      </c>
      <c r="J45" s="157" t="s">
        <v>1463</v>
      </c>
      <c r="K45" s="157" t="s">
        <v>1464</v>
      </c>
      <c r="L45" s="156"/>
      <c r="M45" s="157" t="s">
        <v>1581</v>
      </c>
      <c r="N45" s="157" t="s">
        <v>1581</v>
      </c>
      <c r="O45" s="157" t="s">
        <v>1581</v>
      </c>
      <c r="P45" s="156"/>
      <c r="Q45" s="157" t="s">
        <v>1571</v>
      </c>
      <c r="R45" s="157" t="s">
        <v>1572</v>
      </c>
      <c r="S45" s="157" t="s">
        <v>1573</v>
      </c>
    </row>
    <row r="46" spans="1:19" s="9" customFormat="1" x14ac:dyDescent="0.25">
      <c r="A46" s="156" t="s">
        <v>1562</v>
      </c>
      <c r="B46" s="156" t="str">
        <f>CHOOSE(Translations!$C$1+1,Q46,R46,S46)</f>
        <v>Malaria I-1⁽ᴹ⁾ Casos de malaria notificados (supuestos y confirmados)</v>
      </c>
      <c r="C46" s="156">
        <f t="shared" si="0"/>
        <v>3</v>
      </c>
      <c r="D46" s="156" t="str">
        <f t="shared" si="1"/>
        <v>Malaria I-1⁽ᴹ⁾ Casos de malaria notificados (supuestos y confirmados)-3</v>
      </c>
      <c r="E46" s="156" t="str">
        <f>CHOOSE(Translations!$C$1+1,I46,J46,K46)</f>
        <v>Edad</v>
      </c>
      <c r="F46" s="156" t="str">
        <f>CHOOSE(Translations!$C$1+1,M46,N46,O46)</f>
        <v>&lt;5</v>
      </c>
      <c r="G46" s="156" t="s">
        <v>1582</v>
      </c>
      <c r="H46" s="157" t="s">
        <v>1583</v>
      </c>
      <c r="I46" s="157" t="s">
        <v>1463</v>
      </c>
      <c r="J46" s="157" t="s">
        <v>1463</v>
      </c>
      <c r="K46" s="157" t="s">
        <v>1464</v>
      </c>
      <c r="L46" s="156"/>
      <c r="M46" s="157" t="s">
        <v>1512</v>
      </c>
      <c r="N46" s="157" t="s">
        <v>1512</v>
      </c>
      <c r="O46" s="157" t="s">
        <v>1512</v>
      </c>
      <c r="P46" s="156"/>
      <c r="Q46" s="157" t="s">
        <v>1571</v>
      </c>
      <c r="R46" s="157" t="s">
        <v>1572</v>
      </c>
      <c r="S46" s="157" t="s">
        <v>1573</v>
      </c>
    </row>
    <row r="47" spans="1:19" s="9" customFormat="1" x14ac:dyDescent="0.25">
      <c r="A47" s="156" t="s">
        <v>1584</v>
      </c>
      <c r="B47" s="156" t="str">
        <f>CHOOSE(Translations!$C$1+1,Q47,R47,S47)</f>
        <v>Malaria I-2.1 Casos de malaria confirmados (con microscopio o prueba de diagnóstico rápido) al año por cada 1.000 personas</v>
      </c>
      <c r="C47" s="156">
        <f t="shared" si="0"/>
        <v>0</v>
      </c>
      <c r="D47" s="156" t="str">
        <f t="shared" si="1"/>
        <v>Malaria I-2.1 Casos de malaria confirmados (con microscopio o prueba de diagnóstico rápido) al año por cada 1.000 personas-0</v>
      </c>
      <c r="E47" s="156" t="str">
        <f>CHOOSE(Translations!$C$1+1,I47,J47,K47)</f>
        <v>Especies</v>
      </c>
      <c r="F47" s="156" t="str">
        <f>CHOOSE(Translations!$C$1+1,M47,N47,O47)</f>
        <v>Otras especies</v>
      </c>
      <c r="G47" s="156" t="s">
        <v>1585</v>
      </c>
      <c r="H47" s="157" t="s">
        <v>1586</v>
      </c>
      <c r="I47" s="157" t="s">
        <v>1587</v>
      </c>
      <c r="J47" s="157" t="s">
        <v>1588</v>
      </c>
      <c r="K47" s="157" t="s">
        <v>1589</v>
      </c>
      <c r="L47" s="156"/>
      <c r="M47" s="157" t="s">
        <v>1590</v>
      </c>
      <c r="N47" s="157" t="s">
        <v>1591</v>
      </c>
      <c r="O47" s="157" t="s">
        <v>1592</v>
      </c>
      <c r="P47" s="156"/>
      <c r="Q47" s="157" t="s">
        <v>1593</v>
      </c>
      <c r="R47" s="157" t="s">
        <v>1594</v>
      </c>
      <c r="S47" s="157" t="s">
        <v>1595</v>
      </c>
    </row>
    <row r="48" spans="1:19" s="9" customFormat="1" x14ac:dyDescent="0.25">
      <c r="A48" s="156" t="s">
        <v>1584</v>
      </c>
      <c r="B48" s="156" t="str">
        <f>CHOOSE(Translations!$C$1+1,Q48,R48,S48)</f>
        <v>Malaria I-2.1 Casos de malaria confirmados (con microscopio o prueba de diagnóstico rápido) al año por cada 1.000 personas</v>
      </c>
      <c r="C48" s="156">
        <f t="shared" si="0"/>
        <v>1</v>
      </c>
      <c r="D48" s="156" t="str">
        <f t="shared" si="1"/>
        <v>Malaria I-2.1 Casos de malaria confirmados (con microscopio o prueba de diagnóstico rápido) al año por cada 1.000 personas-1</v>
      </c>
      <c r="E48" s="156" t="str">
        <f>CHOOSE(Translations!$C$1+1,I48,J48,K48)</f>
        <v>Especies</v>
      </c>
      <c r="F48" s="156" t="str">
        <f>CHOOSE(Translations!$C$1+1,M48,N48,O48)</f>
        <v>Mixtas</v>
      </c>
      <c r="G48" s="156" t="s">
        <v>1596</v>
      </c>
      <c r="H48" s="157" t="s">
        <v>1597</v>
      </c>
      <c r="I48" s="157" t="s">
        <v>1587</v>
      </c>
      <c r="J48" s="157" t="s">
        <v>1588</v>
      </c>
      <c r="K48" s="157" t="s">
        <v>1589</v>
      </c>
      <c r="L48" s="156"/>
      <c r="M48" s="157" t="s">
        <v>1598</v>
      </c>
      <c r="N48" s="157" t="s">
        <v>1599</v>
      </c>
      <c r="O48" s="157" t="s">
        <v>1600</v>
      </c>
      <c r="P48" s="156"/>
      <c r="Q48" s="157" t="s">
        <v>1593</v>
      </c>
      <c r="R48" s="157" t="s">
        <v>1594</v>
      </c>
      <c r="S48" s="157" t="s">
        <v>1595</v>
      </c>
    </row>
    <row r="49" spans="1:19" s="9" customFormat="1" x14ac:dyDescent="0.25">
      <c r="A49" s="156" t="s">
        <v>1584</v>
      </c>
      <c r="B49" s="156" t="str">
        <f>CHOOSE(Translations!$C$1+1,Q49,R49,S49)</f>
        <v>Malaria I-2.1 Casos de malaria confirmados (con microscopio o prueba de diagnóstico rápido) al año por cada 1.000 personas</v>
      </c>
      <c r="C49" s="156">
        <f t="shared" si="0"/>
        <v>2</v>
      </c>
      <c r="D49" s="156" t="str">
        <f t="shared" si="1"/>
        <v>Malaria I-2.1 Casos de malaria confirmados (con microscopio o prueba de diagnóstico rápido) al año por cada 1.000 personas-2</v>
      </c>
      <c r="E49" s="156" t="str">
        <f>CHOOSE(Translations!$C$1+1,I49,J49,K49)</f>
        <v>Especies</v>
      </c>
      <c r="F49" s="156" t="str">
        <f>CHOOSE(Translations!$C$1+1,M49,N49,O49)</f>
        <v>Falciparum</v>
      </c>
      <c r="G49" s="156" t="s">
        <v>1601</v>
      </c>
      <c r="H49" s="157" t="s">
        <v>1602</v>
      </c>
      <c r="I49" s="157" t="s">
        <v>1587</v>
      </c>
      <c r="J49" s="157" t="s">
        <v>1588</v>
      </c>
      <c r="K49" s="157" t="s">
        <v>1589</v>
      </c>
      <c r="L49" s="156"/>
      <c r="M49" s="157" t="s">
        <v>1603</v>
      </c>
      <c r="N49" s="157" t="s">
        <v>1604</v>
      </c>
      <c r="O49" s="157" t="s">
        <v>1605</v>
      </c>
      <c r="P49" s="156"/>
      <c r="Q49" s="157" t="s">
        <v>1593</v>
      </c>
      <c r="R49" s="157" t="s">
        <v>1594</v>
      </c>
      <c r="S49" s="157" t="s">
        <v>1595</v>
      </c>
    </row>
    <row r="50" spans="1:19" s="9" customFormat="1" x14ac:dyDescent="0.25">
      <c r="A50" s="156" t="s">
        <v>1584</v>
      </c>
      <c r="B50" s="156" t="str">
        <f>CHOOSE(Translations!$C$1+1,Q50,R50,S50)</f>
        <v>Malaria I-2.1 Casos de malaria confirmados (con microscopio o prueba de diagnóstico rápido) al año por cada 1.000 personas</v>
      </c>
      <c r="C50" s="156">
        <f t="shared" si="0"/>
        <v>3</v>
      </c>
      <c r="D50" s="156" t="str">
        <f t="shared" si="1"/>
        <v>Malaria I-2.1 Casos de malaria confirmados (con microscopio o prueba de diagnóstico rápido) al año por cada 1.000 personas-3</v>
      </c>
      <c r="E50" s="156" t="str">
        <f>CHOOSE(Translations!$C$1+1,I50,J50,K50)</f>
        <v>Especies</v>
      </c>
      <c r="F50" s="156" t="str">
        <f>CHOOSE(Translations!$C$1+1,M50,N50,O50)</f>
        <v>Vivax</v>
      </c>
      <c r="G50" s="156" t="s">
        <v>1606</v>
      </c>
      <c r="H50" s="157" t="s">
        <v>1607</v>
      </c>
      <c r="I50" s="157" t="s">
        <v>1587</v>
      </c>
      <c r="J50" s="157" t="s">
        <v>1588</v>
      </c>
      <c r="K50" s="157" t="s">
        <v>1589</v>
      </c>
      <c r="L50" s="156"/>
      <c r="M50" s="157" t="s">
        <v>1608</v>
      </c>
      <c r="N50" s="157" t="s">
        <v>1609</v>
      </c>
      <c r="O50" s="157" t="s">
        <v>1610</v>
      </c>
      <c r="P50" s="156"/>
      <c r="Q50" s="157" t="s">
        <v>1593</v>
      </c>
      <c r="R50" s="157" t="s">
        <v>1594</v>
      </c>
      <c r="S50" s="157" t="s">
        <v>1595</v>
      </c>
    </row>
    <row r="51" spans="1:19" s="9" customFormat="1" x14ac:dyDescent="0.25">
      <c r="A51" s="156" t="s">
        <v>1584</v>
      </c>
      <c r="B51" s="156" t="str">
        <f>CHOOSE(Translations!$C$1+1,Q51,R51,S51)</f>
        <v>Malaria I-2.1 Casos de malaria confirmados (con microscopio o prueba de diagnóstico rápido) al año por cada 1.000 personas</v>
      </c>
      <c r="C51" s="156">
        <f t="shared" si="0"/>
        <v>4</v>
      </c>
      <c r="D51" s="156" t="str">
        <f t="shared" si="1"/>
        <v>Malaria I-2.1 Casos de malaria confirmados (con microscopio o prueba de diagnóstico rápido) al año por cada 1.000 personas-4</v>
      </c>
      <c r="E51" s="156" t="str">
        <f>CHOOSE(Translations!$C$1+1,I51,J51,K51)</f>
        <v>Edad</v>
      </c>
      <c r="F51" s="156" t="str">
        <f>CHOOSE(Translations!$C$1+1,M51,N51,O51)</f>
        <v>5+</v>
      </c>
      <c r="G51" s="156" t="s">
        <v>1611</v>
      </c>
      <c r="H51" s="157" t="s">
        <v>1612</v>
      </c>
      <c r="I51" s="157" t="s">
        <v>1463</v>
      </c>
      <c r="J51" s="157" t="s">
        <v>1463</v>
      </c>
      <c r="K51" s="157" t="s">
        <v>1464</v>
      </c>
      <c r="L51" s="156"/>
      <c r="M51" s="157" t="s">
        <v>1581</v>
      </c>
      <c r="N51" s="157" t="s">
        <v>1581</v>
      </c>
      <c r="O51" s="157" t="s">
        <v>1581</v>
      </c>
      <c r="P51" s="156"/>
      <c r="Q51" s="157" t="s">
        <v>1593</v>
      </c>
      <c r="R51" s="157" t="s">
        <v>1594</v>
      </c>
      <c r="S51" s="157" t="s">
        <v>1595</v>
      </c>
    </row>
    <row r="52" spans="1:19" s="9" customFormat="1" x14ac:dyDescent="0.25">
      <c r="A52" s="156" t="s">
        <v>1584</v>
      </c>
      <c r="B52" s="156" t="str">
        <f>CHOOSE(Translations!$C$1+1,Q52,R52,S52)</f>
        <v>Malaria I-2.1 Casos de malaria confirmados (con microscopio o prueba de diagnóstico rápido) al año por cada 1.000 personas</v>
      </c>
      <c r="C52" s="156">
        <f t="shared" si="0"/>
        <v>5</v>
      </c>
      <c r="D52" s="156" t="str">
        <f t="shared" si="1"/>
        <v>Malaria I-2.1 Casos de malaria confirmados (con microscopio o prueba de diagnóstico rápido) al año por cada 1.000 personas-5</v>
      </c>
      <c r="E52" s="156" t="str">
        <f>CHOOSE(Translations!$C$1+1,I52,J52,K52)</f>
        <v>Edad</v>
      </c>
      <c r="F52" s="156" t="str">
        <f>CHOOSE(Translations!$C$1+1,M52,N52,O52)</f>
        <v>&lt;5</v>
      </c>
      <c r="G52" s="156" t="s">
        <v>1613</v>
      </c>
      <c r="H52" s="157" t="s">
        <v>1614</v>
      </c>
      <c r="I52" s="157" t="s">
        <v>1463</v>
      </c>
      <c r="J52" s="157" t="s">
        <v>1463</v>
      </c>
      <c r="K52" s="157" t="s">
        <v>1464</v>
      </c>
      <c r="L52" s="156"/>
      <c r="M52" s="157" t="s">
        <v>1512</v>
      </c>
      <c r="N52" s="157" t="s">
        <v>1512</v>
      </c>
      <c r="O52" s="157" t="s">
        <v>1512</v>
      </c>
      <c r="P52" s="156"/>
      <c r="Q52" s="157" t="s">
        <v>1593</v>
      </c>
      <c r="R52" s="157" t="s">
        <v>1594</v>
      </c>
      <c r="S52" s="157" t="s">
        <v>1595</v>
      </c>
    </row>
    <row r="53" spans="1:19" s="9" customFormat="1" x14ac:dyDescent="0.25">
      <c r="A53" s="156" t="s">
        <v>1615</v>
      </c>
      <c r="B53" s="156" t="str">
        <f>CHOOSE(Translations!$C$1+1,Q53,R53,S53)</f>
        <v>Malaria I-3.1⁽ᴹ⁾ Muertes de pacientes hospitalizados al año por cada 100.000 personas</v>
      </c>
      <c r="C53" s="156">
        <f t="shared" si="0"/>
        <v>0</v>
      </c>
      <c r="D53" s="156" t="str">
        <f t="shared" si="1"/>
        <v>Malaria I-3.1⁽ᴹ⁾ Muertes de pacientes hospitalizados al año por cada 100.000 personas-0</v>
      </c>
      <c r="E53" s="156" t="str">
        <f>CHOOSE(Translations!$C$1+1,I53,J53,K53)</f>
        <v>Edad</v>
      </c>
      <c r="F53" s="156" t="str">
        <f>CHOOSE(Translations!$C$1+1,M53,N53,O53)</f>
        <v>5+</v>
      </c>
      <c r="G53" s="156" t="s">
        <v>1616</v>
      </c>
      <c r="H53" s="157" t="s">
        <v>1617</v>
      </c>
      <c r="I53" s="157" t="s">
        <v>1463</v>
      </c>
      <c r="J53" s="157" t="s">
        <v>1463</v>
      </c>
      <c r="K53" s="157" t="s">
        <v>1464</v>
      </c>
      <c r="L53" s="156"/>
      <c r="M53" s="157" t="s">
        <v>1581</v>
      </c>
      <c r="N53" s="157" t="s">
        <v>1581</v>
      </c>
      <c r="O53" s="157" t="s">
        <v>1581</v>
      </c>
      <c r="P53" s="156"/>
      <c r="Q53" s="157" t="s">
        <v>1618</v>
      </c>
      <c r="R53" s="157" t="s">
        <v>1619</v>
      </c>
      <c r="S53" s="157" t="s">
        <v>1620</v>
      </c>
    </row>
    <row r="54" spans="1:19" s="9" customFormat="1" x14ac:dyDescent="0.25">
      <c r="A54" s="156" t="s">
        <v>1615</v>
      </c>
      <c r="B54" s="156" t="str">
        <f>CHOOSE(Translations!$C$1+1,Q54,R54,S54)</f>
        <v>Malaria I-3.1⁽ᴹ⁾ Muertes de pacientes hospitalizados al año por cada 100.000 personas</v>
      </c>
      <c r="C54" s="156">
        <f t="shared" si="0"/>
        <v>1</v>
      </c>
      <c r="D54" s="156" t="str">
        <f t="shared" si="1"/>
        <v>Malaria I-3.1⁽ᴹ⁾ Muertes de pacientes hospitalizados al año por cada 100.000 personas-1</v>
      </c>
      <c r="E54" s="156" t="str">
        <f>CHOOSE(Translations!$C$1+1,I54,J54,K54)</f>
        <v>Edad</v>
      </c>
      <c r="F54" s="156" t="str">
        <f>CHOOSE(Translations!$C$1+1,M54,N54,O54)</f>
        <v>&lt;5</v>
      </c>
      <c r="G54" s="156" t="s">
        <v>1621</v>
      </c>
      <c r="H54" s="157" t="s">
        <v>1622</v>
      </c>
      <c r="I54" s="157" t="s">
        <v>1463</v>
      </c>
      <c r="J54" s="157" t="s">
        <v>1463</v>
      </c>
      <c r="K54" s="157" t="s">
        <v>1464</v>
      </c>
      <c r="L54" s="156"/>
      <c r="M54" s="157" t="s">
        <v>1512</v>
      </c>
      <c r="N54" s="157" t="s">
        <v>1512</v>
      </c>
      <c r="O54" s="157" t="s">
        <v>1512</v>
      </c>
      <c r="P54" s="156"/>
      <c r="Q54" s="157" t="s">
        <v>1618</v>
      </c>
      <c r="R54" s="157" t="s">
        <v>1619</v>
      </c>
      <c r="S54" s="157" t="s">
        <v>1620</v>
      </c>
    </row>
    <row r="55" spans="1:19" s="9" customFormat="1" x14ac:dyDescent="0.25">
      <c r="A55" s="156" t="s">
        <v>1623</v>
      </c>
      <c r="B55" s="156" t="str">
        <f>CHOOSE(Translations!$C$1+1,Q55,R55,S55)</f>
        <v>Malaria I-4 Tasa de pruebas positivas de malaria</v>
      </c>
      <c r="C55" s="156">
        <f t="shared" si="0"/>
        <v>0</v>
      </c>
      <c r="D55" s="156" t="str">
        <f t="shared" si="1"/>
        <v>Malaria I-4 Tasa de pruebas positivas de malaria-0</v>
      </c>
      <c r="E55" s="156" t="str">
        <f>CHOOSE(Translations!$C$1+1,I55,J55,K55)</f>
        <v>Tipo de pruebas</v>
      </c>
      <c r="F55" s="156" t="str">
        <f>CHOOSE(Translations!$C$1+1,M55,N55,O55)</f>
        <v>Prueba de diagnóstico rápido</v>
      </c>
      <c r="G55" s="156" t="s">
        <v>1624</v>
      </c>
      <c r="H55" s="157" t="s">
        <v>1625</v>
      </c>
      <c r="I55" s="157" t="s">
        <v>1626</v>
      </c>
      <c r="J55" s="157" t="s">
        <v>1627</v>
      </c>
      <c r="K55" s="157" t="s">
        <v>1628</v>
      </c>
      <c r="L55" s="156"/>
      <c r="M55" s="157" t="s">
        <v>1629</v>
      </c>
      <c r="N55" s="157" t="s">
        <v>1630</v>
      </c>
      <c r="O55" s="157" t="s">
        <v>1631</v>
      </c>
      <c r="P55" s="156"/>
      <c r="Q55" s="157" t="s">
        <v>1632</v>
      </c>
      <c r="R55" s="157" t="s">
        <v>1633</v>
      </c>
      <c r="S55" s="157" t="s">
        <v>1634</v>
      </c>
    </row>
    <row r="56" spans="1:19" s="9" customFormat="1" x14ac:dyDescent="0.25">
      <c r="A56" s="156" t="s">
        <v>1623</v>
      </c>
      <c r="B56" s="156" t="str">
        <f>CHOOSE(Translations!$C$1+1,Q56,R56,S56)</f>
        <v>Malaria I-4 Tasa de pruebas positivas de malaria</v>
      </c>
      <c r="C56" s="156">
        <f t="shared" si="0"/>
        <v>1</v>
      </c>
      <c r="D56" s="156" t="str">
        <f t="shared" si="1"/>
        <v>Malaria I-4 Tasa de pruebas positivas de malaria-1</v>
      </c>
      <c r="E56" s="156" t="str">
        <f>CHOOSE(Translations!$C$1+1,I56,J56,K56)</f>
        <v>Tipo de pruebas</v>
      </c>
      <c r="F56" s="156" t="str">
        <f>CHOOSE(Translations!$C$1+1,M56,N56,O56)</f>
        <v>Microscopio</v>
      </c>
      <c r="G56" s="156" t="s">
        <v>1635</v>
      </c>
      <c r="H56" s="157" t="s">
        <v>1636</v>
      </c>
      <c r="I56" s="157" t="s">
        <v>1626</v>
      </c>
      <c r="J56" s="157" t="s">
        <v>1627</v>
      </c>
      <c r="K56" s="157" t="s">
        <v>1628</v>
      </c>
      <c r="L56" s="156"/>
      <c r="M56" s="157" t="s">
        <v>1637</v>
      </c>
      <c r="N56" s="157" t="s">
        <v>1638</v>
      </c>
      <c r="O56" s="157" t="s">
        <v>1639</v>
      </c>
      <c r="P56" s="156"/>
      <c r="Q56" s="157" t="s">
        <v>1632</v>
      </c>
      <c r="R56" s="157" t="s">
        <v>1633</v>
      </c>
      <c r="S56" s="157" t="s">
        <v>1634</v>
      </c>
    </row>
    <row r="57" spans="1:19" s="9" customFormat="1" x14ac:dyDescent="0.25">
      <c r="A57" s="156" t="s">
        <v>1623</v>
      </c>
      <c r="B57" s="156" t="str">
        <f>CHOOSE(Translations!$C$1+1,Q57,R57,S57)</f>
        <v>Malaria I-4 Tasa de pruebas positivas de malaria</v>
      </c>
      <c r="C57" s="156">
        <f t="shared" si="0"/>
        <v>2</v>
      </c>
      <c r="D57" s="156" t="str">
        <f t="shared" si="1"/>
        <v>Malaria I-4 Tasa de pruebas positivas de malaria-2</v>
      </c>
      <c r="E57" s="156" t="str">
        <f>CHOOSE(Translations!$C$1+1,I57,J57,K57)</f>
        <v>Especies</v>
      </c>
      <c r="F57" s="156" t="str">
        <f>CHOOSE(Translations!$C$1+1,M57,N57,O57)</f>
        <v>Falciparum</v>
      </c>
      <c r="G57" s="156" t="s">
        <v>1640</v>
      </c>
      <c r="H57" s="157" t="s">
        <v>1641</v>
      </c>
      <c r="I57" s="157" t="s">
        <v>1587</v>
      </c>
      <c r="J57" s="157" t="s">
        <v>1588</v>
      </c>
      <c r="K57" s="157" t="s">
        <v>1589</v>
      </c>
      <c r="L57" s="156"/>
      <c r="M57" s="157" t="s">
        <v>1603</v>
      </c>
      <c r="N57" s="157" t="s">
        <v>1604</v>
      </c>
      <c r="O57" s="157" t="s">
        <v>1605</v>
      </c>
      <c r="P57" s="156"/>
      <c r="Q57" s="157" t="s">
        <v>1632</v>
      </c>
      <c r="R57" s="157" t="s">
        <v>1633</v>
      </c>
      <c r="S57" s="157" t="s">
        <v>1634</v>
      </c>
    </row>
    <row r="58" spans="1:19" s="9" customFormat="1" x14ac:dyDescent="0.25">
      <c r="A58" s="156" t="s">
        <v>1642</v>
      </c>
      <c r="B58" s="156" t="str">
        <f>CHOOSE(Translations!$C$1+1,Q58,R58,S58)</f>
        <v>Malaria I-5 Prevalencia de parásitos de la malaria: proporción de niños de entre 6 y 59 meses con infección por malaria</v>
      </c>
      <c r="C58" s="156">
        <f t="shared" si="0"/>
        <v>0</v>
      </c>
      <c r="D58" s="156" t="str">
        <f t="shared" si="1"/>
        <v>Malaria I-5 Prevalencia de parásitos de la malaria: proporción de niños de entre 6 y 59 meses con infección por malaria-0</v>
      </c>
      <c r="E58" s="156" t="str">
        <f>CHOOSE(Translations!$C$1+1,I58,J58,K58)</f>
        <v>Género</v>
      </c>
      <c r="F58" s="156" t="str">
        <f>CHOOSE(Translations!$C$1+1,M58,N58,O58)</f>
        <v>Mujeres</v>
      </c>
      <c r="G58" s="156" t="s">
        <v>1643</v>
      </c>
      <c r="H58" s="157" t="s">
        <v>1644</v>
      </c>
      <c r="I58" s="157" t="s">
        <v>1450</v>
      </c>
      <c r="J58" s="157" t="s">
        <v>1451</v>
      </c>
      <c r="K58" s="157" t="s">
        <v>1452</v>
      </c>
      <c r="L58" s="156"/>
      <c r="M58" s="157" t="s">
        <v>1453</v>
      </c>
      <c r="N58" s="157" t="s">
        <v>1454</v>
      </c>
      <c r="O58" s="157" t="s">
        <v>1455</v>
      </c>
      <c r="P58" s="156"/>
      <c r="Q58" s="157" t="s">
        <v>1645</v>
      </c>
      <c r="R58" s="157" t="s">
        <v>1646</v>
      </c>
      <c r="S58" s="157" t="s">
        <v>1647</v>
      </c>
    </row>
    <row r="59" spans="1:19" s="9" customFormat="1" x14ac:dyDescent="0.25">
      <c r="A59" s="156" t="s">
        <v>1642</v>
      </c>
      <c r="B59" s="156" t="str">
        <f>CHOOSE(Translations!$C$1+1,Q59,R59,S59)</f>
        <v>Malaria I-5 Prevalencia de parásitos de la malaria: proporción de niños de entre 6 y 59 meses con infección por malaria</v>
      </c>
      <c r="C59" s="156">
        <f t="shared" si="0"/>
        <v>1</v>
      </c>
      <c r="D59" s="156" t="str">
        <f t="shared" si="1"/>
        <v>Malaria I-5 Prevalencia de parásitos de la malaria: proporción de niños de entre 6 y 59 meses con infección por malaria-1</v>
      </c>
      <c r="E59" s="156" t="str">
        <f>CHOOSE(Translations!$C$1+1,I59,J59,K59)</f>
        <v>Género</v>
      </c>
      <c r="F59" s="156" t="str">
        <f>CHOOSE(Translations!$C$1+1,M59,N59,O59)</f>
        <v>Hombres</v>
      </c>
      <c r="G59" s="156" t="s">
        <v>1648</v>
      </c>
      <c r="H59" s="157" t="s">
        <v>1649</v>
      </c>
      <c r="I59" s="157" t="s">
        <v>1450</v>
      </c>
      <c r="J59" s="157" t="s">
        <v>1451</v>
      </c>
      <c r="K59" s="157" t="s">
        <v>1452</v>
      </c>
      <c r="L59" s="156"/>
      <c r="M59" s="157" t="s">
        <v>1458</v>
      </c>
      <c r="N59" s="157" t="s">
        <v>1459</v>
      </c>
      <c r="O59" s="157" t="s">
        <v>1460</v>
      </c>
      <c r="P59" s="156"/>
      <c r="Q59" s="157" t="s">
        <v>1645</v>
      </c>
      <c r="R59" s="157" t="s">
        <v>1646</v>
      </c>
      <c r="S59" s="157" t="s">
        <v>1647</v>
      </c>
    </row>
    <row r="60" spans="1:19" s="9" customFormat="1" x14ac:dyDescent="0.25">
      <c r="A60" s="156" t="s">
        <v>1650</v>
      </c>
      <c r="B60" s="156" t="str">
        <f>CHOOSE(Translations!$C$1+1,Q60,R60,S60)</f>
        <v>Malaria I-6 Tasa de mortalidad por cualquier causa en menores de 5 años por cada 1.000 niños nacidos vivos</v>
      </c>
      <c r="C60" s="156">
        <f t="shared" si="0"/>
        <v>0</v>
      </c>
      <c r="D60" s="156" t="str">
        <f t="shared" si="1"/>
        <v>Malaria I-6 Tasa de mortalidad por cualquier causa en menores de 5 años por cada 1.000 niños nacidos vivos-0</v>
      </c>
      <c r="E60" s="156" t="str">
        <f>CHOOSE(Translations!$C$1+1,I60,J60,K60)</f>
        <v>Género</v>
      </c>
      <c r="F60" s="156" t="str">
        <f>CHOOSE(Translations!$C$1+1,M60,N60,O60)</f>
        <v>Mujeres</v>
      </c>
      <c r="G60" s="156" t="s">
        <v>1651</v>
      </c>
      <c r="H60" s="157" t="s">
        <v>1652</v>
      </c>
      <c r="I60" s="157" t="s">
        <v>1450</v>
      </c>
      <c r="J60" s="157" t="s">
        <v>1451</v>
      </c>
      <c r="K60" s="157" t="s">
        <v>1452</v>
      </c>
      <c r="L60" s="156"/>
      <c r="M60" s="157" t="s">
        <v>1453</v>
      </c>
      <c r="N60" s="157" t="s">
        <v>1454</v>
      </c>
      <c r="O60" s="157" t="s">
        <v>1455</v>
      </c>
      <c r="P60" s="156"/>
      <c r="Q60" s="157" t="s">
        <v>1653</v>
      </c>
      <c r="R60" s="157" t="s">
        <v>1654</v>
      </c>
      <c r="S60" s="157" t="s">
        <v>1655</v>
      </c>
    </row>
    <row r="61" spans="1:19" s="9" customFormat="1" x14ac:dyDescent="0.25">
      <c r="A61" s="156" t="s">
        <v>1650</v>
      </c>
      <c r="B61" s="156" t="str">
        <f>CHOOSE(Translations!$C$1+1,Q61,R61,S61)</f>
        <v>Malaria I-6 Tasa de mortalidad por cualquier causa en menores de 5 años por cada 1.000 niños nacidos vivos</v>
      </c>
      <c r="C61" s="156">
        <f t="shared" si="0"/>
        <v>1</v>
      </c>
      <c r="D61" s="156" t="str">
        <f t="shared" si="1"/>
        <v>Malaria I-6 Tasa de mortalidad por cualquier causa en menores de 5 años por cada 1.000 niños nacidos vivos-1</v>
      </c>
      <c r="E61" s="156" t="str">
        <f>CHOOSE(Translations!$C$1+1,I61,J61,K61)</f>
        <v>Género</v>
      </c>
      <c r="F61" s="156" t="str">
        <f>CHOOSE(Translations!$C$1+1,M61,N61,O61)</f>
        <v>Hombres</v>
      </c>
      <c r="G61" s="156" t="s">
        <v>1656</v>
      </c>
      <c r="H61" s="157" t="s">
        <v>1657</v>
      </c>
      <c r="I61" s="157" t="s">
        <v>1450</v>
      </c>
      <c r="J61" s="157" t="s">
        <v>1451</v>
      </c>
      <c r="K61" s="157" t="s">
        <v>1452</v>
      </c>
      <c r="L61" s="156"/>
      <c r="M61" s="157" t="s">
        <v>1458</v>
      </c>
      <c r="N61" s="157" t="s">
        <v>1459</v>
      </c>
      <c r="O61" s="157" t="s">
        <v>1460</v>
      </c>
      <c r="P61" s="156"/>
      <c r="Q61" s="157" t="s">
        <v>1653</v>
      </c>
      <c r="R61" s="157" t="s">
        <v>1654</v>
      </c>
      <c r="S61" s="157" t="s">
        <v>1655</v>
      </c>
    </row>
    <row r="62" spans="1:19" s="9" customFormat="1" x14ac:dyDescent="0.25">
      <c r="A62" s="156" t="s">
        <v>1658</v>
      </c>
      <c r="B62" s="156" t="str">
        <f>CHOOSE(Translations!$C$1+1,Q62,R62,S62)</f>
        <v>Malaria I-10⁽ᴹ⁾ Incidencia parasitaria anual: casos de malaria confirmados (con microscopio o prueba de diagnóstico rápido) al año por cada 1.000 personas (en entornos en fase de eliminación)</v>
      </c>
      <c r="C62" s="156">
        <f t="shared" si="0"/>
        <v>0</v>
      </c>
      <c r="D62" s="156" t="str">
        <f t="shared" si="1"/>
        <v>Malaria I-10⁽ᴹ⁾ Incidencia parasitaria anual: casos de malaria confirmados (con microscopio o prueba de diagnóstico rápido) al año por cada 1.000 personas (en entornos en fase de eliminación)-0</v>
      </c>
      <c r="E62" s="156" t="str">
        <f>CHOOSE(Translations!$C$1+1,I62,J62,K62)</f>
        <v>Fuente de infección</v>
      </c>
      <c r="F62" s="156" t="str">
        <f>CHOOSE(Translations!$C$1+1,M62,N62,O62)</f>
        <v>Locales-introducidas</v>
      </c>
      <c r="G62" s="156" t="s">
        <v>1659</v>
      </c>
      <c r="H62" s="157" t="s">
        <v>1660</v>
      </c>
      <c r="I62" s="157" t="s">
        <v>1661</v>
      </c>
      <c r="J62" s="157" t="s">
        <v>1662</v>
      </c>
      <c r="K62" s="157" t="s">
        <v>1663</v>
      </c>
      <c r="L62" s="156"/>
      <c r="M62" s="157" t="s">
        <v>1664</v>
      </c>
      <c r="N62" s="157" t="s">
        <v>1665</v>
      </c>
      <c r="O62" s="157" t="s">
        <v>1666</v>
      </c>
      <c r="P62" s="156"/>
      <c r="Q62" s="157" t="s">
        <v>1667</v>
      </c>
      <c r="R62" s="157" t="s">
        <v>1668</v>
      </c>
      <c r="S62" s="157" t="s">
        <v>1669</v>
      </c>
    </row>
    <row r="63" spans="1:19" s="9" customFormat="1" x14ac:dyDescent="0.25">
      <c r="A63" s="156" t="s">
        <v>1658</v>
      </c>
      <c r="B63" s="156" t="str">
        <f>CHOOSE(Translations!$C$1+1,Q63,R63,S63)</f>
        <v>Malaria I-10⁽ᴹ⁾ Incidencia parasitaria anual: casos de malaria confirmados (con microscopio o prueba de diagnóstico rápido) al año por cada 1.000 personas (en entornos en fase de eliminación)</v>
      </c>
      <c r="C63" s="156">
        <f t="shared" si="0"/>
        <v>1</v>
      </c>
      <c r="D63" s="156" t="str">
        <f t="shared" si="1"/>
        <v>Malaria I-10⁽ᴹ⁾ Incidencia parasitaria anual: casos de malaria confirmados (con microscopio o prueba de diagnóstico rápido) al año por cada 1.000 personas (en entornos en fase de eliminación)-1</v>
      </c>
      <c r="E63" s="156" t="str">
        <f>CHOOSE(Translations!$C$1+1,I63,J63,K63)</f>
        <v>Fuente de infección</v>
      </c>
      <c r="F63" s="156" t="str">
        <f>CHOOSE(Translations!$C$1+1,M63,N63,O63)</f>
        <v>Locales-autoctónas</v>
      </c>
      <c r="G63" s="156" t="s">
        <v>1670</v>
      </c>
      <c r="H63" s="157" t="s">
        <v>1671</v>
      </c>
      <c r="I63" s="157" t="s">
        <v>1661</v>
      </c>
      <c r="J63" s="157" t="s">
        <v>1662</v>
      </c>
      <c r="K63" s="157" t="s">
        <v>1663</v>
      </c>
      <c r="L63" s="156"/>
      <c r="M63" s="157" t="s">
        <v>1672</v>
      </c>
      <c r="N63" s="157" t="s">
        <v>1673</v>
      </c>
      <c r="O63" s="157" t="s">
        <v>1674</v>
      </c>
      <c r="P63" s="156"/>
      <c r="Q63" s="157" t="s">
        <v>1667</v>
      </c>
      <c r="R63" s="157" t="s">
        <v>1668</v>
      </c>
      <c r="S63" s="157" t="s">
        <v>1669</v>
      </c>
    </row>
    <row r="64" spans="1:19" s="9" customFormat="1" x14ac:dyDescent="0.25">
      <c r="A64" s="156" t="s">
        <v>1658</v>
      </c>
      <c r="B64" s="156" t="str">
        <f>CHOOSE(Translations!$C$1+1,Q64,R64,S64)</f>
        <v>Malaria I-10⁽ᴹ⁾ Incidencia parasitaria anual: casos de malaria confirmados (con microscopio o prueba de diagnóstico rápido) al año por cada 1.000 personas (en entornos en fase de eliminación)</v>
      </c>
      <c r="C64" s="156">
        <f t="shared" si="0"/>
        <v>2</v>
      </c>
      <c r="D64" s="156" t="str">
        <f t="shared" si="1"/>
        <v>Malaria I-10⁽ᴹ⁾ Incidencia parasitaria anual: casos de malaria confirmados (con microscopio o prueba de diagnóstico rápido) al año por cada 1.000 personas (en entornos en fase de eliminación)-2</v>
      </c>
      <c r="E64" s="156" t="str">
        <f>CHOOSE(Translations!$C$1+1,I64,J64,K64)</f>
        <v>Fuente de infección</v>
      </c>
      <c r="F64" s="156" t="str">
        <f>CHOOSE(Translations!$C$1+1,M64,N64,O64)</f>
        <v>Inducidas</v>
      </c>
      <c r="G64" s="156" t="s">
        <v>1675</v>
      </c>
      <c r="H64" s="157" t="s">
        <v>1676</v>
      </c>
      <c r="I64" s="157" t="s">
        <v>1661</v>
      </c>
      <c r="J64" s="157" t="s">
        <v>1662</v>
      </c>
      <c r="K64" s="157" t="s">
        <v>1663</v>
      </c>
      <c r="L64" s="156"/>
      <c r="M64" s="157" t="s">
        <v>1677</v>
      </c>
      <c r="N64" s="157" t="s">
        <v>1678</v>
      </c>
      <c r="O64" s="157" t="s">
        <v>1679</v>
      </c>
      <c r="P64" s="156"/>
      <c r="Q64" s="157" t="s">
        <v>1667</v>
      </c>
      <c r="R64" s="157" t="s">
        <v>1668</v>
      </c>
      <c r="S64" s="157" t="s">
        <v>1669</v>
      </c>
    </row>
    <row r="65" spans="1:19" s="9" customFormat="1" x14ac:dyDescent="0.25">
      <c r="A65" s="156" t="s">
        <v>1658</v>
      </c>
      <c r="B65" s="156" t="str">
        <f>CHOOSE(Translations!$C$1+1,Q65,R65,S65)</f>
        <v>Malaria I-10⁽ᴹ⁾ Incidencia parasitaria anual: casos de malaria confirmados (con microscopio o prueba de diagnóstico rápido) al año por cada 1.000 personas (en entornos en fase de eliminación)</v>
      </c>
      <c r="C65" s="156">
        <f t="shared" si="0"/>
        <v>3</v>
      </c>
      <c r="D65" s="156" t="str">
        <f t="shared" si="1"/>
        <v>Malaria I-10⁽ᴹ⁾ Incidencia parasitaria anual: casos de malaria confirmados (con microscopio o prueba de diagnóstico rápido) al año por cada 1.000 personas (en entornos en fase de eliminación)-3</v>
      </c>
      <c r="E65" s="156" t="str">
        <f>CHOOSE(Translations!$C$1+1,I65,J65,K65)</f>
        <v>Fuente de infección</v>
      </c>
      <c r="F65" s="156" t="str">
        <f>CHOOSE(Translations!$C$1+1,M65,N65,O65)</f>
        <v>Importadas</v>
      </c>
      <c r="G65" s="156" t="s">
        <v>1680</v>
      </c>
      <c r="H65" s="157" t="s">
        <v>1681</v>
      </c>
      <c r="I65" s="157" t="s">
        <v>1661</v>
      </c>
      <c r="J65" s="157" t="s">
        <v>1662</v>
      </c>
      <c r="K65" s="157" t="s">
        <v>1663</v>
      </c>
      <c r="L65" s="156"/>
      <c r="M65" s="157" t="s">
        <v>1682</v>
      </c>
      <c r="N65" s="157" t="s">
        <v>1683</v>
      </c>
      <c r="O65" s="157" t="s">
        <v>1684</v>
      </c>
      <c r="P65" s="156"/>
      <c r="Q65" s="157" t="s">
        <v>1667</v>
      </c>
      <c r="R65" s="157" t="s">
        <v>1668</v>
      </c>
      <c r="S65" s="157" t="s">
        <v>1669</v>
      </c>
    </row>
    <row r="67" spans="1:19" ht="13" x14ac:dyDescent="0.3">
      <c r="A67" s="2" t="s">
        <v>84</v>
      </c>
    </row>
    <row r="68" spans="1:19" x14ac:dyDescent="0.25">
      <c r="A68" s="156" t="s">
        <v>75</v>
      </c>
      <c r="B68" s="156" t="s">
        <v>448</v>
      </c>
      <c r="C68" s="156">
        <v>0</v>
      </c>
      <c r="D68" s="156" t="s">
        <v>83</v>
      </c>
      <c r="E68" s="156" t="s">
        <v>464</v>
      </c>
      <c r="F68" s="156" t="s">
        <v>466</v>
      </c>
      <c r="G68" s="156" t="s">
        <v>48</v>
      </c>
      <c r="H68" s="156" t="s">
        <v>366</v>
      </c>
      <c r="I68" s="156" t="s">
        <v>34</v>
      </c>
      <c r="J68" s="156" t="s">
        <v>457</v>
      </c>
      <c r="K68" s="156" t="s">
        <v>459</v>
      </c>
      <c r="L68" s="156" t="s">
        <v>27</v>
      </c>
      <c r="M68" s="156" t="s">
        <v>461</v>
      </c>
      <c r="N68" s="156" t="s">
        <v>463</v>
      </c>
      <c r="O68" s="156" t="s">
        <v>43</v>
      </c>
      <c r="P68" s="156" t="s">
        <v>446</v>
      </c>
      <c r="Q68" s="156" t="s">
        <v>444</v>
      </c>
    </row>
    <row r="69" spans="1:19" hidden="1" x14ac:dyDescent="0.25">
      <c r="A69" s="156" t="s">
        <v>74</v>
      </c>
      <c r="B69" s="156" t="str">
        <f>CHOOSE(Translations!$C$1+1,O69,P69,Q69)</f>
        <v>[Name - ES]</v>
      </c>
      <c r="C69" s="156">
        <f>IF(O69=O68,C68+1,0)</f>
        <v>0</v>
      </c>
      <c r="D69" s="156" t="str">
        <f>B69&amp;"-"&amp;C69</f>
        <v>[Name - ES]-0</v>
      </c>
      <c r="E69" s="156" t="str">
        <f>CHOOSE(Translations!$C$1+1,I69,J69,K69)</f>
        <v>[Category - ES]</v>
      </c>
      <c r="F69" s="156" t="str">
        <f>CHOOSE(Translations!$C$1+1,L69,M69,N69)</f>
        <v>[Disaggregation - ES]</v>
      </c>
      <c r="G69" s="156" t="s">
        <v>47</v>
      </c>
      <c r="H69" s="157" t="s">
        <v>365</v>
      </c>
      <c r="I69" s="157" t="s">
        <v>77</v>
      </c>
      <c r="J69" s="157" t="s">
        <v>456</v>
      </c>
      <c r="K69" s="157" t="s">
        <v>458</v>
      </c>
      <c r="L69" s="157" t="s">
        <v>76</v>
      </c>
      <c r="M69" s="157" t="s">
        <v>460</v>
      </c>
      <c r="N69" s="157" t="s">
        <v>462</v>
      </c>
      <c r="O69" s="157" t="s">
        <v>66</v>
      </c>
      <c r="P69" s="157" t="s">
        <v>445</v>
      </c>
      <c r="Q69" s="157" t="s">
        <v>443</v>
      </c>
    </row>
    <row r="70" spans="1:19" s="9" customFormat="1" x14ac:dyDescent="0.25">
      <c r="A70" s="156" t="s">
        <v>1685</v>
      </c>
      <c r="B70" s="156" t="str">
        <f>CHOOSE(Translations!$C$1+1,O70,P70,Q70)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0" s="156">
        <f t="shared" ref="C70:C133" si="2">IF(O70=O69,C69+1,0)</f>
        <v>0</v>
      </c>
      <c r="D70" s="156" t="str">
        <f t="shared" ref="D70:D133" si="3">B70&amp;"-"&amp;C70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meses.-0</v>
      </c>
      <c r="E70" s="156" t="str">
        <f>CHOOSE(Translations!$C$1+1,I70,J70,K70)</f>
        <v>Género</v>
      </c>
      <c r="F70" s="156" t="str">
        <f>CHOOSE(Translations!$C$1+1,L70,M70,N70)</f>
        <v>Mujeres</v>
      </c>
      <c r="G70" s="156" t="s">
        <v>1686</v>
      </c>
      <c r="H70" s="157" t="s">
        <v>1687</v>
      </c>
      <c r="I70" s="157" t="s">
        <v>1450</v>
      </c>
      <c r="J70" s="157" t="s">
        <v>1451</v>
      </c>
      <c r="K70" s="157" t="s">
        <v>1452</v>
      </c>
      <c r="L70" s="157" t="s">
        <v>1453</v>
      </c>
      <c r="M70" s="157" t="s">
        <v>1454</v>
      </c>
      <c r="N70" s="157" t="s">
        <v>1455</v>
      </c>
      <c r="O70" s="157" t="s">
        <v>1688</v>
      </c>
      <c r="P70" s="157" t="s">
        <v>1689</v>
      </c>
      <c r="Q70" s="157" t="s">
        <v>1690</v>
      </c>
    </row>
    <row r="71" spans="1:19" s="9" customFormat="1" x14ac:dyDescent="0.25">
      <c r="A71" s="156" t="s">
        <v>1685</v>
      </c>
      <c r="B71" s="156" t="str">
        <f>CHOOSE(Translations!$C$1+1,O71,P71,Q71)</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1" s="156">
        <f t="shared" si="2"/>
        <v>1</v>
      </c>
      <c r="D71"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meses.-1</v>
      </c>
      <c r="E71" s="156" t="str">
        <f>CHOOSE(Translations!$C$1+1,I71,J71,K71)</f>
        <v>Género</v>
      </c>
      <c r="F71" s="156" t="str">
        <f>CHOOSE(Translations!$C$1+1,L71,M71,N71)</f>
        <v>Hombres</v>
      </c>
      <c r="G71" s="156" t="s">
        <v>1691</v>
      </c>
      <c r="H71" s="157" t="s">
        <v>1692</v>
      </c>
      <c r="I71" s="157" t="s">
        <v>1450</v>
      </c>
      <c r="J71" s="157" t="s">
        <v>1451</v>
      </c>
      <c r="K71" s="157" t="s">
        <v>1452</v>
      </c>
      <c r="L71" s="157" t="s">
        <v>1458</v>
      </c>
      <c r="M71" s="157" t="s">
        <v>1459</v>
      </c>
      <c r="N71" s="157" t="s">
        <v>1460</v>
      </c>
      <c r="O71" s="157" t="s">
        <v>1688</v>
      </c>
      <c r="P71" s="157" t="s">
        <v>1689</v>
      </c>
      <c r="Q71" s="157" t="s">
        <v>1690</v>
      </c>
    </row>
    <row r="72" spans="1:19" s="9" customFormat="1" x14ac:dyDescent="0.25">
      <c r="A72" s="156" t="s">
        <v>1685</v>
      </c>
      <c r="B72" s="156" t="str">
        <f>CHOOSE(Translations!$C$1+1,O72,P72,Q72)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2" s="156">
        <f t="shared" si="2"/>
        <v>2</v>
      </c>
      <c r="D72"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meses.-2</v>
      </c>
      <c r="E72" s="156" t="str">
        <f>CHOOSE(Translations!$C$1+1,I72,J72,K72)</f>
        <v>Edad</v>
      </c>
      <c r="F72" s="156" t="str">
        <f>CHOOSE(Translations!$C$1+1,L72,M72,N72)</f>
        <v>25+</v>
      </c>
      <c r="G72" s="156" t="s">
        <v>1693</v>
      </c>
      <c r="H72" s="157" t="s">
        <v>1694</v>
      </c>
      <c r="I72" s="157" t="s">
        <v>1463</v>
      </c>
      <c r="J72" s="157" t="s">
        <v>1463</v>
      </c>
      <c r="K72" s="157" t="s">
        <v>1464</v>
      </c>
      <c r="L72" s="157" t="s">
        <v>1516</v>
      </c>
      <c r="M72" s="157" t="s">
        <v>1516</v>
      </c>
      <c r="N72" s="157" t="s">
        <v>1516</v>
      </c>
      <c r="O72" s="157" t="s">
        <v>1688</v>
      </c>
      <c r="P72" s="157" t="s">
        <v>1689</v>
      </c>
      <c r="Q72" s="157" t="s">
        <v>1690</v>
      </c>
    </row>
    <row r="73" spans="1:19" s="9" customFormat="1" x14ac:dyDescent="0.25">
      <c r="A73" s="156" t="s">
        <v>1685</v>
      </c>
      <c r="B73" s="156" t="str">
        <f>CHOOSE(Translations!$C$1+1,O73,P73,Q73)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3" s="156">
        <f t="shared" si="2"/>
        <v>3</v>
      </c>
      <c r="D73"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meses.-3</v>
      </c>
      <c r="E73" s="156" t="str">
        <f>CHOOSE(Translations!$C$1+1,I73,J73,K73)</f>
        <v>Edad</v>
      </c>
      <c r="F73" s="156" t="str">
        <f>CHOOSE(Translations!$C$1+1,L73,M73,N73)</f>
        <v>20-24</v>
      </c>
      <c r="G73" s="156" t="s">
        <v>1695</v>
      </c>
      <c r="H73" s="157" t="s">
        <v>1696</v>
      </c>
      <c r="I73" s="157" t="s">
        <v>1463</v>
      </c>
      <c r="J73" s="157" t="s">
        <v>1463</v>
      </c>
      <c r="K73" s="157" t="s">
        <v>1464</v>
      </c>
      <c r="L73" s="157" t="s">
        <v>1697</v>
      </c>
      <c r="M73" s="157" t="s">
        <v>1697</v>
      </c>
      <c r="N73" s="157" t="s">
        <v>1697</v>
      </c>
      <c r="O73" s="157" t="s">
        <v>1688</v>
      </c>
      <c r="P73" s="157" t="s">
        <v>1689</v>
      </c>
      <c r="Q73" s="157" t="s">
        <v>1690</v>
      </c>
    </row>
    <row r="74" spans="1:19" s="9" customFormat="1" x14ac:dyDescent="0.25">
      <c r="A74" s="156" t="s">
        <v>1685</v>
      </c>
      <c r="B74" s="156" t="str">
        <f>CHOOSE(Translations!$C$1+1,O74,P74,Q74)</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4" s="156">
        <f t="shared" si="2"/>
        <v>4</v>
      </c>
      <c r="D74"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meses.-4</v>
      </c>
      <c r="E74" s="156" t="str">
        <f>CHOOSE(Translations!$C$1+1,I74,J74,K74)</f>
        <v>Edad</v>
      </c>
      <c r="F74" s="156" t="str">
        <f>CHOOSE(Translations!$C$1+1,L74,M74,N74)</f>
        <v>15-19</v>
      </c>
      <c r="G74" s="156" t="s">
        <v>1698</v>
      </c>
      <c r="H74" s="157" t="s">
        <v>1699</v>
      </c>
      <c r="I74" s="157" t="s">
        <v>1463</v>
      </c>
      <c r="J74" s="157" t="s">
        <v>1463</v>
      </c>
      <c r="K74" s="157" t="s">
        <v>1464</v>
      </c>
      <c r="L74" s="157" t="s">
        <v>1700</v>
      </c>
      <c r="M74" s="157" t="s">
        <v>1700</v>
      </c>
      <c r="N74" s="157" t="s">
        <v>1700</v>
      </c>
      <c r="O74" s="157" t="s">
        <v>1688</v>
      </c>
      <c r="P74" s="157" t="s">
        <v>1689</v>
      </c>
      <c r="Q74" s="157" t="s">
        <v>1690</v>
      </c>
    </row>
    <row r="75" spans="1:19" s="9" customFormat="1" x14ac:dyDescent="0.25">
      <c r="A75" s="156" t="s">
        <v>1701</v>
      </c>
      <c r="B75" s="156" t="str">
        <f>CHOOSE(Translations!$C$1+1,O75,P75,Q75)</f>
        <v>HIV O-4a⁽ᴹ⁾ Porcentaje de hombres que afirman haber utilizado preservativo en su última relación de sexo anal con una pareja masculina no regular</v>
      </c>
      <c r="C75" s="156">
        <f t="shared" si="2"/>
        <v>0</v>
      </c>
      <c r="D75" s="156" t="str">
        <f t="shared" si="3"/>
        <v>HIV O-4a⁽ᴹ⁾ Porcentaje de hombres que afirman haber utilizado preservativo en su última relación de sexo anal con una pareja masculina no regular-0</v>
      </c>
      <c r="E75" s="156" t="str">
        <f>CHOOSE(Translations!$C$1+1,I75,J75,K75)</f>
        <v>Edad</v>
      </c>
      <c r="F75" s="156" t="str">
        <f>CHOOSE(Translations!$C$1+1,L75,M75,N75)</f>
        <v>25+</v>
      </c>
      <c r="G75" s="156" t="s">
        <v>1702</v>
      </c>
      <c r="H75" s="157" t="s">
        <v>1703</v>
      </c>
      <c r="I75" s="157" t="s">
        <v>1463</v>
      </c>
      <c r="J75" s="157" t="s">
        <v>1463</v>
      </c>
      <c r="K75" s="157" t="s">
        <v>1464</v>
      </c>
      <c r="L75" s="157" t="s">
        <v>1516</v>
      </c>
      <c r="M75" s="157" t="s">
        <v>1516</v>
      </c>
      <c r="N75" s="157" t="s">
        <v>1516</v>
      </c>
      <c r="O75" s="157" t="s">
        <v>1704</v>
      </c>
      <c r="P75" s="157" t="s">
        <v>1705</v>
      </c>
      <c r="Q75" s="157" t="s">
        <v>1706</v>
      </c>
    </row>
    <row r="76" spans="1:19" s="9" customFormat="1" x14ac:dyDescent="0.25">
      <c r="A76" s="156" t="s">
        <v>1701</v>
      </c>
      <c r="B76" s="156" t="str">
        <f>CHOOSE(Translations!$C$1+1,O76,P76,Q76)</f>
        <v>HIV O-4a⁽ᴹ⁾ Porcentaje de hombres que afirman haber utilizado preservativo en su última relación de sexo anal con una pareja masculina no regular</v>
      </c>
      <c r="C76" s="156">
        <f t="shared" si="2"/>
        <v>1</v>
      </c>
      <c r="D76" s="156" t="str">
        <f t="shared" si="3"/>
        <v>HIV O-4a⁽ᴹ⁾ Porcentaje de hombres que afirman haber utilizado preservativo en su última relación de sexo anal con una pareja masculina no regular-1</v>
      </c>
      <c r="E76" s="156" t="str">
        <f>CHOOSE(Translations!$C$1+1,I76,J76,K76)</f>
        <v>Edad</v>
      </c>
      <c r="F76" s="156" t="str">
        <f>CHOOSE(Translations!$C$1+1,L76,M76,N76)</f>
        <v>&lt;25</v>
      </c>
      <c r="G76" s="156" t="s">
        <v>1707</v>
      </c>
      <c r="H76" s="157" t="s">
        <v>1708</v>
      </c>
      <c r="I76" s="157" t="s">
        <v>1463</v>
      </c>
      <c r="J76" s="157" t="s">
        <v>1463</v>
      </c>
      <c r="K76" s="157" t="s">
        <v>1464</v>
      </c>
      <c r="L76" s="157" t="s">
        <v>1522</v>
      </c>
      <c r="M76" s="157" t="s">
        <v>1522</v>
      </c>
      <c r="N76" s="157" t="s">
        <v>1522</v>
      </c>
      <c r="O76" s="157" t="s">
        <v>1704</v>
      </c>
      <c r="P76" s="157" t="s">
        <v>1705</v>
      </c>
      <c r="Q76" s="157" t="s">
        <v>1706</v>
      </c>
    </row>
    <row r="77" spans="1:19" s="9" customFormat="1" x14ac:dyDescent="0.25">
      <c r="A77" s="156" t="s">
        <v>1709</v>
      </c>
      <c r="B77" s="156" t="str">
        <f>CHOOSE(Translations!$C$1+1,O77,P77,Q77)</f>
        <v>HIV O-4.1b⁽ᴹ⁾ Porcentaje de personas transgénero que afirman haber utilizado preservativo en su último encuentro sexual o relación de sexo anal con una pareja masculina no regular</v>
      </c>
      <c r="C77" s="156">
        <f t="shared" si="2"/>
        <v>0</v>
      </c>
      <c r="D77" s="156" t="str">
        <f t="shared" si="3"/>
        <v>HIV O-4.1b⁽ᴹ⁾ Porcentaje de personas transgénero que afirman haber utilizado preservativo en su último encuentro sexual o relación de sexo anal con una pareja masculina no regular-0</v>
      </c>
      <c r="E77" s="156" t="str">
        <f>CHOOSE(Translations!$C$1+1,I77,J77,K77)</f>
        <v>Edad</v>
      </c>
      <c r="F77" s="156" t="str">
        <f>CHOOSE(Translations!$C$1+1,L77,M77,N77)</f>
        <v>25+</v>
      </c>
      <c r="G77" s="156" t="s">
        <v>1710</v>
      </c>
      <c r="H77" s="157" t="s">
        <v>1711</v>
      </c>
      <c r="I77" s="157" t="s">
        <v>1463</v>
      </c>
      <c r="J77" s="157" t="s">
        <v>1463</v>
      </c>
      <c r="K77" s="157" t="s">
        <v>1464</v>
      </c>
      <c r="L77" s="157" t="s">
        <v>1516</v>
      </c>
      <c r="M77" s="157" t="s">
        <v>1516</v>
      </c>
      <c r="N77" s="157" t="s">
        <v>1516</v>
      </c>
      <c r="O77" s="157" t="s">
        <v>1712</v>
      </c>
      <c r="P77" s="157" t="s">
        <v>1713</v>
      </c>
      <c r="Q77" s="157" t="s">
        <v>1714</v>
      </c>
    </row>
    <row r="78" spans="1:19" s="9" customFormat="1" x14ac:dyDescent="0.25">
      <c r="A78" s="156" t="s">
        <v>1709</v>
      </c>
      <c r="B78" s="156" t="str">
        <f>CHOOSE(Translations!$C$1+1,O78,P78,Q78)</f>
        <v>HIV O-4.1b⁽ᴹ⁾ Porcentaje de personas transgénero que afirman haber utilizado preservativo en su último encuentro sexual o relación de sexo anal con una pareja masculina no regular</v>
      </c>
      <c r="C78" s="156">
        <f t="shared" si="2"/>
        <v>1</v>
      </c>
      <c r="D78" s="156" t="str">
        <f t="shared" si="3"/>
        <v>HIV O-4.1b⁽ᴹ⁾ Porcentaje de personas transgénero que afirman haber utilizado preservativo en su último encuentro sexual o relación de sexo anal con una pareja masculina no regular-1</v>
      </c>
      <c r="E78" s="156" t="str">
        <f>CHOOSE(Translations!$C$1+1,I78,J78,K78)</f>
        <v>Edad</v>
      </c>
      <c r="F78" s="156" t="str">
        <f>CHOOSE(Translations!$C$1+1,L78,M78,N78)</f>
        <v>&lt;25</v>
      </c>
      <c r="G78" s="156" t="s">
        <v>1715</v>
      </c>
      <c r="H78" s="157" t="s">
        <v>1716</v>
      </c>
      <c r="I78" s="157" t="s">
        <v>1463</v>
      </c>
      <c r="J78" s="157" t="s">
        <v>1463</v>
      </c>
      <c r="K78" s="157" t="s">
        <v>1464</v>
      </c>
      <c r="L78" s="157" t="s">
        <v>1522</v>
      </c>
      <c r="M78" s="157" t="s">
        <v>1522</v>
      </c>
      <c r="N78" s="157" t="s">
        <v>1522</v>
      </c>
      <c r="O78" s="157" t="s">
        <v>1712</v>
      </c>
      <c r="P78" s="157" t="s">
        <v>1713</v>
      </c>
      <c r="Q78" s="157" t="s">
        <v>1714</v>
      </c>
    </row>
    <row r="79" spans="1:19" s="9" customFormat="1" x14ac:dyDescent="0.25">
      <c r="A79" s="156" t="s">
        <v>1717</v>
      </c>
      <c r="B79" s="156" t="str">
        <f>CHOOSE(Translations!$C$1+1,O79,P79,Q79)</f>
        <v>HIV O-5⁽ᴹ⁾ Porcentaje de trabajadores sexuales que afirman haber utilizado preservativo con su último cliente</v>
      </c>
      <c r="C79" s="156">
        <f t="shared" si="2"/>
        <v>0</v>
      </c>
      <c r="D79" s="156" t="str">
        <f t="shared" si="3"/>
        <v>HIV O-5⁽ᴹ⁾ Porcentaje de trabajadores sexuales que afirman haber utilizado preservativo con su último cliente-0</v>
      </c>
      <c r="E79" s="156" t="str">
        <f>CHOOSE(Translations!$C$1+1,I79,J79,K79)</f>
        <v>Género</v>
      </c>
      <c r="F79" s="156" t="str">
        <f>CHOOSE(Translations!$C$1+1,L79,M79,N79)</f>
        <v>Transgénero</v>
      </c>
      <c r="G79" s="156" t="s">
        <v>1718</v>
      </c>
      <c r="H79" s="157" t="s">
        <v>1719</v>
      </c>
      <c r="I79" s="157" t="s">
        <v>1450</v>
      </c>
      <c r="J79" s="157" t="s">
        <v>1451</v>
      </c>
      <c r="K79" s="157" t="s">
        <v>1452</v>
      </c>
      <c r="L79" s="157" t="s">
        <v>1534</v>
      </c>
      <c r="M79" s="157" t="s">
        <v>1535</v>
      </c>
      <c r="N79" s="157" t="s">
        <v>1536</v>
      </c>
      <c r="O79" s="157" t="s">
        <v>1720</v>
      </c>
      <c r="P79" s="157" t="s">
        <v>1721</v>
      </c>
      <c r="Q79" s="157" t="s">
        <v>1722</v>
      </c>
    </row>
    <row r="80" spans="1:19" s="9" customFormat="1" x14ac:dyDescent="0.25">
      <c r="A80" s="156" t="s">
        <v>1717</v>
      </c>
      <c r="B80" s="156" t="str">
        <f>CHOOSE(Translations!$C$1+1,O80,P80,Q80)</f>
        <v>HIV O-5⁽ᴹ⁾ Porcentaje de trabajadores sexuales que afirman haber utilizado preservativo con su último cliente</v>
      </c>
      <c r="C80" s="156">
        <f t="shared" si="2"/>
        <v>1</v>
      </c>
      <c r="D80" s="156" t="str">
        <f t="shared" si="3"/>
        <v>HIV O-5⁽ᴹ⁾ Porcentaje de trabajadores sexuales que afirman haber utilizado preservativo con su último cliente-1</v>
      </c>
      <c r="E80" s="156" t="str">
        <f>CHOOSE(Translations!$C$1+1,I80,J80,K80)</f>
        <v>Género</v>
      </c>
      <c r="F80" s="156" t="str">
        <f>CHOOSE(Translations!$C$1+1,L80,M80,N80)</f>
        <v>Mujeres</v>
      </c>
      <c r="G80" s="156" t="s">
        <v>1723</v>
      </c>
      <c r="H80" s="157" t="s">
        <v>1724</v>
      </c>
      <c r="I80" s="157" t="s">
        <v>1450</v>
      </c>
      <c r="J80" s="157" t="s">
        <v>1451</v>
      </c>
      <c r="K80" s="157" t="s">
        <v>1452</v>
      </c>
      <c r="L80" s="157" t="s">
        <v>1453</v>
      </c>
      <c r="M80" s="157" t="s">
        <v>1454</v>
      </c>
      <c r="N80" s="157" t="s">
        <v>1455</v>
      </c>
      <c r="O80" s="157" t="s">
        <v>1720</v>
      </c>
      <c r="P80" s="157" t="s">
        <v>1721</v>
      </c>
      <c r="Q80" s="157" t="s">
        <v>1722</v>
      </c>
    </row>
    <row r="81" spans="1:17" s="9" customFormat="1" x14ac:dyDescent="0.25">
      <c r="A81" s="156" t="s">
        <v>1717</v>
      </c>
      <c r="B81" s="156" t="str">
        <f>CHOOSE(Translations!$C$1+1,O81,P81,Q81)</f>
        <v>HIV O-5⁽ᴹ⁾ Porcentaje de trabajadores sexuales que afirman haber utilizado preservativo con su último cliente</v>
      </c>
      <c r="C81" s="156">
        <f t="shared" si="2"/>
        <v>2</v>
      </c>
      <c r="D81" s="156" t="str">
        <f t="shared" si="3"/>
        <v>HIV O-5⁽ᴹ⁾ Porcentaje de trabajadores sexuales que afirman haber utilizado preservativo con su último cliente-2</v>
      </c>
      <c r="E81" s="156" t="str">
        <f>CHOOSE(Translations!$C$1+1,I81,J81,K81)</f>
        <v>Género</v>
      </c>
      <c r="F81" s="156" t="str">
        <f>CHOOSE(Translations!$C$1+1,L81,M81,N81)</f>
        <v>Hombres</v>
      </c>
      <c r="G81" s="156" t="s">
        <v>1725</v>
      </c>
      <c r="H81" s="157" t="s">
        <v>1726</v>
      </c>
      <c r="I81" s="157" t="s">
        <v>1450</v>
      </c>
      <c r="J81" s="157" t="s">
        <v>1451</v>
      </c>
      <c r="K81" s="157" t="s">
        <v>1452</v>
      </c>
      <c r="L81" s="157" t="s">
        <v>1458</v>
      </c>
      <c r="M81" s="157" t="s">
        <v>1459</v>
      </c>
      <c r="N81" s="157" t="s">
        <v>1460</v>
      </c>
      <c r="O81" s="157" t="s">
        <v>1720</v>
      </c>
      <c r="P81" s="157" t="s">
        <v>1721</v>
      </c>
      <c r="Q81" s="157" t="s">
        <v>1722</v>
      </c>
    </row>
    <row r="82" spans="1:17" s="9" customFormat="1" x14ac:dyDescent="0.25">
      <c r="A82" s="156" t="s">
        <v>1717</v>
      </c>
      <c r="B82" s="156" t="str">
        <f>CHOOSE(Translations!$C$1+1,O82,P82,Q82)</f>
        <v>HIV O-5⁽ᴹ⁾ Porcentaje de trabajadores sexuales que afirman haber utilizado preservativo con su último cliente</v>
      </c>
      <c r="C82" s="156">
        <f t="shared" si="2"/>
        <v>3</v>
      </c>
      <c r="D82" s="156" t="str">
        <f t="shared" si="3"/>
        <v>HIV O-5⁽ᴹ⁾ Porcentaje de trabajadores sexuales que afirman haber utilizado preservativo con su último cliente-3</v>
      </c>
      <c r="E82" s="156" t="str">
        <f>CHOOSE(Translations!$C$1+1,I82,J82,K82)</f>
        <v>Edad</v>
      </c>
      <c r="F82" s="156" t="str">
        <f>CHOOSE(Translations!$C$1+1,L82,M82,N82)</f>
        <v>25+</v>
      </c>
      <c r="G82" s="156" t="s">
        <v>1727</v>
      </c>
      <c r="H82" s="157" t="s">
        <v>1728</v>
      </c>
      <c r="I82" s="157" t="s">
        <v>1463</v>
      </c>
      <c r="J82" s="157" t="s">
        <v>1463</v>
      </c>
      <c r="K82" s="157" t="s">
        <v>1464</v>
      </c>
      <c r="L82" s="157" t="s">
        <v>1516</v>
      </c>
      <c r="M82" s="157" t="s">
        <v>1516</v>
      </c>
      <c r="N82" s="157" t="s">
        <v>1516</v>
      </c>
      <c r="O82" s="157" t="s">
        <v>1720</v>
      </c>
      <c r="P82" s="157" t="s">
        <v>1721</v>
      </c>
      <c r="Q82" s="157" t="s">
        <v>1722</v>
      </c>
    </row>
    <row r="83" spans="1:17" s="9" customFormat="1" x14ac:dyDescent="0.25">
      <c r="A83" s="156" t="s">
        <v>1717</v>
      </c>
      <c r="B83" s="156" t="str">
        <f>CHOOSE(Translations!$C$1+1,O83,P83,Q83)</f>
        <v>HIV O-5⁽ᴹ⁾ Porcentaje de trabajadores sexuales que afirman haber utilizado preservativo con su último cliente</v>
      </c>
      <c r="C83" s="156">
        <f t="shared" si="2"/>
        <v>4</v>
      </c>
      <c r="D83" s="156" t="str">
        <f t="shared" si="3"/>
        <v>HIV O-5⁽ᴹ⁾ Porcentaje de trabajadores sexuales que afirman haber utilizado preservativo con su último cliente-4</v>
      </c>
      <c r="E83" s="156" t="str">
        <f>CHOOSE(Translations!$C$1+1,I83,J83,K83)</f>
        <v>Edad</v>
      </c>
      <c r="F83" s="156" t="str">
        <f>CHOOSE(Translations!$C$1+1,L83,M83,N83)</f>
        <v>&lt;25</v>
      </c>
      <c r="G83" s="156" t="s">
        <v>1729</v>
      </c>
      <c r="H83" s="157" t="s">
        <v>1730</v>
      </c>
      <c r="I83" s="157" t="s">
        <v>1463</v>
      </c>
      <c r="J83" s="157" t="s">
        <v>1463</v>
      </c>
      <c r="K83" s="157" t="s">
        <v>1464</v>
      </c>
      <c r="L83" s="157" t="s">
        <v>1522</v>
      </c>
      <c r="M83" s="157" t="s">
        <v>1522</v>
      </c>
      <c r="N83" s="157" t="s">
        <v>1522</v>
      </c>
      <c r="O83" s="157" t="s">
        <v>1720</v>
      </c>
      <c r="P83" s="157" t="s">
        <v>1721</v>
      </c>
      <c r="Q83" s="157" t="s">
        <v>1722</v>
      </c>
    </row>
    <row r="84" spans="1:17" s="9" customFormat="1" x14ac:dyDescent="0.25">
      <c r="A84" s="156" t="s">
        <v>1731</v>
      </c>
      <c r="B84" s="156" t="str">
        <f>CHOOSE(Translations!$C$1+1,O84,P84,Q84)</f>
        <v>HIV O-6⁽ᴹ⁾ Porcentaje de consumidores de drogas inyectables que afirman haber utilizado material de inyección esterilizado en su última inyección</v>
      </c>
      <c r="C84" s="156">
        <f t="shared" si="2"/>
        <v>0</v>
      </c>
      <c r="D84" s="156" t="str">
        <f t="shared" si="3"/>
        <v>HIV O-6⁽ᴹ⁾ Porcentaje de consumidores de drogas inyectables que afirman haber utilizado material de inyección esterilizado en su última inyección-0</v>
      </c>
      <c r="E84" s="156" t="str">
        <f>CHOOSE(Translations!$C$1+1,I84,J84,K84)</f>
        <v>Género</v>
      </c>
      <c r="F84" s="156" t="str">
        <f>CHOOSE(Translations!$C$1+1,L84,M84,N84)</f>
        <v>Transgénero</v>
      </c>
      <c r="G84" s="156" t="s">
        <v>1732</v>
      </c>
      <c r="H84" s="157" t="s">
        <v>1733</v>
      </c>
      <c r="I84" s="157" t="s">
        <v>1450</v>
      </c>
      <c r="J84" s="157" t="s">
        <v>1451</v>
      </c>
      <c r="K84" s="157" t="s">
        <v>1452</v>
      </c>
      <c r="L84" s="157" t="s">
        <v>1534</v>
      </c>
      <c r="M84" s="157" t="s">
        <v>1535</v>
      </c>
      <c r="N84" s="157" t="s">
        <v>1536</v>
      </c>
      <c r="O84" s="157" t="s">
        <v>1734</v>
      </c>
      <c r="P84" s="157" t="s">
        <v>1735</v>
      </c>
      <c r="Q84" s="157" t="s">
        <v>1736</v>
      </c>
    </row>
    <row r="85" spans="1:17" s="9" customFormat="1" x14ac:dyDescent="0.25">
      <c r="A85" s="156" t="s">
        <v>1731</v>
      </c>
      <c r="B85" s="156" t="str">
        <f>CHOOSE(Translations!$C$1+1,O85,P85,Q85)</f>
        <v>HIV O-6⁽ᴹ⁾ Porcentaje de consumidores de drogas inyectables que afirman haber utilizado material de inyección esterilizado en su última inyección</v>
      </c>
      <c r="C85" s="156">
        <f t="shared" si="2"/>
        <v>1</v>
      </c>
      <c r="D85" s="156" t="str">
        <f t="shared" si="3"/>
        <v>HIV O-6⁽ᴹ⁾ Porcentaje de consumidores de drogas inyectables que afirman haber utilizado material de inyección esterilizado en su última inyección-1</v>
      </c>
      <c r="E85" s="156" t="str">
        <f>CHOOSE(Translations!$C$1+1,I85,J85,K85)</f>
        <v>Género</v>
      </c>
      <c r="F85" s="156" t="str">
        <f>CHOOSE(Translations!$C$1+1,L85,M85,N85)</f>
        <v>Mujeres</v>
      </c>
      <c r="G85" s="156" t="s">
        <v>1737</v>
      </c>
      <c r="H85" s="157" t="s">
        <v>1738</v>
      </c>
      <c r="I85" s="157" t="s">
        <v>1450</v>
      </c>
      <c r="J85" s="157" t="s">
        <v>1451</v>
      </c>
      <c r="K85" s="157" t="s">
        <v>1452</v>
      </c>
      <c r="L85" s="157" t="s">
        <v>1453</v>
      </c>
      <c r="M85" s="157" t="s">
        <v>1454</v>
      </c>
      <c r="N85" s="157" t="s">
        <v>1455</v>
      </c>
      <c r="O85" s="157" t="s">
        <v>1734</v>
      </c>
      <c r="P85" s="157" t="s">
        <v>1735</v>
      </c>
      <c r="Q85" s="157" t="s">
        <v>1736</v>
      </c>
    </row>
    <row r="86" spans="1:17" s="9" customFormat="1" x14ac:dyDescent="0.25">
      <c r="A86" s="156" t="s">
        <v>1731</v>
      </c>
      <c r="B86" s="156" t="str">
        <f>CHOOSE(Translations!$C$1+1,O86,P86,Q86)</f>
        <v>HIV O-6⁽ᴹ⁾ Porcentaje de consumidores de drogas inyectables que afirman haber utilizado material de inyección esterilizado en su última inyección</v>
      </c>
      <c r="C86" s="156">
        <f t="shared" si="2"/>
        <v>2</v>
      </c>
      <c r="D86" s="156" t="str">
        <f t="shared" si="3"/>
        <v>HIV O-6⁽ᴹ⁾ Porcentaje de consumidores de drogas inyectables que afirman haber utilizado material de inyección esterilizado en su última inyección-2</v>
      </c>
      <c r="E86" s="156" t="str">
        <f>CHOOSE(Translations!$C$1+1,I86,J86,K86)</f>
        <v>Género</v>
      </c>
      <c r="F86" s="156" t="str">
        <f>CHOOSE(Translations!$C$1+1,L86,M86,N86)</f>
        <v>Hombres</v>
      </c>
      <c r="G86" s="156" t="s">
        <v>1739</v>
      </c>
      <c r="H86" s="157" t="s">
        <v>1740</v>
      </c>
      <c r="I86" s="157" t="s">
        <v>1450</v>
      </c>
      <c r="J86" s="157" t="s">
        <v>1451</v>
      </c>
      <c r="K86" s="157" t="s">
        <v>1452</v>
      </c>
      <c r="L86" s="157" t="s">
        <v>1458</v>
      </c>
      <c r="M86" s="157" t="s">
        <v>1459</v>
      </c>
      <c r="N86" s="157" t="s">
        <v>1460</v>
      </c>
      <c r="O86" s="157" t="s">
        <v>1734</v>
      </c>
      <c r="P86" s="157" t="s">
        <v>1735</v>
      </c>
      <c r="Q86" s="157" t="s">
        <v>1736</v>
      </c>
    </row>
    <row r="87" spans="1:17" s="9" customFormat="1" x14ac:dyDescent="0.25">
      <c r="A87" s="156" t="s">
        <v>1731</v>
      </c>
      <c r="B87" s="156" t="str">
        <f>CHOOSE(Translations!$C$1+1,O87,P87,Q87)</f>
        <v>HIV O-6⁽ᴹ⁾ Porcentaje de consumidores de drogas inyectables que afirman haber utilizado material de inyección esterilizado en su última inyección</v>
      </c>
      <c r="C87" s="156">
        <f t="shared" si="2"/>
        <v>3</v>
      </c>
      <c r="D87" s="156" t="str">
        <f t="shared" si="3"/>
        <v>HIV O-6⁽ᴹ⁾ Porcentaje de consumidores de drogas inyectables que afirman haber utilizado material de inyección esterilizado en su última inyección-3</v>
      </c>
      <c r="E87" s="156" t="str">
        <f>CHOOSE(Translations!$C$1+1,I87,J87,K87)</f>
        <v>Edad</v>
      </c>
      <c r="F87" s="156" t="str">
        <f>CHOOSE(Translations!$C$1+1,L87,M87,N87)</f>
        <v>25+</v>
      </c>
      <c r="G87" s="156" t="s">
        <v>1741</v>
      </c>
      <c r="H87" s="157" t="s">
        <v>1742</v>
      </c>
      <c r="I87" s="157" t="s">
        <v>1463</v>
      </c>
      <c r="J87" s="157" t="s">
        <v>1463</v>
      </c>
      <c r="K87" s="157" t="s">
        <v>1464</v>
      </c>
      <c r="L87" s="157" t="s">
        <v>1516</v>
      </c>
      <c r="M87" s="157" t="s">
        <v>1516</v>
      </c>
      <c r="N87" s="157" t="s">
        <v>1516</v>
      </c>
      <c r="O87" s="157" t="s">
        <v>1734</v>
      </c>
      <c r="P87" s="157" t="s">
        <v>1735</v>
      </c>
      <c r="Q87" s="157" t="s">
        <v>1736</v>
      </c>
    </row>
    <row r="88" spans="1:17" s="9" customFormat="1" x14ac:dyDescent="0.25">
      <c r="A88" s="156" t="s">
        <v>1731</v>
      </c>
      <c r="B88" s="156" t="str">
        <f>CHOOSE(Translations!$C$1+1,O88,P88,Q88)</f>
        <v>HIV O-6⁽ᴹ⁾ Porcentaje de consumidores de drogas inyectables que afirman haber utilizado material de inyección esterilizado en su última inyección</v>
      </c>
      <c r="C88" s="156">
        <f t="shared" si="2"/>
        <v>4</v>
      </c>
      <c r="D88" s="156" t="str">
        <f t="shared" si="3"/>
        <v>HIV O-6⁽ᴹ⁾ Porcentaje de consumidores de drogas inyectables que afirman haber utilizado material de inyección esterilizado en su última inyección-4</v>
      </c>
      <c r="E88" s="156" t="str">
        <f>CHOOSE(Translations!$C$1+1,I88,J88,K88)</f>
        <v>Edad</v>
      </c>
      <c r="F88" s="156" t="str">
        <f>CHOOSE(Translations!$C$1+1,L88,M88,N88)</f>
        <v>&lt;25</v>
      </c>
      <c r="G88" s="156" t="s">
        <v>1743</v>
      </c>
      <c r="H88" s="157" t="s">
        <v>1744</v>
      </c>
      <c r="I88" s="157" t="s">
        <v>1463</v>
      </c>
      <c r="J88" s="157" t="s">
        <v>1463</v>
      </c>
      <c r="K88" s="157" t="s">
        <v>1464</v>
      </c>
      <c r="L88" s="157" t="s">
        <v>1522</v>
      </c>
      <c r="M88" s="157" t="s">
        <v>1522</v>
      </c>
      <c r="N88" s="157" t="s">
        <v>1522</v>
      </c>
      <c r="O88" s="157" t="s">
        <v>1734</v>
      </c>
      <c r="P88" s="157" t="s">
        <v>1735</v>
      </c>
      <c r="Q88" s="157" t="s">
        <v>1736</v>
      </c>
    </row>
    <row r="89" spans="1:17" s="9" customFormat="1" x14ac:dyDescent="0.25">
      <c r="A89" s="156" t="s">
        <v>1745</v>
      </c>
      <c r="B89" s="156" t="str">
        <f>CHOOSE(Translations!$C$1+1,O89,P89,Q89)</f>
        <v>HIV O-9 Porcentaje de consumidores de drogas inyectables que afirman haber utilizado preservativo en su última relación sexual</v>
      </c>
      <c r="C89" s="156">
        <f t="shared" si="2"/>
        <v>0</v>
      </c>
      <c r="D89" s="156" t="str">
        <f t="shared" si="3"/>
        <v>HIV O-9 Porcentaje de consumidores de drogas inyectables que afirman haber utilizado preservativo en su última relación sexual-0</v>
      </c>
      <c r="E89" s="156" t="str">
        <f>CHOOSE(Translations!$C$1+1,I89,J89,K89)</f>
        <v>Género</v>
      </c>
      <c r="F89" s="156" t="str">
        <f>CHOOSE(Translations!$C$1+1,L89,M89,N89)</f>
        <v>Transgénero</v>
      </c>
      <c r="G89" s="156" t="s">
        <v>1746</v>
      </c>
      <c r="H89" s="157" t="s">
        <v>1747</v>
      </c>
      <c r="I89" s="157" t="s">
        <v>1450</v>
      </c>
      <c r="J89" s="157" t="s">
        <v>1451</v>
      </c>
      <c r="K89" s="157" t="s">
        <v>1452</v>
      </c>
      <c r="L89" s="157" t="s">
        <v>1534</v>
      </c>
      <c r="M89" s="157" t="s">
        <v>1535</v>
      </c>
      <c r="N89" s="157" t="s">
        <v>1536</v>
      </c>
      <c r="O89" s="157" t="s">
        <v>1748</v>
      </c>
      <c r="P89" s="157" t="s">
        <v>1749</v>
      </c>
      <c r="Q89" s="157" t="s">
        <v>1750</v>
      </c>
    </row>
    <row r="90" spans="1:17" s="9" customFormat="1" x14ac:dyDescent="0.25">
      <c r="A90" s="156" t="s">
        <v>1745</v>
      </c>
      <c r="B90" s="156" t="str">
        <f>CHOOSE(Translations!$C$1+1,O90,P90,Q90)</f>
        <v>HIV O-9 Porcentaje de consumidores de drogas inyectables que afirman haber utilizado preservativo en su última relación sexual</v>
      </c>
      <c r="C90" s="156">
        <f t="shared" si="2"/>
        <v>1</v>
      </c>
      <c r="D90" s="156" t="str">
        <f t="shared" si="3"/>
        <v>HIV O-9 Porcentaje de consumidores de drogas inyectables que afirman haber utilizado preservativo en su última relación sexual-1</v>
      </c>
      <c r="E90" s="156" t="str">
        <f>CHOOSE(Translations!$C$1+1,I90,J90,K90)</f>
        <v>Género</v>
      </c>
      <c r="F90" s="156" t="str">
        <f>CHOOSE(Translations!$C$1+1,L90,M90,N90)</f>
        <v>Mujeres</v>
      </c>
      <c r="G90" s="156" t="s">
        <v>1751</v>
      </c>
      <c r="H90" s="157" t="s">
        <v>1752</v>
      </c>
      <c r="I90" s="157" t="s">
        <v>1450</v>
      </c>
      <c r="J90" s="157" t="s">
        <v>1451</v>
      </c>
      <c r="K90" s="157" t="s">
        <v>1452</v>
      </c>
      <c r="L90" s="157" t="s">
        <v>1453</v>
      </c>
      <c r="M90" s="157" t="s">
        <v>1454</v>
      </c>
      <c r="N90" s="157" t="s">
        <v>1455</v>
      </c>
      <c r="O90" s="157" t="s">
        <v>1748</v>
      </c>
      <c r="P90" s="157" t="s">
        <v>1749</v>
      </c>
      <c r="Q90" s="157" t="s">
        <v>1750</v>
      </c>
    </row>
    <row r="91" spans="1:17" s="9" customFormat="1" x14ac:dyDescent="0.25">
      <c r="A91" s="156" t="s">
        <v>1745</v>
      </c>
      <c r="B91" s="156" t="str">
        <f>CHOOSE(Translations!$C$1+1,O91,P91,Q91)</f>
        <v>HIV O-9 Porcentaje de consumidores de drogas inyectables que afirman haber utilizado preservativo en su última relación sexual</v>
      </c>
      <c r="C91" s="156">
        <f t="shared" si="2"/>
        <v>2</v>
      </c>
      <c r="D91" s="156" t="str">
        <f t="shared" si="3"/>
        <v>HIV O-9 Porcentaje de consumidores de drogas inyectables que afirman haber utilizado preservativo en su última relación sexual-2</v>
      </c>
      <c r="E91" s="156" t="str">
        <f>CHOOSE(Translations!$C$1+1,I91,J91,K91)</f>
        <v>Género</v>
      </c>
      <c r="F91" s="156" t="str">
        <f>CHOOSE(Translations!$C$1+1,L91,M91,N91)</f>
        <v>Hombres</v>
      </c>
      <c r="G91" s="156" t="s">
        <v>1753</v>
      </c>
      <c r="H91" s="157" t="s">
        <v>1754</v>
      </c>
      <c r="I91" s="157" t="s">
        <v>1450</v>
      </c>
      <c r="J91" s="157" t="s">
        <v>1451</v>
      </c>
      <c r="K91" s="157" t="s">
        <v>1452</v>
      </c>
      <c r="L91" s="157" t="s">
        <v>1458</v>
      </c>
      <c r="M91" s="157" t="s">
        <v>1459</v>
      </c>
      <c r="N91" s="157" t="s">
        <v>1460</v>
      </c>
      <c r="O91" s="157" t="s">
        <v>1748</v>
      </c>
      <c r="P91" s="157" t="s">
        <v>1749</v>
      </c>
      <c r="Q91" s="157" t="s">
        <v>1750</v>
      </c>
    </row>
    <row r="92" spans="1:17" s="9" customFormat="1" x14ac:dyDescent="0.25">
      <c r="A92" s="156" t="s">
        <v>1745</v>
      </c>
      <c r="B92" s="156" t="str">
        <f>CHOOSE(Translations!$C$1+1,O92,P92,Q92)</f>
        <v>HIV O-9 Porcentaje de consumidores de drogas inyectables que afirman haber utilizado preservativo en su última relación sexual</v>
      </c>
      <c r="C92" s="156">
        <f t="shared" si="2"/>
        <v>3</v>
      </c>
      <c r="D92" s="156" t="str">
        <f t="shared" si="3"/>
        <v>HIV O-9 Porcentaje de consumidores de drogas inyectables que afirman haber utilizado preservativo en su última relación sexual-3</v>
      </c>
      <c r="E92" s="156" t="str">
        <f>CHOOSE(Translations!$C$1+1,I92,J92,K92)</f>
        <v>Edad</v>
      </c>
      <c r="F92" s="156" t="str">
        <f>CHOOSE(Translations!$C$1+1,L92,M92,N92)</f>
        <v>25+</v>
      </c>
      <c r="G92" s="156" t="s">
        <v>1755</v>
      </c>
      <c r="H92" s="157" t="s">
        <v>1756</v>
      </c>
      <c r="I92" s="157" t="s">
        <v>1463</v>
      </c>
      <c r="J92" s="157" t="s">
        <v>1463</v>
      </c>
      <c r="K92" s="157" t="s">
        <v>1464</v>
      </c>
      <c r="L92" s="157" t="s">
        <v>1516</v>
      </c>
      <c r="M92" s="157" t="s">
        <v>1516</v>
      </c>
      <c r="N92" s="157" t="s">
        <v>1516</v>
      </c>
      <c r="O92" s="157" t="s">
        <v>1748</v>
      </c>
      <c r="P92" s="157" t="s">
        <v>1749</v>
      </c>
      <c r="Q92" s="157" t="s">
        <v>1750</v>
      </c>
    </row>
    <row r="93" spans="1:17" s="9" customFormat="1" x14ac:dyDescent="0.25">
      <c r="A93" s="156" t="s">
        <v>1745</v>
      </c>
      <c r="B93" s="156" t="str">
        <f>CHOOSE(Translations!$C$1+1,O93,P93,Q93)</f>
        <v>HIV O-9 Porcentaje de consumidores de drogas inyectables que afirman haber utilizado preservativo en su última relación sexual</v>
      </c>
      <c r="C93" s="156">
        <f t="shared" si="2"/>
        <v>4</v>
      </c>
      <c r="D93" s="156" t="str">
        <f t="shared" si="3"/>
        <v>HIV O-9 Porcentaje de consumidores de drogas inyectables que afirman haber utilizado preservativo en su última relación sexual-4</v>
      </c>
      <c r="E93" s="156" t="str">
        <f>CHOOSE(Translations!$C$1+1,I93,J93,K93)</f>
        <v>Edad</v>
      </c>
      <c r="F93" s="156" t="str">
        <f>CHOOSE(Translations!$C$1+1,L93,M93,N93)</f>
        <v>&lt;25</v>
      </c>
      <c r="G93" s="156" t="s">
        <v>1757</v>
      </c>
      <c r="H93" s="157" t="s">
        <v>1758</v>
      </c>
      <c r="I93" s="157" t="s">
        <v>1463</v>
      </c>
      <c r="J93" s="157" t="s">
        <v>1463</v>
      </c>
      <c r="K93" s="157" t="s">
        <v>1464</v>
      </c>
      <c r="L93" s="157" t="s">
        <v>1522</v>
      </c>
      <c r="M93" s="157" t="s">
        <v>1522</v>
      </c>
      <c r="N93" s="157" t="s">
        <v>1522</v>
      </c>
      <c r="O93" s="157" t="s">
        <v>1748</v>
      </c>
      <c r="P93" s="157" t="s">
        <v>1749</v>
      </c>
      <c r="Q93" s="157" t="s">
        <v>1750</v>
      </c>
    </row>
    <row r="94" spans="1:17" s="9" customFormat="1" x14ac:dyDescent="0.25">
      <c r="A94" s="156" t="s">
        <v>1759</v>
      </c>
      <c r="B94" s="156" t="str">
        <f>CHOOSE(Translations!$C$1+1,O94,P94,Q94)</f>
        <v>HIV O-11⁽ᴹ⁾ Porcentaje de personas que viven con el VIH que conocen su Estatus de VIH al final del período de reporte</v>
      </c>
      <c r="C94" s="156">
        <f t="shared" si="2"/>
        <v>0</v>
      </c>
      <c r="D94" s="156" t="str">
        <f t="shared" si="3"/>
        <v>HIV O-11⁽ᴹ⁾ Porcentaje de personas que viven con el VIH que conocen su Estatus de VIH al final del período de reporte-0</v>
      </c>
      <c r="E94" s="156" t="str">
        <f>CHOOSE(Translations!$C$1+1,I94,J94,K94)</f>
        <v>Género</v>
      </c>
      <c r="F94" s="156" t="str">
        <f>CHOOSE(Translations!$C$1+1,L94,M94,N94)</f>
        <v>Transgénero</v>
      </c>
      <c r="G94" s="156" t="s">
        <v>1760</v>
      </c>
      <c r="H94" s="157" t="s">
        <v>1761</v>
      </c>
      <c r="I94" s="157" t="s">
        <v>1450</v>
      </c>
      <c r="J94" s="157" t="s">
        <v>1451</v>
      </c>
      <c r="K94" s="157" t="s">
        <v>1452</v>
      </c>
      <c r="L94" s="157" t="s">
        <v>1534</v>
      </c>
      <c r="M94" s="157" t="s">
        <v>1535</v>
      </c>
      <c r="N94" s="157" t="s">
        <v>1536</v>
      </c>
      <c r="O94" s="157" t="s">
        <v>1762</v>
      </c>
      <c r="P94" s="157" t="s">
        <v>1763</v>
      </c>
      <c r="Q94" s="157" t="s">
        <v>1764</v>
      </c>
    </row>
    <row r="95" spans="1:17" s="9" customFormat="1" x14ac:dyDescent="0.25">
      <c r="A95" s="156" t="s">
        <v>1759</v>
      </c>
      <c r="B95" s="156" t="str">
        <f>CHOOSE(Translations!$C$1+1,O95,P95,Q95)</f>
        <v>HIV O-11⁽ᴹ⁾ Porcentaje de personas que viven con el VIH que conocen su Estatus de VIH al final del período de reporte</v>
      </c>
      <c r="C95" s="156">
        <f t="shared" si="2"/>
        <v>1</v>
      </c>
      <c r="D95" s="156" t="str">
        <f t="shared" si="3"/>
        <v>HIV O-11⁽ᴹ⁾ Porcentaje de personas que viven con el VIH que conocen su Estatus de VIH al final del período de reporte-1</v>
      </c>
      <c r="E95" s="156" t="str">
        <f>CHOOSE(Translations!$C$1+1,I95,J95,K95)</f>
        <v>Género</v>
      </c>
      <c r="F95" s="156" t="str">
        <f>CHOOSE(Translations!$C$1+1,L95,M95,N95)</f>
        <v>Mujeres</v>
      </c>
      <c r="G95" s="156" t="s">
        <v>1765</v>
      </c>
      <c r="H95" s="157" t="s">
        <v>1766</v>
      </c>
      <c r="I95" s="157" t="s">
        <v>1450</v>
      </c>
      <c r="J95" s="157" t="s">
        <v>1451</v>
      </c>
      <c r="K95" s="157" t="s">
        <v>1452</v>
      </c>
      <c r="L95" s="157" t="s">
        <v>1453</v>
      </c>
      <c r="M95" s="157" t="s">
        <v>1454</v>
      </c>
      <c r="N95" s="157" t="s">
        <v>1455</v>
      </c>
      <c r="O95" s="157" t="s">
        <v>1762</v>
      </c>
      <c r="P95" s="157" t="s">
        <v>1763</v>
      </c>
      <c r="Q95" s="157" t="s">
        <v>1764</v>
      </c>
    </row>
    <row r="96" spans="1:17" s="9" customFormat="1" x14ac:dyDescent="0.25">
      <c r="A96" s="156" t="s">
        <v>1759</v>
      </c>
      <c r="B96" s="156" t="str">
        <f>CHOOSE(Translations!$C$1+1,O96,P96,Q96)</f>
        <v>HIV O-11⁽ᴹ⁾ Porcentaje de personas que viven con el VIH que conocen su Estatus de VIH al final del período de reporte</v>
      </c>
      <c r="C96" s="156">
        <f t="shared" si="2"/>
        <v>2</v>
      </c>
      <c r="D96" s="156" t="str">
        <f t="shared" si="3"/>
        <v>HIV O-11⁽ᴹ⁾ Porcentaje de personas que viven con el VIH que conocen su Estatus de VIH al final del período de reporte-2</v>
      </c>
      <c r="E96" s="156" t="str">
        <f>CHOOSE(Translations!$C$1+1,I96,J96,K96)</f>
        <v>Género</v>
      </c>
      <c r="F96" s="156" t="str">
        <f>CHOOSE(Translations!$C$1+1,L96,M96,N96)</f>
        <v>Hombres</v>
      </c>
      <c r="G96" s="156" t="s">
        <v>1767</v>
      </c>
      <c r="H96" s="157" t="s">
        <v>1768</v>
      </c>
      <c r="I96" s="157" t="s">
        <v>1450</v>
      </c>
      <c r="J96" s="157" t="s">
        <v>1451</v>
      </c>
      <c r="K96" s="157" t="s">
        <v>1452</v>
      </c>
      <c r="L96" s="157" t="s">
        <v>1458</v>
      </c>
      <c r="M96" s="157" t="s">
        <v>1459</v>
      </c>
      <c r="N96" s="157" t="s">
        <v>1460</v>
      </c>
      <c r="O96" s="157" t="s">
        <v>1762</v>
      </c>
      <c r="P96" s="157" t="s">
        <v>1763</v>
      </c>
      <c r="Q96" s="157" t="s">
        <v>1764</v>
      </c>
    </row>
    <row r="97" spans="1:17" s="9" customFormat="1" x14ac:dyDescent="0.25">
      <c r="A97" s="156" t="s">
        <v>1769</v>
      </c>
      <c r="B97" s="156" t="str">
        <f>CHOOSE(Translations!$C$1+1,O97,P97,Q97)</f>
        <v>HIV O-12 Porcentaje de personas que viven con VIH que reciben tratamiento antirretroviral y tienen carga viral suprimida</v>
      </c>
      <c r="C97" s="156">
        <f t="shared" si="2"/>
        <v>0</v>
      </c>
      <c r="D97" s="156" t="str">
        <f t="shared" si="3"/>
        <v>HIV O-12 Porcentaje de personas que viven con VIH que reciben tratamiento antirretroviral y tienen carga viral suprimida-0</v>
      </c>
      <c r="E97" s="156" t="str">
        <f>CHOOSE(Translations!$C$1+1,I97,J97,K97)</f>
        <v>Género</v>
      </c>
      <c r="F97" s="156" t="str">
        <f>CHOOSE(Translations!$C$1+1,L97,M97,N97)</f>
        <v>Transgénero</v>
      </c>
      <c r="G97" s="156" t="s">
        <v>1770</v>
      </c>
      <c r="H97" s="157" t="s">
        <v>1771</v>
      </c>
      <c r="I97" s="157" t="s">
        <v>1450</v>
      </c>
      <c r="J97" s="157" t="s">
        <v>1451</v>
      </c>
      <c r="K97" s="157" t="s">
        <v>1452</v>
      </c>
      <c r="L97" s="157" t="s">
        <v>1534</v>
      </c>
      <c r="M97" s="157" t="s">
        <v>1535</v>
      </c>
      <c r="N97" s="157" t="s">
        <v>1536</v>
      </c>
      <c r="O97" s="157" t="s">
        <v>1772</v>
      </c>
      <c r="P97" s="157" t="s">
        <v>1773</v>
      </c>
      <c r="Q97" s="157" t="s">
        <v>1774</v>
      </c>
    </row>
    <row r="98" spans="1:17" s="9" customFormat="1" x14ac:dyDescent="0.25">
      <c r="A98" s="156" t="s">
        <v>1769</v>
      </c>
      <c r="B98" s="156" t="str">
        <f>CHOOSE(Translations!$C$1+1,O98,P98,Q98)</f>
        <v>HIV O-12 Porcentaje de personas que viven con VIH que reciben tratamiento antirretroviral y tienen carga viral suprimida</v>
      </c>
      <c r="C98" s="156">
        <f t="shared" si="2"/>
        <v>1</v>
      </c>
      <c r="D98" s="156" t="str">
        <f t="shared" si="3"/>
        <v>HIV O-12 Porcentaje de personas que viven con VIH que reciben tratamiento antirretroviral y tienen carga viral suprimida-1</v>
      </c>
      <c r="E98" s="156" t="str">
        <f>CHOOSE(Translations!$C$1+1,I98,J98,K98)</f>
        <v>Género</v>
      </c>
      <c r="F98" s="156" t="str">
        <f>CHOOSE(Translations!$C$1+1,L98,M98,N98)</f>
        <v>Mujeres</v>
      </c>
      <c r="G98" s="156" t="s">
        <v>1775</v>
      </c>
      <c r="H98" s="157" t="s">
        <v>1776</v>
      </c>
      <c r="I98" s="157" t="s">
        <v>1450</v>
      </c>
      <c r="J98" s="157" t="s">
        <v>1451</v>
      </c>
      <c r="K98" s="157" t="s">
        <v>1452</v>
      </c>
      <c r="L98" s="157" t="s">
        <v>1453</v>
      </c>
      <c r="M98" s="157" t="s">
        <v>1454</v>
      </c>
      <c r="N98" s="157" t="s">
        <v>1455</v>
      </c>
      <c r="O98" s="157" t="s">
        <v>1772</v>
      </c>
      <c r="P98" s="157" t="s">
        <v>1773</v>
      </c>
      <c r="Q98" s="157" t="s">
        <v>1774</v>
      </c>
    </row>
    <row r="99" spans="1:17" s="9" customFormat="1" x14ac:dyDescent="0.25">
      <c r="A99" s="156" t="s">
        <v>1769</v>
      </c>
      <c r="B99" s="156" t="str">
        <f>CHOOSE(Translations!$C$1+1,O99,P99,Q99)</f>
        <v>HIV O-12 Porcentaje de personas que viven con VIH que reciben tratamiento antirretroviral y tienen carga viral suprimida</v>
      </c>
      <c r="C99" s="156">
        <f t="shared" si="2"/>
        <v>2</v>
      </c>
      <c r="D99" s="156" t="str">
        <f t="shared" si="3"/>
        <v>HIV O-12 Porcentaje de personas que viven con VIH que reciben tratamiento antirretroviral y tienen carga viral suprimida-2</v>
      </c>
      <c r="E99" s="156" t="str">
        <f>CHOOSE(Translations!$C$1+1,I99,J99,K99)</f>
        <v>Género</v>
      </c>
      <c r="F99" s="156" t="str">
        <f>CHOOSE(Translations!$C$1+1,L99,M99,N99)</f>
        <v>Hombres</v>
      </c>
      <c r="G99" s="156" t="s">
        <v>1777</v>
      </c>
      <c r="H99" s="157" t="s">
        <v>1778</v>
      </c>
      <c r="I99" s="157" t="s">
        <v>1450</v>
      </c>
      <c r="J99" s="157" t="s">
        <v>1451</v>
      </c>
      <c r="K99" s="157" t="s">
        <v>1452</v>
      </c>
      <c r="L99" s="157" t="s">
        <v>1458</v>
      </c>
      <c r="M99" s="157" t="s">
        <v>1459</v>
      </c>
      <c r="N99" s="157" t="s">
        <v>1460</v>
      </c>
      <c r="O99" s="157" t="s">
        <v>1772</v>
      </c>
      <c r="P99" s="157" t="s">
        <v>1773</v>
      </c>
      <c r="Q99" s="157" t="s">
        <v>1774</v>
      </c>
    </row>
    <row r="100" spans="1:17" s="9" customFormat="1" x14ac:dyDescent="0.25">
      <c r="A100" s="156" t="s">
        <v>1779</v>
      </c>
      <c r="B100" s="156" t="str">
        <f>CHOOSE(Translations!$C$1+1,O100,P100,Q100)</f>
        <v>HIV O-13 Porcentaje de mujeres de 15 a 49 años, no solteras o con pareja, que han sufrido violencia física o sexual de una pareja masculina en los últimos 12 meses</v>
      </c>
      <c r="C100" s="156">
        <f t="shared" si="2"/>
        <v>0</v>
      </c>
      <c r="D100" s="156" t="str">
        <f t="shared" si="3"/>
        <v>HIV O-13 Porcentaje de mujeres de 15 a 49 años, no solteras o con pareja, que han sufrido violencia física o sexual de una pareja masculina en los últimos 12 meses-0</v>
      </c>
      <c r="E100" s="156" t="str">
        <f>CHOOSE(Translations!$C$1+1,I100,J100,K100)</f>
        <v>Edad</v>
      </c>
      <c r="F100" s="156" t="str">
        <f>CHOOSE(Translations!$C$1+1,L100,M100,N100)</f>
        <v>20-24</v>
      </c>
      <c r="G100" s="156" t="s">
        <v>1780</v>
      </c>
      <c r="H100" s="157" t="s">
        <v>1781</v>
      </c>
      <c r="I100" s="157" t="s">
        <v>1463</v>
      </c>
      <c r="J100" s="157" t="s">
        <v>1463</v>
      </c>
      <c r="K100" s="157" t="s">
        <v>1464</v>
      </c>
      <c r="L100" s="157" t="s">
        <v>1697</v>
      </c>
      <c r="M100" s="157" t="s">
        <v>1697</v>
      </c>
      <c r="N100" s="157" t="s">
        <v>1697</v>
      </c>
      <c r="O100" s="157" t="s">
        <v>1782</v>
      </c>
      <c r="P100" s="157" t="s">
        <v>1783</v>
      </c>
      <c r="Q100" s="157" t="s">
        <v>1784</v>
      </c>
    </row>
    <row r="101" spans="1:17" s="9" customFormat="1" x14ac:dyDescent="0.25">
      <c r="A101" s="156" t="s">
        <v>1779</v>
      </c>
      <c r="B101" s="156" t="str">
        <f>CHOOSE(Translations!$C$1+1,O101,P101,Q101)</f>
        <v>HIV O-13 Porcentaje de mujeres de 15 a 49 años, no solteras o con pareja, que han sufrido violencia física o sexual de una pareja masculina en los últimos 12 meses</v>
      </c>
      <c r="C101" s="156">
        <f t="shared" si="2"/>
        <v>1</v>
      </c>
      <c r="D101" s="156" t="str">
        <f t="shared" si="3"/>
        <v>HIV O-13 Porcentaje de mujeres de 15 a 49 años, no solteras o con pareja, que han sufrido violencia física o sexual de una pareja masculina en los últimos 12 meses-1</v>
      </c>
      <c r="E101" s="156" t="str">
        <f>CHOOSE(Translations!$C$1+1,I101,J101,K101)</f>
        <v>Edad</v>
      </c>
      <c r="F101" s="156" t="str">
        <f>CHOOSE(Translations!$C$1+1,L101,M101,N101)</f>
        <v>15-19</v>
      </c>
      <c r="G101" s="156" t="s">
        <v>1785</v>
      </c>
      <c r="H101" s="157" t="s">
        <v>1786</v>
      </c>
      <c r="I101" s="157" t="s">
        <v>1463</v>
      </c>
      <c r="J101" s="157" t="s">
        <v>1463</v>
      </c>
      <c r="K101" s="157" t="s">
        <v>1464</v>
      </c>
      <c r="L101" s="157" t="s">
        <v>1700</v>
      </c>
      <c r="M101" s="157" t="s">
        <v>1700</v>
      </c>
      <c r="N101" s="157" t="s">
        <v>1700</v>
      </c>
      <c r="O101" s="157" t="s">
        <v>1782</v>
      </c>
      <c r="P101" s="157" t="s">
        <v>1783</v>
      </c>
      <c r="Q101" s="157" t="s">
        <v>1784</v>
      </c>
    </row>
    <row r="102" spans="1:17" s="9" customFormat="1" x14ac:dyDescent="0.25">
      <c r="A102" s="156" t="s">
        <v>1787</v>
      </c>
      <c r="B102" s="156" t="str">
        <f>CHOOSE(Translations!$C$1+1,O102,P102,Q102)</f>
        <v>HIV O-16a Porcentaje de HSH que evitan la atención sanitaria debido al estigma y la discriminación</v>
      </c>
      <c r="C102" s="156">
        <f t="shared" si="2"/>
        <v>0</v>
      </c>
      <c r="D102" s="156" t="str">
        <f t="shared" si="3"/>
        <v>HIV O-16a Porcentaje de HSH que evitan la atención sanitaria debido al estigma y la discriminación-0</v>
      </c>
      <c r="E102" s="156" t="str">
        <f>CHOOSE(Translations!$C$1+1,I102,J102,K102)</f>
        <v>Edad</v>
      </c>
      <c r="F102" s="156" t="str">
        <f>CHOOSE(Translations!$C$1+1,L102,M102,N102)</f>
        <v>25+</v>
      </c>
      <c r="G102" s="156" t="s">
        <v>1788</v>
      </c>
      <c r="H102" s="157" t="s">
        <v>1789</v>
      </c>
      <c r="I102" s="157" t="s">
        <v>1463</v>
      </c>
      <c r="J102" s="157" t="s">
        <v>1463</v>
      </c>
      <c r="K102" s="157" t="s">
        <v>1464</v>
      </c>
      <c r="L102" s="157" t="s">
        <v>1516</v>
      </c>
      <c r="M102" s="157" t="s">
        <v>1516</v>
      </c>
      <c r="N102" s="157" t="s">
        <v>1516</v>
      </c>
      <c r="O102" s="157" t="s">
        <v>1790</v>
      </c>
      <c r="P102" s="157" t="s">
        <v>1791</v>
      </c>
      <c r="Q102" s="157" t="s">
        <v>1792</v>
      </c>
    </row>
    <row r="103" spans="1:17" s="9" customFormat="1" x14ac:dyDescent="0.25">
      <c r="A103" s="156" t="s">
        <v>1787</v>
      </c>
      <c r="B103" s="156" t="str">
        <f>CHOOSE(Translations!$C$1+1,O103,P103,Q103)</f>
        <v>HIV O-16a Porcentaje de HSH que evitan la atención sanitaria debido al estigma y la discriminación</v>
      </c>
      <c r="C103" s="156">
        <f t="shared" si="2"/>
        <v>1</v>
      </c>
      <c r="D103" s="156" t="str">
        <f t="shared" si="3"/>
        <v>HIV O-16a Porcentaje de HSH que evitan la atención sanitaria debido al estigma y la discriminación-1</v>
      </c>
      <c r="E103" s="156" t="str">
        <f>CHOOSE(Translations!$C$1+1,I103,J103,K103)</f>
        <v>Edad</v>
      </c>
      <c r="F103" s="156" t="str">
        <f>CHOOSE(Translations!$C$1+1,L103,M103,N103)</f>
        <v>&lt;25</v>
      </c>
      <c r="G103" s="156" t="s">
        <v>1793</v>
      </c>
      <c r="H103" s="157" t="s">
        <v>1794</v>
      </c>
      <c r="I103" s="157" t="s">
        <v>1463</v>
      </c>
      <c r="J103" s="157" t="s">
        <v>1463</v>
      </c>
      <c r="K103" s="157" t="s">
        <v>1464</v>
      </c>
      <c r="L103" s="157" t="s">
        <v>1522</v>
      </c>
      <c r="M103" s="157" t="s">
        <v>1522</v>
      </c>
      <c r="N103" s="157" t="s">
        <v>1522</v>
      </c>
      <c r="O103" s="157" t="s">
        <v>1790</v>
      </c>
      <c r="P103" s="157" t="s">
        <v>1791</v>
      </c>
      <c r="Q103" s="157" t="s">
        <v>1792</v>
      </c>
    </row>
    <row r="104" spans="1:17" s="9" customFormat="1" x14ac:dyDescent="0.25">
      <c r="A104" s="156" t="s">
        <v>1795</v>
      </c>
      <c r="B104" s="156" t="str">
        <f>CHOOSE(Translations!$C$1+1,O104,P104,Q104)</f>
        <v>HIV O-16b Porcentaje de grupos objetivo que evitan la atención sanitaria debido al estigma y la discriminación</v>
      </c>
      <c r="C104" s="156">
        <f t="shared" si="2"/>
        <v>0</v>
      </c>
      <c r="D104" s="156" t="str">
        <f t="shared" si="3"/>
        <v>HIV O-16b Porcentaje de grupos objetivo que evitan la atención sanitaria debido al estigma y la discriminación-0</v>
      </c>
      <c r="E104" s="156" t="str">
        <f>CHOOSE(Translations!$C$1+1,I104,J104,K104)</f>
        <v>Edad</v>
      </c>
      <c r="F104" s="156" t="str">
        <f>CHOOSE(Translations!$C$1+1,L104,M104,N104)</f>
        <v>25+</v>
      </c>
      <c r="G104" s="156" t="s">
        <v>1796</v>
      </c>
      <c r="H104" s="157" t="s">
        <v>1797</v>
      </c>
      <c r="I104" s="157" t="s">
        <v>1463</v>
      </c>
      <c r="J104" s="157" t="s">
        <v>1463</v>
      </c>
      <c r="K104" s="157" t="s">
        <v>1464</v>
      </c>
      <c r="L104" s="157" t="s">
        <v>1516</v>
      </c>
      <c r="M104" s="157" t="s">
        <v>1516</v>
      </c>
      <c r="N104" s="157" t="s">
        <v>1516</v>
      </c>
      <c r="O104" s="157" t="s">
        <v>1798</v>
      </c>
      <c r="P104" s="157" t="s">
        <v>1799</v>
      </c>
      <c r="Q104" s="157" t="s">
        <v>1800</v>
      </c>
    </row>
    <row r="105" spans="1:17" s="9" customFormat="1" x14ac:dyDescent="0.25">
      <c r="A105" s="156" t="s">
        <v>1795</v>
      </c>
      <c r="B105" s="156" t="str">
        <f>CHOOSE(Translations!$C$1+1,O105,P105,Q105)</f>
        <v>HIV O-16b Porcentaje de grupos objetivo que evitan la atención sanitaria debido al estigma y la discriminación</v>
      </c>
      <c r="C105" s="156">
        <f t="shared" si="2"/>
        <v>1</v>
      </c>
      <c r="D105" s="156" t="str">
        <f t="shared" si="3"/>
        <v>HIV O-16b Porcentaje de grupos objetivo que evitan la atención sanitaria debido al estigma y la discriminación-1</v>
      </c>
      <c r="E105" s="156" t="str">
        <f>CHOOSE(Translations!$C$1+1,I105,J105,K105)</f>
        <v>Edad</v>
      </c>
      <c r="F105" s="156" t="str">
        <f>CHOOSE(Translations!$C$1+1,L105,M105,N105)</f>
        <v>&lt;25</v>
      </c>
      <c r="G105" s="156" t="s">
        <v>1801</v>
      </c>
      <c r="H105" s="157" t="s">
        <v>1802</v>
      </c>
      <c r="I105" s="157" t="s">
        <v>1463</v>
      </c>
      <c r="J105" s="157" t="s">
        <v>1463</v>
      </c>
      <c r="K105" s="157" t="s">
        <v>1464</v>
      </c>
      <c r="L105" s="157" t="s">
        <v>1522</v>
      </c>
      <c r="M105" s="157" t="s">
        <v>1522</v>
      </c>
      <c r="N105" s="157" t="s">
        <v>1522</v>
      </c>
      <c r="O105" s="157" t="s">
        <v>1798</v>
      </c>
      <c r="P105" s="157" t="s">
        <v>1799</v>
      </c>
      <c r="Q105" s="157" t="s">
        <v>1800</v>
      </c>
    </row>
    <row r="106" spans="1:17" s="9" customFormat="1" x14ac:dyDescent="0.25">
      <c r="A106" s="156" t="s">
        <v>1803</v>
      </c>
      <c r="B106" s="156" t="str">
        <f>CHOOSE(Translations!$C$1+1,O106,P106,Q106)</f>
        <v>HIV O-16c Porcentaje de trabajadores sexuales que evitan la atención sanitaria debido al estigma y la discriminación</v>
      </c>
      <c r="C106" s="156">
        <f t="shared" si="2"/>
        <v>0</v>
      </c>
      <c r="D106" s="156" t="str">
        <f t="shared" si="3"/>
        <v>HIV O-16c Porcentaje de trabajadores sexuales que evitan la atención sanitaria debido al estigma y la discriminación-0</v>
      </c>
      <c r="E106" s="156" t="str">
        <f>CHOOSE(Translations!$C$1+1,I106,J106,K106)</f>
        <v>Género</v>
      </c>
      <c r="F106" s="156" t="str">
        <f>CHOOSE(Translations!$C$1+1,L106,M106,N106)</f>
        <v>Transgénero</v>
      </c>
      <c r="G106" s="156" t="s">
        <v>1804</v>
      </c>
      <c r="H106" s="157" t="s">
        <v>1805</v>
      </c>
      <c r="I106" s="157" t="s">
        <v>1450</v>
      </c>
      <c r="J106" s="157" t="s">
        <v>1451</v>
      </c>
      <c r="K106" s="157" t="s">
        <v>1452</v>
      </c>
      <c r="L106" s="157" t="s">
        <v>1534</v>
      </c>
      <c r="M106" s="157" t="s">
        <v>1535</v>
      </c>
      <c r="N106" s="157" t="s">
        <v>1536</v>
      </c>
      <c r="O106" s="157" t="s">
        <v>1806</v>
      </c>
      <c r="P106" s="157" t="s">
        <v>1807</v>
      </c>
      <c r="Q106" s="157" t="s">
        <v>1808</v>
      </c>
    </row>
    <row r="107" spans="1:17" s="9" customFormat="1" x14ac:dyDescent="0.25">
      <c r="A107" s="156" t="s">
        <v>1803</v>
      </c>
      <c r="B107" s="156" t="str">
        <f>CHOOSE(Translations!$C$1+1,O107,P107,Q107)</f>
        <v>HIV O-16c Porcentaje de trabajadores sexuales que evitan la atención sanitaria debido al estigma y la discriminación</v>
      </c>
      <c r="C107" s="156">
        <f t="shared" si="2"/>
        <v>1</v>
      </c>
      <c r="D107" s="156" t="str">
        <f t="shared" si="3"/>
        <v>HIV O-16c Porcentaje de trabajadores sexuales que evitan la atención sanitaria debido al estigma y la discriminación-1</v>
      </c>
      <c r="E107" s="156" t="str">
        <f>CHOOSE(Translations!$C$1+1,I107,J107,K107)</f>
        <v>Género</v>
      </c>
      <c r="F107" s="156" t="str">
        <f>CHOOSE(Translations!$C$1+1,L107,M107,N107)</f>
        <v>Mujeres</v>
      </c>
      <c r="G107" s="156" t="s">
        <v>1809</v>
      </c>
      <c r="H107" s="157" t="s">
        <v>1810</v>
      </c>
      <c r="I107" s="157" t="s">
        <v>1450</v>
      </c>
      <c r="J107" s="157" t="s">
        <v>1451</v>
      </c>
      <c r="K107" s="157" t="s">
        <v>1452</v>
      </c>
      <c r="L107" s="157" t="s">
        <v>1453</v>
      </c>
      <c r="M107" s="157" t="s">
        <v>1454</v>
      </c>
      <c r="N107" s="157" t="s">
        <v>1455</v>
      </c>
      <c r="O107" s="157" t="s">
        <v>1806</v>
      </c>
      <c r="P107" s="157" t="s">
        <v>1807</v>
      </c>
      <c r="Q107" s="157" t="s">
        <v>1808</v>
      </c>
    </row>
    <row r="108" spans="1:17" s="9" customFormat="1" x14ac:dyDescent="0.25">
      <c r="A108" s="156" t="s">
        <v>1803</v>
      </c>
      <c r="B108" s="156" t="str">
        <f>CHOOSE(Translations!$C$1+1,O108,P108,Q108)</f>
        <v>HIV O-16c Porcentaje de trabajadores sexuales que evitan la atención sanitaria debido al estigma y la discriminación</v>
      </c>
      <c r="C108" s="156">
        <f t="shared" si="2"/>
        <v>2</v>
      </c>
      <c r="D108" s="156" t="str">
        <f t="shared" si="3"/>
        <v>HIV O-16c Porcentaje de trabajadores sexuales que evitan la atención sanitaria debido al estigma y la discriminación-2</v>
      </c>
      <c r="E108" s="156" t="str">
        <f>CHOOSE(Translations!$C$1+1,I108,J108,K108)</f>
        <v>Género</v>
      </c>
      <c r="F108" s="156" t="str">
        <f>CHOOSE(Translations!$C$1+1,L108,M108,N108)</f>
        <v>Hombres</v>
      </c>
      <c r="G108" s="156" t="s">
        <v>1811</v>
      </c>
      <c r="H108" s="157" t="s">
        <v>1812</v>
      </c>
      <c r="I108" s="157" t="s">
        <v>1450</v>
      </c>
      <c r="J108" s="157" t="s">
        <v>1451</v>
      </c>
      <c r="K108" s="157" t="s">
        <v>1452</v>
      </c>
      <c r="L108" s="157" t="s">
        <v>1458</v>
      </c>
      <c r="M108" s="157" t="s">
        <v>1459</v>
      </c>
      <c r="N108" s="157" t="s">
        <v>1460</v>
      </c>
      <c r="O108" s="157" t="s">
        <v>1806</v>
      </c>
      <c r="P108" s="157" t="s">
        <v>1807</v>
      </c>
      <c r="Q108" s="157" t="s">
        <v>1808</v>
      </c>
    </row>
    <row r="109" spans="1:17" s="9" customFormat="1" x14ac:dyDescent="0.25">
      <c r="A109" s="156" t="s">
        <v>1803</v>
      </c>
      <c r="B109" s="156" t="str">
        <f>CHOOSE(Translations!$C$1+1,O109,P109,Q109)</f>
        <v>HIV O-16c Porcentaje de trabajadores sexuales que evitan la atención sanitaria debido al estigma y la discriminación</v>
      </c>
      <c r="C109" s="156">
        <f t="shared" si="2"/>
        <v>3</v>
      </c>
      <c r="D109" s="156" t="str">
        <f t="shared" si="3"/>
        <v>HIV O-16c Porcentaje de trabajadores sexuales que evitan la atención sanitaria debido al estigma y la discriminación-3</v>
      </c>
      <c r="E109" s="156" t="str">
        <f>CHOOSE(Translations!$C$1+1,I109,J109,K109)</f>
        <v>Edad</v>
      </c>
      <c r="F109" s="156" t="str">
        <f>CHOOSE(Translations!$C$1+1,L109,M109,N109)</f>
        <v>25+</v>
      </c>
      <c r="G109" s="156" t="s">
        <v>1813</v>
      </c>
      <c r="H109" s="157" t="s">
        <v>1814</v>
      </c>
      <c r="I109" s="157" t="s">
        <v>1463</v>
      </c>
      <c r="J109" s="157" t="s">
        <v>1463</v>
      </c>
      <c r="K109" s="157" t="s">
        <v>1464</v>
      </c>
      <c r="L109" s="157" t="s">
        <v>1516</v>
      </c>
      <c r="M109" s="157" t="s">
        <v>1516</v>
      </c>
      <c r="N109" s="157" t="s">
        <v>1516</v>
      </c>
      <c r="O109" s="157" t="s">
        <v>1806</v>
      </c>
      <c r="P109" s="157" t="s">
        <v>1807</v>
      </c>
      <c r="Q109" s="157" t="s">
        <v>1808</v>
      </c>
    </row>
    <row r="110" spans="1:17" s="9" customFormat="1" x14ac:dyDescent="0.25">
      <c r="A110" s="156" t="s">
        <v>1803</v>
      </c>
      <c r="B110" s="156" t="str">
        <f>CHOOSE(Translations!$C$1+1,O110,P110,Q110)</f>
        <v>HIV O-16c Porcentaje de trabajadores sexuales que evitan la atención sanitaria debido al estigma y la discriminación</v>
      </c>
      <c r="C110" s="156">
        <f t="shared" si="2"/>
        <v>4</v>
      </c>
      <c r="D110" s="156" t="str">
        <f t="shared" si="3"/>
        <v>HIV O-16c Porcentaje de trabajadores sexuales que evitan la atención sanitaria debido al estigma y la discriminación-4</v>
      </c>
      <c r="E110" s="156" t="str">
        <f>CHOOSE(Translations!$C$1+1,I110,J110,K110)</f>
        <v>Edad</v>
      </c>
      <c r="F110" s="156" t="str">
        <f>CHOOSE(Translations!$C$1+1,L110,M110,N110)</f>
        <v>&lt;25</v>
      </c>
      <c r="G110" s="156" t="s">
        <v>1815</v>
      </c>
      <c r="H110" s="157" t="s">
        <v>1816</v>
      </c>
      <c r="I110" s="157" t="s">
        <v>1463</v>
      </c>
      <c r="J110" s="157" t="s">
        <v>1463</v>
      </c>
      <c r="K110" s="157" t="s">
        <v>1464</v>
      </c>
      <c r="L110" s="157" t="s">
        <v>1522</v>
      </c>
      <c r="M110" s="157" t="s">
        <v>1522</v>
      </c>
      <c r="N110" s="157" t="s">
        <v>1522</v>
      </c>
      <c r="O110" s="157" t="s">
        <v>1806</v>
      </c>
      <c r="P110" s="157" t="s">
        <v>1807</v>
      </c>
      <c r="Q110" s="157" t="s">
        <v>1808</v>
      </c>
    </row>
    <row r="111" spans="1:17" s="9" customFormat="1" x14ac:dyDescent="0.25">
      <c r="A111" s="156" t="s">
        <v>1817</v>
      </c>
      <c r="B111" s="156" t="str">
        <f>CHOOSE(Translations!$C$1+1,O111,P111,Q111)</f>
        <v>HIV O-16d Porcentaje de personas que consumen drogas inyectables que evitan la atención sanitaria debido al estigma y la discriminación</v>
      </c>
      <c r="C111" s="156">
        <f t="shared" si="2"/>
        <v>0</v>
      </c>
      <c r="D111" s="156" t="str">
        <f t="shared" si="3"/>
        <v>HIV O-16d Porcentaje de personas que consumen drogas inyectables que evitan la atención sanitaria debido al estigma y la discriminación-0</v>
      </c>
      <c r="E111" s="156" t="str">
        <f>CHOOSE(Translations!$C$1+1,I111,J111,K111)</f>
        <v>Género</v>
      </c>
      <c r="F111" s="156" t="str">
        <f>CHOOSE(Translations!$C$1+1,L111,M111,N111)</f>
        <v>Transgénero</v>
      </c>
      <c r="G111" s="156" t="s">
        <v>1818</v>
      </c>
      <c r="H111" s="157" t="s">
        <v>1819</v>
      </c>
      <c r="I111" s="157" t="s">
        <v>1450</v>
      </c>
      <c r="J111" s="157" t="s">
        <v>1451</v>
      </c>
      <c r="K111" s="157" t="s">
        <v>1452</v>
      </c>
      <c r="L111" s="157" t="s">
        <v>1534</v>
      </c>
      <c r="M111" s="157" t="s">
        <v>1535</v>
      </c>
      <c r="N111" s="157" t="s">
        <v>1536</v>
      </c>
      <c r="O111" s="157" t="s">
        <v>1820</v>
      </c>
      <c r="P111" s="157" t="s">
        <v>1821</v>
      </c>
      <c r="Q111" s="157" t="s">
        <v>1822</v>
      </c>
    </row>
    <row r="112" spans="1:17" s="9" customFormat="1" x14ac:dyDescent="0.25">
      <c r="A112" s="156" t="s">
        <v>1817</v>
      </c>
      <c r="B112" s="156" t="str">
        <f>CHOOSE(Translations!$C$1+1,O112,P112,Q112)</f>
        <v>HIV O-16d Porcentaje de personas que consumen drogas inyectables que evitan la atención sanitaria debido al estigma y la discriminación</v>
      </c>
      <c r="C112" s="156">
        <f t="shared" si="2"/>
        <v>1</v>
      </c>
      <c r="D112" s="156" t="str">
        <f t="shared" si="3"/>
        <v>HIV O-16d Porcentaje de personas que consumen drogas inyectables que evitan la atención sanitaria debido al estigma y la discriminación-1</v>
      </c>
      <c r="E112" s="156" t="str">
        <f>CHOOSE(Translations!$C$1+1,I112,J112,K112)</f>
        <v>Género</v>
      </c>
      <c r="F112" s="156" t="str">
        <f>CHOOSE(Translations!$C$1+1,L112,M112,N112)</f>
        <v>Mujeres</v>
      </c>
      <c r="G112" s="156" t="s">
        <v>1823</v>
      </c>
      <c r="H112" s="157" t="s">
        <v>1824</v>
      </c>
      <c r="I112" s="157" t="s">
        <v>1450</v>
      </c>
      <c r="J112" s="157" t="s">
        <v>1451</v>
      </c>
      <c r="K112" s="157" t="s">
        <v>1452</v>
      </c>
      <c r="L112" s="157" t="s">
        <v>1453</v>
      </c>
      <c r="M112" s="157" t="s">
        <v>1454</v>
      </c>
      <c r="N112" s="157" t="s">
        <v>1455</v>
      </c>
      <c r="O112" s="157" t="s">
        <v>1820</v>
      </c>
      <c r="P112" s="157" t="s">
        <v>1821</v>
      </c>
      <c r="Q112" s="157" t="s">
        <v>1822</v>
      </c>
    </row>
    <row r="113" spans="1:17" s="9" customFormat="1" x14ac:dyDescent="0.25">
      <c r="A113" s="156" t="s">
        <v>1817</v>
      </c>
      <c r="B113" s="156" t="str">
        <f>CHOOSE(Translations!$C$1+1,O113,P113,Q113)</f>
        <v>HIV O-16d Porcentaje de personas que consumen drogas inyectables que evitan la atención sanitaria debido al estigma y la discriminación</v>
      </c>
      <c r="C113" s="156">
        <f t="shared" si="2"/>
        <v>2</v>
      </c>
      <c r="D113" s="156" t="str">
        <f t="shared" si="3"/>
        <v>HIV O-16d Porcentaje de personas que consumen drogas inyectables que evitan la atención sanitaria debido al estigma y la discriminación-2</v>
      </c>
      <c r="E113" s="156" t="str">
        <f>CHOOSE(Translations!$C$1+1,I113,J113,K113)</f>
        <v>Género</v>
      </c>
      <c r="F113" s="156" t="str">
        <f>CHOOSE(Translations!$C$1+1,L113,M113,N113)</f>
        <v>Hombres</v>
      </c>
      <c r="G113" s="156" t="s">
        <v>1825</v>
      </c>
      <c r="H113" s="157" t="s">
        <v>1826</v>
      </c>
      <c r="I113" s="157" t="s">
        <v>1450</v>
      </c>
      <c r="J113" s="157" t="s">
        <v>1451</v>
      </c>
      <c r="K113" s="157" t="s">
        <v>1452</v>
      </c>
      <c r="L113" s="157" t="s">
        <v>1458</v>
      </c>
      <c r="M113" s="157" t="s">
        <v>1459</v>
      </c>
      <c r="N113" s="157" t="s">
        <v>1460</v>
      </c>
      <c r="O113" s="157" t="s">
        <v>1820</v>
      </c>
      <c r="P113" s="157" t="s">
        <v>1821</v>
      </c>
      <c r="Q113" s="157" t="s">
        <v>1822</v>
      </c>
    </row>
    <row r="114" spans="1:17" s="9" customFormat="1" x14ac:dyDescent="0.25">
      <c r="A114" s="156" t="s">
        <v>1817</v>
      </c>
      <c r="B114" s="156" t="str">
        <f>CHOOSE(Translations!$C$1+1,O114,P114,Q114)</f>
        <v>HIV O-16d Porcentaje de personas que consumen drogas inyectables que evitan la atención sanitaria debido al estigma y la discriminación</v>
      </c>
      <c r="C114" s="156">
        <f t="shared" si="2"/>
        <v>3</v>
      </c>
      <c r="D114" s="156" t="str">
        <f t="shared" si="3"/>
        <v>HIV O-16d Porcentaje de personas que consumen drogas inyectables que evitan la atención sanitaria debido al estigma y la discriminación-3</v>
      </c>
      <c r="E114" s="156" t="str">
        <f>CHOOSE(Translations!$C$1+1,I114,J114,K114)</f>
        <v>Edad</v>
      </c>
      <c r="F114" s="156" t="str">
        <f>CHOOSE(Translations!$C$1+1,L114,M114,N114)</f>
        <v>25+</v>
      </c>
      <c r="G114" s="156" t="s">
        <v>1827</v>
      </c>
      <c r="H114" s="157" t="s">
        <v>1828</v>
      </c>
      <c r="I114" s="157" t="s">
        <v>1463</v>
      </c>
      <c r="J114" s="157" t="s">
        <v>1463</v>
      </c>
      <c r="K114" s="157" t="s">
        <v>1464</v>
      </c>
      <c r="L114" s="157" t="s">
        <v>1516</v>
      </c>
      <c r="M114" s="157" t="s">
        <v>1516</v>
      </c>
      <c r="N114" s="157" t="s">
        <v>1516</v>
      </c>
      <c r="O114" s="157" t="s">
        <v>1820</v>
      </c>
      <c r="P114" s="157" t="s">
        <v>1821</v>
      </c>
      <c r="Q114" s="157" t="s">
        <v>1822</v>
      </c>
    </row>
    <row r="115" spans="1:17" s="9" customFormat="1" x14ac:dyDescent="0.25">
      <c r="A115" s="156" t="s">
        <v>1817</v>
      </c>
      <c r="B115" s="156" t="str">
        <f>CHOOSE(Translations!$C$1+1,O115,P115,Q115)</f>
        <v>HIV O-16d Porcentaje de personas que consumen drogas inyectables que evitan la atención sanitaria debido al estigma y la discriminación</v>
      </c>
      <c r="C115" s="156">
        <f t="shared" si="2"/>
        <v>4</v>
      </c>
      <c r="D115" s="156" t="str">
        <f t="shared" si="3"/>
        <v>HIV O-16d Porcentaje de personas que consumen drogas inyectables que evitan la atención sanitaria debido al estigma y la discriminación-4</v>
      </c>
      <c r="E115" s="156" t="str">
        <f>CHOOSE(Translations!$C$1+1,I115,J115,K115)</f>
        <v>Edad</v>
      </c>
      <c r="F115" s="156" t="str">
        <f>CHOOSE(Translations!$C$1+1,L115,M115,N115)</f>
        <v>&lt;25</v>
      </c>
      <c r="G115" s="156" t="s">
        <v>1829</v>
      </c>
      <c r="H115" s="157" t="s">
        <v>1830</v>
      </c>
      <c r="I115" s="157" t="s">
        <v>1463</v>
      </c>
      <c r="J115" s="157" t="s">
        <v>1463</v>
      </c>
      <c r="K115" s="157" t="s">
        <v>1464</v>
      </c>
      <c r="L115" s="157" t="s">
        <v>1522</v>
      </c>
      <c r="M115" s="157" t="s">
        <v>1522</v>
      </c>
      <c r="N115" s="157" t="s">
        <v>1522</v>
      </c>
      <c r="O115" s="157" t="s">
        <v>1820</v>
      </c>
      <c r="P115" s="157" t="s">
        <v>1821</v>
      </c>
      <c r="Q115" s="157" t="s">
        <v>1822</v>
      </c>
    </row>
    <row r="116" spans="1:17" s="9" customFormat="1" x14ac:dyDescent="0.25">
      <c r="A116" s="156" t="s">
        <v>1831</v>
      </c>
      <c r="B116" s="156" t="str">
        <f>CHOOSE(Translations!$C$1+1,O116,P116,Q116)</f>
        <v>HIV O-17 Porcentaje de personas que viven con el VIH que, habiendo notificado la violación de sus derechos, buscaron compensación jurídica</v>
      </c>
      <c r="C116" s="156">
        <f t="shared" si="2"/>
        <v>0</v>
      </c>
      <c r="D116" s="156" t="str">
        <f t="shared" si="3"/>
        <v>HIV O-17 Porcentaje de personas que viven con el VIH que, habiendo notificado la violación de sus derechos, buscaron compensación jurídica-0</v>
      </c>
      <c r="E116" s="156" t="str">
        <f>CHOOSE(Translations!$C$1+1,I116,J116,K116)</f>
        <v>Grupo de riesgo objetivo</v>
      </c>
      <c r="F116" s="156" t="str">
        <f>CHOOSE(Translations!$C$1+1,L116,M116,N116)</f>
        <v>Reclusos</v>
      </c>
      <c r="G116" s="156" t="s">
        <v>1832</v>
      </c>
      <c r="H116" s="157" t="s">
        <v>1833</v>
      </c>
      <c r="I116" s="157" t="s">
        <v>1834</v>
      </c>
      <c r="J116" s="157" t="s">
        <v>1835</v>
      </c>
      <c r="K116" s="157" t="s">
        <v>1836</v>
      </c>
      <c r="L116" s="157" t="s">
        <v>1837</v>
      </c>
      <c r="M116" s="157" t="s">
        <v>1838</v>
      </c>
      <c r="N116" s="157" t="s">
        <v>1839</v>
      </c>
      <c r="O116" s="157" t="s">
        <v>1840</v>
      </c>
      <c r="P116" s="157" t="s">
        <v>1841</v>
      </c>
      <c r="Q116" s="157" t="s">
        <v>1842</v>
      </c>
    </row>
    <row r="117" spans="1:17" s="9" customFormat="1" x14ac:dyDescent="0.25">
      <c r="A117" s="156" t="s">
        <v>1831</v>
      </c>
      <c r="B117" s="156" t="str">
        <f>CHOOSE(Translations!$C$1+1,O117,P117,Q117)</f>
        <v>HIV O-17 Porcentaje de personas que viven con el VIH que, habiendo notificado la violación de sus derechos, buscaron compensación jurídica</v>
      </c>
      <c r="C117" s="156">
        <f t="shared" si="2"/>
        <v>1</v>
      </c>
      <c r="D117" s="156" t="str">
        <f t="shared" si="3"/>
        <v>HIV O-17 Porcentaje de personas que viven con el VIH que, habiendo notificado la violación de sus derechos, buscaron compensación jurídica-1</v>
      </c>
      <c r="E117" s="156" t="str">
        <f>CHOOSE(Translations!$C$1+1,I117,J117,K117)</f>
        <v>Grupo de riesgo objetivo</v>
      </c>
      <c r="F117" s="156" t="str">
        <f>CHOOSE(Translations!$C$1+1,L117,M117,N117)</f>
        <v>PWID</v>
      </c>
      <c r="G117" s="156" t="s">
        <v>1843</v>
      </c>
      <c r="H117" s="157" t="s">
        <v>1844</v>
      </c>
      <c r="I117" s="157" t="s">
        <v>1834</v>
      </c>
      <c r="J117" s="157" t="s">
        <v>1835</v>
      </c>
      <c r="K117" s="157" t="s">
        <v>1836</v>
      </c>
      <c r="L117" s="157" t="s">
        <v>1845</v>
      </c>
      <c r="M117" s="157" t="s">
        <v>1846</v>
      </c>
      <c r="N117" s="157" t="s">
        <v>1847</v>
      </c>
      <c r="O117" s="157" t="s">
        <v>1840</v>
      </c>
      <c r="P117" s="157" t="s">
        <v>1841</v>
      </c>
      <c r="Q117" s="157" t="s">
        <v>1842</v>
      </c>
    </row>
    <row r="118" spans="1:17" s="9" customFormat="1" x14ac:dyDescent="0.25">
      <c r="A118" s="156" t="s">
        <v>1831</v>
      </c>
      <c r="B118" s="156" t="str">
        <f>CHOOSE(Translations!$C$1+1,O118,P118,Q118)</f>
        <v>HIV O-17 Porcentaje de personas que viven con el VIH que, habiendo notificado la violación de sus derechos, buscaron compensación jurídica</v>
      </c>
      <c r="C118" s="156">
        <f t="shared" si="2"/>
        <v>2</v>
      </c>
      <c r="D118" s="156" t="str">
        <f t="shared" si="3"/>
        <v>HIV O-17 Porcentaje de personas que viven con el VIH que, habiendo notificado la violación de sus derechos, buscaron compensación jurídica-2</v>
      </c>
      <c r="E118" s="156" t="str">
        <f>CHOOSE(Translations!$C$1+1,I118,J118,K118)</f>
        <v>Grupo de riesgo objetivo</v>
      </c>
      <c r="F118" s="156" t="str">
        <f>CHOOSE(Translations!$C$1+1,L118,M118,N118)</f>
        <v>Trabajadores sexuales</v>
      </c>
      <c r="G118" s="156" t="s">
        <v>1848</v>
      </c>
      <c r="H118" s="157" t="s">
        <v>1849</v>
      </c>
      <c r="I118" s="157" t="s">
        <v>1834</v>
      </c>
      <c r="J118" s="157" t="s">
        <v>1835</v>
      </c>
      <c r="K118" s="157" t="s">
        <v>1836</v>
      </c>
      <c r="L118" s="157" t="s">
        <v>1850</v>
      </c>
      <c r="M118" s="157" t="s">
        <v>1851</v>
      </c>
      <c r="N118" s="157" t="s">
        <v>1852</v>
      </c>
      <c r="O118" s="157" t="s">
        <v>1840</v>
      </c>
      <c r="P118" s="157" t="s">
        <v>1841</v>
      </c>
      <c r="Q118" s="157" t="s">
        <v>1842</v>
      </c>
    </row>
    <row r="119" spans="1:17" s="9" customFormat="1" x14ac:dyDescent="0.25">
      <c r="A119" s="156" t="s">
        <v>1831</v>
      </c>
      <c r="B119" s="156" t="str">
        <f>CHOOSE(Translations!$C$1+1,O119,P119,Q119)</f>
        <v>HIV O-17 Porcentaje de personas que viven con el VIH que, habiendo notificado la violación de sus derechos, buscaron compensación jurídica</v>
      </c>
      <c r="C119" s="156">
        <f t="shared" si="2"/>
        <v>3</v>
      </c>
      <c r="D119" s="156" t="str">
        <f t="shared" si="3"/>
        <v>HIV O-17 Porcentaje de personas que viven con el VIH que, habiendo notificado la violación de sus derechos, buscaron compensación jurídica-3</v>
      </c>
      <c r="E119" s="156" t="str">
        <f>CHOOSE(Translations!$C$1+1,I119,J119,K119)</f>
        <v>Grupo de riesgo objetivo</v>
      </c>
      <c r="F119" s="156" t="str">
        <f>CHOOSE(Translations!$C$1+1,L119,M119,N119)</f>
        <v>HSH</v>
      </c>
      <c r="G119" s="156" t="s">
        <v>1853</v>
      </c>
      <c r="H119" s="157" t="s">
        <v>1854</v>
      </c>
      <c r="I119" s="157" t="s">
        <v>1834</v>
      </c>
      <c r="J119" s="157" t="s">
        <v>1835</v>
      </c>
      <c r="K119" s="157" t="s">
        <v>1836</v>
      </c>
      <c r="L119" s="157" t="s">
        <v>1855</v>
      </c>
      <c r="M119" s="157" t="s">
        <v>1856</v>
      </c>
      <c r="N119" s="157" t="s">
        <v>1856</v>
      </c>
      <c r="O119" s="157" t="s">
        <v>1840</v>
      </c>
      <c r="P119" s="157" t="s">
        <v>1841</v>
      </c>
      <c r="Q119" s="157" t="s">
        <v>1842</v>
      </c>
    </row>
    <row r="120" spans="1:17" s="9" customFormat="1" x14ac:dyDescent="0.25">
      <c r="A120" s="156" t="s">
        <v>1831</v>
      </c>
      <c r="B120" s="156" t="str">
        <f>CHOOSE(Translations!$C$1+1,O120,P120,Q120)</f>
        <v>HIV O-17 Porcentaje de personas que viven con el VIH que, habiendo notificado la violación de sus derechos, buscaron compensación jurídica</v>
      </c>
      <c r="C120" s="156">
        <f t="shared" si="2"/>
        <v>4</v>
      </c>
      <c r="D120" s="156" t="str">
        <f t="shared" si="3"/>
        <v>HIV O-17 Porcentaje de personas que viven con el VIH que, habiendo notificado la violación de sus derechos, buscaron compensación jurídica-4</v>
      </c>
      <c r="E120" s="156" t="str">
        <f>CHOOSE(Translations!$C$1+1,I120,J120,K120)</f>
        <v>Género</v>
      </c>
      <c r="F120" s="156" t="str">
        <f>CHOOSE(Translations!$C$1+1,L120,M120,N120)</f>
        <v>Transgénero</v>
      </c>
      <c r="G120" s="156" t="s">
        <v>1857</v>
      </c>
      <c r="H120" s="157" t="s">
        <v>1858</v>
      </c>
      <c r="I120" s="157" t="s">
        <v>1450</v>
      </c>
      <c r="J120" s="157" t="s">
        <v>1451</v>
      </c>
      <c r="K120" s="157" t="s">
        <v>1452</v>
      </c>
      <c r="L120" s="157" t="s">
        <v>1534</v>
      </c>
      <c r="M120" s="157" t="s">
        <v>1535</v>
      </c>
      <c r="N120" s="157" t="s">
        <v>1536</v>
      </c>
      <c r="O120" s="157" t="s">
        <v>1840</v>
      </c>
      <c r="P120" s="157" t="s">
        <v>1841</v>
      </c>
      <c r="Q120" s="157" t="s">
        <v>1842</v>
      </c>
    </row>
    <row r="121" spans="1:17" s="9" customFormat="1" x14ac:dyDescent="0.25">
      <c r="A121" s="156" t="s">
        <v>1831</v>
      </c>
      <c r="B121" s="156" t="str">
        <f>CHOOSE(Translations!$C$1+1,O121,P121,Q121)</f>
        <v>HIV O-17 Porcentaje de personas que viven con el VIH que, habiendo notificado la violación de sus derechos, buscaron compensación jurídica</v>
      </c>
      <c r="C121" s="156">
        <f t="shared" si="2"/>
        <v>5</v>
      </c>
      <c r="D121" s="156" t="str">
        <f t="shared" si="3"/>
        <v>HIV O-17 Porcentaje de personas que viven con el VIH que, habiendo notificado la violación de sus derechos, buscaron compensación jurídica-5</v>
      </c>
      <c r="E121" s="156" t="str">
        <f>CHOOSE(Translations!$C$1+1,I121,J121,K121)</f>
        <v>Género</v>
      </c>
      <c r="F121" s="156" t="str">
        <f>CHOOSE(Translations!$C$1+1,L121,M121,N121)</f>
        <v>Mujeres</v>
      </c>
      <c r="G121" s="156" t="s">
        <v>1859</v>
      </c>
      <c r="H121" s="157" t="s">
        <v>1860</v>
      </c>
      <c r="I121" s="157" t="s">
        <v>1450</v>
      </c>
      <c r="J121" s="157" t="s">
        <v>1451</v>
      </c>
      <c r="K121" s="157" t="s">
        <v>1452</v>
      </c>
      <c r="L121" s="157" t="s">
        <v>1453</v>
      </c>
      <c r="M121" s="157" t="s">
        <v>1454</v>
      </c>
      <c r="N121" s="157" t="s">
        <v>1455</v>
      </c>
      <c r="O121" s="157" t="s">
        <v>1840</v>
      </c>
      <c r="P121" s="157" t="s">
        <v>1841</v>
      </c>
      <c r="Q121" s="157" t="s">
        <v>1842</v>
      </c>
    </row>
    <row r="122" spans="1:17" s="9" customFormat="1" x14ac:dyDescent="0.25">
      <c r="A122" s="156" t="s">
        <v>1831</v>
      </c>
      <c r="B122" s="156" t="str">
        <f>CHOOSE(Translations!$C$1+1,O122,P122,Q122)</f>
        <v>HIV O-17 Porcentaje de personas que viven con el VIH que, habiendo notificado la violación de sus derechos, buscaron compensación jurídica</v>
      </c>
      <c r="C122" s="156">
        <f t="shared" si="2"/>
        <v>6</v>
      </c>
      <c r="D122" s="156" t="str">
        <f t="shared" si="3"/>
        <v>HIV O-17 Porcentaje de personas que viven con el VIH que, habiendo notificado la violación de sus derechos, buscaron compensación jurídica-6</v>
      </c>
      <c r="E122" s="156" t="str">
        <f>CHOOSE(Translations!$C$1+1,I122,J122,K122)</f>
        <v>Género</v>
      </c>
      <c r="F122" s="156" t="str">
        <f>CHOOSE(Translations!$C$1+1,L122,M122,N122)</f>
        <v>Hombres</v>
      </c>
      <c r="G122" s="156" t="s">
        <v>1861</v>
      </c>
      <c r="H122" s="157" t="s">
        <v>1862</v>
      </c>
      <c r="I122" s="157" t="s">
        <v>1450</v>
      </c>
      <c r="J122" s="157" t="s">
        <v>1451</v>
      </c>
      <c r="K122" s="157" t="s">
        <v>1452</v>
      </c>
      <c r="L122" s="157" t="s">
        <v>1458</v>
      </c>
      <c r="M122" s="157" t="s">
        <v>1459</v>
      </c>
      <c r="N122" s="157" t="s">
        <v>1460</v>
      </c>
      <c r="O122" s="157" t="s">
        <v>1840</v>
      </c>
      <c r="P122" s="157" t="s">
        <v>1841</v>
      </c>
      <c r="Q122" s="157" t="s">
        <v>1842</v>
      </c>
    </row>
    <row r="123" spans="1:17" s="9" customFormat="1" x14ac:dyDescent="0.25">
      <c r="A123" s="156" t="s">
        <v>1831</v>
      </c>
      <c r="B123" s="156" t="str">
        <f>CHOOSE(Translations!$C$1+1,O123,P123,Q123)</f>
        <v>HIV O-17 Porcentaje de personas que viven con el VIH que, habiendo notificado la violación de sus derechos, buscaron compensación jurídica</v>
      </c>
      <c r="C123" s="156">
        <f t="shared" si="2"/>
        <v>7</v>
      </c>
      <c r="D123" s="156" t="str">
        <f t="shared" si="3"/>
        <v>HIV O-17 Porcentaje de personas que viven con el VIH que, habiendo notificado la violación de sus derechos, buscaron compensación jurídica-7</v>
      </c>
      <c r="E123" s="156" t="str">
        <f>CHOOSE(Translations!$C$1+1,I123,J123,K123)</f>
        <v>Edad</v>
      </c>
      <c r="F123" s="156" t="str">
        <f>CHOOSE(Translations!$C$1+1,L123,M123,N123)</f>
        <v>25+</v>
      </c>
      <c r="G123" s="156" t="s">
        <v>1863</v>
      </c>
      <c r="H123" s="157" t="s">
        <v>1864</v>
      </c>
      <c r="I123" s="157" t="s">
        <v>1463</v>
      </c>
      <c r="J123" s="157" t="s">
        <v>1463</v>
      </c>
      <c r="K123" s="157" t="s">
        <v>1464</v>
      </c>
      <c r="L123" s="157" t="s">
        <v>1516</v>
      </c>
      <c r="M123" s="157" t="s">
        <v>1516</v>
      </c>
      <c r="N123" s="157" t="s">
        <v>1516</v>
      </c>
      <c r="O123" s="157" t="s">
        <v>1840</v>
      </c>
      <c r="P123" s="157" t="s">
        <v>1841</v>
      </c>
      <c r="Q123" s="157" t="s">
        <v>1842</v>
      </c>
    </row>
    <row r="124" spans="1:17" s="9" customFormat="1" x14ac:dyDescent="0.25">
      <c r="A124" s="156" t="s">
        <v>1831</v>
      </c>
      <c r="B124" s="156" t="str">
        <f>CHOOSE(Translations!$C$1+1,O124,P124,Q124)</f>
        <v>HIV O-17 Porcentaje de personas que viven con el VIH que, habiendo notificado la violación de sus derechos, buscaron compensación jurídica</v>
      </c>
      <c r="C124" s="156">
        <f t="shared" si="2"/>
        <v>8</v>
      </c>
      <c r="D124" s="156" t="str">
        <f t="shared" si="3"/>
        <v>HIV O-17 Porcentaje de personas que viven con el VIH que, habiendo notificado la violación de sus derechos, buscaron compensación jurídica-8</v>
      </c>
      <c r="E124" s="156" t="str">
        <f>CHOOSE(Translations!$C$1+1,I124,J124,K124)</f>
        <v>Edad</v>
      </c>
      <c r="F124" s="156" t="str">
        <f>CHOOSE(Translations!$C$1+1,L124,M124,N124)</f>
        <v>&lt;25</v>
      </c>
      <c r="G124" s="156" t="s">
        <v>1865</v>
      </c>
      <c r="H124" s="157" t="s">
        <v>1866</v>
      </c>
      <c r="I124" s="157" t="s">
        <v>1463</v>
      </c>
      <c r="J124" s="157" t="s">
        <v>1463</v>
      </c>
      <c r="K124" s="157" t="s">
        <v>1464</v>
      </c>
      <c r="L124" s="157" t="s">
        <v>1522</v>
      </c>
      <c r="M124" s="157" t="s">
        <v>1522</v>
      </c>
      <c r="N124" s="157" t="s">
        <v>1522</v>
      </c>
      <c r="O124" s="157" t="s">
        <v>1840</v>
      </c>
      <c r="P124" s="157" t="s">
        <v>1841</v>
      </c>
      <c r="Q124" s="157" t="s">
        <v>1842</v>
      </c>
    </row>
    <row r="125" spans="1:17" s="9" customFormat="1" x14ac:dyDescent="0.25">
      <c r="A125" s="156" t="s">
        <v>1867</v>
      </c>
      <c r="B125" s="156" t="str">
        <f>CHOOSE(Translations!$C$1+1,O125,P125,Q125)</f>
        <v>HIV O-21 Porcentaje de personas que viven con el VIH que no reciben TARV al final del período de reporte entre el total de personas que viven con el VIH en TARV o que iniciaron TARV durante el período de reporte</v>
      </c>
      <c r="C125" s="156">
        <f t="shared" si="2"/>
        <v>0</v>
      </c>
      <c r="D125" s="156" t="str">
        <f t="shared" si="3"/>
        <v>HIV O-21 Porcentaje de personas que viven con el VIH que no reciben TARV al final del período de reporte entre el total de personas que viven con el VIH en TARV o que iniciaron TARV durante el período de reporte-0</v>
      </c>
      <c r="E125" s="156" t="str">
        <f>CHOOSE(Translations!$C$1+1,I125,J125,K125)</f>
        <v>Resultados de tratamiento</v>
      </c>
      <c r="F125" s="156" t="str">
        <f>CHOOSE(Translations!$C$1+1,L125,M125,N125)</f>
        <v>Perdidos en seguimiento</v>
      </c>
      <c r="G125" s="156" t="s">
        <v>1868</v>
      </c>
      <c r="H125" s="157" t="s">
        <v>1869</v>
      </c>
      <c r="I125" s="157" t="s">
        <v>1870</v>
      </c>
      <c r="J125" s="157" t="s">
        <v>1871</v>
      </c>
      <c r="K125" s="157" t="s">
        <v>1872</v>
      </c>
      <c r="L125" s="157" t="s">
        <v>1873</v>
      </c>
      <c r="M125" s="157" t="s">
        <v>1874</v>
      </c>
      <c r="N125" s="157" t="s">
        <v>1875</v>
      </c>
      <c r="O125" s="157" t="s">
        <v>1876</v>
      </c>
      <c r="P125" s="157" t="s">
        <v>1877</v>
      </c>
      <c r="Q125" s="157" t="s">
        <v>1878</v>
      </c>
    </row>
    <row r="126" spans="1:17" s="9" customFormat="1" x14ac:dyDescent="0.25">
      <c r="A126" s="156" t="s">
        <v>1867</v>
      </c>
      <c r="B126" s="156" t="str">
        <f>CHOOSE(Translations!$C$1+1,O126,P126,Q126)</f>
        <v>HIV O-21 Porcentaje de personas que viven con el VIH que no reciben TARV al final del período de reporte entre el total de personas que viven con el VIH en TARV o que iniciaron TARV durante el período de reporte</v>
      </c>
      <c r="C126" s="156">
        <f t="shared" si="2"/>
        <v>1</v>
      </c>
      <c r="D126" s="156" t="str">
        <f t="shared" si="3"/>
        <v>HIV O-21 Porcentaje de personas que viven con el VIH que no reciben TARV al final del período de reporte entre el total de personas que viven con el VIH en TARV o que iniciaron TARV durante el período de reporte-1</v>
      </c>
      <c r="E126" s="156" t="str">
        <f>CHOOSE(Translations!$C$1+1,I126,J126,K126)</f>
        <v>Resultados de tratamiento</v>
      </c>
      <c r="F126" s="156" t="str">
        <f>CHOOSE(Translations!$C$1+1,L126,M126,N126)</f>
        <v>Tratamiento interrumpido</v>
      </c>
      <c r="G126" s="156" t="s">
        <v>1879</v>
      </c>
      <c r="H126" s="157" t="s">
        <v>1880</v>
      </c>
      <c r="I126" s="157" t="s">
        <v>1870</v>
      </c>
      <c r="J126" s="157" t="s">
        <v>1871</v>
      </c>
      <c r="K126" s="157" t="s">
        <v>1872</v>
      </c>
      <c r="L126" s="157" t="s">
        <v>1881</v>
      </c>
      <c r="M126" s="157" t="s">
        <v>1882</v>
      </c>
      <c r="N126" s="157" t="s">
        <v>1883</v>
      </c>
      <c r="O126" s="157" t="s">
        <v>1876</v>
      </c>
      <c r="P126" s="157" t="s">
        <v>1877</v>
      </c>
      <c r="Q126" s="157" t="s">
        <v>1878</v>
      </c>
    </row>
    <row r="127" spans="1:17" s="9" customFormat="1" x14ac:dyDescent="0.25">
      <c r="A127" s="156" t="s">
        <v>1867</v>
      </c>
      <c r="B127" s="156" t="str">
        <f>CHOOSE(Translations!$C$1+1,O127,P127,Q127)</f>
        <v>HIV O-21 Porcentaje de personas que viven con el VIH que no reciben TARV al final del período de reporte entre el total de personas que viven con el VIH en TARV o que iniciaron TARV durante el período de reporte</v>
      </c>
      <c r="C127" s="156">
        <f t="shared" si="2"/>
        <v>2</v>
      </c>
      <c r="D127" s="156" t="str">
        <f t="shared" si="3"/>
        <v>HIV O-21 Porcentaje de personas que viven con el VIH que no reciben TARV al final del período de reporte entre el total de personas que viven con el VIH en TARV o que iniciaron TARV durante el período de reporte-2</v>
      </c>
      <c r="E127" s="156" t="str">
        <f>CHOOSE(Translations!$C$1+1,I127,J127,K127)</f>
        <v>Resultados de tratamiento</v>
      </c>
      <c r="F127" s="156" t="str">
        <f>CHOOSE(Translations!$C$1+1,L127,M127,N127)</f>
        <v>Fallecido</v>
      </c>
      <c r="G127" s="156" t="s">
        <v>1884</v>
      </c>
      <c r="H127" s="157" t="s">
        <v>1885</v>
      </c>
      <c r="I127" s="157" t="s">
        <v>1870</v>
      </c>
      <c r="J127" s="157" t="s">
        <v>1871</v>
      </c>
      <c r="K127" s="157" t="s">
        <v>1872</v>
      </c>
      <c r="L127" s="157" t="s">
        <v>1886</v>
      </c>
      <c r="M127" s="157" t="s">
        <v>1887</v>
      </c>
      <c r="N127" s="157" t="s">
        <v>1888</v>
      </c>
      <c r="O127" s="157" t="s">
        <v>1876</v>
      </c>
      <c r="P127" s="157" t="s">
        <v>1877</v>
      </c>
      <c r="Q127" s="157" t="s">
        <v>1878</v>
      </c>
    </row>
    <row r="128" spans="1:17" s="9" customFormat="1" x14ac:dyDescent="0.25">
      <c r="A128" s="156" t="s">
        <v>1867</v>
      </c>
      <c r="B128" s="156" t="str">
        <f>CHOOSE(Translations!$C$1+1,O128,P128,Q128)</f>
        <v>HIV O-21 Porcentaje de personas que viven con el VIH que no reciben TARV al final del período de reporte entre el total de personas que viven con el VIH en TARV o que iniciaron TARV durante el período de reporte</v>
      </c>
      <c r="C128" s="156">
        <f t="shared" si="2"/>
        <v>3</v>
      </c>
      <c r="D128" s="156" t="str">
        <f t="shared" si="3"/>
        <v>HIV O-21 Porcentaje de personas que viven con el VIH que no reciben TARV al final del período de reporte entre el total de personas que viven con el VIH en TARV o que iniciaron TARV durante el período de reporte-3</v>
      </c>
      <c r="E128" s="156" t="str">
        <f>CHOOSE(Translations!$C$1+1,I128,J128,K128)</f>
        <v>Género</v>
      </c>
      <c r="F128" s="156" t="str">
        <f>CHOOSE(Translations!$C$1+1,L128,M128,N128)</f>
        <v>Transgénero</v>
      </c>
      <c r="G128" s="156" t="s">
        <v>1889</v>
      </c>
      <c r="H128" s="157" t="s">
        <v>1890</v>
      </c>
      <c r="I128" s="157" t="s">
        <v>1450</v>
      </c>
      <c r="J128" s="157" t="s">
        <v>1451</v>
      </c>
      <c r="K128" s="157" t="s">
        <v>1452</v>
      </c>
      <c r="L128" s="157" t="s">
        <v>1534</v>
      </c>
      <c r="M128" s="157" t="s">
        <v>1535</v>
      </c>
      <c r="N128" s="157" t="s">
        <v>1536</v>
      </c>
      <c r="O128" s="157" t="s">
        <v>1876</v>
      </c>
      <c r="P128" s="157" t="s">
        <v>1877</v>
      </c>
      <c r="Q128" s="157" t="s">
        <v>1878</v>
      </c>
    </row>
    <row r="129" spans="1:17" s="9" customFormat="1" x14ac:dyDescent="0.25">
      <c r="A129" s="156" t="s">
        <v>1867</v>
      </c>
      <c r="B129" s="156" t="str">
        <f>CHOOSE(Translations!$C$1+1,O129,P129,Q129)</f>
        <v>HIV O-21 Porcentaje de personas que viven con el VIH que no reciben TARV al final del período de reporte entre el total de personas que viven con el VIH en TARV o que iniciaron TARV durante el período de reporte</v>
      </c>
      <c r="C129" s="156">
        <f t="shared" si="2"/>
        <v>4</v>
      </c>
      <c r="D129" s="156" t="str">
        <f t="shared" si="3"/>
        <v>HIV O-21 Porcentaje de personas que viven con el VIH que no reciben TARV al final del período de reporte entre el total de personas que viven con el VIH en TARV o que iniciaron TARV durante el período de reporte-4</v>
      </c>
      <c r="E129" s="156" t="str">
        <f>CHOOSE(Translations!$C$1+1,I129,J129,K129)</f>
        <v>Género</v>
      </c>
      <c r="F129" s="156" t="str">
        <f>CHOOSE(Translations!$C$1+1,L129,M129,N129)</f>
        <v>Mujeres</v>
      </c>
      <c r="G129" s="156" t="s">
        <v>1891</v>
      </c>
      <c r="H129" s="157" t="s">
        <v>1892</v>
      </c>
      <c r="I129" s="157" t="s">
        <v>1450</v>
      </c>
      <c r="J129" s="157" t="s">
        <v>1451</v>
      </c>
      <c r="K129" s="157" t="s">
        <v>1452</v>
      </c>
      <c r="L129" s="157" t="s">
        <v>1453</v>
      </c>
      <c r="M129" s="157" t="s">
        <v>1454</v>
      </c>
      <c r="N129" s="157" t="s">
        <v>1455</v>
      </c>
      <c r="O129" s="157" t="s">
        <v>1876</v>
      </c>
      <c r="P129" s="157" t="s">
        <v>1877</v>
      </c>
      <c r="Q129" s="157" t="s">
        <v>1878</v>
      </c>
    </row>
    <row r="130" spans="1:17" s="9" customFormat="1" x14ac:dyDescent="0.25">
      <c r="A130" s="156" t="s">
        <v>1867</v>
      </c>
      <c r="B130" s="156" t="str">
        <f>CHOOSE(Translations!$C$1+1,O130,P130,Q130)</f>
        <v>HIV O-21 Porcentaje de personas que viven con el VIH que no reciben TARV al final del período de reporte entre el total de personas que viven con el VIH en TARV o que iniciaron TARV durante el período de reporte</v>
      </c>
      <c r="C130" s="156">
        <f t="shared" si="2"/>
        <v>5</v>
      </c>
      <c r="D130" s="156" t="str">
        <f t="shared" si="3"/>
        <v>HIV O-21 Porcentaje de personas que viven con el VIH que no reciben TARV al final del período de reporte entre el total de personas que viven con el VIH en TARV o que iniciaron TARV durante el período de reporte-5</v>
      </c>
      <c r="E130" s="156" t="str">
        <f>CHOOSE(Translations!$C$1+1,I130,J130,K130)</f>
        <v>Género</v>
      </c>
      <c r="F130" s="156" t="str">
        <f>CHOOSE(Translations!$C$1+1,L130,M130,N130)</f>
        <v>Hombres</v>
      </c>
      <c r="G130" s="156" t="s">
        <v>1893</v>
      </c>
      <c r="H130" s="157" t="s">
        <v>1894</v>
      </c>
      <c r="I130" s="157" t="s">
        <v>1450</v>
      </c>
      <c r="J130" s="157" t="s">
        <v>1451</v>
      </c>
      <c r="K130" s="157" t="s">
        <v>1452</v>
      </c>
      <c r="L130" s="157" t="s">
        <v>1458</v>
      </c>
      <c r="M130" s="157" t="s">
        <v>1459</v>
      </c>
      <c r="N130" s="157" t="s">
        <v>1460</v>
      </c>
      <c r="O130" s="157" t="s">
        <v>1876</v>
      </c>
      <c r="P130" s="157" t="s">
        <v>1877</v>
      </c>
      <c r="Q130" s="157" t="s">
        <v>1878</v>
      </c>
    </row>
    <row r="131" spans="1:17" s="9" customFormat="1" x14ac:dyDescent="0.25">
      <c r="A131" s="156" t="s">
        <v>1867</v>
      </c>
      <c r="B131" s="156" t="str">
        <f>CHOOSE(Translations!$C$1+1,O131,P131,Q131)</f>
        <v>HIV O-21 Porcentaje de personas que viven con el VIH que no reciben TARV al final del período de reporte entre el total de personas que viven con el VIH en TARV o que iniciaron TARV durante el período de reporte</v>
      </c>
      <c r="C131" s="156">
        <f t="shared" si="2"/>
        <v>6</v>
      </c>
      <c r="D131" s="156" t="str">
        <f t="shared" si="3"/>
        <v>HIV O-21 Porcentaje de personas que viven con el VIH que no reciben TARV al final del período de reporte entre el total de personas que viven con el VIH en TARV o que iniciaron TARV durante el período de reporte-6</v>
      </c>
      <c r="E131" s="156" t="str">
        <f>CHOOSE(Translations!$C$1+1,I131,J131,K131)</f>
        <v>Edad</v>
      </c>
      <c r="F131" s="156" t="str">
        <f>CHOOSE(Translations!$C$1+1,L131,M131,N131)</f>
        <v>15+</v>
      </c>
      <c r="G131" s="156" t="s">
        <v>1895</v>
      </c>
      <c r="H131" s="157" t="s">
        <v>1896</v>
      </c>
      <c r="I131" s="157" t="s">
        <v>1463</v>
      </c>
      <c r="J131" s="157" t="s">
        <v>1463</v>
      </c>
      <c r="K131" s="157" t="s">
        <v>1464</v>
      </c>
      <c r="L131" s="157" t="s">
        <v>1465</v>
      </c>
      <c r="M131" s="157" t="s">
        <v>1465</v>
      </c>
      <c r="N131" s="157" t="s">
        <v>1465</v>
      </c>
      <c r="O131" s="157" t="s">
        <v>1876</v>
      </c>
      <c r="P131" s="157" t="s">
        <v>1877</v>
      </c>
      <c r="Q131" s="157" t="s">
        <v>1878</v>
      </c>
    </row>
    <row r="132" spans="1:17" s="9" customFormat="1" x14ac:dyDescent="0.25">
      <c r="A132" s="156" t="s">
        <v>1867</v>
      </c>
      <c r="B132" s="156" t="str">
        <f>CHOOSE(Translations!$C$1+1,O132,P132,Q132)</f>
        <v>HIV O-21 Porcentaje de personas que viven con el VIH que no reciben TARV al final del período de reporte entre el total de personas que viven con el VIH en TARV o que iniciaron TARV durante el período de reporte</v>
      </c>
      <c r="C132" s="156">
        <f t="shared" si="2"/>
        <v>7</v>
      </c>
      <c r="D132" s="156" t="str">
        <f t="shared" si="3"/>
        <v>HIV O-21 Porcentaje de personas que viven con el VIH que no reciben TARV al final del período de reporte entre el total de personas que viven con el VIH en TARV o que iniciaron TARV durante el período de reporte-7</v>
      </c>
      <c r="E132" s="156" t="str">
        <f>CHOOSE(Translations!$C$1+1,I132,J132,K132)</f>
        <v>Edad</v>
      </c>
      <c r="F132" s="156" t="str">
        <f>CHOOSE(Translations!$C$1+1,L132,M132,N132)</f>
        <v>&lt;15</v>
      </c>
      <c r="G132" s="156" t="s">
        <v>1897</v>
      </c>
      <c r="H132" s="157" t="s">
        <v>1898</v>
      </c>
      <c r="I132" s="157" t="s">
        <v>1463</v>
      </c>
      <c r="J132" s="157" t="s">
        <v>1463</v>
      </c>
      <c r="K132" s="157" t="s">
        <v>1464</v>
      </c>
      <c r="L132" s="157" t="s">
        <v>1468</v>
      </c>
      <c r="M132" s="157" t="s">
        <v>1468</v>
      </c>
      <c r="N132" s="157" t="s">
        <v>1468</v>
      </c>
      <c r="O132" s="157" t="s">
        <v>1876</v>
      </c>
      <c r="P132" s="157" t="s">
        <v>1877</v>
      </c>
      <c r="Q132" s="157" t="s">
        <v>1878</v>
      </c>
    </row>
    <row r="133" spans="1:17" s="9" customFormat="1" x14ac:dyDescent="0.25">
      <c r="A133" s="156" t="s">
        <v>1899</v>
      </c>
      <c r="B133" s="156" t="str">
        <f>CHOOSE(Translations!$C$1+1,O133,P133,Q133)</f>
        <v>TB O-7 Porcentaje de personas con tuberculosis que han sufrido autoestigmatización a causa de su estado con respecto a la enfermedad que les ha impedido buscar servicios relacionados con la tuberculosis y acceder</v>
      </c>
      <c r="C133" s="156">
        <f t="shared" si="2"/>
        <v>0</v>
      </c>
      <c r="D133" s="156" t="str">
        <f t="shared" si="3"/>
        <v>TB O-7 Porcentaje de personas con tuberculosis que han sufrido autoestigmatización a causa de su estado con respecto a la enfermedad que les ha impedido buscar servicios relacionados con la tuberculosis y acceder-0</v>
      </c>
      <c r="E133" s="156" t="str">
        <f>CHOOSE(Translations!$C$1+1,I133,J133,K133)</f>
        <v>Género</v>
      </c>
      <c r="F133" s="156" t="str">
        <f>CHOOSE(Translations!$C$1+1,L133,M133,N133)</f>
        <v>Mujeres</v>
      </c>
      <c r="G133" s="156" t="s">
        <v>1900</v>
      </c>
      <c r="H133" s="157" t="s">
        <v>1901</v>
      </c>
      <c r="I133" s="157" t="s">
        <v>1450</v>
      </c>
      <c r="J133" s="157" t="s">
        <v>1451</v>
      </c>
      <c r="K133" s="157" t="s">
        <v>1452</v>
      </c>
      <c r="L133" s="157" t="s">
        <v>1453</v>
      </c>
      <c r="M133" s="157" t="s">
        <v>1454</v>
      </c>
      <c r="N133" s="157" t="s">
        <v>1455</v>
      </c>
      <c r="O133" s="157" t="s">
        <v>1902</v>
      </c>
      <c r="P133" s="157" t="s">
        <v>1903</v>
      </c>
      <c r="Q133" s="157" t="s">
        <v>1904</v>
      </c>
    </row>
    <row r="134" spans="1:17" s="9" customFormat="1" x14ac:dyDescent="0.25">
      <c r="A134" s="156" t="s">
        <v>1899</v>
      </c>
      <c r="B134" s="156" t="str">
        <f>CHOOSE(Translations!$C$1+1,O134,P134,Q134)</f>
        <v>TB O-7 Porcentaje de personas con tuberculosis que han sufrido autoestigmatización a causa de su estado con respecto a la enfermedad que les ha impedido buscar servicios relacionados con la tuberculosis y acceder</v>
      </c>
      <c r="C134" s="156">
        <f t="shared" ref="C134:C151" si="4">IF(O134=O133,C133+1,0)</f>
        <v>1</v>
      </c>
      <c r="D134" s="156" t="str">
        <f t="shared" ref="D134:D151" si="5">B134&amp;"-"&amp;C134</f>
        <v>TB O-7 Porcentaje de personas con tuberculosis que han sufrido autoestigmatización a causa de su estado con respecto a la enfermedad que les ha impedido buscar servicios relacionados con la tuberculosis y acceder-1</v>
      </c>
      <c r="E134" s="156" t="str">
        <f>CHOOSE(Translations!$C$1+1,I134,J134,K134)</f>
        <v>Género</v>
      </c>
      <c r="F134" s="156" t="str">
        <f>CHOOSE(Translations!$C$1+1,L134,M134,N134)</f>
        <v>Hombres</v>
      </c>
      <c r="G134" s="156" t="s">
        <v>1905</v>
      </c>
      <c r="H134" s="157" t="s">
        <v>1906</v>
      </c>
      <c r="I134" s="157" t="s">
        <v>1450</v>
      </c>
      <c r="J134" s="157" t="s">
        <v>1451</v>
      </c>
      <c r="K134" s="157" t="s">
        <v>1452</v>
      </c>
      <c r="L134" s="157" t="s">
        <v>1458</v>
      </c>
      <c r="M134" s="157" t="s">
        <v>1459</v>
      </c>
      <c r="N134" s="157" t="s">
        <v>1460</v>
      </c>
      <c r="O134" s="157" t="s">
        <v>1902</v>
      </c>
      <c r="P134" s="157" t="s">
        <v>1903</v>
      </c>
      <c r="Q134" s="157" t="s">
        <v>1904</v>
      </c>
    </row>
    <row r="135" spans="1:17" s="9" customFormat="1" x14ac:dyDescent="0.25">
      <c r="A135" s="156" t="s">
        <v>1907</v>
      </c>
      <c r="B135" s="156" t="str">
        <f>CHOOSE(Translations!$C$1+1,O135,P135,Q135)</f>
        <v>TB O-8 Porcentaje de personas con tuberculosis que han sufrido estigmatización en centros de atención de la salud a causa de su estado con respecto a la enfermedad que les ha impedido buscar servicios relacionados con la tuberculosis y acceder</v>
      </c>
      <c r="C135" s="156">
        <f t="shared" si="4"/>
        <v>0</v>
      </c>
      <c r="D135" s="156" t="str">
        <f t="shared" si="5"/>
        <v>TB O-8 Porcentaje de personas con tuberculosis que han sufrido estigmatización en centros de atención de la salud a causa de su estado con respecto a la enfermedad que les ha impedido buscar servicios relacionados con la tuberculosis y acceder-0</v>
      </c>
      <c r="E135" s="156" t="str">
        <f>CHOOSE(Translations!$C$1+1,I135,J135,K135)</f>
        <v>Género</v>
      </c>
      <c r="F135" s="156" t="str">
        <f>CHOOSE(Translations!$C$1+1,L135,M135,N135)</f>
        <v>Mujeres</v>
      </c>
      <c r="G135" s="156" t="s">
        <v>1908</v>
      </c>
      <c r="H135" s="157" t="s">
        <v>1909</v>
      </c>
      <c r="I135" s="157" t="s">
        <v>1450</v>
      </c>
      <c r="J135" s="157" t="s">
        <v>1451</v>
      </c>
      <c r="K135" s="157" t="s">
        <v>1452</v>
      </c>
      <c r="L135" s="157" t="s">
        <v>1453</v>
      </c>
      <c r="M135" s="157" t="s">
        <v>1454</v>
      </c>
      <c r="N135" s="157" t="s">
        <v>1455</v>
      </c>
      <c r="O135" s="157" t="s">
        <v>1910</v>
      </c>
      <c r="P135" s="157" t="s">
        <v>1911</v>
      </c>
      <c r="Q135" s="157" t="s">
        <v>1912</v>
      </c>
    </row>
    <row r="136" spans="1:17" s="9" customFormat="1" x14ac:dyDescent="0.25">
      <c r="A136" s="156" t="s">
        <v>1907</v>
      </c>
      <c r="B136" s="156" t="str">
        <f>CHOOSE(Translations!$C$1+1,O136,P136,Q136)</f>
        <v>TB O-8 Porcentaje de personas con tuberculosis que han sufrido estigmatización en centros de atención de la salud a causa de su estado con respecto a la enfermedad que les ha impedido buscar servicios relacionados con la tuberculosis y acceder</v>
      </c>
      <c r="C136" s="156">
        <f t="shared" si="4"/>
        <v>1</v>
      </c>
      <c r="D136" s="156" t="str">
        <f t="shared" si="5"/>
        <v>TB O-8 Porcentaje de personas con tuberculosis que han sufrido estigmatización en centros de atención de la salud a causa de su estado con respecto a la enfermedad que les ha impedido buscar servicios relacionados con la tuberculosis y acceder-1</v>
      </c>
      <c r="E136" s="156" t="str">
        <f>CHOOSE(Translations!$C$1+1,I136,J136,K136)</f>
        <v>Género</v>
      </c>
      <c r="F136" s="156" t="str">
        <f>CHOOSE(Translations!$C$1+1,L136,M136,N136)</f>
        <v>Hombres</v>
      </c>
      <c r="G136" s="156" t="s">
        <v>1913</v>
      </c>
      <c r="H136" s="157" t="s">
        <v>1914</v>
      </c>
      <c r="I136" s="157" t="s">
        <v>1450</v>
      </c>
      <c r="J136" s="157" t="s">
        <v>1451</v>
      </c>
      <c r="K136" s="157" t="s">
        <v>1452</v>
      </c>
      <c r="L136" s="157" t="s">
        <v>1458</v>
      </c>
      <c r="M136" s="157" t="s">
        <v>1459</v>
      </c>
      <c r="N136" s="157" t="s">
        <v>1460</v>
      </c>
      <c r="O136" s="157" t="s">
        <v>1910</v>
      </c>
      <c r="P136" s="157" t="s">
        <v>1911</v>
      </c>
      <c r="Q136" s="157" t="s">
        <v>1912</v>
      </c>
    </row>
    <row r="137" spans="1:17" s="9" customFormat="1" x14ac:dyDescent="0.25">
      <c r="A137" s="156" t="s">
        <v>1915</v>
      </c>
      <c r="B137" s="156" t="str">
        <f>CHOOSE(Translations!$C$1+1,O137,P137,Q137)</f>
        <v>TB O-9 Porcentajeo de personas con tuberculosis que han sufrido estigmatización en centros comunitarios a causa de su estado con respecto a la enfermedad que les ha impedido buscar servicios relacionados con la tuberculosis y acceder</v>
      </c>
      <c r="C137" s="156">
        <f t="shared" si="4"/>
        <v>0</v>
      </c>
      <c r="D137" s="156" t="str">
        <f t="shared" si="5"/>
        <v>TB O-9 Porcentajeo de personas con tuberculosis que han sufrido estigmatización en centros comunitarios a causa de su estado con respecto a la enfermedad que les ha impedido buscar servicios relacionados con la tuberculosis y acceder-0</v>
      </c>
      <c r="E137" s="156" t="str">
        <f>CHOOSE(Translations!$C$1+1,I137,J137,K137)</f>
        <v>Género</v>
      </c>
      <c r="F137" s="156" t="str">
        <f>CHOOSE(Translations!$C$1+1,L137,M137,N137)</f>
        <v>Mujeres</v>
      </c>
      <c r="G137" s="156" t="s">
        <v>1916</v>
      </c>
      <c r="H137" s="157" t="s">
        <v>1917</v>
      </c>
      <c r="I137" s="157" t="s">
        <v>1450</v>
      </c>
      <c r="J137" s="157" t="s">
        <v>1451</v>
      </c>
      <c r="K137" s="157" t="s">
        <v>1452</v>
      </c>
      <c r="L137" s="157" t="s">
        <v>1453</v>
      </c>
      <c r="M137" s="157" t="s">
        <v>1454</v>
      </c>
      <c r="N137" s="157" t="s">
        <v>1455</v>
      </c>
      <c r="O137" s="157" t="s">
        <v>1918</v>
      </c>
      <c r="P137" s="157" t="s">
        <v>1919</v>
      </c>
      <c r="Q137" s="157" t="s">
        <v>1920</v>
      </c>
    </row>
    <row r="138" spans="1:17" s="9" customFormat="1" x14ac:dyDescent="0.25">
      <c r="A138" s="156" t="s">
        <v>1915</v>
      </c>
      <c r="B138" s="156" t="str">
        <f>CHOOSE(Translations!$C$1+1,O138,P138,Q138)</f>
        <v>TB O-9 Porcentajeo de personas con tuberculosis que han sufrido estigmatización en centros comunitarios a causa de su estado con respecto a la enfermedad que les ha impedido buscar servicios relacionados con la tuberculosis y acceder</v>
      </c>
      <c r="C138" s="156">
        <f t="shared" si="4"/>
        <v>1</v>
      </c>
      <c r="D138" s="156" t="str">
        <f t="shared" si="5"/>
        <v>TB O-9 Porcentajeo de personas con tuberculosis que han sufrido estigmatización en centros comunitarios a causa de su estado con respecto a la enfermedad que les ha impedido buscar servicios relacionados con la tuberculosis y acceder-1</v>
      </c>
      <c r="E138" s="156" t="str">
        <f>CHOOSE(Translations!$C$1+1,I138,J138,K138)</f>
        <v>Género</v>
      </c>
      <c r="F138" s="156" t="str">
        <f>CHOOSE(Translations!$C$1+1,L138,M138,N138)</f>
        <v>Hombres</v>
      </c>
      <c r="G138" s="156" t="s">
        <v>1921</v>
      </c>
      <c r="H138" s="157" t="s">
        <v>1922</v>
      </c>
      <c r="I138" s="157" t="s">
        <v>1450</v>
      </c>
      <c r="J138" s="157" t="s">
        <v>1451</v>
      </c>
      <c r="K138" s="157" t="s">
        <v>1452</v>
      </c>
      <c r="L138" s="157" t="s">
        <v>1458</v>
      </c>
      <c r="M138" s="157" t="s">
        <v>1459</v>
      </c>
      <c r="N138" s="157" t="s">
        <v>1460</v>
      </c>
      <c r="O138" s="157" t="s">
        <v>1918</v>
      </c>
      <c r="P138" s="157" t="s">
        <v>1919</v>
      </c>
      <c r="Q138" s="157" t="s">
        <v>1920</v>
      </c>
    </row>
    <row r="139" spans="1:17" s="9" customFormat="1" x14ac:dyDescent="0.25">
      <c r="A139" s="156" t="s">
        <v>1923</v>
      </c>
      <c r="B139" s="156" t="str">
        <f>CHOOSE(Translations!$C$1+1,O139,P139,Q139)</f>
        <v>Malaria O-1a Proporción de la población que durmió bajo un mosquitero tratado con insecticida la noche anterior</v>
      </c>
      <c r="C139" s="156">
        <f t="shared" si="4"/>
        <v>0</v>
      </c>
      <c r="D139" s="156" t="str">
        <f t="shared" si="5"/>
        <v>Malaria O-1a Proporción de la población que durmió bajo un mosquitero tratado con insecticida la noche anterior-0</v>
      </c>
      <c r="E139" s="156" t="str">
        <f>CHOOSE(Translations!$C$1+1,I139,J139,K139)</f>
        <v>Género</v>
      </c>
      <c r="F139" s="156" t="str">
        <f>CHOOSE(Translations!$C$1+1,L139,M139,N139)</f>
        <v>Mujeres</v>
      </c>
      <c r="G139" s="156" t="s">
        <v>1924</v>
      </c>
      <c r="H139" s="157" t="s">
        <v>1925</v>
      </c>
      <c r="I139" s="157" t="s">
        <v>1450</v>
      </c>
      <c r="J139" s="157" t="s">
        <v>1451</v>
      </c>
      <c r="K139" s="157" t="s">
        <v>1452</v>
      </c>
      <c r="L139" s="157" t="s">
        <v>1453</v>
      </c>
      <c r="M139" s="157" t="s">
        <v>1454</v>
      </c>
      <c r="N139" s="157" t="s">
        <v>1455</v>
      </c>
      <c r="O139" s="157" t="s">
        <v>1926</v>
      </c>
      <c r="P139" s="157" t="s">
        <v>1927</v>
      </c>
      <c r="Q139" s="157" t="s">
        <v>1928</v>
      </c>
    </row>
    <row r="140" spans="1:17" s="9" customFormat="1" x14ac:dyDescent="0.25">
      <c r="A140" s="156" t="s">
        <v>1923</v>
      </c>
      <c r="B140" s="156" t="str">
        <f>CHOOSE(Translations!$C$1+1,O140,P140,Q140)</f>
        <v>Malaria O-1a Proporción de la población que durmió bajo un mosquitero tratado con insecticida la noche anterior</v>
      </c>
      <c r="C140" s="156">
        <f t="shared" si="4"/>
        <v>1</v>
      </c>
      <c r="D140" s="156" t="str">
        <f t="shared" si="5"/>
        <v>Malaria O-1a Proporción de la población que durmió bajo un mosquitero tratado con insecticida la noche anterior-1</v>
      </c>
      <c r="E140" s="156" t="str">
        <f>CHOOSE(Translations!$C$1+1,I140,J140,K140)</f>
        <v>Género</v>
      </c>
      <c r="F140" s="156" t="str">
        <f>CHOOSE(Translations!$C$1+1,L140,M140,N140)</f>
        <v>Hombres</v>
      </c>
      <c r="G140" s="156" t="s">
        <v>1929</v>
      </c>
      <c r="H140" s="157" t="s">
        <v>1930</v>
      </c>
      <c r="I140" s="157" t="s">
        <v>1450</v>
      </c>
      <c r="J140" s="157" t="s">
        <v>1451</v>
      </c>
      <c r="K140" s="157" t="s">
        <v>1452</v>
      </c>
      <c r="L140" s="157" t="s">
        <v>1458</v>
      </c>
      <c r="M140" s="157" t="s">
        <v>1459</v>
      </c>
      <c r="N140" s="157" t="s">
        <v>1460</v>
      </c>
      <c r="O140" s="157" t="s">
        <v>1926</v>
      </c>
      <c r="P140" s="157" t="s">
        <v>1927</v>
      </c>
      <c r="Q140" s="157" t="s">
        <v>1928</v>
      </c>
    </row>
    <row r="141" spans="1:17" s="9" customFormat="1" x14ac:dyDescent="0.25">
      <c r="A141" s="156" t="s">
        <v>1931</v>
      </c>
      <c r="B141" s="156" t="str">
        <f>CHOOSE(Translations!$C$1+1,O141,P141,Q141)</f>
        <v>Malaria O-3 Proporción de la población que utiliza mosquiteros tratados con insecticida entre la población que tiene acceso a ellos</v>
      </c>
      <c r="C141" s="156">
        <f t="shared" si="4"/>
        <v>0</v>
      </c>
      <c r="D141" s="156" t="str">
        <f t="shared" si="5"/>
        <v>Malaria O-3 Proporción de la población que utiliza mosquiteros tratados con insecticida entre la población que tiene acceso a ellos-0</v>
      </c>
      <c r="E141" s="156" t="str">
        <f>CHOOSE(Translations!$C$1+1,I141,J141,K141)</f>
        <v>Género</v>
      </c>
      <c r="F141" s="156" t="str">
        <f>CHOOSE(Translations!$C$1+1,L141,M141,N141)</f>
        <v>Mujeres</v>
      </c>
      <c r="G141" s="156" t="s">
        <v>1932</v>
      </c>
      <c r="H141" s="157" t="s">
        <v>1933</v>
      </c>
      <c r="I141" s="157" t="s">
        <v>1450</v>
      </c>
      <c r="J141" s="157" t="s">
        <v>1451</v>
      </c>
      <c r="K141" s="157" t="s">
        <v>1452</v>
      </c>
      <c r="L141" s="157" t="s">
        <v>1453</v>
      </c>
      <c r="M141" s="157" t="s">
        <v>1454</v>
      </c>
      <c r="N141" s="157" t="s">
        <v>1455</v>
      </c>
      <c r="O141" s="157" t="s">
        <v>1934</v>
      </c>
      <c r="P141" s="157" t="s">
        <v>1935</v>
      </c>
      <c r="Q141" s="157" t="s">
        <v>1936</v>
      </c>
    </row>
    <row r="142" spans="1:17" s="9" customFormat="1" x14ac:dyDescent="0.25">
      <c r="A142" s="156" t="s">
        <v>1931</v>
      </c>
      <c r="B142" s="156" t="str">
        <f>CHOOSE(Translations!$C$1+1,O142,P142,Q142)</f>
        <v>Malaria O-3 Proporción de la población que utiliza mosquiteros tratados con insecticida entre la población que tiene acceso a ellos</v>
      </c>
      <c r="C142" s="156">
        <f t="shared" si="4"/>
        <v>1</v>
      </c>
      <c r="D142" s="156" t="str">
        <f t="shared" si="5"/>
        <v>Malaria O-3 Proporción de la población que utiliza mosquiteros tratados con insecticida entre la población que tiene acceso a ellos-1</v>
      </c>
      <c r="E142" s="156" t="str">
        <f>CHOOSE(Translations!$C$1+1,I142,J142,K142)</f>
        <v>Género</v>
      </c>
      <c r="F142" s="156" t="str">
        <f>CHOOSE(Translations!$C$1+1,L142,M142,N142)</f>
        <v>Hombres</v>
      </c>
      <c r="G142" s="156" t="s">
        <v>1937</v>
      </c>
      <c r="H142" s="157" t="s">
        <v>1938</v>
      </c>
      <c r="I142" s="157" t="s">
        <v>1450</v>
      </c>
      <c r="J142" s="157" t="s">
        <v>1451</v>
      </c>
      <c r="K142" s="157" t="s">
        <v>1452</v>
      </c>
      <c r="L142" s="157" t="s">
        <v>1458</v>
      </c>
      <c r="M142" s="157" t="s">
        <v>1459</v>
      </c>
      <c r="N142" s="157" t="s">
        <v>1460</v>
      </c>
      <c r="O142" s="157" t="s">
        <v>1934</v>
      </c>
      <c r="P142" s="157" t="s">
        <v>1935</v>
      </c>
      <c r="Q142" s="157" t="s">
        <v>1936</v>
      </c>
    </row>
    <row r="143" spans="1:17" s="9" customFormat="1" x14ac:dyDescent="0.25">
      <c r="A143" s="156" t="s">
        <v>1939</v>
      </c>
      <c r="B143" s="156" t="str">
        <f>CHOOSE(Translations!$C$1+1,O143,P143,Q143)</f>
        <v>Malaria O-9⁽ᴹ⁾ Tasa anual de análisis de sangre por cada 100 habitantes (en entornos de eliminación de la malaria)</v>
      </c>
      <c r="C143" s="156">
        <f t="shared" si="4"/>
        <v>0</v>
      </c>
      <c r="D143" s="156" t="str">
        <f t="shared" si="5"/>
        <v>Malaria O-9⁽ᴹ⁾ Tasa anual de análisis de sangre por cada 100 habitantes (en entornos de eliminación de la malaria)-0</v>
      </c>
      <c r="E143" s="156" t="str">
        <f>CHOOSE(Translations!$C$1+1,I143,J143,K143)</f>
        <v>Detección de casos</v>
      </c>
      <c r="F143" s="156" t="str">
        <f>CHOOSE(Translations!$C$1+1,L143,M143,N143)</f>
        <v>Pasiva</v>
      </c>
      <c r="G143" s="156" t="s">
        <v>1940</v>
      </c>
      <c r="H143" s="157" t="s">
        <v>1941</v>
      </c>
      <c r="I143" s="157" t="s">
        <v>1942</v>
      </c>
      <c r="J143" s="157" t="s">
        <v>1943</v>
      </c>
      <c r="K143" s="157" t="s">
        <v>1944</v>
      </c>
      <c r="L143" s="157" t="s">
        <v>1945</v>
      </c>
      <c r="M143" s="157" t="s">
        <v>1945</v>
      </c>
      <c r="N143" s="157" t="s">
        <v>1946</v>
      </c>
      <c r="O143" s="157" t="s">
        <v>1947</v>
      </c>
      <c r="P143" s="157" t="s">
        <v>1948</v>
      </c>
      <c r="Q143" s="157" t="s">
        <v>1949</v>
      </c>
    </row>
    <row r="144" spans="1:17" s="9" customFormat="1" x14ac:dyDescent="0.25">
      <c r="A144" s="156" t="s">
        <v>1939</v>
      </c>
      <c r="B144" s="156" t="str">
        <f>CHOOSE(Translations!$C$1+1,O144,P144,Q144)</f>
        <v>Malaria O-9⁽ᴹ⁾ Tasa anual de análisis de sangre por cada 100 habitantes (en entornos de eliminación de la malaria)</v>
      </c>
      <c r="C144" s="156">
        <f t="shared" si="4"/>
        <v>1</v>
      </c>
      <c r="D144" s="156" t="str">
        <f t="shared" si="5"/>
        <v>Malaria O-9⁽ᴹ⁾ Tasa anual de análisis de sangre por cada 100 habitantes (en entornos de eliminación de la malaria)-1</v>
      </c>
      <c r="E144" s="156" t="str">
        <f>CHOOSE(Translations!$C$1+1,I144,J144,K144)</f>
        <v>Detección de casos</v>
      </c>
      <c r="F144" s="156" t="str">
        <f>CHOOSE(Translations!$C$1+1,L144,M144,N144)</f>
        <v>Activa</v>
      </c>
      <c r="G144" s="156" t="s">
        <v>1950</v>
      </c>
      <c r="H144" s="157" t="s">
        <v>1951</v>
      </c>
      <c r="I144" s="157" t="s">
        <v>1942</v>
      </c>
      <c r="J144" s="157" t="s">
        <v>1943</v>
      </c>
      <c r="K144" s="157" t="s">
        <v>1944</v>
      </c>
      <c r="L144" s="157" t="s">
        <v>1952</v>
      </c>
      <c r="M144" s="157" t="s">
        <v>1952</v>
      </c>
      <c r="N144" s="157" t="s">
        <v>1953</v>
      </c>
      <c r="O144" s="157" t="s">
        <v>1947</v>
      </c>
      <c r="P144" s="157" t="s">
        <v>1948</v>
      </c>
      <c r="Q144" s="157" t="s">
        <v>1949</v>
      </c>
    </row>
    <row r="145" spans="1:17" s="9" customFormat="1" x14ac:dyDescent="0.25">
      <c r="A145" s="156" t="s">
        <v>1954</v>
      </c>
      <c r="B145" s="156" t="str">
        <f>CHOOSE(Translations!$C$1+1,O145,P145,Q145)</f>
        <v>HSS O-8 Trabajadores de  salud activos por cada 10.000 habitantes</v>
      </c>
      <c r="C145" s="156">
        <f t="shared" si="4"/>
        <v>0</v>
      </c>
      <c r="D145" s="156" t="str">
        <f t="shared" si="5"/>
        <v>HSS O-8 Trabajadores de  salud activos por cada 10.000 habitantes-0</v>
      </c>
      <c r="E145" s="156" t="str">
        <f>CHOOSE(Translations!$C$1+1,I145,J145,K145)</f>
        <v>Grupo de ocupación</v>
      </c>
      <c r="F145" s="156" t="str">
        <f>CHOOSE(Translations!$C$1+1,L145,M145,N145)</f>
        <v>Trabajadores de la salud comunitarios</v>
      </c>
      <c r="G145" s="156" t="s">
        <v>1955</v>
      </c>
      <c r="H145" s="157" t="s">
        <v>1956</v>
      </c>
      <c r="I145" s="157" t="s">
        <v>1957</v>
      </c>
      <c r="J145" s="157" t="s">
        <v>1958</v>
      </c>
      <c r="K145" s="157" t="s">
        <v>1959</v>
      </c>
      <c r="L145" s="157" t="s">
        <v>1960</v>
      </c>
      <c r="M145" s="157" t="s">
        <v>1961</v>
      </c>
      <c r="N145" s="157" t="s">
        <v>1962</v>
      </c>
      <c r="O145" s="157" t="s">
        <v>1963</v>
      </c>
      <c r="P145" s="157" t="s">
        <v>1964</v>
      </c>
      <c r="Q145" s="157" t="s">
        <v>1965</v>
      </c>
    </row>
    <row r="146" spans="1:17" s="9" customFormat="1" x14ac:dyDescent="0.25">
      <c r="A146" s="156" t="s">
        <v>1954</v>
      </c>
      <c r="B146" s="156" t="str">
        <f>CHOOSE(Translations!$C$1+1,O146,P146,Q146)</f>
        <v>HSS O-8 Trabajadores de  salud activos por cada 10.000 habitantes</v>
      </c>
      <c r="C146" s="156">
        <f t="shared" si="4"/>
        <v>1</v>
      </c>
      <c r="D146" s="156" t="str">
        <f t="shared" si="5"/>
        <v>HSS O-8 Trabajadores de  salud activos por cada 10.000 habitantes-1</v>
      </c>
      <c r="E146" s="156" t="str">
        <f>CHOOSE(Translations!$C$1+1,I146,J146,K146)</f>
        <v>Grupo de ocupación</v>
      </c>
      <c r="F146" s="156" t="str">
        <f>CHOOSE(Translations!$C$1+1,L146,M146,N146)</f>
        <v>Farmacéuticos</v>
      </c>
      <c r="G146" s="156" t="s">
        <v>1966</v>
      </c>
      <c r="H146" s="157" t="s">
        <v>1967</v>
      </c>
      <c r="I146" s="157" t="s">
        <v>1957</v>
      </c>
      <c r="J146" s="157" t="s">
        <v>1958</v>
      </c>
      <c r="K146" s="157" t="s">
        <v>1959</v>
      </c>
      <c r="L146" s="157" t="s">
        <v>1968</v>
      </c>
      <c r="M146" s="157" t="s">
        <v>1969</v>
      </c>
      <c r="N146" s="157" t="s">
        <v>1970</v>
      </c>
      <c r="O146" s="157" t="s">
        <v>1963</v>
      </c>
      <c r="P146" s="157" t="s">
        <v>1964</v>
      </c>
      <c r="Q146" s="157" t="s">
        <v>1965</v>
      </c>
    </row>
    <row r="147" spans="1:17" s="9" customFormat="1" x14ac:dyDescent="0.25">
      <c r="A147" s="156" t="s">
        <v>1954</v>
      </c>
      <c r="B147" s="156" t="str">
        <f>CHOOSE(Translations!$C$1+1,O147,P147,Q147)</f>
        <v>HSS O-8 Trabajadores de  salud activos por cada 10.000 habitantes</v>
      </c>
      <c r="C147" s="156">
        <f t="shared" si="4"/>
        <v>2</v>
      </c>
      <c r="D147" s="156" t="str">
        <f t="shared" si="5"/>
        <v>HSS O-8 Trabajadores de  salud activos por cada 10.000 habitantes-2</v>
      </c>
      <c r="E147" s="156" t="str">
        <f>CHOOSE(Translations!$C$1+1,I147,J147,K147)</f>
        <v>Grupo de ocupación</v>
      </c>
      <c r="F147" s="156" t="str">
        <f>CHOOSE(Translations!$C$1+1,L147,M147,N147)</f>
        <v>Técnicos de laboratorio</v>
      </c>
      <c r="G147" s="156" t="s">
        <v>1971</v>
      </c>
      <c r="H147" s="157" t="s">
        <v>1972</v>
      </c>
      <c r="I147" s="157" t="s">
        <v>1957</v>
      </c>
      <c r="J147" s="157" t="s">
        <v>1958</v>
      </c>
      <c r="K147" s="157" t="s">
        <v>1959</v>
      </c>
      <c r="L147" s="157" t="s">
        <v>1973</v>
      </c>
      <c r="M147" s="157" t="s">
        <v>1974</v>
      </c>
      <c r="N147" s="157" t="s">
        <v>1975</v>
      </c>
      <c r="O147" s="157" t="s">
        <v>1963</v>
      </c>
      <c r="P147" s="157" t="s">
        <v>1964</v>
      </c>
      <c r="Q147" s="157" t="s">
        <v>1965</v>
      </c>
    </row>
    <row r="148" spans="1:17" s="9" customFormat="1" x14ac:dyDescent="0.25">
      <c r="A148" s="156" t="s">
        <v>1954</v>
      </c>
      <c r="B148" s="156" t="str">
        <f>CHOOSE(Translations!$C$1+1,O148,P148,Q148)</f>
        <v>HSS O-8 Trabajadores de  salud activos por cada 10.000 habitantes</v>
      </c>
      <c r="C148" s="156">
        <f t="shared" si="4"/>
        <v>3</v>
      </c>
      <c r="D148" s="156" t="str">
        <f t="shared" si="5"/>
        <v>HSS O-8 Trabajadores de  salud activos por cada 10.000 habitantes-3</v>
      </c>
      <c r="E148" s="156" t="str">
        <f>CHOOSE(Translations!$C$1+1,I148,J148,K148)</f>
        <v>Grupo de ocupación</v>
      </c>
      <c r="F148" s="156" t="str">
        <f>CHOOSE(Translations!$C$1+1,L148,M148,N148)</f>
        <v>Enfermeras y parteras</v>
      </c>
      <c r="G148" s="156" t="s">
        <v>1976</v>
      </c>
      <c r="H148" s="157" t="s">
        <v>1977</v>
      </c>
      <c r="I148" s="157" t="s">
        <v>1957</v>
      </c>
      <c r="J148" s="157" t="s">
        <v>1958</v>
      </c>
      <c r="K148" s="157" t="s">
        <v>1959</v>
      </c>
      <c r="L148" s="157" t="s">
        <v>1978</v>
      </c>
      <c r="M148" s="157" t="s">
        <v>1979</v>
      </c>
      <c r="N148" s="157" t="s">
        <v>1980</v>
      </c>
      <c r="O148" s="157" t="s">
        <v>1963</v>
      </c>
      <c r="P148" s="157" t="s">
        <v>1964</v>
      </c>
      <c r="Q148" s="157" t="s">
        <v>1965</v>
      </c>
    </row>
    <row r="149" spans="1:17" s="9" customFormat="1" x14ac:dyDescent="0.25">
      <c r="A149" s="156" t="s">
        <v>1954</v>
      </c>
      <c r="B149" s="156" t="str">
        <f>CHOOSE(Translations!$C$1+1,O149,P149,Q149)</f>
        <v>HSS O-8 Trabajadores de  salud activos por cada 10.000 habitantes</v>
      </c>
      <c r="C149" s="156">
        <f t="shared" si="4"/>
        <v>4</v>
      </c>
      <c r="D149" s="156" t="str">
        <f t="shared" si="5"/>
        <v>HSS O-8 Trabajadores de  salud activos por cada 10.000 habitantes-4</v>
      </c>
      <c r="E149" s="156" t="str">
        <f>CHOOSE(Translations!$C$1+1,I149,J149,K149)</f>
        <v>Grupo de ocupación</v>
      </c>
      <c r="F149" s="156" t="str">
        <f>CHOOSE(Translations!$C$1+1,L149,M149,N149)</f>
        <v>Médicos</v>
      </c>
      <c r="G149" s="156" t="s">
        <v>1981</v>
      </c>
      <c r="H149" s="157" t="s">
        <v>1982</v>
      </c>
      <c r="I149" s="157" t="s">
        <v>1957</v>
      </c>
      <c r="J149" s="157" t="s">
        <v>1958</v>
      </c>
      <c r="K149" s="157" t="s">
        <v>1959</v>
      </c>
      <c r="L149" s="157" t="s">
        <v>1983</v>
      </c>
      <c r="M149" s="157" t="s">
        <v>1984</v>
      </c>
      <c r="N149" s="157" t="s">
        <v>1985</v>
      </c>
      <c r="O149" s="157" t="s">
        <v>1963</v>
      </c>
      <c r="P149" s="157" t="s">
        <v>1964</v>
      </c>
      <c r="Q149" s="157" t="s">
        <v>1965</v>
      </c>
    </row>
    <row r="150" spans="1:17" s="9" customFormat="1" x14ac:dyDescent="0.25">
      <c r="A150" s="156" t="s">
        <v>1986</v>
      </c>
      <c r="B150" s="156" t="str">
        <f>CHOOSE(Translations!$C$1+1,O150,P150,Q150)</f>
        <v>HSS O-9 Porcentaje de clientes prenatales con primera visita antes de las 12 semanas</v>
      </c>
      <c r="C150" s="156">
        <f t="shared" si="4"/>
        <v>0</v>
      </c>
      <c r="D150" s="156" t="str">
        <f t="shared" si="5"/>
        <v>HSS O-9 Porcentaje de clientes prenatales con primera visita antes de las 12 semanas-0</v>
      </c>
      <c r="E150" s="156" t="str">
        <f>CHOOSE(Translations!$C$1+1,I150,J150,K150)</f>
        <v>Edad</v>
      </c>
      <c r="F150" s="156" t="str">
        <f>CHOOSE(Translations!$C$1+1,L150,M150,N150)</f>
        <v>15-19</v>
      </c>
      <c r="G150" s="156" t="s">
        <v>1987</v>
      </c>
      <c r="H150" s="157" t="s">
        <v>1988</v>
      </c>
      <c r="I150" s="157" t="s">
        <v>1463</v>
      </c>
      <c r="J150" s="157" t="s">
        <v>1463</v>
      </c>
      <c r="K150" s="157" t="s">
        <v>1464</v>
      </c>
      <c r="L150" s="157" t="s">
        <v>1700</v>
      </c>
      <c r="M150" s="157" t="s">
        <v>1700</v>
      </c>
      <c r="N150" s="157" t="s">
        <v>1700</v>
      </c>
      <c r="O150" s="157" t="s">
        <v>1989</v>
      </c>
      <c r="P150" s="157" t="s">
        <v>1990</v>
      </c>
      <c r="Q150" s="157" t="s">
        <v>1991</v>
      </c>
    </row>
    <row r="151" spans="1:17" s="9" customFormat="1" x14ac:dyDescent="0.25">
      <c r="A151" s="156" t="s">
        <v>1986</v>
      </c>
      <c r="B151" s="156" t="str">
        <f>CHOOSE(Translations!$C$1+1,O151,P151,Q151)</f>
        <v>HSS O-9 Porcentaje de clientes prenatales con primera visita antes de las 12 semanas</v>
      </c>
      <c r="C151" s="156">
        <f t="shared" si="4"/>
        <v>1</v>
      </c>
      <c r="D151" s="156" t="str">
        <f t="shared" si="5"/>
        <v>HSS O-9 Porcentaje de clientes prenatales con primera visita antes de las 12 semanas-1</v>
      </c>
      <c r="E151" s="156" t="str">
        <f>CHOOSE(Translations!$C$1+1,I151,J151,K151)</f>
        <v>Edad</v>
      </c>
      <c r="F151" s="156" t="str">
        <f>CHOOSE(Translations!$C$1+1,L151,M151,N151)</f>
        <v>10-14</v>
      </c>
      <c r="G151" s="156" t="s">
        <v>1992</v>
      </c>
      <c r="H151" s="157" t="s">
        <v>1993</v>
      </c>
      <c r="I151" s="157" t="s">
        <v>1463</v>
      </c>
      <c r="J151" s="157" t="s">
        <v>1463</v>
      </c>
      <c r="K151" s="157" t="s">
        <v>1464</v>
      </c>
      <c r="L151" s="157" t="s">
        <v>1994</v>
      </c>
      <c r="M151" s="157" t="s">
        <v>1994</v>
      </c>
      <c r="N151" s="157" t="s">
        <v>1994</v>
      </c>
      <c r="O151" s="157" t="s">
        <v>1989</v>
      </c>
      <c r="P151" s="157" t="s">
        <v>1990</v>
      </c>
      <c r="Q151" s="157" t="s">
        <v>1991</v>
      </c>
    </row>
    <row r="153" spans="1:17" ht="13" x14ac:dyDescent="0.3">
      <c r="A153" s="2" t="s">
        <v>85</v>
      </c>
    </row>
    <row r="154" spans="1:17" x14ac:dyDescent="0.25">
      <c r="A154" s="486" t="s">
        <v>87</v>
      </c>
      <c r="B154" s="156" t="s">
        <v>448</v>
      </c>
      <c r="C154" s="156">
        <v>0</v>
      </c>
      <c r="D154" s="156" t="s">
        <v>83</v>
      </c>
      <c r="E154" s="156" t="s">
        <v>464</v>
      </c>
      <c r="F154" s="156" t="s">
        <v>466</v>
      </c>
      <c r="G154" s="156" t="s">
        <v>48</v>
      </c>
      <c r="H154" s="156" t="s">
        <v>366</v>
      </c>
      <c r="I154" s="156" t="s">
        <v>34</v>
      </c>
      <c r="J154" s="156" t="s">
        <v>457</v>
      </c>
      <c r="K154" s="156" t="s">
        <v>459</v>
      </c>
      <c r="L154" s="156" t="s">
        <v>27</v>
      </c>
      <c r="M154" s="156" t="s">
        <v>461</v>
      </c>
      <c r="N154" s="156" t="s">
        <v>463</v>
      </c>
      <c r="O154" s="156" t="s">
        <v>43</v>
      </c>
      <c r="P154" s="156" t="s">
        <v>446</v>
      </c>
      <c r="Q154" s="156" t="s">
        <v>444</v>
      </c>
    </row>
    <row r="155" spans="1:17" hidden="1" x14ac:dyDescent="0.25">
      <c r="A155" s="156" t="s">
        <v>86</v>
      </c>
      <c r="B155" s="156" t="str">
        <f>CHOOSE(Translations!$C$1+1,O155,P155,Q155)</f>
        <v>[Name - ES]</v>
      </c>
      <c r="C155" s="156">
        <f>IF(O155=O154,C154+1,0)</f>
        <v>0</v>
      </c>
      <c r="D155" s="156" t="str">
        <f>B155&amp;"-"&amp;C155</f>
        <v>[Name - ES]-0</v>
      </c>
      <c r="E155" s="156" t="str">
        <f>CHOOSE(Translations!$C$1+1,I155,J155,K155)</f>
        <v>[Category - ES]</v>
      </c>
      <c r="F155" s="156" t="str">
        <f>CHOOSE(Translations!$C$1+1,L155,M155,N155)</f>
        <v>[Disaggregation - ES]</v>
      </c>
      <c r="G155" s="156" t="s">
        <v>47</v>
      </c>
      <c r="H155" s="157" t="s">
        <v>365</v>
      </c>
      <c r="I155" s="157" t="s">
        <v>77</v>
      </c>
      <c r="J155" s="157" t="s">
        <v>456</v>
      </c>
      <c r="K155" s="157" t="s">
        <v>458</v>
      </c>
      <c r="L155" s="157" t="s">
        <v>76</v>
      </c>
      <c r="M155" s="157" t="s">
        <v>460</v>
      </c>
      <c r="N155" s="157" t="s">
        <v>462</v>
      </c>
      <c r="O155" s="157" t="s">
        <v>66</v>
      </c>
      <c r="P155" s="157" t="s">
        <v>445</v>
      </c>
      <c r="Q155" s="157" t="s">
        <v>443</v>
      </c>
    </row>
    <row r="156" spans="1:17" s="9" customFormat="1" x14ac:dyDescent="0.25">
      <c r="A156" s="156" t="s">
        <v>1995</v>
      </c>
      <c r="B156" s="156" t="str">
        <f>CHOOSE(Translations!$C$1+1,O156,P156,Q156)</f>
        <v>KP-1a⁽ᴹ⁾ Porcentaje de HSH alcanzados por programas de prevención del VIH - paquete definido de servicios</v>
      </c>
      <c r="C156" s="156">
        <f t="shared" ref="C156:C219" si="6">IF(O156=O155,C155+1,0)</f>
        <v>0</v>
      </c>
      <c r="D156" s="156" t="str">
        <f t="shared" ref="D156:D219" si="7">B156&amp;"-"&amp;C156</f>
        <v>KP-1a⁽ᴹ⁾ Porcentaje de HSH alcanzados por programas de prevención del VIH - paquete definido de servicios-0</v>
      </c>
      <c r="E156" s="156" t="str">
        <f>CHOOSE(Translations!$C$1+1,I156,J156,K156)</f>
        <v>Edad</v>
      </c>
      <c r="F156" s="156" t="str">
        <f>CHOOSE(Translations!$C$1+1,L156,M156,N156)</f>
        <v>25+</v>
      </c>
      <c r="G156" s="156" t="s">
        <v>1996</v>
      </c>
      <c r="H156" s="157" t="s">
        <v>1997</v>
      </c>
      <c r="I156" s="157" t="s">
        <v>1463</v>
      </c>
      <c r="J156" s="157" t="s">
        <v>1463</v>
      </c>
      <c r="K156" s="157" t="s">
        <v>1464</v>
      </c>
      <c r="L156" s="157" t="s">
        <v>1516</v>
      </c>
      <c r="M156" s="157" t="s">
        <v>1516</v>
      </c>
      <c r="N156" s="157" t="s">
        <v>1516</v>
      </c>
      <c r="O156" s="157" t="s">
        <v>1998</v>
      </c>
      <c r="P156" s="157" t="s">
        <v>1999</v>
      </c>
      <c r="Q156" s="157" t="s">
        <v>2000</v>
      </c>
    </row>
    <row r="157" spans="1:17" s="9" customFormat="1" x14ac:dyDescent="0.25">
      <c r="A157" s="156" t="s">
        <v>1995</v>
      </c>
      <c r="B157" s="156" t="str">
        <f>CHOOSE(Translations!$C$1+1,O157,P157,Q157)</f>
        <v>KP-1a⁽ᴹ⁾ Porcentaje de HSH alcanzados por programas de prevención del VIH - paquete definido de servicios</v>
      </c>
      <c r="C157" s="156">
        <f t="shared" si="6"/>
        <v>1</v>
      </c>
      <c r="D157" s="156" t="str">
        <f t="shared" si="7"/>
        <v>KP-1a⁽ᴹ⁾ Porcentaje de HSH alcanzados por programas de prevención del VIH - paquete definido de servicios-1</v>
      </c>
      <c r="E157" s="156" t="str">
        <f>CHOOSE(Translations!$C$1+1,I157,J157,K157)</f>
        <v>Edad</v>
      </c>
      <c r="F157" s="156" t="str">
        <f>CHOOSE(Translations!$C$1+1,L157,M157,N157)</f>
        <v>&lt;25</v>
      </c>
      <c r="G157" s="156" t="s">
        <v>2001</v>
      </c>
      <c r="H157" s="157" t="s">
        <v>2002</v>
      </c>
      <c r="I157" s="157" t="s">
        <v>1463</v>
      </c>
      <c r="J157" s="157" t="s">
        <v>1463</v>
      </c>
      <c r="K157" s="157" t="s">
        <v>1464</v>
      </c>
      <c r="L157" s="157" t="s">
        <v>1522</v>
      </c>
      <c r="M157" s="157" t="s">
        <v>1522</v>
      </c>
      <c r="N157" s="157" t="s">
        <v>1522</v>
      </c>
      <c r="O157" s="157" t="s">
        <v>1998</v>
      </c>
      <c r="P157" s="157" t="s">
        <v>1999</v>
      </c>
      <c r="Q157" s="157" t="s">
        <v>2000</v>
      </c>
    </row>
    <row r="158" spans="1:17" s="9" customFormat="1" x14ac:dyDescent="0.25">
      <c r="A158" s="156" t="s">
        <v>2003</v>
      </c>
      <c r="B158" s="156" t="str">
        <f>CHOOSE(Translations!$C$1+1,O158,P158,Q158)</f>
        <v>KP-1b⁽ᴹ⁾ Porcentaje de personas transgénero alcanzados por programas de prevención del VIH - paquete definido de servicios</v>
      </c>
      <c r="C158" s="156">
        <f t="shared" si="6"/>
        <v>0</v>
      </c>
      <c r="D158" s="156" t="str">
        <f t="shared" si="7"/>
        <v>KP-1b⁽ᴹ⁾ Porcentaje de personas transgénero alcanzados por programas de prevención del VIH - paquete definido de servicios-0</v>
      </c>
      <c r="E158" s="156" t="str">
        <f>CHOOSE(Translations!$C$1+1,I158,J158,K158)</f>
        <v>Edad</v>
      </c>
      <c r="F158" s="156" t="str">
        <f>CHOOSE(Translations!$C$1+1,L158,M158,N158)</f>
        <v>25+</v>
      </c>
      <c r="G158" s="156" t="s">
        <v>2004</v>
      </c>
      <c r="H158" s="157" t="s">
        <v>2005</v>
      </c>
      <c r="I158" s="157" t="s">
        <v>1463</v>
      </c>
      <c r="J158" s="157" t="s">
        <v>1463</v>
      </c>
      <c r="K158" s="157" t="s">
        <v>1464</v>
      </c>
      <c r="L158" s="157" t="s">
        <v>1516</v>
      </c>
      <c r="M158" s="157" t="s">
        <v>1516</v>
      </c>
      <c r="N158" s="157" t="s">
        <v>1516</v>
      </c>
      <c r="O158" s="157" t="s">
        <v>2006</v>
      </c>
      <c r="P158" s="157" t="s">
        <v>2007</v>
      </c>
      <c r="Q158" s="157" t="s">
        <v>2008</v>
      </c>
    </row>
    <row r="159" spans="1:17" s="9" customFormat="1" x14ac:dyDescent="0.25">
      <c r="A159" s="156" t="s">
        <v>2003</v>
      </c>
      <c r="B159" s="156" t="str">
        <f>CHOOSE(Translations!$C$1+1,O159,P159,Q159)</f>
        <v>KP-1b⁽ᴹ⁾ Porcentaje de personas transgénero alcanzados por programas de prevención del VIH - paquete definido de servicios</v>
      </c>
      <c r="C159" s="156">
        <f t="shared" si="6"/>
        <v>1</v>
      </c>
      <c r="D159" s="156" t="str">
        <f t="shared" si="7"/>
        <v>KP-1b⁽ᴹ⁾ Porcentaje de personas transgénero alcanzados por programas de prevención del VIH - paquete definido de servicios-1</v>
      </c>
      <c r="E159" s="156" t="str">
        <f>CHOOSE(Translations!$C$1+1,I159,J159,K159)</f>
        <v>Edad</v>
      </c>
      <c r="F159" s="156" t="str">
        <f>CHOOSE(Translations!$C$1+1,L159,M159,N159)</f>
        <v>&lt;25</v>
      </c>
      <c r="G159" s="156" t="s">
        <v>2009</v>
      </c>
      <c r="H159" s="157" t="s">
        <v>2010</v>
      </c>
      <c r="I159" s="157" t="s">
        <v>1463</v>
      </c>
      <c r="J159" s="157" t="s">
        <v>1463</v>
      </c>
      <c r="K159" s="157" t="s">
        <v>1464</v>
      </c>
      <c r="L159" s="157" t="s">
        <v>1522</v>
      </c>
      <c r="M159" s="157" t="s">
        <v>1522</v>
      </c>
      <c r="N159" s="157" t="s">
        <v>1522</v>
      </c>
      <c r="O159" s="157" t="s">
        <v>2006</v>
      </c>
      <c r="P159" s="157" t="s">
        <v>2007</v>
      </c>
      <c r="Q159" s="157" t="s">
        <v>2008</v>
      </c>
    </row>
    <row r="160" spans="1:17" s="9" customFormat="1" x14ac:dyDescent="0.25">
      <c r="A160" s="156" t="s">
        <v>2011</v>
      </c>
      <c r="B160" s="156" t="str">
        <f>CHOOSE(Translations!$C$1+1,O160,P160,Q160)</f>
        <v>KP-1c⁽ᴹ⁾ Porcentaje de trabajadores sexuales alcanzados por programas de prevención del VIH - paquete definido de servicios</v>
      </c>
      <c r="C160" s="156">
        <f t="shared" si="6"/>
        <v>0</v>
      </c>
      <c r="D160" s="156" t="str">
        <f t="shared" si="7"/>
        <v>KP-1c⁽ᴹ⁾ Porcentaje de trabajadores sexuales alcanzados por programas de prevención del VIH - paquete definido de servicios-0</v>
      </c>
      <c r="E160" s="156" t="str">
        <f>CHOOSE(Translations!$C$1+1,I160,J160,K160)</f>
        <v>Género</v>
      </c>
      <c r="F160" s="156" t="str">
        <f>CHOOSE(Translations!$C$1+1,L160,M160,N160)</f>
        <v>Transgénero</v>
      </c>
      <c r="G160" s="156" t="s">
        <v>2012</v>
      </c>
      <c r="H160" s="157" t="s">
        <v>2013</v>
      </c>
      <c r="I160" s="157" t="s">
        <v>1450</v>
      </c>
      <c r="J160" s="157" t="s">
        <v>1451</v>
      </c>
      <c r="K160" s="157" t="s">
        <v>1452</v>
      </c>
      <c r="L160" s="157" t="s">
        <v>1534</v>
      </c>
      <c r="M160" s="157" t="s">
        <v>1535</v>
      </c>
      <c r="N160" s="157" t="s">
        <v>1536</v>
      </c>
      <c r="O160" s="157" t="s">
        <v>2014</v>
      </c>
      <c r="P160" s="157" t="s">
        <v>2015</v>
      </c>
      <c r="Q160" s="157" t="s">
        <v>2016</v>
      </c>
    </row>
    <row r="161" spans="1:17" s="9" customFormat="1" x14ac:dyDescent="0.25">
      <c r="A161" s="156" t="s">
        <v>2011</v>
      </c>
      <c r="B161" s="156" t="str">
        <f>CHOOSE(Translations!$C$1+1,O161,P161,Q161)</f>
        <v>KP-1c⁽ᴹ⁾ Porcentaje de trabajadores sexuales alcanzados por programas de prevención del VIH - paquete definido de servicios</v>
      </c>
      <c r="C161" s="156">
        <f t="shared" si="6"/>
        <v>1</v>
      </c>
      <c r="D161" s="156" t="str">
        <f t="shared" si="7"/>
        <v>KP-1c⁽ᴹ⁾ Porcentaje de trabajadores sexuales alcanzados por programas de prevención del VIH - paquete definido de servicios-1</v>
      </c>
      <c r="E161" s="156" t="str">
        <f>CHOOSE(Translations!$C$1+1,I161,J161,K161)</f>
        <v>Género</v>
      </c>
      <c r="F161" s="156" t="str">
        <f>CHOOSE(Translations!$C$1+1,L161,M161,N161)</f>
        <v>Mujeres</v>
      </c>
      <c r="G161" s="156" t="s">
        <v>2017</v>
      </c>
      <c r="H161" s="157" t="s">
        <v>2018</v>
      </c>
      <c r="I161" s="157" t="s">
        <v>1450</v>
      </c>
      <c r="J161" s="157" t="s">
        <v>1451</v>
      </c>
      <c r="K161" s="157" t="s">
        <v>1452</v>
      </c>
      <c r="L161" s="157" t="s">
        <v>1453</v>
      </c>
      <c r="M161" s="157" t="s">
        <v>1454</v>
      </c>
      <c r="N161" s="157" t="s">
        <v>1455</v>
      </c>
      <c r="O161" s="157" t="s">
        <v>2014</v>
      </c>
      <c r="P161" s="157" t="s">
        <v>2015</v>
      </c>
      <c r="Q161" s="157" t="s">
        <v>2016</v>
      </c>
    </row>
    <row r="162" spans="1:17" s="9" customFormat="1" x14ac:dyDescent="0.25">
      <c r="A162" s="156" t="s">
        <v>2011</v>
      </c>
      <c r="B162" s="156" t="str">
        <f>CHOOSE(Translations!$C$1+1,O162,P162,Q162)</f>
        <v>KP-1c⁽ᴹ⁾ Porcentaje de trabajadores sexuales alcanzados por programas de prevención del VIH - paquete definido de servicios</v>
      </c>
      <c r="C162" s="156">
        <f t="shared" si="6"/>
        <v>2</v>
      </c>
      <c r="D162" s="156" t="str">
        <f t="shared" si="7"/>
        <v>KP-1c⁽ᴹ⁾ Porcentaje de trabajadores sexuales alcanzados por programas de prevención del VIH - paquete definido de servicios-2</v>
      </c>
      <c r="E162" s="156" t="str">
        <f>CHOOSE(Translations!$C$1+1,I162,J162,K162)</f>
        <v>Género</v>
      </c>
      <c r="F162" s="156" t="str">
        <f>CHOOSE(Translations!$C$1+1,L162,M162,N162)</f>
        <v>Hombres</v>
      </c>
      <c r="G162" s="156" t="s">
        <v>2019</v>
      </c>
      <c r="H162" s="157" t="s">
        <v>2020</v>
      </c>
      <c r="I162" s="157" t="s">
        <v>1450</v>
      </c>
      <c r="J162" s="157" t="s">
        <v>1451</v>
      </c>
      <c r="K162" s="157" t="s">
        <v>1452</v>
      </c>
      <c r="L162" s="157" t="s">
        <v>1458</v>
      </c>
      <c r="M162" s="157" t="s">
        <v>1459</v>
      </c>
      <c r="N162" s="157" t="s">
        <v>1460</v>
      </c>
      <c r="O162" s="157" t="s">
        <v>2014</v>
      </c>
      <c r="P162" s="157" t="s">
        <v>2015</v>
      </c>
      <c r="Q162" s="157" t="s">
        <v>2016</v>
      </c>
    </row>
    <row r="163" spans="1:17" s="9" customFormat="1" x14ac:dyDescent="0.25">
      <c r="A163" s="156" t="s">
        <v>2011</v>
      </c>
      <c r="B163" s="156" t="str">
        <f>CHOOSE(Translations!$C$1+1,O163,P163,Q163)</f>
        <v>KP-1c⁽ᴹ⁾ Porcentaje de trabajadores sexuales alcanzados por programas de prevención del VIH - paquete definido de servicios</v>
      </c>
      <c r="C163" s="156">
        <f t="shared" si="6"/>
        <v>3</v>
      </c>
      <c r="D163" s="156" t="str">
        <f t="shared" si="7"/>
        <v>KP-1c⁽ᴹ⁾ Porcentaje de trabajadores sexuales alcanzados por programas de prevención del VIH - paquete definido de servicios-3</v>
      </c>
      <c r="E163" s="156" t="str">
        <f>CHOOSE(Translations!$C$1+1,I163,J163,K163)</f>
        <v>Edad</v>
      </c>
      <c r="F163" s="156" t="str">
        <f>CHOOSE(Translations!$C$1+1,L163,M163,N163)</f>
        <v>25+</v>
      </c>
      <c r="G163" s="156" t="s">
        <v>2021</v>
      </c>
      <c r="H163" s="157" t="s">
        <v>2022</v>
      </c>
      <c r="I163" s="157" t="s">
        <v>1463</v>
      </c>
      <c r="J163" s="157" t="s">
        <v>1463</v>
      </c>
      <c r="K163" s="157" t="s">
        <v>1464</v>
      </c>
      <c r="L163" s="157" t="s">
        <v>1516</v>
      </c>
      <c r="M163" s="157" t="s">
        <v>1516</v>
      </c>
      <c r="N163" s="157" t="s">
        <v>1516</v>
      </c>
      <c r="O163" s="157" t="s">
        <v>2014</v>
      </c>
      <c r="P163" s="157" t="s">
        <v>2015</v>
      </c>
      <c r="Q163" s="157" t="s">
        <v>2016</v>
      </c>
    </row>
    <row r="164" spans="1:17" s="9" customFormat="1" x14ac:dyDescent="0.25">
      <c r="A164" s="156" t="s">
        <v>2011</v>
      </c>
      <c r="B164" s="156" t="str">
        <f>CHOOSE(Translations!$C$1+1,O164,P164,Q164)</f>
        <v>KP-1c⁽ᴹ⁾ Porcentaje de trabajadores sexuales alcanzados por programas de prevención del VIH - paquete definido de servicios</v>
      </c>
      <c r="C164" s="156">
        <f t="shared" si="6"/>
        <v>4</v>
      </c>
      <c r="D164" s="156" t="str">
        <f t="shared" si="7"/>
        <v>KP-1c⁽ᴹ⁾ Porcentaje de trabajadores sexuales alcanzados por programas de prevención del VIH - paquete definido de servicios-4</v>
      </c>
      <c r="E164" s="156" t="str">
        <f>CHOOSE(Translations!$C$1+1,I164,J164,K164)</f>
        <v>Edad</v>
      </c>
      <c r="F164" s="156" t="str">
        <f>CHOOSE(Translations!$C$1+1,L164,M164,N164)</f>
        <v>&lt;25</v>
      </c>
      <c r="G164" s="156" t="s">
        <v>2023</v>
      </c>
      <c r="H164" s="157" t="s">
        <v>2024</v>
      </c>
      <c r="I164" s="157" t="s">
        <v>1463</v>
      </c>
      <c r="J164" s="157" t="s">
        <v>1463</v>
      </c>
      <c r="K164" s="157" t="s">
        <v>1464</v>
      </c>
      <c r="L164" s="157" t="s">
        <v>1522</v>
      </c>
      <c r="M164" s="157" t="s">
        <v>1522</v>
      </c>
      <c r="N164" s="157" t="s">
        <v>1522</v>
      </c>
      <c r="O164" s="157" t="s">
        <v>2014</v>
      </c>
      <c r="P164" s="157" t="s">
        <v>2015</v>
      </c>
      <c r="Q164" s="157" t="s">
        <v>2016</v>
      </c>
    </row>
    <row r="165" spans="1:17" s="9" customFormat="1" x14ac:dyDescent="0.25">
      <c r="A165" s="156" t="s">
        <v>2025</v>
      </c>
      <c r="B165" s="156" t="str">
        <f>CHOOSE(Translations!$C$1+1,O165,P165,Q165)</f>
        <v>KP-1d⁽ᴹ⁾ Porcentaje de personas que consumen drogas inyectables alcanzados por programas de prevención del VIH - paquete definido de servicios</v>
      </c>
      <c r="C165" s="156">
        <f t="shared" si="6"/>
        <v>0</v>
      </c>
      <c r="D165" s="156" t="str">
        <f t="shared" si="7"/>
        <v>KP-1d⁽ᴹ⁾ Porcentaje de personas que consumen drogas inyectables alcanzados por programas de prevención del VIH - paquete definido de servicios-0</v>
      </c>
      <c r="E165" s="156" t="str">
        <f>CHOOSE(Translations!$C$1+1,I165,J165,K165)</f>
        <v>Género</v>
      </c>
      <c r="F165" s="156" t="str">
        <f>CHOOSE(Translations!$C$1+1,L165,M165,N165)</f>
        <v>Transgénero</v>
      </c>
      <c r="G165" s="156" t="s">
        <v>2026</v>
      </c>
      <c r="H165" s="157" t="s">
        <v>2027</v>
      </c>
      <c r="I165" s="157" t="s">
        <v>1450</v>
      </c>
      <c r="J165" s="157" t="s">
        <v>1451</v>
      </c>
      <c r="K165" s="157" t="s">
        <v>1452</v>
      </c>
      <c r="L165" s="157" t="s">
        <v>1534</v>
      </c>
      <c r="M165" s="157" t="s">
        <v>1535</v>
      </c>
      <c r="N165" s="157" t="s">
        <v>1536</v>
      </c>
      <c r="O165" s="157" t="s">
        <v>2028</v>
      </c>
      <c r="P165" s="157" t="s">
        <v>2029</v>
      </c>
      <c r="Q165" s="157" t="s">
        <v>2030</v>
      </c>
    </row>
    <row r="166" spans="1:17" s="9" customFormat="1" x14ac:dyDescent="0.25">
      <c r="A166" s="156" t="s">
        <v>2025</v>
      </c>
      <c r="B166" s="156" t="str">
        <f>CHOOSE(Translations!$C$1+1,O166,P166,Q166)</f>
        <v>KP-1d⁽ᴹ⁾ Porcentaje de personas que consumen drogas inyectables alcanzados por programas de prevención del VIH - paquete definido de servicios</v>
      </c>
      <c r="C166" s="156">
        <f t="shared" si="6"/>
        <v>1</v>
      </c>
      <c r="D166" s="156" t="str">
        <f t="shared" si="7"/>
        <v>KP-1d⁽ᴹ⁾ Porcentaje de personas que consumen drogas inyectables alcanzados por programas de prevención del VIH - paquete definido de servicios-1</v>
      </c>
      <c r="E166" s="156" t="str">
        <f>CHOOSE(Translations!$C$1+1,I166,J166,K166)</f>
        <v>Género</v>
      </c>
      <c r="F166" s="156" t="str">
        <f>CHOOSE(Translations!$C$1+1,L166,M166,N166)</f>
        <v>Mujeres</v>
      </c>
      <c r="G166" s="156" t="s">
        <v>2031</v>
      </c>
      <c r="H166" s="157" t="s">
        <v>2032</v>
      </c>
      <c r="I166" s="157" t="s">
        <v>1450</v>
      </c>
      <c r="J166" s="157" t="s">
        <v>1451</v>
      </c>
      <c r="K166" s="157" t="s">
        <v>1452</v>
      </c>
      <c r="L166" s="157" t="s">
        <v>1453</v>
      </c>
      <c r="M166" s="157" t="s">
        <v>1454</v>
      </c>
      <c r="N166" s="157" t="s">
        <v>1455</v>
      </c>
      <c r="O166" s="157" t="s">
        <v>2028</v>
      </c>
      <c r="P166" s="157" t="s">
        <v>2029</v>
      </c>
      <c r="Q166" s="157" t="s">
        <v>2030</v>
      </c>
    </row>
    <row r="167" spans="1:17" s="9" customFormat="1" x14ac:dyDescent="0.25">
      <c r="A167" s="156" t="s">
        <v>2025</v>
      </c>
      <c r="B167" s="156" t="str">
        <f>CHOOSE(Translations!$C$1+1,O167,P167,Q167)</f>
        <v>KP-1d⁽ᴹ⁾ Porcentaje de personas que consumen drogas inyectables alcanzados por programas de prevención del VIH - paquete definido de servicios</v>
      </c>
      <c r="C167" s="156">
        <f t="shared" si="6"/>
        <v>2</v>
      </c>
      <c r="D167" s="156" t="str">
        <f t="shared" si="7"/>
        <v>KP-1d⁽ᴹ⁾ Porcentaje de personas que consumen drogas inyectables alcanzados por programas de prevención del VIH - paquete definido de servicios-2</v>
      </c>
      <c r="E167" s="156" t="str">
        <f>CHOOSE(Translations!$C$1+1,I167,J167,K167)</f>
        <v>Género</v>
      </c>
      <c r="F167" s="156" t="str">
        <f>CHOOSE(Translations!$C$1+1,L167,M167,N167)</f>
        <v>Hombres</v>
      </c>
      <c r="G167" s="156" t="s">
        <v>2033</v>
      </c>
      <c r="H167" s="157" t="s">
        <v>2034</v>
      </c>
      <c r="I167" s="157" t="s">
        <v>1450</v>
      </c>
      <c r="J167" s="157" t="s">
        <v>1451</v>
      </c>
      <c r="K167" s="157" t="s">
        <v>1452</v>
      </c>
      <c r="L167" s="157" t="s">
        <v>1458</v>
      </c>
      <c r="M167" s="157" t="s">
        <v>1459</v>
      </c>
      <c r="N167" s="157" t="s">
        <v>1460</v>
      </c>
      <c r="O167" s="157" t="s">
        <v>2028</v>
      </c>
      <c r="P167" s="157" t="s">
        <v>2029</v>
      </c>
      <c r="Q167" s="157" t="s">
        <v>2030</v>
      </c>
    </row>
    <row r="168" spans="1:17" s="9" customFormat="1" x14ac:dyDescent="0.25">
      <c r="A168" s="156" t="s">
        <v>2025</v>
      </c>
      <c r="B168" s="156" t="str">
        <f>CHOOSE(Translations!$C$1+1,O168,P168,Q168)</f>
        <v>KP-1d⁽ᴹ⁾ Porcentaje de personas que consumen drogas inyectables alcanzados por programas de prevención del VIH - paquete definido de servicios</v>
      </c>
      <c r="C168" s="156">
        <f t="shared" si="6"/>
        <v>3</v>
      </c>
      <c r="D168" s="156" t="str">
        <f t="shared" si="7"/>
        <v>KP-1d⁽ᴹ⁾ Porcentaje de personas que consumen drogas inyectables alcanzados por programas de prevención del VIH - paquete definido de servicios-3</v>
      </c>
      <c r="E168" s="156" t="str">
        <f>CHOOSE(Translations!$C$1+1,I168,J168,K168)</f>
        <v>Edad</v>
      </c>
      <c r="F168" s="156" t="str">
        <f>CHOOSE(Translations!$C$1+1,L168,M168,N168)</f>
        <v>25+</v>
      </c>
      <c r="G168" s="156" t="s">
        <v>2035</v>
      </c>
      <c r="H168" s="157" t="s">
        <v>2036</v>
      </c>
      <c r="I168" s="157" t="s">
        <v>1463</v>
      </c>
      <c r="J168" s="157" t="s">
        <v>1463</v>
      </c>
      <c r="K168" s="157" t="s">
        <v>1464</v>
      </c>
      <c r="L168" s="157" t="s">
        <v>1516</v>
      </c>
      <c r="M168" s="157" t="s">
        <v>1516</v>
      </c>
      <c r="N168" s="157" t="s">
        <v>1516</v>
      </c>
      <c r="O168" s="157" t="s">
        <v>2028</v>
      </c>
      <c r="P168" s="157" t="s">
        <v>2029</v>
      </c>
      <c r="Q168" s="157" t="s">
        <v>2030</v>
      </c>
    </row>
    <row r="169" spans="1:17" s="9" customFormat="1" x14ac:dyDescent="0.25">
      <c r="A169" s="156" t="s">
        <v>2025</v>
      </c>
      <c r="B169" s="156" t="str">
        <f>CHOOSE(Translations!$C$1+1,O169,P169,Q169)</f>
        <v>KP-1d⁽ᴹ⁾ Porcentaje de personas que consumen drogas inyectables alcanzados por programas de prevención del VIH - paquete definido de servicios</v>
      </c>
      <c r="C169" s="156">
        <f t="shared" si="6"/>
        <v>4</v>
      </c>
      <c r="D169" s="156" t="str">
        <f t="shared" si="7"/>
        <v>KP-1d⁽ᴹ⁾ Porcentaje de personas que consumen drogas inyectables alcanzados por programas de prevención del VIH - paquete definido de servicios-4</v>
      </c>
      <c r="E169" s="156" t="str">
        <f>CHOOSE(Translations!$C$1+1,I169,J169,K169)</f>
        <v>Edad</v>
      </c>
      <c r="F169" s="156" t="str">
        <f>CHOOSE(Translations!$C$1+1,L169,M169,N169)</f>
        <v>&lt;25</v>
      </c>
      <c r="G169" s="156" t="s">
        <v>2037</v>
      </c>
      <c r="H169" s="157" t="s">
        <v>2038</v>
      </c>
      <c r="I169" s="157" t="s">
        <v>1463</v>
      </c>
      <c r="J169" s="157" t="s">
        <v>1463</v>
      </c>
      <c r="K169" s="157" t="s">
        <v>1464</v>
      </c>
      <c r="L169" s="157" t="s">
        <v>1522</v>
      </c>
      <c r="M169" s="157" t="s">
        <v>1522</v>
      </c>
      <c r="N169" s="157" t="s">
        <v>1522</v>
      </c>
      <c r="O169" s="157" t="s">
        <v>2028</v>
      </c>
      <c r="P169" s="157" t="s">
        <v>2029</v>
      </c>
      <c r="Q169" s="157" t="s">
        <v>2030</v>
      </c>
    </row>
    <row r="170" spans="1:17" s="9" customFormat="1" x14ac:dyDescent="0.25">
      <c r="A170" s="156" t="s">
        <v>2039</v>
      </c>
      <c r="B170" s="156" t="str">
        <f>CHOOSE(Translations!$C$1+1,O170,P170,Q170)</f>
        <v>YP-1a Porcentaje de jóvenes de 10 a 24 años asistiendo a la escuela alcanzados con programas de educación sexual integral y/o educación basada en el desarrollo de habilidades para la vida y  VIH, en las escuelas</v>
      </c>
      <c r="C170" s="156">
        <f t="shared" si="6"/>
        <v>0</v>
      </c>
      <c r="D170" s="156" t="str">
        <f t="shared" si="7"/>
        <v>YP-1a Porcentaje de jóvenes de 10 a 24 años asistiendo a la escuela alcanzados con programas de educación sexual integral y/o educación basada en el desarrollo de habilidades para la vida y  VIH, en las escuelas-0</v>
      </c>
      <c r="E170" s="156" t="str">
        <f>CHOOSE(Translations!$C$1+1,I170,J170,K170)</f>
        <v>Género</v>
      </c>
      <c r="F170" s="156" t="str">
        <f>CHOOSE(Translations!$C$1+1,L170,M170,N170)</f>
        <v>Mujeres</v>
      </c>
      <c r="G170" s="156" t="s">
        <v>2040</v>
      </c>
      <c r="H170" s="157" t="s">
        <v>2041</v>
      </c>
      <c r="I170" s="157" t="s">
        <v>1450</v>
      </c>
      <c r="J170" s="157" t="s">
        <v>1451</v>
      </c>
      <c r="K170" s="157" t="s">
        <v>1452</v>
      </c>
      <c r="L170" s="157" t="s">
        <v>1453</v>
      </c>
      <c r="M170" s="157" t="s">
        <v>1454</v>
      </c>
      <c r="N170" s="157" t="s">
        <v>1455</v>
      </c>
      <c r="O170" s="157" t="s">
        <v>2042</v>
      </c>
      <c r="P170" s="157" t="s">
        <v>2043</v>
      </c>
      <c r="Q170" s="157" t="s">
        <v>2044</v>
      </c>
    </row>
    <row r="171" spans="1:17" s="9" customFormat="1" x14ac:dyDescent="0.25">
      <c r="A171" s="156" t="s">
        <v>2039</v>
      </c>
      <c r="B171" s="156" t="str">
        <f>CHOOSE(Translations!$C$1+1,O171,P171,Q171)</f>
        <v>YP-1a Porcentaje de jóvenes de 10 a 24 años asistiendo a la escuela alcanzados con programas de educación sexual integral y/o educación basada en el desarrollo de habilidades para la vida y  VIH, en las escuelas</v>
      </c>
      <c r="C171" s="156">
        <f t="shared" si="6"/>
        <v>1</v>
      </c>
      <c r="D171" s="156" t="str">
        <f t="shared" si="7"/>
        <v>YP-1a Porcentaje de jóvenes de 10 a 24 años asistiendo a la escuela alcanzados con programas de educación sexual integral y/o educación basada en el desarrollo de habilidades para la vida y  VIH, en las escuelas-1</v>
      </c>
      <c r="E171" s="156" t="str">
        <f>CHOOSE(Translations!$C$1+1,I171,J171,K171)</f>
        <v>Género</v>
      </c>
      <c r="F171" s="156" t="str">
        <f>CHOOSE(Translations!$C$1+1,L171,M171,N171)</f>
        <v>Hombres</v>
      </c>
      <c r="G171" s="156" t="s">
        <v>2045</v>
      </c>
      <c r="H171" s="157" t="s">
        <v>2046</v>
      </c>
      <c r="I171" s="157" t="s">
        <v>1450</v>
      </c>
      <c r="J171" s="157" t="s">
        <v>1451</v>
      </c>
      <c r="K171" s="157" t="s">
        <v>1452</v>
      </c>
      <c r="L171" s="157" t="s">
        <v>1458</v>
      </c>
      <c r="M171" s="157" t="s">
        <v>1459</v>
      </c>
      <c r="N171" s="157" t="s">
        <v>1460</v>
      </c>
      <c r="O171" s="157" t="s">
        <v>2042</v>
      </c>
      <c r="P171" s="157" t="s">
        <v>2043</v>
      </c>
      <c r="Q171" s="157" t="s">
        <v>2044</v>
      </c>
    </row>
    <row r="172" spans="1:17" s="9" customFormat="1" x14ac:dyDescent="0.25">
      <c r="A172" s="156" t="s">
        <v>2047</v>
      </c>
      <c r="B172" s="156" t="str">
        <f>CHOOSE(Translations!$C$1+1,O172,P172,Q172)</f>
        <v>YP-1b Porcentaje de jóvenes de 10 a 24 años alcanzados por programas de educación sexual integral y/o educación basada en el desarrollo de habilidades para la vida y VIH, fuera de las escuelas</v>
      </c>
      <c r="C172" s="156">
        <f t="shared" si="6"/>
        <v>0</v>
      </c>
      <c r="D172" s="156" t="str">
        <f t="shared" si="7"/>
        <v>YP-1b Porcentaje de jóvenes de 10 a 24 años alcanzados por programas de educación sexual integral y/o educación basada en el desarrollo de habilidades para la vida y VIH, fuera de las escuelas-0</v>
      </c>
      <c r="E172" s="156" t="str">
        <f>CHOOSE(Translations!$C$1+1,I172,J172,K172)</f>
        <v>Género</v>
      </c>
      <c r="F172" s="156" t="str">
        <f>CHOOSE(Translations!$C$1+1,L172,M172,N172)</f>
        <v>Mujeres</v>
      </c>
      <c r="G172" s="156" t="s">
        <v>2048</v>
      </c>
      <c r="H172" s="157" t="s">
        <v>2049</v>
      </c>
      <c r="I172" s="157" t="s">
        <v>1450</v>
      </c>
      <c r="J172" s="157" t="s">
        <v>1451</v>
      </c>
      <c r="K172" s="157" t="s">
        <v>1452</v>
      </c>
      <c r="L172" s="157" t="s">
        <v>1453</v>
      </c>
      <c r="M172" s="157" t="s">
        <v>1454</v>
      </c>
      <c r="N172" s="157" t="s">
        <v>1455</v>
      </c>
      <c r="O172" s="157" t="s">
        <v>2050</v>
      </c>
      <c r="P172" s="157" t="s">
        <v>2051</v>
      </c>
      <c r="Q172" s="157" t="s">
        <v>2052</v>
      </c>
    </row>
    <row r="173" spans="1:17" s="9" customFormat="1" x14ac:dyDescent="0.25">
      <c r="A173" s="156" t="s">
        <v>2047</v>
      </c>
      <c r="B173" s="156" t="str">
        <f>CHOOSE(Translations!$C$1+1,O173,P173,Q173)</f>
        <v>YP-1b Porcentaje de jóvenes de 10 a 24 años alcanzados por programas de educación sexual integral y/o educación basada en el desarrollo de habilidades para la vida y VIH, fuera de las escuelas</v>
      </c>
      <c r="C173" s="156">
        <f t="shared" si="6"/>
        <v>1</v>
      </c>
      <c r="D173" s="156" t="str">
        <f t="shared" si="7"/>
        <v>YP-1b Porcentaje de jóvenes de 10 a 24 años alcanzados por programas de educación sexual integral y/o educación basada en el desarrollo de habilidades para la vida y VIH, fuera de las escuelas-1</v>
      </c>
      <c r="E173" s="156" t="str">
        <f>CHOOSE(Translations!$C$1+1,I173,J173,K173)</f>
        <v>Género</v>
      </c>
      <c r="F173" s="156" t="str">
        <f>CHOOSE(Translations!$C$1+1,L173,M173,N173)</f>
        <v>Hombres</v>
      </c>
      <c r="G173" s="156" t="s">
        <v>2053</v>
      </c>
      <c r="H173" s="157" t="s">
        <v>2054</v>
      </c>
      <c r="I173" s="157" t="s">
        <v>1450</v>
      </c>
      <c r="J173" s="157" t="s">
        <v>1451</v>
      </c>
      <c r="K173" s="157" t="s">
        <v>1452</v>
      </c>
      <c r="L173" s="157" t="s">
        <v>1458</v>
      </c>
      <c r="M173" s="157" t="s">
        <v>1459</v>
      </c>
      <c r="N173" s="157" t="s">
        <v>1460</v>
      </c>
      <c r="O173" s="157" t="s">
        <v>2050</v>
      </c>
      <c r="P173" s="157" t="s">
        <v>2051</v>
      </c>
      <c r="Q173" s="157" t="s">
        <v>2052</v>
      </c>
    </row>
    <row r="174" spans="1:17" s="9" customFormat="1" x14ac:dyDescent="0.25">
      <c r="A174" s="156" t="s">
        <v>2055</v>
      </c>
      <c r="B174" s="156" t="str">
        <f>CHOOSE(Translations!$C$1+1,O174,P174,Q174)</f>
        <v>YP-2 Porcentaje de niñas adolescentes y mujeres jóvenes alcanzadas por programas de prevención del VIH - paquete definido de servicios</v>
      </c>
      <c r="C174" s="156">
        <f t="shared" si="6"/>
        <v>0</v>
      </c>
      <c r="D174" s="156" t="str">
        <f t="shared" si="7"/>
        <v>YP-2 Porcentaje de niñas adolescentes y mujeres jóvenes alcanzadas por programas de prevención del VIH - paquete definido de servicios-0</v>
      </c>
      <c r="E174" s="156" t="str">
        <f>CHOOSE(Translations!$C$1+1,I174,J174,K174)</f>
        <v>Edad</v>
      </c>
      <c r="F174" s="156" t="str">
        <f>CHOOSE(Translations!$C$1+1,L174,M174,N174)</f>
        <v>20-24</v>
      </c>
      <c r="G174" s="156" t="s">
        <v>2056</v>
      </c>
      <c r="H174" s="157" t="s">
        <v>2057</v>
      </c>
      <c r="I174" s="157" t="s">
        <v>1463</v>
      </c>
      <c r="J174" s="157" t="s">
        <v>1463</v>
      </c>
      <c r="K174" s="157" t="s">
        <v>1464</v>
      </c>
      <c r="L174" s="157" t="s">
        <v>1697</v>
      </c>
      <c r="M174" s="157" t="s">
        <v>1697</v>
      </c>
      <c r="N174" s="157" t="s">
        <v>1697</v>
      </c>
      <c r="O174" s="157" t="s">
        <v>2058</v>
      </c>
      <c r="P174" s="157" t="s">
        <v>2059</v>
      </c>
      <c r="Q174" s="157" t="s">
        <v>2060</v>
      </c>
    </row>
    <row r="175" spans="1:17" s="9" customFormat="1" x14ac:dyDescent="0.25">
      <c r="A175" s="156" t="s">
        <v>2055</v>
      </c>
      <c r="B175" s="156" t="str">
        <f>CHOOSE(Translations!$C$1+1,O175,P175,Q175)</f>
        <v>YP-2 Porcentaje de niñas adolescentes y mujeres jóvenes alcanzadas por programas de prevención del VIH - paquete definido de servicios</v>
      </c>
      <c r="C175" s="156">
        <f t="shared" si="6"/>
        <v>1</v>
      </c>
      <c r="D175" s="156" t="str">
        <f t="shared" si="7"/>
        <v>YP-2 Porcentaje de niñas adolescentes y mujeres jóvenes alcanzadas por programas de prevención del VIH - paquete definido de servicios-1</v>
      </c>
      <c r="E175" s="156" t="str">
        <f>CHOOSE(Translations!$C$1+1,I175,J175,K175)</f>
        <v>Edad</v>
      </c>
      <c r="F175" s="156" t="str">
        <f>CHOOSE(Translations!$C$1+1,L175,M175,N175)</f>
        <v>15-19</v>
      </c>
      <c r="G175" s="156" t="s">
        <v>2061</v>
      </c>
      <c r="H175" s="157" t="s">
        <v>2062</v>
      </c>
      <c r="I175" s="157" t="s">
        <v>1463</v>
      </c>
      <c r="J175" s="157" t="s">
        <v>1463</v>
      </c>
      <c r="K175" s="157" t="s">
        <v>1464</v>
      </c>
      <c r="L175" s="157" t="s">
        <v>1700</v>
      </c>
      <c r="M175" s="157" t="s">
        <v>1700</v>
      </c>
      <c r="N175" s="157" t="s">
        <v>1700</v>
      </c>
      <c r="O175" s="157" t="s">
        <v>2058</v>
      </c>
      <c r="P175" s="157" t="s">
        <v>2059</v>
      </c>
      <c r="Q175" s="157" t="s">
        <v>2060</v>
      </c>
    </row>
    <row r="176" spans="1:17" s="9" customFormat="1" x14ac:dyDescent="0.25">
      <c r="A176" s="156" t="s">
        <v>2055</v>
      </c>
      <c r="B176" s="156" t="str">
        <f>CHOOSE(Translations!$C$1+1,O176,P176,Q176)</f>
        <v>YP-2 Porcentaje de niñas adolescentes y mujeres jóvenes alcanzadas por programas de prevención del VIH - paquete definido de servicios</v>
      </c>
      <c r="C176" s="156">
        <f t="shared" si="6"/>
        <v>2</v>
      </c>
      <c r="D176" s="156" t="str">
        <f t="shared" si="7"/>
        <v>YP-2 Porcentaje de niñas adolescentes y mujeres jóvenes alcanzadas por programas de prevención del VIH - paquete definido de servicios-2</v>
      </c>
      <c r="E176" s="156" t="str">
        <f>CHOOSE(Translations!$C$1+1,I176,J176,K176)</f>
        <v>Edad</v>
      </c>
      <c r="F176" s="156" t="str">
        <f>CHOOSE(Translations!$C$1+1,L176,M176,N176)</f>
        <v>10-14</v>
      </c>
      <c r="G176" s="156" t="s">
        <v>2063</v>
      </c>
      <c r="H176" s="157" t="s">
        <v>2064</v>
      </c>
      <c r="I176" s="157" t="s">
        <v>1463</v>
      </c>
      <c r="J176" s="157" t="s">
        <v>1463</v>
      </c>
      <c r="K176" s="157" t="s">
        <v>1464</v>
      </c>
      <c r="L176" s="157" t="s">
        <v>1994</v>
      </c>
      <c r="M176" s="157" t="s">
        <v>1994</v>
      </c>
      <c r="N176" s="157" t="s">
        <v>1994</v>
      </c>
      <c r="O176" s="157" t="s">
        <v>2058</v>
      </c>
      <c r="P176" s="157" t="s">
        <v>2059</v>
      </c>
      <c r="Q176" s="157" t="s">
        <v>2060</v>
      </c>
    </row>
    <row r="177" spans="1:17" s="9" customFormat="1" x14ac:dyDescent="0.25">
      <c r="A177" s="156" t="s">
        <v>2065</v>
      </c>
      <c r="B177" s="156" t="str">
        <f>CHOOSE(Translations!$C$1+1,O177,P177,Q177)</f>
        <v>PMTCT-1 Porcentaje de mujeres embarazadas que conocen su Estatus de VIH</v>
      </c>
      <c r="C177" s="156">
        <f t="shared" si="6"/>
        <v>0</v>
      </c>
      <c r="D177" s="156" t="str">
        <f t="shared" si="7"/>
        <v>PMTCT-1 Porcentaje de mujeres embarazadas que conocen su Estatus de VIH-0</v>
      </c>
      <c r="E177" s="156" t="str">
        <f>CHOOSE(Translations!$C$1+1,I177,J177,K177)</f>
        <v>Resultado de prueba del VIH</v>
      </c>
      <c r="F177" s="156" t="str">
        <f>CHOOSE(Translations!$C$1+1,L177,M177,N177)</f>
        <v>Negativo</v>
      </c>
      <c r="G177" s="156" t="s">
        <v>2066</v>
      </c>
      <c r="H177" s="157" t="s">
        <v>2067</v>
      </c>
      <c r="I177" s="157" t="s">
        <v>2068</v>
      </c>
      <c r="J177" s="157" t="s">
        <v>2069</v>
      </c>
      <c r="K177" s="157" t="s">
        <v>2070</v>
      </c>
      <c r="L177" s="157" t="s">
        <v>2071</v>
      </c>
      <c r="M177" s="157" t="s">
        <v>2072</v>
      </c>
      <c r="N177" s="157" t="s">
        <v>2073</v>
      </c>
      <c r="O177" s="157" t="s">
        <v>2074</v>
      </c>
      <c r="P177" s="157" t="s">
        <v>2075</v>
      </c>
      <c r="Q177" s="157" t="s">
        <v>2076</v>
      </c>
    </row>
    <row r="178" spans="1:17" s="9" customFormat="1" x14ac:dyDescent="0.25">
      <c r="A178" s="156" t="s">
        <v>2065</v>
      </c>
      <c r="B178" s="156" t="str">
        <f>CHOOSE(Translations!$C$1+1,O178,P178,Q178)</f>
        <v>PMTCT-1 Porcentaje de mujeres embarazadas que conocen su Estatus de VIH</v>
      </c>
      <c r="C178" s="156">
        <f t="shared" si="6"/>
        <v>1</v>
      </c>
      <c r="D178" s="156" t="str">
        <f t="shared" si="7"/>
        <v>PMTCT-1 Porcentaje de mujeres embarazadas que conocen su Estatus de VIH-1</v>
      </c>
      <c r="E178" s="156" t="str">
        <f>CHOOSE(Translations!$C$1+1,I178,J178,K178)</f>
        <v>Resultado de prueba del VIH</v>
      </c>
      <c r="F178" s="156" t="str">
        <f>CHOOSE(Translations!$C$1+1,L178,M178,N178)</f>
        <v>Positivo</v>
      </c>
      <c r="G178" s="156" t="s">
        <v>2077</v>
      </c>
      <c r="H178" s="157" t="s">
        <v>2078</v>
      </c>
      <c r="I178" s="157" t="s">
        <v>2068</v>
      </c>
      <c r="J178" s="157" t="s">
        <v>2069</v>
      </c>
      <c r="K178" s="157" t="s">
        <v>2070</v>
      </c>
      <c r="L178" s="157" t="s">
        <v>2079</v>
      </c>
      <c r="M178" s="157" t="s">
        <v>2080</v>
      </c>
      <c r="N178" s="157" t="s">
        <v>2081</v>
      </c>
      <c r="O178" s="157" t="s">
        <v>2074</v>
      </c>
      <c r="P178" s="157" t="s">
        <v>2075</v>
      </c>
      <c r="Q178" s="157" t="s">
        <v>2076</v>
      </c>
    </row>
    <row r="179" spans="1:17" s="9" customFormat="1" x14ac:dyDescent="0.25">
      <c r="A179" s="156" t="s">
        <v>2082</v>
      </c>
      <c r="B179" s="156" t="str">
        <f>CHOOSE(Translations!$C$1+1,O179,P179,Q179)</f>
        <v>PMTCT-3.1 Porcentaje de recién nacidos expuestos al VIH que se sometieron a una prueba virológica del VIH durante los 2 meses posteriores a su nacimiento</v>
      </c>
      <c r="C179" s="156">
        <f t="shared" si="6"/>
        <v>0</v>
      </c>
      <c r="D179" s="156" t="str">
        <f t="shared" si="7"/>
        <v>PMTCT-3.1 Porcentaje de recién nacidos expuestos al VIH que se sometieron a una prueba virológica del VIH durante los 2 meses posteriores a su nacimiento-0</v>
      </c>
      <c r="E179" s="156" t="str">
        <f>CHOOSE(Translations!$C$1+1,I179,J179,K179)</f>
        <v>Resultado de prueba del VIH</v>
      </c>
      <c r="F179" s="156" t="str">
        <f>CHOOSE(Translations!$C$1+1,L179,M179,N179)</f>
        <v>Indeterminado</v>
      </c>
      <c r="G179" s="156" t="s">
        <v>2083</v>
      </c>
      <c r="H179" s="157" t="s">
        <v>2084</v>
      </c>
      <c r="I179" s="157" t="s">
        <v>2068</v>
      </c>
      <c r="J179" s="157" t="s">
        <v>2069</v>
      </c>
      <c r="K179" s="157" t="s">
        <v>2070</v>
      </c>
      <c r="L179" s="157" t="s">
        <v>2085</v>
      </c>
      <c r="M179" s="157" t="s">
        <v>2086</v>
      </c>
      <c r="N179" s="157" t="s">
        <v>2087</v>
      </c>
      <c r="O179" s="157" t="s">
        <v>2088</v>
      </c>
      <c r="P179" s="157" t="s">
        <v>2089</v>
      </c>
      <c r="Q179" s="157" t="s">
        <v>2090</v>
      </c>
    </row>
    <row r="180" spans="1:17" s="9" customFormat="1" x14ac:dyDescent="0.25">
      <c r="A180" s="156" t="s">
        <v>2082</v>
      </c>
      <c r="B180" s="156" t="str">
        <f>CHOOSE(Translations!$C$1+1,O180,P180,Q180)</f>
        <v>PMTCT-3.1 Porcentaje de recién nacidos expuestos al VIH que se sometieron a una prueba virológica del VIH durante los 2 meses posteriores a su nacimiento</v>
      </c>
      <c r="C180" s="156">
        <f t="shared" si="6"/>
        <v>1</v>
      </c>
      <c r="D180" s="156" t="str">
        <f t="shared" si="7"/>
        <v>PMTCT-3.1 Porcentaje de recién nacidos expuestos al VIH que se sometieron a una prueba virológica del VIH durante los 2 meses posteriores a su nacimiento-1</v>
      </c>
      <c r="E180" s="156" t="str">
        <f>CHOOSE(Translations!$C$1+1,I180,J180,K180)</f>
        <v>Resultado de prueba del VIH</v>
      </c>
      <c r="F180" s="156" t="str">
        <f>CHOOSE(Translations!$C$1+1,L180,M180,N180)</f>
        <v>Negativo</v>
      </c>
      <c r="G180" s="156" t="s">
        <v>2091</v>
      </c>
      <c r="H180" s="157" t="s">
        <v>2092</v>
      </c>
      <c r="I180" s="157" t="s">
        <v>2068</v>
      </c>
      <c r="J180" s="157" t="s">
        <v>2069</v>
      </c>
      <c r="K180" s="157" t="s">
        <v>2070</v>
      </c>
      <c r="L180" s="157" t="s">
        <v>2071</v>
      </c>
      <c r="M180" s="157" t="s">
        <v>2072</v>
      </c>
      <c r="N180" s="157" t="s">
        <v>2073</v>
      </c>
      <c r="O180" s="157" t="s">
        <v>2088</v>
      </c>
      <c r="P180" s="157" t="s">
        <v>2089</v>
      </c>
      <c r="Q180" s="157" t="s">
        <v>2090</v>
      </c>
    </row>
    <row r="181" spans="1:17" s="9" customFormat="1" x14ac:dyDescent="0.25">
      <c r="A181" s="156" t="s">
        <v>2082</v>
      </c>
      <c r="B181" s="156" t="str">
        <f>CHOOSE(Translations!$C$1+1,O181,P181,Q181)</f>
        <v>PMTCT-3.1 Porcentaje de recién nacidos expuestos al VIH que se sometieron a una prueba virológica del VIH durante los 2 meses posteriores a su nacimiento</v>
      </c>
      <c r="C181" s="156">
        <f t="shared" si="6"/>
        <v>2</v>
      </c>
      <c r="D181" s="156" t="str">
        <f t="shared" si="7"/>
        <v>PMTCT-3.1 Porcentaje de recién nacidos expuestos al VIH que se sometieron a una prueba virológica del VIH durante los 2 meses posteriores a su nacimiento-2</v>
      </c>
      <c r="E181" s="156" t="str">
        <f>CHOOSE(Translations!$C$1+1,I181,J181,K181)</f>
        <v>Resultado de prueba del VIH</v>
      </c>
      <c r="F181" s="156" t="str">
        <f>CHOOSE(Translations!$C$1+1,L181,M181,N181)</f>
        <v>Positivo</v>
      </c>
      <c r="G181" s="156" t="s">
        <v>2093</v>
      </c>
      <c r="H181" s="157" t="s">
        <v>2094</v>
      </c>
      <c r="I181" s="157" t="s">
        <v>2068</v>
      </c>
      <c r="J181" s="157" t="s">
        <v>2069</v>
      </c>
      <c r="K181" s="157" t="s">
        <v>2070</v>
      </c>
      <c r="L181" s="157" t="s">
        <v>2079</v>
      </c>
      <c r="M181" s="157" t="s">
        <v>2080</v>
      </c>
      <c r="N181" s="157" t="s">
        <v>2081</v>
      </c>
      <c r="O181" s="157" t="s">
        <v>2088</v>
      </c>
      <c r="P181" s="157" t="s">
        <v>2089</v>
      </c>
      <c r="Q181" s="157" t="s">
        <v>2090</v>
      </c>
    </row>
    <row r="182" spans="1:17" s="9" customFormat="1" x14ac:dyDescent="0.25">
      <c r="A182" s="156" t="s">
        <v>2095</v>
      </c>
      <c r="B182" s="156" t="str">
        <f>CHOOSE(Translations!$C$1+1,O182,P182,Q182)</f>
        <v>HTS-2 Número de niñas adolescentes y mujeres jóvenes que se sometieron a la prueba del VIH y recibieron los resultados durante el período de reporte</v>
      </c>
      <c r="C182" s="156">
        <f t="shared" si="6"/>
        <v>0</v>
      </c>
      <c r="D182" s="156" t="str">
        <f t="shared" si="7"/>
        <v>HTS-2 Número de niñas adolescentes y mujeres jóvenes que se sometieron a la prueba del VIH y recibieron los resultados durante el período de reporte-0</v>
      </c>
      <c r="E182" s="156" t="str">
        <f>CHOOSE(Translations!$C$1+1,I182,J182,K182)</f>
        <v>Resultado de prueba del VIH</v>
      </c>
      <c r="F182" s="156" t="str">
        <f>CHOOSE(Translations!$C$1+1,L182,M182,N182)</f>
        <v>Negativo</v>
      </c>
      <c r="G182" s="156" t="s">
        <v>2096</v>
      </c>
      <c r="H182" s="157" t="s">
        <v>2097</v>
      </c>
      <c r="I182" s="157" t="s">
        <v>2068</v>
      </c>
      <c r="J182" s="157" t="s">
        <v>2069</v>
      </c>
      <c r="K182" s="157" t="s">
        <v>2070</v>
      </c>
      <c r="L182" s="157" t="s">
        <v>2071</v>
      </c>
      <c r="M182" s="157" t="s">
        <v>2072</v>
      </c>
      <c r="N182" s="157" t="s">
        <v>2073</v>
      </c>
      <c r="O182" s="157" t="s">
        <v>2098</v>
      </c>
      <c r="P182" s="157" t="s">
        <v>2099</v>
      </c>
      <c r="Q182" s="157" t="s">
        <v>2100</v>
      </c>
    </row>
    <row r="183" spans="1:17" s="9" customFormat="1" x14ac:dyDescent="0.25">
      <c r="A183" s="156" t="s">
        <v>2095</v>
      </c>
      <c r="B183" s="156" t="str">
        <f>CHOOSE(Translations!$C$1+1,O183,P183,Q183)</f>
        <v>HTS-2 Número de niñas adolescentes y mujeres jóvenes que se sometieron a la prueba del VIH y recibieron los resultados durante el período de reporte</v>
      </c>
      <c r="C183" s="156">
        <f t="shared" si="6"/>
        <v>1</v>
      </c>
      <c r="D183" s="156" t="str">
        <f t="shared" si="7"/>
        <v>HTS-2 Número de niñas adolescentes y mujeres jóvenes que se sometieron a la prueba del VIH y recibieron los resultados durante el período de reporte-1</v>
      </c>
      <c r="E183" s="156" t="str">
        <f>CHOOSE(Translations!$C$1+1,I183,J183,K183)</f>
        <v>Resultado de prueba del VIH</v>
      </c>
      <c r="F183" s="156" t="str">
        <f>CHOOSE(Translations!$C$1+1,L183,M183,N183)</f>
        <v>Positivo</v>
      </c>
      <c r="G183" s="156" t="s">
        <v>2101</v>
      </c>
      <c r="H183" s="157" t="s">
        <v>2102</v>
      </c>
      <c r="I183" s="157" t="s">
        <v>2068</v>
      </c>
      <c r="J183" s="157" t="s">
        <v>2069</v>
      </c>
      <c r="K183" s="157" t="s">
        <v>2070</v>
      </c>
      <c r="L183" s="157" t="s">
        <v>2079</v>
      </c>
      <c r="M183" s="157" t="s">
        <v>2080</v>
      </c>
      <c r="N183" s="157" t="s">
        <v>2081</v>
      </c>
      <c r="O183" s="157" t="s">
        <v>2098</v>
      </c>
      <c r="P183" s="157" t="s">
        <v>2099</v>
      </c>
      <c r="Q183" s="157" t="s">
        <v>2100</v>
      </c>
    </row>
    <row r="184" spans="1:17" s="9" customFormat="1" x14ac:dyDescent="0.25">
      <c r="A184" s="156" t="s">
        <v>2095</v>
      </c>
      <c r="B184" s="156" t="str">
        <f>CHOOSE(Translations!$C$1+1,O184,P184,Q184)</f>
        <v>HTS-2 Número de niñas adolescentes y mujeres jóvenes que se sometieron a la prueba del VIH y recibieron los resultados durante el período de reporte</v>
      </c>
      <c r="C184" s="156">
        <f t="shared" si="6"/>
        <v>2</v>
      </c>
      <c r="D184" s="156" t="str">
        <f t="shared" si="7"/>
        <v>HTS-2 Número de niñas adolescentes y mujeres jóvenes que se sometieron a la prueba del VIH y recibieron los resultados durante el período de reporte-2</v>
      </c>
      <c r="E184" s="156" t="str">
        <f>CHOOSE(Translations!$C$1+1,I184,J184,K184)</f>
        <v>Edad</v>
      </c>
      <c r="F184" s="156" t="str">
        <f>CHOOSE(Translations!$C$1+1,L184,M184,N184)</f>
        <v>15-24</v>
      </c>
      <c r="G184" s="156" t="s">
        <v>2103</v>
      </c>
      <c r="H184" s="157" t="s">
        <v>2104</v>
      </c>
      <c r="I184" s="157" t="s">
        <v>1463</v>
      </c>
      <c r="J184" s="157" t="s">
        <v>1463</v>
      </c>
      <c r="K184" s="157" t="s">
        <v>1464</v>
      </c>
      <c r="L184" s="157" t="s">
        <v>2105</v>
      </c>
      <c r="M184" s="157" t="s">
        <v>2105</v>
      </c>
      <c r="N184" s="157" t="s">
        <v>2105</v>
      </c>
      <c r="O184" s="157" t="s">
        <v>2098</v>
      </c>
      <c r="P184" s="157" t="s">
        <v>2099</v>
      </c>
      <c r="Q184" s="157" t="s">
        <v>2100</v>
      </c>
    </row>
    <row r="185" spans="1:17" s="9" customFormat="1" x14ac:dyDescent="0.25">
      <c r="A185" s="156" t="s">
        <v>2095</v>
      </c>
      <c r="B185" s="156" t="str">
        <f>CHOOSE(Translations!$C$1+1,O185,P185,Q185)</f>
        <v>HTS-2 Número de niñas adolescentes y mujeres jóvenes que se sometieron a la prueba del VIH y recibieron los resultados durante el período de reporte</v>
      </c>
      <c r="C185" s="156">
        <f t="shared" si="6"/>
        <v>3</v>
      </c>
      <c r="D185" s="156" t="str">
        <f t="shared" si="7"/>
        <v>HTS-2 Número de niñas adolescentes y mujeres jóvenes que se sometieron a la prueba del VIH y recibieron los resultados durante el período de reporte-3</v>
      </c>
      <c r="E185" s="156" t="str">
        <f>CHOOSE(Translations!$C$1+1,I185,J185,K185)</f>
        <v>Edad</v>
      </c>
      <c r="F185" s="156" t="str">
        <f>CHOOSE(Translations!$C$1+1,L185,M185,N185)</f>
        <v>20-24</v>
      </c>
      <c r="G185" s="156" t="s">
        <v>2106</v>
      </c>
      <c r="H185" s="157" t="s">
        <v>2107</v>
      </c>
      <c r="I185" s="157" t="s">
        <v>1463</v>
      </c>
      <c r="J185" s="157" t="s">
        <v>1463</v>
      </c>
      <c r="K185" s="157" t="s">
        <v>1464</v>
      </c>
      <c r="L185" s="157" t="s">
        <v>1697</v>
      </c>
      <c r="M185" s="157" t="s">
        <v>1697</v>
      </c>
      <c r="N185" s="157" t="s">
        <v>1697</v>
      </c>
      <c r="O185" s="157" t="s">
        <v>2098</v>
      </c>
      <c r="P185" s="157" t="s">
        <v>2099</v>
      </c>
      <c r="Q185" s="157" t="s">
        <v>2100</v>
      </c>
    </row>
    <row r="186" spans="1:17" s="9" customFormat="1" x14ac:dyDescent="0.25">
      <c r="A186" s="156" t="s">
        <v>2095</v>
      </c>
      <c r="B186" s="156" t="str">
        <f>CHOOSE(Translations!$C$1+1,O186,P186,Q186)</f>
        <v>HTS-2 Número de niñas adolescentes y mujeres jóvenes que se sometieron a la prueba del VIH y recibieron los resultados durante el período de reporte</v>
      </c>
      <c r="C186" s="156">
        <f t="shared" si="6"/>
        <v>4</v>
      </c>
      <c r="D186" s="156" t="str">
        <f t="shared" si="7"/>
        <v>HTS-2 Número de niñas adolescentes y mujeres jóvenes que se sometieron a la prueba del VIH y recibieron los resultados durante el período de reporte-4</v>
      </c>
      <c r="E186" s="156" t="str">
        <f>CHOOSE(Translations!$C$1+1,I186,J186,K186)</f>
        <v>Edad</v>
      </c>
      <c r="F186" s="156" t="str">
        <f>CHOOSE(Translations!$C$1+1,L186,M186,N186)</f>
        <v>15-19</v>
      </c>
      <c r="G186" s="156" t="s">
        <v>2108</v>
      </c>
      <c r="H186" s="157" t="s">
        <v>2109</v>
      </c>
      <c r="I186" s="157" t="s">
        <v>1463</v>
      </c>
      <c r="J186" s="157" t="s">
        <v>1463</v>
      </c>
      <c r="K186" s="157" t="s">
        <v>1464</v>
      </c>
      <c r="L186" s="157" t="s">
        <v>1700</v>
      </c>
      <c r="M186" s="157" t="s">
        <v>1700</v>
      </c>
      <c r="N186" s="157" t="s">
        <v>1700</v>
      </c>
      <c r="O186" s="157" t="s">
        <v>2098</v>
      </c>
      <c r="P186" s="157" t="s">
        <v>2099</v>
      </c>
      <c r="Q186" s="157" t="s">
        <v>2100</v>
      </c>
    </row>
    <row r="187" spans="1:17" s="9" customFormat="1" x14ac:dyDescent="0.25">
      <c r="A187" s="156" t="s">
        <v>2110</v>
      </c>
      <c r="B187" s="156" t="str">
        <f>CHOOSE(Translations!$C$1+1,O187,P187,Q187)</f>
        <v>HTS-3a⁽ᴹ⁾ Porcentaje de HSH a los que se les ha realizado una prueba de VIH durante el período de reporte y que conocen sus resultados</v>
      </c>
      <c r="C187" s="156">
        <f t="shared" si="6"/>
        <v>0</v>
      </c>
      <c r="D187" s="156" t="str">
        <f t="shared" si="7"/>
        <v>HTS-3a⁽ᴹ⁾ Porcentaje de HSH a los que se les ha realizado una prueba de VIH durante el período de reporte y que conocen sus resultados-0</v>
      </c>
      <c r="E187" s="156" t="str">
        <f>CHOOSE(Translations!$C$1+1,I187,J187,K187)</f>
        <v>Resultado de prueba del VIH</v>
      </c>
      <c r="F187" s="156" t="str">
        <f>CHOOSE(Translations!$C$1+1,L187,M187,N187)</f>
        <v>Negativo</v>
      </c>
      <c r="G187" s="156" t="s">
        <v>2111</v>
      </c>
      <c r="H187" s="157" t="s">
        <v>2112</v>
      </c>
      <c r="I187" s="157" t="s">
        <v>2068</v>
      </c>
      <c r="J187" s="157" t="s">
        <v>2069</v>
      </c>
      <c r="K187" s="157" t="s">
        <v>2070</v>
      </c>
      <c r="L187" s="157" t="s">
        <v>2071</v>
      </c>
      <c r="M187" s="157" t="s">
        <v>2072</v>
      </c>
      <c r="N187" s="157" t="s">
        <v>2073</v>
      </c>
      <c r="O187" s="157" t="s">
        <v>2113</v>
      </c>
      <c r="P187" s="157" t="s">
        <v>2114</v>
      </c>
      <c r="Q187" s="157" t="s">
        <v>2115</v>
      </c>
    </row>
    <row r="188" spans="1:17" s="9" customFormat="1" x14ac:dyDescent="0.25">
      <c r="A188" s="156" t="s">
        <v>2110</v>
      </c>
      <c r="B188" s="156" t="str">
        <f>CHOOSE(Translations!$C$1+1,O188,P188,Q188)</f>
        <v>HTS-3a⁽ᴹ⁾ Porcentaje de HSH a los que se les ha realizado una prueba de VIH durante el período de reporte y que conocen sus resultados</v>
      </c>
      <c r="C188" s="156">
        <f t="shared" si="6"/>
        <v>1</v>
      </c>
      <c r="D188" s="156" t="str">
        <f t="shared" si="7"/>
        <v>HTS-3a⁽ᴹ⁾ Porcentaje de HSH a los que se les ha realizado una prueba de VIH durante el período de reporte y que conocen sus resultados-1</v>
      </c>
      <c r="E188" s="156" t="str">
        <f>CHOOSE(Translations!$C$1+1,I188,J188,K188)</f>
        <v>Resultado de prueba del VIH</v>
      </c>
      <c r="F188" s="156" t="str">
        <f>CHOOSE(Translations!$C$1+1,L188,M188,N188)</f>
        <v>Positivo</v>
      </c>
      <c r="G188" s="156" t="s">
        <v>2116</v>
      </c>
      <c r="H188" s="157" t="s">
        <v>2117</v>
      </c>
      <c r="I188" s="157" t="s">
        <v>2068</v>
      </c>
      <c r="J188" s="157" t="s">
        <v>2069</v>
      </c>
      <c r="K188" s="157" t="s">
        <v>2070</v>
      </c>
      <c r="L188" s="157" t="s">
        <v>2079</v>
      </c>
      <c r="M188" s="157" t="s">
        <v>2080</v>
      </c>
      <c r="N188" s="157" t="s">
        <v>2081</v>
      </c>
      <c r="O188" s="157" t="s">
        <v>2113</v>
      </c>
      <c r="P188" s="157" t="s">
        <v>2114</v>
      </c>
      <c r="Q188" s="157" t="s">
        <v>2115</v>
      </c>
    </row>
    <row r="189" spans="1:17" s="9" customFormat="1" x14ac:dyDescent="0.25">
      <c r="A189" s="156" t="s">
        <v>2110</v>
      </c>
      <c r="B189" s="156" t="str">
        <f>CHOOSE(Translations!$C$1+1,O189,P189,Q189)</f>
        <v>HTS-3a⁽ᴹ⁾ Porcentaje de HSH a los que se les ha realizado una prueba de VIH durante el período de reporte y que conocen sus resultados</v>
      </c>
      <c r="C189" s="156">
        <f t="shared" si="6"/>
        <v>2</v>
      </c>
      <c r="D189" s="156" t="str">
        <f t="shared" si="7"/>
        <v>HTS-3a⁽ᴹ⁾ Porcentaje de HSH a los que se les ha realizado una prueba de VIH durante el período de reporte y que conocen sus resultados-2</v>
      </c>
      <c r="E189" s="156" t="str">
        <f>CHOOSE(Translations!$C$1+1,I189,J189,K189)</f>
        <v>Edad</v>
      </c>
      <c r="F189" s="156" t="str">
        <f>CHOOSE(Translations!$C$1+1,L189,M189,N189)</f>
        <v>25+</v>
      </c>
      <c r="G189" s="156" t="s">
        <v>2118</v>
      </c>
      <c r="H189" s="157" t="s">
        <v>2119</v>
      </c>
      <c r="I189" s="157" t="s">
        <v>1463</v>
      </c>
      <c r="J189" s="157" t="s">
        <v>1463</v>
      </c>
      <c r="K189" s="157" t="s">
        <v>1464</v>
      </c>
      <c r="L189" s="157" t="s">
        <v>1516</v>
      </c>
      <c r="M189" s="157" t="s">
        <v>1516</v>
      </c>
      <c r="N189" s="157" t="s">
        <v>1516</v>
      </c>
      <c r="O189" s="157" t="s">
        <v>2113</v>
      </c>
      <c r="P189" s="157" t="s">
        <v>2114</v>
      </c>
      <c r="Q189" s="157" t="s">
        <v>2115</v>
      </c>
    </row>
    <row r="190" spans="1:17" s="9" customFormat="1" x14ac:dyDescent="0.25">
      <c r="A190" s="156" t="s">
        <v>2110</v>
      </c>
      <c r="B190" s="156" t="str">
        <f>CHOOSE(Translations!$C$1+1,O190,P190,Q190)</f>
        <v>HTS-3a⁽ᴹ⁾ Porcentaje de HSH a los que se les ha realizado una prueba de VIH durante el período de reporte y que conocen sus resultados</v>
      </c>
      <c r="C190" s="156">
        <f t="shared" si="6"/>
        <v>3</v>
      </c>
      <c r="D190" s="156" t="str">
        <f t="shared" si="7"/>
        <v>HTS-3a⁽ᴹ⁾ Porcentaje de HSH a los que se les ha realizado una prueba de VIH durante el período de reporte y que conocen sus resultados-3</v>
      </c>
      <c r="E190" s="156" t="str">
        <f>CHOOSE(Translations!$C$1+1,I190,J190,K190)</f>
        <v>Edad</v>
      </c>
      <c r="F190" s="156" t="str">
        <f>CHOOSE(Translations!$C$1+1,L190,M190,N190)</f>
        <v>&lt;25</v>
      </c>
      <c r="G190" s="156" t="s">
        <v>2120</v>
      </c>
      <c r="H190" s="157" t="s">
        <v>2121</v>
      </c>
      <c r="I190" s="157" t="s">
        <v>1463</v>
      </c>
      <c r="J190" s="157" t="s">
        <v>1463</v>
      </c>
      <c r="K190" s="157" t="s">
        <v>1464</v>
      </c>
      <c r="L190" s="157" t="s">
        <v>1522</v>
      </c>
      <c r="M190" s="157" t="s">
        <v>1522</v>
      </c>
      <c r="N190" s="157" t="s">
        <v>1522</v>
      </c>
      <c r="O190" s="157" t="s">
        <v>2113</v>
      </c>
      <c r="P190" s="157" t="s">
        <v>2114</v>
      </c>
      <c r="Q190" s="157" t="s">
        <v>2115</v>
      </c>
    </row>
    <row r="191" spans="1:17" s="9" customFormat="1" x14ac:dyDescent="0.25">
      <c r="A191" s="156" t="s">
        <v>2122</v>
      </c>
      <c r="B191" s="156" t="str">
        <f>CHOOSE(Translations!$C$1+1,O191,P191,Q191)</f>
        <v>HTS-3b⁽ᴹ⁾ Porcentaje de personas transgénero a los que se les ha realizado una prueba de VIH durante el período de reporte y que conocen sus resultados</v>
      </c>
      <c r="C191" s="156">
        <f t="shared" si="6"/>
        <v>0</v>
      </c>
      <c r="D191" s="156" t="str">
        <f t="shared" si="7"/>
        <v>HTS-3b⁽ᴹ⁾ Porcentaje de personas transgénero a los que se les ha realizado una prueba de VIH durante el período de reporte y que conocen sus resultados-0</v>
      </c>
      <c r="E191" s="156" t="str">
        <f>CHOOSE(Translations!$C$1+1,I191,J191,K191)</f>
        <v>Resultado de prueba del VIH</v>
      </c>
      <c r="F191" s="156" t="str">
        <f>CHOOSE(Translations!$C$1+1,L191,M191,N191)</f>
        <v>Negativo</v>
      </c>
      <c r="G191" s="156" t="s">
        <v>2123</v>
      </c>
      <c r="H191" s="157" t="s">
        <v>2124</v>
      </c>
      <c r="I191" s="157" t="s">
        <v>2068</v>
      </c>
      <c r="J191" s="157" t="s">
        <v>2069</v>
      </c>
      <c r="K191" s="157" t="s">
        <v>2070</v>
      </c>
      <c r="L191" s="157" t="s">
        <v>2071</v>
      </c>
      <c r="M191" s="157" t="s">
        <v>2072</v>
      </c>
      <c r="N191" s="157" t="s">
        <v>2073</v>
      </c>
      <c r="O191" s="157" t="s">
        <v>2125</v>
      </c>
      <c r="P191" s="157" t="s">
        <v>2126</v>
      </c>
      <c r="Q191" s="157" t="s">
        <v>2127</v>
      </c>
    </row>
    <row r="192" spans="1:17" s="9" customFormat="1" x14ac:dyDescent="0.25">
      <c r="A192" s="156" t="s">
        <v>2122</v>
      </c>
      <c r="B192" s="156" t="str">
        <f>CHOOSE(Translations!$C$1+1,O192,P192,Q192)</f>
        <v>HTS-3b⁽ᴹ⁾ Porcentaje de personas transgénero a los que se les ha realizado una prueba de VIH durante el período de reporte y que conocen sus resultados</v>
      </c>
      <c r="C192" s="156">
        <f t="shared" si="6"/>
        <v>1</v>
      </c>
      <c r="D192" s="156" t="str">
        <f t="shared" si="7"/>
        <v>HTS-3b⁽ᴹ⁾ Porcentaje de personas transgénero a los que se les ha realizado una prueba de VIH durante el período de reporte y que conocen sus resultados-1</v>
      </c>
      <c r="E192" s="156" t="str">
        <f>CHOOSE(Translations!$C$1+1,I192,J192,K192)</f>
        <v>Resultado de prueba del VIH</v>
      </c>
      <c r="F192" s="156" t="str">
        <f>CHOOSE(Translations!$C$1+1,L192,M192,N192)</f>
        <v>Positivo</v>
      </c>
      <c r="G192" s="156" t="s">
        <v>2128</v>
      </c>
      <c r="H192" s="157" t="s">
        <v>2129</v>
      </c>
      <c r="I192" s="157" t="s">
        <v>2068</v>
      </c>
      <c r="J192" s="157" t="s">
        <v>2069</v>
      </c>
      <c r="K192" s="157" t="s">
        <v>2070</v>
      </c>
      <c r="L192" s="157" t="s">
        <v>2079</v>
      </c>
      <c r="M192" s="157" t="s">
        <v>2080</v>
      </c>
      <c r="N192" s="157" t="s">
        <v>2081</v>
      </c>
      <c r="O192" s="157" t="s">
        <v>2125</v>
      </c>
      <c r="P192" s="157" t="s">
        <v>2126</v>
      </c>
      <c r="Q192" s="157" t="s">
        <v>2127</v>
      </c>
    </row>
    <row r="193" spans="1:17" s="9" customFormat="1" x14ac:dyDescent="0.25">
      <c r="A193" s="156" t="s">
        <v>2122</v>
      </c>
      <c r="B193" s="156" t="str">
        <f>CHOOSE(Translations!$C$1+1,O193,P193,Q193)</f>
        <v>HTS-3b⁽ᴹ⁾ Porcentaje de personas transgénero a los que se les ha realizado una prueba de VIH durante el período de reporte y que conocen sus resultados</v>
      </c>
      <c r="C193" s="156">
        <f t="shared" si="6"/>
        <v>2</v>
      </c>
      <c r="D193" s="156" t="str">
        <f t="shared" si="7"/>
        <v>HTS-3b⁽ᴹ⁾ Porcentaje de personas transgénero a los que se les ha realizado una prueba de VIH durante el período de reporte y que conocen sus resultados-2</v>
      </c>
      <c r="E193" s="156" t="str">
        <f>CHOOSE(Translations!$C$1+1,I193,J193,K193)</f>
        <v>Edad</v>
      </c>
      <c r="F193" s="156" t="str">
        <f>CHOOSE(Translations!$C$1+1,L193,M193,N193)</f>
        <v>25+</v>
      </c>
      <c r="G193" s="156" t="s">
        <v>2130</v>
      </c>
      <c r="H193" s="157" t="s">
        <v>2131</v>
      </c>
      <c r="I193" s="157" t="s">
        <v>1463</v>
      </c>
      <c r="J193" s="157" t="s">
        <v>1463</v>
      </c>
      <c r="K193" s="157" t="s">
        <v>1464</v>
      </c>
      <c r="L193" s="157" t="s">
        <v>1516</v>
      </c>
      <c r="M193" s="157" t="s">
        <v>1516</v>
      </c>
      <c r="N193" s="157" t="s">
        <v>1516</v>
      </c>
      <c r="O193" s="157" t="s">
        <v>2125</v>
      </c>
      <c r="P193" s="157" t="s">
        <v>2126</v>
      </c>
      <c r="Q193" s="157" t="s">
        <v>2127</v>
      </c>
    </row>
    <row r="194" spans="1:17" s="9" customFormat="1" x14ac:dyDescent="0.25">
      <c r="A194" s="156" t="s">
        <v>2122</v>
      </c>
      <c r="B194" s="156" t="str">
        <f>CHOOSE(Translations!$C$1+1,O194,P194,Q194)</f>
        <v>HTS-3b⁽ᴹ⁾ Porcentaje de personas transgénero a los que se les ha realizado una prueba de VIH durante el período de reporte y que conocen sus resultados</v>
      </c>
      <c r="C194" s="156">
        <f t="shared" si="6"/>
        <v>3</v>
      </c>
      <c r="D194" s="156" t="str">
        <f t="shared" si="7"/>
        <v>HTS-3b⁽ᴹ⁾ Porcentaje de personas transgénero a los que se les ha realizado una prueba de VIH durante el período de reporte y que conocen sus resultados-3</v>
      </c>
      <c r="E194" s="156" t="str">
        <f>CHOOSE(Translations!$C$1+1,I194,J194,K194)</f>
        <v>Edad</v>
      </c>
      <c r="F194" s="156" t="str">
        <f>CHOOSE(Translations!$C$1+1,L194,M194,N194)</f>
        <v>&lt;25</v>
      </c>
      <c r="G194" s="156" t="s">
        <v>2132</v>
      </c>
      <c r="H194" s="157" t="s">
        <v>2133</v>
      </c>
      <c r="I194" s="157" t="s">
        <v>1463</v>
      </c>
      <c r="J194" s="157" t="s">
        <v>1463</v>
      </c>
      <c r="K194" s="157" t="s">
        <v>1464</v>
      </c>
      <c r="L194" s="157" t="s">
        <v>1522</v>
      </c>
      <c r="M194" s="157" t="s">
        <v>1522</v>
      </c>
      <c r="N194" s="157" t="s">
        <v>1522</v>
      </c>
      <c r="O194" s="157" t="s">
        <v>2125</v>
      </c>
      <c r="P194" s="157" t="s">
        <v>2126</v>
      </c>
      <c r="Q194" s="157" t="s">
        <v>2127</v>
      </c>
    </row>
    <row r="195" spans="1:17" s="9" customFormat="1" x14ac:dyDescent="0.25">
      <c r="A195" s="156" t="s">
        <v>2134</v>
      </c>
      <c r="B195" s="156" t="str">
        <f>CHOOSE(Translations!$C$1+1,O195,P195,Q195)</f>
        <v>HTS-3c⁽ᴹ⁾ Porcentaje de trabajadores sexuales a los que se les ha realizado una prueba de VIH durante el período de reporte y que conocen sus resultados</v>
      </c>
      <c r="C195" s="156">
        <f t="shared" si="6"/>
        <v>0</v>
      </c>
      <c r="D195" s="156" t="str">
        <f t="shared" si="7"/>
        <v>HTS-3c⁽ᴹ⁾ Porcentaje de trabajadores sexuales a los que se les ha realizado una prueba de VIH durante el período de reporte y que conocen sus resultados-0</v>
      </c>
      <c r="E195" s="156" t="str">
        <f>CHOOSE(Translations!$C$1+1,I195,J195,K195)</f>
        <v>Resultado de prueba del VIH</v>
      </c>
      <c r="F195" s="156" t="str">
        <f>CHOOSE(Translations!$C$1+1,L195,M195,N195)</f>
        <v>Negativo</v>
      </c>
      <c r="G195" s="156" t="s">
        <v>2135</v>
      </c>
      <c r="H195" s="157" t="s">
        <v>2136</v>
      </c>
      <c r="I195" s="157" t="s">
        <v>2068</v>
      </c>
      <c r="J195" s="157" t="s">
        <v>2069</v>
      </c>
      <c r="K195" s="157" t="s">
        <v>2070</v>
      </c>
      <c r="L195" s="157" t="s">
        <v>2071</v>
      </c>
      <c r="M195" s="157" t="s">
        <v>2072</v>
      </c>
      <c r="N195" s="157" t="s">
        <v>2073</v>
      </c>
      <c r="O195" s="157" t="s">
        <v>2137</v>
      </c>
      <c r="P195" s="157" t="s">
        <v>2138</v>
      </c>
      <c r="Q195" s="157" t="s">
        <v>2139</v>
      </c>
    </row>
    <row r="196" spans="1:17" s="9" customFormat="1" x14ac:dyDescent="0.25">
      <c r="A196" s="156" t="s">
        <v>2134</v>
      </c>
      <c r="B196" s="156" t="str">
        <f>CHOOSE(Translations!$C$1+1,O196,P196,Q196)</f>
        <v>HTS-3c⁽ᴹ⁾ Porcentaje de trabajadores sexuales a los que se les ha realizado una prueba de VIH durante el período de reporte y que conocen sus resultados</v>
      </c>
      <c r="C196" s="156">
        <f t="shared" si="6"/>
        <v>1</v>
      </c>
      <c r="D196" s="156" t="str">
        <f t="shared" si="7"/>
        <v>HTS-3c⁽ᴹ⁾ Porcentaje de trabajadores sexuales a los que se les ha realizado una prueba de VIH durante el período de reporte y que conocen sus resultados-1</v>
      </c>
      <c r="E196" s="156" t="str">
        <f>CHOOSE(Translations!$C$1+1,I196,J196,K196)</f>
        <v>Resultado de prueba del VIH</v>
      </c>
      <c r="F196" s="156" t="str">
        <f>CHOOSE(Translations!$C$1+1,L196,M196,N196)</f>
        <v>Positivo</v>
      </c>
      <c r="G196" s="156" t="s">
        <v>2140</v>
      </c>
      <c r="H196" s="157" t="s">
        <v>2141</v>
      </c>
      <c r="I196" s="157" t="s">
        <v>2068</v>
      </c>
      <c r="J196" s="157" t="s">
        <v>2069</v>
      </c>
      <c r="K196" s="157" t="s">
        <v>2070</v>
      </c>
      <c r="L196" s="157" t="s">
        <v>2079</v>
      </c>
      <c r="M196" s="157" t="s">
        <v>2080</v>
      </c>
      <c r="N196" s="157" t="s">
        <v>2081</v>
      </c>
      <c r="O196" s="157" t="s">
        <v>2137</v>
      </c>
      <c r="P196" s="157" t="s">
        <v>2138</v>
      </c>
      <c r="Q196" s="157" t="s">
        <v>2139</v>
      </c>
    </row>
    <row r="197" spans="1:17" s="9" customFormat="1" x14ac:dyDescent="0.25">
      <c r="A197" s="156" t="s">
        <v>2134</v>
      </c>
      <c r="B197" s="156" t="str">
        <f>CHOOSE(Translations!$C$1+1,O197,P197,Q197)</f>
        <v>HTS-3c⁽ᴹ⁾ Porcentaje de trabajadores sexuales a los que se les ha realizado una prueba de VIH durante el período de reporte y que conocen sus resultados</v>
      </c>
      <c r="C197" s="156">
        <f t="shared" si="6"/>
        <v>2</v>
      </c>
      <c r="D197" s="156" t="str">
        <f t="shared" si="7"/>
        <v>HTS-3c⁽ᴹ⁾ Porcentaje de trabajadores sexuales a los que se les ha realizado una prueba de VIH durante el período de reporte y que conocen sus resultados-2</v>
      </c>
      <c r="E197" s="156" t="str">
        <f>CHOOSE(Translations!$C$1+1,I197,J197,K197)</f>
        <v>Género</v>
      </c>
      <c r="F197" s="156" t="str">
        <f>CHOOSE(Translations!$C$1+1,L197,M197,N197)</f>
        <v>Transgénero</v>
      </c>
      <c r="G197" s="156" t="s">
        <v>2142</v>
      </c>
      <c r="H197" s="157" t="s">
        <v>2143</v>
      </c>
      <c r="I197" s="157" t="s">
        <v>1450</v>
      </c>
      <c r="J197" s="157" t="s">
        <v>1451</v>
      </c>
      <c r="K197" s="157" t="s">
        <v>1452</v>
      </c>
      <c r="L197" s="157" t="s">
        <v>1534</v>
      </c>
      <c r="M197" s="157" t="s">
        <v>1535</v>
      </c>
      <c r="N197" s="157" t="s">
        <v>1536</v>
      </c>
      <c r="O197" s="157" t="s">
        <v>2137</v>
      </c>
      <c r="P197" s="157" t="s">
        <v>2138</v>
      </c>
      <c r="Q197" s="157" t="s">
        <v>2139</v>
      </c>
    </row>
    <row r="198" spans="1:17" s="9" customFormat="1" x14ac:dyDescent="0.25">
      <c r="A198" s="156" t="s">
        <v>2134</v>
      </c>
      <c r="B198" s="156" t="str">
        <f>CHOOSE(Translations!$C$1+1,O198,P198,Q198)</f>
        <v>HTS-3c⁽ᴹ⁾ Porcentaje de trabajadores sexuales a los que se les ha realizado una prueba de VIH durante el período de reporte y que conocen sus resultados</v>
      </c>
      <c r="C198" s="156">
        <f t="shared" si="6"/>
        <v>3</v>
      </c>
      <c r="D198" s="156" t="str">
        <f t="shared" si="7"/>
        <v>HTS-3c⁽ᴹ⁾ Porcentaje de trabajadores sexuales a los que se les ha realizado una prueba de VIH durante el período de reporte y que conocen sus resultados-3</v>
      </c>
      <c r="E198" s="156" t="str">
        <f>CHOOSE(Translations!$C$1+1,I198,J198,K198)</f>
        <v>Género</v>
      </c>
      <c r="F198" s="156" t="str">
        <f>CHOOSE(Translations!$C$1+1,L198,M198,N198)</f>
        <v>Mujeres</v>
      </c>
      <c r="G198" s="156" t="s">
        <v>2144</v>
      </c>
      <c r="H198" s="157" t="s">
        <v>2145</v>
      </c>
      <c r="I198" s="157" t="s">
        <v>1450</v>
      </c>
      <c r="J198" s="157" t="s">
        <v>1451</v>
      </c>
      <c r="K198" s="157" t="s">
        <v>1452</v>
      </c>
      <c r="L198" s="157" t="s">
        <v>1453</v>
      </c>
      <c r="M198" s="157" t="s">
        <v>1454</v>
      </c>
      <c r="N198" s="157" t="s">
        <v>1455</v>
      </c>
      <c r="O198" s="157" t="s">
        <v>2137</v>
      </c>
      <c r="P198" s="157" t="s">
        <v>2138</v>
      </c>
      <c r="Q198" s="157" t="s">
        <v>2139</v>
      </c>
    </row>
    <row r="199" spans="1:17" s="9" customFormat="1" x14ac:dyDescent="0.25">
      <c r="A199" s="156" t="s">
        <v>2134</v>
      </c>
      <c r="B199" s="156" t="str">
        <f>CHOOSE(Translations!$C$1+1,O199,P199,Q199)</f>
        <v>HTS-3c⁽ᴹ⁾ Porcentaje de trabajadores sexuales a los que se les ha realizado una prueba de VIH durante el período de reporte y que conocen sus resultados</v>
      </c>
      <c r="C199" s="156">
        <f t="shared" si="6"/>
        <v>4</v>
      </c>
      <c r="D199" s="156" t="str">
        <f t="shared" si="7"/>
        <v>HTS-3c⁽ᴹ⁾ Porcentaje de trabajadores sexuales a los que se les ha realizado una prueba de VIH durante el período de reporte y que conocen sus resultados-4</v>
      </c>
      <c r="E199" s="156" t="str">
        <f>CHOOSE(Translations!$C$1+1,I199,J199,K199)</f>
        <v>Género</v>
      </c>
      <c r="F199" s="156" t="str">
        <f>CHOOSE(Translations!$C$1+1,L199,M199,N199)</f>
        <v>Hombres</v>
      </c>
      <c r="G199" s="156" t="s">
        <v>2146</v>
      </c>
      <c r="H199" s="157" t="s">
        <v>2147</v>
      </c>
      <c r="I199" s="157" t="s">
        <v>1450</v>
      </c>
      <c r="J199" s="157" t="s">
        <v>1451</v>
      </c>
      <c r="K199" s="157" t="s">
        <v>1452</v>
      </c>
      <c r="L199" s="157" t="s">
        <v>1458</v>
      </c>
      <c r="M199" s="157" t="s">
        <v>1459</v>
      </c>
      <c r="N199" s="157" t="s">
        <v>1460</v>
      </c>
      <c r="O199" s="157" t="s">
        <v>2137</v>
      </c>
      <c r="P199" s="157" t="s">
        <v>2138</v>
      </c>
      <c r="Q199" s="157" t="s">
        <v>2139</v>
      </c>
    </row>
    <row r="200" spans="1:17" s="9" customFormat="1" x14ac:dyDescent="0.25">
      <c r="A200" s="156" t="s">
        <v>2134</v>
      </c>
      <c r="B200" s="156" t="str">
        <f>CHOOSE(Translations!$C$1+1,O200,P200,Q200)</f>
        <v>HTS-3c⁽ᴹ⁾ Porcentaje de trabajadores sexuales a los que se les ha realizado una prueba de VIH durante el período de reporte y que conocen sus resultados</v>
      </c>
      <c r="C200" s="156">
        <f t="shared" si="6"/>
        <v>5</v>
      </c>
      <c r="D200" s="156" t="str">
        <f t="shared" si="7"/>
        <v>HTS-3c⁽ᴹ⁾ Porcentaje de trabajadores sexuales a los que se les ha realizado una prueba de VIH durante el período de reporte y que conocen sus resultados-5</v>
      </c>
      <c r="E200" s="156" t="str">
        <f>CHOOSE(Translations!$C$1+1,I200,J200,K200)</f>
        <v>Edad</v>
      </c>
      <c r="F200" s="156" t="str">
        <f>CHOOSE(Translations!$C$1+1,L200,M200,N200)</f>
        <v>25+</v>
      </c>
      <c r="G200" s="156" t="s">
        <v>2148</v>
      </c>
      <c r="H200" s="157" t="s">
        <v>2149</v>
      </c>
      <c r="I200" s="157" t="s">
        <v>1463</v>
      </c>
      <c r="J200" s="157" t="s">
        <v>1463</v>
      </c>
      <c r="K200" s="157" t="s">
        <v>1464</v>
      </c>
      <c r="L200" s="157" t="s">
        <v>1516</v>
      </c>
      <c r="M200" s="157" t="s">
        <v>1516</v>
      </c>
      <c r="N200" s="157" t="s">
        <v>1516</v>
      </c>
      <c r="O200" s="157" t="s">
        <v>2137</v>
      </c>
      <c r="P200" s="157" t="s">
        <v>2138</v>
      </c>
      <c r="Q200" s="157" t="s">
        <v>2139</v>
      </c>
    </row>
    <row r="201" spans="1:17" s="9" customFormat="1" x14ac:dyDescent="0.25">
      <c r="A201" s="156" t="s">
        <v>2134</v>
      </c>
      <c r="B201" s="156" t="str">
        <f>CHOOSE(Translations!$C$1+1,O201,P201,Q201)</f>
        <v>HTS-3c⁽ᴹ⁾ Porcentaje de trabajadores sexuales a los que se les ha realizado una prueba de VIH durante el período de reporte y que conocen sus resultados</v>
      </c>
      <c r="C201" s="156">
        <f t="shared" si="6"/>
        <v>6</v>
      </c>
      <c r="D201" s="156" t="str">
        <f t="shared" si="7"/>
        <v>HTS-3c⁽ᴹ⁾ Porcentaje de trabajadores sexuales a los que se les ha realizado una prueba de VIH durante el período de reporte y que conocen sus resultados-6</v>
      </c>
      <c r="E201" s="156" t="str">
        <f>CHOOSE(Translations!$C$1+1,I201,J201,K201)</f>
        <v>Edad</v>
      </c>
      <c r="F201" s="156" t="str">
        <f>CHOOSE(Translations!$C$1+1,L201,M201,N201)</f>
        <v>&lt;25</v>
      </c>
      <c r="G201" s="156" t="s">
        <v>2150</v>
      </c>
      <c r="H201" s="157" t="s">
        <v>2151</v>
      </c>
      <c r="I201" s="157" t="s">
        <v>1463</v>
      </c>
      <c r="J201" s="157" t="s">
        <v>1463</v>
      </c>
      <c r="K201" s="157" t="s">
        <v>1464</v>
      </c>
      <c r="L201" s="157" t="s">
        <v>1522</v>
      </c>
      <c r="M201" s="157" t="s">
        <v>1522</v>
      </c>
      <c r="N201" s="157" t="s">
        <v>1522</v>
      </c>
      <c r="O201" s="157" t="s">
        <v>2137</v>
      </c>
      <c r="P201" s="157" t="s">
        <v>2138</v>
      </c>
      <c r="Q201" s="157" t="s">
        <v>2139</v>
      </c>
    </row>
    <row r="202" spans="1:17" s="9" customFormat="1" x14ac:dyDescent="0.25">
      <c r="A202" s="156" t="s">
        <v>2152</v>
      </c>
      <c r="B202" s="156" t="str">
        <f>CHOOSE(Translations!$C$1+1,O202,P202,Q202)</f>
        <v>HTS-3d⁽ᴹ⁾ Porcentaje de consumidores de drogas inyectables a los que se les ha realizado una prueba de VIH durante el período de reporte y que conocen sus resultados</v>
      </c>
      <c r="C202" s="156">
        <f t="shared" si="6"/>
        <v>0</v>
      </c>
      <c r="D202" s="156" t="str">
        <f t="shared" si="7"/>
        <v>HTS-3d⁽ᴹ⁾ Porcentaje de consumidores de drogas inyectables a los que se les ha realizado una prueba de VIH durante el período de reporte y que conocen sus resultados-0</v>
      </c>
      <c r="E202" s="156" t="str">
        <f>CHOOSE(Translations!$C$1+1,I202,J202,K202)</f>
        <v>Resultado de prueba del VIH</v>
      </c>
      <c r="F202" s="156" t="str">
        <f>CHOOSE(Translations!$C$1+1,L202,M202,N202)</f>
        <v>Negativo</v>
      </c>
      <c r="G202" s="156" t="s">
        <v>2153</v>
      </c>
      <c r="H202" s="157" t="s">
        <v>2154</v>
      </c>
      <c r="I202" s="157" t="s">
        <v>2068</v>
      </c>
      <c r="J202" s="157" t="s">
        <v>2069</v>
      </c>
      <c r="K202" s="157" t="s">
        <v>2070</v>
      </c>
      <c r="L202" s="157" t="s">
        <v>2071</v>
      </c>
      <c r="M202" s="157" t="s">
        <v>2072</v>
      </c>
      <c r="N202" s="157" t="s">
        <v>2073</v>
      </c>
      <c r="O202" s="157" t="s">
        <v>2155</v>
      </c>
      <c r="P202" s="157" t="s">
        <v>2156</v>
      </c>
      <c r="Q202" s="157" t="s">
        <v>2157</v>
      </c>
    </row>
    <row r="203" spans="1:17" s="9" customFormat="1" x14ac:dyDescent="0.25">
      <c r="A203" s="156" t="s">
        <v>2152</v>
      </c>
      <c r="B203" s="156" t="str">
        <f>CHOOSE(Translations!$C$1+1,O203,P203,Q203)</f>
        <v>HTS-3d⁽ᴹ⁾ Porcentaje de consumidores de drogas inyectables a los que se les ha realizado una prueba de VIH durante el período de reporte y que conocen sus resultados</v>
      </c>
      <c r="C203" s="156">
        <f t="shared" si="6"/>
        <v>1</v>
      </c>
      <c r="D203" s="156" t="str">
        <f t="shared" si="7"/>
        <v>HTS-3d⁽ᴹ⁾ Porcentaje de consumidores de drogas inyectables a los que se les ha realizado una prueba de VIH durante el período de reporte y que conocen sus resultados-1</v>
      </c>
      <c r="E203" s="156" t="str">
        <f>CHOOSE(Translations!$C$1+1,I203,J203,K203)</f>
        <v>Resultado de prueba del VIH</v>
      </c>
      <c r="F203" s="156" t="str">
        <f>CHOOSE(Translations!$C$1+1,L203,M203,N203)</f>
        <v>Positivo</v>
      </c>
      <c r="G203" s="156" t="s">
        <v>2158</v>
      </c>
      <c r="H203" s="157" t="s">
        <v>2159</v>
      </c>
      <c r="I203" s="157" t="s">
        <v>2068</v>
      </c>
      <c r="J203" s="157" t="s">
        <v>2069</v>
      </c>
      <c r="K203" s="157" t="s">
        <v>2070</v>
      </c>
      <c r="L203" s="157" t="s">
        <v>2079</v>
      </c>
      <c r="M203" s="157" t="s">
        <v>2080</v>
      </c>
      <c r="N203" s="157" t="s">
        <v>2081</v>
      </c>
      <c r="O203" s="157" t="s">
        <v>2155</v>
      </c>
      <c r="P203" s="157" t="s">
        <v>2156</v>
      </c>
      <c r="Q203" s="157" t="s">
        <v>2157</v>
      </c>
    </row>
    <row r="204" spans="1:17" s="9" customFormat="1" x14ac:dyDescent="0.25">
      <c r="A204" s="156" t="s">
        <v>2152</v>
      </c>
      <c r="B204" s="156" t="str">
        <f>CHOOSE(Translations!$C$1+1,O204,P204,Q204)</f>
        <v>HTS-3d⁽ᴹ⁾ Porcentaje de consumidores de drogas inyectables a los que se les ha realizado una prueba de VIH durante el período de reporte y que conocen sus resultados</v>
      </c>
      <c r="C204" s="156">
        <f t="shared" si="6"/>
        <v>2</v>
      </c>
      <c r="D204" s="156" t="str">
        <f t="shared" si="7"/>
        <v>HTS-3d⁽ᴹ⁾ Porcentaje de consumidores de drogas inyectables a los que se les ha realizado una prueba de VIH durante el período de reporte y que conocen sus resultados-2</v>
      </c>
      <c r="E204" s="156" t="str">
        <f>CHOOSE(Translations!$C$1+1,I204,J204,K204)</f>
        <v>Género</v>
      </c>
      <c r="F204" s="156" t="str">
        <f>CHOOSE(Translations!$C$1+1,L204,M204,N204)</f>
        <v>Transgénero</v>
      </c>
      <c r="G204" s="156" t="s">
        <v>2160</v>
      </c>
      <c r="H204" s="157" t="s">
        <v>2161</v>
      </c>
      <c r="I204" s="157" t="s">
        <v>1450</v>
      </c>
      <c r="J204" s="157" t="s">
        <v>1451</v>
      </c>
      <c r="K204" s="157" t="s">
        <v>1452</v>
      </c>
      <c r="L204" s="157" t="s">
        <v>1534</v>
      </c>
      <c r="M204" s="157" t="s">
        <v>1535</v>
      </c>
      <c r="N204" s="157" t="s">
        <v>1536</v>
      </c>
      <c r="O204" s="157" t="s">
        <v>2155</v>
      </c>
      <c r="P204" s="157" t="s">
        <v>2156</v>
      </c>
      <c r="Q204" s="157" t="s">
        <v>2157</v>
      </c>
    </row>
    <row r="205" spans="1:17" s="9" customFormat="1" x14ac:dyDescent="0.25">
      <c r="A205" s="156" t="s">
        <v>2152</v>
      </c>
      <c r="B205" s="156" t="str">
        <f>CHOOSE(Translations!$C$1+1,O205,P205,Q205)</f>
        <v>HTS-3d⁽ᴹ⁾ Porcentaje de consumidores de drogas inyectables a los que se les ha realizado una prueba de VIH durante el período de reporte y que conocen sus resultados</v>
      </c>
      <c r="C205" s="156">
        <f t="shared" si="6"/>
        <v>3</v>
      </c>
      <c r="D205" s="156" t="str">
        <f t="shared" si="7"/>
        <v>HTS-3d⁽ᴹ⁾ Porcentaje de consumidores de drogas inyectables a los que se les ha realizado una prueba de VIH durante el período de reporte y que conocen sus resultados-3</v>
      </c>
      <c r="E205" s="156" t="str">
        <f>CHOOSE(Translations!$C$1+1,I205,J205,K205)</f>
        <v>Género</v>
      </c>
      <c r="F205" s="156" t="str">
        <f>CHOOSE(Translations!$C$1+1,L205,M205,N205)</f>
        <v>Mujeres</v>
      </c>
      <c r="G205" s="156" t="s">
        <v>2162</v>
      </c>
      <c r="H205" s="157" t="s">
        <v>2163</v>
      </c>
      <c r="I205" s="157" t="s">
        <v>1450</v>
      </c>
      <c r="J205" s="157" t="s">
        <v>1451</v>
      </c>
      <c r="K205" s="157" t="s">
        <v>1452</v>
      </c>
      <c r="L205" s="157" t="s">
        <v>1453</v>
      </c>
      <c r="M205" s="157" t="s">
        <v>1454</v>
      </c>
      <c r="N205" s="157" t="s">
        <v>1455</v>
      </c>
      <c r="O205" s="157" t="s">
        <v>2155</v>
      </c>
      <c r="P205" s="157" t="s">
        <v>2156</v>
      </c>
      <c r="Q205" s="157" t="s">
        <v>2157</v>
      </c>
    </row>
    <row r="206" spans="1:17" s="9" customFormat="1" x14ac:dyDescent="0.25">
      <c r="A206" s="156" t="s">
        <v>2152</v>
      </c>
      <c r="B206" s="156" t="str">
        <f>CHOOSE(Translations!$C$1+1,O206,P206,Q206)</f>
        <v>HTS-3d⁽ᴹ⁾ Porcentaje de consumidores de drogas inyectables a los que se les ha realizado una prueba de VIH durante el período de reporte y que conocen sus resultados</v>
      </c>
      <c r="C206" s="156">
        <f t="shared" si="6"/>
        <v>4</v>
      </c>
      <c r="D206" s="156" t="str">
        <f t="shared" si="7"/>
        <v>HTS-3d⁽ᴹ⁾ Porcentaje de consumidores de drogas inyectables a los que se les ha realizado una prueba de VIH durante el período de reporte y que conocen sus resultados-4</v>
      </c>
      <c r="E206" s="156" t="str">
        <f>CHOOSE(Translations!$C$1+1,I206,J206,K206)</f>
        <v>Género</v>
      </c>
      <c r="F206" s="156" t="str">
        <f>CHOOSE(Translations!$C$1+1,L206,M206,N206)</f>
        <v>Hombres</v>
      </c>
      <c r="G206" s="156" t="s">
        <v>2164</v>
      </c>
      <c r="H206" s="157" t="s">
        <v>2165</v>
      </c>
      <c r="I206" s="157" t="s">
        <v>1450</v>
      </c>
      <c r="J206" s="157" t="s">
        <v>1451</v>
      </c>
      <c r="K206" s="157" t="s">
        <v>1452</v>
      </c>
      <c r="L206" s="157" t="s">
        <v>1458</v>
      </c>
      <c r="M206" s="157" t="s">
        <v>1459</v>
      </c>
      <c r="N206" s="157" t="s">
        <v>1460</v>
      </c>
      <c r="O206" s="157" t="s">
        <v>2155</v>
      </c>
      <c r="P206" s="157" t="s">
        <v>2156</v>
      </c>
      <c r="Q206" s="157" t="s">
        <v>2157</v>
      </c>
    </row>
    <row r="207" spans="1:17" s="9" customFormat="1" x14ac:dyDescent="0.25">
      <c r="A207" s="156" t="s">
        <v>2152</v>
      </c>
      <c r="B207" s="156" t="str">
        <f>CHOOSE(Translations!$C$1+1,O207,P207,Q207)</f>
        <v>HTS-3d⁽ᴹ⁾ Porcentaje de consumidores de drogas inyectables a los que se les ha realizado una prueba de VIH durante el período de reporte y que conocen sus resultados</v>
      </c>
      <c r="C207" s="156">
        <f t="shared" si="6"/>
        <v>5</v>
      </c>
      <c r="D207" s="156" t="str">
        <f t="shared" si="7"/>
        <v>HTS-3d⁽ᴹ⁾ Porcentaje de consumidores de drogas inyectables a los que se les ha realizado una prueba de VIH durante el período de reporte y que conocen sus resultados-5</v>
      </c>
      <c r="E207" s="156" t="str">
        <f>CHOOSE(Translations!$C$1+1,I207,J207,K207)</f>
        <v>Edad</v>
      </c>
      <c r="F207" s="156" t="str">
        <f>CHOOSE(Translations!$C$1+1,L207,M207,N207)</f>
        <v>25+</v>
      </c>
      <c r="G207" s="156" t="s">
        <v>2166</v>
      </c>
      <c r="H207" s="157" t="s">
        <v>2167</v>
      </c>
      <c r="I207" s="157" t="s">
        <v>1463</v>
      </c>
      <c r="J207" s="157" t="s">
        <v>1463</v>
      </c>
      <c r="K207" s="157" t="s">
        <v>1464</v>
      </c>
      <c r="L207" s="157" t="s">
        <v>1516</v>
      </c>
      <c r="M207" s="157" t="s">
        <v>1516</v>
      </c>
      <c r="N207" s="157" t="s">
        <v>1516</v>
      </c>
      <c r="O207" s="157" t="s">
        <v>2155</v>
      </c>
      <c r="P207" s="157" t="s">
        <v>2156</v>
      </c>
      <c r="Q207" s="157" t="s">
        <v>2157</v>
      </c>
    </row>
    <row r="208" spans="1:17" s="9" customFormat="1" x14ac:dyDescent="0.25">
      <c r="A208" s="156" t="s">
        <v>2152</v>
      </c>
      <c r="B208" s="156" t="str">
        <f>CHOOSE(Translations!$C$1+1,O208,P208,Q208)</f>
        <v>HTS-3d⁽ᴹ⁾ Porcentaje de consumidores de drogas inyectables a los que se les ha realizado una prueba de VIH durante el período de reporte y que conocen sus resultados</v>
      </c>
      <c r="C208" s="156">
        <f t="shared" si="6"/>
        <v>6</v>
      </c>
      <c r="D208" s="156" t="str">
        <f t="shared" si="7"/>
        <v>HTS-3d⁽ᴹ⁾ Porcentaje de consumidores de drogas inyectables a los que se les ha realizado una prueba de VIH durante el período de reporte y que conocen sus resultados-6</v>
      </c>
      <c r="E208" s="156" t="str">
        <f>CHOOSE(Translations!$C$1+1,I208,J208,K208)</f>
        <v>Edad</v>
      </c>
      <c r="F208" s="156" t="str">
        <f>CHOOSE(Translations!$C$1+1,L208,M208,N208)</f>
        <v>&lt;25</v>
      </c>
      <c r="G208" s="156" t="s">
        <v>2168</v>
      </c>
      <c r="H208" s="157" t="s">
        <v>2169</v>
      </c>
      <c r="I208" s="157" t="s">
        <v>1463</v>
      </c>
      <c r="J208" s="157" t="s">
        <v>1463</v>
      </c>
      <c r="K208" s="157" t="s">
        <v>1464</v>
      </c>
      <c r="L208" s="157" t="s">
        <v>1522</v>
      </c>
      <c r="M208" s="157" t="s">
        <v>1522</v>
      </c>
      <c r="N208" s="157" t="s">
        <v>1522</v>
      </c>
      <c r="O208" s="157" t="s">
        <v>2155</v>
      </c>
      <c r="P208" s="157" t="s">
        <v>2156</v>
      </c>
      <c r="Q208" s="157" t="s">
        <v>2157</v>
      </c>
    </row>
    <row r="209" spans="1:17" s="9" customFormat="1" x14ac:dyDescent="0.25">
      <c r="A209" s="156" t="s">
        <v>2170</v>
      </c>
      <c r="B209" s="156" t="str">
        <f>CHOOSE(Translations!$C$1+1,O209,P209,Q209)</f>
        <v>HTS-3e Porcentaje de otras poblaciones vulnerables a los que se les ha realizado una prueba de VIH durante el período de reporte y que conocen sus resultados</v>
      </c>
      <c r="C209" s="156">
        <f t="shared" si="6"/>
        <v>0</v>
      </c>
      <c r="D209" s="156" t="str">
        <f t="shared" si="7"/>
        <v>HTS-3e Porcentaje de otras poblaciones vulnerables a los que se les ha realizado una prueba de VIH durante el período de reporte y que conocen sus resultados-0</v>
      </c>
      <c r="E209" s="156" t="str">
        <f>CHOOSE(Translations!$C$1+1,I209,J209,K209)</f>
        <v>Resultado de prueba del VIH</v>
      </c>
      <c r="F209" s="156" t="str">
        <f>CHOOSE(Translations!$C$1+1,L209,M209,N209)</f>
        <v>Negativo</v>
      </c>
      <c r="G209" s="156" t="s">
        <v>2171</v>
      </c>
      <c r="H209" s="157" t="s">
        <v>2172</v>
      </c>
      <c r="I209" s="157" t="s">
        <v>2068</v>
      </c>
      <c r="J209" s="157" t="s">
        <v>2069</v>
      </c>
      <c r="K209" s="157" t="s">
        <v>2070</v>
      </c>
      <c r="L209" s="157" t="s">
        <v>2071</v>
      </c>
      <c r="M209" s="157" t="s">
        <v>2072</v>
      </c>
      <c r="N209" s="157" t="s">
        <v>2073</v>
      </c>
      <c r="O209" s="157" t="s">
        <v>2173</v>
      </c>
      <c r="P209" s="157" t="s">
        <v>2174</v>
      </c>
      <c r="Q209" s="157" t="s">
        <v>2175</v>
      </c>
    </row>
    <row r="210" spans="1:17" s="9" customFormat="1" x14ac:dyDescent="0.25">
      <c r="A210" s="156" t="s">
        <v>2170</v>
      </c>
      <c r="B210" s="156" t="str">
        <f>CHOOSE(Translations!$C$1+1,O210,P210,Q210)</f>
        <v>HTS-3e Porcentaje de otras poblaciones vulnerables a los que se les ha realizado una prueba de VIH durante el período de reporte y que conocen sus resultados</v>
      </c>
      <c r="C210" s="156">
        <f t="shared" si="6"/>
        <v>1</v>
      </c>
      <c r="D210" s="156" t="str">
        <f t="shared" si="7"/>
        <v>HTS-3e Porcentaje de otras poblaciones vulnerables a los que se les ha realizado una prueba de VIH durante el período de reporte y que conocen sus resultados-1</v>
      </c>
      <c r="E210" s="156" t="str">
        <f>CHOOSE(Translations!$C$1+1,I210,J210,K210)</f>
        <v>Resultado de prueba del VIH</v>
      </c>
      <c r="F210" s="156" t="str">
        <f>CHOOSE(Translations!$C$1+1,L210,M210,N210)</f>
        <v>Positivo</v>
      </c>
      <c r="G210" s="156" t="s">
        <v>2176</v>
      </c>
      <c r="H210" s="157" t="s">
        <v>2177</v>
      </c>
      <c r="I210" s="157" t="s">
        <v>2068</v>
      </c>
      <c r="J210" s="157" t="s">
        <v>2069</v>
      </c>
      <c r="K210" s="157" t="s">
        <v>2070</v>
      </c>
      <c r="L210" s="157" t="s">
        <v>2079</v>
      </c>
      <c r="M210" s="157" t="s">
        <v>2080</v>
      </c>
      <c r="N210" s="157" t="s">
        <v>2081</v>
      </c>
      <c r="O210" s="157" t="s">
        <v>2173</v>
      </c>
      <c r="P210" s="157" t="s">
        <v>2174</v>
      </c>
      <c r="Q210" s="157" t="s">
        <v>2175</v>
      </c>
    </row>
    <row r="211" spans="1:17" s="9" customFormat="1" x14ac:dyDescent="0.25">
      <c r="A211" s="156" t="s">
        <v>2178</v>
      </c>
      <c r="B211" s="156" t="str">
        <f>CHOOSE(Translations!$C$1+1,O211,P211,Q211)</f>
        <v>HTS-3f⁽ᴹ⁾ Número de personas privadas de libertad en centros penitenciarios y otros lugares de reclusión a los que se les ha realizado una prueba de VIH durante el período de reporte y que conocen sus resultados</v>
      </c>
      <c r="C211" s="156">
        <f t="shared" si="6"/>
        <v>0</v>
      </c>
      <c r="D211" s="156" t="str">
        <f t="shared" si="7"/>
        <v>HTS-3f⁽ᴹ⁾ Número de personas privadas de libertad en centros penitenciarios y otros lugares de reclusión a los que se les ha realizado una prueba de VIH durante el período de reporte y que conocen sus resultados-0</v>
      </c>
      <c r="E211" s="156" t="str">
        <f>CHOOSE(Translations!$C$1+1,I211,J211,K211)</f>
        <v>Resultado de prueba del VIH</v>
      </c>
      <c r="F211" s="156" t="str">
        <f>CHOOSE(Translations!$C$1+1,L211,M211,N211)</f>
        <v>Negativo</v>
      </c>
      <c r="G211" s="156" t="s">
        <v>2179</v>
      </c>
      <c r="H211" s="157" t="s">
        <v>2180</v>
      </c>
      <c r="I211" s="157" t="s">
        <v>2068</v>
      </c>
      <c r="J211" s="157" t="s">
        <v>2069</v>
      </c>
      <c r="K211" s="157" t="s">
        <v>2070</v>
      </c>
      <c r="L211" s="157" t="s">
        <v>2071</v>
      </c>
      <c r="M211" s="157" t="s">
        <v>2072</v>
      </c>
      <c r="N211" s="157" t="s">
        <v>2073</v>
      </c>
      <c r="O211" s="157" t="s">
        <v>2181</v>
      </c>
      <c r="P211" s="157" t="s">
        <v>2182</v>
      </c>
      <c r="Q211" s="157" t="s">
        <v>2183</v>
      </c>
    </row>
    <row r="212" spans="1:17" s="9" customFormat="1" x14ac:dyDescent="0.25">
      <c r="A212" s="156" t="s">
        <v>2178</v>
      </c>
      <c r="B212" s="156" t="str">
        <f>CHOOSE(Translations!$C$1+1,O212,P212,Q212)</f>
        <v>HTS-3f⁽ᴹ⁾ Número de personas privadas de libertad en centros penitenciarios y otros lugares de reclusión a los que se les ha realizado una prueba de VIH durante el período de reporte y que conocen sus resultados</v>
      </c>
      <c r="C212" s="156">
        <f t="shared" si="6"/>
        <v>1</v>
      </c>
      <c r="D212" s="156" t="str">
        <f t="shared" si="7"/>
        <v>HTS-3f⁽ᴹ⁾ Número de personas privadas de libertad en centros penitenciarios y otros lugares de reclusión a los que se les ha realizado una prueba de VIH durante el período de reporte y que conocen sus resultados-1</v>
      </c>
      <c r="E212" s="156" t="str">
        <f>CHOOSE(Translations!$C$1+1,I212,J212,K212)</f>
        <v>Resultado de prueba del VIH</v>
      </c>
      <c r="F212" s="156" t="str">
        <f>CHOOSE(Translations!$C$1+1,L212,M212,N212)</f>
        <v>Positivo</v>
      </c>
      <c r="G212" s="156" t="s">
        <v>2184</v>
      </c>
      <c r="H212" s="157" t="s">
        <v>2185</v>
      </c>
      <c r="I212" s="157" t="s">
        <v>2068</v>
      </c>
      <c r="J212" s="157" t="s">
        <v>2069</v>
      </c>
      <c r="K212" s="157" t="s">
        <v>2070</v>
      </c>
      <c r="L212" s="157" t="s">
        <v>2079</v>
      </c>
      <c r="M212" s="157" t="s">
        <v>2080</v>
      </c>
      <c r="N212" s="157" t="s">
        <v>2081</v>
      </c>
      <c r="O212" s="157" t="s">
        <v>2181</v>
      </c>
      <c r="P212" s="157" t="s">
        <v>2182</v>
      </c>
      <c r="Q212" s="157" t="s">
        <v>2183</v>
      </c>
    </row>
    <row r="213" spans="1:17" s="9" customFormat="1" x14ac:dyDescent="0.25">
      <c r="A213" s="156" t="s">
        <v>2186</v>
      </c>
      <c r="B213" s="156" t="str">
        <f>CHOOSE(Translations!$C$1+1,O213,P213,Q213)</f>
        <v>HTS-4 Porcentaje de resultados de VIH positivos entre el total de pruebas de VIH realizadas durante el período de reporte.</v>
      </c>
      <c r="C213" s="156">
        <f t="shared" si="6"/>
        <v>0</v>
      </c>
      <c r="D213" s="156" t="str">
        <f t="shared" si="7"/>
        <v>HTS-4 Porcentaje de resultados de VIH positivos entre el total de pruebas de VIH realizadas durante el período de reporte.-0</v>
      </c>
      <c r="E213" s="156" t="str">
        <f>CHOOSE(Translations!$C$1+1,I213,J213,K213)</f>
        <v>Diagnóstico en establecimientos de salud</v>
      </c>
      <c r="F213" s="156" t="str">
        <f>CHOOSE(Translations!$C$1+1,L213,M213,N213)</f>
        <v>Otros</v>
      </c>
      <c r="G213" s="156" t="s">
        <v>2187</v>
      </c>
      <c r="H213" s="157" t="s">
        <v>2188</v>
      </c>
      <c r="I213" s="157" t="s">
        <v>2189</v>
      </c>
      <c r="J213" s="157" t="s">
        <v>2190</v>
      </c>
      <c r="K213" s="157" t="s">
        <v>2191</v>
      </c>
      <c r="L213" s="157" t="s">
        <v>2192</v>
      </c>
      <c r="M213" s="157" t="s">
        <v>2193</v>
      </c>
      <c r="N213" s="157" t="s">
        <v>2194</v>
      </c>
      <c r="O213" s="157" t="s">
        <v>2195</v>
      </c>
      <c r="P213" s="157" t="s">
        <v>2196</v>
      </c>
      <c r="Q213" s="157" t="s">
        <v>2197</v>
      </c>
    </row>
    <row r="214" spans="1:17" s="9" customFormat="1" x14ac:dyDescent="0.25">
      <c r="A214" s="156" t="s">
        <v>2186</v>
      </c>
      <c r="B214" s="156" t="str">
        <f>CHOOSE(Translations!$C$1+1,O214,P214,Q214)</f>
        <v>HTS-4 Porcentaje de resultados de VIH positivos entre el total de pruebas de VIH realizadas durante el período de reporte.</v>
      </c>
      <c r="C214" s="156">
        <f t="shared" si="6"/>
        <v>1</v>
      </c>
      <c r="D214" s="156" t="str">
        <f t="shared" si="7"/>
        <v>HTS-4 Porcentaje de resultados de VIH positivos entre el total de pruebas de VIH realizadas durante el período de reporte.-1</v>
      </c>
      <c r="E214" s="156" t="str">
        <f>CHOOSE(Translations!$C$1+1,I214,J214,K214)</f>
        <v>Diagnóstico en establecimientos de salud</v>
      </c>
      <c r="F214" s="156" t="str">
        <f>CHOOSE(Translations!$C$1+1,L214,M214,N214)</f>
        <v>Centros de consejería y pruebas</v>
      </c>
      <c r="G214" s="156" t="s">
        <v>2198</v>
      </c>
      <c r="H214" s="157" t="s">
        <v>2199</v>
      </c>
      <c r="I214" s="157" t="s">
        <v>2189</v>
      </c>
      <c r="J214" s="157" t="s">
        <v>2190</v>
      </c>
      <c r="K214" s="157" t="s">
        <v>2191</v>
      </c>
      <c r="L214" s="157" t="s">
        <v>2200</v>
      </c>
      <c r="M214" s="157" t="s">
        <v>2201</v>
      </c>
      <c r="N214" s="157" t="s">
        <v>2202</v>
      </c>
      <c r="O214" s="157" t="s">
        <v>2195</v>
      </c>
      <c r="P214" s="157" t="s">
        <v>2196</v>
      </c>
      <c r="Q214" s="157" t="s">
        <v>2197</v>
      </c>
    </row>
    <row r="215" spans="1:17" s="9" customFormat="1" x14ac:dyDescent="0.25">
      <c r="A215" s="156" t="s">
        <v>2186</v>
      </c>
      <c r="B215" s="156" t="str">
        <f>CHOOSE(Translations!$C$1+1,O215,P215,Q215)</f>
        <v>HTS-4 Porcentaje de resultados de VIH positivos entre el total de pruebas de VIH realizadas durante el período de reporte.</v>
      </c>
      <c r="C215" s="156">
        <f t="shared" si="6"/>
        <v>2</v>
      </c>
      <c r="D215" s="156" t="str">
        <f t="shared" si="7"/>
        <v>HTS-4 Porcentaje de resultados de VIH positivos entre el total de pruebas de VIH realizadas durante el período de reporte.-2</v>
      </c>
      <c r="E215" s="156" t="str">
        <f>CHOOSE(Translations!$C$1+1,I215,J215,K215)</f>
        <v>Diagnóstico en establecimientos de salud</v>
      </c>
      <c r="F215" s="156" t="str">
        <f>CHOOSE(Translations!$C$1+1,L215,M215,N215)</f>
        <v>Servicios de TB</v>
      </c>
      <c r="G215" s="156" t="s">
        <v>2203</v>
      </c>
      <c r="H215" s="157" t="s">
        <v>2204</v>
      </c>
      <c r="I215" s="157" t="s">
        <v>2189</v>
      </c>
      <c r="J215" s="157" t="s">
        <v>2190</v>
      </c>
      <c r="K215" s="157" t="s">
        <v>2191</v>
      </c>
      <c r="L215" s="157" t="s">
        <v>2205</v>
      </c>
      <c r="M215" s="157" t="s">
        <v>2206</v>
      </c>
      <c r="N215" s="157" t="s">
        <v>2207</v>
      </c>
      <c r="O215" s="157" t="s">
        <v>2195</v>
      </c>
      <c r="P215" s="157" t="s">
        <v>2196</v>
      </c>
      <c r="Q215" s="157" t="s">
        <v>2197</v>
      </c>
    </row>
    <row r="216" spans="1:17" s="9" customFormat="1" x14ac:dyDescent="0.25">
      <c r="A216" s="156" t="s">
        <v>2186</v>
      </c>
      <c r="B216" s="156" t="str">
        <f>CHOOSE(Translations!$C$1+1,O216,P216,Q216)</f>
        <v>HTS-4 Porcentaje de resultados de VIH positivos entre el total de pruebas de VIH realizadas durante el período de reporte.</v>
      </c>
      <c r="C216" s="156">
        <f t="shared" si="6"/>
        <v>3</v>
      </c>
      <c r="D216" s="156" t="str">
        <f t="shared" si="7"/>
        <v>HTS-4 Porcentaje de resultados de VIH positivos entre el total de pruebas de VIH realizadas durante el período de reporte.-3</v>
      </c>
      <c r="E216" s="156" t="str">
        <f>CHOOSE(Translations!$C$1+1,I216,J216,K216)</f>
        <v>Diagnóstico en establecimientos de salud</v>
      </c>
      <c r="F216" s="156" t="str">
        <f>CHOOSE(Translations!$C$1+1,L216,M216,N216)</f>
        <v>Planificación familiar</v>
      </c>
      <c r="G216" s="156" t="s">
        <v>2208</v>
      </c>
      <c r="H216" s="157" t="s">
        <v>2209</v>
      </c>
      <c r="I216" s="157" t="s">
        <v>2189</v>
      </c>
      <c r="J216" s="157" t="s">
        <v>2190</v>
      </c>
      <c r="K216" s="157" t="s">
        <v>2191</v>
      </c>
      <c r="L216" s="157" t="s">
        <v>2210</v>
      </c>
      <c r="M216" s="157" t="s">
        <v>2211</v>
      </c>
      <c r="N216" s="157" t="s">
        <v>2212</v>
      </c>
      <c r="O216" s="157" t="s">
        <v>2195</v>
      </c>
      <c r="P216" s="157" t="s">
        <v>2196</v>
      </c>
      <c r="Q216" s="157" t="s">
        <v>2197</v>
      </c>
    </row>
    <row r="217" spans="1:17" s="9" customFormat="1" x14ac:dyDescent="0.25">
      <c r="A217" s="156" t="s">
        <v>2186</v>
      </c>
      <c r="B217" s="156" t="str">
        <f>CHOOSE(Translations!$C$1+1,O217,P217,Q217)</f>
        <v>HTS-4 Porcentaje de resultados de VIH positivos entre el total de pruebas de VIH realizadas durante el período de reporte.</v>
      </c>
      <c r="C217" s="156">
        <f t="shared" si="6"/>
        <v>4</v>
      </c>
      <c r="D217" s="156" t="str">
        <f t="shared" si="7"/>
        <v>HTS-4 Porcentaje de resultados de VIH positivos entre el total de pruebas de VIH realizadas durante el período de reporte.-4</v>
      </c>
      <c r="E217" s="156" t="str">
        <f>CHOOSE(Translations!$C$1+1,I217,J217,K217)</f>
        <v>Diagnóstico en establecimientos de salud</v>
      </c>
      <c r="F217" s="156" t="str">
        <f>CHOOSE(Translations!$C$1+1,L217,M217,N217)</f>
        <v>Clínicas de atención prenatal</v>
      </c>
      <c r="G217" s="156" t="s">
        <v>2213</v>
      </c>
      <c r="H217" s="157" t="s">
        <v>2214</v>
      </c>
      <c r="I217" s="157" t="s">
        <v>2189</v>
      </c>
      <c r="J217" s="157" t="s">
        <v>2190</v>
      </c>
      <c r="K217" s="157" t="s">
        <v>2191</v>
      </c>
      <c r="L217" s="157" t="s">
        <v>2215</v>
      </c>
      <c r="M217" s="157" t="s">
        <v>2216</v>
      </c>
      <c r="N217" s="157" t="s">
        <v>2217</v>
      </c>
      <c r="O217" s="157" t="s">
        <v>2195</v>
      </c>
      <c r="P217" s="157" t="s">
        <v>2196</v>
      </c>
      <c r="Q217" s="157" t="s">
        <v>2197</v>
      </c>
    </row>
    <row r="218" spans="1:17" s="9" customFormat="1" x14ac:dyDescent="0.25">
      <c r="A218" s="156" t="s">
        <v>2186</v>
      </c>
      <c r="B218" s="156" t="str">
        <f>CHOOSE(Translations!$C$1+1,O218,P218,Q218)</f>
        <v>HTS-4 Porcentaje de resultados de VIH positivos entre el total de pruebas de VIH realizadas durante el período de reporte.</v>
      </c>
      <c r="C218" s="156">
        <f t="shared" si="6"/>
        <v>5</v>
      </c>
      <c r="D218" s="156" t="str">
        <f t="shared" si="7"/>
        <v>HTS-4 Porcentaje de resultados de VIH positivos entre el total de pruebas de VIH realizadas durante el período de reporte.-5</v>
      </c>
      <c r="E218" s="156" t="str">
        <f>CHOOSE(Translations!$C$1+1,I218,J218,K218)</f>
        <v>Diagnóstico en la comunidad</v>
      </c>
      <c r="F218" s="156" t="str">
        <f>CHOOSE(Translations!$C$1+1,L218,M218,N218)</f>
        <v>Consejería y prueba en la comunidad</v>
      </c>
      <c r="G218" s="156" t="s">
        <v>2218</v>
      </c>
      <c r="H218" s="157" t="s">
        <v>2219</v>
      </c>
      <c r="I218" s="157" t="s">
        <v>2220</v>
      </c>
      <c r="J218" s="157" t="s">
        <v>2221</v>
      </c>
      <c r="K218" s="157" t="s">
        <v>2222</v>
      </c>
      <c r="L218" s="157" t="s">
        <v>2223</v>
      </c>
      <c r="M218" s="157" t="s">
        <v>2224</v>
      </c>
      <c r="N218" s="157" t="s">
        <v>2225</v>
      </c>
      <c r="O218" s="157" t="s">
        <v>2195</v>
      </c>
      <c r="P218" s="157" t="s">
        <v>2196</v>
      </c>
      <c r="Q218" s="157" t="s">
        <v>2197</v>
      </c>
    </row>
    <row r="219" spans="1:17" s="9" customFormat="1" x14ac:dyDescent="0.25">
      <c r="A219" s="156" t="s">
        <v>2186</v>
      </c>
      <c r="B219" s="156" t="str">
        <f>CHOOSE(Translations!$C$1+1,O219,P219,Q219)</f>
        <v>HTS-4 Porcentaje de resultados de VIH positivos entre el total de pruebas de VIH realizadas durante el período de reporte.</v>
      </c>
      <c r="C219" s="156">
        <f t="shared" si="6"/>
        <v>6</v>
      </c>
      <c r="D219" s="156" t="str">
        <f t="shared" si="7"/>
        <v>HTS-4 Porcentaje de resultados de VIH positivos entre el total de pruebas de VIH realizadas durante el período de reporte.-6</v>
      </c>
      <c r="E219" s="156" t="str">
        <f>CHOOSE(Translations!$C$1+1,I219,J219,K219)</f>
        <v>Diagnóstico en la comunidad</v>
      </c>
      <c r="F219" s="156" t="str">
        <f>CHOOSE(Translations!$C$1+1,L219,M219,N219)</f>
        <v>Pruebas en unidades móviles</v>
      </c>
      <c r="G219" s="156" t="s">
        <v>2226</v>
      </c>
      <c r="H219" s="157" t="s">
        <v>2227</v>
      </c>
      <c r="I219" s="157" t="s">
        <v>2220</v>
      </c>
      <c r="J219" s="157" t="s">
        <v>2221</v>
      </c>
      <c r="K219" s="157" t="s">
        <v>2222</v>
      </c>
      <c r="L219" s="157" t="s">
        <v>2228</v>
      </c>
      <c r="M219" s="157" t="s">
        <v>2229</v>
      </c>
      <c r="N219" s="157" t="s">
        <v>2230</v>
      </c>
      <c r="O219" s="157" t="s">
        <v>2195</v>
      </c>
      <c r="P219" s="157" t="s">
        <v>2196</v>
      </c>
      <c r="Q219" s="157" t="s">
        <v>2197</v>
      </c>
    </row>
    <row r="220" spans="1:17" s="9" customFormat="1" x14ac:dyDescent="0.25">
      <c r="A220" s="156" t="s">
        <v>2186</v>
      </c>
      <c r="B220" s="156" t="str">
        <f>CHOOSE(Translations!$C$1+1,O220,P220,Q220)</f>
        <v>HTS-4 Porcentaje de resultados de VIH positivos entre el total de pruebas de VIH realizadas durante el período de reporte.</v>
      </c>
      <c r="C220" s="156">
        <f t="shared" ref="C220:C283" si="8">IF(O220=O219,C219+1,0)</f>
        <v>7</v>
      </c>
      <c r="D220" s="156" t="str">
        <f t="shared" ref="D220:D283" si="9">B220&amp;"-"&amp;C220</f>
        <v>HTS-4 Porcentaje de resultados de VIH positivos entre el total de pruebas de VIH realizadas durante el período de reporte.-7</v>
      </c>
      <c r="E220" s="156" t="str">
        <f>CHOOSE(Translations!$C$1+1,I220,J220,K220)</f>
        <v>Género</v>
      </c>
      <c r="F220" s="156" t="str">
        <f>CHOOSE(Translations!$C$1+1,L220,M220,N220)</f>
        <v>Mujeres</v>
      </c>
      <c r="G220" s="156" t="s">
        <v>2231</v>
      </c>
      <c r="H220" s="157" t="s">
        <v>2232</v>
      </c>
      <c r="I220" s="157" t="s">
        <v>1450</v>
      </c>
      <c r="J220" s="157" t="s">
        <v>1451</v>
      </c>
      <c r="K220" s="157" t="s">
        <v>1452</v>
      </c>
      <c r="L220" s="157" t="s">
        <v>1453</v>
      </c>
      <c r="M220" s="157" t="s">
        <v>1454</v>
      </c>
      <c r="N220" s="157" t="s">
        <v>1455</v>
      </c>
      <c r="O220" s="157" t="s">
        <v>2195</v>
      </c>
      <c r="P220" s="157" t="s">
        <v>2196</v>
      </c>
      <c r="Q220" s="157" t="s">
        <v>2197</v>
      </c>
    </row>
    <row r="221" spans="1:17" s="9" customFormat="1" x14ac:dyDescent="0.25">
      <c r="A221" s="156" t="s">
        <v>2186</v>
      </c>
      <c r="B221" s="156" t="str">
        <f>CHOOSE(Translations!$C$1+1,O221,P221,Q221)</f>
        <v>HTS-4 Porcentaje de resultados de VIH positivos entre el total de pruebas de VIH realizadas durante el período de reporte.</v>
      </c>
      <c r="C221" s="156">
        <f t="shared" si="8"/>
        <v>8</v>
      </c>
      <c r="D221" s="156" t="str">
        <f t="shared" si="9"/>
        <v>HTS-4 Porcentaje de resultados de VIH positivos entre el total de pruebas de VIH realizadas durante el período de reporte.-8</v>
      </c>
      <c r="E221" s="156" t="str">
        <f>CHOOSE(Translations!$C$1+1,I221,J221,K221)</f>
        <v>Género</v>
      </c>
      <c r="F221" s="156" t="str">
        <f>CHOOSE(Translations!$C$1+1,L221,M221,N221)</f>
        <v>Hombres</v>
      </c>
      <c r="G221" s="156" t="s">
        <v>2233</v>
      </c>
      <c r="H221" s="157" t="s">
        <v>2234</v>
      </c>
      <c r="I221" s="157" t="s">
        <v>1450</v>
      </c>
      <c r="J221" s="157" t="s">
        <v>1451</v>
      </c>
      <c r="K221" s="157" t="s">
        <v>1452</v>
      </c>
      <c r="L221" s="157" t="s">
        <v>1458</v>
      </c>
      <c r="M221" s="157" t="s">
        <v>1459</v>
      </c>
      <c r="N221" s="157" t="s">
        <v>1460</v>
      </c>
      <c r="O221" s="157" t="s">
        <v>2195</v>
      </c>
      <c r="P221" s="157" t="s">
        <v>2196</v>
      </c>
      <c r="Q221" s="157" t="s">
        <v>2197</v>
      </c>
    </row>
    <row r="222" spans="1:17" s="9" customFormat="1" x14ac:dyDescent="0.25">
      <c r="A222" s="156" t="s">
        <v>2186</v>
      </c>
      <c r="B222" s="156" t="str">
        <f>CHOOSE(Translations!$C$1+1,O222,P222,Q222)</f>
        <v>HTS-4 Porcentaje de resultados de VIH positivos entre el total de pruebas de VIH realizadas durante el período de reporte.</v>
      </c>
      <c r="C222" s="156">
        <f t="shared" si="8"/>
        <v>9</v>
      </c>
      <c r="D222" s="156" t="str">
        <f t="shared" si="9"/>
        <v>HTS-4 Porcentaje de resultados de VIH positivos entre el total de pruebas de VIH realizadas durante el período de reporte.-9</v>
      </c>
      <c r="E222" s="156" t="str">
        <f>CHOOSE(Translations!$C$1+1,I222,J222,K222)</f>
        <v>Edad</v>
      </c>
      <c r="F222" s="156" t="str">
        <f>CHOOSE(Translations!$C$1+1,L222,M222,N222)</f>
        <v>15+</v>
      </c>
      <c r="G222" s="156" t="s">
        <v>2235</v>
      </c>
      <c r="H222" s="157" t="s">
        <v>2236</v>
      </c>
      <c r="I222" s="157" t="s">
        <v>1463</v>
      </c>
      <c r="J222" s="157" t="s">
        <v>1463</v>
      </c>
      <c r="K222" s="157" t="s">
        <v>1464</v>
      </c>
      <c r="L222" s="157" t="s">
        <v>1465</v>
      </c>
      <c r="M222" s="157" t="s">
        <v>1465</v>
      </c>
      <c r="N222" s="157" t="s">
        <v>1465</v>
      </c>
      <c r="O222" s="157" t="s">
        <v>2195</v>
      </c>
      <c r="P222" s="157" t="s">
        <v>2196</v>
      </c>
      <c r="Q222" s="157" t="s">
        <v>2197</v>
      </c>
    </row>
    <row r="223" spans="1:17" s="9" customFormat="1" x14ac:dyDescent="0.25">
      <c r="A223" s="156" t="s">
        <v>2186</v>
      </c>
      <c r="B223" s="156" t="str">
        <f>CHOOSE(Translations!$C$1+1,O223,P223,Q223)</f>
        <v>HTS-4 Porcentaje de resultados de VIH positivos entre el total de pruebas de VIH realizadas durante el período de reporte.</v>
      </c>
      <c r="C223" s="156">
        <f t="shared" si="8"/>
        <v>10</v>
      </c>
      <c r="D223" s="156" t="str">
        <f t="shared" si="9"/>
        <v>HTS-4 Porcentaje de resultados de VIH positivos entre el total de pruebas de VIH realizadas durante el período de reporte.-10</v>
      </c>
      <c r="E223" s="156" t="str">
        <f>CHOOSE(Translations!$C$1+1,I223,J223,K223)</f>
        <v>Edad</v>
      </c>
      <c r="F223" s="156" t="str">
        <f>CHOOSE(Translations!$C$1+1,L223,M223,N223)</f>
        <v>&lt;15</v>
      </c>
      <c r="G223" s="156" t="s">
        <v>2237</v>
      </c>
      <c r="H223" s="157" t="s">
        <v>2238</v>
      </c>
      <c r="I223" s="157" t="s">
        <v>1463</v>
      </c>
      <c r="J223" s="157" t="s">
        <v>1463</v>
      </c>
      <c r="K223" s="157" t="s">
        <v>1464</v>
      </c>
      <c r="L223" s="157" t="s">
        <v>1468</v>
      </c>
      <c r="M223" s="157" t="s">
        <v>1468</v>
      </c>
      <c r="N223" s="157" t="s">
        <v>1468</v>
      </c>
      <c r="O223" s="157" t="s">
        <v>2195</v>
      </c>
      <c r="P223" s="157" t="s">
        <v>2196</v>
      </c>
      <c r="Q223" s="157" t="s">
        <v>2197</v>
      </c>
    </row>
    <row r="224" spans="1:17" s="9" customFormat="1" x14ac:dyDescent="0.25">
      <c r="A224" s="156" t="s">
        <v>2239</v>
      </c>
      <c r="B224" s="156" t="str">
        <f>CHOOSE(Translations!$C$1+1,O224,P224,Q224)</f>
        <v>HTS-5 Porcentaje de personas con diagnóstico nuevo de VIH que han iniciado terapia antirretroviral</v>
      </c>
      <c r="C224" s="156">
        <f t="shared" si="8"/>
        <v>0</v>
      </c>
      <c r="D224" s="156" t="str">
        <f t="shared" si="9"/>
        <v>HTS-5 Porcentaje de personas con diagnóstico nuevo de VIH que han iniciado terapia antirretroviral-0</v>
      </c>
      <c r="E224" s="156" t="str">
        <f>CHOOSE(Translations!$C$1+1,I224,J224,K224)</f>
        <v>Grupo de riesgo objetivo</v>
      </c>
      <c r="F224" s="156" t="str">
        <f>CHOOSE(Translations!$C$1+1,L224,M224,N224)</f>
        <v>Reclusos</v>
      </c>
      <c r="G224" s="156" t="s">
        <v>2240</v>
      </c>
      <c r="H224" s="157" t="s">
        <v>2241</v>
      </c>
      <c r="I224" s="157" t="s">
        <v>1834</v>
      </c>
      <c r="J224" s="157" t="s">
        <v>1835</v>
      </c>
      <c r="K224" s="157" t="s">
        <v>1836</v>
      </c>
      <c r="L224" s="157" t="s">
        <v>1837</v>
      </c>
      <c r="M224" s="157" t="s">
        <v>1838</v>
      </c>
      <c r="N224" s="157" t="s">
        <v>1839</v>
      </c>
      <c r="O224" s="157" t="s">
        <v>2242</v>
      </c>
      <c r="P224" s="157" t="s">
        <v>2243</v>
      </c>
      <c r="Q224" s="157" t="s">
        <v>2244</v>
      </c>
    </row>
    <row r="225" spans="1:17" s="9" customFormat="1" x14ac:dyDescent="0.25">
      <c r="A225" s="156" t="s">
        <v>2239</v>
      </c>
      <c r="B225" s="156" t="str">
        <f>CHOOSE(Translations!$C$1+1,O225,P225,Q225)</f>
        <v>HTS-5 Porcentaje de personas con diagnóstico nuevo de VIH que han iniciado terapia antirretroviral</v>
      </c>
      <c r="C225" s="156">
        <f t="shared" si="8"/>
        <v>1</v>
      </c>
      <c r="D225" s="156" t="str">
        <f t="shared" si="9"/>
        <v>HTS-5 Porcentaje de personas con diagnóstico nuevo de VIH que han iniciado terapia antirretroviral-1</v>
      </c>
      <c r="E225" s="156" t="str">
        <f>CHOOSE(Translations!$C$1+1,I225,J225,K225)</f>
        <v>Grupo de riesgo objetivo</v>
      </c>
      <c r="F225" s="156" t="str">
        <f>CHOOSE(Translations!$C$1+1,L225,M225,N225)</f>
        <v>PWID</v>
      </c>
      <c r="G225" s="156" t="s">
        <v>2245</v>
      </c>
      <c r="H225" s="157" t="s">
        <v>2246</v>
      </c>
      <c r="I225" s="157" t="s">
        <v>1834</v>
      </c>
      <c r="J225" s="157" t="s">
        <v>1835</v>
      </c>
      <c r="K225" s="157" t="s">
        <v>1836</v>
      </c>
      <c r="L225" s="157" t="s">
        <v>1845</v>
      </c>
      <c r="M225" s="157" t="s">
        <v>1846</v>
      </c>
      <c r="N225" s="157" t="s">
        <v>1847</v>
      </c>
      <c r="O225" s="157" t="s">
        <v>2242</v>
      </c>
      <c r="P225" s="157" t="s">
        <v>2243</v>
      </c>
      <c r="Q225" s="157" t="s">
        <v>2244</v>
      </c>
    </row>
    <row r="226" spans="1:17" s="9" customFormat="1" x14ac:dyDescent="0.25">
      <c r="A226" s="156" t="s">
        <v>2239</v>
      </c>
      <c r="B226" s="156" t="str">
        <f>CHOOSE(Translations!$C$1+1,O226,P226,Q226)</f>
        <v>HTS-5 Porcentaje de personas con diagnóstico nuevo de VIH que han iniciado terapia antirretroviral</v>
      </c>
      <c r="C226" s="156">
        <f t="shared" si="8"/>
        <v>2</v>
      </c>
      <c r="D226" s="156" t="str">
        <f t="shared" si="9"/>
        <v>HTS-5 Porcentaje de personas con diagnóstico nuevo de VIH que han iniciado terapia antirretroviral-2</v>
      </c>
      <c r="E226" s="156" t="str">
        <f>CHOOSE(Translations!$C$1+1,I226,J226,K226)</f>
        <v>Grupo de riesgo objetivo</v>
      </c>
      <c r="F226" s="156" t="str">
        <f>CHOOSE(Translations!$C$1+1,L226,M226,N226)</f>
        <v>Trabajadores sexuales</v>
      </c>
      <c r="G226" s="156" t="s">
        <v>2247</v>
      </c>
      <c r="H226" s="157" t="s">
        <v>2248</v>
      </c>
      <c r="I226" s="157" t="s">
        <v>1834</v>
      </c>
      <c r="J226" s="157" t="s">
        <v>1835</v>
      </c>
      <c r="K226" s="157" t="s">
        <v>1836</v>
      </c>
      <c r="L226" s="157" t="s">
        <v>1850</v>
      </c>
      <c r="M226" s="157" t="s">
        <v>1851</v>
      </c>
      <c r="N226" s="157" t="s">
        <v>1852</v>
      </c>
      <c r="O226" s="157" t="s">
        <v>2242</v>
      </c>
      <c r="P226" s="157" t="s">
        <v>2243</v>
      </c>
      <c r="Q226" s="157" t="s">
        <v>2244</v>
      </c>
    </row>
    <row r="227" spans="1:17" s="9" customFormat="1" x14ac:dyDescent="0.25">
      <c r="A227" s="156" t="s">
        <v>2239</v>
      </c>
      <c r="B227" s="156" t="str">
        <f>CHOOSE(Translations!$C$1+1,O227,P227,Q227)</f>
        <v>HTS-5 Porcentaje de personas con diagnóstico nuevo de VIH que han iniciado terapia antirretroviral</v>
      </c>
      <c r="C227" s="156">
        <f t="shared" si="8"/>
        <v>3</v>
      </c>
      <c r="D227" s="156" t="str">
        <f t="shared" si="9"/>
        <v>HTS-5 Porcentaje de personas con diagnóstico nuevo de VIH que han iniciado terapia antirretroviral-3</v>
      </c>
      <c r="E227" s="156" t="str">
        <f>CHOOSE(Translations!$C$1+1,I227,J227,K227)</f>
        <v>Grupo de riesgo objetivo</v>
      </c>
      <c r="F227" s="156" t="str">
        <f>CHOOSE(Translations!$C$1+1,L227,M227,N227)</f>
        <v>HSH</v>
      </c>
      <c r="G227" s="156" t="s">
        <v>2249</v>
      </c>
      <c r="H227" s="157" t="s">
        <v>2250</v>
      </c>
      <c r="I227" s="157" t="s">
        <v>1834</v>
      </c>
      <c r="J227" s="157" t="s">
        <v>1835</v>
      </c>
      <c r="K227" s="157" t="s">
        <v>1836</v>
      </c>
      <c r="L227" s="157" t="s">
        <v>1855</v>
      </c>
      <c r="M227" s="157" t="s">
        <v>1856</v>
      </c>
      <c r="N227" s="157" t="s">
        <v>1856</v>
      </c>
      <c r="O227" s="157" t="s">
        <v>2242</v>
      </c>
      <c r="P227" s="157" t="s">
        <v>2243</v>
      </c>
      <c r="Q227" s="157" t="s">
        <v>2244</v>
      </c>
    </row>
    <row r="228" spans="1:17" s="9" customFormat="1" x14ac:dyDescent="0.25">
      <c r="A228" s="156" t="s">
        <v>2239</v>
      </c>
      <c r="B228" s="156" t="str">
        <f>CHOOSE(Translations!$C$1+1,O228,P228,Q228)</f>
        <v>HTS-5 Porcentaje de personas con diagnóstico nuevo de VIH que han iniciado terapia antirretroviral</v>
      </c>
      <c r="C228" s="156">
        <f t="shared" si="8"/>
        <v>4</v>
      </c>
      <c r="D228" s="156" t="str">
        <f t="shared" si="9"/>
        <v>HTS-5 Porcentaje de personas con diagnóstico nuevo de VIH que han iniciado terapia antirretroviral-4</v>
      </c>
      <c r="E228" s="156" t="str">
        <f>CHOOSE(Translations!$C$1+1,I228,J228,K228)</f>
        <v>Género</v>
      </c>
      <c r="F228" s="156" t="str">
        <f>CHOOSE(Translations!$C$1+1,L228,M228,N228)</f>
        <v>Transgénero</v>
      </c>
      <c r="G228" s="156" t="s">
        <v>2251</v>
      </c>
      <c r="H228" s="157" t="s">
        <v>2252</v>
      </c>
      <c r="I228" s="157" t="s">
        <v>1450</v>
      </c>
      <c r="J228" s="157" t="s">
        <v>1451</v>
      </c>
      <c r="K228" s="157" t="s">
        <v>1452</v>
      </c>
      <c r="L228" s="157" t="s">
        <v>1534</v>
      </c>
      <c r="M228" s="157" t="s">
        <v>1535</v>
      </c>
      <c r="N228" s="157" t="s">
        <v>1536</v>
      </c>
      <c r="O228" s="157" t="s">
        <v>2242</v>
      </c>
      <c r="P228" s="157" t="s">
        <v>2243</v>
      </c>
      <c r="Q228" s="157" t="s">
        <v>2244</v>
      </c>
    </row>
    <row r="229" spans="1:17" s="9" customFormat="1" x14ac:dyDescent="0.25">
      <c r="A229" s="156" t="s">
        <v>2239</v>
      </c>
      <c r="B229" s="156" t="str">
        <f>CHOOSE(Translations!$C$1+1,O229,P229,Q229)</f>
        <v>HTS-5 Porcentaje de personas con diagnóstico nuevo de VIH que han iniciado terapia antirretroviral</v>
      </c>
      <c r="C229" s="156">
        <f t="shared" si="8"/>
        <v>5</v>
      </c>
      <c r="D229" s="156" t="str">
        <f t="shared" si="9"/>
        <v>HTS-5 Porcentaje de personas con diagnóstico nuevo de VIH que han iniciado terapia antirretroviral-5</v>
      </c>
      <c r="E229" s="156" t="str">
        <f>CHOOSE(Translations!$C$1+1,I229,J229,K229)</f>
        <v>Género</v>
      </c>
      <c r="F229" s="156" t="str">
        <f>CHOOSE(Translations!$C$1+1,L229,M229,N229)</f>
        <v>Mujeres</v>
      </c>
      <c r="G229" s="156" t="s">
        <v>2253</v>
      </c>
      <c r="H229" s="157" t="s">
        <v>2254</v>
      </c>
      <c r="I229" s="157" t="s">
        <v>1450</v>
      </c>
      <c r="J229" s="157" t="s">
        <v>1451</v>
      </c>
      <c r="K229" s="157" t="s">
        <v>1452</v>
      </c>
      <c r="L229" s="157" t="s">
        <v>1453</v>
      </c>
      <c r="M229" s="157" t="s">
        <v>1454</v>
      </c>
      <c r="N229" s="157" t="s">
        <v>1455</v>
      </c>
      <c r="O229" s="157" t="s">
        <v>2242</v>
      </c>
      <c r="P229" s="157" t="s">
        <v>2243</v>
      </c>
      <c r="Q229" s="157" t="s">
        <v>2244</v>
      </c>
    </row>
    <row r="230" spans="1:17" s="9" customFormat="1" x14ac:dyDescent="0.25">
      <c r="A230" s="156" t="s">
        <v>2239</v>
      </c>
      <c r="B230" s="156" t="str">
        <f>CHOOSE(Translations!$C$1+1,O230,P230,Q230)</f>
        <v>HTS-5 Porcentaje de personas con diagnóstico nuevo de VIH que han iniciado terapia antirretroviral</v>
      </c>
      <c r="C230" s="156">
        <f t="shared" si="8"/>
        <v>6</v>
      </c>
      <c r="D230" s="156" t="str">
        <f t="shared" si="9"/>
        <v>HTS-5 Porcentaje de personas con diagnóstico nuevo de VIH que han iniciado terapia antirretroviral-6</v>
      </c>
      <c r="E230" s="156" t="str">
        <f>CHOOSE(Translations!$C$1+1,I230,J230,K230)</f>
        <v>Género</v>
      </c>
      <c r="F230" s="156" t="str">
        <f>CHOOSE(Translations!$C$1+1,L230,M230,N230)</f>
        <v>Hombres</v>
      </c>
      <c r="G230" s="156" t="s">
        <v>2255</v>
      </c>
      <c r="H230" s="157" t="s">
        <v>2256</v>
      </c>
      <c r="I230" s="157" t="s">
        <v>1450</v>
      </c>
      <c r="J230" s="157" t="s">
        <v>1451</v>
      </c>
      <c r="K230" s="157" t="s">
        <v>1452</v>
      </c>
      <c r="L230" s="157" t="s">
        <v>1458</v>
      </c>
      <c r="M230" s="157" t="s">
        <v>1459</v>
      </c>
      <c r="N230" s="157" t="s">
        <v>1460</v>
      </c>
      <c r="O230" s="157" t="s">
        <v>2242</v>
      </c>
      <c r="P230" s="157" t="s">
        <v>2243</v>
      </c>
      <c r="Q230" s="157" t="s">
        <v>2244</v>
      </c>
    </row>
    <row r="231" spans="1:17" s="9" customFormat="1" x14ac:dyDescent="0.25">
      <c r="A231" s="156" t="s">
        <v>2257</v>
      </c>
      <c r="B231" s="156" t="str">
        <f>CHOOSE(Translations!$C$1+1,O231,P231,Q231)</f>
        <v>TCS-1.1⁽ᴹ⁾ Porcentaje de personas en TARV entre todas las personas viviendo con VIH al final del período de reporte</v>
      </c>
      <c r="C231" s="156">
        <f t="shared" si="8"/>
        <v>0</v>
      </c>
      <c r="D231" s="156" t="str">
        <f t="shared" si="9"/>
        <v>TCS-1.1⁽ᴹ⁾ Porcentaje de personas en TARV entre todas las personas viviendo con VIH al final del período de reporte-0</v>
      </c>
      <c r="E231" s="156" t="str">
        <f>CHOOSE(Translations!$C$1+1,I231,J231,K231)</f>
        <v>Grupo de riesgo objetivo</v>
      </c>
      <c r="F231" s="156" t="str">
        <f>CHOOSE(Translations!$C$1+1,L231,M231,N231)</f>
        <v>Reclusos</v>
      </c>
      <c r="G231" s="156" t="s">
        <v>2258</v>
      </c>
      <c r="H231" s="157" t="s">
        <v>2259</v>
      </c>
      <c r="I231" s="157" t="s">
        <v>1834</v>
      </c>
      <c r="J231" s="157" t="s">
        <v>1835</v>
      </c>
      <c r="K231" s="157" t="s">
        <v>1836</v>
      </c>
      <c r="L231" s="157" t="s">
        <v>1837</v>
      </c>
      <c r="M231" s="157" t="s">
        <v>1838</v>
      </c>
      <c r="N231" s="157" t="s">
        <v>1839</v>
      </c>
      <c r="O231" s="157" t="s">
        <v>2260</v>
      </c>
      <c r="P231" s="157" t="s">
        <v>2261</v>
      </c>
      <c r="Q231" s="157" t="s">
        <v>2262</v>
      </c>
    </row>
    <row r="232" spans="1:17" s="9" customFormat="1" x14ac:dyDescent="0.25">
      <c r="A232" s="156" t="s">
        <v>2257</v>
      </c>
      <c r="B232" s="156" t="str">
        <f>CHOOSE(Translations!$C$1+1,O232,P232,Q232)</f>
        <v>TCS-1.1⁽ᴹ⁾ Porcentaje de personas en TARV entre todas las personas viviendo con VIH al final del período de reporte</v>
      </c>
      <c r="C232" s="156">
        <f t="shared" si="8"/>
        <v>1</v>
      </c>
      <c r="D232" s="156" t="str">
        <f t="shared" si="9"/>
        <v>TCS-1.1⁽ᴹ⁾ Porcentaje de personas en TARV entre todas las personas viviendo con VIH al final del período de reporte-1</v>
      </c>
      <c r="E232" s="156" t="str">
        <f>CHOOSE(Translations!$C$1+1,I232,J232,K232)</f>
        <v>Grupo de riesgo objetivo</v>
      </c>
      <c r="F232" s="156" t="str">
        <f>CHOOSE(Translations!$C$1+1,L232,M232,N232)</f>
        <v>PWID</v>
      </c>
      <c r="G232" s="156" t="s">
        <v>2263</v>
      </c>
      <c r="H232" s="157" t="s">
        <v>2264</v>
      </c>
      <c r="I232" s="157" t="s">
        <v>1834</v>
      </c>
      <c r="J232" s="157" t="s">
        <v>1835</v>
      </c>
      <c r="K232" s="157" t="s">
        <v>1836</v>
      </c>
      <c r="L232" s="157" t="s">
        <v>1845</v>
      </c>
      <c r="M232" s="157" t="s">
        <v>1846</v>
      </c>
      <c r="N232" s="157" t="s">
        <v>1847</v>
      </c>
      <c r="O232" s="157" t="s">
        <v>2260</v>
      </c>
      <c r="P232" s="157" t="s">
        <v>2261</v>
      </c>
      <c r="Q232" s="157" t="s">
        <v>2262</v>
      </c>
    </row>
    <row r="233" spans="1:17" s="9" customFormat="1" x14ac:dyDescent="0.25">
      <c r="A233" s="156" t="s">
        <v>2257</v>
      </c>
      <c r="B233" s="156" t="str">
        <f>CHOOSE(Translations!$C$1+1,O233,P233,Q233)</f>
        <v>TCS-1.1⁽ᴹ⁾ Porcentaje de personas en TARV entre todas las personas viviendo con VIH al final del período de reporte</v>
      </c>
      <c r="C233" s="156">
        <f t="shared" si="8"/>
        <v>2</v>
      </c>
      <c r="D233" s="156" t="str">
        <f t="shared" si="9"/>
        <v>TCS-1.1⁽ᴹ⁾ Porcentaje de personas en TARV entre todas las personas viviendo con VIH al final del período de reporte-2</v>
      </c>
      <c r="E233" s="156" t="str">
        <f>CHOOSE(Translations!$C$1+1,I233,J233,K233)</f>
        <v>Grupo de riesgo objetivo</v>
      </c>
      <c r="F233" s="156" t="str">
        <f>CHOOSE(Translations!$C$1+1,L233,M233,N233)</f>
        <v>Trabajadores sexuales</v>
      </c>
      <c r="G233" s="156" t="s">
        <v>2265</v>
      </c>
      <c r="H233" s="157" t="s">
        <v>2266</v>
      </c>
      <c r="I233" s="157" t="s">
        <v>1834</v>
      </c>
      <c r="J233" s="157" t="s">
        <v>1835</v>
      </c>
      <c r="K233" s="157" t="s">
        <v>1836</v>
      </c>
      <c r="L233" s="157" t="s">
        <v>1850</v>
      </c>
      <c r="M233" s="157" t="s">
        <v>1851</v>
      </c>
      <c r="N233" s="157" t="s">
        <v>1852</v>
      </c>
      <c r="O233" s="157" t="s">
        <v>2260</v>
      </c>
      <c r="P233" s="157" t="s">
        <v>2261</v>
      </c>
      <c r="Q233" s="157" t="s">
        <v>2262</v>
      </c>
    </row>
    <row r="234" spans="1:17" s="9" customFormat="1" x14ac:dyDescent="0.25">
      <c r="A234" s="156" t="s">
        <v>2257</v>
      </c>
      <c r="B234" s="156" t="str">
        <f>CHOOSE(Translations!$C$1+1,O234,P234,Q234)</f>
        <v>TCS-1.1⁽ᴹ⁾ Porcentaje de personas en TARV entre todas las personas viviendo con VIH al final del período de reporte</v>
      </c>
      <c r="C234" s="156">
        <f t="shared" si="8"/>
        <v>3</v>
      </c>
      <c r="D234" s="156" t="str">
        <f t="shared" si="9"/>
        <v>TCS-1.1⁽ᴹ⁾ Porcentaje de personas en TARV entre todas las personas viviendo con VIH al final del período de reporte-3</v>
      </c>
      <c r="E234" s="156" t="str">
        <f>CHOOSE(Translations!$C$1+1,I234,J234,K234)</f>
        <v>Grupo de riesgo objetivo</v>
      </c>
      <c r="F234" s="156" t="str">
        <f>CHOOSE(Translations!$C$1+1,L234,M234,N234)</f>
        <v>HSH</v>
      </c>
      <c r="G234" s="156" t="s">
        <v>2267</v>
      </c>
      <c r="H234" s="157" t="s">
        <v>2268</v>
      </c>
      <c r="I234" s="157" t="s">
        <v>1834</v>
      </c>
      <c r="J234" s="157" t="s">
        <v>1835</v>
      </c>
      <c r="K234" s="157" t="s">
        <v>1836</v>
      </c>
      <c r="L234" s="157" t="s">
        <v>1855</v>
      </c>
      <c r="M234" s="157" t="s">
        <v>1856</v>
      </c>
      <c r="N234" s="157" t="s">
        <v>1856</v>
      </c>
      <c r="O234" s="157" t="s">
        <v>2260</v>
      </c>
      <c r="P234" s="157" t="s">
        <v>2261</v>
      </c>
      <c r="Q234" s="157" t="s">
        <v>2262</v>
      </c>
    </row>
    <row r="235" spans="1:17" s="9" customFormat="1" x14ac:dyDescent="0.25">
      <c r="A235" s="156" t="s">
        <v>2257</v>
      </c>
      <c r="B235" s="156" t="str">
        <f>CHOOSE(Translations!$C$1+1,O235,P235,Q235)</f>
        <v>TCS-1.1⁽ᴹ⁾ Porcentaje de personas en TARV entre todas las personas viviendo con VIH al final del período de reporte</v>
      </c>
      <c r="C235" s="156">
        <f t="shared" si="8"/>
        <v>4</v>
      </c>
      <c r="D235" s="156" t="str">
        <f t="shared" si="9"/>
        <v>TCS-1.1⁽ᴹ⁾ Porcentaje de personas en TARV entre todas las personas viviendo con VIH al final del período de reporte-4</v>
      </c>
      <c r="E235" s="156" t="str">
        <f>CHOOSE(Translations!$C$1+1,I235,J235,K235)</f>
        <v>Duración del tratamiento</v>
      </c>
      <c r="F235" s="156" t="str">
        <f>CHOOSE(Translations!$C$1+1,L235,M235,N235)</f>
        <v>Iniciaron TARV recientemente</v>
      </c>
      <c r="G235" s="156" t="s">
        <v>2269</v>
      </c>
      <c r="H235" s="157" t="s">
        <v>2270</v>
      </c>
      <c r="I235" s="157" t="s">
        <v>2271</v>
      </c>
      <c r="J235" s="157" t="s">
        <v>2272</v>
      </c>
      <c r="K235" s="157" t="s">
        <v>2273</v>
      </c>
      <c r="L235" s="157" t="s">
        <v>2274</v>
      </c>
      <c r="M235" s="157" t="s">
        <v>2275</v>
      </c>
      <c r="N235" s="157" t="s">
        <v>2276</v>
      </c>
      <c r="O235" s="157" t="s">
        <v>2260</v>
      </c>
      <c r="P235" s="157" t="s">
        <v>2261</v>
      </c>
      <c r="Q235" s="157" t="s">
        <v>2262</v>
      </c>
    </row>
    <row r="236" spans="1:17" s="9" customFormat="1" x14ac:dyDescent="0.25">
      <c r="A236" s="156" t="s">
        <v>2257</v>
      </c>
      <c r="B236" s="156" t="str">
        <f>CHOOSE(Translations!$C$1+1,O236,P236,Q236)</f>
        <v>TCS-1.1⁽ᴹ⁾ Porcentaje de personas en TARV entre todas las personas viviendo con VIH al final del período de reporte</v>
      </c>
      <c r="C236" s="156">
        <f t="shared" si="8"/>
        <v>5</v>
      </c>
      <c r="D236" s="156" t="str">
        <f t="shared" si="9"/>
        <v>TCS-1.1⁽ᴹ⁾ Porcentaje de personas en TARV entre todas las personas viviendo con VIH al final del período de reporte-5</v>
      </c>
      <c r="E236" s="156" t="str">
        <f>CHOOSE(Translations!$C$1+1,I236,J236,K236)</f>
        <v>Género | Edad</v>
      </c>
      <c r="F236" s="156" t="str">
        <f>CHOOSE(Translations!$C$1+1,L236,M236,N236)</f>
        <v>Mujeres 15-24</v>
      </c>
      <c r="G236" s="156" t="s">
        <v>2277</v>
      </c>
      <c r="H236" s="157" t="s">
        <v>2278</v>
      </c>
      <c r="I236" s="157" t="s">
        <v>1424</v>
      </c>
      <c r="J236" s="157" t="s">
        <v>1425</v>
      </c>
      <c r="K236" s="157" t="s">
        <v>1426</v>
      </c>
      <c r="L236" s="157" t="s">
        <v>2279</v>
      </c>
      <c r="M236" s="157" t="s">
        <v>2280</v>
      </c>
      <c r="N236" s="157" t="s">
        <v>2281</v>
      </c>
      <c r="O236" s="157" t="s">
        <v>2260</v>
      </c>
      <c r="P236" s="157" t="s">
        <v>2261</v>
      </c>
      <c r="Q236" s="157" t="s">
        <v>2262</v>
      </c>
    </row>
    <row r="237" spans="1:17" s="9" customFormat="1" x14ac:dyDescent="0.25">
      <c r="A237" s="156" t="s">
        <v>2257</v>
      </c>
      <c r="B237" s="156" t="str">
        <f>CHOOSE(Translations!$C$1+1,O237,P237,Q237)</f>
        <v>TCS-1.1⁽ᴹ⁾ Porcentaje de personas en TARV entre todas las personas viviendo con VIH al final del período de reporte</v>
      </c>
      <c r="C237" s="156">
        <f t="shared" si="8"/>
        <v>6</v>
      </c>
      <c r="D237" s="156" t="str">
        <f t="shared" si="9"/>
        <v>TCS-1.1⁽ᴹ⁾ Porcentaje de personas en TARV entre todas las personas viviendo con VIH al final del período de reporte-6</v>
      </c>
      <c r="E237" s="156" t="str">
        <f>CHOOSE(Translations!$C$1+1,I237,J237,K237)</f>
        <v>Género | Edad</v>
      </c>
      <c r="F237" s="156" t="str">
        <f>CHOOSE(Translations!$C$1+1,L237,M237,N237)</f>
        <v>Hombres 15-24</v>
      </c>
      <c r="G237" s="156" t="s">
        <v>2282</v>
      </c>
      <c r="H237" s="157" t="s">
        <v>2283</v>
      </c>
      <c r="I237" s="157" t="s">
        <v>1424</v>
      </c>
      <c r="J237" s="157" t="s">
        <v>1425</v>
      </c>
      <c r="K237" s="157" t="s">
        <v>1426</v>
      </c>
      <c r="L237" s="157" t="s">
        <v>2284</v>
      </c>
      <c r="M237" s="157" t="s">
        <v>2285</v>
      </c>
      <c r="N237" s="157" t="s">
        <v>2286</v>
      </c>
      <c r="O237" s="157" t="s">
        <v>2260</v>
      </c>
      <c r="P237" s="157" t="s">
        <v>2261</v>
      </c>
      <c r="Q237" s="157" t="s">
        <v>2262</v>
      </c>
    </row>
    <row r="238" spans="1:17" s="9" customFormat="1" x14ac:dyDescent="0.25">
      <c r="A238" s="156" t="s">
        <v>2257</v>
      </c>
      <c r="B238" s="156" t="str">
        <f>CHOOSE(Translations!$C$1+1,O238,P238,Q238)</f>
        <v>TCS-1.1⁽ᴹ⁾ Porcentaje de personas en TARV entre todas las personas viviendo con VIH al final del período de reporte</v>
      </c>
      <c r="C238" s="156">
        <f t="shared" si="8"/>
        <v>7</v>
      </c>
      <c r="D238" s="156" t="str">
        <f t="shared" si="9"/>
        <v>TCS-1.1⁽ᴹ⁾ Porcentaje de personas en TARV entre todas las personas viviendo con VIH al final del período de reporte-7</v>
      </c>
      <c r="E238" s="156" t="str">
        <f>CHOOSE(Translations!$C$1+1,I238,J238,K238)</f>
        <v>Género | Edad</v>
      </c>
      <c r="F238" s="156" t="str">
        <f>CHOOSE(Translations!$C$1+1,L238,M238,N238)</f>
        <v>Mujeres 20-24</v>
      </c>
      <c r="G238" s="156" t="s">
        <v>2287</v>
      </c>
      <c r="H238" s="157" t="s">
        <v>2288</v>
      </c>
      <c r="I238" s="157" t="s">
        <v>1424</v>
      </c>
      <c r="J238" s="157" t="s">
        <v>1425</v>
      </c>
      <c r="K238" s="157" t="s">
        <v>1426</v>
      </c>
      <c r="L238" s="157" t="s">
        <v>1427</v>
      </c>
      <c r="M238" s="157" t="s">
        <v>1428</v>
      </c>
      <c r="N238" s="157" t="s">
        <v>1429</v>
      </c>
      <c r="O238" s="157" t="s">
        <v>2260</v>
      </c>
      <c r="P238" s="157" t="s">
        <v>2261</v>
      </c>
      <c r="Q238" s="157" t="s">
        <v>2262</v>
      </c>
    </row>
    <row r="239" spans="1:17" s="9" customFormat="1" x14ac:dyDescent="0.25">
      <c r="A239" s="156" t="s">
        <v>2257</v>
      </c>
      <c r="B239" s="156" t="str">
        <f>CHOOSE(Translations!$C$1+1,O239,P239,Q239)</f>
        <v>TCS-1.1⁽ᴹ⁾ Porcentaje de personas en TARV entre todas las personas viviendo con VIH al final del período de reporte</v>
      </c>
      <c r="C239" s="156">
        <f t="shared" si="8"/>
        <v>8</v>
      </c>
      <c r="D239" s="156" t="str">
        <f t="shared" si="9"/>
        <v>TCS-1.1⁽ᴹ⁾ Porcentaje de personas en TARV entre todas las personas viviendo con VIH al final del período de reporte-8</v>
      </c>
      <c r="E239" s="156" t="str">
        <f>CHOOSE(Translations!$C$1+1,I239,J239,K239)</f>
        <v>Género | Edad</v>
      </c>
      <c r="F239" s="156" t="str">
        <f>CHOOSE(Translations!$C$1+1,L239,M239,N239)</f>
        <v>Hombres 20-24</v>
      </c>
      <c r="G239" s="156" t="s">
        <v>2289</v>
      </c>
      <c r="H239" s="157" t="s">
        <v>2290</v>
      </c>
      <c r="I239" s="157" t="s">
        <v>1424</v>
      </c>
      <c r="J239" s="157" t="s">
        <v>1425</v>
      </c>
      <c r="K239" s="157" t="s">
        <v>1426</v>
      </c>
      <c r="L239" s="157" t="s">
        <v>1435</v>
      </c>
      <c r="M239" s="157" t="s">
        <v>1436</v>
      </c>
      <c r="N239" s="157" t="s">
        <v>1437</v>
      </c>
      <c r="O239" s="157" t="s">
        <v>2260</v>
      </c>
      <c r="P239" s="157" t="s">
        <v>2261</v>
      </c>
      <c r="Q239" s="157" t="s">
        <v>2262</v>
      </c>
    </row>
    <row r="240" spans="1:17" s="9" customFormat="1" x14ac:dyDescent="0.25">
      <c r="A240" s="156" t="s">
        <v>2257</v>
      </c>
      <c r="B240" s="156" t="str">
        <f>CHOOSE(Translations!$C$1+1,O240,P240,Q240)</f>
        <v>TCS-1.1⁽ᴹ⁾ Porcentaje de personas en TARV entre todas las personas viviendo con VIH al final del período de reporte</v>
      </c>
      <c r="C240" s="156">
        <f t="shared" si="8"/>
        <v>9</v>
      </c>
      <c r="D240" s="156" t="str">
        <f t="shared" si="9"/>
        <v>TCS-1.1⁽ᴹ⁾ Porcentaje de personas en TARV entre todas las personas viviendo con VIH al final del período de reporte-9</v>
      </c>
      <c r="E240" s="156" t="str">
        <f>CHOOSE(Translations!$C$1+1,I240,J240,K240)</f>
        <v>Género | Edad</v>
      </c>
      <c r="F240" s="156" t="str">
        <f>CHOOSE(Translations!$C$1+1,L240,M240,N240)</f>
        <v>Mujeres 15-19</v>
      </c>
      <c r="G240" s="156" t="s">
        <v>2291</v>
      </c>
      <c r="H240" s="157" t="s">
        <v>2292</v>
      </c>
      <c r="I240" s="157" t="s">
        <v>1424</v>
      </c>
      <c r="J240" s="157" t="s">
        <v>1425</v>
      </c>
      <c r="K240" s="157" t="s">
        <v>1426</v>
      </c>
      <c r="L240" s="157" t="s">
        <v>1440</v>
      </c>
      <c r="M240" s="157" t="s">
        <v>1441</v>
      </c>
      <c r="N240" s="157" t="s">
        <v>1442</v>
      </c>
      <c r="O240" s="157" t="s">
        <v>2260</v>
      </c>
      <c r="P240" s="157" t="s">
        <v>2261</v>
      </c>
      <c r="Q240" s="157" t="s">
        <v>2262</v>
      </c>
    </row>
    <row r="241" spans="1:17" s="9" customFormat="1" x14ac:dyDescent="0.25">
      <c r="A241" s="156" t="s">
        <v>2257</v>
      </c>
      <c r="B241" s="156" t="str">
        <f>CHOOSE(Translations!$C$1+1,O241,P241,Q241)</f>
        <v>TCS-1.1⁽ᴹ⁾ Porcentaje de personas en TARV entre todas las personas viviendo con VIH al final del período de reporte</v>
      </c>
      <c r="C241" s="156">
        <f t="shared" si="8"/>
        <v>10</v>
      </c>
      <c r="D241" s="156" t="str">
        <f t="shared" si="9"/>
        <v>TCS-1.1⁽ᴹ⁾ Porcentaje de personas en TARV entre todas las personas viviendo con VIH al final del período de reporte-10</v>
      </c>
      <c r="E241" s="156" t="str">
        <f>CHOOSE(Translations!$C$1+1,I241,J241,K241)</f>
        <v>Género | Edad</v>
      </c>
      <c r="F241" s="156" t="str">
        <f>CHOOSE(Translations!$C$1+1,L241,M241,N241)</f>
        <v>Hombres 15-19</v>
      </c>
      <c r="G241" s="156" t="s">
        <v>2293</v>
      </c>
      <c r="H241" s="157" t="s">
        <v>2294</v>
      </c>
      <c r="I241" s="157" t="s">
        <v>1424</v>
      </c>
      <c r="J241" s="157" t="s">
        <v>1425</v>
      </c>
      <c r="K241" s="157" t="s">
        <v>1426</v>
      </c>
      <c r="L241" s="157" t="s">
        <v>1445</v>
      </c>
      <c r="M241" s="157" t="s">
        <v>1446</v>
      </c>
      <c r="N241" s="157" t="s">
        <v>1447</v>
      </c>
      <c r="O241" s="157" t="s">
        <v>2260</v>
      </c>
      <c r="P241" s="157" t="s">
        <v>2261</v>
      </c>
      <c r="Q241" s="157" t="s">
        <v>2262</v>
      </c>
    </row>
    <row r="242" spans="1:17" s="9" customFormat="1" x14ac:dyDescent="0.25">
      <c r="A242" s="156" t="s">
        <v>2257</v>
      </c>
      <c r="B242" s="156" t="str">
        <f>CHOOSE(Translations!$C$1+1,O242,P242,Q242)</f>
        <v>TCS-1.1⁽ᴹ⁾ Porcentaje de personas en TARV entre todas las personas viviendo con VIH al final del período de reporte</v>
      </c>
      <c r="C242" s="156">
        <f t="shared" si="8"/>
        <v>11</v>
      </c>
      <c r="D242" s="156" t="str">
        <f t="shared" si="9"/>
        <v>TCS-1.1⁽ᴹ⁾ Porcentaje de personas en TARV entre todas las personas viviendo con VIH al final del período de reporte-11</v>
      </c>
      <c r="E242" s="156" t="str">
        <f>CHOOSE(Translations!$C$1+1,I242,J242,K242)</f>
        <v>Género | Edad</v>
      </c>
      <c r="F242" s="156" t="str">
        <f>CHOOSE(Translations!$C$1+1,L242,M242,N242)</f>
        <v>Mujeres 15+</v>
      </c>
      <c r="G242" s="156" t="s">
        <v>2295</v>
      </c>
      <c r="H242" s="157" t="s">
        <v>2296</v>
      </c>
      <c r="I242" s="157" t="s">
        <v>1424</v>
      </c>
      <c r="J242" s="157" t="s">
        <v>1425</v>
      </c>
      <c r="K242" s="157" t="s">
        <v>1426</v>
      </c>
      <c r="L242" s="157" t="s">
        <v>2297</v>
      </c>
      <c r="M242" s="157" t="s">
        <v>2298</v>
      </c>
      <c r="N242" s="157" t="s">
        <v>2299</v>
      </c>
      <c r="O242" s="157" t="s">
        <v>2260</v>
      </c>
      <c r="P242" s="157" t="s">
        <v>2261</v>
      </c>
      <c r="Q242" s="157" t="s">
        <v>2262</v>
      </c>
    </row>
    <row r="243" spans="1:17" s="9" customFormat="1" x14ac:dyDescent="0.25">
      <c r="A243" s="156" t="s">
        <v>2257</v>
      </c>
      <c r="B243" s="156" t="str">
        <f>CHOOSE(Translations!$C$1+1,O243,P243,Q243)</f>
        <v>TCS-1.1⁽ᴹ⁾ Porcentaje de personas en TARV entre todas las personas viviendo con VIH al final del período de reporte</v>
      </c>
      <c r="C243" s="156">
        <f t="shared" si="8"/>
        <v>12</v>
      </c>
      <c r="D243" s="156" t="str">
        <f t="shared" si="9"/>
        <v>TCS-1.1⁽ᴹ⁾ Porcentaje de personas en TARV entre todas las personas viviendo con VIH al final del período de reporte-12</v>
      </c>
      <c r="E243" s="156" t="str">
        <f>CHOOSE(Translations!$C$1+1,I243,J243,K243)</f>
        <v>Género | Edad</v>
      </c>
      <c r="F243" s="156" t="str">
        <f>CHOOSE(Translations!$C$1+1,L243,M243,N243)</f>
        <v>Hombres 15+</v>
      </c>
      <c r="G243" s="156" t="s">
        <v>2300</v>
      </c>
      <c r="H243" s="157" t="s">
        <v>2301</v>
      </c>
      <c r="I243" s="157" t="s">
        <v>1424</v>
      </c>
      <c r="J243" s="157" t="s">
        <v>1425</v>
      </c>
      <c r="K243" s="157" t="s">
        <v>1426</v>
      </c>
      <c r="L243" s="157" t="s">
        <v>2302</v>
      </c>
      <c r="M243" s="157" t="s">
        <v>2303</v>
      </c>
      <c r="N243" s="157" t="s">
        <v>2304</v>
      </c>
      <c r="O243" s="157" t="s">
        <v>2260</v>
      </c>
      <c r="P243" s="157" t="s">
        <v>2261</v>
      </c>
      <c r="Q243" s="157" t="s">
        <v>2262</v>
      </c>
    </row>
    <row r="244" spans="1:17" s="9" customFormat="1" x14ac:dyDescent="0.25">
      <c r="A244" s="156" t="s">
        <v>2257</v>
      </c>
      <c r="B244" s="156" t="str">
        <f>CHOOSE(Translations!$C$1+1,O244,P244,Q244)</f>
        <v>TCS-1.1⁽ᴹ⁾ Porcentaje de personas en TARV entre todas las personas viviendo con VIH al final del período de reporte</v>
      </c>
      <c r="C244" s="156">
        <f t="shared" si="8"/>
        <v>13</v>
      </c>
      <c r="D244" s="156" t="str">
        <f t="shared" si="9"/>
        <v>TCS-1.1⁽ᴹ⁾ Porcentaje de personas en TARV entre todas las personas viviendo con VIH al final del período de reporte-13</v>
      </c>
      <c r="E244" s="156" t="str">
        <f>CHOOSE(Translations!$C$1+1,I244,J244,K244)</f>
        <v>Género</v>
      </c>
      <c r="F244" s="156" t="str">
        <f>CHOOSE(Translations!$C$1+1,L244,M244,N244)</f>
        <v>Transgénero</v>
      </c>
      <c r="G244" s="156" t="s">
        <v>2305</v>
      </c>
      <c r="H244" s="157" t="s">
        <v>2306</v>
      </c>
      <c r="I244" s="157" t="s">
        <v>1450</v>
      </c>
      <c r="J244" s="157" t="s">
        <v>1451</v>
      </c>
      <c r="K244" s="157" t="s">
        <v>1452</v>
      </c>
      <c r="L244" s="157" t="s">
        <v>1534</v>
      </c>
      <c r="M244" s="157" t="s">
        <v>1535</v>
      </c>
      <c r="N244" s="157" t="s">
        <v>1536</v>
      </c>
      <c r="O244" s="157" t="s">
        <v>2260</v>
      </c>
      <c r="P244" s="157" t="s">
        <v>2261</v>
      </c>
      <c r="Q244" s="157" t="s">
        <v>2262</v>
      </c>
    </row>
    <row r="245" spans="1:17" s="9" customFormat="1" x14ac:dyDescent="0.25">
      <c r="A245" s="156" t="s">
        <v>2257</v>
      </c>
      <c r="B245" s="156" t="str">
        <f>CHOOSE(Translations!$C$1+1,O245,P245,Q245)</f>
        <v>TCS-1.1⁽ᴹ⁾ Porcentaje de personas en TARV entre todas las personas viviendo con VIH al final del período de reporte</v>
      </c>
      <c r="C245" s="156">
        <f t="shared" si="8"/>
        <v>14</v>
      </c>
      <c r="D245" s="156" t="str">
        <f t="shared" si="9"/>
        <v>TCS-1.1⁽ᴹ⁾ Porcentaje de personas en TARV entre todas las personas viviendo con VIH al final del período de reporte-14</v>
      </c>
      <c r="E245" s="156" t="str">
        <f>CHOOSE(Translations!$C$1+1,I245,J245,K245)</f>
        <v>Género</v>
      </c>
      <c r="F245" s="156" t="str">
        <f>CHOOSE(Translations!$C$1+1,L245,M245,N245)</f>
        <v>Mujeres</v>
      </c>
      <c r="G245" s="156" t="s">
        <v>2307</v>
      </c>
      <c r="H245" s="157" t="s">
        <v>2308</v>
      </c>
      <c r="I245" s="157" t="s">
        <v>1450</v>
      </c>
      <c r="J245" s="157" t="s">
        <v>1451</v>
      </c>
      <c r="K245" s="157" t="s">
        <v>1452</v>
      </c>
      <c r="L245" s="157" t="s">
        <v>1453</v>
      </c>
      <c r="M245" s="157" t="s">
        <v>1454</v>
      </c>
      <c r="N245" s="157" t="s">
        <v>1455</v>
      </c>
      <c r="O245" s="157" t="s">
        <v>2260</v>
      </c>
      <c r="P245" s="157" t="s">
        <v>2261</v>
      </c>
      <c r="Q245" s="157" t="s">
        <v>2262</v>
      </c>
    </row>
    <row r="246" spans="1:17" s="9" customFormat="1" x14ac:dyDescent="0.25">
      <c r="A246" s="156" t="s">
        <v>2257</v>
      </c>
      <c r="B246" s="156" t="str">
        <f>CHOOSE(Translations!$C$1+1,O246,P246,Q246)</f>
        <v>TCS-1.1⁽ᴹ⁾ Porcentaje de personas en TARV entre todas las personas viviendo con VIH al final del período de reporte</v>
      </c>
      <c r="C246" s="156">
        <f t="shared" si="8"/>
        <v>15</v>
      </c>
      <c r="D246" s="156" t="str">
        <f t="shared" si="9"/>
        <v>TCS-1.1⁽ᴹ⁾ Porcentaje de personas en TARV entre todas las personas viviendo con VIH al final del período de reporte-15</v>
      </c>
      <c r="E246" s="156" t="str">
        <f>CHOOSE(Translations!$C$1+1,I246,J246,K246)</f>
        <v>Género</v>
      </c>
      <c r="F246" s="156" t="str">
        <f>CHOOSE(Translations!$C$1+1,L246,M246,N246)</f>
        <v>Hombres</v>
      </c>
      <c r="G246" s="156" t="s">
        <v>2309</v>
      </c>
      <c r="H246" s="157" t="s">
        <v>2310</v>
      </c>
      <c r="I246" s="157" t="s">
        <v>1450</v>
      </c>
      <c r="J246" s="157" t="s">
        <v>1451</v>
      </c>
      <c r="K246" s="157" t="s">
        <v>1452</v>
      </c>
      <c r="L246" s="157" t="s">
        <v>1458</v>
      </c>
      <c r="M246" s="157" t="s">
        <v>1459</v>
      </c>
      <c r="N246" s="157" t="s">
        <v>1460</v>
      </c>
      <c r="O246" s="157" t="s">
        <v>2260</v>
      </c>
      <c r="P246" s="157" t="s">
        <v>2261</v>
      </c>
      <c r="Q246" s="157" t="s">
        <v>2262</v>
      </c>
    </row>
    <row r="247" spans="1:17" s="9" customFormat="1" x14ac:dyDescent="0.25">
      <c r="A247" s="156" t="s">
        <v>2257</v>
      </c>
      <c r="B247" s="156" t="str">
        <f>CHOOSE(Translations!$C$1+1,O247,P247,Q247)</f>
        <v>TCS-1.1⁽ᴹ⁾ Porcentaje de personas en TARV entre todas las personas viviendo con VIH al final del período de reporte</v>
      </c>
      <c r="C247" s="156">
        <f t="shared" si="8"/>
        <v>16</v>
      </c>
      <c r="D247" s="156" t="str">
        <f t="shared" si="9"/>
        <v>TCS-1.1⁽ᴹ⁾ Porcentaje de personas en TARV entre todas las personas viviendo con VIH al final del período de reporte-16</v>
      </c>
      <c r="E247" s="156" t="str">
        <f>CHOOSE(Translations!$C$1+1,I247,J247,K247)</f>
        <v>Edad</v>
      </c>
      <c r="F247" s="156" t="str">
        <f>CHOOSE(Translations!$C$1+1,L247,M247,N247)</f>
        <v>15+</v>
      </c>
      <c r="G247" s="156" t="s">
        <v>2311</v>
      </c>
      <c r="H247" s="157" t="s">
        <v>2312</v>
      </c>
      <c r="I247" s="157" t="s">
        <v>1463</v>
      </c>
      <c r="J247" s="157" t="s">
        <v>1463</v>
      </c>
      <c r="K247" s="157" t="s">
        <v>1464</v>
      </c>
      <c r="L247" s="157" t="s">
        <v>1465</v>
      </c>
      <c r="M247" s="157" t="s">
        <v>1465</v>
      </c>
      <c r="N247" s="157" t="s">
        <v>1465</v>
      </c>
      <c r="O247" s="157" t="s">
        <v>2260</v>
      </c>
      <c r="P247" s="157" t="s">
        <v>2261</v>
      </c>
      <c r="Q247" s="157" t="s">
        <v>2262</v>
      </c>
    </row>
    <row r="248" spans="1:17" s="9" customFormat="1" x14ac:dyDescent="0.25">
      <c r="A248" s="156" t="s">
        <v>2257</v>
      </c>
      <c r="B248" s="156" t="str">
        <f>CHOOSE(Translations!$C$1+1,O248,P248,Q248)</f>
        <v>TCS-1.1⁽ᴹ⁾ Porcentaje de personas en TARV entre todas las personas viviendo con VIH al final del período de reporte</v>
      </c>
      <c r="C248" s="156">
        <f t="shared" si="8"/>
        <v>17</v>
      </c>
      <c r="D248" s="156" t="str">
        <f t="shared" si="9"/>
        <v>TCS-1.1⁽ᴹ⁾ Porcentaje de personas en TARV entre todas las personas viviendo con VIH al final del período de reporte-17</v>
      </c>
      <c r="E248" s="156" t="str">
        <f>CHOOSE(Translations!$C$1+1,I248,J248,K248)</f>
        <v>Edad</v>
      </c>
      <c r="F248" s="156" t="str">
        <f>CHOOSE(Translations!$C$1+1,L248,M248,N248)</f>
        <v>&lt;15</v>
      </c>
      <c r="G248" s="156" t="s">
        <v>2313</v>
      </c>
      <c r="H248" s="157" t="s">
        <v>2314</v>
      </c>
      <c r="I248" s="157" t="s">
        <v>1463</v>
      </c>
      <c r="J248" s="157" t="s">
        <v>1463</v>
      </c>
      <c r="K248" s="157" t="s">
        <v>1464</v>
      </c>
      <c r="L248" s="157" t="s">
        <v>1468</v>
      </c>
      <c r="M248" s="157" t="s">
        <v>1468</v>
      </c>
      <c r="N248" s="157" t="s">
        <v>1468</v>
      </c>
      <c r="O248" s="157" t="s">
        <v>2260</v>
      </c>
      <c r="P248" s="157" t="s">
        <v>2261</v>
      </c>
      <c r="Q248" s="157" t="s">
        <v>2262</v>
      </c>
    </row>
    <row r="249" spans="1:17" s="9" customFormat="1" x14ac:dyDescent="0.25">
      <c r="A249" s="156" t="s">
        <v>2315</v>
      </c>
      <c r="B249" s="156" t="str">
        <f>CHOOSE(Translations!$C$1+1,O249,P249,Q249)</f>
        <v>TCS-1b⁽ᴹ⁾ Porcentaje de adultos (15 años o más) en TARV entre el total de adultos viviendo con VIH al final del período de reporte</v>
      </c>
      <c r="C249" s="156">
        <f t="shared" si="8"/>
        <v>0</v>
      </c>
      <c r="D249" s="156" t="str">
        <f t="shared" si="9"/>
        <v>TCS-1b⁽ᴹ⁾ Porcentaje de adultos (15 años o más) en TARV entre el total de adultos viviendo con VIH al final del período de reporte-0</v>
      </c>
      <c r="E249" s="156" t="str">
        <f>CHOOSE(Translations!$C$1+1,I249,J249,K249)</f>
        <v>Grupo de riesgo objetivo</v>
      </c>
      <c r="F249" s="156" t="str">
        <f>CHOOSE(Translations!$C$1+1,L249,M249,N249)</f>
        <v>Reclusos</v>
      </c>
      <c r="G249" s="156" t="s">
        <v>2316</v>
      </c>
      <c r="H249" s="157" t="s">
        <v>2317</v>
      </c>
      <c r="I249" s="157" t="s">
        <v>1834</v>
      </c>
      <c r="J249" s="157" t="s">
        <v>1835</v>
      </c>
      <c r="K249" s="157" t="s">
        <v>1836</v>
      </c>
      <c r="L249" s="157" t="s">
        <v>1837</v>
      </c>
      <c r="M249" s="157" t="s">
        <v>1838</v>
      </c>
      <c r="N249" s="157" t="s">
        <v>1839</v>
      </c>
      <c r="O249" s="157" t="s">
        <v>2318</v>
      </c>
      <c r="P249" s="157" t="s">
        <v>2319</v>
      </c>
      <c r="Q249" s="157" t="s">
        <v>2320</v>
      </c>
    </row>
    <row r="250" spans="1:17" s="9" customFormat="1" x14ac:dyDescent="0.25">
      <c r="A250" s="156" t="s">
        <v>2315</v>
      </c>
      <c r="B250" s="156" t="str">
        <f>CHOOSE(Translations!$C$1+1,O250,P250,Q250)</f>
        <v>TCS-1b⁽ᴹ⁾ Porcentaje de adultos (15 años o más) en TARV entre el total de adultos viviendo con VIH al final del período de reporte</v>
      </c>
      <c r="C250" s="156">
        <f t="shared" si="8"/>
        <v>1</v>
      </c>
      <c r="D250" s="156" t="str">
        <f t="shared" si="9"/>
        <v>TCS-1b⁽ᴹ⁾ Porcentaje de adultos (15 años o más) en TARV entre el total de adultos viviendo con VIH al final del período de reporte-1</v>
      </c>
      <c r="E250" s="156" t="str">
        <f>CHOOSE(Translations!$C$1+1,I250,J250,K250)</f>
        <v>Grupo de riesgo objetivo</v>
      </c>
      <c r="F250" s="156" t="str">
        <f>CHOOSE(Translations!$C$1+1,L250,M250,N250)</f>
        <v>PWID</v>
      </c>
      <c r="G250" s="156" t="s">
        <v>2321</v>
      </c>
      <c r="H250" s="157" t="s">
        <v>2322</v>
      </c>
      <c r="I250" s="157" t="s">
        <v>1834</v>
      </c>
      <c r="J250" s="157" t="s">
        <v>1835</v>
      </c>
      <c r="K250" s="157" t="s">
        <v>1836</v>
      </c>
      <c r="L250" s="157" t="s">
        <v>1845</v>
      </c>
      <c r="M250" s="157" t="s">
        <v>1846</v>
      </c>
      <c r="N250" s="157" t="s">
        <v>1847</v>
      </c>
      <c r="O250" s="157" t="s">
        <v>2318</v>
      </c>
      <c r="P250" s="157" t="s">
        <v>2319</v>
      </c>
      <c r="Q250" s="157" t="s">
        <v>2320</v>
      </c>
    </row>
    <row r="251" spans="1:17" s="9" customFormat="1" x14ac:dyDescent="0.25">
      <c r="A251" s="156" t="s">
        <v>2315</v>
      </c>
      <c r="B251" s="156" t="str">
        <f>CHOOSE(Translations!$C$1+1,O251,P251,Q251)</f>
        <v>TCS-1b⁽ᴹ⁾ Porcentaje de adultos (15 años o más) en TARV entre el total de adultos viviendo con VIH al final del período de reporte</v>
      </c>
      <c r="C251" s="156">
        <f t="shared" si="8"/>
        <v>2</v>
      </c>
      <c r="D251" s="156" t="str">
        <f t="shared" si="9"/>
        <v>TCS-1b⁽ᴹ⁾ Porcentaje de adultos (15 años o más) en TARV entre el total de adultos viviendo con VIH al final del período de reporte-2</v>
      </c>
      <c r="E251" s="156" t="str">
        <f>CHOOSE(Translations!$C$1+1,I251,J251,K251)</f>
        <v>Grupo de riesgo objetivo</v>
      </c>
      <c r="F251" s="156" t="str">
        <f>CHOOSE(Translations!$C$1+1,L251,M251,N251)</f>
        <v>Trabajadores sexuales</v>
      </c>
      <c r="G251" s="156" t="s">
        <v>2323</v>
      </c>
      <c r="H251" s="157" t="s">
        <v>2324</v>
      </c>
      <c r="I251" s="157" t="s">
        <v>1834</v>
      </c>
      <c r="J251" s="157" t="s">
        <v>1835</v>
      </c>
      <c r="K251" s="157" t="s">
        <v>1836</v>
      </c>
      <c r="L251" s="157" t="s">
        <v>1850</v>
      </c>
      <c r="M251" s="157" t="s">
        <v>1851</v>
      </c>
      <c r="N251" s="157" t="s">
        <v>1852</v>
      </c>
      <c r="O251" s="157" t="s">
        <v>2318</v>
      </c>
      <c r="P251" s="157" t="s">
        <v>2319</v>
      </c>
      <c r="Q251" s="157" t="s">
        <v>2320</v>
      </c>
    </row>
    <row r="252" spans="1:17" s="9" customFormat="1" x14ac:dyDescent="0.25">
      <c r="A252" s="156" t="s">
        <v>2315</v>
      </c>
      <c r="B252" s="156" t="str">
        <f>CHOOSE(Translations!$C$1+1,O252,P252,Q252)</f>
        <v>TCS-1b⁽ᴹ⁾ Porcentaje de adultos (15 años o más) en TARV entre el total de adultos viviendo con VIH al final del período de reporte</v>
      </c>
      <c r="C252" s="156">
        <f t="shared" si="8"/>
        <v>3</v>
      </c>
      <c r="D252" s="156" t="str">
        <f t="shared" si="9"/>
        <v>TCS-1b⁽ᴹ⁾ Porcentaje de adultos (15 años o más) en TARV entre el total de adultos viviendo con VIH al final del período de reporte-3</v>
      </c>
      <c r="E252" s="156" t="str">
        <f>CHOOSE(Translations!$C$1+1,I252,J252,K252)</f>
        <v>Grupo de riesgo objetivo</v>
      </c>
      <c r="F252" s="156" t="str">
        <f>CHOOSE(Translations!$C$1+1,L252,M252,N252)</f>
        <v>HSH</v>
      </c>
      <c r="G252" s="156" t="s">
        <v>2325</v>
      </c>
      <c r="H252" s="157" t="s">
        <v>2326</v>
      </c>
      <c r="I252" s="157" t="s">
        <v>1834</v>
      </c>
      <c r="J252" s="157" t="s">
        <v>1835</v>
      </c>
      <c r="K252" s="157" t="s">
        <v>1836</v>
      </c>
      <c r="L252" s="157" t="s">
        <v>1855</v>
      </c>
      <c r="M252" s="157" t="s">
        <v>1856</v>
      </c>
      <c r="N252" s="157" t="s">
        <v>1856</v>
      </c>
      <c r="O252" s="157" t="s">
        <v>2318</v>
      </c>
      <c r="P252" s="157" t="s">
        <v>2319</v>
      </c>
      <c r="Q252" s="157" t="s">
        <v>2320</v>
      </c>
    </row>
    <row r="253" spans="1:17" s="9" customFormat="1" x14ac:dyDescent="0.25">
      <c r="A253" s="156" t="s">
        <v>2315</v>
      </c>
      <c r="B253" s="156" t="str">
        <f>CHOOSE(Translations!$C$1+1,O253,P253,Q253)</f>
        <v>TCS-1b⁽ᴹ⁾ Porcentaje de adultos (15 años o más) en TARV entre el total de adultos viviendo con VIH al final del período de reporte</v>
      </c>
      <c r="C253" s="156">
        <f t="shared" si="8"/>
        <v>4</v>
      </c>
      <c r="D253" s="156" t="str">
        <f t="shared" si="9"/>
        <v>TCS-1b⁽ᴹ⁾ Porcentaje de adultos (15 años o más) en TARV entre el total de adultos viviendo con VIH al final del período de reporte-4</v>
      </c>
      <c r="E253" s="156" t="str">
        <f>CHOOSE(Translations!$C$1+1,I253,J253,K253)</f>
        <v>Duración del tratamiento</v>
      </c>
      <c r="F253" s="156" t="str">
        <f>CHOOSE(Translations!$C$1+1,L253,M253,N253)</f>
        <v>Iniciaron TARV recientemente</v>
      </c>
      <c r="G253" s="156" t="s">
        <v>2327</v>
      </c>
      <c r="H253" s="157" t="s">
        <v>2328</v>
      </c>
      <c r="I253" s="157" t="s">
        <v>2271</v>
      </c>
      <c r="J253" s="157" t="s">
        <v>2272</v>
      </c>
      <c r="K253" s="157" t="s">
        <v>2273</v>
      </c>
      <c r="L253" s="157" t="s">
        <v>2274</v>
      </c>
      <c r="M253" s="157" t="s">
        <v>2275</v>
      </c>
      <c r="N253" s="157" t="s">
        <v>2276</v>
      </c>
      <c r="O253" s="157" t="s">
        <v>2318</v>
      </c>
      <c r="P253" s="157" t="s">
        <v>2319</v>
      </c>
      <c r="Q253" s="157" t="s">
        <v>2320</v>
      </c>
    </row>
    <row r="254" spans="1:17" s="9" customFormat="1" x14ac:dyDescent="0.25">
      <c r="A254" s="156" t="s">
        <v>2315</v>
      </c>
      <c r="B254" s="156" t="str">
        <f>CHOOSE(Translations!$C$1+1,O254,P254,Q254)</f>
        <v>TCS-1b⁽ᴹ⁾ Porcentaje de adultos (15 años o más) en TARV entre el total de adultos viviendo con VIH al final del período de reporte</v>
      </c>
      <c r="C254" s="156">
        <f t="shared" si="8"/>
        <v>5</v>
      </c>
      <c r="D254" s="156" t="str">
        <f t="shared" si="9"/>
        <v>TCS-1b⁽ᴹ⁾ Porcentaje de adultos (15 años o más) en TARV entre el total de adultos viviendo con VIH al final del período de reporte-5</v>
      </c>
      <c r="E254" s="156" t="str">
        <f>CHOOSE(Translations!$C$1+1,I254,J254,K254)</f>
        <v>Género | Edad</v>
      </c>
      <c r="F254" s="156" t="str">
        <f>CHOOSE(Translations!$C$1+1,L254,M254,N254)</f>
        <v>Mujeres 15-24</v>
      </c>
      <c r="G254" s="156" t="s">
        <v>2329</v>
      </c>
      <c r="H254" s="157" t="s">
        <v>2330</v>
      </c>
      <c r="I254" s="157" t="s">
        <v>1424</v>
      </c>
      <c r="J254" s="157" t="s">
        <v>1425</v>
      </c>
      <c r="K254" s="157" t="s">
        <v>1426</v>
      </c>
      <c r="L254" s="157" t="s">
        <v>2279</v>
      </c>
      <c r="M254" s="157" t="s">
        <v>2280</v>
      </c>
      <c r="N254" s="157" t="s">
        <v>2281</v>
      </c>
      <c r="O254" s="157" t="s">
        <v>2318</v>
      </c>
      <c r="P254" s="157" t="s">
        <v>2319</v>
      </c>
      <c r="Q254" s="157" t="s">
        <v>2320</v>
      </c>
    </row>
    <row r="255" spans="1:17" s="9" customFormat="1" x14ac:dyDescent="0.25">
      <c r="A255" s="156" t="s">
        <v>2315</v>
      </c>
      <c r="B255" s="156" t="str">
        <f>CHOOSE(Translations!$C$1+1,O255,P255,Q255)</f>
        <v>TCS-1b⁽ᴹ⁾ Porcentaje de adultos (15 años o más) en TARV entre el total de adultos viviendo con VIH al final del período de reporte</v>
      </c>
      <c r="C255" s="156">
        <f t="shared" si="8"/>
        <v>6</v>
      </c>
      <c r="D255" s="156" t="str">
        <f t="shared" si="9"/>
        <v>TCS-1b⁽ᴹ⁾ Porcentaje de adultos (15 años o más) en TARV entre el total de adultos viviendo con VIH al final del período de reporte-6</v>
      </c>
      <c r="E255" s="156" t="str">
        <f>CHOOSE(Translations!$C$1+1,I255,J255,K255)</f>
        <v>Género | Edad</v>
      </c>
      <c r="F255" s="156" t="str">
        <f>CHOOSE(Translations!$C$1+1,L255,M255,N255)</f>
        <v>Hombres 15-24</v>
      </c>
      <c r="G255" s="156" t="s">
        <v>2331</v>
      </c>
      <c r="H255" s="157" t="s">
        <v>2332</v>
      </c>
      <c r="I255" s="157" t="s">
        <v>1424</v>
      </c>
      <c r="J255" s="157" t="s">
        <v>1425</v>
      </c>
      <c r="K255" s="157" t="s">
        <v>1426</v>
      </c>
      <c r="L255" s="157" t="s">
        <v>2284</v>
      </c>
      <c r="M255" s="157" t="s">
        <v>2285</v>
      </c>
      <c r="N255" s="157" t="s">
        <v>2286</v>
      </c>
      <c r="O255" s="157" t="s">
        <v>2318</v>
      </c>
      <c r="P255" s="157" t="s">
        <v>2319</v>
      </c>
      <c r="Q255" s="157" t="s">
        <v>2320</v>
      </c>
    </row>
    <row r="256" spans="1:17" s="9" customFormat="1" x14ac:dyDescent="0.25">
      <c r="A256" s="156" t="s">
        <v>2315</v>
      </c>
      <c r="B256" s="156" t="str">
        <f>CHOOSE(Translations!$C$1+1,O256,P256,Q256)</f>
        <v>TCS-1b⁽ᴹ⁾ Porcentaje de adultos (15 años o más) en TARV entre el total de adultos viviendo con VIH al final del período de reporte</v>
      </c>
      <c r="C256" s="156">
        <f t="shared" si="8"/>
        <v>7</v>
      </c>
      <c r="D256" s="156" t="str">
        <f t="shared" si="9"/>
        <v>TCS-1b⁽ᴹ⁾ Porcentaje de adultos (15 años o más) en TARV entre el total de adultos viviendo con VIH al final del período de reporte-7</v>
      </c>
      <c r="E256" s="156" t="str">
        <f>CHOOSE(Translations!$C$1+1,I256,J256,K256)</f>
        <v>Género | Edad</v>
      </c>
      <c r="F256" s="156" t="str">
        <f>CHOOSE(Translations!$C$1+1,L256,M256,N256)</f>
        <v>Mujeres 20-24</v>
      </c>
      <c r="G256" s="156" t="s">
        <v>2333</v>
      </c>
      <c r="H256" s="157" t="s">
        <v>2334</v>
      </c>
      <c r="I256" s="157" t="s">
        <v>1424</v>
      </c>
      <c r="J256" s="157" t="s">
        <v>1425</v>
      </c>
      <c r="K256" s="157" t="s">
        <v>1426</v>
      </c>
      <c r="L256" s="157" t="s">
        <v>1427</v>
      </c>
      <c r="M256" s="157" t="s">
        <v>1428</v>
      </c>
      <c r="N256" s="157" t="s">
        <v>1429</v>
      </c>
      <c r="O256" s="157" t="s">
        <v>2318</v>
      </c>
      <c r="P256" s="157" t="s">
        <v>2319</v>
      </c>
      <c r="Q256" s="157" t="s">
        <v>2320</v>
      </c>
    </row>
    <row r="257" spans="1:17" s="9" customFormat="1" x14ac:dyDescent="0.25">
      <c r="A257" s="156" t="s">
        <v>2315</v>
      </c>
      <c r="B257" s="156" t="str">
        <f>CHOOSE(Translations!$C$1+1,O257,P257,Q257)</f>
        <v>TCS-1b⁽ᴹ⁾ Porcentaje de adultos (15 años o más) en TARV entre el total de adultos viviendo con VIH al final del período de reporte</v>
      </c>
      <c r="C257" s="156">
        <f t="shared" si="8"/>
        <v>8</v>
      </c>
      <c r="D257" s="156" t="str">
        <f t="shared" si="9"/>
        <v>TCS-1b⁽ᴹ⁾ Porcentaje de adultos (15 años o más) en TARV entre el total de adultos viviendo con VIH al final del período de reporte-8</v>
      </c>
      <c r="E257" s="156" t="str">
        <f>CHOOSE(Translations!$C$1+1,I257,J257,K257)</f>
        <v>Género | Edad</v>
      </c>
      <c r="F257" s="156" t="str">
        <f>CHOOSE(Translations!$C$1+1,L257,M257,N257)</f>
        <v>Hombres 20-24</v>
      </c>
      <c r="G257" s="156" t="s">
        <v>2335</v>
      </c>
      <c r="H257" s="157" t="s">
        <v>2336</v>
      </c>
      <c r="I257" s="157" t="s">
        <v>1424</v>
      </c>
      <c r="J257" s="157" t="s">
        <v>1425</v>
      </c>
      <c r="K257" s="157" t="s">
        <v>1426</v>
      </c>
      <c r="L257" s="157" t="s">
        <v>1435</v>
      </c>
      <c r="M257" s="157" t="s">
        <v>1436</v>
      </c>
      <c r="N257" s="157" t="s">
        <v>1437</v>
      </c>
      <c r="O257" s="157" t="s">
        <v>2318</v>
      </c>
      <c r="P257" s="157" t="s">
        <v>2319</v>
      </c>
      <c r="Q257" s="157" t="s">
        <v>2320</v>
      </c>
    </row>
    <row r="258" spans="1:17" s="9" customFormat="1" x14ac:dyDescent="0.25">
      <c r="A258" s="156" t="s">
        <v>2315</v>
      </c>
      <c r="B258" s="156" t="str">
        <f>CHOOSE(Translations!$C$1+1,O258,P258,Q258)</f>
        <v>TCS-1b⁽ᴹ⁾ Porcentaje de adultos (15 años o más) en TARV entre el total de adultos viviendo con VIH al final del período de reporte</v>
      </c>
      <c r="C258" s="156">
        <f t="shared" si="8"/>
        <v>9</v>
      </c>
      <c r="D258" s="156" t="str">
        <f t="shared" si="9"/>
        <v>TCS-1b⁽ᴹ⁾ Porcentaje de adultos (15 años o más) en TARV entre el total de adultos viviendo con VIH al final del período de reporte-9</v>
      </c>
      <c r="E258" s="156" t="str">
        <f>CHOOSE(Translations!$C$1+1,I258,J258,K258)</f>
        <v>Género | Edad</v>
      </c>
      <c r="F258" s="156" t="str">
        <f>CHOOSE(Translations!$C$1+1,L258,M258,N258)</f>
        <v>Mujeres 15-19</v>
      </c>
      <c r="G258" s="156" t="s">
        <v>2337</v>
      </c>
      <c r="H258" s="157" t="s">
        <v>2338</v>
      </c>
      <c r="I258" s="157" t="s">
        <v>1424</v>
      </c>
      <c r="J258" s="157" t="s">
        <v>1425</v>
      </c>
      <c r="K258" s="157" t="s">
        <v>1426</v>
      </c>
      <c r="L258" s="157" t="s">
        <v>1440</v>
      </c>
      <c r="M258" s="157" t="s">
        <v>1441</v>
      </c>
      <c r="N258" s="157" t="s">
        <v>1442</v>
      </c>
      <c r="O258" s="157" t="s">
        <v>2318</v>
      </c>
      <c r="P258" s="157" t="s">
        <v>2319</v>
      </c>
      <c r="Q258" s="157" t="s">
        <v>2320</v>
      </c>
    </row>
    <row r="259" spans="1:17" s="9" customFormat="1" x14ac:dyDescent="0.25">
      <c r="A259" s="156" t="s">
        <v>2315</v>
      </c>
      <c r="B259" s="156" t="str">
        <f>CHOOSE(Translations!$C$1+1,O259,P259,Q259)</f>
        <v>TCS-1b⁽ᴹ⁾ Porcentaje de adultos (15 años o más) en TARV entre el total de adultos viviendo con VIH al final del período de reporte</v>
      </c>
      <c r="C259" s="156">
        <f t="shared" si="8"/>
        <v>10</v>
      </c>
      <c r="D259" s="156" t="str">
        <f t="shared" si="9"/>
        <v>TCS-1b⁽ᴹ⁾ Porcentaje de adultos (15 años o más) en TARV entre el total de adultos viviendo con VIH al final del período de reporte-10</v>
      </c>
      <c r="E259" s="156" t="str">
        <f>CHOOSE(Translations!$C$1+1,I259,J259,K259)</f>
        <v>Género | Edad</v>
      </c>
      <c r="F259" s="156" t="str">
        <f>CHOOSE(Translations!$C$1+1,L259,M259,N259)</f>
        <v>Hombres 15-19</v>
      </c>
      <c r="G259" s="156" t="s">
        <v>2339</v>
      </c>
      <c r="H259" s="157" t="s">
        <v>2340</v>
      </c>
      <c r="I259" s="157" t="s">
        <v>1424</v>
      </c>
      <c r="J259" s="157" t="s">
        <v>1425</v>
      </c>
      <c r="K259" s="157" t="s">
        <v>1426</v>
      </c>
      <c r="L259" s="157" t="s">
        <v>1445</v>
      </c>
      <c r="M259" s="157" t="s">
        <v>1446</v>
      </c>
      <c r="N259" s="157" t="s">
        <v>1447</v>
      </c>
      <c r="O259" s="157" t="s">
        <v>2318</v>
      </c>
      <c r="P259" s="157" t="s">
        <v>2319</v>
      </c>
      <c r="Q259" s="157" t="s">
        <v>2320</v>
      </c>
    </row>
    <row r="260" spans="1:17" s="9" customFormat="1" x14ac:dyDescent="0.25">
      <c r="A260" s="156" t="s">
        <v>2315</v>
      </c>
      <c r="B260" s="156" t="str">
        <f>CHOOSE(Translations!$C$1+1,O260,P260,Q260)</f>
        <v>TCS-1b⁽ᴹ⁾ Porcentaje de adultos (15 años o más) en TARV entre el total de adultos viviendo con VIH al final del período de reporte</v>
      </c>
      <c r="C260" s="156">
        <f t="shared" si="8"/>
        <v>11</v>
      </c>
      <c r="D260" s="156" t="str">
        <f t="shared" si="9"/>
        <v>TCS-1b⁽ᴹ⁾ Porcentaje de adultos (15 años o más) en TARV entre el total de adultos viviendo con VIH al final del período de reporte-11</v>
      </c>
      <c r="E260" s="156" t="str">
        <f>CHOOSE(Translations!$C$1+1,I260,J260,K260)</f>
        <v>Género | Edad</v>
      </c>
      <c r="F260" s="156" t="str">
        <f>CHOOSE(Translations!$C$1+1,L260,M260,N260)</f>
        <v>Mujeres 15+</v>
      </c>
      <c r="G260" s="156" t="s">
        <v>2341</v>
      </c>
      <c r="H260" s="157" t="s">
        <v>2342</v>
      </c>
      <c r="I260" s="157" t="s">
        <v>1424</v>
      </c>
      <c r="J260" s="157" t="s">
        <v>1425</v>
      </c>
      <c r="K260" s="157" t="s">
        <v>1426</v>
      </c>
      <c r="L260" s="157" t="s">
        <v>2297</v>
      </c>
      <c r="M260" s="157" t="s">
        <v>2298</v>
      </c>
      <c r="N260" s="157" t="s">
        <v>2299</v>
      </c>
      <c r="O260" s="157" t="s">
        <v>2318</v>
      </c>
      <c r="P260" s="157" t="s">
        <v>2319</v>
      </c>
      <c r="Q260" s="157" t="s">
        <v>2320</v>
      </c>
    </row>
    <row r="261" spans="1:17" s="9" customFormat="1" x14ac:dyDescent="0.25">
      <c r="A261" s="156" t="s">
        <v>2315</v>
      </c>
      <c r="B261" s="156" t="str">
        <f>CHOOSE(Translations!$C$1+1,O261,P261,Q261)</f>
        <v>TCS-1b⁽ᴹ⁾ Porcentaje de adultos (15 años o más) en TARV entre el total de adultos viviendo con VIH al final del período de reporte</v>
      </c>
      <c r="C261" s="156">
        <f t="shared" si="8"/>
        <v>12</v>
      </c>
      <c r="D261" s="156" t="str">
        <f t="shared" si="9"/>
        <v>TCS-1b⁽ᴹ⁾ Porcentaje de adultos (15 años o más) en TARV entre el total de adultos viviendo con VIH al final del período de reporte-12</v>
      </c>
      <c r="E261" s="156" t="str">
        <f>CHOOSE(Translations!$C$1+1,I261,J261,K261)</f>
        <v>Género | Edad</v>
      </c>
      <c r="F261" s="156" t="str">
        <f>CHOOSE(Translations!$C$1+1,L261,M261,N261)</f>
        <v>Hombres 15+</v>
      </c>
      <c r="G261" s="156" t="s">
        <v>2343</v>
      </c>
      <c r="H261" s="157" t="s">
        <v>2344</v>
      </c>
      <c r="I261" s="157" t="s">
        <v>1424</v>
      </c>
      <c r="J261" s="157" t="s">
        <v>1425</v>
      </c>
      <c r="K261" s="157" t="s">
        <v>1426</v>
      </c>
      <c r="L261" s="157" t="s">
        <v>2302</v>
      </c>
      <c r="M261" s="157" t="s">
        <v>2303</v>
      </c>
      <c r="N261" s="157" t="s">
        <v>2304</v>
      </c>
      <c r="O261" s="157" t="s">
        <v>2318</v>
      </c>
      <c r="P261" s="157" t="s">
        <v>2319</v>
      </c>
      <c r="Q261" s="157" t="s">
        <v>2320</v>
      </c>
    </row>
    <row r="262" spans="1:17" s="9" customFormat="1" x14ac:dyDescent="0.25">
      <c r="A262" s="156" t="s">
        <v>2315</v>
      </c>
      <c r="B262" s="156" t="str">
        <f>CHOOSE(Translations!$C$1+1,O262,P262,Q262)</f>
        <v>TCS-1b⁽ᴹ⁾ Porcentaje de adultos (15 años o más) en TARV entre el total de adultos viviendo con VIH al final del período de reporte</v>
      </c>
      <c r="C262" s="156">
        <f t="shared" si="8"/>
        <v>13</v>
      </c>
      <c r="D262" s="156" t="str">
        <f t="shared" si="9"/>
        <v>TCS-1b⁽ᴹ⁾ Porcentaje de adultos (15 años o más) en TARV entre el total de adultos viviendo con VIH al final del período de reporte-13</v>
      </c>
      <c r="E262" s="156" t="str">
        <f>CHOOSE(Translations!$C$1+1,I262,J262,K262)</f>
        <v>Género</v>
      </c>
      <c r="F262" s="156" t="str">
        <f>CHOOSE(Translations!$C$1+1,L262,M262,N262)</f>
        <v>Transgénero</v>
      </c>
      <c r="G262" s="156" t="s">
        <v>2345</v>
      </c>
      <c r="H262" s="157" t="s">
        <v>2346</v>
      </c>
      <c r="I262" s="157" t="s">
        <v>1450</v>
      </c>
      <c r="J262" s="157" t="s">
        <v>1451</v>
      </c>
      <c r="K262" s="157" t="s">
        <v>1452</v>
      </c>
      <c r="L262" s="157" t="s">
        <v>1534</v>
      </c>
      <c r="M262" s="157" t="s">
        <v>1535</v>
      </c>
      <c r="N262" s="157" t="s">
        <v>1536</v>
      </c>
      <c r="O262" s="157" t="s">
        <v>2318</v>
      </c>
      <c r="P262" s="157" t="s">
        <v>2319</v>
      </c>
      <c r="Q262" s="157" t="s">
        <v>2320</v>
      </c>
    </row>
    <row r="263" spans="1:17" s="9" customFormat="1" x14ac:dyDescent="0.25">
      <c r="A263" s="156" t="s">
        <v>2315</v>
      </c>
      <c r="B263" s="156" t="str">
        <f>CHOOSE(Translations!$C$1+1,O263,P263,Q263)</f>
        <v>TCS-1b⁽ᴹ⁾ Porcentaje de adultos (15 años o más) en TARV entre el total de adultos viviendo con VIH al final del período de reporte</v>
      </c>
      <c r="C263" s="156">
        <f t="shared" si="8"/>
        <v>14</v>
      </c>
      <c r="D263" s="156" t="str">
        <f t="shared" si="9"/>
        <v>TCS-1b⁽ᴹ⁾ Porcentaje de adultos (15 años o más) en TARV entre el total de adultos viviendo con VIH al final del período de reporte-14</v>
      </c>
      <c r="E263" s="156" t="str">
        <f>CHOOSE(Translations!$C$1+1,I263,J263,K263)</f>
        <v>Género</v>
      </c>
      <c r="F263" s="156" t="str">
        <f>CHOOSE(Translations!$C$1+1,L263,M263,N263)</f>
        <v>Mujeres</v>
      </c>
      <c r="G263" s="156" t="s">
        <v>2347</v>
      </c>
      <c r="H263" s="157" t="s">
        <v>2348</v>
      </c>
      <c r="I263" s="157" t="s">
        <v>1450</v>
      </c>
      <c r="J263" s="157" t="s">
        <v>1451</v>
      </c>
      <c r="K263" s="157" t="s">
        <v>1452</v>
      </c>
      <c r="L263" s="157" t="s">
        <v>1453</v>
      </c>
      <c r="M263" s="157" t="s">
        <v>1454</v>
      </c>
      <c r="N263" s="157" t="s">
        <v>1455</v>
      </c>
      <c r="O263" s="157" t="s">
        <v>2318</v>
      </c>
      <c r="P263" s="157" t="s">
        <v>2319</v>
      </c>
      <c r="Q263" s="157" t="s">
        <v>2320</v>
      </c>
    </row>
    <row r="264" spans="1:17" s="9" customFormat="1" x14ac:dyDescent="0.25">
      <c r="A264" s="156" t="s">
        <v>2315</v>
      </c>
      <c r="B264" s="156" t="str">
        <f>CHOOSE(Translations!$C$1+1,O264,P264,Q264)</f>
        <v>TCS-1b⁽ᴹ⁾ Porcentaje de adultos (15 años o más) en TARV entre el total de adultos viviendo con VIH al final del período de reporte</v>
      </c>
      <c r="C264" s="156">
        <f t="shared" si="8"/>
        <v>15</v>
      </c>
      <c r="D264" s="156" t="str">
        <f t="shared" si="9"/>
        <v>TCS-1b⁽ᴹ⁾ Porcentaje de adultos (15 años o más) en TARV entre el total de adultos viviendo con VIH al final del período de reporte-15</v>
      </c>
      <c r="E264" s="156" t="str">
        <f>CHOOSE(Translations!$C$1+1,I264,J264,K264)</f>
        <v>Género</v>
      </c>
      <c r="F264" s="156" t="str">
        <f>CHOOSE(Translations!$C$1+1,L264,M264,N264)</f>
        <v>Hombres</v>
      </c>
      <c r="G264" s="156" t="s">
        <v>2349</v>
      </c>
      <c r="H264" s="157" t="s">
        <v>2350</v>
      </c>
      <c r="I264" s="157" t="s">
        <v>1450</v>
      </c>
      <c r="J264" s="157" t="s">
        <v>1451</v>
      </c>
      <c r="K264" s="157" t="s">
        <v>1452</v>
      </c>
      <c r="L264" s="157" t="s">
        <v>1458</v>
      </c>
      <c r="M264" s="157" t="s">
        <v>1459</v>
      </c>
      <c r="N264" s="157" t="s">
        <v>1460</v>
      </c>
      <c r="O264" s="157" t="s">
        <v>2318</v>
      </c>
      <c r="P264" s="157" t="s">
        <v>2319</v>
      </c>
      <c r="Q264" s="157" t="s">
        <v>2320</v>
      </c>
    </row>
    <row r="265" spans="1:17" s="9" customFormat="1" x14ac:dyDescent="0.25">
      <c r="A265" s="156" t="s">
        <v>2351</v>
      </c>
      <c r="B265" s="156" t="str">
        <f>CHOOSE(Translations!$C$1+1,O265,P265,Q265)</f>
        <v>TCS-1c⁽ᴹ⁾ Porcentaje de niños (menores de 15 años) en TARV entre el total de niños viviendo con VIH al final del período de reporte</v>
      </c>
      <c r="C265" s="156">
        <f t="shared" si="8"/>
        <v>0</v>
      </c>
      <c r="D265" s="156" t="str">
        <f t="shared" si="9"/>
        <v>TCS-1c⁽ᴹ⁾ Porcentaje de niños (menores de 15 años) en TARV entre el total de niños viviendo con VIH al final del período de reporte-0</v>
      </c>
      <c r="E265" s="156" t="str">
        <f>CHOOSE(Translations!$C$1+1,I265,J265,K265)</f>
        <v>Duración del tratamiento</v>
      </c>
      <c r="F265" s="156" t="str">
        <f>CHOOSE(Translations!$C$1+1,L265,M265,N265)</f>
        <v>Iniciaron TARV recientemente</v>
      </c>
      <c r="G265" s="156" t="s">
        <v>2352</v>
      </c>
      <c r="H265" s="157" t="s">
        <v>2353</v>
      </c>
      <c r="I265" s="157" t="s">
        <v>2271</v>
      </c>
      <c r="J265" s="157" t="s">
        <v>2272</v>
      </c>
      <c r="K265" s="157" t="s">
        <v>2273</v>
      </c>
      <c r="L265" s="157" t="s">
        <v>2274</v>
      </c>
      <c r="M265" s="157" t="s">
        <v>2275</v>
      </c>
      <c r="N265" s="157" t="s">
        <v>2276</v>
      </c>
      <c r="O265" s="157" t="s">
        <v>2354</v>
      </c>
      <c r="P265" s="157" t="s">
        <v>2355</v>
      </c>
      <c r="Q265" s="157" t="s">
        <v>2356</v>
      </c>
    </row>
    <row r="266" spans="1:17" s="9" customFormat="1" x14ac:dyDescent="0.25">
      <c r="A266" s="156" t="s">
        <v>2351</v>
      </c>
      <c r="B266" s="156" t="str">
        <f>CHOOSE(Translations!$C$1+1,O266,P266,Q266)</f>
        <v>TCS-1c⁽ᴹ⁾ Porcentaje de niños (menores de 15 años) en TARV entre el total de niños viviendo con VIH al final del período de reporte</v>
      </c>
      <c r="C266" s="156">
        <f t="shared" si="8"/>
        <v>1</v>
      </c>
      <c r="D266" s="156" t="str">
        <f t="shared" si="9"/>
        <v>TCS-1c⁽ᴹ⁾ Porcentaje de niños (menores de 15 años) en TARV entre el total de niños viviendo con VIH al final del período de reporte-1</v>
      </c>
      <c r="E266" s="156" t="str">
        <f>CHOOSE(Translations!$C$1+1,I266,J266,K266)</f>
        <v>Género</v>
      </c>
      <c r="F266" s="156" t="str">
        <f>CHOOSE(Translations!$C$1+1,L266,M266,N266)</f>
        <v>Mujeres</v>
      </c>
      <c r="G266" s="156" t="s">
        <v>2357</v>
      </c>
      <c r="H266" s="157" t="s">
        <v>2358</v>
      </c>
      <c r="I266" s="157" t="s">
        <v>1450</v>
      </c>
      <c r="J266" s="157" t="s">
        <v>1451</v>
      </c>
      <c r="K266" s="157" t="s">
        <v>1452</v>
      </c>
      <c r="L266" s="157" t="s">
        <v>1453</v>
      </c>
      <c r="M266" s="157" t="s">
        <v>1454</v>
      </c>
      <c r="N266" s="157" t="s">
        <v>1455</v>
      </c>
      <c r="O266" s="157" t="s">
        <v>2354</v>
      </c>
      <c r="P266" s="157" t="s">
        <v>2355</v>
      </c>
      <c r="Q266" s="157" t="s">
        <v>2356</v>
      </c>
    </row>
    <row r="267" spans="1:17" s="9" customFormat="1" x14ac:dyDescent="0.25">
      <c r="A267" s="156" t="s">
        <v>2351</v>
      </c>
      <c r="B267" s="156" t="str">
        <f>CHOOSE(Translations!$C$1+1,O267,P267,Q267)</f>
        <v>TCS-1c⁽ᴹ⁾ Porcentaje de niños (menores de 15 años) en TARV entre el total de niños viviendo con VIH al final del período de reporte</v>
      </c>
      <c r="C267" s="156">
        <f t="shared" si="8"/>
        <v>2</v>
      </c>
      <c r="D267" s="156" t="str">
        <f t="shared" si="9"/>
        <v>TCS-1c⁽ᴹ⁾ Porcentaje de niños (menores de 15 años) en TARV entre el total de niños viviendo con VIH al final del período de reporte-2</v>
      </c>
      <c r="E267" s="156" t="str">
        <f>CHOOSE(Translations!$C$1+1,I267,J267,K267)</f>
        <v>Género</v>
      </c>
      <c r="F267" s="156" t="str">
        <f>CHOOSE(Translations!$C$1+1,L267,M267,N267)</f>
        <v>Hombres</v>
      </c>
      <c r="G267" s="156" t="s">
        <v>2359</v>
      </c>
      <c r="H267" s="157" t="s">
        <v>2360</v>
      </c>
      <c r="I267" s="157" t="s">
        <v>1450</v>
      </c>
      <c r="J267" s="157" t="s">
        <v>1451</v>
      </c>
      <c r="K267" s="157" t="s">
        <v>1452</v>
      </c>
      <c r="L267" s="157" t="s">
        <v>1458</v>
      </c>
      <c r="M267" s="157" t="s">
        <v>1459</v>
      </c>
      <c r="N267" s="157" t="s">
        <v>1460</v>
      </c>
      <c r="O267" s="157" t="s">
        <v>2354</v>
      </c>
      <c r="P267" s="157" t="s">
        <v>2355</v>
      </c>
      <c r="Q267" s="157" t="s">
        <v>2356</v>
      </c>
    </row>
    <row r="268" spans="1:17" s="9" customFormat="1" x14ac:dyDescent="0.25">
      <c r="A268" s="156" t="s">
        <v>2361</v>
      </c>
      <c r="B268" s="156" t="str">
        <f>CHOOSE(Translations!$C$1+1,O268,P268,Q268)</f>
        <v>TCP-1⁽ᴹ⁾ Número de casos notificados de todas las formas de tuberculosis (esto es, confirmados bacteriológicamente y con diagnóstico clínico), casos nuevos y recaídas.</v>
      </c>
      <c r="C268" s="156">
        <f t="shared" si="8"/>
        <v>0</v>
      </c>
      <c r="D268" s="156" t="str">
        <f t="shared" si="9"/>
        <v>TCP-1⁽ᴹ⁾ Número de casos notificados de todas las formas de tuberculosis (esto es, confirmados bacteriológicamente y con diagnóstico clínico), casos nuevos y recaídas.-0</v>
      </c>
      <c r="E268" s="156" t="str">
        <f>CHOOSE(Translations!$C$1+1,I268,J268,K268)</f>
        <v>Definición de caso</v>
      </c>
      <c r="F268" s="156" t="str">
        <f>CHOOSE(Translations!$C$1+1,L268,M268,N268)</f>
        <v>Confirmado bacteriológicamente</v>
      </c>
      <c r="G268" s="156" t="s">
        <v>2362</v>
      </c>
      <c r="H268" s="157" t="s">
        <v>2363</v>
      </c>
      <c r="I268" s="157" t="s">
        <v>2364</v>
      </c>
      <c r="J268" s="157" t="s">
        <v>1566</v>
      </c>
      <c r="K268" s="157" t="s">
        <v>1567</v>
      </c>
      <c r="L268" s="157" t="s">
        <v>2365</v>
      </c>
      <c r="M268" s="157" t="s">
        <v>2366</v>
      </c>
      <c r="N268" s="157" t="s">
        <v>2367</v>
      </c>
      <c r="O268" s="157" t="s">
        <v>2368</v>
      </c>
      <c r="P268" s="157" t="s">
        <v>2369</v>
      </c>
      <c r="Q268" s="157" t="s">
        <v>2370</v>
      </c>
    </row>
    <row r="269" spans="1:17" s="9" customFormat="1" x14ac:dyDescent="0.25">
      <c r="A269" s="156" t="s">
        <v>2361</v>
      </c>
      <c r="B269" s="156" t="str">
        <f>CHOOSE(Translations!$C$1+1,O269,P269,Q269)</f>
        <v>TCP-1⁽ᴹ⁾ Número de casos notificados de todas las formas de tuberculosis (esto es, confirmados bacteriológicamente y con diagnóstico clínico), casos nuevos y recaídas.</v>
      </c>
      <c r="C269" s="156">
        <f t="shared" si="8"/>
        <v>1</v>
      </c>
      <c r="D269" s="156" t="str">
        <f t="shared" si="9"/>
        <v>TCP-1⁽ᴹ⁾ Número de casos notificados de todas las formas de tuberculosis (esto es, confirmados bacteriológicamente y con diagnóstico clínico), casos nuevos y recaídas.-1</v>
      </c>
      <c r="E269" s="156" t="str">
        <f>CHOOSE(Translations!$C$1+1,I269,J269,K269)</f>
        <v>Resultado de prueba del VIH</v>
      </c>
      <c r="F269" s="156" t="str">
        <f>CHOOSE(Translations!$C$1+1,L269,M269,N269)</f>
        <v>No documentado</v>
      </c>
      <c r="G269" s="156" t="s">
        <v>2371</v>
      </c>
      <c r="H269" s="157" t="s">
        <v>2372</v>
      </c>
      <c r="I269" s="157" t="s">
        <v>2068</v>
      </c>
      <c r="J269" s="157" t="s">
        <v>2069</v>
      </c>
      <c r="K269" s="157" t="s">
        <v>2070</v>
      </c>
      <c r="L269" s="157" t="s">
        <v>2373</v>
      </c>
      <c r="M269" s="157" t="s">
        <v>2374</v>
      </c>
      <c r="N269" s="157" t="s">
        <v>2375</v>
      </c>
      <c r="O269" s="157" t="s">
        <v>2368</v>
      </c>
      <c r="P269" s="157" t="s">
        <v>2369</v>
      </c>
      <c r="Q269" s="157" t="s">
        <v>2370</v>
      </c>
    </row>
    <row r="270" spans="1:17" s="9" customFormat="1" x14ac:dyDescent="0.25">
      <c r="A270" s="156" t="s">
        <v>2361</v>
      </c>
      <c r="B270" s="156" t="str">
        <f>CHOOSE(Translations!$C$1+1,O270,P270,Q270)</f>
        <v>TCP-1⁽ᴹ⁾ Número de casos notificados de todas las formas de tuberculosis (esto es, confirmados bacteriológicamente y con diagnóstico clínico), casos nuevos y recaídas.</v>
      </c>
      <c r="C270" s="156">
        <f t="shared" si="8"/>
        <v>2</v>
      </c>
      <c r="D270" s="156" t="str">
        <f t="shared" si="9"/>
        <v>TCP-1⁽ᴹ⁾ Número de casos notificados de todas las formas de tuberculosis (esto es, confirmados bacteriológicamente y con diagnóstico clínico), casos nuevos y recaídas.-2</v>
      </c>
      <c r="E270" s="156" t="str">
        <f>CHOOSE(Translations!$C$1+1,I270,J270,K270)</f>
        <v>Resultado de prueba del VIH</v>
      </c>
      <c r="F270" s="156" t="str">
        <f>CHOOSE(Translations!$C$1+1,L270,M270,N270)</f>
        <v>Negativo</v>
      </c>
      <c r="G270" s="156" t="s">
        <v>2376</v>
      </c>
      <c r="H270" s="157" t="s">
        <v>2377</v>
      </c>
      <c r="I270" s="157" t="s">
        <v>2068</v>
      </c>
      <c r="J270" s="157" t="s">
        <v>2069</v>
      </c>
      <c r="K270" s="157" t="s">
        <v>2070</v>
      </c>
      <c r="L270" s="157" t="s">
        <v>2071</v>
      </c>
      <c r="M270" s="157" t="s">
        <v>2072</v>
      </c>
      <c r="N270" s="157" t="s">
        <v>2073</v>
      </c>
      <c r="O270" s="157" t="s">
        <v>2368</v>
      </c>
      <c r="P270" s="157" t="s">
        <v>2369</v>
      </c>
      <c r="Q270" s="157" t="s">
        <v>2370</v>
      </c>
    </row>
    <row r="271" spans="1:17" s="9" customFormat="1" x14ac:dyDescent="0.25">
      <c r="A271" s="156" t="s">
        <v>2361</v>
      </c>
      <c r="B271" s="156" t="str">
        <f>CHOOSE(Translations!$C$1+1,O271,P271,Q271)</f>
        <v>TCP-1⁽ᴹ⁾ Número de casos notificados de todas las formas de tuberculosis (esto es, confirmados bacteriológicamente y con diagnóstico clínico), casos nuevos y recaídas.</v>
      </c>
      <c r="C271" s="156">
        <f t="shared" si="8"/>
        <v>3</v>
      </c>
      <c r="D271" s="156" t="str">
        <f t="shared" si="9"/>
        <v>TCP-1⁽ᴹ⁾ Número de casos notificados de todas las formas de tuberculosis (esto es, confirmados bacteriológicamente y con diagnóstico clínico), casos nuevos y recaídas.-3</v>
      </c>
      <c r="E271" s="156" t="str">
        <f>CHOOSE(Translations!$C$1+1,I271,J271,K271)</f>
        <v>Resultado de prueba del VIH</v>
      </c>
      <c r="F271" s="156" t="str">
        <f>CHOOSE(Translations!$C$1+1,L271,M271,N271)</f>
        <v>Positivo</v>
      </c>
      <c r="G271" s="156" t="s">
        <v>2378</v>
      </c>
      <c r="H271" s="157" t="s">
        <v>2379</v>
      </c>
      <c r="I271" s="157" t="s">
        <v>2068</v>
      </c>
      <c r="J271" s="157" t="s">
        <v>2069</v>
      </c>
      <c r="K271" s="157" t="s">
        <v>2070</v>
      </c>
      <c r="L271" s="157" t="s">
        <v>2079</v>
      </c>
      <c r="M271" s="157" t="s">
        <v>2080</v>
      </c>
      <c r="N271" s="157" t="s">
        <v>2081</v>
      </c>
      <c r="O271" s="157" t="s">
        <v>2368</v>
      </c>
      <c r="P271" s="157" t="s">
        <v>2369</v>
      </c>
      <c r="Q271" s="157" t="s">
        <v>2370</v>
      </c>
    </row>
    <row r="272" spans="1:17" s="9" customFormat="1" x14ac:dyDescent="0.25">
      <c r="A272" s="156" t="s">
        <v>2361</v>
      </c>
      <c r="B272" s="156" t="str">
        <f>CHOOSE(Translations!$C$1+1,O272,P272,Q272)</f>
        <v>TCP-1⁽ᴹ⁾ Número de casos notificados de todas las formas de tuberculosis (esto es, confirmados bacteriológicamente y con diagnóstico clínico), casos nuevos y recaídas.</v>
      </c>
      <c r="C272" s="156">
        <f t="shared" si="8"/>
        <v>4</v>
      </c>
      <c r="D272" s="156" t="str">
        <f t="shared" si="9"/>
        <v>TCP-1⁽ᴹ⁾ Número de casos notificados de todas las formas de tuberculosis (esto es, confirmados bacteriológicamente y con diagnóstico clínico), casos nuevos y recaídas.-4</v>
      </c>
      <c r="E272" s="156" t="str">
        <f>CHOOSE(Translations!$C$1+1,I272,J272,K272)</f>
        <v>Género</v>
      </c>
      <c r="F272" s="156" t="str">
        <f>CHOOSE(Translations!$C$1+1,L272,M272,N272)</f>
        <v>Mujeres</v>
      </c>
      <c r="G272" s="156" t="s">
        <v>2380</v>
      </c>
      <c r="H272" s="157" t="s">
        <v>2381</v>
      </c>
      <c r="I272" s="157" t="s">
        <v>1450</v>
      </c>
      <c r="J272" s="157" t="s">
        <v>1451</v>
      </c>
      <c r="K272" s="157" t="s">
        <v>1452</v>
      </c>
      <c r="L272" s="157" t="s">
        <v>1453</v>
      </c>
      <c r="M272" s="157" t="s">
        <v>1454</v>
      </c>
      <c r="N272" s="157" t="s">
        <v>1455</v>
      </c>
      <c r="O272" s="157" t="s">
        <v>2368</v>
      </c>
      <c r="P272" s="157" t="s">
        <v>2369</v>
      </c>
      <c r="Q272" s="157" t="s">
        <v>2370</v>
      </c>
    </row>
    <row r="273" spans="1:17" s="9" customFormat="1" x14ac:dyDescent="0.25">
      <c r="A273" s="156" t="s">
        <v>2361</v>
      </c>
      <c r="B273" s="156" t="str">
        <f>CHOOSE(Translations!$C$1+1,O273,P273,Q273)</f>
        <v>TCP-1⁽ᴹ⁾ Número de casos notificados de todas las formas de tuberculosis (esto es, confirmados bacteriológicamente y con diagnóstico clínico), casos nuevos y recaídas.</v>
      </c>
      <c r="C273" s="156">
        <f t="shared" si="8"/>
        <v>5</v>
      </c>
      <c r="D273" s="156" t="str">
        <f t="shared" si="9"/>
        <v>TCP-1⁽ᴹ⁾ Número de casos notificados de todas las formas de tuberculosis (esto es, confirmados bacteriológicamente y con diagnóstico clínico), casos nuevos y recaídas.-5</v>
      </c>
      <c r="E273" s="156" t="str">
        <f>CHOOSE(Translations!$C$1+1,I273,J273,K273)</f>
        <v>Género</v>
      </c>
      <c r="F273" s="156" t="str">
        <f>CHOOSE(Translations!$C$1+1,L273,M273,N273)</f>
        <v>Hombres</v>
      </c>
      <c r="G273" s="156" t="s">
        <v>2382</v>
      </c>
      <c r="H273" s="157" t="s">
        <v>2383</v>
      </c>
      <c r="I273" s="157" t="s">
        <v>1450</v>
      </c>
      <c r="J273" s="157" t="s">
        <v>1451</v>
      </c>
      <c r="K273" s="157" t="s">
        <v>1452</v>
      </c>
      <c r="L273" s="157" t="s">
        <v>1458</v>
      </c>
      <c r="M273" s="157" t="s">
        <v>1459</v>
      </c>
      <c r="N273" s="157" t="s">
        <v>1460</v>
      </c>
      <c r="O273" s="157" t="s">
        <v>2368</v>
      </c>
      <c r="P273" s="157" t="s">
        <v>2369</v>
      </c>
      <c r="Q273" s="157" t="s">
        <v>2370</v>
      </c>
    </row>
    <row r="274" spans="1:17" s="9" customFormat="1" x14ac:dyDescent="0.25">
      <c r="A274" s="156" t="s">
        <v>2361</v>
      </c>
      <c r="B274" s="156" t="str">
        <f>CHOOSE(Translations!$C$1+1,O274,P274,Q274)</f>
        <v>TCP-1⁽ᴹ⁾ Número de casos notificados de todas las formas de tuberculosis (esto es, confirmados bacteriológicamente y con diagnóstico clínico), casos nuevos y recaídas.</v>
      </c>
      <c r="C274" s="156">
        <f t="shared" si="8"/>
        <v>6</v>
      </c>
      <c r="D274" s="156" t="str">
        <f t="shared" si="9"/>
        <v>TCP-1⁽ᴹ⁾ Número de casos notificados de todas las formas de tuberculosis (esto es, confirmados bacteriológicamente y con diagnóstico clínico), casos nuevos y recaídas.-6</v>
      </c>
      <c r="E274" s="156" t="str">
        <f>CHOOSE(Translations!$C$1+1,I274,J274,K274)</f>
        <v>Edad</v>
      </c>
      <c r="F274" s="156" t="str">
        <f>CHOOSE(Translations!$C$1+1,L274,M274,N274)</f>
        <v>15+</v>
      </c>
      <c r="G274" s="156" t="s">
        <v>2384</v>
      </c>
      <c r="H274" s="157" t="s">
        <v>2385</v>
      </c>
      <c r="I274" s="157" t="s">
        <v>1463</v>
      </c>
      <c r="J274" s="157" t="s">
        <v>1463</v>
      </c>
      <c r="K274" s="157" t="s">
        <v>1464</v>
      </c>
      <c r="L274" s="157" t="s">
        <v>1465</v>
      </c>
      <c r="M274" s="157" t="s">
        <v>1465</v>
      </c>
      <c r="N274" s="157" t="s">
        <v>1465</v>
      </c>
      <c r="O274" s="157" t="s">
        <v>2368</v>
      </c>
      <c r="P274" s="157" t="s">
        <v>2369</v>
      </c>
      <c r="Q274" s="157" t="s">
        <v>2370</v>
      </c>
    </row>
    <row r="275" spans="1:17" s="9" customFormat="1" x14ac:dyDescent="0.25">
      <c r="A275" s="156" t="s">
        <v>2361</v>
      </c>
      <c r="B275" s="156" t="str">
        <f>CHOOSE(Translations!$C$1+1,O275,P275,Q275)</f>
        <v>TCP-1⁽ᴹ⁾ Número de casos notificados de todas las formas de tuberculosis (esto es, confirmados bacteriológicamente y con diagnóstico clínico), casos nuevos y recaídas.</v>
      </c>
      <c r="C275" s="156">
        <f t="shared" si="8"/>
        <v>7</v>
      </c>
      <c r="D275" s="156" t="str">
        <f t="shared" si="9"/>
        <v>TCP-1⁽ᴹ⁾ Número de casos notificados de todas las formas de tuberculosis (esto es, confirmados bacteriológicamente y con diagnóstico clínico), casos nuevos y recaídas.-7</v>
      </c>
      <c r="E275" s="156" t="str">
        <f>CHOOSE(Translations!$C$1+1,I275,J275,K275)</f>
        <v>Edad</v>
      </c>
      <c r="F275" s="156" t="str">
        <f>CHOOSE(Translations!$C$1+1,L275,M275,N275)</f>
        <v>&lt;15</v>
      </c>
      <c r="G275" s="156" t="s">
        <v>2386</v>
      </c>
      <c r="H275" s="157" t="s">
        <v>2387</v>
      </c>
      <c r="I275" s="157" t="s">
        <v>1463</v>
      </c>
      <c r="J275" s="157" t="s">
        <v>1463</v>
      </c>
      <c r="K275" s="157" t="s">
        <v>1464</v>
      </c>
      <c r="L275" s="157" t="s">
        <v>1468</v>
      </c>
      <c r="M275" s="157" t="s">
        <v>1468</v>
      </c>
      <c r="N275" s="157" t="s">
        <v>1468</v>
      </c>
      <c r="O275" s="157" t="s">
        <v>2368</v>
      </c>
      <c r="P275" s="157" t="s">
        <v>2369</v>
      </c>
      <c r="Q275" s="157" t="s">
        <v>2370</v>
      </c>
    </row>
    <row r="276" spans="1:17" s="9" customFormat="1" x14ac:dyDescent="0.25">
      <c r="A276" s="156" t="s">
        <v>2388</v>
      </c>
      <c r="B276" s="156" t="str">
        <f>CHOOSE(Translations!$C$1+1,O276,P276,Q276)</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6" s="156">
        <f t="shared" si="8"/>
        <v>0</v>
      </c>
      <c r="D276"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E276" s="156" t="str">
        <f>CHOOSE(Translations!$C$1+1,I276,J276,K276)</f>
        <v>Resultado de prueba del VIH</v>
      </c>
      <c r="F276" s="156" t="str">
        <f>CHOOSE(Translations!$C$1+1,L276,M276,N276)</f>
        <v>No documentado</v>
      </c>
      <c r="G276" s="156" t="s">
        <v>2389</v>
      </c>
      <c r="H276" s="157" t="s">
        <v>2390</v>
      </c>
      <c r="I276" s="157" t="s">
        <v>2068</v>
      </c>
      <c r="J276" s="157" t="s">
        <v>2069</v>
      </c>
      <c r="K276" s="157" t="s">
        <v>2070</v>
      </c>
      <c r="L276" s="157" t="s">
        <v>2373</v>
      </c>
      <c r="M276" s="157" t="s">
        <v>2374</v>
      </c>
      <c r="N276" s="157" t="s">
        <v>2375</v>
      </c>
      <c r="O276" s="157" t="s">
        <v>2391</v>
      </c>
      <c r="P276" s="157" t="s">
        <v>2392</v>
      </c>
      <c r="Q276" s="157" t="s">
        <v>2393</v>
      </c>
    </row>
    <row r="277" spans="1:17" s="9" customFormat="1" x14ac:dyDescent="0.25">
      <c r="A277" s="156" t="s">
        <v>2388</v>
      </c>
      <c r="B277" s="156" t="str">
        <f>CHOOSE(Translations!$C$1+1,O277,P277,Q277)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7" s="156">
        <f t="shared" si="8"/>
        <v>1</v>
      </c>
      <c r="D277"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E277" s="156" t="str">
        <f>CHOOSE(Translations!$C$1+1,I277,J277,K277)</f>
        <v>Resultado de prueba del VIH</v>
      </c>
      <c r="F277" s="156" t="str">
        <f>CHOOSE(Translations!$C$1+1,L277,M277,N277)</f>
        <v>Negativo</v>
      </c>
      <c r="G277" s="156" t="s">
        <v>2394</v>
      </c>
      <c r="H277" s="157" t="s">
        <v>2395</v>
      </c>
      <c r="I277" s="157" t="s">
        <v>2068</v>
      </c>
      <c r="J277" s="157" t="s">
        <v>2069</v>
      </c>
      <c r="K277" s="157" t="s">
        <v>2070</v>
      </c>
      <c r="L277" s="157" t="s">
        <v>2071</v>
      </c>
      <c r="M277" s="157" t="s">
        <v>2072</v>
      </c>
      <c r="N277" s="157" t="s">
        <v>2073</v>
      </c>
      <c r="O277" s="157" t="s">
        <v>2391</v>
      </c>
      <c r="P277" s="157" t="s">
        <v>2392</v>
      </c>
      <c r="Q277" s="157" t="s">
        <v>2393</v>
      </c>
    </row>
    <row r="278" spans="1:17" s="9" customFormat="1" x14ac:dyDescent="0.25">
      <c r="A278" s="156" t="s">
        <v>2388</v>
      </c>
      <c r="B278" s="156" t="str">
        <f>CHOOSE(Translations!$C$1+1,O278,P278,Q278)</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8" s="156">
        <f t="shared" si="8"/>
        <v>2</v>
      </c>
      <c r="D278"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E278" s="156" t="str">
        <f>CHOOSE(Translations!$C$1+1,I278,J278,K278)</f>
        <v>Resultado de prueba del VIH</v>
      </c>
      <c r="F278" s="156" t="str">
        <f>CHOOSE(Translations!$C$1+1,L278,M278,N278)</f>
        <v>Positivo</v>
      </c>
      <c r="G278" s="156" t="s">
        <v>2396</v>
      </c>
      <c r="H278" s="157" t="s">
        <v>2397</v>
      </c>
      <c r="I278" s="157" t="s">
        <v>2068</v>
      </c>
      <c r="J278" s="157" t="s">
        <v>2069</v>
      </c>
      <c r="K278" s="157" t="s">
        <v>2070</v>
      </c>
      <c r="L278" s="157" t="s">
        <v>2079</v>
      </c>
      <c r="M278" s="157" t="s">
        <v>2080</v>
      </c>
      <c r="N278" s="157" t="s">
        <v>2081</v>
      </c>
      <c r="O278" s="157" t="s">
        <v>2391</v>
      </c>
      <c r="P278" s="157" t="s">
        <v>2392</v>
      </c>
      <c r="Q278" s="157" t="s">
        <v>2393</v>
      </c>
    </row>
    <row r="279" spans="1:17" s="9" customFormat="1" x14ac:dyDescent="0.25">
      <c r="A279" s="156" t="s">
        <v>2388</v>
      </c>
      <c r="B279" s="156" t="str">
        <f>CHOOSE(Translations!$C$1+1,O279,P279,Q279)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9" s="156">
        <f t="shared" si="8"/>
        <v>3</v>
      </c>
      <c r="D279"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E279" s="156" t="str">
        <f>CHOOSE(Translations!$C$1+1,I279,J279,K279)</f>
        <v>Género</v>
      </c>
      <c r="F279" s="156" t="str">
        <f>CHOOSE(Translations!$C$1+1,L279,M279,N279)</f>
        <v>Mujeres</v>
      </c>
      <c r="G279" s="156" t="s">
        <v>2398</v>
      </c>
      <c r="H279" s="157" t="s">
        <v>2399</v>
      </c>
      <c r="I279" s="157" t="s">
        <v>1450</v>
      </c>
      <c r="J279" s="157" t="s">
        <v>1451</v>
      </c>
      <c r="K279" s="157" t="s">
        <v>1452</v>
      </c>
      <c r="L279" s="157" t="s">
        <v>1453</v>
      </c>
      <c r="M279" s="157" t="s">
        <v>1454</v>
      </c>
      <c r="N279" s="157" t="s">
        <v>1455</v>
      </c>
      <c r="O279" s="157" t="s">
        <v>2391</v>
      </c>
      <c r="P279" s="157" t="s">
        <v>2392</v>
      </c>
      <c r="Q279" s="157" t="s">
        <v>2393</v>
      </c>
    </row>
    <row r="280" spans="1:17" s="9" customFormat="1" x14ac:dyDescent="0.25">
      <c r="A280" s="156" t="s">
        <v>2388</v>
      </c>
      <c r="B280" s="156" t="str">
        <f>CHOOSE(Translations!$C$1+1,O280,P280,Q280)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0" s="156">
        <f t="shared" si="8"/>
        <v>4</v>
      </c>
      <c r="D280"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E280" s="156" t="str">
        <f>CHOOSE(Translations!$C$1+1,I280,J280,K280)</f>
        <v>Género</v>
      </c>
      <c r="F280" s="156" t="str">
        <f>CHOOSE(Translations!$C$1+1,L280,M280,N280)</f>
        <v>Hombres</v>
      </c>
      <c r="G280" s="156" t="s">
        <v>2400</v>
      </c>
      <c r="H280" s="157" t="s">
        <v>2401</v>
      </c>
      <c r="I280" s="157" t="s">
        <v>1450</v>
      </c>
      <c r="J280" s="157" t="s">
        <v>1451</v>
      </c>
      <c r="K280" s="157" t="s">
        <v>1452</v>
      </c>
      <c r="L280" s="157" t="s">
        <v>1458</v>
      </c>
      <c r="M280" s="157" t="s">
        <v>1459</v>
      </c>
      <c r="N280" s="157" t="s">
        <v>1460</v>
      </c>
      <c r="O280" s="157" t="s">
        <v>2391</v>
      </c>
      <c r="P280" s="157" t="s">
        <v>2392</v>
      </c>
      <c r="Q280" s="157" t="s">
        <v>2393</v>
      </c>
    </row>
    <row r="281" spans="1:17" s="9" customFormat="1" x14ac:dyDescent="0.25">
      <c r="A281" s="156" t="s">
        <v>2388</v>
      </c>
      <c r="B281" s="156" t="str">
        <f>CHOOSE(Translations!$C$1+1,O281,P281,Q281)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1" s="156">
        <f t="shared" si="8"/>
        <v>5</v>
      </c>
      <c r="D281"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E281" s="156" t="str">
        <f>CHOOSE(Translations!$C$1+1,I281,J281,K281)</f>
        <v>Edad</v>
      </c>
      <c r="F281" s="156" t="str">
        <f>CHOOSE(Translations!$C$1+1,L281,M281,N281)</f>
        <v>15+</v>
      </c>
      <c r="G281" s="156" t="s">
        <v>2402</v>
      </c>
      <c r="H281" s="157" t="s">
        <v>2403</v>
      </c>
      <c r="I281" s="157" t="s">
        <v>1463</v>
      </c>
      <c r="J281" s="157" t="s">
        <v>1463</v>
      </c>
      <c r="K281" s="157" t="s">
        <v>1464</v>
      </c>
      <c r="L281" s="157" t="s">
        <v>1465</v>
      </c>
      <c r="M281" s="157" t="s">
        <v>1465</v>
      </c>
      <c r="N281" s="157" t="s">
        <v>1465</v>
      </c>
      <c r="O281" s="157" t="s">
        <v>2391</v>
      </c>
      <c r="P281" s="157" t="s">
        <v>2392</v>
      </c>
      <c r="Q281" s="157" t="s">
        <v>2393</v>
      </c>
    </row>
    <row r="282" spans="1:17" s="9" customFormat="1" x14ac:dyDescent="0.25">
      <c r="A282" s="156" t="s">
        <v>2388</v>
      </c>
      <c r="B282" s="156" t="str">
        <f>CHOOSE(Translations!$C$1+1,O282,P282,Q282)</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2" s="156">
        <f t="shared" si="8"/>
        <v>6</v>
      </c>
      <c r="D282"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E282" s="156" t="str">
        <f>CHOOSE(Translations!$C$1+1,I282,J282,K282)</f>
        <v>Edad</v>
      </c>
      <c r="F282" s="156" t="str">
        <f>CHOOSE(Translations!$C$1+1,L282,M282,N282)</f>
        <v>&lt;15</v>
      </c>
      <c r="G282" s="156" t="s">
        <v>2404</v>
      </c>
      <c r="H282" s="157" t="s">
        <v>2405</v>
      </c>
      <c r="I282" s="157" t="s">
        <v>1463</v>
      </c>
      <c r="J282" s="157" t="s">
        <v>1463</v>
      </c>
      <c r="K282" s="157" t="s">
        <v>1464</v>
      </c>
      <c r="L282" s="157" t="s">
        <v>1468</v>
      </c>
      <c r="M282" s="157" t="s">
        <v>1468</v>
      </c>
      <c r="N282" s="157" t="s">
        <v>1468</v>
      </c>
      <c r="O282" s="157" t="s">
        <v>2391</v>
      </c>
      <c r="P282" s="157" t="s">
        <v>2392</v>
      </c>
      <c r="Q282" s="157" t="s">
        <v>2393</v>
      </c>
    </row>
    <row r="283" spans="1:17" s="9" customFormat="1" x14ac:dyDescent="0.25">
      <c r="A283" s="156" t="s">
        <v>2406</v>
      </c>
      <c r="B283" s="156" t="str">
        <f>CHOOSE(Translations!$C$1+1,O283,P283,Q283)</f>
        <v>TCP-5.1 Número de personas en contacto con pacientes de tuberculosis que empezaron a recibir terapia preventiva.</v>
      </c>
      <c r="C283" s="156">
        <f t="shared" si="8"/>
        <v>0</v>
      </c>
      <c r="D283" s="156" t="str">
        <f t="shared" si="9"/>
        <v>TCP-5.1 Número de personas en contacto con pacientes de tuberculosis que empezaron a recibir terapia preventiva.-0</v>
      </c>
      <c r="E283" s="156" t="str">
        <f>CHOOSE(Translations!$C$1+1,I283,J283,K283)</f>
        <v>Edad</v>
      </c>
      <c r="F283" s="156" t="str">
        <f>CHOOSE(Translations!$C$1+1,L283,M283,N283)</f>
        <v>15+</v>
      </c>
      <c r="G283" s="156" t="s">
        <v>2407</v>
      </c>
      <c r="H283" s="157" t="s">
        <v>2408</v>
      </c>
      <c r="I283" s="157" t="s">
        <v>1463</v>
      </c>
      <c r="J283" s="157" t="s">
        <v>1463</v>
      </c>
      <c r="K283" s="157" t="s">
        <v>1464</v>
      </c>
      <c r="L283" s="157" t="s">
        <v>1465</v>
      </c>
      <c r="M283" s="157" t="s">
        <v>1465</v>
      </c>
      <c r="N283" s="157" t="s">
        <v>1465</v>
      </c>
      <c r="O283" s="157" t="s">
        <v>2409</v>
      </c>
      <c r="P283" s="157" t="s">
        <v>2410</v>
      </c>
      <c r="Q283" s="157" t="s">
        <v>2411</v>
      </c>
    </row>
    <row r="284" spans="1:17" s="9" customFormat="1" x14ac:dyDescent="0.25">
      <c r="A284" s="156" t="s">
        <v>2406</v>
      </c>
      <c r="B284" s="156" t="str">
        <f>CHOOSE(Translations!$C$1+1,O284,P284,Q284)</f>
        <v>TCP-5.1 Número de personas en contacto con pacientes de tuberculosis que empezaron a recibir terapia preventiva.</v>
      </c>
      <c r="C284" s="156">
        <f t="shared" ref="C284:C347" si="10">IF(O284=O283,C283+1,0)</f>
        <v>1</v>
      </c>
      <c r="D284" s="156" t="str">
        <f t="shared" ref="D284:D347" si="11">B284&amp;"-"&amp;C284</f>
        <v>TCP-5.1 Número de personas en contacto con pacientes de tuberculosis que empezaron a recibir terapia preventiva.-1</v>
      </c>
      <c r="E284" s="156" t="str">
        <f>CHOOSE(Translations!$C$1+1,I284,J284,K284)</f>
        <v>Edad</v>
      </c>
      <c r="F284" s="156" t="str">
        <f>CHOOSE(Translations!$C$1+1,L284,M284,N284)</f>
        <v>5-14</v>
      </c>
      <c r="G284" s="156" t="s">
        <v>2412</v>
      </c>
      <c r="H284" s="157" t="s">
        <v>2413</v>
      </c>
      <c r="I284" s="157" t="s">
        <v>1463</v>
      </c>
      <c r="J284" s="157" t="s">
        <v>1463</v>
      </c>
      <c r="K284" s="157" t="s">
        <v>1464</v>
      </c>
      <c r="L284" s="157" t="s">
        <v>1509</v>
      </c>
      <c r="M284" s="157" t="s">
        <v>1509</v>
      </c>
      <c r="N284" s="157" t="s">
        <v>1509</v>
      </c>
      <c r="O284" s="157" t="s">
        <v>2409</v>
      </c>
      <c r="P284" s="157" t="s">
        <v>2410</v>
      </c>
      <c r="Q284" s="157" t="s">
        <v>2411</v>
      </c>
    </row>
    <row r="285" spans="1:17" s="9" customFormat="1" x14ac:dyDescent="0.25">
      <c r="A285" s="156" t="s">
        <v>2406</v>
      </c>
      <c r="B285" s="156" t="str">
        <f>CHOOSE(Translations!$C$1+1,O285,P285,Q285)</f>
        <v>TCP-5.1 Número de personas en contacto con pacientes de tuberculosis que empezaron a recibir terapia preventiva.</v>
      </c>
      <c r="C285" s="156">
        <f t="shared" si="10"/>
        <v>2</v>
      </c>
      <c r="D285" s="156" t="str">
        <f t="shared" si="11"/>
        <v>TCP-5.1 Número de personas en contacto con pacientes de tuberculosis que empezaron a recibir terapia preventiva.-2</v>
      </c>
      <c r="E285" s="156" t="str">
        <f>CHOOSE(Translations!$C$1+1,I285,J285,K285)</f>
        <v>Edad</v>
      </c>
      <c r="F285" s="156" t="str">
        <f>CHOOSE(Translations!$C$1+1,L285,M285,N285)</f>
        <v>&lt;5</v>
      </c>
      <c r="G285" s="156" t="s">
        <v>2414</v>
      </c>
      <c r="H285" s="157" t="s">
        <v>2415</v>
      </c>
      <c r="I285" s="157" t="s">
        <v>1463</v>
      </c>
      <c r="J285" s="157" t="s">
        <v>1463</v>
      </c>
      <c r="K285" s="157" t="s">
        <v>1464</v>
      </c>
      <c r="L285" s="157" t="s">
        <v>1512</v>
      </c>
      <c r="M285" s="157" t="s">
        <v>1512</v>
      </c>
      <c r="N285" s="157" t="s">
        <v>1512</v>
      </c>
      <c r="O285" s="157" t="s">
        <v>2409</v>
      </c>
      <c r="P285" s="157" t="s">
        <v>2410</v>
      </c>
      <c r="Q285" s="157" t="s">
        <v>2411</v>
      </c>
    </row>
    <row r="286" spans="1:17" s="9" customFormat="1" x14ac:dyDescent="0.25">
      <c r="A286" s="156" t="s">
        <v>2416</v>
      </c>
      <c r="B286" s="156" t="str">
        <f>CHOOSE(Translations!$C$1+1,O286,P286,Q286)</f>
        <v>TCP-6b Número de casos de tuberculosis (en todas sus formas) notificados entre las poblaciones clave afectadas o los grupos de alto riesgo (distintos de los reclusos).</v>
      </c>
      <c r="C286" s="156">
        <f t="shared" si="10"/>
        <v>0</v>
      </c>
      <c r="D286" s="156" t="str">
        <f t="shared" si="11"/>
        <v>TCP-6b Número de casos de tuberculosis (en todas sus formas) notificados entre las poblaciones clave afectadas o los grupos de alto riesgo (distintos de los reclusos).-0</v>
      </c>
      <c r="E286" s="156" t="str">
        <f>CHOOSE(Translations!$C$1+1,I286,J286,K286)</f>
        <v>Grupo de riesgo objetivo</v>
      </c>
      <c r="F286" s="156" t="str">
        <f>CHOOSE(Translations!$C$1+1,L286,M286,N286)</f>
        <v>Otro grupo de riesgo objetivo [especificar]</v>
      </c>
      <c r="G286" s="156" t="s">
        <v>2417</v>
      </c>
      <c r="H286" s="157" t="s">
        <v>2418</v>
      </c>
      <c r="I286" s="157" t="s">
        <v>1834</v>
      </c>
      <c r="J286" s="157" t="s">
        <v>1835</v>
      </c>
      <c r="K286" s="157" t="s">
        <v>1836</v>
      </c>
      <c r="L286" s="157" t="s">
        <v>2419</v>
      </c>
      <c r="M286" s="157" t="s">
        <v>2420</v>
      </c>
      <c r="N286" s="157" t="s">
        <v>2421</v>
      </c>
      <c r="O286" s="157" t="s">
        <v>2422</v>
      </c>
      <c r="P286" s="157" t="s">
        <v>2423</v>
      </c>
      <c r="Q286" s="157" t="s">
        <v>2424</v>
      </c>
    </row>
    <row r="287" spans="1:17" s="9" customFormat="1" x14ac:dyDescent="0.25">
      <c r="A287" s="156" t="s">
        <v>2416</v>
      </c>
      <c r="B287" s="156" t="str">
        <f>CHOOSE(Translations!$C$1+1,O287,P287,Q287)</f>
        <v>TCP-6b Número de casos de tuberculosis (en todas sus formas) notificados entre las poblaciones clave afectadas o los grupos de alto riesgo (distintos de los reclusos).</v>
      </c>
      <c r="C287" s="156">
        <f t="shared" si="10"/>
        <v>1</v>
      </c>
      <c r="D287" s="156" t="str">
        <f t="shared" si="11"/>
        <v>TCP-6b Número de casos de tuberculosis (en todas sus formas) notificados entre las poblaciones clave afectadas o los grupos de alto riesgo (distintos de los reclusos).-1</v>
      </c>
      <c r="E287" s="156" t="str">
        <f>CHOOSE(Translations!$C$1+1,I287,J287,K287)</f>
        <v>Grupo de riesgo objetivo</v>
      </c>
      <c r="F287" s="156" t="str">
        <f>CHOOSE(Translations!$C$1+1,L287,M287,N287)</f>
        <v>Migrantes/refugiados/personas internamente desplazadas</v>
      </c>
      <c r="G287" s="156" t="s">
        <v>2425</v>
      </c>
      <c r="H287" s="157" t="s">
        <v>2426</v>
      </c>
      <c r="I287" s="157" t="s">
        <v>1834</v>
      </c>
      <c r="J287" s="157" t="s">
        <v>1835</v>
      </c>
      <c r="K287" s="157" t="s">
        <v>1836</v>
      </c>
      <c r="L287" s="157" t="s">
        <v>2427</v>
      </c>
      <c r="M287" s="157" t="s">
        <v>2428</v>
      </c>
      <c r="N287" s="157" t="s">
        <v>2429</v>
      </c>
      <c r="O287" s="157" t="s">
        <v>2422</v>
      </c>
      <c r="P287" s="157" t="s">
        <v>2423</v>
      </c>
      <c r="Q287" s="157" t="s">
        <v>2424</v>
      </c>
    </row>
    <row r="288" spans="1:17" s="9" customFormat="1" x14ac:dyDescent="0.25">
      <c r="A288" s="156" t="s">
        <v>2430</v>
      </c>
      <c r="B288" s="156" t="str">
        <f>CHOOSE(Translations!$C$1+1,O288,P288,Q288)</f>
        <v>MDR TB-2⁽ᴹ⁾ Número de casos de tuberculosis resistente a la rifampicina y/o multirresistente notificados.</v>
      </c>
      <c r="C288" s="156">
        <f t="shared" si="10"/>
        <v>0</v>
      </c>
      <c r="D288" s="156" t="str">
        <f t="shared" si="11"/>
        <v>MDR TB-2⁽ᴹ⁾ Número de casos de tuberculosis resistente a la rifampicina y/o multirresistente notificados.-0</v>
      </c>
      <c r="E288" s="156" t="str">
        <f>CHOOSE(Translations!$C$1+1,I288,J288,K288)</f>
        <v>Género</v>
      </c>
      <c r="F288" s="156" t="str">
        <f>CHOOSE(Translations!$C$1+1,L288,M288,N288)</f>
        <v>Mujeres</v>
      </c>
      <c r="G288" s="156" t="s">
        <v>2431</v>
      </c>
      <c r="H288" s="157" t="s">
        <v>2432</v>
      </c>
      <c r="I288" s="157" t="s">
        <v>1450</v>
      </c>
      <c r="J288" s="157" t="s">
        <v>1451</v>
      </c>
      <c r="K288" s="157" t="s">
        <v>1452</v>
      </c>
      <c r="L288" s="157" t="s">
        <v>1453</v>
      </c>
      <c r="M288" s="157" t="s">
        <v>1454</v>
      </c>
      <c r="N288" s="157" t="s">
        <v>1455</v>
      </c>
      <c r="O288" s="157" t="s">
        <v>2433</v>
      </c>
      <c r="P288" s="157" t="s">
        <v>2434</v>
      </c>
      <c r="Q288" s="157" t="s">
        <v>2435</v>
      </c>
    </row>
    <row r="289" spans="1:17" s="9" customFormat="1" x14ac:dyDescent="0.25">
      <c r="A289" s="156" t="s">
        <v>2430</v>
      </c>
      <c r="B289" s="156" t="str">
        <f>CHOOSE(Translations!$C$1+1,O289,P289,Q289)</f>
        <v>MDR TB-2⁽ᴹ⁾ Número de casos de tuberculosis resistente a la rifampicina y/o multirresistente notificados.</v>
      </c>
      <c r="C289" s="156">
        <f t="shared" si="10"/>
        <v>1</v>
      </c>
      <c r="D289" s="156" t="str">
        <f t="shared" si="11"/>
        <v>MDR TB-2⁽ᴹ⁾ Número de casos de tuberculosis resistente a la rifampicina y/o multirresistente notificados.-1</v>
      </c>
      <c r="E289" s="156" t="str">
        <f>CHOOSE(Translations!$C$1+1,I289,J289,K289)</f>
        <v>Género</v>
      </c>
      <c r="F289" s="156" t="str">
        <f>CHOOSE(Translations!$C$1+1,L289,M289,N289)</f>
        <v>Hombres</v>
      </c>
      <c r="G289" s="156" t="s">
        <v>2436</v>
      </c>
      <c r="H289" s="157" t="s">
        <v>2437</v>
      </c>
      <c r="I289" s="157" t="s">
        <v>1450</v>
      </c>
      <c r="J289" s="157" t="s">
        <v>1451</v>
      </c>
      <c r="K289" s="157" t="s">
        <v>1452</v>
      </c>
      <c r="L289" s="157" t="s">
        <v>1458</v>
      </c>
      <c r="M289" s="157" t="s">
        <v>1459</v>
      </c>
      <c r="N289" s="157" t="s">
        <v>1460</v>
      </c>
      <c r="O289" s="157" t="s">
        <v>2433</v>
      </c>
      <c r="P289" s="157" t="s">
        <v>2434</v>
      </c>
      <c r="Q289" s="157" t="s">
        <v>2435</v>
      </c>
    </row>
    <row r="290" spans="1:17" s="9" customFormat="1" x14ac:dyDescent="0.25">
      <c r="A290" s="156" t="s">
        <v>2430</v>
      </c>
      <c r="B290" s="156" t="str">
        <f>CHOOSE(Translations!$C$1+1,O290,P290,Q290)</f>
        <v>MDR TB-2⁽ᴹ⁾ Número de casos de tuberculosis resistente a la rifampicina y/o multirresistente notificados.</v>
      </c>
      <c r="C290" s="156">
        <f t="shared" si="10"/>
        <v>2</v>
      </c>
      <c r="D290" s="156" t="str">
        <f t="shared" si="11"/>
        <v>MDR TB-2⁽ᴹ⁾ Número de casos de tuberculosis resistente a la rifampicina y/o multirresistente notificados.-2</v>
      </c>
      <c r="E290" s="156" t="str">
        <f>CHOOSE(Translations!$C$1+1,I290,J290,K290)</f>
        <v>Edad</v>
      </c>
      <c r="F290" s="156" t="str">
        <f>CHOOSE(Translations!$C$1+1,L290,M290,N290)</f>
        <v>15+</v>
      </c>
      <c r="G290" s="156" t="s">
        <v>2438</v>
      </c>
      <c r="H290" s="157" t="s">
        <v>2439</v>
      </c>
      <c r="I290" s="157" t="s">
        <v>1463</v>
      </c>
      <c r="J290" s="157" t="s">
        <v>1463</v>
      </c>
      <c r="K290" s="157" t="s">
        <v>1464</v>
      </c>
      <c r="L290" s="157" t="s">
        <v>1465</v>
      </c>
      <c r="M290" s="157" t="s">
        <v>1465</v>
      </c>
      <c r="N290" s="157" t="s">
        <v>1465</v>
      </c>
      <c r="O290" s="157" t="s">
        <v>2433</v>
      </c>
      <c r="P290" s="157" t="s">
        <v>2434</v>
      </c>
      <c r="Q290" s="157" t="s">
        <v>2435</v>
      </c>
    </row>
    <row r="291" spans="1:17" s="9" customFormat="1" x14ac:dyDescent="0.25">
      <c r="A291" s="156" t="s">
        <v>2430</v>
      </c>
      <c r="B291" s="156" t="str">
        <f>CHOOSE(Translations!$C$1+1,O291,P291,Q291)</f>
        <v>MDR TB-2⁽ᴹ⁾ Número de casos de tuberculosis resistente a la rifampicina y/o multirresistente notificados.</v>
      </c>
      <c r="C291" s="156">
        <f t="shared" si="10"/>
        <v>3</v>
      </c>
      <c r="D291" s="156" t="str">
        <f t="shared" si="11"/>
        <v>MDR TB-2⁽ᴹ⁾ Número de casos de tuberculosis resistente a la rifampicina y/o multirresistente notificados.-3</v>
      </c>
      <c r="E291" s="156" t="str">
        <f>CHOOSE(Translations!$C$1+1,I291,J291,K291)</f>
        <v>Edad</v>
      </c>
      <c r="F291" s="156" t="str">
        <f>CHOOSE(Translations!$C$1+1,L291,M291,N291)</f>
        <v>&lt;15</v>
      </c>
      <c r="G291" s="156" t="s">
        <v>2440</v>
      </c>
      <c r="H291" s="157" t="s">
        <v>2441</v>
      </c>
      <c r="I291" s="157" t="s">
        <v>1463</v>
      </c>
      <c r="J291" s="157" t="s">
        <v>1463</v>
      </c>
      <c r="K291" s="157" t="s">
        <v>1464</v>
      </c>
      <c r="L291" s="157" t="s">
        <v>1468</v>
      </c>
      <c r="M291" s="157" t="s">
        <v>1468</v>
      </c>
      <c r="N291" s="157" t="s">
        <v>1468</v>
      </c>
      <c r="O291" s="157" t="s">
        <v>2433</v>
      </c>
      <c r="P291" s="157" t="s">
        <v>2434</v>
      </c>
      <c r="Q291" s="157" t="s">
        <v>2435</v>
      </c>
    </row>
    <row r="292" spans="1:17" s="9" customFormat="1" x14ac:dyDescent="0.25">
      <c r="A292" s="156" t="s">
        <v>2442</v>
      </c>
      <c r="B292" s="156" t="str">
        <f>CHOOSE(Translations!$C$1+1,O292,P292,Q292)</f>
        <v>MDR TB-3⁽ᴹ⁾ Número de casos de tuberculosis resistente a la rifampicina y/o multirresistente que empezaron a recibir tratamiento de segunda línea.</v>
      </c>
      <c r="C292" s="156">
        <f t="shared" si="10"/>
        <v>0</v>
      </c>
      <c r="D292" s="156" t="str">
        <f t="shared" si="11"/>
        <v>MDR TB-3⁽ᴹ⁾ Número de casos de tuberculosis resistente a la rifampicina y/o multirresistente que empezaron a recibir tratamiento de segunda línea.-0</v>
      </c>
      <c r="E292" s="156" t="str">
        <f>CHOOSE(Translations!$C$1+1,I292,J292,K292)</f>
        <v>Tipo de tratamiento</v>
      </c>
      <c r="F292" s="156" t="str">
        <f>CHOOSE(Translations!$C$1+1,L292,M292,N292)</f>
        <v>Regimenes acortados</v>
      </c>
      <c r="G292" s="156" t="s">
        <v>2443</v>
      </c>
      <c r="H292" s="157" t="s">
        <v>2444</v>
      </c>
      <c r="I292" s="157" t="s">
        <v>2445</v>
      </c>
      <c r="J292" s="157" t="s">
        <v>2446</v>
      </c>
      <c r="K292" s="157" t="s">
        <v>2447</v>
      </c>
      <c r="L292" s="157" t="s">
        <v>2448</v>
      </c>
      <c r="M292" s="157" t="s">
        <v>2449</v>
      </c>
      <c r="N292" s="157" t="s">
        <v>2450</v>
      </c>
      <c r="O292" s="157" t="s">
        <v>2451</v>
      </c>
      <c r="P292" s="157" t="s">
        <v>2452</v>
      </c>
      <c r="Q292" s="157" t="s">
        <v>2453</v>
      </c>
    </row>
    <row r="293" spans="1:17" s="9" customFormat="1" x14ac:dyDescent="0.25">
      <c r="A293" s="156" t="s">
        <v>2442</v>
      </c>
      <c r="B293" s="156" t="str">
        <f>CHOOSE(Translations!$C$1+1,O293,P293,Q293)</f>
        <v>MDR TB-3⁽ᴹ⁾ Número de casos de tuberculosis resistente a la rifampicina y/o multirresistente que empezaron a recibir tratamiento de segunda línea.</v>
      </c>
      <c r="C293" s="156">
        <f t="shared" si="10"/>
        <v>1</v>
      </c>
      <c r="D293" s="156" t="str">
        <f t="shared" si="11"/>
        <v>MDR TB-3⁽ᴹ⁾ Número de casos de tuberculosis resistente a la rifampicina y/o multirresistente que empezaron a recibir tratamiento de segunda línea.-1</v>
      </c>
      <c r="E293" s="156" t="str">
        <f>CHOOSE(Translations!$C$1+1,I293,J293,K293)</f>
        <v>Tipo de tratamiento</v>
      </c>
      <c r="F293" s="156" t="str">
        <f>CHOOSE(Translations!$C$1+1,L293,M293,N293)</f>
        <v>Nuevas drogas anti tuberculosis</v>
      </c>
      <c r="G293" s="156" t="s">
        <v>2454</v>
      </c>
      <c r="H293" s="157" t="s">
        <v>2455</v>
      </c>
      <c r="I293" s="157" t="s">
        <v>2445</v>
      </c>
      <c r="J293" s="157" t="s">
        <v>2446</v>
      </c>
      <c r="K293" s="157" t="s">
        <v>2447</v>
      </c>
      <c r="L293" s="157" t="s">
        <v>2456</v>
      </c>
      <c r="M293" s="157" t="s">
        <v>2457</v>
      </c>
      <c r="N293" s="157" t="s">
        <v>2458</v>
      </c>
      <c r="O293" s="157" t="s">
        <v>2451</v>
      </c>
      <c r="P293" s="157" t="s">
        <v>2452</v>
      </c>
      <c r="Q293" s="157" t="s">
        <v>2453</v>
      </c>
    </row>
    <row r="294" spans="1:17" s="9" customFormat="1" x14ac:dyDescent="0.25">
      <c r="A294" s="156" t="s">
        <v>2442</v>
      </c>
      <c r="B294" s="156" t="str">
        <f>CHOOSE(Translations!$C$1+1,O294,P294,Q294)</f>
        <v>MDR TB-3⁽ᴹ⁾ Número de casos de tuberculosis resistente a la rifampicina y/o multirresistente que empezaron a recibir tratamiento de segunda línea.</v>
      </c>
      <c r="C294" s="156">
        <f t="shared" si="10"/>
        <v>2</v>
      </c>
      <c r="D294" s="156" t="str">
        <f t="shared" si="11"/>
        <v>MDR TB-3⁽ᴹ⁾ Número de casos de tuberculosis resistente a la rifampicina y/o multirresistente que empezaron a recibir tratamiento de segunda línea.-2</v>
      </c>
      <c r="E294" s="156" t="str">
        <f>CHOOSE(Translations!$C$1+1,I294,J294,K294)</f>
        <v>Género</v>
      </c>
      <c r="F294" s="156" t="str">
        <f>CHOOSE(Translations!$C$1+1,L294,M294,N294)</f>
        <v>Mujeres</v>
      </c>
      <c r="G294" s="156" t="s">
        <v>2459</v>
      </c>
      <c r="H294" s="157" t="s">
        <v>2460</v>
      </c>
      <c r="I294" s="157" t="s">
        <v>1450</v>
      </c>
      <c r="J294" s="157" t="s">
        <v>1451</v>
      </c>
      <c r="K294" s="157" t="s">
        <v>1452</v>
      </c>
      <c r="L294" s="157" t="s">
        <v>1453</v>
      </c>
      <c r="M294" s="157" t="s">
        <v>1454</v>
      </c>
      <c r="N294" s="157" t="s">
        <v>1455</v>
      </c>
      <c r="O294" s="157" t="s">
        <v>2451</v>
      </c>
      <c r="P294" s="157" t="s">
        <v>2452</v>
      </c>
      <c r="Q294" s="157" t="s">
        <v>2453</v>
      </c>
    </row>
    <row r="295" spans="1:17" s="9" customFormat="1" x14ac:dyDescent="0.25">
      <c r="A295" s="156" t="s">
        <v>2442</v>
      </c>
      <c r="B295" s="156" t="str">
        <f>CHOOSE(Translations!$C$1+1,O295,P295,Q295)</f>
        <v>MDR TB-3⁽ᴹ⁾ Número de casos de tuberculosis resistente a la rifampicina y/o multirresistente que empezaron a recibir tratamiento de segunda línea.</v>
      </c>
      <c r="C295" s="156">
        <f t="shared" si="10"/>
        <v>3</v>
      </c>
      <c r="D295" s="156" t="str">
        <f t="shared" si="11"/>
        <v>MDR TB-3⁽ᴹ⁾ Número de casos de tuberculosis resistente a la rifampicina y/o multirresistente que empezaron a recibir tratamiento de segunda línea.-3</v>
      </c>
      <c r="E295" s="156" t="str">
        <f>CHOOSE(Translations!$C$1+1,I295,J295,K295)</f>
        <v>Género</v>
      </c>
      <c r="F295" s="156" t="str">
        <f>CHOOSE(Translations!$C$1+1,L295,M295,N295)</f>
        <v>Hombres</v>
      </c>
      <c r="G295" s="156" t="s">
        <v>2461</v>
      </c>
      <c r="H295" s="157" t="s">
        <v>2462</v>
      </c>
      <c r="I295" s="157" t="s">
        <v>1450</v>
      </c>
      <c r="J295" s="157" t="s">
        <v>1451</v>
      </c>
      <c r="K295" s="157" t="s">
        <v>1452</v>
      </c>
      <c r="L295" s="157" t="s">
        <v>1458</v>
      </c>
      <c r="M295" s="157" t="s">
        <v>1459</v>
      </c>
      <c r="N295" s="157" t="s">
        <v>1460</v>
      </c>
      <c r="O295" s="157" t="s">
        <v>2451</v>
      </c>
      <c r="P295" s="157" t="s">
        <v>2452</v>
      </c>
      <c r="Q295" s="157" t="s">
        <v>2453</v>
      </c>
    </row>
    <row r="296" spans="1:17" s="9" customFormat="1" x14ac:dyDescent="0.25">
      <c r="A296" s="156" t="s">
        <v>2442</v>
      </c>
      <c r="B296" s="156" t="str">
        <f>CHOOSE(Translations!$C$1+1,O296,P296,Q296)</f>
        <v>MDR TB-3⁽ᴹ⁾ Número de casos de tuberculosis resistente a la rifampicina y/o multirresistente que empezaron a recibir tratamiento de segunda línea.</v>
      </c>
      <c r="C296" s="156">
        <f t="shared" si="10"/>
        <v>4</v>
      </c>
      <c r="D296" s="156" t="str">
        <f t="shared" si="11"/>
        <v>MDR TB-3⁽ᴹ⁾ Número de casos de tuberculosis resistente a la rifampicina y/o multirresistente que empezaron a recibir tratamiento de segunda línea.-4</v>
      </c>
      <c r="E296" s="156" t="str">
        <f>CHOOSE(Translations!$C$1+1,I296,J296,K296)</f>
        <v>Edad</v>
      </c>
      <c r="F296" s="156" t="str">
        <f>CHOOSE(Translations!$C$1+1,L296,M296,N296)</f>
        <v>15+</v>
      </c>
      <c r="G296" s="156" t="s">
        <v>2463</v>
      </c>
      <c r="H296" s="157" t="s">
        <v>2464</v>
      </c>
      <c r="I296" s="157" t="s">
        <v>1463</v>
      </c>
      <c r="J296" s="157" t="s">
        <v>1463</v>
      </c>
      <c r="K296" s="157" t="s">
        <v>1464</v>
      </c>
      <c r="L296" s="157" t="s">
        <v>1465</v>
      </c>
      <c r="M296" s="157" t="s">
        <v>1465</v>
      </c>
      <c r="N296" s="157" t="s">
        <v>1465</v>
      </c>
      <c r="O296" s="157" t="s">
        <v>2451</v>
      </c>
      <c r="P296" s="157" t="s">
        <v>2452</v>
      </c>
      <c r="Q296" s="157" t="s">
        <v>2453</v>
      </c>
    </row>
    <row r="297" spans="1:17" s="9" customFormat="1" x14ac:dyDescent="0.25">
      <c r="A297" s="156" t="s">
        <v>2442</v>
      </c>
      <c r="B297" s="156" t="str">
        <f>CHOOSE(Translations!$C$1+1,O297,P297,Q297)</f>
        <v>MDR TB-3⁽ᴹ⁾ Número de casos de tuberculosis resistente a la rifampicina y/o multirresistente que empezaron a recibir tratamiento de segunda línea.</v>
      </c>
      <c r="C297" s="156">
        <f t="shared" si="10"/>
        <v>5</v>
      </c>
      <c r="D297" s="156" t="str">
        <f t="shared" si="11"/>
        <v>MDR TB-3⁽ᴹ⁾ Número de casos de tuberculosis resistente a la rifampicina y/o multirresistente que empezaron a recibir tratamiento de segunda línea.-5</v>
      </c>
      <c r="E297" s="156" t="str">
        <f>CHOOSE(Translations!$C$1+1,I297,J297,K297)</f>
        <v>Edad</v>
      </c>
      <c r="F297" s="156" t="str">
        <f>CHOOSE(Translations!$C$1+1,L297,M297,N297)</f>
        <v>&lt;15</v>
      </c>
      <c r="G297" s="156" t="s">
        <v>2465</v>
      </c>
      <c r="H297" s="157" t="s">
        <v>2466</v>
      </c>
      <c r="I297" s="157" t="s">
        <v>1463</v>
      </c>
      <c r="J297" s="157" t="s">
        <v>1463</v>
      </c>
      <c r="K297" s="157" t="s">
        <v>1464</v>
      </c>
      <c r="L297" s="157" t="s">
        <v>1468</v>
      </c>
      <c r="M297" s="157" t="s">
        <v>1468</v>
      </c>
      <c r="N297" s="157" t="s">
        <v>1468</v>
      </c>
      <c r="O297" s="157" t="s">
        <v>2451</v>
      </c>
      <c r="P297" s="157" t="s">
        <v>2452</v>
      </c>
      <c r="Q297" s="157" t="s">
        <v>2453</v>
      </c>
    </row>
    <row r="298" spans="1:17" s="9" customFormat="1" x14ac:dyDescent="0.25">
      <c r="A298" s="156" t="s">
        <v>2467</v>
      </c>
      <c r="B298" s="156" t="str">
        <f>CHOOSE(Translations!$C$1+1,O298,P298,Q298)</f>
        <v>MDR TB-9 Índice de éxito del tratamiento de los casos de tuberculosis resistente a la rifampicina y/o tuberculosis multirresistente: Porcentaje de casos de tuberculosis resistente a la rifampicina y/o tuberculosis multirresistente tratados con éxito.</v>
      </c>
      <c r="C298" s="156">
        <f t="shared" si="10"/>
        <v>0</v>
      </c>
      <c r="D298" s="156" t="str">
        <f t="shared" si="11"/>
        <v>MDR TB-9 Índice de éxito del tratamiento de los casos de tuberculosis resistente a la rifampicina y/o tuberculosis multirresistente: Porcentaje de casos de tuberculosis resistente a la rifampicina y/o tuberculosis multirresistente tratados con éxito.-0</v>
      </c>
      <c r="E298" s="156" t="str">
        <f>CHOOSE(Translations!$C$1+1,I298,J298,K298)</f>
        <v>Definición de caso</v>
      </c>
      <c r="F298" s="156" t="str">
        <f>CHOOSE(Translations!$C$1+1,L298,M298,N298)</f>
        <v>TB-XDR</v>
      </c>
      <c r="G298" s="156" t="s">
        <v>2468</v>
      </c>
      <c r="H298" s="157" t="s">
        <v>2469</v>
      </c>
      <c r="I298" s="157" t="s">
        <v>2364</v>
      </c>
      <c r="J298" s="157" t="s">
        <v>1566</v>
      </c>
      <c r="K298" s="157" t="s">
        <v>1567</v>
      </c>
      <c r="L298" s="157" t="s">
        <v>2470</v>
      </c>
      <c r="M298" s="157" t="s">
        <v>2471</v>
      </c>
      <c r="N298" s="157" t="s">
        <v>2471</v>
      </c>
      <c r="O298" s="157" t="s">
        <v>2472</v>
      </c>
      <c r="P298" s="157" t="s">
        <v>2473</v>
      </c>
      <c r="Q298" s="157" t="s">
        <v>2474</v>
      </c>
    </row>
    <row r="299" spans="1:17" s="9" customFormat="1" x14ac:dyDescent="0.25">
      <c r="A299" s="156" t="s">
        <v>2467</v>
      </c>
      <c r="B299" s="156" t="str">
        <f>CHOOSE(Translations!$C$1+1,O299,P299,Q299)</f>
        <v>MDR TB-9 Índice de éxito del tratamiento de los casos de tuberculosis resistente a la rifampicina y/o tuberculosis multirresistente: Porcentaje de casos de tuberculosis resistente a la rifampicina y/o tuberculosis multirresistente tratados con éxito.</v>
      </c>
      <c r="C299" s="156">
        <f t="shared" si="10"/>
        <v>1</v>
      </c>
      <c r="D299" s="156" t="str">
        <f t="shared" si="11"/>
        <v>MDR TB-9 Índice de éxito del tratamiento de los casos de tuberculosis resistente a la rifampicina y/o tuberculosis multirresistente: Porcentaje de casos de tuberculosis resistente a la rifampicina y/o tuberculosis multirresistente tratados con éxito.-1</v>
      </c>
      <c r="E299" s="156" t="str">
        <f>CHOOSE(Translations!$C$1+1,I299,J299,K299)</f>
        <v>Resultado de prueba del VIH</v>
      </c>
      <c r="F299" s="156" t="str">
        <f>CHOOSE(Translations!$C$1+1,L299,M299,N299)</f>
        <v>Positivo</v>
      </c>
      <c r="G299" s="156" t="s">
        <v>2475</v>
      </c>
      <c r="H299" s="157" t="s">
        <v>2476</v>
      </c>
      <c r="I299" s="157" t="s">
        <v>2068</v>
      </c>
      <c r="J299" s="157" t="s">
        <v>2069</v>
      </c>
      <c r="K299" s="157" t="s">
        <v>2070</v>
      </c>
      <c r="L299" s="157" t="s">
        <v>2079</v>
      </c>
      <c r="M299" s="157" t="s">
        <v>2080</v>
      </c>
      <c r="N299" s="157" t="s">
        <v>2081</v>
      </c>
      <c r="O299" s="157" t="s">
        <v>2472</v>
      </c>
      <c r="P299" s="157" t="s">
        <v>2473</v>
      </c>
      <c r="Q299" s="157" t="s">
        <v>2474</v>
      </c>
    </row>
    <row r="300" spans="1:17" s="9" customFormat="1" x14ac:dyDescent="0.25">
      <c r="A300" s="156" t="s">
        <v>2467</v>
      </c>
      <c r="B300" s="156" t="str">
        <f>CHOOSE(Translations!$C$1+1,O300,P300,Q300)</f>
        <v>MDR TB-9 Índice de éxito del tratamiento de los casos de tuberculosis resistente a la rifampicina y/o tuberculosis multirresistente: Porcentaje de casos de tuberculosis resistente a la rifampicina y/o tuberculosis multirresistente tratados con éxito.</v>
      </c>
      <c r="C300" s="156">
        <f t="shared" si="10"/>
        <v>2</v>
      </c>
      <c r="D300" s="156" t="str">
        <f t="shared" si="11"/>
        <v>MDR TB-9 Índice de éxito del tratamiento de los casos de tuberculosis resistente a la rifampicina y/o tuberculosis multirresistente: Porcentaje de casos de tuberculosis resistente a la rifampicina y/o tuberculosis multirresistente tratados con éxito.-2</v>
      </c>
      <c r="E300" s="156" t="str">
        <f>CHOOSE(Translations!$C$1+1,I300,J300,K300)</f>
        <v>Género</v>
      </c>
      <c r="F300" s="156" t="str">
        <f>CHOOSE(Translations!$C$1+1,L300,M300,N300)</f>
        <v>Mujeres</v>
      </c>
      <c r="G300" s="156" t="s">
        <v>2477</v>
      </c>
      <c r="H300" s="157" t="s">
        <v>2478</v>
      </c>
      <c r="I300" s="157" t="s">
        <v>1450</v>
      </c>
      <c r="J300" s="157" t="s">
        <v>1451</v>
      </c>
      <c r="K300" s="157" t="s">
        <v>1452</v>
      </c>
      <c r="L300" s="157" t="s">
        <v>1453</v>
      </c>
      <c r="M300" s="157" t="s">
        <v>1454</v>
      </c>
      <c r="N300" s="157" t="s">
        <v>1455</v>
      </c>
      <c r="O300" s="157" t="s">
        <v>2472</v>
      </c>
      <c r="P300" s="157" t="s">
        <v>2473</v>
      </c>
      <c r="Q300" s="157" t="s">
        <v>2474</v>
      </c>
    </row>
    <row r="301" spans="1:17" s="9" customFormat="1" x14ac:dyDescent="0.25">
      <c r="A301" s="156" t="s">
        <v>2467</v>
      </c>
      <c r="B301" s="156" t="str">
        <f>CHOOSE(Translations!$C$1+1,O301,P301,Q301)</f>
        <v>MDR TB-9 Índice de éxito del tratamiento de los casos de tuberculosis resistente a la rifampicina y/o tuberculosis multirresistente: Porcentaje de casos de tuberculosis resistente a la rifampicina y/o tuberculosis multirresistente tratados con éxito.</v>
      </c>
      <c r="C301" s="156">
        <f t="shared" si="10"/>
        <v>3</v>
      </c>
      <c r="D301" s="156" t="str">
        <f t="shared" si="11"/>
        <v>MDR TB-9 Índice de éxito del tratamiento de los casos de tuberculosis resistente a la rifampicina y/o tuberculosis multirresistente: Porcentaje de casos de tuberculosis resistente a la rifampicina y/o tuberculosis multirresistente tratados con éxito.-3</v>
      </c>
      <c r="E301" s="156" t="str">
        <f>CHOOSE(Translations!$C$1+1,I301,J301,K301)</f>
        <v>Género</v>
      </c>
      <c r="F301" s="156" t="str">
        <f>CHOOSE(Translations!$C$1+1,L301,M301,N301)</f>
        <v>Hombres</v>
      </c>
      <c r="G301" s="156" t="s">
        <v>2479</v>
      </c>
      <c r="H301" s="157" t="s">
        <v>2480</v>
      </c>
      <c r="I301" s="157" t="s">
        <v>1450</v>
      </c>
      <c r="J301" s="157" t="s">
        <v>1451</v>
      </c>
      <c r="K301" s="157" t="s">
        <v>1452</v>
      </c>
      <c r="L301" s="157" t="s">
        <v>1458</v>
      </c>
      <c r="M301" s="157" t="s">
        <v>1459</v>
      </c>
      <c r="N301" s="157" t="s">
        <v>1460</v>
      </c>
      <c r="O301" s="157" t="s">
        <v>2472</v>
      </c>
      <c r="P301" s="157" t="s">
        <v>2473</v>
      </c>
      <c r="Q301" s="157" t="s">
        <v>2474</v>
      </c>
    </row>
    <row r="302" spans="1:17" s="9" customFormat="1" x14ac:dyDescent="0.25">
      <c r="A302" s="156" t="s">
        <v>2467</v>
      </c>
      <c r="B302" s="156" t="str">
        <f>CHOOSE(Translations!$C$1+1,O302,P302,Q302)</f>
        <v>MDR TB-9 Índice de éxito del tratamiento de los casos de tuberculosis resistente a la rifampicina y/o tuberculosis multirresistente: Porcentaje de casos de tuberculosis resistente a la rifampicina y/o tuberculosis multirresistente tratados con éxito.</v>
      </c>
      <c r="C302" s="156">
        <f t="shared" si="10"/>
        <v>4</v>
      </c>
      <c r="D302" s="156" t="str">
        <f t="shared" si="11"/>
        <v>MDR TB-9 Índice de éxito del tratamiento de los casos de tuberculosis resistente a la rifampicina y/o tuberculosis multirresistente: Porcentaje de casos de tuberculosis resistente a la rifampicina y/o tuberculosis multirresistente tratados con éxito.-4</v>
      </c>
      <c r="E302" s="156" t="str">
        <f>CHOOSE(Translations!$C$1+1,I302,J302,K302)</f>
        <v>Edad</v>
      </c>
      <c r="F302" s="156" t="str">
        <f>CHOOSE(Translations!$C$1+1,L302,M302,N302)</f>
        <v>15+</v>
      </c>
      <c r="G302" s="156" t="s">
        <v>2481</v>
      </c>
      <c r="H302" s="157" t="s">
        <v>2482</v>
      </c>
      <c r="I302" s="157" t="s">
        <v>1463</v>
      </c>
      <c r="J302" s="157" t="s">
        <v>1463</v>
      </c>
      <c r="K302" s="157" t="s">
        <v>1464</v>
      </c>
      <c r="L302" s="157" t="s">
        <v>1465</v>
      </c>
      <c r="M302" s="157" t="s">
        <v>1465</v>
      </c>
      <c r="N302" s="157" t="s">
        <v>1465</v>
      </c>
      <c r="O302" s="157" t="s">
        <v>2472</v>
      </c>
      <c r="P302" s="157" t="s">
        <v>2473</v>
      </c>
      <c r="Q302" s="157" t="s">
        <v>2474</v>
      </c>
    </row>
    <row r="303" spans="1:17" s="9" customFormat="1" x14ac:dyDescent="0.25">
      <c r="A303" s="156" t="s">
        <v>2467</v>
      </c>
      <c r="B303" s="156" t="str">
        <f>CHOOSE(Translations!$C$1+1,O303,P303,Q303)</f>
        <v>MDR TB-9 Índice de éxito del tratamiento de los casos de tuberculosis resistente a la rifampicina y/o tuberculosis multirresistente: Porcentaje de casos de tuberculosis resistente a la rifampicina y/o tuberculosis multirresistente tratados con éxito.</v>
      </c>
      <c r="C303" s="156">
        <f t="shared" si="10"/>
        <v>5</v>
      </c>
      <c r="D303" s="156" t="str">
        <f t="shared" si="11"/>
        <v>MDR TB-9 Índice de éxito del tratamiento de los casos de tuberculosis resistente a la rifampicina y/o tuberculosis multirresistente: Porcentaje de casos de tuberculosis resistente a la rifampicina y/o tuberculosis multirresistente tratados con éxito.-5</v>
      </c>
      <c r="E303" s="156" t="str">
        <f>CHOOSE(Translations!$C$1+1,I303,J303,K303)</f>
        <v>Edad</v>
      </c>
      <c r="F303" s="156" t="str">
        <f>CHOOSE(Translations!$C$1+1,L303,M303,N303)</f>
        <v>&lt;15</v>
      </c>
      <c r="G303" s="156" t="s">
        <v>2483</v>
      </c>
      <c r="H303" s="157" t="s">
        <v>2484</v>
      </c>
      <c r="I303" s="157" t="s">
        <v>1463</v>
      </c>
      <c r="J303" s="157" t="s">
        <v>1463</v>
      </c>
      <c r="K303" s="157" t="s">
        <v>1464</v>
      </c>
      <c r="L303" s="157" t="s">
        <v>1468</v>
      </c>
      <c r="M303" s="157" t="s">
        <v>1468</v>
      </c>
      <c r="N303" s="157" t="s">
        <v>1468</v>
      </c>
      <c r="O303" s="157" t="s">
        <v>2472</v>
      </c>
      <c r="P303" s="157" t="s">
        <v>2473</v>
      </c>
      <c r="Q303" s="157" t="s">
        <v>2474</v>
      </c>
    </row>
    <row r="304" spans="1:17" s="9" customFormat="1" x14ac:dyDescent="0.25">
      <c r="A304" s="156" t="s">
        <v>2485</v>
      </c>
      <c r="B304" s="156" t="str">
        <f>CHOOSE(Translations!$C$1+1,O304,P304,Q304)</f>
        <v>TB/HIV-5 Porcentaje de casos nuevos y recaídas de TB registrados, con estado serológico de VIH documentado</v>
      </c>
      <c r="C304" s="156">
        <f t="shared" si="10"/>
        <v>0</v>
      </c>
      <c r="D304" s="156" t="str">
        <f t="shared" si="11"/>
        <v>TB/HIV-5 Porcentaje de casos nuevos y recaídas de TB registrados, con estado serológico de VIH documentado-0</v>
      </c>
      <c r="E304" s="156" t="str">
        <f>CHOOSE(Translations!$C$1+1,I304,J304,K304)</f>
        <v>Resultado de prueba del VIH</v>
      </c>
      <c r="F304" s="156" t="str">
        <f>CHOOSE(Translations!$C$1+1,L304,M304,N304)</f>
        <v>Positivo</v>
      </c>
      <c r="G304" s="156" t="s">
        <v>2486</v>
      </c>
      <c r="H304" s="157" t="s">
        <v>2487</v>
      </c>
      <c r="I304" s="157" t="s">
        <v>2068</v>
      </c>
      <c r="J304" s="157" t="s">
        <v>2069</v>
      </c>
      <c r="K304" s="157" t="s">
        <v>2070</v>
      </c>
      <c r="L304" s="157" t="s">
        <v>2079</v>
      </c>
      <c r="M304" s="157" t="s">
        <v>2080</v>
      </c>
      <c r="N304" s="157" t="s">
        <v>2081</v>
      </c>
      <c r="O304" s="157" t="s">
        <v>2488</v>
      </c>
      <c r="P304" s="157" t="s">
        <v>2489</v>
      </c>
      <c r="Q304" s="157" t="s">
        <v>2490</v>
      </c>
    </row>
    <row r="305" spans="1:17" s="9" customFormat="1" x14ac:dyDescent="0.25">
      <c r="A305" s="156" t="s">
        <v>2485</v>
      </c>
      <c r="B305" s="156" t="str">
        <f>CHOOSE(Translations!$C$1+1,O305,P305,Q305)</f>
        <v>TB/HIV-5 Porcentaje de casos nuevos y recaídas de TB registrados, con estado serológico de VIH documentado</v>
      </c>
      <c r="C305" s="156">
        <f t="shared" si="10"/>
        <v>1</v>
      </c>
      <c r="D305" s="156" t="str">
        <f t="shared" si="11"/>
        <v>TB/HIV-5 Porcentaje de casos nuevos y recaídas de TB registrados, con estado serológico de VIH documentado-1</v>
      </c>
      <c r="E305" s="156" t="str">
        <f>CHOOSE(Translations!$C$1+1,I305,J305,K305)</f>
        <v>Género</v>
      </c>
      <c r="F305" s="156" t="str">
        <f>CHOOSE(Translations!$C$1+1,L305,M305,N305)</f>
        <v>Mujeres</v>
      </c>
      <c r="G305" s="156" t="s">
        <v>2491</v>
      </c>
      <c r="H305" s="157" t="s">
        <v>2492</v>
      </c>
      <c r="I305" s="157" t="s">
        <v>1450</v>
      </c>
      <c r="J305" s="157" t="s">
        <v>1451</v>
      </c>
      <c r="K305" s="157" t="s">
        <v>1452</v>
      </c>
      <c r="L305" s="157" t="s">
        <v>1453</v>
      </c>
      <c r="M305" s="157" t="s">
        <v>1454</v>
      </c>
      <c r="N305" s="157" t="s">
        <v>1455</v>
      </c>
      <c r="O305" s="157" t="s">
        <v>2488</v>
      </c>
      <c r="P305" s="157" t="s">
        <v>2489</v>
      </c>
      <c r="Q305" s="157" t="s">
        <v>2490</v>
      </c>
    </row>
    <row r="306" spans="1:17" s="9" customFormat="1" x14ac:dyDescent="0.25">
      <c r="A306" s="156" t="s">
        <v>2485</v>
      </c>
      <c r="B306" s="156" t="str">
        <f>CHOOSE(Translations!$C$1+1,O306,P306,Q306)</f>
        <v>TB/HIV-5 Porcentaje de casos nuevos y recaídas de TB registrados, con estado serológico de VIH documentado</v>
      </c>
      <c r="C306" s="156">
        <f t="shared" si="10"/>
        <v>2</v>
      </c>
      <c r="D306" s="156" t="str">
        <f t="shared" si="11"/>
        <v>TB/HIV-5 Porcentaje de casos nuevos y recaídas de TB registrados, con estado serológico de VIH documentado-2</v>
      </c>
      <c r="E306" s="156" t="str">
        <f>CHOOSE(Translations!$C$1+1,I306,J306,K306)</f>
        <v>Género</v>
      </c>
      <c r="F306" s="156" t="str">
        <f>CHOOSE(Translations!$C$1+1,L306,M306,N306)</f>
        <v>Hombres</v>
      </c>
      <c r="G306" s="156" t="s">
        <v>2493</v>
      </c>
      <c r="H306" s="157" t="s">
        <v>2494</v>
      </c>
      <c r="I306" s="157" t="s">
        <v>1450</v>
      </c>
      <c r="J306" s="157" t="s">
        <v>1451</v>
      </c>
      <c r="K306" s="157" t="s">
        <v>1452</v>
      </c>
      <c r="L306" s="157" t="s">
        <v>1458</v>
      </c>
      <c r="M306" s="157" t="s">
        <v>1459</v>
      </c>
      <c r="N306" s="157" t="s">
        <v>1460</v>
      </c>
      <c r="O306" s="157" t="s">
        <v>2488</v>
      </c>
      <c r="P306" s="157" t="s">
        <v>2489</v>
      </c>
      <c r="Q306" s="157" t="s">
        <v>2490</v>
      </c>
    </row>
    <row r="307" spans="1:17" s="9" customFormat="1" x14ac:dyDescent="0.25">
      <c r="A307" s="156" t="s">
        <v>2485</v>
      </c>
      <c r="B307" s="156" t="str">
        <f>CHOOSE(Translations!$C$1+1,O307,P307,Q307)</f>
        <v>TB/HIV-5 Porcentaje de casos nuevos y recaídas de TB registrados, con estado serológico de VIH documentado</v>
      </c>
      <c r="C307" s="156">
        <f t="shared" si="10"/>
        <v>3</v>
      </c>
      <c r="D307" s="156" t="str">
        <f t="shared" si="11"/>
        <v>TB/HIV-5 Porcentaje de casos nuevos y recaídas de TB registrados, con estado serológico de VIH documentado-3</v>
      </c>
      <c r="E307" s="156" t="str">
        <f>CHOOSE(Translations!$C$1+1,I307,J307,K307)</f>
        <v>Edad</v>
      </c>
      <c r="F307" s="156" t="str">
        <f>CHOOSE(Translations!$C$1+1,L307,M307,N307)</f>
        <v>15+</v>
      </c>
      <c r="G307" s="156" t="s">
        <v>2495</v>
      </c>
      <c r="H307" s="157" t="s">
        <v>2496</v>
      </c>
      <c r="I307" s="157" t="s">
        <v>1463</v>
      </c>
      <c r="J307" s="157" t="s">
        <v>1463</v>
      </c>
      <c r="K307" s="157" t="s">
        <v>1464</v>
      </c>
      <c r="L307" s="157" t="s">
        <v>1465</v>
      </c>
      <c r="M307" s="157" t="s">
        <v>1465</v>
      </c>
      <c r="N307" s="157" t="s">
        <v>1465</v>
      </c>
      <c r="O307" s="157" t="s">
        <v>2488</v>
      </c>
      <c r="P307" s="157" t="s">
        <v>2489</v>
      </c>
      <c r="Q307" s="157" t="s">
        <v>2490</v>
      </c>
    </row>
    <row r="308" spans="1:17" s="9" customFormat="1" x14ac:dyDescent="0.25">
      <c r="A308" s="156" t="s">
        <v>2485</v>
      </c>
      <c r="B308" s="156" t="str">
        <f>CHOOSE(Translations!$C$1+1,O308,P308,Q308)</f>
        <v>TB/HIV-5 Porcentaje de casos nuevos y recaídas de TB registrados, con estado serológico de VIH documentado</v>
      </c>
      <c r="C308" s="156">
        <f t="shared" si="10"/>
        <v>4</v>
      </c>
      <c r="D308" s="156" t="str">
        <f t="shared" si="11"/>
        <v>TB/HIV-5 Porcentaje de casos nuevos y recaídas de TB registrados, con estado serológico de VIH documentado-4</v>
      </c>
      <c r="E308" s="156" t="str">
        <f>CHOOSE(Translations!$C$1+1,I308,J308,K308)</f>
        <v>Edad</v>
      </c>
      <c r="F308" s="156" t="str">
        <f>CHOOSE(Translations!$C$1+1,L308,M308,N308)</f>
        <v>5-14</v>
      </c>
      <c r="G308" s="156" t="s">
        <v>2497</v>
      </c>
      <c r="H308" s="157" t="s">
        <v>2498</v>
      </c>
      <c r="I308" s="157" t="s">
        <v>1463</v>
      </c>
      <c r="J308" s="157" t="s">
        <v>1463</v>
      </c>
      <c r="K308" s="157" t="s">
        <v>1464</v>
      </c>
      <c r="L308" s="157" t="s">
        <v>1509</v>
      </c>
      <c r="M308" s="157" t="s">
        <v>1509</v>
      </c>
      <c r="N308" s="157" t="s">
        <v>1509</v>
      </c>
      <c r="O308" s="157" t="s">
        <v>2488</v>
      </c>
      <c r="P308" s="157" t="s">
        <v>2489</v>
      </c>
      <c r="Q308" s="157" t="s">
        <v>2490</v>
      </c>
    </row>
    <row r="309" spans="1:17" s="9" customFormat="1" x14ac:dyDescent="0.25">
      <c r="A309" s="156" t="s">
        <v>2485</v>
      </c>
      <c r="B309" s="156" t="str">
        <f>CHOOSE(Translations!$C$1+1,O309,P309,Q309)</f>
        <v>TB/HIV-5 Porcentaje de casos nuevos y recaídas de TB registrados, con estado serológico de VIH documentado</v>
      </c>
      <c r="C309" s="156">
        <f t="shared" si="10"/>
        <v>5</v>
      </c>
      <c r="D309" s="156" t="str">
        <f t="shared" si="11"/>
        <v>TB/HIV-5 Porcentaje de casos nuevos y recaídas de TB registrados, con estado serológico de VIH documentado-5</v>
      </c>
      <c r="E309" s="156" t="str">
        <f>CHOOSE(Translations!$C$1+1,I309,J309,K309)</f>
        <v>Edad</v>
      </c>
      <c r="F309" s="156" t="str">
        <f>CHOOSE(Translations!$C$1+1,L309,M309,N309)</f>
        <v>&lt;5</v>
      </c>
      <c r="G309" s="156" t="s">
        <v>2499</v>
      </c>
      <c r="H309" s="157" t="s">
        <v>2500</v>
      </c>
      <c r="I309" s="157" t="s">
        <v>1463</v>
      </c>
      <c r="J309" s="157" t="s">
        <v>1463</v>
      </c>
      <c r="K309" s="157" t="s">
        <v>1464</v>
      </c>
      <c r="L309" s="157" t="s">
        <v>1512</v>
      </c>
      <c r="M309" s="157" t="s">
        <v>1512</v>
      </c>
      <c r="N309" s="157" t="s">
        <v>1512</v>
      </c>
      <c r="O309" s="157" t="s">
        <v>2488</v>
      </c>
      <c r="P309" s="157" t="s">
        <v>2489</v>
      </c>
      <c r="Q309" s="157" t="s">
        <v>2490</v>
      </c>
    </row>
    <row r="310" spans="1:17" s="9" customFormat="1" x14ac:dyDescent="0.25">
      <c r="A310" s="156" t="s">
        <v>2501</v>
      </c>
      <c r="B310" s="156" t="str">
        <f>CHOOSE(Translations!$C$1+1,O310,P310,Q310)</f>
        <v>TB/HIV-6⁽ᴹ⁾ Porcentaje de casos nuevos y recaídas de TB coinfectados con VIH que recibieron TARV durante el tratamiento de la TB</v>
      </c>
      <c r="C310" s="156">
        <f t="shared" si="10"/>
        <v>0</v>
      </c>
      <c r="D310" s="156" t="str">
        <f t="shared" si="11"/>
        <v>TB/HIV-6⁽ᴹ⁾ Porcentaje de casos nuevos y recaídas de TB coinfectados con VIH que recibieron TARV durante el tratamiento de la TB-0</v>
      </c>
      <c r="E310" s="156" t="str">
        <f>CHOOSE(Translations!$C$1+1,I310,J310,K310)</f>
        <v>Género</v>
      </c>
      <c r="F310" s="156" t="str">
        <f>CHOOSE(Translations!$C$1+1,L310,M310,N310)</f>
        <v>Mujeres</v>
      </c>
      <c r="G310" s="156" t="s">
        <v>2502</v>
      </c>
      <c r="H310" s="157" t="s">
        <v>2503</v>
      </c>
      <c r="I310" s="157" t="s">
        <v>1450</v>
      </c>
      <c r="J310" s="157" t="s">
        <v>1451</v>
      </c>
      <c r="K310" s="157" t="s">
        <v>1452</v>
      </c>
      <c r="L310" s="157" t="s">
        <v>1453</v>
      </c>
      <c r="M310" s="157" t="s">
        <v>1454</v>
      </c>
      <c r="N310" s="157" t="s">
        <v>1455</v>
      </c>
      <c r="O310" s="157" t="s">
        <v>2504</v>
      </c>
      <c r="P310" s="157" t="s">
        <v>2505</v>
      </c>
      <c r="Q310" s="157" t="s">
        <v>2506</v>
      </c>
    </row>
    <row r="311" spans="1:17" s="9" customFormat="1" x14ac:dyDescent="0.25">
      <c r="A311" s="156" t="s">
        <v>2501</v>
      </c>
      <c r="B311" s="156" t="str">
        <f>CHOOSE(Translations!$C$1+1,O311,P311,Q311)</f>
        <v>TB/HIV-6⁽ᴹ⁾ Porcentaje de casos nuevos y recaídas de TB coinfectados con VIH que recibieron TARV durante el tratamiento de la TB</v>
      </c>
      <c r="C311" s="156">
        <f t="shared" si="10"/>
        <v>1</v>
      </c>
      <c r="D311" s="156" t="str">
        <f t="shared" si="11"/>
        <v>TB/HIV-6⁽ᴹ⁾ Porcentaje de casos nuevos y recaídas de TB coinfectados con VIH que recibieron TARV durante el tratamiento de la TB-1</v>
      </c>
      <c r="E311" s="156" t="str">
        <f>CHOOSE(Translations!$C$1+1,I311,J311,K311)</f>
        <v>Género</v>
      </c>
      <c r="F311" s="156" t="str">
        <f>CHOOSE(Translations!$C$1+1,L311,M311,N311)</f>
        <v>Hombres</v>
      </c>
      <c r="G311" s="156" t="s">
        <v>2507</v>
      </c>
      <c r="H311" s="157" t="s">
        <v>2508</v>
      </c>
      <c r="I311" s="157" t="s">
        <v>1450</v>
      </c>
      <c r="J311" s="157" t="s">
        <v>1451</v>
      </c>
      <c r="K311" s="157" t="s">
        <v>1452</v>
      </c>
      <c r="L311" s="157" t="s">
        <v>1458</v>
      </c>
      <c r="M311" s="157" t="s">
        <v>1459</v>
      </c>
      <c r="N311" s="157" t="s">
        <v>1460</v>
      </c>
      <c r="O311" s="157" t="s">
        <v>2504</v>
      </c>
      <c r="P311" s="157" t="s">
        <v>2505</v>
      </c>
      <c r="Q311" s="157" t="s">
        <v>2506</v>
      </c>
    </row>
    <row r="312" spans="1:17" s="9" customFormat="1" x14ac:dyDescent="0.25">
      <c r="A312" s="156" t="s">
        <v>2501</v>
      </c>
      <c r="B312" s="156" t="str">
        <f>CHOOSE(Translations!$C$1+1,O312,P312,Q312)</f>
        <v>TB/HIV-6⁽ᴹ⁾ Porcentaje de casos nuevos y recaídas de TB coinfectados con VIH que recibieron TARV durante el tratamiento de la TB</v>
      </c>
      <c r="C312" s="156">
        <f t="shared" si="10"/>
        <v>2</v>
      </c>
      <c r="D312" s="156" t="str">
        <f t="shared" si="11"/>
        <v>TB/HIV-6⁽ᴹ⁾ Porcentaje de casos nuevos y recaídas de TB coinfectados con VIH que recibieron TARV durante el tratamiento de la TB-2</v>
      </c>
      <c r="E312" s="156" t="str">
        <f>CHOOSE(Translations!$C$1+1,I312,J312,K312)</f>
        <v>Edad</v>
      </c>
      <c r="F312" s="156" t="str">
        <f>CHOOSE(Translations!$C$1+1,L312,M312,N312)</f>
        <v>15+</v>
      </c>
      <c r="G312" s="156" t="s">
        <v>2509</v>
      </c>
      <c r="H312" s="157" t="s">
        <v>2510</v>
      </c>
      <c r="I312" s="157" t="s">
        <v>1463</v>
      </c>
      <c r="J312" s="157" t="s">
        <v>1463</v>
      </c>
      <c r="K312" s="157" t="s">
        <v>1464</v>
      </c>
      <c r="L312" s="157" t="s">
        <v>1465</v>
      </c>
      <c r="M312" s="157" t="s">
        <v>1465</v>
      </c>
      <c r="N312" s="157" t="s">
        <v>1465</v>
      </c>
      <c r="O312" s="157" t="s">
        <v>2504</v>
      </c>
      <c r="P312" s="157" t="s">
        <v>2505</v>
      </c>
      <c r="Q312" s="157" t="s">
        <v>2506</v>
      </c>
    </row>
    <row r="313" spans="1:17" s="9" customFormat="1" x14ac:dyDescent="0.25">
      <c r="A313" s="156" t="s">
        <v>2501</v>
      </c>
      <c r="B313" s="156" t="str">
        <f>CHOOSE(Translations!$C$1+1,O313,P313,Q313)</f>
        <v>TB/HIV-6⁽ᴹ⁾ Porcentaje de casos nuevos y recaídas de TB coinfectados con VIH que recibieron TARV durante el tratamiento de la TB</v>
      </c>
      <c r="C313" s="156">
        <f t="shared" si="10"/>
        <v>3</v>
      </c>
      <c r="D313" s="156" t="str">
        <f t="shared" si="11"/>
        <v>TB/HIV-6⁽ᴹ⁾ Porcentaje de casos nuevos y recaídas de TB coinfectados con VIH que recibieron TARV durante el tratamiento de la TB-3</v>
      </c>
      <c r="E313" s="156" t="str">
        <f>CHOOSE(Translations!$C$1+1,I313,J313,K313)</f>
        <v>Edad</v>
      </c>
      <c r="F313" s="156" t="str">
        <f>CHOOSE(Translations!$C$1+1,L313,M313,N313)</f>
        <v>5-14</v>
      </c>
      <c r="G313" s="156" t="s">
        <v>2511</v>
      </c>
      <c r="H313" s="157" t="s">
        <v>2512</v>
      </c>
      <c r="I313" s="157" t="s">
        <v>1463</v>
      </c>
      <c r="J313" s="157" t="s">
        <v>1463</v>
      </c>
      <c r="K313" s="157" t="s">
        <v>1464</v>
      </c>
      <c r="L313" s="157" t="s">
        <v>1509</v>
      </c>
      <c r="M313" s="157" t="s">
        <v>1509</v>
      </c>
      <c r="N313" s="157" t="s">
        <v>1509</v>
      </c>
      <c r="O313" s="157" t="s">
        <v>2504</v>
      </c>
      <c r="P313" s="157" t="s">
        <v>2505</v>
      </c>
      <c r="Q313" s="157" t="s">
        <v>2506</v>
      </c>
    </row>
    <row r="314" spans="1:17" s="9" customFormat="1" x14ac:dyDescent="0.25">
      <c r="A314" s="156" t="s">
        <v>2501</v>
      </c>
      <c r="B314" s="156" t="str">
        <f>CHOOSE(Translations!$C$1+1,O314,P314,Q314)</f>
        <v>TB/HIV-6⁽ᴹ⁾ Porcentaje de casos nuevos y recaídas de TB coinfectados con VIH que recibieron TARV durante el tratamiento de la TB</v>
      </c>
      <c r="C314" s="156">
        <f t="shared" si="10"/>
        <v>4</v>
      </c>
      <c r="D314" s="156" t="str">
        <f t="shared" si="11"/>
        <v>TB/HIV-6⁽ᴹ⁾ Porcentaje de casos nuevos y recaídas de TB coinfectados con VIH que recibieron TARV durante el tratamiento de la TB-4</v>
      </c>
      <c r="E314" s="156" t="str">
        <f>CHOOSE(Translations!$C$1+1,I314,J314,K314)</f>
        <v>Edad</v>
      </c>
      <c r="F314" s="156" t="str">
        <f>CHOOSE(Translations!$C$1+1,L314,M314,N314)</f>
        <v>&lt;5</v>
      </c>
      <c r="G314" s="156" t="s">
        <v>2513</v>
      </c>
      <c r="H314" s="157" t="s">
        <v>2514</v>
      </c>
      <c r="I314" s="157" t="s">
        <v>1463</v>
      </c>
      <c r="J314" s="157" t="s">
        <v>1463</v>
      </c>
      <c r="K314" s="157" t="s">
        <v>1464</v>
      </c>
      <c r="L314" s="157" t="s">
        <v>1512</v>
      </c>
      <c r="M314" s="157" t="s">
        <v>1512</v>
      </c>
      <c r="N314" s="157" t="s">
        <v>1512</v>
      </c>
      <c r="O314" s="157" t="s">
        <v>2504</v>
      </c>
      <c r="P314" s="157" t="s">
        <v>2505</v>
      </c>
      <c r="Q314" s="157" t="s">
        <v>2506</v>
      </c>
    </row>
    <row r="315" spans="1:17" s="9" customFormat="1" x14ac:dyDescent="0.25">
      <c r="A315" s="156" t="s">
        <v>2515</v>
      </c>
      <c r="B315" s="156" t="str">
        <f>CHOOSE(Translations!$C$1+1,O315,P315,Q315)</f>
        <v>TB/HIV-7 Porcentaje de personas que viven con el VIH recibiendo terapia antirretroviral que han iniciado la terapia preventiva de TB entre las personas que viven con el VIH elegibles durante el período de reporte</v>
      </c>
      <c r="C315" s="156">
        <f t="shared" si="10"/>
        <v>0</v>
      </c>
      <c r="D315" s="156" t="str">
        <f t="shared" si="11"/>
        <v>TB/HIV-7 Porcentaje de personas que viven con el VIH recibiendo terapia antirretroviral que han iniciado la terapia preventiva de TB entre las personas que viven con el VIH elegibles durante el período de reporte-0</v>
      </c>
      <c r="E315" s="156" t="str">
        <f>CHOOSE(Translations!$C$1+1,I315,J315,K315)</f>
        <v>Régimen de TPT</v>
      </c>
      <c r="F315" s="156" t="str">
        <f>CHOOSE(Translations!$C$1+1,L315,M315,N315)</f>
        <v>INH</v>
      </c>
      <c r="G315" s="156" t="s">
        <v>2516</v>
      </c>
      <c r="H315" s="157" t="s">
        <v>2517</v>
      </c>
      <c r="I315" s="157" t="s">
        <v>2518</v>
      </c>
      <c r="J315" s="157" t="s">
        <v>2519</v>
      </c>
      <c r="K315" s="157" t="s">
        <v>2520</v>
      </c>
      <c r="L315" s="157" t="s">
        <v>2521</v>
      </c>
      <c r="M315" s="157" t="s">
        <v>2521</v>
      </c>
      <c r="N315" s="157" t="s">
        <v>2521</v>
      </c>
      <c r="O315" s="157" t="s">
        <v>2522</v>
      </c>
      <c r="P315" s="157" t="s">
        <v>2523</v>
      </c>
      <c r="Q315" s="157" t="s">
        <v>2524</v>
      </c>
    </row>
    <row r="316" spans="1:17" s="9" customFormat="1" x14ac:dyDescent="0.25">
      <c r="A316" s="156" t="s">
        <v>2515</v>
      </c>
      <c r="B316" s="156" t="str">
        <f>CHOOSE(Translations!$C$1+1,O316,P316,Q316)</f>
        <v>TB/HIV-7 Porcentaje de personas que viven con el VIH recibiendo terapia antirretroviral que han iniciado la terapia preventiva de TB entre las personas que viven con el VIH elegibles durante el período de reporte</v>
      </c>
      <c r="C316" s="156">
        <f t="shared" si="10"/>
        <v>1</v>
      </c>
      <c r="D316" s="156" t="str">
        <f t="shared" si="11"/>
        <v>TB/HIV-7 Porcentaje de personas que viven con el VIH recibiendo terapia antirretroviral que han iniciado la terapia preventiva de TB entre las personas que viven con el VIH elegibles durante el período de reporte-1</v>
      </c>
      <c r="E316" s="156" t="str">
        <f>CHOOSE(Translations!$C$1+1,I316,J316,K316)</f>
        <v>Régimen de TPT</v>
      </c>
      <c r="F316" s="156" t="str">
        <f>CHOOSE(Translations!$C$1+1,L316,M316,N316)</f>
        <v>3RH</v>
      </c>
      <c r="G316" s="156" t="s">
        <v>2525</v>
      </c>
      <c r="H316" s="157" t="s">
        <v>2526</v>
      </c>
      <c r="I316" s="157" t="s">
        <v>2518</v>
      </c>
      <c r="J316" s="157" t="s">
        <v>2519</v>
      </c>
      <c r="K316" s="157" t="s">
        <v>2520</v>
      </c>
      <c r="L316" s="157" t="s">
        <v>2527</v>
      </c>
      <c r="M316" s="157" t="s">
        <v>2527</v>
      </c>
      <c r="N316" s="157" t="s">
        <v>2527</v>
      </c>
      <c r="O316" s="157" t="s">
        <v>2522</v>
      </c>
      <c r="P316" s="157" t="s">
        <v>2523</v>
      </c>
      <c r="Q316" s="157" t="s">
        <v>2524</v>
      </c>
    </row>
    <row r="317" spans="1:17" s="9" customFormat="1" x14ac:dyDescent="0.25">
      <c r="A317" s="156" t="s">
        <v>2515</v>
      </c>
      <c r="B317" s="156" t="str">
        <f>CHOOSE(Translations!$C$1+1,O317,P317,Q317)</f>
        <v>TB/HIV-7 Porcentaje de personas que viven con el VIH recibiendo terapia antirretroviral que han iniciado la terapia preventiva de TB entre las personas que viven con el VIH elegibles durante el período de reporte</v>
      </c>
      <c r="C317" s="156">
        <f t="shared" si="10"/>
        <v>2</v>
      </c>
      <c r="D317" s="156" t="str">
        <f t="shared" si="11"/>
        <v>TB/HIV-7 Porcentaje de personas que viven con el VIH recibiendo terapia antirretroviral que han iniciado la terapia preventiva de TB entre las personas que viven con el VIH elegibles durante el período de reporte-2</v>
      </c>
      <c r="E317" s="156" t="str">
        <f>CHOOSE(Translations!$C$1+1,I317,J317,K317)</f>
        <v>Régimen de TPT</v>
      </c>
      <c r="F317" s="156" t="str">
        <f>CHOOSE(Translations!$C$1+1,L317,M317,N317)</f>
        <v>RIF</v>
      </c>
      <c r="G317" s="156" t="s">
        <v>2528</v>
      </c>
      <c r="H317" s="157" t="s">
        <v>2529</v>
      </c>
      <c r="I317" s="157" t="s">
        <v>2518</v>
      </c>
      <c r="J317" s="157" t="s">
        <v>2519</v>
      </c>
      <c r="K317" s="157" t="s">
        <v>2520</v>
      </c>
      <c r="L317" s="157" t="s">
        <v>2530</v>
      </c>
      <c r="M317" s="157" t="s">
        <v>2530</v>
      </c>
      <c r="N317" s="157" t="s">
        <v>2530</v>
      </c>
      <c r="O317" s="157" t="s">
        <v>2522</v>
      </c>
      <c r="P317" s="157" t="s">
        <v>2523</v>
      </c>
      <c r="Q317" s="157" t="s">
        <v>2524</v>
      </c>
    </row>
    <row r="318" spans="1:17" s="9" customFormat="1" x14ac:dyDescent="0.25">
      <c r="A318" s="156" t="s">
        <v>2515</v>
      </c>
      <c r="B318" s="156" t="str">
        <f>CHOOSE(Translations!$C$1+1,O318,P318,Q318)</f>
        <v>TB/HIV-7 Porcentaje de personas que viven con el VIH recibiendo terapia antirretroviral que han iniciado la terapia preventiva de TB entre las personas que viven con el VIH elegibles durante el período de reporte</v>
      </c>
      <c r="C318" s="156">
        <f t="shared" si="10"/>
        <v>3</v>
      </c>
      <c r="D318" s="156" t="str">
        <f t="shared" si="11"/>
        <v>TB/HIV-7 Porcentaje de personas que viven con el VIH recibiendo terapia antirretroviral que han iniciado la terapia preventiva de TB entre las personas que viven con el VIH elegibles durante el período de reporte-3</v>
      </c>
      <c r="E318" s="156" t="str">
        <f>CHOOSE(Translations!$C$1+1,I318,J318,K318)</f>
        <v>Régimen de TPT</v>
      </c>
      <c r="F318" s="156" t="str">
        <f>CHOOSE(Translations!$C$1+1,L318,M318,N318)</f>
        <v>1HP</v>
      </c>
      <c r="G318" s="156" t="s">
        <v>2531</v>
      </c>
      <c r="H318" s="157" t="s">
        <v>2532</v>
      </c>
      <c r="I318" s="157" t="s">
        <v>2518</v>
      </c>
      <c r="J318" s="157" t="s">
        <v>2519</v>
      </c>
      <c r="K318" s="157" t="s">
        <v>2520</v>
      </c>
      <c r="L318" s="157" t="s">
        <v>2533</v>
      </c>
      <c r="M318" s="157" t="s">
        <v>2533</v>
      </c>
      <c r="N318" s="157" t="s">
        <v>2533</v>
      </c>
      <c r="O318" s="157" t="s">
        <v>2522</v>
      </c>
      <c r="P318" s="157" t="s">
        <v>2523</v>
      </c>
      <c r="Q318" s="157" t="s">
        <v>2524</v>
      </c>
    </row>
    <row r="319" spans="1:17" s="9" customFormat="1" x14ac:dyDescent="0.25">
      <c r="A319" s="156" t="s">
        <v>2515</v>
      </c>
      <c r="B319" s="156" t="str">
        <f>CHOOSE(Translations!$C$1+1,O319,P319,Q319)</f>
        <v>TB/HIV-7 Porcentaje de personas que viven con el VIH recibiendo terapia antirretroviral que han iniciado la terapia preventiva de TB entre las personas que viven con el VIH elegibles durante el período de reporte</v>
      </c>
      <c r="C319" s="156">
        <f t="shared" si="10"/>
        <v>4</v>
      </c>
      <c r="D319" s="156" t="str">
        <f t="shared" si="11"/>
        <v>TB/HIV-7 Porcentaje de personas que viven con el VIH recibiendo terapia antirretroviral que han iniciado la terapia preventiva de TB entre las personas que viven con el VIH elegibles durante el período de reporte-4</v>
      </c>
      <c r="E319" s="156" t="str">
        <f>CHOOSE(Translations!$C$1+1,I319,J319,K319)</f>
        <v>Régimen de TPT</v>
      </c>
      <c r="F319" s="156" t="str">
        <f>CHOOSE(Translations!$C$1+1,L319,M319,N319)</f>
        <v>3HP</v>
      </c>
      <c r="G319" s="156" t="s">
        <v>2534</v>
      </c>
      <c r="H319" s="157" t="s">
        <v>2535</v>
      </c>
      <c r="I319" s="157" t="s">
        <v>2518</v>
      </c>
      <c r="J319" s="157" t="s">
        <v>2519</v>
      </c>
      <c r="K319" s="157" t="s">
        <v>2520</v>
      </c>
      <c r="L319" s="157" t="s">
        <v>2536</v>
      </c>
      <c r="M319" s="157" t="s">
        <v>2536</v>
      </c>
      <c r="N319" s="157" t="s">
        <v>2536</v>
      </c>
      <c r="O319" s="157" t="s">
        <v>2522</v>
      </c>
      <c r="P319" s="157" t="s">
        <v>2523</v>
      </c>
      <c r="Q319" s="157" t="s">
        <v>2524</v>
      </c>
    </row>
    <row r="320" spans="1:17" s="9" customFormat="1" x14ac:dyDescent="0.25">
      <c r="A320" s="156" t="s">
        <v>2515</v>
      </c>
      <c r="B320" s="156" t="str">
        <f>CHOOSE(Translations!$C$1+1,O320,P320,Q320)</f>
        <v>TB/HIV-7 Porcentaje de personas que viven con el VIH recibiendo terapia antirretroviral que han iniciado la terapia preventiva de TB entre las personas que viven con el VIH elegibles durante el período de reporte</v>
      </c>
      <c r="C320" s="156">
        <f t="shared" si="10"/>
        <v>5</v>
      </c>
      <c r="D320" s="156" t="str">
        <f t="shared" si="11"/>
        <v>TB/HIV-7 Porcentaje de personas que viven con el VIH recibiendo terapia antirretroviral que han iniciado la terapia preventiva de TB entre las personas que viven con el VIH elegibles durante el período de reporte-5</v>
      </c>
      <c r="E320" s="156" t="str">
        <f>CHOOSE(Translations!$C$1+1,I320,J320,K320)</f>
        <v>Género</v>
      </c>
      <c r="F320" s="156" t="str">
        <f>CHOOSE(Translations!$C$1+1,L320,M320,N320)</f>
        <v>Mujeres</v>
      </c>
      <c r="G320" s="156" t="s">
        <v>2537</v>
      </c>
      <c r="H320" s="157" t="s">
        <v>2538</v>
      </c>
      <c r="I320" s="157" t="s">
        <v>1450</v>
      </c>
      <c r="J320" s="157" t="s">
        <v>1451</v>
      </c>
      <c r="K320" s="157" t="s">
        <v>1452</v>
      </c>
      <c r="L320" s="157" t="s">
        <v>1453</v>
      </c>
      <c r="M320" s="157" t="s">
        <v>1454</v>
      </c>
      <c r="N320" s="157" t="s">
        <v>1455</v>
      </c>
      <c r="O320" s="157" t="s">
        <v>2522</v>
      </c>
      <c r="P320" s="157" t="s">
        <v>2523</v>
      </c>
      <c r="Q320" s="157" t="s">
        <v>2524</v>
      </c>
    </row>
    <row r="321" spans="1:17" s="9" customFormat="1" x14ac:dyDescent="0.25">
      <c r="A321" s="156" t="s">
        <v>2515</v>
      </c>
      <c r="B321" s="156" t="str">
        <f>CHOOSE(Translations!$C$1+1,O321,P321,Q321)</f>
        <v>TB/HIV-7 Porcentaje de personas que viven con el VIH recibiendo terapia antirretroviral que han iniciado la terapia preventiva de TB entre las personas que viven con el VIH elegibles durante el período de reporte</v>
      </c>
      <c r="C321" s="156">
        <f t="shared" si="10"/>
        <v>6</v>
      </c>
      <c r="D321" s="156" t="str">
        <f t="shared" si="11"/>
        <v>TB/HIV-7 Porcentaje de personas que viven con el VIH recibiendo terapia antirretroviral que han iniciado la terapia preventiva de TB entre las personas que viven con el VIH elegibles durante el período de reporte-6</v>
      </c>
      <c r="E321" s="156" t="str">
        <f>CHOOSE(Translations!$C$1+1,I321,J321,K321)</f>
        <v>Género</v>
      </c>
      <c r="F321" s="156" t="str">
        <f>CHOOSE(Translations!$C$1+1,L321,M321,N321)</f>
        <v>Hombres</v>
      </c>
      <c r="G321" s="156" t="s">
        <v>2539</v>
      </c>
      <c r="H321" s="157" t="s">
        <v>2540</v>
      </c>
      <c r="I321" s="157" t="s">
        <v>1450</v>
      </c>
      <c r="J321" s="157" t="s">
        <v>1451</v>
      </c>
      <c r="K321" s="157" t="s">
        <v>1452</v>
      </c>
      <c r="L321" s="157" t="s">
        <v>1458</v>
      </c>
      <c r="M321" s="157" t="s">
        <v>1459</v>
      </c>
      <c r="N321" s="157" t="s">
        <v>1460</v>
      </c>
      <c r="O321" s="157" t="s">
        <v>2522</v>
      </c>
      <c r="P321" s="157" t="s">
        <v>2523</v>
      </c>
      <c r="Q321" s="157" t="s">
        <v>2524</v>
      </c>
    </row>
    <row r="322" spans="1:17" s="9" customFormat="1" x14ac:dyDescent="0.25">
      <c r="A322" s="156" t="s">
        <v>2515</v>
      </c>
      <c r="B322" s="156" t="str">
        <f>CHOOSE(Translations!$C$1+1,O322,P322,Q322)</f>
        <v>TB/HIV-7 Porcentaje de personas que viven con el VIH recibiendo terapia antirretroviral que han iniciado la terapia preventiva de TB entre las personas que viven con el VIH elegibles durante el período de reporte</v>
      </c>
      <c r="C322" s="156">
        <f t="shared" si="10"/>
        <v>7</v>
      </c>
      <c r="D322" s="156" t="str">
        <f t="shared" si="11"/>
        <v>TB/HIV-7 Porcentaje de personas que viven con el VIH recibiendo terapia antirretroviral que han iniciado la terapia preventiva de TB entre las personas que viven con el VIH elegibles durante el período de reporte-7</v>
      </c>
      <c r="E322" s="156" t="str">
        <f>CHOOSE(Translations!$C$1+1,I322,J322,K322)</f>
        <v>Edad</v>
      </c>
      <c r="F322" s="156" t="str">
        <f>CHOOSE(Translations!$C$1+1,L322,M322,N322)</f>
        <v>15+</v>
      </c>
      <c r="G322" s="156" t="s">
        <v>2541</v>
      </c>
      <c r="H322" s="157" t="s">
        <v>2542</v>
      </c>
      <c r="I322" s="157" t="s">
        <v>1463</v>
      </c>
      <c r="J322" s="157" t="s">
        <v>1463</v>
      </c>
      <c r="K322" s="157" t="s">
        <v>1464</v>
      </c>
      <c r="L322" s="157" t="s">
        <v>1465</v>
      </c>
      <c r="M322" s="157" t="s">
        <v>1465</v>
      </c>
      <c r="N322" s="157" t="s">
        <v>1465</v>
      </c>
      <c r="O322" s="157" t="s">
        <v>2522</v>
      </c>
      <c r="P322" s="157" t="s">
        <v>2523</v>
      </c>
      <c r="Q322" s="157" t="s">
        <v>2524</v>
      </c>
    </row>
    <row r="323" spans="1:17" s="9" customFormat="1" x14ac:dyDescent="0.25">
      <c r="A323" s="156" t="s">
        <v>2515</v>
      </c>
      <c r="B323" s="156" t="str">
        <f>CHOOSE(Translations!$C$1+1,O323,P323,Q323)</f>
        <v>TB/HIV-7 Porcentaje de personas que viven con el VIH recibiendo terapia antirretroviral que han iniciado la terapia preventiva de TB entre las personas que viven con el VIH elegibles durante el período de reporte</v>
      </c>
      <c r="C323" s="156">
        <f t="shared" si="10"/>
        <v>8</v>
      </c>
      <c r="D323" s="156" t="str">
        <f t="shared" si="11"/>
        <v>TB/HIV-7 Porcentaje de personas que viven con el VIH recibiendo terapia antirretroviral que han iniciado la terapia preventiva de TB entre las personas que viven con el VIH elegibles durante el período de reporte-8</v>
      </c>
      <c r="E323" s="156" t="str">
        <f>CHOOSE(Translations!$C$1+1,I323,J323,K323)</f>
        <v>Edad</v>
      </c>
      <c r="F323" s="156" t="str">
        <f>CHOOSE(Translations!$C$1+1,L323,M323,N323)</f>
        <v>5-14</v>
      </c>
      <c r="G323" s="156" t="s">
        <v>2543</v>
      </c>
      <c r="H323" s="157" t="s">
        <v>2544</v>
      </c>
      <c r="I323" s="157" t="s">
        <v>1463</v>
      </c>
      <c r="J323" s="157" t="s">
        <v>1463</v>
      </c>
      <c r="K323" s="157" t="s">
        <v>1464</v>
      </c>
      <c r="L323" s="157" t="s">
        <v>1509</v>
      </c>
      <c r="M323" s="157" t="s">
        <v>1509</v>
      </c>
      <c r="N323" s="157" t="s">
        <v>1509</v>
      </c>
      <c r="O323" s="157" t="s">
        <v>2522</v>
      </c>
      <c r="P323" s="157" t="s">
        <v>2523</v>
      </c>
      <c r="Q323" s="157" t="s">
        <v>2524</v>
      </c>
    </row>
    <row r="324" spans="1:17" s="9" customFormat="1" x14ac:dyDescent="0.25">
      <c r="A324" s="156" t="s">
        <v>2515</v>
      </c>
      <c r="B324" s="156" t="str">
        <f>CHOOSE(Translations!$C$1+1,O324,P324,Q324)</f>
        <v>TB/HIV-7 Porcentaje de personas que viven con el VIH recibiendo terapia antirretroviral que han iniciado la terapia preventiva de TB entre las personas que viven con el VIH elegibles durante el período de reporte</v>
      </c>
      <c r="C324" s="156">
        <f t="shared" si="10"/>
        <v>9</v>
      </c>
      <c r="D324" s="156" t="str">
        <f t="shared" si="11"/>
        <v>TB/HIV-7 Porcentaje de personas que viven con el VIH recibiendo terapia antirretroviral que han iniciado la terapia preventiva de TB entre las personas que viven con el VIH elegibles durante el período de reporte-9</v>
      </c>
      <c r="E324" s="156" t="str">
        <f>CHOOSE(Translations!$C$1+1,I324,J324,K324)</f>
        <v>Edad</v>
      </c>
      <c r="F324" s="156" t="str">
        <f>CHOOSE(Translations!$C$1+1,L324,M324,N324)</f>
        <v>&lt;5</v>
      </c>
      <c r="G324" s="156" t="s">
        <v>2545</v>
      </c>
      <c r="H324" s="157" t="s">
        <v>2546</v>
      </c>
      <c r="I324" s="157" t="s">
        <v>1463</v>
      </c>
      <c r="J324" s="157" t="s">
        <v>1463</v>
      </c>
      <c r="K324" s="157" t="s">
        <v>1464</v>
      </c>
      <c r="L324" s="157" t="s">
        <v>1512</v>
      </c>
      <c r="M324" s="157" t="s">
        <v>1512</v>
      </c>
      <c r="N324" s="157" t="s">
        <v>1512</v>
      </c>
      <c r="O324" s="157" t="s">
        <v>2522</v>
      </c>
      <c r="P324" s="157" t="s">
        <v>2523</v>
      </c>
      <c r="Q324" s="157" t="s">
        <v>2524</v>
      </c>
    </row>
    <row r="325" spans="1:17" s="9" customFormat="1" x14ac:dyDescent="0.25">
      <c r="A325" s="156" t="s">
        <v>2547</v>
      </c>
      <c r="B325" s="156" t="str">
        <f>CHOOSE(Translations!$C$1+1,O325,P325,Q325)</f>
        <v>VC-1⁽ᴹ⁾ Número de mosquiteros tratados con insecticida de larga duración distribuidos a poblaciones vulnerables a través de campañas a gran escala</v>
      </c>
      <c r="C325" s="156">
        <f t="shared" si="10"/>
        <v>0</v>
      </c>
      <c r="D325" s="156" t="str">
        <f t="shared" si="11"/>
        <v>VC-1⁽ᴹ⁾ Número de mosquiteros tratados con insecticida de larga duración distribuidos a poblaciones vulnerables a través de campañas a gran escala-0</v>
      </c>
      <c r="E325" s="156" t="str">
        <f>CHOOSE(Translations!$C$1+1,I325,J325,K325)</f>
        <v>Grupo de riesgo objetivo</v>
      </c>
      <c r="F325" s="156" t="str">
        <f>CHOOSE(Translations!$C$1+1,L325,M325,N325)</f>
        <v>Otro grupo de riesgo objetivo [especificar]</v>
      </c>
      <c r="G325" s="156" t="s">
        <v>2548</v>
      </c>
      <c r="H325" s="157" t="s">
        <v>2549</v>
      </c>
      <c r="I325" s="157" t="s">
        <v>1834</v>
      </c>
      <c r="J325" s="157" t="s">
        <v>1835</v>
      </c>
      <c r="K325" s="157" t="s">
        <v>1836</v>
      </c>
      <c r="L325" s="157" t="s">
        <v>2419</v>
      </c>
      <c r="M325" s="157" t="s">
        <v>2420</v>
      </c>
      <c r="N325" s="157" t="s">
        <v>2421</v>
      </c>
      <c r="O325" s="157" t="s">
        <v>2550</v>
      </c>
      <c r="P325" s="157" t="s">
        <v>2551</v>
      </c>
      <c r="Q325" s="157" t="s">
        <v>2552</v>
      </c>
    </row>
    <row r="326" spans="1:17" s="9" customFormat="1" x14ac:dyDescent="0.25">
      <c r="A326" s="156" t="s">
        <v>2547</v>
      </c>
      <c r="B326" s="156" t="str">
        <f>CHOOSE(Translations!$C$1+1,O326,P326,Q326)</f>
        <v>VC-1⁽ᴹ⁾ Número de mosquiteros tratados con insecticida de larga duración distribuidos a poblaciones vulnerables a través de campañas a gran escala</v>
      </c>
      <c r="C326" s="156">
        <f t="shared" si="10"/>
        <v>1</v>
      </c>
      <c r="D326" s="156" t="str">
        <f t="shared" si="11"/>
        <v>VC-1⁽ᴹ⁾ Número de mosquiteros tratados con insecticida de larga duración distribuidos a poblaciones vulnerables a través de campañas a gran escala-1</v>
      </c>
      <c r="E326" s="156" t="str">
        <f>CHOOSE(Translations!$C$1+1,I326,J326,K326)</f>
        <v>Grupo de riesgo objetivo</v>
      </c>
      <c r="F326" s="156" t="str">
        <f>CHOOSE(Translations!$C$1+1,L326,M326,N326)</f>
        <v>Reclusos</v>
      </c>
      <c r="G326" s="156" t="s">
        <v>2553</v>
      </c>
      <c r="H326" s="157" t="s">
        <v>2554</v>
      </c>
      <c r="I326" s="157" t="s">
        <v>1834</v>
      </c>
      <c r="J326" s="157" t="s">
        <v>1835</v>
      </c>
      <c r="K326" s="157" t="s">
        <v>1836</v>
      </c>
      <c r="L326" s="157" t="s">
        <v>1837</v>
      </c>
      <c r="M326" s="157" t="s">
        <v>1838</v>
      </c>
      <c r="N326" s="157" t="s">
        <v>1839</v>
      </c>
      <c r="O326" s="157" t="s">
        <v>2550</v>
      </c>
      <c r="P326" s="157" t="s">
        <v>2551</v>
      </c>
      <c r="Q326" s="157" t="s">
        <v>2552</v>
      </c>
    </row>
    <row r="327" spans="1:17" s="9" customFormat="1" x14ac:dyDescent="0.25">
      <c r="A327" s="156" t="s">
        <v>2547</v>
      </c>
      <c r="B327" s="156" t="str">
        <f>CHOOSE(Translations!$C$1+1,O327,P327,Q327)</f>
        <v>VC-1⁽ᴹ⁾ Número de mosquiteros tratados con insecticida de larga duración distribuidos a poblaciones vulnerables a través de campañas a gran escala</v>
      </c>
      <c r="C327" s="156">
        <f t="shared" si="10"/>
        <v>2</v>
      </c>
      <c r="D327" s="156" t="str">
        <f t="shared" si="11"/>
        <v>VC-1⁽ᴹ⁾ Número de mosquiteros tratados con insecticida de larga duración distribuidos a poblaciones vulnerables a través de campañas a gran escala-2</v>
      </c>
      <c r="E327" s="156" t="str">
        <f>CHOOSE(Translations!$C$1+1,I327,J327,K327)</f>
        <v>Grupo de riesgo objetivo</v>
      </c>
      <c r="F327" s="156" t="str">
        <f>CHOOSE(Translations!$C$1+1,L327,M327,N327)</f>
        <v>Migrantes/refugiados/personas internamente desplazadas</v>
      </c>
      <c r="G327" s="156" t="s">
        <v>2555</v>
      </c>
      <c r="H327" s="157" t="s">
        <v>2556</v>
      </c>
      <c r="I327" s="157" t="s">
        <v>1834</v>
      </c>
      <c r="J327" s="157" t="s">
        <v>1835</v>
      </c>
      <c r="K327" s="157" t="s">
        <v>1836</v>
      </c>
      <c r="L327" s="157" t="s">
        <v>2427</v>
      </c>
      <c r="M327" s="157" t="s">
        <v>2428</v>
      </c>
      <c r="N327" s="157" t="s">
        <v>2429</v>
      </c>
      <c r="O327" s="157" t="s">
        <v>2550</v>
      </c>
      <c r="P327" s="157" t="s">
        <v>2551</v>
      </c>
      <c r="Q327" s="157" t="s">
        <v>2552</v>
      </c>
    </row>
    <row r="328" spans="1:17" s="9" customFormat="1" x14ac:dyDescent="0.25">
      <c r="A328" s="156" t="s">
        <v>2557</v>
      </c>
      <c r="B328" s="156" t="str">
        <f>CHOOSE(Translations!$C$1+1,O328,P328,Q328)</f>
        <v>VC-3⁽ᴹ⁾ Número de mosquiteros tratados con insecticida de larga duración distribuidos entre los grupos de riesgo objetivo a través de distribución continua.</v>
      </c>
      <c r="C328" s="156">
        <f t="shared" si="10"/>
        <v>0</v>
      </c>
      <c r="D328" s="156" t="str">
        <f t="shared" si="11"/>
        <v>VC-3⁽ᴹ⁾ Número de mosquiteros tratados con insecticida de larga duración distribuidos entre los grupos de riesgo objetivo a través de distribución continua.-0</v>
      </c>
      <c r="E328" s="156" t="str">
        <f>CHOOSE(Translations!$C$1+1,I328,J328,K328)</f>
        <v>Grupo de riesgo objetivo</v>
      </c>
      <c r="F328" s="156" t="str">
        <f>CHOOSE(Translations!$C$1+1,L328,M328,N328)</f>
        <v>Otro grupo de riesgo objetivo [especificar]</v>
      </c>
      <c r="G328" s="156" t="s">
        <v>2558</v>
      </c>
      <c r="H328" s="157" t="s">
        <v>2559</v>
      </c>
      <c r="I328" s="157" t="s">
        <v>1834</v>
      </c>
      <c r="J328" s="157" t="s">
        <v>1835</v>
      </c>
      <c r="K328" s="157" t="s">
        <v>1836</v>
      </c>
      <c r="L328" s="157" t="s">
        <v>2419</v>
      </c>
      <c r="M328" s="157" t="s">
        <v>2420</v>
      </c>
      <c r="N328" s="157" t="s">
        <v>2421</v>
      </c>
      <c r="O328" s="157" t="s">
        <v>2560</v>
      </c>
      <c r="P328" s="157" t="s">
        <v>2561</v>
      </c>
      <c r="Q328" s="157" t="s">
        <v>2562</v>
      </c>
    </row>
    <row r="329" spans="1:17" s="9" customFormat="1" x14ac:dyDescent="0.25">
      <c r="A329" s="156" t="s">
        <v>2557</v>
      </c>
      <c r="B329" s="156" t="str">
        <f>CHOOSE(Translations!$C$1+1,O329,P329,Q329)</f>
        <v>VC-3⁽ᴹ⁾ Número de mosquiteros tratados con insecticida de larga duración distribuidos entre los grupos de riesgo objetivo a través de distribución continua.</v>
      </c>
      <c r="C329" s="156">
        <f t="shared" si="10"/>
        <v>1</v>
      </c>
      <c r="D329" s="156" t="str">
        <f t="shared" si="11"/>
        <v>VC-3⁽ᴹ⁾ Número de mosquiteros tratados con insecticida de larga duración distribuidos entre los grupos de riesgo objetivo a través de distribución continua.-1</v>
      </c>
      <c r="E329" s="156" t="str">
        <f>CHOOSE(Translations!$C$1+1,I329,J329,K329)</f>
        <v>Grupo de riesgo objetivo</v>
      </c>
      <c r="F329" s="156" t="str">
        <f>CHOOSE(Translations!$C$1+1,L329,M329,N329)</f>
        <v>Niños escolar</v>
      </c>
      <c r="G329" s="156" t="s">
        <v>2563</v>
      </c>
      <c r="H329" s="157" t="s">
        <v>2564</v>
      </c>
      <c r="I329" s="157" t="s">
        <v>1834</v>
      </c>
      <c r="J329" s="157" t="s">
        <v>1835</v>
      </c>
      <c r="K329" s="157" t="s">
        <v>1836</v>
      </c>
      <c r="L329" s="157" t="s">
        <v>2565</v>
      </c>
      <c r="M329" s="157" t="s">
        <v>2566</v>
      </c>
      <c r="N329" s="157" t="s">
        <v>2567</v>
      </c>
      <c r="O329" s="157" t="s">
        <v>2560</v>
      </c>
      <c r="P329" s="157" t="s">
        <v>2561</v>
      </c>
      <c r="Q329" s="157" t="s">
        <v>2562</v>
      </c>
    </row>
    <row r="330" spans="1:17" s="9" customFormat="1" x14ac:dyDescent="0.25">
      <c r="A330" s="156" t="s">
        <v>2557</v>
      </c>
      <c r="B330" s="156" t="str">
        <f>CHOOSE(Translations!$C$1+1,O330,P330,Q330)</f>
        <v>VC-3⁽ᴹ⁾ Número de mosquiteros tratados con insecticida de larga duración distribuidos entre los grupos de riesgo objetivo a través de distribución continua.</v>
      </c>
      <c r="C330" s="156">
        <f t="shared" si="10"/>
        <v>2</v>
      </c>
      <c r="D330" s="156" t="str">
        <f t="shared" si="11"/>
        <v>VC-3⁽ᴹ⁾ Número de mosquiteros tratados con insecticida de larga duración distribuidos entre los grupos de riesgo objetivo a través de distribución continua.-2</v>
      </c>
      <c r="E330" s="156" t="str">
        <f>CHOOSE(Translations!$C$1+1,I330,J330,K330)</f>
        <v>Grupo de riesgo objetivo</v>
      </c>
      <c r="F330" s="156" t="str">
        <f>CHOOSE(Translations!$C$1+1,L330,M330,N330)</f>
        <v>Niños menores de 5 años</v>
      </c>
      <c r="G330" s="156" t="s">
        <v>2568</v>
      </c>
      <c r="H330" s="157" t="s">
        <v>2569</v>
      </c>
      <c r="I330" s="157" t="s">
        <v>1834</v>
      </c>
      <c r="J330" s="157" t="s">
        <v>1835</v>
      </c>
      <c r="K330" s="157" t="s">
        <v>1836</v>
      </c>
      <c r="L330" s="157" t="s">
        <v>2570</v>
      </c>
      <c r="M330" s="157" t="s">
        <v>2571</v>
      </c>
      <c r="N330" s="157" t="s">
        <v>2572</v>
      </c>
      <c r="O330" s="157" t="s">
        <v>2560</v>
      </c>
      <c r="P330" s="157" t="s">
        <v>2561</v>
      </c>
      <c r="Q330" s="157" t="s">
        <v>2562</v>
      </c>
    </row>
    <row r="331" spans="1:17" s="9" customFormat="1" x14ac:dyDescent="0.25">
      <c r="A331" s="156" t="s">
        <v>2557</v>
      </c>
      <c r="B331" s="156" t="str">
        <f>CHOOSE(Translations!$C$1+1,O331,P331,Q331)</f>
        <v>VC-3⁽ᴹ⁾ Número de mosquiteros tratados con insecticida de larga duración distribuidos entre los grupos de riesgo objetivo a través de distribución continua.</v>
      </c>
      <c r="C331" s="156">
        <f t="shared" si="10"/>
        <v>3</v>
      </c>
      <c r="D331" s="156" t="str">
        <f t="shared" si="11"/>
        <v>VC-3⁽ᴹ⁾ Número de mosquiteros tratados con insecticida de larga duración distribuidos entre los grupos de riesgo objetivo a través de distribución continua.-3</v>
      </c>
      <c r="E331" s="156" t="str">
        <f>CHOOSE(Translations!$C$1+1,I331,J331,K331)</f>
        <v>Grupo de riesgo objetivo</v>
      </c>
      <c r="F331" s="156" t="str">
        <f>CHOOSE(Translations!$C$1+1,L331,M331,N331)</f>
        <v>Mujeres embarazadas</v>
      </c>
      <c r="G331" s="156" t="s">
        <v>2573</v>
      </c>
      <c r="H331" s="157" t="s">
        <v>2574</v>
      </c>
      <c r="I331" s="157" t="s">
        <v>1834</v>
      </c>
      <c r="J331" s="157" t="s">
        <v>1835</v>
      </c>
      <c r="K331" s="157" t="s">
        <v>1836</v>
      </c>
      <c r="L331" s="157" t="s">
        <v>2575</v>
      </c>
      <c r="M331" s="157" t="s">
        <v>2576</v>
      </c>
      <c r="N331" s="157" t="s">
        <v>2577</v>
      </c>
      <c r="O331" s="157" t="s">
        <v>2560</v>
      </c>
      <c r="P331" s="157" t="s">
        <v>2561</v>
      </c>
      <c r="Q331" s="157" t="s">
        <v>2562</v>
      </c>
    </row>
    <row r="332" spans="1:17" s="9" customFormat="1" x14ac:dyDescent="0.25">
      <c r="A332" s="156" t="s">
        <v>2578</v>
      </c>
      <c r="B332" s="156" t="str">
        <f>CHOOSE(Translations!$C$1+1,O332,P332,Q332)</f>
        <v>CM-1a⁽ᴹ⁾ Proporción de casos sospechosos de malaria que se someten a una prueba parasitológica en establecimientos de salud del sector público</v>
      </c>
      <c r="C332" s="156">
        <f t="shared" si="10"/>
        <v>0</v>
      </c>
      <c r="D332" s="156" t="str">
        <f t="shared" si="11"/>
        <v>CM-1a⁽ᴹ⁾ Proporción de casos sospechosos de malaria que se someten a una prueba parasitológica en establecimientos de salud del sector público-0</v>
      </c>
      <c r="E332" s="156" t="str">
        <f>CHOOSE(Translations!$C$1+1,I332,J332,K332)</f>
        <v>Tipo de pruebas</v>
      </c>
      <c r="F332" s="156" t="str">
        <f>CHOOSE(Translations!$C$1+1,L332,M332,N332)</f>
        <v>Prueba de diagnóstico rápido</v>
      </c>
      <c r="G332" s="156" t="s">
        <v>2579</v>
      </c>
      <c r="H332" s="157" t="s">
        <v>2580</v>
      </c>
      <c r="I332" s="157" t="s">
        <v>1626</v>
      </c>
      <c r="J332" s="157" t="s">
        <v>1627</v>
      </c>
      <c r="K332" s="157" t="s">
        <v>1628</v>
      </c>
      <c r="L332" s="157" t="s">
        <v>1629</v>
      </c>
      <c r="M332" s="157" t="s">
        <v>1630</v>
      </c>
      <c r="N332" s="157" t="s">
        <v>1631</v>
      </c>
      <c r="O332" s="157" t="s">
        <v>2581</v>
      </c>
      <c r="P332" s="157" t="s">
        <v>2582</v>
      </c>
      <c r="Q332" s="157" t="s">
        <v>2583</v>
      </c>
    </row>
    <row r="333" spans="1:17" s="9" customFormat="1" x14ac:dyDescent="0.25">
      <c r="A333" s="156" t="s">
        <v>2578</v>
      </c>
      <c r="B333" s="156" t="str">
        <f>CHOOSE(Translations!$C$1+1,O333,P333,Q333)</f>
        <v>CM-1a⁽ᴹ⁾ Proporción de casos sospechosos de malaria que se someten a una prueba parasitológica en establecimientos de salud del sector público</v>
      </c>
      <c r="C333" s="156">
        <f t="shared" si="10"/>
        <v>1</v>
      </c>
      <c r="D333" s="156" t="str">
        <f t="shared" si="11"/>
        <v>CM-1a⁽ᴹ⁾ Proporción de casos sospechosos de malaria que se someten a una prueba parasitológica en establecimientos de salud del sector público-1</v>
      </c>
      <c r="E333" s="156" t="str">
        <f>CHOOSE(Translations!$C$1+1,I333,J333,K333)</f>
        <v>Tipo de pruebas</v>
      </c>
      <c r="F333" s="156" t="str">
        <f>CHOOSE(Translations!$C$1+1,L333,M333,N333)</f>
        <v>Microscopio</v>
      </c>
      <c r="G333" s="156" t="s">
        <v>2584</v>
      </c>
      <c r="H333" s="157" t="s">
        <v>2585</v>
      </c>
      <c r="I333" s="157" t="s">
        <v>1626</v>
      </c>
      <c r="J333" s="157" t="s">
        <v>1627</v>
      </c>
      <c r="K333" s="157" t="s">
        <v>1628</v>
      </c>
      <c r="L333" s="157" t="s">
        <v>1637</v>
      </c>
      <c r="M333" s="157" t="s">
        <v>1638</v>
      </c>
      <c r="N333" s="157" t="s">
        <v>1639</v>
      </c>
      <c r="O333" s="157" t="s">
        <v>2581</v>
      </c>
      <c r="P333" s="157" t="s">
        <v>2582</v>
      </c>
      <c r="Q333" s="157" t="s">
        <v>2583</v>
      </c>
    </row>
    <row r="334" spans="1:17" s="9" customFormat="1" x14ac:dyDescent="0.25">
      <c r="A334" s="156" t="s">
        <v>2578</v>
      </c>
      <c r="B334" s="156" t="str">
        <f>CHOOSE(Translations!$C$1+1,O334,P334,Q334)</f>
        <v>CM-1a⁽ᴹ⁾ Proporción de casos sospechosos de malaria que se someten a una prueba parasitológica en establecimientos de salud del sector público</v>
      </c>
      <c r="C334" s="156">
        <f t="shared" si="10"/>
        <v>2</v>
      </c>
      <c r="D334" s="156" t="str">
        <f t="shared" si="11"/>
        <v>CM-1a⁽ᴹ⁾ Proporción de casos sospechosos de malaria que se someten a una prueba parasitológica en establecimientos de salud del sector público-2</v>
      </c>
      <c r="E334" s="156" t="str">
        <f>CHOOSE(Translations!$C$1+1,I334,J334,K334)</f>
        <v>Edad</v>
      </c>
      <c r="F334" s="156" t="str">
        <f>CHOOSE(Translations!$C$1+1,L334,M334,N334)</f>
        <v>5+</v>
      </c>
      <c r="G334" s="156" t="s">
        <v>2586</v>
      </c>
      <c r="H334" s="157" t="s">
        <v>2587</v>
      </c>
      <c r="I334" s="157" t="s">
        <v>1463</v>
      </c>
      <c r="J334" s="157" t="s">
        <v>1463</v>
      </c>
      <c r="K334" s="157" t="s">
        <v>1464</v>
      </c>
      <c r="L334" s="157" t="s">
        <v>1581</v>
      </c>
      <c r="M334" s="157" t="s">
        <v>1581</v>
      </c>
      <c r="N334" s="157" t="s">
        <v>1581</v>
      </c>
      <c r="O334" s="157" t="s">
        <v>2581</v>
      </c>
      <c r="P334" s="157" t="s">
        <v>2582</v>
      </c>
      <c r="Q334" s="157" t="s">
        <v>2583</v>
      </c>
    </row>
    <row r="335" spans="1:17" s="9" customFormat="1" x14ac:dyDescent="0.25">
      <c r="A335" s="156" t="s">
        <v>2578</v>
      </c>
      <c r="B335" s="156" t="str">
        <f>CHOOSE(Translations!$C$1+1,O335,P335,Q335)</f>
        <v>CM-1a⁽ᴹ⁾ Proporción de casos sospechosos de malaria que se someten a una prueba parasitológica en establecimientos de salud del sector público</v>
      </c>
      <c r="C335" s="156">
        <f t="shared" si="10"/>
        <v>3</v>
      </c>
      <c r="D335" s="156" t="str">
        <f t="shared" si="11"/>
        <v>CM-1a⁽ᴹ⁾ Proporción de casos sospechosos de malaria que se someten a una prueba parasitológica en establecimientos de salud del sector público-3</v>
      </c>
      <c r="E335" s="156" t="str">
        <f>CHOOSE(Translations!$C$1+1,I335,J335,K335)</f>
        <v>Edad</v>
      </c>
      <c r="F335" s="156" t="str">
        <f>CHOOSE(Translations!$C$1+1,L335,M335,N335)</f>
        <v>&lt;5</v>
      </c>
      <c r="G335" s="156" t="s">
        <v>2588</v>
      </c>
      <c r="H335" s="157" t="s">
        <v>2589</v>
      </c>
      <c r="I335" s="157" t="s">
        <v>1463</v>
      </c>
      <c r="J335" s="157" t="s">
        <v>1463</v>
      </c>
      <c r="K335" s="157" t="s">
        <v>1464</v>
      </c>
      <c r="L335" s="157" t="s">
        <v>1512</v>
      </c>
      <c r="M335" s="157" t="s">
        <v>1512</v>
      </c>
      <c r="N335" s="157" t="s">
        <v>1512</v>
      </c>
      <c r="O335" s="157" t="s">
        <v>2581</v>
      </c>
      <c r="P335" s="157" t="s">
        <v>2582</v>
      </c>
      <c r="Q335" s="157" t="s">
        <v>2583</v>
      </c>
    </row>
    <row r="336" spans="1:17" s="9" customFormat="1" x14ac:dyDescent="0.25">
      <c r="A336" s="156" t="s">
        <v>2590</v>
      </c>
      <c r="B336" s="156" t="str">
        <f>CHOOSE(Translations!$C$1+1,O336,P336,Q336)</f>
        <v>CM-1b⁽ᴹ⁾ Proporción de casos sospechosos de malaria que se someten a una prueba parasitológica en la comunidad</v>
      </c>
      <c r="C336" s="156">
        <f t="shared" si="10"/>
        <v>0</v>
      </c>
      <c r="D336" s="156" t="str">
        <f t="shared" si="11"/>
        <v>CM-1b⁽ᴹ⁾ Proporción de casos sospechosos de malaria que se someten a una prueba parasitológica en la comunidad-0</v>
      </c>
      <c r="E336" s="156" t="str">
        <f>CHOOSE(Translations!$C$1+1,I336,J336,K336)</f>
        <v>Tipo de pruebas</v>
      </c>
      <c r="F336" s="156" t="str">
        <f>CHOOSE(Translations!$C$1+1,L336,M336,N336)</f>
        <v>Prueba de diagnóstico rápido</v>
      </c>
      <c r="G336" s="156" t="s">
        <v>2591</v>
      </c>
      <c r="H336" s="157" t="s">
        <v>2592</v>
      </c>
      <c r="I336" s="157" t="s">
        <v>1626</v>
      </c>
      <c r="J336" s="157" t="s">
        <v>1627</v>
      </c>
      <c r="K336" s="157" t="s">
        <v>1628</v>
      </c>
      <c r="L336" s="157" t="s">
        <v>1629</v>
      </c>
      <c r="M336" s="157" t="s">
        <v>1630</v>
      </c>
      <c r="N336" s="157" t="s">
        <v>1631</v>
      </c>
      <c r="O336" s="157" t="s">
        <v>2593</v>
      </c>
      <c r="P336" s="157" t="s">
        <v>2594</v>
      </c>
      <c r="Q336" s="157" t="s">
        <v>2595</v>
      </c>
    </row>
    <row r="337" spans="1:17" s="9" customFormat="1" x14ac:dyDescent="0.25">
      <c r="A337" s="156" t="s">
        <v>2590</v>
      </c>
      <c r="B337" s="156" t="str">
        <f>CHOOSE(Translations!$C$1+1,O337,P337,Q337)</f>
        <v>CM-1b⁽ᴹ⁾ Proporción de casos sospechosos de malaria que se someten a una prueba parasitológica en la comunidad</v>
      </c>
      <c r="C337" s="156">
        <f t="shared" si="10"/>
        <v>1</v>
      </c>
      <c r="D337" s="156" t="str">
        <f t="shared" si="11"/>
        <v>CM-1b⁽ᴹ⁾ Proporción de casos sospechosos de malaria que se someten a una prueba parasitológica en la comunidad-1</v>
      </c>
      <c r="E337" s="156" t="str">
        <f>CHOOSE(Translations!$C$1+1,I337,J337,K337)</f>
        <v>Tipo de pruebas</v>
      </c>
      <c r="F337" s="156" t="str">
        <f>CHOOSE(Translations!$C$1+1,L337,M337,N337)</f>
        <v>Microscopio</v>
      </c>
      <c r="G337" s="156" t="s">
        <v>2596</v>
      </c>
      <c r="H337" s="157" t="s">
        <v>2597</v>
      </c>
      <c r="I337" s="157" t="s">
        <v>1626</v>
      </c>
      <c r="J337" s="157" t="s">
        <v>1627</v>
      </c>
      <c r="K337" s="157" t="s">
        <v>1628</v>
      </c>
      <c r="L337" s="157" t="s">
        <v>1637</v>
      </c>
      <c r="M337" s="157" t="s">
        <v>1638</v>
      </c>
      <c r="N337" s="157" t="s">
        <v>1639</v>
      </c>
      <c r="O337" s="157" t="s">
        <v>2593</v>
      </c>
      <c r="P337" s="157" t="s">
        <v>2594</v>
      </c>
      <c r="Q337" s="157" t="s">
        <v>2595</v>
      </c>
    </row>
    <row r="338" spans="1:17" s="9" customFormat="1" x14ac:dyDescent="0.25">
      <c r="A338" s="156" t="s">
        <v>2590</v>
      </c>
      <c r="B338" s="156" t="str">
        <f>CHOOSE(Translations!$C$1+1,O338,P338,Q338)</f>
        <v>CM-1b⁽ᴹ⁾ Proporción de casos sospechosos de malaria que se someten a una prueba parasitológica en la comunidad</v>
      </c>
      <c r="C338" s="156">
        <f t="shared" si="10"/>
        <v>2</v>
      </c>
      <c r="D338" s="156" t="str">
        <f t="shared" si="11"/>
        <v>CM-1b⁽ᴹ⁾ Proporción de casos sospechosos de malaria que se someten a una prueba parasitológica en la comunidad-2</v>
      </c>
      <c r="E338" s="156" t="str">
        <f>CHOOSE(Translations!$C$1+1,I338,J338,K338)</f>
        <v>Edad</v>
      </c>
      <c r="F338" s="156" t="str">
        <f>CHOOSE(Translations!$C$1+1,L338,M338,N338)</f>
        <v>5+</v>
      </c>
      <c r="G338" s="156" t="s">
        <v>2598</v>
      </c>
      <c r="H338" s="157" t="s">
        <v>2599</v>
      </c>
      <c r="I338" s="157" t="s">
        <v>1463</v>
      </c>
      <c r="J338" s="157" t="s">
        <v>1463</v>
      </c>
      <c r="K338" s="157" t="s">
        <v>1464</v>
      </c>
      <c r="L338" s="157" t="s">
        <v>1581</v>
      </c>
      <c r="M338" s="157" t="s">
        <v>1581</v>
      </c>
      <c r="N338" s="157" t="s">
        <v>1581</v>
      </c>
      <c r="O338" s="157" t="s">
        <v>2593</v>
      </c>
      <c r="P338" s="157" t="s">
        <v>2594</v>
      </c>
      <c r="Q338" s="157" t="s">
        <v>2595</v>
      </c>
    </row>
    <row r="339" spans="1:17" s="9" customFormat="1" x14ac:dyDescent="0.25">
      <c r="A339" s="156" t="s">
        <v>2590</v>
      </c>
      <c r="B339" s="156" t="str">
        <f>CHOOSE(Translations!$C$1+1,O339,P339,Q339)</f>
        <v>CM-1b⁽ᴹ⁾ Proporción de casos sospechosos de malaria que se someten a una prueba parasitológica en la comunidad</v>
      </c>
      <c r="C339" s="156">
        <f t="shared" si="10"/>
        <v>3</v>
      </c>
      <c r="D339" s="156" t="str">
        <f t="shared" si="11"/>
        <v>CM-1b⁽ᴹ⁾ Proporción de casos sospechosos de malaria que se someten a una prueba parasitológica en la comunidad-3</v>
      </c>
      <c r="E339" s="156" t="str">
        <f>CHOOSE(Translations!$C$1+1,I339,J339,K339)</f>
        <v>Edad</v>
      </c>
      <c r="F339" s="156" t="str">
        <f>CHOOSE(Translations!$C$1+1,L339,M339,N339)</f>
        <v>&lt;5</v>
      </c>
      <c r="G339" s="156" t="s">
        <v>2600</v>
      </c>
      <c r="H339" s="157" t="s">
        <v>2601</v>
      </c>
      <c r="I339" s="157" t="s">
        <v>1463</v>
      </c>
      <c r="J339" s="157" t="s">
        <v>1463</v>
      </c>
      <c r="K339" s="157" t="s">
        <v>1464</v>
      </c>
      <c r="L339" s="157" t="s">
        <v>1512</v>
      </c>
      <c r="M339" s="157" t="s">
        <v>1512</v>
      </c>
      <c r="N339" s="157" t="s">
        <v>1512</v>
      </c>
      <c r="O339" s="157" t="s">
        <v>2593</v>
      </c>
      <c r="P339" s="157" t="s">
        <v>2594</v>
      </c>
      <c r="Q339" s="157" t="s">
        <v>2595</v>
      </c>
    </row>
    <row r="340" spans="1:17" s="9" customFormat="1" x14ac:dyDescent="0.25">
      <c r="A340" s="156" t="s">
        <v>2602</v>
      </c>
      <c r="B340" s="156" t="str">
        <f>CHOOSE(Translations!$C$1+1,O340,P340,Q340)</f>
        <v>CM-1c⁽ᴹ⁾ Proporción de casos sospechosos de malaria que se someten a una prueba parasitológica en establecimientos   del sector privado</v>
      </c>
      <c r="C340" s="156">
        <f t="shared" si="10"/>
        <v>0</v>
      </c>
      <c r="D340" s="156" t="str">
        <f t="shared" si="11"/>
        <v>CM-1c⁽ᴹ⁾ Proporción de casos sospechosos de malaria que se someten a una prueba parasitológica en establecimientos   del sector privado-0</v>
      </c>
      <c r="E340" s="156" t="str">
        <f>CHOOSE(Translations!$C$1+1,I340,J340,K340)</f>
        <v>Tipo de pruebas</v>
      </c>
      <c r="F340" s="156" t="str">
        <f>CHOOSE(Translations!$C$1+1,L340,M340,N340)</f>
        <v>Prueba de diagnóstico rápido</v>
      </c>
      <c r="G340" s="156" t="s">
        <v>2603</v>
      </c>
      <c r="H340" s="157" t="s">
        <v>2604</v>
      </c>
      <c r="I340" s="157" t="s">
        <v>1626</v>
      </c>
      <c r="J340" s="157" t="s">
        <v>1627</v>
      </c>
      <c r="K340" s="157" t="s">
        <v>1628</v>
      </c>
      <c r="L340" s="157" t="s">
        <v>1629</v>
      </c>
      <c r="M340" s="157" t="s">
        <v>1630</v>
      </c>
      <c r="N340" s="157" t="s">
        <v>1631</v>
      </c>
      <c r="O340" s="157" t="s">
        <v>2605</v>
      </c>
      <c r="P340" s="157" t="s">
        <v>2606</v>
      </c>
      <c r="Q340" s="157" t="s">
        <v>2607</v>
      </c>
    </row>
    <row r="341" spans="1:17" s="9" customFormat="1" x14ac:dyDescent="0.25">
      <c r="A341" s="156" t="s">
        <v>2602</v>
      </c>
      <c r="B341" s="156" t="str">
        <f>CHOOSE(Translations!$C$1+1,O341,P341,Q341)</f>
        <v>CM-1c⁽ᴹ⁾ Proporción de casos sospechosos de malaria que se someten a una prueba parasitológica en establecimientos   del sector privado</v>
      </c>
      <c r="C341" s="156">
        <f t="shared" si="10"/>
        <v>1</v>
      </c>
      <c r="D341" s="156" t="str">
        <f t="shared" si="11"/>
        <v>CM-1c⁽ᴹ⁾ Proporción de casos sospechosos de malaria que se someten a una prueba parasitológica en establecimientos   del sector privado-1</v>
      </c>
      <c r="E341" s="156" t="str">
        <f>CHOOSE(Translations!$C$1+1,I341,J341,K341)</f>
        <v>Tipo de pruebas</v>
      </c>
      <c r="F341" s="156" t="str">
        <f>CHOOSE(Translations!$C$1+1,L341,M341,N341)</f>
        <v>Microscopio</v>
      </c>
      <c r="G341" s="156" t="s">
        <v>2608</v>
      </c>
      <c r="H341" s="157" t="s">
        <v>2609</v>
      </c>
      <c r="I341" s="157" t="s">
        <v>1626</v>
      </c>
      <c r="J341" s="157" t="s">
        <v>1627</v>
      </c>
      <c r="K341" s="157" t="s">
        <v>1628</v>
      </c>
      <c r="L341" s="157" t="s">
        <v>1637</v>
      </c>
      <c r="M341" s="157" t="s">
        <v>1638</v>
      </c>
      <c r="N341" s="157" t="s">
        <v>1639</v>
      </c>
      <c r="O341" s="157" t="s">
        <v>2605</v>
      </c>
      <c r="P341" s="157" t="s">
        <v>2606</v>
      </c>
      <c r="Q341" s="157" t="s">
        <v>2607</v>
      </c>
    </row>
    <row r="342" spans="1:17" s="9" customFormat="1" x14ac:dyDescent="0.25">
      <c r="A342" s="156" t="s">
        <v>2602</v>
      </c>
      <c r="B342" s="156" t="str">
        <f>CHOOSE(Translations!$C$1+1,O342,P342,Q342)</f>
        <v>CM-1c⁽ᴹ⁾ Proporción de casos sospechosos de malaria que se someten a una prueba parasitológica en establecimientos   del sector privado</v>
      </c>
      <c r="C342" s="156">
        <f t="shared" si="10"/>
        <v>2</v>
      </c>
      <c r="D342" s="156" t="str">
        <f t="shared" si="11"/>
        <v>CM-1c⁽ᴹ⁾ Proporción de casos sospechosos de malaria que se someten a una prueba parasitológica en establecimientos   del sector privado-2</v>
      </c>
      <c r="E342" s="156" t="str">
        <f>CHOOSE(Translations!$C$1+1,I342,J342,K342)</f>
        <v>Edad</v>
      </c>
      <c r="F342" s="156" t="str">
        <f>CHOOSE(Translations!$C$1+1,L342,M342,N342)</f>
        <v>5+</v>
      </c>
      <c r="G342" s="156" t="s">
        <v>2610</v>
      </c>
      <c r="H342" s="157" t="s">
        <v>2611</v>
      </c>
      <c r="I342" s="157" t="s">
        <v>1463</v>
      </c>
      <c r="J342" s="157" t="s">
        <v>1463</v>
      </c>
      <c r="K342" s="157" t="s">
        <v>1464</v>
      </c>
      <c r="L342" s="157" t="s">
        <v>1581</v>
      </c>
      <c r="M342" s="157" t="s">
        <v>1581</v>
      </c>
      <c r="N342" s="157" t="s">
        <v>1581</v>
      </c>
      <c r="O342" s="157" t="s">
        <v>2605</v>
      </c>
      <c r="P342" s="157" t="s">
        <v>2606</v>
      </c>
      <c r="Q342" s="157" t="s">
        <v>2607</v>
      </c>
    </row>
    <row r="343" spans="1:17" s="9" customFormat="1" x14ac:dyDescent="0.25">
      <c r="A343" s="156" t="s">
        <v>2602</v>
      </c>
      <c r="B343" s="156" t="str">
        <f>CHOOSE(Translations!$C$1+1,O343,P343,Q343)</f>
        <v>CM-1c⁽ᴹ⁾ Proporción de casos sospechosos de malaria que se someten a una prueba parasitológica en establecimientos   del sector privado</v>
      </c>
      <c r="C343" s="156">
        <f t="shared" si="10"/>
        <v>3</v>
      </c>
      <c r="D343" s="156" t="str">
        <f t="shared" si="11"/>
        <v>CM-1c⁽ᴹ⁾ Proporción de casos sospechosos de malaria que se someten a una prueba parasitológica en establecimientos   del sector privado-3</v>
      </c>
      <c r="E343" s="156" t="str">
        <f>CHOOSE(Translations!$C$1+1,I343,J343,K343)</f>
        <v>Edad</v>
      </c>
      <c r="F343" s="156" t="str">
        <f>CHOOSE(Translations!$C$1+1,L343,M343,N343)</f>
        <v>&lt;5</v>
      </c>
      <c r="G343" s="156" t="s">
        <v>2612</v>
      </c>
      <c r="H343" s="157" t="s">
        <v>2613</v>
      </c>
      <c r="I343" s="157" t="s">
        <v>1463</v>
      </c>
      <c r="J343" s="157" t="s">
        <v>1463</v>
      </c>
      <c r="K343" s="157" t="s">
        <v>1464</v>
      </c>
      <c r="L343" s="157" t="s">
        <v>1512</v>
      </c>
      <c r="M343" s="157" t="s">
        <v>1512</v>
      </c>
      <c r="N343" s="157" t="s">
        <v>1512</v>
      </c>
      <c r="O343" s="157" t="s">
        <v>2605</v>
      </c>
      <c r="P343" s="157" t="s">
        <v>2606</v>
      </c>
      <c r="Q343" s="157" t="s">
        <v>2607</v>
      </c>
    </row>
    <row r="344" spans="1:17" s="9" customFormat="1" x14ac:dyDescent="0.25">
      <c r="A344" s="156" t="s">
        <v>2614</v>
      </c>
      <c r="B344" s="156" t="str">
        <f>CHOOSE(Translations!$C$1+1,O344,P344,Q344)</f>
        <v>CM-2a⁽ᴹ⁾ Proporción de casos de malaria confirmados que han recibido tratamiento contra la malaria de primera línea en establecimientos de salud del sector público</v>
      </c>
      <c r="C344" s="156">
        <f t="shared" si="10"/>
        <v>0</v>
      </c>
      <c r="D344" s="156" t="str">
        <f t="shared" si="11"/>
        <v>CM-2a⁽ᴹ⁾ Proporción de casos de malaria confirmados que han recibido tratamiento contra la malaria de primera línea en establecimientos de salud del sector público-0</v>
      </c>
      <c r="E344" s="156" t="str">
        <f>CHOOSE(Translations!$C$1+1,I344,J344,K344)</f>
        <v>Edad</v>
      </c>
      <c r="F344" s="156" t="str">
        <f>CHOOSE(Translations!$C$1+1,L344,M344,N344)</f>
        <v>5+</v>
      </c>
      <c r="G344" s="156" t="s">
        <v>2615</v>
      </c>
      <c r="H344" s="157" t="s">
        <v>2616</v>
      </c>
      <c r="I344" s="157" t="s">
        <v>1463</v>
      </c>
      <c r="J344" s="157" t="s">
        <v>1463</v>
      </c>
      <c r="K344" s="157" t="s">
        <v>1464</v>
      </c>
      <c r="L344" s="157" t="s">
        <v>1581</v>
      </c>
      <c r="M344" s="157" t="s">
        <v>1581</v>
      </c>
      <c r="N344" s="157" t="s">
        <v>1581</v>
      </c>
      <c r="O344" s="157" t="s">
        <v>2617</v>
      </c>
      <c r="P344" s="157" t="s">
        <v>2618</v>
      </c>
      <c r="Q344" s="157" t="s">
        <v>2619</v>
      </c>
    </row>
    <row r="345" spans="1:17" s="9" customFormat="1" x14ac:dyDescent="0.25">
      <c r="A345" s="156" t="s">
        <v>2614</v>
      </c>
      <c r="B345" s="156" t="str">
        <f>CHOOSE(Translations!$C$1+1,O345,P345,Q345)</f>
        <v>CM-2a⁽ᴹ⁾ Proporción de casos de malaria confirmados que han recibido tratamiento contra la malaria de primera línea en establecimientos de salud del sector público</v>
      </c>
      <c r="C345" s="156">
        <f t="shared" si="10"/>
        <v>1</v>
      </c>
      <c r="D345" s="156" t="str">
        <f t="shared" si="11"/>
        <v>CM-2a⁽ᴹ⁾ Proporción de casos de malaria confirmados que han recibido tratamiento contra la malaria de primera línea en establecimientos de salud del sector público-1</v>
      </c>
      <c r="E345" s="156" t="str">
        <f>CHOOSE(Translations!$C$1+1,I345,J345,K345)</f>
        <v>Edad</v>
      </c>
      <c r="F345" s="156" t="str">
        <f>CHOOSE(Translations!$C$1+1,L345,M345,N345)</f>
        <v>&lt;5</v>
      </c>
      <c r="G345" s="156" t="s">
        <v>2620</v>
      </c>
      <c r="H345" s="157" t="s">
        <v>2621</v>
      </c>
      <c r="I345" s="157" t="s">
        <v>1463</v>
      </c>
      <c r="J345" s="157" t="s">
        <v>1463</v>
      </c>
      <c r="K345" s="157" t="s">
        <v>1464</v>
      </c>
      <c r="L345" s="157" t="s">
        <v>1512</v>
      </c>
      <c r="M345" s="157" t="s">
        <v>1512</v>
      </c>
      <c r="N345" s="157" t="s">
        <v>1512</v>
      </c>
      <c r="O345" s="157" t="s">
        <v>2617</v>
      </c>
      <c r="P345" s="157" t="s">
        <v>2618</v>
      </c>
      <c r="Q345" s="157" t="s">
        <v>2619</v>
      </c>
    </row>
    <row r="346" spans="1:17" s="9" customFormat="1" x14ac:dyDescent="0.25">
      <c r="A346" s="156" t="s">
        <v>2622</v>
      </c>
      <c r="B346" s="156" t="str">
        <f>CHOOSE(Translations!$C$1+1,O346,P346,Q346)</f>
        <v>CM-2b⁽ᴹ⁾ Proporción de casos de malaria confirmados que han recibido tratamiento contra la malaria de primera línea en la comunidad</v>
      </c>
      <c r="C346" s="156">
        <f t="shared" si="10"/>
        <v>0</v>
      </c>
      <c r="D346" s="156" t="str">
        <f t="shared" si="11"/>
        <v>CM-2b⁽ᴹ⁾ Proporción de casos de malaria confirmados que han recibido tratamiento contra la malaria de primera línea en la comunidad-0</v>
      </c>
      <c r="E346" s="156" t="str">
        <f>CHOOSE(Translations!$C$1+1,I346,J346,K346)</f>
        <v>Edad</v>
      </c>
      <c r="F346" s="156" t="str">
        <f>CHOOSE(Translations!$C$1+1,L346,M346,N346)</f>
        <v>5+</v>
      </c>
      <c r="G346" s="156" t="s">
        <v>2623</v>
      </c>
      <c r="H346" s="157" t="s">
        <v>2624</v>
      </c>
      <c r="I346" s="157" t="s">
        <v>1463</v>
      </c>
      <c r="J346" s="157" t="s">
        <v>1463</v>
      </c>
      <c r="K346" s="157" t="s">
        <v>1464</v>
      </c>
      <c r="L346" s="157" t="s">
        <v>1581</v>
      </c>
      <c r="M346" s="157" t="s">
        <v>1581</v>
      </c>
      <c r="N346" s="157" t="s">
        <v>1581</v>
      </c>
      <c r="O346" s="157" t="s">
        <v>2625</v>
      </c>
      <c r="P346" s="157" t="s">
        <v>2626</v>
      </c>
      <c r="Q346" s="157" t="s">
        <v>2627</v>
      </c>
    </row>
    <row r="347" spans="1:17" s="9" customFormat="1" x14ac:dyDescent="0.25">
      <c r="A347" s="156" t="s">
        <v>2622</v>
      </c>
      <c r="B347" s="156" t="str">
        <f>CHOOSE(Translations!$C$1+1,O347,P347,Q347)</f>
        <v>CM-2b⁽ᴹ⁾ Proporción de casos de malaria confirmados que han recibido tratamiento contra la malaria de primera línea en la comunidad</v>
      </c>
      <c r="C347" s="156">
        <f t="shared" si="10"/>
        <v>1</v>
      </c>
      <c r="D347" s="156" t="str">
        <f t="shared" si="11"/>
        <v>CM-2b⁽ᴹ⁾ Proporción de casos de malaria confirmados que han recibido tratamiento contra la malaria de primera línea en la comunidad-1</v>
      </c>
      <c r="E347" s="156" t="str">
        <f>CHOOSE(Translations!$C$1+1,I347,J347,K347)</f>
        <v>Edad</v>
      </c>
      <c r="F347" s="156" t="str">
        <f>CHOOSE(Translations!$C$1+1,L347,M347,N347)</f>
        <v>&lt;5</v>
      </c>
      <c r="G347" s="156" t="s">
        <v>2628</v>
      </c>
      <c r="H347" s="157" t="s">
        <v>2629</v>
      </c>
      <c r="I347" s="157" t="s">
        <v>1463</v>
      </c>
      <c r="J347" s="157" t="s">
        <v>1463</v>
      </c>
      <c r="K347" s="157" t="s">
        <v>1464</v>
      </c>
      <c r="L347" s="157" t="s">
        <v>1512</v>
      </c>
      <c r="M347" s="157" t="s">
        <v>1512</v>
      </c>
      <c r="N347" s="157" t="s">
        <v>1512</v>
      </c>
      <c r="O347" s="157" t="s">
        <v>2625</v>
      </c>
      <c r="P347" s="157" t="s">
        <v>2626</v>
      </c>
      <c r="Q347" s="157" t="s">
        <v>2627</v>
      </c>
    </row>
    <row r="348" spans="1:17" s="9" customFormat="1" x14ac:dyDescent="0.25">
      <c r="A348" s="156" t="s">
        <v>2630</v>
      </c>
      <c r="B348" s="156" t="str">
        <f>CHOOSE(Translations!$C$1+1,O348,P348,Q348)</f>
        <v>CM-2c⁽ᴹ⁾ Proporción de casos de malaria confirmados que han recibido tratamiento contra la malaria de primera línea en establecimientos del sector privado</v>
      </c>
      <c r="C348" s="156">
        <f t="shared" ref="C348:C384" si="12">IF(O348=O347,C347+1,0)</f>
        <v>0</v>
      </c>
      <c r="D348" s="156" t="str">
        <f t="shared" ref="D348:D384" si="13">B348&amp;"-"&amp;C348</f>
        <v>CM-2c⁽ᴹ⁾ Proporción de casos de malaria confirmados que han recibido tratamiento contra la malaria de primera línea en establecimientos del sector privado-0</v>
      </c>
      <c r="E348" s="156" t="str">
        <f>CHOOSE(Translations!$C$1+1,I348,J348,K348)</f>
        <v>Edad</v>
      </c>
      <c r="F348" s="156" t="str">
        <f>CHOOSE(Translations!$C$1+1,L348,M348,N348)</f>
        <v>5+</v>
      </c>
      <c r="G348" s="156" t="s">
        <v>2631</v>
      </c>
      <c r="H348" s="157" t="s">
        <v>2632</v>
      </c>
      <c r="I348" s="157" t="s">
        <v>1463</v>
      </c>
      <c r="J348" s="157" t="s">
        <v>1463</v>
      </c>
      <c r="K348" s="157" t="s">
        <v>1464</v>
      </c>
      <c r="L348" s="157" t="s">
        <v>1581</v>
      </c>
      <c r="M348" s="157" t="s">
        <v>1581</v>
      </c>
      <c r="N348" s="157" t="s">
        <v>1581</v>
      </c>
      <c r="O348" s="157" t="s">
        <v>2633</v>
      </c>
      <c r="P348" s="157" t="s">
        <v>2634</v>
      </c>
      <c r="Q348" s="157" t="s">
        <v>2635</v>
      </c>
    </row>
    <row r="349" spans="1:17" s="9" customFormat="1" x14ac:dyDescent="0.25">
      <c r="A349" s="156" t="s">
        <v>2630</v>
      </c>
      <c r="B349" s="156" t="str">
        <f>CHOOSE(Translations!$C$1+1,O349,P349,Q349)</f>
        <v>CM-2c⁽ᴹ⁾ Proporción de casos de malaria confirmados que han recibido tratamiento contra la malaria de primera línea en establecimientos del sector privado</v>
      </c>
      <c r="C349" s="156">
        <f t="shared" si="12"/>
        <v>1</v>
      </c>
      <c r="D349" s="156" t="str">
        <f t="shared" si="13"/>
        <v>CM-2c⁽ᴹ⁾ Proporción de casos de malaria confirmados que han recibido tratamiento contra la malaria de primera línea en establecimientos del sector privado-1</v>
      </c>
      <c r="E349" s="156" t="str">
        <f>CHOOSE(Translations!$C$1+1,I349,J349,K349)</f>
        <v>Edad</v>
      </c>
      <c r="F349" s="156" t="str">
        <f>CHOOSE(Translations!$C$1+1,L349,M349,N349)</f>
        <v>&lt;5</v>
      </c>
      <c r="G349" s="156" t="s">
        <v>2636</v>
      </c>
      <c r="H349" s="157" t="s">
        <v>2637</v>
      </c>
      <c r="I349" s="157" t="s">
        <v>1463</v>
      </c>
      <c r="J349" s="157" t="s">
        <v>1463</v>
      </c>
      <c r="K349" s="157" t="s">
        <v>1464</v>
      </c>
      <c r="L349" s="157" t="s">
        <v>1512</v>
      </c>
      <c r="M349" s="157" t="s">
        <v>1512</v>
      </c>
      <c r="N349" s="157" t="s">
        <v>1512</v>
      </c>
      <c r="O349" s="157" t="s">
        <v>2633</v>
      </c>
      <c r="P349" s="157" t="s">
        <v>2634</v>
      </c>
      <c r="Q349" s="157" t="s">
        <v>2635</v>
      </c>
    </row>
    <row r="350" spans="1:17" s="9" customFormat="1" x14ac:dyDescent="0.25">
      <c r="A350" s="156" t="s">
        <v>2638</v>
      </c>
      <c r="B350" s="156" t="str">
        <f>CHOOSE(Translations!$C$1+1,O350,P350,Q350)</f>
        <v>CM-3a Proporción de casos de malaria (sospechosos y confirmados) que han recibido tratamiento contra la malaria de primera línea en establecimientos de salud del sector público</v>
      </c>
      <c r="C350" s="156">
        <f t="shared" si="12"/>
        <v>0</v>
      </c>
      <c r="D350" s="156" t="str">
        <f t="shared" si="13"/>
        <v>CM-3a Proporción de casos de malaria (sospechosos y confirmados) que han recibido tratamiento contra la malaria de primera línea en establecimientos de salud del sector público-0</v>
      </c>
      <c r="E350" s="156" t="str">
        <f>CHOOSE(Translations!$C$1+1,I350,J350,K350)</f>
        <v>Edad</v>
      </c>
      <c r="F350" s="156" t="str">
        <f>CHOOSE(Translations!$C$1+1,L350,M350,N350)</f>
        <v>5+</v>
      </c>
      <c r="G350" s="156" t="s">
        <v>2639</v>
      </c>
      <c r="H350" s="157" t="s">
        <v>2640</v>
      </c>
      <c r="I350" s="157" t="s">
        <v>1463</v>
      </c>
      <c r="J350" s="157" t="s">
        <v>1463</v>
      </c>
      <c r="K350" s="157" t="s">
        <v>1464</v>
      </c>
      <c r="L350" s="157" t="s">
        <v>1581</v>
      </c>
      <c r="M350" s="157" t="s">
        <v>1581</v>
      </c>
      <c r="N350" s="157" t="s">
        <v>1581</v>
      </c>
      <c r="O350" s="157" t="s">
        <v>2641</v>
      </c>
      <c r="P350" s="157" t="s">
        <v>2642</v>
      </c>
      <c r="Q350" s="157" t="s">
        <v>2643</v>
      </c>
    </row>
    <row r="351" spans="1:17" s="9" customFormat="1" x14ac:dyDescent="0.25">
      <c r="A351" s="156" t="s">
        <v>2638</v>
      </c>
      <c r="B351" s="156" t="str">
        <f>CHOOSE(Translations!$C$1+1,O351,P351,Q351)</f>
        <v>CM-3a Proporción de casos de malaria (sospechosos y confirmados) que han recibido tratamiento contra la malaria de primera línea en establecimientos de salud del sector público</v>
      </c>
      <c r="C351" s="156">
        <f t="shared" si="12"/>
        <v>1</v>
      </c>
      <c r="D351" s="156" t="str">
        <f t="shared" si="13"/>
        <v>CM-3a Proporción de casos de malaria (sospechosos y confirmados) que han recibido tratamiento contra la malaria de primera línea en establecimientos de salud del sector público-1</v>
      </c>
      <c r="E351" s="156" t="str">
        <f>CHOOSE(Translations!$C$1+1,I351,J351,K351)</f>
        <v>Edad</v>
      </c>
      <c r="F351" s="156" t="str">
        <f>CHOOSE(Translations!$C$1+1,L351,M351,N351)</f>
        <v>&lt;5</v>
      </c>
      <c r="G351" s="156" t="s">
        <v>2644</v>
      </c>
      <c r="H351" s="157" t="s">
        <v>2645</v>
      </c>
      <c r="I351" s="157" t="s">
        <v>1463</v>
      </c>
      <c r="J351" s="157" t="s">
        <v>1463</v>
      </c>
      <c r="K351" s="157" t="s">
        <v>1464</v>
      </c>
      <c r="L351" s="157" t="s">
        <v>1512</v>
      </c>
      <c r="M351" s="157" t="s">
        <v>1512</v>
      </c>
      <c r="N351" s="157" t="s">
        <v>1512</v>
      </c>
      <c r="O351" s="157" t="s">
        <v>2641</v>
      </c>
      <c r="P351" s="157" t="s">
        <v>2642</v>
      </c>
      <c r="Q351" s="157" t="s">
        <v>2643</v>
      </c>
    </row>
    <row r="352" spans="1:17" s="9" customFormat="1" x14ac:dyDescent="0.25">
      <c r="A352" s="156" t="s">
        <v>2646</v>
      </c>
      <c r="B352" s="156" t="str">
        <f>CHOOSE(Translations!$C$1+1,O352,P352,Q352)</f>
        <v>CM-3b Proporción de casos de malaria (sospechosos y confirmados) que han recibido tratamiento contra la malaria de primera línea en la comunidad</v>
      </c>
      <c r="C352" s="156">
        <f t="shared" si="12"/>
        <v>0</v>
      </c>
      <c r="D352" s="156" t="str">
        <f t="shared" si="13"/>
        <v>CM-3b Proporción de casos de malaria (sospechosos y confirmados) que han recibido tratamiento contra la malaria de primera línea en la comunidad-0</v>
      </c>
      <c r="E352" s="156" t="str">
        <f>CHOOSE(Translations!$C$1+1,I352,J352,K352)</f>
        <v>Edad</v>
      </c>
      <c r="F352" s="156" t="str">
        <f>CHOOSE(Translations!$C$1+1,L352,M352,N352)</f>
        <v>5+</v>
      </c>
      <c r="G352" s="156" t="s">
        <v>2647</v>
      </c>
      <c r="H352" s="157" t="s">
        <v>2648</v>
      </c>
      <c r="I352" s="157" t="s">
        <v>1463</v>
      </c>
      <c r="J352" s="157" t="s">
        <v>1463</v>
      </c>
      <c r="K352" s="157" t="s">
        <v>1464</v>
      </c>
      <c r="L352" s="157" t="s">
        <v>1581</v>
      </c>
      <c r="M352" s="157" t="s">
        <v>1581</v>
      </c>
      <c r="N352" s="157" t="s">
        <v>1581</v>
      </c>
      <c r="O352" s="157" t="s">
        <v>2649</v>
      </c>
      <c r="P352" s="157" t="s">
        <v>2650</v>
      </c>
      <c r="Q352" s="157" t="s">
        <v>2651</v>
      </c>
    </row>
    <row r="353" spans="1:17" s="9" customFormat="1" x14ac:dyDescent="0.25">
      <c r="A353" s="156" t="s">
        <v>2646</v>
      </c>
      <c r="B353" s="156" t="str">
        <f>CHOOSE(Translations!$C$1+1,O353,P353,Q353)</f>
        <v>CM-3b Proporción de casos de malaria (sospechosos y confirmados) que han recibido tratamiento contra la malaria de primera línea en la comunidad</v>
      </c>
      <c r="C353" s="156">
        <f t="shared" si="12"/>
        <v>1</v>
      </c>
      <c r="D353" s="156" t="str">
        <f t="shared" si="13"/>
        <v>CM-3b Proporción de casos de malaria (sospechosos y confirmados) que han recibido tratamiento contra la malaria de primera línea en la comunidad-1</v>
      </c>
      <c r="E353" s="156" t="str">
        <f>CHOOSE(Translations!$C$1+1,I353,J353,K353)</f>
        <v>Edad</v>
      </c>
      <c r="F353" s="156" t="str">
        <f>CHOOSE(Translations!$C$1+1,L353,M353,N353)</f>
        <v>&lt;5</v>
      </c>
      <c r="G353" s="156" t="s">
        <v>2652</v>
      </c>
      <c r="H353" s="157" t="s">
        <v>2653</v>
      </c>
      <c r="I353" s="157" t="s">
        <v>1463</v>
      </c>
      <c r="J353" s="157" t="s">
        <v>1463</v>
      </c>
      <c r="K353" s="157" t="s">
        <v>1464</v>
      </c>
      <c r="L353" s="157" t="s">
        <v>1512</v>
      </c>
      <c r="M353" s="157" t="s">
        <v>1512</v>
      </c>
      <c r="N353" s="157" t="s">
        <v>1512</v>
      </c>
      <c r="O353" s="157" t="s">
        <v>2649</v>
      </c>
      <c r="P353" s="157" t="s">
        <v>2650</v>
      </c>
      <c r="Q353" s="157" t="s">
        <v>2651</v>
      </c>
    </row>
    <row r="354" spans="1:17" s="9" customFormat="1" x14ac:dyDescent="0.25">
      <c r="A354" s="156" t="s">
        <v>2654</v>
      </c>
      <c r="B354" s="156" t="str">
        <f>CHOOSE(Translations!$C$1+1,O354,P354,Q354)</f>
        <v>CM-3c Proporción de casos de malaria (sospechosos y confirmados) que han recibido tratamiento contra la malaria de primera línea en centros del sector privado</v>
      </c>
      <c r="C354" s="156">
        <f t="shared" si="12"/>
        <v>0</v>
      </c>
      <c r="D354" s="156" t="str">
        <f t="shared" si="13"/>
        <v>CM-3c Proporción de casos de malaria (sospechosos y confirmados) que han recibido tratamiento contra la malaria de primera línea en centros del sector privado-0</v>
      </c>
      <c r="E354" s="156" t="str">
        <f>CHOOSE(Translations!$C$1+1,I354,J354,K354)</f>
        <v>Edad</v>
      </c>
      <c r="F354" s="156" t="str">
        <f>CHOOSE(Translations!$C$1+1,L354,M354,N354)</f>
        <v>5+</v>
      </c>
      <c r="G354" s="156" t="s">
        <v>2655</v>
      </c>
      <c r="H354" s="157" t="s">
        <v>2656</v>
      </c>
      <c r="I354" s="157" t="s">
        <v>1463</v>
      </c>
      <c r="J354" s="157" t="s">
        <v>1463</v>
      </c>
      <c r="K354" s="157" t="s">
        <v>1464</v>
      </c>
      <c r="L354" s="157" t="s">
        <v>1581</v>
      </c>
      <c r="M354" s="157" t="s">
        <v>1581</v>
      </c>
      <c r="N354" s="157" t="s">
        <v>1581</v>
      </c>
      <c r="O354" s="157" t="s">
        <v>2657</v>
      </c>
      <c r="P354" s="157" t="s">
        <v>2658</v>
      </c>
      <c r="Q354" s="157" t="s">
        <v>2659</v>
      </c>
    </row>
    <row r="355" spans="1:17" s="9" customFormat="1" x14ac:dyDescent="0.25">
      <c r="A355" s="156" t="s">
        <v>2654</v>
      </c>
      <c r="B355" s="156" t="str">
        <f>CHOOSE(Translations!$C$1+1,O355,P355,Q355)</f>
        <v>CM-3c Proporción de casos de malaria (sospechosos y confirmados) que han recibido tratamiento contra la malaria de primera línea en centros del sector privado</v>
      </c>
      <c r="C355" s="156">
        <f t="shared" si="12"/>
        <v>1</v>
      </c>
      <c r="D355" s="156" t="str">
        <f t="shared" si="13"/>
        <v>CM-3c Proporción de casos de malaria (sospechosos y confirmados) que han recibido tratamiento contra la malaria de primera línea en centros del sector privado-1</v>
      </c>
      <c r="E355" s="156" t="str">
        <f>CHOOSE(Translations!$C$1+1,I355,J355,K355)</f>
        <v>Edad</v>
      </c>
      <c r="F355" s="156" t="str">
        <f>CHOOSE(Translations!$C$1+1,L355,M355,N355)</f>
        <v>&lt;5</v>
      </c>
      <c r="G355" s="156" t="s">
        <v>2660</v>
      </c>
      <c r="H355" s="157" t="s">
        <v>2661</v>
      </c>
      <c r="I355" s="157" t="s">
        <v>1463</v>
      </c>
      <c r="J355" s="157" t="s">
        <v>1463</v>
      </c>
      <c r="K355" s="157" t="s">
        <v>1464</v>
      </c>
      <c r="L355" s="157" t="s">
        <v>1512</v>
      </c>
      <c r="M355" s="157" t="s">
        <v>1512</v>
      </c>
      <c r="N355" s="157" t="s">
        <v>1512</v>
      </c>
      <c r="O355" s="157" t="s">
        <v>2657</v>
      </c>
      <c r="P355" s="157" t="s">
        <v>2658</v>
      </c>
      <c r="Q355" s="157" t="s">
        <v>2659</v>
      </c>
    </row>
    <row r="356" spans="1:17" s="9" customFormat="1" x14ac:dyDescent="0.25">
      <c r="A356" s="156" t="s">
        <v>2662</v>
      </c>
      <c r="B356" s="156" t="str">
        <f>CHOOSE(Translations!$C$1+1,O356,P356,Q356)</f>
        <v>SPI-2 Porcentaje de niños de entre 3 y 59 meses que recibieron cursos completos de quimioprevención de la malaria estacional (tres o cuatro) por estación de transmisión en las áreas seleccionadas</v>
      </c>
      <c r="C356" s="156">
        <f t="shared" si="12"/>
        <v>0</v>
      </c>
      <c r="D356" s="156" t="str">
        <f t="shared" si="13"/>
        <v>SPI-2 Porcentaje de niños de entre 3 y 59 meses que recibieron cursos completos de quimioprevención de la malaria estacional (tres o cuatro) por estación de transmisión en las áreas seleccionadas-0</v>
      </c>
      <c r="E356" s="156" t="str">
        <f>CHOOSE(Translations!$C$1+1,I356,J356,K356)</f>
        <v>Género</v>
      </c>
      <c r="F356" s="156" t="str">
        <f>CHOOSE(Translations!$C$1+1,L356,M356,N356)</f>
        <v>Mujeres</v>
      </c>
      <c r="G356" s="156" t="s">
        <v>2663</v>
      </c>
      <c r="H356" s="157" t="s">
        <v>2664</v>
      </c>
      <c r="I356" s="157" t="s">
        <v>1450</v>
      </c>
      <c r="J356" s="157" t="s">
        <v>1451</v>
      </c>
      <c r="K356" s="157" t="s">
        <v>1452</v>
      </c>
      <c r="L356" s="157" t="s">
        <v>1453</v>
      </c>
      <c r="M356" s="157" t="s">
        <v>1454</v>
      </c>
      <c r="N356" s="157" t="s">
        <v>1455</v>
      </c>
      <c r="O356" s="157" t="s">
        <v>2665</v>
      </c>
      <c r="P356" s="157" t="s">
        <v>2666</v>
      </c>
      <c r="Q356" s="157" t="s">
        <v>2667</v>
      </c>
    </row>
    <row r="357" spans="1:17" s="9" customFormat="1" x14ac:dyDescent="0.25">
      <c r="A357" s="156" t="s">
        <v>2662</v>
      </c>
      <c r="B357" s="156" t="str">
        <f>CHOOSE(Translations!$C$1+1,O357,P357,Q357)</f>
        <v>SPI-2 Porcentaje de niños de entre 3 y 59 meses que recibieron cursos completos de quimioprevención de la malaria estacional (tres o cuatro) por estación de transmisión en las áreas seleccionadas</v>
      </c>
      <c r="C357" s="156">
        <f t="shared" si="12"/>
        <v>1</v>
      </c>
      <c r="D357" s="156" t="str">
        <f t="shared" si="13"/>
        <v>SPI-2 Porcentaje de niños de entre 3 y 59 meses que recibieron cursos completos de quimioprevención de la malaria estacional (tres o cuatro) por estación de transmisión en las áreas seleccionadas-1</v>
      </c>
      <c r="E357" s="156" t="str">
        <f>CHOOSE(Translations!$C$1+1,I357,J357,K357)</f>
        <v>Género</v>
      </c>
      <c r="F357" s="156" t="str">
        <f>CHOOSE(Translations!$C$1+1,L357,M357,N357)</f>
        <v>Hombres</v>
      </c>
      <c r="G357" s="156" t="s">
        <v>2668</v>
      </c>
      <c r="H357" s="157" t="s">
        <v>2669</v>
      </c>
      <c r="I357" s="157" t="s">
        <v>1450</v>
      </c>
      <c r="J357" s="157" t="s">
        <v>1451</v>
      </c>
      <c r="K357" s="157" t="s">
        <v>1452</v>
      </c>
      <c r="L357" s="157" t="s">
        <v>1458</v>
      </c>
      <c r="M357" s="157" t="s">
        <v>1459</v>
      </c>
      <c r="N357" s="157" t="s">
        <v>1460</v>
      </c>
      <c r="O357" s="157" t="s">
        <v>2665</v>
      </c>
      <c r="P357" s="157" t="s">
        <v>2666</v>
      </c>
      <c r="Q357" s="157" t="s">
        <v>2667</v>
      </c>
    </row>
    <row r="358" spans="1:17" s="9" customFormat="1" x14ac:dyDescent="0.25">
      <c r="A358" s="156" t="s">
        <v>2670</v>
      </c>
      <c r="B358" s="156" t="str">
        <f>CHOOSE(Translations!$C$1+1,O358,P358,Q358)</f>
        <v>M&amp;E-2a Exhaustividad de los informes de los establecimientos de salud  : porcentaje de informes mensuales previstos  de los establecimientos de salud  (para el período de reporte) que se reciben realmente</v>
      </c>
      <c r="C358" s="156">
        <f t="shared" si="12"/>
        <v>0</v>
      </c>
      <c r="D358" s="156" t="str">
        <f t="shared" si="13"/>
        <v>M&amp;E-2a Exhaustividad de los informes de los establecimientos de salud  : porcentaje de informes mensuales previstos  de los establecimientos de salud  (para el período de reporte) que se reciben realmente-0</v>
      </c>
      <c r="E358" s="156" t="str">
        <f>CHOOSE(Translations!$C$1+1,I358,J358,K358)</f>
        <v>Tipo de informe</v>
      </c>
      <c r="F358" s="156" t="str">
        <f>CHOOSE(Translations!$C$1+1,L358,M358,N358)</f>
        <v>Informes integrados</v>
      </c>
      <c r="G358" s="156" t="s">
        <v>2671</v>
      </c>
      <c r="H358" s="157" t="s">
        <v>2672</v>
      </c>
      <c r="I358" s="157" t="s">
        <v>2673</v>
      </c>
      <c r="J358" s="157" t="s">
        <v>2674</v>
      </c>
      <c r="K358" s="157" t="s">
        <v>2675</v>
      </c>
      <c r="L358" s="157" t="s">
        <v>2676</v>
      </c>
      <c r="M358" s="157" t="s">
        <v>2677</v>
      </c>
      <c r="N358" s="157" t="s">
        <v>2678</v>
      </c>
      <c r="O358" s="157" t="s">
        <v>2679</v>
      </c>
      <c r="P358" s="157" t="s">
        <v>2680</v>
      </c>
      <c r="Q358" s="157" t="s">
        <v>2681</v>
      </c>
    </row>
    <row r="359" spans="1:17" s="9" customFormat="1" x14ac:dyDescent="0.25">
      <c r="A359" s="156" t="s">
        <v>2670</v>
      </c>
      <c r="B359" s="156" t="str">
        <f>CHOOSE(Translations!$C$1+1,O359,P359,Q359)</f>
        <v>M&amp;E-2a Exhaustividad de los informes de los establecimientos de salud  : porcentaje de informes mensuales previstos  de los establecimientos de salud  (para el período de reporte) que se reciben realmente</v>
      </c>
      <c r="C359" s="156">
        <f t="shared" si="12"/>
        <v>1</v>
      </c>
      <c r="D359" s="156" t="str">
        <f t="shared" si="13"/>
        <v>M&amp;E-2a Exhaustividad de los informes de los establecimientos de salud  : porcentaje de informes mensuales previstos  de los establecimientos de salud  (para el período de reporte) que se reciben realmente-1</v>
      </c>
      <c r="E359" s="156" t="str">
        <f>CHOOSE(Translations!$C$1+1,I359,J359,K359)</f>
        <v>Tipo de informe</v>
      </c>
      <c r="F359" s="156" t="str">
        <f>CHOOSE(Translations!$C$1+1,L359,M359,N359)</f>
        <v>Informes de malaria</v>
      </c>
      <c r="G359" s="156" t="s">
        <v>2682</v>
      </c>
      <c r="H359" s="157" t="s">
        <v>2683</v>
      </c>
      <c r="I359" s="157" t="s">
        <v>2673</v>
      </c>
      <c r="J359" s="157" t="s">
        <v>2674</v>
      </c>
      <c r="K359" s="157" t="s">
        <v>2675</v>
      </c>
      <c r="L359" s="157" t="s">
        <v>2684</v>
      </c>
      <c r="M359" s="157" t="s">
        <v>2685</v>
      </c>
      <c r="N359" s="157" t="s">
        <v>2686</v>
      </c>
      <c r="O359" s="157" t="s">
        <v>2679</v>
      </c>
      <c r="P359" s="157" t="s">
        <v>2680</v>
      </c>
      <c r="Q359" s="157" t="s">
        <v>2681</v>
      </c>
    </row>
    <row r="360" spans="1:17" s="9" customFormat="1" x14ac:dyDescent="0.25">
      <c r="A360" s="156" t="s">
        <v>2670</v>
      </c>
      <c r="B360" s="156" t="str">
        <f>CHOOSE(Translations!$C$1+1,O360,P360,Q360)</f>
        <v>M&amp;E-2a Exhaustividad de los informes de los establecimientos de salud  : porcentaje de informes mensuales previstos  de los establecimientos de salud  (para el período de reporte) que se reciben realmente</v>
      </c>
      <c r="C360" s="156">
        <f t="shared" si="12"/>
        <v>2</v>
      </c>
      <c r="D360" s="156" t="str">
        <f t="shared" si="13"/>
        <v>M&amp;E-2a Exhaustividad de los informes de los establecimientos de salud  : porcentaje de informes mensuales previstos  de los establecimientos de salud  (para el período de reporte) que se reciben realmente-2</v>
      </c>
      <c r="E360" s="156" t="str">
        <f>CHOOSE(Translations!$C$1+1,I360,J360,K360)</f>
        <v>Tipo de informe</v>
      </c>
      <c r="F360" s="156" t="str">
        <f>CHOOSE(Translations!$C$1+1,L360,M360,N360)</f>
        <v>Informes de tuberculosis</v>
      </c>
      <c r="G360" s="156" t="s">
        <v>2687</v>
      </c>
      <c r="H360" s="157" t="s">
        <v>2688</v>
      </c>
      <c r="I360" s="157" t="s">
        <v>2673</v>
      </c>
      <c r="J360" s="157" t="s">
        <v>2674</v>
      </c>
      <c r="K360" s="157" t="s">
        <v>2675</v>
      </c>
      <c r="L360" s="157" t="s">
        <v>2689</v>
      </c>
      <c r="M360" s="157" t="s">
        <v>2690</v>
      </c>
      <c r="N360" s="157" t="s">
        <v>2691</v>
      </c>
      <c r="O360" s="157" t="s">
        <v>2679</v>
      </c>
      <c r="P360" s="157" t="s">
        <v>2680</v>
      </c>
      <c r="Q360" s="157" t="s">
        <v>2681</v>
      </c>
    </row>
    <row r="361" spans="1:17" s="9" customFormat="1" x14ac:dyDescent="0.25">
      <c r="A361" s="156" t="s">
        <v>2670</v>
      </c>
      <c r="B361" s="156" t="str">
        <f>CHOOSE(Translations!$C$1+1,O361,P361,Q361)</f>
        <v>M&amp;E-2a Exhaustividad de los informes de los establecimientos de salud  : porcentaje de informes mensuales previstos  de los establecimientos de salud  (para el período de reporte) que se reciben realmente</v>
      </c>
      <c r="C361" s="156">
        <f t="shared" si="12"/>
        <v>3</v>
      </c>
      <c r="D361" s="156" t="str">
        <f t="shared" si="13"/>
        <v>M&amp;E-2a Exhaustividad de los informes de los establecimientos de salud  : porcentaje de informes mensuales previstos  de los establecimientos de salud  (para el período de reporte) que se reciben realmente-3</v>
      </c>
      <c r="E361" s="156" t="str">
        <f>CHOOSE(Translations!$C$1+1,I361,J361,K361)</f>
        <v>Tipo de informe</v>
      </c>
      <c r="F361" s="156" t="str">
        <f>CHOOSE(Translations!$C$1+1,L361,M361,N361)</f>
        <v>Informes de VIH</v>
      </c>
      <c r="G361" s="156" t="s">
        <v>2692</v>
      </c>
      <c r="H361" s="157" t="s">
        <v>2693</v>
      </c>
      <c r="I361" s="157" t="s">
        <v>2673</v>
      </c>
      <c r="J361" s="157" t="s">
        <v>2674</v>
      </c>
      <c r="K361" s="157" t="s">
        <v>2675</v>
      </c>
      <c r="L361" s="157" t="s">
        <v>2694</v>
      </c>
      <c r="M361" s="157" t="s">
        <v>2695</v>
      </c>
      <c r="N361" s="157" t="s">
        <v>2696</v>
      </c>
      <c r="O361" s="157" t="s">
        <v>2679</v>
      </c>
      <c r="P361" s="157" t="s">
        <v>2680</v>
      </c>
      <c r="Q361" s="157" t="s">
        <v>2681</v>
      </c>
    </row>
    <row r="362" spans="1:17" s="9" customFormat="1" x14ac:dyDescent="0.25">
      <c r="A362" s="156" t="s">
        <v>2697</v>
      </c>
      <c r="B362" s="156" t="str">
        <f>CHOOSE(Translations!$C$1+1,O362,P362,Q362)</f>
        <v>M&amp;E-2b Puntualidad de los informes de los  establecimientos de salud : porcentaje de informes de los establecimientos de salud  enviados mensualmente ( para el período de reporte) que se reciben puntualmente de acuerdo con las directrices nacionales</v>
      </c>
      <c r="C362" s="156">
        <f t="shared" si="12"/>
        <v>0</v>
      </c>
      <c r="D362" s="156" t="str">
        <f t="shared" si="13"/>
        <v>M&amp;E-2b Puntualidad de los informes de los  establecimientos de salud : porcentaje de informes de los establecimientos de salud  enviados mensualmente ( para el período de reporte) que se reciben puntualmente de acuerdo con las directrices nacionales-0</v>
      </c>
      <c r="E362" s="156" t="str">
        <f>CHOOSE(Translations!$C$1+1,I362,J362,K362)</f>
        <v>Tipo de informe</v>
      </c>
      <c r="F362" s="156" t="str">
        <f>CHOOSE(Translations!$C$1+1,L362,M362,N362)</f>
        <v>Informes integrados</v>
      </c>
      <c r="G362" s="156" t="s">
        <v>2698</v>
      </c>
      <c r="H362" s="157" t="s">
        <v>2699</v>
      </c>
      <c r="I362" s="157" t="s">
        <v>2673</v>
      </c>
      <c r="J362" s="157" t="s">
        <v>2674</v>
      </c>
      <c r="K362" s="157" t="s">
        <v>2675</v>
      </c>
      <c r="L362" s="157" t="s">
        <v>2676</v>
      </c>
      <c r="M362" s="157" t="s">
        <v>2677</v>
      </c>
      <c r="N362" s="157" t="s">
        <v>2678</v>
      </c>
      <c r="O362" s="157" t="s">
        <v>2700</v>
      </c>
      <c r="P362" s="157" t="s">
        <v>2701</v>
      </c>
      <c r="Q362" s="157" t="s">
        <v>2702</v>
      </c>
    </row>
    <row r="363" spans="1:17" s="9" customFormat="1" x14ac:dyDescent="0.25">
      <c r="A363" s="156" t="s">
        <v>2697</v>
      </c>
      <c r="B363" s="156" t="str">
        <f>CHOOSE(Translations!$C$1+1,O363,P363,Q363)</f>
        <v>M&amp;E-2b Puntualidad de los informes de los  establecimientos de salud : porcentaje de informes de los establecimientos de salud  enviados mensualmente ( para el período de reporte) que se reciben puntualmente de acuerdo con las directrices nacionales</v>
      </c>
      <c r="C363" s="156">
        <f t="shared" si="12"/>
        <v>1</v>
      </c>
      <c r="D363" s="156" t="str">
        <f t="shared" si="13"/>
        <v>M&amp;E-2b Puntualidad de los informes de los  establecimientos de salud : porcentaje de informes de los establecimientos de salud  enviados mensualmente ( para el período de reporte) que se reciben puntualmente de acuerdo con las directrices nacionales-1</v>
      </c>
      <c r="E363" s="156" t="str">
        <f>CHOOSE(Translations!$C$1+1,I363,J363,K363)</f>
        <v>Tipo de informe</v>
      </c>
      <c r="F363" s="156" t="str">
        <f>CHOOSE(Translations!$C$1+1,L363,M363,N363)</f>
        <v>Informes de malaria</v>
      </c>
      <c r="G363" s="156" t="s">
        <v>2703</v>
      </c>
      <c r="H363" s="157" t="s">
        <v>2704</v>
      </c>
      <c r="I363" s="157" t="s">
        <v>2673</v>
      </c>
      <c r="J363" s="157" t="s">
        <v>2674</v>
      </c>
      <c r="K363" s="157" t="s">
        <v>2675</v>
      </c>
      <c r="L363" s="157" t="s">
        <v>2684</v>
      </c>
      <c r="M363" s="157" t="s">
        <v>2685</v>
      </c>
      <c r="N363" s="157" t="s">
        <v>2686</v>
      </c>
      <c r="O363" s="157" t="s">
        <v>2700</v>
      </c>
      <c r="P363" s="157" t="s">
        <v>2701</v>
      </c>
      <c r="Q363" s="157" t="s">
        <v>2702</v>
      </c>
    </row>
    <row r="364" spans="1:17" s="9" customFormat="1" x14ac:dyDescent="0.25">
      <c r="A364" s="156" t="s">
        <v>2697</v>
      </c>
      <c r="B364" s="156" t="str">
        <f>CHOOSE(Translations!$C$1+1,O364,P364,Q364)</f>
        <v>M&amp;E-2b Puntualidad de los informes de los  establecimientos de salud : porcentaje de informes de los establecimientos de salud  enviados mensualmente ( para el período de reporte) que se reciben puntualmente de acuerdo con las directrices nacionales</v>
      </c>
      <c r="C364" s="156">
        <f t="shared" si="12"/>
        <v>2</v>
      </c>
      <c r="D364" s="156" t="str">
        <f t="shared" si="13"/>
        <v>M&amp;E-2b Puntualidad de los informes de los  establecimientos de salud : porcentaje de informes de los establecimientos de salud  enviados mensualmente ( para el período de reporte) que se reciben puntualmente de acuerdo con las directrices nacionales-2</v>
      </c>
      <c r="E364" s="156" t="str">
        <f>CHOOSE(Translations!$C$1+1,I364,J364,K364)</f>
        <v>Tipo de informe</v>
      </c>
      <c r="F364" s="156" t="str">
        <f>CHOOSE(Translations!$C$1+1,L364,M364,N364)</f>
        <v>Informes de tuberculosis</v>
      </c>
      <c r="G364" s="156" t="s">
        <v>2705</v>
      </c>
      <c r="H364" s="157" t="s">
        <v>2706</v>
      </c>
      <c r="I364" s="157" t="s">
        <v>2673</v>
      </c>
      <c r="J364" s="157" t="s">
        <v>2674</v>
      </c>
      <c r="K364" s="157" t="s">
        <v>2675</v>
      </c>
      <c r="L364" s="157" t="s">
        <v>2689</v>
      </c>
      <c r="M364" s="157" t="s">
        <v>2690</v>
      </c>
      <c r="N364" s="157" t="s">
        <v>2691</v>
      </c>
      <c r="O364" s="157" t="s">
        <v>2700</v>
      </c>
      <c r="P364" s="157" t="s">
        <v>2701</v>
      </c>
      <c r="Q364" s="157" t="s">
        <v>2702</v>
      </c>
    </row>
    <row r="365" spans="1:17" s="9" customFormat="1" x14ac:dyDescent="0.25">
      <c r="A365" s="156" t="s">
        <v>2697</v>
      </c>
      <c r="B365" s="156" t="str">
        <f>CHOOSE(Translations!$C$1+1,O365,P365,Q365)</f>
        <v>M&amp;E-2b Puntualidad de los informes de los  establecimientos de salud : porcentaje de informes de los establecimientos de salud  enviados mensualmente ( para el período de reporte) que se reciben puntualmente de acuerdo con las directrices nacionales</v>
      </c>
      <c r="C365" s="156">
        <f t="shared" si="12"/>
        <v>3</v>
      </c>
      <c r="D365" s="156" t="str">
        <f t="shared" si="13"/>
        <v>M&amp;E-2b Puntualidad de los informes de los  establecimientos de salud : porcentaje de informes de los establecimientos de salud  enviados mensualmente ( para el período de reporte) que se reciben puntualmente de acuerdo con las directrices nacionales-3</v>
      </c>
      <c r="E365" s="156" t="str">
        <f>CHOOSE(Translations!$C$1+1,I365,J365,K365)</f>
        <v>Tipo de informe</v>
      </c>
      <c r="F365" s="156" t="str">
        <f>CHOOSE(Translations!$C$1+1,L365,M365,N365)</f>
        <v>Informes de VIH</v>
      </c>
      <c r="G365" s="156" t="s">
        <v>2707</v>
      </c>
      <c r="H365" s="157" t="s">
        <v>2708</v>
      </c>
      <c r="I365" s="157" t="s">
        <v>2673</v>
      </c>
      <c r="J365" s="157" t="s">
        <v>2674</v>
      </c>
      <c r="K365" s="157" t="s">
        <v>2675</v>
      </c>
      <c r="L365" s="157" t="s">
        <v>2694</v>
      </c>
      <c r="M365" s="157" t="s">
        <v>2695</v>
      </c>
      <c r="N365" s="157" t="s">
        <v>2696</v>
      </c>
      <c r="O365" s="157" t="s">
        <v>2700</v>
      </c>
      <c r="P365" s="157" t="s">
        <v>2701</v>
      </c>
      <c r="Q365" s="157" t="s">
        <v>2702</v>
      </c>
    </row>
    <row r="366" spans="1:17" s="9" customFormat="1" x14ac:dyDescent="0.25">
      <c r="A366" s="156" t="s">
        <v>2709</v>
      </c>
      <c r="B366" s="156" t="str">
        <f>CHOOSE(Translations!$C$1+1,O366,P366,Q366)</f>
        <v>HRH-1 Tasa de puestos vacantes: número de puestos de salud a tiempo completo vacantes durante al menos 6 meses como porcentaje total del número de puestos financiados</v>
      </c>
      <c r="C366" s="156">
        <f t="shared" si="12"/>
        <v>0</v>
      </c>
      <c r="D366" s="156" t="str">
        <f t="shared" si="13"/>
        <v>HRH-1 Tasa de puestos vacantes: número de puestos de salud a tiempo completo vacantes durante al menos 6 meses como porcentaje total del número de puestos financiados-0</v>
      </c>
      <c r="E366" s="156" t="str">
        <f>CHOOSE(Translations!$C$1+1,I366,J366,K366)</f>
        <v>Grupo de ocupación</v>
      </c>
      <c r="F366" s="156" t="str">
        <f>CHOOSE(Translations!$C$1+1,L366,M366,N366)</f>
        <v>Trabajadores de la salud comunitarios</v>
      </c>
      <c r="G366" s="156" t="s">
        <v>2710</v>
      </c>
      <c r="H366" s="157" t="s">
        <v>2711</v>
      </c>
      <c r="I366" s="157" t="s">
        <v>1957</v>
      </c>
      <c r="J366" s="157" t="s">
        <v>1958</v>
      </c>
      <c r="K366" s="157" t="s">
        <v>1959</v>
      </c>
      <c r="L366" s="157" t="s">
        <v>1960</v>
      </c>
      <c r="M366" s="157" t="s">
        <v>1961</v>
      </c>
      <c r="N366" s="157" t="s">
        <v>1962</v>
      </c>
      <c r="O366" s="157" t="s">
        <v>2712</v>
      </c>
      <c r="P366" s="157" t="s">
        <v>2713</v>
      </c>
      <c r="Q366" s="157" t="s">
        <v>2714</v>
      </c>
    </row>
    <row r="367" spans="1:17" s="9" customFormat="1" x14ac:dyDescent="0.25">
      <c r="A367" s="156" t="s">
        <v>2709</v>
      </c>
      <c r="B367" s="156" t="str">
        <f>CHOOSE(Translations!$C$1+1,O367,P367,Q367)</f>
        <v>HRH-1 Tasa de puestos vacantes: número de puestos de salud a tiempo completo vacantes durante al menos 6 meses como porcentaje total del número de puestos financiados</v>
      </c>
      <c r="C367" s="156">
        <f t="shared" si="12"/>
        <v>1</v>
      </c>
      <c r="D367" s="156" t="str">
        <f t="shared" si="13"/>
        <v>HRH-1 Tasa de puestos vacantes: número de puestos de salud a tiempo completo vacantes durante al menos 6 meses como porcentaje total del número de puestos financiados-1</v>
      </c>
      <c r="E367" s="156" t="str">
        <f>CHOOSE(Translations!$C$1+1,I367,J367,K367)</f>
        <v>Grupo de ocupación</v>
      </c>
      <c r="F367" s="156" t="str">
        <f>CHOOSE(Translations!$C$1+1,L367,M367,N367)</f>
        <v>Farmacéuticos</v>
      </c>
      <c r="G367" s="156" t="s">
        <v>2715</v>
      </c>
      <c r="H367" s="157" t="s">
        <v>2716</v>
      </c>
      <c r="I367" s="157" t="s">
        <v>1957</v>
      </c>
      <c r="J367" s="157" t="s">
        <v>1958</v>
      </c>
      <c r="K367" s="157" t="s">
        <v>1959</v>
      </c>
      <c r="L367" s="157" t="s">
        <v>1968</v>
      </c>
      <c r="M367" s="157" t="s">
        <v>1969</v>
      </c>
      <c r="N367" s="157" t="s">
        <v>1970</v>
      </c>
      <c r="O367" s="157" t="s">
        <v>2712</v>
      </c>
      <c r="P367" s="157" t="s">
        <v>2713</v>
      </c>
      <c r="Q367" s="157" t="s">
        <v>2714</v>
      </c>
    </row>
    <row r="368" spans="1:17" s="9" customFormat="1" x14ac:dyDescent="0.25">
      <c r="A368" s="156" t="s">
        <v>2709</v>
      </c>
      <c r="B368" s="156" t="str">
        <f>CHOOSE(Translations!$C$1+1,O368,P368,Q368)</f>
        <v>HRH-1 Tasa de puestos vacantes: número de puestos de salud a tiempo completo vacantes durante al menos 6 meses como porcentaje total del número de puestos financiados</v>
      </c>
      <c r="C368" s="156">
        <f t="shared" si="12"/>
        <v>2</v>
      </c>
      <c r="D368" s="156" t="str">
        <f t="shared" si="13"/>
        <v>HRH-1 Tasa de puestos vacantes: número de puestos de salud a tiempo completo vacantes durante al menos 6 meses como porcentaje total del número de puestos financiados-2</v>
      </c>
      <c r="E368" s="156" t="str">
        <f>CHOOSE(Translations!$C$1+1,I368,J368,K368)</f>
        <v>Grupo de ocupación</v>
      </c>
      <c r="F368" s="156" t="str">
        <f>CHOOSE(Translations!$C$1+1,L368,M368,N368)</f>
        <v>Técnicos de laboratorio</v>
      </c>
      <c r="G368" s="156" t="s">
        <v>2717</v>
      </c>
      <c r="H368" s="157" t="s">
        <v>2718</v>
      </c>
      <c r="I368" s="157" t="s">
        <v>1957</v>
      </c>
      <c r="J368" s="157" t="s">
        <v>1958</v>
      </c>
      <c r="K368" s="157" t="s">
        <v>1959</v>
      </c>
      <c r="L368" s="157" t="s">
        <v>1973</v>
      </c>
      <c r="M368" s="157" t="s">
        <v>1974</v>
      </c>
      <c r="N368" s="157" t="s">
        <v>1975</v>
      </c>
      <c r="O368" s="157" t="s">
        <v>2712</v>
      </c>
      <c r="P368" s="157" t="s">
        <v>2713</v>
      </c>
      <c r="Q368" s="157" t="s">
        <v>2714</v>
      </c>
    </row>
    <row r="369" spans="1:17" s="9" customFormat="1" x14ac:dyDescent="0.25">
      <c r="A369" s="156" t="s">
        <v>2709</v>
      </c>
      <c r="B369" s="156" t="str">
        <f>CHOOSE(Translations!$C$1+1,O369,P369,Q369)</f>
        <v>HRH-1 Tasa de puestos vacantes: número de puestos de salud a tiempo completo vacantes durante al menos 6 meses como porcentaje total del número de puestos financiados</v>
      </c>
      <c r="C369" s="156">
        <f t="shared" si="12"/>
        <v>3</v>
      </c>
      <c r="D369" s="156" t="str">
        <f t="shared" si="13"/>
        <v>HRH-1 Tasa de puestos vacantes: número de puestos de salud a tiempo completo vacantes durante al menos 6 meses como porcentaje total del número de puestos financiados-3</v>
      </c>
      <c r="E369" s="156" t="str">
        <f>CHOOSE(Translations!$C$1+1,I369,J369,K369)</f>
        <v>Grupo de ocupación</v>
      </c>
      <c r="F369" s="156" t="str">
        <f>CHOOSE(Translations!$C$1+1,L369,M369,N369)</f>
        <v>Enfermeras y parteras</v>
      </c>
      <c r="G369" s="156" t="s">
        <v>2719</v>
      </c>
      <c r="H369" s="157" t="s">
        <v>2720</v>
      </c>
      <c r="I369" s="157" t="s">
        <v>1957</v>
      </c>
      <c r="J369" s="157" t="s">
        <v>1958</v>
      </c>
      <c r="K369" s="157" t="s">
        <v>1959</v>
      </c>
      <c r="L369" s="157" t="s">
        <v>1978</v>
      </c>
      <c r="M369" s="157" t="s">
        <v>1979</v>
      </c>
      <c r="N369" s="157" t="s">
        <v>1980</v>
      </c>
      <c r="O369" s="157" t="s">
        <v>2712</v>
      </c>
      <c r="P369" s="157" t="s">
        <v>2713</v>
      </c>
      <c r="Q369" s="157" t="s">
        <v>2714</v>
      </c>
    </row>
    <row r="370" spans="1:17" s="9" customFormat="1" x14ac:dyDescent="0.25">
      <c r="A370" s="156" t="s">
        <v>2709</v>
      </c>
      <c r="B370" s="156" t="str">
        <f>CHOOSE(Translations!$C$1+1,O370,P370,Q370)</f>
        <v>HRH-1 Tasa de puestos vacantes: número de puestos de salud a tiempo completo vacantes durante al menos 6 meses como porcentaje total del número de puestos financiados</v>
      </c>
      <c r="C370" s="156">
        <f t="shared" si="12"/>
        <v>4</v>
      </c>
      <c r="D370" s="156" t="str">
        <f t="shared" si="13"/>
        <v>HRH-1 Tasa de puestos vacantes: número de puestos de salud a tiempo completo vacantes durante al menos 6 meses como porcentaje total del número de puestos financiados-4</v>
      </c>
      <c r="E370" s="156" t="str">
        <f>CHOOSE(Translations!$C$1+1,I370,J370,K370)</f>
        <v>Grupo de ocupación</v>
      </c>
      <c r="F370" s="156" t="str">
        <f>CHOOSE(Translations!$C$1+1,L370,M370,N370)</f>
        <v>Médicos</v>
      </c>
      <c r="G370" s="156" t="s">
        <v>2721</v>
      </c>
      <c r="H370" s="157" t="s">
        <v>2722</v>
      </c>
      <c r="I370" s="157" t="s">
        <v>1957</v>
      </c>
      <c r="J370" s="157" t="s">
        <v>1958</v>
      </c>
      <c r="K370" s="157" t="s">
        <v>1959</v>
      </c>
      <c r="L370" s="157" t="s">
        <v>1983</v>
      </c>
      <c r="M370" s="157" t="s">
        <v>1984</v>
      </c>
      <c r="N370" s="157" t="s">
        <v>1985</v>
      </c>
      <c r="O370" s="157" t="s">
        <v>2712</v>
      </c>
      <c r="P370" s="157" t="s">
        <v>2713</v>
      </c>
      <c r="Q370" s="157" t="s">
        <v>2714</v>
      </c>
    </row>
    <row r="371" spans="1:17" s="9" customFormat="1" x14ac:dyDescent="0.25">
      <c r="A371" s="156" t="s">
        <v>2723</v>
      </c>
      <c r="B371" s="156" t="str">
        <f>CHOOSE(Translations!$C$1+1,O371,P371,Q371)</f>
        <v>HRH-2 Proporción de estudiantes graduados de un programa de educación y formación de personal sanitario respecto del número de estudiantes inscritos en primer año</v>
      </c>
      <c r="C371" s="156">
        <f t="shared" si="12"/>
        <v>0</v>
      </c>
      <c r="D371" s="156" t="str">
        <f t="shared" si="13"/>
        <v>HRH-2 Proporción de estudiantes graduados de un programa de educación y formación de personal sanitario respecto del número de estudiantes inscritos en primer año-0</v>
      </c>
      <c r="E371" s="156" t="str">
        <f>CHOOSE(Translations!$C$1+1,I371,J371,K371)</f>
        <v>Grupo de ocupación</v>
      </c>
      <c r="F371" s="156" t="str">
        <f>CHOOSE(Translations!$C$1+1,L371,M371,N371)</f>
        <v>Trabajadores de la salud comunitarios</v>
      </c>
      <c r="G371" s="156" t="s">
        <v>2724</v>
      </c>
      <c r="H371" s="157" t="s">
        <v>2725</v>
      </c>
      <c r="I371" s="157" t="s">
        <v>1957</v>
      </c>
      <c r="J371" s="157" t="s">
        <v>1958</v>
      </c>
      <c r="K371" s="157" t="s">
        <v>1959</v>
      </c>
      <c r="L371" s="157" t="s">
        <v>1960</v>
      </c>
      <c r="M371" s="157" t="s">
        <v>1961</v>
      </c>
      <c r="N371" s="157" t="s">
        <v>1962</v>
      </c>
      <c r="O371" s="157" t="s">
        <v>2726</v>
      </c>
      <c r="P371" s="157" t="s">
        <v>2727</v>
      </c>
      <c r="Q371" s="157" t="s">
        <v>2728</v>
      </c>
    </row>
    <row r="372" spans="1:17" s="9" customFormat="1" x14ac:dyDescent="0.25">
      <c r="A372" s="156" t="s">
        <v>2723</v>
      </c>
      <c r="B372" s="156" t="str">
        <f>CHOOSE(Translations!$C$1+1,O372,P372,Q372)</f>
        <v>HRH-2 Proporción de estudiantes graduados de un programa de educación y formación de personal sanitario respecto del número de estudiantes inscritos en primer año</v>
      </c>
      <c r="C372" s="156">
        <f t="shared" si="12"/>
        <v>1</v>
      </c>
      <c r="D372" s="156" t="str">
        <f t="shared" si="13"/>
        <v>HRH-2 Proporción de estudiantes graduados de un programa de educación y formación de personal sanitario respecto del número de estudiantes inscritos en primer año-1</v>
      </c>
      <c r="E372" s="156" t="str">
        <f>CHOOSE(Translations!$C$1+1,I372,J372,K372)</f>
        <v>Grupo de ocupación</v>
      </c>
      <c r="F372" s="156" t="str">
        <f>CHOOSE(Translations!$C$1+1,L372,M372,N372)</f>
        <v>Farmacéuticos</v>
      </c>
      <c r="G372" s="156" t="s">
        <v>2729</v>
      </c>
      <c r="H372" s="157" t="s">
        <v>2730</v>
      </c>
      <c r="I372" s="157" t="s">
        <v>1957</v>
      </c>
      <c r="J372" s="157" t="s">
        <v>1958</v>
      </c>
      <c r="K372" s="157" t="s">
        <v>1959</v>
      </c>
      <c r="L372" s="157" t="s">
        <v>1968</v>
      </c>
      <c r="M372" s="157" t="s">
        <v>1969</v>
      </c>
      <c r="N372" s="157" t="s">
        <v>1970</v>
      </c>
      <c r="O372" s="157" t="s">
        <v>2726</v>
      </c>
      <c r="P372" s="157" t="s">
        <v>2727</v>
      </c>
      <c r="Q372" s="157" t="s">
        <v>2728</v>
      </c>
    </row>
    <row r="373" spans="1:17" s="9" customFormat="1" x14ac:dyDescent="0.25">
      <c r="A373" s="156" t="s">
        <v>2723</v>
      </c>
      <c r="B373" s="156" t="str">
        <f>CHOOSE(Translations!$C$1+1,O373,P373,Q373)</f>
        <v>HRH-2 Proporción de estudiantes graduados de un programa de educación y formación de personal sanitario respecto del número de estudiantes inscritos en primer año</v>
      </c>
      <c r="C373" s="156">
        <f t="shared" si="12"/>
        <v>2</v>
      </c>
      <c r="D373" s="156" t="str">
        <f t="shared" si="13"/>
        <v>HRH-2 Proporción de estudiantes graduados de un programa de educación y formación de personal sanitario respecto del número de estudiantes inscritos en primer año-2</v>
      </c>
      <c r="E373" s="156" t="str">
        <f>CHOOSE(Translations!$C$1+1,I373,J373,K373)</f>
        <v>Grupo de ocupación</v>
      </c>
      <c r="F373" s="156" t="str">
        <f>CHOOSE(Translations!$C$1+1,L373,M373,N373)</f>
        <v>Técnicos de laboratorio</v>
      </c>
      <c r="G373" s="156" t="s">
        <v>2731</v>
      </c>
      <c r="H373" s="157" t="s">
        <v>2732</v>
      </c>
      <c r="I373" s="157" t="s">
        <v>1957</v>
      </c>
      <c r="J373" s="157" t="s">
        <v>1958</v>
      </c>
      <c r="K373" s="157" t="s">
        <v>1959</v>
      </c>
      <c r="L373" s="157" t="s">
        <v>1973</v>
      </c>
      <c r="M373" s="157" t="s">
        <v>1974</v>
      </c>
      <c r="N373" s="157" t="s">
        <v>1975</v>
      </c>
      <c r="O373" s="157" t="s">
        <v>2726</v>
      </c>
      <c r="P373" s="157" t="s">
        <v>2727</v>
      </c>
      <c r="Q373" s="157" t="s">
        <v>2728</v>
      </c>
    </row>
    <row r="374" spans="1:17" s="9" customFormat="1" x14ac:dyDescent="0.25">
      <c r="A374" s="156" t="s">
        <v>2723</v>
      </c>
      <c r="B374" s="156" t="str">
        <f>CHOOSE(Translations!$C$1+1,O374,P374,Q374)</f>
        <v>HRH-2 Proporción de estudiantes graduados de un programa de educación y formación de personal sanitario respecto del número de estudiantes inscritos en primer año</v>
      </c>
      <c r="C374" s="156">
        <f t="shared" si="12"/>
        <v>3</v>
      </c>
      <c r="D374" s="156" t="str">
        <f t="shared" si="13"/>
        <v>HRH-2 Proporción de estudiantes graduados de un programa de educación y formación de personal sanitario respecto del número de estudiantes inscritos en primer año-3</v>
      </c>
      <c r="E374" s="156" t="str">
        <f>CHOOSE(Translations!$C$1+1,I374,J374,K374)</f>
        <v>Grupo de ocupación</v>
      </c>
      <c r="F374" s="156" t="str">
        <f>CHOOSE(Translations!$C$1+1,L374,M374,N374)</f>
        <v>Enfermeras y parteras</v>
      </c>
      <c r="G374" s="156" t="s">
        <v>2733</v>
      </c>
      <c r="H374" s="157" t="s">
        <v>2734</v>
      </c>
      <c r="I374" s="157" t="s">
        <v>1957</v>
      </c>
      <c r="J374" s="157" t="s">
        <v>1958</v>
      </c>
      <c r="K374" s="157" t="s">
        <v>1959</v>
      </c>
      <c r="L374" s="157" t="s">
        <v>1978</v>
      </c>
      <c r="M374" s="157" t="s">
        <v>1979</v>
      </c>
      <c r="N374" s="157" t="s">
        <v>1980</v>
      </c>
      <c r="O374" s="157" t="s">
        <v>2726</v>
      </c>
      <c r="P374" s="157" t="s">
        <v>2727</v>
      </c>
      <c r="Q374" s="157" t="s">
        <v>2728</v>
      </c>
    </row>
    <row r="375" spans="1:17" s="9" customFormat="1" x14ac:dyDescent="0.25">
      <c r="A375" s="156" t="s">
        <v>2723</v>
      </c>
      <c r="B375" s="156" t="str">
        <f>CHOOSE(Translations!$C$1+1,O375,P375,Q375)</f>
        <v>HRH-2 Proporción de estudiantes graduados de un programa de educación y formación de personal sanitario respecto del número de estudiantes inscritos en primer año</v>
      </c>
      <c r="C375" s="156">
        <f t="shared" si="12"/>
        <v>4</v>
      </c>
      <c r="D375" s="156" t="str">
        <f t="shared" si="13"/>
        <v>HRH-2 Proporción de estudiantes graduados de un programa de educación y formación de personal sanitario respecto del número de estudiantes inscritos en primer año-4</v>
      </c>
      <c r="E375" s="156" t="str">
        <f>CHOOSE(Translations!$C$1+1,I375,J375,K375)</f>
        <v>Grupo de ocupación</v>
      </c>
      <c r="F375" s="156" t="str">
        <f>CHOOSE(Translations!$C$1+1,L375,M375,N375)</f>
        <v>Médicos</v>
      </c>
      <c r="G375" s="156" t="s">
        <v>2735</v>
      </c>
      <c r="H375" s="157" t="s">
        <v>2736</v>
      </c>
      <c r="I375" s="157" t="s">
        <v>1957</v>
      </c>
      <c r="J375" s="157" t="s">
        <v>1958</v>
      </c>
      <c r="K375" s="157" t="s">
        <v>1959</v>
      </c>
      <c r="L375" s="157" t="s">
        <v>1983</v>
      </c>
      <c r="M375" s="157" t="s">
        <v>1984</v>
      </c>
      <c r="N375" s="157" t="s">
        <v>1985</v>
      </c>
      <c r="O375" s="157" t="s">
        <v>2726</v>
      </c>
      <c r="P375" s="157" t="s">
        <v>2727</v>
      </c>
      <c r="Q375" s="157" t="s">
        <v>2728</v>
      </c>
    </row>
    <row r="376" spans="1:17" s="9" customFormat="1" x14ac:dyDescent="0.25">
      <c r="A376" s="156" t="s">
        <v>2737</v>
      </c>
      <c r="B376" s="156" t="str">
        <f>CHOOSE(Translations!$C$1+1,O376,P376,Q376)</f>
        <v>SD-6 Número de  condiciones de la atención integrada en la comunidad de enfermedades infantiles tratadas en niños menores de 5 años en áreas objetivo durante el período de informes</v>
      </c>
      <c r="C376" s="156">
        <f t="shared" si="12"/>
        <v>0</v>
      </c>
      <c r="D376" s="156" t="str">
        <f t="shared" si="13"/>
        <v>SD-6 Número de  condiciones de la atención integrada en la comunidad de enfermedades infantiles tratadas en niños menores de 5 años en áreas objetivo durante el período de informes-0</v>
      </c>
      <c r="E376" s="156" t="str">
        <f>CHOOSE(Translations!$C$1+1,I376,J376,K376)</f>
        <v>Condición GICC</v>
      </c>
      <c r="F376" s="156" t="str">
        <f>CHOOSE(Translations!$C$1+1,L376,M376,N376)</f>
        <v>Malnutrición</v>
      </c>
      <c r="G376" s="156" t="s">
        <v>2738</v>
      </c>
      <c r="H376" s="157" t="s">
        <v>2739</v>
      </c>
      <c r="I376" s="157" t="s">
        <v>2740</v>
      </c>
      <c r="J376" s="157" t="s">
        <v>2741</v>
      </c>
      <c r="K376" s="157" t="s">
        <v>2742</v>
      </c>
      <c r="L376" s="157" t="s">
        <v>2743</v>
      </c>
      <c r="M376" s="157" t="s">
        <v>2743</v>
      </c>
      <c r="N376" s="157" t="s">
        <v>2744</v>
      </c>
      <c r="O376" s="157" t="s">
        <v>2745</v>
      </c>
      <c r="P376" s="157" t="s">
        <v>2746</v>
      </c>
      <c r="Q376" s="157" t="s">
        <v>2747</v>
      </c>
    </row>
    <row r="377" spans="1:17" s="9" customFormat="1" x14ac:dyDescent="0.25">
      <c r="A377" s="156" t="s">
        <v>2737</v>
      </c>
      <c r="B377" s="156" t="str">
        <f>CHOOSE(Translations!$C$1+1,O377,P377,Q377)</f>
        <v>SD-6 Número de  condiciones de la atención integrada en la comunidad de enfermedades infantiles tratadas en niños menores de 5 años en áreas objetivo durante el período de informes</v>
      </c>
      <c r="C377" s="156">
        <f t="shared" si="12"/>
        <v>1</v>
      </c>
      <c r="D377" s="156" t="str">
        <f t="shared" si="13"/>
        <v>SD-6 Número de  condiciones de la atención integrada en la comunidad de enfermedades infantiles tratadas en niños menores de 5 años en áreas objetivo durante el período de informes-1</v>
      </c>
      <c r="E377" s="156" t="str">
        <f>CHOOSE(Translations!$C$1+1,I377,J377,K377)</f>
        <v>Condición GICC</v>
      </c>
      <c r="F377" s="156" t="str">
        <f>CHOOSE(Translations!$C$1+1,L377,M377,N377)</f>
        <v>Diarrea</v>
      </c>
      <c r="G377" s="156" t="s">
        <v>2748</v>
      </c>
      <c r="H377" s="157" t="s">
        <v>2749</v>
      </c>
      <c r="I377" s="157" t="s">
        <v>2740</v>
      </c>
      <c r="J377" s="157" t="s">
        <v>2741</v>
      </c>
      <c r="K377" s="157" t="s">
        <v>2742</v>
      </c>
      <c r="L377" s="157" t="s">
        <v>2750</v>
      </c>
      <c r="M377" s="157" t="s">
        <v>2751</v>
      </c>
      <c r="N377" s="157" t="s">
        <v>2752</v>
      </c>
      <c r="O377" s="157" t="s">
        <v>2745</v>
      </c>
      <c r="P377" s="157" t="s">
        <v>2746</v>
      </c>
      <c r="Q377" s="157" t="s">
        <v>2747</v>
      </c>
    </row>
    <row r="378" spans="1:17" s="9" customFormat="1" x14ac:dyDescent="0.25">
      <c r="A378" s="156" t="s">
        <v>2737</v>
      </c>
      <c r="B378" s="156" t="str">
        <f>CHOOSE(Translations!$C$1+1,O378,P378,Q378)</f>
        <v>SD-6 Número de  condiciones de la atención integrada en la comunidad de enfermedades infantiles tratadas en niños menores de 5 años en áreas objetivo durante el período de informes</v>
      </c>
      <c r="C378" s="156">
        <f t="shared" si="12"/>
        <v>2</v>
      </c>
      <c r="D378" s="156" t="str">
        <f t="shared" si="13"/>
        <v>SD-6 Número de  condiciones de la atención integrada en la comunidad de enfermedades infantiles tratadas en niños menores de 5 años en áreas objetivo durante el período de informes-2</v>
      </c>
      <c r="E378" s="156" t="str">
        <f>CHOOSE(Translations!$C$1+1,I378,J378,K378)</f>
        <v>Condición GICC</v>
      </c>
      <c r="F378" s="156" t="str">
        <f>CHOOSE(Translations!$C$1+1,L378,M378,N378)</f>
        <v>Neumonía</v>
      </c>
      <c r="G378" s="156" t="s">
        <v>2753</v>
      </c>
      <c r="H378" s="157" t="s">
        <v>2754</v>
      </c>
      <c r="I378" s="157" t="s">
        <v>2740</v>
      </c>
      <c r="J378" s="157" t="s">
        <v>2741</v>
      </c>
      <c r="K378" s="157" t="s">
        <v>2742</v>
      </c>
      <c r="L378" s="157" t="s">
        <v>2755</v>
      </c>
      <c r="M378" s="157" t="s">
        <v>2756</v>
      </c>
      <c r="N378" s="157" t="s">
        <v>2757</v>
      </c>
      <c r="O378" s="157" t="s">
        <v>2745</v>
      </c>
      <c r="P378" s="157" t="s">
        <v>2746</v>
      </c>
      <c r="Q378" s="157" t="s">
        <v>2747</v>
      </c>
    </row>
    <row r="379" spans="1:17" s="9" customFormat="1" x14ac:dyDescent="0.25">
      <c r="A379" s="156" t="s">
        <v>2737</v>
      </c>
      <c r="B379" s="156" t="str">
        <f>CHOOSE(Translations!$C$1+1,O379,P379,Q379)</f>
        <v>SD-6 Número de  condiciones de la atención integrada en la comunidad de enfermedades infantiles tratadas en niños menores de 5 años en áreas objetivo durante el período de informes</v>
      </c>
      <c r="C379" s="156">
        <f t="shared" si="12"/>
        <v>3</v>
      </c>
      <c r="D379" s="156" t="str">
        <f t="shared" si="13"/>
        <v>SD-6 Número de  condiciones de la atención integrada en la comunidad de enfermedades infantiles tratadas en niños menores de 5 años en áreas objetivo durante el período de informes-3</v>
      </c>
      <c r="E379" s="156" t="str">
        <f>CHOOSE(Translations!$C$1+1,I379,J379,K379)</f>
        <v>Condición GICC</v>
      </c>
      <c r="F379" s="156" t="str">
        <f>CHOOSE(Translations!$C$1+1,L379,M379,N379)</f>
        <v>Malaria</v>
      </c>
      <c r="G379" s="156" t="s">
        <v>2758</v>
      </c>
      <c r="H379" s="157" t="s">
        <v>2759</v>
      </c>
      <c r="I379" s="157" t="s">
        <v>2740</v>
      </c>
      <c r="J379" s="157" t="s">
        <v>2741</v>
      </c>
      <c r="K379" s="157" t="s">
        <v>2742</v>
      </c>
      <c r="L379" s="157" t="s">
        <v>2760</v>
      </c>
      <c r="M379" s="157" t="s">
        <v>2761</v>
      </c>
      <c r="N379" s="157" t="s">
        <v>2760</v>
      </c>
      <c r="O379" s="157" t="s">
        <v>2745</v>
      </c>
      <c r="P379" s="157" t="s">
        <v>2746</v>
      </c>
      <c r="Q379" s="157" t="s">
        <v>2747</v>
      </c>
    </row>
    <row r="380" spans="1:17" s="9" customFormat="1" x14ac:dyDescent="0.25">
      <c r="A380" s="156" t="s">
        <v>2762</v>
      </c>
      <c r="B380" s="156" t="str">
        <f>CHOOSE(Translations!$C$1+1,O380,P380,Q380)</f>
        <v>TB/HIV-3.1a Porcentaje de personas que viven con VIH que iniciaron TARV que se han sometido a un tamizaje de TB</v>
      </c>
      <c r="C380" s="156">
        <f t="shared" si="12"/>
        <v>0</v>
      </c>
      <c r="D380" s="156" t="str">
        <f t="shared" si="13"/>
        <v>TB/HIV-3.1a Porcentaje de personas que viven con VIH que iniciaron TARV que se han sometido a un tamizaje de TB-0</v>
      </c>
      <c r="E380" s="156" t="str">
        <f>CHOOSE(Translations!$C$1+1,I380,J380,K380)</f>
        <v>Género</v>
      </c>
      <c r="F380" s="156" t="str">
        <f>CHOOSE(Translations!$C$1+1,L380,M380,N380)</f>
        <v>Mujeres</v>
      </c>
      <c r="G380" s="156" t="s">
        <v>2763</v>
      </c>
      <c r="H380" s="157" t="s">
        <v>2764</v>
      </c>
      <c r="I380" s="157" t="s">
        <v>1450</v>
      </c>
      <c r="J380" s="157" t="s">
        <v>1451</v>
      </c>
      <c r="K380" s="157" t="s">
        <v>1452</v>
      </c>
      <c r="L380" s="157" t="s">
        <v>1453</v>
      </c>
      <c r="M380" s="157" t="s">
        <v>1454</v>
      </c>
      <c r="N380" s="157" t="s">
        <v>1455</v>
      </c>
      <c r="O380" s="157" t="s">
        <v>2765</v>
      </c>
      <c r="P380" s="157" t="s">
        <v>2766</v>
      </c>
      <c r="Q380" s="157" t="s">
        <v>2767</v>
      </c>
    </row>
    <row r="381" spans="1:17" s="9" customFormat="1" x14ac:dyDescent="0.25">
      <c r="A381" s="156" t="s">
        <v>2762</v>
      </c>
      <c r="B381" s="156" t="str">
        <f>CHOOSE(Translations!$C$1+1,O381,P381,Q381)</f>
        <v>TB/HIV-3.1a Porcentaje de personas que viven con VIH que iniciaron TARV que se han sometido a un tamizaje de TB</v>
      </c>
      <c r="C381" s="156">
        <f t="shared" si="12"/>
        <v>1</v>
      </c>
      <c r="D381" s="156" t="str">
        <f t="shared" si="13"/>
        <v>TB/HIV-3.1a Porcentaje de personas que viven con VIH que iniciaron TARV que se han sometido a un tamizaje de TB-1</v>
      </c>
      <c r="E381" s="156" t="str">
        <f>CHOOSE(Translations!$C$1+1,I381,J381,K381)</f>
        <v>Género</v>
      </c>
      <c r="F381" s="156" t="str">
        <f>CHOOSE(Translations!$C$1+1,L381,M381,N381)</f>
        <v>Hombres</v>
      </c>
      <c r="G381" s="156" t="s">
        <v>2768</v>
      </c>
      <c r="H381" s="157" t="s">
        <v>2769</v>
      </c>
      <c r="I381" s="157" t="s">
        <v>1450</v>
      </c>
      <c r="J381" s="157" t="s">
        <v>1451</v>
      </c>
      <c r="K381" s="157" t="s">
        <v>1452</v>
      </c>
      <c r="L381" s="157" t="s">
        <v>1458</v>
      </c>
      <c r="M381" s="157" t="s">
        <v>1459</v>
      </c>
      <c r="N381" s="157" t="s">
        <v>1460</v>
      </c>
      <c r="O381" s="157" t="s">
        <v>2765</v>
      </c>
      <c r="P381" s="157" t="s">
        <v>2766</v>
      </c>
      <c r="Q381" s="157" t="s">
        <v>2767</v>
      </c>
    </row>
    <row r="382" spans="1:17" s="9" customFormat="1" x14ac:dyDescent="0.25">
      <c r="A382" s="156" t="s">
        <v>2762</v>
      </c>
      <c r="B382" s="156" t="str">
        <f>CHOOSE(Translations!$C$1+1,O382,P382,Q382)</f>
        <v>TB/HIV-3.1a Porcentaje de personas que viven con VIH que iniciaron TARV que se han sometido a un tamizaje de TB</v>
      </c>
      <c r="C382" s="156">
        <f t="shared" si="12"/>
        <v>2</v>
      </c>
      <c r="D382" s="156" t="str">
        <f t="shared" si="13"/>
        <v>TB/HIV-3.1a Porcentaje de personas que viven con VIH que iniciaron TARV que se han sometido a un tamizaje de TB-2</v>
      </c>
      <c r="E382" s="156" t="str">
        <f>CHOOSE(Translations!$C$1+1,I382,J382,K382)</f>
        <v>Edad</v>
      </c>
      <c r="F382" s="156" t="str">
        <f>CHOOSE(Translations!$C$1+1,L382,M382,N382)</f>
        <v>15+</v>
      </c>
      <c r="G382" s="156" t="s">
        <v>2770</v>
      </c>
      <c r="H382" s="157" t="s">
        <v>2771</v>
      </c>
      <c r="I382" s="157" t="s">
        <v>1463</v>
      </c>
      <c r="J382" s="157" t="s">
        <v>1463</v>
      </c>
      <c r="K382" s="157" t="s">
        <v>1464</v>
      </c>
      <c r="L382" s="157" t="s">
        <v>1465</v>
      </c>
      <c r="M382" s="157" t="s">
        <v>1465</v>
      </c>
      <c r="N382" s="157" t="s">
        <v>1465</v>
      </c>
      <c r="O382" s="157" t="s">
        <v>2765</v>
      </c>
      <c r="P382" s="157" t="s">
        <v>2766</v>
      </c>
      <c r="Q382" s="157" t="s">
        <v>2767</v>
      </c>
    </row>
    <row r="383" spans="1:17" s="9" customFormat="1" x14ac:dyDescent="0.25">
      <c r="A383" s="156" t="s">
        <v>2762</v>
      </c>
      <c r="B383" s="156" t="str">
        <f>CHOOSE(Translations!$C$1+1,O383,P383,Q383)</f>
        <v>TB/HIV-3.1a Porcentaje de personas que viven con VIH que iniciaron TARV que se han sometido a un tamizaje de TB</v>
      </c>
      <c r="C383" s="156">
        <f t="shared" si="12"/>
        <v>3</v>
      </c>
      <c r="D383" s="156" t="str">
        <f t="shared" si="13"/>
        <v>TB/HIV-3.1a Porcentaje de personas que viven con VIH que iniciaron TARV que se han sometido a un tamizaje de TB-3</v>
      </c>
      <c r="E383" s="156" t="str">
        <f>CHOOSE(Translations!$C$1+1,I383,J383,K383)</f>
        <v>Edad</v>
      </c>
      <c r="F383" s="156" t="str">
        <f>CHOOSE(Translations!$C$1+1,L383,M383,N383)</f>
        <v>5-14</v>
      </c>
      <c r="G383" s="156" t="s">
        <v>2772</v>
      </c>
      <c r="H383" s="157" t="s">
        <v>2773</v>
      </c>
      <c r="I383" s="157" t="s">
        <v>1463</v>
      </c>
      <c r="J383" s="157" t="s">
        <v>1463</v>
      </c>
      <c r="K383" s="157" t="s">
        <v>1464</v>
      </c>
      <c r="L383" s="157" t="s">
        <v>1509</v>
      </c>
      <c r="M383" s="157" t="s">
        <v>1509</v>
      </c>
      <c r="N383" s="157" t="s">
        <v>1509</v>
      </c>
      <c r="O383" s="157" t="s">
        <v>2765</v>
      </c>
      <c r="P383" s="157" t="s">
        <v>2766</v>
      </c>
      <c r="Q383" s="157" t="s">
        <v>2767</v>
      </c>
    </row>
    <row r="384" spans="1:17" s="9" customFormat="1" x14ac:dyDescent="0.25">
      <c r="A384" s="156" t="s">
        <v>2762</v>
      </c>
      <c r="B384" s="156" t="str">
        <f>CHOOSE(Translations!$C$1+1,O384,P384,Q384)</f>
        <v>TB/HIV-3.1a Porcentaje de personas que viven con VIH que iniciaron TARV que se han sometido a un tamizaje de TB</v>
      </c>
      <c r="C384" s="156">
        <f t="shared" si="12"/>
        <v>4</v>
      </c>
      <c r="D384" s="156" t="str">
        <f t="shared" si="13"/>
        <v>TB/HIV-3.1a Porcentaje de personas que viven con VIH que iniciaron TARV que se han sometido a un tamizaje de TB-4</v>
      </c>
      <c r="E384" s="156" t="str">
        <f>CHOOSE(Translations!$C$1+1,I384,J384,K384)</f>
        <v>Edad</v>
      </c>
      <c r="F384" s="156" t="str">
        <f>CHOOSE(Translations!$C$1+1,L384,M384,N384)</f>
        <v>&lt;5</v>
      </c>
      <c r="G384" s="156" t="s">
        <v>2774</v>
      </c>
      <c r="H384" s="157" t="s">
        <v>2775</v>
      </c>
      <c r="I384" s="157" t="s">
        <v>1463</v>
      </c>
      <c r="J384" s="157" t="s">
        <v>1463</v>
      </c>
      <c r="K384" s="157" t="s">
        <v>1464</v>
      </c>
      <c r="L384" s="157" t="s">
        <v>1512</v>
      </c>
      <c r="M384" s="157" t="s">
        <v>1512</v>
      </c>
      <c r="N384" s="157" t="s">
        <v>1512</v>
      </c>
      <c r="O384" s="157" t="s">
        <v>2765</v>
      </c>
      <c r="P384" s="157" t="s">
        <v>2766</v>
      </c>
      <c r="Q384" s="157" t="s">
        <v>2767</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xr:uid="{00000000-0002-0000-0F00-000000000000}">
      <formula1>""</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D1:R1815"/>
  <sheetViews>
    <sheetView topLeftCell="B1" workbookViewId="0">
      <selection activeCell="I4" sqref="I4"/>
    </sheetView>
  </sheetViews>
  <sheetFormatPr defaultColWidth="8.58203125" defaultRowHeight="12.5" x14ac:dyDescent="0.25"/>
  <cols>
    <col min="1" max="3" width="8.58203125" style="9"/>
    <col min="4" max="4" width="20.58203125" style="9" bestFit="1" customWidth="1"/>
    <col min="5" max="5" width="22.08203125" style="9" bestFit="1" customWidth="1"/>
    <col min="6" max="6" width="18.58203125" style="9" bestFit="1" customWidth="1"/>
    <col min="7" max="7" width="8.58203125" style="9"/>
    <col min="8" max="8" width="8.58203125" style="9" bestFit="1" customWidth="1"/>
    <col min="9" max="9" width="13" style="9" bestFit="1" customWidth="1"/>
    <col min="10" max="10" width="38.58203125" style="9" bestFit="1" customWidth="1"/>
    <col min="11" max="11" width="12.58203125" style="9" bestFit="1" customWidth="1"/>
    <col min="12" max="12" width="12.08203125" style="9" bestFit="1" customWidth="1"/>
    <col min="13" max="13" width="14" style="9" bestFit="1" customWidth="1"/>
    <col min="14" max="14" width="9.58203125" style="9" bestFit="1" customWidth="1"/>
    <col min="15" max="15" width="9.08203125" style="9" bestFit="1" customWidth="1"/>
    <col min="16" max="16384" width="8.58203125" style="9"/>
  </cols>
  <sheetData>
    <row r="1" spans="4:18" ht="13" x14ac:dyDescent="0.3">
      <c r="D1" s="6" t="s">
        <v>156</v>
      </c>
    </row>
    <row r="2" spans="4:18" x14ac:dyDescent="0.25">
      <c r="D2" s="156" t="s">
        <v>151</v>
      </c>
      <c r="E2" s="156" t="s">
        <v>153</v>
      </c>
      <c r="F2" s="156" t="s">
        <v>95</v>
      </c>
      <c r="G2" s="156"/>
      <c r="H2" s="156" t="s">
        <v>34</v>
      </c>
      <c r="I2" s="156" t="s">
        <v>27</v>
      </c>
      <c r="J2" s="156" t="s">
        <v>155</v>
      </c>
      <c r="K2" s="156" t="s">
        <v>28</v>
      </c>
      <c r="L2" s="156" t="s">
        <v>29</v>
      </c>
      <c r="M2" s="156" t="s">
        <v>18</v>
      </c>
      <c r="N2" s="156" t="s">
        <v>9</v>
      </c>
      <c r="O2" s="156" t="s">
        <v>48</v>
      </c>
      <c r="P2" s="156" t="s">
        <v>3</v>
      </c>
      <c r="Q2" s="156" t="s">
        <v>2</v>
      </c>
      <c r="R2" s="156" t="s">
        <v>4</v>
      </c>
    </row>
    <row r="3" spans="4:18" hidden="1" x14ac:dyDescent="0.25">
      <c r="D3" s="157" t="s">
        <v>150</v>
      </c>
      <c r="E3" s="156" t="s">
        <v>152</v>
      </c>
      <c r="F3" s="157" t="s">
        <v>154</v>
      </c>
      <c r="G3" s="156"/>
      <c r="H3" s="157" t="s">
        <v>77</v>
      </c>
      <c r="I3" s="157" t="s">
        <v>76</v>
      </c>
      <c r="J3" s="156" t="str">
        <f>F3&amp;H3&amp;I3</f>
        <v>[Impact Indicator Name][Category][Disaggregation]</v>
      </c>
      <c r="K3" s="157" t="s">
        <v>40</v>
      </c>
      <c r="L3" s="157" t="s">
        <v>41</v>
      </c>
      <c r="M3" s="157" t="s">
        <v>42</v>
      </c>
      <c r="N3" s="157" t="s">
        <v>69</v>
      </c>
      <c r="O3" s="156" t="s">
        <v>47</v>
      </c>
      <c r="P3" s="163" t="s">
        <v>57</v>
      </c>
      <c r="Q3" s="494" t="s">
        <v>56</v>
      </c>
      <c r="R3" s="162" t="s">
        <v>168</v>
      </c>
    </row>
    <row r="4" spans="4:18" x14ac:dyDescent="0.25">
      <c r="D4" s="157" t="s">
        <v>4035</v>
      </c>
      <c r="E4" s="156" t="s">
        <v>4036</v>
      </c>
      <c r="F4" s="157" t="s">
        <v>1517</v>
      </c>
      <c r="G4" s="156"/>
      <c r="H4" s="157" t="s">
        <v>1463</v>
      </c>
      <c r="I4" s="157" t="s">
        <v>1516</v>
      </c>
      <c r="J4" s="156" t="str">
        <f t="shared" ref="J4:J67" si="0">F4&amp;H4&amp;I4</f>
        <v>HIV I-9a⁽ᴹ⁾ Percentage of men who have sex with men who are living with HIVAge25+</v>
      </c>
      <c r="K4" s="157"/>
      <c r="L4" s="157" t="s">
        <v>1032</v>
      </c>
      <c r="M4" s="157"/>
      <c r="N4" s="157" t="s">
        <v>4037</v>
      </c>
      <c r="O4" s="156" t="s">
        <v>4038</v>
      </c>
      <c r="P4" s="163"/>
      <c r="Q4" s="494"/>
      <c r="R4" s="162"/>
    </row>
    <row r="5" spans="4:18" x14ac:dyDescent="0.25">
      <c r="D5" s="157" t="s">
        <v>4039</v>
      </c>
      <c r="E5" s="156" t="s">
        <v>4036</v>
      </c>
      <c r="F5" s="157" t="s">
        <v>1517</v>
      </c>
      <c r="G5" s="156"/>
      <c r="H5" s="157" t="s">
        <v>1463</v>
      </c>
      <c r="I5" s="157" t="s">
        <v>1522</v>
      </c>
      <c r="J5" s="156" t="str">
        <f t="shared" si="0"/>
        <v>HIV I-9a⁽ᴹ⁾ Percentage of men who have sex with men who are living with HIVAge&lt;25</v>
      </c>
      <c r="K5" s="157"/>
      <c r="L5" s="157" t="s">
        <v>1032</v>
      </c>
      <c r="M5" s="157"/>
      <c r="N5" s="157" t="s">
        <v>4037</v>
      </c>
      <c r="O5" s="156" t="s">
        <v>4040</v>
      </c>
      <c r="P5" s="163"/>
      <c r="Q5" s="494"/>
      <c r="R5" s="162"/>
    </row>
    <row r="6" spans="4:18" x14ac:dyDescent="0.25">
      <c r="D6" s="157" t="s">
        <v>4041</v>
      </c>
      <c r="E6" s="156" t="s">
        <v>4036</v>
      </c>
      <c r="F6" s="157" t="s">
        <v>1517</v>
      </c>
      <c r="G6" s="156"/>
      <c r="H6" s="157"/>
      <c r="I6" s="157"/>
      <c r="J6" s="156" t="str">
        <f t="shared" si="0"/>
        <v>HIV I-9a⁽ᴹ⁾ Percentage of men who have sex with men who are living with HIV</v>
      </c>
      <c r="K6" s="157"/>
      <c r="L6" s="157"/>
      <c r="M6" s="157"/>
      <c r="N6" s="157"/>
      <c r="O6" s="156" t="s">
        <v>4042</v>
      </c>
      <c r="P6" s="163"/>
      <c r="Q6" s="494"/>
      <c r="R6" s="162"/>
    </row>
    <row r="7" spans="4:18" x14ac:dyDescent="0.25">
      <c r="D7" s="157" t="s">
        <v>4043</v>
      </c>
      <c r="E7" s="156" t="s">
        <v>4036</v>
      </c>
      <c r="F7" s="157" t="s">
        <v>1517</v>
      </c>
      <c r="G7" s="156"/>
      <c r="H7" s="157"/>
      <c r="I7" s="157"/>
      <c r="J7" s="156" t="str">
        <f t="shared" si="0"/>
        <v>HIV I-9a⁽ᴹ⁾ Percentage of men who have sex with men who are living with HIV</v>
      </c>
      <c r="K7" s="157"/>
      <c r="L7" s="157"/>
      <c r="M7" s="157"/>
      <c r="N7" s="157"/>
      <c r="O7" s="156" t="s">
        <v>4044</v>
      </c>
      <c r="P7" s="163"/>
      <c r="Q7" s="494"/>
      <c r="R7" s="162"/>
    </row>
    <row r="8" spans="4:18" x14ac:dyDescent="0.25">
      <c r="D8" s="157" t="s">
        <v>4045</v>
      </c>
      <c r="E8" s="156" t="s">
        <v>4036</v>
      </c>
      <c r="F8" s="157" t="s">
        <v>1517</v>
      </c>
      <c r="G8" s="156"/>
      <c r="H8" s="157"/>
      <c r="I8" s="157"/>
      <c r="J8" s="156" t="str">
        <f t="shared" si="0"/>
        <v>HIV I-9a⁽ᴹ⁾ Percentage of men who have sex with men who are living with HIV</v>
      </c>
      <c r="K8" s="157"/>
      <c r="L8" s="157"/>
      <c r="M8" s="157"/>
      <c r="N8" s="157"/>
      <c r="O8" s="156" t="s">
        <v>4046</v>
      </c>
      <c r="P8" s="163"/>
      <c r="Q8" s="494"/>
      <c r="R8" s="162"/>
    </row>
    <row r="9" spans="4:18" x14ac:dyDescent="0.25">
      <c r="D9" s="157" t="s">
        <v>4047</v>
      </c>
      <c r="E9" s="156" t="s">
        <v>4036</v>
      </c>
      <c r="F9" s="157" t="s">
        <v>1517</v>
      </c>
      <c r="G9" s="156"/>
      <c r="H9" s="157"/>
      <c r="I9" s="157"/>
      <c r="J9" s="156" t="str">
        <f t="shared" si="0"/>
        <v>HIV I-9a⁽ᴹ⁾ Percentage of men who have sex with men who are living with HIV</v>
      </c>
      <c r="K9" s="157"/>
      <c r="L9" s="157"/>
      <c r="M9" s="157"/>
      <c r="N9" s="157"/>
      <c r="O9" s="156" t="s">
        <v>4048</v>
      </c>
      <c r="P9" s="163"/>
      <c r="Q9" s="494"/>
      <c r="R9" s="162"/>
    </row>
    <row r="10" spans="4:18" x14ac:dyDescent="0.25">
      <c r="D10" s="157" t="s">
        <v>4049</v>
      </c>
      <c r="E10" s="156" t="s">
        <v>4036</v>
      </c>
      <c r="F10" s="157" t="s">
        <v>1517</v>
      </c>
      <c r="G10" s="156"/>
      <c r="H10" s="157"/>
      <c r="I10" s="157"/>
      <c r="J10" s="156" t="str">
        <f t="shared" si="0"/>
        <v>HIV I-9a⁽ᴹ⁾ Percentage of men who have sex with men who are living with HIV</v>
      </c>
      <c r="K10" s="157"/>
      <c r="L10" s="157"/>
      <c r="M10" s="157"/>
      <c r="N10" s="157"/>
      <c r="O10" s="156" t="s">
        <v>4050</v>
      </c>
      <c r="P10" s="163"/>
      <c r="Q10" s="494"/>
      <c r="R10" s="162"/>
    </row>
    <row r="11" spans="4:18" x14ac:dyDescent="0.25">
      <c r="D11" s="157" t="s">
        <v>4051</v>
      </c>
      <c r="E11" s="156" t="s">
        <v>4036</v>
      </c>
      <c r="F11" s="157" t="s">
        <v>1517</v>
      </c>
      <c r="G11" s="156"/>
      <c r="H11" s="157"/>
      <c r="I11" s="157"/>
      <c r="J11" s="156" t="str">
        <f t="shared" si="0"/>
        <v>HIV I-9a⁽ᴹ⁾ Percentage of men who have sex with men who are living with HIV</v>
      </c>
      <c r="K11" s="157"/>
      <c r="L11" s="157"/>
      <c r="M11" s="157"/>
      <c r="N11" s="157"/>
      <c r="O11" s="156" t="s">
        <v>4052</v>
      </c>
      <c r="P11" s="163"/>
      <c r="Q11" s="494"/>
      <c r="R11" s="162"/>
    </row>
    <row r="12" spans="4:18" x14ac:dyDescent="0.25">
      <c r="D12" s="157" t="s">
        <v>4053</v>
      </c>
      <c r="E12" s="156" t="s">
        <v>4036</v>
      </c>
      <c r="F12" s="157" t="s">
        <v>1517</v>
      </c>
      <c r="G12" s="156"/>
      <c r="H12" s="157"/>
      <c r="I12" s="157"/>
      <c r="J12" s="156" t="str">
        <f t="shared" si="0"/>
        <v>HIV I-9a⁽ᴹ⁾ Percentage of men who have sex with men who are living with HIV</v>
      </c>
      <c r="K12" s="157"/>
      <c r="L12" s="157"/>
      <c r="M12" s="157"/>
      <c r="N12" s="157"/>
      <c r="O12" s="156" t="s">
        <v>4054</v>
      </c>
      <c r="P12" s="163"/>
      <c r="Q12" s="494"/>
      <c r="R12" s="162"/>
    </row>
    <row r="13" spans="4:18" x14ac:dyDescent="0.25">
      <c r="D13" s="157" t="s">
        <v>4055</v>
      </c>
      <c r="E13" s="156" t="s">
        <v>4036</v>
      </c>
      <c r="F13" s="157" t="s">
        <v>1517</v>
      </c>
      <c r="G13" s="156"/>
      <c r="H13" s="157"/>
      <c r="I13" s="157"/>
      <c r="J13" s="156" t="str">
        <f t="shared" si="0"/>
        <v>HIV I-9a⁽ᴹ⁾ Percentage of men who have sex with men who are living with HIV</v>
      </c>
      <c r="K13" s="157"/>
      <c r="L13" s="157"/>
      <c r="M13" s="157"/>
      <c r="N13" s="157"/>
      <c r="O13" s="156" t="s">
        <v>4056</v>
      </c>
      <c r="P13" s="163"/>
      <c r="Q13" s="494"/>
      <c r="R13" s="162"/>
    </row>
    <row r="14" spans="4:18" x14ac:dyDescent="0.25">
      <c r="D14" s="157" t="s">
        <v>4057</v>
      </c>
      <c r="E14" s="156" t="s">
        <v>4058</v>
      </c>
      <c r="F14" s="157" t="s">
        <v>1526</v>
      </c>
      <c r="G14" s="156"/>
      <c r="H14" s="157" t="s">
        <v>1463</v>
      </c>
      <c r="I14" s="157" t="s">
        <v>1516</v>
      </c>
      <c r="J14" s="156" t="str">
        <f t="shared" si="0"/>
        <v>HIV I-9b⁽ᴹ⁾ Percentage of transgender people who are living with HIVAge25+</v>
      </c>
      <c r="K14" s="157"/>
      <c r="L14" s="157" t="s">
        <v>1032</v>
      </c>
      <c r="M14" s="157"/>
      <c r="N14" s="157" t="s">
        <v>4059</v>
      </c>
      <c r="O14" s="156" t="s">
        <v>4060</v>
      </c>
      <c r="P14" s="163"/>
      <c r="Q14" s="494"/>
      <c r="R14" s="162">
        <v>37</v>
      </c>
    </row>
    <row r="15" spans="4:18" x14ac:dyDescent="0.25">
      <c r="D15" s="157" t="s">
        <v>4061</v>
      </c>
      <c r="E15" s="156" t="s">
        <v>4058</v>
      </c>
      <c r="F15" s="157" t="s">
        <v>1526</v>
      </c>
      <c r="G15" s="156"/>
      <c r="H15" s="157" t="s">
        <v>1463</v>
      </c>
      <c r="I15" s="157" t="s">
        <v>1522</v>
      </c>
      <c r="J15" s="156" t="str">
        <f t="shared" si="0"/>
        <v>HIV I-9b⁽ᴹ⁾ Percentage of transgender people who are living with HIVAge&lt;25</v>
      </c>
      <c r="K15" s="157"/>
      <c r="L15" s="157" t="s">
        <v>1032</v>
      </c>
      <c r="M15" s="157"/>
      <c r="N15" s="157" t="s">
        <v>4059</v>
      </c>
      <c r="O15" s="156" t="s">
        <v>4062</v>
      </c>
      <c r="P15" s="163"/>
      <c r="Q15" s="494"/>
      <c r="R15" s="162"/>
    </row>
    <row r="16" spans="4:18" x14ac:dyDescent="0.25">
      <c r="D16" s="157" t="s">
        <v>4063</v>
      </c>
      <c r="E16" s="156" t="s">
        <v>4058</v>
      </c>
      <c r="F16" s="157" t="s">
        <v>1526</v>
      </c>
      <c r="G16" s="156"/>
      <c r="H16" s="157"/>
      <c r="I16" s="157"/>
      <c r="J16" s="156" t="str">
        <f t="shared" si="0"/>
        <v>HIV I-9b⁽ᴹ⁾ Percentage of transgender people who are living with HIV</v>
      </c>
      <c r="K16" s="157"/>
      <c r="L16" s="157"/>
      <c r="M16" s="157"/>
      <c r="N16" s="157"/>
      <c r="O16" s="156" t="s">
        <v>4064</v>
      </c>
      <c r="P16" s="163"/>
      <c r="Q16" s="494"/>
      <c r="R16" s="162"/>
    </row>
    <row r="17" spans="4:18" x14ac:dyDescent="0.25">
      <c r="D17" s="157" t="s">
        <v>4065</v>
      </c>
      <c r="E17" s="156" t="s">
        <v>4058</v>
      </c>
      <c r="F17" s="157" t="s">
        <v>1526</v>
      </c>
      <c r="G17" s="156"/>
      <c r="H17" s="157"/>
      <c r="I17" s="157"/>
      <c r="J17" s="156" t="str">
        <f t="shared" si="0"/>
        <v>HIV I-9b⁽ᴹ⁾ Percentage of transgender people who are living with HIV</v>
      </c>
      <c r="K17" s="157"/>
      <c r="L17" s="157"/>
      <c r="M17" s="157"/>
      <c r="N17" s="157"/>
      <c r="O17" s="156" t="s">
        <v>4066</v>
      </c>
      <c r="P17" s="163"/>
      <c r="Q17" s="494"/>
      <c r="R17" s="162"/>
    </row>
    <row r="18" spans="4:18" x14ac:dyDescent="0.25">
      <c r="D18" s="157" t="s">
        <v>4067</v>
      </c>
      <c r="E18" s="156" t="s">
        <v>4058</v>
      </c>
      <c r="F18" s="157" t="s">
        <v>1526</v>
      </c>
      <c r="G18" s="156"/>
      <c r="H18" s="157"/>
      <c r="I18" s="157"/>
      <c r="J18" s="156" t="str">
        <f t="shared" si="0"/>
        <v>HIV I-9b⁽ᴹ⁾ Percentage of transgender people who are living with HIV</v>
      </c>
      <c r="K18" s="157"/>
      <c r="L18" s="157"/>
      <c r="M18" s="157"/>
      <c r="N18" s="157"/>
      <c r="O18" s="156" t="s">
        <v>4068</v>
      </c>
      <c r="P18" s="163"/>
      <c r="Q18" s="494"/>
      <c r="R18" s="162"/>
    </row>
    <row r="19" spans="4:18" x14ac:dyDescent="0.25">
      <c r="D19" s="157" t="s">
        <v>4069</v>
      </c>
      <c r="E19" s="156" t="s">
        <v>4058</v>
      </c>
      <c r="F19" s="157" t="s">
        <v>1526</v>
      </c>
      <c r="G19" s="156"/>
      <c r="H19" s="157"/>
      <c r="I19" s="157"/>
      <c r="J19" s="156" t="str">
        <f t="shared" si="0"/>
        <v>HIV I-9b⁽ᴹ⁾ Percentage of transgender people who are living with HIV</v>
      </c>
      <c r="K19" s="157"/>
      <c r="L19" s="157"/>
      <c r="M19" s="157"/>
      <c r="N19" s="157"/>
      <c r="O19" s="156" t="s">
        <v>4070</v>
      </c>
      <c r="P19" s="163"/>
      <c r="Q19" s="494"/>
      <c r="R19" s="162"/>
    </row>
    <row r="20" spans="4:18" x14ac:dyDescent="0.25">
      <c r="D20" s="157" t="s">
        <v>4071</v>
      </c>
      <c r="E20" s="156" t="s">
        <v>4058</v>
      </c>
      <c r="F20" s="157" t="s">
        <v>1526</v>
      </c>
      <c r="G20" s="156"/>
      <c r="H20" s="157"/>
      <c r="I20" s="157"/>
      <c r="J20" s="156" t="str">
        <f t="shared" si="0"/>
        <v>HIV I-9b⁽ᴹ⁾ Percentage of transgender people who are living with HIV</v>
      </c>
      <c r="K20" s="157"/>
      <c r="L20" s="157"/>
      <c r="M20" s="157"/>
      <c r="N20" s="157"/>
      <c r="O20" s="156" t="s">
        <v>4072</v>
      </c>
      <c r="P20" s="163"/>
      <c r="Q20" s="494"/>
      <c r="R20" s="162"/>
    </row>
    <row r="21" spans="4:18" x14ac:dyDescent="0.25">
      <c r="D21" s="157" t="s">
        <v>4073</v>
      </c>
      <c r="E21" s="156" t="s">
        <v>4058</v>
      </c>
      <c r="F21" s="157" t="s">
        <v>1526</v>
      </c>
      <c r="G21" s="156"/>
      <c r="H21" s="157"/>
      <c r="I21" s="157"/>
      <c r="J21" s="156" t="str">
        <f t="shared" si="0"/>
        <v>HIV I-9b⁽ᴹ⁾ Percentage of transgender people who are living with HIV</v>
      </c>
      <c r="K21" s="157"/>
      <c r="L21" s="157"/>
      <c r="M21" s="157"/>
      <c r="N21" s="157"/>
      <c r="O21" s="156" t="s">
        <v>4074</v>
      </c>
      <c r="P21" s="163"/>
      <c r="Q21" s="494"/>
      <c r="R21" s="162"/>
    </row>
    <row r="22" spans="4:18" x14ac:dyDescent="0.25">
      <c r="D22" s="157" t="s">
        <v>4075</v>
      </c>
      <c r="E22" s="156" t="s">
        <v>4058</v>
      </c>
      <c r="F22" s="157" t="s">
        <v>1526</v>
      </c>
      <c r="G22" s="156"/>
      <c r="H22" s="157"/>
      <c r="I22" s="157"/>
      <c r="J22" s="156" t="str">
        <f t="shared" si="0"/>
        <v>HIV I-9b⁽ᴹ⁾ Percentage of transgender people who are living with HIV</v>
      </c>
      <c r="K22" s="157"/>
      <c r="L22" s="157"/>
      <c r="M22" s="157"/>
      <c r="N22" s="157"/>
      <c r="O22" s="156" t="s">
        <v>4076</v>
      </c>
      <c r="P22" s="163"/>
      <c r="Q22" s="494"/>
      <c r="R22" s="162"/>
    </row>
    <row r="23" spans="4:18" x14ac:dyDescent="0.25">
      <c r="D23" s="157" t="s">
        <v>4077</v>
      </c>
      <c r="E23" s="156" t="s">
        <v>4058</v>
      </c>
      <c r="F23" s="157" t="s">
        <v>1526</v>
      </c>
      <c r="G23" s="156"/>
      <c r="H23" s="157"/>
      <c r="I23" s="157"/>
      <c r="J23" s="156" t="str">
        <f t="shared" si="0"/>
        <v>HIV I-9b⁽ᴹ⁾ Percentage of transgender people who are living with HIV</v>
      </c>
      <c r="K23" s="157"/>
      <c r="L23" s="157"/>
      <c r="M23" s="157"/>
      <c r="N23" s="157"/>
      <c r="O23" s="156" t="s">
        <v>4078</v>
      </c>
      <c r="P23" s="163"/>
      <c r="Q23" s="494"/>
      <c r="R23" s="162"/>
    </row>
    <row r="24" spans="4:18" x14ac:dyDescent="0.25">
      <c r="D24" s="157" t="s">
        <v>4079</v>
      </c>
      <c r="E24" s="156" t="s">
        <v>4080</v>
      </c>
      <c r="F24" s="157"/>
      <c r="G24" s="156"/>
      <c r="H24" s="157"/>
      <c r="I24" s="157"/>
      <c r="J24" s="156" t="str">
        <f t="shared" si="0"/>
        <v/>
      </c>
      <c r="K24" s="157"/>
      <c r="L24" s="157"/>
      <c r="M24" s="157"/>
      <c r="N24" s="157"/>
      <c r="O24" s="156" t="s">
        <v>4081</v>
      </c>
      <c r="P24" s="163"/>
      <c r="Q24" s="494"/>
      <c r="R24" s="162"/>
    </row>
    <row r="25" spans="4:18" x14ac:dyDescent="0.25">
      <c r="D25" s="157" t="s">
        <v>4082</v>
      </c>
      <c r="E25" s="156" t="s">
        <v>4080</v>
      </c>
      <c r="F25" s="157"/>
      <c r="G25" s="156"/>
      <c r="H25" s="157"/>
      <c r="I25" s="157"/>
      <c r="J25" s="156" t="str">
        <f t="shared" si="0"/>
        <v/>
      </c>
      <c r="K25" s="157"/>
      <c r="L25" s="157" t="s">
        <v>1032</v>
      </c>
      <c r="M25" s="157"/>
      <c r="N25" s="157"/>
      <c r="O25" s="156" t="s">
        <v>4083</v>
      </c>
      <c r="P25" s="163"/>
      <c r="Q25" s="494"/>
      <c r="R25" s="162"/>
    </row>
    <row r="26" spans="4:18" x14ac:dyDescent="0.25">
      <c r="D26" s="157" t="s">
        <v>4084</v>
      </c>
      <c r="E26" s="156" t="s">
        <v>4080</v>
      </c>
      <c r="F26" s="157"/>
      <c r="G26" s="156"/>
      <c r="H26" s="157"/>
      <c r="I26" s="157"/>
      <c r="J26" s="156" t="str">
        <f t="shared" si="0"/>
        <v/>
      </c>
      <c r="K26" s="157"/>
      <c r="L26" s="157"/>
      <c r="M26" s="157"/>
      <c r="N26" s="157"/>
      <c r="O26" s="156" t="s">
        <v>4085</v>
      </c>
      <c r="P26" s="163"/>
      <c r="Q26" s="494"/>
      <c r="R26" s="162"/>
    </row>
    <row r="27" spans="4:18" x14ac:dyDescent="0.25">
      <c r="D27" s="157" t="s">
        <v>4086</v>
      </c>
      <c r="E27" s="156" t="s">
        <v>4080</v>
      </c>
      <c r="F27" s="157"/>
      <c r="G27" s="156"/>
      <c r="H27" s="157"/>
      <c r="I27" s="157"/>
      <c r="J27" s="156" t="str">
        <f t="shared" si="0"/>
        <v/>
      </c>
      <c r="K27" s="157"/>
      <c r="L27" s="157" t="s">
        <v>1032</v>
      </c>
      <c r="M27" s="157"/>
      <c r="N27" s="157"/>
      <c r="O27" s="156" t="s">
        <v>4087</v>
      </c>
      <c r="P27" s="163"/>
      <c r="Q27" s="494"/>
      <c r="R27" s="162"/>
    </row>
    <row r="28" spans="4:18" x14ac:dyDescent="0.25">
      <c r="D28" s="157" t="s">
        <v>4088</v>
      </c>
      <c r="E28" s="156" t="s">
        <v>4080</v>
      </c>
      <c r="F28" s="157"/>
      <c r="G28" s="156"/>
      <c r="H28" s="157"/>
      <c r="I28" s="157"/>
      <c r="J28" s="156" t="str">
        <f t="shared" si="0"/>
        <v/>
      </c>
      <c r="K28" s="157"/>
      <c r="L28" s="157" t="s">
        <v>1032</v>
      </c>
      <c r="M28" s="157"/>
      <c r="N28" s="157"/>
      <c r="O28" s="156" t="s">
        <v>4089</v>
      </c>
      <c r="P28" s="163"/>
      <c r="Q28" s="494"/>
      <c r="R28" s="162"/>
    </row>
    <row r="29" spans="4:18" x14ac:dyDescent="0.25">
      <c r="D29" s="157" t="s">
        <v>4090</v>
      </c>
      <c r="E29" s="156" t="s">
        <v>4080</v>
      </c>
      <c r="F29" s="157"/>
      <c r="G29" s="156"/>
      <c r="H29" s="157"/>
      <c r="I29" s="157"/>
      <c r="J29" s="156" t="str">
        <f t="shared" si="0"/>
        <v/>
      </c>
      <c r="K29" s="157"/>
      <c r="L29" s="157"/>
      <c r="M29" s="157"/>
      <c r="N29" s="157"/>
      <c r="O29" s="156" t="s">
        <v>4091</v>
      </c>
      <c r="P29" s="163"/>
      <c r="Q29" s="494"/>
      <c r="R29" s="162"/>
    </row>
    <row r="30" spans="4:18" x14ac:dyDescent="0.25">
      <c r="D30" s="157" t="s">
        <v>4092</v>
      </c>
      <c r="E30" s="156" t="s">
        <v>4080</v>
      </c>
      <c r="F30" s="157"/>
      <c r="G30" s="156"/>
      <c r="H30" s="157"/>
      <c r="I30" s="157"/>
      <c r="J30" s="156" t="str">
        <f t="shared" si="0"/>
        <v/>
      </c>
      <c r="K30" s="157"/>
      <c r="L30" s="157"/>
      <c r="M30" s="157"/>
      <c r="N30" s="157"/>
      <c r="O30" s="156" t="s">
        <v>4093</v>
      </c>
      <c r="P30" s="163"/>
      <c r="Q30" s="494"/>
      <c r="R30" s="162"/>
    </row>
    <row r="31" spans="4:18" x14ac:dyDescent="0.25">
      <c r="D31" s="157" t="s">
        <v>4094</v>
      </c>
      <c r="E31" s="156" t="s">
        <v>4080</v>
      </c>
      <c r="F31" s="157"/>
      <c r="G31" s="156"/>
      <c r="H31" s="157"/>
      <c r="I31" s="157"/>
      <c r="J31" s="156" t="str">
        <f t="shared" si="0"/>
        <v/>
      </c>
      <c r="K31" s="157"/>
      <c r="L31" s="157"/>
      <c r="M31" s="157"/>
      <c r="N31" s="157"/>
      <c r="O31" s="156" t="s">
        <v>4095</v>
      </c>
      <c r="P31" s="163"/>
      <c r="Q31" s="494"/>
      <c r="R31" s="162"/>
    </row>
    <row r="32" spans="4:18" x14ac:dyDescent="0.25">
      <c r="D32" s="157" t="s">
        <v>4096</v>
      </c>
      <c r="E32" s="156" t="s">
        <v>4080</v>
      </c>
      <c r="F32" s="157"/>
      <c r="G32" s="156"/>
      <c r="H32" s="157"/>
      <c r="I32" s="157"/>
      <c r="J32" s="156" t="str">
        <f t="shared" si="0"/>
        <v/>
      </c>
      <c r="K32" s="157"/>
      <c r="L32" s="157"/>
      <c r="M32" s="157"/>
      <c r="N32" s="157"/>
      <c r="O32" s="156" t="s">
        <v>4097</v>
      </c>
      <c r="P32" s="163"/>
      <c r="Q32" s="494"/>
      <c r="R32" s="162"/>
    </row>
    <row r="33" spans="4:18" x14ac:dyDescent="0.25">
      <c r="D33" s="157" t="s">
        <v>4098</v>
      </c>
      <c r="E33" s="156" t="s">
        <v>4080</v>
      </c>
      <c r="F33" s="157"/>
      <c r="G33" s="156"/>
      <c r="H33" s="157"/>
      <c r="I33" s="157"/>
      <c r="J33" s="156" t="str">
        <f t="shared" si="0"/>
        <v/>
      </c>
      <c r="K33" s="157"/>
      <c r="L33" s="157"/>
      <c r="M33" s="157"/>
      <c r="N33" s="157"/>
      <c r="O33" s="156" t="s">
        <v>4099</v>
      </c>
      <c r="P33" s="163"/>
      <c r="Q33" s="494"/>
      <c r="R33" s="162"/>
    </row>
    <row r="34" spans="4:18" x14ac:dyDescent="0.25">
      <c r="D34" s="157" t="s">
        <v>4100</v>
      </c>
      <c r="E34" s="156" t="s">
        <v>4101</v>
      </c>
      <c r="F34" s="157"/>
      <c r="G34" s="156"/>
      <c r="H34" s="157"/>
      <c r="I34" s="157"/>
      <c r="J34" s="156" t="str">
        <f t="shared" si="0"/>
        <v/>
      </c>
      <c r="K34" s="157"/>
      <c r="L34" s="157"/>
      <c r="M34" s="157"/>
      <c r="N34" s="157"/>
      <c r="O34" s="156" t="s">
        <v>4102</v>
      </c>
      <c r="P34" s="163"/>
      <c r="Q34" s="494"/>
      <c r="R34" s="162"/>
    </row>
    <row r="35" spans="4:18" x14ac:dyDescent="0.25">
      <c r="D35" s="157" t="s">
        <v>4103</v>
      </c>
      <c r="E35" s="156" t="s">
        <v>4101</v>
      </c>
      <c r="F35" s="157"/>
      <c r="G35" s="156"/>
      <c r="H35" s="157"/>
      <c r="I35" s="157"/>
      <c r="J35" s="156" t="str">
        <f t="shared" si="0"/>
        <v/>
      </c>
      <c r="K35" s="157"/>
      <c r="L35" s="157"/>
      <c r="M35" s="157"/>
      <c r="N35" s="157"/>
      <c r="O35" s="156" t="s">
        <v>4104</v>
      </c>
      <c r="P35" s="163"/>
      <c r="Q35" s="494"/>
      <c r="R35" s="162"/>
    </row>
    <row r="36" spans="4:18" x14ac:dyDescent="0.25">
      <c r="D36" s="157" t="s">
        <v>4105</v>
      </c>
      <c r="E36" s="156" t="s">
        <v>4101</v>
      </c>
      <c r="F36" s="157"/>
      <c r="G36" s="156"/>
      <c r="H36" s="157"/>
      <c r="I36" s="157"/>
      <c r="J36" s="156" t="str">
        <f t="shared" si="0"/>
        <v/>
      </c>
      <c r="K36" s="157"/>
      <c r="L36" s="157"/>
      <c r="M36" s="157"/>
      <c r="N36" s="157"/>
      <c r="O36" s="156" t="s">
        <v>4106</v>
      </c>
      <c r="P36" s="163"/>
      <c r="Q36" s="494"/>
      <c r="R36" s="162"/>
    </row>
    <row r="37" spans="4:18" x14ac:dyDescent="0.25">
      <c r="D37" s="157" t="s">
        <v>4107</v>
      </c>
      <c r="E37" s="156" t="s">
        <v>4101</v>
      </c>
      <c r="F37" s="157"/>
      <c r="G37" s="156"/>
      <c r="H37" s="157"/>
      <c r="I37" s="157"/>
      <c r="J37" s="156" t="str">
        <f t="shared" si="0"/>
        <v/>
      </c>
      <c r="K37" s="157"/>
      <c r="L37" s="157"/>
      <c r="M37" s="157"/>
      <c r="N37" s="157"/>
      <c r="O37" s="156" t="s">
        <v>4108</v>
      </c>
      <c r="P37" s="163"/>
      <c r="Q37" s="494"/>
      <c r="R37" s="162"/>
    </row>
    <row r="38" spans="4:18" x14ac:dyDescent="0.25">
      <c r="D38" s="157" t="s">
        <v>4109</v>
      </c>
      <c r="E38" s="156" t="s">
        <v>4101</v>
      </c>
      <c r="F38" s="157"/>
      <c r="G38" s="156"/>
      <c r="H38" s="157"/>
      <c r="I38" s="157"/>
      <c r="J38" s="156" t="str">
        <f t="shared" si="0"/>
        <v/>
      </c>
      <c r="K38" s="157"/>
      <c r="L38" s="157"/>
      <c r="M38" s="157"/>
      <c r="N38" s="157"/>
      <c r="O38" s="156" t="s">
        <v>4110</v>
      </c>
      <c r="P38" s="163"/>
      <c r="Q38" s="494"/>
      <c r="R38" s="162"/>
    </row>
    <row r="39" spans="4:18" x14ac:dyDescent="0.25">
      <c r="D39" s="157" t="s">
        <v>4111</v>
      </c>
      <c r="E39" s="156" t="s">
        <v>4101</v>
      </c>
      <c r="F39" s="157"/>
      <c r="G39" s="156"/>
      <c r="H39" s="157"/>
      <c r="I39" s="157"/>
      <c r="J39" s="156" t="str">
        <f t="shared" si="0"/>
        <v/>
      </c>
      <c r="K39" s="157"/>
      <c r="L39" s="157"/>
      <c r="M39" s="157"/>
      <c r="N39" s="157"/>
      <c r="O39" s="156" t="s">
        <v>4112</v>
      </c>
      <c r="P39" s="163"/>
      <c r="Q39" s="494"/>
      <c r="R39" s="162"/>
    </row>
    <row r="40" spans="4:18" x14ac:dyDescent="0.25">
      <c r="D40" s="157" t="s">
        <v>4113</v>
      </c>
      <c r="E40" s="156" t="s">
        <v>4101</v>
      </c>
      <c r="F40" s="157"/>
      <c r="G40" s="156"/>
      <c r="H40" s="157"/>
      <c r="I40" s="157"/>
      <c r="J40" s="156" t="str">
        <f t="shared" si="0"/>
        <v/>
      </c>
      <c r="K40" s="157"/>
      <c r="L40" s="157"/>
      <c r="M40" s="157"/>
      <c r="N40" s="157"/>
      <c r="O40" s="156" t="s">
        <v>4114</v>
      </c>
      <c r="P40" s="163"/>
      <c r="Q40" s="494"/>
      <c r="R40" s="162"/>
    </row>
    <row r="41" spans="4:18" x14ac:dyDescent="0.25">
      <c r="D41" s="157" t="s">
        <v>4115</v>
      </c>
      <c r="E41" s="156" t="s">
        <v>4101</v>
      </c>
      <c r="F41" s="157"/>
      <c r="G41" s="156"/>
      <c r="H41" s="157"/>
      <c r="I41" s="157"/>
      <c r="J41" s="156" t="str">
        <f t="shared" si="0"/>
        <v/>
      </c>
      <c r="K41" s="157"/>
      <c r="L41" s="157"/>
      <c r="M41" s="157"/>
      <c r="N41" s="157"/>
      <c r="O41" s="156" t="s">
        <v>4116</v>
      </c>
      <c r="P41" s="163"/>
      <c r="Q41" s="494"/>
      <c r="R41" s="162"/>
    </row>
    <row r="42" spans="4:18" x14ac:dyDescent="0.25">
      <c r="D42" s="157" t="s">
        <v>4117</v>
      </c>
      <c r="E42" s="156" t="s">
        <v>4101</v>
      </c>
      <c r="F42" s="157"/>
      <c r="G42" s="156"/>
      <c r="H42" s="157"/>
      <c r="I42" s="157"/>
      <c r="J42" s="156" t="str">
        <f t="shared" si="0"/>
        <v/>
      </c>
      <c r="K42" s="157"/>
      <c r="L42" s="157"/>
      <c r="M42" s="157"/>
      <c r="N42" s="157"/>
      <c r="O42" s="156" t="s">
        <v>4118</v>
      </c>
      <c r="P42" s="163"/>
      <c r="Q42" s="494"/>
      <c r="R42" s="162"/>
    </row>
    <row r="43" spans="4:18" x14ac:dyDescent="0.25">
      <c r="D43" s="157" t="s">
        <v>4119</v>
      </c>
      <c r="E43" s="156" t="s">
        <v>4101</v>
      </c>
      <c r="F43" s="157"/>
      <c r="G43" s="156"/>
      <c r="H43" s="157"/>
      <c r="I43" s="157"/>
      <c r="J43" s="156" t="str">
        <f t="shared" si="0"/>
        <v/>
      </c>
      <c r="K43" s="157"/>
      <c r="L43" s="157"/>
      <c r="M43" s="157"/>
      <c r="N43" s="157"/>
      <c r="O43" s="156" t="s">
        <v>4120</v>
      </c>
      <c r="P43" s="163"/>
      <c r="Q43" s="494"/>
      <c r="R43" s="162"/>
    </row>
    <row r="44" spans="4:18" x14ac:dyDescent="0.25">
      <c r="D44" s="157" t="s">
        <v>4121</v>
      </c>
      <c r="E44" s="156" t="s">
        <v>4122</v>
      </c>
      <c r="F44" s="157"/>
      <c r="G44" s="156"/>
      <c r="H44" s="157"/>
      <c r="I44" s="157"/>
      <c r="J44" s="156" t="str">
        <f t="shared" si="0"/>
        <v/>
      </c>
      <c r="K44" s="157"/>
      <c r="L44" s="157"/>
      <c r="M44" s="157"/>
      <c r="N44" s="157"/>
      <c r="O44" s="156" t="s">
        <v>4123</v>
      </c>
      <c r="P44" s="163"/>
      <c r="Q44" s="494"/>
      <c r="R44" s="162"/>
    </row>
    <row r="45" spans="4:18" x14ac:dyDescent="0.25">
      <c r="D45" s="157" t="s">
        <v>4124</v>
      </c>
      <c r="E45" s="156" t="s">
        <v>4122</v>
      </c>
      <c r="F45" s="157"/>
      <c r="G45" s="156"/>
      <c r="H45" s="157"/>
      <c r="I45" s="157"/>
      <c r="J45" s="156" t="str">
        <f t="shared" si="0"/>
        <v/>
      </c>
      <c r="K45" s="157"/>
      <c r="L45" s="157"/>
      <c r="M45" s="157"/>
      <c r="N45" s="157"/>
      <c r="O45" s="156" t="s">
        <v>4125</v>
      </c>
      <c r="P45" s="163"/>
      <c r="Q45" s="494"/>
      <c r="R45" s="162"/>
    </row>
    <row r="46" spans="4:18" x14ac:dyDescent="0.25">
      <c r="D46" s="157" t="s">
        <v>4126</v>
      </c>
      <c r="E46" s="156" t="s">
        <v>4122</v>
      </c>
      <c r="F46" s="157"/>
      <c r="G46" s="156"/>
      <c r="H46" s="157"/>
      <c r="I46" s="157"/>
      <c r="J46" s="156" t="str">
        <f t="shared" si="0"/>
        <v/>
      </c>
      <c r="K46" s="157"/>
      <c r="L46" s="157"/>
      <c r="M46" s="157"/>
      <c r="N46" s="157"/>
      <c r="O46" s="156" t="s">
        <v>4127</v>
      </c>
      <c r="P46" s="163"/>
      <c r="Q46" s="494"/>
      <c r="R46" s="162"/>
    </row>
    <row r="47" spans="4:18" x14ac:dyDescent="0.25">
      <c r="D47" s="157" t="s">
        <v>4128</v>
      </c>
      <c r="E47" s="156" t="s">
        <v>4122</v>
      </c>
      <c r="F47" s="157"/>
      <c r="G47" s="156"/>
      <c r="H47" s="157"/>
      <c r="I47" s="157"/>
      <c r="J47" s="156" t="str">
        <f t="shared" si="0"/>
        <v/>
      </c>
      <c r="K47" s="157"/>
      <c r="L47" s="157"/>
      <c r="M47" s="157"/>
      <c r="N47" s="157"/>
      <c r="O47" s="156" t="s">
        <v>4129</v>
      </c>
      <c r="P47" s="163"/>
      <c r="Q47" s="494"/>
      <c r="R47" s="162"/>
    </row>
    <row r="48" spans="4:18" x14ac:dyDescent="0.25">
      <c r="D48" s="157" t="s">
        <v>4130</v>
      </c>
      <c r="E48" s="156" t="s">
        <v>4122</v>
      </c>
      <c r="F48" s="157"/>
      <c r="G48" s="156"/>
      <c r="H48" s="157"/>
      <c r="I48" s="157"/>
      <c r="J48" s="156" t="str">
        <f t="shared" si="0"/>
        <v/>
      </c>
      <c r="K48" s="157"/>
      <c r="L48" s="157"/>
      <c r="M48" s="157"/>
      <c r="N48" s="157"/>
      <c r="O48" s="156" t="s">
        <v>4131</v>
      </c>
      <c r="P48" s="163"/>
      <c r="Q48" s="494"/>
      <c r="R48" s="162"/>
    </row>
    <row r="49" spans="4:18" x14ac:dyDescent="0.25">
      <c r="D49" s="157" t="s">
        <v>4132</v>
      </c>
      <c r="E49" s="156" t="s">
        <v>4122</v>
      </c>
      <c r="F49" s="157"/>
      <c r="G49" s="156"/>
      <c r="H49" s="157"/>
      <c r="I49" s="157"/>
      <c r="J49" s="156" t="str">
        <f t="shared" si="0"/>
        <v/>
      </c>
      <c r="K49" s="157"/>
      <c r="L49" s="157"/>
      <c r="M49" s="157"/>
      <c r="N49" s="157"/>
      <c r="O49" s="156" t="s">
        <v>4133</v>
      </c>
      <c r="P49" s="163"/>
      <c r="Q49" s="494"/>
      <c r="R49" s="162"/>
    </row>
    <row r="50" spans="4:18" x14ac:dyDescent="0.25">
      <c r="D50" s="157" t="s">
        <v>4134</v>
      </c>
      <c r="E50" s="156" t="s">
        <v>4122</v>
      </c>
      <c r="F50" s="157"/>
      <c r="G50" s="156"/>
      <c r="H50" s="157"/>
      <c r="I50" s="157"/>
      <c r="J50" s="156" t="str">
        <f t="shared" si="0"/>
        <v/>
      </c>
      <c r="K50" s="157"/>
      <c r="L50" s="157"/>
      <c r="M50" s="157"/>
      <c r="N50" s="157"/>
      <c r="O50" s="156" t="s">
        <v>4135</v>
      </c>
      <c r="P50" s="163"/>
      <c r="Q50" s="494"/>
      <c r="R50" s="162"/>
    </row>
    <row r="51" spans="4:18" x14ac:dyDescent="0.25">
      <c r="D51" s="157" t="s">
        <v>4136</v>
      </c>
      <c r="E51" s="156" t="s">
        <v>4122</v>
      </c>
      <c r="F51" s="157"/>
      <c r="G51" s="156"/>
      <c r="H51" s="157"/>
      <c r="I51" s="157"/>
      <c r="J51" s="156" t="str">
        <f t="shared" si="0"/>
        <v/>
      </c>
      <c r="K51" s="157"/>
      <c r="L51" s="157"/>
      <c r="M51" s="157"/>
      <c r="N51" s="157"/>
      <c r="O51" s="156" t="s">
        <v>4137</v>
      </c>
      <c r="P51" s="163"/>
      <c r="Q51" s="494"/>
      <c r="R51" s="162"/>
    </row>
    <row r="52" spans="4:18" x14ac:dyDescent="0.25">
      <c r="D52" s="157" t="s">
        <v>4138</v>
      </c>
      <c r="E52" s="156" t="s">
        <v>4122</v>
      </c>
      <c r="F52" s="157"/>
      <c r="G52" s="156"/>
      <c r="H52" s="157"/>
      <c r="I52" s="157"/>
      <c r="J52" s="156" t="str">
        <f t="shared" si="0"/>
        <v/>
      </c>
      <c r="K52" s="157"/>
      <c r="L52" s="157"/>
      <c r="M52" s="157"/>
      <c r="N52" s="157"/>
      <c r="O52" s="156" t="s">
        <v>4139</v>
      </c>
      <c r="P52" s="163"/>
      <c r="Q52" s="494"/>
      <c r="R52" s="162"/>
    </row>
    <row r="53" spans="4:18" x14ac:dyDescent="0.25">
      <c r="D53" s="157" t="s">
        <v>4140</v>
      </c>
      <c r="E53" s="156" t="s">
        <v>4122</v>
      </c>
      <c r="F53" s="157"/>
      <c r="G53" s="156"/>
      <c r="H53" s="157"/>
      <c r="I53" s="157"/>
      <c r="J53" s="156" t="str">
        <f t="shared" si="0"/>
        <v/>
      </c>
      <c r="K53" s="157"/>
      <c r="L53" s="157"/>
      <c r="M53" s="157"/>
      <c r="N53" s="157"/>
      <c r="O53" s="156" t="s">
        <v>4141</v>
      </c>
      <c r="P53" s="163"/>
      <c r="Q53" s="494"/>
      <c r="R53" s="162"/>
    </row>
    <row r="54" spans="4:18" x14ac:dyDescent="0.25">
      <c r="D54" s="157" t="s">
        <v>4142</v>
      </c>
      <c r="E54" s="156" t="s">
        <v>4143</v>
      </c>
      <c r="F54" s="157"/>
      <c r="G54" s="156"/>
      <c r="H54" s="157"/>
      <c r="I54" s="157"/>
      <c r="J54" s="156" t="str">
        <f t="shared" si="0"/>
        <v/>
      </c>
      <c r="K54" s="157"/>
      <c r="L54" s="157"/>
      <c r="M54" s="157"/>
      <c r="N54" s="157"/>
      <c r="O54" s="156" t="s">
        <v>4144</v>
      </c>
      <c r="P54" s="163"/>
      <c r="Q54" s="494"/>
      <c r="R54" s="162"/>
    </row>
    <row r="55" spans="4:18" x14ac:dyDescent="0.25">
      <c r="D55" s="157" t="s">
        <v>4145</v>
      </c>
      <c r="E55" s="156" t="s">
        <v>4143</v>
      </c>
      <c r="F55" s="157"/>
      <c r="G55" s="156"/>
      <c r="H55" s="157"/>
      <c r="I55" s="157"/>
      <c r="J55" s="156" t="str">
        <f t="shared" si="0"/>
        <v/>
      </c>
      <c r="K55" s="157"/>
      <c r="L55" s="157"/>
      <c r="M55" s="157"/>
      <c r="N55" s="157"/>
      <c r="O55" s="156" t="s">
        <v>4146</v>
      </c>
      <c r="P55" s="163"/>
      <c r="Q55" s="494"/>
      <c r="R55" s="162"/>
    </row>
    <row r="56" spans="4:18" x14ac:dyDescent="0.25">
      <c r="D56" s="157" t="s">
        <v>4147</v>
      </c>
      <c r="E56" s="156" t="s">
        <v>4143</v>
      </c>
      <c r="F56" s="157"/>
      <c r="G56" s="156"/>
      <c r="H56" s="157"/>
      <c r="I56" s="157"/>
      <c r="J56" s="156" t="str">
        <f t="shared" si="0"/>
        <v/>
      </c>
      <c r="K56" s="157"/>
      <c r="L56" s="157"/>
      <c r="M56" s="157"/>
      <c r="N56" s="157"/>
      <c r="O56" s="156" t="s">
        <v>4148</v>
      </c>
      <c r="P56" s="163"/>
      <c r="Q56" s="494"/>
      <c r="R56" s="162"/>
    </row>
    <row r="57" spans="4:18" x14ac:dyDescent="0.25">
      <c r="D57" s="157" t="s">
        <v>4149</v>
      </c>
      <c r="E57" s="156" t="s">
        <v>4143</v>
      </c>
      <c r="F57" s="157"/>
      <c r="G57" s="156"/>
      <c r="H57" s="157"/>
      <c r="I57" s="157"/>
      <c r="J57" s="156" t="str">
        <f t="shared" si="0"/>
        <v/>
      </c>
      <c r="K57" s="157"/>
      <c r="L57" s="157"/>
      <c r="M57" s="157"/>
      <c r="N57" s="157"/>
      <c r="O57" s="156" t="s">
        <v>4150</v>
      </c>
      <c r="P57" s="163"/>
      <c r="Q57" s="494"/>
      <c r="R57" s="162"/>
    </row>
    <row r="58" spans="4:18" x14ac:dyDescent="0.25">
      <c r="D58" s="157" t="s">
        <v>4151</v>
      </c>
      <c r="E58" s="156" t="s">
        <v>4143</v>
      </c>
      <c r="F58" s="157"/>
      <c r="G58" s="156"/>
      <c r="H58" s="157"/>
      <c r="I58" s="157"/>
      <c r="J58" s="156" t="str">
        <f t="shared" si="0"/>
        <v/>
      </c>
      <c r="K58" s="157"/>
      <c r="L58" s="157"/>
      <c r="M58" s="157"/>
      <c r="N58" s="157"/>
      <c r="O58" s="156" t="s">
        <v>4152</v>
      </c>
      <c r="P58" s="163"/>
      <c r="Q58" s="494"/>
      <c r="R58" s="162"/>
    </row>
    <row r="59" spans="4:18" x14ac:dyDescent="0.25">
      <c r="D59" s="157" t="s">
        <v>4153</v>
      </c>
      <c r="E59" s="156" t="s">
        <v>4143</v>
      </c>
      <c r="F59" s="157"/>
      <c r="G59" s="156"/>
      <c r="H59" s="157"/>
      <c r="I59" s="157"/>
      <c r="J59" s="156" t="str">
        <f t="shared" si="0"/>
        <v/>
      </c>
      <c r="K59" s="157"/>
      <c r="L59" s="157"/>
      <c r="M59" s="157"/>
      <c r="N59" s="157"/>
      <c r="O59" s="156" t="s">
        <v>4154</v>
      </c>
      <c r="P59" s="163"/>
      <c r="Q59" s="494"/>
      <c r="R59" s="162"/>
    </row>
    <row r="60" spans="4:18" x14ac:dyDescent="0.25">
      <c r="D60" s="157" t="s">
        <v>4155</v>
      </c>
      <c r="E60" s="156" t="s">
        <v>4143</v>
      </c>
      <c r="F60" s="157"/>
      <c r="G60" s="156"/>
      <c r="H60" s="157"/>
      <c r="I60" s="157"/>
      <c r="J60" s="156" t="str">
        <f t="shared" si="0"/>
        <v/>
      </c>
      <c r="K60" s="157"/>
      <c r="L60" s="157"/>
      <c r="M60" s="157"/>
      <c r="N60" s="157"/>
      <c r="O60" s="156" t="s">
        <v>4156</v>
      </c>
      <c r="P60" s="163"/>
      <c r="Q60" s="494"/>
      <c r="R60" s="162"/>
    </row>
    <row r="61" spans="4:18" x14ac:dyDescent="0.25">
      <c r="D61" s="157" t="s">
        <v>4157</v>
      </c>
      <c r="E61" s="156" t="s">
        <v>4143</v>
      </c>
      <c r="F61" s="157"/>
      <c r="G61" s="156"/>
      <c r="H61" s="157"/>
      <c r="I61" s="157"/>
      <c r="J61" s="156" t="str">
        <f t="shared" si="0"/>
        <v/>
      </c>
      <c r="K61" s="157"/>
      <c r="L61" s="157"/>
      <c r="M61" s="157"/>
      <c r="N61" s="157"/>
      <c r="O61" s="156" t="s">
        <v>4158</v>
      </c>
      <c r="P61" s="163"/>
      <c r="Q61" s="494"/>
      <c r="R61" s="162"/>
    </row>
    <row r="62" spans="4:18" x14ac:dyDescent="0.25">
      <c r="D62" s="157" t="s">
        <v>4159</v>
      </c>
      <c r="E62" s="156" t="s">
        <v>4143</v>
      </c>
      <c r="F62" s="157"/>
      <c r="G62" s="156"/>
      <c r="H62" s="157"/>
      <c r="I62" s="157"/>
      <c r="J62" s="156" t="str">
        <f t="shared" si="0"/>
        <v/>
      </c>
      <c r="K62" s="157"/>
      <c r="L62" s="157"/>
      <c r="M62" s="157"/>
      <c r="N62" s="157"/>
      <c r="O62" s="156" t="s">
        <v>4160</v>
      </c>
      <c r="P62" s="163"/>
      <c r="Q62" s="494"/>
      <c r="R62" s="162"/>
    </row>
    <row r="63" spans="4:18" x14ac:dyDescent="0.25">
      <c r="D63" s="157" t="s">
        <v>4161</v>
      </c>
      <c r="E63" s="156" t="s">
        <v>4143</v>
      </c>
      <c r="F63" s="157"/>
      <c r="G63" s="156"/>
      <c r="H63" s="157"/>
      <c r="I63" s="157"/>
      <c r="J63" s="156" t="str">
        <f t="shared" si="0"/>
        <v/>
      </c>
      <c r="K63" s="157"/>
      <c r="L63" s="157"/>
      <c r="M63" s="157"/>
      <c r="N63" s="157"/>
      <c r="O63" s="156" t="s">
        <v>4162</v>
      </c>
      <c r="P63" s="163"/>
      <c r="Q63" s="494"/>
      <c r="R63" s="162"/>
    </row>
    <row r="64" spans="4:18" x14ac:dyDescent="0.25">
      <c r="D64" s="157" t="s">
        <v>4163</v>
      </c>
      <c r="E64" s="156" t="s">
        <v>4164</v>
      </c>
      <c r="F64" s="157"/>
      <c r="G64" s="156"/>
      <c r="H64" s="157"/>
      <c r="I64" s="157"/>
      <c r="J64" s="156" t="str">
        <f t="shared" si="0"/>
        <v/>
      </c>
      <c r="K64" s="157"/>
      <c r="L64" s="157"/>
      <c r="M64" s="157"/>
      <c r="N64" s="157"/>
      <c r="O64" s="156" t="s">
        <v>4165</v>
      </c>
      <c r="P64" s="163"/>
      <c r="Q64" s="494"/>
      <c r="R64" s="162"/>
    </row>
    <row r="65" spans="4:18" x14ac:dyDescent="0.25">
      <c r="D65" s="157" t="s">
        <v>4166</v>
      </c>
      <c r="E65" s="156" t="s">
        <v>4164</v>
      </c>
      <c r="F65" s="157"/>
      <c r="G65" s="156"/>
      <c r="H65" s="157"/>
      <c r="I65" s="157"/>
      <c r="J65" s="156" t="str">
        <f t="shared" si="0"/>
        <v/>
      </c>
      <c r="K65" s="157"/>
      <c r="L65" s="157"/>
      <c r="M65" s="157"/>
      <c r="N65" s="157"/>
      <c r="O65" s="156" t="s">
        <v>4167</v>
      </c>
      <c r="P65" s="163"/>
      <c r="Q65" s="494"/>
      <c r="R65" s="162"/>
    </row>
    <row r="66" spans="4:18" x14ac:dyDescent="0.25">
      <c r="D66" s="157" t="s">
        <v>4168</v>
      </c>
      <c r="E66" s="156" t="s">
        <v>4164</v>
      </c>
      <c r="F66" s="157"/>
      <c r="G66" s="156"/>
      <c r="H66" s="157"/>
      <c r="I66" s="157"/>
      <c r="J66" s="156" t="str">
        <f t="shared" si="0"/>
        <v/>
      </c>
      <c r="K66" s="157"/>
      <c r="L66" s="157"/>
      <c r="M66" s="157"/>
      <c r="N66" s="157"/>
      <c r="O66" s="156" t="s">
        <v>4169</v>
      </c>
      <c r="P66" s="163"/>
      <c r="Q66" s="494"/>
      <c r="R66" s="162"/>
    </row>
    <row r="67" spans="4:18" x14ac:dyDescent="0.25">
      <c r="D67" s="157" t="s">
        <v>4170</v>
      </c>
      <c r="E67" s="156" t="s">
        <v>4164</v>
      </c>
      <c r="F67" s="157"/>
      <c r="G67" s="156"/>
      <c r="H67" s="157"/>
      <c r="I67" s="157"/>
      <c r="J67" s="156" t="str">
        <f t="shared" si="0"/>
        <v/>
      </c>
      <c r="K67" s="157"/>
      <c r="L67" s="157"/>
      <c r="M67" s="157"/>
      <c r="N67" s="157"/>
      <c r="O67" s="156" t="s">
        <v>4171</v>
      </c>
      <c r="P67" s="163"/>
      <c r="Q67" s="494"/>
      <c r="R67" s="162"/>
    </row>
    <row r="68" spans="4:18" x14ac:dyDescent="0.25">
      <c r="D68" s="157" t="s">
        <v>4172</v>
      </c>
      <c r="E68" s="156" t="s">
        <v>4164</v>
      </c>
      <c r="F68" s="157"/>
      <c r="G68" s="156"/>
      <c r="H68" s="157"/>
      <c r="I68" s="157"/>
      <c r="J68" s="156" t="str">
        <f t="shared" ref="J68:J131" si="1">F68&amp;H68&amp;I68</f>
        <v/>
      </c>
      <c r="K68" s="157"/>
      <c r="L68" s="157"/>
      <c r="M68" s="157"/>
      <c r="N68" s="157"/>
      <c r="O68" s="156" t="s">
        <v>4173</v>
      </c>
      <c r="P68" s="163"/>
      <c r="Q68" s="494"/>
      <c r="R68" s="162"/>
    </row>
    <row r="69" spans="4:18" x14ac:dyDescent="0.25">
      <c r="D69" s="157" t="s">
        <v>4174</v>
      </c>
      <c r="E69" s="156" t="s">
        <v>4164</v>
      </c>
      <c r="F69" s="157"/>
      <c r="G69" s="156"/>
      <c r="H69" s="157"/>
      <c r="I69" s="157"/>
      <c r="J69" s="156" t="str">
        <f t="shared" si="1"/>
        <v/>
      </c>
      <c r="K69" s="157"/>
      <c r="L69" s="157"/>
      <c r="M69" s="157"/>
      <c r="N69" s="157"/>
      <c r="O69" s="156" t="s">
        <v>4175</v>
      </c>
      <c r="P69" s="163"/>
      <c r="Q69" s="494"/>
      <c r="R69" s="162"/>
    </row>
    <row r="70" spans="4:18" x14ac:dyDescent="0.25">
      <c r="D70" s="157" t="s">
        <v>4176</v>
      </c>
      <c r="E70" s="156" t="s">
        <v>4164</v>
      </c>
      <c r="F70" s="157"/>
      <c r="G70" s="156"/>
      <c r="H70" s="157"/>
      <c r="I70" s="157"/>
      <c r="J70" s="156" t="str">
        <f t="shared" si="1"/>
        <v/>
      </c>
      <c r="K70" s="157"/>
      <c r="L70" s="157"/>
      <c r="M70" s="157"/>
      <c r="N70" s="157"/>
      <c r="O70" s="156" t="s">
        <v>4177</v>
      </c>
      <c r="P70" s="163"/>
      <c r="Q70" s="494"/>
      <c r="R70" s="162"/>
    </row>
    <row r="71" spans="4:18" x14ac:dyDescent="0.25">
      <c r="D71" s="157" t="s">
        <v>4178</v>
      </c>
      <c r="E71" s="156" t="s">
        <v>4164</v>
      </c>
      <c r="F71" s="157"/>
      <c r="G71" s="156"/>
      <c r="H71" s="157"/>
      <c r="I71" s="157"/>
      <c r="J71" s="156" t="str">
        <f t="shared" si="1"/>
        <v/>
      </c>
      <c r="K71" s="157"/>
      <c r="L71" s="157"/>
      <c r="M71" s="157"/>
      <c r="N71" s="157"/>
      <c r="O71" s="156" t="s">
        <v>4179</v>
      </c>
      <c r="P71" s="163"/>
      <c r="Q71" s="494"/>
      <c r="R71" s="162"/>
    </row>
    <row r="72" spans="4:18" x14ac:dyDescent="0.25">
      <c r="D72" s="157" t="s">
        <v>4180</v>
      </c>
      <c r="E72" s="156" t="s">
        <v>4164</v>
      </c>
      <c r="F72" s="157"/>
      <c r="G72" s="156"/>
      <c r="H72" s="157"/>
      <c r="I72" s="157"/>
      <c r="J72" s="156" t="str">
        <f t="shared" si="1"/>
        <v/>
      </c>
      <c r="K72" s="157"/>
      <c r="L72" s="157"/>
      <c r="M72" s="157"/>
      <c r="N72" s="157"/>
      <c r="O72" s="156" t="s">
        <v>4181</v>
      </c>
      <c r="P72" s="163"/>
      <c r="Q72" s="494"/>
      <c r="R72" s="162"/>
    </row>
    <row r="73" spans="4:18" x14ac:dyDescent="0.25">
      <c r="D73" s="157" t="s">
        <v>4182</v>
      </c>
      <c r="E73" s="156" t="s">
        <v>4164</v>
      </c>
      <c r="F73" s="157"/>
      <c r="G73" s="156"/>
      <c r="H73" s="157"/>
      <c r="I73" s="157"/>
      <c r="J73" s="156" t="str">
        <f t="shared" si="1"/>
        <v/>
      </c>
      <c r="K73" s="157"/>
      <c r="L73" s="157"/>
      <c r="M73" s="157"/>
      <c r="N73" s="157"/>
      <c r="O73" s="156" t="s">
        <v>4183</v>
      </c>
      <c r="P73" s="163"/>
      <c r="Q73" s="494"/>
      <c r="R73" s="162"/>
    </row>
    <row r="74" spans="4:18" x14ac:dyDescent="0.25">
      <c r="D74" s="157" t="s">
        <v>4184</v>
      </c>
      <c r="E74" s="156" t="s">
        <v>4185</v>
      </c>
      <c r="F74" s="157"/>
      <c r="G74" s="156"/>
      <c r="H74" s="157"/>
      <c r="I74" s="157"/>
      <c r="J74" s="156" t="str">
        <f t="shared" si="1"/>
        <v/>
      </c>
      <c r="K74" s="157"/>
      <c r="L74" s="157"/>
      <c r="M74" s="157"/>
      <c r="N74" s="157"/>
      <c r="O74" s="156" t="s">
        <v>4186</v>
      </c>
      <c r="P74" s="163"/>
      <c r="Q74" s="494"/>
      <c r="R74" s="162"/>
    </row>
    <row r="75" spans="4:18" x14ac:dyDescent="0.25">
      <c r="D75" s="157" t="s">
        <v>4187</v>
      </c>
      <c r="E75" s="156" t="s">
        <v>4185</v>
      </c>
      <c r="F75" s="157"/>
      <c r="G75" s="156"/>
      <c r="H75" s="157"/>
      <c r="I75" s="157"/>
      <c r="J75" s="156" t="str">
        <f t="shared" si="1"/>
        <v/>
      </c>
      <c r="K75" s="157"/>
      <c r="L75" s="157"/>
      <c r="M75" s="157"/>
      <c r="N75" s="157"/>
      <c r="O75" s="156" t="s">
        <v>4188</v>
      </c>
      <c r="P75" s="163"/>
      <c r="Q75" s="494"/>
      <c r="R75" s="162"/>
    </row>
    <row r="76" spans="4:18" x14ac:dyDescent="0.25">
      <c r="D76" s="157" t="s">
        <v>4189</v>
      </c>
      <c r="E76" s="156" t="s">
        <v>4185</v>
      </c>
      <c r="F76" s="157"/>
      <c r="G76" s="156"/>
      <c r="H76" s="157"/>
      <c r="I76" s="157"/>
      <c r="J76" s="156" t="str">
        <f t="shared" si="1"/>
        <v/>
      </c>
      <c r="K76" s="157"/>
      <c r="L76" s="157"/>
      <c r="M76" s="157"/>
      <c r="N76" s="157"/>
      <c r="O76" s="156" t="s">
        <v>4190</v>
      </c>
      <c r="P76" s="163"/>
      <c r="Q76" s="494"/>
      <c r="R76" s="162"/>
    </row>
    <row r="77" spans="4:18" x14ac:dyDescent="0.25">
      <c r="D77" s="157" t="s">
        <v>4191</v>
      </c>
      <c r="E77" s="156" t="s">
        <v>4185</v>
      </c>
      <c r="F77" s="157"/>
      <c r="G77" s="156"/>
      <c r="H77" s="157"/>
      <c r="I77" s="157"/>
      <c r="J77" s="156" t="str">
        <f t="shared" si="1"/>
        <v/>
      </c>
      <c r="K77" s="157"/>
      <c r="L77" s="157"/>
      <c r="M77" s="157"/>
      <c r="N77" s="157"/>
      <c r="O77" s="156" t="s">
        <v>4192</v>
      </c>
      <c r="P77" s="163"/>
      <c r="Q77" s="494"/>
      <c r="R77" s="162"/>
    </row>
    <row r="78" spans="4:18" x14ac:dyDescent="0.25">
      <c r="D78" s="157" t="s">
        <v>4193</v>
      </c>
      <c r="E78" s="156" t="s">
        <v>4185</v>
      </c>
      <c r="F78" s="157"/>
      <c r="G78" s="156"/>
      <c r="H78" s="157"/>
      <c r="I78" s="157"/>
      <c r="J78" s="156" t="str">
        <f t="shared" si="1"/>
        <v/>
      </c>
      <c r="K78" s="157"/>
      <c r="L78" s="157"/>
      <c r="M78" s="157"/>
      <c r="N78" s="157"/>
      <c r="O78" s="156" t="s">
        <v>4194</v>
      </c>
      <c r="P78" s="163"/>
      <c r="Q78" s="494"/>
      <c r="R78" s="162"/>
    </row>
    <row r="79" spans="4:18" x14ac:dyDescent="0.25">
      <c r="D79" s="157" t="s">
        <v>4195</v>
      </c>
      <c r="E79" s="156" t="s">
        <v>4185</v>
      </c>
      <c r="F79" s="157"/>
      <c r="G79" s="156"/>
      <c r="H79" s="157"/>
      <c r="I79" s="157"/>
      <c r="J79" s="156" t="str">
        <f t="shared" si="1"/>
        <v/>
      </c>
      <c r="K79" s="157"/>
      <c r="L79" s="157"/>
      <c r="M79" s="157"/>
      <c r="N79" s="157"/>
      <c r="O79" s="156" t="s">
        <v>4196</v>
      </c>
      <c r="P79" s="163"/>
      <c r="Q79" s="494"/>
      <c r="R79" s="162"/>
    </row>
    <row r="80" spans="4:18" x14ac:dyDescent="0.25">
      <c r="D80" s="157" t="s">
        <v>4197</v>
      </c>
      <c r="E80" s="156" t="s">
        <v>4185</v>
      </c>
      <c r="F80" s="157"/>
      <c r="G80" s="156"/>
      <c r="H80" s="157"/>
      <c r="I80" s="157"/>
      <c r="J80" s="156" t="str">
        <f t="shared" si="1"/>
        <v/>
      </c>
      <c r="K80" s="157"/>
      <c r="L80" s="157"/>
      <c r="M80" s="157"/>
      <c r="N80" s="157"/>
      <c r="O80" s="156" t="s">
        <v>4198</v>
      </c>
      <c r="P80" s="163"/>
      <c r="Q80" s="494"/>
      <c r="R80" s="162"/>
    </row>
    <row r="81" spans="4:18" x14ac:dyDescent="0.25">
      <c r="D81" s="157" t="s">
        <v>4199</v>
      </c>
      <c r="E81" s="156" t="s">
        <v>4185</v>
      </c>
      <c r="F81" s="157"/>
      <c r="G81" s="156"/>
      <c r="H81" s="157"/>
      <c r="I81" s="157"/>
      <c r="J81" s="156" t="str">
        <f t="shared" si="1"/>
        <v/>
      </c>
      <c r="K81" s="157"/>
      <c r="L81" s="157"/>
      <c r="M81" s="157"/>
      <c r="N81" s="157"/>
      <c r="O81" s="156" t="s">
        <v>4200</v>
      </c>
      <c r="P81" s="163"/>
      <c r="Q81" s="494"/>
      <c r="R81" s="162"/>
    </row>
    <row r="82" spans="4:18" x14ac:dyDescent="0.25">
      <c r="D82" s="157" t="s">
        <v>4201</v>
      </c>
      <c r="E82" s="156" t="s">
        <v>4185</v>
      </c>
      <c r="F82" s="157"/>
      <c r="G82" s="156"/>
      <c r="H82" s="157"/>
      <c r="I82" s="157"/>
      <c r="J82" s="156" t="str">
        <f t="shared" si="1"/>
        <v/>
      </c>
      <c r="K82" s="157"/>
      <c r="L82" s="157"/>
      <c r="M82" s="157"/>
      <c r="N82" s="157"/>
      <c r="O82" s="156" t="s">
        <v>4202</v>
      </c>
      <c r="P82" s="163"/>
      <c r="Q82" s="494"/>
      <c r="R82" s="162"/>
    </row>
    <row r="83" spans="4:18" x14ac:dyDescent="0.25">
      <c r="D83" s="157" t="s">
        <v>4203</v>
      </c>
      <c r="E83" s="156" t="s">
        <v>4185</v>
      </c>
      <c r="F83" s="157"/>
      <c r="G83" s="156"/>
      <c r="H83" s="157"/>
      <c r="I83" s="157"/>
      <c r="J83" s="156" t="str">
        <f t="shared" si="1"/>
        <v/>
      </c>
      <c r="K83" s="157"/>
      <c r="L83" s="157"/>
      <c r="M83" s="157"/>
      <c r="N83" s="157"/>
      <c r="O83" s="156" t="s">
        <v>4204</v>
      </c>
      <c r="P83" s="163"/>
      <c r="Q83" s="494"/>
      <c r="R83" s="162"/>
    </row>
    <row r="84" spans="4:18" x14ac:dyDescent="0.25">
      <c r="D84" s="157" t="s">
        <v>4205</v>
      </c>
      <c r="E84" s="156" t="s">
        <v>4206</v>
      </c>
      <c r="F84" s="157"/>
      <c r="G84" s="156"/>
      <c r="H84" s="157"/>
      <c r="I84" s="157"/>
      <c r="J84" s="156" t="str">
        <f t="shared" si="1"/>
        <v/>
      </c>
      <c r="K84" s="157"/>
      <c r="L84" s="157"/>
      <c r="M84" s="157"/>
      <c r="N84" s="157"/>
      <c r="O84" s="156" t="s">
        <v>4207</v>
      </c>
      <c r="P84" s="163"/>
      <c r="Q84" s="494"/>
      <c r="R84" s="162"/>
    </row>
    <row r="85" spans="4:18" x14ac:dyDescent="0.25">
      <c r="D85" s="157" t="s">
        <v>4208</v>
      </c>
      <c r="E85" s="156" t="s">
        <v>4206</v>
      </c>
      <c r="F85" s="157"/>
      <c r="G85" s="156"/>
      <c r="H85" s="157"/>
      <c r="I85" s="157"/>
      <c r="J85" s="156" t="str">
        <f t="shared" si="1"/>
        <v/>
      </c>
      <c r="K85" s="157"/>
      <c r="L85" s="157"/>
      <c r="M85" s="157"/>
      <c r="N85" s="157"/>
      <c r="O85" s="156" t="s">
        <v>4209</v>
      </c>
      <c r="P85" s="163"/>
      <c r="Q85" s="494"/>
      <c r="R85" s="162"/>
    </row>
    <row r="86" spans="4:18" x14ac:dyDescent="0.25">
      <c r="D86" s="157" t="s">
        <v>4210</v>
      </c>
      <c r="E86" s="156" t="s">
        <v>4206</v>
      </c>
      <c r="F86" s="157"/>
      <c r="G86" s="156"/>
      <c r="H86" s="157"/>
      <c r="I86" s="157"/>
      <c r="J86" s="156" t="str">
        <f t="shared" si="1"/>
        <v/>
      </c>
      <c r="K86" s="157"/>
      <c r="L86" s="157"/>
      <c r="M86" s="157"/>
      <c r="N86" s="157"/>
      <c r="O86" s="156" t="s">
        <v>4211</v>
      </c>
      <c r="P86" s="163"/>
      <c r="Q86" s="494"/>
      <c r="R86" s="162"/>
    </row>
    <row r="87" spans="4:18" x14ac:dyDescent="0.25">
      <c r="D87" s="157" t="s">
        <v>4212</v>
      </c>
      <c r="E87" s="156" t="s">
        <v>4206</v>
      </c>
      <c r="F87" s="157"/>
      <c r="G87" s="156"/>
      <c r="H87" s="157"/>
      <c r="I87" s="157"/>
      <c r="J87" s="156" t="str">
        <f t="shared" si="1"/>
        <v/>
      </c>
      <c r="K87" s="157"/>
      <c r="L87" s="157"/>
      <c r="M87" s="157"/>
      <c r="N87" s="157"/>
      <c r="O87" s="156" t="s">
        <v>4213</v>
      </c>
      <c r="P87" s="163"/>
      <c r="Q87" s="494"/>
      <c r="R87" s="162"/>
    </row>
    <row r="88" spans="4:18" x14ac:dyDescent="0.25">
      <c r="D88" s="157" t="s">
        <v>4214</v>
      </c>
      <c r="E88" s="156" t="s">
        <v>4206</v>
      </c>
      <c r="F88" s="157"/>
      <c r="G88" s="156"/>
      <c r="H88" s="157"/>
      <c r="I88" s="157"/>
      <c r="J88" s="156" t="str">
        <f t="shared" si="1"/>
        <v/>
      </c>
      <c r="K88" s="157"/>
      <c r="L88" s="157"/>
      <c r="M88" s="157"/>
      <c r="N88" s="157"/>
      <c r="O88" s="156" t="s">
        <v>4215</v>
      </c>
      <c r="P88" s="163"/>
      <c r="Q88" s="494"/>
      <c r="R88" s="162"/>
    </row>
    <row r="89" spans="4:18" x14ac:dyDescent="0.25">
      <c r="D89" s="157" t="s">
        <v>4216</v>
      </c>
      <c r="E89" s="156" t="s">
        <v>4206</v>
      </c>
      <c r="F89" s="157"/>
      <c r="G89" s="156"/>
      <c r="H89" s="157"/>
      <c r="I89" s="157"/>
      <c r="J89" s="156" t="str">
        <f t="shared" si="1"/>
        <v/>
      </c>
      <c r="K89" s="157"/>
      <c r="L89" s="157"/>
      <c r="M89" s="157"/>
      <c r="N89" s="157"/>
      <c r="O89" s="156" t="s">
        <v>4217</v>
      </c>
      <c r="P89" s="163"/>
      <c r="Q89" s="494"/>
      <c r="R89" s="162"/>
    </row>
    <row r="90" spans="4:18" x14ac:dyDescent="0.25">
      <c r="D90" s="157" t="s">
        <v>4218</v>
      </c>
      <c r="E90" s="156" t="s">
        <v>4206</v>
      </c>
      <c r="F90" s="157"/>
      <c r="G90" s="156"/>
      <c r="H90" s="157"/>
      <c r="I90" s="157"/>
      <c r="J90" s="156" t="str">
        <f t="shared" si="1"/>
        <v/>
      </c>
      <c r="K90" s="157"/>
      <c r="L90" s="157"/>
      <c r="M90" s="157"/>
      <c r="N90" s="157"/>
      <c r="O90" s="156" t="s">
        <v>4219</v>
      </c>
      <c r="P90" s="163"/>
      <c r="Q90" s="494"/>
      <c r="R90" s="162"/>
    </row>
    <row r="91" spans="4:18" x14ac:dyDescent="0.25">
      <c r="D91" s="157" t="s">
        <v>4220</v>
      </c>
      <c r="E91" s="156" t="s">
        <v>4206</v>
      </c>
      <c r="F91" s="157"/>
      <c r="G91" s="156"/>
      <c r="H91" s="157"/>
      <c r="I91" s="157"/>
      <c r="J91" s="156" t="str">
        <f t="shared" si="1"/>
        <v/>
      </c>
      <c r="K91" s="157"/>
      <c r="L91" s="157"/>
      <c r="M91" s="157"/>
      <c r="N91" s="157"/>
      <c r="O91" s="156" t="s">
        <v>4221</v>
      </c>
      <c r="P91" s="163"/>
      <c r="Q91" s="494"/>
      <c r="R91" s="162"/>
    </row>
    <row r="92" spans="4:18" x14ac:dyDescent="0.25">
      <c r="D92" s="157" t="s">
        <v>4222</v>
      </c>
      <c r="E92" s="156" t="s">
        <v>4206</v>
      </c>
      <c r="F92" s="157"/>
      <c r="G92" s="156"/>
      <c r="H92" s="157"/>
      <c r="I92" s="157"/>
      <c r="J92" s="156" t="str">
        <f t="shared" si="1"/>
        <v/>
      </c>
      <c r="K92" s="157"/>
      <c r="L92" s="157"/>
      <c r="M92" s="157"/>
      <c r="N92" s="157"/>
      <c r="O92" s="156" t="s">
        <v>4223</v>
      </c>
      <c r="P92" s="163"/>
      <c r="Q92" s="494"/>
      <c r="R92" s="162"/>
    </row>
    <row r="93" spans="4:18" x14ac:dyDescent="0.25">
      <c r="D93" s="157" t="s">
        <v>4224</v>
      </c>
      <c r="E93" s="156" t="s">
        <v>4206</v>
      </c>
      <c r="F93" s="157"/>
      <c r="G93" s="156"/>
      <c r="H93" s="157"/>
      <c r="I93" s="157"/>
      <c r="J93" s="156" t="str">
        <f t="shared" si="1"/>
        <v/>
      </c>
      <c r="K93" s="157"/>
      <c r="L93" s="157"/>
      <c r="M93" s="157"/>
      <c r="N93" s="157"/>
      <c r="O93" s="156" t="s">
        <v>4225</v>
      </c>
      <c r="P93" s="163"/>
      <c r="Q93" s="494"/>
      <c r="R93" s="162"/>
    </row>
    <row r="94" spans="4:18" x14ac:dyDescent="0.25">
      <c r="D94" s="157" t="s">
        <v>4226</v>
      </c>
      <c r="E94" s="156" t="s">
        <v>4227</v>
      </c>
      <c r="F94" s="157"/>
      <c r="G94" s="156"/>
      <c r="H94" s="157"/>
      <c r="I94" s="157"/>
      <c r="J94" s="156" t="str">
        <f t="shared" si="1"/>
        <v/>
      </c>
      <c r="K94" s="157"/>
      <c r="L94" s="157"/>
      <c r="M94" s="157"/>
      <c r="N94" s="157"/>
      <c r="O94" s="156" t="s">
        <v>4228</v>
      </c>
      <c r="P94" s="163"/>
      <c r="Q94" s="494"/>
      <c r="R94" s="162"/>
    </row>
    <row r="95" spans="4:18" x14ac:dyDescent="0.25">
      <c r="D95" s="157" t="s">
        <v>4229</v>
      </c>
      <c r="E95" s="156" t="s">
        <v>4227</v>
      </c>
      <c r="F95" s="157"/>
      <c r="G95" s="156"/>
      <c r="H95" s="157"/>
      <c r="I95" s="157"/>
      <c r="J95" s="156" t="str">
        <f t="shared" si="1"/>
        <v/>
      </c>
      <c r="K95" s="157"/>
      <c r="L95" s="157"/>
      <c r="M95" s="157"/>
      <c r="N95" s="157"/>
      <c r="O95" s="156" t="s">
        <v>4230</v>
      </c>
      <c r="P95" s="163"/>
      <c r="Q95" s="494"/>
      <c r="R95" s="162"/>
    </row>
    <row r="96" spans="4:18" x14ac:dyDescent="0.25">
      <c r="D96" s="157" t="s">
        <v>4231</v>
      </c>
      <c r="E96" s="156" t="s">
        <v>4227</v>
      </c>
      <c r="F96" s="157"/>
      <c r="G96" s="156"/>
      <c r="H96" s="157"/>
      <c r="I96" s="157"/>
      <c r="J96" s="156" t="str">
        <f t="shared" si="1"/>
        <v/>
      </c>
      <c r="K96" s="157"/>
      <c r="L96" s="157"/>
      <c r="M96" s="157"/>
      <c r="N96" s="157"/>
      <c r="O96" s="156" t="s">
        <v>4232</v>
      </c>
      <c r="P96" s="163"/>
      <c r="Q96" s="494"/>
      <c r="R96" s="162"/>
    </row>
    <row r="97" spans="4:18" x14ac:dyDescent="0.25">
      <c r="D97" s="157" t="s">
        <v>4233</v>
      </c>
      <c r="E97" s="156" t="s">
        <v>4227</v>
      </c>
      <c r="F97" s="157"/>
      <c r="G97" s="156"/>
      <c r="H97" s="157"/>
      <c r="I97" s="157"/>
      <c r="J97" s="156" t="str">
        <f t="shared" si="1"/>
        <v/>
      </c>
      <c r="K97" s="157"/>
      <c r="L97" s="157"/>
      <c r="M97" s="157"/>
      <c r="N97" s="157"/>
      <c r="O97" s="156" t="s">
        <v>4234</v>
      </c>
      <c r="P97" s="163"/>
      <c r="Q97" s="494"/>
      <c r="R97" s="162"/>
    </row>
    <row r="98" spans="4:18" x14ac:dyDescent="0.25">
      <c r="D98" s="157" t="s">
        <v>4235</v>
      </c>
      <c r="E98" s="156" t="s">
        <v>4227</v>
      </c>
      <c r="F98" s="157"/>
      <c r="G98" s="156"/>
      <c r="H98" s="157"/>
      <c r="I98" s="157"/>
      <c r="J98" s="156" t="str">
        <f t="shared" si="1"/>
        <v/>
      </c>
      <c r="K98" s="157"/>
      <c r="L98" s="157"/>
      <c r="M98" s="157"/>
      <c r="N98" s="157"/>
      <c r="O98" s="156" t="s">
        <v>4236</v>
      </c>
      <c r="P98" s="163"/>
      <c r="Q98" s="494"/>
      <c r="R98" s="162"/>
    </row>
    <row r="99" spans="4:18" x14ac:dyDescent="0.25">
      <c r="D99" s="157" t="s">
        <v>4237</v>
      </c>
      <c r="E99" s="156" t="s">
        <v>4227</v>
      </c>
      <c r="F99" s="157"/>
      <c r="G99" s="156"/>
      <c r="H99" s="157"/>
      <c r="I99" s="157"/>
      <c r="J99" s="156" t="str">
        <f t="shared" si="1"/>
        <v/>
      </c>
      <c r="K99" s="157"/>
      <c r="L99" s="157"/>
      <c r="M99" s="157"/>
      <c r="N99" s="157"/>
      <c r="O99" s="156" t="s">
        <v>4238</v>
      </c>
      <c r="P99" s="163"/>
      <c r="Q99" s="494"/>
      <c r="R99" s="162"/>
    </row>
    <row r="100" spans="4:18" x14ac:dyDescent="0.25">
      <c r="D100" s="157" t="s">
        <v>4239</v>
      </c>
      <c r="E100" s="156" t="s">
        <v>4227</v>
      </c>
      <c r="F100" s="157"/>
      <c r="G100" s="156"/>
      <c r="H100" s="157"/>
      <c r="I100" s="157"/>
      <c r="J100" s="156" t="str">
        <f t="shared" si="1"/>
        <v/>
      </c>
      <c r="K100" s="157"/>
      <c r="L100" s="157"/>
      <c r="M100" s="157"/>
      <c r="N100" s="157"/>
      <c r="O100" s="156" t="s">
        <v>4240</v>
      </c>
      <c r="P100" s="163"/>
      <c r="Q100" s="494"/>
      <c r="R100" s="162"/>
    </row>
    <row r="101" spans="4:18" x14ac:dyDescent="0.25">
      <c r="D101" s="157" t="s">
        <v>4241</v>
      </c>
      <c r="E101" s="156" t="s">
        <v>4227</v>
      </c>
      <c r="F101" s="157"/>
      <c r="G101" s="156"/>
      <c r="H101" s="157"/>
      <c r="I101" s="157"/>
      <c r="J101" s="156" t="str">
        <f t="shared" si="1"/>
        <v/>
      </c>
      <c r="K101" s="157"/>
      <c r="L101" s="157"/>
      <c r="M101" s="157"/>
      <c r="N101" s="157"/>
      <c r="O101" s="156" t="s">
        <v>4242</v>
      </c>
      <c r="P101" s="163"/>
      <c r="Q101" s="494"/>
      <c r="R101" s="162"/>
    </row>
    <row r="102" spans="4:18" x14ac:dyDescent="0.25">
      <c r="D102" s="157" t="s">
        <v>4243</v>
      </c>
      <c r="E102" s="156" t="s">
        <v>4227</v>
      </c>
      <c r="F102" s="157"/>
      <c r="G102" s="156"/>
      <c r="H102" s="157"/>
      <c r="I102" s="157"/>
      <c r="J102" s="156" t="str">
        <f t="shared" si="1"/>
        <v/>
      </c>
      <c r="K102" s="157"/>
      <c r="L102" s="157"/>
      <c r="M102" s="157"/>
      <c r="N102" s="157"/>
      <c r="O102" s="156" t="s">
        <v>4244</v>
      </c>
      <c r="P102" s="163"/>
      <c r="Q102" s="494"/>
      <c r="R102" s="162"/>
    </row>
    <row r="103" spans="4:18" x14ac:dyDescent="0.25">
      <c r="D103" s="157" t="s">
        <v>4245</v>
      </c>
      <c r="E103" s="156" t="s">
        <v>4227</v>
      </c>
      <c r="F103" s="157"/>
      <c r="G103" s="156"/>
      <c r="H103" s="157"/>
      <c r="I103" s="157"/>
      <c r="J103" s="156" t="str">
        <f t="shared" si="1"/>
        <v/>
      </c>
      <c r="K103" s="157"/>
      <c r="L103" s="157"/>
      <c r="M103" s="157"/>
      <c r="N103" s="157"/>
      <c r="O103" s="156" t="s">
        <v>4246</v>
      </c>
      <c r="P103" s="163"/>
      <c r="Q103" s="494"/>
      <c r="R103" s="162"/>
    </row>
    <row r="104" spans="4:18" x14ac:dyDescent="0.25">
      <c r="D104" s="157" t="s">
        <v>4247</v>
      </c>
      <c r="E104" s="156" t="s">
        <v>4248</v>
      </c>
      <c r="F104" s="157"/>
      <c r="G104" s="156"/>
      <c r="H104" s="157"/>
      <c r="I104" s="157"/>
      <c r="J104" s="156" t="str">
        <f t="shared" si="1"/>
        <v/>
      </c>
      <c r="K104" s="157"/>
      <c r="L104" s="157"/>
      <c r="M104" s="157"/>
      <c r="N104" s="157"/>
      <c r="O104" s="156" t="s">
        <v>4249</v>
      </c>
      <c r="P104" s="163"/>
      <c r="Q104" s="494"/>
      <c r="R104" s="162"/>
    </row>
    <row r="105" spans="4:18" x14ac:dyDescent="0.25">
      <c r="D105" s="157" t="s">
        <v>4250</v>
      </c>
      <c r="E105" s="156" t="s">
        <v>4248</v>
      </c>
      <c r="F105" s="157"/>
      <c r="G105" s="156"/>
      <c r="H105" s="157"/>
      <c r="I105" s="157"/>
      <c r="J105" s="156" t="str">
        <f t="shared" si="1"/>
        <v/>
      </c>
      <c r="K105" s="157"/>
      <c r="L105" s="157"/>
      <c r="M105" s="157"/>
      <c r="N105" s="157"/>
      <c r="O105" s="156" t="s">
        <v>4251</v>
      </c>
      <c r="P105" s="163"/>
      <c r="Q105" s="494"/>
      <c r="R105" s="162"/>
    </row>
    <row r="106" spans="4:18" x14ac:dyDescent="0.25">
      <c r="D106" s="157" t="s">
        <v>4252</v>
      </c>
      <c r="E106" s="156" t="s">
        <v>4248</v>
      </c>
      <c r="F106" s="157"/>
      <c r="G106" s="156"/>
      <c r="H106" s="157"/>
      <c r="I106" s="157"/>
      <c r="J106" s="156" t="str">
        <f t="shared" si="1"/>
        <v/>
      </c>
      <c r="K106" s="157"/>
      <c r="L106" s="157"/>
      <c r="M106" s="157"/>
      <c r="N106" s="157"/>
      <c r="O106" s="156" t="s">
        <v>4253</v>
      </c>
      <c r="P106" s="163"/>
      <c r="Q106" s="494"/>
      <c r="R106" s="162"/>
    </row>
    <row r="107" spans="4:18" x14ac:dyDescent="0.25">
      <c r="D107" s="157" t="s">
        <v>4254</v>
      </c>
      <c r="E107" s="156" t="s">
        <v>4248</v>
      </c>
      <c r="F107" s="157"/>
      <c r="G107" s="156"/>
      <c r="H107" s="157"/>
      <c r="I107" s="157"/>
      <c r="J107" s="156" t="str">
        <f t="shared" si="1"/>
        <v/>
      </c>
      <c r="K107" s="157"/>
      <c r="L107" s="157"/>
      <c r="M107" s="157"/>
      <c r="N107" s="157"/>
      <c r="O107" s="156" t="s">
        <v>4255</v>
      </c>
      <c r="P107" s="163"/>
      <c r="Q107" s="494"/>
      <c r="R107" s="162"/>
    </row>
    <row r="108" spans="4:18" x14ac:dyDescent="0.25">
      <c r="D108" s="157" t="s">
        <v>4256</v>
      </c>
      <c r="E108" s="156" t="s">
        <v>4248</v>
      </c>
      <c r="F108" s="157"/>
      <c r="G108" s="156"/>
      <c r="H108" s="157"/>
      <c r="I108" s="157"/>
      <c r="J108" s="156" t="str">
        <f t="shared" si="1"/>
        <v/>
      </c>
      <c r="K108" s="157"/>
      <c r="L108" s="157"/>
      <c r="M108" s="157"/>
      <c r="N108" s="157"/>
      <c r="O108" s="156" t="s">
        <v>4257</v>
      </c>
      <c r="P108" s="163"/>
      <c r="Q108" s="494"/>
      <c r="R108" s="162"/>
    </row>
    <row r="109" spans="4:18" x14ac:dyDescent="0.25">
      <c r="D109" s="157" t="s">
        <v>4258</v>
      </c>
      <c r="E109" s="156" t="s">
        <v>4248</v>
      </c>
      <c r="F109" s="157"/>
      <c r="G109" s="156"/>
      <c r="H109" s="157"/>
      <c r="I109" s="157"/>
      <c r="J109" s="156" t="str">
        <f t="shared" si="1"/>
        <v/>
      </c>
      <c r="K109" s="157"/>
      <c r="L109" s="157"/>
      <c r="M109" s="157"/>
      <c r="N109" s="157"/>
      <c r="O109" s="156" t="s">
        <v>4259</v>
      </c>
      <c r="P109" s="163"/>
      <c r="Q109" s="494"/>
      <c r="R109" s="162"/>
    </row>
    <row r="110" spans="4:18" x14ac:dyDescent="0.25">
      <c r="D110" s="157" t="s">
        <v>4260</v>
      </c>
      <c r="E110" s="156" t="s">
        <v>4248</v>
      </c>
      <c r="F110" s="157"/>
      <c r="G110" s="156"/>
      <c r="H110" s="157"/>
      <c r="I110" s="157"/>
      <c r="J110" s="156" t="str">
        <f t="shared" si="1"/>
        <v/>
      </c>
      <c r="K110" s="157"/>
      <c r="L110" s="157"/>
      <c r="M110" s="157"/>
      <c r="N110" s="157"/>
      <c r="O110" s="156" t="s">
        <v>4261</v>
      </c>
      <c r="P110" s="163"/>
      <c r="Q110" s="494"/>
      <c r="R110" s="162"/>
    </row>
    <row r="111" spans="4:18" x14ac:dyDescent="0.25">
      <c r="D111" s="157" t="s">
        <v>4262</v>
      </c>
      <c r="E111" s="156" t="s">
        <v>4248</v>
      </c>
      <c r="F111" s="157"/>
      <c r="G111" s="156"/>
      <c r="H111" s="157"/>
      <c r="I111" s="157"/>
      <c r="J111" s="156" t="str">
        <f t="shared" si="1"/>
        <v/>
      </c>
      <c r="K111" s="157"/>
      <c r="L111" s="157"/>
      <c r="M111" s="157"/>
      <c r="N111" s="157"/>
      <c r="O111" s="156" t="s">
        <v>4263</v>
      </c>
      <c r="P111" s="163"/>
      <c r="Q111" s="494"/>
      <c r="R111" s="162"/>
    </row>
    <row r="112" spans="4:18" x14ac:dyDescent="0.25">
      <c r="D112" s="157" t="s">
        <v>4264</v>
      </c>
      <c r="E112" s="156" t="s">
        <v>4248</v>
      </c>
      <c r="F112" s="157"/>
      <c r="G112" s="156"/>
      <c r="H112" s="157"/>
      <c r="I112" s="157"/>
      <c r="J112" s="156" t="str">
        <f t="shared" si="1"/>
        <v/>
      </c>
      <c r="K112" s="157"/>
      <c r="L112" s="157"/>
      <c r="M112" s="157"/>
      <c r="N112" s="157"/>
      <c r="O112" s="156" t="s">
        <v>4265</v>
      </c>
      <c r="P112" s="163"/>
      <c r="Q112" s="494"/>
      <c r="R112" s="162"/>
    </row>
    <row r="113" spans="4:18" x14ac:dyDescent="0.25">
      <c r="D113" s="157" t="s">
        <v>4266</v>
      </c>
      <c r="E113" s="156" t="s">
        <v>4248</v>
      </c>
      <c r="F113" s="157"/>
      <c r="G113" s="156"/>
      <c r="H113" s="157"/>
      <c r="I113" s="157"/>
      <c r="J113" s="156" t="str">
        <f t="shared" si="1"/>
        <v/>
      </c>
      <c r="K113" s="157"/>
      <c r="L113" s="157"/>
      <c r="M113" s="157"/>
      <c r="N113" s="157"/>
      <c r="O113" s="156" t="s">
        <v>4267</v>
      </c>
      <c r="P113" s="163"/>
      <c r="Q113" s="494"/>
      <c r="R113" s="162"/>
    </row>
    <row r="114" spans="4:18" x14ac:dyDescent="0.25">
      <c r="D114" s="157" t="s">
        <v>4268</v>
      </c>
      <c r="E114" s="156" t="s">
        <v>4269</v>
      </c>
      <c r="F114" s="157"/>
      <c r="G114" s="156"/>
      <c r="H114" s="157"/>
      <c r="I114" s="157"/>
      <c r="J114" s="156" t="str">
        <f t="shared" si="1"/>
        <v/>
      </c>
      <c r="K114" s="157"/>
      <c r="L114" s="157"/>
      <c r="M114" s="157"/>
      <c r="N114" s="157"/>
      <c r="O114" s="156" t="s">
        <v>4270</v>
      </c>
      <c r="P114" s="163"/>
      <c r="Q114" s="494"/>
      <c r="R114" s="162"/>
    </row>
    <row r="115" spans="4:18" x14ac:dyDescent="0.25">
      <c r="D115" s="157" t="s">
        <v>4271</v>
      </c>
      <c r="E115" s="156" t="s">
        <v>4269</v>
      </c>
      <c r="F115" s="157"/>
      <c r="G115" s="156"/>
      <c r="H115" s="157"/>
      <c r="I115" s="157"/>
      <c r="J115" s="156" t="str">
        <f t="shared" si="1"/>
        <v/>
      </c>
      <c r="K115" s="157"/>
      <c r="L115" s="157"/>
      <c r="M115" s="157"/>
      <c r="N115" s="157"/>
      <c r="O115" s="156" t="s">
        <v>4272</v>
      </c>
      <c r="P115" s="163"/>
      <c r="Q115" s="494"/>
      <c r="R115" s="162"/>
    </row>
    <row r="116" spans="4:18" x14ac:dyDescent="0.25">
      <c r="D116" s="157" t="s">
        <v>4273</v>
      </c>
      <c r="E116" s="156" t="s">
        <v>4269</v>
      </c>
      <c r="F116" s="157"/>
      <c r="G116" s="156"/>
      <c r="H116" s="157"/>
      <c r="I116" s="157"/>
      <c r="J116" s="156" t="str">
        <f t="shared" si="1"/>
        <v/>
      </c>
      <c r="K116" s="157"/>
      <c r="L116" s="157"/>
      <c r="M116" s="157"/>
      <c r="N116" s="157"/>
      <c r="O116" s="156" t="s">
        <v>4274</v>
      </c>
      <c r="P116" s="163"/>
      <c r="Q116" s="494"/>
      <c r="R116" s="162"/>
    </row>
    <row r="117" spans="4:18" x14ac:dyDescent="0.25">
      <c r="D117" s="157" t="s">
        <v>4275</v>
      </c>
      <c r="E117" s="156" t="s">
        <v>4269</v>
      </c>
      <c r="F117" s="157"/>
      <c r="G117" s="156"/>
      <c r="H117" s="157"/>
      <c r="I117" s="157"/>
      <c r="J117" s="156" t="str">
        <f t="shared" si="1"/>
        <v/>
      </c>
      <c r="K117" s="157"/>
      <c r="L117" s="157"/>
      <c r="M117" s="157"/>
      <c r="N117" s="157"/>
      <c r="O117" s="156" t="s">
        <v>4276</v>
      </c>
      <c r="P117" s="163"/>
      <c r="Q117" s="494"/>
      <c r="R117" s="162"/>
    </row>
    <row r="118" spans="4:18" x14ac:dyDescent="0.25">
      <c r="D118" s="157" t="s">
        <v>4277</v>
      </c>
      <c r="E118" s="156" t="s">
        <v>4269</v>
      </c>
      <c r="F118" s="157"/>
      <c r="G118" s="156"/>
      <c r="H118" s="157"/>
      <c r="I118" s="157"/>
      <c r="J118" s="156" t="str">
        <f t="shared" si="1"/>
        <v/>
      </c>
      <c r="K118" s="157"/>
      <c r="L118" s="157"/>
      <c r="M118" s="157"/>
      <c r="N118" s="157"/>
      <c r="O118" s="156" t="s">
        <v>4278</v>
      </c>
      <c r="P118" s="163"/>
      <c r="Q118" s="494"/>
      <c r="R118" s="162"/>
    </row>
    <row r="119" spans="4:18" x14ac:dyDescent="0.25">
      <c r="D119" s="157" t="s">
        <v>4279</v>
      </c>
      <c r="E119" s="156" t="s">
        <v>4269</v>
      </c>
      <c r="F119" s="157"/>
      <c r="G119" s="156"/>
      <c r="H119" s="157"/>
      <c r="I119" s="157"/>
      <c r="J119" s="156" t="str">
        <f t="shared" si="1"/>
        <v/>
      </c>
      <c r="K119" s="157"/>
      <c r="L119" s="157"/>
      <c r="M119" s="157"/>
      <c r="N119" s="157"/>
      <c r="O119" s="156" t="s">
        <v>4280</v>
      </c>
      <c r="P119" s="163"/>
      <c r="Q119" s="494"/>
      <c r="R119" s="162"/>
    </row>
    <row r="120" spans="4:18" x14ac:dyDescent="0.25">
      <c r="D120" s="157" t="s">
        <v>4281</v>
      </c>
      <c r="E120" s="156" t="s">
        <v>4269</v>
      </c>
      <c r="F120" s="157"/>
      <c r="G120" s="156"/>
      <c r="H120" s="157"/>
      <c r="I120" s="157"/>
      <c r="J120" s="156" t="str">
        <f t="shared" si="1"/>
        <v/>
      </c>
      <c r="K120" s="157"/>
      <c r="L120" s="157"/>
      <c r="M120" s="157"/>
      <c r="N120" s="157"/>
      <c r="O120" s="156" t="s">
        <v>4282</v>
      </c>
      <c r="P120" s="163"/>
      <c r="Q120" s="494"/>
      <c r="R120" s="162"/>
    </row>
    <row r="121" spans="4:18" x14ac:dyDescent="0.25">
      <c r="D121" s="157" t="s">
        <v>4283</v>
      </c>
      <c r="E121" s="156" t="s">
        <v>4269</v>
      </c>
      <c r="F121" s="157"/>
      <c r="G121" s="156"/>
      <c r="H121" s="157"/>
      <c r="I121" s="157"/>
      <c r="J121" s="156" t="str">
        <f t="shared" si="1"/>
        <v/>
      </c>
      <c r="K121" s="157"/>
      <c r="L121" s="157"/>
      <c r="M121" s="157"/>
      <c r="N121" s="157"/>
      <c r="O121" s="156" t="s">
        <v>4284</v>
      </c>
      <c r="P121" s="163"/>
      <c r="Q121" s="494"/>
      <c r="R121" s="162"/>
    </row>
    <row r="122" spans="4:18" x14ac:dyDescent="0.25">
      <c r="D122" s="157" t="s">
        <v>4285</v>
      </c>
      <c r="E122" s="156" t="s">
        <v>4269</v>
      </c>
      <c r="F122" s="157"/>
      <c r="G122" s="156"/>
      <c r="H122" s="157"/>
      <c r="I122" s="157"/>
      <c r="J122" s="156" t="str">
        <f t="shared" si="1"/>
        <v/>
      </c>
      <c r="K122" s="157"/>
      <c r="L122" s="157"/>
      <c r="M122" s="157"/>
      <c r="N122" s="157"/>
      <c r="O122" s="156" t="s">
        <v>4286</v>
      </c>
      <c r="P122" s="163"/>
      <c r="Q122" s="494"/>
      <c r="R122" s="162"/>
    </row>
    <row r="123" spans="4:18" x14ac:dyDescent="0.25">
      <c r="D123" s="157" t="s">
        <v>4287</v>
      </c>
      <c r="E123" s="156" t="s">
        <v>4269</v>
      </c>
      <c r="F123" s="157"/>
      <c r="G123" s="156"/>
      <c r="H123" s="157"/>
      <c r="I123" s="157"/>
      <c r="J123" s="156" t="str">
        <f t="shared" si="1"/>
        <v/>
      </c>
      <c r="K123" s="157"/>
      <c r="L123" s="157"/>
      <c r="M123" s="157"/>
      <c r="N123" s="157"/>
      <c r="O123" s="156" t="s">
        <v>4288</v>
      </c>
      <c r="P123" s="163"/>
      <c r="Q123" s="494"/>
      <c r="R123" s="162"/>
    </row>
    <row r="124" spans="4:18" x14ac:dyDescent="0.25">
      <c r="D124" s="157" t="s">
        <v>4289</v>
      </c>
      <c r="E124" s="156" t="s">
        <v>4290</v>
      </c>
      <c r="F124" s="157"/>
      <c r="G124" s="156"/>
      <c r="H124" s="157"/>
      <c r="I124" s="157"/>
      <c r="J124" s="156" t="str">
        <f t="shared" si="1"/>
        <v/>
      </c>
      <c r="K124" s="157"/>
      <c r="L124" s="157"/>
      <c r="M124" s="157"/>
      <c r="N124" s="157"/>
      <c r="O124" s="156" t="s">
        <v>4291</v>
      </c>
      <c r="P124" s="163"/>
      <c r="Q124" s="494"/>
      <c r="R124" s="162"/>
    </row>
    <row r="125" spans="4:18" x14ac:dyDescent="0.25">
      <c r="D125" s="157" t="s">
        <v>4292</v>
      </c>
      <c r="E125" s="156" t="s">
        <v>4290</v>
      </c>
      <c r="F125" s="157"/>
      <c r="G125" s="156"/>
      <c r="H125" s="157"/>
      <c r="I125" s="157"/>
      <c r="J125" s="156" t="str">
        <f t="shared" si="1"/>
        <v/>
      </c>
      <c r="K125" s="157"/>
      <c r="L125" s="157"/>
      <c r="M125" s="157"/>
      <c r="N125" s="157"/>
      <c r="O125" s="156" t="s">
        <v>4293</v>
      </c>
      <c r="P125" s="163"/>
      <c r="Q125" s="494"/>
      <c r="R125" s="162"/>
    </row>
    <row r="126" spans="4:18" x14ac:dyDescent="0.25">
      <c r="D126" s="157" t="s">
        <v>4294</v>
      </c>
      <c r="E126" s="156" t="s">
        <v>4290</v>
      </c>
      <c r="F126" s="157"/>
      <c r="G126" s="156"/>
      <c r="H126" s="157"/>
      <c r="I126" s="157"/>
      <c r="J126" s="156" t="str">
        <f t="shared" si="1"/>
        <v/>
      </c>
      <c r="K126" s="157"/>
      <c r="L126" s="157"/>
      <c r="M126" s="157"/>
      <c r="N126" s="157"/>
      <c r="O126" s="156" t="s">
        <v>4295</v>
      </c>
      <c r="P126" s="163"/>
      <c r="Q126" s="494"/>
      <c r="R126" s="162"/>
    </row>
    <row r="127" spans="4:18" x14ac:dyDescent="0.25">
      <c r="D127" s="157" t="s">
        <v>4296</v>
      </c>
      <c r="E127" s="156" t="s">
        <v>4290</v>
      </c>
      <c r="F127" s="157"/>
      <c r="G127" s="156"/>
      <c r="H127" s="157"/>
      <c r="I127" s="157"/>
      <c r="J127" s="156" t="str">
        <f t="shared" si="1"/>
        <v/>
      </c>
      <c r="K127" s="157"/>
      <c r="L127" s="157"/>
      <c r="M127" s="157"/>
      <c r="N127" s="157"/>
      <c r="O127" s="156" t="s">
        <v>4297</v>
      </c>
      <c r="P127" s="163"/>
      <c r="Q127" s="494"/>
      <c r="R127" s="162"/>
    </row>
    <row r="128" spans="4:18" x14ac:dyDescent="0.25">
      <c r="D128" s="157" t="s">
        <v>4298</v>
      </c>
      <c r="E128" s="156" t="s">
        <v>4290</v>
      </c>
      <c r="F128" s="157"/>
      <c r="G128" s="156"/>
      <c r="H128" s="157"/>
      <c r="I128" s="157"/>
      <c r="J128" s="156" t="str">
        <f t="shared" si="1"/>
        <v/>
      </c>
      <c r="K128" s="157"/>
      <c r="L128" s="157"/>
      <c r="M128" s="157"/>
      <c r="N128" s="157"/>
      <c r="O128" s="156" t="s">
        <v>4299</v>
      </c>
      <c r="P128" s="163"/>
      <c r="Q128" s="494"/>
      <c r="R128" s="162"/>
    </row>
    <row r="129" spans="4:18" x14ac:dyDescent="0.25">
      <c r="D129" s="157" t="s">
        <v>4300</v>
      </c>
      <c r="E129" s="156" t="s">
        <v>4290</v>
      </c>
      <c r="F129" s="157"/>
      <c r="G129" s="156"/>
      <c r="H129" s="157"/>
      <c r="I129" s="157"/>
      <c r="J129" s="156" t="str">
        <f t="shared" si="1"/>
        <v/>
      </c>
      <c r="K129" s="157"/>
      <c r="L129" s="157"/>
      <c r="M129" s="157"/>
      <c r="N129" s="157"/>
      <c r="O129" s="156" t="s">
        <v>4301</v>
      </c>
      <c r="P129" s="163"/>
      <c r="Q129" s="494"/>
      <c r="R129" s="162"/>
    </row>
    <row r="130" spans="4:18" x14ac:dyDescent="0.25">
      <c r="D130" s="157" t="s">
        <v>4302</v>
      </c>
      <c r="E130" s="156" t="s">
        <v>4290</v>
      </c>
      <c r="F130" s="157"/>
      <c r="G130" s="156"/>
      <c r="H130" s="157"/>
      <c r="I130" s="157"/>
      <c r="J130" s="156" t="str">
        <f t="shared" si="1"/>
        <v/>
      </c>
      <c r="K130" s="157"/>
      <c r="L130" s="157"/>
      <c r="M130" s="157"/>
      <c r="N130" s="157"/>
      <c r="O130" s="156" t="s">
        <v>4303</v>
      </c>
      <c r="P130" s="163"/>
      <c r="Q130" s="494"/>
      <c r="R130" s="162"/>
    </row>
    <row r="131" spans="4:18" x14ac:dyDescent="0.25">
      <c r="D131" s="157" t="s">
        <v>4304</v>
      </c>
      <c r="E131" s="156" t="s">
        <v>4290</v>
      </c>
      <c r="F131" s="157"/>
      <c r="G131" s="156"/>
      <c r="H131" s="157"/>
      <c r="I131" s="157"/>
      <c r="J131" s="156" t="str">
        <f t="shared" si="1"/>
        <v/>
      </c>
      <c r="K131" s="157"/>
      <c r="L131" s="157"/>
      <c r="M131" s="157"/>
      <c r="N131" s="157"/>
      <c r="O131" s="156" t="s">
        <v>4305</v>
      </c>
      <c r="P131" s="163"/>
      <c r="Q131" s="494"/>
      <c r="R131" s="162"/>
    </row>
    <row r="132" spans="4:18" x14ac:dyDescent="0.25">
      <c r="D132" s="157" t="s">
        <v>4306</v>
      </c>
      <c r="E132" s="156" t="s">
        <v>4290</v>
      </c>
      <c r="F132" s="157"/>
      <c r="G132" s="156"/>
      <c r="H132" s="157"/>
      <c r="I132" s="157"/>
      <c r="J132" s="156" t="str">
        <f t="shared" ref="J132:J195" si="2">F132&amp;H132&amp;I132</f>
        <v/>
      </c>
      <c r="K132" s="157"/>
      <c r="L132" s="157"/>
      <c r="M132" s="157"/>
      <c r="N132" s="157"/>
      <c r="O132" s="156" t="s">
        <v>4307</v>
      </c>
      <c r="P132" s="163"/>
      <c r="Q132" s="494"/>
      <c r="R132" s="162"/>
    </row>
    <row r="133" spans="4:18" x14ac:dyDescent="0.25">
      <c r="D133" s="157" t="s">
        <v>4308</v>
      </c>
      <c r="E133" s="156" t="s">
        <v>4290</v>
      </c>
      <c r="F133" s="157"/>
      <c r="G133" s="156"/>
      <c r="H133" s="157"/>
      <c r="I133" s="157"/>
      <c r="J133" s="156" t="str">
        <f t="shared" si="2"/>
        <v/>
      </c>
      <c r="K133" s="157"/>
      <c r="L133" s="157"/>
      <c r="M133" s="157"/>
      <c r="N133" s="157"/>
      <c r="O133" s="156" t="s">
        <v>4309</v>
      </c>
      <c r="P133" s="163"/>
      <c r="Q133" s="494"/>
      <c r="R133" s="162"/>
    </row>
    <row r="134" spans="4:18" x14ac:dyDescent="0.25">
      <c r="D134" s="157" t="s">
        <v>4310</v>
      </c>
      <c r="E134" s="156" t="s">
        <v>4311</v>
      </c>
      <c r="F134" s="157"/>
      <c r="G134" s="156"/>
      <c r="H134" s="157"/>
      <c r="I134" s="157"/>
      <c r="J134" s="156" t="str">
        <f t="shared" si="2"/>
        <v/>
      </c>
      <c r="K134" s="157"/>
      <c r="L134" s="157"/>
      <c r="M134" s="157"/>
      <c r="N134" s="157"/>
      <c r="O134" s="156" t="s">
        <v>4312</v>
      </c>
      <c r="P134" s="163"/>
      <c r="Q134" s="494"/>
      <c r="R134" s="162"/>
    </row>
    <row r="135" spans="4:18" x14ac:dyDescent="0.25">
      <c r="D135" s="157" t="s">
        <v>4313</v>
      </c>
      <c r="E135" s="156" t="s">
        <v>4311</v>
      </c>
      <c r="F135" s="157"/>
      <c r="G135" s="156"/>
      <c r="H135" s="157"/>
      <c r="I135" s="157"/>
      <c r="J135" s="156" t="str">
        <f t="shared" si="2"/>
        <v/>
      </c>
      <c r="K135" s="157"/>
      <c r="L135" s="157"/>
      <c r="M135" s="157"/>
      <c r="N135" s="157"/>
      <c r="O135" s="156" t="s">
        <v>4314</v>
      </c>
      <c r="P135" s="163"/>
      <c r="Q135" s="494"/>
      <c r="R135" s="162"/>
    </row>
    <row r="136" spans="4:18" x14ac:dyDescent="0.25">
      <c r="D136" s="157" t="s">
        <v>4315</v>
      </c>
      <c r="E136" s="156" t="s">
        <v>4311</v>
      </c>
      <c r="F136" s="157"/>
      <c r="G136" s="156"/>
      <c r="H136" s="157"/>
      <c r="I136" s="157"/>
      <c r="J136" s="156" t="str">
        <f t="shared" si="2"/>
        <v/>
      </c>
      <c r="K136" s="157"/>
      <c r="L136" s="157"/>
      <c r="M136" s="157"/>
      <c r="N136" s="157"/>
      <c r="O136" s="156" t="s">
        <v>4316</v>
      </c>
      <c r="P136" s="163"/>
      <c r="Q136" s="494"/>
      <c r="R136" s="162"/>
    </row>
    <row r="137" spans="4:18" x14ac:dyDescent="0.25">
      <c r="D137" s="157" t="s">
        <v>4317</v>
      </c>
      <c r="E137" s="156" t="s">
        <v>4311</v>
      </c>
      <c r="F137" s="157"/>
      <c r="G137" s="156"/>
      <c r="H137" s="157"/>
      <c r="I137" s="157"/>
      <c r="J137" s="156" t="str">
        <f t="shared" si="2"/>
        <v/>
      </c>
      <c r="K137" s="157"/>
      <c r="L137" s="157"/>
      <c r="M137" s="157"/>
      <c r="N137" s="157"/>
      <c r="O137" s="156" t="s">
        <v>4318</v>
      </c>
      <c r="P137" s="163"/>
      <c r="Q137" s="494"/>
      <c r="R137" s="162"/>
    </row>
    <row r="138" spans="4:18" x14ac:dyDescent="0.25">
      <c r="D138" s="157" t="s">
        <v>4319</v>
      </c>
      <c r="E138" s="156" t="s">
        <v>4311</v>
      </c>
      <c r="F138" s="157"/>
      <c r="G138" s="156"/>
      <c r="H138" s="157"/>
      <c r="I138" s="157"/>
      <c r="J138" s="156" t="str">
        <f t="shared" si="2"/>
        <v/>
      </c>
      <c r="K138" s="157"/>
      <c r="L138" s="157"/>
      <c r="M138" s="157"/>
      <c r="N138" s="157"/>
      <c r="O138" s="156" t="s">
        <v>4320</v>
      </c>
      <c r="P138" s="163"/>
      <c r="Q138" s="494"/>
      <c r="R138" s="162"/>
    </row>
    <row r="139" spans="4:18" x14ac:dyDescent="0.25">
      <c r="D139" s="157" t="s">
        <v>4321</v>
      </c>
      <c r="E139" s="156" t="s">
        <v>4311</v>
      </c>
      <c r="F139" s="157"/>
      <c r="G139" s="156"/>
      <c r="H139" s="157"/>
      <c r="I139" s="157"/>
      <c r="J139" s="156" t="str">
        <f t="shared" si="2"/>
        <v/>
      </c>
      <c r="K139" s="157"/>
      <c r="L139" s="157"/>
      <c r="M139" s="157"/>
      <c r="N139" s="157"/>
      <c r="O139" s="156" t="s">
        <v>4322</v>
      </c>
      <c r="P139" s="163"/>
      <c r="Q139" s="494"/>
      <c r="R139" s="162"/>
    </row>
    <row r="140" spans="4:18" x14ac:dyDescent="0.25">
      <c r="D140" s="157" t="s">
        <v>4323</v>
      </c>
      <c r="E140" s="156" t="s">
        <v>4311</v>
      </c>
      <c r="F140" s="157"/>
      <c r="G140" s="156"/>
      <c r="H140" s="157"/>
      <c r="I140" s="157"/>
      <c r="J140" s="156" t="str">
        <f t="shared" si="2"/>
        <v/>
      </c>
      <c r="K140" s="157"/>
      <c r="L140" s="157"/>
      <c r="M140" s="157"/>
      <c r="N140" s="157"/>
      <c r="O140" s="156" t="s">
        <v>4324</v>
      </c>
      <c r="P140" s="163"/>
      <c r="Q140" s="494"/>
      <c r="R140" s="162"/>
    </row>
    <row r="141" spans="4:18" x14ac:dyDescent="0.25">
      <c r="D141" s="157" t="s">
        <v>4325</v>
      </c>
      <c r="E141" s="156" t="s">
        <v>4311</v>
      </c>
      <c r="F141" s="157"/>
      <c r="G141" s="156"/>
      <c r="H141" s="157"/>
      <c r="I141" s="157"/>
      <c r="J141" s="156" t="str">
        <f t="shared" si="2"/>
        <v/>
      </c>
      <c r="K141" s="157"/>
      <c r="L141" s="157"/>
      <c r="M141" s="157"/>
      <c r="N141" s="157"/>
      <c r="O141" s="156" t="s">
        <v>4326</v>
      </c>
      <c r="P141" s="163"/>
      <c r="Q141" s="494"/>
      <c r="R141" s="162"/>
    </row>
    <row r="142" spans="4:18" x14ac:dyDescent="0.25">
      <c r="D142" s="157" t="s">
        <v>4327</v>
      </c>
      <c r="E142" s="156" t="s">
        <v>4311</v>
      </c>
      <c r="F142" s="157"/>
      <c r="G142" s="156"/>
      <c r="H142" s="157"/>
      <c r="I142" s="157"/>
      <c r="J142" s="156" t="str">
        <f t="shared" si="2"/>
        <v/>
      </c>
      <c r="K142" s="157"/>
      <c r="L142" s="157"/>
      <c r="M142" s="157"/>
      <c r="N142" s="157"/>
      <c r="O142" s="156" t="s">
        <v>4328</v>
      </c>
      <c r="P142" s="163"/>
      <c r="Q142" s="494"/>
      <c r="R142" s="162"/>
    </row>
    <row r="143" spans="4:18" x14ac:dyDescent="0.25">
      <c r="D143" s="157" t="s">
        <v>4329</v>
      </c>
      <c r="E143" s="156" t="s">
        <v>4311</v>
      </c>
      <c r="F143" s="157"/>
      <c r="G143" s="156"/>
      <c r="H143" s="157"/>
      <c r="I143" s="157"/>
      <c r="J143" s="156" t="str">
        <f t="shared" si="2"/>
        <v/>
      </c>
      <c r="K143" s="157"/>
      <c r="L143" s="157"/>
      <c r="M143" s="157"/>
      <c r="N143" s="157"/>
      <c r="O143" s="156" t="s">
        <v>4330</v>
      </c>
      <c r="P143" s="163"/>
      <c r="Q143" s="494"/>
      <c r="R143" s="162"/>
    </row>
    <row r="144" spans="4:18" x14ac:dyDescent="0.25">
      <c r="D144" s="157" t="s">
        <v>4331</v>
      </c>
      <c r="E144" s="156" t="s">
        <v>4332</v>
      </c>
      <c r="F144" s="157"/>
      <c r="G144" s="156"/>
      <c r="H144" s="157"/>
      <c r="I144" s="157"/>
      <c r="J144" s="156" t="str">
        <f t="shared" si="2"/>
        <v/>
      </c>
      <c r="K144" s="157"/>
      <c r="L144" s="157"/>
      <c r="M144" s="157"/>
      <c r="N144" s="157"/>
      <c r="O144" s="156" t="s">
        <v>4333</v>
      </c>
      <c r="P144" s="163"/>
      <c r="Q144" s="494"/>
      <c r="R144" s="162"/>
    </row>
    <row r="145" spans="4:18" x14ac:dyDescent="0.25">
      <c r="D145" s="157" t="s">
        <v>4334</v>
      </c>
      <c r="E145" s="156" t="s">
        <v>4332</v>
      </c>
      <c r="F145" s="157"/>
      <c r="G145" s="156"/>
      <c r="H145" s="157"/>
      <c r="I145" s="157"/>
      <c r="J145" s="156" t="str">
        <f t="shared" si="2"/>
        <v/>
      </c>
      <c r="K145" s="157"/>
      <c r="L145" s="157"/>
      <c r="M145" s="157"/>
      <c r="N145" s="157"/>
      <c r="O145" s="156" t="s">
        <v>4335</v>
      </c>
      <c r="P145" s="163"/>
      <c r="Q145" s="494"/>
      <c r="R145" s="162"/>
    </row>
    <row r="146" spans="4:18" x14ac:dyDescent="0.25">
      <c r="D146" s="157" t="s">
        <v>4336</v>
      </c>
      <c r="E146" s="156" t="s">
        <v>4332</v>
      </c>
      <c r="F146" s="157"/>
      <c r="G146" s="156"/>
      <c r="H146" s="157"/>
      <c r="I146" s="157"/>
      <c r="J146" s="156" t="str">
        <f t="shared" si="2"/>
        <v/>
      </c>
      <c r="K146" s="157"/>
      <c r="L146" s="157"/>
      <c r="M146" s="157"/>
      <c r="N146" s="157"/>
      <c r="O146" s="156" t="s">
        <v>4337</v>
      </c>
      <c r="P146" s="163"/>
      <c r="Q146" s="494"/>
      <c r="R146" s="162"/>
    </row>
    <row r="147" spans="4:18" x14ac:dyDescent="0.25">
      <c r="D147" s="157" t="s">
        <v>4338</v>
      </c>
      <c r="E147" s="156" t="s">
        <v>4332</v>
      </c>
      <c r="F147" s="157"/>
      <c r="G147" s="156"/>
      <c r="H147" s="157"/>
      <c r="I147" s="157"/>
      <c r="J147" s="156" t="str">
        <f t="shared" si="2"/>
        <v/>
      </c>
      <c r="K147" s="157"/>
      <c r="L147" s="157"/>
      <c r="M147" s="157"/>
      <c r="N147" s="157"/>
      <c r="O147" s="156" t="s">
        <v>4339</v>
      </c>
      <c r="P147" s="163"/>
      <c r="Q147" s="494"/>
      <c r="R147" s="162"/>
    </row>
    <row r="148" spans="4:18" x14ac:dyDescent="0.25">
      <c r="D148" s="157" t="s">
        <v>4340</v>
      </c>
      <c r="E148" s="156" t="s">
        <v>4332</v>
      </c>
      <c r="F148" s="157"/>
      <c r="G148" s="156"/>
      <c r="H148" s="157"/>
      <c r="I148" s="157"/>
      <c r="J148" s="156" t="str">
        <f t="shared" si="2"/>
        <v/>
      </c>
      <c r="K148" s="157"/>
      <c r="L148" s="157"/>
      <c r="M148" s="157"/>
      <c r="N148" s="157"/>
      <c r="O148" s="156" t="s">
        <v>4341</v>
      </c>
      <c r="P148" s="163"/>
      <c r="Q148" s="494"/>
      <c r="R148" s="162"/>
    </row>
    <row r="149" spans="4:18" x14ac:dyDescent="0.25">
      <c r="D149" s="157" t="s">
        <v>4342</v>
      </c>
      <c r="E149" s="156" t="s">
        <v>4332</v>
      </c>
      <c r="F149" s="157"/>
      <c r="G149" s="156"/>
      <c r="H149" s="157"/>
      <c r="I149" s="157"/>
      <c r="J149" s="156" t="str">
        <f t="shared" si="2"/>
        <v/>
      </c>
      <c r="K149" s="157"/>
      <c r="L149" s="157"/>
      <c r="M149" s="157"/>
      <c r="N149" s="157"/>
      <c r="O149" s="156" t="s">
        <v>4343</v>
      </c>
      <c r="P149" s="163"/>
      <c r="Q149" s="494"/>
      <c r="R149" s="162"/>
    </row>
    <row r="150" spans="4:18" x14ac:dyDescent="0.25">
      <c r="D150" s="157" t="s">
        <v>4344</v>
      </c>
      <c r="E150" s="156" t="s">
        <v>4332</v>
      </c>
      <c r="F150" s="157"/>
      <c r="G150" s="156"/>
      <c r="H150" s="157"/>
      <c r="I150" s="157"/>
      <c r="J150" s="156" t="str">
        <f t="shared" si="2"/>
        <v/>
      </c>
      <c r="K150" s="157"/>
      <c r="L150" s="157"/>
      <c r="M150" s="157"/>
      <c r="N150" s="157"/>
      <c r="O150" s="156" t="s">
        <v>4345</v>
      </c>
      <c r="P150" s="163"/>
      <c r="Q150" s="494"/>
      <c r="R150" s="162"/>
    </row>
    <row r="151" spans="4:18" x14ac:dyDescent="0.25">
      <c r="D151" s="157" t="s">
        <v>4346</v>
      </c>
      <c r="E151" s="156" t="s">
        <v>4332</v>
      </c>
      <c r="F151" s="157"/>
      <c r="G151" s="156"/>
      <c r="H151" s="157"/>
      <c r="I151" s="157"/>
      <c r="J151" s="156" t="str">
        <f t="shared" si="2"/>
        <v/>
      </c>
      <c r="K151" s="157"/>
      <c r="L151" s="157"/>
      <c r="M151" s="157"/>
      <c r="N151" s="157"/>
      <c r="O151" s="156" t="s">
        <v>4347</v>
      </c>
      <c r="P151" s="163"/>
      <c r="Q151" s="494"/>
      <c r="R151" s="162"/>
    </row>
    <row r="152" spans="4:18" x14ac:dyDescent="0.25">
      <c r="D152" s="157" t="s">
        <v>4348</v>
      </c>
      <c r="E152" s="156" t="s">
        <v>4332</v>
      </c>
      <c r="F152" s="157"/>
      <c r="G152" s="156"/>
      <c r="H152" s="157"/>
      <c r="I152" s="157"/>
      <c r="J152" s="156" t="str">
        <f t="shared" si="2"/>
        <v/>
      </c>
      <c r="K152" s="157"/>
      <c r="L152" s="157"/>
      <c r="M152" s="157"/>
      <c r="N152" s="157"/>
      <c r="O152" s="156" t="s">
        <v>4349</v>
      </c>
      <c r="P152" s="163"/>
      <c r="Q152" s="494"/>
      <c r="R152" s="162"/>
    </row>
    <row r="153" spans="4:18" x14ac:dyDescent="0.25">
      <c r="D153" s="157" t="s">
        <v>4350</v>
      </c>
      <c r="E153" s="156" t="s">
        <v>4332</v>
      </c>
      <c r="F153" s="157"/>
      <c r="G153" s="156"/>
      <c r="H153" s="157"/>
      <c r="I153" s="157"/>
      <c r="J153" s="156" t="str">
        <f t="shared" si="2"/>
        <v/>
      </c>
      <c r="K153" s="157"/>
      <c r="L153" s="157"/>
      <c r="M153" s="157"/>
      <c r="N153" s="157"/>
      <c r="O153" s="156" t="s">
        <v>4351</v>
      </c>
      <c r="P153" s="163"/>
      <c r="Q153" s="494"/>
      <c r="R153" s="162"/>
    </row>
    <row r="154" spans="4:18" x14ac:dyDescent="0.25">
      <c r="D154" s="157" t="s">
        <v>4352</v>
      </c>
      <c r="E154" s="156" t="s">
        <v>4353</v>
      </c>
      <c r="F154" s="157" t="s">
        <v>2819</v>
      </c>
      <c r="G154" s="156"/>
      <c r="H154" s="157"/>
      <c r="I154" s="157"/>
      <c r="J154" s="156" t="str">
        <f t="shared" si="2"/>
        <v>TB I-3⁽ᴹ⁾ TB mortality rate per 100,000 population</v>
      </c>
      <c r="K154" s="157"/>
      <c r="L154" s="157"/>
      <c r="M154" s="157"/>
      <c r="N154" s="157"/>
      <c r="O154" s="156" t="s">
        <v>4354</v>
      </c>
      <c r="P154" s="163"/>
      <c r="Q154" s="494"/>
      <c r="R154" s="162"/>
    </row>
    <row r="155" spans="4:18" x14ac:dyDescent="0.25">
      <c r="D155" s="157" t="s">
        <v>4355</v>
      </c>
      <c r="E155" s="156" t="s">
        <v>4353</v>
      </c>
      <c r="F155" s="157" t="s">
        <v>2819</v>
      </c>
      <c r="G155" s="156"/>
      <c r="H155" s="157"/>
      <c r="I155" s="157"/>
      <c r="J155" s="156" t="str">
        <f t="shared" si="2"/>
        <v>TB I-3⁽ᴹ⁾ TB mortality rate per 100,000 population</v>
      </c>
      <c r="K155" s="157"/>
      <c r="L155" s="157"/>
      <c r="M155" s="157"/>
      <c r="N155" s="157"/>
      <c r="O155" s="156" t="s">
        <v>4356</v>
      </c>
      <c r="P155" s="163"/>
      <c r="Q155" s="494"/>
      <c r="R155" s="162"/>
    </row>
    <row r="156" spans="4:18" x14ac:dyDescent="0.25">
      <c r="D156" s="157" t="s">
        <v>4357</v>
      </c>
      <c r="E156" s="156" t="s">
        <v>4353</v>
      </c>
      <c r="F156" s="157" t="s">
        <v>2819</v>
      </c>
      <c r="G156" s="156"/>
      <c r="H156" s="157"/>
      <c r="I156" s="157"/>
      <c r="J156" s="156" t="str">
        <f t="shared" si="2"/>
        <v>TB I-3⁽ᴹ⁾ TB mortality rate per 100,000 population</v>
      </c>
      <c r="K156" s="157"/>
      <c r="L156" s="157"/>
      <c r="M156" s="157"/>
      <c r="N156" s="157"/>
      <c r="O156" s="156" t="s">
        <v>4358</v>
      </c>
      <c r="P156" s="163"/>
      <c r="Q156" s="494"/>
      <c r="R156" s="162"/>
    </row>
    <row r="157" spans="4:18" x14ac:dyDescent="0.25">
      <c r="D157" s="157" t="s">
        <v>4359</v>
      </c>
      <c r="E157" s="156" t="s">
        <v>4353</v>
      </c>
      <c r="F157" s="157" t="s">
        <v>2819</v>
      </c>
      <c r="G157" s="156"/>
      <c r="H157" s="157"/>
      <c r="I157" s="157"/>
      <c r="J157" s="156" t="str">
        <f t="shared" si="2"/>
        <v>TB I-3⁽ᴹ⁾ TB mortality rate per 100,000 population</v>
      </c>
      <c r="K157" s="157"/>
      <c r="L157" s="157"/>
      <c r="M157" s="157"/>
      <c r="N157" s="157"/>
      <c r="O157" s="156" t="s">
        <v>4360</v>
      </c>
      <c r="P157" s="163"/>
      <c r="Q157" s="494"/>
      <c r="R157" s="162"/>
    </row>
    <row r="158" spans="4:18" x14ac:dyDescent="0.25">
      <c r="D158" s="157" t="s">
        <v>4361</v>
      </c>
      <c r="E158" s="156" t="s">
        <v>4353</v>
      </c>
      <c r="F158" s="157" t="s">
        <v>2819</v>
      </c>
      <c r="G158" s="156"/>
      <c r="H158" s="157"/>
      <c r="I158" s="157"/>
      <c r="J158" s="156" t="str">
        <f t="shared" si="2"/>
        <v>TB I-3⁽ᴹ⁾ TB mortality rate per 100,000 population</v>
      </c>
      <c r="K158" s="157"/>
      <c r="L158" s="157"/>
      <c r="M158" s="157"/>
      <c r="N158" s="157"/>
      <c r="O158" s="156" t="s">
        <v>4362</v>
      </c>
      <c r="P158" s="163"/>
      <c r="Q158" s="494"/>
      <c r="R158" s="162"/>
    </row>
    <row r="159" spans="4:18" x14ac:dyDescent="0.25">
      <c r="D159" s="157" t="s">
        <v>4363</v>
      </c>
      <c r="E159" s="156" t="s">
        <v>4353</v>
      </c>
      <c r="F159" s="157" t="s">
        <v>2819</v>
      </c>
      <c r="G159" s="156"/>
      <c r="H159" s="157"/>
      <c r="I159" s="157"/>
      <c r="J159" s="156" t="str">
        <f t="shared" si="2"/>
        <v>TB I-3⁽ᴹ⁾ TB mortality rate per 100,000 population</v>
      </c>
      <c r="K159" s="157"/>
      <c r="L159" s="157"/>
      <c r="M159" s="157"/>
      <c r="N159" s="157"/>
      <c r="O159" s="156" t="s">
        <v>4364</v>
      </c>
      <c r="P159" s="163"/>
      <c r="Q159" s="494"/>
      <c r="R159" s="162"/>
    </row>
    <row r="160" spans="4:18" x14ac:dyDescent="0.25">
      <c r="D160" s="157" t="s">
        <v>4365</v>
      </c>
      <c r="E160" s="156" t="s">
        <v>4353</v>
      </c>
      <c r="F160" s="157" t="s">
        <v>2819</v>
      </c>
      <c r="G160" s="156"/>
      <c r="H160" s="157"/>
      <c r="I160" s="157"/>
      <c r="J160" s="156" t="str">
        <f t="shared" si="2"/>
        <v>TB I-3⁽ᴹ⁾ TB mortality rate per 100,000 population</v>
      </c>
      <c r="K160" s="157"/>
      <c r="L160" s="157"/>
      <c r="M160" s="157"/>
      <c r="N160" s="157"/>
      <c r="O160" s="156" t="s">
        <v>4366</v>
      </c>
      <c r="P160" s="163"/>
      <c r="Q160" s="494"/>
      <c r="R160" s="162"/>
    </row>
    <row r="161" spans="4:18" x14ac:dyDescent="0.25">
      <c r="D161" s="157" t="s">
        <v>4367</v>
      </c>
      <c r="E161" s="156" t="s">
        <v>4353</v>
      </c>
      <c r="F161" s="157" t="s">
        <v>2819</v>
      </c>
      <c r="G161" s="156"/>
      <c r="H161" s="157"/>
      <c r="I161" s="157"/>
      <c r="J161" s="156" t="str">
        <f t="shared" si="2"/>
        <v>TB I-3⁽ᴹ⁾ TB mortality rate per 100,000 population</v>
      </c>
      <c r="K161" s="157"/>
      <c r="L161" s="157"/>
      <c r="M161" s="157"/>
      <c r="N161" s="157"/>
      <c r="O161" s="156" t="s">
        <v>4368</v>
      </c>
      <c r="P161" s="163"/>
      <c r="Q161" s="494"/>
      <c r="R161" s="162"/>
    </row>
    <row r="162" spans="4:18" x14ac:dyDescent="0.25">
      <c r="D162" s="157" t="s">
        <v>4369</v>
      </c>
      <c r="E162" s="156" t="s">
        <v>4353</v>
      </c>
      <c r="F162" s="157" t="s">
        <v>2819</v>
      </c>
      <c r="G162" s="156"/>
      <c r="H162" s="157"/>
      <c r="I162" s="157"/>
      <c r="J162" s="156" t="str">
        <f t="shared" si="2"/>
        <v>TB I-3⁽ᴹ⁾ TB mortality rate per 100,000 population</v>
      </c>
      <c r="K162" s="157"/>
      <c r="L162" s="157"/>
      <c r="M162" s="157"/>
      <c r="N162" s="157"/>
      <c r="O162" s="156" t="s">
        <v>4370</v>
      </c>
      <c r="P162" s="163"/>
      <c r="Q162" s="494"/>
      <c r="R162" s="162"/>
    </row>
    <row r="163" spans="4:18" x14ac:dyDescent="0.25">
      <c r="D163" s="157" t="s">
        <v>4371</v>
      </c>
      <c r="E163" s="156" t="s">
        <v>4353</v>
      </c>
      <c r="F163" s="157" t="s">
        <v>2819</v>
      </c>
      <c r="G163" s="156"/>
      <c r="H163" s="157"/>
      <c r="I163" s="157"/>
      <c r="J163" s="156" t="str">
        <f t="shared" si="2"/>
        <v>TB I-3⁽ᴹ⁾ TB mortality rate per 100,000 population</v>
      </c>
      <c r="K163" s="157"/>
      <c r="L163" s="157"/>
      <c r="M163" s="157"/>
      <c r="N163" s="157"/>
      <c r="O163" s="156" t="s">
        <v>4372</v>
      </c>
      <c r="P163" s="163"/>
      <c r="Q163" s="494"/>
      <c r="R163" s="162"/>
    </row>
    <row r="164" spans="4:18" x14ac:dyDescent="0.25">
      <c r="D164" s="157" t="s">
        <v>4373</v>
      </c>
      <c r="E164" s="156" t="s">
        <v>4374</v>
      </c>
      <c r="F164" s="157"/>
      <c r="G164" s="156"/>
      <c r="H164" s="157"/>
      <c r="I164" s="157"/>
      <c r="J164" s="156" t="str">
        <f t="shared" si="2"/>
        <v/>
      </c>
      <c r="K164" s="157"/>
      <c r="L164" s="157"/>
      <c r="M164" s="157"/>
      <c r="N164" s="157"/>
      <c r="O164" s="156" t="s">
        <v>4375</v>
      </c>
      <c r="P164" s="163"/>
      <c r="Q164" s="494"/>
      <c r="R164" s="162"/>
    </row>
    <row r="165" spans="4:18" x14ac:dyDescent="0.25">
      <c r="D165" s="157" t="s">
        <v>4376</v>
      </c>
      <c r="E165" s="156" t="s">
        <v>4374</v>
      </c>
      <c r="F165" s="157"/>
      <c r="G165" s="156"/>
      <c r="H165" s="157"/>
      <c r="I165" s="157"/>
      <c r="J165" s="156" t="str">
        <f t="shared" si="2"/>
        <v/>
      </c>
      <c r="K165" s="157"/>
      <c r="L165" s="157"/>
      <c r="M165" s="157"/>
      <c r="N165" s="157"/>
      <c r="O165" s="156" t="s">
        <v>4377</v>
      </c>
      <c r="P165" s="163"/>
      <c r="Q165" s="494"/>
      <c r="R165" s="162"/>
    </row>
    <row r="166" spans="4:18" x14ac:dyDescent="0.25">
      <c r="D166" s="157" t="s">
        <v>4378</v>
      </c>
      <c r="E166" s="156" t="s">
        <v>4374</v>
      </c>
      <c r="F166" s="157"/>
      <c r="G166" s="156"/>
      <c r="H166" s="157"/>
      <c r="I166" s="157"/>
      <c r="J166" s="156" t="str">
        <f t="shared" si="2"/>
        <v/>
      </c>
      <c r="K166" s="157"/>
      <c r="L166" s="157"/>
      <c r="M166" s="157"/>
      <c r="N166" s="157"/>
      <c r="O166" s="156" t="s">
        <v>4379</v>
      </c>
      <c r="P166" s="163"/>
      <c r="Q166" s="494"/>
      <c r="R166" s="162"/>
    </row>
    <row r="167" spans="4:18" x14ac:dyDescent="0.25">
      <c r="D167" s="157" t="s">
        <v>4380</v>
      </c>
      <c r="E167" s="156" t="s">
        <v>4374</v>
      </c>
      <c r="F167" s="157"/>
      <c r="G167" s="156"/>
      <c r="H167" s="157"/>
      <c r="I167" s="157"/>
      <c r="J167" s="156" t="str">
        <f t="shared" si="2"/>
        <v/>
      </c>
      <c r="K167" s="157"/>
      <c r="L167" s="157"/>
      <c r="M167" s="157"/>
      <c r="N167" s="157"/>
      <c r="O167" s="156" t="s">
        <v>4381</v>
      </c>
      <c r="P167" s="163"/>
      <c r="Q167" s="494"/>
      <c r="R167" s="162"/>
    </row>
    <row r="168" spans="4:18" x14ac:dyDescent="0.25">
      <c r="D168" s="157" t="s">
        <v>4382</v>
      </c>
      <c r="E168" s="156" t="s">
        <v>4374</v>
      </c>
      <c r="F168" s="157"/>
      <c r="G168" s="156"/>
      <c r="H168" s="157"/>
      <c r="I168" s="157"/>
      <c r="J168" s="156" t="str">
        <f t="shared" si="2"/>
        <v/>
      </c>
      <c r="K168" s="157"/>
      <c r="L168" s="157"/>
      <c r="M168" s="157"/>
      <c r="N168" s="157"/>
      <c r="O168" s="156" t="s">
        <v>4383</v>
      </c>
      <c r="P168" s="163"/>
      <c r="Q168" s="494"/>
      <c r="R168" s="162"/>
    </row>
    <row r="169" spans="4:18" x14ac:dyDescent="0.25">
      <c r="D169" s="157" t="s">
        <v>4384</v>
      </c>
      <c r="E169" s="156" t="s">
        <v>4374</v>
      </c>
      <c r="F169" s="157"/>
      <c r="G169" s="156"/>
      <c r="H169" s="157"/>
      <c r="I169" s="157"/>
      <c r="J169" s="156" t="str">
        <f t="shared" si="2"/>
        <v/>
      </c>
      <c r="K169" s="157"/>
      <c r="L169" s="157"/>
      <c r="M169" s="157"/>
      <c r="N169" s="157"/>
      <c r="O169" s="156" t="s">
        <v>4385</v>
      </c>
      <c r="P169" s="163"/>
      <c r="Q169" s="494"/>
      <c r="R169" s="162"/>
    </row>
    <row r="170" spans="4:18" x14ac:dyDescent="0.25">
      <c r="D170" s="157" t="s">
        <v>4386</v>
      </c>
      <c r="E170" s="156" t="s">
        <v>4374</v>
      </c>
      <c r="F170" s="157"/>
      <c r="G170" s="156"/>
      <c r="H170" s="157"/>
      <c r="I170" s="157"/>
      <c r="J170" s="156" t="str">
        <f t="shared" si="2"/>
        <v/>
      </c>
      <c r="K170" s="157"/>
      <c r="L170" s="157"/>
      <c r="M170" s="157"/>
      <c r="N170" s="157"/>
      <c r="O170" s="156" t="s">
        <v>4387</v>
      </c>
      <c r="P170" s="163"/>
      <c r="Q170" s="494"/>
      <c r="R170" s="162"/>
    </row>
    <row r="171" spans="4:18" x14ac:dyDescent="0.25">
      <c r="D171" s="157" t="s">
        <v>4388</v>
      </c>
      <c r="E171" s="156" t="s">
        <v>4374</v>
      </c>
      <c r="F171" s="157"/>
      <c r="G171" s="156"/>
      <c r="H171" s="157"/>
      <c r="I171" s="157"/>
      <c r="J171" s="156" t="str">
        <f t="shared" si="2"/>
        <v/>
      </c>
      <c r="K171" s="157"/>
      <c r="L171" s="157"/>
      <c r="M171" s="157"/>
      <c r="N171" s="157"/>
      <c r="O171" s="156" t="s">
        <v>4389</v>
      </c>
      <c r="P171" s="163"/>
      <c r="Q171" s="494"/>
      <c r="R171" s="162"/>
    </row>
    <row r="172" spans="4:18" x14ac:dyDescent="0.25">
      <c r="D172" s="157" t="s">
        <v>4390</v>
      </c>
      <c r="E172" s="156" t="s">
        <v>4374</v>
      </c>
      <c r="F172" s="157"/>
      <c r="G172" s="156"/>
      <c r="H172" s="157"/>
      <c r="I172" s="157"/>
      <c r="J172" s="156" t="str">
        <f t="shared" si="2"/>
        <v/>
      </c>
      <c r="K172" s="157"/>
      <c r="L172" s="157"/>
      <c r="M172" s="157"/>
      <c r="N172" s="157"/>
      <c r="O172" s="156" t="s">
        <v>4391</v>
      </c>
      <c r="P172" s="163"/>
      <c r="Q172" s="494"/>
      <c r="R172" s="162"/>
    </row>
    <row r="173" spans="4:18" x14ac:dyDescent="0.25">
      <c r="D173" s="157" t="s">
        <v>4392</v>
      </c>
      <c r="E173" s="156" t="s">
        <v>4374</v>
      </c>
      <c r="F173" s="157"/>
      <c r="G173" s="156"/>
      <c r="H173" s="157"/>
      <c r="I173" s="157"/>
      <c r="J173" s="156" t="str">
        <f t="shared" si="2"/>
        <v/>
      </c>
      <c r="K173" s="157"/>
      <c r="L173" s="157"/>
      <c r="M173" s="157"/>
      <c r="N173" s="157"/>
      <c r="O173" s="156" t="s">
        <v>4393</v>
      </c>
      <c r="P173" s="163"/>
      <c r="Q173" s="494"/>
      <c r="R173" s="162"/>
    </row>
    <row r="174" spans="4:18" x14ac:dyDescent="0.25">
      <c r="D174" s="157" t="s">
        <v>4394</v>
      </c>
      <c r="E174" s="156" t="s">
        <v>4395</v>
      </c>
      <c r="F174" s="157"/>
      <c r="G174" s="156"/>
      <c r="H174" s="157"/>
      <c r="I174" s="157"/>
      <c r="J174" s="156" t="str">
        <f t="shared" si="2"/>
        <v/>
      </c>
      <c r="K174" s="157"/>
      <c r="L174" s="157"/>
      <c r="M174" s="157"/>
      <c r="N174" s="157"/>
      <c r="O174" s="156" t="s">
        <v>4396</v>
      </c>
      <c r="P174" s="163"/>
      <c r="Q174" s="494"/>
      <c r="R174" s="162"/>
    </row>
    <row r="175" spans="4:18" x14ac:dyDescent="0.25">
      <c r="D175" s="157" t="s">
        <v>4397</v>
      </c>
      <c r="E175" s="156" t="s">
        <v>4395</v>
      </c>
      <c r="F175" s="157"/>
      <c r="G175" s="156"/>
      <c r="H175" s="157"/>
      <c r="I175" s="157"/>
      <c r="J175" s="156" t="str">
        <f t="shared" si="2"/>
        <v/>
      </c>
      <c r="K175" s="157"/>
      <c r="L175" s="157"/>
      <c r="M175" s="157"/>
      <c r="N175" s="157"/>
      <c r="O175" s="156" t="s">
        <v>4398</v>
      </c>
      <c r="P175" s="163"/>
      <c r="Q175" s="494"/>
      <c r="R175" s="162"/>
    </row>
    <row r="176" spans="4:18" x14ac:dyDescent="0.25">
      <c r="D176" s="157" t="s">
        <v>4399</v>
      </c>
      <c r="E176" s="156" t="s">
        <v>4395</v>
      </c>
      <c r="F176" s="157"/>
      <c r="G176" s="156"/>
      <c r="H176" s="157"/>
      <c r="I176" s="157"/>
      <c r="J176" s="156" t="str">
        <f t="shared" si="2"/>
        <v/>
      </c>
      <c r="K176" s="157"/>
      <c r="L176" s="157"/>
      <c r="M176" s="157"/>
      <c r="N176" s="157"/>
      <c r="O176" s="156" t="s">
        <v>4400</v>
      </c>
      <c r="P176" s="163"/>
      <c r="Q176" s="494"/>
      <c r="R176" s="162"/>
    </row>
    <row r="177" spans="4:18" x14ac:dyDescent="0.25">
      <c r="D177" s="157" t="s">
        <v>4401</v>
      </c>
      <c r="E177" s="156" t="s">
        <v>4395</v>
      </c>
      <c r="F177" s="157"/>
      <c r="G177" s="156"/>
      <c r="H177" s="157"/>
      <c r="I177" s="157"/>
      <c r="J177" s="156" t="str">
        <f t="shared" si="2"/>
        <v/>
      </c>
      <c r="K177" s="157"/>
      <c r="L177" s="157"/>
      <c r="M177" s="157"/>
      <c r="N177" s="157"/>
      <c r="O177" s="156" t="s">
        <v>4402</v>
      </c>
      <c r="P177" s="163"/>
      <c r="Q177" s="494"/>
      <c r="R177" s="162"/>
    </row>
    <row r="178" spans="4:18" x14ac:dyDescent="0.25">
      <c r="D178" s="157" t="s">
        <v>4403</v>
      </c>
      <c r="E178" s="156" t="s">
        <v>4395</v>
      </c>
      <c r="F178" s="157"/>
      <c r="G178" s="156"/>
      <c r="H178" s="157"/>
      <c r="I178" s="157"/>
      <c r="J178" s="156" t="str">
        <f t="shared" si="2"/>
        <v/>
      </c>
      <c r="K178" s="157"/>
      <c r="L178" s="157"/>
      <c r="M178" s="157"/>
      <c r="N178" s="157"/>
      <c r="O178" s="156" t="s">
        <v>4404</v>
      </c>
      <c r="P178" s="163"/>
      <c r="Q178" s="494"/>
      <c r="R178" s="162"/>
    </row>
    <row r="179" spans="4:18" x14ac:dyDescent="0.25">
      <c r="D179" s="157" t="s">
        <v>4405</v>
      </c>
      <c r="E179" s="156" t="s">
        <v>4395</v>
      </c>
      <c r="F179" s="157"/>
      <c r="G179" s="156"/>
      <c r="H179" s="157"/>
      <c r="I179" s="157"/>
      <c r="J179" s="156" t="str">
        <f t="shared" si="2"/>
        <v/>
      </c>
      <c r="K179" s="157"/>
      <c r="L179" s="157"/>
      <c r="M179" s="157"/>
      <c r="N179" s="157"/>
      <c r="O179" s="156" t="s">
        <v>4406</v>
      </c>
      <c r="P179" s="163"/>
      <c r="Q179" s="494"/>
      <c r="R179" s="162"/>
    </row>
    <row r="180" spans="4:18" x14ac:dyDescent="0.25">
      <c r="D180" s="157" t="s">
        <v>4407</v>
      </c>
      <c r="E180" s="156" t="s">
        <v>4395</v>
      </c>
      <c r="F180" s="157"/>
      <c r="G180" s="156"/>
      <c r="H180" s="157"/>
      <c r="I180" s="157"/>
      <c r="J180" s="156" t="str">
        <f t="shared" si="2"/>
        <v/>
      </c>
      <c r="K180" s="157"/>
      <c r="L180" s="157"/>
      <c r="M180" s="157"/>
      <c r="N180" s="157"/>
      <c r="O180" s="156" t="s">
        <v>4408</v>
      </c>
      <c r="P180" s="163"/>
      <c r="Q180" s="494"/>
      <c r="R180" s="162"/>
    </row>
    <row r="181" spans="4:18" x14ac:dyDescent="0.25">
      <c r="D181" s="157" t="s">
        <v>4409</v>
      </c>
      <c r="E181" s="156" t="s">
        <v>4395</v>
      </c>
      <c r="F181" s="157"/>
      <c r="G181" s="156"/>
      <c r="H181" s="157"/>
      <c r="I181" s="157"/>
      <c r="J181" s="156" t="str">
        <f t="shared" si="2"/>
        <v/>
      </c>
      <c r="K181" s="157"/>
      <c r="L181" s="157"/>
      <c r="M181" s="157"/>
      <c r="N181" s="157"/>
      <c r="O181" s="156" t="s">
        <v>4410</v>
      </c>
      <c r="P181" s="163"/>
      <c r="Q181" s="494"/>
      <c r="R181" s="162"/>
    </row>
    <row r="182" spans="4:18" x14ac:dyDescent="0.25">
      <c r="D182" s="157" t="s">
        <v>4411</v>
      </c>
      <c r="E182" s="156" t="s">
        <v>4395</v>
      </c>
      <c r="F182" s="157"/>
      <c r="G182" s="156"/>
      <c r="H182" s="157"/>
      <c r="I182" s="157"/>
      <c r="J182" s="156" t="str">
        <f t="shared" si="2"/>
        <v/>
      </c>
      <c r="K182" s="157"/>
      <c r="L182" s="157"/>
      <c r="M182" s="157"/>
      <c r="N182" s="157"/>
      <c r="O182" s="156" t="s">
        <v>4412</v>
      </c>
      <c r="P182" s="163"/>
      <c r="Q182" s="494"/>
      <c r="R182" s="162"/>
    </row>
    <row r="183" spans="4:18" x14ac:dyDescent="0.25">
      <c r="D183" s="157" t="s">
        <v>4413</v>
      </c>
      <c r="E183" s="156" t="s">
        <v>4395</v>
      </c>
      <c r="F183" s="157"/>
      <c r="G183" s="156"/>
      <c r="H183" s="157"/>
      <c r="I183" s="157"/>
      <c r="J183" s="156" t="str">
        <f t="shared" si="2"/>
        <v/>
      </c>
      <c r="K183" s="157"/>
      <c r="L183" s="157"/>
      <c r="M183" s="157"/>
      <c r="N183" s="157"/>
      <c r="O183" s="156" t="s">
        <v>4414</v>
      </c>
      <c r="P183" s="163"/>
      <c r="Q183" s="494"/>
      <c r="R183" s="162"/>
    </row>
    <row r="184" spans="4:18" x14ac:dyDescent="0.25">
      <c r="D184" s="157" t="s">
        <v>4415</v>
      </c>
      <c r="E184" s="156" t="s">
        <v>4416</v>
      </c>
      <c r="F184" s="157"/>
      <c r="G184" s="156"/>
      <c r="H184" s="157"/>
      <c r="I184" s="157"/>
      <c r="J184" s="156" t="str">
        <f t="shared" si="2"/>
        <v/>
      </c>
      <c r="K184" s="157"/>
      <c r="L184" s="157"/>
      <c r="M184" s="157"/>
      <c r="N184" s="157"/>
      <c r="O184" s="156" t="s">
        <v>4417</v>
      </c>
      <c r="P184" s="163"/>
      <c r="Q184" s="494"/>
      <c r="R184" s="162"/>
    </row>
    <row r="185" spans="4:18" x14ac:dyDescent="0.25">
      <c r="D185" s="157" t="s">
        <v>4418</v>
      </c>
      <c r="E185" s="156" t="s">
        <v>4416</v>
      </c>
      <c r="F185" s="157"/>
      <c r="G185" s="156"/>
      <c r="H185" s="157"/>
      <c r="I185" s="157"/>
      <c r="J185" s="156" t="str">
        <f t="shared" si="2"/>
        <v/>
      </c>
      <c r="K185" s="157"/>
      <c r="L185" s="157"/>
      <c r="M185" s="157"/>
      <c r="N185" s="157"/>
      <c r="O185" s="156" t="s">
        <v>4419</v>
      </c>
      <c r="P185" s="163"/>
      <c r="Q185" s="494"/>
      <c r="R185" s="162"/>
    </row>
    <row r="186" spans="4:18" x14ac:dyDescent="0.25">
      <c r="D186" s="157" t="s">
        <v>4420</v>
      </c>
      <c r="E186" s="156" t="s">
        <v>4416</v>
      </c>
      <c r="F186" s="157"/>
      <c r="G186" s="156"/>
      <c r="H186" s="157"/>
      <c r="I186" s="157"/>
      <c r="J186" s="156" t="str">
        <f t="shared" si="2"/>
        <v/>
      </c>
      <c r="K186" s="157"/>
      <c r="L186" s="157"/>
      <c r="M186" s="157"/>
      <c r="N186" s="157"/>
      <c r="O186" s="156" t="s">
        <v>4421</v>
      </c>
      <c r="P186" s="163"/>
      <c r="Q186" s="494"/>
      <c r="R186" s="162"/>
    </row>
    <row r="187" spans="4:18" x14ac:dyDescent="0.25">
      <c r="D187" s="157" t="s">
        <v>4422</v>
      </c>
      <c r="E187" s="156" t="s">
        <v>4416</v>
      </c>
      <c r="F187" s="157"/>
      <c r="G187" s="156"/>
      <c r="H187" s="157"/>
      <c r="I187" s="157"/>
      <c r="J187" s="156" t="str">
        <f t="shared" si="2"/>
        <v/>
      </c>
      <c r="K187" s="157"/>
      <c r="L187" s="157"/>
      <c r="M187" s="157"/>
      <c r="N187" s="157"/>
      <c r="O187" s="156" t="s">
        <v>4423</v>
      </c>
      <c r="P187" s="163"/>
      <c r="Q187" s="494"/>
      <c r="R187" s="162"/>
    </row>
    <row r="188" spans="4:18" x14ac:dyDescent="0.25">
      <c r="D188" s="157" t="s">
        <v>4424</v>
      </c>
      <c r="E188" s="156" t="s">
        <v>4416</v>
      </c>
      <c r="F188" s="157"/>
      <c r="G188" s="156"/>
      <c r="H188" s="157"/>
      <c r="I188" s="157"/>
      <c r="J188" s="156" t="str">
        <f t="shared" si="2"/>
        <v/>
      </c>
      <c r="K188" s="157"/>
      <c r="L188" s="157"/>
      <c r="M188" s="157"/>
      <c r="N188" s="157"/>
      <c r="O188" s="156" t="s">
        <v>4425</v>
      </c>
      <c r="P188" s="163"/>
      <c r="Q188" s="494"/>
      <c r="R188" s="162"/>
    </row>
    <row r="189" spans="4:18" x14ac:dyDescent="0.25">
      <c r="D189" s="157" t="s">
        <v>4426</v>
      </c>
      <c r="E189" s="156" t="s">
        <v>4416</v>
      </c>
      <c r="F189" s="157"/>
      <c r="G189" s="156"/>
      <c r="H189" s="157"/>
      <c r="I189" s="157"/>
      <c r="J189" s="156" t="str">
        <f t="shared" si="2"/>
        <v/>
      </c>
      <c r="K189" s="157"/>
      <c r="L189" s="157"/>
      <c r="M189" s="157"/>
      <c r="N189" s="157"/>
      <c r="O189" s="156" t="s">
        <v>4427</v>
      </c>
      <c r="P189" s="163"/>
      <c r="Q189" s="494"/>
      <c r="R189" s="162"/>
    </row>
    <row r="190" spans="4:18" x14ac:dyDescent="0.25">
      <c r="D190" s="157" t="s">
        <v>4428</v>
      </c>
      <c r="E190" s="156" t="s">
        <v>4416</v>
      </c>
      <c r="F190" s="157"/>
      <c r="G190" s="156"/>
      <c r="H190" s="157"/>
      <c r="I190" s="157"/>
      <c r="J190" s="156" t="str">
        <f t="shared" si="2"/>
        <v/>
      </c>
      <c r="K190" s="157"/>
      <c r="L190" s="157"/>
      <c r="M190" s="157"/>
      <c r="N190" s="157"/>
      <c r="O190" s="156" t="s">
        <v>4429</v>
      </c>
      <c r="P190" s="163"/>
      <c r="Q190" s="494"/>
      <c r="R190" s="162"/>
    </row>
    <row r="191" spans="4:18" x14ac:dyDescent="0.25">
      <c r="D191" s="157" t="s">
        <v>4430</v>
      </c>
      <c r="E191" s="156" t="s">
        <v>4416</v>
      </c>
      <c r="F191" s="157"/>
      <c r="G191" s="156"/>
      <c r="H191" s="157"/>
      <c r="I191" s="157"/>
      <c r="J191" s="156" t="str">
        <f t="shared" si="2"/>
        <v/>
      </c>
      <c r="K191" s="157"/>
      <c r="L191" s="157"/>
      <c r="M191" s="157"/>
      <c r="N191" s="157"/>
      <c r="O191" s="156" t="s">
        <v>4431</v>
      </c>
      <c r="P191" s="163"/>
      <c r="Q191" s="494"/>
      <c r="R191" s="162"/>
    </row>
    <row r="192" spans="4:18" x14ac:dyDescent="0.25">
      <c r="D192" s="157" t="s">
        <v>4432</v>
      </c>
      <c r="E192" s="156" t="s">
        <v>4416</v>
      </c>
      <c r="F192" s="157"/>
      <c r="G192" s="156"/>
      <c r="H192" s="157"/>
      <c r="I192" s="157"/>
      <c r="J192" s="156" t="str">
        <f t="shared" si="2"/>
        <v/>
      </c>
      <c r="K192" s="157"/>
      <c r="L192" s="157"/>
      <c r="M192" s="157"/>
      <c r="N192" s="157"/>
      <c r="O192" s="156" t="s">
        <v>4433</v>
      </c>
      <c r="P192" s="163"/>
      <c r="Q192" s="494"/>
      <c r="R192" s="162"/>
    </row>
    <row r="193" spans="4:18" x14ac:dyDescent="0.25">
      <c r="D193" s="157" t="s">
        <v>4434</v>
      </c>
      <c r="E193" s="156" t="s">
        <v>4416</v>
      </c>
      <c r="F193" s="157"/>
      <c r="G193" s="156"/>
      <c r="H193" s="157"/>
      <c r="I193" s="157"/>
      <c r="J193" s="156" t="str">
        <f t="shared" si="2"/>
        <v/>
      </c>
      <c r="K193" s="157"/>
      <c r="L193" s="157"/>
      <c r="M193" s="157"/>
      <c r="N193" s="157"/>
      <c r="O193" s="156" t="s">
        <v>4435</v>
      </c>
      <c r="P193" s="163"/>
      <c r="Q193" s="494"/>
      <c r="R193" s="162"/>
    </row>
    <row r="194" spans="4:18" x14ac:dyDescent="0.25">
      <c r="D194" s="157" t="s">
        <v>4436</v>
      </c>
      <c r="E194" s="156" t="s">
        <v>4437</v>
      </c>
      <c r="F194" s="157"/>
      <c r="G194" s="156"/>
      <c r="H194" s="157"/>
      <c r="I194" s="157"/>
      <c r="J194" s="156" t="str">
        <f t="shared" si="2"/>
        <v/>
      </c>
      <c r="K194" s="157"/>
      <c r="L194" s="157"/>
      <c r="M194" s="157"/>
      <c r="N194" s="157"/>
      <c r="O194" s="156" t="s">
        <v>4438</v>
      </c>
      <c r="P194" s="163"/>
      <c r="Q194" s="494"/>
      <c r="R194" s="162"/>
    </row>
    <row r="195" spans="4:18" x14ac:dyDescent="0.25">
      <c r="D195" s="157" t="s">
        <v>4439</v>
      </c>
      <c r="E195" s="156" t="s">
        <v>4437</v>
      </c>
      <c r="F195" s="157"/>
      <c r="G195" s="156"/>
      <c r="H195" s="157"/>
      <c r="I195" s="157"/>
      <c r="J195" s="156" t="str">
        <f t="shared" si="2"/>
        <v/>
      </c>
      <c r="K195" s="157"/>
      <c r="L195" s="157"/>
      <c r="M195" s="157"/>
      <c r="N195" s="157"/>
      <c r="O195" s="156" t="s">
        <v>4440</v>
      </c>
      <c r="P195" s="163"/>
      <c r="Q195" s="494"/>
      <c r="R195" s="162"/>
    </row>
    <row r="196" spans="4:18" x14ac:dyDescent="0.25">
      <c r="D196" s="157" t="s">
        <v>4441</v>
      </c>
      <c r="E196" s="156" t="s">
        <v>4437</v>
      </c>
      <c r="F196" s="157"/>
      <c r="G196" s="156"/>
      <c r="H196" s="157"/>
      <c r="I196" s="157"/>
      <c r="J196" s="156" t="str">
        <f t="shared" ref="J196:J259" si="3">F196&amp;H196&amp;I196</f>
        <v/>
      </c>
      <c r="K196" s="157"/>
      <c r="L196" s="157"/>
      <c r="M196" s="157"/>
      <c r="N196" s="157"/>
      <c r="O196" s="156" t="s">
        <v>4442</v>
      </c>
      <c r="P196" s="163"/>
      <c r="Q196" s="494"/>
      <c r="R196" s="162"/>
    </row>
    <row r="197" spans="4:18" x14ac:dyDescent="0.25">
      <c r="D197" s="157" t="s">
        <v>4443</v>
      </c>
      <c r="E197" s="156" t="s">
        <v>4437</v>
      </c>
      <c r="F197" s="157"/>
      <c r="G197" s="156"/>
      <c r="H197" s="157"/>
      <c r="I197" s="157"/>
      <c r="J197" s="156" t="str">
        <f t="shared" si="3"/>
        <v/>
      </c>
      <c r="K197" s="157"/>
      <c r="L197" s="157"/>
      <c r="M197" s="157"/>
      <c r="N197" s="157"/>
      <c r="O197" s="156" t="s">
        <v>4444</v>
      </c>
      <c r="P197" s="163"/>
      <c r="Q197" s="494"/>
      <c r="R197" s="162"/>
    </row>
    <row r="198" spans="4:18" x14ac:dyDescent="0.25">
      <c r="D198" s="157" t="s">
        <v>4445</v>
      </c>
      <c r="E198" s="156" t="s">
        <v>4437</v>
      </c>
      <c r="F198" s="157"/>
      <c r="G198" s="156"/>
      <c r="H198" s="157"/>
      <c r="I198" s="157"/>
      <c r="J198" s="156" t="str">
        <f t="shared" si="3"/>
        <v/>
      </c>
      <c r="K198" s="157"/>
      <c r="L198" s="157"/>
      <c r="M198" s="157"/>
      <c r="N198" s="157"/>
      <c r="O198" s="156" t="s">
        <v>4446</v>
      </c>
      <c r="P198" s="163"/>
      <c r="Q198" s="494"/>
      <c r="R198" s="162"/>
    </row>
    <row r="199" spans="4:18" x14ac:dyDescent="0.25">
      <c r="D199" s="157" t="s">
        <v>4447</v>
      </c>
      <c r="E199" s="156" t="s">
        <v>4437</v>
      </c>
      <c r="F199" s="157"/>
      <c r="G199" s="156"/>
      <c r="H199" s="157"/>
      <c r="I199" s="157"/>
      <c r="J199" s="156" t="str">
        <f t="shared" si="3"/>
        <v/>
      </c>
      <c r="K199" s="157"/>
      <c r="L199" s="157"/>
      <c r="M199" s="157"/>
      <c r="N199" s="157"/>
      <c r="O199" s="156" t="s">
        <v>4448</v>
      </c>
      <c r="P199" s="163"/>
      <c r="Q199" s="494"/>
      <c r="R199" s="162"/>
    </row>
    <row r="200" spans="4:18" x14ac:dyDescent="0.25">
      <c r="D200" s="157" t="s">
        <v>4449</v>
      </c>
      <c r="E200" s="156" t="s">
        <v>4437</v>
      </c>
      <c r="F200" s="157"/>
      <c r="G200" s="156"/>
      <c r="H200" s="157"/>
      <c r="I200" s="157"/>
      <c r="J200" s="156" t="str">
        <f t="shared" si="3"/>
        <v/>
      </c>
      <c r="K200" s="157"/>
      <c r="L200" s="157"/>
      <c r="M200" s="157"/>
      <c r="N200" s="157"/>
      <c r="O200" s="156" t="s">
        <v>4450</v>
      </c>
      <c r="P200" s="163"/>
      <c r="Q200" s="494"/>
      <c r="R200" s="162"/>
    </row>
    <row r="201" spans="4:18" x14ac:dyDescent="0.25">
      <c r="D201" s="157" t="s">
        <v>4451</v>
      </c>
      <c r="E201" s="156" t="s">
        <v>4437</v>
      </c>
      <c r="F201" s="157"/>
      <c r="G201" s="156"/>
      <c r="H201" s="157"/>
      <c r="I201" s="157"/>
      <c r="J201" s="156" t="str">
        <f t="shared" si="3"/>
        <v/>
      </c>
      <c r="K201" s="157"/>
      <c r="L201" s="157"/>
      <c r="M201" s="157"/>
      <c r="N201" s="157"/>
      <c r="O201" s="156" t="s">
        <v>4452</v>
      </c>
      <c r="P201" s="163"/>
      <c r="Q201" s="494"/>
      <c r="R201" s="162"/>
    </row>
    <row r="202" spans="4:18" x14ac:dyDescent="0.25">
      <c r="D202" s="157" t="s">
        <v>4453</v>
      </c>
      <c r="E202" s="156" t="s">
        <v>4437</v>
      </c>
      <c r="F202" s="157"/>
      <c r="G202" s="156"/>
      <c r="H202" s="157"/>
      <c r="I202" s="157"/>
      <c r="J202" s="156" t="str">
        <f t="shared" si="3"/>
        <v/>
      </c>
      <c r="K202" s="157"/>
      <c r="L202" s="157"/>
      <c r="M202" s="157"/>
      <c r="N202" s="157"/>
      <c r="O202" s="156" t="s">
        <v>4454</v>
      </c>
      <c r="P202" s="163"/>
      <c r="Q202" s="494"/>
      <c r="R202" s="162"/>
    </row>
    <row r="203" spans="4:18" x14ac:dyDescent="0.25">
      <c r="D203" s="157" t="s">
        <v>4455</v>
      </c>
      <c r="E203" s="156" t="s">
        <v>4437</v>
      </c>
      <c r="F203" s="157"/>
      <c r="G203" s="156"/>
      <c r="H203" s="157"/>
      <c r="I203" s="157"/>
      <c r="J203" s="156" t="str">
        <f t="shared" si="3"/>
        <v/>
      </c>
      <c r="K203" s="157"/>
      <c r="L203" s="157"/>
      <c r="M203" s="157"/>
      <c r="N203" s="157"/>
      <c r="O203" s="156" t="s">
        <v>4456</v>
      </c>
      <c r="P203" s="163"/>
      <c r="Q203" s="494"/>
      <c r="R203" s="162"/>
    </row>
    <row r="204" spans="4:18" x14ac:dyDescent="0.25">
      <c r="D204" s="157" t="s">
        <v>4457</v>
      </c>
      <c r="E204" s="156" t="s">
        <v>4458</v>
      </c>
      <c r="F204" s="157"/>
      <c r="G204" s="156"/>
      <c r="H204" s="157"/>
      <c r="I204" s="157"/>
      <c r="J204" s="156" t="str">
        <f t="shared" si="3"/>
        <v/>
      </c>
      <c r="K204" s="157"/>
      <c r="L204" s="157"/>
      <c r="M204" s="157"/>
      <c r="N204" s="157"/>
      <c r="O204" s="156" t="s">
        <v>4459</v>
      </c>
      <c r="P204" s="163"/>
      <c r="Q204" s="494"/>
      <c r="R204" s="162"/>
    </row>
    <row r="205" spans="4:18" x14ac:dyDescent="0.25">
      <c r="D205" s="157" t="s">
        <v>4460</v>
      </c>
      <c r="E205" s="156" t="s">
        <v>4458</v>
      </c>
      <c r="F205" s="157"/>
      <c r="G205" s="156"/>
      <c r="H205" s="157"/>
      <c r="I205" s="157"/>
      <c r="J205" s="156" t="str">
        <f t="shared" si="3"/>
        <v/>
      </c>
      <c r="K205" s="157"/>
      <c r="L205" s="157"/>
      <c r="M205" s="157"/>
      <c r="N205" s="157"/>
      <c r="O205" s="156" t="s">
        <v>4461</v>
      </c>
      <c r="P205" s="163"/>
      <c r="Q205" s="494"/>
      <c r="R205" s="162"/>
    </row>
    <row r="206" spans="4:18" x14ac:dyDescent="0.25">
      <c r="D206" s="157" t="s">
        <v>4462</v>
      </c>
      <c r="E206" s="156" t="s">
        <v>4458</v>
      </c>
      <c r="F206" s="157"/>
      <c r="G206" s="156"/>
      <c r="H206" s="157"/>
      <c r="I206" s="157"/>
      <c r="J206" s="156" t="str">
        <f t="shared" si="3"/>
        <v/>
      </c>
      <c r="K206" s="157"/>
      <c r="L206" s="157"/>
      <c r="M206" s="157"/>
      <c r="N206" s="157"/>
      <c r="O206" s="156" t="s">
        <v>4463</v>
      </c>
      <c r="P206" s="163"/>
      <c r="Q206" s="494"/>
      <c r="R206" s="162"/>
    </row>
    <row r="207" spans="4:18" x14ac:dyDescent="0.25">
      <c r="D207" s="157" t="s">
        <v>4464</v>
      </c>
      <c r="E207" s="156" t="s">
        <v>4458</v>
      </c>
      <c r="F207" s="157"/>
      <c r="G207" s="156"/>
      <c r="H207" s="157"/>
      <c r="I207" s="157"/>
      <c r="J207" s="156" t="str">
        <f t="shared" si="3"/>
        <v/>
      </c>
      <c r="K207" s="157"/>
      <c r="L207" s="157"/>
      <c r="M207" s="157"/>
      <c r="N207" s="157"/>
      <c r="O207" s="156" t="s">
        <v>4465</v>
      </c>
      <c r="P207" s="163"/>
      <c r="Q207" s="494"/>
      <c r="R207" s="162"/>
    </row>
    <row r="208" spans="4:18" x14ac:dyDescent="0.25">
      <c r="D208" s="157" t="s">
        <v>4466</v>
      </c>
      <c r="E208" s="156" t="s">
        <v>4458</v>
      </c>
      <c r="F208" s="157"/>
      <c r="G208" s="156"/>
      <c r="H208" s="157"/>
      <c r="I208" s="157"/>
      <c r="J208" s="156" t="str">
        <f t="shared" si="3"/>
        <v/>
      </c>
      <c r="K208" s="157"/>
      <c r="L208" s="157"/>
      <c r="M208" s="157"/>
      <c r="N208" s="157"/>
      <c r="O208" s="156" t="s">
        <v>4467</v>
      </c>
      <c r="P208" s="163"/>
      <c r="Q208" s="494"/>
      <c r="R208" s="162"/>
    </row>
    <row r="209" spans="4:18" x14ac:dyDescent="0.25">
      <c r="D209" s="157" t="s">
        <v>4468</v>
      </c>
      <c r="E209" s="156" t="s">
        <v>4458</v>
      </c>
      <c r="F209" s="157"/>
      <c r="G209" s="156"/>
      <c r="H209" s="157"/>
      <c r="I209" s="157"/>
      <c r="J209" s="156" t="str">
        <f t="shared" si="3"/>
        <v/>
      </c>
      <c r="K209" s="157"/>
      <c r="L209" s="157"/>
      <c r="M209" s="157"/>
      <c r="N209" s="157"/>
      <c r="O209" s="156" t="s">
        <v>4469</v>
      </c>
      <c r="P209" s="163"/>
      <c r="Q209" s="494"/>
      <c r="R209" s="162"/>
    </row>
    <row r="210" spans="4:18" x14ac:dyDescent="0.25">
      <c r="D210" s="157" t="s">
        <v>4470</v>
      </c>
      <c r="E210" s="156" t="s">
        <v>4458</v>
      </c>
      <c r="F210" s="157"/>
      <c r="G210" s="156"/>
      <c r="H210" s="157"/>
      <c r="I210" s="157"/>
      <c r="J210" s="156" t="str">
        <f t="shared" si="3"/>
        <v/>
      </c>
      <c r="K210" s="157"/>
      <c r="L210" s="157"/>
      <c r="M210" s="157"/>
      <c r="N210" s="157"/>
      <c r="O210" s="156" t="s">
        <v>4471</v>
      </c>
      <c r="P210" s="163"/>
      <c r="Q210" s="494"/>
      <c r="R210" s="162"/>
    </row>
    <row r="211" spans="4:18" x14ac:dyDescent="0.25">
      <c r="D211" s="157" t="s">
        <v>4472</v>
      </c>
      <c r="E211" s="156" t="s">
        <v>4458</v>
      </c>
      <c r="F211" s="157"/>
      <c r="G211" s="156"/>
      <c r="H211" s="157"/>
      <c r="I211" s="157"/>
      <c r="J211" s="156" t="str">
        <f t="shared" si="3"/>
        <v/>
      </c>
      <c r="K211" s="157"/>
      <c r="L211" s="157"/>
      <c r="M211" s="157"/>
      <c r="N211" s="157"/>
      <c r="O211" s="156" t="s">
        <v>4473</v>
      </c>
      <c r="P211" s="163"/>
      <c r="Q211" s="494"/>
      <c r="R211" s="162"/>
    </row>
    <row r="212" spans="4:18" x14ac:dyDescent="0.25">
      <c r="D212" s="157" t="s">
        <v>4474</v>
      </c>
      <c r="E212" s="156" t="s">
        <v>4458</v>
      </c>
      <c r="F212" s="157"/>
      <c r="G212" s="156"/>
      <c r="H212" s="157"/>
      <c r="I212" s="157"/>
      <c r="J212" s="156" t="str">
        <f t="shared" si="3"/>
        <v/>
      </c>
      <c r="K212" s="157"/>
      <c r="L212" s="157"/>
      <c r="M212" s="157"/>
      <c r="N212" s="157"/>
      <c r="O212" s="156" t="s">
        <v>4475</v>
      </c>
      <c r="P212" s="163"/>
      <c r="Q212" s="494"/>
      <c r="R212" s="162"/>
    </row>
    <row r="213" spans="4:18" x14ac:dyDescent="0.25">
      <c r="D213" s="157" t="s">
        <v>4476</v>
      </c>
      <c r="E213" s="156" t="s">
        <v>4458</v>
      </c>
      <c r="F213" s="157"/>
      <c r="G213" s="156"/>
      <c r="H213" s="157"/>
      <c r="I213" s="157"/>
      <c r="J213" s="156" t="str">
        <f t="shared" si="3"/>
        <v/>
      </c>
      <c r="K213" s="157"/>
      <c r="L213" s="157"/>
      <c r="M213" s="157"/>
      <c r="N213" s="157"/>
      <c r="O213" s="156" t="s">
        <v>4477</v>
      </c>
      <c r="P213" s="163"/>
      <c r="Q213" s="494"/>
      <c r="R213" s="162"/>
    </row>
    <row r="214" spans="4:18" x14ac:dyDescent="0.25">
      <c r="D214" s="157" t="s">
        <v>4478</v>
      </c>
      <c r="E214" s="156" t="s">
        <v>4479</v>
      </c>
      <c r="F214" s="157"/>
      <c r="G214" s="156"/>
      <c r="H214" s="157"/>
      <c r="I214" s="157"/>
      <c r="J214" s="156" t="str">
        <f t="shared" si="3"/>
        <v/>
      </c>
      <c r="K214" s="157"/>
      <c r="L214" s="157"/>
      <c r="M214" s="157"/>
      <c r="N214" s="157"/>
      <c r="O214" s="156" t="s">
        <v>4480</v>
      </c>
      <c r="P214" s="163"/>
      <c r="Q214" s="494"/>
      <c r="R214" s="162"/>
    </row>
    <row r="215" spans="4:18" x14ac:dyDescent="0.25">
      <c r="D215" s="157" t="s">
        <v>4481</v>
      </c>
      <c r="E215" s="156" t="s">
        <v>4479</v>
      </c>
      <c r="F215" s="157"/>
      <c r="G215" s="156"/>
      <c r="H215" s="157"/>
      <c r="I215" s="157"/>
      <c r="J215" s="156" t="str">
        <f t="shared" si="3"/>
        <v/>
      </c>
      <c r="K215" s="157"/>
      <c r="L215" s="157"/>
      <c r="M215" s="157"/>
      <c r="N215" s="157"/>
      <c r="O215" s="156" t="s">
        <v>4482</v>
      </c>
      <c r="P215" s="163"/>
      <c r="Q215" s="494"/>
      <c r="R215" s="162"/>
    </row>
    <row r="216" spans="4:18" x14ac:dyDescent="0.25">
      <c r="D216" s="157" t="s">
        <v>4483</v>
      </c>
      <c r="E216" s="156" t="s">
        <v>4479</v>
      </c>
      <c r="F216" s="157"/>
      <c r="G216" s="156"/>
      <c r="H216" s="157"/>
      <c r="I216" s="157"/>
      <c r="J216" s="156" t="str">
        <f t="shared" si="3"/>
        <v/>
      </c>
      <c r="K216" s="157"/>
      <c r="L216" s="157"/>
      <c r="M216" s="157"/>
      <c r="N216" s="157"/>
      <c r="O216" s="156" t="s">
        <v>4484</v>
      </c>
      <c r="P216" s="163"/>
      <c r="Q216" s="494"/>
      <c r="R216" s="162"/>
    </row>
    <row r="217" spans="4:18" x14ac:dyDescent="0.25">
      <c r="D217" s="157" t="s">
        <v>4485</v>
      </c>
      <c r="E217" s="156" t="s">
        <v>4479</v>
      </c>
      <c r="F217" s="157"/>
      <c r="G217" s="156"/>
      <c r="H217" s="157"/>
      <c r="I217" s="157"/>
      <c r="J217" s="156" t="str">
        <f t="shared" si="3"/>
        <v/>
      </c>
      <c r="K217" s="157"/>
      <c r="L217" s="157"/>
      <c r="M217" s="157"/>
      <c r="N217" s="157"/>
      <c r="O217" s="156" t="s">
        <v>4486</v>
      </c>
      <c r="P217" s="163"/>
      <c r="Q217" s="494"/>
      <c r="R217" s="162"/>
    </row>
    <row r="218" spans="4:18" x14ac:dyDescent="0.25">
      <c r="D218" s="157" t="s">
        <v>4487</v>
      </c>
      <c r="E218" s="156" t="s">
        <v>4479</v>
      </c>
      <c r="F218" s="157"/>
      <c r="G218" s="156"/>
      <c r="H218" s="157"/>
      <c r="I218" s="157"/>
      <c r="J218" s="156" t="str">
        <f t="shared" si="3"/>
        <v/>
      </c>
      <c r="K218" s="157"/>
      <c r="L218" s="157"/>
      <c r="M218" s="157"/>
      <c r="N218" s="157"/>
      <c r="O218" s="156" t="s">
        <v>4488</v>
      </c>
      <c r="P218" s="163"/>
      <c r="Q218" s="494"/>
      <c r="R218" s="162"/>
    </row>
    <row r="219" spans="4:18" x14ac:dyDescent="0.25">
      <c r="D219" s="157" t="s">
        <v>4489</v>
      </c>
      <c r="E219" s="156" t="s">
        <v>4479</v>
      </c>
      <c r="F219" s="157"/>
      <c r="G219" s="156"/>
      <c r="H219" s="157"/>
      <c r="I219" s="157"/>
      <c r="J219" s="156" t="str">
        <f t="shared" si="3"/>
        <v/>
      </c>
      <c r="K219" s="157"/>
      <c r="L219" s="157"/>
      <c r="M219" s="157"/>
      <c r="N219" s="157"/>
      <c r="O219" s="156" t="s">
        <v>4490</v>
      </c>
      <c r="P219" s="163"/>
      <c r="Q219" s="494"/>
      <c r="R219" s="162"/>
    </row>
    <row r="220" spans="4:18" x14ac:dyDescent="0.25">
      <c r="D220" s="157" t="s">
        <v>4491</v>
      </c>
      <c r="E220" s="156" t="s">
        <v>4479</v>
      </c>
      <c r="F220" s="157"/>
      <c r="G220" s="156"/>
      <c r="H220" s="157"/>
      <c r="I220" s="157"/>
      <c r="J220" s="156" t="str">
        <f t="shared" si="3"/>
        <v/>
      </c>
      <c r="K220" s="157"/>
      <c r="L220" s="157"/>
      <c r="M220" s="157"/>
      <c r="N220" s="157"/>
      <c r="O220" s="156" t="s">
        <v>4492</v>
      </c>
      <c r="P220" s="163"/>
      <c r="Q220" s="494"/>
      <c r="R220" s="162"/>
    </row>
    <row r="221" spans="4:18" x14ac:dyDescent="0.25">
      <c r="D221" s="157" t="s">
        <v>4493</v>
      </c>
      <c r="E221" s="156" t="s">
        <v>4479</v>
      </c>
      <c r="F221" s="157"/>
      <c r="G221" s="156"/>
      <c r="H221" s="157"/>
      <c r="I221" s="157"/>
      <c r="J221" s="156" t="str">
        <f t="shared" si="3"/>
        <v/>
      </c>
      <c r="K221" s="157"/>
      <c r="L221" s="157"/>
      <c r="M221" s="157"/>
      <c r="N221" s="157"/>
      <c r="O221" s="156" t="s">
        <v>4494</v>
      </c>
      <c r="P221" s="163"/>
      <c r="Q221" s="494"/>
      <c r="R221" s="162"/>
    </row>
    <row r="222" spans="4:18" x14ac:dyDescent="0.25">
      <c r="D222" s="157" t="s">
        <v>4495</v>
      </c>
      <c r="E222" s="156" t="s">
        <v>4479</v>
      </c>
      <c r="F222" s="157"/>
      <c r="G222" s="156"/>
      <c r="H222" s="157"/>
      <c r="I222" s="157"/>
      <c r="J222" s="156" t="str">
        <f t="shared" si="3"/>
        <v/>
      </c>
      <c r="K222" s="157"/>
      <c r="L222" s="157"/>
      <c r="M222" s="157"/>
      <c r="N222" s="157"/>
      <c r="O222" s="156" t="s">
        <v>4496</v>
      </c>
      <c r="P222" s="163"/>
      <c r="Q222" s="494"/>
      <c r="R222" s="162"/>
    </row>
    <row r="223" spans="4:18" x14ac:dyDescent="0.25">
      <c r="D223" s="157" t="s">
        <v>4497</v>
      </c>
      <c r="E223" s="156" t="s">
        <v>4479</v>
      </c>
      <c r="F223" s="157"/>
      <c r="G223" s="156"/>
      <c r="H223" s="157"/>
      <c r="I223" s="157"/>
      <c r="J223" s="156" t="str">
        <f t="shared" si="3"/>
        <v/>
      </c>
      <c r="K223" s="157"/>
      <c r="L223" s="157"/>
      <c r="M223" s="157"/>
      <c r="N223" s="157"/>
      <c r="O223" s="156" t="s">
        <v>4498</v>
      </c>
      <c r="P223" s="163"/>
      <c r="Q223" s="494"/>
      <c r="R223" s="162"/>
    </row>
    <row r="224" spans="4:18" x14ac:dyDescent="0.25">
      <c r="D224" s="157" t="s">
        <v>4499</v>
      </c>
      <c r="E224" s="156" t="s">
        <v>4500</v>
      </c>
      <c r="F224" s="157"/>
      <c r="G224" s="156"/>
      <c r="H224" s="157"/>
      <c r="I224" s="157"/>
      <c r="J224" s="156" t="str">
        <f t="shared" si="3"/>
        <v/>
      </c>
      <c r="K224" s="157"/>
      <c r="L224" s="157"/>
      <c r="M224" s="157"/>
      <c r="N224" s="157"/>
      <c r="O224" s="156" t="s">
        <v>4501</v>
      </c>
      <c r="P224" s="163"/>
      <c r="Q224" s="494"/>
      <c r="R224" s="162"/>
    </row>
    <row r="225" spans="4:18" x14ac:dyDescent="0.25">
      <c r="D225" s="157" t="s">
        <v>4502</v>
      </c>
      <c r="E225" s="156" t="s">
        <v>4500</v>
      </c>
      <c r="F225" s="157"/>
      <c r="G225" s="156"/>
      <c r="H225" s="157"/>
      <c r="I225" s="157"/>
      <c r="J225" s="156" t="str">
        <f t="shared" si="3"/>
        <v/>
      </c>
      <c r="K225" s="157"/>
      <c r="L225" s="157"/>
      <c r="M225" s="157"/>
      <c r="N225" s="157"/>
      <c r="O225" s="156" t="s">
        <v>4503</v>
      </c>
      <c r="P225" s="163"/>
      <c r="Q225" s="494"/>
      <c r="R225" s="162"/>
    </row>
    <row r="226" spans="4:18" x14ac:dyDescent="0.25">
      <c r="D226" s="157" t="s">
        <v>4504</v>
      </c>
      <c r="E226" s="156" t="s">
        <v>4500</v>
      </c>
      <c r="F226" s="157"/>
      <c r="G226" s="156"/>
      <c r="H226" s="157"/>
      <c r="I226" s="157"/>
      <c r="J226" s="156" t="str">
        <f t="shared" si="3"/>
        <v/>
      </c>
      <c r="K226" s="157"/>
      <c r="L226" s="157"/>
      <c r="M226" s="157"/>
      <c r="N226" s="157"/>
      <c r="O226" s="156" t="s">
        <v>4505</v>
      </c>
      <c r="P226" s="163"/>
      <c r="Q226" s="494"/>
      <c r="R226" s="162"/>
    </row>
    <row r="227" spans="4:18" x14ac:dyDescent="0.25">
      <c r="D227" s="157" t="s">
        <v>4506</v>
      </c>
      <c r="E227" s="156" t="s">
        <v>4500</v>
      </c>
      <c r="F227" s="157"/>
      <c r="G227" s="156"/>
      <c r="H227" s="157"/>
      <c r="I227" s="157"/>
      <c r="J227" s="156" t="str">
        <f t="shared" si="3"/>
        <v/>
      </c>
      <c r="K227" s="157"/>
      <c r="L227" s="157"/>
      <c r="M227" s="157"/>
      <c r="N227" s="157"/>
      <c r="O227" s="156" t="s">
        <v>4507</v>
      </c>
      <c r="P227" s="163"/>
      <c r="Q227" s="494"/>
      <c r="R227" s="162"/>
    </row>
    <row r="228" spans="4:18" x14ac:dyDescent="0.25">
      <c r="D228" s="157" t="s">
        <v>4508</v>
      </c>
      <c r="E228" s="156" t="s">
        <v>4500</v>
      </c>
      <c r="F228" s="157"/>
      <c r="G228" s="156"/>
      <c r="H228" s="157"/>
      <c r="I228" s="157"/>
      <c r="J228" s="156" t="str">
        <f t="shared" si="3"/>
        <v/>
      </c>
      <c r="K228" s="157"/>
      <c r="L228" s="157"/>
      <c r="M228" s="157"/>
      <c r="N228" s="157"/>
      <c r="O228" s="156" t="s">
        <v>4509</v>
      </c>
      <c r="P228" s="163"/>
      <c r="Q228" s="494"/>
      <c r="R228" s="162"/>
    </row>
    <row r="229" spans="4:18" x14ac:dyDescent="0.25">
      <c r="D229" s="157" t="s">
        <v>4510</v>
      </c>
      <c r="E229" s="156" t="s">
        <v>4500</v>
      </c>
      <c r="F229" s="157"/>
      <c r="G229" s="156"/>
      <c r="H229" s="157"/>
      <c r="I229" s="157"/>
      <c r="J229" s="156" t="str">
        <f t="shared" si="3"/>
        <v/>
      </c>
      <c r="K229" s="157"/>
      <c r="L229" s="157"/>
      <c r="M229" s="157"/>
      <c r="N229" s="157"/>
      <c r="O229" s="156" t="s">
        <v>4511</v>
      </c>
      <c r="P229" s="163"/>
      <c r="Q229" s="494"/>
      <c r="R229" s="162"/>
    </row>
    <row r="230" spans="4:18" x14ac:dyDescent="0.25">
      <c r="D230" s="157" t="s">
        <v>4512</v>
      </c>
      <c r="E230" s="156" t="s">
        <v>4500</v>
      </c>
      <c r="F230" s="157"/>
      <c r="G230" s="156"/>
      <c r="H230" s="157"/>
      <c r="I230" s="157"/>
      <c r="J230" s="156" t="str">
        <f t="shared" si="3"/>
        <v/>
      </c>
      <c r="K230" s="157"/>
      <c r="L230" s="157"/>
      <c r="M230" s="157"/>
      <c r="N230" s="157"/>
      <c r="O230" s="156" t="s">
        <v>4513</v>
      </c>
      <c r="P230" s="163"/>
      <c r="Q230" s="494"/>
      <c r="R230" s="162"/>
    </row>
    <row r="231" spans="4:18" x14ac:dyDescent="0.25">
      <c r="D231" s="157" t="s">
        <v>4514</v>
      </c>
      <c r="E231" s="156" t="s">
        <v>4500</v>
      </c>
      <c r="F231" s="157"/>
      <c r="G231" s="156"/>
      <c r="H231" s="157"/>
      <c r="I231" s="157"/>
      <c r="J231" s="156" t="str">
        <f t="shared" si="3"/>
        <v/>
      </c>
      <c r="K231" s="157"/>
      <c r="L231" s="157"/>
      <c r="M231" s="157"/>
      <c r="N231" s="157"/>
      <c r="O231" s="156" t="s">
        <v>4515</v>
      </c>
      <c r="P231" s="163"/>
      <c r="Q231" s="494"/>
      <c r="R231" s="162"/>
    </row>
    <row r="232" spans="4:18" x14ac:dyDescent="0.25">
      <c r="D232" s="157" t="s">
        <v>4516</v>
      </c>
      <c r="E232" s="156" t="s">
        <v>4500</v>
      </c>
      <c r="F232" s="157"/>
      <c r="G232" s="156"/>
      <c r="H232" s="157"/>
      <c r="I232" s="157"/>
      <c r="J232" s="156" t="str">
        <f t="shared" si="3"/>
        <v/>
      </c>
      <c r="K232" s="157"/>
      <c r="L232" s="157"/>
      <c r="M232" s="157"/>
      <c r="N232" s="157"/>
      <c r="O232" s="156" t="s">
        <v>4517</v>
      </c>
      <c r="P232" s="163"/>
      <c r="Q232" s="494"/>
      <c r="R232" s="162"/>
    </row>
    <row r="233" spans="4:18" x14ac:dyDescent="0.25">
      <c r="D233" s="157" t="s">
        <v>4518</v>
      </c>
      <c r="E233" s="156" t="s">
        <v>4500</v>
      </c>
      <c r="F233" s="157"/>
      <c r="G233" s="156"/>
      <c r="H233" s="157"/>
      <c r="I233" s="157"/>
      <c r="J233" s="156" t="str">
        <f t="shared" si="3"/>
        <v/>
      </c>
      <c r="K233" s="157"/>
      <c r="L233" s="157"/>
      <c r="M233" s="157"/>
      <c r="N233" s="157"/>
      <c r="O233" s="156" t="s">
        <v>4519</v>
      </c>
      <c r="P233" s="163"/>
      <c r="Q233" s="494"/>
      <c r="R233" s="162"/>
    </row>
    <row r="234" spans="4:18" x14ac:dyDescent="0.25">
      <c r="D234" s="157" t="s">
        <v>4520</v>
      </c>
      <c r="E234" s="156" t="s">
        <v>4521</v>
      </c>
      <c r="F234" s="157"/>
      <c r="G234" s="156"/>
      <c r="H234" s="157"/>
      <c r="I234" s="157"/>
      <c r="J234" s="156" t="str">
        <f t="shared" si="3"/>
        <v/>
      </c>
      <c r="K234" s="157"/>
      <c r="L234" s="157"/>
      <c r="M234" s="157"/>
      <c r="N234" s="157"/>
      <c r="O234" s="156" t="s">
        <v>4522</v>
      </c>
      <c r="P234" s="163"/>
      <c r="Q234" s="494"/>
      <c r="R234" s="162"/>
    </row>
    <row r="235" spans="4:18" x14ac:dyDescent="0.25">
      <c r="D235" s="157" t="s">
        <v>4523</v>
      </c>
      <c r="E235" s="156" t="s">
        <v>4521</v>
      </c>
      <c r="F235" s="157"/>
      <c r="G235" s="156"/>
      <c r="H235" s="157"/>
      <c r="I235" s="157"/>
      <c r="J235" s="156" t="str">
        <f t="shared" si="3"/>
        <v/>
      </c>
      <c r="K235" s="157"/>
      <c r="L235" s="157"/>
      <c r="M235" s="157"/>
      <c r="N235" s="157"/>
      <c r="O235" s="156" t="s">
        <v>4524</v>
      </c>
      <c r="P235" s="163"/>
      <c r="Q235" s="494"/>
      <c r="R235" s="162"/>
    </row>
    <row r="236" spans="4:18" x14ac:dyDescent="0.25">
      <c r="D236" s="157" t="s">
        <v>4525</v>
      </c>
      <c r="E236" s="156" t="s">
        <v>4521</v>
      </c>
      <c r="F236" s="157"/>
      <c r="G236" s="156"/>
      <c r="H236" s="157"/>
      <c r="I236" s="157"/>
      <c r="J236" s="156" t="str">
        <f t="shared" si="3"/>
        <v/>
      </c>
      <c r="K236" s="157"/>
      <c r="L236" s="157"/>
      <c r="M236" s="157"/>
      <c r="N236" s="157"/>
      <c r="O236" s="156" t="s">
        <v>4526</v>
      </c>
      <c r="P236" s="163"/>
      <c r="Q236" s="494"/>
      <c r="R236" s="162"/>
    </row>
    <row r="237" spans="4:18" x14ac:dyDescent="0.25">
      <c r="D237" s="157" t="s">
        <v>4527</v>
      </c>
      <c r="E237" s="156" t="s">
        <v>4521</v>
      </c>
      <c r="F237" s="157"/>
      <c r="G237" s="156"/>
      <c r="H237" s="157"/>
      <c r="I237" s="157"/>
      <c r="J237" s="156" t="str">
        <f t="shared" si="3"/>
        <v/>
      </c>
      <c r="K237" s="157"/>
      <c r="L237" s="157"/>
      <c r="M237" s="157"/>
      <c r="N237" s="157"/>
      <c r="O237" s="156" t="s">
        <v>4528</v>
      </c>
      <c r="P237" s="163"/>
      <c r="Q237" s="494"/>
      <c r="R237" s="162"/>
    </row>
    <row r="238" spans="4:18" x14ac:dyDescent="0.25">
      <c r="D238" s="157" t="s">
        <v>4529</v>
      </c>
      <c r="E238" s="156" t="s">
        <v>4521</v>
      </c>
      <c r="F238" s="157"/>
      <c r="G238" s="156"/>
      <c r="H238" s="157"/>
      <c r="I238" s="157"/>
      <c r="J238" s="156" t="str">
        <f t="shared" si="3"/>
        <v/>
      </c>
      <c r="K238" s="157"/>
      <c r="L238" s="157"/>
      <c r="M238" s="157"/>
      <c r="N238" s="157"/>
      <c r="O238" s="156" t="s">
        <v>4530</v>
      </c>
      <c r="P238" s="163"/>
      <c r="Q238" s="494"/>
      <c r="R238" s="162"/>
    </row>
    <row r="239" spans="4:18" x14ac:dyDescent="0.25">
      <c r="D239" s="157" t="s">
        <v>4531</v>
      </c>
      <c r="E239" s="156" t="s">
        <v>4521</v>
      </c>
      <c r="F239" s="157"/>
      <c r="G239" s="156"/>
      <c r="H239" s="157"/>
      <c r="I239" s="157"/>
      <c r="J239" s="156" t="str">
        <f t="shared" si="3"/>
        <v/>
      </c>
      <c r="K239" s="157"/>
      <c r="L239" s="157"/>
      <c r="M239" s="157"/>
      <c r="N239" s="157"/>
      <c r="O239" s="156" t="s">
        <v>4532</v>
      </c>
      <c r="P239" s="163"/>
      <c r="Q239" s="494"/>
      <c r="R239" s="162"/>
    </row>
    <row r="240" spans="4:18" x14ac:dyDescent="0.25">
      <c r="D240" s="157" t="s">
        <v>4533</v>
      </c>
      <c r="E240" s="156" t="s">
        <v>4521</v>
      </c>
      <c r="F240" s="157"/>
      <c r="G240" s="156"/>
      <c r="H240" s="157"/>
      <c r="I240" s="157"/>
      <c r="J240" s="156" t="str">
        <f t="shared" si="3"/>
        <v/>
      </c>
      <c r="K240" s="157"/>
      <c r="L240" s="157"/>
      <c r="M240" s="157"/>
      <c r="N240" s="157"/>
      <c r="O240" s="156" t="s">
        <v>4534</v>
      </c>
      <c r="P240" s="163"/>
      <c r="Q240" s="494"/>
      <c r="R240" s="162"/>
    </row>
    <row r="241" spans="4:18" x14ac:dyDescent="0.25">
      <c r="D241" s="157" t="s">
        <v>4535</v>
      </c>
      <c r="E241" s="156" t="s">
        <v>4521</v>
      </c>
      <c r="F241" s="157"/>
      <c r="G241" s="156"/>
      <c r="H241" s="157"/>
      <c r="I241" s="157"/>
      <c r="J241" s="156" t="str">
        <f t="shared" si="3"/>
        <v/>
      </c>
      <c r="K241" s="157"/>
      <c r="L241" s="157"/>
      <c r="M241" s="157"/>
      <c r="N241" s="157"/>
      <c r="O241" s="156" t="s">
        <v>4536</v>
      </c>
      <c r="P241" s="163"/>
      <c r="Q241" s="494"/>
      <c r="R241" s="162"/>
    </row>
    <row r="242" spans="4:18" x14ac:dyDescent="0.25">
      <c r="D242" s="157" t="s">
        <v>4537</v>
      </c>
      <c r="E242" s="156" t="s">
        <v>4521</v>
      </c>
      <c r="F242" s="157"/>
      <c r="G242" s="156"/>
      <c r="H242" s="157"/>
      <c r="I242" s="157"/>
      <c r="J242" s="156" t="str">
        <f t="shared" si="3"/>
        <v/>
      </c>
      <c r="K242" s="157"/>
      <c r="L242" s="157"/>
      <c r="M242" s="157"/>
      <c r="N242" s="157"/>
      <c r="O242" s="156" t="s">
        <v>4538</v>
      </c>
      <c r="P242" s="163"/>
      <c r="Q242" s="494"/>
      <c r="R242" s="162"/>
    </row>
    <row r="243" spans="4:18" x14ac:dyDescent="0.25">
      <c r="D243" s="157" t="s">
        <v>4539</v>
      </c>
      <c r="E243" s="156" t="s">
        <v>4521</v>
      </c>
      <c r="F243" s="157"/>
      <c r="G243" s="156"/>
      <c r="H243" s="157"/>
      <c r="I243" s="157"/>
      <c r="J243" s="156" t="str">
        <f t="shared" si="3"/>
        <v/>
      </c>
      <c r="K243" s="157"/>
      <c r="L243" s="157"/>
      <c r="M243" s="157"/>
      <c r="N243" s="157"/>
      <c r="O243" s="156" t="s">
        <v>4540</v>
      </c>
      <c r="P243" s="163"/>
      <c r="Q243" s="494"/>
      <c r="R243" s="162"/>
    </row>
    <row r="244" spans="4:18" x14ac:dyDescent="0.25">
      <c r="D244" s="157" t="s">
        <v>4541</v>
      </c>
      <c r="E244" s="156" t="s">
        <v>4542</v>
      </c>
      <c r="F244" s="157"/>
      <c r="G244" s="156"/>
      <c r="H244" s="157"/>
      <c r="I244" s="157"/>
      <c r="J244" s="156" t="str">
        <f t="shared" si="3"/>
        <v/>
      </c>
      <c r="K244" s="157"/>
      <c r="L244" s="157"/>
      <c r="M244" s="157"/>
      <c r="N244" s="157"/>
      <c r="O244" s="156" t="s">
        <v>4543</v>
      </c>
      <c r="P244" s="163"/>
      <c r="Q244" s="494"/>
      <c r="R244" s="162"/>
    </row>
    <row r="245" spans="4:18" x14ac:dyDescent="0.25">
      <c r="D245" s="157" t="s">
        <v>4544</v>
      </c>
      <c r="E245" s="156" t="s">
        <v>4542</v>
      </c>
      <c r="F245" s="157"/>
      <c r="G245" s="156"/>
      <c r="H245" s="157"/>
      <c r="I245" s="157"/>
      <c r="J245" s="156" t="str">
        <f t="shared" si="3"/>
        <v/>
      </c>
      <c r="K245" s="157"/>
      <c r="L245" s="157"/>
      <c r="M245" s="157"/>
      <c r="N245" s="157"/>
      <c r="O245" s="156" t="s">
        <v>4545</v>
      </c>
      <c r="P245" s="163"/>
      <c r="Q245" s="494"/>
      <c r="R245" s="162"/>
    </row>
    <row r="246" spans="4:18" x14ac:dyDescent="0.25">
      <c r="D246" s="157" t="s">
        <v>4546</v>
      </c>
      <c r="E246" s="156" t="s">
        <v>4542</v>
      </c>
      <c r="F246" s="157"/>
      <c r="G246" s="156"/>
      <c r="H246" s="157"/>
      <c r="I246" s="157"/>
      <c r="J246" s="156" t="str">
        <f t="shared" si="3"/>
        <v/>
      </c>
      <c r="K246" s="157"/>
      <c r="L246" s="157"/>
      <c r="M246" s="157"/>
      <c r="N246" s="157"/>
      <c r="O246" s="156" t="s">
        <v>4547</v>
      </c>
      <c r="P246" s="163"/>
      <c r="Q246" s="494"/>
      <c r="R246" s="162"/>
    </row>
    <row r="247" spans="4:18" x14ac:dyDescent="0.25">
      <c r="D247" s="157" t="s">
        <v>4548</v>
      </c>
      <c r="E247" s="156" t="s">
        <v>4542</v>
      </c>
      <c r="F247" s="157"/>
      <c r="G247" s="156"/>
      <c r="H247" s="157"/>
      <c r="I247" s="157"/>
      <c r="J247" s="156" t="str">
        <f t="shared" si="3"/>
        <v/>
      </c>
      <c r="K247" s="157"/>
      <c r="L247" s="157"/>
      <c r="M247" s="157"/>
      <c r="N247" s="157"/>
      <c r="O247" s="156" t="s">
        <v>4549</v>
      </c>
      <c r="P247" s="163"/>
      <c r="Q247" s="494"/>
      <c r="R247" s="162"/>
    </row>
    <row r="248" spans="4:18" x14ac:dyDescent="0.25">
      <c r="D248" s="157" t="s">
        <v>4550</v>
      </c>
      <c r="E248" s="156" t="s">
        <v>4542</v>
      </c>
      <c r="F248" s="157"/>
      <c r="G248" s="156"/>
      <c r="H248" s="157"/>
      <c r="I248" s="157"/>
      <c r="J248" s="156" t="str">
        <f t="shared" si="3"/>
        <v/>
      </c>
      <c r="K248" s="157"/>
      <c r="L248" s="157"/>
      <c r="M248" s="157"/>
      <c r="N248" s="157"/>
      <c r="O248" s="156" t="s">
        <v>4551</v>
      </c>
      <c r="P248" s="163"/>
      <c r="Q248" s="494"/>
      <c r="R248" s="162"/>
    </row>
    <row r="249" spans="4:18" x14ac:dyDescent="0.25">
      <c r="D249" s="157" t="s">
        <v>4552</v>
      </c>
      <c r="E249" s="156" t="s">
        <v>4542</v>
      </c>
      <c r="F249" s="157"/>
      <c r="G249" s="156"/>
      <c r="H249" s="157"/>
      <c r="I249" s="157"/>
      <c r="J249" s="156" t="str">
        <f t="shared" si="3"/>
        <v/>
      </c>
      <c r="K249" s="157"/>
      <c r="L249" s="157"/>
      <c r="M249" s="157"/>
      <c r="N249" s="157"/>
      <c r="O249" s="156" t="s">
        <v>4553</v>
      </c>
      <c r="P249" s="163"/>
      <c r="Q249" s="494"/>
      <c r="R249" s="162"/>
    </row>
    <row r="250" spans="4:18" x14ac:dyDescent="0.25">
      <c r="D250" s="157" t="s">
        <v>4554</v>
      </c>
      <c r="E250" s="156" t="s">
        <v>4542</v>
      </c>
      <c r="F250" s="157"/>
      <c r="G250" s="156"/>
      <c r="H250" s="157"/>
      <c r="I250" s="157"/>
      <c r="J250" s="156" t="str">
        <f t="shared" si="3"/>
        <v/>
      </c>
      <c r="K250" s="157"/>
      <c r="L250" s="157"/>
      <c r="M250" s="157"/>
      <c r="N250" s="157"/>
      <c r="O250" s="156" t="s">
        <v>4555</v>
      </c>
      <c r="P250" s="163"/>
      <c r="Q250" s="494"/>
      <c r="R250" s="162"/>
    </row>
    <row r="251" spans="4:18" x14ac:dyDescent="0.25">
      <c r="D251" s="157" t="s">
        <v>4556</v>
      </c>
      <c r="E251" s="156" t="s">
        <v>4542</v>
      </c>
      <c r="F251" s="157"/>
      <c r="G251" s="156"/>
      <c r="H251" s="157"/>
      <c r="I251" s="157"/>
      <c r="J251" s="156" t="str">
        <f t="shared" si="3"/>
        <v/>
      </c>
      <c r="K251" s="157"/>
      <c r="L251" s="157"/>
      <c r="M251" s="157"/>
      <c r="N251" s="157"/>
      <c r="O251" s="156" t="s">
        <v>4557</v>
      </c>
      <c r="P251" s="163"/>
      <c r="Q251" s="494"/>
      <c r="R251" s="162"/>
    </row>
    <row r="252" spans="4:18" x14ac:dyDescent="0.25">
      <c r="D252" s="157" t="s">
        <v>4558</v>
      </c>
      <c r="E252" s="156" t="s">
        <v>4542</v>
      </c>
      <c r="F252" s="157"/>
      <c r="G252" s="156"/>
      <c r="H252" s="157"/>
      <c r="I252" s="157"/>
      <c r="J252" s="156" t="str">
        <f t="shared" si="3"/>
        <v/>
      </c>
      <c r="K252" s="157"/>
      <c r="L252" s="157"/>
      <c r="M252" s="157"/>
      <c r="N252" s="157"/>
      <c r="O252" s="156" t="s">
        <v>4559</v>
      </c>
      <c r="P252" s="163"/>
      <c r="Q252" s="494"/>
      <c r="R252" s="162"/>
    </row>
    <row r="253" spans="4:18" x14ac:dyDescent="0.25">
      <c r="D253" s="157" t="s">
        <v>4560</v>
      </c>
      <c r="E253" s="156" t="s">
        <v>4542</v>
      </c>
      <c r="F253" s="157"/>
      <c r="G253" s="156"/>
      <c r="H253" s="157"/>
      <c r="I253" s="157"/>
      <c r="J253" s="156" t="str">
        <f t="shared" si="3"/>
        <v/>
      </c>
      <c r="K253" s="157"/>
      <c r="L253" s="157"/>
      <c r="M253" s="157"/>
      <c r="N253" s="157"/>
      <c r="O253" s="156" t="s">
        <v>4561</v>
      </c>
      <c r="P253" s="163"/>
      <c r="Q253" s="494"/>
      <c r="R253" s="162"/>
    </row>
    <row r="254" spans="4:18" x14ac:dyDescent="0.25">
      <c r="D254" s="157" t="s">
        <v>4562</v>
      </c>
      <c r="E254" s="156" t="s">
        <v>4563</v>
      </c>
      <c r="F254" s="157"/>
      <c r="G254" s="156"/>
      <c r="H254" s="157"/>
      <c r="I254" s="157"/>
      <c r="J254" s="156" t="str">
        <f t="shared" si="3"/>
        <v/>
      </c>
      <c r="K254" s="157"/>
      <c r="L254" s="157"/>
      <c r="M254" s="157"/>
      <c r="N254" s="157"/>
      <c r="O254" s="156" t="s">
        <v>4564</v>
      </c>
      <c r="P254" s="163"/>
      <c r="Q254" s="494"/>
      <c r="R254" s="162"/>
    </row>
    <row r="255" spans="4:18" x14ac:dyDescent="0.25">
      <c r="D255" s="157" t="s">
        <v>4565</v>
      </c>
      <c r="E255" s="156" t="s">
        <v>4563</v>
      </c>
      <c r="F255" s="157"/>
      <c r="G255" s="156"/>
      <c r="H255" s="157"/>
      <c r="I255" s="157"/>
      <c r="J255" s="156" t="str">
        <f t="shared" si="3"/>
        <v/>
      </c>
      <c r="K255" s="157"/>
      <c r="L255" s="157"/>
      <c r="M255" s="157"/>
      <c r="N255" s="157"/>
      <c r="O255" s="156" t="s">
        <v>4566</v>
      </c>
      <c r="P255" s="163"/>
      <c r="Q255" s="494"/>
      <c r="R255" s="162"/>
    </row>
    <row r="256" spans="4:18" x14ac:dyDescent="0.25">
      <c r="D256" s="157" t="s">
        <v>4567</v>
      </c>
      <c r="E256" s="156" t="s">
        <v>4563</v>
      </c>
      <c r="F256" s="157"/>
      <c r="G256" s="156"/>
      <c r="H256" s="157"/>
      <c r="I256" s="157"/>
      <c r="J256" s="156" t="str">
        <f t="shared" si="3"/>
        <v/>
      </c>
      <c r="K256" s="157"/>
      <c r="L256" s="157"/>
      <c r="M256" s="157"/>
      <c r="N256" s="157"/>
      <c r="O256" s="156" t="s">
        <v>4568</v>
      </c>
      <c r="P256" s="163"/>
      <c r="Q256" s="494"/>
      <c r="R256" s="162"/>
    </row>
    <row r="257" spans="4:18" x14ac:dyDescent="0.25">
      <c r="D257" s="157" t="s">
        <v>4569</v>
      </c>
      <c r="E257" s="156" t="s">
        <v>4563</v>
      </c>
      <c r="F257" s="157"/>
      <c r="G257" s="156"/>
      <c r="H257" s="157"/>
      <c r="I257" s="157"/>
      <c r="J257" s="156" t="str">
        <f t="shared" si="3"/>
        <v/>
      </c>
      <c r="K257" s="157"/>
      <c r="L257" s="157"/>
      <c r="M257" s="157"/>
      <c r="N257" s="157"/>
      <c r="O257" s="156" t="s">
        <v>4570</v>
      </c>
      <c r="P257" s="163"/>
      <c r="Q257" s="494"/>
      <c r="R257" s="162"/>
    </row>
    <row r="258" spans="4:18" x14ac:dyDescent="0.25">
      <c r="D258" s="157" t="s">
        <v>4571</v>
      </c>
      <c r="E258" s="156" t="s">
        <v>4563</v>
      </c>
      <c r="F258" s="157"/>
      <c r="G258" s="156"/>
      <c r="H258" s="157"/>
      <c r="I258" s="157"/>
      <c r="J258" s="156" t="str">
        <f t="shared" si="3"/>
        <v/>
      </c>
      <c r="K258" s="157"/>
      <c r="L258" s="157"/>
      <c r="M258" s="157"/>
      <c r="N258" s="157"/>
      <c r="O258" s="156" t="s">
        <v>4572</v>
      </c>
      <c r="P258" s="163"/>
      <c r="Q258" s="494"/>
      <c r="R258" s="162"/>
    </row>
    <row r="259" spans="4:18" x14ac:dyDescent="0.25">
      <c r="D259" s="157" t="s">
        <v>4573</v>
      </c>
      <c r="E259" s="156" t="s">
        <v>4563</v>
      </c>
      <c r="F259" s="157"/>
      <c r="G259" s="156"/>
      <c r="H259" s="157"/>
      <c r="I259" s="157"/>
      <c r="J259" s="156" t="str">
        <f t="shared" si="3"/>
        <v/>
      </c>
      <c r="K259" s="157"/>
      <c r="L259" s="157"/>
      <c r="M259" s="157"/>
      <c r="N259" s="157"/>
      <c r="O259" s="156" t="s">
        <v>4574</v>
      </c>
      <c r="P259" s="163"/>
      <c r="Q259" s="494"/>
      <c r="R259" s="162"/>
    </row>
    <row r="260" spans="4:18" x14ac:dyDescent="0.25">
      <c r="D260" s="157" t="s">
        <v>4575</v>
      </c>
      <c r="E260" s="156" t="s">
        <v>4563</v>
      </c>
      <c r="F260" s="157"/>
      <c r="G260" s="156"/>
      <c r="H260" s="157"/>
      <c r="I260" s="157"/>
      <c r="J260" s="156" t="str">
        <f t="shared" ref="J260:J303" si="4">F260&amp;H260&amp;I260</f>
        <v/>
      </c>
      <c r="K260" s="157"/>
      <c r="L260" s="157"/>
      <c r="M260" s="157"/>
      <c r="N260" s="157"/>
      <c r="O260" s="156" t="s">
        <v>4576</v>
      </c>
      <c r="P260" s="163"/>
      <c r="Q260" s="494"/>
      <c r="R260" s="162"/>
    </row>
    <row r="261" spans="4:18" x14ac:dyDescent="0.25">
      <c r="D261" s="157" t="s">
        <v>4577</v>
      </c>
      <c r="E261" s="156" t="s">
        <v>4563</v>
      </c>
      <c r="F261" s="157"/>
      <c r="G261" s="156"/>
      <c r="H261" s="157"/>
      <c r="I261" s="157"/>
      <c r="J261" s="156" t="str">
        <f t="shared" si="4"/>
        <v/>
      </c>
      <c r="K261" s="157"/>
      <c r="L261" s="157"/>
      <c r="M261" s="157"/>
      <c r="N261" s="157"/>
      <c r="O261" s="156" t="s">
        <v>4578</v>
      </c>
      <c r="P261" s="163"/>
      <c r="Q261" s="494"/>
      <c r="R261" s="162"/>
    </row>
    <row r="262" spans="4:18" x14ac:dyDescent="0.25">
      <c r="D262" s="157" t="s">
        <v>4579</v>
      </c>
      <c r="E262" s="156" t="s">
        <v>4563</v>
      </c>
      <c r="F262" s="157"/>
      <c r="G262" s="156"/>
      <c r="H262" s="157"/>
      <c r="I262" s="157"/>
      <c r="J262" s="156" t="str">
        <f t="shared" si="4"/>
        <v/>
      </c>
      <c r="K262" s="157"/>
      <c r="L262" s="157"/>
      <c r="M262" s="157"/>
      <c r="N262" s="157"/>
      <c r="O262" s="156" t="s">
        <v>4580</v>
      </c>
      <c r="P262" s="163"/>
      <c r="Q262" s="494"/>
      <c r="R262" s="162"/>
    </row>
    <row r="263" spans="4:18" x14ac:dyDescent="0.25">
      <c r="D263" s="157" t="s">
        <v>4581</v>
      </c>
      <c r="E263" s="156" t="s">
        <v>4563</v>
      </c>
      <c r="F263" s="157"/>
      <c r="G263" s="156"/>
      <c r="H263" s="157"/>
      <c r="I263" s="157"/>
      <c r="J263" s="156" t="str">
        <f t="shared" si="4"/>
        <v/>
      </c>
      <c r="K263" s="157"/>
      <c r="L263" s="157"/>
      <c r="M263" s="157"/>
      <c r="N263" s="157"/>
      <c r="O263" s="156" t="s">
        <v>4582</v>
      </c>
      <c r="P263" s="163"/>
      <c r="Q263" s="494"/>
      <c r="R263" s="162"/>
    </row>
    <row r="264" spans="4:18" x14ac:dyDescent="0.25">
      <c r="D264" s="157" t="s">
        <v>4583</v>
      </c>
      <c r="E264" s="156" t="s">
        <v>4584</v>
      </c>
      <c r="F264" s="157"/>
      <c r="G264" s="156"/>
      <c r="H264" s="157"/>
      <c r="I264" s="157"/>
      <c r="J264" s="156" t="str">
        <f t="shared" si="4"/>
        <v/>
      </c>
      <c r="K264" s="157"/>
      <c r="L264" s="157"/>
      <c r="M264" s="157"/>
      <c r="N264" s="157"/>
      <c r="O264" s="156" t="s">
        <v>4585</v>
      </c>
      <c r="P264" s="163"/>
      <c r="Q264" s="494"/>
      <c r="R264" s="162"/>
    </row>
    <row r="265" spans="4:18" x14ac:dyDescent="0.25">
      <c r="D265" s="157" t="s">
        <v>4586</v>
      </c>
      <c r="E265" s="156" t="s">
        <v>4584</v>
      </c>
      <c r="F265" s="157"/>
      <c r="G265" s="156"/>
      <c r="H265" s="157"/>
      <c r="I265" s="157"/>
      <c r="J265" s="156" t="str">
        <f t="shared" si="4"/>
        <v/>
      </c>
      <c r="K265" s="157"/>
      <c r="L265" s="157"/>
      <c r="M265" s="157"/>
      <c r="N265" s="157"/>
      <c r="O265" s="156" t="s">
        <v>4587</v>
      </c>
      <c r="P265" s="163"/>
      <c r="Q265" s="494"/>
      <c r="R265" s="162"/>
    </row>
    <row r="266" spans="4:18" x14ac:dyDescent="0.25">
      <c r="D266" s="157" t="s">
        <v>4588</v>
      </c>
      <c r="E266" s="156" t="s">
        <v>4584</v>
      </c>
      <c r="F266" s="157"/>
      <c r="G266" s="156"/>
      <c r="H266" s="157"/>
      <c r="I266" s="157"/>
      <c r="J266" s="156" t="str">
        <f t="shared" si="4"/>
        <v/>
      </c>
      <c r="K266" s="157"/>
      <c r="L266" s="157"/>
      <c r="M266" s="157"/>
      <c r="N266" s="157"/>
      <c r="O266" s="156" t="s">
        <v>4589</v>
      </c>
      <c r="P266" s="163"/>
      <c r="Q266" s="494"/>
      <c r="R266" s="162"/>
    </row>
    <row r="267" spans="4:18" x14ac:dyDescent="0.25">
      <c r="D267" s="157" t="s">
        <v>4590</v>
      </c>
      <c r="E267" s="156" t="s">
        <v>4584</v>
      </c>
      <c r="F267" s="157"/>
      <c r="G267" s="156"/>
      <c r="H267" s="157"/>
      <c r="I267" s="157"/>
      <c r="J267" s="156" t="str">
        <f t="shared" si="4"/>
        <v/>
      </c>
      <c r="K267" s="157"/>
      <c r="L267" s="157"/>
      <c r="M267" s="157"/>
      <c r="N267" s="157"/>
      <c r="O267" s="156" t="s">
        <v>4591</v>
      </c>
      <c r="P267" s="163"/>
      <c r="Q267" s="494"/>
      <c r="R267" s="162"/>
    </row>
    <row r="268" spans="4:18" x14ac:dyDescent="0.25">
      <c r="D268" s="157" t="s">
        <v>4592</v>
      </c>
      <c r="E268" s="156" t="s">
        <v>4584</v>
      </c>
      <c r="F268" s="157"/>
      <c r="G268" s="156"/>
      <c r="H268" s="157"/>
      <c r="I268" s="157"/>
      <c r="J268" s="156" t="str">
        <f t="shared" si="4"/>
        <v/>
      </c>
      <c r="K268" s="157"/>
      <c r="L268" s="157"/>
      <c r="M268" s="157"/>
      <c r="N268" s="157"/>
      <c r="O268" s="156" t="s">
        <v>4593</v>
      </c>
      <c r="P268" s="163"/>
      <c r="Q268" s="494"/>
      <c r="R268" s="162"/>
    </row>
    <row r="269" spans="4:18" x14ac:dyDescent="0.25">
      <c r="D269" s="157" t="s">
        <v>4594</v>
      </c>
      <c r="E269" s="156" t="s">
        <v>4584</v>
      </c>
      <c r="F269" s="157"/>
      <c r="G269" s="156"/>
      <c r="H269" s="157"/>
      <c r="I269" s="157"/>
      <c r="J269" s="156" t="str">
        <f t="shared" si="4"/>
        <v/>
      </c>
      <c r="K269" s="157"/>
      <c r="L269" s="157"/>
      <c r="M269" s="157"/>
      <c r="N269" s="157"/>
      <c r="O269" s="156" t="s">
        <v>4595</v>
      </c>
      <c r="P269" s="163"/>
      <c r="Q269" s="494"/>
      <c r="R269" s="162"/>
    </row>
    <row r="270" spans="4:18" x14ac:dyDescent="0.25">
      <c r="D270" s="157" t="s">
        <v>4596</v>
      </c>
      <c r="E270" s="156" t="s">
        <v>4584</v>
      </c>
      <c r="F270" s="157"/>
      <c r="G270" s="156"/>
      <c r="H270" s="157"/>
      <c r="I270" s="157"/>
      <c r="J270" s="156" t="str">
        <f t="shared" si="4"/>
        <v/>
      </c>
      <c r="K270" s="157"/>
      <c r="L270" s="157"/>
      <c r="M270" s="157"/>
      <c r="N270" s="157"/>
      <c r="O270" s="156" t="s">
        <v>4597</v>
      </c>
      <c r="P270" s="163"/>
      <c r="Q270" s="494"/>
      <c r="R270" s="162"/>
    </row>
    <row r="271" spans="4:18" x14ac:dyDescent="0.25">
      <c r="D271" s="157" t="s">
        <v>4598</v>
      </c>
      <c r="E271" s="156" t="s">
        <v>4584</v>
      </c>
      <c r="F271" s="157"/>
      <c r="G271" s="156"/>
      <c r="H271" s="157"/>
      <c r="I271" s="157"/>
      <c r="J271" s="156" t="str">
        <f t="shared" si="4"/>
        <v/>
      </c>
      <c r="K271" s="157"/>
      <c r="L271" s="157"/>
      <c r="M271" s="157"/>
      <c r="N271" s="157"/>
      <c r="O271" s="156" t="s">
        <v>4599</v>
      </c>
      <c r="P271" s="163"/>
      <c r="Q271" s="494"/>
      <c r="R271" s="162"/>
    </row>
    <row r="272" spans="4:18" x14ac:dyDescent="0.25">
      <c r="D272" s="157" t="s">
        <v>4600</v>
      </c>
      <c r="E272" s="156" t="s">
        <v>4584</v>
      </c>
      <c r="F272" s="157"/>
      <c r="G272" s="156"/>
      <c r="H272" s="157"/>
      <c r="I272" s="157"/>
      <c r="J272" s="156" t="str">
        <f t="shared" si="4"/>
        <v/>
      </c>
      <c r="K272" s="157"/>
      <c r="L272" s="157"/>
      <c r="M272" s="157"/>
      <c r="N272" s="157"/>
      <c r="O272" s="156" t="s">
        <v>4601</v>
      </c>
      <c r="P272" s="163"/>
      <c r="Q272" s="494"/>
      <c r="R272" s="162"/>
    </row>
    <row r="273" spans="4:18" x14ac:dyDescent="0.25">
      <c r="D273" s="157" t="s">
        <v>4602</v>
      </c>
      <c r="E273" s="156" t="s">
        <v>4584</v>
      </c>
      <c r="F273" s="157"/>
      <c r="G273" s="156"/>
      <c r="H273" s="157"/>
      <c r="I273" s="157"/>
      <c r="J273" s="156" t="str">
        <f t="shared" si="4"/>
        <v/>
      </c>
      <c r="K273" s="157"/>
      <c r="L273" s="157"/>
      <c r="M273" s="157"/>
      <c r="N273" s="157"/>
      <c r="O273" s="156" t="s">
        <v>4603</v>
      </c>
      <c r="P273" s="163"/>
      <c r="Q273" s="494"/>
      <c r="R273" s="162"/>
    </row>
    <row r="274" spans="4:18" x14ac:dyDescent="0.25">
      <c r="D274" s="157" t="s">
        <v>4604</v>
      </c>
      <c r="E274" s="156" t="s">
        <v>4605</v>
      </c>
      <c r="F274" s="157"/>
      <c r="G274" s="156"/>
      <c r="H274" s="157"/>
      <c r="I274" s="157"/>
      <c r="J274" s="156" t="str">
        <f t="shared" si="4"/>
        <v/>
      </c>
      <c r="K274" s="157"/>
      <c r="L274" s="157"/>
      <c r="M274" s="157"/>
      <c r="N274" s="157"/>
      <c r="O274" s="156" t="s">
        <v>4606</v>
      </c>
      <c r="P274" s="163"/>
      <c r="Q274" s="494"/>
      <c r="R274" s="162"/>
    </row>
    <row r="275" spans="4:18" x14ac:dyDescent="0.25">
      <c r="D275" s="157" t="s">
        <v>4607</v>
      </c>
      <c r="E275" s="156" t="s">
        <v>4605</v>
      </c>
      <c r="F275" s="157"/>
      <c r="G275" s="156"/>
      <c r="H275" s="157"/>
      <c r="I275" s="157"/>
      <c r="J275" s="156" t="str">
        <f t="shared" si="4"/>
        <v/>
      </c>
      <c r="K275" s="157"/>
      <c r="L275" s="157"/>
      <c r="M275" s="157"/>
      <c r="N275" s="157"/>
      <c r="O275" s="156" t="s">
        <v>4608</v>
      </c>
      <c r="P275" s="163"/>
      <c r="Q275" s="494"/>
      <c r="R275" s="162"/>
    </row>
    <row r="276" spans="4:18" x14ac:dyDescent="0.25">
      <c r="D276" s="157" t="s">
        <v>4609</v>
      </c>
      <c r="E276" s="156" t="s">
        <v>4605</v>
      </c>
      <c r="F276" s="157"/>
      <c r="G276" s="156"/>
      <c r="H276" s="157"/>
      <c r="I276" s="157"/>
      <c r="J276" s="156" t="str">
        <f t="shared" si="4"/>
        <v/>
      </c>
      <c r="K276" s="157"/>
      <c r="L276" s="157"/>
      <c r="M276" s="157"/>
      <c r="N276" s="157"/>
      <c r="O276" s="156" t="s">
        <v>4610</v>
      </c>
      <c r="P276" s="163"/>
      <c r="Q276" s="494"/>
      <c r="R276" s="162"/>
    </row>
    <row r="277" spans="4:18" x14ac:dyDescent="0.25">
      <c r="D277" s="157" t="s">
        <v>4611</v>
      </c>
      <c r="E277" s="156" t="s">
        <v>4605</v>
      </c>
      <c r="F277" s="157"/>
      <c r="G277" s="156"/>
      <c r="H277" s="157"/>
      <c r="I277" s="157"/>
      <c r="J277" s="156" t="str">
        <f t="shared" si="4"/>
        <v/>
      </c>
      <c r="K277" s="157"/>
      <c r="L277" s="157"/>
      <c r="M277" s="157"/>
      <c r="N277" s="157"/>
      <c r="O277" s="156" t="s">
        <v>4612</v>
      </c>
      <c r="P277" s="163"/>
      <c r="Q277" s="494"/>
      <c r="R277" s="162"/>
    </row>
    <row r="278" spans="4:18" x14ac:dyDescent="0.25">
      <c r="D278" s="157" t="s">
        <v>4613</v>
      </c>
      <c r="E278" s="156" t="s">
        <v>4605</v>
      </c>
      <c r="F278" s="157"/>
      <c r="G278" s="156"/>
      <c r="H278" s="157"/>
      <c r="I278" s="157"/>
      <c r="J278" s="156" t="str">
        <f t="shared" si="4"/>
        <v/>
      </c>
      <c r="K278" s="157"/>
      <c r="L278" s="157"/>
      <c r="M278" s="157"/>
      <c r="N278" s="157"/>
      <c r="O278" s="156" t="s">
        <v>4614</v>
      </c>
      <c r="P278" s="163"/>
      <c r="Q278" s="494"/>
      <c r="R278" s="162"/>
    </row>
    <row r="279" spans="4:18" x14ac:dyDescent="0.25">
      <c r="D279" s="157" t="s">
        <v>4615</v>
      </c>
      <c r="E279" s="156" t="s">
        <v>4605</v>
      </c>
      <c r="F279" s="157"/>
      <c r="G279" s="156"/>
      <c r="H279" s="157"/>
      <c r="I279" s="157"/>
      <c r="J279" s="156" t="str">
        <f t="shared" si="4"/>
        <v/>
      </c>
      <c r="K279" s="157"/>
      <c r="L279" s="157"/>
      <c r="M279" s="157"/>
      <c r="N279" s="157"/>
      <c r="O279" s="156" t="s">
        <v>4616</v>
      </c>
      <c r="P279" s="163"/>
      <c r="Q279" s="494"/>
      <c r="R279" s="162"/>
    </row>
    <row r="280" spans="4:18" x14ac:dyDescent="0.25">
      <c r="D280" s="157" t="s">
        <v>4617</v>
      </c>
      <c r="E280" s="156" t="s">
        <v>4605</v>
      </c>
      <c r="F280" s="157"/>
      <c r="G280" s="156"/>
      <c r="H280" s="157"/>
      <c r="I280" s="157"/>
      <c r="J280" s="156" t="str">
        <f t="shared" si="4"/>
        <v/>
      </c>
      <c r="K280" s="157"/>
      <c r="L280" s="157"/>
      <c r="M280" s="157"/>
      <c r="N280" s="157"/>
      <c r="O280" s="156" t="s">
        <v>4618</v>
      </c>
      <c r="P280" s="163"/>
      <c r="Q280" s="494"/>
      <c r="R280" s="162"/>
    </row>
    <row r="281" spans="4:18" x14ac:dyDescent="0.25">
      <c r="D281" s="157" t="s">
        <v>4619</v>
      </c>
      <c r="E281" s="156" t="s">
        <v>4605</v>
      </c>
      <c r="F281" s="157"/>
      <c r="G281" s="156"/>
      <c r="H281" s="157"/>
      <c r="I281" s="157"/>
      <c r="J281" s="156" t="str">
        <f t="shared" si="4"/>
        <v/>
      </c>
      <c r="K281" s="157"/>
      <c r="L281" s="157"/>
      <c r="M281" s="157"/>
      <c r="N281" s="157"/>
      <c r="O281" s="156" t="s">
        <v>4620</v>
      </c>
      <c r="P281" s="163"/>
      <c r="Q281" s="494"/>
      <c r="R281" s="162"/>
    </row>
    <row r="282" spans="4:18" x14ac:dyDescent="0.25">
      <c r="D282" s="157" t="s">
        <v>4621</v>
      </c>
      <c r="E282" s="156" t="s">
        <v>4605</v>
      </c>
      <c r="F282" s="157"/>
      <c r="G282" s="156"/>
      <c r="H282" s="157"/>
      <c r="I282" s="157"/>
      <c r="J282" s="156" t="str">
        <f t="shared" si="4"/>
        <v/>
      </c>
      <c r="K282" s="157"/>
      <c r="L282" s="157"/>
      <c r="M282" s="157"/>
      <c r="N282" s="157"/>
      <c r="O282" s="156" t="s">
        <v>4622</v>
      </c>
      <c r="P282" s="163"/>
      <c r="Q282" s="494"/>
      <c r="R282" s="162"/>
    </row>
    <row r="283" spans="4:18" x14ac:dyDescent="0.25">
      <c r="D283" s="157" t="s">
        <v>4623</v>
      </c>
      <c r="E283" s="156" t="s">
        <v>4605</v>
      </c>
      <c r="F283" s="157"/>
      <c r="G283" s="156"/>
      <c r="H283" s="157"/>
      <c r="I283" s="157"/>
      <c r="J283" s="156" t="str">
        <f t="shared" si="4"/>
        <v/>
      </c>
      <c r="K283" s="157"/>
      <c r="L283" s="157"/>
      <c r="M283" s="157"/>
      <c r="N283" s="157"/>
      <c r="O283" s="156" t="s">
        <v>4624</v>
      </c>
      <c r="P283" s="163"/>
      <c r="Q283" s="494"/>
      <c r="R283" s="162"/>
    </row>
    <row r="284" spans="4:18" x14ac:dyDescent="0.25">
      <c r="D284" s="157" t="s">
        <v>4625</v>
      </c>
      <c r="E284" s="156" t="s">
        <v>4626</v>
      </c>
      <c r="F284" s="157"/>
      <c r="G284" s="156"/>
      <c r="H284" s="157"/>
      <c r="I284" s="157"/>
      <c r="J284" s="156" t="str">
        <f t="shared" si="4"/>
        <v/>
      </c>
      <c r="K284" s="157"/>
      <c r="L284" s="157"/>
      <c r="M284" s="157"/>
      <c r="N284" s="157"/>
      <c r="O284" s="156" t="s">
        <v>4627</v>
      </c>
      <c r="P284" s="163"/>
      <c r="Q284" s="494"/>
      <c r="R284" s="162"/>
    </row>
    <row r="285" spans="4:18" x14ac:dyDescent="0.25">
      <c r="D285" s="157" t="s">
        <v>4628</v>
      </c>
      <c r="E285" s="156" t="s">
        <v>4626</v>
      </c>
      <c r="F285" s="157"/>
      <c r="G285" s="156"/>
      <c r="H285" s="157"/>
      <c r="I285" s="157"/>
      <c r="J285" s="156" t="str">
        <f t="shared" si="4"/>
        <v/>
      </c>
      <c r="K285" s="157"/>
      <c r="L285" s="157"/>
      <c r="M285" s="157"/>
      <c r="N285" s="157"/>
      <c r="O285" s="156" t="s">
        <v>4629</v>
      </c>
      <c r="P285" s="163"/>
      <c r="Q285" s="494"/>
      <c r="R285" s="162"/>
    </row>
    <row r="286" spans="4:18" x14ac:dyDescent="0.25">
      <c r="D286" s="157" t="s">
        <v>4630</v>
      </c>
      <c r="E286" s="156" t="s">
        <v>4626</v>
      </c>
      <c r="F286" s="157"/>
      <c r="G286" s="156"/>
      <c r="H286" s="157"/>
      <c r="I286" s="157"/>
      <c r="J286" s="156" t="str">
        <f t="shared" si="4"/>
        <v/>
      </c>
      <c r="K286" s="157"/>
      <c r="L286" s="157"/>
      <c r="M286" s="157"/>
      <c r="N286" s="157"/>
      <c r="O286" s="156" t="s">
        <v>4631</v>
      </c>
      <c r="P286" s="163"/>
      <c r="Q286" s="494"/>
      <c r="R286" s="162"/>
    </row>
    <row r="287" spans="4:18" x14ac:dyDescent="0.25">
      <c r="D287" s="157" t="s">
        <v>4632</v>
      </c>
      <c r="E287" s="156" t="s">
        <v>4626</v>
      </c>
      <c r="F287" s="157"/>
      <c r="G287" s="156"/>
      <c r="H287" s="157"/>
      <c r="I287" s="157"/>
      <c r="J287" s="156" t="str">
        <f t="shared" si="4"/>
        <v/>
      </c>
      <c r="K287" s="157"/>
      <c r="L287" s="157"/>
      <c r="M287" s="157"/>
      <c r="N287" s="157"/>
      <c r="O287" s="156" t="s">
        <v>4633</v>
      </c>
      <c r="P287" s="163"/>
      <c r="Q287" s="494"/>
      <c r="R287" s="162"/>
    </row>
    <row r="288" spans="4:18" x14ac:dyDescent="0.25">
      <c r="D288" s="157" t="s">
        <v>4634</v>
      </c>
      <c r="E288" s="156" t="s">
        <v>4626</v>
      </c>
      <c r="F288" s="157"/>
      <c r="G288" s="156"/>
      <c r="H288" s="157"/>
      <c r="I288" s="157"/>
      <c r="J288" s="156" t="str">
        <f t="shared" si="4"/>
        <v/>
      </c>
      <c r="K288" s="157"/>
      <c r="L288" s="157"/>
      <c r="M288" s="157"/>
      <c r="N288" s="157"/>
      <c r="O288" s="156" t="s">
        <v>4635</v>
      </c>
      <c r="P288" s="163"/>
      <c r="Q288" s="494"/>
      <c r="R288" s="162"/>
    </row>
    <row r="289" spans="4:18" x14ac:dyDescent="0.25">
      <c r="D289" s="157" t="s">
        <v>4636</v>
      </c>
      <c r="E289" s="156" t="s">
        <v>4626</v>
      </c>
      <c r="F289" s="157"/>
      <c r="G289" s="156"/>
      <c r="H289" s="157"/>
      <c r="I289" s="157"/>
      <c r="J289" s="156" t="str">
        <f t="shared" si="4"/>
        <v/>
      </c>
      <c r="K289" s="157"/>
      <c r="L289" s="157"/>
      <c r="M289" s="157"/>
      <c r="N289" s="157"/>
      <c r="O289" s="156" t="s">
        <v>4637</v>
      </c>
      <c r="P289" s="163"/>
      <c r="Q289" s="494"/>
      <c r="R289" s="162"/>
    </row>
    <row r="290" spans="4:18" x14ac:dyDescent="0.25">
      <c r="D290" s="157" t="s">
        <v>4638</v>
      </c>
      <c r="E290" s="156" t="s">
        <v>4626</v>
      </c>
      <c r="F290" s="157"/>
      <c r="G290" s="156"/>
      <c r="H290" s="157"/>
      <c r="I290" s="157"/>
      <c r="J290" s="156" t="str">
        <f t="shared" si="4"/>
        <v/>
      </c>
      <c r="K290" s="157"/>
      <c r="L290" s="157"/>
      <c r="M290" s="157"/>
      <c r="N290" s="157"/>
      <c r="O290" s="156" t="s">
        <v>4639</v>
      </c>
      <c r="P290" s="163"/>
      <c r="Q290" s="494"/>
      <c r="R290" s="162"/>
    </row>
    <row r="291" spans="4:18" x14ac:dyDescent="0.25">
      <c r="D291" s="157" t="s">
        <v>4640</v>
      </c>
      <c r="E291" s="156" t="s">
        <v>4626</v>
      </c>
      <c r="F291" s="157"/>
      <c r="G291" s="156"/>
      <c r="H291" s="157"/>
      <c r="I291" s="157"/>
      <c r="J291" s="156" t="str">
        <f t="shared" si="4"/>
        <v/>
      </c>
      <c r="K291" s="157"/>
      <c r="L291" s="157"/>
      <c r="M291" s="157"/>
      <c r="N291" s="157"/>
      <c r="O291" s="156" t="s">
        <v>4641</v>
      </c>
      <c r="P291" s="163"/>
      <c r="Q291" s="494"/>
      <c r="R291" s="162"/>
    </row>
    <row r="292" spans="4:18" x14ac:dyDescent="0.25">
      <c r="D292" s="157" t="s">
        <v>4642</v>
      </c>
      <c r="E292" s="156" t="s">
        <v>4626</v>
      </c>
      <c r="F292" s="157"/>
      <c r="G292" s="156"/>
      <c r="H292" s="157"/>
      <c r="I292" s="157"/>
      <c r="J292" s="156" t="str">
        <f t="shared" si="4"/>
        <v/>
      </c>
      <c r="K292" s="157"/>
      <c r="L292" s="157"/>
      <c r="M292" s="157"/>
      <c r="N292" s="157"/>
      <c r="O292" s="156" t="s">
        <v>4643</v>
      </c>
      <c r="P292" s="163"/>
      <c r="Q292" s="494"/>
      <c r="R292" s="162"/>
    </row>
    <row r="293" spans="4:18" x14ac:dyDescent="0.25">
      <c r="D293" s="157" t="s">
        <v>4644</v>
      </c>
      <c r="E293" s="156" t="s">
        <v>4626</v>
      </c>
      <c r="F293" s="157"/>
      <c r="G293" s="156"/>
      <c r="H293" s="157"/>
      <c r="I293" s="157"/>
      <c r="J293" s="156" t="str">
        <f t="shared" si="4"/>
        <v/>
      </c>
      <c r="K293" s="157"/>
      <c r="L293" s="157"/>
      <c r="M293" s="157"/>
      <c r="N293" s="157"/>
      <c r="O293" s="156" t="s">
        <v>4645</v>
      </c>
      <c r="P293" s="163"/>
      <c r="Q293" s="494"/>
      <c r="R293" s="162"/>
    </row>
    <row r="294" spans="4:18" x14ac:dyDescent="0.25">
      <c r="D294" s="157" t="s">
        <v>4646</v>
      </c>
      <c r="E294" s="156" t="s">
        <v>4647</v>
      </c>
      <c r="F294" s="157"/>
      <c r="G294" s="156"/>
      <c r="H294" s="157"/>
      <c r="I294" s="157"/>
      <c r="J294" s="156" t="str">
        <f t="shared" si="4"/>
        <v/>
      </c>
      <c r="K294" s="157"/>
      <c r="L294" s="157"/>
      <c r="M294" s="157"/>
      <c r="N294" s="157"/>
      <c r="O294" s="156" t="s">
        <v>4648</v>
      </c>
      <c r="P294" s="163"/>
      <c r="Q294" s="494"/>
      <c r="R294" s="162"/>
    </row>
    <row r="295" spans="4:18" x14ac:dyDescent="0.25">
      <c r="D295" s="157" t="s">
        <v>4649</v>
      </c>
      <c r="E295" s="156" t="s">
        <v>4647</v>
      </c>
      <c r="F295" s="157"/>
      <c r="G295" s="156"/>
      <c r="H295" s="157"/>
      <c r="I295" s="157"/>
      <c r="J295" s="156" t="str">
        <f t="shared" si="4"/>
        <v/>
      </c>
      <c r="K295" s="157"/>
      <c r="L295" s="157"/>
      <c r="M295" s="157"/>
      <c r="N295" s="157"/>
      <c r="O295" s="156" t="s">
        <v>4650</v>
      </c>
      <c r="P295" s="163"/>
      <c r="Q295" s="494"/>
      <c r="R295" s="162"/>
    </row>
    <row r="296" spans="4:18" x14ac:dyDescent="0.25">
      <c r="D296" s="157" t="s">
        <v>4651</v>
      </c>
      <c r="E296" s="156" t="s">
        <v>4647</v>
      </c>
      <c r="F296" s="157"/>
      <c r="G296" s="156"/>
      <c r="H296" s="157"/>
      <c r="I296" s="157"/>
      <c r="J296" s="156" t="str">
        <f t="shared" si="4"/>
        <v/>
      </c>
      <c r="K296" s="157"/>
      <c r="L296" s="157"/>
      <c r="M296" s="157"/>
      <c r="N296" s="157"/>
      <c r="O296" s="156" t="s">
        <v>4652</v>
      </c>
      <c r="P296" s="163"/>
      <c r="Q296" s="494"/>
      <c r="R296" s="162"/>
    </row>
    <row r="297" spans="4:18" x14ac:dyDescent="0.25">
      <c r="D297" s="157" t="s">
        <v>4653</v>
      </c>
      <c r="E297" s="156" t="s">
        <v>4647</v>
      </c>
      <c r="F297" s="157"/>
      <c r="G297" s="156"/>
      <c r="H297" s="157"/>
      <c r="I297" s="157"/>
      <c r="J297" s="156" t="str">
        <f t="shared" si="4"/>
        <v/>
      </c>
      <c r="K297" s="157"/>
      <c r="L297" s="157"/>
      <c r="M297" s="157"/>
      <c r="N297" s="157"/>
      <c r="O297" s="156" t="s">
        <v>4654</v>
      </c>
      <c r="P297" s="163"/>
      <c r="Q297" s="494"/>
      <c r="R297" s="162"/>
    </row>
    <row r="298" spans="4:18" x14ac:dyDescent="0.25">
      <c r="D298" s="157" t="s">
        <v>4655</v>
      </c>
      <c r="E298" s="156" t="s">
        <v>4647</v>
      </c>
      <c r="F298" s="157"/>
      <c r="G298" s="156"/>
      <c r="H298" s="157"/>
      <c r="I298" s="157"/>
      <c r="J298" s="156" t="str">
        <f t="shared" si="4"/>
        <v/>
      </c>
      <c r="K298" s="157"/>
      <c r="L298" s="157"/>
      <c r="M298" s="157"/>
      <c r="N298" s="157"/>
      <c r="O298" s="156" t="s">
        <v>4656</v>
      </c>
      <c r="P298" s="163"/>
      <c r="Q298" s="494"/>
      <c r="R298" s="162"/>
    </row>
    <row r="299" spans="4:18" x14ac:dyDescent="0.25">
      <c r="D299" s="157" t="s">
        <v>4657</v>
      </c>
      <c r="E299" s="156" t="s">
        <v>4647</v>
      </c>
      <c r="F299" s="157"/>
      <c r="G299" s="156"/>
      <c r="H299" s="157"/>
      <c r="I299" s="157"/>
      <c r="J299" s="156" t="str">
        <f t="shared" si="4"/>
        <v/>
      </c>
      <c r="K299" s="157"/>
      <c r="L299" s="157"/>
      <c r="M299" s="157"/>
      <c r="N299" s="157"/>
      <c r="O299" s="156" t="s">
        <v>4658</v>
      </c>
      <c r="P299" s="163"/>
      <c r="Q299" s="494"/>
      <c r="R299" s="162"/>
    </row>
    <row r="300" spans="4:18" x14ac:dyDescent="0.25">
      <c r="D300" s="157" t="s">
        <v>4659</v>
      </c>
      <c r="E300" s="156" t="s">
        <v>4647</v>
      </c>
      <c r="F300" s="157"/>
      <c r="G300" s="156"/>
      <c r="H300" s="157"/>
      <c r="I300" s="157"/>
      <c r="J300" s="156" t="str">
        <f t="shared" si="4"/>
        <v/>
      </c>
      <c r="K300" s="157"/>
      <c r="L300" s="157"/>
      <c r="M300" s="157"/>
      <c r="N300" s="157"/>
      <c r="O300" s="156" t="s">
        <v>4660</v>
      </c>
      <c r="P300" s="163"/>
      <c r="Q300" s="494"/>
      <c r="R300" s="162"/>
    </row>
    <row r="301" spans="4:18" x14ac:dyDescent="0.25">
      <c r="D301" s="157" t="s">
        <v>4661</v>
      </c>
      <c r="E301" s="156" t="s">
        <v>4647</v>
      </c>
      <c r="F301" s="157"/>
      <c r="G301" s="156"/>
      <c r="H301" s="157"/>
      <c r="I301" s="157"/>
      <c r="J301" s="156" t="str">
        <f t="shared" si="4"/>
        <v/>
      </c>
      <c r="K301" s="157"/>
      <c r="L301" s="157"/>
      <c r="M301" s="157"/>
      <c r="N301" s="157"/>
      <c r="O301" s="156" t="s">
        <v>4662</v>
      </c>
      <c r="P301" s="163"/>
      <c r="Q301" s="494"/>
      <c r="R301" s="162"/>
    </row>
    <row r="302" spans="4:18" x14ac:dyDescent="0.25">
      <c r="D302" s="157" t="s">
        <v>4663</v>
      </c>
      <c r="E302" s="156" t="s">
        <v>4647</v>
      </c>
      <c r="F302" s="157"/>
      <c r="G302" s="156"/>
      <c r="H302" s="157"/>
      <c r="I302" s="157"/>
      <c r="J302" s="156" t="str">
        <f t="shared" si="4"/>
        <v/>
      </c>
      <c r="K302" s="157"/>
      <c r="L302" s="157"/>
      <c r="M302" s="157"/>
      <c r="N302" s="157"/>
      <c r="O302" s="156" t="s">
        <v>4664</v>
      </c>
      <c r="P302" s="163"/>
      <c r="Q302" s="494"/>
      <c r="R302" s="162"/>
    </row>
    <row r="303" spans="4:18" x14ac:dyDescent="0.25">
      <c r="D303" s="157" t="s">
        <v>4665</v>
      </c>
      <c r="E303" s="156" t="s">
        <v>4647</v>
      </c>
      <c r="F303" s="157"/>
      <c r="G303" s="156"/>
      <c r="H303" s="157"/>
      <c r="I303" s="157"/>
      <c r="J303" s="156" t="str">
        <f t="shared" si="4"/>
        <v/>
      </c>
      <c r="K303" s="157"/>
      <c r="L303" s="157"/>
      <c r="M303" s="157"/>
      <c r="N303" s="157"/>
      <c r="O303" s="156" t="s">
        <v>4666</v>
      </c>
      <c r="P303" s="163"/>
      <c r="Q303" s="494"/>
      <c r="R303" s="162"/>
    </row>
    <row r="307" spans="4:15" ht="13" x14ac:dyDescent="0.3">
      <c r="D307" s="6" t="s">
        <v>157</v>
      </c>
    </row>
    <row r="308" spans="4:15" x14ac:dyDescent="0.25">
      <c r="D308" s="156" t="s">
        <v>159</v>
      </c>
      <c r="E308" s="156" t="s">
        <v>161</v>
      </c>
      <c r="F308" s="156" t="s">
        <v>55</v>
      </c>
      <c r="G308" s="156"/>
      <c r="H308" s="156" t="s">
        <v>34</v>
      </c>
      <c r="I308" s="156" t="s">
        <v>27</v>
      </c>
      <c r="J308" s="156" t="s">
        <v>155</v>
      </c>
      <c r="K308" s="156" t="s">
        <v>28</v>
      </c>
      <c r="L308" s="156" t="s">
        <v>29</v>
      </c>
      <c r="M308" s="156" t="s">
        <v>18</v>
      </c>
      <c r="N308" s="156" t="s">
        <v>9</v>
      </c>
      <c r="O308" s="156" t="s">
        <v>48</v>
      </c>
    </row>
    <row r="309" spans="4:15" hidden="1" x14ac:dyDescent="0.25">
      <c r="D309" s="157" t="s">
        <v>158</v>
      </c>
      <c r="E309" s="156" t="s">
        <v>160</v>
      </c>
      <c r="F309" s="157" t="s">
        <v>162</v>
      </c>
      <c r="G309" s="156"/>
      <c r="H309" s="157" t="s">
        <v>77</v>
      </c>
      <c r="I309" s="157" t="s">
        <v>76</v>
      </c>
      <c r="J309" s="156" t="str">
        <f>F309&amp;H309&amp;I309</f>
        <v>[Outcome Indicator Name][Category][Disaggregation]</v>
      </c>
      <c r="K309" s="157" t="s">
        <v>40</v>
      </c>
      <c r="L309" s="157" t="s">
        <v>41</v>
      </c>
      <c r="M309" s="157" t="s">
        <v>42</v>
      </c>
      <c r="N309" s="157" t="s">
        <v>69</v>
      </c>
      <c r="O309" s="156" t="s">
        <v>47</v>
      </c>
    </row>
    <row r="310" spans="4:15" x14ac:dyDescent="0.25">
      <c r="D310" s="157" t="s">
        <v>4667</v>
      </c>
      <c r="E310" s="156" t="s">
        <v>4668</v>
      </c>
      <c r="F310" s="157" t="s">
        <v>1704</v>
      </c>
      <c r="G310" s="156"/>
      <c r="H310" s="157" t="s">
        <v>1463</v>
      </c>
      <c r="I310" s="157" t="s">
        <v>1516</v>
      </c>
      <c r="J310" s="156" t="str">
        <f t="shared" ref="J310:J373" si="5">F310&amp;H310&amp;I310</f>
        <v>HIV O-4a⁽ᴹ⁾ Percentage of men reporting the use of a condom the last time they had anal sex with a non regular partnerAge25+</v>
      </c>
      <c r="K310" s="157"/>
      <c r="L310" s="157"/>
      <c r="M310" s="157"/>
      <c r="N310" s="157" t="s">
        <v>4669</v>
      </c>
      <c r="O310" s="156" t="s">
        <v>4670</v>
      </c>
    </row>
    <row r="311" spans="4:15" x14ac:dyDescent="0.25">
      <c r="D311" s="157" t="s">
        <v>4671</v>
      </c>
      <c r="E311" s="156" t="s">
        <v>4668</v>
      </c>
      <c r="F311" s="157" t="s">
        <v>1704</v>
      </c>
      <c r="G311" s="156"/>
      <c r="H311" s="157" t="s">
        <v>1463</v>
      </c>
      <c r="I311" s="157" t="s">
        <v>1522</v>
      </c>
      <c r="J311" s="156" t="str">
        <f t="shared" si="5"/>
        <v>HIV O-4a⁽ᴹ⁾ Percentage of men reporting the use of a condom the last time they had anal sex with a non regular partnerAge&lt;25</v>
      </c>
      <c r="K311" s="157"/>
      <c r="L311" s="157"/>
      <c r="M311" s="157"/>
      <c r="N311" s="157" t="s">
        <v>4669</v>
      </c>
      <c r="O311" s="156" t="s">
        <v>4672</v>
      </c>
    </row>
    <row r="312" spans="4:15" x14ac:dyDescent="0.25">
      <c r="D312" s="157" t="s">
        <v>4673</v>
      </c>
      <c r="E312" s="156" t="s">
        <v>4668</v>
      </c>
      <c r="F312" s="157" t="s">
        <v>1704</v>
      </c>
      <c r="G312" s="156"/>
      <c r="H312" s="157"/>
      <c r="I312" s="157"/>
      <c r="J312" s="156" t="str">
        <f t="shared" si="5"/>
        <v>HIV O-4a⁽ᴹ⁾ Percentage of men reporting the use of a condom the last time they had anal sex with a non regular partner</v>
      </c>
      <c r="K312" s="157"/>
      <c r="L312" s="157"/>
      <c r="M312" s="157"/>
      <c r="N312" s="157"/>
      <c r="O312" s="156" t="s">
        <v>4674</v>
      </c>
    </row>
    <row r="313" spans="4:15" x14ac:dyDescent="0.25">
      <c r="D313" s="157" t="s">
        <v>4675</v>
      </c>
      <c r="E313" s="156" t="s">
        <v>4668</v>
      </c>
      <c r="F313" s="157" t="s">
        <v>1704</v>
      </c>
      <c r="G313" s="156"/>
      <c r="H313" s="157"/>
      <c r="I313" s="157"/>
      <c r="J313" s="156" t="str">
        <f t="shared" si="5"/>
        <v>HIV O-4a⁽ᴹ⁾ Percentage of men reporting the use of a condom the last time they had anal sex with a non regular partner</v>
      </c>
      <c r="K313" s="157"/>
      <c r="L313" s="157"/>
      <c r="M313" s="157"/>
      <c r="N313" s="157"/>
      <c r="O313" s="156" t="s">
        <v>4676</v>
      </c>
    </row>
    <row r="314" spans="4:15" x14ac:dyDescent="0.25">
      <c r="D314" s="157" t="s">
        <v>4677</v>
      </c>
      <c r="E314" s="156" t="s">
        <v>4668</v>
      </c>
      <c r="F314" s="157" t="s">
        <v>1704</v>
      </c>
      <c r="G314" s="156"/>
      <c r="H314" s="157"/>
      <c r="I314" s="157"/>
      <c r="J314" s="156" t="str">
        <f t="shared" si="5"/>
        <v>HIV O-4a⁽ᴹ⁾ Percentage of men reporting the use of a condom the last time they had anal sex with a non regular partner</v>
      </c>
      <c r="K314" s="157"/>
      <c r="L314" s="157"/>
      <c r="M314" s="157"/>
      <c r="N314" s="157"/>
      <c r="O314" s="156" t="s">
        <v>4678</v>
      </c>
    </row>
    <row r="315" spans="4:15" x14ac:dyDescent="0.25">
      <c r="D315" s="157" t="s">
        <v>4679</v>
      </c>
      <c r="E315" s="156" t="s">
        <v>4668</v>
      </c>
      <c r="F315" s="157" t="s">
        <v>1704</v>
      </c>
      <c r="G315" s="156"/>
      <c r="H315" s="157"/>
      <c r="I315" s="157"/>
      <c r="J315" s="156" t="str">
        <f t="shared" si="5"/>
        <v>HIV O-4a⁽ᴹ⁾ Percentage of men reporting the use of a condom the last time they had anal sex with a non regular partner</v>
      </c>
      <c r="K315" s="157"/>
      <c r="L315" s="157"/>
      <c r="M315" s="157"/>
      <c r="N315" s="157"/>
      <c r="O315" s="156" t="s">
        <v>4680</v>
      </c>
    </row>
    <row r="316" spans="4:15" x14ac:dyDescent="0.25">
      <c r="D316" s="157" t="s">
        <v>4681</v>
      </c>
      <c r="E316" s="156" t="s">
        <v>4668</v>
      </c>
      <c r="F316" s="157" t="s">
        <v>1704</v>
      </c>
      <c r="G316" s="156"/>
      <c r="H316" s="157"/>
      <c r="I316" s="157"/>
      <c r="J316" s="156" t="str">
        <f t="shared" si="5"/>
        <v>HIV O-4a⁽ᴹ⁾ Percentage of men reporting the use of a condom the last time they had anal sex with a non regular partner</v>
      </c>
      <c r="K316" s="157"/>
      <c r="L316" s="157"/>
      <c r="M316" s="157"/>
      <c r="N316" s="157"/>
      <c r="O316" s="156" t="s">
        <v>4682</v>
      </c>
    </row>
    <row r="317" spans="4:15" x14ac:dyDescent="0.25">
      <c r="D317" s="157" t="s">
        <v>4683</v>
      </c>
      <c r="E317" s="156" t="s">
        <v>4668</v>
      </c>
      <c r="F317" s="157" t="s">
        <v>1704</v>
      </c>
      <c r="G317" s="156"/>
      <c r="H317" s="157"/>
      <c r="I317" s="157"/>
      <c r="J317" s="156" t="str">
        <f t="shared" si="5"/>
        <v>HIV O-4a⁽ᴹ⁾ Percentage of men reporting the use of a condom the last time they had anal sex with a non regular partner</v>
      </c>
      <c r="K317" s="157"/>
      <c r="L317" s="157"/>
      <c r="M317" s="157"/>
      <c r="N317" s="157"/>
      <c r="O317" s="156" t="s">
        <v>4684</v>
      </c>
    </row>
    <row r="318" spans="4:15" x14ac:dyDescent="0.25">
      <c r="D318" s="157" t="s">
        <v>4685</v>
      </c>
      <c r="E318" s="156" t="s">
        <v>4668</v>
      </c>
      <c r="F318" s="157" t="s">
        <v>1704</v>
      </c>
      <c r="G318" s="156"/>
      <c r="H318" s="157"/>
      <c r="I318" s="157"/>
      <c r="J318" s="156" t="str">
        <f t="shared" si="5"/>
        <v>HIV O-4a⁽ᴹ⁾ Percentage of men reporting the use of a condom the last time they had anal sex with a non regular partner</v>
      </c>
      <c r="K318" s="157"/>
      <c r="L318" s="157"/>
      <c r="M318" s="157"/>
      <c r="N318" s="157"/>
      <c r="O318" s="156" t="s">
        <v>4686</v>
      </c>
    </row>
    <row r="319" spans="4:15" x14ac:dyDescent="0.25">
      <c r="D319" s="157" t="s">
        <v>4687</v>
      </c>
      <c r="E319" s="156" t="s">
        <v>4668</v>
      </c>
      <c r="F319" s="157" t="s">
        <v>1704</v>
      </c>
      <c r="G319" s="156"/>
      <c r="H319" s="157"/>
      <c r="I319" s="157"/>
      <c r="J319" s="156" t="str">
        <f t="shared" si="5"/>
        <v>HIV O-4a⁽ᴹ⁾ Percentage of men reporting the use of a condom the last time they had anal sex with a non regular partner</v>
      </c>
      <c r="K319" s="157"/>
      <c r="L319" s="157"/>
      <c r="M319" s="157"/>
      <c r="N319" s="157"/>
      <c r="O319" s="156" t="s">
        <v>4688</v>
      </c>
    </row>
    <row r="320" spans="4:15" x14ac:dyDescent="0.25">
      <c r="D320" s="157" t="s">
        <v>4689</v>
      </c>
      <c r="E320" s="156" t="s">
        <v>4690</v>
      </c>
      <c r="F320" s="157" t="s">
        <v>1772</v>
      </c>
      <c r="G320" s="156"/>
      <c r="H320" s="157" t="s">
        <v>1450</v>
      </c>
      <c r="I320" s="157" t="s">
        <v>1534</v>
      </c>
      <c r="J320" s="156" t="str">
        <f t="shared" si="5"/>
        <v>HIV O-12 Percentage of people living with HIV and on ART who are virologically suppressedGenderTransgender</v>
      </c>
      <c r="K320" s="157"/>
      <c r="L320" s="157"/>
      <c r="M320" s="157"/>
      <c r="N320" s="157" t="s">
        <v>4037</v>
      </c>
      <c r="O320" s="156" t="s">
        <v>4691</v>
      </c>
    </row>
    <row r="321" spans="4:15" x14ac:dyDescent="0.25">
      <c r="D321" s="157" t="s">
        <v>4692</v>
      </c>
      <c r="E321" s="156" t="s">
        <v>4690</v>
      </c>
      <c r="F321" s="157" t="s">
        <v>1772</v>
      </c>
      <c r="G321" s="156"/>
      <c r="H321" s="157" t="s">
        <v>1450</v>
      </c>
      <c r="I321" s="157" t="s">
        <v>1453</v>
      </c>
      <c r="J321" s="156" t="str">
        <f t="shared" si="5"/>
        <v>HIV O-12 Percentage of people living with HIV and on ART who are virologically suppressedGenderFemale</v>
      </c>
      <c r="K321" s="157"/>
      <c r="L321" s="157"/>
      <c r="M321" s="157"/>
      <c r="N321" s="157" t="s">
        <v>4037</v>
      </c>
      <c r="O321" s="156" t="s">
        <v>4693</v>
      </c>
    </row>
    <row r="322" spans="4:15" x14ac:dyDescent="0.25">
      <c r="D322" s="157" t="s">
        <v>4694</v>
      </c>
      <c r="E322" s="156" t="s">
        <v>4690</v>
      </c>
      <c r="F322" s="157" t="s">
        <v>1772</v>
      </c>
      <c r="G322" s="156"/>
      <c r="H322" s="157" t="s">
        <v>1450</v>
      </c>
      <c r="I322" s="157" t="s">
        <v>1458</v>
      </c>
      <c r="J322" s="156" t="str">
        <f t="shared" si="5"/>
        <v>HIV O-12 Percentage of people living with HIV and on ART who are virologically suppressedGenderMale</v>
      </c>
      <c r="K322" s="157"/>
      <c r="L322" s="157"/>
      <c r="M322" s="157"/>
      <c r="N322" s="157" t="s">
        <v>4037</v>
      </c>
      <c r="O322" s="156" t="s">
        <v>4695</v>
      </c>
    </row>
    <row r="323" spans="4:15" x14ac:dyDescent="0.25">
      <c r="D323" s="157" t="s">
        <v>4696</v>
      </c>
      <c r="E323" s="156" t="s">
        <v>4690</v>
      </c>
      <c r="F323" s="157" t="s">
        <v>1772</v>
      </c>
      <c r="G323" s="156"/>
      <c r="H323" s="157"/>
      <c r="I323" s="157"/>
      <c r="J323" s="156" t="str">
        <f t="shared" si="5"/>
        <v>HIV O-12 Percentage of people living with HIV and on ART who are virologically suppressed</v>
      </c>
      <c r="K323" s="157"/>
      <c r="L323" s="157"/>
      <c r="M323" s="157"/>
      <c r="N323" s="157"/>
      <c r="O323" s="156" t="s">
        <v>4697</v>
      </c>
    </row>
    <row r="324" spans="4:15" x14ac:dyDescent="0.25">
      <c r="D324" s="157" t="s">
        <v>4698</v>
      </c>
      <c r="E324" s="156" t="s">
        <v>4690</v>
      </c>
      <c r="F324" s="157" t="s">
        <v>1772</v>
      </c>
      <c r="G324" s="156"/>
      <c r="H324" s="157"/>
      <c r="I324" s="157"/>
      <c r="J324" s="156" t="str">
        <f t="shared" si="5"/>
        <v>HIV O-12 Percentage of people living with HIV and on ART who are virologically suppressed</v>
      </c>
      <c r="K324" s="157"/>
      <c r="L324" s="157"/>
      <c r="M324" s="157"/>
      <c r="N324" s="157"/>
      <c r="O324" s="156" t="s">
        <v>4699</v>
      </c>
    </row>
    <row r="325" spans="4:15" x14ac:dyDescent="0.25">
      <c r="D325" s="157" t="s">
        <v>4700</v>
      </c>
      <c r="E325" s="156" t="s">
        <v>4690</v>
      </c>
      <c r="F325" s="157" t="s">
        <v>1772</v>
      </c>
      <c r="G325" s="156"/>
      <c r="H325" s="157"/>
      <c r="I325" s="157"/>
      <c r="J325" s="156" t="str">
        <f t="shared" si="5"/>
        <v>HIV O-12 Percentage of people living with HIV and on ART who are virologically suppressed</v>
      </c>
      <c r="K325" s="157"/>
      <c r="L325" s="157"/>
      <c r="M325" s="157"/>
      <c r="N325" s="157"/>
      <c r="O325" s="156" t="s">
        <v>4701</v>
      </c>
    </row>
    <row r="326" spans="4:15" x14ac:dyDescent="0.25">
      <c r="D326" s="157" t="s">
        <v>4702</v>
      </c>
      <c r="E326" s="156" t="s">
        <v>4690</v>
      </c>
      <c r="F326" s="157" t="s">
        <v>1772</v>
      </c>
      <c r="G326" s="156"/>
      <c r="H326" s="157"/>
      <c r="I326" s="157"/>
      <c r="J326" s="156" t="str">
        <f t="shared" si="5"/>
        <v>HIV O-12 Percentage of people living with HIV and on ART who are virologically suppressed</v>
      </c>
      <c r="K326" s="157"/>
      <c r="L326" s="157"/>
      <c r="M326" s="157"/>
      <c r="N326" s="157"/>
      <c r="O326" s="156" t="s">
        <v>4703</v>
      </c>
    </row>
    <row r="327" spans="4:15" x14ac:dyDescent="0.25">
      <c r="D327" s="157" t="s">
        <v>4704</v>
      </c>
      <c r="E327" s="156" t="s">
        <v>4690</v>
      </c>
      <c r="F327" s="157" t="s">
        <v>1772</v>
      </c>
      <c r="G327" s="156"/>
      <c r="H327" s="157"/>
      <c r="I327" s="157"/>
      <c r="J327" s="156" t="str">
        <f t="shared" si="5"/>
        <v>HIV O-12 Percentage of people living with HIV and on ART who are virologically suppressed</v>
      </c>
      <c r="K327" s="157"/>
      <c r="L327" s="157"/>
      <c r="M327" s="157"/>
      <c r="N327" s="157"/>
      <c r="O327" s="156" t="s">
        <v>4705</v>
      </c>
    </row>
    <row r="328" spans="4:15" x14ac:dyDescent="0.25">
      <c r="D328" s="157" t="s">
        <v>4706</v>
      </c>
      <c r="E328" s="156" t="s">
        <v>4690</v>
      </c>
      <c r="F328" s="157" t="s">
        <v>1772</v>
      </c>
      <c r="G328" s="156"/>
      <c r="H328" s="157"/>
      <c r="I328" s="157"/>
      <c r="J328" s="156" t="str">
        <f t="shared" si="5"/>
        <v>HIV O-12 Percentage of people living with HIV and on ART who are virologically suppressed</v>
      </c>
      <c r="K328" s="157"/>
      <c r="L328" s="157"/>
      <c r="M328" s="157"/>
      <c r="N328" s="157"/>
      <c r="O328" s="156" t="s">
        <v>4707</v>
      </c>
    </row>
    <row r="329" spans="4:15" x14ac:dyDescent="0.25">
      <c r="D329" s="157" t="s">
        <v>4708</v>
      </c>
      <c r="E329" s="156" t="s">
        <v>4690</v>
      </c>
      <c r="F329" s="157" t="s">
        <v>1772</v>
      </c>
      <c r="G329" s="156"/>
      <c r="H329" s="157"/>
      <c r="I329" s="157"/>
      <c r="J329" s="156" t="str">
        <f t="shared" si="5"/>
        <v>HIV O-12 Percentage of people living with HIV and on ART who are virologically suppressed</v>
      </c>
      <c r="K329" s="157"/>
      <c r="L329" s="157"/>
      <c r="M329" s="157"/>
      <c r="N329" s="157"/>
      <c r="O329" s="156" t="s">
        <v>4709</v>
      </c>
    </row>
    <row r="330" spans="4:15" x14ac:dyDescent="0.25">
      <c r="D330" s="157" t="s">
        <v>4710</v>
      </c>
      <c r="E330" s="156" t="s">
        <v>4711</v>
      </c>
      <c r="F330" s="157"/>
      <c r="G330" s="156"/>
      <c r="H330" s="157"/>
      <c r="I330" s="157"/>
      <c r="J330" s="156" t="str">
        <f t="shared" si="5"/>
        <v/>
      </c>
      <c r="K330" s="157"/>
      <c r="L330" s="157"/>
      <c r="M330" s="157"/>
      <c r="N330" s="157"/>
      <c r="O330" s="156" t="s">
        <v>4712</v>
      </c>
    </row>
    <row r="331" spans="4:15" x14ac:dyDescent="0.25">
      <c r="D331" s="157" t="s">
        <v>4713</v>
      </c>
      <c r="E331" s="156" t="s">
        <v>4711</v>
      </c>
      <c r="F331" s="157"/>
      <c r="G331" s="156"/>
      <c r="H331" s="157"/>
      <c r="I331" s="157"/>
      <c r="J331" s="156" t="str">
        <f t="shared" si="5"/>
        <v/>
      </c>
      <c r="K331" s="157"/>
      <c r="L331" s="157"/>
      <c r="M331" s="157"/>
      <c r="N331" s="157"/>
      <c r="O331" s="156" t="s">
        <v>4714</v>
      </c>
    </row>
    <row r="332" spans="4:15" x14ac:dyDescent="0.25">
      <c r="D332" s="157" t="s">
        <v>4715</v>
      </c>
      <c r="E332" s="156" t="s">
        <v>4711</v>
      </c>
      <c r="F332" s="157"/>
      <c r="G332" s="156"/>
      <c r="H332" s="157"/>
      <c r="I332" s="157"/>
      <c r="J332" s="156" t="str">
        <f t="shared" si="5"/>
        <v/>
      </c>
      <c r="K332" s="157"/>
      <c r="L332" s="157"/>
      <c r="M332" s="157"/>
      <c r="N332" s="157"/>
      <c r="O332" s="156" t="s">
        <v>4716</v>
      </c>
    </row>
    <row r="333" spans="4:15" x14ac:dyDescent="0.25">
      <c r="D333" s="157" t="s">
        <v>4717</v>
      </c>
      <c r="E333" s="156" t="s">
        <v>4711</v>
      </c>
      <c r="F333" s="157"/>
      <c r="G333" s="156"/>
      <c r="H333" s="157"/>
      <c r="I333" s="157"/>
      <c r="J333" s="156" t="str">
        <f t="shared" si="5"/>
        <v/>
      </c>
      <c r="K333" s="157"/>
      <c r="L333" s="157"/>
      <c r="M333" s="157"/>
      <c r="N333" s="157"/>
      <c r="O333" s="156" t="s">
        <v>4718</v>
      </c>
    </row>
    <row r="334" spans="4:15" x14ac:dyDescent="0.25">
      <c r="D334" s="157" t="s">
        <v>4719</v>
      </c>
      <c r="E334" s="156" t="s">
        <v>4711</v>
      </c>
      <c r="F334" s="157"/>
      <c r="G334" s="156"/>
      <c r="H334" s="157"/>
      <c r="I334" s="157"/>
      <c r="J334" s="156" t="str">
        <f t="shared" si="5"/>
        <v/>
      </c>
      <c r="K334" s="157"/>
      <c r="L334" s="157"/>
      <c r="M334" s="157"/>
      <c r="N334" s="157"/>
      <c r="O334" s="156" t="s">
        <v>4720</v>
      </c>
    </row>
    <row r="335" spans="4:15" x14ac:dyDescent="0.25">
      <c r="D335" s="157" t="s">
        <v>4721</v>
      </c>
      <c r="E335" s="156" t="s">
        <v>4711</v>
      </c>
      <c r="F335" s="157"/>
      <c r="G335" s="156"/>
      <c r="H335" s="157"/>
      <c r="I335" s="157"/>
      <c r="J335" s="156" t="str">
        <f t="shared" si="5"/>
        <v/>
      </c>
      <c r="K335" s="157"/>
      <c r="L335" s="157"/>
      <c r="M335" s="157"/>
      <c r="N335" s="157"/>
      <c r="O335" s="156" t="s">
        <v>4722</v>
      </c>
    </row>
    <row r="336" spans="4:15" x14ac:dyDescent="0.25">
      <c r="D336" s="157" t="s">
        <v>4723</v>
      </c>
      <c r="E336" s="156" t="s">
        <v>4711</v>
      </c>
      <c r="F336" s="157"/>
      <c r="G336" s="156"/>
      <c r="H336" s="157"/>
      <c r="I336" s="157"/>
      <c r="J336" s="156" t="str">
        <f t="shared" si="5"/>
        <v/>
      </c>
      <c r="K336" s="157"/>
      <c r="L336" s="157"/>
      <c r="M336" s="157"/>
      <c r="N336" s="157"/>
      <c r="O336" s="156" t="s">
        <v>4724</v>
      </c>
    </row>
    <row r="337" spans="4:15" x14ac:dyDescent="0.25">
      <c r="D337" s="157" t="s">
        <v>4725</v>
      </c>
      <c r="E337" s="156" t="s">
        <v>4711</v>
      </c>
      <c r="F337" s="157"/>
      <c r="G337" s="156"/>
      <c r="H337" s="157"/>
      <c r="I337" s="157"/>
      <c r="J337" s="156" t="str">
        <f t="shared" si="5"/>
        <v/>
      </c>
      <c r="K337" s="157"/>
      <c r="L337" s="157"/>
      <c r="M337" s="157"/>
      <c r="N337" s="157"/>
      <c r="O337" s="156" t="s">
        <v>4726</v>
      </c>
    </row>
    <row r="338" spans="4:15" x14ac:dyDescent="0.25">
      <c r="D338" s="157" t="s">
        <v>4727</v>
      </c>
      <c r="E338" s="156" t="s">
        <v>4711</v>
      </c>
      <c r="F338" s="157"/>
      <c r="G338" s="156"/>
      <c r="H338" s="157"/>
      <c r="I338" s="157"/>
      <c r="J338" s="156" t="str">
        <f t="shared" si="5"/>
        <v/>
      </c>
      <c r="K338" s="157"/>
      <c r="L338" s="157"/>
      <c r="M338" s="157"/>
      <c r="N338" s="157"/>
      <c r="O338" s="156" t="s">
        <v>4728</v>
      </c>
    </row>
    <row r="339" spans="4:15" x14ac:dyDescent="0.25">
      <c r="D339" s="157" t="s">
        <v>4729</v>
      </c>
      <c r="E339" s="156" t="s">
        <v>4711</v>
      </c>
      <c r="F339" s="157"/>
      <c r="G339" s="156"/>
      <c r="H339" s="157"/>
      <c r="I339" s="157"/>
      <c r="J339" s="156" t="str">
        <f t="shared" si="5"/>
        <v/>
      </c>
      <c r="K339" s="157"/>
      <c r="L339" s="157"/>
      <c r="M339" s="157"/>
      <c r="N339" s="157"/>
      <c r="O339" s="156" t="s">
        <v>4730</v>
      </c>
    </row>
    <row r="340" spans="4:15" x14ac:dyDescent="0.25">
      <c r="D340" s="157" t="s">
        <v>4731</v>
      </c>
      <c r="E340" s="156" t="s">
        <v>4732</v>
      </c>
      <c r="F340" s="157"/>
      <c r="G340" s="156"/>
      <c r="H340" s="157"/>
      <c r="I340" s="157"/>
      <c r="J340" s="156" t="str">
        <f t="shared" si="5"/>
        <v/>
      </c>
      <c r="K340" s="157"/>
      <c r="L340" s="157"/>
      <c r="M340" s="157"/>
      <c r="N340" s="157"/>
      <c r="O340" s="156" t="s">
        <v>4733</v>
      </c>
    </row>
    <row r="341" spans="4:15" x14ac:dyDescent="0.25">
      <c r="D341" s="157" t="s">
        <v>4734</v>
      </c>
      <c r="E341" s="156" t="s">
        <v>4732</v>
      </c>
      <c r="F341" s="157"/>
      <c r="G341" s="156"/>
      <c r="H341" s="157"/>
      <c r="I341" s="157"/>
      <c r="J341" s="156" t="str">
        <f t="shared" si="5"/>
        <v/>
      </c>
      <c r="K341" s="157"/>
      <c r="L341" s="157"/>
      <c r="M341" s="157"/>
      <c r="N341" s="157"/>
      <c r="O341" s="156" t="s">
        <v>4735</v>
      </c>
    </row>
    <row r="342" spans="4:15" x14ac:dyDescent="0.25">
      <c r="D342" s="157" t="s">
        <v>4736</v>
      </c>
      <c r="E342" s="156" t="s">
        <v>4732</v>
      </c>
      <c r="F342" s="157"/>
      <c r="G342" s="156"/>
      <c r="H342" s="157"/>
      <c r="I342" s="157"/>
      <c r="J342" s="156" t="str">
        <f t="shared" si="5"/>
        <v/>
      </c>
      <c r="K342" s="157"/>
      <c r="L342" s="157"/>
      <c r="M342" s="157"/>
      <c r="N342" s="157"/>
      <c r="O342" s="156" t="s">
        <v>4737</v>
      </c>
    </row>
    <row r="343" spans="4:15" x14ac:dyDescent="0.25">
      <c r="D343" s="157" t="s">
        <v>4738</v>
      </c>
      <c r="E343" s="156" t="s">
        <v>4732</v>
      </c>
      <c r="F343" s="157"/>
      <c r="G343" s="156"/>
      <c r="H343" s="157"/>
      <c r="I343" s="157"/>
      <c r="J343" s="156" t="str">
        <f t="shared" si="5"/>
        <v/>
      </c>
      <c r="K343" s="157"/>
      <c r="L343" s="157"/>
      <c r="M343" s="157"/>
      <c r="N343" s="157"/>
      <c r="O343" s="156" t="s">
        <v>4739</v>
      </c>
    </row>
    <row r="344" spans="4:15" x14ac:dyDescent="0.25">
      <c r="D344" s="157" t="s">
        <v>4740</v>
      </c>
      <c r="E344" s="156" t="s">
        <v>4732</v>
      </c>
      <c r="F344" s="157"/>
      <c r="G344" s="156"/>
      <c r="H344" s="157"/>
      <c r="I344" s="157"/>
      <c r="J344" s="156" t="str">
        <f t="shared" si="5"/>
        <v/>
      </c>
      <c r="K344" s="157"/>
      <c r="L344" s="157"/>
      <c r="M344" s="157"/>
      <c r="N344" s="157"/>
      <c r="O344" s="156" t="s">
        <v>4741</v>
      </c>
    </row>
    <row r="345" spans="4:15" x14ac:dyDescent="0.25">
      <c r="D345" s="157" t="s">
        <v>4742</v>
      </c>
      <c r="E345" s="156" t="s">
        <v>4732</v>
      </c>
      <c r="F345" s="157"/>
      <c r="G345" s="156"/>
      <c r="H345" s="157"/>
      <c r="I345" s="157"/>
      <c r="J345" s="156" t="str">
        <f t="shared" si="5"/>
        <v/>
      </c>
      <c r="K345" s="157"/>
      <c r="L345" s="157"/>
      <c r="M345" s="157"/>
      <c r="N345" s="157"/>
      <c r="O345" s="156" t="s">
        <v>4743</v>
      </c>
    </row>
    <row r="346" spans="4:15" x14ac:dyDescent="0.25">
      <c r="D346" s="157" t="s">
        <v>4744</v>
      </c>
      <c r="E346" s="156" t="s">
        <v>4732</v>
      </c>
      <c r="F346" s="157"/>
      <c r="G346" s="156"/>
      <c r="H346" s="157"/>
      <c r="I346" s="157"/>
      <c r="J346" s="156" t="str">
        <f t="shared" si="5"/>
        <v/>
      </c>
      <c r="K346" s="157"/>
      <c r="L346" s="157"/>
      <c r="M346" s="157"/>
      <c r="N346" s="157"/>
      <c r="O346" s="156" t="s">
        <v>4745</v>
      </c>
    </row>
    <row r="347" spans="4:15" x14ac:dyDescent="0.25">
      <c r="D347" s="157" t="s">
        <v>4746</v>
      </c>
      <c r="E347" s="156" t="s">
        <v>4732</v>
      </c>
      <c r="F347" s="157"/>
      <c r="G347" s="156"/>
      <c r="H347" s="157"/>
      <c r="I347" s="157"/>
      <c r="J347" s="156" t="str">
        <f t="shared" si="5"/>
        <v/>
      </c>
      <c r="K347" s="157"/>
      <c r="L347" s="157"/>
      <c r="M347" s="157"/>
      <c r="N347" s="157"/>
      <c r="O347" s="156" t="s">
        <v>4747</v>
      </c>
    </row>
    <row r="348" spans="4:15" x14ac:dyDescent="0.25">
      <c r="D348" s="157" t="s">
        <v>4748</v>
      </c>
      <c r="E348" s="156" t="s">
        <v>4732</v>
      </c>
      <c r="F348" s="157"/>
      <c r="G348" s="156"/>
      <c r="H348" s="157"/>
      <c r="I348" s="157"/>
      <c r="J348" s="156" t="str">
        <f t="shared" si="5"/>
        <v/>
      </c>
      <c r="K348" s="157"/>
      <c r="L348" s="157"/>
      <c r="M348" s="157"/>
      <c r="N348" s="157"/>
      <c r="O348" s="156" t="s">
        <v>4749</v>
      </c>
    </row>
    <row r="349" spans="4:15" x14ac:dyDescent="0.25">
      <c r="D349" s="157" t="s">
        <v>4750</v>
      </c>
      <c r="E349" s="156" t="s">
        <v>4732</v>
      </c>
      <c r="F349" s="157"/>
      <c r="G349" s="156"/>
      <c r="H349" s="157"/>
      <c r="I349" s="157"/>
      <c r="J349" s="156" t="str">
        <f t="shared" si="5"/>
        <v/>
      </c>
      <c r="K349" s="157"/>
      <c r="L349" s="157"/>
      <c r="M349" s="157"/>
      <c r="N349" s="157"/>
      <c r="O349" s="156" t="s">
        <v>4751</v>
      </c>
    </row>
    <row r="350" spans="4:15" x14ac:dyDescent="0.25">
      <c r="D350" s="157" t="s">
        <v>4752</v>
      </c>
      <c r="E350" s="156" t="s">
        <v>4753</v>
      </c>
      <c r="F350" s="157"/>
      <c r="G350" s="156"/>
      <c r="H350" s="157"/>
      <c r="I350" s="157"/>
      <c r="J350" s="156" t="str">
        <f t="shared" si="5"/>
        <v/>
      </c>
      <c r="K350" s="157"/>
      <c r="L350" s="157"/>
      <c r="M350" s="157"/>
      <c r="N350" s="157"/>
      <c r="O350" s="156" t="s">
        <v>4754</v>
      </c>
    </row>
    <row r="351" spans="4:15" x14ac:dyDescent="0.25">
      <c r="D351" s="157" t="s">
        <v>4755</v>
      </c>
      <c r="E351" s="156" t="s">
        <v>4753</v>
      </c>
      <c r="F351" s="157"/>
      <c r="G351" s="156"/>
      <c r="H351" s="157"/>
      <c r="I351" s="157"/>
      <c r="J351" s="156" t="str">
        <f t="shared" si="5"/>
        <v/>
      </c>
      <c r="K351" s="157"/>
      <c r="L351" s="157"/>
      <c r="M351" s="157"/>
      <c r="N351" s="157"/>
      <c r="O351" s="156" t="s">
        <v>4756</v>
      </c>
    </row>
    <row r="352" spans="4:15" x14ac:dyDescent="0.25">
      <c r="D352" s="157" t="s">
        <v>4757</v>
      </c>
      <c r="E352" s="156" t="s">
        <v>4753</v>
      </c>
      <c r="F352" s="157"/>
      <c r="G352" s="156"/>
      <c r="H352" s="157"/>
      <c r="I352" s="157"/>
      <c r="J352" s="156" t="str">
        <f t="shared" si="5"/>
        <v/>
      </c>
      <c r="K352" s="157"/>
      <c r="L352" s="157"/>
      <c r="M352" s="157"/>
      <c r="N352" s="157"/>
      <c r="O352" s="156" t="s">
        <v>4758</v>
      </c>
    </row>
    <row r="353" spans="4:15" x14ac:dyDescent="0.25">
      <c r="D353" s="157" t="s">
        <v>4759</v>
      </c>
      <c r="E353" s="156" t="s">
        <v>4753</v>
      </c>
      <c r="F353" s="157"/>
      <c r="G353" s="156"/>
      <c r="H353" s="157"/>
      <c r="I353" s="157"/>
      <c r="J353" s="156" t="str">
        <f t="shared" si="5"/>
        <v/>
      </c>
      <c r="K353" s="157"/>
      <c r="L353" s="157"/>
      <c r="M353" s="157"/>
      <c r="N353" s="157"/>
      <c r="O353" s="156" t="s">
        <v>4760</v>
      </c>
    </row>
    <row r="354" spans="4:15" x14ac:dyDescent="0.25">
      <c r="D354" s="157" t="s">
        <v>4761</v>
      </c>
      <c r="E354" s="156" t="s">
        <v>4753</v>
      </c>
      <c r="F354" s="157"/>
      <c r="G354" s="156"/>
      <c r="H354" s="157"/>
      <c r="I354" s="157"/>
      <c r="J354" s="156" t="str">
        <f t="shared" si="5"/>
        <v/>
      </c>
      <c r="K354" s="157"/>
      <c r="L354" s="157"/>
      <c r="M354" s="157"/>
      <c r="N354" s="157"/>
      <c r="O354" s="156" t="s">
        <v>4762</v>
      </c>
    </row>
    <row r="355" spans="4:15" x14ac:dyDescent="0.25">
      <c r="D355" s="157" t="s">
        <v>4763</v>
      </c>
      <c r="E355" s="156" t="s">
        <v>4753</v>
      </c>
      <c r="F355" s="157"/>
      <c r="G355" s="156"/>
      <c r="H355" s="157"/>
      <c r="I355" s="157"/>
      <c r="J355" s="156" t="str">
        <f t="shared" si="5"/>
        <v/>
      </c>
      <c r="K355" s="157"/>
      <c r="L355" s="157"/>
      <c r="M355" s="157"/>
      <c r="N355" s="157"/>
      <c r="O355" s="156" t="s">
        <v>4764</v>
      </c>
    </row>
    <row r="356" spans="4:15" x14ac:dyDescent="0.25">
      <c r="D356" s="157" t="s">
        <v>4765</v>
      </c>
      <c r="E356" s="156" t="s">
        <v>4753</v>
      </c>
      <c r="F356" s="157"/>
      <c r="G356" s="156"/>
      <c r="H356" s="157"/>
      <c r="I356" s="157"/>
      <c r="J356" s="156" t="str">
        <f t="shared" si="5"/>
        <v/>
      </c>
      <c r="K356" s="157"/>
      <c r="L356" s="157"/>
      <c r="M356" s="157"/>
      <c r="N356" s="157"/>
      <c r="O356" s="156" t="s">
        <v>4766</v>
      </c>
    </row>
    <row r="357" spans="4:15" x14ac:dyDescent="0.25">
      <c r="D357" s="157" t="s">
        <v>4767</v>
      </c>
      <c r="E357" s="156" t="s">
        <v>4753</v>
      </c>
      <c r="F357" s="157"/>
      <c r="G357" s="156"/>
      <c r="H357" s="157"/>
      <c r="I357" s="157"/>
      <c r="J357" s="156" t="str">
        <f t="shared" si="5"/>
        <v/>
      </c>
      <c r="K357" s="157"/>
      <c r="L357" s="157"/>
      <c r="M357" s="157"/>
      <c r="N357" s="157"/>
      <c r="O357" s="156" t="s">
        <v>4768</v>
      </c>
    </row>
    <row r="358" spans="4:15" x14ac:dyDescent="0.25">
      <c r="D358" s="157" t="s">
        <v>4769</v>
      </c>
      <c r="E358" s="156" t="s">
        <v>4753</v>
      </c>
      <c r="F358" s="157"/>
      <c r="G358" s="156"/>
      <c r="H358" s="157"/>
      <c r="I358" s="157"/>
      <c r="J358" s="156" t="str">
        <f t="shared" si="5"/>
        <v/>
      </c>
      <c r="K358" s="157"/>
      <c r="L358" s="157"/>
      <c r="M358" s="157"/>
      <c r="N358" s="157"/>
      <c r="O358" s="156" t="s">
        <v>4770</v>
      </c>
    </row>
    <row r="359" spans="4:15" x14ac:dyDescent="0.25">
      <c r="D359" s="157" t="s">
        <v>4771</v>
      </c>
      <c r="E359" s="156" t="s">
        <v>4753</v>
      </c>
      <c r="F359" s="157"/>
      <c r="G359" s="156"/>
      <c r="H359" s="157"/>
      <c r="I359" s="157"/>
      <c r="J359" s="156" t="str">
        <f t="shared" si="5"/>
        <v/>
      </c>
      <c r="K359" s="157"/>
      <c r="L359" s="157"/>
      <c r="M359" s="157"/>
      <c r="N359" s="157"/>
      <c r="O359" s="156" t="s">
        <v>4772</v>
      </c>
    </row>
    <row r="360" spans="4:15" x14ac:dyDescent="0.25">
      <c r="D360" s="157" t="s">
        <v>4773</v>
      </c>
      <c r="E360" s="156" t="s">
        <v>4774</v>
      </c>
      <c r="F360" s="157"/>
      <c r="G360" s="156"/>
      <c r="H360" s="157"/>
      <c r="I360" s="157"/>
      <c r="J360" s="156" t="str">
        <f t="shared" si="5"/>
        <v/>
      </c>
      <c r="K360" s="157"/>
      <c r="L360" s="157"/>
      <c r="M360" s="157"/>
      <c r="N360" s="157"/>
      <c r="O360" s="156" t="s">
        <v>4775</v>
      </c>
    </row>
    <row r="361" spans="4:15" x14ac:dyDescent="0.25">
      <c r="D361" s="157" t="s">
        <v>4776</v>
      </c>
      <c r="E361" s="156" t="s">
        <v>4774</v>
      </c>
      <c r="F361" s="157"/>
      <c r="G361" s="156"/>
      <c r="H361" s="157"/>
      <c r="I361" s="157"/>
      <c r="J361" s="156" t="str">
        <f t="shared" si="5"/>
        <v/>
      </c>
      <c r="K361" s="157"/>
      <c r="L361" s="157"/>
      <c r="M361" s="157"/>
      <c r="N361" s="157"/>
      <c r="O361" s="156" t="s">
        <v>4777</v>
      </c>
    </row>
    <row r="362" spans="4:15" x14ac:dyDescent="0.25">
      <c r="D362" s="157" t="s">
        <v>4778</v>
      </c>
      <c r="E362" s="156" t="s">
        <v>4774</v>
      </c>
      <c r="F362" s="157"/>
      <c r="G362" s="156"/>
      <c r="H362" s="157"/>
      <c r="I362" s="157"/>
      <c r="J362" s="156" t="str">
        <f t="shared" si="5"/>
        <v/>
      </c>
      <c r="K362" s="157"/>
      <c r="L362" s="157"/>
      <c r="M362" s="157"/>
      <c r="N362" s="157"/>
      <c r="O362" s="156" t="s">
        <v>4779</v>
      </c>
    </row>
    <row r="363" spans="4:15" x14ac:dyDescent="0.25">
      <c r="D363" s="157" t="s">
        <v>4780</v>
      </c>
      <c r="E363" s="156" t="s">
        <v>4774</v>
      </c>
      <c r="F363" s="157"/>
      <c r="G363" s="156"/>
      <c r="H363" s="157"/>
      <c r="I363" s="157"/>
      <c r="J363" s="156" t="str">
        <f t="shared" si="5"/>
        <v/>
      </c>
      <c r="K363" s="157"/>
      <c r="L363" s="157"/>
      <c r="M363" s="157"/>
      <c r="N363" s="157"/>
      <c r="O363" s="156" t="s">
        <v>4781</v>
      </c>
    </row>
    <row r="364" spans="4:15" x14ac:dyDescent="0.25">
      <c r="D364" s="157" t="s">
        <v>4782</v>
      </c>
      <c r="E364" s="156" t="s">
        <v>4774</v>
      </c>
      <c r="F364" s="157"/>
      <c r="G364" s="156"/>
      <c r="H364" s="157"/>
      <c r="I364" s="157"/>
      <c r="J364" s="156" t="str">
        <f t="shared" si="5"/>
        <v/>
      </c>
      <c r="K364" s="157"/>
      <c r="L364" s="157"/>
      <c r="M364" s="157"/>
      <c r="N364" s="157"/>
      <c r="O364" s="156" t="s">
        <v>4783</v>
      </c>
    </row>
    <row r="365" spans="4:15" x14ac:dyDescent="0.25">
      <c r="D365" s="157" t="s">
        <v>4784</v>
      </c>
      <c r="E365" s="156" t="s">
        <v>4774</v>
      </c>
      <c r="F365" s="157"/>
      <c r="G365" s="156"/>
      <c r="H365" s="157"/>
      <c r="I365" s="157"/>
      <c r="J365" s="156" t="str">
        <f t="shared" si="5"/>
        <v/>
      </c>
      <c r="K365" s="157"/>
      <c r="L365" s="157"/>
      <c r="M365" s="157"/>
      <c r="N365" s="157"/>
      <c r="O365" s="156" t="s">
        <v>4785</v>
      </c>
    </row>
    <row r="366" spans="4:15" x14ac:dyDescent="0.25">
      <c r="D366" s="157" t="s">
        <v>4786</v>
      </c>
      <c r="E366" s="156" t="s">
        <v>4774</v>
      </c>
      <c r="F366" s="157"/>
      <c r="G366" s="156"/>
      <c r="H366" s="157"/>
      <c r="I366" s="157"/>
      <c r="J366" s="156" t="str">
        <f t="shared" si="5"/>
        <v/>
      </c>
      <c r="K366" s="157"/>
      <c r="L366" s="157"/>
      <c r="M366" s="157"/>
      <c r="N366" s="157"/>
      <c r="O366" s="156" t="s">
        <v>4787</v>
      </c>
    </row>
    <row r="367" spans="4:15" x14ac:dyDescent="0.25">
      <c r="D367" s="157" t="s">
        <v>4788</v>
      </c>
      <c r="E367" s="156" t="s">
        <v>4774</v>
      </c>
      <c r="F367" s="157"/>
      <c r="G367" s="156"/>
      <c r="H367" s="157"/>
      <c r="I367" s="157"/>
      <c r="J367" s="156" t="str">
        <f t="shared" si="5"/>
        <v/>
      </c>
      <c r="K367" s="157"/>
      <c r="L367" s="157"/>
      <c r="M367" s="157"/>
      <c r="N367" s="157"/>
      <c r="O367" s="156" t="s">
        <v>4789</v>
      </c>
    </row>
    <row r="368" spans="4:15" x14ac:dyDescent="0.25">
      <c r="D368" s="157" t="s">
        <v>4790</v>
      </c>
      <c r="E368" s="156" t="s">
        <v>4774</v>
      </c>
      <c r="F368" s="157"/>
      <c r="G368" s="156"/>
      <c r="H368" s="157"/>
      <c r="I368" s="157"/>
      <c r="J368" s="156" t="str">
        <f t="shared" si="5"/>
        <v/>
      </c>
      <c r="K368" s="157"/>
      <c r="L368" s="157"/>
      <c r="M368" s="157"/>
      <c r="N368" s="157"/>
      <c r="O368" s="156" t="s">
        <v>4791</v>
      </c>
    </row>
    <row r="369" spans="4:15" x14ac:dyDescent="0.25">
      <c r="D369" s="157" t="s">
        <v>4792</v>
      </c>
      <c r="E369" s="156" t="s">
        <v>4774</v>
      </c>
      <c r="F369" s="157"/>
      <c r="G369" s="156"/>
      <c r="H369" s="157"/>
      <c r="I369" s="157"/>
      <c r="J369" s="156" t="str">
        <f t="shared" si="5"/>
        <v/>
      </c>
      <c r="K369" s="157"/>
      <c r="L369" s="157"/>
      <c r="M369" s="157"/>
      <c r="N369" s="157"/>
      <c r="O369" s="156" t="s">
        <v>4793</v>
      </c>
    </row>
    <row r="370" spans="4:15" x14ac:dyDescent="0.25">
      <c r="D370" s="157" t="s">
        <v>4794</v>
      </c>
      <c r="E370" s="156" t="s">
        <v>4795</v>
      </c>
      <c r="F370" s="157"/>
      <c r="G370" s="156"/>
      <c r="H370" s="157"/>
      <c r="I370" s="157"/>
      <c r="J370" s="156" t="str">
        <f t="shared" si="5"/>
        <v/>
      </c>
      <c r="K370" s="157"/>
      <c r="L370" s="157"/>
      <c r="M370" s="157"/>
      <c r="N370" s="157"/>
      <c r="O370" s="156" t="s">
        <v>4796</v>
      </c>
    </row>
    <row r="371" spans="4:15" x14ac:dyDescent="0.25">
      <c r="D371" s="157" t="s">
        <v>4797</v>
      </c>
      <c r="E371" s="156" t="s">
        <v>4795</v>
      </c>
      <c r="F371" s="157"/>
      <c r="G371" s="156"/>
      <c r="H371" s="157"/>
      <c r="I371" s="157"/>
      <c r="J371" s="156" t="str">
        <f t="shared" si="5"/>
        <v/>
      </c>
      <c r="K371" s="157"/>
      <c r="L371" s="157"/>
      <c r="M371" s="157"/>
      <c r="N371" s="157"/>
      <c r="O371" s="156" t="s">
        <v>4798</v>
      </c>
    </row>
    <row r="372" spans="4:15" x14ac:dyDescent="0.25">
      <c r="D372" s="157" t="s">
        <v>4799</v>
      </c>
      <c r="E372" s="156" t="s">
        <v>4795</v>
      </c>
      <c r="F372" s="157"/>
      <c r="G372" s="156"/>
      <c r="H372" s="157"/>
      <c r="I372" s="157"/>
      <c r="J372" s="156" t="str">
        <f t="shared" si="5"/>
        <v/>
      </c>
      <c r="K372" s="157"/>
      <c r="L372" s="157"/>
      <c r="M372" s="157"/>
      <c r="N372" s="157"/>
      <c r="O372" s="156" t="s">
        <v>4800</v>
      </c>
    </row>
    <row r="373" spans="4:15" x14ac:dyDescent="0.25">
      <c r="D373" s="157" t="s">
        <v>4801</v>
      </c>
      <c r="E373" s="156" t="s">
        <v>4795</v>
      </c>
      <c r="F373" s="157"/>
      <c r="G373" s="156"/>
      <c r="H373" s="157"/>
      <c r="I373" s="157"/>
      <c r="J373" s="156" t="str">
        <f t="shared" si="5"/>
        <v/>
      </c>
      <c r="K373" s="157"/>
      <c r="L373" s="157"/>
      <c r="M373" s="157"/>
      <c r="N373" s="157"/>
      <c r="O373" s="156" t="s">
        <v>4802</v>
      </c>
    </row>
    <row r="374" spans="4:15" x14ac:dyDescent="0.25">
      <c r="D374" s="157" t="s">
        <v>4803</v>
      </c>
      <c r="E374" s="156" t="s">
        <v>4795</v>
      </c>
      <c r="F374" s="157"/>
      <c r="G374" s="156"/>
      <c r="H374" s="157"/>
      <c r="I374" s="157"/>
      <c r="J374" s="156" t="str">
        <f t="shared" ref="J374:J437" si="6">F374&amp;H374&amp;I374</f>
        <v/>
      </c>
      <c r="K374" s="157"/>
      <c r="L374" s="157"/>
      <c r="M374" s="157"/>
      <c r="N374" s="157"/>
      <c r="O374" s="156" t="s">
        <v>4804</v>
      </c>
    </row>
    <row r="375" spans="4:15" x14ac:dyDescent="0.25">
      <c r="D375" s="157" t="s">
        <v>4805</v>
      </c>
      <c r="E375" s="156" t="s">
        <v>4795</v>
      </c>
      <c r="F375" s="157"/>
      <c r="G375" s="156"/>
      <c r="H375" s="157"/>
      <c r="I375" s="157"/>
      <c r="J375" s="156" t="str">
        <f t="shared" si="6"/>
        <v/>
      </c>
      <c r="K375" s="157"/>
      <c r="L375" s="157"/>
      <c r="M375" s="157"/>
      <c r="N375" s="157"/>
      <c r="O375" s="156" t="s">
        <v>4806</v>
      </c>
    </row>
    <row r="376" spans="4:15" x14ac:dyDescent="0.25">
      <c r="D376" s="157" t="s">
        <v>4807</v>
      </c>
      <c r="E376" s="156" t="s">
        <v>4795</v>
      </c>
      <c r="F376" s="157"/>
      <c r="G376" s="156"/>
      <c r="H376" s="157"/>
      <c r="I376" s="157"/>
      <c r="J376" s="156" t="str">
        <f t="shared" si="6"/>
        <v/>
      </c>
      <c r="K376" s="157"/>
      <c r="L376" s="157"/>
      <c r="M376" s="157"/>
      <c r="N376" s="157"/>
      <c r="O376" s="156" t="s">
        <v>4808</v>
      </c>
    </row>
    <row r="377" spans="4:15" x14ac:dyDescent="0.25">
      <c r="D377" s="157" t="s">
        <v>4809</v>
      </c>
      <c r="E377" s="156" t="s">
        <v>4795</v>
      </c>
      <c r="F377" s="157"/>
      <c r="G377" s="156"/>
      <c r="H377" s="157"/>
      <c r="I377" s="157"/>
      <c r="J377" s="156" t="str">
        <f t="shared" si="6"/>
        <v/>
      </c>
      <c r="K377" s="157"/>
      <c r="L377" s="157"/>
      <c r="M377" s="157"/>
      <c r="N377" s="157"/>
      <c r="O377" s="156" t="s">
        <v>4810</v>
      </c>
    </row>
    <row r="378" spans="4:15" x14ac:dyDescent="0.25">
      <c r="D378" s="157" t="s">
        <v>4811</v>
      </c>
      <c r="E378" s="156" t="s">
        <v>4795</v>
      </c>
      <c r="F378" s="157"/>
      <c r="G378" s="156"/>
      <c r="H378" s="157"/>
      <c r="I378" s="157"/>
      <c r="J378" s="156" t="str">
        <f t="shared" si="6"/>
        <v/>
      </c>
      <c r="K378" s="157"/>
      <c r="L378" s="157"/>
      <c r="M378" s="157"/>
      <c r="N378" s="157"/>
      <c r="O378" s="156" t="s">
        <v>4812</v>
      </c>
    </row>
    <row r="379" spans="4:15" x14ac:dyDescent="0.25">
      <c r="D379" s="157" t="s">
        <v>4813</v>
      </c>
      <c r="E379" s="156" t="s">
        <v>4795</v>
      </c>
      <c r="F379" s="157"/>
      <c r="G379" s="156"/>
      <c r="H379" s="157"/>
      <c r="I379" s="157"/>
      <c r="J379" s="156" t="str">
        <f t="shared" si="6"/>
        <v/>
      </c>
      <c r="K379" s="157"/>
      <c r="L379" s="157"/>
      <c r="M379" s="157"/>
      <c r="N379" s="157"/>
      <c r="O379" s="156" t="s">
        <v>4814</v>
      </c>
    </row>
    <row r="380" spans="4:15" x14ac:dyDescent="0.25">
      <c r="D380" s="157" t="s">
        <v>4815</v>
      </c>
      <c r="E380" s="156" t="s">
        <v>4816</v>
      </c>
      <c r="F380" s="157"/>
      <c r="G380" s="156"/>
      <c r="H380" s="157"/>
      <c r="I380" s="157"/>
      <c r="J380" s="156" t="str">
        <f t="shared" si="6"/>
        <v/>
      </c>
      <c r="K380" s="157"/>
      <c r="L380" s="157"/>
      <c r="M380" s="157"/>
      <c r="N380" s="157"/>
      <c r="O380" s="156" t="s">
        <v>4817</v>
      </c>
    </row>
    <row r="381" spans="4:15" x14ac:dyDescent="0.25">
      <c r="D381" s="157" t="s">
        <v>4818</v>
      </c>
      <c r="E381" s="156" t="s">
        <v>4816</v>
      </c>
      <c r="F381" s="157"/>
      <c r="G381" s="156"/>
      <c r="H381" s="157"/>
      <c r="I381" s="157"/>
      <c r="J381" s="156" t="str">
        <f t="shared" si="6"/>
        <v/>
      </c>
      <c r="K381" s="157"/>
      <c r="L381" s="157"/>
      <c r="M381" s="157"/>
      <c r="N381" s="157"/>
      <c r="O381" s="156" t="s">
        <v>4819</v>
      </c>
    </row>
    <row r="382" spans="4:15" x14ac:dyDescent="0.25">
      <c r="D382" s="157" t="s">
        <v>4820</v>
      </c>
      <c r="E382" s="156" t="s">
        <v>4816</v>
      </c>
      <c r="F382" s="157"/>
      <c r="G382" s="156"/>
      <c r="H382" s="157"/>
      <c r="I382" s="157"/>
      <c r="J382" s="156" t="str">
        <f t="shared" si="6"/>
        <v/>
      </c>
      <c r="K382" s="157"/>
      <c r="L382" s="157"/>
      <c r="M382" s="157"/>
      <c r="N382" s="157"/>
      <c r="O382" s="156" t="s">
        <v>4821</v>
      </c>
    </row>
    <row r="383" spans="4:15" x14ac:dyDescent="0.25">
      <c r="D383" s="157" t="s">
        <v>4822</v>
      </c>
      <c r="E383" s="156" t="s">
        <v>4816</v>
      </c>
      <c r="F383" s="157"/>
      <c r="G383" s="156"/>
      <c r="H383" s="157"/>
      <c r="I383" s="157"/>
      <c r="J383" s="156" t="str">
        <f t="shared" si="6"/>
        <v/>
      </c>
      <c r="K383" s="157"/>
      <c r="L383" s="157"/>
      <c r="M383" s="157"/>
      <c r="N383" s="157"/>
      <c r="O383" s="156" t="s">
        <v>4823</v>
      </c>
    </row>
    <row r="384" spans="4:15" x14ac:dyDescent="0.25">
      <c r="D384" s="157" t="s">
        <v>4824</v>
      </c>
      <c r="E384" s="156" t="s">
        <v>4816</v>
      </c>
      <c r="F384" s="157"/>
      <c r="G384" s="156"/>
      <c r="H384" s="157"/>
      <c r="I384" s="157"/>
      <c r="J384" s="156" t="str">
        <f t="shared" si="6"/>
        <v/>
      </c>
      <c r="K384" s="157"/>
      <c r="L384" s="157"/>
      <c r="M384" s="157"/>
      <c r="N384" s="157"/>
      <c r="O384" s="156" t="s">
        <v>4825</v>
      </c>
    </row>
    <row r="385" spans="4:15" x14ac:dyDescent="0.25">
      <c r="D385" s="157" t="s">
        <v>4826</v>
      </c>
      <c r="E385" s="156" t="s">
        <v>4816</v>
      </c>
      <c r="F385" s="157"/>
      <c r="G385" s="156"/>
      <c r="H385" s="157"/>
      <c r="I385" s="157"/>
      <c r="J385" s="156" t="str">
        <f t="shared" si="6"/>
        <v/>
      </c>
      <c r="K385" s="157"/>
      <c r="L385" s="157"/>
      <c r="M385" s="157"/>
      <c r="N385" s="157"/>
      <c r="O385" s="156" t="s">
        <v>4827</v>
      </c>
    </row>
    <row r="386" spans="4:15" x14ac:dyDescent="0.25">
      <c r="D386" s="157" t="s">
        <v>4828</v>
      </c>
      <c r="E386" s="156" t="s">
        <v>4816</v>
      </c>
      <c r="F386" s="157"/>
      <c r="G386" s="156"/>
      <c r="H386" s="157"/>
      <c r="I386" s="157"/>
      <c r="J386" s="156" t="str">
        <f t="shared" si="6"/>
        <v/>
      </c>
      <c r="K386" s="157"/>
      <c r="L386" s="157"/>
      <c r="M386" s="157"/>
      <c r="N386" s="157"/>
      <c r="O386" s="156" t="s">
        <v>4829</v>
      </c>
    </row>
    <row r="387" spans="4:15" x14ac:dyDescent="0.25">
      <c r="D387" s="157" t="s">
        <v>4830</v>
      </c>
      <c r="E387" s="156" t="s">
        <v>4816</v>
      </c>
      <c r="F387" s="157"/>
      <c r="G387" s="156"/>
      <c r="H387" s="157"/>
      <c r="I387" s="157"/>
      <c r="J387" s="156" t="str">
        <f t="shared" si="6"/>
        <v/>
      </c>
      <c r="K387" s="157"/>
      <c r="L387" s="157"/>
      <c r="M387" s="157"/>
      <c r="N387" s="157"/>
      <c r="O387" s="156" t="s">
        <v>4831</v>
      </c>
    </row>
    <row r="388" spans="4:15" x14ac:dyDescent="0.25">
      <c r="D388" s="157" t="s">
        <v>4832</v>
      </c>
      <c r="E388" s="156" t="s">
        <v>4816</v>
      </c>
      <c r="F388" s="157"/>
      <c r="G388" s="156"/>
      <c r="H388" s="157"/>
      <c r="I388" s="157"/>
      <c r="J388" s="156" t="str">
        <f t="shared" si="6"/>
        <v/>
      </c>
      <c r="K388" s="157"/>
      <c r="L388" s="157"/>
      <c r="M388" s="157"/>
      <c r="N388" s="157"/>
      <c r="O388" s="156" t="s">
        <v>4833</v>
      </c>
    </row>
    <row r="389" spans="4:15" x14ac:dyDescent="0.25">
      <c r="D389" s="157" t="s">
        <v>4834</v>
      </c>
      <c r="E389" s="156" t="s">
        <v>4816</v>
      </c>
      <c r="F389" s="157"/>
      <c r="G389" s="156"/>
      <c r="H389" s="157"/>
      <c r="I389" s="157"/>
      <c r="J389" s="156" t="str">
        <f t="shared" si="6"/>
        <v/>
      </c>
      <c r="K389" s="157"/>
      <c r="L389" s="157"/>
      <c r="M389" s="157"/>
      <c r="N389" s="157"/>
      <c r="O389" s="156" t="s">
        <v>4835</v>
      </c>
    </row>
    <row r="390" spans="4:15" x14ac:dyDescent="0.25">
      <c r="D390" s="157" t="s">
        <v>4836</v>
      </c>
      <c r="E390" s="156" t="s">
        <v>4837</v>
      </c>
      <c r="F390" s="157"/>
      <c r="G390" s="156"/>
      <c r="H390" s="157"/>
      <c r="I390" s="157"/>
      <c r="J390" s="156" t="str">
        <f t="shared" si="6"/>
        <v/>
      </c>
      <c r="K390" s="157"/>
      <c r="L390" s="157"/>
      <c r="M390" s="157"/>
      <c r="N390" s="157"/>
      <c r="O390" s="156" t="s">
        <v>4838</v>
      </c>
    </row>
    <row r="391" spans="4:15" x14ac:dyDescent="0.25">
      <c r="D391" s="157" t="s">
        <v>4839</v>
      </c>
      <c r="E391" s="156" t="s">
        <v>4837</v>
      </c>
      <c r="F391" s="157"/>
      <c r="G391" s="156"/>
      <c r="H391" s="157"/>
      <c r="I391" s="157"/>
      <c r="J391" s="156" t="str">
        <f t="shared" si="6"/>
        <v/>
      </c>
      <c r="K391" s="157"/>
      <c r="L391" s="157"/>
      <c r="M391" s="157"/>
      <c r="N391" s="157"/>
      <c r="O391" s="156" t="s">
        <v>4840</v>
      </c>
    </row>
    <row r="392" spans="4:15" x14ac:dyDescent="0.25">
      <c r="D392" s="157" t="s">
        <v>4841</v>
      </c>
      <c r="E392" s="156" t="s">
        <v>4837</v>
      </c>
      <c r="F392" s="157"/>
      <c r="G392" s="156"/>
      <c r="H392" s="157"/>
      <c r="I392" s="157"/>
      <c r="J392" s="156" t="str">
        <f t="shared" si="6"/>
        <v/>
      </c>
      <c r="K392" s="157"/>
      <c r="L392" s="157"/>
      <c r="M392" s="157"/>
      <c r="N392" s="157"/>
      <c r="O392" s="156" t="s">
        <v>4842</v>
      </c>
    </row>
    <row r="393" spans="4:15" x14ac:dyDescent="0.25">
      <c r="D393" s="157" t="s">
        <v>4843</v>
      </c>
      <c r="E393" s="156" t="s">
        <v>4837</v>
      </c>
      <c r="F393" s="157"/>
      <c r="G393" s="156"/>
      <c r="H393" s="157"/>
      <c r="I393" s="157"/>
      <c r="J393" s="156" t="str">
        <f t="shared" si="6"/>
        <v/>
      </c>
      <c r="K393" s="157"/>
      <c r="L393" s="157"/>
      <c r="M393" s="157"/>
      <c r="N393" s="157"/>
      <c r="O393" s="156" t="s">
        <v>4844</v>
      </c>
    </row>
    <row r="394" spans="4:15" x14ac:dyDescent="0.25">
      <c r="D394" s="157" t="s">
        <v>4845</v>
      </c>
      <c r="E394" s="156" t="s">
        <v>4837</v>
      </c>
      <c r="F394" s="157"/>
      <c r="G394" s="156"/>
      <c r="H394" s="157"/>
      <c r="I394" s="157"/>
      <c r="J394" s="156" t="str">
        <f t="shared" si="6"/>
        <v/>
      </c>
      <c r="K394" s="157"/>
      <c r="L394" s="157"/>
      <c r="M394" s="157"/>
      <c r="N394" s="157"/>
      <c r="O394" s="156" t="s">
        <v>4846</v>
      </c>
    </row>
    <row r="395" spans="4:15" x14ac:dyDescent="0.25">
      <c r="D395" s="157" t="s">
        <v>4847</v>
      </c>
      <c r="E395" s="156" t="s">
        <v>4837</v>
      </c>
      <c r="F395" s="157"/>
      <c r="G395" s="156"/>
      <c r="H395" s="157"/>
      <c r="I395" s="157"/>
      <c r="J395" s="156" t="str">
        <f t="shared" si="6"/>
        <v/>
      </c>
      <c r="K395" s="157"/>
      <c r="L395" s="157"/>
      <c r="M395" s="157"/>
      <c r="N395" s="157"/>
      <c r="O395" s="156" t="s">
        <v>4848</v>
      </c>
    </row>
    <row r="396" spans="4:15" x14ac:dyDescent="0.25">
      <c r="D396" s="157" t="s">
        <v>4849</v>
      </c>
      <c r="E396" s="156" t="s">
        <v>4837</v>
      </c>
      <c r="F396" s="157"/>
      <c r="G396" s="156"/>
      <c r="H396" s="157"/>
      <c r="I396" s="157"/>
      <c r="J396" s="156" t="str">
        <f t="shared" si="6"/>
        <v/>
      </c>
      <c r="K396" s="157"/>
      <c r="L396" s="157"/>
      <c r="M396" s="157"/>
      <c r="N396" s="157"/>
      <c r="O396" s="156" t="s">
        <v>4850</v>
      </c>
    </row>
    <row r="397" spans="4:15" x14ac:dyDescent="0.25">
      <c r="D397" s="157" t="s">
        <v>4851</v>
      </c>
      <c r="E397" s="156" t="s">
        <v>4837</v>
      </c>
      <c r="F397" s="157"/>
      <c r="G397" s="156"/>
      <c r="H397" s="157"/>
      <c r="I397" s="157"/>
      <c r="J397" s="156" t="str">
        <f t="shared" si="6"/>
        <v/>
      </c>
      <c r="K397" s="157"/>
      <c r="L397" s="157"/>
      <c r="M397" s="157"/>
      <c r="N397" s="157"/>
      <c r="O397" s="156" t="s">
        <v>4852</v>
      </c>
    </row>
    <row r="398" spans="4:15" x14ac:dyDescent="0.25">
      <c r="D398" s="157" t="s">
        <v>4853</v>
      </c>
      <c r="E398" s="156" t="s">
        <v>4837</v>
      </c>
      <c r="F398" s="157"/>
      <c r="G398" s="156"/>
      <c r="H398" s="157"/>
      <c r="I398" s="157"/>
      <c r="J398" s="156" t="str">
        <f t="shared" si="6"/>
        <v/>
      </c>
      <c r="K398" s="157"/>
      <c r="L398" s="157"/>
      <c r="M398" s="157"/>
      <c r="N398" s="157"/>
      <c r="O398" s="156" t="s">
        <v>4854</v>
      </c>
    </row>
    <row r="399" spans="4:15" x14ac:dyDescent="0.25">
      <c r="D399" s="157" t="s">
        <v>4855</v>
      </c>
      <c r="E399" s="156" t="s">
        <v>4837</v>
      </c>
      <c r="F399" s="157"/>
      <c r="G399" s="156"/>
      <c r="H399" s="157"/>
      <c r="I399" s="157"/>
      <c r="J399" s="156" t="str">
        <f t="shared" si="6"/>
        <v/>
      </c>
      <c r="K399" s="157"/>
      <c r="L399" s="157"/>
      <c r="M399" s="157"/>
      <c r="N399" s="157"/>
      <c r="O399" s="156" t="s">
        <v>4856</v>
      </c>
    </row>
    <row r="400" spans="4:15" x14ac:dyDescent="0.25">
      <c r="D400" s="157" t="s">
        <v>4857</v>
      </c>
      <c r="E400" s="156" t="s">
        <v>4858</v>
      </c>
      <c r="F400" s="157"/>
      <c r="G400" s="156"/>
      <c r="H400" s="157"/>
      <c r="I400" s="157"/>
      <c r="J400" s="156" t="str">
        <f t="shared" si="6"/>
        <v/>
      </c>
      <c r="K400" s="157"/>
      <c r="L400" s="157"/>
      <c r="M400" s="157"/>
      <c r="N400" s="157"/>
      <c r="O400" s="156" t="s">
        <v>4859</v>
      </c>
    </row>
    <row r="401" spans="4:15" x14ac:dyDescent="0.25">
      <c r="D401" s="157" t="s">
        <v>4860</v>
      </c>
      <c r="E401" s="156" t="s">
        <v>4858</v>
      </c>
      <c r="F401" s="157"/>
      <c r="G401" s="156"/>
      <c r="H401" s="157"/>
      <c r="I401" s="157"/>
      <c r="J401" s="156" t="str">
        <f t="shared" si="6"/>
        <v/>
      </c>
      <c r="K401" s="157"/>
      <c r="L401" s="157"/>
      <c r="M401" s="157"/>
      <c r="N401" s="157"/>
      <c r="O401" s="156" t="s">
        <v>4861</v>
      </c>
    </row>
    <row r="402" spans="4:15" x14ac:dyDescent="0.25">
      <c r="D402" s="157" t="s">
        <v>4862</v>
      </c>
      <c r="E402" s="156" t="s">
        <v>4858</v>
      </c>
      <c r="F402" s="157"/>
      <c r="G402" s="156"/>
      <c r="H402" s="157"/>
      <c r="I402" s="157"/>
      <c r="J402" s="156" t="str">
        <f t="shared" si="6"/>
        <v/>
      </c>
      <c r="K402" s="157"/>
      <c r="L402" s="157"/>
      <c r="M402" s="157"/>
      <c r="N402" s="157"/>
      <c r="O402" s="156" t="s">
        <v>4863</v>
      </c>
    </row>
    <row r="403" spans="4:15" x14ac:dyDescent="0.25">
      <c r="D403" s="157" t="s">
        <v>4864</v>
      </c>
      <c r="E403" s="156" t="s">
        <v>4858</v>
      </c>
      <c r="F403" s="157"/>
      <c r="G403" s="156"/>
      <c r="H403" s="157"/>
      <c r="I403" s="157"/>
      <c r="J403" s="156" t="str">
        <f t="shared" si="6"/>
        <v/>
      </c>
      <c r="K403" s="157"/>
      <c r="L403" s="157"/>
      <c r="M403" s="157"/>
      <c r="N403" s="157"/>
      <c r="O403" s="156" t="s">
        <v>4865</v>
      </c>
    </row>
    <row r="404" spans="4:15" x14ac:dyDescent="0.25">
      <c r="D404" s="157" t="s">
        <v>4866</v>
      </c>
      <c r="E404" s="156" t="s">
        <v>4858</v>
      </c>
      <c r="F404" s="157"/>
      <c r="G404" s="156"/>
      <c r="H404" s="157"/>
      <c r="I404" s="157"/>
      <c r="J404" s="156" t="str">
        <f t="shared" si="6"/>
        <v/>
      </c>
      <c r="K404" s="157"/>
      <c r="L404" s="157"/>
      <c r="M404" s="157"/>
      <c r="N404" s="157"/>
      <c r="O404" s="156" t="s">
        <v>4867</v>
      </c>
    </row>
    <row r="405" spans="4:15" x14ac:dyDescent="0.25">
      <c r="D405" s="157" t="s">
        <v>4868</v>
      </c>
      <c r="E405" s="156" t="s">
        <v>4858</v>
      </c>
      <c r="F405" s="157"/>
      <c r="G405" s="156"/>
      <c r="H405" s="157"/>
      <c r="I405" s="157"/>
      <c r="J405" s="156" t="str">
        <f t="shared" si="6"/>
        <v/>
      </c>
      <c r="K405" s="157"/>
      <c r="L405" s="157"/>
      <c r="M405" s="157"/>
      <c r="N405" s="157"/>
      <c r="O405" s="156" t="s">
        <v>4869</v>
      </c>
    </row>
    <row r="406" spans="4:15" x14ac:dyDescent="0.25">
      <c r="D406" s="157" t="s">
        <v>4870</v>
      </c>
      <c r="E406" s="156" t="s">
        <v>4858</v>
      </c>
      <c r="F406" s="157"/>
      <c r="G406" s="156"/>
      <c r="H406" s="157"/>
      <c r="I406" s="157"/>
      <c r="J406" s="156" t="str">
        <f t="shared" si="6"/>
        <v/>
      </c>
      <c r="K406" s="157"/>
      <c r="L406" s="157"/>
      <c r="M406" s="157"/>
      <c r="N406" s="157"/>
      <c r="O406" s="156" t="s">
        <v>4871</v>
      </c>
    </row>
    <row r="407" spans="4:15" x14ac:dyDescent="0.25">
      <c r="D407" s="157" t="s">
        <v>4872</v>
      </c>
      <c r="E407" s="156" t="s">
        <v>4858</v>
      </c>
      <c r="F407" s="157"/>
      <c r="G407" s="156"/>
      <c r="H407" s="157"/>
      <c r="I407" s="157"/>
      <c r="J407" s="156" t="str">
        <f t="shared" si="6"/>
        <v/>
      </c>
      <c r="K407" s="157"/>
      <c r="L407" s="157"/>
      <c r="M407" s="157"/>
      <c r="N407" s="157"/>
      <c r="O407" s="156" t="s">
        <v>4873</v>
      </c>
    </row>
    <row r="408" spans="4:15" x14ac:dyDescent="0.25">
      <c r="D408" s="157" t="s">
        <v>4874</v>
      </c>
      <c r="E408" s="156" t="s">
        <v>4858</v>
      </c>
      <c r="F408" s="157"/>
      <c r="G408" s="156"/>
      <c r="H408" s="157"/>
      <c r="I408" s="157"/>
      <c r="J408" s="156" t="str">
        <f t="shared" si="6"/>
        <v/>
      </c>
      <c r="K408" s="157"/>
      <c r="L408" s="157"/>
      <c r="M408" s="157"/>
      <c r="N408" s="157"/>
      <c r="O408" s="156" t="s">
        <v>4875</v>
      </c>
    </row>
    <row r="409" spans="4:15" x14ac:dyDescent="0.25">
      <c r="D409" s="157" t="s">
        <v>4876</v>
      </c>
      <c r="E409" s="156" t="s">
        <v>4858</v>
      </c>
      <c r="F409" s="157"/>
      <c r="G409" s="156"/>
      <c r="H409" s="157"/>
      <c r="I409" s="157"/>
      <c r="J409" s="156" t="str">
        <f t="shared" si="6"/>
        <v/>
      </c>
      <c r="K409" s="157"/>
      <c r="L409" s="157"/>
      <c r="M409" s="157"/>
      <c r="N409" s="157"/>
      <c r="O409" s="156" t="s">
        <v>4877</v>
      </c>
    </row>
    <row r="410" spans="4:15" x14ac:dyDescent="0.25">
      <c r="D410" s="157" t="s">
        <v>4878</v>
      </c>
      <c r="E410" s="156" t="s">
        <v>4879</v>
      </c>
      <c r="F410" s="157"/>
      <c r="G410" s="156"/>
      <c r="H410" s="157"/>
      <c r="I410" s="157"/>
      <c r="J410" s="156" t="str">
        <f t="shared" si="6"/>
        <v/>
      </c>
      <c r="K410" s="157"/>
      <c r="L410" s="157"/>
      <c r="M410" s="157"/>
      <c r="N410" s="157"/>
      <c r="O410" s="156" t="s">
        <v>4880</v>
      </c>
    </row>
    <row r="411" spans="4:15" x14ac:dyDescent="0.25">
      <c r="D411" s="157" t="s">
        <v>4881</v>
      </c>
      <c r="E411" s="156" t="s">
        <v>4879</v>
      </c>
      <c r="F411" s="157"/>
      <c r="G411" s="156"/>
      <c r="H411" s="157"/>
      <c r="I411" s="157"/>
      <c r="J411" s="156" t="str">
        <f t="shared" si="6"/>
        <v/>
      </c>
      <c r="K411" s="157"/>
      <c r="L411" s="157"/>
      <c r="M411" s="157"/>
      <c r="N411" s="157"/>
      <c r="O411" s="156" t="s">
        <v>4882</v>
      </c>
    </row>
    <row r="412" spans="4:15" x14ac:dyDescent="0.25">
      <c r="D412" s="157" t="s">
        <v>4883</v>
      </c>
      <c r="E412" s="156" t="s">
        <v>4879</v>
      </c>
      <c r="F412" s="157"/>
      <c r="G412" s="156"/>
      <c r="H412" s="157"/>
      <c r="I412" s="157"/>
      <c r="J412" s="156" t="str">
        <f t="shared" si="6"/>
        <v/>
      </c>
      <c r="K412" s="157"/>
      <c r="L412" s="157"/>
      <c r="M412" s="157"/>
      <c r="N412" s="157"/>
      <c r="O412" s="156" t="s">
        <v>4884</v>
      </c>
    </row>
    <row r="413" spans="4:15" x14ac:dyDescent="0.25">
      <c r="D413" s="157" t="s">
        <v>4885</v>
      </c>
      <c r="E413" s="156" t="s">
        <v>4879</v>
      </c>
      <c r="F413" s="157"/>
      <c r="G413" s="156"/>
      <c r="H413" s="157"/>
      <c r="I413" s="157"/>
      <c r="J413" s="156" t="str">
        <f t="shared" si="6"/>
        <v/>
      </c>
      <c r="K413" s="157"/>
      <c r="L413" s="157"/>
      <c r="M413" s="157"/>
      <c r="N413" s="157"/>
      <c r="O413" s="156" t="s">
        <v>4886</v>
      </c>
    </row>
    <row r="414" spans="4:15" x14ac:dyDescent="0.25">
      <c r="D414" s="157" t="s">
        <v>4887</v>
      </c>
      <c r="E414" s="156" t="s">
        <v>4879</v>
      </c>
      <c r="F414" s="157"/>
      <c r="G414" s="156"/>
      <c r="H414" s="157"/>
      <c r="I414" s="157"/>
      <c r="J414" s="156" t="str">
        <f t="shared" si="6"/>
        <v/>
      </c>
      <c r="K414" s="157"/>
      <c r="L414" s="157"/>
      <c r="M414" s="157"/>
      <c r="N414" s="157"/>
      <c r="O414" s="156" t="s">
        <v>4888</v>
      </c>
    </row>
    <row r="415" spans="4:15" x14ac:dyDescent="0.25">
      <c r="D415" s="157" t="s">
        <v>4889</v>
      </c>
      <c r="E415" s="156" t="s">
        <v>4879</v>
      </c>
      <c r="F415" s="157"/>
      <c r="G415" s="156"/>
      <c r="H415" s="157"/>
      <c r="I415" s="157"/>
      <c r="J415" s="156" t="str">
        <f t="shared" si="6"/>
        <v/>
      </c>
      <c r="K415" s="157"/>
      <c r="L415" s="157"/>
      <c r="M415" s="157"/>
      <c r="N415" s="157"/>
      <c r="O415" s="156" t="s">
        <v>4890</v>
      </c>
    </row>
    <row r="416" spans="4:15" x14ac:dyDescent="0.25">
      <c r="D416" s="157" t="s">
        <v>4891</v>
      </c>
      <c r="E416" s="156" t="s">
        <v>4879</v>
      </c>
      <c r="F416" s="157"/>
      <c r="G416" s="156"/>
      <c r="H416" s="157"/>
      <c r="I416" s="157"/>
      <c r="J416" s="156" t="str">
        <f t="shared" si="6"/>
        <v/>
      </c>
      <c r="K416" s="157"/>
      <c r="L416" s="157"/>
      <c r="M416" s="157"/>
      <c r="N416" s="157"/>
      <c r="O416" s="156" t="s">
        <v>4892</v>
      </c>
    </row>
    <row r="417" spans="4:15" x14ac:dyDescent="0.25">
      <c r="D417" s="157" t="s">
        <v>4893</v>
      </c>
      <c r="E417" s="156" t="s">
        <v>4879</v>
      </c>
      <c r="F417" s="157"/>
      <c r="G417" s="156"/>
      <c r="H417" s="157"/>
      <c r="I417" s="157"/>
      <c r="J417" s="156" t="str">
        <f t="shared" si="6"/>
        <v/>
      </c>
      <c r="K417" s="157"/>
      <c r="L417" s="157"/>
      <c r="M417" s="157"/>
      <c r="N417" s="157"/>
      <c r="O417" s="156" t="s">
        <v>4894</v>
      </c>
    </row>
    <row r="418" spans="4:15" x14ac:dyDescent="0.25">
      <c r="D418" s="157" t="s">
        <v>4895</v>
      </c>
      <c r="E418" s="156" t="s">
        <v>4879</v>
      </c>
      <c r="F418" s="157"/>
      <c r="G418" s="156"/>
      <c r="H418" s="157"/>
      <c r="I418" s="157"/>
      <c r="J418" s="156" t="str">
        <f t="shared" si="6"/>
        <v/>
      </c>
      <c r="K418" s="157"/>
      <c r="L418" s="157"/>
      <c r="M418" s="157"/>
      <c r="N418" s="157"/>
      <c r="O418" s="156" t="s">
        <v>4896</v>
      </c>
    </row>
    <row r="419" spans="4:15" x14ac:dyDescent="0.25">
      <c r="D419" s="157" t="s">
        <v>4897</v>
      </c>
      <c r="E419" s="156" t="s">
        <v>4879</v>
      </c>
      <c r="F419" s="157"/>
      <c r="G419" s="156"/>
      <c r="H419" s="157"/>
      <c r="I419" s="157"/>
      <c r="J419" s="156" t="str">
        <f t="shared" si="6"/>
        <v/>
      </c>
      <c r="K419" s="157"/>
      <c r="L419" s="157"/>
      <c r="M419" s="157"/>
      <c r="N419" s="157"/>
      <c r="O419" s="156" t="s">
        <v>4898</v>
      </c>
    </row>
    <row r="420" spans="4:15" x14ac:dyDescent="0.25">
      <c r="D420" s="157" t="s">
        <v>4899</v>
      </c>
      <c r="E420" s="156" t="s">
        <v>4900</v>
      </c>
      <c r="F420" s="157"/>
      <c r="G420" s="156"/>
      <c r="H420" s="157"/>
      <c r="I420" s="157"/>
      <c r="J420" s="156" t="str">
        <f t="shared" si="6"/>
        <v/>
      </c>
      <c r="K420" s="157"/>
      <c r="L420" s="157"/>
      <c r="M420" s="157"/>
      <c r="N420" s="157"/>
      <c r="O420" s="156" t="s">
        <v>4901</v>
      </c>
    </row>
    <row r="421" spans="4:15" x14ac:dyDescent="0.25">
      <c r="D421" s="157" t="s">
        <v>4902</v>
      </c>
      <c r="E421" s="156" t="s">
        <v>4900</v>
      </c>
      <c r="F421" s="157"/>
      <c r="G421" s="156"/>
      <c r="H421" s="157"/>
      <c r="I421" s="157"/>
      <c r="J421" s="156" t="str">
        <f t="shared" si="6"/>
        <v/>
      </c>
      <c r="K421" s="157"/>
      <c r="L421" s="157"/>
      <c r="M421" s="157"/>
      <c r="N421" s="157"/>
      <c r="O421" s="156" t="s">
        <v>4903</v>
      </c>
    </row>
    <row r="422" spans="4:15" x14ac:dyDescent="0.25">
      <c r="D422" s="157" t="s">
        <v>4904</v>
      </c>
      <c r="E422" s="156" t="s">
        <v>4900</v>
      </c>
      <c r="F422" s="157"/>
      <c r="G422" s="156"/>
      <c r="H422" s="157"/>
      <c r="I422" s="157"/>
      <c r="J422" s="156" t="str">
        <f t="shared" si="6"/>
        <v/>
      </c>
      <c r="K422" s="157"/>
      <c r="L422" s="157"/>
      <c r="M422" s="157"/>
      <c r="N422" s="157"/>
      <c r="O422" s="156" t="s">
        <v>4905</v>
      </c>
    </row>
    <row r="423" spans="4:15" x14ac:dyDescent="0.25">
      <c r="D423" s="157" t="s">
        <v>4906</v>
      </c>
      <c r="E423" s="156" t="s">
        <v>4900</v>
      </c>
      <c r="F423" s="157"/>
      <c r="G423" s="156"/>
      <c r="H423" s="157"/>
      <c r="I423" s="157"/>
      <c r="J423" s="156" t="str">
        <f t="shared" si="6"/>
        <v/>
      </c>
      <c r="K423" s="157"/>
      <c r="L423" s="157"/>
      <c r="M423" s="157"/>
      <c r="N423" s="157"/>
      <c r="O423" s="156" t="s">
        <v>4907</v>
      </c>
    </row>
    <row r="424" spans="4:15" x14ac:dyDescent="0.25">
      <c r="D424" s="157" t="s">
        <v>4908</v>
      </c>
      <c r="E424" s="156" t="s">
        <v>4900</v>
      </c>
      <c r="F424" s="157"/>
      <c r="G424" s="156"/>
      <c r="H424" s="157"/>
      <c r="I424" s="157"/>
      <c r="J424" s="156" t="str">
        <f t="shared" si="6"/>
        <v/>
      </c>
      <c r="K424" s="157"/>
      <c r="L424" s="157"/>
      <c r="M424" s="157"/>
      <c r="N424" s="157"/>
      <c r="O424" s="156" t="s">
        <v>4909</v>
      </c>
    </row>
    <row r="425" spans="4:15" x14ac:dyDescent="0.25">
      <c r="D425" s="157" t="s">
        <v>4910</v>
      </c>
      <c r="E425" s="156" t="s">
        <v>4900</v>
      </c>
      <c r="F425" s="157"/>
      <c r="G425" s="156"/>
      <c r="H425" s="157"/>
      <c r="I425" s="157"/>
      <c r="J425" s="156" t="str">
        <f t="shared" si="6"/>
        <v/>
      </c>
      <c r="K425" s="157"/>
      <c r="L425" s="157"/>
      <c r="M425" s="157"/>
      <c r="N425" s="157"/>
      <c r="O425" s="156" t="s">
        <v>4911</v>
      </c>
    </row>
    <row r="426" spans="4:15" x14ac:dyDescent="0.25">
      <c r="D426" s="157" t="s">
        <v>4912</v>
      </c>
      <c r="E426" s="156" t="s">
        <v>4900</v>
      </c>
      <c r="F426" s="157"/>
      <c r="G426" s="156"/>
      <c r="H426" s="157"/>
      <c r="I426" s="157"/>
      <c r="J426" s="156" t="str">
        <f t="shared" si="6"/>
        <v/>
      </c>
      <c r="K426" s="157"/>
      <c r="L426" s="157"/>
      <c r="M426" s="157"/>
      <c r="N426" s="157"/>
      <c r="O426" s="156" t="s">
        <v>4913</v>
      </c>
    </row>
    <row r="427" spans="4:15" x14ac:dyDescent="0.25">
      <c r="D427" s="157" t="s">
        <v>4914</v>
      </c>
      <c r="E427" s="156" t="s">
        <v>4900</v>
      </c>
      <c r="F427" s="157"/>
      <c r="G427" s="156"/>
      <c r="H427" s="157"/>
      <c r="I427" s="157"/>
      <c r="J427" s="156" t="str">
        <f t="shared" si="6"/>
        <v/>
      </c>
      <c r="K427" s="157"/>
      <c r="L427" s="157"/>
      <c r="M427" s="157"/>
      <c r="N427" s="157"/>
      <c r="O427" s="156" t="s">
        <v>4915</v>
      </c>
    </row>
    <row r="428" spans="4:15" x14ac:dyDescent="0.25">
      <c r="D428" s="157" t="s">
        <v>4916</v>
      </c>
      <c r="E428" s="156" t="s">
        <v>4900</v>
      </c>
      <c r="F428" s="157"/>
      <c r="G428" s="156"/>
      <c r="H428" s="157"/>
      <c r="I428" s="157"/>
      <c r="J428" s="156" t="str">
        <f t="shared" si="6"/>
        <v/>
      </c>
      <c r="K428" s="157"/>
      <c r="L428" s="157"/>
      <c r="M428" s="157"/>
      <c r="N428" s="157"/>
      <c r="O428" s="156" t="s">
        <v>4917</v>
      </c>
    </row>
    <row r="429" spans="4:15" x14ac:dyDescent="0.25">
      <c r="D429" s="157" t="s">
        <v>4918</v>
      </c>
      <c r="E429" s="156" t="s">
        <v>4900</v>
      </c>
      <c r="F429" s="157"/>
      <c r="G429" s="156"/>
      <c r="H429" s="157"/>
      <c r="I429" s="157"/>
      <c r="J429" s="156" t="str">
        <f t="shared" si="6"/>
        <v/>
      </c>
      <c r="K429" s="157"/>
      <c r="L429" s="157"/>
      <c r="M429" s="157"/>
      <c r="N429" s="157"/>
      <c r="O429" s="156" t="s">
        <v>4919</v>
      </c>
    </row>
    <row r="430" spans="4:15" x14ac:dyDescent="0.25">
      <c r="D430" s="157" t="s">
        <v>4920</v>
      </c>
      <c r="E430" s="156" t="s">
        <v>4921</v>
      </c>
      <c r="F430" s="157"/>
      <c r="G430" s="156"/>
      <c r="H430" s="157"/>
      <c r="I430" s="157"/>
      <c r="J430" s="156" t="str">
        <f t="shared" si="6"/>
        <v/>
      </c>
      <c r="K430" s="157"/>
      <c r="L430" s="157"/>
      <c r="M430" s="157"/>
      <c r="N430" s="157"/>
      <c r="O430" s="156" t="s">
        <v>4922</v>
      </c>
    </row>
    <row r="431" spans="4:15" x14ac:dyDescent="0.25">
      <c r="D431" s="157" t="s">
        <v>4923</v>
      </c>
      <c r="E431" s="156" t="s">
        <v>4921</v>
      </c>
      <c r="F431" s="157"/>
      <c r="G431" s="156"/>
      <c r="H431" s="157"/>
      <c r="I431" s="157"/>
      <c r="J431" s="156" t="str">
        <f t="shared" si="6"/>
        <v/>
      </c>
      <c r="K431" s="157"/>
      <c r="L431" s="157"/>
      <c r="M431" s="157"/>
      <c r="N431" s="157"/>
      <c r="O431" s="156" t="s">
        <v>4924</v>
      </c>
    </row>
    <row r="432" spans="4:15" x14ac:dyDescent="0.25">
      <c r="D432" s="157" t="s">
        <v>4925</v>
      </c>
      <c r="E432" s="156" t="s">
        <v>4921</v>
      </c>
      <c r="F432" s="157"/>
      <c r="G432" s="156"/>
      <c r="H432" s="157"/>
      <c r="I432" s="157"/>
      <c r="J432" s="156" t="str">
        <f t="shared" si="6"/>
        <v/>
      </c>
      <c r="K432" s="157"/>
      <c r="L432" s="157"/>
      <c r="M432" s="157"/>
      <c r="N432" s="157"/>
      <c r="O432" s="156" t="s">
        <v>4926</v>
      </c>
    </row>
    <row r="433" spans="4:15" x14ac:dyDescent="0.25">
      <c r="D433" s="157" t="s">
        <v>4927</v>
      </c>
      <c r="E433" s="156" t="s">
        <v>4921</v>
      </c>
      <c r="F433" s="157"/>
      <c r="G433" s="156"/>
      <c r="H433" s="157"/>
      <c r="I433" s="157"/>
      <c r="J433" s="156" t="str">
        <f t="shared" si="6"/>
        <v/>
      </c>
      <c r="K433" s="157"/>
      <c r="L433" s="157"/>
      <c r="M433" s="157"/>
      <c r="N433" s="157"/>
      <c r="O433" s="156" t="s">
        <v>4928</v>
      </c>
    </row>
    <row r="434" spans="4:15" x14ac:dyDescent="0.25">
      <c r="D434" s="157" t="s">
        <v>4929</v>
      </c>
      <c r="E434" s="156" t="s">
        <v>4921</v>
      </c>
      <c r="F434" s="157"/>
      <c r="G434" s="156"/>
      <c r="H434" s="157"/>
      <c r="I434" s="157"/>
      <c r="J434" s="156" t="str">
        <f t="shared" si="6"/>
        <v/>
      </c>
      <c r="K434" s="157"/>
      <c r="L434" s="157"/>
      <c r="M434" s="157"/>
      <c r="N434" s="157"/>
      <c r="O434" s="156" t="s">
        <v>4930</v>
      </c>
    </row>
    <row r="435" spans="4:15" x14ac:dyDescent="0.25">
      <c r="D435" s="157" t="s">
        <v>4931</v>
      </c>
      <c r="E435" s="156" t="s">
        <v>4921</v>
      </c>
      <c r="F435" s="157"/>
      <c r="G435" s="156"/>
      <c r="H435" s="157"/>
      <c r="I435" s="157"/>
      <c r="J435" s="156" t="str">
        <f t="shared" si="6"/>
        <v/>
      </c>
      <c r="K435" s="157"/>
      <c r="L435" s="157"/>
      <c r="M435" s="157"/>
      <c r="N435" s="157"/>
      <c r="O435" s="156" t="s">
        <v>4932</v>
      </c>
    </row>
    <row r="436" spans="4:15" x14ac:dyDescent="0.25">
      <c r="D436" s="157" t="s">
        <v>4933</v>
      </c>
      <c r="E436" s="156" t="s">
        <v>4921</v>
      </c>
      <c r="F436" s="157"/>
      <c r="G436" s="156"/>
      <c r="H436" s="157"/>
      <c r="I436" s="157"/>
      <c r="J436" s="156" t="str">
        <f t="shared" si="6"/>
        <v/>
      </c>
      <c r="K436" s="157"/>
      <c r="L436" s="157"/>
      <c r="M436" s="157"/>
      <c r="N436" s="157"/>
      <c r="O436" s="156" t="s">
        <v>4934</v>
      </c>
    </row>
    <row r="437" spans="4:15" x14ac:dyDescent="0.25">
      <c r="D437" s="157" t="s">
        <v>4935</v>
      </c>
      <c r="E437" s="156" t="s">
        <v>4921</v>
      </c>
      <c r="F437" s="157"/>
      <c r="G437" s="156"/>
      <c r="H437" s="157"/>
      <c r="I437" s="157"/>
      <c r="J437" s="156" t="str">
        <f t="shared" si="6"/>
        <v/>
      </c>
      <c r="K437" s="157"/>
      <c r="L437" s="157"/>
      <c r="M437" s="157"/>
      <c r="N437" s="157"/>
      <c r="O437" s="156" t="s">
        <v>4936</v>
      </c>
    </row>
    <row r="438" spans="4:15" x14ac:dyDescent="0.25">
      <c r="D438" s="157" t="s">
        <v>4937</v>
      </c>
      <c r="E438" s="156" t="s">
        <v>4921</v>
      </c>
      <c r="F438" s="157"/>
      <c r="G438" s="156"/>
      <c r="H438" s="157"/>
      <c r="I438" s="157"/>
      <c r="J438" s="156" t="str">
        <f t="shared" ref="J438:J501" si="7">F438&amp;H438&amp;I438</f>
        <v/>
      </c>
      <c r="K438" s="157"/>
      <c r="L438" s="157"/>
      <c r="M438" s="157"/>
      <c r="N438" s="157"/>
      <c r="O438" s="156" t="s">
        <v>4938</v>
      </c>
    </row>
    <row r="439" spans="4:15" x14ac:dyDescent="0.25">
      <c r="D439" s="157" t="s">
        <v>4939</v>
      </c>
      <c r="E439" s="156" t="s">
        <v>4921</v>
      </c>
      <c r="F439" s="157"/>
      <c r="G439" s="156"/>
      <c r="H439" s="157"/>
      <c r="I439" s="157"/>
      <c r="J439" s="156" t="str">
        <f t="shared" si="7"/>
        <v/>
      </c>
      <c r="K439" s="157"/>
      <c r="L439" s="157"/>
      <c r="M439" s="157"/>
      <c r="N439" s="157"/>
      <c r="O439" s="156" t="s">
        <v>4940</v>
      </c>
    </row>
    <row r="440" spans="4:15" x14ac:dyDescent="0.25">
      <c r="D440" s="157" t="s">
        <v>4941</v>
      </c>
      <c r="E440" s="156" t="s">
        <v>4942</v>
      </c>
      <c r="F440" s="157"/>
      <c r="G440" s="156"/>
      <c r="H440" s="157"/>
      <c r="I440" s="157"/>
      <c r="J440" s="156" t="str">
        <f t="shared" si="7"/>
        <v/>
      </c>
      <c r="K440" s="157"/>
      <c r="L440" s="157"/>
      <c r="M440" s="157"/>
      <c r="N440" s="157"/>
      <c r="O440" s="156" t="s">
        <v>4943</v>
      </c>
    </row>
    <row r="441" spans="4:15" x14ac:dyDescent="0.25">
      <c r="D441" s="157" t="s">
        <v>4944</v>
      </c>
      <c r="E441" s="156" t="s">
        <v>4942</v>
      </c>
      <c r="F441" s="157"/>
      <c r="G441" s="156"/>
      <c r="H441" s="157"/>
      <c r="I441" s="157"/>
      <c r="J441" s="156" t="str">
        <f t="shared" si="7"/>
        <v/>
      </c>
      <c r="K441" s="157"/>
      <c r="L441" s="157"/>
      <c r="M441" s="157"/>
      <c r="N441" s="157"/>
      <c r="O441" s="156" t="s">
        <v>4945</v>
      </c>
    </row>
    <row r="442" spans="4:15" x14ac:dyDescent="0.25">
      <c r="D442" s="157" t="s">
        <v>4946</v>
      </c>
      <c r="E442" s="156" t="s">
        <v>4942</v>
      </c>
      <c r="F442" s="157"/>
      <c r="G442" s="156"/>
      <c r="H442" s="157"/>
      <c r="I442" s="157"/>
      <c r="J442" s="156" t="str">
        <f t="shared" si="7"/>
        <v/>
      </c>
      <c r="K442" s="157"/>
      <c r="L442" s="157"/>
      <c r="M442" s="157"/>
      <c r="N442" s="157"/>
      <c r="O442" s="156" t="s">
        <v>4947</v>
      </c>
    </row>
    <row r="443" spans="4:15" x14ac:dyDescent="0.25">
      <c r="D443" s="157" t="s">
        <v>4948</v>
      </c>
      <c r="E443" s="156" t="s">
        <v>4942</v>
      </c>
      <c r="F443" s="157"/>
      <c r="G443" s="156"/>
      <c r="H443" s="157"/>
      <c r="I443" s="157"/>
      <c r="J443" s="156" t="str">
        <f t="shared" si="7"/>
        <v/>
      </c>
      <c r="K443" s="157"/>
      <c r="L443" s="157"/>
      <c r="M443" s="157"/>
      <c r="N443" s="157"/>
      <c r="O443" s="156" t="s">
        <v>4949</v>
      </c>
    </row>
    <row r="444" spans="4:15" x14ac:dyDescent="0.25">
      <c r="D444" s="157" t="s">
        <v>4950</v>
      </c>
      <c r="E444" s="156" t="s">
        <v>4942</v>
      </c>
      <c r="F444" s="157"/>
      <c r="G444" s="156"/>
      <c r="H444" s="157"/>
      <c r="I444" s="157"/>
      <c r="J444" s="156" t="str">
        <f t="shared" si="7"/>
        <v/>
      </c>
      <c r="K444" s="157"/>
      <c r="L444" s="157"/>
      <c r="M444" s="157"/>
      <c r="N444" s="157"/>
      <c r="O444" s="156" t="s">
        <v>4951</v>
      </c>
    </row>
    <row r="445" spans="4:15" x14ac:dyDescent="0.25">
      <c r="D445" s="157" t="s">
        <v>4952</v>
      </c>
      <c r="E445" s="156" t="s">
        <v>4942</v>
      </c>
      <c r="F445" s="157"/>
      <c r="G445" s="156"/>
      <c r="H445" s="157"/>
      <c r="I445" s="157"/>
      <c r="J445" s="156" t="str">
        <f t="shared" si="7"/>
        <v/>
      </c>
      <c r="K445" s="157"/>
      <c r="L445" s="157"/>
      <c r="M445" s="157"/>
      <c r="N445" s="157"/>
      <c r="O445" s="156" t="s">
        <v>4953</v>
      </c>
    </row>
    <row r="446" spans="4:15" x14ac:dyDescent="0.25">
      <c r="D446" s="157" t="s">
        <v>4954</v>
      </c>
      <c r="E446" s="156" t="s">
        <v>4942</v>
      </c>
      <c r="F446" s="157"/>
      <c r="G446" s="156"/>
      <c r="H446" s="157"/>
      <c r="I446" s="157"/>
      <c r="J446" s="156" t="str">
        <f t="shared" si="7"/>
        <v/>
      </c>
      <c r="K446" s="157"/>
      <c r="L446" s="157"/>
      <c r="M446" s="157"/>
      <c r="N446" s="157"/>
      <c r="O446" s="156" t="s">
        <v>4955</v>
      </c>
    </row>
    <row r="447" spans="4:15" x14ac:dyDescent="0.25">
      <c r="D447" s="157" t="s">
        <v>4956</v>
      </c>
      <c r="E447" s="156" t="s">
        <v>4942</v>
      </c>
      <c r="F447" s="157"/>
      <c r="G447" s="156"/>
      <c r="H447" s="157"/>
      <c r="I447" s="157"/>
      <c r="J447" s="156" t="str">
        <f t="shared" si="7"/>
        <v/>
      </c>
      <c r="K447" s="157"/>
      <c r="L447" s="157"/>
      <c r="M447" s="157"/>
      <c r="N447" s="157"/>
      <c r="O447" s="156" t="s">
        <v>4957</v>
      </c>
    </row>
    <row r="448" spans="4:15" x14ac:dyDescent="0.25">
      <c r="D448" s="157" t="s">
        <v>4958</v>
      </c>
      <c r="E448" s="156" t="s">
        <v>4942</v>
      </c>
      <c r="F448" s="157"/>
      <c r="G448" s="156"/>
      <c r="H448" s="157"/>
      <c r="I448" s="157"/>
      <c r="J448" s="156" t="str">
        <f t="shared" si="7"/>
        <v/>
      </c>
      <c r="K448" s="157"/>
      <c r="L448" s="157"/>
      <c r="M448" s="157"/>
      <c r="N448" s="157"/>
      <c r="O448" s="156" t="s">
        <v>4959</v>
      </c>
    </row>
    <row r="449" spans="4:15" x14ac:dyDescent="0.25">
      <c r="D449" s="157" t="s">
        <v>4960</v>
      </c>
      <c r="E449" s="156" t="s">
        <v>4942</v>
      </c>
      <c r="F449" s="157"/>
      <c r="G449" s="156"/>
      <c r="H449" s="157"/>
      <c r="I449" s="157"/>
      <c r="J449" s="156" t="str">
        <f t="shared" si="7"/>
        <v/>
      </c>
      <c r="K449" s="157"/>
      <c r="L449" s="157"/>
      <c r="M449" s="157"/>
      <c r="N449" s="157"/>
      <c r="O449" s="156" t="s">
        <v>4961</v>
      </c>
    </row>
    <row r="450" spans="4:15" x14ac:dyDescent="0.25">
      <c r="D450" s="157" t="s">
        <v>4962</v>
      </c>
      <c r="E450" s="156" t="s">
        <v>4963</v>
      </c>
      <c r="F450" s="157"/>
      <c r="G450" s="156"/>
      <c r="H450" s="157"/>
      <c r="I450" s="157"/>
      <c r="J450" s="156" t="str">
        <f t="shared" si="7"/>
        <v/>
      </c>
      <c r="K450" s="157"/>
      <c r="L450" s="157"/>
      <c r="M450" s="157"/>
      <c r="N450" s="157"/>
      <c r="O450" s="156" t="s">
        <v>4964</v>
      </c>
    </row>
    <row r="451" spans="4:15" x14ac:dyDescent="0.25">
      <c r="D451" s="157" t="s">
        <v>4965</v>
      </c>
      <c r="E451" s="156" t="s">
        <v>4963</v>
      </c>
      <c r="F451" s="157"/>
      <c r="G451" s="156"/>
      <c r="H451" s="157"/>
      <c r="I451" s="157"/>
      <c r="J451" s="156" t="str">
        <f t="shared" si="7"/>
        <v/>
      </c>
      <c r="K451" s="157"/>
      <c r="L451" s="157"/>
      <c r="M451" s="157"/>
      <c r="N451" s="157"/>
      <c r="O451" s="156" t="s">
        <v>4966</v>
      </c>
    </row>
    <row r="452" spans="4:15" x14ac:dyDescent="0.25">
      <c r="D452" s="157" t="s">
        <v>4967</v>
      </c>
      <c r="E452" s="156" t="s">
        <v>4963</v>
      </c>
      <c r="F452" s="157"/>
      <c r="G452" s="156"/>
      <c r="H452" s="157"/>
      <c r="I452" s="157"/>
      <c r="J452" s="156" t="str">
        <f t="shared" si="7"/>
        <v/>
      </c>
      <c r="K452" s="157"/>
      <c r="L452" s="157"/>
      <c r="M452" s="157"/>
      <c r="N452" s="157"/>
      <c r="O452" s="156" t="s">
        <v>4968</v>
      </c>
    </row>
    <row r="453" spans="4:15" x14ac:dyDescent="0.25">
      <c r="D453" s="157" t="s">
        <v>4969</v>
      </c>
      <c r="E453" s="156" t="s">
        <v>4963</v>
      </c>
      <c r="F453" s="157"/>
      <c r="G453" s="156"/>
      <c r="H453" s="157"/>
      <c r="I453" s="157"/>
      <c r="J453" s="156" t="str">
        <f t="shared" si="7"/>
        <v/>
      </c>
      <c r="K453" s="157"/>
      <c r="L453" s="157"/>
      <c r="M453" s="157"/>
      <c r="N453" s="157"/>
      <c r="O453" s="156" t="s">
        <v>4970</v>
      </c>
    </row>
    <row r="454" spans="4:15" x14ac:dyDescent="0.25">
      <c r="D454" s="157" t="s">
        <v>4971</v>
      </c>
      <c r="E454" s="156" t="s">
        <v>4963</v>
      </c>
      <c r="F454" s="157"/>
      <c r="G454" s="156"/>
      <c r="H454" s="157"/>
      <c r="I454" s="157"/>
      <c r="J454" s="156" t="str">
        <f t="shared" si="7"/>
        <v/>
      </c>
      <c r="K454" s="157"/>
      <c r="L454" s="157"/>
      <c r="M454" s="157"/>
      <c r="N454" s="157"/>
      <c r="O454" s="156" t="s">
        <v>4972</v>
      </c>
    </row>
    <row r="455" spans="4:15" x14ac:dyDescent="0.25">
      <c r="D455" s="157" t="s">
        <v>4973</v>
      </c>
      <c r="E455" s="156" t="s">
        <v>4963</v>
      </c>
      <c r="F455" s="157"/>
      <c r="G455" s="156"/>
      <c r="H455" s="157"/>
      <c r="I455" s="157"/>
      <c r="J455" s="156" t="str">
        <f t="shared" si="7"/>
        <v/>
      </c>
      <c r="K455" s="157"/>
      <c r="L455" s="157"/>
      <c r="M455" s="157"/>
      <c r="N455" s="157"/>
      <c r="O455" s="156" t="s">
        <v>4974</v>
      </c>
    </row>
    <row r="456" spans="4:15" x14ac:dyDescent="0.25">
      <c r="D456" s="157" t="s">
        <v>4975</v>
      </c>
      <c r="E456" s="156" t="s">
        <v>4963</v>
      </c>
      <c r="F456" s="157"/>
      <c r="G456" s="156"/>
      <c r="H456" s="157"/>
      <c r="I456" s="157"/>
      <c r="J456" s="156" t="str">
        <f t="shared" si="7"/>
        <v/>
      </c>
      <c r="K456" s="157"/>
      <c r="L456" s="157"/>
      <c r="M456" s="157"/>
      <c r="N456" s="157"/>
      <c r="O456" s="156" t="s">
        <v>4976</v>
      </c>
    </row>
    <row r="457" spans="4:15" x14ac:dyDescent="0.25">
      <c r="D457" s="157" t="s">
        <v>4977</v>
      </c>
      <c r="E457" s="156" t="s">
        <v>4963</v>
      </c>
      <c r="F457" s="157"/>
      <c r="G457" s="156"/>
      <c r="H457" s="157"/>
      <c r="I457" s="157"/>
      <c r="J457" s="156" t="str">
        <f t="shared" si="7"/>
        <v/>
      </c>
      <c r="K457" s="157"/>
      <c r="L457" s="157"/>
      <c r="M457" s="157"/>
      <c r="N457" s="157"/>
      <c r="O457" s="156" t="s">
        <v>4978</v>
      </c>
    </row>
    <row r="458" spans="4:15" x14ac:dyDescent="0.25">
      <c r="D458" s="157" t="s">
        <v>4979</v>
      </c>
      <c r="E458" s="156" t="s">
        <v>4963</v>
      </c>
      <c r="F458" s="157"/>
      <c r="G458" s="156"/>
      <c r="H458" s="157"/>
      <c r="I458" s="157"/>
      <c r="J458" s="156" t="str">
        <f t="shared" si="7"/>
        <v/>
      </c>
      <c r="K458" s="157"/>
      <c r="L458" s="157"/>
      <c r="M458" s="157"/>
      <c r="N458" s="157"/>
      <c r="O458" s="156" t="s">
        <v>4980</v>
      </c>
    </row>
    <row r="459" spans="4:15" x14ac:dyDescent="0.25">
      <c r="D459" s="157" t="s">
        <v>4981</v>
      </c>
      <c r="E459" s="156" t="s">
        <v>4963</v>
      </c>
      <c r="F459" s="157"/>
      <c r="G459" s="156"/>
      <c r="H459" s="157"/>
      <c r="I459" s="157"/>
      <c r="J459" s="156" t="str">
        <f t="shared" si="7"/>
        <v/>
      </c>
      <c r="K459" s="157"/>
      <c r="L459" s="157"/>
      <c r="M459" s="157"/>
      <c r="N459" s="157"/>
      <c r="O459" s="156" t="s">
        <v>4982</v>
      </c>
    </row>
    <row r="460" spans="4:15" x14ac:dyDescent="0.25">
      <c r="D460" s="157" t="s">
        <v>4983</v>
      </c>
      <c r="E460" s="156" t="s">
        <v>4984</v>
      </c>
      <c r="F460" s="157" t="s">
        <v>2916</v>
      </c>
      <c r="G460" s="156"/>
      <c r="H460" s="157"/>
      <c r="I460" s="157"/>
      <c r="J460" s="156" t="str">
        <f t="shared" si="7"/>
        <v>TB O-2a Treatment success rate of all forms of TB - bacteriologically confirmed plus clinically diagnosed, new and relapse cases</v>
      </c>
      <c r="K460" s="157"/>
      <c r="L460" s="157"/>
      <c r="M460" s="157"/>
      <c r="N460" s="157"/>
      <c r="O460" s="156" t="s">
        <v>4985</v>
      </c>
    </row>
    <row r="461" spans="4:15" x14ac:dyDescent="0.25">
      <c r="D461" s="157" t="s">
        <v>4986</v>
      </c>
      <c r="E461" s="156" t="s">
        <v>4984</v>
      </c>
      <c r="F461" s="157" t="s">
        <v>2916</v>
      </c>
      <c r="G461" s="156"/>
      <c r="H461" s="157"/>
      <c r="I461" s="157"/>
      <c r="J461" s="156" t="str">
        <f t="shared" si="7"/>
        <v>TB O-2a Treatment success rate of all forms of TB - bacteriologically confirmed plus clinically diagnosed, new and relapse cases</v>
      </c>
      <c r="K461" s="157"/>
      <c r="L461" s="157"/>
      <c r="M461" s="157"/>
      <c r="N461" s="157"/>
      <c r="O461" s="156" t="s">
        <v>4987</v>
      </c>
    </row>
    <row r="462" spans="4:15" x14ac:dyDescent="0.25">
      <c r="D462" s="157" t="s">
        <v>4988</v>
      </c>
      <c r="E462" s="156" t="s">
        <v>4984</v>
      </c>
      <c r="F462" s="157" t="s">
        <v>2916</v>
      </c>
      <c r="G462" s="156"/>
      <c r="H462" s="157"/>
      <c r="I462" s="157"/>
      <c r="J462" s="156" t="str">
        <f t="shared" si="7"/>
        <v>TB O-2a Treatment success rate of all forms of TB - bacteriologically confirmed plus clinically diagnosed, new and relapse cases</v>
      </c>
      <c r="K462" s="157"/>
      <c r="L462" s="157"/>
      <c r="M462" s="157"/>
      <c r="N462" s="157"/>
      <c r="O462" s="156" t="s">
        <v>4989</v>
      </c>
    </row>
    <row r="463" spans="4:15" x14ac:dyDescent="0.25">
      <c r="D463" s="157" t="s">
        <v>4990</v>
      </c>
      <c r="E463" s="156" t="s">
        <v>4984</v>
      </c>
      <c r="F463" s="157" t="s">
        <v>2916</v>
      </c>
      <c r="G463" s="156"/>
      <c r="H463" s="157"/>
      <c r="I463" s="157"/>
      <c r="J463" s="156" t="str">
        <f t="shared" si="7"/>
        <v>TB O-2a Treatment success rate of all forms of TB - bacteriologically confirmed plus clinically diagnosed, new and relapse cases</v>
      </c>
      <c r="K463" s="157"/>
      <c r="L463" s="157"/>
      <c r="M463" s="157"/>
      <c r="N463" s="157"/>
      <c r="O463" s="156" t="s">
        <v>4991</v>
      </c>
    </row>
    <row r="464" spans="4:15" x14ac:dyDescent="0.25">
      <c r="D464" s="157" t="s">
        <v>4992</v>
      </c>
      <c r="E464" s="156" t="s">
        <v>4984</v>
      </c>
      <c r="F464" s="157" t="s">
        <v>2916</v>
      </c>
      <c r="G464" s="156"/>
      <c r="H464" s="157"/>
      <c r="I464" s="157"/>
      <c r="J464" s="156" t="str">
        <f t="shared" si="7"/>
        <v>TB O-2a Treatment success rate of all forms of TB - bacteriologically confirmed plus clinically diagnosed, new and relapse cases</v>
      </c>
      <c r="K464" s="157"/>
      <c r="L464" s="157"/>
      <c r="M464" s="157"/>
      <c r="N464" s="157"/>
      <c r="O464" s="156" t="s">
        <v>4993</v>
      </c>
    </row>
    <row r="465" spans="4:15" x14ac:dyDescent="0.25">
      <c r="D465" s="157" t="s">
        <v>4994</v>
      </c>
      <c r="E465" s="156" t="s">
        <v>4984</v>
      </c>
      <c r="F465" s="157" t="s">
        <v>2916</v>
      </c>
      <c r="G465" s="156"/>
      <c r="H465" s="157"/>
      <c r="I465" s="157"/>
      <c r="J465" s="156" t="str">
        <f t="shared" si="7"/>
        <v>TB O-2a Treatment success rate of all forms of TB - bacteriologically confirmed plus clinically diagnosed, new and relapse cases</v>
      </c>
      <c r="K465" s="157"/>
      <c r="L465" s="157"/>
      <c r="M465" s="157"/>
      <c r="N465" s="157"/>
      <c r="O465" s="156" t="s">
        <v>4995</v>
      </c>
    </row>
    <row r="466" spans="4:15" x14ac:dyDescent="0.25">
      <c r="D466" s="157" t="s">
        <v>4996</v>
      </c>
      <c r="E466" s="156" t="s">
        <v>4984</v>
      </c>
      <c r="F466" s="157" t="s">
        <v>2916</v>
      </c>
      <c r="G466" s="156"/>
      <c r="H466" s="157"/>
      <c r="I466" s="157"/>
      <c r="J466" s="156" t="str">
        <f t="shared" si="7"/>
        <v>TB O-2a Treatment success rate of all forms of TB - bacteriologically confirmed plus clinically diagnosed, new and relapse cases</v>
      </c>
      <c r="K466" s="157"/>
      <c r="L466" s="157"/>
      <c r="M466" s="157"/>
      <c r="N466" s="157"/>
      <c r="O466" s="156" t="s">
        <v>4997</v>
      </c>
    </row>
    <row r="467" spans="4:15" x14ac:dyDescent="0.25">
      <c r="D467" s="157" t="s">
        <v>4998</v>
      </c>
      <c r="E467" s="156" t="s">
        <v>4984</v>
      </c>
      <c r="F467" s="157" t="s">
        <v>2916</v>
      </c>
      <c r="G467" s="156"/>
      <c r="H467" s="157"/>
      <c r="I467" s="157"/>
      <c r="J467" s="156" t="str">
        <f t="shared" si="7"/>
        <v>TB O-2a Treatment success rate of all forms of TB - bacteriologically confirmed plus clinically diagnosed, new and relapse cases</v>
      </c>
      <c r="K467" s="157"/>
      <c r="L467" s="157"/>
      <c r="M467" s="157"/>
      <c r="N467" s="157"/>
      <c r="O467" s="156" t="s">
        <v>4999</v>
      </c>
    </row>
    <row r="468" spans="4:15" x14ac:dyDescent="0.25">
      <c r="D468" s="157" t="s">
        <v>5000</v>
      </c>
      <c r="E468" s="156" t="s">
        <v>4984</v>
      </c>
      <c r="F468" s="157" t="s">
        <v>2916</v>
      </c>
      <c r="G468" s="156"/>
      <c r="H468" s="157"/>
      <c r="I468" s="157"/>
      <c r="J468" s="156" t="str">
        <f t="shared" si="7"/>
        <v>TB O-2a Treatment success rate of all forms of TB - bacteriologically confirmed plus clinically diagnosed, new and relapse cases</v>
      </c>
      <c r="K468" s="157"/>
      <c r="L468" s="157"/>
      <c r="M468" s="157"/>
      <c r="N468" s="157"/>
      <c r="O468" s="156" t="s">
        <v>5001</v>
      </c>
    </row>
    <row r="469" spans="4:15" x14ac:dyDescent="0.25">
      <c r="D469" s="157" t="s">
        <v>5002</v>
      </c>
      <c r="E469" s="156" t="s">
        <v>4984</v>
      </c>
      <c r="F469" s="157" t="s">
        <v>2916</v>
      </c>
      <c r="G469" s="156"/>
      <c r="H469" s="157"/>
      <c r="I469" s="157"/>
      <c r="J469" s="156" t="str">
        <f t="shared" si="7"/>
        <v>TB O-2a Treatment success rate of all forms of TB - bacteriologically confirmed plus clinically diagnosed, new and relapse cases</v>
      </c>
      <c r="K469" s="157"/>
      <c r="L469" s="157"/>
      <c r="M469" s="157"/>
      <c r="N469" s="157"/>
      <c r="O469" s="156" t="s">
        <v>5003</v>
      </c>
    </row>
    <row r="470" spans="4:15" x14ac:dyDescent="0.25">
      <c r="D470" s="157" t="s">
        <v>5004</v>
      </c>
      <c r="E470" s="156" t="s">
        <v>5005</v>
      </c>
      <c r="F470" s="157" t="s">
        <v>2934</v>
      </c>
      <c r="G470" s="156"/>
      <c r="H470" s="157"/>
      <c r="I470" s="157"/>
      <c r="J470" s="156" t="str">
        <f t="shared" si="7"/>
        <v>TB O-5⁽ᴹ⁾ TB treatment coverage: Percentage of new and relapse cases that were notified and treated among the estimated number of incident TB cases in the same year (all form of TB - bacteriologically confirmed plus clinically diagnosed)</v>
      </c>
      <c r="K470" s="157"/>
      <c r="L470" s="157"/>
      <c r="M470" s="157"/>
      <c r="N470" s="157"/>
      <c r="O470" s="156" t="s">
        <v>5006</v>
      </c>
    </row>
    <row r="471" spans="4:15" x14ac:dyDescent="0.25">
      <c r="D471" s="157" t="s">
        <v>5007</v>
      </c>
      <c r="E471" s="156" t="s">
        <v>5005</v>
      </c>
      <c r="F471" s="157" t="s">
        <v>2934</v>
      </c>
      <c r="G471" s="156"/>
      <c r="H471" s="157"/>
      <c r="I471" s="157"/>
      <c r="J471" s="156" t="str">
        <f t="shared" si="7"/>
        <v>TB O-5⁽ᴹ⁾ TB treatment coverage: Percentage of new and relapse cases that were notified and treated among the estimated number of incident TB cases in the same year (all form of TB - bacteriologically confirmed plus clinically diagnosed)</v>
      </c>
      <c r="K471" s="157"/>
      <c r="L471" s="157"/>
      <c r="M471" s="157"/>
      <c r="N471" s="157"/>
      <c r="O471" s="156" t="s">
        <v>5008</v>
      </c>
    </row>
    <row r="472" spans="4:15" x14ac:dyDescent="0.25">
      <c r="D472" s="157" t="s">
        <v>5009</v>
      </c>
      <c r="E472" s="156" t="s">
        <v>5005</v>
      </c>
      <c r="F472" s="157" t="s">
        <v>2934</v>
      </c>
      <c r="G472" s="156"/>
      <c r="H472" s="157"/>
      <c r="I472" s="157"/>
      <c r="J472" s="156" t="str">
        <f t="shared" si="7"/>
        <v>TB O-5⁽ᴹ⁾ TB treatment coverage: Percentage of new and relapse cases that were notified and treated among the estimated number of incident TB cases in the same year (all form of TB - bacteriologically confirmed plus clinically diagnosed)</v>
      </c>
      <c r="K472" s="157"/>
      <c r="L472" s="157"/>
      <c r="M472" s="157"/>
      <c r="N472" s="157"/>
      <c r="O472" s="156" t="s">
        <v>5010</v>
      </c>
    </row>
    <row r="473" spans="4:15" x14ac:dyDescent="0.25">
      <c r="D473" s="157" t="s">
        <v>5011</v>
      </c>
      <c r="E473" s="156" t="s">
        <v>5005</v>
      </c>
      <c r="F473" s="157" t="s">
        <v>2934</v>
      </c>
      <c r="G473" s="156"/>
      <c r="H473" s="157"/>
      <c r="I473" s="157"/>
      <c r="J473" s="156" t="str">
        <f t="shared" si="7"/>
        <v>TB O-5⁽ᴹ⁾ TB treatment coverage: Percentage of new and relapse cases that were notified and treated among the estimated number of incident TB cases in the same year (all form of TB - bacteriologically confirmed plus clinically diagnosed)</v>
      </c>
      <c r="K473" s="157"/>
      <c r="L473" s="157"/>
      <c r="M473" s="157"/>
      <c r="N473" s="157"/>
      <c r="O473" s="156" t="s">
        <v>5012</v>
      </c>
    </row>
    <row r="474" spans="4:15" x14ac:dyDescent="0.25">
      <c r="D474" s="157" t="s">
        <v>5013</v>
      </c>
      <c r="E474" s="156" t="s">
        <v>5005</v>
      </c>
      <c r="F474" s="157" t="s">
        <v>2934</v>
      </c>
      <c r="G474" s="156"/>
      <c r="H474" s="157"/>
      <c r="I474" s="157"/>
      <c r="J474" s="156" t="str">
        <f t="shared" si="7"/>
        <v>TB O-5⁽ᴹ⁾ TB treatment coverage: Percentage of new and relapse cases that were notified and treated among the estimated number of incident TB cases in the same year (all form of TB - bacteriologically confirmed plus clinically diagnosed)</v>
      </c>
      <c r="K474" s="157"/>
      <c r="L474" s="157"/>
      <c r="M474" s="157"/>
      <c r="N474" s="157"/>
      <c r="O474" s="156" t="s">
        <v>5014</v>
      </c>
    </row>
    <row r="475" spans="4:15" x14ac:dyDescent="0.25">
      <c r="D475" s="157" t="s">
        <v>5015</v>
      </c>
      <c r="E475" s="156" t="s">
        <v>5005</v>
      </c>
      <c r="F475" s="157" t="s">
        <v>2934</v>
      </c>
      <c r="G475" s="156"/>
      <c r="H475" s="157"/>
      <c r="I475" s="157"/>
      <c r="J475" s="156" t="str">
        <f t="shared" si="7"/>
        <v>TB O-5⁽ᴹ⁾ TB treatment coverage: Percentage of new and relapse cases that were notified and treated among the estimated number of incident TB cases in the same year (all form of TB - bacteriologically confirmed plus clinically diagnosed)</v>
      </c>
      <c r="K475" s="157"/>
      <c r="L475" s="157"/>
      <c r="M475" s="157"/>
      <c r="N475" s="157"/>
      <c r="O475" s="156" t="s">
        <v>5016</v>
      </c>
    </row>
    <row r="476" spans="4:15" x14ac:dyDescent="0.25">
      <c r="D476" s="157" t="s">
        <v>5017</v>
      </c>
      <c r="E476" s="156" t="s">
        <v>5005</v>
      </c>
      <c r="F476" s="157" t="s">
        <v>2934</v>
      </c>
      <c r="G476" s="156"/>
      <c r="H476" s="157"/>
      <c r="I476" s="157"/>
      <c r="J476" s="156" t="str">
        <f t="shared" si="7"/>
        <v>TB O-5⁽ᴹ⁾ TB treatment coverage: Percentage of new and relapse cases that were notified and treated among the estimated number of incident TB cases in the same year (all form of TB - bacteriologically confirmed plus clinically diagnosed)</v>
      </c>
      <c r="K476" s="157"/>
      <c r="L476" s="157"/>
      <c r="M476" s="157"/>
      <c r="N476" s="157"/>
      <c r="O476" s="156" t="s">
        <v>5018</v>
      </c>
    </row>
    <row r="477" spans="4:15" x14ac:dyDescent="0.25">
      <c r="D477" s="157" t="s">
        <v>5019</v>
      </c>
      <c r="E477" s="156" t="s">
        <v>5005</v>
      </c>
      <c r="F477" s="157" t="s">
        <v>2934</v>
      </c>
      <c r="G477" s="156"/>
      <c r="H477" s="157"/>
      <c r="I477" s="157"/>
      <c r="J477" s="156" t="str">
        <f t="shared" si="7"/>
        <v>TB O-5⁽ᴹ⁾ TB treatment coverage: Percentage of new and relapse cases that were notified and treated among the estimated number of incident TB cases in the same year (all form of TB - bacteriologically confirmed plus clinically diagnosed)</v>
      </c>
      <c r="K477" s="157"/>
      <c r="L477" s="157"/>
      <c r="M477" s="157"/>
      <c r="N477" s="157"/>
      <c r="O477" s="156" t="s">
        <v>5020</v>
      </c>
    </row>
    <row r="478" spans="4:15" x14ac:dyDescent="0.25">
      <c r="D478" s="157" t="s">
        <v>5021</v>
      </c>
      <c r="E478" s="156" t="s">
        <v>5005</v>
      </c>
      <c r="F478" s="157" t="s">
        <v>2934</v>
      </c>
      <c r="G478" s="156"/>
      <c r="H478" s="157"/>
      <c r="I478" s="157"/>
      <c r="J478" s="156" t="str">
        <f t="shared" si="7"/>
        <v>TB O-5⁽ᴹ⁾ TB treatment coverage: Percentage of new and relapse cases that were notified and treated among the estimated number of incident TB cases in the same year (all form of TB - bacteriologically confirmed plus clinically diagnosed)</v>
      </c>
      <c r="K478" s="157"/>
      <c r="L478" s="157"/>
      <c r="M478" s="157"/>
      <c r="N478" s="157"/>
      <c r="O478" s="156" t="s">
        <v>5022</v>
      </c>
    </row>
    <row r="479" spans="4:15" x14ac:dyDescent="0.25">
      <c r="D479" s="157" t="s">
        <v>5023</v>
      </c>
      <c r="E479" s="156" t="s">
        <v>5005</v>
      </c>
      <c r="F479" s="157" t="s">
        <v>2934</v>
      </c>
      <c r="G479" s="156"/>
      <c r="H479" s="157"/>
      <c r="I479" s="157"/>
      <c r="J479" s="156" t="str">
        <f t="shared" si="7"/>
        <v>TB O-5⁽ᴹ⁾ TB treatment coverage: Percentage of new and relapse cases that were notified and treated among the estimated number of incident TB cases in the same year (all form of TB - bacteriologically confirmed plus clinically diagnosed)</v>
      </c>
      <c r="K479" s="157"/>
      <c r="L479" s="157"/>
      <c r="M479" s="157"/>
      <c r="N479" s="157"/>
      <c r="O479" s="156" t="s">
        <v>5024</v>
      </c>
    </row>
    <row r="480" spans="4:15" x14ac:dyDescent="0.25">
      <c r="D480" s="157" t="s">
        <v>5025</v>
      </c>
      <c r="E480" s="156" t="s">
        <v>5026</v>
      </c>
      <c r="F480" s="157" t="s">
        <v>2922</v>
      </c>
      <c r="G480" s="156"/>
      <c r="H480" s="157"/>
      <c r="I480" s="157"/>
      <c r="J480" s="156" t="str">
        <f t="shared" si="7"/>
        <v>TB O-6 Notification of RR-TB and/or MDR-TB cases – Percentage of notified cases of bacteriologically confirmed, drug resistant RR-TB and/or MDR-TB as a proportion of all estimated RR-TB and/or MDR-TB cases</v>
      </c>
      <c r="K480" s="157"/>
      <c r="L480" s="157"/>
      <c r="M480" s="157"/>
      <c r="N480" s="157"/>
      <c r="O480" s="156" t="s">
        <v>5027</v>
      </c>
    </row>
    <row r="481" spans="4:15" x14ac:dyDescent="0.25">
      <c r="D481" s="157" t="s">
        <v>5028</v>
      </c>
      <c r="E481" s="156" t="s">
        <v>5026</v>
      </c>
      <c r="F481" s="157" t="s">
        <v>2922</v>
      </c>
      <c r="G481" s="156"/>
      <c r="H481" s="157"/>
      <c r="I481" s="157"/>
      <c r="J481" s="156" t="str">
        <f t="shared" si="7"/>
        <v>TB O-6 Notification of RR-TB and/or MDR-TB cases – Percentage of notified cases of bacteriologically confirmed, drug resistant RR-TB and/or MDR-TB as a proportion of all estimated RR-TB and/or MDR-TB cases</v>
      </c>
      <c r="K481" s="157"/>
      <c r="L481" s="157"/>
      <c r="M481" s="157"/>
      <c r="N481" s="157"/>
      <c r="O481" s="156" t="s">
        <v>5029</v>
      </c>
    </row>
    <row r="482" spans="4:15" x14ac:dyDescent="0.25">
      <c r="D482" s="157" t="s">
        <v>5030</v>
      </c>
      <c r="E482" s="156" t="s">
        <v>5026</v>
      </c>
      <c r="F482" s="157" t="s">
        <v>2922</v>
      </c>
      <c r="G482" s="156"/>
      <c r="H482" s="157"/>
      <c r="I482" s="157"/>
      <c r="J482" s="156" t="str">
        <f t="shared" si="7"/>
        <v>TB O-6 Notification of RR-TB and/or MDR-TB cases – Percentage of notified cases of bacteriologically confirmed, drug resistant RR-TB and/or MDR-TB as a proportion of all estimated RR-TB and/or MDR-TB cases</v>
      </c>
      <c r="K482" s="157"/>
      <c r="L482" s="157"/>
      <c r="M482" s="157"/>
      <c r="N482" s="157"/>
      <c r="O482" s="156" t="s">
        <v>5031</v>
      </c>
    </row>
    <row r="483" spans="4:15" x14ac:dyDescent="0.25">
      <c r="D483" s="157" t="s">
        <v>5032</v>
      </c>
      <c r="E483" s="156" t="s">
        <v>5026</v>
      </c>
      <c r="F483" s="157" t="s">
        <v>2922</v>
      </c>
      <c r="G483" s="156"/>
      <c r="H483" s="157"/>
      <c r="I483" s="157"/>
      <c r="J483" s="156" t="str">
        <f t="shared" si="7"/>
        <v>TB O-6 Notification of RR-TB and/or MDR-TB cases – Percentage of notified cases of bacteriologically confirmed, drug resistant RR-TB and/or MDR-TB as a proportion of all estimated RR-TB and/or MDR-TB cases</v>
      </c>
      <c r="K483" s="157"/>
      <c r="L483" s="157"/>
      <c r="M483" s="157"/>
      <c r="N483" s="157"/>
      <c r="O483" s="156" t="s">
        <v>5033</v>
      </c>
    </row>
    <row r="484" spans="4:15" x14ac:dyDescent="0.25">
      <c r="D484" s="157" t="s">
        <v>5034</v>
      </c>
      <c r="E484" s="156" t="s">
        <v>5026</v>
      </c>
      <c r="F484" s="157" t="s">
        <v>2922</v>
      </c>
      <c r="G484" s="156"/>
      <c r="H484" s="157"/>
      <c r="I484" s="157"/>
      <c r="J484" s="156" t="str">
        <f t="shared" si="7"/>
        <v>TB O-6 Notification of RR-TB and/or MDR-TB cases – Percentage of notified cases of bacteriologically confirmed, drug resistant RR-TB and/or MDR-TB as a proportion of all estimated RR-TB and/or MDR-TB cases</v>
      </c>
      <c r="K484" s="157"/>
      <c r="L484" s="157"/>
      <c r="M484" s="157"/>
      <c r="N484" s="157"/>
      <c r="O484" s="156" t="s">
        <v>5035</v>
      </c>
    </row>
    <row r="485" spans="4:15" x14ac:dyDescent="0.25">
      <c r="D485" s="157" t="s">
        <v>5036</v>
      </c>
      <c r="E485" s="156" t="s">
        <v>5026</v>
      </c>
      <c r="F485" s="157" t="s">
        <v>2922</v>
      </c>
      <c r="G485" s="156"/>
      <c r="H485" s="157"/>
      <c r="I485" s="157"/>
      <c r="J485" s="156" t="str">
        <f t="shared" si="7"/>
        <v>TB O-6 Notification of RR-TB and/or MDR-TB cases – Percentage of notified cases of bacteriologically confirmed, drug resistant RR-TB and/or MDR-TB as a proportion of all estimated RR-TB and/or MDR-TB cases</v>
      </c>
      <c r="K485" s="157"/>
      <c r="L485" s="157"/>
      <c r="M485" s="157"/>
      <c r="N485" s="157"/>
      <c r="O485" s="156" t="s">
        <v>5037</v>
      </c>
    </row>
    <row r="486" spans="4:15" x14ac:dyDescent="0.25">
      <c r="D486" s="157" t="s">
        <v>5038</v>
      </c>
      <c r="E486" s="156" t="s">
        <v>5026</v>
      </c>
      <c r="F486" s="157" t="s">
        <v>2922</v>
      </c>
      <c r="G486" s="156"/>
      <c r="H486" s="157"/>
      <c r="I486" s="157"/>
      <c r="J486" s="156" t="str">
        <f t="shared" si="7"/>
        <v>TB O-6 Notification of RR-TB and/or MDR-TB cases – Percentage of notified cases of bacteriologically confirmed, drug resistant RR-TB and/or MDR-TB as a proportion of all estimated RR-TB and/or MDR-TB cases</v>
      </c>
      <c r="K486" s="157"/>
      <c r="L486" s="157"/>
      <c r="M486" s="157"/>
      <c r="N486" s="157"/>
      <c r="O486" s="156" t="s">
        <v>5039</v>
      </c>
    </row>
    <row r="487" spans="4:15" x14ac:dyDescent="0.25">
      <c r="D487" s="157" t="s">
        <v>5040</v>
      </c>
      <c r="E487" s="156" t="s">
        <v>5026</v>
      </c>
      <c r="F487" s="157" t="s">
        <v>2922</v>
      </c>
      <c r="G487" s="156"/>
      <c r="H487" s="157"/>
      <c r="I487" s="157"/>
      <c r="J487" s="156" t="str">
        <f t="shared" si="7"/>
        <v>TB O-6 Notification of RR-TB and/or MDR-TB cases – Percentage of notified cases of bacteriologically confirmed, drug resistant RR-TB and/or MDR-TB as a proportion of all estimated RR-TB and/or MDR-TB cases</v>
      </c>
      <c r="K487" s="157"/>
      <c r="L487" s="157"/>
      <c r="M487" s="157"/>
      <c r="N487" s="157"/>
      <c r="O487" s="156" t="s">
        <v>5041</v>
      </c>
    </row>
    <row r="488" spans="4:15" x14ac:dyDescent="0.25">
      <c r="D488" s="157" t="s">
        <v>5042</v>
      </c>
      <c r="E488" s="156" t="s">
        <v>5026</v>
      </c>
      <c r="F488" s="157" t="s">
        <v>2922</v>
      </c>
      <c r="G488" s="156"/>
      <c r="H488" s="157"/>
      <c r="I488" s="157"/>
      <c r="J488" s="156" t="str">
        <f t="shared" si="7"/>
        <v>TB O-6 Notification of RR-TB and/or MDR-TB cases – Percentage of notified cases of bacteriologically confirmed, drug resistant RR-TB and/or MDR-TB as a proportion of all estimated RR-TB and/or MDR-TB cases</v>
      </c>
      <c r="K488" s="157"/>
      <c r="L488" s="157"/>
      <c r="M488" s="157"/>
      <c r="N488" s="157"/>
      <c r="O488" s="156" t="s">
        <v>5043</v>
      </c>
    </row>
    <row r="489" spans="4:15" x14ac:dyDescent="0.25">
      <c r="D489" s="157" t="s">
        <v>5044</v>
      </c>
      <c r="E489" s="156" t="s">
        <v>5026</v>
      </c>
      <c r="F489" s="157" t="s">
        <v>2922</v>
      </c>
      <c r="G489" s="156"/>
      <c r="H489" s="157"/>
      <c r="I489" s="157"/>
      <c r="J489" s="156" t="str">
        <f t="shared" si="7"/>
        <v>TB O-6 Notification of RR-TB and/or MDR-TB cases – Percentage of notified cases of bacteriologically confirmed, drug resistant RR-TB and/or MDR-TB as a proportion of all estimated RR-TB and/or MDR-TB cases</v>
      </c>
      <c r="K489" s="157"/>
      <c r="L489" s="157"/>
      <c r="M489" s="157"/>
      <c r="N489" s="157"/>
      <c r="O489" s="156" t="s">
        <v>5045</v>
      </c>
    </row>
    <row r="490" spans="4:15" x14ac:dyDescent="0.25">
      <c r="D490" s="157" t="s">
        <v>5046</v>
      </c>
      <c r="E490" s="156" t="s">
        <v>5047</v>
      </c>
      <c r="F490" s="157" t="s">
        <v>2928</v>
      </c>
      <c r="G490" s="156"/>
      <c r="H490" s="157"/>
      <c r="I490" s="157"/>
      <c r="J490" s="156" t="str">
        <f t="shared" si="7"/>
        <v>TB O-4⁽ᴹ⁾ Treatment success rate of RR TB and/or MDR-TB: Percentage of cases with RR and/or MDR-TB successfully treated</v>
      </c>
      <c r="K490" s="157"/>
      <c r="L490" s="157"/>
      <c r="M490" s="157"/>
      <c r="N490" s="157"/>
      <c r="O490" s="156" t="s">
        <v>5048</v>
      </c>
    </row>
    <row r="491" spans="4:15" x14ac:dyDescent="0.25">
      <c r="D491" s="157" t="s">
        <v>5049</v>
      </c>
      <c r="E491" s="156" t="s">
        <v>5047</v>
      </c>
      <c r="F491" s="157" t="s">
        <v>2928</v>
      </c>
      <c r="G491" s="156"/>
      <c r="H491" s="157"/>
      <c r="I491" s="157"/>
      <c r="J491" s="156" t="str">
        <f t="shared" si="7"/>
        <v>TB O-4⁽ᴹ⁾ Treatment success rate of RR TB and/or MDR-TB: Percentage of cases with RR and/or MDR-TB successfully treated</v>
      </c>
      <c r="K491" s="157"/>
      <c r="L491" s="157"/>
      <c r="M491" s="157"/>
      <c r="N491" s="157"/>
      <c r="O491" s="156" t="s">
        <v>5050</v>
      </c>
    </row>
    <row r="492" spans="4:15" x14ac:dyDescent="0.25">
      <c r="D492" s="157" t="s">
        <v>5051</v>
      </c>
      <c r="E492" s="156" t="s">
        <v>5047</v>
      </c>
      <c r="F492" s="157" t="s">
        <v>2928</v>
      </c>
      <c r="G492" s="156"/>
      <c r="H492" s="157"/>
      <c r="I492" s="157"/>
      <c r="J492" s="156" t="str">
        <f t="shared" si="7"/>
        <v>TB O-4⁽ᴹ⁾ Treatment success rate of RR TB and/or MDR-TB: Percentage of cases with RR and/or MDR-TB successfully treated</v>
      </c>
      <c r="K492" s="157"/>
      <c r="L492" s="157"/>
      <c r="M492" s="157"/>
      <c r="N492" s="157"/>
      <c r="O492" s="156" t="s">
        <v>5052</v>
      </c>
    </row>
    <row r="493" spans="4:15" x14ac:dyDescent="0.25">
      <c r="D493" s="157" t="s">
        <v>5053</v>
      </c>
      <c r="E493" s="156" t="s">
        <v>5047</v>
      </c>
      <c r="F493" s="157" t="s">
        <v>2928</v>
      </c>
      <c r="G493" s="156"/>
      <c r="H493" s="157"/>
      <c r="I493" s="157"/>
      <c r="J493" s="156" t="str">
        <f t="shared" si="7"/>
        <v>TB O-4⁽ᴹ⁾ Treatment success rate of RR TB and/or MDR-TB: Percentage of cases with RR and/or MDR-TB successfully treated</v>
      </c>
      <c r="K493" s="157"/>
      <c r="L493" s="157"/>
      <c r="M493" s="157"/>
      <c r="N493" s="157"/>
      <c r="O493" s="156" t="s">
        <v>5054</v>
      </c>
    </row>
    <row r="494" spans="4:15" x14ac:dyDescent="0.25">
      <c r="D494" s="157" t="s">
        <v>5055</v>
      </c>
      <c r="E494" s="156" t="s">
        <v>5047</v>
      </c>
      <c r="F494" s="157" t="s">
        <v>2928</v>
      </c>
      <c r="G494" s="156"/>
      <c r="H494" s="157"/>
      <c r="I494" s="157"/>
      <c r="J494" s="156" t="str">
        <f t="shared" si="7"/>
        <v>TB O-4⁽ᴹ⁾ Treatment success rate of RR TB and/or MDR-TB: Percentage of cases with RR and/or MDR-TB successfully treated</v>
      </c>
      <c r="K494" s="157"/>
      <c r="L494" s="157"/>
      <c r="M494" s="157"/>
      <c r="N494" s="157"/>
      <c r="O494" s="156" t="s">
        <v>5056</v>
      </c>
    </row>
    <row r="495" spans="4:15" x14ac:dyDescent="0.25">
      <c r="D495" s="157" t="s">
        <v>5057</v>
      </c>
      <c r="E495" s="156" t="s">
        <v>5047</v>
      </c>
      <c r="F495" s="157" t="s">
        <v>2928</v>
      </c>
      <c r="G495" s="156"/>
      <c r="H495" s="157"/>
      <c r="I495" s="157"/>
      <c r="J495" s="156" t="str">
        <f t="shared" si="7"/>
        <v>TB O-4⁽ᴹ⁾ Treatment success rate of RR TB and/or MDR-TB: Percentage of cases with RR and/or MDR-TB successfully treated</v>
      </c>
      <c r="K495" s="157"/>
      <c r="L495" s="157"/>
      <c r="M495" s="157"/>
      <c r="N495" s="157"/>
      <c r="O495" s="156" t="s">
        <v>5058</v>
      </c>
    </row>
    <row r="496" spans="4:15" x14ac:dyDescent="0.25">
      <c r="D496" s="157" t="s">
        <v>5059</v>
      </c>
      <c r="E496" s="156" t="s">
        <v>5047</v>
      </c>
      <c r="F496" s="157" t="s">
        <v>2928</v>
      </c>
      <c r="G496" s="156"/>
      <c r="H496" s="157"/>
      <c r="I496" s="157"/>
      <c r="J496" s="156" t="str">
        <f t="shared" si="7"/>
        <v>TB O-4⁽ᴹ⁾ Treatment success rate of RR TB and/or MDR-TB: Percentage of cases with RR and/or MDR-TB successfully treated</v>
      </c>
      <c r="K496" s="157"/>
      <c r="L496" s="157"/>
      <c r="M496" s="157"/>
      <c r="N496" s="157"/>
      <c r="O496" s="156" t="s">
        <v>5060</v>
      </c>
    </row>
    <row r="497" spans="4:15" x14ac:dyDescent="0.25">
      <c r="D497" s="157" t="s">
        <v>5061</v>
      </c>
      <c r="E497" s="156" t="s">
        <v>5047</v>
      </c>
      <c r="F497" s="157" t="s">
        <v>2928</v>
      </c>
      <c r="G497" s="156"/>
      <c r="H497" s="157"/>
      <c r="I497" s="157"/>
      <c r="J497" s="156" t="str">
        <f t="shared" si="7"/>
        <v>TB O-4⁽ᴹ⁾ Treatment success rate of RR TB and/or MDR-TB: Percentage of cases with RR and/or MDR-TB successfully treated</v>
      </c>
      <c r="K497" s="157"/>
      <c r="L497" s="157"/>
      <c r="M497" s="157"/>
      <c r="N497" s="157"/>
      <c r="O497" s="156" t="s">
        <v>5062</v>
      </c>
    </row>
    <row r="498" spans="4:15" x14ac:dyDescent="0.25">
      <c r="D498" s="157" t="s">
        <v>5063</v>
      </c>
      <c r="E498" s="156" t="s">
        <v>5047</v>
      </c>
      <c r="F498" s="157" t="s">
        <v>2928</v>
      </c>
      <c r="G498" s="156"/>
      <c r="H498" s="157"/>
      <c r="I498" s="157"/>
      <c r="J498" s="156" t="str">
        <f t="shared" si="7"/>
        <v>TB O-4⁽ᴹ⁾ Treatment success rate of RR TB and/or MDR-TB: Percentage of cases with RR and/or MDR-TB successfully treated</v>
      </c>
      <c r="K498" s="157"/>
      <c r="L498" s="157"/>
      <c r="M498" s="157"/>
      <c r="N498" s="157"/>
      <c r="O498" s="156" t="s">
        <v>5064</v>
      </c>
    </row>
    <row r="499" spans="4:15" x14ac:dyDescent="0.25">
      <c r="D499" s="157" t="s">
        <v>5065</v>
      </c>
      <c r="E499" s="156" t="s">
        <v>5047</v>
      </c>
      <c r="F499" s="157" t="s">
        <v>2928</v>
      </c>
      <c r="G499" s="156"/>
      <c r="H499" s="157"/>
      <c r="I499" s="157"/>
      <c r="J499" s="156" t="str">
        <f t="shared" si="7"/>
        <v>TB O-4⁽ᴹ⁾ Treatment success rate of RR TB and/or MDR-TB: Percentage of cases with RR and/or MDR-TB successfully treated</v>
      </c>
      <c r="K499" s="157"/>
      <c r="L499" s="157"/>
      <c r="M499" s="157"/>
      <c r="N499" s="157"/>
      <c r="O499" s="156" t="s">
        <v>5066</v>
      </c>
    </row>
    <row r="500" spans="4:15" x14ac:dyDescent="0.25">
      <c r="D500" s="157" t="s">
        <v>5067</v>
      </c>
      <c r="E500" s="156" t="s">
        <v>5068</v>
      </c>
      <c r="F500" s="157"/>
      <c r="G500" s="156"/>
      <c r="H500" s="157"/>
      <c r="I500" s="157"/>
      <c r="J500" s="156" t="str">
        <f t="shared" si="7"/>
        <v/>
      </c>
      <c r="K500" s="157"/>
      <c r="L500" s="157"/>
      <c r="M500" s="157"/>
      <c r="N500" s="157"/>
      <c r="O500" s="156" t="s">
        <v>5069</v>
      </c>
    </row>
    <row r="501" spans="4:15" x14ac:dyDescent="0.25">
      <c r="D501" s="157" t="s">
        <v>5070</v>
      </c>
      <c r="E501" s="156" t="s">
        <v>5068</v>
      </c>
      <c r="F501" s="157"/>
      <c r="G501" s="156"/>
      <c r="H501" s="157"/>
      <c r="I501" s="157"/>
      <c r="J501" s="156" t="str">
        <f t="shared" si="7"/>
        <v/>
      </c>
      <c r="K501" s="157"/>
      <c r="L501" s="157"/>
      <c r="M501" s="157"/>
      <c r="N501" s="157"/>
      <c r="O501" s="156" t="s">
        <v>5071</v>
      </c>
    </row>
    <row r="502" spans="4:15" x14ac:dyDescent="0.25">
      <c r="D502" s="157" t="s">
        <v>5072</v>
      </c>
      <c r="E502" s="156" t="s">
        <v>5068</v>
      </c>
      <c r="F502" s="157"/>
      <c r="G502" s="156"/>
      <c r="H502" s="157"/>
      <c r="I502" s="157"/>
      <c r="J502" s="156" t="str">
        <f t="shared" ref="J502:J565" si="8">F502&amp;H502&amp;I502</f>
        <v/>
      </c>
      <c r="K502" s="157"/>
      <c r="L502" s="157"/>
      <c r="M502" s="157"/>
      <c r="N502" s="157"/>
      <c r="O502" s="156" t="s">
        <v>5073</v>
      </c>
    </row>
    <row r="503" spans="4:15" x14ac:dyDescent="0.25">
      <c r="D503" s="157" t="s">
        <v>5074</v>
      </c>
      <c r="E503" s="156" t="s">
        <v>5068</v>
      </c>
      <c r="F503" s="157"/>
      <c r="G503" s="156"/>
      <c r="H503" s="157"/>
      <c r="I503" s="157"/>
      <c r="J503" s="156" t="str">
        <f t="shared" si="8"/>
        <v/>
      </c>
      <c r="K503" s="157"/>
      <c r="L503" s="157"/>
      <c r="M503" s="157"/>
      <c r="N503" s="157"/>
      <c r="O503" s="156" t="s">
        <v>5075</v>
      </c>
    </row>
    <row r="504" spans="4:15" x14ac:dyDescent="0.25">
      <c r="D504" s="157" t="s">
        <v>5076</v>
      </c>
      <c r="E504" s="156" t="s">
        <v>5068</v>
      </c>
      <c r="F504" s="157"/>
      <c r="G504" s="156"/>
      <c r="H504" s="157"/>
      <c r="I504" s="157"/>
      <c r="J504" s="156" t="str">
        <f t="shared" si="8"/>
        <v/>
      </c>
      <c r="K504" s="157"/>
      <c r="L504" s="157"/>
      <c r="M504" s="157"/>
      <c r="N504" s="157"/>
      <c r="O504" s="156" t="s">
        <v>5077</v>
      </c>
    </row>
    <row r="505" spans="4:15" x14ac:dyDescent="0.25">
      <c r="D505" s="157" t="s">
        <v>5078</v>
      </c>
      <c r="E505" s="156" t="s">
        <v>5068</v>
      </c>
      <c r="F505" s="157"/>
      <c r="G505" s="156"/>
      <c r="H505" s="157"/>
      <c r="I505" s="157"/>
      <c r="J505" s="156" t="str">
        <f t="shared" si="8"/>
        <v/>
      </c>
      <c r="K505" s="157"/>
      <c r="L505" s="157"/>
      <c r="M505" s="157"/>
      <c r="N505" s="157"/>
      <c r="O505" s="156" t="s">
        <v>5079</v>
      </c>
    </row>
    <row r="506" spans="4:15" x14ac:dyDescent="0.25">
      <c r="D506" s="157" t="s">
        <v>5080</v>
      </c>
      <c r="E506" s="156" t="s">
        <v>5068</v>
      </c>
      <c r="F506" s="157"/>
      <c r="G506" s="156"/>
      <c r="H506" s="157"/>
      <c r="I506" s="157"/>
      <c r="J506" s="156" t="str">
        <f t="shared" si="8"/>
        <v/>
      </c>
      <c r="K506" s="157"/>
      <c r="L506" s="157"/>
      <c r="M506" s="157"/>
      <c r="N506" s="157"/>
      <c r="O506" s="156" t="s">
        <v>5081</v>
      </c>
    </row>
    <row r="507" spans="4:15" x14ac:dyDescent="0.25">
      <c r="D507" s="157" t="s">
        <v>5082</v>
      </c>
      <c r="E507" s="156" t="s">
        <v>5068</v>
      </c>
      <c r="F507" s="157"/>
      <c r="G507" s="156"/>
      <c r="H507" s="157"/>
      <c r="I507" s="157"/>
      <c r="J507" s="156" t="str">
        <f t="shared" si="8"/>
        <v/>
      </c>
      <c r="K507" s="157"/>
      <c r="L507" s="157"/>
      <c r="M507" s="157"/>
      <c r="N507" s="157"/>
      <c r="O507" s="156" t="s">
        <v>5083</v>
      </c>
    </row>
    <row r="508" spans="4:15" x14ac:dyDescent="0.25">
      <c r="D508" s="157" t="s">
        <v>5084</v>
      </c>
      <c r="E508" s="156" t="s">
        <v>5068</v>
      </c>
      <c r="F508" s="157"/>
      <c r="G508" s="156"/>
      <c r="H508" s="157"/>
      <c r="I508" s="157"/>
      <c r="J508" s="156" t="str">
        <f t="shared" si="8"/>
        <v/>
      </c>
      <c r="K508" s="157"/>
      <c r="L508" s="157"/>
      <c r="M508" s="157"/>
      <c r="N508" s="157"/>
      <c r="O508" s="156" t="s">
        <v>5085</v>
      </c>
    </row>
    <row r="509" spans="4:15" x14ac:dyDescent="0.25">
      <c r="D509" s="157" t="s">
        <v>5086</v>
      </c>
      <c r="E509" s="156" t="s">
        <v>5068</v>
      </c>
      <c r="F509" s="157"/>
      <c r="G509" s="156"/>
      <c r="H509" s="157"/>
      <c r="I509" s="157"/>
      <c r="J509" s="156" t="str">
        <f t="shared" si="8"/>
        <v/>
      </c>
      <c r="K509" s="157"/>
      <c r="L509" s="157"/>
      <c r="M509" s="157"/>
      <c r="N509" s="157"/>
      <c r="O509" s="156" t="s">
        <v>5087</v>
      </c>
    </row>
    <row r="510" spans="4:15" x14ac:dyDescent="0.25">
      <c r="D510" s="157" t="s">
        <v>5088</v>
      </c>
      <c r="E510" s="156" t="s">
        <v>5089</v>
      </c>
      <c r="F510" s="157"/>
      <c r="G510" s="156"/>
      <c r="H510" s="157"/>
      <c r="I510" s="157"/>
      <c r="J510" s="156" t="str">
        <f t="shared" si="8"/>
        <v/>
      </c>
      <c r="K510" s="157"/>
      <c r="L510" s="157"/>
      <c r="M510" s="157"/>
      <c r="N510" s="157"/>
      <c r="O510" s="156" t="s">
        <v>5090</v>
      </c>
    </row>
    <row r="511" spans="4:15" x14ac:dyDescent="0.25">
      <c r="D511" s="157" t="s">
        <v>5091</v>
      </c>
      <c r="E511" s="156" t="s">
        <v>5089</v>
      </c>
      <c r="F511" s="157"/>
      <c r="G511" s="156"/>
      <c r="H511" s="157"/>
      <c r="I511" s="157"/>
      <c r="J511" s="156" t="str">
        <f t="shared" si="8"/>
        <v/>
      </c>
      <c r="K511" s="157"/>
      <c r="L511" s="157"/>
      <c r="M511" s="157"/>
      <c r="N511" s="157"/>
      <c r="O511" s="156" t="s">
        <v>5092</v>
      </c>
    </row>
    <row r="512" spans="4:15" x14ac:dyDescent="0.25">
      <c r="D512" s="157" t="s">
        <v>5093</v>
      </c>
      <c r="E512" s="156" t="s">
        <v>5089</v>
      </c>
      <c r="F512" s="157"/>
      <c r="G512" s="156"/>
      <c r="H512" s="157"/>
      <c r="I512" s="157"/>
      <c r="J512" s="156" t="str">
        <f t="shared" si="8"/>
        <v/>
      </c>
      <c r="K512" s="157"/>
      <c r="L512" s="157"/>
      <c r="M512" s="157"/>
      <c r="N512" s="157"/>
      <c r="O512" s="156" t="s">
        <v>5094</v>
      </c>
    </row>
    <row r="513" spans="4:15" x14ac:dyDescent="0.25">
      <c r="D513" s="157" t="s">
        <v>5095</v>
      </c>
      <c r="E513" s="156" t="s">
        <v>5089</v>
      </c>
      <c r="F513" s="157"/>
      <c r="G513" s="156"/>
      <c r="H513" s="157"/>
      <c r="I513" s="157"/>
      <c r="J513" s="156" t="str">
        <f t="shared" si="8"/>
        <v/>
      </c>
      <c r="K513" s="157"/>
      <c r="L513" s="157"/>
      <c r="M513" s="157"/>
      <c r="N513" s="157"/>
      <c r="O513" s="156" t="s">
        <v>5096</v>
      </c>
    </row>
    <row r="514" spans="4:15" x14ac:dyDescent="0.25">
      <c r="D514" s="157" t="s">
        <v>5097</v>
      </c>
      <c r="E514" s="156" t="s">
        <v>5089</v>
      </c>
      <c r="F514" s="157"/>
      <c r="G514" s="156"/>
      <c r="H514" s="157"/>
      <c r="I514" s="157"/>
      <c r="J514" s="156" t="str">
        <f t="shared" si="8"/>
        <v/>
      </c>
      <c r="K514" s="157"/>
      <c r="L514" s="157"/>
      <c r="M514" s="157"/>
      <c r="N514" s="157"/>
      <c r="O514" s="156" t="s">
        <v>5098</v>
      </c>
    </row>
    <row r="515" spans="4:15" x14ac:dyDescent="0.25">
      <c r="D515" s="157" t="s">
        <v>5099</v>
      </c>
      <c r="E515" s="156" t="s">
        <v>5089</v>
      </c>
      <c r="F515" s="157"/>
      <c r="G515" s="156"/>
      <c r="H515" s="157"/>
      <c r="I515" s="157"/>
      <c r="J515" s="156" t="str">
        <f t="shared" si="8"/>
        <v/>
      </c>
      <c r="K515" s="157"/>
      <c r="L515" s="157"/>
      <c r="M515" s="157"/>
      <c r="N515" s="157"/>
      <c r="O515" s="156" t="s">
        <v>5100</v>
      </c>
    </row>
    <row r="516" spans="4:15" x14ac:dyDescent="0.25">
      <c r="D516" s="157" t="s">
        <v>5101</v>
      </c>
      <c r="E516" s="156" t="s">
        <v>5089</v>
      </c>
      <c r="F516" s="157"/>
      <c r="G516" s="156"/>
      <c r="H516" s="157"/>
      <c r="I516" s="157"/>
      <c r="J516" s="156" t="str">
        <f t="shared" si="8"/>
        <v/>
      </c>
      <c r="K516" s="157"/>
      <c r="L516" s="157"/>
      <c r="M516" s="157"/>
      <c r="N516" s="157"/>
      <c r="O516" s="156" t="s">
        <v>5102</v>
      </c>
    </row>
    <row r="517" spans="4:15" x14ac:dyDescent="0.25">
      <c r="D517" s="157" t="s">
        <v>5103</v>
      </c>
      <c r="E517" s="156" t="s">
        <v>5089</v>
      </c>
      <c r="F517" s="157"/>
      <c r="G517" s="156"/>
      <c r="H517" s="157"/>
      <c r="I517" s="157"/>
      <c r="J517" s="156" t="str">
        <f t="shared" si="8"/>
        <v/>
      </c>
      <c r="K517" s="157"/>
      <c r="L517" s="157"/>
      <c r="M517" s="157"/>
      <c r="N517" s="157"/>
      <c r="O517" s="156" t="s">
        <v>5104</v>
      </c>
    </row>
    <row r="518" spans="4:15" x14ac:dyDescent="0.25">
      <c r="D518" s="157" t="s">
        <v>5105</v>
      </c>
      <c r="E518" s="156" t="s">
        <v>5089</v>
      </c>
      <c r="F518" s="157"/>
      <c r="G518" s="156"/>
      <c r="H518" s="157"/>
      <c r="I518" s="157"/>
      <c r="J518" s="156" t="str">
        <f t="shared" si="8"/>
        <v/>
      </c>
      <c r="K518" s="157"/>
      <c r="L518" s="157"/>
      <c r="M518" s="157"/>
      <c r="N518" s="157"/>
      <c r="O518" s="156" t="s">
        <v>5106</v>
      </c>
    </row>
    <row r="519" spans="4:15" x14ac:dyDescent="0.25">
      <c r="D519" s="157" t="s">
        <v>5107</v>
      </c>
      <c r="E519" s="156" t="s">
        <v>5089</v>
      </c>
      <c r="F519" s="157"/>
      <c r="G519" s="156"/>
      <c r="H519" s="157"/>
      <c r="I519" s="157"/>
      <c r="J519" s="156" t="str">
        <f t="shared" si="8"/>
        <v/>
      </c>
      <c r="K519" s="157"/>
      <c r="L519" s="157"/>
      <c r="M519" s="157"/>
      <c r="N519" s="157"/>
      <c r="O519" s="156" t="s">
        <v>5108</v>
      </c>
    </row>
    <row r="520" spans="4:15" x14ac:dyDescent="0.25">
      <c r="D520" s="157" t="s">
        <v>5109</v>
      </c>
      <c r="E520" s="156" t="s">
        <v>5110</v>
      </c>
      <c r="F520" s="157"/>
      <c r="G520" s="156"/>
      <c r="H520" s="157"/>
      <c r="I520" s="157"/>
      <c r="J520" s="156" t="str">
        <f t="shared" si="8"/>
        <v/>
      </c>
      <c r="K520" s="157"/>
      <c r="L520" s="157"/>
      <c r="M520" s="157"/>
      <c r="N520" s="157"/>
      <c r="O520" s="156" t="s">
        <v>5111</v>
      </c>
    </row>
    <row r="521" spans="4:15" x14ac:dyDescent="0.25">
      <c r="D521" s="157" t="s">
        <v>5112</v>
      </c>
      <c r="E521" s="156" t="s">
        <v>5110</v>
      </c>
      <c r="F521" s="157"/>
      <c r="G521" s="156"/>
      <c r="H521" s="157"/>
      <c r="I521" s="157"/>
      <c r="J521" s="156" t="str">
        <f t="shared" si="8"/>
        <v/>
      </c>
      <c r="K521" s="157"/>
      <c r="L521" s="157"/>
      <c r="M521" s="157"/>
      <c r="N521" s="157"/>
      <c r="O521" s="156" t="s">
        <v>5113</v>
      </c>
    </row>
    <row r="522" spans="4:15" x14ac:dyDescent="0.25">
      <c r="D522" s="157" t="s">
        <v>5114</v>
      </c>
      <c r="E522" s="156" t="s">
        <v>5110</v>
      </c>
      <c r="F522" s="157"/>
      <c r="G522" s="156"/>
      <c r="H522" s="157"/>
      <c r="I522" s="157"/>
      <c r="J522" s="156" t="str">
        <f t="shared" si="8"/>
        <v/>
      </c>
      <c r="K522" s="157"/>
      <c r="L522" s="157"/>
      <c r="M522" s="157"/>
      <c r="N522" s="157"/>
      <c r="O522" s="156" t="s">
        <v>5115</v>
      </c>
    </row>
    <row r="523" spans="4:15" x14ac:dyDescent="0.25">
      <c r="D523" s="157" t="s">
        <v>5116</v>
      </c>
      <c r="E523" s="156" t="s">
        <v>5110</v>
      </c>
      <c r="F523" s="157"/>
      <c r="G523" s="156"/>
      <c r="H523" s="157"/>
      <c r="I523" s="157"/>
      <c r="J523" s="156" t="str">
        <f t="shared" si="8"/>
        <v/>
      </c>
      <c r="K523" s="157"/>
      <c r="L523" s="157"/>
      <c r="M523" s="157"/>
      <c r="N523" s="157"/>
      <c r="O523" s="156" t="s">
        <v>5117</v>
      </c>
    </row>
    <row r="524" spans="4:15" x14ac:dyDescent="0.25">
      <c r="D524" s="157" t="s">
        <v>5118</v>
      </c>
      <c r="E524" s="156" t="s">
        <v>5110</v>
      </c>
      <c r="F524" s="157"/>
      <c r="G524" s="156"/>
      <c r="H524" s="157"/>
      <c r="I524" s="157"/>
      <c r="J524" s="156" t="str">
        <f t="shared" si="8"/>
        <v/>
      </c>
      <c r="K524" s="157"/>
      <c r="L524" s="157"/>
      <c r="M524" s="157"/>
      <c r="N524" s="157"/>
      <c r="O524" s="156" t="s">
        <v>5119</v>
      </c>
    </row>
    <row r="525" spans="4:15" x14ac:dyDescent="0.25">
      <c r="D525" s="157" t="s">
        <v>5120</v>
      </c>
      <c r="E525" s="156" t="s">
        <v>5110</v>
      </c>
      <c r="F525" s="157"/>
      <c r="G525" s="156"/>
      <c r="H525" s="157"/>
      <c r="I525" s="157"/>
      <c r="J525" s="156" t="str">
        <f t="shared" si="8"/>
        <v/>
      </c>
      <c r="K525" s="157"/>
      <c r="L525" s="157"/>
      <c r="M525" s="157"/>
      <c r="N525" s="157"/>
      <c r="O525" s="156" t="s">
        <v>5121</v>
      </c>
    </row>
    <row r="526" spans="4:15" x14ac:dyDescent="0.25">
      <c r="D526" s="157" t="s">
        <v>5122</v>
      </c>
      <c r="E526" s="156" t="s">
        <v>5110</v>
      </c>
      <c r="F526" s="157"/>
      <c r="G526" s="156"/>
      <c r="H526" s="157"/>
      <c r="I526" s="157"/>
      <c r="J526" s="156" t="str">
        <f t="shared" si="8"/>
        <v/>
      </c>
      <c r="K526" s="157"/>
      <c r="L526" s="157"/>
      <c r="M526" s="157"/>
      <c r="N526" s="157"/>
      <c r="O526" s="156" t="s">
        <v>5123</v>
      </c>
    </row>
    <row r="527" spans="4:15" x14ac:dyDescent="0.25">
      <c r="D527" s="157" t="s">
        <v>5124</v>
      </c>
      <c r="E527" s="156" t="s">
        <v>5110</v>
      </c>
      <c r="F527" s="157"/>
      <c r="G527" s="156"/>
      <c r="H527" s="157"/>
      <c r="I527" s="157"/>
      <c r="J527" s="156" t="str">
        <f t="shared" si="8"/>
        <v/>
      </c>
      <c r="K527" s="157"/>
      <c r="L527" s="157"/>
      <c r="M527" s="157"/>
      <c r="N527" s="157"/>
      <c r="O527" s="156" t="s">
        <v>5125</v>
      </c>
    </row>
    <row r="528" spans="4:15" x14ac:dyDescent="0.25">
      <c r="D528" s="157" t="s">
        <v>5126</v>
      </c>
      <c r="E528" s="156" t="s">
        <v>5110</v>
      </c>
      <c r="F528" s="157"/>
      <c r="G528" s="156"/>
      <c r="H528" s="157"/>
      <c r="I528" s="157"/>
      <c r="J528" s="156" t="str">
        <f t="shared" si="8"/>
        <v/>
      </c>
      <c r="K528" s="157"/>
      <c r="L528" s="157"/>
      <c r="M528" s="157"/>
      <c r="N528" s="157"/>
      <c r="O528" s="156" t="s">
        <v>5127</v>
      </c>
    </row>
    <row r="529" spans="4:15" x14ac:dyDescent="0.25">
      <c r="D529" s="157" t="s">
        <v>5128</v>
      </c>
      <c r="E529" s="156" t="s">
        <v>5110</v>
      </c>
      <c r="F529" s="157"/>
      <c r="G529" s="156"/>
      <c r="H529" s="157"/>
      <c r="I529" s="157"/>
      <c r="J529" s="156" t="str">
        <f t="shared" si="8"/>
        <v/>
      </c>
      <c r="K529" s="157"/>
      <c r="L529" s="157"/>
      <c r="M529" s="157"/>
      <c r="N529" s="157"/>
      <c r="O529" s="156" t="s">
        <v>5129</v>
      </c>
    </row>
    <row r="530" spans="4:15" x14ac:dyDescent="0.25">
      <c r="D530" s="157" t="s">
        <v>5130</v>
      </c>
      <c r="E530" s="156" t="s">
        <v>5131</v>
      </c>
      <c r="F530" s="157"/>
      <c r="G530" s="156"/>
      <c r="H530" s="157"/>
      <c r="I530" s="157"/>
      <c r="J530" s="156" t="str">
        <f t="shared" si="8"/>
        <v/>
      </c>
      <c r="K530" s="157"/>
      <c r="L530" s="157"/>
      <c r="M530" s="157"/>
      <c r="N530" s="157"/>
      <c r="O530" s="156" t="s">
        <v>5132</v>
      </c>
    </row>
    <row r="531" spans="4:15" x14ac:dyDescent="0.25">
      <c r="D531" s="157" t="s">
        <v>5133</v>
      </c>
      <c r="E531" s="156" t="s">
        <v>5131</v>
      </c>
      <c r="F531" s="157"/>
      <c r="G531" s="156"/>
      <c r="H531" s="157"/>
      <c r="I531" s="157"/>
      <c r="J531" s="156" t="str">
        <f t="shared" si="8"/>
        <v/>
      </c>
      <c r="K531" s="157"/>
      <c r="L531" s="157"/>
      <c r="M531" s="157"/>
      <c r="N531" s="157"/>
      <c r="O531" s="156" t="s">
        <v>5134</v>
      </c>
    </row>
    <row r="532" spans="4:15" x14ac:dyDescent="0.25">
      <c r="D532" s="157" t="s">
        <v>5135</v>
      </c>
      <c r="E532" s="156" t="s">
        <v>5131</v>
      </c>
      <c r="F532" s="157"/>
      <c r="G532" s="156"/>
      <c r="H532" s="157"/>
      <c r="I532" s="157"/>
      <c r="J532" s="156" t="str">
        <f t="shared" si="8"/>
        <v/>
      </c>
      <c r="K532" s="157"/>
      <c r="L532" s="157"/>
      <c r="M532" s="157"/>
      <c r="N532" s="157"/>
      <c r="O532" s="156" t="s">
        <v>5136</v>
      </c>
    </row>
    <row r="533" spans="4:15" x14ac:dyDescent="0.25">
      <c r="D533" s="157" t="s">
        <v>5137</v>
      </c>
      <c r="E533" s="156" t="s">
        <v>5131</v>
      </c>
      <c r="F533" s="157"/>
      <c r="G533" s="156"/>
      <c r="H533" s="157"/>
      <c r="I533" s="157"/>
      <c r="J533" s="156" t="str">
        <f t="shared" si="8"/>
        <v/>
      </c>
      <c r="K533" s="157"/>
      <c r="L533" s="157"/>
      <c r="M533" s="157"/>
      <c r="N533" s="157"/>
      <c r="O533" s="156" t="s">
        <v>5138</v>
      </c>
    </row>
    <row r="534" spans="4:15" x14ac:dyDescent="0.25">
      <c r="D534" s="157" t="s">
        <v>5139</v>
      </c>
      <c r="E534" s="156" t="s">
        <v>5131</v>
      </c>
      <c r="F534" s="157"/>
      <c r="G534" s="156"/>
      <c r="H534" s="157"/>
      <c r="I534" s="157"/>
      <c r="J534" s="156" t="str">
        <f t="shared" si="8"/>
        <v/>
      </c>
      <c r="K534" s="157"/>
      <c r="L534" s="157"/>
      <c r="M534" s="157"/>
      <c r="N534" s="157"/>
      <c r="O534" s="156" t="s">
        <v>5140</v>
      </c>
    </row>
    <row r="535" spans="4:15" x14ac:dyDescent="0.25">
      <c r="D535" s="157" t="s">
        <v>5141</v>
      </c>
      <c r="E535" s="156" t="s">
        <v>5131</v>
      </c>
      <c r="F535" s="157"/>
      <c r="G535" s="156"/>
      <c r="H535" s="157"/>
      <c r="I535" s="157"/>
      <c r="J535" s="156" t="str">
        <f t="shared" si="8"/>
        <v/>
      </c>
      <c r="K535" s="157"/>
      <c r="L535" s="157"/>
      <c r="M535" s="157"/>
      <c r="N535" s="157"/>
      <c r="O535" s="156" t="s">
        <v>5142</v>
      </c>
    </row>
    <row r="536" spans="4:15" x14ac:dyDescent="0.25">
      <c r="D536" s="157" t="s">
        <v>5143</v>
      </c>
      <c r="E536" s="156" t="s">
        <v>5131</v>
      </c>
      <c r="F536" s="157"/>
      <c r="G536" s="156"/>
      <c r="H536" s="157"/>
      <c r="I536" s="157"/>
      <c r="J536" s="156" t="str">
        <f t="shared" si="8"/>
        <v/>
      </c>
      <c r="K536" s="157"/>
      <c r="L536" s="157"/>
      <c r="M536" s="157"/>
      <c r="N536" s="157"/>
      <c r="O536" s="156" t="s">
        <v>5144</v>
      </c>
    </row>
    <row r="537" spans="4:15" x14ac:dyDescent="0.25">
      <c r="D537" s="157" t="s">
        <v>5145</v>
      </c>
      <c r="E537" s="156" t="s">
        <v>5131</v>
      </c>
      <c r="F537" s="157"/>
      <c r="G537" s="156"/>
      <c r="H537" s="157"/>
      <c r="I537" s="157"/>
      <c r="J537" s="156" t="str">
        <f t="shared" si="8"/>
        <v/>
      </c>
      <c r="K537" s="157"/>
      <c r="L537" s="157"/>
      <c r="M537" s="157"/>
      <c r="N537" s="157"/>
      <c r="O537" s="156" t="s">
        <v>5146</v>
      </c>
    </row>
    <row r="538" spans="4:15" x14ac:dyDescent="0.25">
      <c r="D538" s="157" t="s">
        <v>5147</v>
      </c>
      <c r="E538" s="156" t="s">
        <v>5131</v>
      </c>
      <c r="F538" s="157"/>
      <c r="G538" s="156"/>
      <c r="H538" s="157"/>
      <c r="I538" s="157"/>
      <c r="J538" s="156" t="str">
        <f t="shared" si="8"/>
        <v/>
      </c>
      <c r="K538" s="157"/>
      <c r="L538" s="157"/>
      <c r="M538" s="157"/>
      <c r="N538" s="157"/>
      <c r="O538" s="156" t="s">
        <v>5148</v>
      </c>
    </row>
    <row r="539" spans="4:15" x14ac:dyDescent="0.25">
      <c r="D539" s="157" t="s">
        <v>5149</v>
      </c>
      <c r="E539" s="156" t="s">
        <v>5131</v>
      </c>
      <c r="F539" s="157"/>
      <c r="G539" s="156"/>
      <c r="H539" s="157"/>
      <c r="I539" s="157"/>
      <c r="J539" s="156" t="str">
        <f t="shared" si="8"/>
        <v/>
      </c>
      <c r="K539" s="157"/>
      <c r="L539" s="157"/>
      <c r="M539" s="157"/>
      <c r="N539" s="157"/>
      <c r="O539" s="156" t="s">
        <v>5150</v>
      </c>
    </row>
    <row r="540" spans="4:15" x14ac:dyDescent="0.25">
      <c r="D540" s="157" t="s">
        <v>5151</v>
      </c>
      <c r="E540" s="156" t="s">
        <v>5152</v>
      </c>
      <c r="F540" s="157"/>
      <c r="G540" s="156"/>
      <c r="H540" s="157"/>
      <c r="I540" s="157"/>
      <c r="J540" s="156" t="str">
        <f t="shared" si="8"/>
        <v/>
      </c>
      <c r="K540" s="157"/>
      <c r="L540" s="157"/>
      <c r="M540" s="157"/>
      <c r="N540" s="157"/>
      <c r="O540" s="156" t="s">
        <v>5153</v>
      </c>
    </row>
    <row r="541" spans="4:15" x14ac:dyDescent="0.25">
      <c r="D541" s="157" t="s">
        <v>5154</v>
      </c>
      <c r="E541" s="156" t="s">
        <v>5152</v>
      </c>
      <c r="F541" s="157"/>
      <c r="G541" s="156"/>
      <c r="H541" s="157"/>
      <c r="I541" s="157"/>
      <c r="J541" s="156" t="str">
        <f t="shared" si="8"/>
        <v/>
      </c>
      <c r="K541" s="157"/>
      <c r="L541" s="157"/>
      <c r="M541" s="157"/>
      <c r="N541" s="157"/>
      <c r="O541" s="156" t="s">
        <v>5155</v>
      </c>
    </row>
    <row r="542" spans="4:15" x14ac:dyDescent="0.25">
      <c r="D542" s="157" t="s">
        <v>5156</v>
      </c>
      <c r="E542" s="156" t="s">
        <v>5152</v>
      </c>
      <c r="F542" s="157"/>
      <c r="G542" s="156"/>
      <c r="H542" s="157"/>
      <c r="I542" s="157"/>
      <c r="J542" s="156" t="str">
        <f t="shared" si="8"/>
        <v/>
      </c>
      <c r="K542" s="157"/>
      <c r="L542" s="157"/>
      <c r="M542" s="157"/>
      <c r="N542" s="157"/>
      <c r="O542" s="156" t="s">
        <v>5157</v>
      </c>
    </row>
    <row r="543" spans="4:15" x14ac:dyDescent="0.25">
      <c r="D543" s="157" t="s">
        <v>5158</v>
      </c>
      <c r="E543" s="156" t="s">
        <v>5152</v>
      </c>
      <c r="F543" s="157"/>
      <c r="G543" s="156"/>
      <c r="H543" s="157"/>
      <c r="I543" s="157"/>
      <c r="J543" s="156" t="str">
        <f t="shared" si="8"/>
        <v/>
      </c>
      <c r="K543" s="157"/>
      <c r="L543" s="157"/>
      <c r="M543" s="157"/>
      <c r="N543" s="157"/>
      <c r="O543" s="156" t="s">
        <v>5159</v>
      </c>
    </row>
    <row r="544" spans="4:15" x14ac:dyDescent="0.25">
      <c r="D544" s="157" t="s">
        <v>5160</v>
      </c>
      <c r="E544" s="156" t="s">
        <v>5152</v>
      </c>
      <c r="F544" s="157"/>
      <c r="G544" s="156"/>
      <c r="H544" s="157"/>
      <c r="I544" s="157"/>
      <c r="J544" s="156" t="str">
        <f t="shared" si="8"/>
        <v/>
      </c>
      <c r="K544" s="157"/>
      <c r="L544" s="157"/>
      <c r="M544" s="157"/>
      <c r="N544" s="157"/>
      <c r="O544" s="156" t="s">
        <v>5161</v>
      </c>
    </row>
    <row r="545" spans="4:15" x14ac:dyDescent="0.25">
      <c r="D545" s="157" t="s">
        <v>5162</v>
      </c>
      <c r="E545" s="156" t="s">
        <v>5152</v>
      </c>
      <c r="F545" s="157"/>
      <c r="G545" s="156"/>
      <c r="H545" s="157"/>
      <c r="I545" s="157"/>
      <c r="J545" s="156" t="str">
        <f t="shared" si="8"/>
        <v/>
      </c>
      <c r="K545" s="157"/>
      <c r="L545" s="157"/>
      <c r="M545" s="157"/>
      <c r="N545" s="157"/>
      <c r="O545" s="156" t="s">
        <v>5163</v>
      </c>
    </row>
    <row r="546" spans="4:15" x14ac:dyDescent="0.25">
      <c r="D546" s="157" t="s">
        <v>5164</v>
      </c>
      <c r="E546" s="156" t="s">
        <v>5152</v>
      </c>
      <c r="F546" s="157"/>
      <c r="G546" s="156"/>
      <c r="H546" s="157"/>
      <c r="I546" s="157"/>
      <c r="J546" s="156" t="str">
        <f t="shared" si="8"/>
        <v/>
      </c>
      <c r="K546" s="157"/>
      <c r="L546" s="157"/>
      <c r="M546" s="157"/>
      <c r="N546" s="157"/>
      <c r="O546" s="156" t="s">
        <v>5165</v>
      </c>
    </row>
    <row r="547" spans="4:15" x14ac:dyDescent="0.25">
      <c r="D547" s="157" t="s">
        <v>5166</v>
      </c>
      <c r="E547" s="156" t="s">
        <v>5152</v>
      </c>
      <c r="F547" s="157"/>
      <c r="G547" s="156"/>
      <c r="H547" s="157"/>
      <c r="I547" s="157"/>
      <c r="J547" s="156" t="str">
        <f t="shared" si="8"/>
        <v/>
      </c>
      <c r="K547" s="157"/>
      <c r="L547" s="157"/>
      <c r="M547" s="157"/>
      <c r="N547" s="157"/>
      <c r="O547" s="156" t="s">
        <v>5167</v>
      </c>
    </row>
    <row r="548" spans="4:15" x14ac:dyDescent="0.25">
      <c r="D548" s="157" t="s">
        <v>5168</v>
      </c>
      <c r="E548" s="156" t="s">
        <v>5152</v>
      </c>
      <c r="F548" s="157"/>
      <c r="G548" s="156"/>
      <c r="H548" s="157"/>
      <c r="I548" s="157"/>
      <c r="J548" s="156" t="str">
        <f t="shared" si="8"/>
        <v/>
      </c>
      <c r="K548" s="157"/>
      <c r="L548" s="157"/>
      <c r="M548" s="157"/>
      <c r="N548" s="157"/>
      <c r="O548" s="156" t="s">
        <v>5169</v>
      </c>
    </row>
    <row r="549" spans="4:15" x14ac:dyDescent="0.25">
      <c r="D549" s="157" t="s">
        <v>5170</v>
      </c>
      <c r="E549" s="156" t="s">
        <v>5152</v>
      </c>
      <c r="F549" s="157"/>
      <c r="G549" s="156"/>
      <c r="H549" s="157"/>
      <c r="I549" s="157"/>
      <c r="J549" s="156" t="str">
        <f t="shared" si="8"/>
        <v/>
      </c>
      <c r="K549" s="157"/>
      <c r="L549" s="157"/>
      <c r="M549" s="157"/>
      <c r="N549" s="157"/>
      <c r="O549" s="156" t="s">
        <v>5171</v>
      </c>
    </row>
    <row r="550" spans="4:15" x14ac:dyDescent="0.25">
      <c r="D550" s="157" t="s">
        <v>5172</v>
      </c>
      <c r="E550" s="156" t="s">
        <v>5173</v>
      </c>
      <c r="F550" s="157"/>
      <c r="G550" s="156"/>
      <c r="H550" s="157"/>
      <c r="I550" s="157"/>
      <c r="J550" s="156" t="str">
        <f t="shared" si="8"/>
        <v/>
      </c>
      <c r="K550" s="157"/>
      <c r="L550" s="157"/>
      <c r="M550" s="157"/>
      <c r="N550" s="157"/>
      <c r="O550" s="156" t="s">
        <v>5174</v>
      </c>
    </row>
    <row r="551" spans="4:15" x14ac:dyDescent="0.25">
      <c r="D551" s="157" t="s">
        <v>5175</v>
      </c>
      <c r="E551" s="156" t="s">
        <v>5173</v>
      </c>
      <c r="F551" s="157"/>
      <c r="G551" s="156"/>
      <c r="H551" s="157"/>
      <c r="I551" s="157"/>
      <c r="J551" s="156" t="str">
        <f t="shared" si="8"/>
        <v/>
      </c>
      <c r="K551" s="157"/>
      <c r="L551" s="157"/>
      <c r="M551" s="157"/>
      <c r="N551" s="157"/>
      <c r="O551" s="156" t="s">
        <v>5176</v>
      </c>
    </row>
    <row r="552" spans="4:15" x14ac:dyDescent="0.25">
      <c r="D552" s="157" t="s">
        <v>5177</v>
      </c>
      <c r="E552" s="156" t="s">
        <v>5173</v>
      </c>
      <c r="F552" s="157"/>
      <c r="G552" s="156"/>
      <c r="H552" s="157"/>
      <c r="I552" s="157"/>
      <c r="J552" s="156" t="str">
        <f t="shared" si="8"/>
        <v/>
      </c>
      <c r="K552" s="157"/>
      <c r="L552" s="157"/>
      <c r="M552" s="157"/>
      <c r="N552" s="157"/>
      <c r="O552" s="156" t="s">
        <v>5178</v>
      </c>
    </row>
    <row r="553" spans="4:15" x14ac:dyDescent="0.25">
      <c r="D553" s="157" t="s">
        <v>5179</v>
      </c>
      <c r="E553" s="156" t="s">
        <v>5173</v>
      </c>
      <c r="F553" s="157"/>
      <c r="G553" s="156"/>
      <c r="H553" s="157"/>
      <c r="I553" s="157"/>
      <c r="J553" s="156" t="str">
        <f t="shared" si="8"/>
        <v/>
      </c>
      <c r="K553" s="157"/>
      <c r="L553" s="157"/>
      <c r="M553" s="157"/>
      <c r="N553" s="157"/>
      <c r="O553" s="156" t="s">
        <v>5180</v>
      </c>
    </row>
    <row r="554" spans="4:15" x14ac:dyDescent="0.25">
      <c r="D554" s="157" t="s">
        <v>5181</v>
      </c>
      <c r="E554" s="156" t="s">
        <v>5173</v>
      </c>
      <c r="F554" s="157"/>
      <c r="G554" s="156"/>
      <c r="H554" s="157"/>
      <c r="I554" s="157"/>
      <c r="J554" s="156" t="str">
        <f t="shared" si="8"/>
        <v/>
      </c>
      <c r="K554" s="157"/>
      <c r="L554" s="157"/>
      <c r="M554" s="157"/>
      <c r="N554" s="157"/>
      <c r="O554" s="156" t="s">
        <v>5182</v>
      </c>
    </row>
    <row r="555" spans="4:15" x14ac:dyDescent="0.25">
      <c r="D555" s="157" t="s">
        <v>5183</v>
      </c>
      <c r="E555" s="156" t="s">
        <v>5173</v>
      </c>
      <c r="F555" s="157"/>
      <c r="G555" s="156"/>
      <c r="H555" s="157"/>
      <c r="I555" s="157"/>
      <c r="J555" s="156" t="str">
        <f t="shared" si="8"/>
        <v/>
      </c>
      <c r="K555" s="157"/>
      <c r="L555" s="157"/>
      <c r="M555" s="157"/>
      <c r="N555" s="157"/>
      <c r="O555" s="156" t="s">
        <v>5184</v>
      </c>
    </row>
    <row r="556" spans="4:15" x14ac:dyDescent="0.25">
      <c r="D556" s="157" t="s">
        <v>5185</v>
      </c>
      <c r="E556" s="156" t="s">
        <v>5173</v>
      </c>
      <c r="F556" s="157"/>
      <c r="G556" s="156"/>
      <c r="H556" s="157"/>
      <c r="I556" s="157"/>
      <c r="J556" s="156" t="str">
        <f t="shared" si="8"/>
        <v/>
      </c>
      <c r="K556" s="157"/>
      <c r="L556" s="157"/>
      <c r="M556" s="157"/>
      <c r="N556" s="157"/>
      <c r="O556" s="156" t="s">
        <v>5186</v>
      </c>
    </row>
    <row r="557" spans="4:15" x14ac:dyDescent="0.25">
      <c r="D557" s="157" t="s">
        <v>5187</v>
      </c>
      <c r="E557" s="156" t="s">
        <v>5173</v>
      </c>
      <c r="F557" s="157"/>
      <c r="G557" s="156"/>
      <c r="H557" s="157"/>
      <c r="I557" s="157"/>
      <c r="J557" s="156" t="str">
        <f t="shared" si="8"/>
        <v/>
      </c>
      <c r="K557" s="157"/>
      <c r="L557" s="157"/>
      <c r="M557" s="157"/>
      <c r="N557" s="157"/>
      <c r="O557" s="156" t="s">
        <v>5188</v>
      </c>
    </row>
    <row r="558" spans="4:15" x14ac:dyDescent="0.25">
      <c r="D558" s="157" t="s">
        <v>5189</v>
      </c>
      <c r="E558" s="156" t="s">
        <v>5173</v>
      </c>
      <c r="F558" s="157"/>
      <c r="G558" s="156"/>
      <c r="H558" s="157"/>
      <c r="I558" s="157"/>
      <c r="J558" s="156" t="str">
        <f t="shared" si="8"/>
        <v/>
      </c>
      <c r="K558" s="157"/>
      <c r="L558" s="157"/>
      <c r="M558" s="157"/>
      <c r="N558" s="157"/>
      <c r="O558" s="156" t="s">
        <v>5190</v>
      </c>
    </row>
    <row r="559" spans="4:15" x14ac:dyDescent="0.25">
      <c r="D559" s="157" t="s">
        <v>5191</v>
      </c>
      <c r="E559" s="156" t="s">
        <v>5173</v>
      </c>
      <c r="F559" s="157"/>
      <c r="G559" s="156"/>
      <c r="H559" s="157"/>
      <c r="I559" s="157"/>
      <c r="J559" s="156" t="str">
        <f t="shared" si="8"/>
        <v/>
      </c>
      <c r="K559" s="157"/>
      <c r="L559" s="157"/>
      <c r="M559" s="157"/>
      <c r="N559" s="157"/>
      <c r="O559" s="156" t="s">
        <v>5192</v>
      </c>
    </row>
    <row r="560" spans="4:15" x14ac:dyDescent="0.25">
      <c r="D560" s="157" t="s">
        <v>5193</v>
      </c>
      <c r="E560" s="156" t="s">
        <v>5194</v>
      </c>
      <c r="F560" s="157"/>
      <c r="G560" s="156"/>
      <c r="H560" s="157"/>
      <c r="I560" s="157"/>
      <c r="J560" s="156" t="str">
        <f t="shared" si="8"/>
        <v/>
      </c>
      <c r="K560" s="157"/>
      <c r="L560" s="157"/>
      <c r="M560" s="157"/>
      <c r="N560" s="157"/>
      <c r="O560" s="156" t="s">
        <v>5195</v>
      </c>
    </row>
    <row r="561" spans="4:15" x14ac:dyDescent="0.25">
      <c r="D561" s="157" t="s">
        <v>5196</v>
      </c>
      <c r="E561" s="156" t="s">
        <v>5194</v>
      </c>
      <c r="F561" s="157"/>
      <c r="G561" s="156"/>
      <c r="H561" s="157"/>
      <c r="I561" s="157"/>
      <c r="J561" s="156" t="str">
        <f t="shared" si="8"/>
        <v/>
      </c>
      <c r="K561" s="157"/>
      <c r="L561" s="157"/>
      <c r="M561" s="157"/>
      <c r="N561" s="157"/>
      <c r="O561" s="156" t="s">
        <v>5197</v>
      </c>
    </row>
    <row r="562" spans="4:15" x14ac:dyDescent="0.25">
      <c r="D562" s="157" t="s">
        <v>5198</v>
      </c>
      <c r="E562" s="156" t="s">
        <v>5194</v>
      </c>
      <c r="F562" s="157"/>
      <c r="G562" s="156"/>
      <c r="H562" s="157"/>
      <c r="I562" s="157"/>
      <c r="J562" s="156" t="str">
        <f t="shared" si="8"/>
        <v/>
      </c>
      <c r="K562" s="157"/>
      <c r="L562" s="157"/>
      <c r="M562" s="157"/>
      <c r="N562" s="157"/>
      <c r="O562" s="156" t="s">
        <v>5199</v>
      </c>
    </row>
    <row r="563" spans="4:15" x14ac:dyDescent="0.25">
      <c r="D563" s="157" t="s">
        <v>5200</v>
      </c>
      <c r="E563" s="156" t="s">
        <v>5194</v>
      </c>
      <c r="F563" s="157"/>
      <c r="G563" s="156"/>
      <c r="H563" s="157"/>
      <c r="I563" s="157"/>
      <c r="J563" s="156" t="str">
        <f t="shared" si="8"/>
        <v/>
      </c>
      <c r="K563" s="157"/>
      <c r="L563" s="157"/>
      <c r="M563" s="157"/>
      <c r="N563" s="157"/>
      <c r="O563" s="156" t="s">
        <v>5201</v>
      </c>
    </row>
    <row r="564" spans="4:15" x14ac:dyDescent="0.25">
      <c r="D564" s="157" t="s">
        <v>5202</v>
      </c>
      <c r="E564" s="156" t="s">
        <v>5194</v>
      </c>
      <c r="F564" s="157"/>
      <c r="G564" s="156"/>
      <c r="H564" s="157"/>
      <c r="I564" s="157"/>
      <c r="J564" s="156" t="str">
        <f t="shared" si="8"/>
        <v/>
      </c>
      <c r="K564" s="157"/>
      <c r="L564" s="157"/>
      <c r="M564" s="157"/>
      <c r="N564" s="157"/>
      <c r="O564" s="156" t="s">
        <v>5203</v>
      </c>
    </row>
    <row r="565" spans="4:15" x14ac:dyDescent="0.25">
      <c r="D565" s="157" t="s">
        <v>5204</v>
      </c>
      <c r="E565" s="156" t="s">
        <v>5194</v>
      </c>
      <c r="F565" s="157"/>
      <c r="G565" s="156"/>
      <c r="H565" s="157"/>
      <c r="I565" s="157"/>
      <c r="J565" s="156" t="str">
        <f t="shared" si="8"/>
        <v/>
      </c>
      <c r="K565" s="157"/>
      <c r="L565" s="157"/>
      <c r="M565" s="157"/>
      <c r="N565" s="157"/>
      <c r="O565" s="156" t="s">
        <v>5205</v>
      </c>
    </row>
    <row r="566" spans="4:15" x14ac:dyDescent="0.25">
      <c r="D566" s="157" t="s">
        <v>5206</v>
      </c>
      <c r="E566" s="156" t="s">
        <v>5194</v>
      </c>
      <c r="F566" s="157"/>
      <c r="G566" s="156"/>
      <c r="H566" s="157"/>
      <c r="I566" s="157"/>
      <c r="J566" s="156" t="str">
        <f t="shared" ref="J566:J609" si="9">F566&amp;H566&amp;I566</f>
        <v/>
      </c>
      <c r="K566" s="157"/>
      <c r="L566" s="157"/>
      <c r="M566" s="157"/>
      <c r="N566" s="157"/>
      <c r="O566" s="156" t="s">
        <v>5207</v>
      </c>
    </row>
    <row r="567" spans="4:15" x14ac:dyDescent="0.25">
      <c r="D567" s="157" t="s">
        <v>5208</v>
      </c>
      <c r="E567" s="156" t="s">
        <v>5194</v>
      </c>
      <c r="F567" s="157"/>
      <c r="G567" s="156"/>
      <c r="H567" s="157"/>
      <c r="I567" s="157"/>
      <c r="J567" s="156" t="str">
        <f t="shared" si="9"/>
        <v/>
      </c>
      <c r="K567" s="157"/>
      <c r="L567" s="157"/>
      <c r="M567" s="157"/>
      <c r="N567" s="157"/>
      <c r="O567" s="156" t="s">
        <v>5209</v>
      </c>
    </row>
    <row r="568" spans="4:15" x14ac:dyDescent="0.25">
      <c r="D568" s="157" t="s">
        <v>5210</v>
      </c>
      <c r="E568" s="156" t="s">
        <v>5194</v>
      </c>
      <c r="F568" s="157"/>
      <c r="G568" s="156"/>
      <c r="H568" s="157"/>
      <c r="I568" s="157"/>
      <c r="J568" s="156" t="str">
        <f t="shared" si="9"/>
        <v/>
      </c>
      <c r="K568" s="157"/>
      <c r="L568" s="157"/>
      <c r="M568" s="157"/>
      <c r="N568" s="157"/>
      <c r="O568" s="156" t="s">
        <v>5211</v>
      </c>
    </row>
    <row r="569" spans="4:15" x14ac:dyDescent="0.25">
      <c r="D569" s="157" t="s">
        <v>5212</v>
      </c>
      <c r="E569" s="156" t="s">
        <v>5194</v>
      </c>
      <c r="F569" s="157"/>
      <c r="G569" s="156"/>
      <c r="H569" s="157"/>
      <c r="I569" s="157"/>
      <c r="J569" s="156" t="str">
        <f t="shared" si="9"/>
        <v/>
      </c>
      <c r="K569" s="157"/>
      <c r="L569" s="157"/>
      <c r="M569" s="157"/>
      <c r="N569" s="157"/>
      <c r="O569" s="156" t="s">
        <v>5213</v>
      </c>
    </row>
    <row r="570" spans="4:15" x14ac:dyDescent="0.25">
      <c r="D570" s="157" t="s">
        <v>5214</v>
      </c>
      <c r="E570" s="156" t="s">
        <v>5215</v>
      </c>
      <c r="F570" s="157"/>
      <c r="G570" s="156"/>
      <c r="H570" s="157"/>
      <c r="I570" s="157"/>
      <c r="J570" s="156" t="str">
        <f t="shared" si="9"/>
        <v/>
      </c>
      <c r="K570" s="157"/>
      <c r="L570" s="157"/>
      <c r="M570" s="157"/>
      <c r="N570" s="157"/>
      <c r="O570" s="156" t="s">
        <v>5216</v>
      </c>
    </row>
    <row r="571" spans="4:15" x14ac:dyDescent="0.25">
      <c r="D571" s="157" t="s">
        <v>5217</v>
      </c>
      <c r="E571" s="156" t="s">
        <v>5215</v>
      </c>
      <c r="F571" s="157"/>
      <c r="G571" s="156"/>
      <c r="H571" s="157"/>
      <c r="I571" s="157"/>
      <c r="J571" s="156" t="str">
        <f t="shared" si="9"/>
        <v/>
      </c>
      <c r="K571" s="157"/>
      <c r="L571" s="157"/>
      <c r="M571" s="157"/>
      <c r="N571" s="157"/>
      <c r="O571" s="156" t="s">
        <v>5218</v>
      </c>
    </row>
    <row r="572" spans="4:15" x14ac:dyDescent="0.25">
      <c r="D572" s="157" t="s">
        <v>5219</v>
      </c>
      <c r="E572" s="156" t="s">
        <v>5215</v>
      </c>
      <c r="F572" s="157"/>
      <c r="G572" s="156"/>
      <c r="H572" s="157"/>
      <c r="I572" s="157"/>
      <c r="J572" s="156" t="str">
        <f t="shared" si="9"/>
        <v/>
      </c>
      <c r="K572" s="157"/>
      <c r="L572" s="157"/>
      <c r="M572" s="157"/>
      <c r="N572" s="157"/>
      <c r="O572" s="156" t="s">
        <v>5220</v>
      </c>
    </row>
    <row r="573" spans="4:15" x14ac:dyDescent="0.25">
      <c r="D573" s="157" t="s">
        <v>5221</v>
      </c>
      <c r="E573" s="156" t="s">
        <v>5215</v>
      </c>
      <c r="F573" s="157"/>
      <c r="G573" s="156"/>
      <c r="H573" s="157"/>
      <c r="I573" s="157"/>
      <c r="J573" s="156" t="str">
        <f t="shared" si="9"/>
        <v/>
      </c>
      <c r="K573" s="157"/>
      <c r="L573" s="157"/>
      <c r="M573" s="157"/>
      <c r="N573" s="157"/>
      <c r="O573" s="156" t="s">
        <v>5222</v>
      </c>
    </row>
    <row r="574" spans="4:15" x14ac:dyDescent="0.25">
      <c r="D574" s="157" t="s">
        <v>5223</v>
      </c>
      <c r="E574" s="156" t="s">
        <v>5215</v>
      </c>
      <c r="F574" s="157"/>
      <c r="G574" s="156"/>
      <c r="H574" s="157"/>
      <c r="I574" s="157"/>
      <c r="J574" s="156" t="str">
        <f t="shared" si="9"/>
        <v/>
      </c>
      <c r="K574" s="157"/>
      <c r="L574" s="157"/>
      <c r="M574" s="157"/>
      <c r="N574" s="157"/>
      <c r="O574" s="156" t="s">
        <v>5224</v>
      </c>
    </row>
    <row r="575" spans="4:15" x14ac:dyDescent="0.25">
      <c r="D575" s="157" t="s">
        <v>5225</v>
      </c>
      <c r="E575" s="156" t="s">
        <v>5215</v>
      </c>
      <c r="F575" s="157"/>
      <c r="G575" s="156"/>
      <c r="H575" s="157"/>
      <c r="I575" s="157"/>
      <c r="J575" s="156" t="str">
        <f t="shared" si="9"/>
        <v/>
      </c>
      <c r="K575" s="157"/>
      <c r="L575" s="157"/>
      <c r="M575" s="157"/>
      <c r="N575" s="157"/>
      <c r="O575" s="156" t="s">
        <v>5226</v>
      </c>
    </row>
    <row r="576" spans="4:15" x14ac:dyDescent="0.25">
      <c r="D576" s="157" t="s">
        <v>5227</v>
      </c>
      <c r="E576" s="156" t="s">
        <v>5215</v>
      </c>
      <c r="F576" s="157"/>
      <c r="G576" s="156"/>
      <c r="H576" s="157"/>
      <c r="I576" s="157"/>
      <c r="J576" s="156" t="str">
        <f t="shared" si="9"/>
        <v/>
      </c>
      <c r="K576" s="157"/>
      <c r="L576" s="157"/>
      <c r="M576" s="157"/>
      <c r="N576" s="157"/>
      <c r="O576" s="156" t="s">
        <v>5228</v>
      </c>
    </row>
    <row r="577" spans="4:15" x14ac:dyDescent="0.25">
      <c r="D577" s="157" t="s">
        <v>5229</v>
      </c>
      <c r="E577" s="156" t="s">
        <v>5215</v>
      </c>
      <c r="F577" s="157"/>
      <c r="G577" s="156"/>
      <c r="H577" s="157"/>
      <c r="I577" s="157"/>
      <c r="J577" s="156" t="str">
        <f t="shared" si="9"/>
        <v/>
      </c>
      <c r="K577" s="157"/>
      <c r="L577" s="157"/>
      <c r="M577" s="157"/>
      <c r="N577" s="157"/>
      <c r="O577" s="156" t="s">
        <v>5230</v>
      </c>
    </row>
    <row r="578" spans="4:15" x14ac:dyDescent="0.25">
      <c r="D578" s="157" t="s">
        <v>5231</v>
      </c>
      <c r="E578" s="156" t="s">
        <v>5215</v>
      </c>
      <c r="F578" s="157"/>
      <c r="G578" s="156"/>
      <c r="H578" s="157"/>
      <c r="I578" s="157"/>
      <c r="J578" s="156" t="str">
        <f t="shared" si="9"/>
        <v/>
      </c>
      <c r="K578" s="157"/>
      <c r="L578" s="157"/>
      <c r="M578" s="157"/>
      <c r="N578" s="157"/>
      <c r="O578" s="156" t="s">
        <v>5232</v>
      </c>
    </row>
    <row r="579" spans="4:15" x14ac:dyDescent="0.25">
      <c r="D579" s="157" t="s">
        <v>5233</v>
      </c>
      <c r="E579" s="156" t="s">
        <v>5215</v>
      </c>
      <c r="F579" s="157"/>
      <c r="G579" s="156"/>
      <c r="H579" s="157"/>
      <c r="I579" s="157"/>
      <c r="J579" s="156" t="str">
        <f t="shared" si="9"/>
        <v/>
      </c>
      <c r="K579" s="157"/>
      <c r="L579" s="157"/>
      <c r="M579" s="157"/>
      <c r="N579" s="157"/>
      <c r="O579" s="156" t="s">
        <v>5234</v>
      </c>
    </row>
    <row r="580" spans="4:15" x14ac:dyDescent="0.25">
      <c r="D580" s="157" t="s">
        <v>5235</v>
      </c>
      <c r="E580" s="156" t="s">
        <v>5236</v>
      </c>
      <c r="F580" s="157"/>
      <c r="G580" s="156"/>
      <c r="H580" s="157"/>
      <c r="I580" s="157"/>
      <c r="J580" s="156" t="str">
        <f t="shared" si="9"/>
        <v/>
      </c>
      <c r="K580" s="157"/>
      <c r="L580" s="157"/>
      <c r="M580" s="157"/>
      <c r="N580" s="157"/>
      <c r="O580" s="156" t="s">
        <v>5237</v>
      </c>
    </row>
    <row r="581" spans="4:15" x14ac:dyDescent="0.25">
      <c r="D581" s="157" t="s">
        <v>5238</v>
      </c>
      <c r="E581" s="156" t="s">
        <v>5236</v>
      </c>
      <c r="F581" s="157"/>
      <c r="G581" s="156"/>
      <c r="H581" s="157"/>
      <c r="I581" s="157"/>
      <c r="J581" s="156" t="str">
        <f t="shared" si="9"/>
        <v/>
      </c>
      <c r="K581" s="157"/>
      <c r="L581" s="157"/>
      <c r="M581" s="157"/>
      <c r="N581" s="157"/>
      <c r="O581" s="156" t="s">
        <v>5239</v>
      </c>
    </row>
    <row r="582" spans="4:15" x14ac:dyDescent="0.25">
      <c r="D582" s="157" t="s">
        <v>5240</v>
      </c>
      <c r="E582" s="156" t="s">
        <v>5236</v>
      </c>
      <c r="F582" s="157"/>
      <c r="G582" s="156"/>
      <c r="H582" s="157"/>
      <c r="I582" s="157"/>
      <c r="J582" s="156" t="str">
        <f t="shared" si="9"/>
        <v/>
      </c>
      <c r="K582" s="157"/>
      <c r="L582" s="157"/>
      <c r="M582" s="157"/>
      <c r="N582" s="157"/>
      <c r="O582" s="156" t="s">
        <v>5241</v>
      </c>
    </row>
    <row r="583" spans="4:15" x14ac:dyDescent="0.25">
      <c r="D583" s="157" t="s">
        <v>5242</v>
      </c>
      <c r="E583" s="156" t="s">
        <v>5236</v>
      </c>
      <c r="F583" s="157"/>
      <c r="G583" s="156"/>
      <c r="H583" s="157"/>
      <c r="I583" s="157"/>
      <c r="J583" s="156" t="str">
        <f t="shared" si="9"/>
        <v/>
      </c>
      <c r="K583" s="157"/>
      <c r="L583" s="157"/>
      <c r="M583" s="157"/>
      <c r="N583" s="157"/>
      <c r="O583" s="156" t="s">
        <v>5243</v>
      </c>
    </row>
    <row r="584" spans="4:15" x14ac:dyDescent="0.25">
      <c r="D584" s="157" t="s">
        <v>5244</v>
      </c>
      <c r="E584" s="156" t="s">
        <v>5236</v>
      </c>
      <c r="F584" s="157"/>
      <c r="G584" s="156"/>
      <c r="H584" s="157"/>
      <c r="I584" s="157"/>
      <c r="J584" s="156" t="str">
        <f t="shared" si="9"/>
        <v/>
      </c>
      <c r="K584" s="157"/>
      <c r="L584" s="157"/>
      <c r="M584" s="157"/>
      <c r="N584" s="157"/>
      <c r="O584" s="156" t="s">
        <v>5245</v>
      </c>
    </row>
    <row r="585" spans="4:15" x14ac:dyDescent="0.25">
      <c r="D585" s="157" t="s">
        <v>5246</v>
      </c>
      <c r="E585" s="156" t="s">
        <v>5236</v>
      </c>
      <c r="F585" s="157"/>
      <c r="G585" s="156"/>
      <c r="H585" s="157"/>
      <c r="I585" s="157"/>
      <c r="J585" s="156" t="str">
        <f t="shared" si="9"/>
        <v/>
      </c>
      <c r="K585" s="157"/>
      <c r="L585" s="157"/>
      <c r="M585" s="157"/>
      <c r="N585" s="157"/>
      <c r="O585" s="156" t="s">
        <v>5247</v>
      </c>
    </row>
    <row r="586" spans="4:15" x14ac:dyDescent="0.25">
      <c r="D586" s="157" t="s">
        <v>5248</v>
      </c>
      <c r="E586" s="156" t="s">
        <v>5236</v>
      </c>
      <c r="F586" s="157"/>
      <c r="G586" s="156"/>
      <c r="H586" s="157"/>
      <c r="I586" s="157"/>
      <c r="J586" s="156" t="str">
        <f t="shared" si="9"/>
        <v/>
      </c>
      <c r="K586" s="157"/>
      <c r="L586" s="157"/>
      <c r="M586" s="157"/>
      <c r="N586" s="157"/>
      <c r="O586" s="156" t="s">
        <v>5249</v>
      </c>
    </row>
    <row r="587" spans="4:15" x14ac:dyDescent="0.25">
      <c r="D587" s="157" t="s">
        <v>5250</v>
      </c>
      <c r="E587" s="156" t="s">
        <v>5236</v>
      </c>
      <c r="F587" s="157"/>
      <c r="G587" s="156"/>
      <c r="H587" s="157"/>
      <c r="I587" s="157"/>
      <c r="J587" s="156" t="str">
        <f t="shared" si="9"/>
        <v/>
      </c>
      <c r="K587" s="157"/>
      <c r="L587" s="157"/>
      <c r="M587" s="157"/>
      <c r="N587" s="157"/>
      <c r="O587" s="156" t="s">
        <v>5251</v>
      </c>
    </row>
    <row r="588" spans="4:15" x14ac:dyDescent="0.25">
      <c r="D588" s="157" t="s">
        <v>5252</v>
      </c>
      <c r="E588" s="156" t="s">
        <v>5236</v>
      </c>
      <c r="F588" s="157"/>
      <c r="G588" s="156"/>
      <c r="H588" s="157"/>
      <c r="I588" s="157"/>
      <c r="J588" s="156" t="str">
        <f t="shared" si="9"/>
        <v/>
      </c>
      <c r="K588" s="157"/>
      <c r="L588" s="157"/>
      <c r="M588" s="157"/>
      <c r="N588" s="157"/>
      <c r="O588" s="156" t="s">
        <v>5253</v>
      </c>
    </row>
    <row r="589" spans="4:15" x14ac:dyDescent="0.25">
      <c r="D589" s="157" t="s">
        <v>5254</v>
      </c>
      <c r="E589" s="156" t="s">
        <v>5236</v>
      </c>
      <c r="F589" s="157"/>
      <c r="G589" s="156"/>
      <c r="H589" s="157"/>
      <c r="I589" s="157"/>
      <c r="J589" s="156" t="str">
        <f t="shared" si="9"/>
        <v/>
      </c>
      <c r="K589" s="157"/>
      <c r="L589" s="157"/>
      <c r="M589" s="157"/>
      <c r="N589" s="157"/>
      <c r="O589" s="156" t="s">
        <v>5255</v>
      </c>
    </row>
    <row r="590" spans="4:15" x14ac:dyDescent="0.25">
      <c r="D590" s="157" t="s">
        <v>5256</v>
      </c>
      <c r="E590" s="156" t="s">
        <v>5257</v>
      </c>
      <c r="F590" s="157"/>
      <c r="G590" s="156"/>
      <c r="H590" s="157"/>
      <c r="I590" s="157"/>
      <c r="J590" s="156" t="str">
        <f t="shared" si="9"/>
        <v/>
      </c>
      <c r="K590" s="157"/>
      <c r="L590" s="157"/>
      <c r="M590" s="157"/>
      <c r="N590" s="157"/>
      <c r="O590" s="156" t="s">
        <v>5258</v>
      </c>
    </row>
    <row r="591" spans="4:15" x14ac:dyDescent="0.25">
      <c r="D591" s="157" t="s">
        <v>5259</v>
      </c>
      <c r="E591" s="156" t="s">
        <v>5257</v>
      </c>
      <c r="F591" s="157"/>
      <c r="G591" s="156"/>
      <c r="H591" s="157"/>
      <c r="I591" s="157"/>
      <c r="J591" s="156" t="str">
        <f t="shared" si="9"/>
        <v/>
      </c>
      <c r="K591" s="157"/>
      <c r="L591" s="157"/>
      <c r="M591" s="157"/>
      <c r="N591" s="157"/>
      <c r="O591" s="156" t="s">
        <v>5260</v>
      </c>
    </row>
    <row r="592" spans="4:15" x14ac:dyDescent="0.25">
      <c r="D592" s="157" t="s">
        <v>5261</v>
      </c>
      <c r="E592" s="156" t="s">
        <v>5257</v>
      </c>
      <c r="F592" s="157"/>
      <c r="G592" s="156"/>
      <c r="H592" s="157"/>
      <c r="I592" s="157"/>
      <c r="J592" s="156" t="str">
        <f t="shared" si="9"/>
        <v/>
      </c>
      <c r="K592" s="157"/>
      <c r="L592" s="157"/>
      <c r="M592" s="157"/>
      <c r="N592" s="157"/>
      <c r="O592" s="156" t="s">
        <v>5262</v>
      </c>
    </row>
    <row r="593" spans="4:15" x14ac:dyDescent="0.25">
      <c r="D593" s="157" t="s">
        <v>5263</v>
      </c>
      <c r="E593" s="156" t="s">
        <v>5257</v>
      </c>
      <c r="F593" s="157"/>
      <c r="G593" s="156"/>
      <c r="H593" s="157"/>
      <c r="I593" s="157"/>
      <c r="J593" s="156" t="str">
        <f t="shared" si="9"/>
        <v/>
      </c>
      <c r="K593" s="157"/>
      <c r="L593" s="157"/>
      <c r="M593" s="157"/>
      <c r="N593" s="157"/>
      <c r="O593" s="156" t="s">
        <v>5264</v>
      </c>
    </row>
    <row r="594" spans="4:15" x14ac:dyDescent="0.25">
      <c r="D594" s="157" t="s">
        <v>5265</v>
      </c>
      <c r="E594" s="156" t="s">
        <v>5257</v>
      </c>
      <c r="F594" s="157"/>
      <c r="G594" s="156"/>
      <c r="H594" s="157"/>
      <c r="I594" s="157"/>
      <c r="J594" s="156" t="str">
        <f t="shared" si="9"/>
        <v/>
      </c>
      <c r="K594" s="157"/>
      <c r="L594" s="157"/>
      <c r="M594" s="157"/>
      <c r="N594" s="157"/>
      <c r="O594" s="156" t="s">
        <v>5266</v>
      </c>
    </row>
    <row r="595" spans="4:15" x14ac:dyDescent="0.25">
      <c r="D595" s="157" t="s">
        <v>5267</v>
      </c>
      <c r="E595" s="156" t="s">
        <v>5257</v>
      </c>
      <c r="F595" s="157"/>
      <c r="G595" s="156"/>
      <c r="H595" s="157"/>
      <c r="I595" s="157"/>
      <c r="J595" s="156" t="str">
        <f t="shared" si="9"/>
        <v/>
      </c>
      <c r="K595" s="157"/>
      <c r="L595" s="157"/>
      <c r="M595" s="157"/>
      <c r="N595" s="157"/>
      <c r="O595" s="156" t="s">
        <v>5268</v>
      </c>
    </row>
    <row r="596" spans="4:15" x14ac:dyDescent="0.25">
      <c r="D596" s="157" t="s">
        <v>5269</v>
      </c>
      <c r="E596" s="156" t="s">
        <v>5257</v>
      </c>
      <c r="F596" s="157"/>
      <c r="G596" s="156"/>
      <c r="H596" s="157"/>
      <c r="I596" s="157"/>
      <c r="J596" s="156" t="str">
        <f t="shared" si="9"/>
        <v/>
      </c>
      <c r="K596" s="157"/>
      <c r="L596" s="157"/>
      <c r="M596" s="157"/>
      <c r="N596" s="157"/>
      <c r="O596" s="156" t="s">
        <v>5270</v>
      </c>
    </row>
    <row r="597" spans="4:15" x14ac:dyDescent="0.25">
      <c r="D597" s="157" t="s">
        <v>5271</v>
      </c>
      <c r="E597" s="156" t="s">
        <v>5257</v>
      </c>
      <c r="F597" s="157"/>
      <c r="G597" s="156"/>
      <c r="H597" s="157"/>
      <c r="I597" s="157"/>
      <c r="J597" s="156" t="str">
        <f t="shared" si="9"/>
        <v/>
      </c>
      <c r="K597" s="157"/>
      <c r="L597" s="157"/>
      <c r="M597" s="157"/>
      <c r="N597" s="157"/>
      <c r="O597" s="156" t="s">
        <v>5272</v>
      </c>
    </row>
    <row r="598" spans="4:15" x14ac:dyDescent="0.25">
      <c r="D598" s="157" t="s">
        <v>5273</v>
      </c>
      <c r="E598" s="156" t="s">
        <v>5257</v>
      </c>
      <c r="F598" s="157"/>
      <c r="G598" s="156"/>
      <c r="H598" s="157"/>
      <c r="I598" s="157"/>
      <c r="J598" s="156" t="str">
        <f t="shared" si="9"/>
        <v/>
      </c>
      <c r="K598" s="157"/>
      <c r="L598" s="157"/>
      <c r="M598" s="157"/>
      <c r="N598" s="157"/>
      <c r="O598" s="156" t="s">
        <v>5274</v>
      </c>
    </row>
    <row r="599" spans="4:15" x14ac:dyDescent="0.25">
      <c r="D599" s="157" t="s">
        <v>5275</v>
      </c>
      <c r="E599" s="156" t="s">
        <v>5257</v>
      </c>
      <c r="F599" s="157"/>
      <c r="G599" s="156"/>
      <c r="H599" s="157"/>
      <c r="I599" s="157"/>
      <c r="J599" s="156" t="str">
        <f t="shared" si="9"/>
        <v/>
      </c>
      <c r="K599" s="157"/>
      <c r="L599" s="157"/>
      <c r="M599" s="157"/>
      <c r="N599" s="157"/>
      <c r="O599" s="156" t="s">
        <v>5276</v>
      </c>
    </row>
    <row r="600" spans="4:15" x14ac:dyDescent="0.25">
      <c r="D600" s="157" t="s">
        <v>5277</v>
      </c>
      <c r="E600" s="156" t="s">
        <v>5278</v>
      </c>
      <c r="F600" s="157"/>
      <c r="G600" s="156"/>
      <c r="H600" s="157"/>
      <c r="I600" s="157"/>
      <c r="J600" s="156" t="str">
        <f t="shared" si="9"/>
        <v/>
      </c>
      <c r="K600" s="157"/>
      <c r="L600" s="157"/>
      <c r="M600" s="157"/>
      <c r="N600" s="157"/>
      <c r="O600" s="156" t="s">
        <v>5279</v>
      </c>
    </row>
    <row r="601" spans="4:15" x14ac:dyDescent="0.25">
      <c r="D601" s="157" t="s">
        <v>5280</v>
      </c>
      <c r="E601" s="156" t="s">
        <v>5278</v>
      </c>
      <c r="F601" s="157"/>
      <c r="G601" s="156"/>
      <c r="H601" s="157"/>
      <c r="I601" s="157"/>
      <c r="J601" s="156" t="str">
        <f t="shared" si="9"/>
        <v/>
      </c>
      <c r="K601" s="157"/>
      <c r="L601" s="157"/>
      <c r="M601" s="157"/>
      <c r="N601" s="157"/>
      <c r="O601" s="156" t="s">
        <v>5281</v>
      </c>
    </row>
    <row r="602" spans="4:15" x14ac:dyDescent="0.25">
      <c r="D602" s="157" t="s">
        <v>5282</v>
      </c>
      <c r="E602" s="156" t="s">
        <v>5278</v>
      </c>
      <c r="F602" s="157"/>
      <c r="G602" s="156"/>
      <c r="H602" s="157"/>
      <c r="I602" s="157"/>
      <c r="J602" s="156" t="str">
        <f t="shared" si="9"/>
        <v/>
      </c>
      <c r="K602" s="157"/>
      <c r="L602" s="157"/>
      <c r="M602" s="157"/>
      <c r="N602" s="157"/>
      <c r="O602" s="156" t="s">
        <v>5283</v>
      </c>
    </row>
    <row r="603" spans="4:15" x14ac:dyDescent="0.25">
      <c r="D603" s="157" t="s">
        <v>5284</v>
      </c>
      <c r="E603" s="156" t="s">
        <v>5278</v>
      </c>
      <c r="F603" s="157"/>
      <c r="G603" s="156"/>
      <c r="H603" s="157"/>
      <c r="I603" s="157"/>
      <c r="J603" s="156" t="str">
        <f t="shared" si="9"/>
        <v/>
      </c>
      <c r="K603" s="157"/>
      <c r="L603" s="157"/>
      <c r="M603" s="157"/>
      <c r="N603" s="157"/>
      <c r="O603" s="156" t="s">
        <v>5285</v>
      </c>
    </row>
    <row r="604" spans="4:15" x14ac:dyDescent="0.25">
      <c r="D604" s="157" t="s">
        <v>5286</v>
      </c>
      <c r="E604" s="156" t="s">
        <v>5278</v>
      </c>
      <c r="F604" s="157"/>
      <c r="G604" s="156"/>
      <c r="H604" s="157"/>
      <c r="I604" s="157"/>
      <c r="J604" s="156" t="str">
        <f t="shared" si="9"/>
        <v/>
      </c>
      <c r="K604" s="157"/>
      <c r="L604" s="157"/>
      <c r="M604" s="157"/>
      <c r="N604" s="157"/>
      <c r="O604" s="156" t="s">
        <v>5287</v>
      </c>
    </row>
    <row r="605" spans="4:15" x14ac:dyDescent="0.25">
      <c r="D605" s="157" t="s">
        <v>5288</v>
      </c>
      <c r="E605" s="156" t="s">
        <v>5278</v>
      </c>
      <c r="F605" s="157"/>
      <c r="G605" s="156"/>
      <c r="H605" s="157"/>
      <c r="I605" s="157"/>
      <c r="J605" s="156" t="str">
        <f t="shared" si="9"/>
        <v/>
      </c>
      <c r="K605" s="157"/>
      <c r="L605" s="157"/>
      <c r="M605" s="157"/>
      <c r="N605" s="157"/>
      <c r="O605" s="156" t="s">
        <v>5289</v>
      </c>
    </row>
    <row r="606" spans="4:15" x14ac:dyDescent="0.25">
      <c r="D606" s="157" t="s">
        <v>5290</v>
      </c>
      <c r="E606" s="156" t="s">
        <v>5278</v>
      </c>
      <c r="F606" s="157"/>
      <c r="G606" s="156"/>
      <c r="H606" s="157"/>
      <c r="I606" s="157"/>
      <c r="J606" s="156" t="str">
        <f t="shared" si="9"/>
        <v/>
      </c>
      <c r="K606" s="157"/>
      <c r="L606" s="157"/>
      <c r="M606" s="157"/>
      <c r="N606" s="157"/>
      <c r="O606" s="156" t="s">
        <v>5291</v>
      </c>
    </row>
    <row r="607" spans="4:15" x14ac:dyDescent="0.25">
      <c r="D607" s="157" t="s">
        <v>5292</v>
      </c>
      <c r="E607" s="156" t="s">
        <v>5278</v>
      </c>
      <c r="F607" s="157"/>
      <c r="G607" s="156"/>
      <c r="H607" s="157"/>
      <c r="I607" s="157"/>
      <c r="J607" s="156" t="str">
        <f t="shared" si="9"/>
        <v/>
      </c>
      <c r="K607" s="157"/>
      <c r="L607" s="157"/>
      <c r="M607" s="157"/>
      <c r="N607" s="157"/>
      <c r="O607" s="156" t="s">
        <v>5293</v>
      </c>
    </row>
    <row r="608" spans="4:15" x14ac:dyDescent="0.25">
      <c r="D608" s="157" t="s">
        <v>5294</v>
      </c>
      <c r="E608" s="156" t="s">
        <v>5278</v>
      </c>
      <c r="F608" s="157"/>
      <c r="G608" s="156"/>
      <c r="H608" s="157"/>
      <c r="I608" s="157"/>
      <c r="J608" s="156" t="str">
        <f t="shared" si="9"/>
        <v/>
      </c>
      <c r="K608" s="157"/>
      <c r="L608" s="157"/>
      <c r="M608" s="157"/>
      <c r="N608" s="157"/>
      <c r="O608" s="156" t="s">
        <v>5295</v>
      </c>
    </row>
    <row r="609" spans="4:17" x14ac:dyDescent="0.25">
      <c r="D609" s="157" t="s">
        <v>5296</v>
      </c>
      <c r="E609" s="156" t="s">
        <v>5278</v>
      </c>
      <c r="F609" s="157"/>
      <c r="G609" s="156"/>
      <c r="H609" s="157"/>
      <c r="I609" s="157"/>
      <c r="J609" s="156" t="str">
        <f t="shared" si="9"/>
        <v/>
      </c>
      <c r="K609" s="157"/>
      <c r="L609" s="157"/>
      <c r="M609" s="157"/>
      <c r="N609" s="157"/>
      <c r="O609" s="156" t="s">
        <v>5297</v>
      </c>
    </row>
    <row r="613" spans="4:17" ht="13" x14ac:dyDescent="0.3">
      <c r="D613" s="6" t="s">
        <v>163</v>
      </c>
    </row>
    <row r="614" spans="4:17" x14ac:dyDescent="0.25">
      <c r="D614" s="156" t="s">
        <v>165</v>
      </c>
      <c r="E614" s="156" t="s">
        <v>167</v>
      </c>
      <c r="F614" s="156" t="s">
        <v>99</v>
      </c>
      <c r="G614" s="156"/>
      <c r="H614" s="156" t="s">
        <v>34</v>
      </c>
      <c r="I614" s="156" t="s">
        <v>27</v>
      </c>
      <c r="J614" s="156" t="s">
        <v>155</v>
      </c>
      <c r="K614" s="156" t="s">
        <v>2</v>
      </c>
      <c r="L614" s="156" t="s">
        <v>3</v>
      </c>
      <c r="M614" s="156" t="s">
        <v>4</v>
      </c>
      <c r="N614" s="156" t="s">
        <v>146</v>
      </c>
      <c r="O614" s="156" t="s">
        <v>18</v>
      </c>
      <c r="P614" s="156" t="s">
        <v>9</v>
      </c>
      <c r="Q614" s="156" t="s">
        <v>48</v>
      </c>
    </row>
    <row r="615" spans="4:17" hidden="1" x14ac:dyDescent="0.25">
      <c r="D615" s="157" t="s">
        <v>164</v>
      </c>
      <c r="E615" s="156" t="s">
        <v>166</v>
      </c>
      <c r="F615" s="157" t="s">
        <v>171</v>
      </c>
      <c r="G615" s="156"/>
      <c r="H615" s="157" t="s">
        <v>77</v>
      </c>
      <c r="I615" s="157" t="s">
        <v>76</v>
      </c>
      <c r="J615" s="156" t="str">
        <f>F615&amp;H615&amp;I615</f>
        <v>[Coverage Indicator Name][Category][Disaggregation]</v>
      </c>
      <c r="K615" s="162" t="s">
        <v>56</v>
      </c>
      <c r="L615" s="163" t="s">
        <v>57</v>
      </c>
      <c r="M615" s="164" t="s">
        <v>168</v>
      </c>
      <c r="N615" s="157" t="s">
        <v>58</v>
      </c>
      <c r="O615" s="157" t="s">
        <v>42</v>
      </c>
      <c r="P615" s="157" t="s">
        <v>69</v>
      </c>
      <c r="Q615" s="156" t="s">
        <v>47</v>
      </c>
    </row>
    <row r="616" spans="4:17" x14ac:dyDescent="0.25">
      <c r="D616" s="157" t="s">
        <v>5298</v>
      </c>
      <c r="E616" s="156" t="s">
        <v>5299</v>
      </c>
      <c r="F616" s="157"/>
      <c r="G616" s="156"/>
      <c r="H616" s="157"/>
      <c r="I616" s="157"/>
      <c r="J616" s="156" t="str">
        <f t="shared" ref="J616:J679" si="10">F616&amp;H616&amp;I616</f>
        <v/>
      </c>
      <c r="K616" s="162"/>
      <c r="L616" s="163"/>
      <c r="M616" s="164"/>
      <c r="N616" s="157"/>
      <c r="O616" s="157"/>
      <c r="P616" s="157"/>
      <c r="Q616" s="156" t="s">
        <v>5300</v>
      </c>
    </row>
    <row r="617" spans="4:17" x14ac:dyDescent="0.25">
      <c r="D617" s="157" t="s">
        <v>5301</v>
      </c>
      <c r="E617" s="156" t="s">
        <v>5299</v>
      </c>
      <c r="F617" s="157"/>
      <c r="G617" s="156"/>
      <c r="H617" s="157"/>
      <c r="I617" s="157"/>
      <c r="J617" s="156" t="str">
        <f t="shared" si="10"/>
        <v/>
      </c>
      <c r="K617" s="162"/>
      <c r="L617" s="163"/>
      <c r="M617" s="164"/>
      <c r="N617" s="157"/>
      <c r="O617" s="157"/>
      <c r="P617" s="157"/>
      <c r="Q617" s="156" t="s">
        <v>5302</v>
      </c>
    </row>
    <row r="618" spans="4:17" x14ac:dyDescent="0.25">
      <c r="D618" s="157" t="s">
        <v>5303</v>
      </c>
      <c r="E618" s="156" t="s">
        <v>5299</v>
      </c>
      <c r="F618" s="157"/>
      <c r="G618" s="156"/>
      <c r="H618" s="157"/>
      <c r="I618" s="157"/>
      <c r="J618" s="156" t="str">
        <f t="shared" si="10"/>
        <v/>
      </c>
      <c r="K618" s="162"/>
      <c r="L618" s="163"/>
      <c r="M618" s="164"/>
      <c r="N618" s="157"/>
      <c r="O618" s="157"/>
      <c r="P618" s="157"/>
      <c r="Q618" s="156" t="s">
        <v>5304</v>
      </c>
    </row>
    <row r="619" spans="4:17" x14ac:dyDescent="0.25">
      <c r="D619" s="157" t="s">
        <v>5305</v>
      </c>
      <c r="E619" s="156" t="s">
        <v>5299</v>
      </c>
      <c r="F619" s="157"/>
      <c r="G619" s="156"/>
      <c r="H619" s="157"/>
      <c r="I619" s="157"/>
      <c r="J619" s="156" t="str">
        <f t="shared" si="10"/>
        <v/>
      </c>
      <c r="K619" s="162"/>
      <c r="L619" s="163"/>
      <c r="M619" s="164"/>
      <c r="N619" s="157"/>
      <c r="O619" s="157"/>
      <c r="P619" s="157"/>
      <c r="Q619" s="156" t="s">
        <v>5306</v>
      </c>
    </row>
    <row r="620" spans="4:17" x14ac:dyDescent="0.25">
      <c r="D620" s="157" t="s">
        <v>5307</v>
      </c>
      <c r="E620" s="156" t="s">
        <v>5299</v>
      </c>
      <c r="F620" s="157"/>
      <c r="G620" s="156"/>
      <c r="H620" s="157"/>
      <c r="I620" s="157"/>
      <c r="J620" s="156" t="str">
        <f t="shared" si="10"/>
        <v/>
      </c>
      <c r="K620" s="162"/>
      <c r="L620" s="163"/>
      <c r="M620" s="164"/>
      <c r="N620" s="157"/>
      <c r="O620" s="157"/>
      <c r="P620" s="157"/>
      <c r="Q620" s="156" t="s">
        <v>5308</v>
      </c>
    </row>
    <row r="621" spans="4:17" x14ac:dyDescent="0.25">
      <c r="D621" s="157" t="s">
        <v>5309</v>
      </c>
      <c r="E621" s="156" t="s">
        <v>5299</v>
      </c>
      <c r="F621" s="157"/>
      <c r="G621" s="156"/>
      <c r="H621" s="157"/>
      <c r="I621" s="157"/>
      <c r="J621" s="156" t="str">
        <f t="shared" si="10"/>
        <v/>
      </c>
      <c r="K621" s="162"/>
      <c r="L621" s="163"/>
      <c r="M621" s="164"/>
      <c r="N621" s="157"/>
      <c r="O621" s="157"/>
      <c r="P621" s="157"/>
      <c r="Q621" s="156" t="s">
        <v>5310</v>
      </c>
    </row>
    <row r="622" spans="4:17" x14ac:dyDescent="0.25">
      <c r="D622" s="157" t="s">
        <v>5311</v>
      </c>
      <c r="E622" s="156" t="s">
        <v>5299</v>
      </c>
      <c r="F622" s="157"/>
      <c r="G622" s="156"/>
      <c r="H622" s="157"/>
      <c r="I622" s="157"/>
      <c r="J622" s="156" t="str">
        <f t="shared" si="10"/>
        <v/>
      </c>
      <c r="K622" s="162"/>
      <c r="L622" s="163"/>
      <c r="M622" s="164"/>
      <c r="N622" s="157"/>
      <c r="O622" s="157"/>
      <c r="P622" s="157"/>
      <c r="Q622" s="156" t="s">
        <v>5312</v>
      </c>
    </row>
    <row r="623" spans="4:17" x14ac:dyDescent="0.25">
      <c r="D623" s="157" t="s">
        <v>5313</v>
      </c>
      <c r="E623" s="156" t="s">
        <v>5299</v>
      </c>
      <c r="F623" s="157"/>
      <c r="G623" s="156"/>
      <c r="H623" s="157"/>
      <c r="I623" s="157"/>
      <c r="J623" s="156" t="str">
        <f t="shared" si="10"/>
        <v/>
      </c>
      <c r="K623" s="162"/>
      <c r="L623" s="163"/>
      <c r="M623" s="164"/>
      <c r="N623" s="157"/>
      <c r="O623" s="157"/>
      <c r="P623" s="157"/>
      <c r="Q623" s="156" t="s">
        <v>5314</v>
      </c>
    </row>
    <row r="624" spans="4:17" x14ac:dyDescent="0.25">
      <c r="D624" s="157" t="s">
        <v>5315</v>
      </c>
      <c r="E624" s="156" t="s">
        <v>5299</v>
      </c>
      <c r="F624" s="157"/>
      <c r="G624" s="156"/>
      <c r="H624" s="157"/>
      <c r="I624" s="157"/>
      <c r="J624" s="156" t="str">
        <f t="shared" si="10"/>
        <v/>
      </c>
      <c r="K624" s="162"/>
      <c r="L624" s="163"/>
      <c r="M624" s="164"/>
      <c r="N624" s="157"/>
      <c r="O624" s="157"/>
      <c r="P624" s="157"/>
      <c r="Q624" s="156" t="s">
        <v>5316</v>
      </c>
    </row>
    <row r="625" spans="4:17" x14ac:dyDescent="0.25">
      <c r="D625" s="157" t="s">
        <v>5317</v>
      </c>
      <c r="E625" s="156" t="s">
        <v>5299</v>
      </c>
      <c r="F625" s="157"/>
      <c r="G625" s="156"/>
      <c r="H625" s="157"/>
      <c r="I625" s="157"/>
      <c r="J625" s="156" t="str">
        <f t="shared" si="10"/>
        <v/>
      </c>
      <c r="K625" s="162"/>
      <c r="L625" s="163"/>
      <c r="M625" s="164"/>
      <c r="N625" s="157"/>
      <c r="O625" s="157"/>
      <c r="P625" s="157"/>
      <c r="Q625" s="156" t="s">
        <v>5318</v>
      </c>
    </row>
    <row r="626" spans="4:17" x14ac:dyDescent="0.25">
      <c r="D626" s="157" t="s">
        <v>5319</v>
      </c>
      <c r="E626" s="156" t="s">
        <v>5299</v>
      </c>
      <c r="F626" s="157"/>
      <c r="G626" s="156"/>
      <c r="H626" s="157"/>
      <c r="I626" s="157"/>
      <c r="J626" s="156" t="str">
        <f t="shared" si="10"/>
        <v/>
      </c>
      <c r="K626" s="162"/>
      <c r="L626" s="163"/>
      <c r="M626" s="164"/>
      <c r="N626" s="157"/>
      <c r="O626" s="157"/>
      <c r="P626" s="157"/>
      <c r="Q626" s="156" t="s">
        <v>5320</v>
      </c>
    </row>
    <row r="627" spans="4:17" x14ac:dyDescent="0.25">
      <c r="D627" s="157" t="s">
        <v>5321</v>
      </c>
      <c r="E627" s="156" t="s">
        <v>5299</v>
      </c>
      <c r="F627" s="157"/>
      <c r="G627" s="156"/>
      <c r="H627" s="157"/>
      <c r="I627" s="157"/>
      <c r="J627" s="156" t="str">
        <f t="shared" si="10"/>
        <v/>
      </c>
      <c r="K627" s="162"/>
      <c r="L627" s="163"/>
      <c r="M627" s="164"/>
      <c r="N627" s="157"/>
      <c r="O627" s="157"/>
      <c r="P627" s="157"/>
      <c r="Q627" s="156" t="s">
        <v>5322</v>
      </c>
    </row>
    <row r="628" spans="4:17" x14ac:dyDescent="0.25">
      <c r="D628" s="157" t="s">
        <v>5323</v>
      </c>
      <c r="E628" s="156" t="s">
        <v>5299</v>
      </c>
      <c r="F628" s="157"/>
      <c r="G628" s="156"/>
      <c r="H628" s="157"/>
      <c r="I628" s="157"/>
      <c r="J628" s="156" t="str">
        <f t="shared" si="10"/>
        <v/>
      </c>
      <c r="K628" s="162"/>
      <c r="L628" s="163"/>
      <c r="M628" s="164"/>
      <c r="N628" s="157"/>
      <c r="O628" s="157"/>
      <c r="P628" s="157"/>
      <c r="Q628" s="156" t="s">
        <v>5324</v>
      </c>
    </row>
    <row r="629" spans="4:17" x14ac:dyDescent="0.25">
      <c r="D629" s="157" t="s">
        <v>5325</v>
      </c>
      <c r="E629" s="156" t="s">
        <v>5299</v>
      </c>
      <c r="F629" s="157"/>
      <c r="G629" s="156"/>
      <c r="H629" s="157"/>
      <c r="I629" s="157"/>
      <c r="J629" s="156" t="str">
        <f t="shared" si="10"/>
        <v/>
      </c>
      <c r="K629" s="162"/>
      <c r="L629" s="163"/>
      <c r="M629" s="164"/>
      <c r="N629" s="157"/>
      <c r="O629" s="157"/>
      <c r="P629" s="157"/>
      <c r="Q629" s="156" t="s">
        <v>5326</v>
      </c>
    </row>
    <row r="630" spans="4:17" x14ac:dyDescent="0.25">
      <c r="D630" s="157" t="s">
        <v>5327</v>
      </c>
      <c r="E630" s="156" t="s">
        <v>5299</v>
      </c>
      <c r="F630" s="157"/>
      <c r="G630" s="156"/>
      <c r="H630" s="157"/>
      <c r="I630" s="157"/>
      <c r="J630" s="156" t="str">
        <f t="shared" si="10"/>
        <v/>
      </c>
      <c r="K630" s="162"/>
      <c r="L630" s="163"/>
      <c r="M630" s="164"/>
      <c r="N630" s="157"/>
      <c r="O630" s="157"/>
      <c r="P630" s="157"/>
      <c r="Q630" s="156" t="s">
        <v>5328</v>
      </c>
    </row>
    <row r="631" spans="4:17" x14ac:dyDescent="0.25">
      <c r="D631" s="157" t="s">
        <v>5329</v>
      </c>
      <c r="E631" s="156" t="s">
        <v>5299</v>
      </c>
      <c r="F631" s="157"/>
      <c r="G631" s="156"/>
      <c r="H631" s="157"/>
      <c r="I631" s="157"/>
      <c r="J631" s="156" t="str">
        <f t="shared" si="10"/>
        <v/>
      </c>
      <c r="K631" s="162"/>
      <c r="L631" s="163"/>
      <c r="M631" s="164"/>
      <c r="N631" s="157"/>
      <c r="O631" s="157"/>
      <c r="P631" s="157"/>
      <c r="Q631" s="156" t="s">
        <v>5330</v>
      </c>
    </row>
    <row r="632" spans="4:17" x14ac:dyDescent="0.25">
      <c r="D632" s="157" t="s">
        <v>5331</v>
      </c>
      <c r="E632" s="156" t="s">
        <v>5299</v>
      </c>
      <c r="F632" s="157"/>
      <c r="G632" s="156"/>
      <c r="H632" s="157"/>
      <c r="I632" s="157"/>
      <c r="J632" s="156" t="str">
        <f t="shared" si="10"/>
        <v/>
      </c>
      <c r="K632" s="162"/>
      <c r="L632" s="163"/>
      <c r="M632" s="164"/>
      <c r="N632" s="157"/>
      <c r="O632" s="157"/>
      <c r="P632" s="157"/>
      <c r="Q632" s="156" t="s">
        <v>5332</v>
      </c>
    </row>
    <row r="633" spans="4:17" x14ac:dyDescent="0.25">
      <c r="D633" s="157" t="s">
        <v>5333</v>
      </c>
      <c r="E633" s="156" t="s">
        <v>5299</v>
      </c>
      <c r="F633" s="157"/>
      <c r="G633" s="156"/>
      <c r="H633" s="157"/>
      <c r="I633" s="157"/>
      <c r="J633" s="156" t="str">
        <f t="shared" si="10"/>
        <v/>
      </c>
      <c r="K633" s="162"/>
      <c r="L633" s="163"/>
      <c r="M633" s="164"/>
      <c r="N633" s="157"/>
      <c r="O633" s="157"/>
      <c r="P633" s="157"/>
      <c r="Q633" s="156" t="s">
        <v>5334</v>
      </c>
    </row>
    <row r="634" spans="4:17" x14ac:dyDescent="0.25">
      <c r="D634" s="157" t="s">
        <v>5335</v>
      </c>
      <c r="E634" s="156" t="s">
        <v>5299</v>
      </c>
      <c r="F634" s="157"/>
      <c r="G634" s="156"/>
      <c r="H634" s="157"/>
      <c r="I634" s="157"/>
      <c r="J634" s="156" t="str">
        <f t="shared" si="10"/>
        <v/>
      </c>
      <c r="K634" s="162"/>
      <c r="L634" s="163"/>
      <c r="M634" s="164"/>
      <c r="N634" s="157"/>
      <c r="O634" s="157"/>
      <c r="P634" s="157"/>
      <c r="Q634" s="156" t="s">
        <v>5336</v>
      </c>
    </row>
    <row r="635" spans="4:17" x14ac:dyDescent="0.25">
      <c r="D635" s="157" t="s">
        <v>5337</v>
      </c>
      <c r="E635" s="156" t="s">
        <v>5299</v>
      </c>
      <c r="F635" s="157"/>
      <c r="G635" s="156"/>
      <c r="H635" s="157"/>
      <c r="I635" s="157"/>
      <c r="J635" s="156" t="str">
        <f t="shared" si="10"/>
        <v/>
      </c>
      <c r="K635" s="162"/>
      <c r="L635" s="163"/>
      <c r="M635" s="164"/>
      <c r="N635" s="157"/>
      <c r="O635" s="157"/>
      <c r="P635" s="157"/>
      <c r="Q635" s="156" t="s">
        <v>5338</v>
      </c>
    </row>
    <row r="636" spans="4:17" x14ac:dyDescent="0.25">
      <c r="D636" s="157" t="s">
        <v>5339</v>
      </c>
      <c r="E636" s="156" t="s">
        <v>5340</v>
      </c>
      <c r="F636" s="157"/>
      <c r="G636" s="156"/>
      <c r="H636" s="157"/>
      <c r="I636" s="157"/>
      <c r="J636" s="156" t="str">
        <f t="shared" si="10"/>
        <v/>
      </c>
      <c r="K636" s="162"/>
      <c r="L636" s="163"/>
      <c r="M636" s="164"/>
      <c r="N636" s="157"/>
      <c r="O636" s="157"/>
      <c r="P636" s="157"/>
      <c r="Q636" s="156" t="s">
        <v>5341</v>
      </c>
    </row>
    <row r="637" spans="4:17" x14ac:dyDescent="0.25">
      <c r="D637" s="157" t="s">
        <v>5342</v>
      </c>
      <c r="E637" s="156" t="s">
        <v>5340</v>
      </c>
      <c r="F637" s="157"/>
      <c r="G637" s="156"/>
      <c r="H637" s="157"/>
      <c r="I637" s="157"/>
      <c r="J637" s="156" t="str">
        <f t="shared" si="10"/>
        <v/>
      </c>
      <c r="K637" s="162"/>
      <c r="L637" s="163"/>
      <c r="M637" s="164"/>
      <c r="N637" s="157"/>
      <c r="O637" s="157"/>
      <c r="P637" s="157"/>
      <c r="Q637" s="156" t="s">
        <v>5343</v>
      </c>
    </row>
    <row r="638" spans="4:17" x14ac:dyDescent="0.25">
      <c r="D638" s="157" t="s">
        <v>5344</v>
      </c>
      <c r="E638" s="156" t="s">
        <v>5340</v>
      </c>
      <c r="F638" s="157"/>
      <c r="G638" s="156"/>
      <c r="H638" s="157"/>
      <c r="I638" s="157"/>
      <c r="J638" s="156" t="str">
        <f t="shared" si="10"/>
        <v/>
      </c>
      <c r="K638" s="162"/>
      <c r="L638" s="163"/>
      <c r="M638" s="164"/>
      <c r="N638" s="157"/>
      <c r="O638" s="157"/>
      <c r="P638" s="157"/>
      <c r="Q638" s="156" t="s">
        <v>5345</v>
      </c>
    </row>
    <row r="639" spans="4:17" x14ac:dyDescent="0.25">
      <c r="D639" s="157" t="s">
        <v>5346</v>
      </c>
      <c r="E639" s="156" t="s">
        <v>5340</v>
      </c>
      <c r="F639" s="157"/>
      <c r="G639" s="156"/>
      <c r="H639" s="157"/>
      <c r="I639" s="157"/>
      <c r="J639" s="156" t="str">
        <f t="shared" si="10"/>
        <v/>
      </c>
      <c r="K639" s="162"/>
      <c r="L639" s="163"/>
      <c r="M639" s="164"/>
      <c r="N639" s="157"/>
      <c r="O639" s="157"/>
      <c r="P639" s="157"/>
      <c r="Q639" s="156" t="s">
        <v>5347</v>
      </c>
    </row>
    <row r="640" spans="4:17" x14ac:dyDescent="0.25">
      <c r="D640" s="157" t="s">
        <v>5348</v>
      </c>
      <c r="E640" s="156" t="s">
        <v>5340</v>
      </c>
      <c r="F640" s="157"/>
      <c r="G640" s="156"/>
      <c r="H640" s="157"/>
      <c r="I640" s="157"/>
      <c r="J640" s="156" t="str">
        <f t="shared" si="10"/>
        <v/>
      </c>
      <c r="K640" s="162"/>
      <c r="L640" s="163"/>
      <c r="M640" s="164"/>
      <c r="N640" s="157"/>
      <c r="O640" s="157"/>
      <c r="P640" s="157"/>
      <c r="Q640" s="156" t="s">
        <v>5349</v>
      </c>
    </row>
    <row r="641" spans="4:17" x14ac:dyDescent="0.25">
      <c r="D641" s="157" t="s">
        <v>5350</v>
      </c>
      <c r="E641" s="156" t="s">
        <v>5340</v>
      </c>
      <c r="F641" s="157"/>
      <c r="G641" s="156"/>
      <c r="H641" s="157"/>
      <c r="I641" s="157"/>
      <c r="J641" s="156" t="str">
        <f t="shared" si="10"/>
        <v/>
      </c>
      <c r="K641" s="162"/>
      <c r="L641" s="163"/>
      <c r="M641" s="164"/>
      <c r="N641" s="157"/>
      <c r="O641" s="157"/>
      <c r="P641" s="157"/>
      <c r="Q641" s="156" t="s">
        <v>5351</v>
      </c>
    </row>
    <row r="642" spans="4:17" x14ac:dyDescent="0.25">
      <c r="D642" s="157" t="s">
        <v>5352</v>
      </c>
      <c r="E642" s="156" t="s">
        <v>5340</v>
      </c>
      <c r="F642" s="157"/>
      <c r="G642" s="156"/>
      <c r="H642" s="157"/>
      <c r="I642" s="157"/>
      <c r="J642" s="156" t="str">
        <f t="shared" si="10"/>
        <v/>
      </c>
      <c r="K642" s="162"/>
      <c r="L642" s="163"/>
      <c r="M642" s="164"/>
      <c r="N642" s="157"/>
      <c r="O642" s="157"/>
      <c r="P642" s="157"/>
      <c r="Q642" s="156" t="s">
        <v>5353</v>
      </c>
    </row>
    <row r="643" spans="4:17" x14ac:dyDescent="0.25">
      <c r="D643" s="157" t="s">
        <v>5354</v>
      </c>
      <c r="E643" s="156" t="s">
        <v>5340</v>
      </c>
      <c r="F643" s="157"/>
      <c r="G643" s="156"/>
      <c r="H643" s="157"/>
      <c r="I643" s="157"/>
      <c r="J643" s="156" t="str">
        <f t="shared" si="10"/>
        <v/>
      </c>
      <c r="K643" s="162"/>
      <c r="L643" s="163"/>
      <c r="M643" s="164"/>
      <c r="N643" s="157"/>
      <c r="O643" s="157"/>
      <c r="P643" s="157"/>
      <c r="Q643" s="156" t="s">
        <v>5355</v>
      </c>
    </row>
    <row r="644" spans="4:17" x14ac:dyDescent="0.25">
      <c r="D644" s="157" t="s">
        <v>5356</v>
      </c>
      <c r="E644" s="156" t="s">
        <v>5340</v>
      </c>
      <c r="F644" s="157"/>
      <c r="G644" s="156"/>
      <c r="H644" s="157"/>
      <c r="I644" s="157"/>
      <c r="J644" s="156" t="str">
        <f t="shared" si="10"/>
        <v/>
      </c>
      <c r="K644" s="162"/>
      <c r="L644" s="163"/>
      <c r="M644" s="164"/>
      <c r="N644" s="157"/>
      <c r="O644" s="157"/>
      <c r="P644" s="157"/>
      <c r="Q644" s="156" t="s">
        <v>5357</v>
      </c>
    </row>
    <row r="645" spans="4:17" x14ac:dyDescent="0.25">
      <c r="D645" s="157" t="s">
        <v>5358</v>
      </c>
      <c r="E645" s="156" t="s">
        <v>5340</v>
      </c>
      <c r="F645" s="157"/>
      <c r="G645" s="156"/>
      <c r="H645" s="157"/>
      <c r="I645" s="157"/>
      <c r="J645" s="156" t="str">
        <f t="shared" si="10"/>
        <v/>
      </c>
      <c r="K645" s="162"/>
      <c r="L645" s="163"/>
      <c r="M645" s="164"/>
      <c r="N645" s="157"/>
      <c r="O645" s="157"/>
      <c r="P645" s="157"/>
      <c r="Q645" s="156" t="s">
        <v>5359</v>
      </c>
    </row>
    <row r="646" spans="4:17" x14ac:dyDescent="0.25">
      <c r="D646" s="157" t="s">
        <v>5360</v>
      </c>
      <c r="E646" s="156" t="s">
        <v>5340</v>
      </c>
      <c r="F646" s="157"/>
      <c r="G646" s="156"/>
      <c r="H646" s="157"/>
      <c r="I646" s="157"/>
      <c r="J646" s="156" t="str">
        <f t="shared" si="10"/>
        <v/>
      </c>
      <c r="K646" s="162"/>
      <c r="L646" s="163"/>
      <c r="M646" s="164"/>
      <c r="N646" s="157"/>
      <c r="O646" s="157"/>
      <c r="P646" s="157"/>
      <c r="Q646" s="156" t="s">
        <v>5361</v>
      </c>
    </row>
    <row r="647" spans="4:17" x14ac:dyDescent="0.25">
      <c r="D647" s="157" t="s">
        <v>5362</v>
      </c>
      <c r="E647" s="156" t="s">
        <v>5340</v>
      </c>
      <c r="F647" s="157"/>
      <c r="G647" s="156"/>
      <c r="H647" s="157"/>
      <c r="I647" s="157"/>
      <c r="J647" s="156" t="str">
        <f t="shared" si="10"/>
        <v/>
      </c>
      <c r="K647" s="162"/>
      <c r="L647" s="163"/>
      <c r="M647" s="164"/>
      <c r="N647" s="157"/>
      <c r="O647" s="157"/>
      <c r="P647" s="157"/>
      <c r="Q647" s="156" t="s">
        <v>5363</v>
      </c>
    </row>
    <row r="648" spans="4:17" x14ac:dyDescent="0.25">
      <c r="D648" s="157" t="s">
        <v>5364</v>
      </c>
      <c r="E648" s="156" t="s">
        <v>5340</v>
      </c>
      <c r="F648" s="157"/>
      <c r="G648" s="156"/>
      <c r="H648" s="157"/>
      <c r="I648" s="157"/>
      <c r="J648" s="156" t="str">
        <f t="shared" si="10"/>
        <v/>
      </c>
      <c r="K648" s="162"/>
      <c r="L648" s="163"/>
      <c r="M648" s="164"/>
      <c r="N648" s="157"/>
      <c r="O648" s="157"/>
      <c r="P648" s="157"/>
      <c r="Q648" s="156" t="s">
        <v>5365</v>
      </c>
    </row>
    <row r="649" spans="4:17" x14ac:dyDescent="0.25">
      <c r="D649" s="157" t="s">
        <v>5366</v>
      </c>
      <c r="E649" s="156" t="s">
        <v>5340</v>
      </c>
      <c r="F649" s="157"/>
      <c r="G649" s="156"/>
      <c r="H649" s="157"/>
      <c r="I649" s="157"/>
      <c r="J649" s="156" t="str">
        <f t="shared" si="10"/>
        <v/>
      </c>
      <c r="K649" s="162"/>
      <c r="L649" s="163"/>
      <c r="M649" s="164"/>
      <c r="N649" s="157"/>
      <c r="O649" s="157"/>
      <c r="P649" s="157"/>
      <c r="Q649" s="156" t="s">
        <v>5367</v>
      </c>
    </row>
    <row r="650" spans="4:17" x14ac:dyDescent="0.25">
      <c r="D650" s="157" t="s">
        <v>5368</v>
      </c>
      <c r="E650" s="156" t="s">
        <v>5340</v>
      </c>
      <c r="F650" s="157"/>
      <c r="G650" s="156"/>
      <c r="H650" s="157"/>
      <c r="I650" s="157"/>
      <c r="J650" s="156" t="str">
        <f t="shared" si="10"/>
        <v/>
      </c>
      <c r="K650" s="162"/>
      <c r="L650" s="163"/>
      <c r="M650" s="164"/>
      <c r="N650" s="157"/>
      <c r="O650" s="157"/>
      <c r="P650" s="157"/>
      <c r="Q650" s="156" t="s">
        <v>5369</v>
      </c>
    </row>
    <row r="651" spans="4:17" x14ac:dyDescent="0.25">
      <c r="D651" s="157" t="s">
        <v>5370</v>
      </c>
      <c r="E651" s="156" t="s">
        <v>5340</v>
      </c>
      <c r="F651" s="157"/>
      <c r="G651" s="156"/>
      <c r="H651" s="157"/>
      <c r="I651" s="157"/>
      <c r="J651" s="156" t="str">
        <f t="shared" si="10"/>
        <v/>
      </c>
      <c r="K651" s="162"/>
      <c r="L651" s="163"/>
      <c r="M651" s="164"/>
      <c r="N651" s="157"/>
      <c r="O651" s="157"/>
      <c r="P651" s="157"/>
      <c r="Q651" s="156" t="s">
        <v>5371</v>
      </c>
    </row>
    <row r="652" spans="4:17" x14ac:dyDescent="0.25">
      <c r="D652" s="157" t="s">
        <v>5372</v>
      </c>
      <c r="E652" s="156" t="s">
        <v>5340</v>
      </c>
      <c r="F652" s="157"/>
      <c r="G652" s="156"/>
      <c r="H652" s="157"/>
      <c r="I652" s="157"/>
      <c r="J652" s="156" t="str">
        <f t="shared" si="10"/>
        <v/>
      </c>
      <c r="K652" s="162"/>
      <c r="L652" s="163"/>
      <c r="M652" s="164"/>
      <c r="N652" s="157"/>
      <c r="O652" s="157"/>
      <c r="P652" s="157"/>
      <c r="Q652" s="156" t="s">
        <v>5373</v>
      </c>
    </row>
    <row r="653" spans="4:17" x14ac:dyDescent="0.25">
      <c r="D653" s="157" t="s">
        <v>5374</v>
      </c>
      <c r="E653" s="156" t="s">
        <v>5340</v>
      </c>
      <c r="F653" s="157"/>
      <c r="G653" s="156"/>
      <c r="H653" s="157"/>
      <c r="I653" s="157"/>
      <c r="J653" s="156" t="str">
        <f t="shared" si="10"/>
        <v/>
      </c>
      <c r="K653" s="162"/>
      <c r="L653" s="163"/>
      <c r="M653" s="164"/>
      <c r="N653" s="157"/>
      <c r="O653" s="157"/>
      <c r="P653" s="157"/>
      <c r="Q653" s="156" t="s">
        <v>5375</v>
      </c>
    </row>
    <row r="654" spans="4:17" x14ac:dyDescent="0.25">
      <c r="D654" s="157" t="s">
        <v>5376</v>
      </c>
      <c r="E654" s="156" t="s">
        <v>5340</v>
      </c>
      <c r="F654" s="157"/>
      <c r="G654" s="156"/>
      <c r="H654" s="157"/>
      <c r="I654" s="157"/>
      <c r="J654" s="156" t="str">
        <f t="shared" si="10"/>
        <v/>
      </c>
      <c r="K654" s="162"/>
      <c r="L654" s="163"/>
      <c r="M654" s="164"/>
      <c r="N654" s="157"/>
      <c r="O654" s="157"/>
      <c r="P654" s="157"/>
      <c r="Q654" s="156" t="s">
        <v>5377</v>
      </c>
    </row>
    <row r="655" spans="4:17" x14ac:dyDescent="0.25">
      <c r="D655" s="157" t="s">
        <v>5378</v>
      </c>
      <c r="E655" s="156" t="s">
        <v>5340</v>
      </c>
      <c r="F655" s="157"/>
      <c r="G655" s="156"/>
      <c r="H655" s="157"/>
      <c r="I655" s="157"/>
      <c r="J655" s="156" t="str">
        <f t="shared" si="10"/>
        <v/>
      </c>
      <c r="K655" s="162"/>
      <c r="L655" s="163"/>
      <c r="M655" s="164"/>
      <c r="N655" s="157"/>
      <c r="O655" s="157"/>
      <c r="P655" s="157"/>
      <c r="Q655" s="156" t="s">
        <v>5379</v>
      </c>
    </row>
    <row r="656" spans="4:17" x14ac:dyDescent="0.25">
      <c r="D656" s="157" t="s">
        <v>5380</v>
      </c>
      <c r="E656" s="156" t="s">
        <v>5381</v>
      </c>
      <c r="F656" s="157"/>
      <c r="G656" s="156"/>
      <c r="H656" s="157"/>
      <c r="I656" s="157"/>
      <c r="J656" s="156" t="str">
        <f t="shared" si="10"/>
        <v/>
      </c>
      <c r="K656" s="162"/>
      <c r="L656" s="163"/>
      <c r="M656" s="164"/>
      <c r="N656" s="157"/>
      <c r="O656" s="157"/>
      <c r="P656" s="157"/>
      <c r="Q656" s="156" t="s">
        <v>5382</v>
      </c>
    </row>
    <row r="657" spans="4:17" x14ac:dyDescent="0.25">
      <c r="D657" s="157" t="s">
        <v>5383</v>
      </c>
      <c r="E657" s="156" t="s">
        <v>5381</v>
      </c>
      <c r="F657" s="157"/>
      <c r="G657" s="156"/>
      <c r="H657" s="157"/>
      <c r="I657" s="157"/>
      <c r="J657" s="156" t="str">
        <f t="shared" si="10"/>
        <v/>
      </c>
      <c r="K657" s="162"/>
      <c r="L657" s="163"/>
      <c r="M657" s="164"/>
      <c r="N657" s="157"/>
      <c r="O657" s="157"/>
      <c r="P657" s="157"/>
      <c r="Q657" s="156" t="s">
        <v>5384</v>
      </c>
    </row>
    <row r="658" spans="4:17" x14ac:dyDescent="0.25">
      <c r="D658" s="157" t="s">
        <v>5385</v>
      </c>
      <c r="E658" s="156" t="s">
        <v>5381</v>
      </c>
      <c r="F658" s="157"/>
      <c r="G658" s="156"/>
      <c r="H658" s="157"/>
      <c r="I658" s="157"/>
      <c r="J658" s="156" t="str">
        <f t="shared" si="10"/>
        <v/>
      </c>
      <c r="K658" s="162"/>
      <c r="L658" s="163"/>
      <c r="M658" s="164"/>
      <c r="N658" s="157"/>
      <c r="O658" s="157"/>
      <c r="P658" s="157"/>
      <c r="Q658" s="156" t="s">
        <v>5386</v>
      </c>
    </row>
    <row r="659" spans="4:17" x14ac:dyDescent="0.25">
      <c r="D659" s="157" t="s">
        <v>5387</v>
      </c>
      <c r="E659" s="156" t="s">
        <v>5381</v>
      </c>
      <c r="F659" s="157"/>
      <c r="G659" s="156"/>
      <c r="H659" s="157"/>
      <c r="I659" s="157"/>
      <c r="J659" s="156" t="str">
        <f t="shared" si="10"/>
        <v/>
      </c>
      <c r="K659" s="162"/>
      <c r="L659" s="163"/>
      <c r="M659" s="164"/>
      <c r="N659" s="157"/>
      <c r="O659" s="157"/>
      <c r="P659" s="157"/>
      <c r="Q659" s="156" t="s">
        <v>5388</v>
      </c>
    </row>
    <row r="660" spans="4:17" x14ac:dyDescent="0.25">
      <c r="D660" s="157" t="s">
        <v>5389</v>
      </c>
      <c r="E660" s="156" t="s">
        <v>5381</v>
      </c>
      <c r="F660" s="157"/>
      <c r="G660" s="156"/>
      <c r="H660" s="157"/>
      <c r="I660" s="157"/>
      <c r="J660" s="156" t="str">
        <f t="shared" si="10"/>
        <v/>
      </c>
      <c r="K660" s="162"/>
      <c r="L660" s="163"/>
      <c r="M660" s="164"/>
      <c r="N660" s="157"/>
      <c r="O660" s="157"/>
      <c r="P660" s="157"/>
      <c r="Q660" s="156" t="s">
        <v>5390</v>
      </c>
    </row>
    <row r="661" spans="4:17" x14ac:dyDescent="0.25">
      <c r="D661" s="157" t="s">
        <v>5391</v>
      </c>
      <c r="E661" s="156" t="s">
        <v>5381</v>
      </c>
      <c r="F661" s="157"/>
      <c r="G661" s="156"/>
      <c r="H661" s="157"/>
      <c r="I661" s="157"/>
      <c r="J661" s="156" t="str">
        <f t="shared" si="10"/>
        <v/>
      </c>
      <c r="K661" s="162"/>
      <c r="L661" s="163"/>
      <c r="M661" s="164"/>
      <c r="N661" s="157"/>
      <c r="O661" s="157"/>
      <c r="P661" s="157"/>
      <c r="Q661" s="156" t="s">
        <v>5392</v>
      </c>
    </row>
    <row r="662" spans="4:17" x14ac:dyDescent="0.25">
      <c r="D662" s="157" t="s">
        <v>5393</v>
      </c>
      <c r="E662" s="156" t="s">
        <v>5381</v>
      </c>
      <c r="F662" s="157"/>
      <c r="G662" s="156"/>
      <c r="H662" s="157"/>
      <c r="I662" s="157"/>
      <c r="J662" s="156" t="str">
        <f t="shared" si="10"/>
        <v/>
      </c>
      <c r="K662" s="162"/>
      <c r="L662" s="163"/>
      <c r="M662" s="164"/>
      <c r="N662" s="157"/>
      <c r="O662" s="157"/>
      <c r="P662" s="157"/>
      <c r="Q662" s="156" t="s">
        <v>5394</v>
      </c>
    </row>
    <row r="663" spans="4:17" x14ac:dyDescent="0.25">
      <c r="D663" s="157" t="s">
        <v>5395</v>
      </c>
      <c r="E663" s="156" t="s">
        <v>5381</v>
      </c>
      <c r="F663" s="157"/>
      <c r="G663" s="156"/>
      <c r="H663" s="157"/>
      <c r="I663" s="157"/>
      <c r="J663" s="156" t="str">
        <f t="shared" si="10"/>
        <v/>
      </c>
      <c r="K663" s="162"/>
      <c r="L663" s="163"/>
      <c r="M663" s="164"/>
      <c r="N663" s="157"/>
      <c r="O663" s="157"/>
      <c r="P663" s="157"/>
      <c r="Q663" s="156" t="s">
        <v>5396</v>
      </c>
    </row>
    <row r="664" spans="4:17" x14ac:dyDescent="0.25">
      <c r="D664" s="157" t="s">
        <v>5397</v>
      </c>
      <c r="E664" s="156" t="s">
        <v>5381</v>
      </c>
      <c r="F664" s="157"/>
      <c r="G664" s="156"/>
      <c r="H664" s="157"/>
      <c r="I664" s="157"/>
      <c r="J664" s="156" t="str">
        <f t="shared" si="10"/>
        <v/>
      </c>
      <c r="K664" s="162"/>
      <c r="L664" s="163"/>
      <c r="M664" s="164"/>
      <c r="N664" s="157"/>
      <c r="O664" s="157"/>
      <c r="P664" s="157"/>
      <c r="Q664" s="156" t="s">
        <v>5398</v>
      </c>
    </row>
    <row r="665" spans="4:17" x14ac:dyDescent="0.25">
      <c r="D665" s="157" t="s">
        <v>5399</v>
      </c>
      <c r="E665" s="156" t="s">
        <v>5381</v>
      </c>
      <c r="F665" s="157"/>
      <c r="G665" s="156"/>
      <c r="H665" s="157"/>
      <c r="I665" s="157"/>
      <c r="J665" s="156" t="str">
        <f t="shared" si="10"/>
        <v/>
      </c>
      <c r="K665" s="162"/>
      <c r="L665" s="163"/>
      <c r="M665" s="164"/>
      <c r="N665" s="157"/>
      <c r="O665" s="157"/>
      <c r="P665" s="157"/>
      <c r="Q665" s="156" t="s">
        <v>5400</v>
      </c>
    </row>
    <row r="666" spans="4:17" x14ac:dyDescent="0.25">
      <c r="D666" s="157" t="s">
        <v>5401</v>
      </c>
      <c r="E666" s="156" t="s">
        <v>5381</v>
      </c>
      <c r="F666" s="157"/>
      <c r="G666" s="156"/>
      <c r="H666" s="157"/>
      <c r="I666" s="157"/>
      <c r="J666" s="156" t="str">
        <f t="shared" si="10"/>
        <v/>
      </c>
      <c r="K666" s="162"/>
      <c r="L666" s="163"/>
      <c r="M666" s="164"/>
      <c r="N666" s="157"/>
      <c r="O666" s="157"/>
      <c r="P666" s="157"/>
      <c r="Q666" s="156" t="s">
        <v>5402</v>
      </c>
    </row>
    <row r="667" spans="4:17" x14ac:dyDescent="0.25">
      <c r="D667" s="157" t="s">
        <v>5403</v>
      </c>
      <c r="E667" s="156" t="s">
        <v>5381</v>
      </c>
      <c r="F667" s="157"/>
      <c r="G667" s="156"/>
      <c r="H667" s="157"/>
      <c r="I667" s="157"/>
      <c r="J667" s="156" t="str">
        <f t="shared" si="10"/>
        <v/>
      </c>
      <c r="K667" s="162"/>
      <c r="L667" s="163"/>
      <c r="M667" s="164"/>
      <c r="N667" s="157"/>
      <c r="O667" s="157"/>
      <c r="P667" s="157"/>
      <c r="Q667" s="156" t="s">
        <v>5404</v>
      </c>
    </row>
    <row r="668" spans="4:17" x14ac:dyDescent="0.25">
      <c r="D668" s="157" t="s">
        <v>5405</v>
      </c>
      <c r="E668" s="156" t="s">
        <v>5381</v>
      </c>
      <c r="F668" s="157"/>
      <c r="G668" s="156"/>
      <c r="H668" s="157"/>
      <c r="I668" s="157"/>
      <c r="J668" s="156" t="str">
        <f t="shared" si="10"/>
        <v/>
      </c>
      <c r="K668" s="162"/>
      <c r="L668" s="163"/>
      <c r="M668" s="164"/>
      <c r="N668" s="157"/>
      <c r="O668" s="157"/>
      <c r="P668" s="157"/>
      <c r="Q668" s="156" t="s">
        <v>5406</v>
      </c>
    </row>
    <row r="669" spans="4:17" x14ac:dyDescent="0.25">
      <c r="D669" s="157" t="s">
        <v>5407</v>
      </c>
      <c r="E669" s="156" t="s">
        <v>5381</v>
      </c>
      <c r="F669" s="157"/>
      <c r="G669" s="156"/>
      <c r="H669" s="157"/>
      <c r="I669" s="157"/>
      <c r="J669" s="156" t="str">
        <f t="shared" si="10"/>
        <v/>
      </c>
      <c r="K669" s="162"/>
      <c r="L669" s="163"/>
      <c r="M669" s="164"/>
      <c r="N669" s="157"/>
      <c r="O669" s="157"/>
      <c r="P669" s="157"/>
      <c r="Q669" s="156" t="s">
        <v>5408</v>
      </c>
    </row>
    <row r="670" spans="4:17" x14ac:dyDescent="0.25">
      <c r="D670" s="157" t="s">
        <v>5409</v>
      </c>
      <c r="E670" s="156" t="s">
        <v>5381</v>
      </c>
      <c r="F670" s="157"/>
      <c r="G670" s="156"/>
      <c r="H670" s="157"/>
      <c r="I670" s="157"/>
      <c r="J670" s="156" t="str">
        <f t="shared" si="10"/>
        <v/>
      </c>
      <c r="K670" s="162"/>
      <c r="L670" s="163"/>
      <c r="M670" s="164"/>
      <c r="N670" s="157"/>
      <c r="O670" s="157"/>
      <c r="P670" s="157"/>
      <c r="Q670" s="156" t="s">
        <v>5410</v>
      </c>
    </row>
    <row r="671" spans="4:17" x14ac:dyDescent="0.25">
      <c r="D671" s="157" t="s">
        <v>5411</v>
      </c>
      <c r="E671" s="156" t="s">
        <v>5381</v>
      </c>
      <c r="F671" s="157"/>
      <c r="G671" s="156"/>
      <c r="H671" s="157"/>
      <c r="I671" s="157"/>
      <c r="J671" s="156" t="str">
        <f t="shared" si="10"/>
        <v/>
      </c>
      <c r="K671" s="162"/>
      <c r="L671" s="163"/>
      <c r="M671" s="164"/>
      <c r="N671" s="157"/>
      <c r="O671" s="157"/>
      <c r="P671" s="157"/>
      <c r="Q671" s="156" t="s">
        <v>5412</v>
      </c>
    </row>
    <row r="672" spans="4:17" x14ac:dyDescent="0.25">
      <c r="D672" s="157" t="s">
        <v>5413</v>
      </c>
      <c r="E672" s="156" t="s">
        <v>5381</v>
      </c>
      <c r="F672" s="157"/>
      <c r="G672" s="156"/>
      <c r="H672" s="157"/>
      <c r="I672" s="157"/>
      <c r="J672" s="156" t="str">
        <f t="shared" si="10"/>
        <v/>
      </c>
      <c r="K672" s="162"/>
      <c r="L672" s="163"/>
      <c r="M672" s="164"/>
      <c r="N672" s="157"/>
      <c r="O672" s="157"/>
      <c r="P672" s="157"/>
      <c r="Q672" s="156" t="s">
        <v>5414</v>
      </c>
    </row>
    <row r="673" spans="4:17" x14ac:dyDescent="0.25">
      <c r="D673" s="157" t="s">
        <v>5415</v>
      </c>
      <c r="E673" s="156" t="s">
        <v>5381</v>
      </c>
      <c r="F673" s="157"/>
      <c r="G673" s="156"/>
      <c r="H673" s="157"/>
      <c r="I673" s="157"/>
      <c r="J673" s="156" t="str">
        <f t="shared" si="10"/>
        <v/>
      </c>
      <c r="K673" s="162"/>
      <c r="L673" s="163"/>
      <c r="M673" s="164"/>
      <c r="N673" s="157"/>
      <c r="O673" s="157"/>
      <c r="P673" s="157"/>
      <c r="Q673" s="156" t="s">
        <v>5416</v>
      </c>
    </row>
    <row r="674" spans="4:17" x14ac:dyDescent="0.25">
      <c r="D674" s="157" t="s">
        <v>5417</v>
      </c>
      <c r="E674" s="156" t="s">
        <v>5381</v>
      </c>
      <c r="F674" s="157"/>
      <c r="G674" s="156"/>
      <c r="H674" s="157"/>
      <c r="I674" s="157"/>
      <c r="J674" s="156" t="str">
        <f t="shared" si="10"/>
        <v/>
      </c>
      <c r="K674" s="162"/>
      <c r="L674" s="163"/>
      <c r="M674" s="164"/>
      <c r="N674" s="157"/>
      <c r="O674" s="157"/>
      <c r="P674" s="157"/>
      <c r="Q674" s="156" t="s">
        <v>5418</v>
      </c>
    </row>
    <row r="675" spans="4:17" x14ac:dyDescent="0.25">
      <c r="D675" s="157" t="s">
        <v>5419</v>
      </c>
      <c r="E675" s="156" t="s">
        <v>5381</v>
      </c>
      <c r="F675" s="157"/>
      <c r="G675" s="156"/>
      <c r="H675" s="157"/>
      <c r="I675" s="157"/>
      <c r="J675" s="156" t="str">
        <f t="shared" si="10"/>
        <v/>
      </c>
      <c r="K675" s="162"/>
      <c r="L675" s="163"/>
      <c r="M675" s="164"/>
      <c r="N675" s="157"/>
      <c r="O675" s="157"/>
      <c r="P675" s="157"/>
      <c r="Q675" s="156" t="s">
        <v>5420</v>
      </c>
    </row>
    <row r="676" spans="4:17" x14ac:dyDescent="0.25">
      <c r="D676" s="157" t="s">
        <v>5421</v>
      </c>
      <c r="E676" s="156" t="s">
        <v>5422</v>
      </c>
      <c r="F676" s="157" t="s">
        <v>1998</v>
      </c>
      <c r="G676" s="156"/>
      <c r="H676" s="157" t="s">
        <v>1463</v>
      </c>
      <c r="I676" s="157" t="s">
        <v>1516</v>
      </c>
      <c r="J676" s="156" t="str">
        <f t="shared" si="10"/>
        <v>KP-1a⁽ᴹ⁾ Percentage of men who have sex with men reached with HIV prevention programs - defined package of servicesAge25+</v>
      </c>
      <c r="K676" s="162"/>
      <c r="L676" s="163"/>
      <c r="M676" s="164"/>
      <c r="N676" s="157"/>
      <c r="O676" s="157"/>
      <c r="P676" s="157" t="s">
        <v>4037</v>
      </c>
      <c r="Q676" s="156" t="s">
        <v>5423</v>
      </c>
    </row>
    <row r="677" spans="4:17" x14ac:dyDescent="0.25">
      <c r="D677" s="157" t="s">
        <v>5424</v>
      </c>
      <c r="E677" s="156" t="s">
        <v>5422</v>
      </c>
      <c r="F677" s="157" t="s">
        <v>1998</v>
      </c>
      <c r="G677" s="156"/>
      <c r="H677" s="157" t="s">
        <v>1463</v>
      </c>
      <c r="I677" s="157" t="s">
        <v>1522</v>
      </c>
      <c r="J677" s="156" t="str">
        <f t="shared" si="10"/>
        <v>KP-1a⁽ᴹ⁾ Percentage of men who have sex with men reached with HIV prevention programs - defined package of servicesAge&lt;25</v>
      </c>
      <c r="K677" s="162"/>
      <c r="L677" s="163"/>
      <c r="M677" s="164"/>
      <c r="N677" s="157"/>
      <c r="O677" s="157"/>
      <c r="P677" s="157" t="s">
        <v>4037</v>
      </c>
      <c r="Q677" s="156" t="s">
        <v>5425</v>
      </c>
    </row>
    <row r="678" spans="4:17" x14ac:dyDescent="0.25">
      <c r="D678" s="157" t="s">
        <v>5426</v>
      </c>
      <c r="E678" s="156" t="s">
        <v>5422</v>
      </c>
      <c r="F678" s="157" t="s">
        <v>1998</v>
      </c>
      <c r="G678" s="156"/>
      <c r="H678" s="157"/>
      <c r="I678" s="157"/>
      <c r="J678" s="156" t="str">
        <f t="shared" si="10"/>
        <v>KP-1a⁽ᴹ⁾ Percentage of men who have sex with men reached with HIV prevention programs - defined package of services</v>
      </c>
      <c r="K678" s="162"/>
      <c r="L678" s="163"/>
      <c r="M678" s="164"/>
      <c r="N678" s="157"/>
      <c r="O678" s="157"/>
      <c r="P678" s="157"/>
      <c r="Q678" s="156" t="s">
        <v>5427</v>
      </c>
    </row>
    <row r="679" spans="4:17" x14ac:dyDescent="0.25">
      <c r="D679" s="157" t="s">
        <v>5428</v>
      </c>
      <c r="E679" s="156" t="s">
        <v>5422</v>
      </c>
      <c r="F679" s="157" t="s">
        <v>1998</v>
      </c>
      <c r="G679" s="156"/>
      <c r="H679" s="157"/>
      <c r="I679" s="157"/>
      <c r="J679" s="156" t="str">
        <f t="shared" si="10"/>
        <v>KP-1a⁽ᴹ⁾ Percentage of men who have sex with men reached with HIV prevention programs - defined package of services</v>
      </c>
      <c r="K679" s="162"/>
      <c r="L679" s="163"/>
      <c r="M679" s="164"/>
      <c r="N679" s="157"/>
      <c r="O679" s="157"/>
      <c r="P679" s="157"/>
      <c r="Q679" s="156" t="s">
        <v>5429</v>
      </c>
    </row>
    <row r="680" spans="4:17" x14ac:dyDescent="0.25">
      <c r="D680" s="157" t="s">
        <v>5430</v>
      </c>
      <c r="E680" s="156" t="s">
        <v>5422</v>
      </c>
      <c r="F680" s="157" t="s">
        <v>1998</v>
      </c>
      <c r="G680" s="156"/>
      <c r="H680" s="157"/>
      <c r="I680" s="157"/>
      <c r="J680" s="156" t="str">
        <f t="shared" ref="J680:J743" si="11">F680&amp;H680&amp;I680</f>
        <v>KP-1a⁽ᴹ⁾ Percentage of men who have sex with men reached with HIV prevention programs - defined package of services</v>
      </c>
      <c r="K680" s="162"/>
      <c r="L680" s="163"/>
      <c r="M680" s="164"/>
      <c r="N680" s="157"/>
      <c r="O680" s="157"/>
      <c r="P680" s="157"/>
      <c r="Q680" s="156" t="s">
        <v>5431</v>
      </c>
    </row>
    <row r="681" spans="4:17" x14ac:dyDescent="0.25">
      <c r="D681" s="157" t="s">
        <v>5432</v>
      </c>
      <c r="E681" s="156" t="s">
        <v>5422</v>
      </c>
      <c r="F681" s="157" t="s">
        <v>1998</v>
      </c>
      <c r="G681" s="156"/>
      <c r="H681" s="157"/>
      <c r="I681" s="157"/>
      <c r="J681" s="156" t="str">
        <f t="shared" si="11"/>
        <v>KP-1a⁽ᴹ⁾ Percentage of men who have sex with men reached with HIV prevention programs - defined package of services</v>
      </c>
      <c r="K681" s="162"/>
      <c r="L681" s="163"/>
      <c r="M681" s="164"/>
      <c r="N681" s="157"/>
      <c r="O681" s="157"/>
      <c r="P681" s="157"/>
      <c r="Q681" s="156" t="s">
        <v>5433</v>
      </c>
    </row>
    <row r="682" spans="4:17" x14ac:dyDescent="0.25">
      <c r="D682" s="157" t="s">
        <v>5434</v>
      </c>
      <c r="E682" s="156" t="s">
        <v>5422</v>
      </c>
      <c r="F682" s="157" t="s">
        <v>1998</v>
      </c>
      <c r="G682" s="156"/>
      <c r="H682" s="157"/>
      <c r="I682" s="157"/>
      <c r="J682" s="156" t="str">
        <f t="shared" si="11"/>
        <v>KP-1a⁽ᴹ⁾ Percentage of men who have sex with men reached with HIV prevention programs - defined package of services</v>
      </c>
      <c r="K682" s="162"/>
      <c r="L682" s="163"/>
      <c r="M682" s="164"/>
      <c r="N682" s="157"/>
      <c r="O682" s="157"/>
      <c r="P682" s="157"/>
      <c r="Q682" s="156" t="s">
        <v>5435</v>
      </c>
    </row>
    <row r="683" spans="4:17" x14ac:dyDescent="0.25">
      <c r="D683" s="157" t="s">
        <v>5436</v>
      </c>
      <c r="E683" s="156" t="s">
        <v>5422</v>
      </c>
      <c r="F683" s="157" t="s">
        <v>1998</v>
      </c>
      <c r="G683" s="156"/>
      <c r="H683" s="157"/>
      <c r="I683" s="157"/>
      <c r="J683" s="156" t="str">
        <f t="shared" si="11"/>
        <v>KP-1a⁽ᴹ⁾ Percentage of men who have sex with men reached with HIV prevention programs - defined package of services</v>
      </c>
      <c r="K683" s="162"/>
      <c r="L683" s="163"/>
      <c r="M683" s="164"/>
      <c r="N683" s="157"/>
      <c r="O683" s="157"/>
      <c r="P683" s="157"/>
      <c r="Q683" s="156" t="s">
        <v>5437</v>
      </c>
    </row>
    <row r="684" spans="4:17" x14ac:dyDescent="0.25">
      <c r="D684" s="157" t="s">
        <v>5438</v>
      </c>
      <c r="E684" s="156" t="s">
        <v>5422</v>
      </c>
      <c r="F684" s="157" t="s">
        <v>1998</v>
      </c>
      <c r="G684" s="156"/>
      <c r="H684" s="157"/>
      <c r="I684" s="157"/>
      <c r="J684" s="156" t="str">
        <f t="shared" si="11"/>
        <v>KP-1a⁽ᴹ⁾ Percentage of men who have sex with men reached with HIV prevention programs - defined package of services</v>
      </c>
      <c r="K684" s="162"/>
      <c r="L684" s="163"/>
      <c r="M684" s="164"/>
      <c r="N684" s="157"/>
      <c r="O684" s="157"/>
      <c r="P684" s="157"/>
      <c r="Q684" s="156" t="s">
        <v>5439</v>
      </c>
    </row>
    <row r="685" spans="4:17" x14ac:dyDescent="0.25">
      <c r="D685" s="157" t="s">
        <v>5440</v>
      </c>
      <c r="E685" s="156" t="s">
        <v>5422</v>
      </c>
      <c r="F685" s="157" t="s">
        <v>1998</v>
      </c>
      <c r="G685" s="156"/>
      <c r="H685" s="157"/>
      <c r="I685" s="157"/>
      <c r="J685" s="156" t="str">
        <f t="shared" si="11"/>
        <v>KP-1a⁽ᴹ⁾ Percentage of men who have sex with men reached with HIV prevention programs - defined package of services</v>
      </c>
      <c r="K685" s="162"/>
      <c r="L685" s="163"/>
      <c r="M685" s="164"/>
      <c r="N685" s="157"/>
      <c r="O685" s="157"/>
      <c r="P685" s="157"/>
      <c r="Q685" s="156" t="s">
        <v>5441</v>
      </c>
    </row>
    <row r="686" spans="4:17" x14ac:dyDescent="0.25">
      <c r="D686" s="157" t="s">
        <v>5442</v>
      </c>
      <c r="E686" s="156" t="s">
        <v>5422</v>
      </c>
      <c r="F686" s="157" t="s">
        <v>1998</v>
      </c>
      <c r="G686" s="156"/>
      <c r="H686" s="157"/>
      <c r="I686" s="157"/>
      <c r="J686" s="156" t="str">
        <f t="shared" si="11"/>
        <v>KP-1a⁽ᴹ⁾ Percentage of men who have sex with men reached with HIV prevention programs - defined package of services</v>
      </c>
      <c r="K686" s="162"/>
      <c r="L686" s="163"/>
      <c r="M686" s="164"/>
      <c r="N686" s="157"/>
      <c r="O686" s="157"/>
      <c r="P686" s="157"/>
      <c r="Q686" s="156" t="s">
        <v>5443</v>
      </c>
    </row>
    <row r="687" spans="4:17" x14ac:dyDescent="0.25">
      <c r="D687" s="157" t="s">
        <v>5444</v>
      </c>
      <c r="E687" s="156" t="s">
        <v>5422</v>
      </c>
      <c r="F687" s="157" t="s">
        <v>1998</v>
      </c>
      <c r="G687" s="156"/>
      <c r="H687" s="157"/>
      <c r="I687" s="157"/>
      <c r="J687" s="156" t="str">
        <f t="shared" si="11"/>
        <v>KP-1a⁽ᴹ⁾ Percentage of men who have sex with men reached with HIV prevention programs - defined package of services</v>
      </c>
      <c r="K687" s="162"/>
      <c r="L687" s="163"/>
      <c r="M687" s="164"/>
      <c r="N687" s="157"/>
      <c r="O687" s="157"/>
      <c r="P687" s="157"/>
      <c r="Q687" s="156" t="s">
        <v>5445</v>
      </c>
    </row>
    <row r="688" spans="4:17" x14ac:dyDescent="0.25">
      <c r="D688" s="157" t="s">
        <v>5446</v>
      </c>
      <c r="E688" s="156" t="s">
        <v>5422</v>
      </c>
      <c r="F688" s="157" t="s">
        <v>1998</v>
      </c>
      <c r="G688" s="156"/>
      <c r="H688" s="157"/>
      <c r="I688" s="157"/>
      <c r="J688" s="156" t="str">
        <f t="shared" si="11"/>
        <v>KP-1a⁽ᴹ⁾ Percentage of men who have sex with men reached with HIV prevention programs - defined package of services</v>
      </c>
      <c r="K688" s="162"/>
      <c r="L688" s="163"/>
      <c r="M688" s="164"/>
      <c r="N688" s="157"/>
      <c r="O688" s="157"/>
      <c r="P688" s="157"/>
      <c r="Q688" s="156" t="s">
        <v>5447</v>
      </c>
    </row>
    <row r="689" spans="4:17" x14ac:dyDescent="0.25">
      <c r="D689" s="157" t="s">
        <v>5448</v>
      </c>
      <c r="E689" s="156" t="s">
        <v>5422</v>
      </c>
      <c r="F689" s="157" t="s">
        <v>1998</v>
      </c>
      <c r="G689" s="156"/>
      <c r="H689" s="157"/>
      <c r="I689" s="157"/>
      <c r="J689" s="156" t="str">
        <f t="shared" si="11"/>
        <v>KP-1a⁽ᴹ⁾ Percentage of men who have sex with men reached with HIV prevention programs - defined package of services</v>
      </c>
      <c r="K689" s="162"/>
      <c r="L689" s="163"/>
      <c r="M689" s="164"/>
      <c r="N689" s="157"/>
      <c r="O689" s="157"/>
      <c r="P689" s="157"/>
      <c r="Q689" s="156" t="s">
        <v>5449</v>
      </c>
    </row>
    <row r="690" spans="4:17" x14ac:dyDescent="0.25">
      <c r="D690" s="157" t="s">
        <v>5450</v>
      </c>
      <c r="E690" s="156" t="s">
        <v>5422</v>
      </c>
      <c r="F690" s="157" t="s">
        <v>1998</v>
      </c>
      <c r="G690" s="156"/>
      <c r="H690" s="157"/>
      <c r="I690" s="157"/>
      <c r="J690" s="156" t="str">
        <f t="shared" si="11"/>
        <v>KP-1a⁽ᴹ⁾ Percentage of men who have sex with men reached with HIV prevention programs - defined package of services</v>
      </c>
      <c r="K690" s="162"/>
      <c r="L690" s="163"/>
      <c r="M690" s="164"/>
      <c r="N690" s="157"/>
      <c r="O690" s="157"/>
      <c r="P690" s="157"/>
      <c r="Q690" s="156" t="s">
        <v>5451</v>
      </c>
    </row>
    <row r="691" spans="4:17" x14ac:dyDescent="0.25">
      <c r="D691" s="157" t="s">
        <v>5452</v>
      </c>
      <c r="E691" s="156" t="s">
        <v>5422</v>
      </c>
      <c r="F691" s="157" t="s">
        <v>1998</v>
      </c>
      <c r="G691" s="156"/>
      <c r="H691" s="157"/>
      <c r="I691" s="157"/>
      <c r="J691" s="156" t="str">
        <f t="shared" si="11"/>
        <v>KP-1a⁽ᴹ⁾ Percentage of men who have sex with men reached with HIV prevention programs - defined package of services</v>
      </c>
      <c r="K691" s="162"/>
      <c r="L691" s="163"/>
      <c r="M691" s="164"/>
      <c r="N691" s="157"/>
      <c r="O691" s="157"/>
      <c r="P691" s="157"/>
      <c r="Q691" s="156" t="s">
        <v>5453</v>
      </c>
    </row>
    <row r="692" spans="4:17" x14ac:dyDescent="0.25">
      <c r="D692" s="157" t="s">
        <v>5454</v>
      </c>
      <c r="E692" s="156" t="s">
        <v>5422</v>
      </c>
      <c r="F692" s="157" t="s">
        <v>1998</v>
      </c>
      <c r="G692" s="156"/>
      <c r="H692" s="157"/>
      <c r="I692" s="157"/>
      <c r="J692" s="156" t="str">
        <f t="shared" si="11"/>
        <v>KP-1a⁽ᴹ⁾ Percentage of men who have sex with men reached with HIV prevention programs - defined package of services</v>
      </c>
      <c r="K692" s="162"/>
      <c r="L692" s="163"/>
      <c r="M692" s="164"/>
      <c r="N692" s="157"/>
      <c r="O692" s="157"/>
      <c r="P692" s="157"/>
      <c r="Q692" s="156" t="s">
        <v>5455</v>
      </c>
    </row>
    <row r="693" spans="4:17" x14ac:dyDescent="0.25">
      <c r="D693" s="157" t="s">
        <v>5456</v>
      </c>
      <c r="E693" s="156" t="s">
        <v>5422</v>
      </c>
      <c r="F693" s="157" t="s">
        <v>1998</v>
      </c>
      <c r="G693" s="156"/>
      <c r="H693" s="157"/>
      <c r="I693" s="157"/>
      <c r="J693" s="156" t="str">
        <f t="shared" si="11"/>
        <v>KP-1a⁽ᴹ⁾ Percentage of men who have sex with men reached with HIV prevention programs - defined package of services</v>
      </c>
      <c r="K693" s="162"/>
      <c r="L693" s="163"/>
      <c r="M693" s="164"/>
      <c r="N693" s="157"/>
      <c r="O693" s="157"/>
      <c r="P693" s="157"/>
      <c r="Q693" s="156" t="s">
        <v>5457</v>
      </c>
    </row>
    <row r="694" spans="4:17" x14ac:dyDescent="0.25">
      <c r="D694" s="157" t="s">
        <v>5458</v>
      </c>
      <c r="E694" s="156" t="s">
        <v>5422</v>
      </c>
      <c r="F694" s="157" t="s">
        <v>1998</v>
      </c>
      <c r="G694" s="156"/>
      <c r="H694" s="157"/>
      <c r="I694" s="157"/>
      <c r="J694" s="156" t="str">
        <f t="shared" si="11"/>
        <v>KP-1a⁽ᴹ⁾ Percentage of men who have sex with men reached with HIV prevention programs - defined package of services</v>
      </c>
      <c r="K694" s="162"/>
      <c r="L694" s="163"/>
      <c r="M694" s="164"/>
      <c r="N694" s="157"/>
      <c r="O694" s="157"/>
      <c r="P694" s="157"/>
      <c r="Q694" s="156" t="s">
        <v>5459</v>
      </c>
    </row>
    <row r="695" spans="4:17" x14ac:dyDescent="0.25">
      <c r="D695" s="157" t="s">
        <v>5460</v>
      </c>
      <c r="E695" s="156" t="s">
        <v>5422</v>
      </c>
      <c r="F695" s="157" t="s">
        <v>1998</v>
      </c>
      <c r="G695" s="156"/>
      <c r="H695" s="157"/>
      <c r="I695" s="157"/>
      <c r="J695" s="156" t="str">
        <f t="shared" si="11"/>
        <v>KP-1a⁽ᴹ⁾ Percentage of men who have sex with men reached with HIV prevention programs - defined package of services</v>
      </c>
      <c r="K695" s="162"/>
      <c r="L695" s="163"/>
      <c r="M695" s="164"/>
      <c r="N695" s="157"/>
      <c r="O695" s="157"/>
      <c r="P695" s="157"/>
      <c r="Q695" s="156" t="s">
        <v>5461</v>
      </c>
    </row>
    <row r="696" spans="4:17" x14ac:dyDescent="0.25">
      <c r="D696" s="157" t="s">
        <v>5462</v>
      </c>
      <c r="E696" s="156" t="s">
        <v>5463</v>
      </c>
      <c r="F696" s="157" t="s">
        <v>2006</v>
      </c>
      <c r="G696" s="156"/>
      <c r="H696" s="157" t="s">
        <v>1463</v>
      </c>
      <c r="I696" s="157" t="s">
        <v>1516</v>
      </c>
      <c r="J696" s="156" t="str">
        <f t="shared" si="11"/>
        <v>KP-1b⁽ᴹ⁾ Percentage of transgender people reached with HIV prevention programs - defined package of servicesAge25+</v>
      </c>
      <c r="K696" s="162"/>
      <c r="L696" s="163"/>
      <c r="M696" s="164"/>
      <c r="N696" s="157"/>
      <c r="O696" s="157"/>
      <c r="P696" s="157" t="s">
        <v>4037</v>
      </c>
      <c r="Q696" s="156" t="s">
        <v>5464</v>
      </c>
    </row>
    <row r="697" spans="4:17" x14ac:dyDescent="0.25">
      <c r="D697" s="157" t="s">
        <v>5465</v>
      </c>
      <c r="E697" s="156" t="s">
        <v>5463</v>
      </c>
      <c r="F697" s="157" t="s">
        <v>2006</v>
      </c>
      <c r="G697" s="156"/>
      <c r="H697" s="157" t="s">
        <v>1463</v>
      </c>
      <c r="I697" s="157" t="s">
        <v>1522</v>
      </c>
      <c r="J697" s="156" t="str">
        <f t="shared" si="11"/>
        <v>KP-1b⁽ᴹ⁾ Percentage of transgender people reached with HIV prevention programs - defined package of servicesAge&lt;25</v>
      </c>
      <c r="K697" s="162"/>
      <c r="L697" s="163"/>
      <c r="M697" s="164"/>
      <c r="N697" s="157"/>
      <c r="O697" s="157"/>
      <c r="P697" s="157" t="s">
        <v>4037</v>
      </c>
      <c r="Q697" s="156" t="s">
        <v>5466</v>
      </c>
    </row>
    <row r="698" spans="4:17" x14ac:dyDescent="0.25">
      <c r="D698" s="157" t="s">
        <v>5467</v>
      </c>
      <c r="E698" s="156" t="s">
        <v>5463</v>
      </c>
      <c r="F698" s="157" t="s">
        <v>2006</v>
      </c>
      <c r="G698" s="156"/>
      <c r="H698" s="157"/>
      <c r="I698" s="157"/>
      <c r="J698" s="156" t="str">
        <f t="shared" si="11"/>
        <v>KP-1b⁽ᴹ⁾ Percentage of transgender people reached with HIV prevention programs - defined package of services</v>
      </c>
      <c r="K698" s="162"/>
      <c r="L698" s="163"/>
      <c r="M698" s="164"/>
      <c r="N698" s="157"/>
      <c r="O698" s="157"/>
      <c r="P698" s="157"/>
      <c r="Q698" s="156" t="s">
        <v>5468</v>
      </c>
    </row>
    <row r="699" spans="4:17" x14ac:dyDescent="0.25">
      <c r="D699" s="157" t="s">
        <v>5469</v>
      </c>
      <c r="E699" s="156" t="s">
        <v>5463</v>
      </c>
      <c r="F699" s="157" t="s">
        <v>2006</v>
      </c>
      <c r="G699" s="156"/>
      <c r="H699" s="157"/>
      <c r="I699" s="157"/>
      <c r="J699" s="156" t="str">
        <f t="shared" si="11"/>
        <v>KP-1b⁽ᴹ⁾ Percentage of transgender people reached with HIV prevention programs - defined package of services</v>
      </c>
      <c r="K699" s="162"/>
      <c r="L699" s="163"/>
      <c r="M699" s="164"/>
      <c r="N699" s="157"/>
      <c r="O699" s="157"/>
      <c r="P699" s="157"/>
      <c r="Q699" s="156" t="s">
        <v>5470</v>
      </c>
    </row>
    <row r="700" spans="4:17" x14ac:dyDescent="0.25">
      <c r="D700" s="157" t="s">
        <v>5471</v>
      </c>
      <c r="E700" s="156" t="s">
        <v>5463</v>
      </c>
      <c r="F700" s="157" t="s">
        <v>2006</v>
      </c>
      <c r="G700" s="156"/>
      <c r="H700" s="157"/>
      <c r="I700" s="157"/>
      <c r="J700" s="156" t="str">
        <f t="shared" si="11"/>
        <v>KP-1b⁽ᴹ⁾ Percentage of transgender people reached with HIV prevention programs - defined package of services</v>
      </c>
      <c r="K700" s="162"/>
      <c r="L700" s="163"/>
      <c r="M700" s="164"/>
      <c r="N700" s="157"/>
      <c r="O700" s="157"/>
      <c r="P700" s="157"/>
      <c r="Q700" s="156" t="s">
        <v>5472</v>
      </c>
    </row>
    <row r="701" spans="4:17" x14ac:dyDescent="0.25">
      <c r="D701" s="157" t="s">
        <v>5473</v>
      </c>
      <c r="E701" s="156" t="s">
        <v>5463</v>
      </c>
      <c r="F701" s="157" t="s">
        <v>2006</v>
      </c>
      <c r="G701" s="156"/>
      <c r="H701" s="157"/>
      <c r="I701" s="157"/>
      <c r="J701" s="156" t="str">
        <f t="shared" si="11"/>
        <v>KP-1b⁽ᴹ⁾ Percentage of transgender people reached with HIV prevention programs - defined package of services</v>
      </c>
      <c r="K701" s="162"/>
      <c r="L701" s="163"/>
      <c r="M701" s="164"/>
      <c r="N701" s="157"/>
      <c r="O701" s="157"/>
      <c r="P701" s="157"/>
      <c r="Q701" s="156" t="s">
        <v>5474</v>
      </c>
    </row>
    <row r="702" spans="4:17" x14ac:dyDescent="0.25">
      <c r="D702" s="157" t="s">
        <v>5475</v>
      </c>
      <c r="E702" s="156" t="s">
        <v>5463</v>
      </c>
      <c r="F702" s="157" t="s">
        <v>2006</v>
      </c>
      <c r="G702" s="156"/>
      <c r="H702" s="157"/>
      <c r="I702" s="157"/>
      <c r="J702" s="156" t="str">
        <f t="shared" si="11"/>
        <v>KP-1b⁽ᴹ⁾ Percentage of transgender people reached with HIV prevention programs - defined package of services</v>
      </c>
      <c r="K702" s="162"/>
      <c r="L702" s="163"/>
      <c r="M702" s="164"/>
      <c r="N702" s="157"/>
      <c r="O702" s="157"/>
      <c r="P702" s="157"/>
      <c r="Q702" s="156" t="s">
        <v>5476</v>
      </c>
    </row>
    <row r="703" spans="4:17" x14ac:dyDescent="0.25">
      <c r="D703" s="157" t="s">
        <v>5477</v>
      </c>
      <c r="E703" s="156" t="s">
        <v>5463</v>
      </c>
      <c r="F703" s="157" t="s">
        <v>2006</v>
      </c>
      <c r="G703" s="156"/>
      <c r="H703" s="157"/>
      <c r="I703" s="157"/>
      <c r="J703" s="156" t="str">
        <f t="shared" si="11"/>
        <v>KP-1b⁽ᴹ⁾ Percentage of transgender people reached with HIV prevention programs - defined package of services</v>
      </c>
      <c r="K703" s="162"/>
      <c r="L703" s="163"/>
      <c r="M703" s="164"/>
      <c r="N703" s="157"/>
      <c r="O703" s="157"/>
      <c r="P703" s="157"/>
      <c r="Q703" s="156" t="s">
        <v>5478</v>
      </c>
    </row>
    <row r="704" spans="4:17" x14ac:dyDescent="0.25">
      <c r="D704" s="157" t="s">
        <v>5479</v>
      </c>
      <c r="E704" s="156" t="s">
        <v>5463</v>
      </c>
      <c r="F704" s="157" t="s">
        <v>2006</v>
      </c>
      <c r="G704" s="156"/>
      <c r="H704" s="157"/>
      <c r="I704" s="157"/>
      <c r="J704" s="156" t="str">
        <f t="shared" si="11"/>
        <v>KP-1b⁽ᴹ⁾ Percentage of transgender people reached with HIV prevention programs - defined package of services</v>
      </c>
      <c r="K704" s="162"/>
      <c r="L704" s="163"/>
      <c r="M704" s="164"/>
      <c r="N704" s="157"/>
      <c r="O704" s="157"/>
      <c r="P704" s="157"/>
      <c r="Q704" s="156" t="s">
        <v>5480</v>
      </c>
    </row>
    <row r="705" spans="4:17" x14ac:dyDescent="0.25">
      <c r="D705" s="157" t="s">
        <v>5481</v>
      </c>
      <c r="E705" s="156" t="s">
        <v>5463</v>
      </c>
      <c r="F705" s="157" t="s">
        <v>2006</v>
      </c>
      <c r="G705" s="156"/>
      <c r="H705" s="157"/>
      <c r="I705" s="157"/>
      <c r="J705" s="156" t="str">
        <f t="shared" si="11"/>
        <v>KP-1b⁽ᴹ⁾ Percentage of transgender people reached with HIV prevention programs - defined package of services</v>
      </c>
      <c r="K705" s="162"/>
      <c r="L705" s="163"/>
      <c r="M705" s="164"/>
      <c r="N705" s="157"/>
      <c r="O705" s="157"/>
      <c r="P705" s="157"/>
      <c r="Q705" s="156" t="s">
        <v>5482</v>
      </c>
    </row>
    <row r="706" spans="4:17" x14ac:dyDescent="0.25">
      <c r="D706" s="157" t="s">
        <v>5483</v>
      </c>
      <c r="E706" s="156" t="s">
        <v>5463</v>
      </c>
      <c r="F706" s="157" t="s">
        <v>2006</v>
      </c>
      <c r="G706" s="156"/>
      <c r="H706" s="157"/>
      <c r="I706" s="157"/>
      <c r="J706" s="156" t="str">
        <f t="shared" si="11"/>
        <v>KP-1b⁽ᴹ⁾ Percentage of transgender people reached with HIV prevention programs - defined package of services</v>
      </c>
      <c r="K706" s="162"/>
      <c r="L706" s="163"/>
      <c r="M706" s="164"/>
      <c r="N706" s="157"/>
      <c r="O706" s="157"/>
      <c r="P706" s="157"/>
      <c r="Q706" s="156" t="s">
        <v>5484</v>
      </c>
    </row>
    <row r="707" spans="4:17" x14ac:dyDescent="0.25">
      <c r="D707" s="157" t="s">
        <v>5485</v>
      </c>
      <c r="E707" s="156" t="s">
        <v>5463</v>
      </c>
      <c r="F707" s="157" t="s">
        <v>2006</v>
      </c>
      <c r="G707" s="156"/>
      <c r="H707" s="157"/>
      <c r="I707" s="157"/>
      <c r="J707" s="156" t="str">
        <f t="shared" si="11"/>
        <v>KP-1b⁽ᴹ⁾ Percentage of transgender people reached with HIV prevention programs - defined package of services</v>
      </c>
      <c r="K707" s="162"/>
      <c r="L707" s="163"/>
      <c r="M707" s="164"/>
      <c r="N707" s="157"/>
      <c r="O707" s="157"/>
      <c r="P707" s="157"/>
      <c r="Q707" s="156" t="s">
        <v>5486</v>
      </c>
    </row>
    <row r="708" spans="4:17" x14ac:dyDescent="0.25">
      <c r="D708" s="157" t="s">
        <v>5487</v>
      </c>
      <c r="E708" s="156" t="s">
        <v>5463</v>
      </c>
      <c r="F708" s="157" t="s">
        <v>2006</v>
      </c>
      <c r="G708" s="156"/>
      <c r="H708" s="157"/>
      <c r="I708" s="157"/>
      <c r="J708" s="156" t="str">
        <f t="shared" si="11"/>
        <v>KP-1b⁽ᴹ⁾ Percentage of transgender people reached with HIV prevention programs - defined package of services</v>
      </c>
      <c r="K708" s="162"/>
      <c r="L708" s="163"/>
      <c r="M708" s="164"/>
      <c r="N708" s="157"/>
      <c r="O708" s="157"/>
      <c r="P708" s="157"/>
      <c r="Q708" s="156" t="s">
        <v>5488</v>
      </c>
    </row>
    <row r="709" spans="4:17" x14ac:dyDescent="0.25">
      <c r="D709" s="157" t="s">
        <v>5489</v>
      </c>
      <c r="E709" s="156" t="s">
        <v>5463</v>
      </c>
      <c r="F709" s="157" t="s">
        <v>2006</v>
      </c>
      <c r="G709" s="156"/>
      <c r="H709" s="157"/>
      <c r="I709" s="157"/>
      <c r="J709" s="156" t="str">
        <f t="shared" si="11"/>
        <v>KP-1b⁽ᴹ⁾ Percentage of transgender people reached with HIV prevention programs - defined package of services</v>
      </c>
      <c r="K709" s="162"/>
      <c r="L709" s="163"/>
      <c r="M709" s="164"/>
      <c r="N709" s="157"/>
      <c r="O709" s="157"/>
      <c r="P709" s="157"/>
      <c r="Q709" s="156" t="s">
        <v>5490</v>
      </c>
    </row>
    <row r="710" spans="4:17" x14ac:dyDescent="0.25">
      <c r="D710" s="157" t="s">
        <v>5491</v>
      </c>
      <c r="E710" s="156" t="s">
        <v>5463</v>
      </c>
      <c r="F710" s="157" t="s">
        <v>2006</v>
      </c>
      <c r="G710" s="156"/>
      <c r="H710" s="157"/>
      <c r="I710" s="157"/>
      <c r="J710" s="156" t="str">
        <f t="shared" si="11"/>
        <v>KP-1b⁽ᴹ⁾ Percentage of transgender people reached with HIV prevention programs - defined package of services</v>
      </c>
      <c r="K710" s="162"/>
      <c r="L710" s="163"/>
      <c r="M710" s="164"/>
      <c r="N710" s="157"/>
      <c r="O710" s="157"/>
      <c r="P710" s="157"/>
      <c r="Q710" s="156" t="s">
        <v>5492</v>
      </c>
    </row>
    <row r="711" spans="4:17" x14ac:dyDescent="0.25">
      <c r="D711" s="157" t="s">
        <v>5493</v>
      </c>
      <c r="E711" s="156" t="s">
        <v>5463</v>
      </c>
      <c r="F711" s="157" t="s">
        <v>2006</v>
      </c>
      <c r="G711" s="156"/>
      <c r="H711" s="157"/>
      <c r="I711" s="157"/>
      <c r="J711" s="156" t="str">
        <f t="shared" si="11"/>
        <v>KP-1b⁽ᴹ⁾ Percentage of transgender people reached with HIV prevention programs - defined package of services</v>
      </c>
      <c r="K711" s="162"/>
      <c r="L711" s="163"/>
      <c r="M711" s="164"/>
      <c r="N711" s="157"/>
      <c r="O711" s="157"/>
      <c r="P711" s="157"/>
      <c r="Q711" s="156" t="s">
        <v>5494</v>
      </c>
    </row>
    <row r="712" spans="4:17" x14ac:dyDescent="0.25">
      <c r="D712" s="157" t="s">
        <v>5495</v>
      </c>
      <c r="E712" s="156" t="s">
        <v>5463</v>
      </c>
      <c r="F712" s="157" t="s">
        <v>2006</v>
      </c>
      <c r="G712" s="156"/>
      <c r="H712" s="157"/>
      <c r="I712" s="157"/>
      <c r="J712" s="156" t="str">
        <f t="shared" si="11"/>
        <v>KP-1b⁽ᴹ⁾ Percentage of transgender people reached with HIV prevention programs - defined package of services</v>
      </c>
      <c r="K712" s="162"/>
      <c r="L712" s="163"/>
      <c r="M712" s="164"/>
      <c r="N712" s="157"/>
      <c r="O712" s="157"/>
      <c r="P712" s="157"/>
      <c r="Q712" s="156" t="s">
        <v>5496</v>
      </c>
    </row>
    <row r="713" spans="4:17" x14ac:dyDescent="0.25">
      <c r="D713" s="157" t="s">
        <v>5497</v>
      </c>
      <c r="E713" s="156" t="s">
        <v>5463</v>
      </c>
      <c r="F713" s="157" t="s">
        <v>2006</v>
      </c>
      <c r="G713" s="156"/>
      <c r="H713" s="157"/>
      <c r="I713" s="157"/>
      <c r="J713" s="156" t="str">
        <f t="shared" si="11"/>
        <v>KP-1b⁽ᴹ⁾ Percentage of transgender people reached with HIV prevention programs - defined package of services</v>
      </c>
      <c r="K713" s="162"/>
      <c r="L713" s="163"/>
      <c r="M713" s="164"/>
      <c r="N713" s="157"/>
      <c r="O713" s="157"/>
      <c r="P713" s="157"/>
      <c r="Q713" s="156" t="s">
        <v>5498</v>
      </c>
    </row>
    <row r="714" spans="4:17" x14ac:dyDescent="0.25">
      <c r="D714" s="157" t="s">
        <v>5499</v>
      </c>
      <c r="E714" s="156" t="s">
        <v>5463</v>
      </c>
      <c r="F714" s="157" t="s">
        <v>2006</v>
      </c>
      <c r="G714" s="156"/>
      <c r="H714" s="157"/>
      <c r="I714" s="157"/>
      <c r="J714" s="156" t="str">
        <f t="shared" si="11"/>
        <v>KP-1b⁽ᴹ⁾ Percentage of transgender people reached with HIV prevention programs - defined package of services</v>
      </c>
      <c r="K714" s="162"/>
      <c r="L714" s="163"/>
      <c r="M714" s="164"/>
      <c r="N714" s="157"/>
      <c r="O714" s="157"/>
      <c r="P714" s="157"/>
      <c r="Q714" s="156" t="s">
        <v>5500</v>
      </c>
    </row>
    <row r="715" spans="4:17" x14ac:dyDescent="0.25">
      <c r="D715" s="157" t="s">
        <v>5501</v>
      </c>
      <c r="E715" s="156" t="s">
        <v>5463</v>
      </c>
      <c r="F715" s="157" t="s">
        <v>2006</v>
      </c>
      <c r="G715" s="156"/>
      <c r="H715" s="157"/>
      <c r="I715" s="157"/>
      <c r="J715" s="156" t="str">
        <f t="shared" si="11"/>
        <v>KP-1b⁽ᴹ⁾ Percentage of transgender people reached with HIV prevention programs - defined package of services</v>
      </c>
      <c r="K715" s="162"/>
      <c r="L715" s="163"/>
      <c r="M715" s="164"/>
      <c r="N715" s="157"/>
      <c r="O715" s="157"/>
      <c r="P715" s="157"/>
      <c r="Q715" s="156" t="s">
        <v>5502</v>
      </c>
    </row>
    <row r="716" spans="4:17" x14ac:dyDescent="0.25">
      <c r="D716" s="157" t="s">
        <v>5503</v>
      </c>
      <c r="E716" s="156" t="s">
        <v>5504</v>
      </c>
      <c r="F716" s="157" t="s">
        <v>2014</v>
      </c>
      <c r="G716" s="156"/>
      <c r="H716" s="157" t="s">
        <v>1450</v>
      </c>
      <c r="I716" s="157" t="s">
        <v>1534</v>
      </c>
      <c r="J716" s="156" t="str">
        <f t="shared" si="11"/>
        <v>KP-1c⁽ᴹ⁾ Percentage of sex workers reached with HIV prevention programs - defined package of servicesGenderTransgender</v>
      </c>
      <c r="K716" s="162"/>
      <c r="L716" s="163"/>
      <c r="M716" s="164"/>
      <c r="N716" s="157"/>
      <c r="O716" s="157"/>
      <c r="P716" s="157" t="s">
        <v>4037</v>
      </c>
      <c r="Q716" s="156" t="s">
        <v>5505</v>
      </c>
    </row>
    <row r="717" spans="4:17" x14ac:dyDescent="0.25">
      <c r="D717" s="157" t="s">
        <v>5506</v>
      </c>
      <c r="E717" s="156" t="s">
        <v>5504</v>
      </c>
      <c r="F717" s="157" t="s">
        <v>2014</v>
      </c>
      <c r="G717" s="156"/>
      <c r="H717" s="157" t="s">
        <v>1450</v>
      </c>
      <c r="I717" s="157" t="s">
        <v>1453</v>
      </c>
      <c r="J717" s="156" t="str">
        <f t="shared" si="11"/>
        <v>KP-1c⁽ᴹ⁾ Percentage of sex workers reached with HIV prevention programs - defined package of servicesGenderFemale</v>
      </c>
      <c r="K717" s="162"/>
      <c r="L717" s="163"/>
      <c r="M717" s="164"/>
      <c r="N717" s="157"/>
      <c r="O717" s="157"/>
      <c r="P717" s="157" t="s">
        <v>4037</v>
      </c>
      <c r="Q717" s="156" t="s">
        <v>5507</v>
      </c>
    </row>
    <row r="718" spans="4:17" x14ac:dyDescent="0.25">
      <c r="D718" s="157" t="s">
        <v>5508</v>
      </c>
      <c r="E718" s="156" t="s">
        <v>5504</v>
      </c>
      <c r="F718" s="157" t="s">
        <v>2014</v>
      </c>
      <c r="G718" s="156"/>
      <c r="H718" s="157" t="s">
        <v>1450</v>
      </c>
      <c r="I718" s="157" t="s">
        <v>1458</v>
      </c>
      <c r="J718" s="156" t="str">
        <f t="shared" si="11"/>
        <v>KP-1c⁽ᴹ⁾ Percentage of sex workers reached with HIV prevention programs - defined package of servicesGenderMale</v>
      </c>
      <c r="K718" s="162"/>
      <c r="L718" s="163"/>
      <c r="M718" s="164"/>
      <c r="N718" s="157"/>
      <c r="O718" s="157"/>
      <c r="P718" s="157" t="s">
        <v>4037</v>
      </c>
      <c r="Q718" s="156" t="s">
        <v>5509</v>
      </c>
    </row>
    <row r="719" spans="4:17" x14ac:dyDescent="0.25">
      <c r="D719" s="157" t="s">
        <v>5510</v>
      </c>
      <c r="E719" s="156" t="s">
        <v>5504</v>
      </c>
      <c r="F719" s="157" t="s">
        <v>2014</v>
      </c>
      <c r="G719" s="156"/>
      <c r="H719" s="157" t="s">
        <v>1463</v>
      </c>
      <c r="I719" s="157" t="s">
        <v>1516</v>
      </c>
      <c r="J719" s="156" t="str">
        <f t="shared" si="11"/>
        <v>KP-1c⁽ᴹ⁾ Percentage of sex workers reached with HIV prevention programs - defined package of servicesAge25+</v>
      </c>
      <c r="K719" s="162"/>
      <c r="L719" s="163"/>
      <c r="M719" s="164"/>
      <c r="N719" s="157"/>
      <c r="O719" s="157"/>
      <c r="P719" s="157" t="s">
        <v>4037</v>
      </c>
      <c r="Q719" s="156" t="s">
        <v>5511</v>
      </c>
    </row>
    <row r="720" spans="4:17" x14ac:dyDescent="0.25">
      <c r="D720" s="157" t="s">
        <v>5512</v>
      </c>
      <c r="E720" s="156" t="s">
        <v>5504</v>
      </c>
      <c r="F720" s="157" t="s">
        <v>2014</v>
      </c>
      <c r="G720" s="156"/>
      <c r="H720" s="157" t="s">
        <v>1463</v>
      </c>
      <c r="I720" s="157" t="s">
        <v>1522</v>
      </c>
      <c r="J720" s="156" t="str">
        <f t="shared" si="11"/>
        <v>KP-1c⁽ᴹ⁾ Percentage of sex workers reached with HIV prevention programs - defined package of servicesAge&lt;25</v>
      </c>
      <c r="K720" s="162"/>
      <c r="L720" s="163"/>
      <c r="M720" s="164"/>
      <c r="N720" s="157"/>
      <c r="O720" s="157"/>
      <c r="P720" s="157" t="s">
        <v>4037</v>
      </c>
      <c r="Q720" s="156" t="s">
        <v>5513</v>
      </c>
    </row>
    <row r="721" spans="4:17" x14ac:dyDescent="0.25">
      <c r="D721" s="157" t="s">
        <v>5514</v>
      </c>
      <c r="E721" s="156" t="s">
        <v>5504</v>
      </c>
      <c r="F721" s="157" t="s">
        <v>2014</v>
      </c>
      <c r="G721" s="156"/>
      <c r="H721" s="157"/>
      <c r="I721" s="157"/>
      <c r="J721" s="156" t="str">
        <f t="shared" si="11"/>
        <v>KP-1c⁽ᴹ⁾ Percentage of sex workers reached with HIV prevention programs - defined package of services</v>
      </c>
      <c r="K721" s="162"/>
      <c r="L721" s="163"/>
      <c r="M721" s="164"/>
      <c r="N721" s="157"/>
      <c r="O721" s="157"/>
      <c r="P721" s="157"/>
      <c r="Q721" s="156" t="s">
        <v>5515</v>
      </c>
    </row>
    <row r="722" spans="4:17" x14ac:dyDescent="0.25">
      <c r="D722" s="157" t="s">
        <v>5516</v>
      </c>
      <c r="E722" s="156" t="s">
        <v>5504</v>
      </c>
      <c r="F722" s="157" t="s">
        <v>2014</v>
      </c>
      <c r="G722" s="156"/>
      <c r="H722" s="157"/>
      <c r="I722" s="157"/>
      <c r="J722" s="156" t="str">
        <f t="shared" si="11"/>
        <v>KP-1c⁽ᴹ⁾ Percentage of sex workers reached with HIV prevention programs - defined package of services</v>
      </c>
      <c r="K722" s="162"/>
      <c r="L722" s="163"/>
      <c r="M722" s="164"/>
      <c r="N722" s="157"/>
      <c r="O722" s="157"/>
      <c r="P722" s="157"/>
      <c r="Q722" s="156" t="s">
        <v>5517</v>
      </c>
    </row>
    <row r="723" spans="4:17" x14ac:dyDescent="0.25">
      <c r="D723" s="157" t="s">
        <v>5518</v>
      </c>
      <c r="E723" s="156" t="s">
        <v>5504</v>
      </c>
      <c r="F723" s="157" t="s">
        <v>2014</v>
      </c>
      <c r="G723" s="156"/>
      <c r="H723" s="157"/>
      <c r="I723" s="157"/>
      <c r="J723" s="156" t="str">
        <f t="shared" si="11"/>
        <v>KP-1c⁽ᴹ⁾ Percentage of sex workers reached with HIV prevention programs - defined package of services</v>
      </c>
      <c r="K723" s="162"/>
      <c r="L723" s="163"/>
      <c r="M723" s="164"/>
      <c r="N723" s="157"/>
      <c r="O723" s="157"/>
      <c r="P723" s="157"/>
      <c r="Q723" s="156" t="s">
        <v>5519</v>
      </c>
    </row>
    <row r="724" spans="4:17" x14ac:dyDescent="0.25">
      <c r="D724" s="157" t="s">
        <v>5520</v>
      </c>
      <c r="E724" s="156" t="s">
        <v>5504</v>
      </c>
      <c r="F724" s="157" t="s">
        <v>2014</v>
      </c>
      <c r="G724" s="156"/>
      <c r="H724" s="157"/>
      <c r="I724" s="157"/>
      <c r="J724" s="156" t="str">
        <f t="shared" si="11"/>
        <v>KP-1c⁽ᴹ⁾ Percentage of sex workers reached with HIV prevention programs - defined package of services</v>
      </c>
      <c r="K724" s="162"/>
      <c r="L724" s="163"/>
      <c r="M724" s="164"/>
      <c r="N724" s="157"/>
      <c r="O724" s="157"/>
      <c r="P724" s="157"/>
      <c r="Q724" s="156" t="s">
        <v>5521</v>
      </c>
    </row>
    <row r="725" spans="4:17" x14ac:dyDescent="0.25">
      <c r="D725" s="157" t="s">
        <v>5522</v>
      </c>
      <c r="E725" s="156" t="s">
        <v>5504</v>
      </c>
      <c r="F725" s="157" t="s">
        <v>2014</v>
      </c>
      <c r="G725" s="156"/>
      <c r="H725" s="157"/>
      <c r="I725" s="157"/>
      <c r="J725" s="156" t="str">
        <f t="shared" si="11"/>
        <v>KP-1c⁽ᴹ⁾ Percentage of sex workers reached with HIV prevention programs - defined package of services</v>
      </c>
      <c r="K725" s="162"/>
      <c r="L725" s="163"/>
      <c r="M725" s="164"/>
      <c r="N725" s="157"/>
      <c r="O725" s="157"/>
      <c r="P725" s="157"/>
      <c r="Q725" s="156" t="s">
        <v>5523</v>
      </c>
    </row>
    <row r="726" spans="4:17" x14ac:dyDescent="0.25">
      <c r="D726" s="157" t="s">
        <v>5524</v>
      </c>
      <c r="E726" s="156" t="s">
        <v>5504</v>
      </c>
      <c r="F726" s="157" t="s">
        <v>2014</v>
      </c>
      <c r="G726" s="156"/>
      <c r="H726" s="157"/>
      <c r="I726" s="157"/>
      <c r="J726" s="156" t="str">
        <f t="shared" si="11"/>
        <v>KP-1c⁽ᴹ⁾ Percentage of sex workers reached with HIV prevention programs - defined package of services</v>
      </c>
      <c r="K726" s="162"/>
      <c r="L726" s="163"/>
      <c r="M726" s="164"/>
      <c r="N726" s="157"/>
      <c r="O726" s="157"/>
      <c r="P726" s="157"/>
      <c r="Q726" s="156" t="s">
        <v>5525</v>
      </c>
    </row>
    <row r="727" spans="4:17" x14ac:dyDescent="0.25">
      <c r="D727" s="157" t="s">
        <v>5526</v>
      </c>
      <c r="E727" s="156" t="s">
        <v>5504</v>
      </c>
      <c r="F727" s="157" t="s">
        <v>2014</v>
      </c>
      <c r="G727" s="156"/>
      <c r="H727" s="157"/>
      <c r="I727" s="157"/>
      <c r="J727" s="156" t="str">
        <f t="shared" si="11"/>
        <v>KP-1c⁽ᴹ⁾ Percentage of sex workers reached with HIV prevention programs - defined package of services</v>
      </c>
      <c r="K727" s="162"/>
      <c r="L727" s="163"/>
      <c r="M727" s="164"/>
      <c r="N727" s="157"/>
      <c r="O727" s="157"/>
      <c r="P727" s="157"/>
      <c r="Q727" s="156" t="s">
        <v>5527</v>
      </c>
    </row>
    <row r="728" spans="4:17" x14ac:dyDescent="0.25">
      <c r="D728" s="157" t="s">
        <v>5528</v>
      </c>
      <c r="E728" s="156" t="s">
        <v>5504</v>
      </c>
      <c r="F728" s="157" t="s">
        <v>2014</v>
      </c>
      <c r="G728" s="156"/>
      <c r="H728" s="157"/>
      <c r="I728" s="157"/>
      <c r="J728" s="156" t="str">
        <f t="shared" si="11"/>
        <v>KP-1c⁽ᴹ⁾ Percentage of sex workers reached with HIV prevention programs - defined package of services</v>
      </c>
      <c r="K728" s="162"/>
      <c r="L728" s="163"/>
      <c r="M728" s="164"/>
      <c r="N728" s="157"/>
      <c r="O728" s="157"/>
      <c r="P728" s="157"/>
      <c r="Q728" s="156" t="s">
        <v>5529</v>
      </c>
    </row>
    <row r="729" spans="4:17" x14ac:dyDescent="0.25">
      <c r="D729" s="157" t="s">
        <v>5530</v>
      </c>
      <c r="E729" s="156" t="s">
        <v>5504</v>
      </c>
      <c r="F729" s="157" t="s">
        <v>2014</v>
      </c>
      <c r="G729" s="156"/>
      <c r="H729" s="157"/>
      <c r="I729" s="157"/>
      <c r="J729" s="156" t="str">
        <f t="shared" si="11"/>
        <v>KP-1c⁽ᴹ⁾ Percentage of sex workers reached with HIV prevention programs - defined package of services</v>
      </c>
      <c r="K729" s="162"/>
      <c r="L729" s="163"/>
      <c r="M729" s="164"/>
      <c r="N729" s="157"/>
      <c r="O729" s="157"/>
      <c r="P729" s="157"/>
      <c r="Q729" s="156" t="s">
        <v>5531</v>
      </c>
    </row>
    <row r="730" spans="4:17" x14ac:dyDescent="0.25">
      <c r="D730" s="157" t="s">
        <v>5532</v>
      </c>
      <c r="E730" s="156" t="s">
        <v>5504</v>
      </c>
      <c r="F730" s="157" t="s">
        <v>2014</v>
      </c>
      <c r="G730" s="156"/>
      <c r="H730" s="157"/>
      <c r="I730" s="157"/>
      <c r="J730" s="156" t="str">
        <f t="shared" si="11"/>
        <v>KP-1c⁽ᴹ⁾ Percentage of sex workers reached with HIV prevention programs - defined package of services</v>
      </c>
      <c r="K730" s="162"/>
      <c r="L730" s="163"/>
      <c r="M730" s="164"/>
      <c r="N730" s="157"/>
      <c r="O730" s="157"/>
      <c r="P730" s="157"/>
      <c r="Q730" s="156" t="s">
        <v>5533</v>
      </c>
    </row>
    <row r="731" spans="4:17" x14ac:dyDescent="0.25">
      <c r="D731" s="157" t="s">
        <v>5534</v>
      </c>
      <c r="E731" s="156" t="s">
        <v>5504</v>
      </c>
      <c r="F731" s="157" t="s">
        <v>2014</v>
      </c>
      <c r="G731" s="156"/>
      <c r="H731" s="157"/>
      <c r="I731" s="157"/>
      <c r="J731" s="156" t="str">
        <f t="shared" si="11"/>
        <v>KP-1c⁽ᴹ⁾ Percentage of sex workers reached with HIV prevention programs - defined package of services</v>
      </c>
      <c r="K731" s="162"/>
      <c r="L731" s="163"/>
      <c r="M731" s="164"/>
      <c r="N731" s="157"/>
      <c r="O731" s="157"/>
      <c r="P731" s="157"/>
      <c r="Q731" s="156" t="s">
        <v>5535</v>
      </c>
    </row>
    <row r="732" spans="4:17" x14ac:dyDescent="0.25">
      <c r="D732" s="157" t="s">
        <v>5536</v>
      </c>
      <c r="E732" s="156" t="s">
        <v>5504</v>
      </c>
      <c r="F732" s="157" t="s">
        <v>2014</v>
      </c>
      <c r="G732" s="156"/>
      <c r="H732" s="157"/>
      <c r="I732" s="157"/>
      <c r="J732" s="156" t="str">
        <f t="shared" si="11"/>
        <v>KP-1c⁽ᴹ⁾ Percentage of sex workers reached with HIV prevention programs - defined package of services</v>
      </c>
      <c r="K732" s="162"/>
      <c r="L732" s="163"/>
      <c r="M732" s="164"/>
      <c r="N732" s="157"/>
      <c r="O732" s="157"/>
      <c r="P732" s="157"/>
      <c r="Q732" s="156" t="s">
        <v>5537</v>
      </c>
    </row>
    <row r="733" spans="4:17" x14ac:dyDescent="0.25">
      <c r="D733" s="157" t="s">
        <v>5538</v>
      </c>
      <c r="E733" s="156" t="s">
        <v>5504</v>
      </c>
      <c r="F733" s="157" t="s">
        <v>2014</v>
      </c>
      <c r="G733" s="156"/>
      <c r="H733" s="157"/>
      <c r="I733" s="157"/>
      <c r="J733" s="156" t="str">
        <f t="shared" si="11"/>
        <v>KP-1c⁽ᴹ⁾ Percentage of sex workers reached with HIV prevention programs - defined package of services</v>
      </c>
      <c r="K733" s="162"/>
      <c r="L733" s="163"/>
      <c r="M733" s="164"/>
      <c r="N733" s="157"/>
      <c r="O733" s="157"/>
      <c r="P733" s="157"/>
      <c r="Q733" s="156" t="s">
        <v>5539</v>
      </c>
    </row>
    <row r="734" spans="4:17" x14ac:dyDescent="0.25">
      <c r="D734" s="157" t="s">
        <v>5540</v>
      </c>
      <c r="E734" s="156" t="s">
        <v>5504</v>
      </c>
      <c r="F734" s="157" t="s">
        <v>2014</v>
      </c>
      <c r="G734" s="156"/>
      <c r="H734" s="157"/>
      <c r="I734" s="157"/>
      <c r="J734" s="156" t="str">
        <f t="shared" si="11"/>
        <v>KP-1c⁽ᴹ⁾ Percentage of sex workers reached with HIV prevention programs - defined package of services</v>
      </c>
      <c r="K734" s="162"/>
      <c r="L734" s="163"/>
      <c r="M734" s="164"/>
      <c r="N734" s="157"/>
      <c r="O734" s="157"/>
      <c r="P734" s="157"/>
      <c r="Q734" s="156" t="s">
        <v>5541</v>
      </c>
    </row>
    <row r="735" spans="4:17" x14ac:dyDescent="0.25">
      <c r="D735" s="157" t="s">
        <v>5542</v>
      </c>
      <c r="E735" s="156" t="s">
        <v>5504</v>
      </c>
      <c r="F735" s="157" t="s">
        <v>2014</v>
      </c>
      <c r="G735" s="156"/>
      <c r="H735" s="157"/>
      <c r="I735" s="157"/>
      <c r="J735" s="156" t="str">
        <f t="shared" si="11"/>
        <v>KP-1c⁽ᴹ⁾ Percentage of sex workers reached with HIV prevention programs - defined package of services</v>
      </c>
      <c r="K735" s="162"/>
      <c r="L735" s="163"/>
      <c r="M735" s="164"/>
      <c r="N735" s="157"/>
      <c r="O735" s="157"/>
      <c r="P735" s="157"/>
      <c r="Q735" s="156" t="s">
        <v>5543</v>
      </c>
    </row>
    <row r="736" spans="4:17" x14ac:dyDescent="0.25">
      <c r="D736" s="157" t="s">
        <v>5544</v>
      </c>
      <c r="E736" s="156" t="s">
        <v>5545</v>
      </c>
      <c r="F736" s="157" t="s">
        <v>3182</v>
      </c>
      <c r="G736" s="156"/>
      <c r="H736" s="157"/>
      <c r="I736" s="157"/>
      <c r="J736" s="156" t="str">
        <f t="shared" si="11"/>
        <v>KP-6a Percentage of eligible men who have sex with men who initiated oral antiretroviral PrEP during the reporting period</v>
      </c>
      <c r="K736" s="162"/>
      <c r="L736" s="163"/>
      <c r="M736" s="164"/>
      <c r="N736" s="157"/>
      <c r="O736" s="157"/>
      <c r="P736" s="157"/>
      <c r="Q736" s="156" t="s">
        <v>5546</v>
      </c>
    </row>
    <row r="737" spans="4:17" x14ac:dyDescent="0.25">
      <c r="D737" s="157" t="s">
        <v>5547</v>
      </c>
      <c r="E737" s="156" t="s">
        <v>5545</v>
      </c>
      <c r="F737" s="157" t="s">
        <v>3182</v>
      </c>
      <c r="G737" s="156"/>
      <c r="H737" s="157"/>
      <c r="I737" s="157"/>
      <c r="J737" s="156" t="str">
        <f t="shared" si="11"/>
        <v>KP-6a Percentage of eligible men who have sex with men who initiated oral antiretroviral PrEP during the reporting period</v>
      </c>
      <c r="K737" s="162"/>
      <c r="L737" s="163"/>
      <c r="M737" s="164"/>
      <c r="N737" s="157"/>
      <c r="O737" s="157"/>
      <c r="P737" s="157"/>
      <c r="Q737" s="156" t="s">
        <v>5548</v>
      </c>
    </row>
    <row r="738" spans="4:17" x14ac:dyDescent="0.25">
      <c r="D738" s="157" t="s">
        <v>5549</v>
      </c>
      <c r="E738" s="156" t="s">
        <v>5545</v>
      </c>
      <c r="F738" s="157" t="s">
        <v>3182</v>
      </c>
      <c r="G738" s="156"/>
      <c r="H738" s="157"/>
      <c r="I738" s="157"/>
      <c r="J738" s="156" t="str">
        <f t="shared" si="11"/>
        <v>KP-6a Percentage of eligible men who have sex with men who initiated oral antiretroviral PrEP during the reporting period</v>
      </c>
      <c r="K738" s="162"/>
      <c r="L738" s="163"/>
      <c r="M738" s="164"/>
      <c r="N738" s="157"/>
      <c r="O738" s="157"/>
      <c r="P738" s="157"/>
      <c r="Q738" s="156" t="s">
        <v>5550</v>
      </c>
    </row>
    <row r="739" spans="4:17" x14ac:dyDescent="0.25">
      <c r="D739" s="157" t="s">
        <v>5551</v>
      </c>
      <c r="E739" s="156" t="s">
        <v>5545</v>
      </c>
      <c r="F739" s="157" t="s">
        <v>3182</v>
      </c>
      <c r="G739" s="156"/>
      <c r="H739" s="157"/>
      <c r="I739" s="157"/>
      <c r="J739" s="156" t="str">
        <f t="shared" si="11"/>
        <v>KP-6a Percentage of eligible men who have sex with men who initiated oral antiretroviral PrEP during the reporting period</v>
      </c>
      <c r="K739" s="162"/>
      <c r="L739" s="163"/>
      <c r="M739" s="164"/>
      <c r="N739" s="157"/>
      <c r="O739" s="157"/>
      <c r="P739" s="157"/>
      <c r="Q739" s="156" t="s">
        <v>5552</v>
      </c>
    </row>
    <row r="740" spans="4:17" x14ac:dyDescent="0.25">
      <c r="D740" s="157" t="s">
        <v>5553</v>
      </c>
      <c r="E740" s="156" t="s">
        <v>5545</v>
      </c>
      <c r="F740" s="157" t="s">
        <v>3182</v>
      </c>
      <c r="G740" s="156"/>
      <c r="H740" s="157"/>
      <c r="I740" s="157"/>
      <c r="J740" s="156" t="str">
        <f t="shared" si="11"/>
        <v>KP-6a Percentage of eligible men who have sex with men who initiated oral antiretroviral PrEP during the reporting period</v>
      </c>
      <c r="K740" s="162"/>
      <c r="L740" s="163"/>
      <c r="M740" s="164"/>
      <c r="N740" s="157"/>
      <c r="O740" s="157"/>
      <c r="P740" s="157"/>
      <c r="Q740" s="156" t="s">
        <v>5554</v>
      </c>
    </row>
    <row r="741" spans="4:17" x14ac:dyDescent="0.25">
      <c r="D741" s="157" t="s">
        <v>5555</v>
      </c>
      <c r="E741" s="156" t="s">
        <v>5545</v>
      </c>
      <c r="F741" s="157" t="s">
        <v>3182</v>
      </c>
      <c r="G741" s="156"/>
      <c r="H741" s="157"/>
      <c r="I741" s="157"/>
      <c r="J741" s="156" t="str">
        <f t="shared" si="11"/>
        <v>KP-6a Percentage of eligible men who have sex with men who initiated oral antiretroviral PrEP during the reporting period</v>
      </c>
      <c r="K741" s="162"/>
      <c r="L741" s="163"/>
      <c r="M741" s="164"/>
      <c r="N741" s="157"/>
      <c r="O741" s="157"/>
      <c r="P741" s="157"/>
      <c r="Q741" s="156" t="s">
        <v>5556</v>
      </c>
    </row>
    <row r="742" spans="4:17" x14ac:dyDescent="0.25">
      <c r="D742" s="157" t="s">
        <v>5557</v>
      </c>
      <c r="E742" s="156" t="s">
        <v>5545</v>
      </c>
      <c r="F742" s="157" t="s">
        <v>3182</v>
      </c>
      <c r="G742" s="156"/>
      <c r="H742" s="157"/>
      <c r="I742" s="157"/>
      <c r="J742" s="156" t="str">
        <f t="shared" si="11"/>
        <v>KP-6a Percentage of eligible men who have sex with men who initiated oral antiretroviral PrEP during the reporting period</v>
      </c>
      <c r="K742" s="162"/>
      <c r="L742" s="163"/>
      <c r="M742" s="164"/>
      <c r="N742" s="157"/>
      <c r="O742" s="157"/>
      <c r="P742" s="157"/>
      <c r="Q742" s="156" t="s">
        <v>5558</v>
      </c>
    </row>
    <row r="743" spans="4:17" x14ac:dyDescent="0.25">
      <c r="D743" s="157" t="s">
        <v>5559</v>
      </c>
      <c r="E743" s="156" t="s">
        <v>5545</v>
      </c>
      <c r="F743" s="157" t="s">
        <v>3182</v>
      </c>
      <c r="G743" s="156"/>
      <c r="H743" s="157"/>
      <c r="I743" s="157"/>
      <c r="J743" s="156" t="str">
        <f t="shared" si="11"/>
        <v>KP-6a Percentage of eligible men who have sex with men who initiated oral antiretroviral PrEP during the reporting period</v>
      </c>
      <c r="K743" s="162"/>
      <c r="L743" s="163"/>
      <c r="M743" s="164"/>
      <c r="N743" s="157"/>
      <c r="O743" s="157"/>
      <c r="P743" s="157"/>
      <c r="Q743" s="156" t="s">
        <v>5560</v>
      </c>
    </row>
    <row r="744" spans="4:17" x14ac:dyDescent="0.25">
      <c r="D744" s="157" t="s">
        <v>5561</v>
      </c>
      <c r="E744" s="156" t="s">
        <v>5545</v>
      </c>
      <c r="F744" s="157" t="s">
        <v>3182</v>
      </c>
      <c r="G744" s="156"/>
      <c r="H744" s="157"/>
      <c r="I744" s="157"/>
      <c r="J744" s="156" t="str">
        <f t="shared" ref="J744:J807" si="12">F744&amp;H744&amp;I744</f>
        <v>KP-6a Percentage of eligible men who have sex with men who initiated oral antiretroviral PrEP during the reporting period</v>
      </c>
      <c r="K744" s="162"/>
      <c r="L744" s="163"/>
      <c r="M744" s="164"/>
      <c r="N744" s="157"/>
      <c r="O744" s="157"/>
      <c r="P744" s="157"/>
      <c r="Q744" s="156" t="s">
        <v>5562</v>
      </c>
    </row>
    <row r="745" spans="4:17" x14ac:dyDescent="0.25">
      <c r="D745" s="157" t="s">
        <v>5563</v>
      </c>
      <c r="E745" s="156" t="s">
        <v>5545</v>
      </c>
      <c r="F745" s="157" t="s">
        <v>3182</v>
      </c>
      <c r="G745" s="156"/>
      <c r="H745" s="157"/>
      <c r="I745" s="157"/>
      <c r="J745" s="156" t="str">
        <f t="shared" si="12"/>
        <v>KP-6a Percentage of eligible men who have sex with men who initiated oral antiretroviral PrEP during the reporting period</v>
      </c>
      <c r="K745" s="162"/>
      <c r="L745" s="163"/>
      <c r="M745" s="164"/>
      <c r="N745" s="157"/>
      <c r="O745" s="157"/>
      <c r="P745" s="157"/>
      <c r="Q745" s="156" t="s">
        <v>5564</v>
      </c>
    </row>
    <row r="746" spans="4:17" x14ac:dyDescent="0.25">
      <c r="D746" s="157" t="s">
        <v>5565</v>
      </c>
      <c r="E746" s="156" t="s">
        <v>5545</v>
      </c>
      <c r="F746" s="157" t="s">
        <v>3182</v>
      </c>
      <c r="G746" s="156"/>
      <c r="H746" s="157"/>
      <c r="I746" s="157"/>
      <c r="J746" s="156" t="str">
        <f t="shared" si="12"/>
        <v>KP-6a Percentage of eligible men who have sex with men who initiated oral antiretroviral PrEP during the reporting period</v>
      </c>
      <c r="K746" s="162"/>
      <c r="L746" s="163"/>
      <c r="M746" s="164"/>
      <c r="N746" s="157"/>
      <c r="O746" s="157"/>
      <c r="P746" s="157"/>
      <c r="Q746" s="156" t="s">
        <v>5566</v>
      </c>
    </row>
    <row r="747" spans="4:17" x14ac:dyDescent="0.25">
      <c r="D747" s="157" t="s">
        <v>5567</v>
      </c>
      <c r="E747" s="156" t="s">
        <v>5545</v>
      </c>
      <c r="F747" s="157" t="s">
        <v>3182</v>
      </c>
      <c r="G747" s="156"/>
      <c r="H747" s="157"/>
      <c r="I747" s="157"/>
      <c r="J747" s="156" t="str">
        <f t="shared" si="12"/>
        <v>KP-6a Percentage of eligible men who have sex with men who initiated oral antiretroviral PrEP during the reporting period</v>
      </c>
      <c r="K747" s="162"/>
      <c r="L747" s="163"/>
      <c r="M747" s="164"/>
      <c r="N747" s="157"/>
      <c r="O747" s="157"/>
      <c r="P747" s="157"/>
      <c r="Q747" s="156" t="s">
        <v>5568</v>
      </c>
    </row>
    <row r="748" spans="4:17" x14ac:dyDescent="0.25">
      <c r="D748" s="157" t="s">
        <v>5569</v>
      </c>
      <c r="E748" s="156" t="s">
        <v>5545</v>
      </c>
      <c r="F748" s="157" t="s">
        <v>3182</v>
      </c>
      <c r="G748" s="156"/>
      <c r="H748" s="157"/>
      <c r="I748" s="157"/>
      <c r="J748" s="156" t="str">
        <f t="shared" si="12"/>
        <v>KP-6a Percentage of eligible men who have sex with men who initiated oral antiretroviral PrEP during the reporting period</v>
      </c>
      <c r="K748" s="162"/>
      <c r="L748" s="163"/>
      <c r="M748" s="164"/>
      <c r="N748" s="157"/>
      <c r="O748" s="157"/>
      <c r="P748" s="157"/>
      <c r="Q748" s="156" t="s">
        <v>5570</v>
      </c>
    </row>
    <row r="749" spans="4:17" x14ac:dyDescent="0.25">
      <c r="D749" s="157" t="s">
        <v>5571</v>
      </c>
      <c r="E749" s="156" t="s">
        <v>5545</v>
      </c>
      <c r="F749" s="157" t="s">
        <v>3182</v>
      </c>
      <c r="G749" s="156"/>
      <c r="H749" s="157"/>
      <c r="I749" s="157"/>
      <c r="J749" s="156" t="str">
        <f t="shared" si="12"/>
        <v>KP-6a Percentage of eligible men who have sex with men who initiated oral antiretroviral PrEP during the reporting period</v>
      </c>
      <c r="K749" s="162"/>
      <c r="L749" s="163"/>
      <c r="M749" s="164"/>
      <c r="N749" s="157"/>
      <c r="O749" s="157"/>
      <c r="P749" s="157"/>
      <c r="Q749" s="156" t="s">
        <v>5572</v>
      </c>
    </row>
    <row r="750" spans="4:17" x14ac:dyDescent="0.25">
      <c r="D750" s="157" t="s">
        <v>5573</v>
      </c>
      <c r="E750" s="156" t="s">
        <v>5545</v>
      </c>
      <c r="F750" s="157" t="s">
        <v>3182</v>
      </c>
      <c r="G750" s="156"/>
      <c r="H750" s="157"/>
      <c r="I750" s="157"/>
      <c r="J750" s="156" t="str">
        <f t="shared" si="12"/>
        <v>KP-6a Percentage of eligible men who have sex with men who initiated oral antiretroviral PrEP during the reporting period</v>
      </c>
      <c r="K750" s="162"/>
      <c r="L750" s="163"/>
      <c r="M750" s="164"/>
      <c r="N750" s="157"/>
      <c r="O750" s="157"/>
      <c r="P750" s="157"/>
      <c r="Q750" s="156" t="s">
        <v>5574</v>
      </c>
    </row>
    <row r="751" spans="4:17" x14ac:dyDescent="0.25">
      <c r="D751" s="157" t="s">
        <v>5575</v>
      </c>
      <c r="E751" s="156" t="s">
        <v>5545</v>
      </c>
      <c r="F751" s="157" t="s">
        <v>3182</v>
      </c>
      <c r="G751" s="156"/>
      <c r="H751" s="157"/>
      <c r="I751" s="157"/>
      <c r="J751" s="156" t="str">
        <f t="shared" si="12"/>
        <v>KP-6a Percentage of eligible men who have sex with men who initiated oral antiretroviral PrEP during the reporting period</v>
      </c>
      <c r="K751" s="162"/>
      <c r="L751" s="163"/>
      <c r="M751" s="164"/>
      <c r="N751" s="157"/>
      <c r="O751" s="157"/>
      <c r="P751" s="157"/>
      <c r="Q751" s="156" t="s">
        <v>5576</v>
      </c>
    </row>
    <row r="752" spans="4:17" x14ac:dyDescent="0.25">
      <c r="D752" s="157" t="s">
        <v>5577</v>
      </c>
      <c r="E752" s="156" t="s">
        <v>5545</v>
      </c>
      <c r="F752" s="157" t="s">
        <v>3182</v>
      </c>
      <c r="G752" s="156"/>
      <c r="H752" s="157"/>
      <c r="I752" s="157"/>
      <c r="J752" s="156" t="str">
        <f t="shared" si="12"/>
        <v>KP-6a Percentage of eligible men who have sex with men who initiated oral antiretroviral PrEP during the reporting period</v>
      </c>
      <c r="K752" s="162"/>
      <c r="L752" s="163"/>
      <c r="M752" s="164"/>
      <c r="N752" s="157"/>
      <c r="O752" s="157"/>
      <c r="P752" s="157"/>
      <c r="Q752" s="156" t="s">
        <v>5578</v>
      </c>
    </row>
    <row r="753" spans="4:17" x14ac:dyDescent="0.25">
      <c r="D753" s="157" t="s">
        <v>5579</v>
      </c>
      <c r="E753" s="156" t="s">
        <v>5545</v>
      </c>
      <c r="F753" s="157" t="s">
        <v>3182</v>
      </c>
      <c r="G753" s="156"/>
      <c r="H753" s="157"/>
      <c r="I753" s="157"/>
      <c r="J753" s="156" t="str">
        <f t="shared" si="12"/>
        <v>KP-6a Percentage of eligible men who have sex with men who initiated oral antiretroviral PrEP during the reporting period</v>
      </c>
      <c r="K753" s="162"/>
      <c r="L753" s="163"/>
      <c r="M753" s="164"/>
      <c r="N753" s="157"/>
      <c r="O753" s="157"/>
      <c r="P753" s="157"/>
      <c r="Q753" s="156" t="s">
        <v>5580</v>
      </c>
    </row>
    <row r="754" spans="4:17" x14ac:dyDescent="0.25">
      <c r="D754" s="157" t="s">
        <v>5581</v>
      </c>
      <c r="E754" s="156" t="s">
        <v>5545</v>
      </c>
      <c r="F754" s="157" t="s">
        <v>3182</v>
      </c>
      <c r="G754" s="156"/>
      <c r="H754" s="157"/>
      <c r="I754" s="157"/>
      <c r="J754" s="156" t="str">
        <f t="shared" si="12"/>
        <v>KP-6a Percentage of eligible men who have sex with men who initiated oral antiretroviral PrEP during the reporting period</v>
      </c>
      <c r="K754" s="162"/>
      <c r="L754" s="163"/>
      <c r="M754" s="164"/>
      <c r="N754" s="157"/>
      <c r="O754" s="157"/>
      <c r="P754" s="157"/>
      <c r="Q754" s="156" t="s">
        <v>5582</v>
      </c>
    </row>
    <row r="755" spans="4:17" x14ac:dyDescent="0.25">
      <c r="D755" s="157" t="s">
        <v>5583</v>
      </c>
      <c r="E755" s="156" t="s">
        <v>5545</v>
      </c>
      <c r="F755" s="157" t="s">
        <v>3182</v>
      </c>
      <c r="G755" s="156"/>
      <c r="H755" s="157"/>
      <c r="I755" s="157"/>
      <c r="J755" s="156" t="str">
        <f t="shared" si="12"/>
        <v>KP-6a Percentage of eligible men who have sex with men who initiated oral antiretroviral PrEP during the reporting period</v>
      </c>
      <c r="K755" s="162"/>
      <c r="L755" s="163"/>
      <c r="M755" s="164"/>
      <c r="N755" s="157"/>
      <c r="O755" s="157"/>
      <c r="P755" s="157"/>
      <c r="Q755" s="156" t="s">
        <v>5584</v>
      </c>
    </row>
    <row r="756" spans="4:17" x14ac:dyDescent="0.25">
      <c r="D756" s="157" t="s">
        <v>5585</v>
      </c>
      <c r="E756" s="156" t="s">
        <v>5586</v>
      </c>
      <c r="F756" s="157" t="s">
        <v>3187</v>
      </c>
      <c r="G756" s="156"/>
      <c r="H756" s="157"/>
      <c r="I756" s="157"/>
      <c r="J756" s="156" t="str">
        <f t="shared" si="12"/>
        <v>KP-6b Percentage of eligible transgender people who initiated oral antiretroviral PrEP during the reporting period</v>
      </c>
      <c r="K756" s="162"/>
      <c r="L756" s="163"/>
      <c r="M756" s="164"/>
      <c r="N756" s="157"/>
      <c r="O756" s="157"/>
      <c r="P756" s="157"/>
      <c r="Q756" s="156" t="s">
        <v>5587</v>
      </c>
    </row>
    <row r="757" spans="4:17" x14ac:dyDescent="0.25">
      <c r="D757" s="157" t="s">
        <v>5588</v>
      </c>
      <c r="E757" s="156" t="s">
        <v>5586</v>
      </c>
      <c r="F757" s="157" t="s">
        <v>3187</v>
      </c>
      <c r="G757" s="156"/>
      <c r="H757" s="157"/>
      <c r="I757" s="157"/>
      <c r="J757" s="156" t="str">
        <f t="shared" si="12"/>
        <v>KP-6b Percentage of eligible transgender people who initiated oral antiretroviral PrEP during the reporting period</v>
      </c>
      <c r="K757" s="162"/>
      <c r="L757" s="163"/>
      <c r="M757" s="164"/>
      <c r="N757" s="157"/>
      <c r="O757" s="157"/>
      <c r="P757" s="157"/>
      <c r="Q757" s="156" t="s">
        <v>5589</v>
      </c>
    </row>
    <row r="758" spans="4:17" x14ac:dyDescent="0.25">
      <c r="D758" s="157" t="s">
        <v>5590</v>
      </c>
      <c r="E758" s="156" t="s">
        <v>5586</v>
      </c>
      <c r="F758" s="157" t="s">
        <v>3187</v>
      </c>
      <c r="G758" s="156"/>
      <c r="H758" s="157"/>
      <c r="I758" s="157"/>
      <c r="J758" s="156" t="str">
        <f t="shared" si="12"/>
        <v>KP-6b Percentage of eligible transgender people who initiated oral antiretroviral PrEP during the reporting period</v>
      </c>
      <c r="K758" s="162"/>
      <c r="L758" s="163"/>
      <c r="M758" s="164"/>
      <c r="N758" s="157"/>
      <c r="O758" s="157"/>
      <c r="P758" s="157"/>
      <c r="Q758" s="156" t="s">
        <v>5591</v>
      </c>
    </row>
    <row r="759" spans="4:17" x14ac:dyDescent="0.25">
      <c r="D759" s="157" t="s">
        <v>5592</v>
      </c>
      <c r="E759" s="156" t="s">
        <v>5586</v>
      </c>
      <c r="F759" s="157" t="s">
        <v>3187</v>
      </c>
      <c r="G759" s="156"/>
      <c r="H759" s="157"/>
      <c r="I759" s="157"/>
      <c r="J759" s="156" t="str">
        <f t="shared" si="12"/>
        <v>KP-6b Percentage of eligible transgender people who initiated oral antiretroviral PrEP during the reporting period</v>
      </c>
      <c r="K759" s="162"/>
      <c r="L759" s="163"/>
      <c r="M759" s="164"/>
      <c r="N759" s="157"/>
      <c r="O759" s="157"/>
      <c r="P759" s="157"/>
      <c r="Q759" s="156" t="s">
        <v>5593</v>
      </c>
    </row>
    <row r="760" spans="4:17" x14ac:dyDescent="0.25">
      <c r="D760" s="157" t="s">
        <v>5594</v>
      </c>
      <c r="E760" s="156" t="s">
        <v>5586</v>
      </c>
      <c r="F760" s="157" t="s">
        <v>3187</v>
      </c>
      <c r="G760" s="156"/>
      <c r="H760" s="157"/>
      <c r="I760" s="157"/>
      <c r="J760" s="156" t="str">
        <f t="shared" si="12"/>
        <v>KP-6b Percentage of eligible transgender people who initiated oral antiretroviral PrEP during the reporting period</v>
      </c>
      <c r="K760" s="162"/>
      <c r="L760" s="163"/>
      <c r="M760" s="164"/>
      <c r="N760" s="157"/>
      <c r="O760" s="157"/>
      <c r="P760" s="157"/>
      <c r="Q760" s="156" t="s">
        <v>5595</v>
      </c>
    </row>
    <row r="761" spans="4:17" x14ac:dyDescent="0.25">
      <c r="D761" s="157" t="s">
        <v>5596</v>
      </c>
      <c r="E761" s="156" t="s">
        <v>5586</v>
      </c>
      <c r="F761" s="157" t="s">
        <v>3187</v>
      </c>
      <c r="G761" s="156"/>
      <c r="H761" s="157"/>
      <c r="I761" s="157"/>
      <c r="J761" s="156" t="str">
        <f t="shared" si="12"/>
        <v>KP-6b Percentage of eligible transgender people who initiated oral antiretroviral PrEP during the reporting period</v>
      </c>
      <c r="K761" s="162"/>
      <c r="L761" s="163"/>
      <c r="M761" s="164"/>
      <c r="N761" s="157"/>
      <c r="O761" s="157"/>
      <c r="P761" s="157"/>
      <c r="Q761" s="156" t="s">
        <v>5597</v>
      </c>
    </row>
    <row r="762" spans="4:17" x14ac:dyDescent="0.25">
      <c r="D762" s="157" t="s">
        <v>5598</v>
      </c>
      <c r="E762" s="156" t="s">
        <v>5586</v>
      </c>
      <c r="F762" s="157" t="s">
        <v>3187</v>
      </c>
      <c r="G762" s="156"/>
      <c r="H762" s="157"/>
      <c r="I762" s="157"/>
      <c r="J762" s="156" t="str">
        <f t="shared" si="12"/>
        <v>KP-6b Percentage of eligible transgender people who initiated oral antiretroviral PrEP during the reporting period</v>
      </c>
      <c r="K762" s="162"/>
      <c r="L762" s="163"/>
      <c r="M762" s="164"/>
      <c r="N762" s="157"/>
      <c r="O762" s="157"/>
      <c r="P762" s="157"/>
      <c r="Q762" s="156" t="s">
        <v>5599</v>
      </c>
    </row>
    <row r="763" spans="4:17" x14ac:dyDescent="0.25">
      <c r="D763" s="157" t="s">
        <v>5600</v>
      </c>
      <c r="E763" s="156" t="s">
        <v>5586</v>
      </c>
      <c r="F763" s="157" t="s">
        <v>3187</v>
      </c>
      <c r="G763" s="156"/>
      <c r="H763" s="157"/>
      <c r="I763" s="157"/>
      <c r="J763" s="156" t="str">
        <f t="shared" si="12"/>
        <v>KP-6b Percentage of eligible transgender people who initiated oral antiretroviral PrEP during the reporting period</v>
      </c>
      <c r="K763" s="162"/>
      <c r="L763" s="163"/>
      <c r="M763" s="164"/>
      <c r="N763" s="157"/>
      <c r="O763" s="157"/>
      <c r="P763" s="157"/>
      <c r="Q763" s="156" t="s">
        <v>5601</v>
      </c>
    </row>
    <row r="764" spans="4:17" x14ac:dyDescent="0.25">
      <c r="D764" s="157" t="s">
        <v>5602</v>
      </c>
      <c r="E764" s="156" t="s">
        <v>5586</v>
      </c>
      <c r="F764" s="157" t="s">
        <v>3187</v>
      </c>
      <c r="G764" s="156"/>
      <c r="H764" s="157"/>
      <c r="I764" s="157"/>
      <c r="J764" s="156" t="str">
        <f t="shared" si="12"/>
        <v>KP-6b Percentage of eligible transgender people who initiated oral antiretroviral PrEP during the reporting period</v>
      </c>
      <c r="K764" s="162"/>
      <c r="L764" s="163"/>
      <c r="M764" s="164"/>
      <c r="N764" s="157"/>
      <c r="O764" s="157"/>
      <c r="P764" s="157"/>
      <c r="Q764" s="156" t="s">
        <v>5603</v>
      </c>
    </row>
    <row r="765" spans="4:17" x14ac:dyDescent="0.25">
      <c r="D765" s="157" t="s">
        <v>5604</v>
      </c>
      <c r="E765" s="156" t="s">
        <v>5586</v>
      </c>
      <c r="F765" s="157" t="s">
        <v>3187</v>
      </c>
      <c r="G765" s="156"/>
      <c r="H765" s="157"/>
      <c r="I765" s="157"/>
      <c r="J765" s="156" t="str">
        <f t="shared" si="12"/>
        <v>KP-6b Percentage of eligible transgender people who initiated oral antiretroviral PrEP during the reporting period</v>
      </c>
      <c r="K765" s="162"/>
      <c r="L765" s="163"/>
      <c r="M765" s="164"/>
      <c r="N765" s="157"/>
      <c r="O765" s="157"/>
      <c r="P765" s="157"/>
      <c r="Q765" s="156" t="s">
        <v>5605</v>
      </c>
    </row>
    <row r="766" spans="4:17" x14ac:dyDescent="0.25">
      <c r="D766" s="157" t="s">
        <v>5606</v>
      </c>
      <c r="E766" s="156" t="s">
        <v>5586</v>
      </c>
      <c r="F766" s="157" t="s">
        <v>3187</v>
      </c>
      <c r="G766" s="156"/>
      <c r="H766" s="157"/>
      <c r="I766" s="157"/>
      <c r="J766" s="156" t="str">
        <f t="shared" si="12"/>
        <v>KP-6b Percentage of eligible transgender people who initiated oral antiretroviral PrEP during the reporting period</v>
      </c>
      <c r="K766" s="162"/>
      <c r="L766" s="163"/>
      <c r="M766" s="164"/>
      <c r="N766" s="157"/>
      <c r="O766" s="157"/>
      <c r="P766" s="157"/>
      <c r="Q766" s="156" t="s">
        <v>5607</v>
      </c>
    </row>
    <row r="767" spans="4:17" x14ac:dyDescent="0.25">
      <c r="D767" s="157" t="s">
        <v>5608</v>
      </c>
      <c r="E767" s="156" t="s">
        <v>5586</v>
      </c>
      <c r="F767" s="157" t="s">
        <v>3187</v>
      </c>
      <c r="G767" s="156"/>
      <c r="H767" s="157"/>
      <c r="I767" s="157"/>
      <c r="J767" s="156" t="str">
        <f t="shared" si="12"/>
        <v>KP-6b Percentage of eligible transgender people who initiated oral antiretroviral PrEP during the reporting period</v>
      </c>
      <c r="K767" s="162"/>
      <c r="L767" s="163"/>
      <c r="M767" s="164"/>
      <c r="N767" s="157"/>
      <c r="O767" s="157"/>
      <c r="P767" s="157"/>
      <c r="Q767" s="156" t="s">
        <v>5609</v>
      </c>
    </row>
    <row r="768" spans="4:17" x14ac:dyDescent="0.25">
      <c r="D768" s="157" t="s">
        <v>5610</v>
      </c>
      <c r="E768" s="156" t="s">
        <v>5586</v>
      </c>
      <c r="F768" s="157" t="s">
        <v>3187</v>
      </c>
      <c r="G768" s="156"/>
      <c r="H768" s="157"/>
      <c r="I768" s="157"/>
      <c r="J768" s="156" t="str">
        <f t="shared" si="12"/>
        <v>KP-6b Percentage of eligible transgender people who initiated oral antiretroviral PrEP during the reporting period</v>
      </c>
      <c r="K768" s="162"/>
      <c r="L768" s="163"/>
      <c r="M768" s="164"/>
      <c r="N768" s="157"/>
      <c r="O768" s="157"/>
      <c r="P768" s="157"/>
      <c r="Q768" s="156" t="s">
        <v>5611</v>
      </c>
    </row>
    <row r="769" spans="4:17" x14ac:dyDescent="0.25">
      <c r="D769" s="157" t="s">
        <v>5612</v>
      </c>
      <c r="E769" s="156" t="s">
        <v>5586</v>
      </c>
      <c r="F769" s="157" t="s">
        <v>3187</v>
      </c>
      <c r="G769" s="156"/>
      <c r="H769" s="157"/>
      <c r="I769" s="157"/>
      <c r="J769" s="156" t="str">
        <f t="shared" si="12"/>
        <v>KP-6b Percentage of eligible transgender people who initiated oral antiretroviral PrEP during the reporting period</v>
      </c>
      <c r="K769" s="162"/>
      <c r="L769" s="163"/>
      <c r="M769" s="164"/>
      <c r="N769" s="157"/>
      <c r="O769" s="157"/>
      <c r="P769" s="157"/>
      <c r="Q769" s="156" t="s">
        <v>5613</v>
      </c>
    </row>
    <row r="770" spans="4:17" x14ac:dyDescent="0.25">
      <c r="D770" s="157" t="s">
        <v>5614</v>
      </c>
      <c r="E770" s="156" t="s">
        <v>5586</v>
      </c>
      <c r="F770" s="157" t="s">
        <v>3187</v>
      </c>
      <c r="G770" s="156"/>
      <c r="H770" s="157"/>
      <c r="I770" s="157"/>
      <c r="J770" s="156" t="str">
        <f t="shared" si="12"/>
        <v>KP-6b Percentage of eligible transgender people who initiated oral antiretroviral PrEP during the reporting period</v>
      </c>
      <c r="K770" s="162"/>
      <c r="L770" s="163"/>
      <c r="M770" s="164"/>
      <c r="N770" s="157"/>
      <c r="O770" s="157"/>
      <c r="P770" s="157"/>
      <c r="Q770" s="156" t="s">
        <v>5615</v>
      </c>
    </row>
    <row r="771" spans="4:17" x14ac:dyDescent="0.25">
      <c r="D771" s="157" t="s">
        <v>5616</v>
      </c>
      <c r="E771" s="156" t="s">
        <v>5586</v>
      </c>
      <c r="F771" s="157" t="s">
        <v>3187</v>
      </c>
      <c r="G771" s="156"/>
      <c r="H771" s="157"/>
      <c r="I771" s="157"/>
      <c r="J771" s="156" t="str">
        <f t="shared" si="12"/>
        <v>KP-6b Percentage of eligible transgender people who initiated oral antiretroviral PrEP during the reporting period</v>
      </c>
      <c r="K771" s="162"/>
      <c r="L771" s="163"/>
      <c r="M771" s="164"/>
      <c r="N771" s="157"/>
      <c r="O771" s="157"/>
      <c r="P771" s="157"/>
      <c r="Q771" s="156" t="s">
        <v>5617</v>
      </c>
    </row>
    <row r="772" spans="4:17" x14ac:dyDescent="0.25">
      <c r="D772" s="157" t="s">
        <v>5618</v>
      </c>
      <c r="E772" s="156" t="s">
        <v>5586</v>
      </c>
      <c r="F772" s="157" t="s">
        <v>3187</v>
      </c>
      <c r="G772" s="156"/>
      <c r="H772" s="157"/>
      <c r="I772" s="157"/>
      <c r="J772" s="156" t="str">
        <f t="shared" si="12"/>
        <v>KP-6b Percentage of eligible transgender people who initiated oral antiretroviral PrEP during the reporting period</v>
      </c>
      <c r="K772" s="162"/>
      <c r="L772" s="163"/>
      <c r="M772" s="164"/>
      <c r="N772" s="157"/>
      <c r="O772" s="157"/>
      <c r="P772" s="157"/>
      <c r="Q772" s="156" t="s">
        <v>5619</v>
      </c>
    </row>
    <row r="773" spans="4:17" x14ac:dyDescent="0.25">
      <c r="D773" s="157" t="s">
        <v>5620</v>
      </c>
      <c r="E773" s="156" t="s">
        <v>5586</v>
      </c>
      <c r="F773" s="157" t="s">
        <v>3187</v>
      </c>
      <c r="G773" s="156"/>
      <c r="H773" s="157"/>
      <c r="I773" s="157"/>
      <c r="J773" s="156" t="str">
        <f t="shared" si="12"/>
        <v>KP-6b Percentage of eligible transgender people who initiated oral antiretroviral PrEP during the reporting period</v>
      </c>
      <c r="K773" s="162"/>
      <c r="L773" s="163"/>
      <c r="M773" s="164"/>
      <c r="N773" s="157"/>
      <c r="O773" s="157"/>
      <c r="P773" s="157"/>
      <c r="Q773" s="156" t="s">
        <v>5621</v>
      </c>
    </row>
    <row r="774" spans="4:17" x14ac:dyDescent="0.25">
      <c r="D774" s="157" t="s">
        <v>5622</v>
      </c>
      <c r="E774" s="156" t="s">
        <v>5586</v>
      </c>
      <c r="F774" s="157" t="s">
        <v>3187</v>
      </c>
      <c r="G774" s="156"/>
      <c r="H774" s="157"/>
      <c r="I774" s="157"/>
      <c r="J774" s="156" t="str">
        <f t="shared" si="12"/>
        <v>KP-6b Percentage of eligible transgender people who initiated oral antiretroviral PrEP during the reporting period</v>
      </c>
      <c r="K774" s="162"/>
      <c r="L774" s="163"/>
      <c r="M774" s="164"/>
      <c r="N774" s="157"/>
      <c r="O774" s="157"/>
      <c r="P774" s="157"/>
      <c r="Q774" s="156" t="s">
        <v>5623</v>
      </c>
    </row>
    <row r="775" spans="4:17" x14ac:dyDescent="0.25">
      <c r="D775" s="157" t="s">
        <v>5624</v>
      </c>
      <c r="E775" s="156" t="s">
        <v>5586</v>
      </c>
      <c r="F775" s="157" t="s">
        <v>3187</v>
      </c>
      <c r="G775" s="156"/>
      <c r="H775" s="157"/>
      <c r="I775" s="157"/>
      <c r="J775" s="156" t="str">
        <f t="shared" si="12"/>
        <v>KP-6b Percentage of eligible transgender people who initiated oral antiretroviral PrEP during the reporting period</v>
      </c>
      <c r="K775" s="162"/>
      <c r="L775" s="163"/>
      <c r="M775" s="164"/>
      <c r="N775" s="157"/>
      <c r="O775" s="157"/>
      <c r="P775" s="157"/>
      <c r="Q775" s="156" t="s">
        <v>5625</v>
      </c>
    </row>
    <row r="776" spans="4:17" x14ac:dyDescent="0.25">
      <c r="D776" s="157" t="s">
        <v>5626</v>
      </c>
      <c r="E776" s="156" t="s">
        <v>5627</v>
      </c>
      <c r="F776" s="157" t="s">
        <v>2260</v>
      </c>
      <c r="G776" s="156"/>
      <c r="H776" s="157" t="s">
        <v>1834</v>
      </c>
      <c r="I776" s="157" t="s">
        <v>1837</v>
      </c>
      <c r="J776" s="156" t="str">
        <f t="shared" si="12"/>
        <v>TCS-1.1⁽ᴹ⁾ Percentage of people on ART among all people living with HIV at the end of the reporting periodTarget / Risk population groupPrisoners</v>
      </c>
      <c r="K776" s="162"/>
      <c r="L776" s="163"/>
      <c r="M776" s="164"/>
      <c r="N776" s="157"/>
      <c r="O776" s="157"/>
      <c r="P776" s="157" t="s">
        <v>4037</v>
      </c>
      <c r="Q776" s="156" t="s">
        <v>5628</v>
      </c>
    </row>
    <row r="777" spans="4:17" x14ac:dyDescent="0.25">
      <c r="D777" s="157" t="s">
        <v>5629</v>
      </c>
      <c r="E777" s="156" t="s">
        <v>5627</v>
      </c>
      <c r="F777" s="157" t="s">
        <v>2260</v>
      </c>
      <c r="G777" s="156"/>
      <c r="H777" s="157" t="s">
        <v>1834</v>
      </c>
      <c r="I777" s="157" t="s">
        <v>1845</v>
      </c>
      <c r="J777" s="156" t="str">
        <f t="shared" si="12"/>
        <v>TCS-1.1⁽ᴹ⁾ Percentage of people on ART among all people living with HIV at the end of the reporting periodTarget / Risk population groupPWIDs</v>
      </c>
      <c r="K777" s="162"/>
      <c r="L777" s="163"/>
      <c r="M777" s="164"/>
      <c r="N777" s="157"/>
      <c r="O777" s="157"/>
      <c r="P777" s="157" t="s">
        <v>4037</v>
      </c>
      <c r="Q777" s="156" t="s">
        <v>5630</v>
      </c>
    </row>
    <row r="778" spans="4:17" x14ac:dyDescent="0.25">
      <c r="D778" s="157" t="s">
        <v>5631</v>
      </c>
      <c r="E778" s="156" t="s">
        <v>5627</v>
      </c>
      <c r="F778" s="157" t="s">
        <v>2260</v>
      </c>
      <c r="G778" s="156"/>
      <c r="H778" s="157" t="s">
        <v>1834</v>
      </c>
      <c r="I778" s="157" t="s">
        <v>1850</v>
      </c>
      <c r="J778" s="156" t="str">
        <f t="shared" si="12"/>
        <v>TCS-1.1⁽ᴹ⁾ Percentage of people on ART among all people living with HIV at the end of the reporting periodTarget / Risk population groupSex workers</v>
      </c>
      <c r="K778" s="162"/>
      <c r="L778" s="163"/>
      <c r="M778" s="164"/>
      <c r="N778" s="157"/>
      <c r="O778" s="157"/>
      <c r="P778" s="157" t="s">
        <v>4037</v>
      </c>
      <c r="Q778" s="156" t="s">
        <v>5632</v>
      </c>
    </row>
    <row r="779" spans="4:17" x14ac:dyDescent="0.25">
      <c r="D779" s="157" t="s">
        <v>5633</v>
      </c>
      <c r="E779" s="156" t="s">
        <v>5627</v>
      </c>
      <c r="F779" s="157" t="s">
        <v>2260</v>
      </c>
      <c r="G779" s="156"/>
      <c r="H779" s="157" t="s">
        <v>1834</v>
      </c>
      <c r="I779" s="157" t="s">
        <v>1855</v>
      </c>
      <c r="J779" s="156" t="str">
        <f t="shared" si="12"/>
        <v>TCS-1.1⁽ᴹ⁾ Percentage of people on ART among all people living with HIV at the end of the reporting periodTarget / Risk population groupMSM</v>
      </c>
      <c r="K779" s="162"/>
      <c r="L779" s="163"/>
      <c r="M779" s="164"/>
      <c r="N779" s="157"/>
      <c r="O779" s="157"/>
      <c r="P779" s="157" t="s">
        <v>4037</v>
      </c>
      <c r="Q779" s="156" t="s">
        <v>5634</v>
      </c>
    </row>
    <row r="780" spans="4:17" x14ac:dyDescent="0.25">
      <c r="D780" s="157" t="s">
        <v>5635</v>
      </c>
      <c r="E780" s="156" t="s">
        <v>5627</v>
      </c>
      <c r="F780" s="157" t="s">
        <v>2260</v>
      </c>
      <c r="G780" s="156"/>
      <c r="H780" s="157" t="s">
        <v>2271</v>
      </c>
      <c r="I780" s="157" t="s">
        <v>2274</v>
      </c>
      <c r="J780" s="156" t="str">
        <f t="shared" si="12"/>
        <v>TCS-1.1⁽ᴹ⁾ Percentage of people on ART among all people living with HIV at the end of the reporting periodDuration of treatmentNewly initiating ART</v>
      </c>
      <c r="K780" s="162"/>
      <c r="L780" s="163"/>
      <c r="M780" s="164"/>
      <c r="N780" s="157"/>
      <c r="O780" s="157"/>
      <c r="P780" s="157" t="s">
        <v>4037</v>
      </c>
      <c r="Q780" s="156" t="s">
        <v>5636</v>
      </c>
    </row>
    <row r="781" spans="4:17" x14ac:dyDescent="0.25">
      <c r="D781" s="157" t="s">
        <v>5637</v>
      </c>
      <c r="E781" s="156" t="s">
        <v>5627</v>
      </c>
      <c r="F781" s="157" t="s">
        <v>2260</v>
      </c>
      <c r="G781" s="156"/>
      <c r="H781" s="157" t="s">
        <v>1424</v>
      </c>
      <c r="I781" s="157" t="s">
        <v>2279</v>
      </c>
      <c r="J781" s="156" t="str">
        <f t="shared" si="12"/>
        <v>TCS-1.1⁽ᴹ⁾ Percentage of people on ART among all people living with HIV at the end of the reporting periodGender | AgeFemale 15-24</v>
      </c>
      <c r="K781" s="162"/>
      <c r="L781" s="163"/>
      <c r="M781" s="164"/>
      <c r="N781" s="157"/>
      <c r="O781" s="157"/>
      <c r="P781" s="157" t="s">
        <v>4037</v>
      </c>
      <c r="Q781" s="156" t="s">
        <v>5638</v>
      </c>
    </row>
    <row r="782" spans="4:17" x14ac:dyDescent="0.25">
      <c r="D782" s="157" t="s">
        <v>5639</v>
      </c>
      <c r="E782" s="156" t="s">
        <v>5627</v>
      </c>
      <c r="F782" s="157" t="s">
        <v>2260</v>
      </c>
      <c r="G782" s="156"/>
      <c r="H782" s="157" t="s">
        <v>1424</v>
      </c>
      <c r="I782" s="157" t="s">
        <v>2284</v>
      </c>
      <c r="J782" s="156" t="str">
        <f t="shared" si="12"/>
        <v>TCS-1.1⁽ᴹ⁾ Percentage of people on ART among all people living with HIV at the end of the reporting periodGender | AgeMale 15-24</v>
      </c>
      <c r="K782" s="162"/>
      <c r="L782" s="163"/>
      <c r="M782" s="164"/>
      <c r="N782" s="157"/>
      <c r="O782" s="157"/>
      <c r="P782" s="157" t="s">
        <v>4037</v>
      </c>
      <c r="Q782" s="156" t="s">
        <v>5640</v>
      </c>
    </row>
    <row r="783" spans="4:17" x14ac:dyDescent="0.25">
      <c r="D783" s="157" t="s">
        <v>5641</v>
      </c>
      <c r="E783" s="156" t="s">
        <v>5627</v>
      </c>
      <c r="F783" s="157" t="s">
        <v>2260</v>
      </c>
      <c r="G783" s="156"/>
      <c r="H783" s="157" t="s">
        <v>1424</v>
      </c>
      <c r="I783" s="157" t="s">
        <v>1427</v>
      </c>
      <c r="J783" s="156" t="str">
        <f t="shared" si="12"/>
        <v>TCS-1.1⁽ᴹ⁾ Percentage of people on ART among all people living with HIV at the end of the reporting periodGender | AgeFemale 20-24</v>
      </c>
      <c r="K783" s="162"/>
      <c r="L783" s="163"/>
      <c r="M783" s="164"/>
      <c r="N783" s="157"/>
      <c r="O783" s="157"/>
      <c r="P783" s="157" t="s">
        <v>4037</v>
      </c>
      <c r="Q783" s="156" t="s">
        <v>5642</v>
      </c>
    </row>
    <row r="784" spans="4:17" x14ac:dyDescent="0.25">
      <c r="D784" s="157" t="s">
        <v>5643</v>
      </c>
      <c r="E784" s="156" t="s">
        <v>5627</v>
      </c>
      <c r="F784" s="157" t="s">
        <v>2260</v>
      </c>
      <c r="G784" s="156"/>
      <c r="H784" s="157" t="s">
        <v>1424</v>
      </c>
      <c r="I784" s="157" t="s">
        <v>1435</v>
      </c>
      <c r="J784" s="156" t="str">
        <f t="shared" si="12"/>
        <v>TCS-1.1⁽ᴹ⁾ Percentage of people on ART among all people living with HIV at the end of the reporting periodGender | AgeMale 20-24</v>
      </c>
      <c r="K784" s="162"/>
      <c r="L784" s="163"/>
      <c r="M784" s="164"/>
      <c r="N784" s="157"/>
      <c r="O784" s="157"/>
      <c r="P784" s="157" t="s">
        <v>4037</v>
      </c>
      <c r="Q784" s="156" t="s">
        <v>5644</v>
      </c>
    </row>
    <row r="785" spans="4:17" x14ac:dyDescent="0.25">
      <c r="D785" s="157" t="s">
        <v>5645</v>
      </c>
      <c r="E785" s="156" t="s">
        <v>5627</v>
      </c>
      <c r="F785" s="157" t="s">
        <v>2260</v>
      </c>
      <c r="G785" s="156"/>
      <c r="H785" s="157" t="s">
        <v>1424</v>
      </c>
      <c r="I785" s="157" t="s">
        <v>1440</v>
      </c>
      <c r="J785" s="156" t="str">
        <f t="shared" si="12"/>
        <v>TCS-1.1⁽ᴹ⁾ Percentage of people on ART among all people living with HIV at the end of the reporting periodGender | AgeFemale 15-19</v>
      </c>
      <c r="K785" s="162"/>
      <c r="L785" s="163"/>
      <c r="M785" s="164"/>
      <c r="N785" s="157"/>
      <c r="O785" s="157"/>
      <c r="P785" s="157" t="s">
        <v>4037</v>
      </c>
      <c r="Q785" s="156" t="s">
        <v>5646</v>
      </c>
    </row>
    <row r="786" spans="4:17" x14ac:dyDescent="0.25">
      <c r="D786" s="157" t="s">
        <v>5647</v>
      </c>
      <c r="E786" s="156" t="s">
        <v>5627</v>
      </c>
      <c r="F786" s="157" t="s">
        <v>2260</v>
      </c>
      <c r="G786" s="156"/>
      <c r="H786" s="157" t="s">
        <v>1424</v>
      </c>
      <c r="I786" s="157" t="s">
        <v>1445</v>
      </c>
      <c r="J786" s="156" t="str">
        <f t="shared" si="12"/>
        <v>TCS-1.1⁽ᴹ⁾ Percentage of people on ART among all people living with HIV at the end of the reporting periodGender | AgeMale 15-19</v>
      </c>
      <c r="K786" s="162"/>
      <c r="L786" s="163"/>
      <c r="M786" s="164"/>
      <c r="N786" s="157"/>
      <c r="O786" s="157"/>
      <c r="P786" s="157" t="s">
        <v>4037</v>
      </c>
      <c r="Q786" s="156" t="s">
        <v>5648</v>
      </c>
    </row>
    <row r="787" spans="4:17" x14ac:dyDescent="0.25">
      <c r="D787" s="157" t="s">
        <v>5649</v>
      </c>
      <c r="E787" s="156" t="s">
        <v>5627</v>
      </c>
      <c r="F787" s="157" t="s">
        <v>2260</v>
      </c>
      <c r="G787" s="156"/>
      <c r="H787" s="157" t="s">
        <v>1424</v>
      </c>
      <c r="I787" s="157" t="s">
        <v>2297</v>
      </c>
      <c r="J787" s="156" t="str">
        <f t="shared" si="12"/>
        <v>TCS-1.1⁽ᴹ⁾ Percentage of people on ART among all people living with HIV at the end of the reporting periodGender | AgeFemale 15+</v>
      </c>
      <c r="K787" s="162"/>
      <c r="L787" s="163"/>
      <c r="M787" s="164"/>
      <c r="N787" s="157"/>
      <c r="O787" s="157"/>
      <c r="P787" s="157" t="s">
        <v>4037</v>
      </c>
      <c r="Q787" s="156" t="s">
        <v>5650</v>
      </c>
    </row>
    <row r="788" spans="4:17" x14ac:dyDescent="0.25">
      <c r="D788" s="157" t="s">
        <v>5651</v>
      </c>
      <c r="E788" s="156" t="s">
        <v>5627</v>
      </c>
      <c r="F788" s="157" t="s">
        <v>2260</v>
      </c>
      <c r="G788" s="156"/>
      <c r="H788" s="157" t="s">
        <v>1424</v>
      </c>
      <c r="I788" s="157" t="s">
        <v>2302</v>
      </c>
      <c r="J788" s="156" t="str">
        <f t="shared" si="12"/>
        <v>TCS-1.1⁽ᴹ⁾ Percentage of people on ART among all people living with HIV at the end of the reporting periodGender | AgeMale 15+</v>
      </c>
      <c r="K788" s="162"/>
      <c r="L788" s="163"/>
      <c r="M788" s="164"/>
      <c r="N788" s="157"/>
      <c r="O788" s="157"/>
      <c r="P788" s="157" t="s">
        <v>4037</v>
      </c>
      <c r="Q788" s="156" t="s">
        <v>5652</v>
      </c>
    </row>
    <row r="789" spans="4:17" x14ac:dyDescent="0.25">
      <c r="D789" s="157" t="s">
        <v>5653</v>
      </c>
      <c r="E789" s="156" t="s">
        <v>5627</v>
      </c>
      <c r="F789" s="157" t="s">
        <v>2260</v>
      </c>
      <c r="G789" s="156"/>
      <c r="H789" s="157" t="s">
        <v>1450</v>
      </c>
      <c r="I789" s="157" t="s">
        <v>1534</v>
      </c>
      <c r="J789" s="156" t="str">
        <f t="shared" si="12"/>
        <v>TCS-1.1⁽ᴹ⁾ Percentage of people on ART among all people living with HIV at the end of the reporting periodGenderTransgender</v>
      </c>
      <c r="K789" s="162"/>
      <c r="L789" s="163"/>
      <c r="M789" s="164"/>
      <c r="N789" s="157"/>
      <c r="O789" s="157"/>
      <c r="P789" s="157" t="s">
        <v>4037</v>
      </c>
      <c r="Q789" s="156" t="s">
        <v>5654</v>
      </c>
    </row>
    <row r="790" spans="4:17" x14ac:dyDescent="0.25">
      <c r="D790" s="157" t="s">
        <v>5655</v>
      </c>
      <c r="E790" s="156" t="s">
        <v>5627</v>
      </c>
      <c r="F790" s="157" t="s">
        <v>2260</v>
      </c>
      <c r="G790" s="156"/>
      <c r="H790" s="157" t="s">
        <v>1450</v>
      </c>
      <c r="I790" s="157" t="s">
        <v>1453</v>
      </c>
      <c r="J790" s="156" t="str">
        <f t="shared" si="12"/>
        <v>TCS-1.1⁽ᴹ⁾ Percentage of people on ART among all people living with HIV at the end of the reporting periodGenderFemale</v>
      </c>
      <c r="K790" s="162"/>
      <c r="L790" s="163"/>
      <c r="M790" s="164"/>
      <c r="N790" s="157"/>
      <c r="O790" s="157"/>
      <c r="P790" s="157" t="s">
        <v>4037</v>
      </c>
      <c r="Q790" s="156" t="s">
        <v>5656</v>
      </c>
    </row>
    <row r="791" spans="4:17" x14ac:dyDescent="0.25">
      <c r="D791" s="157" t="s">
        <v>5657</v>
      </c>
      <c r="E791" s="156" t="s">
        <v>5627</v>
      </c>
      <c r="F791" s="157" t="s">
        <v>2260</v>
      </c>
      <c r="G791" s="156"/>
      <c r="H791" s="157" t="s">
        <v>1450</v>
      </c>
      <c r="I791" s="157" t="s">
        <v>1458</v>
      </c>
      <c r="J791" s="156" t="str">
        <f t="shared" si="12"/>
        <v>TCS-1.1⁽ᴹ⁾ Percentage of people on ART among all people living with HIV at the end of the reporting periodGenderMale</v>
      </c>
      <c r="K791" s="162"/>
      <c r="L791" s="163"/>
      <c r="M791" s="164"/>
      <c r="N791" s="157"/>
      <c r="O791" s="157"/>
      <c r="P791" s="157" t="s">
        <v>4037</v>
      </c>
      <c r="Q791" s="156" t="s">
        <v>5658</v>
      </c>
    </row>
    <row r="792" spans="4:17" x14ac:dyDescent="0.25">
      <c r="D792" s="157" t="s">
        <v>5659</v>
      </c>
      <c r="E792" s="156" t="s">
        <v>5627</v>
      </c>
      <c r="F792" s="157" t="s">
        <v>2260</v>
      </c>
      <c r="G792" s="156"/>
      <c r="H792" s="157" t="s">
        <v>1463</v>
      </c>
      <c r="I792" s="157" t="s">
        <v>1465</v>
      </c>
      <c r="J792" s="156" t="str">
        <f t="shared" si="12"/>
        <v>TCS-1.1⁽ᴹ⁾ Percentage of people on ART among all people living with HIV at the end of the reporting periodAge15+</v>
      </c>
      <c r="K792" s="162"/>
      <c r="L792" s="163"/>
      <c r="M792" s="164"/>
      <c r="N792" s="157"/>
      <c r="O792" s="157"/>
      <c r="P792" s="157" t="s">
        <v>4037</v>
      </c>
      <c r="Q792" s="156" t="s">
        <v>5660</v>
      </c>
    </row>
    <row r="793" spans="4:17" x14ac:dyDescent="0.25">
      <c r="D793" s="157" t="s">
        <v>5661</v>
      </c>
      <c r="E793" s="156" t="s">
        <v>5627</v>
      </c>
      <c r="F793" s="157" t="s">
        <v>2260</v>
      </c>
      <c r="G793" s="156"/>
      <c r="H793" s="157" t="s">
        <v>1463</v>
      </c>
      <c r="I793" s="157" t="s">
        <v>1468</v>
      </c>
      <c r="J793" s="156" t="str">
        <f t="shared" si="12"/>
        <v>TCS-1.1⁽ᴹ⁾ Percentage of people on ART among all people living with HIV at the end of the reporting periodAge&lt;15</v>
      </c>
      <c r="K793" s="162"/>
      <c r="L793" s="163"/>
      <c r="M793" s="164"/>
      <c r="N793" s="157"/>
      <c r="O793" s="157"/>
      <c r="P793" s="157" t="s">
        <v>4037</v>
      </c>
      <c r="Q793" s="156" t="s">
        <v>5662</v>
      </c>
    </row>
    <row r="794" spans="4:17" x14ac:dyDescent="0.25">
      <c r="D794" s="157" t="s">
        <v>5663</v>
      </c>
      <c r="E794" s="156" t="s">
        <v>5627</v>
      </c>
      <c r="F794" s="157" t="s">
        <v>2260</v>
      </c>
      <c r="G794" s="156"/>
      <c r="H794" s="157"/>
      <c r="I794" s="157"/>
      <c r="J794" s="156" t="str">
        <f t="shared" si="12"/>
        <v>TCS-1.1⁽ᴹ⁾ Percentage of people on ART among all people living with HIV at the end of the reporting period</v>
      </c>
      <c r="K794" s="162"/>
      <c r="L794" s="163"/>
      <c r="M794" s="164"/>
      <c r="N794" s="157"/>
      <c r="O794" s="157"/>
      <c r="P794" s="157"/>
      <c r="Q794" s="156" t="s">
        <v>5664</v>
      </c>
    </row>
    <row r="795" spans="4:17" x14ac:dyDescent="0.25">
      <c r="D795" s="157" t="s">
        <v>5665</v>
      </c>
      <c r="E795" s="156" t="s">
        <v>5627</v>
      </c>
      <c r="F795" s="157" t="s">
        <v>2260</v>
      </c>
      <c r="G795" s="156"/>
      <c r="H795" s="157"/>
      <c r="I795" s="157"/>
      <c r="J795" s="156" t="str">
        <f t="shared" si="12"/>
        <v>TCS-1.1⁽ᴹ⁾ Percentage of people on ART among all people living with HIV at the end of the reporting period</v>
      </c>
      <c r="K795" s="162"/>
      <c r="L795" s="163"/>
      <c r="M795" s="164"/>
      <c r="N795" s="157"/>
      <c r="O795" s="157"/>
      <c r="P795" s="157"/>
      <c r="Q795" s="156" t="s">
        <v>5666</v>
      </c>
    </row>
    <row r="796" spans="4:17" x14ac:dyDescent="0.25">
      <c r="D796" s="157" t="s">
        <v>5667</v>
      </c>
      <c r="E796" s="156" t="s">
        <v>5668</v>
      </c>
      <c r="F796" s="157"/>
      <c r="G796" s="156"/>
      <c r="H796" s="157"/>
      <c r="I796" s="157"/>
      <c r="J796" s="156" t="str">
        <f t="shared" si="12"/>
        <v/>
      </c>
      <c r="K796" s="162"/>
      <c r="L796" s="163"/>
      <c r="M796" s="164"/>
      <c r="N796" s="157"/>
      <c r="O796" s="157"/>
      <c r="P796" s="157"/>
      <c r="Q796" s="156" t="s">
        <v>5669</v>
      </c>
    </row>
    <row r="797" spans="4:17" x14ac:dyDescent="0.25">
      <c r="D797" s="157" t="s">
        <v>5670</v>
      </c>
      <c r="E797" s="156" t="s">
        <v>5668</v>
      </c>
      <c r="F797" s="157"/>
      <c r="G797" s="156"/>
      <c r="H797" s="157"/>
      <c r="I797" s="157"/>
      <c r="J797" s="156" t="str">
        <f t="shared" si="12"/>
        <v/>
      </c>
      <c r="K797" s="162"/>
      <c r="L797" s="163"/>
      <c r="M797" s="164"/>
      <c r="N797" s="157"/>
      <c r="O797" s="157"/>
      <c r="P797" s="157"/>
      <c r="Q797" s="156" t="s">
        <v>5671</v>
      </c>
    </row>
    <row r="798" spans="4:17" x14ac:dyDescent="0.25">
      <c r="D798" s="157" t="s">
        <v>5672</v>
      </c>
      <c r="E798" s="156" t="s">
        <v>5668</v>
      </c>
      <c r="F798" s="157"/>
      <c r="G798" s="156"/>
      <c r="H798" s="157"/>
      <c r="I798" s="157"/>
      <c r="J798" s="156" t="str">
        <f t="shared" si="12"/>
        <v/>
      </c>
      <c r="K798" s="162"/>
      <c r="L798" s="163"/>
      <c r="M798" s="164"/>
      <c r="N798" s="157"/>
      <c r="O798" s="157"/>
      <c r="P798" s="157"/>
      <c r="Q798" s="156" t="s">
        <v>5673</v>
      </c>
    </row>
    <row r="799" spans="4:17" x14ac:dyDescent="0.25">
      <c r="D799" s="157" t="s">
        <v>5674</v>
      </c>
      <c r="E799" s="156" t="s">
        <v>5668</v>
      </c>
      <c r="F799" s="157"/>
      <c r="G799" s="156"/>
      <c r="H799" s="157"/>
      <c r="I799" s="157"/>
      <c r="J799" s="156" t="str">
        <f t="shared" si="12"/>
        <v/>
      </c>
      <c r="K799" s="162"/>
      <c r="L799" s="163"/>
      <c r="M799" s="164"/>
      <c r="N799" s="157"/>
      <c r="O799" s="157"/>
      <c r="P799" s="157"/>
      <c r="Q799" s="156" t="s">
        <v>5675</v>
      </c>
    </row>
    <row r="800" spans="4:17" x14ac:dyDescent="0.25">
      <c r="D800" s="157" t="s">
        <v>5676</v>
      </c>
      <c r="E800" s="156" t="s">
        <v>5668</v>
      </c>
      <c r="F800" s="157"/>
      <c r="G800" s="156"/>
      <c r="H800" s="157"/>
      <c r="I800" s="157"/>
      <c r="J800" s="156" t="str">
        <f t="shared" si="12"/>
        <v/>
      </c>
      <c r="K800" s="162"/>
      <c r="L800" s="163"/>
      <c r="M800" s="164"/>
      <c r="N800" s="157"/>
      <c r="O800" s="157"/>
      <c r="P800" s="157"/>
      <c r="Q800" s="156" t="s">
        <v>5677</v>
      </c>
    </row>
    <row r="801" spans="4:17" x14ac:dyDescent="0.25">
      <c r="D801" s="157" t="s">
        <v>5678</v>
      </c>
      <c r="E801" s="156" t="s">
        <v>5668</v>
      </c>
      <c r="F801" s="157"/>
      <c r="G801" s="156"/>
      <c r="H801" s="157"/>
      <c r="I801" s="157"/>
      <c r="J801" s="156" t="str">
        <f t="shared" si="12"/>
        <v/>
      </c>
      <c r="K801" s="162"/>
      <c r="L801" s="163"/>
      <c r="M801" s="164"/>
      <c r="N801" s="157"/>
      <c r="O801" s="157"/>
      <c r="P801" s="157"/>
      <c r="Q801" s="156" t="s">
        <v>5679</v>
      </c>
    </row>
    <row r="802" spans="4:17" x14ac:dyDescent="0.25">
      <c r="D802" s="157" t="s">
        <v>5680</v>
      </c>
      <c r="E802" s="156" t="s">
        <v>5668</v>
      </c>
      <c r="F802" s="157"/>
      <c r="G802" s="156"/>
      <c r="H802" s="157"/>
      <c r="I802" s="157"/>
      <c r="J802" s="156" t="str">
        <f t="shared" si="12"/>
        <v/>
      </c>
      <c r="K802" s="162"/>
      <c r="L802" s="163"/>
      <c r="M802" s="164"/>
      <c r="N802" s="157"/>
      <c r="O802" s="157"/>
      <c r="P802" s="157"/>
      <c r="Q802" s="156" t="s">
        <v>5681</v>
      </c>
    </row>
    <row r="803" spans="4:17" x14ac:dyDescent="0.25">
      <c r="D803" s="157" t="s">
        <v>5682</v>
      </c>
      <c r="E803" s="156" t="s">
        <v>5668</v>
      </c>
      <c r="F803" s="157"/>
      <c r="G803" s="156"/>
      <c r="H803" s="157"/>
      <c r="I803" s="157"/>
      <c r="J803" s="156" t="str">
        <f t="shared" si="12"/>
        <v/>
      </c>
      <c r="K803" s="162"/>
      <c r="L803" s="163"/>
      <c r="M803" s="164"/>
      <c r="N803" s="157"/>
      <c r="O803" s="157"/>
      <c r="P803" s="157"/>
      <c r="Q803" s="156" t="s">
        <v>5683</v>
      </c>
    </row>
    <row r="804" spans="4:17" x14ac:dyDescent="0.25">
      <c r="D804" s="157" t="s">
        <v>5684</v>
      </c>
      <c r="E804" s="156" t="s">
        <v>5668</v>
      </c>
      <c r="F804" s="157"/>
      <c r="G804" s="156"/>
      <c r="H804" s="157"/>
      <c r="I804" s="157"/>
      <c r="J804" s="156" t="str">
        <f t="shared" si="12"/>
        <v/>
      </c>
      <c r="K804" s="162"/>
      <c r="L804" s="163"/>
      <c r="M804" s="164"/>
      <c r="N804" s="157"/>
      <c r="O804" s="157"/>
      <c r="P804" s="157"/>
      <c r="Q804" s="156" t="s">
        <v>5685</v>
      </c>
    </row>
    <row r="805" spans="4:17" x14ac:dyDescent="0.25">
      <c r="D805" s="157" t="s">
        <v>5686</v>
      </c>
      <c r="E805" s="156" t="s">
        <v>5668</v>
      </c>
      <c r="F805" s="157"/>
      <c r="G805" s="156"/>
      <c r="H805" s="157"/>
      <c r="I805" s="157"/>
      <c r="J805" s="156" t="str">
        <f t="shared" si="12"/>
        <v/>
      </c>
      <c r="K805" s="162"/>
      <c r="L805" s="163"/>
      <c r="M805" s="164"/>
      <c r="N805" s="157"/>
      <c r="O805" s="157"/>
      <c r="P805" s="157"/>
      <c r="Q805" s="156" t="s">
        <v>5687</v>
      </c>
    </row>
    <row r="806" spans="4:17" x14ac:dyDescent="0.25">
      <c r="D806" s="157" t="s">
        <v>5688</v>
      </c>
      <c r="E806" s="156" t="s">
        <v>5668</v>
      </c>
      <c r="F806" s="157"/>
      <c r="G806" s="156"/>
      <c r="H806" s="157"/>
      <c r="I806" s="157"/>
      <c r="J806" s="156" t="str">
        <f t="shared" si="12"/>
        <v/>
      </c>
      <c r="K806" s="162"/>
      <c r="L806" s="163"/>
      <c r="M806" s="164"/>
      <c r="N806" s="157"/>
      <c r="O806" s="157"/>
      <c r="P806" s="157"/>
      <c r="Q806" s="156" t="s">
        <v>5689</v>
      </c>
    </row>
    <row r="807" spans="4:17" x14ac:dyDescent="0.25">
      <c r="D807" s="157" t="s">
        <v>5690</v>
      </c>
      <c r="E807" s="156" t="s">
        <v>5668</v>
      </c>
      <c r="F807" s="157"/>
      <c r="G807" s="156"/>
      <c r="H807" s="157"/>
      <c r="I807" s="157"/>
      <c r="J807" s="156" t="str">
        <f t="shared" si="12"/>
        <v/>
      </c>
      <c r="K807" s="162"/>
      <c r="L807" s="163"/>
      <c r="M807" s="164"/>
      <c r="N807" s="157"/>
      <c r="O807" s="157"/>
      <c r="P807" s="157"/>
      <c r="Q807" s="156" t="s">
        <v>5691</v>
      </c>
    </row>
    <row r="808" spans="4:17" x14ac:dyDescent="0.25">
      <c r="D808" s="157" t="s">
        <v>5692</v>
      </c>
      <c r="E808" s="156" t="s">
        <v>5668</v>
      </c>
      <c r="F808" s="157"/>
      <c r="G808" s="156"/>
      <c r="H808" s="157"/>
      <c r="I808" s="157"/>
      <c r="J808" s="156" t="str">
        <f t="shared" ref="J808:J871" si="13">F808&amp;H808&amp;I808</f>
        <v/>
      </c>
      <c r="K808" s="162"/>
      <c r="L808" s="163"/>
      <c r="M808" s="164"/>
      <c r="N808" s="157"/>
      <c r="O808" s="157"/>
      <c r="P808" s="157"/>
      <c r="Q808" s="156" t="s">
        <v>5693</v>
      </c>
    </row>
    <row r="809" spans="4:17" x14ac:dyDescent="0.25">
      <c r="D809" s="157" t="s">
        <v>5694</v>
      </c>
      <c r="E809" s="156" t="s">
        <v>5668</v>
      </c>
      <c r="F809" s="157"/>
      <c r="G809" s="156"/>
      <c r="H809" s="157"/>
      <c r="I809" s="157"/>
      <c r="J809" s="156" t="str">
        <f t="shared" si="13"/>
        <v/>
      </c>
      <c r="K809" s="162"/>
      <c r="L809" s="163"/>
      <c r="M809" s="164"/>
      <c r="N809" s="157"/>
      <c r="O809" s="157"/>
      <c r="P809" s="157"/>
      <c r="Q809" s="156" t="s">
        <v>5695</v>
      </c>
    </row>
    <row r="810" spans="4:17" x14ac:dyDescent="0.25">
      <c r="D810" s="157" t="s">
        <v>5696</v>
      </c>
      <c r="E810" s="156" t="s">
        <v>5668</v>
      </c>
      <c r="F810" s="157"/>
      <c r="G810" s="156"/>
      <c r="H810" s="157"/>
      <c r="I810" s="157"/>
      <c r="J810" s="156" t="str">
        <f t="shared" si="13"/>
        <v/>
      </c>
      <c r="K810" s="162"/>
      <c r="L810" s="163"/>
      <c r="M810" s="164"/>
      <c r="N810" s="157"/>
      <c r="O810" s="157"/>
      <c r="P810" s="157"/>
      <c r="Q810" s="156" t="s">
        <v>5697</v>
      </c>
    </row>
    <row r="811" spans="4:17" x14ac:dyDescent="0.25">
      <c r="D811" s="157" t="s">
        <v>5698</v>
      </c>
      <c r="E811" s="156" t="s">
        <v>5668</v>
      </c>
      <c r="F811" s="157"/>
      <c r="G811" s="156"/>
      <c r="H811" s="157"/>
      <c r="I811" s="157"/>
      <c r="J811" s="156" t="str">
        <f t="shared" si="13"/>
        <v/>
      </c>
      <c r="K811" s="162"/>
      <c r="L811" s="163"/>
      <c r="M811" s="164"/>
      <c r="N811" s="157"/>
      <c r="O811" s="157"/>
      <c r="P811" s="157"/>
      <c r="Q811" s="156" t="s">
        <v>5699</v>
      </c>
    </row>
    <row r="812" spans="4:17" x14ac:dyDescent="0.25">
      <c r="D812" s="157" t="s">
        <v>5700</v>
      </c>
      <c r="E812" s="156" t="s">
        <v>5668</v>
      </c>
      <c r="F812" s="157"/>
      <c r="G812" s="156"/>
      <c r="H812" s="157"/>
      <c r="I812" s="157"/>
      <c r="J812" s="156" t="str">
        <f t="shared" si="13"/>
        <v/>
      </c>
      <c r="K812" s="162"/>
      <c r="L812" s="163"/>
      <c r="M812" s="164"/>
      <c r="N812" s="157"/>
      <c r="O812" s="157"/>
      <c r="P812" s="157"/>
      <c r="Q812" s="156" t="s">
        <v>5701</v>
      </c>
    </row>
    <row r="813" spans="4:17" x14ac:dyDescent="0.25">
      <c r="D813" s="157" t="s">
        <v>5702</v>
      </c>
      <c r="E813" s="156" t="s">
        <v>5668</v>
      </c>
      <c r="F813" s="157"/>
      <c r="G813" s="156"/>
      <c r="H813" s="157"/>
      <c r="I813" s="157"/>
      <c r="J813" s="156" t="str">
        <f t="shared" si="13"/>
        <v/>
      </c>
      <c r="K813" s="162"/>
      <c r="L813" s="163"/>
      <c r="M813" s="164"/>
      <c r="N813" s="157"/>
      <c r="O813" s="157"/>
      <c r="P813" s="157"/>
      <c r="Q813" s="156" t="s">
        <v>5703</v>
      </c>
    </row>
    <row r="814" spans="4:17" x14ac:dyDescent="0.25">
      <c r="D814" s="157" t="s">
        <v>5704</v>
      </c>
      <c r="E814" s="156" t="s">
        <v>5668</v>
      </c>
      <c r="F814" s="157"/>
      <c r="G814" s="156"/>
      <c r="H814" s="157"/>
      <c r="I814" s="157"/>
      <c r="J814" s="156" t="str">
        <f t="shared" si="13"/>
        <v/>
      </c>
      <c r="K814" s="162"/>
      <c r="L814" s="163"/>
      <c r="M814" s="164"/>
      <c r="N814" s="157"/>
      <c r="O814" s="157"/>
      <c r="P814" s="157"/>
      <c r="Q814" s="156" t="s">
        <v>5705</v>
      </c>
    </row>
    <row r="815" spans="4:17" x14ac:dyDescent="0.25">
      <c r="D815" s="157" t="s">
        <v>5706</v>
      </c>
      <c r="E815" s="156" t="s">
        <v>5668</v>
      </c>
      <c r="F815" s="157"/>
      <c r="G815" s="156"/>
      <c r="H815" s="157"/>
      <c r="I815" s="157"/>
      <c r="J815" s="156" t="str">
        <f t="shared" si="13"/>
        <v/>
      </c>
      <c r="K815" s="162"/>
      <c r="L815" s="163"/>
      <c r="M815" s="164"/>
      <c r="N815" s="157"/>
      <c r="O815" s="157"/>
      <c r="P815" s="157"/>
      <c r="Q815" s="156" t="s">
        <v>5707</v>
      </c>
    </row>
    <row r="816" spans="4:17" x14ac:dyDescent="0.25">
      <c r="D816" s="157" t="s">
        <v>5708</v>
      </c>
      <c r="E816" s="156" t="s">
        <v>5709</v>
      </c>
      <c r="F816" s="157"/>
      <c r="G816" s="156"/>
      <c r="H816" s="157"/>
      <c r="I816" s="157"/>
      <c r="J816" s="156" t="str">
        <f t="shared" si="13"/>
        <v/>
      </c>
      <c r="K816" s="162"/>
      <c r="L816" s="163"/>
      <c r="M816" s="164"/>
      <c r="N816" s="157"/>
      <c r="O816" s="157"/>
      <c r="P816" s="157"/>
      <c r="Q816" s="156" t="s">
        <v>5710</v>
      </c>
    </row>
    <row r="817" spans="4:17" x14ac:dyDescent="0.25">
      <c r="D817" s="157" t="s">
        <v>5711</v>
      </c>
      <c r="E817" s="156" t="s">
        <v>5709</v>
      </c>
      <c r="F817" s="157"/>
      <c r="G817" s="156"/>
      <c r="H817" s="157"/>
      <c r="I817" s="157"/>
      <c r="J817" s="156" t="str">
        <f t="shared" si="13"/>
        <v/>
      </c>
      <c r="K817" s="162"/>
      <c r="L817" s="163"/>
      <c r="M817" s="164"/>
      <c r="N817" s="157"/>
      <c r="O817" s="157"/>
      <c r="P817" s="157"/>
      <c r="Q817" s="156" t="s">
        <v>5712</v>
      </c>
    </row>
    <row r="818" spans="4:17" x14ac:dyDescent="0.25">
      <c r="D818" s="157" t="s">
        <v>5713</v>
      </c>
      <c r="E818" s="156" t="s">
        <v>5709</v>
      </c>
      <c r="F818" s="157"/>
      <c r="G818" s="156"/>
      <c r="H818" s="157"/>
      <c r="I818" s="157"/>
      <c r="J818" s="156" t="str">
        <f t="shared" si="13"/>
        <v/>
      </c>
      <c r="K818" s="162"/>
      <c r="L818" s="163"/>
      <c r="M818" s="164"/>
      <c r="N818" s="157"/>
      <c r="O818" s="157"/>
      <c r="P818" s="157"/>
      <c r="Q818" s="156" t="s">
        <v>5714</v>
      </c>
    </row>
    <row r="819" spans="4:17" x14ac:dyDescent="0.25">
      <c r="D819" s="157" t="s">
        <v>5715</v>
      </c>
      <c r="E819" s="156" t="s">
        <v>5709</v>
      </c>
      <c r="F819" s="157"/>
      <c r="G819" s="156"/>
      <c r="H819" s="157"/>
      <c r="I819" s="157"/>
      <c r="J819" s="156" t="str">
        <f t="shared" si="13"/>
        <v/>
      </c>
      <c r="K819" s="162"/>
      <c r="L819" s="163"/>
      <c r="M819" s="164"/>
      <c r="N819" s="157"/>
      <c r="O819" s="157"/>
      <c r="P819" s="157"/>
      <c r="Q819" s="156" t="s">
        <v>5716</v>
      </c>
    </row>
    <row r="820" spans="4:17" x14ac:dyDescent="0.25">
      <c r="D820" s="157" t="s">
        <v>5717</v>
      </c>
      <c r="E820" s="156" t="s">
        <v>5709</v>
      </c>
      <c r="F820" s="157"/>
      <c r="G820" s="156"/>
      <c r="H820" s="157"/>
      <c r="I820" s="157"/>
      <c r="J820" s="156" t="str">
        <f t="shared" si="13"/>
        <v/>
      </c>
      <c r="K820" s="162"/>
      <c r="L820" s="163"/>
      <c r="M820" s="164"/>
      <c r="N820" s="157"/>
      <c r="O820" s="157"/>
      <c r="P820" s="157"/>
      <c r="Q820" s="156" t="s">
        <v>5718</v>
      </c>
    </row>
    <row r="821" spans="4:17" x14ac:dyDescent="0.25">
      <c r="D821" s="157" t="s">
        <v>5719</v>
      </c>
      <c r="E821" s="156" t="s">
        <v>5709</v>
      </c>
      <c r="F821" s="157"/>
      <c r="G821" s="156"/>
      <c r="H821" s="157"/>
      <c r="I821" s="157"/>
      <c r="J821" s="156" t="str">
        <f t="shared" si="13"/>
        <v/>
      </c>
      <c r="K821" s="162"/>
      <c r="L821" s="163"/>
      <c r="M821" s="164"/>
      <c r="N821" s="157"/>
      <c r="O821" s="157"/>
      <c r="P821" s="157"/>
      <c r="Q821" s="156" t="s">
        <v>5720</v>
      </c>
    </row>
    <row r="822" spans="4:17" x14ac:dyDescent="0.25">
      <c r="D822" s="157" t="s">
        <v>5721</v>
      </c>
      <c r="E822" s="156" t="s">
        <v>5709</v>
      </c>
      <c r="F822" s="157"/>
      <c r="G822" s="156"/>
      <c r="H822" s="157"/>
      <c r="I822" s="157"/>
      <c r="J822" s="156" t="str">
        <f t="shared" si="13"/>
        <v/>
      </c>
      <c r="K822" s="162"/>
      <c r="L822" s="163"/>
      <c r="M822" s="164"/>
      <c r="N822" s="157"/>
      <c r="O822" s="157"/>
      <c r="P822" s="157"/>
      <c r="Q822" s="156" t="s">
        <v>5722</v>
      </c>
    </row>
    <row r="823" spans="4:17" x14ac:dyDescent="0.25">
      <c r="D823" s="157" t="s">
        <v>5723</v>
      </c>
      <c r="E823" s="156" t="s">
        <v>5709</v>
      </c>
      <c r="F823" s="157"/>
      <c r="G823" s="156"/>
      <c r="H823" s="157"/>
      <c r="I823" s="157"/>
      <c r="J823" s="156" t="str">
        <f t="shared" si="13"/>
        <v/>
      </c>
      <c r="K823" s="162"/>
      <c r="L823" s="163"/>
      <c r="M823" s="164"/>
      <c r="N823" s="157"/>
      <c r="O823" s="157"/>
      <c r="P823" s="157"/>
      <c r="Q823" s="156" t="s">
        <v>5724</v>
      </c>
    </row>
    <row r="824" spans="4:17" x14ac:dyDescent="0.25">
      <c r="D824" s="157" t="s">
        <v>5725</v>
      </c>
      <c r="E824" s="156" t="s">
        <v>5709</v>
      </c>
      <c r="F824" s="157"/>
      <c r="G824" s="156"/>
      <c r="H824" s="157"/>
      <c r="I824" s="157"/>
      <c r="J824" s="156" t="str">
        <f t="shared" si="13"/>
        <v/>
      </c>
      <c r="K824" s="162"/>
      <c r="L824" s="163"/>
      <c r="M824" s="164"/>
      <c r="N824" s="157"/>
      <c r="O824" s="157"/>
      <c r="P824" s="157"/>
      <c r="Q824" s="156" t="s">
        <v>5726</v>
      </c>
    </row>
    <row r="825" spans="4:17" x14ac:dyDescent="0.25">
      <c r="D825" s="157" t="s">
        <v>5727</v>
      </c>
      <c r="E825" s="156" t="s">
        <v>5709</v>
      </c>
      <c r="F825" s="157"/>
      <c r="G825" s="156"/>
      <c r="H825" s="157"/>
      <c r="I825" s="157"/>
      <c r="J825" s="156" t="str">
        <f t="shared" si="13"/>
        <v/>
      </c>
      <c r="K825" s="162"/>
      <c r="L825" s="163"/>
      <c r="M825" s="164"/>
      <c r="N825" s="157"/>
      <c r="O825" s="157"/>
      <c r="P825" s="157"/>
      <c r="Q825" s="156" t="s">
        <v>5728</v>
      </c>
    </row>
    <row r="826" spans="4:17" x14ac:dyDescent="0.25">
      <c r="D826" s="157" t="s">
        <v>5729</v>
      </c>
      <c r="E826" s="156" t="s">
        <v>5709</v>
      </c>
      <c r="F826" s="157"/>
      <c r="G826" s="156"/>
      <c r="H826" s="157"/>
      <c r="I826" s="157"/>
      <c r="J826" s="156" t="str">
        <f t="shared" si="13"/>
        <v/>
      </c>
      <c r="K826" s="162"/>
      <c r="L826" s="163"/>
      <c r="M826" s="164"/>
      <c r="N826" s="157"/>
      <c r="O826" s="157"/>
      <c r="P826" s="157"/>
      <c r="Q826" s="156" t="s">
        <v>5730</v>
      </c>
    </row>
    <row r="827" spans="4:17" x14ac:dyDescent="0.25">
      <c r="D827" s="157" t="s">
        <v>5731</v>
      </c>
      <c r="E827" s="156" t="s">
        <v>5709</v>
      </c>
      <c r="F827" s="157"/>
      <c r="G827" s="156"/>
      <c r="H827" s="157"/>
      <c r="I827" s="157"/>
      <c r="J827" s="156" t="str">
        <f t="shared" si="13"/>
        <v/>
      </c>
      <c r="K827" s="162"/>
      <c r="L827" s="163"/>
      <c r="M827" s="164"/>
      <c r="N827" s="157"/>
      <c r="O827" s="157"/>
      <c r="P827" s="157"/>
      <c r="Q827" s="156" t="s">
        <v>5732</v>
      </c>
    </row>
    <row r="828" spans="4:17" x14ac:dyDescent="0.25">
      <c r="D828" s="157" t="s">
        <v>5733</v>
      </c>
      <c r="E828" s="156" t="s">
        <v>5709</v>
      </c>
      <c r="F828" s="157"/>
      <c r="G828" s="156"/>
      <c r="H828" s="157"/>
      <c r="I828" s="157"/>
      <c r="J828" s="156" t="str">
        <f t="shared" si="13"/>
        <v/>
      </c>
      <c r="K828" s="162"/>
      <c r="L828" s="163"/>
      <c r="M828" s="164"/>
      <c r="N828" s="157"/>
      <c r="O828" s="157"/>
      <c r="P828" s="157"/>
      <c r="Q828" s="156" t="s">
        <v>5734</v>
      </c>
    </row>
    <row r="829" spans="4:17" x14ac:dyDescent="0.25">
      <c r="D829" s="157" t="s">
        <v>5735</v>
      </c>
      <c r="E829" s="156" t="s">
        <v>5709</v>
      </c>
      <c r="F829" s="157"/>
      <c r="G829" s="156"/>
      <c r="H829" s="157"/>
      <c r="I829" s="157"/>
      <c r="J829" s="156" t="str">
        <f t="shared" si="13"/>
        <v/>
      </c>
      <c r="K829" s="162"/>
      <c r="L829" s="163"/>
      <c r="M829" s="164"/>
      <c r="N829" s="157"/>
      <c r="O829" s="157"/>
      <c r="P829" s="157"/>
      <c r="Q829" s="156" t="s">
        <v>5736</v>
      </c>
    </row>
    <row r="830" spans="4:17" x14ac:dyDescent="0.25">
      <c r="D830" s="157" t="s">
        <v>5737</v>
      </c>
      <c r="E830" s="156" t="s">
        <v>5709</v>
      </c>
      <c r="F830" s="157"/>
      <c r="G830" s="156"/>
      <c r="H830" s="157"/>
      <c r="I830" s="157"/>
      <c r="J830" s="156" t="str">
        <f t="shared" si="13"/>
        <v/>
      </c>
      <c r="K830" s="162"/>
      <c r="L830" s="163"/>
      <c r="M830" s="164"/>
      <c r="N830" s="157"/>
      <c r="O830" s="157"/>
      <c r="P830" s="157"/>
      <c r="Q830" s="156" t="s">
        <v>5738</v>
      </c>
    </row>
    <row r="831" spans="4:17" x14ac:dyDescent="0.25">
      <c r="D831" s="157" t="s">
        <v>5739</v>
      </c>
      <c r="E831" s="156" t="s">
        <v>5709</v>
      </c>
      <c r="F831" s="157"/>
      <c r="G831" s="156"/>
      <c r="H831" s="157"/>
      <c r="I831" s="157"/>
      <c r="J831" s="156" t="str">
        <f t="shared" si="13"/>
        <v/>
      </c>
      <c r="K831" s="162"/>
      <c r="L831" s="163"/>
      <c r="M831" s="164"/>
      <c r="N831" s="157"/>
      <c r="O831" s="157"/>
      <c r="P831" s="157"/>
      <c r="Q831" s="156" t="s">
        <v>5740</v>
      </c>
    </row>
    <row r="832" spans="4:17" x14ac:dyDescent="0.25">
      <c r="D832" s="157" t="s">
        <v>5741</v>
      </c>
      <c r="E832" s="156" t="s">
        <v>5709</v>
      </c>
      <c r="F832" s="157"/>
      <c r="G832" s="156"/>
      <c r="H832" s="157"/>
      <c r="I832" s="157"/>
      <c r="J832" s="156" t="str">
        <f t="shared" si="13"/>
        <v/>
      </c>
      <c r="K832" s="162"/>
      <c r="L832" s="163"/>
      <c r="M832" s="164"/>
      <c r="N832" s="157"/>
      <c r="O832" s="157"/>
      <c r="P832" s="157"/>
      <c r="Q832" s="156" t="s">
        <v>5742</v>
      </c>
    </row>
    <row r="833" spans="4:17" x14ac:dyDescent="0.25">
      <c r="D833" s="157" t="s">
        <v>5743</v>
      </c>
      <c r="E833" s="156" t="s">
        <v>5709</v>
      </c>
      <c r="F833" s="157"/>
      <c r="G833" s="156"/>
      <c r="H833" s="157"/>
      <c r="I833" s="157"/>
      <c r="J833" s="156" t="str">
        <f t="shared" si="13"/>
        <v/>
      </c>
      <c r="K833" s="162"/>
      <c r="L833" s="163"/>
      <c r="M833" s="164"/>
      <c r="N833" s="157"/>
      <c r="O833" s="157"/>
      <c r="P833" s="157"/>
      <c r="Q833" s="156" t="s">
        <v>5744</v>
      </c>
    </row>
    <row r="834" spans="4:17" x14ac:dyDescent="0.25">
      <c r="D834" s="157" t="s">
        <v>5745</v>
      </c>
      <c r="E834" s="156" t="s">
        <v>5709</v>
      </c>
      <c r="F834" s="157"/>
      <c r="G834" s="156"/>
      <c r="H834" s="157"/>
      <c r="I834" s="157"/>
      <c r="J834" s="156" t="str">
        <f t="shared" si="13"/>
        <v/>
      </c>
      <c r="K834" s="162"/>
      <c r="L834" s="163"/>
      <c r="M834" s="164"/>
      <c r="N834" s="157"/>
      <c r="O834" s="157"/>
      <c r="P834" s="157"/>
      <c r="Q834" s="156" t="s">
        <v>5746</v>
      </c>
    </row>
    <row r="835" spans="4:17" x14ac:dyDescent="0.25">
      <c r="D835" s="157" t="s">
        <v>5747</v>
      </c>
      <c r="E835" s="156" t="s">
        <v>5709</v>
      </c>
      <c r="F835" s="157"/>
      <c r="G835" s="156"/>
      <c r="H835" s="157"/>
      <c r="I835" s="157"/>
      <c r="J835" s="156" t="str">
        <f t="shared" si="13"/>
        <v/>
      </c>
      <c r="K835" s="162"/>
      <c r="L835" s="163"/>
      <c r="M835" s="164"/>
      <c r="N835" s="157"/>
      <c r="O835" s="157"/>
      <c r="P835" s="157"/>
      <c r="Q835" s="156" t="s">
        <v>5748</v>
      </c>
    </row>
    <row r="836" spans="4:17" x14ac:dyDescent="0.25">
      <c r="D836" s="157" t="s">
        <v>5749</v>
      </c>
      <c r="E836" s="156" t="s">
        <v>5750</v>
      </c>
      <c r="F836" s="157"/>
      <c r="G836" s="156"/>
      <c r="H836" s="157"/>
      <c r="I836" s="157"/>
      <c r="J836" s="156" t="str">
        <f t="shared" si="13"/>
        <v/>
      </c>
      <c r="K836" s="162"/>
      <c r="L836" s="163"/>
      <c r="M836" s="164"/>
      <c r="N836" s="157"/>
      <c r="O836" s="157"/>
      <c r="P836" s="157"/>
      <c r="Q836" s="156" t="s">
        <v>5751</v>
      </c>
    </row>
    <row r="837" spans="4:17" x14ac:dyDescent="0.25">
      <c r="D837" s="157" t="s">
        <v>5752</v>
      </c>
      <c r="E837" s="156" t="s">
        <v>5750</v>
      </c>
      <c r="F837" s="157"/>
      <c r="G837" s="156"/>
      <c r="H837" s="157"/>
      <c r="I837" s="157"/>
      <c r="J837" s="156" t="str">
        <f t="shared" si="13"/>
        <v/>
      </c>
      <c r="K837" s="162"/>
      <c r="L837" s="163"/>
      <c r="M837" s="164"/>
      <c r="N837" s="157"/>
      <c r="O837" s="157"/>
      <c r="P837" s="157"/>
      <c r="Q837" s="156" t="s">
        <v>5753</v>
      </c>
    </row>
    <row r="838" spans="4:17" x14ac:dyDescent="0.25">
      <c r="D838" s="157" t="s">
        <v>5754</v>
      </c>
      <c r="E838" s="156" t="s">
        <v>5750</v>
      </c>
      <c r="F838" s="157"/>
      <c r="G838" s="156"/>
      <c r="H838" s="157"/>
      <c r="I838" s="157"/>
      <c r="J838" s="156" t="str">
        <f t="shared" si="13"/>
        <v/>
      </c>
      <c r="K838" s="162"/>
      <c r="L838" s="163"/>
      <c r="M838" s="164"/>
      <c r="N838" s="157"/>
      <c r="O838" s="157"/>
      <c r="P838" s="157"/>
      <c r="Q838" s="156" t="s">
        <v>5755</v>
      </c>
    </row>
    <row r="839" spans="4:17" x14ac:dyDescent="0.25">
      <c r="D839" s="157" t="s">
        <v>5756</v>
      </c>
      <c r="E839" s="156" t="s">
        <v>5750</v>
      </c>
      <c r="F839" s="157"/>
      <c r="G839" s="156"/>
      <c r="H839" s="157"/>
      <c r="I839" s="157"/>
      <c r="J839" s="156" t="str">
        <f t="shared" si="13"/>
        <v/>
      </c>
      <c r="K839" s="162"/>
      <c r="L839" s="163"/>
      <c r="M839" s="164"/>
      <c r="N839" s="157"/>
      <c r="O839" s="157"/>
      <c r="P839" s="157"/>
      <c r="Q839" s="156" t="s">
        <v>5757</v>
      </c>
    </row>
    <row r="840" spans="4:17" x14ac:dyDescent="0.25">
      <c r="D840" s="157" t="s">
        <v>5758</v>
      </c>
      <c r="E840" s="156" t="s">
        <v>5750</v>
      </c>
      <c r="F840" s="157"/>
      <c r="G840" s="156"/>
      <c r="H840" s="157"/>
      <c r="I840" s="157"/>
      <c r="J840" s="156" t="str">
        <f t="shared" si="13"/>
        <v/>
      </c>
      <c r="K840" s="162"/>
      <c r="L840" s="163"/>
      <c r="M840" s="164"/>
      <c r="N840" s="157"/>
      <c r="O840" s="157"/>
      <c r="P840" s="157"/>
      <c r="Q840" s="156" t="s">
        <v>5759</v>
      </c>
    </row>
    <row r="841" spans="4:17" x14ac:dyDescent="0.25">
      <c r="D841" s="157" t="s">
        <v>5760</v>
      </c>
      <c r="E841" s="156" t="s">
        <v>5750</v>
      </c>
      <c r="F841" s="157"/>
      <c r="G841" s="156"/>
      <c r="H841" s="157"/>
      <c r="I841" s="157"/>
      <c r="J841" s="156" t="str">
        <f t="shared" si="13"/>
        <v/>
      </c>
      <c r="K841" s="162"/>
      <c r="L841" s="163"/>
      <c r="M841" s="164"/>
      <c r="N841" s="157"/>
      <c r="O841" s="157"/>
      <c r="P841" s="157"/>
      <c r="Q841" s="156" t="s">
        <v>5761</v>
      </c>
    </row>
    <row r="842" spans="4:17" x14ac:dyDescent="0.25">
      <c r="D842" s="157" t="s">
        <v>5762</v>
      </c>
      <c r="E842" s="156" t="s">
        <v>5750</v>
      </c>
      <c r="F842" s="157"/>
      <c r="G842" s="156"/>
      <c r="H842" s="157"/>
      <c r="I842" s="157"/>
      <c r="J842" s="156" t="str">
        <f t="shared" si="13"/>
        <v/>
      </c>
      <c r="K842" s="162"/>
      <c r="L842" s="163"/>
      <c r="M842" s="164"/>
      <c r="N842" s="157"/>
      <c r="O842" s="157"/>
      <c r="P842" s="157"/>
      <c r="Q842" s="156" t="s">
        <v>5763</v>
      </c>
    </row>
    <row r="843" spans="4:17" x14ac:dyDescent="0.25">
      <c r="D843" s="157" t="s">
        <v>5764</v>
      </c>
      <c r="E843" s="156" t="s">
        <v>5750</v>
      </c>
      <c r="F843" s="157"/>
      <c r="G843" s="156"/>
      <c r="H843" s="157"/>
      <c r="I843" s="157"/>
      <c r="J843" s="156" t="str">
        <f t="shared" si="13"/>
        <v/>
      </c>
      <c r="K843" s="162"/>
      <c r="L843" s="163"/>
      <c r="M843" s="164"/>
      <c r="N843" s="157"/>
      <c r="O843" s="157"/>
      <c r="P843" s="157"/>
      <c r="Q843" s="156" t="s">
        <v>5765</v>
      </c>
    </row>
    <row r="844" spans="4:17" x14ac:dyDescent="0.25">
      <c r="D844" s="157" t="s">
        <v>5766</v>
      </c>
      <c r="E844" s="156" t="s">
        <v>5750</v>
      </c>
      <c r="F844" s="157"/>
      <c r="G844" s="156"/>
      <c r="H844" s="157"/>
      <c r="I844" s="157"/>
      <c r="J844" s="156" t="str">
        <f t="shared" si="13"/>
        <v/>
      </c>
      <c r="K844" s="162"/>
      <c r="L844" s="163"/>
      <c r="M844" s="164"/>
      <c r="N844" s="157"/>
      <c r="O844" s="157"/>
      <c r="P844" s="157"/>
      <c r="Q844" s="156" t="s">
        <v>5767</v>
      </c>
    </row>
    <row r="845" spans="4:17" x14ac:dyDescent="0.25">
      <c r="D845" s="157" t="s">
        <v>5768</v>
      </c>
      <c r="E845" s="156" t="s">
        <v>5750</v>
      </c>
      <c r="F845" s="157"/>
      <c r="G845" s="156"/>
      <c r="H845" s="157"/>
      <c r="I845" s="157"/>
      <c r="J845" s="156" t="str">
        <f t="shared" si="13"/>
        <v/>
      </c>
      <c r="K845" s="162"/>
      <c r="L845" s="163"/>
      <c r="M845" s="164"/>
      <c r="N845" s="157"/>
      <c r="O845" s="157"/>
      <c r="P845" s="157"/>
      <c r="Q845" s="156" t="s">
        <v>5769</v>
      </c>
    </row>
    <row r="846" spans="4:17" x14ac:dyDescent="0.25">
      <c r="D846" s="157" t="s">
        <v>5770</v>
      </c>
      <c r="E846" s="156" t="s">
        <v>5750</v>
      </c>
      <c r="F846" s="157"/>
      <c r="G846" s="156"/>
      <c r="H846" s="157"/>
      <c r="I846" s="157"/>
      <c r="J846" s="156" t="str">
        <f t="shared" si="13"/>
        <v/>
      </c>
      <c r="K846" s="162"/>
      <c r="L846" s="163"/>
      <c r="M846" s="164"/>
      <c r="N846" s="157"/>
      <c r="O846" s="157"/>
      <c r="P846" s="157"/>
      <c r="Q846" s="156" t="s">
        <v>5771</v>
      </c>
    </row>
    <row r="847" spans="4:17" x14ac:dyDescent="0.25">
      <c r="D847" s="157" t="s">
        <v>5772</v>
      </c>
      <c r="E847" s="156" t="s">
        <v>5750</v>
      </c>
      <c r="F847" s="157"/>
      <c r="G847" s="156"/>
      <c r="H847" s="157"/>
      <c r="I847" s="157"/>
      <c r="J847" s="156" t="str">
        <f t="shared" si="13"/>
        <v/>
      </c>
      <c r="K847" s="162"/>
      <c r="L847" s="163"/>
      <c r="M847" s="164"/>
      <c r="N847" s="157"/>
      <c r="O847" s="157"/>
      <c r="P847" s="157"/>
      <c r="Q847" s="156" t="s">
        <v>5773</v>
      </c>
    </row>
    <row r="848" spans="4:17" x14ac:dyDescent="0.25">
      <c r="D848" s="157" t="s">
        <v>5774</v>
      </c>
      <c r="E848" s="156" t="s">
        <v>5750</v>
      </c>
      <c r="F848" s="157"/>
      <c r="G848" s="156"/>
      <c r="H848" s="157"/>
      <c r="I848" s="157"/>
      <c r="J848" s="156" t="str">
        <f t="shared" si="13"/>
        <v/>
      </c>
      <c r="K848" s="162"/>
      <c r="L848" s="163"/>
      <c r="M848" s="164"/>
      <c r="N848" s="157"/>
      <c r="O848" s="157"/>
      <c r="P848" s="157"/>
      <c r="Q848" s="156" t="s">
        <v>5775</v>
      </c>
    </row>
    <row r="849" spans="4:17" x14ac:dyDescent="0.25">
      <c r="D849" s="157" t="s">
        <v>5776</v>
      </c>
      <c r="E849" s="156" t="s">
        <v>5750</v>
      </c>
      <c r="F849" s="157"/>
      <c r="G849" s="156"/>
      <c r="H849" s="157"/>
      <c r="I849" s="157"/>
      <c r="J849" s="156" t="str">
        <f t="shared" si="13"/>
        <v/>
      </c>
      <c r="K849" s="162"/>
      <c r="L849" s="163"/>
      <c r="M849" s="164"/>
      <c r="N849" s="157"/>
      <c r="O849" s="157"/>
      <c r="P849" s="157"/>
      <c r="Q849" s="156" t="s">
        <v>5777</v>
      </c>
    </row>
    <row r="850" spans="4:17" x14ac:dyDescent="0.25">
      <c r="D850" s="157" t="s">
        <v>5778</v>
      </c>
      <c r="E850" s="156" t="s">
        <v>5750</v>
      </c>
      <c r="F850" s="157"/>
      <c r="G850" s="156"/>
      <c r="H850" s="157"/>
      <c r="I850" s="157"/>
      <c r="J850" s="156" t="str">
        <f t="shared" si="13"/>
        <v/>
      </c>
      <c r="K850" s="162"/>
      <c r="L850" s="163"/>
      <c r="M850" s="164"/>
      <c r="N850" s="157"/>
      <c r="O850" s="157"/>
      <c r="P850" s="157"/>
      <c r="Q850" s="156" t="s">
        <v>5779</v>
      </c>
    </row>
    <row r="851" spans="4:17" x14ac:dyDescent="0.25">
      <c r="D851" s="157" t="s">
        <v>5780</v>
      </c>
      <c r="E851" s="156" t="s">
        <v>5750</v>
      </c>
      <c r="F851" s="157"/>
      <c r="G851" s="156"/>
      <c r="H851" s="157"/>
      <c r="I851" s="157"/>
      <c r="J851" s="156" t="str">
        <f t="shared" si="13"/>
        <v/>
      </c>
      <c r="K851" s="162"/>
      <c r="L851" s="163"/>
      <c r="M851" s="164"/>
      <c r="N851" s="157"/>
      <c r="O851" s="157"/>
      <c r="P851" s="157"/>
      <c r="Q851" s="156" t="s">
        <v>5781</v>
      </c>
    </row>
    <row r="852" spans="4:17" x14ac:dyDescent="0.25">
      <c r="D852" s="157" t="s">
        <v>5782</v>
      </c>
      <c r="E852" s="156" t="s">
        <v>5750</v>
      </c>
      <c r="F852" s="157"/>
      <c r="G852" s="156"/>
      <c r="H852" s="157"/>
      <c r="I852" s="157"/>
      <c r="J852" s="156" t="str">
        <f t="shared" si="13"/>
        <v/>
      </c>
      <c r="K852" s="162"/>
      <c r="L852" s="163"/>
      <c r="M852" s="164"/>
      <c r="N852" s="157"/>
      <c r="O852" s="157"/>
      <c r="P852" s="157"/>
      <c r="Q852" s="156" t="s">
        <v>5783</v>
      </c>
    </row>
    <row r="853" spans="4:17" x14ac:dyDescent="0.25">
      <c r="D853" s="157" t="s">
        <v>5784</v>
      </c>
      <c r="E853" s="156" t="s">
        <v>5750</v>
      </c>
      <c r="F853" s="157"/>
      <c r="G853" s="156"/>
      <c r="H853" s="157"/>
      <c r="I853" s="157"/>
      <c r="J853" s="156" t="str">
        <f t="shared" si="13"/>
        <v/>
      </c>
      <c r="K853" s="162"/>
      <c r="L853" s="163"/>
      <c r="M853" s="164"/>
      <c r="N853" s="157"/>
      <c r="O853" s="157"/>
      <c r="P853" s="157"/>
      <c r="Q853" s="156" t="s">
        <v>5785</v>
      </c>
    </row>
    <row r="854" spans="4:17" x14ac:dyDescent="0.25">
      <c r="D854" s="157" t="s">
        <v>5786</v>
      </c>
      <c r="E854" s="156" t="s">
        <v>5750</v>
      </c>
      <c r="F854" s="157"/>
      <c r="G854" s="156"/>
      <c r="H854" s="157"/>
      <c r="I854" s="157"/>
      <c r="J854" s="156" t="str">
        <f t="shared" si="13"/>
        <v/>
      </c>
      <c r="K854" s="162"/>
      <c r="L854" s="163"/>
      <c r="M854" s="164"/>
      <c r="N854" s="157"/>
      <c r="O854" s="157"/>
      <c r="P854" s="157"/>
      <c r="Q854" s="156" t="s">
        <v>5787</v>
      </c>
    </row>
    <row r="855" spans="4:17" x14ac:dyDescent="0.25">
      <c r="D855" s="157" t="s">
        <v>5788</v>
      </c>
      <c r="E855" s="156" t="s">
        <v>5750</v>
      </c>
      <c r="F855" s="157"/>
      <c r="G855" s="156"/>
      <c r="H855" s="157"/>
      <c r="I855" s="157"/>
      <c r="J855" s="156" t="str">
        <f t="shared" si="13"/>
        <v/>
      </c>
      <c r="K855" s="162"/>
      <c r="L855" s="163"/>
      <c r="M855" s="164"/>
      <c r="N855" s="157"/>
      <c r="O855" s="157"/>
      <c r="P855" s="157"/>
      <c r="Q855" s="156" t="s">
        <v>5789</v>
      </c>
    </row>
    <row r="856" spans="4:17" x14ac:dyDescent="0.25">
      <c r="D856" s="157" t="s">
        <v>5790</v>
      </c>
      <c r="E856" s="156" t="s">
        <v>5791</v>
      </c>
      <c r="F856" s="157"/>
      <c r="G856" s="156"/>
      <c r="H856" s="157"/>
      <c r="I856" s="157"/>
      <c r="J856" s="156" t="str">
        <f t="shared" si="13"/>
        <v/>
      </c>
      <c r="K856" s="162"/>
      <c r="L856" s="163"/>
      <c r="M856" s="164"/>
      <c r="N856" s="157"/>
      <c r="O856" s="157"/>
      <c r="P856" s="157"/>
      <c r="Q856" s="156" t="s">
        <v>5792</v>
      </c>
    </row>
    <row r="857" spans="4:17" x14ac:dyDescent="0.25">
      <c r="D857" s="157" t="s">
        <v>5793</v>
      </c>
      <c r="E857" s="156" t="s">
        <v>5791</v>
      </c>
      <c r="F857" s="157"/>
      <c r="G857" s="156"/>
      <c r="H857" s="157"/>
      <c r="I857" s="157"/>
      <c r="J857" s="156" t="str">
        <f t="shared" si="13"/>
        <v/>
      </c>
      <c r="K857" s="162"/>
      <c r="L857" s="163"/>
      <c r="M857" s="164"/>
      <c r="N857" s="157"/>
      <c r="O857" s="157"/>
      <c r="P857" s="157"/>
      <c r="Q857" s="156" t="s">
        <v>5794</v>
      </c>
    </row>
    <row r="858" spans="4:17" x14ac:dyDescent="0.25">
      <c r="D858" s="157" t="s">
        <v>5795</v>
      </c>
      <c r="E858" s="156" t="s">
        <v>5791</v>
      </c>
      <c r="F858" s="157"/>
      <c r="G858" s="156"/>
      <c r="H858" s="157"/>
      <c r="I858" s="157"/>
      <c r="J858" s="156" t="str">
        <f t="shared" si="13"/>
        <v/>
      </c>
      <c r="K858" s="162"/>
      <c r="L858" s="163"/>
      <c r="M858" s="164"/>
      <c r="N858" s="157"/>
      <c r="O858" s="157"/>
      <c r="P858" s="157"/>
      <c r="Q858" s="156" t="s">
        <v>5796</v>
      </c>
    </row>
    <row r="859" spans="4:17" x14ac:dyDescent="0.25">
      <c r="D859" s="157" t="s">
        <v>5797</v>
      </c>
      <c r="E859" s="156" t="s">
        <v>5791</v>
      </c>
      <c r="F859" s="157"/>
      <c r="G859" s="156"/>
      <c r="H859" s="157"/>
      <c r="I859" s="157"/>
      <c r="J859" s="156" t="str">
        <f t="shared" si="13"/>
        <v/>
      </c>
      <c r="K859" s="162"/>
      <c r="L859" s="163"/>
      <c r="M859" s="164"/>
      <c r="N859" s="157"/>
      <c r="O859" s="157"/>
      <c r="P859" s="157"/>
      <c r="Q859" s="156" t="s">
        <v>5798</v>
      </c>
    </row>
    <row r="860" spans="4:17" x14ac:dyDescent="0.25">
      <c r="D860" s="157" t="s">
        <v>5799</v>
      </c>
      <c r="E860" s="156" t="s">
        <v>5791</v>
      </c>
      <c r="F860" s="157"/>
      <c r="G860" s="156"/>
      <c r="H860" s="157"/>
      <c r="I860" s="157"/>
      <c r="J860" s="156" t="str">
        <f t="shared" si="13"/>
        <v/>
      </c>
      <c r="K860" s="162"/>
      <c r="L860" s="163"/>
      <c r="M860" s="164"/>
      <c r="N860" s="157"/>
      <c r="O860" s="157"/>
      <c r="P860" s="157"/>
      <c r="Q860" s="156" t="s">
        <v>5800</v>
      </c>
    </row>
    <row r="861" spans="4:17" x14ac:dyDescent="0.25">
      <c r="D861" s="157" t="s">
        <v>5801</v>
      </c>
      <c r="E861" s="156" t="s">
        <v>5791</v>
      </c>
      <c r="F861" s="157"/>
      <c r="G861" s="156"/>
      <c r="H861" s="157"/>
      <c r="I861" s="157"/>
      <c r="J861" s="156" t="str">
        <f t="shared" si="13"/>
        <v/>
      </c>
      <c r="K861" s="162"/>
      <c r="L861" s="163"/>
      <c r="M861" s="164"/>
      <c r="N861" s="157"/>
      <c r="O861" s="157"/>
      <c r="P861" s="157"/>
      <c r="Q861" s="156" t="s">
        <v>5802</v>
      </c>
    </row>
    <row r="862" spans="4:17" x14ac:dyDescent="0.25">
      <c r="D862" s="157" t="s">
        <v>5803</v>
      </c>
      <c r="E862" s="156" t="s">
        <v>5791</v>
      </c>
      <c r="F862" s="157"/>
      <c r="G862" s="156"/>
      <c r="H862" s="157"/>
      <c r="I862" s="157"/>
      <c r="J862" s="156" t="str">
        <f t="shared" si="13"/>
        <v/>
      </c>
      <c r="K862" s="162"/>
      <c r="L862" s="163"/>
      <c r="M862" s="164"/>
      <c r="N862" s="157"/>
      <c r="O862" s="157"/>
      <c r="P862" s="157"/>
      <c r="Q862" s="156" t="s">
        <v>5804</v>
      </c>
    </row>
    <row r="863" spans="4:17" x14ac:dyDescent="0.25">
      <c r="D863" s="157" t="s">
        <v>5805</v>
      </c>
      <c r="E863" s="156" t="s">
        <v>5791</v>
      </c>
      <c r="F863" s="157"/>
      <c r="G863" s="156"/>
      <c r="H863" s="157"/>
      <c r="I863" s="157"/>
      <c r="J863" s="156" t="str">
        <f t="shared" si="13"/>
        <v/>
      </c>
      <c r="K863" s="162"/>
      <c r="L863" s="163"/>
      <c r="M863" s="164"/>
      <c r="N863" s="157"/>
      <c r="O863" s="157"/>
      <c r="P863" s="157"/>
      <c r="Q863" s="156" t="s">
        <v>5806</v>
      </c>
    </row>
    <row r="864" spans="4:17" x14ac:dyDescent="0.25">
      <c r="D864" s="157" t="s">
        <v>5807</v>
      </c>
      <c r="E864" s="156" t="s">
        <v>5791</v>
      </c>
      <c r="F864" s="157"/>
      <c r="G864" s="156"/>
      <c r="H864" s="157"/>
      <c r="I864" s="157"/>
      <c r="J864" s="156" t="str">
        <f t="shared" si="13"/>
        <v/>
      </c>
      <c r="K864" s="162"/>
      <c r="L864" s="163"/>
      <c r="M864" s="164"/>
      <c r="N864" s="157"/>
      <c r="O864" s="157"/>
      <c r="P864" s="157"/>
      <c r="Q864" s="156" t="s">
        <v>5808</v>
      </c>
    </row>
    <row r="865" spans="4:17" x14ac:dyDescent="0.25">
      <c r="D865" s="157" t="s">
        <v>5809</v>
      </c>
      <c r="E865" s="156" t="s">
        <v>5791</v>
      </c>
      <c r="F865" s="157"/>
      <c r="G865" s="156"/>
      <c r="H865" s="157"/>
      <c r="I865" s="157"/>
      <c r="J865" s="156" t="str">
        <f t="shared" si="13"/>
        <v/>
      </c>
      <c r="K865" s="162"/>
      <c r="L865" s="163"/>
      <c r="M865" s="164"/>
      <c r="N865" s="157"/>
      <c r="O865" s="157"/>
      <c r="P865" s="157"/>
      <c r="Q865" s="156" t="s">
        <v>5810</v>
      </c>
    </row>
    <row r="866" spans="4:17" x14ac:dyDescent="0.25">
      <c r="D866" s="157" t="s">
        <v>5811</v>
      </c>
      <c r="E866" s="156" t="s">
        <v>5791</v>
      </c>
      <c r="F866" s="157"/>
      <c r="G866" s="156"/>
      <c r="H866" s="157"/>
      <c r="I866" s="157"/>
      <c r="J866" s="156" t="str">
        <f t="shared" si="13"/>
        <v/>
      </c>
      <c r="K866" s="162"/>
      <c r="L866" s="163"/>
      <c r="M866" s="164"/>
      <c r="N866" s="157"/>
      <c r="O866" s="157"/>
      <c r="P866" s="157"/>
      <c r="Q866" s="156" t="s">
        <v>5812</v>
      </c>
    </row>
    <row r="867" spans="4:17" x14ac:dyDescent="0.25">
      <c r="D867" s="157" t="s">
        <v>5813</v>
      </c>
      <c r="E867" s="156" t="s">
        <v>5791</v>
      </c>
      <c r="F867" s="157"/>
      <c r="G867" s="156"/>
      <c r="H867" s="157"/>
      <c r="I867" s="157"/>
      <c r="J867" s="156" t="str">
        <f t="shared" si="13"/>
        <v/>
      </c>
      <c r="K867" s="162"/>
      <c r="L867" s="163"/>
      <c r="M867" s="164"/>
      <c r="N867" s="157"/>
      <c r="O867" s="157"/>
      <c r="P867" s="157"/>
      <c r="Q867" s="156" t="s">
        <v>5814</v>
      </c>
    </row>
    <row r="868" spans="4:17" x14ac:dyDescent="0.25">
      <c r="D868" s="157" t="s">
        <v>5815</v>
      </c>
      <c r="E868" s="156" t="s">
        <v>5791</v>
      </c>
      <c r="F868" s="157"/>
      <c r="G868" s="156"/>
      <c r="H868" s="157"/>
      <c r="I868" s="157"/>
      <c r="J868" s="156" t="str">
        <f t="shared" si="13"/>
        <v/>
      </c>
      <c r="K868" s="162"/>
      <c r="L868" s="163"/>
      <c r="M868" s="164"/>
      <c r="N868" s="157"/>
      <c r="O868" s="157"/>
      <c r="P868" s="157"/>
      <c r="Q868" s="156" t="s">
        <v>5816</v>
      </c>
    </row>
    <row r="869" spans="4:17" x14ac:dyDescent="0.25">
      <c r="D869" s="157" t="s">
        <v>5817</v>
      </c>
      <c r="E869" s="156" t="s">
        <v>5791</v>
      </c>
      <c r="F869" s="157"/>
      <c r="G869" s="156"/>
      <c r="H869" s="157"/>
      <c r="I869" s="157"/>
      <c r="J869" s="156" t="str">
        <f t="shared" si="13"/>
        <v/>
      </c>
      <c r="K869" s="162"/>
      <c r="L869" s="163"/>
      <c r="M869" s="164"/>
      <c r="N869" s="157"/>
      <c r="O869" s="157"/>
      <c r="P869" s="157"/>
      <c r="Q869" s="156" t="s">
        <v>5818</v>
      </c>
    </row>
    <row r="870" spans="4:17" x14ac:dyDescent="0.25">
      <c r="D870" s="157" t="s">
        <v>5819</v>
      </c>
      <c r="E870" s="156" t="s">
        <v>5791</v>
      </c>
      <c r="F870" s="157"/>
      <c r="G870" s="156"/>
      <c r="H870" s="157"/>
      <c r="I870" s="157"/>
      <c r="J870" s="156" t="str">
        <f t="shared" si="13"/>
        <v/>
      </c>
      <c r="K870" s="162"/>
      <c r="L870" s="163"/>
      <c r="M870" s="164"/>
      <c r="N870" s="157"/>
      <c r="O870" s="157"/>
      <c r="P870" s="157"/>
      <c r="Q870" s="156" t="s">
        <v>5820</v>
      </c>
    </row>
    <row r="871" spans="4:17" x14ac:dyDescent="0.25">
      <c r="D871" s="157" t="s">
        <v>5821</v>
      </c>
      <c r="E871" s="156" t="s">
        <v>5791</v>
      </c>
      <c r="F871" s="157"/>
      <c r="G871" s="156"/>
      <c r="H871" s="157"/>
      <c r="I871" s="157"/>
      <c r="J871" s="156" t="str">
        <f t="shared" si="13"/>
        <v/>
      </c>
      <c r="K871" s="162"/>
      <c r="L871" s="163"/>
      <c r="M871" s="164"/>
      <c r="N871" s="157"/>
      <c r="O871" s="157"/>
      <c r="P871" s="157"/>
      <c r="Q871" s="156" t="s">
        <v>5822</v>
      </c>
    </row>
    <row r="872" spans="4:17" x14ac:dyDescent="0.25">
      <c r="D872" s="157" t="s">
        <v>5823</v>
      </c>
      <c r="E872" s="156" t="s">
        <v>5791</v>
      </c>
      <c r="F872" s="157"/>
      <c r="G872" s="156"/>
      <c r="H872" s="157"/>
      <c r="I872" s="157"/>
      <c r="J872" s="156" t="str">
        <f t="shared" ref="J872:J935" si="14">F872&amp;H872&amp;I872</f>
        <v/>
      </c>
      <c r="K872" s="162"/>
      <c r="L872" s="163"/>
      <c r="M872" s="164"/>
      <c r="N872" s="157"/>
      <c r="O872" s="157"/>
      <c r="P872" s="157"/>
      <c r="Q872" s="156" t="s">
        <v>5824</v>
      </c>
    </row>
    <row r="873" spans="4:17" x14ac:dyDescent="0.25">
      <c r="D873" s="157" t="s">
        <v>5825</v>
      </c>
      <c r="E873" s="156" t="s">
        <v>5791</v>
      </c>
      <c r="F873" s="157"/>
      <c r="G873" s="156"/>
      <c r="H873" s="157"/>
      <c r="I873" s="157"/>
      <c r="J873" s="156" t="str">
        <f t="shared" si="14"/>
        <v/>
      </c>
      <c r="K873" s="162"/>
      <c r="L873" s="163"/>
      <c r="M873" s="164"/>
      <c r="N873" s="157"/>
      <c r="O873" s="157"/>
      <c r="P873" s="157"/>
      <c r="Q873" s="156" t="s">
        <v>5826</v>
      </c>
    </row>
    <row r="874" spans="4:17" x14ac:dyDescent="0.25">
      <c r="D874" s="157" t="s">
        <v>5827</v>
      </c>
      <c r="E874" s="156" t="s">
        <v>5791</v>
      </c>
      <c r="F874" s="157"/>
      <c r="G874" s="156"/>
      <c r="H874" s="157"/>
      <c r="I874" s="157"/>
      <c r="J874" s="156" t="str">
        <f t="shared" si="14"/>
        <v/>
      </c>
      <c r="K874" s="162"/>
      <c r="L874" s="163"/>
      <c r="M874" s="164"/>
      <c r="N874" s="157"/>
      <c r="O874" s="157"/>
      <c r="P874" s="157"/>
      <c r="Q874" s="156" t="s">
        <v>5828</v>
      </c>
    </row>
    <row r="875" spans="4:17" x14ac:dyDescent="0.25">
      <c r="D875" s="157" t="s">
        <v>5829</v>
      </c>
      <c r="E875" s="156" t="s">
        <v>5791</v>
      </c>
      <c r="F875" s="157"/>
      <c r="G875" s="156"/>
      <c r="H875" s="157"/>
      <c r="I875" s="157"/>
      <c r="J875" s="156" t="str">
        <f t="shared" si="14"/>
        <v/>
      </c>
      <c r="K875" s="162"/>
      <c r="L875" s="163"/>
      <c r="M875" s="164"/>
      <c r="N875" s="157"/>
      <c r="O875" s="157"/>
      <c r="P875" s="157"/>
      <c r="Q875" s="156" t="s">
        <v>5830</v>
      </c>
    </row>
    <row r="876" spans="4:17" x14ac:dyDescent="0.25">
      <c r="D876" s="157" t="s">
        <v>5831</v>
      </c>
      <c r="E876" s="156" t="s">
        <v>5832</v>
      </c>
      <c r="F876" s="157"/>
      <c r="G876" s="156"/>
      <c r="H876" s="157"/>
      <c r="I876" s="157"/>
      <c r="J876" s="156" t="str">
        <f t="shared" si="14"/>
        <v/>
      </c>
      <c r="K876" s="162"/>
      <c r="L876" s="163"/>
      <c r="M876" s="164"/>
      <c r="N876" s="157"/>
      <c r="O876" s="157"/>
      <c r="P876" s="157"/>
      <c r="Q876" s="156" t="s">
        <v>5833</v>
      </c>
    </row>
    <row r="877" spans="4:17" x14ac:dyDescent="0.25">
      <c r="D877" s="157" t="s">
        <v>5834</v>
      </c>
      <c r="E877" s="156" t="s">
        <v>5832</v>
      </c>
      <c r="F877" s="157"/>
      <c r="G877" s="156"/>
      <c r="H877" s="157"/>
      <c r="I877" s="157"/>
      <c r="J877" s="156" t="str">
        <f t="shared" si="14"/>
        <v/>
      </c>
      <c r="K877" s="162"/>
      <c r="L877" s="163"/>
      <c r="M877" s="164"/>
      <c r="N877" s="157"/>
      <c r="O877" s="157"/>
      <c r="P877" s="157"/>
      <c r="Q877" s="156" t="s">
        <v>5835</v>
      </c>
    </row>
    <row r="878" spans="4:17" x14ac:dyDescent="0.25">
      <c r="D878" s="157" t="s">
        <v>5836</v>
      </c>
      <c r="E878" s="156" t="s">
        <v>5832</v>
      </c>
      <c r="F878" s="157"/>
      <c r="G878" s="156"/>
      <c r="H878" s="157"/>
      <c r="I878" s="157"/>
      <c r="J878" s="156" t="str">
        <f t="shared" si="14"/>
        <v/>
      </c>
      <c r="K878" s="162"/>
      <c r="L878" s="163"/>
      <c r="M878" s="164"/>
      <c r="N878" s="157"/>
      <c r="O878" s="157"/>
      <c r="P878" s="157"/>
      <c r="Q878" s="156" t="s">
        <v>5837</v>
      </c>
    </row>
    <row r="879" spans="4:17" x14ac:dyDescent="0.25">
      <c r="D879" s="157" t="s">
        <v>5838</v>
      </c>
      <c r="E879" s="156" t="s">
        <v>5832</v>
      </c>
      <c r="F879" s="157"/>
      <c r="G879" s="156"/>
      <c r="H879" s="157"/>
      <c r="I879" s="157"/>
      <c r="J879" s="156" t="str">
        <f t="shared" si="14"/>
        <v/>
      </c>
      <c r="K879" s="162"/>
      <c r="L879" s="163"/>
      <c r="M879" s="164"/>
      <c r="N879" s="157"/>
      <c r="O879" s="157"/>
      <c r="P879" s="157"/>
      <c r="Q879" s="156" t="s">
        <v>5839</v>
      </c>
    </row>
    <row r="880" spans="4:17" x14ac:dyDescent="0.25">
      <c r="D880" s="157" t="s">
        <v>5840</v>
      </c>
      <c r="E880" s="156" t="s">
        <v>5832</v>
      </c>
      <c r="F880" s="157"/>
      <c r="G880" s="156"/>
      <c r="H880" s="157"/>
      <c r="I880" s="157"/>
      <c r="J880" s="156" t="str">
        <f t="shared" si="14"/>
        <v/>
      </c>
      <c r="K880" s="162"/>
      <c r="L880" s="163"/>
      <c r="M880" s="164"/>
      <c r="N880" s="157"/>
      <c r="O880" s="157"/>
      <c r="P880" s="157"/>
      <c r="Q880" s="156" t="s">
        <v>5841</v>
      </c>
    </row>
    <row r="881" spans="4:17" x14ac:dyDescent="0.25">
      <c r="D881" s="157" t="s">
        <v>5842</v>
      </c>
      <c r="E881" s="156" t="s">
        <v>5832</v>
      </c>
      <c r="F881" s="157"/>
      <c r="G881" s="156"/>
      <c r="H881" s="157"/>
      <c r="I881" s="157"/>
      <c r="J881" s="156" t="str">
        <f t="shared" si="14"/>
        <v/>
      </c>
      <c r="K881" s="162"/>
      <c r="L881" s="163"/>
      <c r="M881" s="164"/>
      <c r="N881" s="157"/>
      <c r="O881" s="157"/>
      <c r="P881" s="157"/>
      <c r="Q881" s="156" t="s">
        <v>5843</v>
      </c>
    </row>
    <row r="882" spans="4:17" x14ac:dyDescent="0.25">
      <c r="D882" s="157" t="s">
        <v>5844</v>
      </c>
      <c r="E882" s="156" t="s">
        <v>5832</v>
      </c>
      <c r="F882" s="157"/>
      <c r="G882" s="156"/>
      <c r="H882" s="157"/>
      <c r="I882" s="157"/>
      <c r="J882" s="156" t="str">
        <f t="shared" si="14"/>
        <v/>
      </c>
      <c r="K882" s="162"/>
      <c r="L882" s="163"/>
      <c r="M882" s="164"/>
      <c r="N882" s="157"/>
      <c r="O882" s="157"/>
      <c r="P882" s="157"/>
      <c r="Q882" s="156" t="s">
        <v>5845</v>
      </c>
    </row>
    <row r="883" spans="4:17" x14ac:dyDescent="0.25">
      <c r="D883" s="157" t="s">
        <v>5846</v>
      </c>
      <c r="E883" s="156" t="s">
        <v>5832</v>
      </c>
      <c r="F883" s="157"/>
      <c r="G883" s="156"/>
      <c r="H883" s="157"/>
      <c r="I883" s="157"/>
      <c r="J883" s="156" t="str">
        <f t="shared" si="14"/>
        <v/>
      </c>
      <c r="K883" s="162"/>
      <c r="L883" s="163"/>
      <c r="M883" s="164"/>
      <c r="N883" s="157"/>
      <c r="O883" s="157"/>
      <c r="P883" s="157"/>
      <c r="Q883" s="156" t="s">
        <v>5847</v>
      </c>
    </row>
    <row r="884" spans="4:17" x14ac:dyDescent="0.25">
      <c r="D884" s="157" t="s">
        <v>5848</v>
      </c>
      <c r="E884" s="156" t="s">
        <v>5832</v>
      </c>
      <c r="F884" s="157"/>
      <c r="G884" s="156"/>
      <c r="H884" s="157"/>
      <c r="I884" s="157"/>
      <c r="J884" s="156" t="str">
        <f t="shared" si="14"/>
        <v/>
      </c>
      <c r="K884" s="162"/>
      <c r="L884" s="163"/>
      <c r="M884" s="164"/>
      <c r="N884" s="157"/>
      <c r="O884" s="157"/>
      <c r="P884" s="157"/>
      <c r="Q884" s="156" t="s">
        <v>5849</v>
      </c>
    </row>
    <row r="885" spans="4:17" x14ac:dyDescent="0.25">
      <c r="D885" s="157" t="s">
        <v>5850</v>
      </c>
      <c r="E885" s="156" t="s">
        <v>5832</v>
      </c>
      <c r="F885" s="157"/>
      <c r="G885" s="156"/>
      <c r="H885" s="157"/>
      <c r="I885" s="157"/>
      <c r="J885" s="156" t="str">
        <f t="shared" si="14"/>
        <v/>
      </c>
      <c r="K885" s="162"/>
      <c r="L885" s="163"/>
      <c r="M885" s="164"/>
      <c r="N885" s="157"/>
      <c r="O885" s="157"/>
      <c r="P885" s="157"/>
      <c r="Q885" s="156" t="s">
        <v>5851</v>
      </c>
    </row>
    <row r="886" spans="4:17" x14ac:dyDescent="0.25">
      <c r="D886" s="157" t="s">
        <v>5852</v>
      </c>
      <c r="E886" s="156" t="s">
        <v>5832</v>
      </c>
      <c r="F886" s="157"/>
      <c r="G886" s="156"/>
      <c r="H886" s="157"/>
      <c r="I886" s="157"/>
      <c r="J886" s="156" t="str">
        <f t="shared" si="14"/>
        <v/>
      </c>
      <c r="K886" s="162"/>
      <c r="L886" s="163"/>
      <c r="M886" s="164"/>
      <c r="N886" s="157"/>
      <c r="O886" s="157"/>
      <c r="P886" s="157"/>
      <c r="Q886" s="156" t="s">
        <v>5853</v>
      </c>
    </row>
    <row r="887" spans="4:17" x14ac:dyDescent="0.25">
      <c r="D887" s="157" t="s">
        <v>5854</v>
      </c>
      <c r="E887" s="156" t="s">
        <v>5832</v>
      </c>
      <c r="F887" s="157"/>
      <c r="G887" s="156"/>
      <c r="H887" s="157"/>
      <c r="I887" s="157"/>
      <c r="J887" s="156" t="str">
        <f t="shared" si="14"/>
        <v/>
      </c>
      <c r="K887" s="162"/>
      <c r="L887" s="163"/>
      <c r="M887" s="164"/>
      <c r="N887" s="157"/>
      <c r="O887" s="157"/>
      <c r="P887" s="157"/>
      <c r="Q887" s="156" t="s">
        <v>5855</v>
      </c>
    </row>
    <row r="888" spans="4:17" x14ac:dyDescent="0.25">
      <c r="D888" s="157" t="s">
        <v>5856</v>
      </c>
      <c r="E888" s="156" t="s">
        <v>5832</v>
      </c>
      <c r="F888" s="157"/>
      <c r="G888" s="156"/>
      <c r="H888" s="157"/>
      <c r="I888" s="157"/>
      <c r="J888" s="156" t="str">
        <f t="shared" si="14"/>
        <v/>
      </c>
      <c r="K888" s="162"/>
      <c r="L888" s="163"/>
      <c r="M888" s="164"/>
      <c r="N888" s="157"/>
      <c r="O888" s="157"/>
      <c r="P888" s="157"/>
      <c r="Q888" s="156" t="s">
        <v>5857</v>
      </c>
    </row>
    <row r="889" spans="4:17" x14ac:dyDescent="0.25">
      <c r="D889" s="157" t="s">
        <v>5858</v>
      </c>
      <c r="E889" s="156" t="s">
        <v>5832</v>
      </c>
      <c r="F889" s="157"/>
      <c r="G889" s="156"/>
      <c r="H889" s="157"/>
      <c r="I889" s="157"/>
      <c r="J889" s="156" t="str">
        <f t="shared" si="14"/>
        <v/>
      </c>
      <c r="K889" s="162"/>
      <c r="L889" s="163"/>
      <c r="M889" s="164"/>
      <c r="N889" s="157"/>
      <c r="O889" s="157"/>
      <c r="P889" s="157"/>
      <c r="Q889" s="156" t="s">
        <v>5859</v>
      </c>
    </row>
    <row r="890" spans="4:17" x14ac:dyDescent="0.25">
      <c r="D890" s="157" t="s">
        <v>5860</v>
      </c>
      <c r="E890" s="156" t="s">
        <v>5832</v>
      </c>
      <c r="F890" s="157"/>
      <c r="G890" s="156"/>
      <c r="H890" s="157"/>
      <c r="I890" s="157"/>
      <c r="J890" s="156" t="str">
        <f t="shared" si="14"/>
        <v/>
      </c>
      <c r="K890" s="162"/>
      <c r="L890" s="163"/>
      <c r="M890" s="164"/>
      <c r="N890" s="157"/>
      <c r="O890" s="157"/>
      <c r="P890" s="157"/>
      <c r="Q890" s="156" t="s">
        <v>5861</v>
      </c>
    </row>
    <row r="891" spans="4:17" x14ac:dyDescent="0.25">
      <c r="D891" s="157" t="s">
        <v>5862</v>
      </c>
      <c r="E891" s="156" t="s">
        <v>5832</v>
      </c>
      <c r="F891" s="157"/>
      <c r="G891" s="156"/>
      <c r="H891" s="157"/>
      <c r="I891" s="157"/>
      <c r="J891" s="156" t="str">
        <f t="shared" si="14"/>
        <v/>
      </c>
      <c r="K891" s="162"/>
      <c r="L891" s="163"/>
      <c r="M891" s="164"/>
      <c r="N891" s="157"/>
      <c r="O891" s="157"/>
      <c r="P891" s="157"/>
      <c r="Q891" s="156" t="s">
        <v>5863</v>
      </c>
    </row>
    <row r="892" spans="4:17" x14ac:dyDescent="0.25">
      <c r="D892" s="157" t="s">
        <v>5864</v>
      </c>
      <c r="E892" s="156" t="s">
        <v>5832</v>
      </c>
      <c r="F892" s="157"/>
      <c r="G892" s="156"/>
      <c r="H892" s="157"/>
      <c r="I892" s="157"/>
      <c r="J892" s="156" t="str">
        <f t="shared" si="14"/>
        <v/>
      </c>
      <c r="K892" s="162"/>
      <c r="L892" s="163"/>
      <c r="M892" s="164"/>
      <c r="N892" s="157"/>
      <c r="O892" s="157"/>
      <c r="P892" s="157"/>
      <c r="Q892" s="156" t="s">
        <v>5865</v>
      </c>
    </row>
    <row r="893" spans="4:17" x14ac:dyDescent="0.25">
      <c r="D893" s="157" t="s">
        <v>5866</v>
      </c>
      <c r="E893" s="156" t="s">
        <v>5832</v>
      </c>
      <c r="F893" s="157"/>
      <c r="G893" s="156"/>
      <c r="H893" s="157"/>
      <c r="I893" s="157"/>
      <c r="J893" s="156" t="str">
        <f t="shared" si="14"/>
        <v/>
      </c>
      <c r="K893" s="162"/>
      <c r="L893" s="163"/>
      <c r="M893" s="164"/>
      <c r="N893" s="157"/>
      <c r="O893" s="157"/>
      <c r="P893" s="157"/>
      <c r="Q893" s="156" t="s">
        <v>5867</v>
      </c>
    </row>
    <row r="894" spans="4:17" x14ac:dyDescent="0.25">
      <c r="D894" s="157" t="s">
        <v>5868</v>
      </c>
      <c r="E894" s="156" t="s">
        <v>5832</v>
      </c>
      <c r="F894" s="157"/>
      <c r="G894" s="156"/>
      <c r="H894" s="157"/>
      <c r="I894" s="157"/>
      <c r="J894" s="156" t="str">
        <f t="shared" si="14"/>
        <v/>
      </c>
      <c r="K894" s="162"/>
      <c r="L894" s="163"/>
      <c r="M894" s="164"/>
      <c r="N894" s="157"/>
      <c r="O894" s="157"/>
      <c r="P894" s="157"/>
      <c r="Q894" s="156" t="s">
        <v>5869</v>
      </c>
    </row>
    <row r="895" spans="4:17" x14ac:dyDescent="0.25">
      <c r="D895" s="157" t="s">
        <v>5870</v>
      </c>
      <c r="E895" s="156" t="s">
        <v>5832</v>
      </c>
      <c r="F895" s="157"/>
      <c r="G895" s="156"/>
      <c r="H895" s="157"/>
      <c r="I895" s="157"/>
      <c r="J895" s="156" t="str">
        <f t="shared" si="14"/>
        <v/>
      </c>
      <c r="K895" s="162"/>
      <c r="L895" s="163"/>
      <c r="M895" s="164"/>
      <c r="N895" s="157"/>
      <c r="O895" s="157"/>
      <c r="P895" s="157"/>
      <c r="Q895" s="156" t="s">
        <v>5871</v>
      </c>
    </row>
    <row r="896" spans="4:17" x14ac:dyDescent="0.25">
      <c r="D896" s="157" t="s">
        <v>5872</v>
      </c>
      <c r="E896" s="156" t="s">
        <v>5873</v>
      </c>
      <c r="F896" s="157"/>
      <c r="G896" s="156"/>
      <c r="H896" s="157"/>
      <c r="I896" s="157"/>
      <c r="J896" s="156" t="str">
        <f t="shared" si="14"/>
        <v/>
      </c>
      <c r="K896" s="162"/>
      <c r="L896" s="163"/>
      <c r="M896" s="164"/>
      <c r="N896" s="157"/>
      <c r="O896" s="157"/>
      <c r="P896" s="157"/>
      <c r="Q896" s="156" t="s">
        <v>5874</v>
      </c>
    </row>
    <row r="897" spans="4:17" x14ac:dyDescent="0.25">
      <c r="D897" s="157" t="s">
        <v>5875</v>
      </c>
      <c r="E897" s="156" t="s">
        <v>5873</v>
      </c>
      <c r="F897" s="157"/>
      <c r="G897" s="156"/>
      <c r="H897" s="157"/>
      <c r="I897" s="157"/>
      <c r="J897" s="156" t="str">
        <f t="shared" si="14"/>
        <v/>
      </c>
      <c r="K897" s="162"/>
      <c r="L897" s="163"/>
      <c r="M897" s="164"/>
      <c r="N897" s="157"/>
      <c r="O897" s="157"/>
      <c r="P897" s="157"/>
      <c r="Q897" s="156" t="s">
        <v>5876</v>
      </c>
    </row>
    <row r="898" spans="4:17" x14ac:dyDescent="0.25">
      <c r="D898" s="157" t="s">
        <v>5877</v>
      </c>
      <c r="E898" s="156" t="s">
        <v>5873</v>
      </c>
      <c r="F898" s="157"/>
      <c r="G898" s="156"/>
      <c r="H898" s="157"/>
      <c r="I898" s="157"/>
      <c r="J898" s="156" t="str">
        <f t="shared" si="14"/>
        <v/>
      </c>
      <c r="K898" s="162"/>
      <c r="L898" s="163"/>
      <c r="M898" s="164"/>
      <c r="N898" s="157"/>
      <c r="O898" s="157"/>
      <c r="P898" s="157"/>
      <c r="Q898" s="156" t="s">
        <v>5878</v>
      </c>
    </row>
    <row r="899" spans="4:17" x14ac:dyDescent="0.25">
      <c r="D899" s="157" t="s">
        <v>5879</v>
      </c>
      <c r="E899" s="156" t="s">
        <v>5873</v>
      </c>
      <c r="F899" s="157"/>
      <c r="G899" s="156"/>
      <c r="H899" s="157"/>
      <c r="I899" s="157"/>
      <c r="J899" s="156" t="str">
        <f t="shared" si="14"/>
        <v/>
      </c>
      <c r="K899" s="162"/>
      <c r="L899" s="163"/>
      <c r="M899" s="164"/>
      <c r="N899" s="157"/>
      <c r="O899" s="157"/>
      <c r="P899" s="157"/>
      <c r="Q899" s="156" t="s">
        <v>5880</v>
      </c>
    </row>
    <row r="900" spans="4:17" x14ac:dyDescent="0.25">
      <c r="D900" s="157" t="s">
        <v>5881</v>
      </c>
      <c r="E900" s="156" t="s">
        <v>5873</v>
      </c>
      <c r="F900" s="157"/>
      <c r="G900" s="156"/>
      <c r="H900" s="157"/>
      <c r="I900" s="157"/>
      <c r="J900" s="156" t="str">
        <f t="shared" si="14"/>
        <v/>
      </c>
      <c r="K900" s="162"/>
      <c r="L900" s="163"/>
      <c r="M900" s="164"/>
      <c r="N900" s="157"/>
      <c r="O900" s="157"/>
      <c r="P900" s="157"/>
      <c r="Q900" s="156" t="s">
        <v>5882</v>
      </c>
    </row>
    <row r="901" spans="4:17" x14ac:dyDescent="0.25">
      <c r="D901" s="157" t="s">
        <v>5883</v>
      </c>
      <c r="E901" s="156" t="s">
        <v>5873</v>
      </c>
      <c r="F901" s="157"/>
      <c r="G901" s="156"/>
      <c r="H901" s="157"/>
      <c r="I901" s="157"/>
      <c r="J901" s="156" t="str">
        <f t="shared" si="14"/>
        <v/>
      </c>
      <c r="K901" s="162"/>
      <c r="L901" s="163"/>
      <c r="M901" s="164"/>
      <c r="N901" s="157"/>
      <c r="O901" s="157"/>
      <c r="P901" s="157"/>
      <c r="Q901" s="156" t="s">
        <v>5884</v>
      </c>
    </row>
    <row r="902" spans="4:17" x14ac:dyDescent="0.25">
      <c r="D902" s="157" t="s">
        <v>5885</v>
      </c>
      <c r="E902" s="156" t="s">
        <v>5873</v>
      </c>
      <c r="F902" s="157"/>
      <c r="G902" s="156"/>
      <c r="H902" s="157"/>
      <c r="I902" s="157"/>
      <c r="J902" s="156" t="str">
        <f t="shared" si="14"/>
        <v/>
      </c>
      <c r="K902" s="162"/>
      <c r="L902" s="163"/>
      <c r="M902" s="164"/>
      <c r="N902" s="157"/>
      <c r="O902" s="157"/>
      <c r="P902" s="157"/>
      <c r="Q902" s="156" t="s">
        <v>5886</v>
      </c>
    </row>
    <row r="903" spans="4:17" x14ac:dyDescent="0.25">
      <c r="D903" s="157" t="s">
        <v>5887</v>
      </c>
      <c r="E903" s="156" t="s">
        <v>5873</v>
      </c>
      <c r="F903" s="157"/>
      <c r="G903" s="156"/>
      <c r="H903" s="157"/>
      <c r="I903" s="157"/>
      <c r="J903" s="156" t="str">
        <f t="shared" si="14"/>
        <v/>
      </c>
      <c r="K903" s="162"/>
      <c r="L903" s="163"/>
      <c r="M903" s="164"/>
      <c r="N903" s="157"/>
      <c r="O903" s="157"/>
      <c r="P903" s="157"/>
      <c r="Q903" s="156" t="s">
        <v>5888</v>
      </c>
    </row>
    <row r="904" spans="4:17" x14ac:dyDescent="0.25">
      <c r="D904" s="157" t="s">
        <v>5889</v>
      </c>
      <c r="E904" s="156" t="s">
        <v>5873</v>
      </c>
      <c r="F904" s="157"/>
      <c r="G904" s="156"/>
      <c r="H904" s="157"/>
      <c r="I904" s="157"/>
      <c r="J904" s="156" t="str">
        <f t="shared" si="14"/>
        <v/>
      </c>
      <c r="K904" s="162"/>
      <c r="L904" s="163"/>
      <c r="M904" s="164"/>
      <c r="N904" s="157"/>
      <c r="O904" s="157"/>
      <c r="P904" s="157"/>
      <c r="Q904" s="156" t="s">
        <v>5890</v>
      </c>
    </row>
    <row r="905" spans="4:17" x14ac:dyDescent="0.25">
      <c r="D905" s="157" t="s">
        <v>5891</v>
      </c>
      <c r="E905" s="156" t="s">
        <v>5873</v>
      </c>
      <c r="F905" s="157"/>
      <c r="G905" s="156"/>
      <c r="H905" s="157"/>
      <c r="I905" s="157"/>
      <c r="J905" s="156" t="str">
        <f t="shared" si="14"/>
        <v/>
      </c>
      <c r="K905" s="162"/>
      <c r="L905" s="163"/>
      <c r="M905" s="164"/>
      <c r="N905" s="157"/>
      <c r="O905" s="157"/>
      <c r="P905" s="157"/>
      <c r="Q905" s="156" t="s">
        <v>5892</v>
      </c>
    </row>
    <row r="906" spans="4:17" x14ac:dyDescent="0.25">
      <c r="D906" s="157" t="s">
        <v>5893</v>
      </c>
      <c r="E906" s="156" t="s">
        <v>5873</v>
      </c>
      <c r="F906" s="157"/>
      <c r="G906" s="156"/>
      <c r="H906" s="157"/>
      <c r="I906" s="157"/>
      <c r="J906" s="156" t="str">
        <f t="shared" si="14"/>
        <v/>
      </c>
      <c r="K906" s="162"/>
      <c r="L906" s="163"/>
      <c r="M906" s="164"/>
      <c r="N906" s="157"/>
      <c r="O906" s="157"/>
      <c r="P906" s="157"/>
      <c r="Q906" s="156" t="s">
        <v>5894</v>
      </c>
    </row>
    <row r="907" spans="4:17" x14ac:dyDescent="0.25">
      <c r="D907" s="157" t="s">
        <v>5895</v>
      </c>
      <c r="E907" s="156" t="s">
        <v>5873</v>
      </c>
      <c r="F907" s="157"/>
      <c r="G907" s="156"/>
      <c r="H907" s="157"/>
      <c r="I907" s="157"/>
      <c r="J907" s="156" t="str">
        <f t="shared" si="14"/>
        <v/>
      </c>
      <c r="K907" s="162"/>
      <c r="L907" s="163"/>
      <c r="M907" s="164"/>
      <c r="N907" s="157"/>
      <c r="O907" s="157"/>
      <c r="P907" s="157"/>
      <c r="Q907" s="156" t="s">
        <v>5896</v>
      </c>
    </row>
    <row r="908" spans="4:17" x14ac:dyDescent="0.25">
      <c r="D908" s="157" t="s">
        <v>5897</v>
      </c>
      <c r="E908" s="156" t="s">
        <v>5873</v>
      </c>
      <c r="F908" s="157"/>
      <c r="G908" s="156"/>
      <c r="H908" s="157"/>
      <c r="I908" s="157"/>
      <c r="J908" s="156" t="str">
        <f t="shared" si="14"/>
        <v/>
      </c>
      <c r="K908" s="162"/>
      <c r="L908" s="163"/>
      <c r="M908" s="164"/>
      <c r="N908" s="157"/>
      <c r="O908" s="157"/>
      <c r="P908" s="157"/>
      <c r="Q908" s="156" t="s">
        <v>5898</v>
      </c>
    </row>
    <row r="909" spans="4:17" x14ac:dyDescent="0.25">
      <c r="D909" s="157" t="s">
        <v>5899</v>
      </c>
      <c r="E909" s="156" t="s">
        <v>5873</v>
      </c>
      <c r="F909" s="157"/>
      <c r="G909" s="156"/>
      <c r="H909" s="157"/>
      <c r="I909" s="157"/>
      <c r="J909" s="156" t="str">
        <f t="shared" si="14"/>
        <v/>
      </c>
      <c r="K909" s="162"/>
      <c r="L909" s="163"/>
      <c r="M909" s="164"/>
      <c r="N909" s="157"/>
      <c r="O909" s="157"/>
      <c r="P909" s="157"/>
      <c r="Q909" s="156" t="s">
        <v>5900</v>
      </c>
    </row>
    <row r="910" spans="4:17" x14ac:dyDescent="0.25">
      <c r="D910" s="157" t="s">
        <v>5901</v>
      </c>
      <c r="E910" s="156" t="s">
        <v>5873</v>
      </c>
      <c r="F910" s="157"/>
      <c r="G910" s="156"/>
      <c r="H910" s="157"/>
      <c r="I910" s="157"/>
      <c r="J910" s="156" t="str">
        <f t="shared" si="14"/>
        <v/>
      </c>
      <c r="K910" s="162"/>
      <c r="L910" s="163"/>
      <c r="M910" s="164"/>
      <c r="N910" s="157"/>
      <c r="O910" s="157"/>
      <c r="P910" s="157"/>
      <c r="Q910" s="156" t="s">
        <v>5902</v>
      </c>
    </row>
    <row r="911" spans="4:17" x14ac:dyDescent="0.25">
      <c r="D911" s="157" t="s">
        <v>5903</v>
      </c>
      <c r="E911" s="156" t="s">
        <v>5873</v>
      </c>
      <c r="F911" s="157"/>
      <c r="G911" s="156"/>
      <c r="H911" s="157"/>
      <c r="I911" s="157"/>
      <c r="J911" s="156" t="str">
        <f t="shared" si="14"/>
        <v/>
      </c>
      <c r="K911" s="162"/>
      <c r="L911" s="163"/>
      <c r="M911" s="164"/>
      <c r="N911" s="157"/>
      <c r="O911" s="157"/>
      <c r="P911" s="157"/>
      <c r="Q911" s="156" t="s">
        <v>5904</v>
      </c>
    </row>
    <row r="912" spans="4:17" x14ac:dyDescent="0.25">
      <c r="D912" s="157" t="s">
        <v>5905</v>
      </c>
      <c r="E912" s="156" t="s">
        <v>5873</v>
      </c>
      <c r="F912" s="157"/>
      <c r="G912" s="156"/>
      <c r="H912" s="157"/>
      <c r="I912" s="157"/>
      <c r="J912" s="156" t="str">
        <f t="shared" si="14"/>
        <v/>
      </c>
      <c r="K912" s="162"/>
      <c r="L912" s="163"/>
      <c r="M912" s="164"/>
      <c r="N912" s="157"/>
      <c r="O912" s="157"/>
      <c r="P912" s="157"/>
      <c r="Q912" s="156" t="s">
        <v>5906</v>
      </c>
    </row>
    <row r="913" spans="4:17" x14ac:dyDescent="0.25">
      <c r="D913" s="157" t="s">
        <v>5907</v>
      </c>
      <c r="E913" s="156" t="s">
        <v>5873</v>
      </c>
      <c r="F913" s="157"/>
      <c r="G913" s="156"/>
      <c r="H913" s="157"/>
      <c r="I913" s="157"/>
      <c r="J913" s="156" t="str">
        <f t="shared" si="14"/>
        <v/>
      </c>
      <c r="K913" s="162"/>
      <c r="L913" s="163"/>
      <c r="M913" s="164"/>
      <c r="N913" s="157"/>
      <c r="O913" s="157"/>
      <c r="P913" s="157"/>
      <c r="Q913" s="156" t="s">
        <v>5908</v>
      </c>
    </row>
    <row r="914" spans="4:17" x14ac:dyDescent="0.25">
      <c r="D914" s="157" t="s">
        <v>5909</v>
      </c>
      <c r="E914" s="156" t="s">
        <v>5873</v>
      </c>
      <c r="F914" s="157"/>
      <c r="G914" s="156"/>
      <c r="H914" s="157"/>
      <c r="I914" s="157"/>
      <c r="J914" s="156" t="str">
        <f t="shared" si="14"/>
        <v/>
      </c>
      <c r="K914" s="162"/>
      <c r="L914" s="163"/>
      <c r="M914" s="164"/>
      <c r="N914" s="157"/>
      <c r="O914" s="157"/>
      <c r="P914" s="157"/>
      <c r="Q914" s="156" t="s">
        <v>5910</v>
      </c>
    </row>
    <row r="915" spans="4:17" x14ac:dyDescent="0.25">
      <c r="D915" s="157" t="s">
        <v>5911</v>
      </c>
      <c r="E915" s="156" t="s">
        <v>5873</v>
      </c>
      <c r="F915" s="157"/>
      <c r="G915" s="156"/>
      <c r="H915" s="157"/>
      <c r="I915" s="157"/>
      <c r="J915" s="156" t="str">
        <f t="shared" si="14"/>
        <v/>
      </c>
      <c r="K915" s="162"/>
      <c r="L915" s="163"/>
      <c r="M915" s="164"/>
      <c r="N915" s="157"/>
      <c r="O915" s="157"/>
      <c r="P915" s="157"/>
      <c r="Q915" s="156" t="s">
        <v>5912</v>
      </c>
    </row>
    <row r="916" spans="4:17" x14ac:dyDescent="0.25">
      <c r="D916" s="157" t="s">
        <v>5913</v>
      </c>
      <c r="E916" s="156" t="s">
        <v>5914</v>
      </c>
      <c r="F916" s="157"/>
      <c r="G916" s="156"/>
      <c r="H916" s="157"/>
      <c r="I916" s="157"/>
      <c r="J916" s="156" t="str">
        <f t="shared" si="14"/>
        <v/>
      </c>
      <c r="K916" s="162"/>
      <c r="L916" s="163"/>
      <c r="M916" s="164"/>
      <c r="N916" s="157"/>
      <c r="O916" s="157"/>
      <c r="P916" s="157"/>
      <c r="Q916" s="156" t="s">
        <v>5915</v>
      </c>
    </row>
    <row r="917" spans="4:17" x14ac:dyDescent="0.25">
      <c r="D917" s="157" t="s">
        <v>5916</v>
      </c>
      <c r="E917" s="156" t="s">
        <v>5914</v>
      </c>
      <c r="F917" s="157"/>
      <c r="G917" s="156"/>
      <c r="H917" s="157"/>
      <c r="I917" s="157"/>
      <c r="J917" s="156" t="str">
        <f t="shared" si="14"/>
        <v/>
      </c>
      <c r="K917" s="162"/>
      <c r="L917" s="163"/>
      <c r="M917" s="164"/>
      <c r="N917" s="157"/>
      <c r="O917" s="157"/>
      <c r="P917" s="157"/>
      <c r="Q917" s="156" t="s">
        <v>5917</v>
      </c>
    </row>
    <row r="918" spans="4:17" x14ac:dyDescent="0.25">
      <c r="D918" s="157" t="s">
        <v>5918</v>
      </c>
      <c r="E918" s="156" t="s">
        <v>5914</v>
      </c>
      <c r="F918" s="157"/>
      <c r="G918" s="156"/>
      <c r="H918" s="157"/>
      <c r="I918" s="157"/>
      <c r="J918" s="156" t="str">
        <f t="shared" si="14"/>
        <v/>
      </c>
      <c r="K918" s="162"/>
      <c r="L918" s="163"/>
      <c r="M918" s="164"/>
      <c r="N918" s="157"/>
      <c r="O918" s="157"/>
      <c r="P918" s="157"/>
      <c r="Q918" s="156" t="s">
        <v>5919</v>
      </c>
    </row>
    <row r="919" spans="4:17" x14ac:dyDescent="0.25">
      <c r="D919" s="157" t="s">
        <v>5920</v>
      </c>
      <c r="E919" s="156" t="s">
        <v>5914</v>
      </c>
      <c r="F919" s="157"/>
      <c r="G919" s="156"/>
      <c r="H919" s="157"/>
      <c r="I919" s="157"/>
      <c r="J919" s="156" t="str">
        <f t="shared" si="14"/>
        <v/>
      </c>
      <c r="K919" s="162"/>
      <c r="L919" s="163"/>
      <c r="M919" s="164"/>
      <c r="N919" s="157"/>
      <c r="O919" s="157"/>
      <c r="P919" s="157"/>
      <c r="Q919" s="156" t="s">
        <v>5921</v>
      </c>
    </row>
    <row r="920" spans="4:17" x14ac:dyDescent="0.25">
      <c r="D920" s="157" t="s">
        <v>5922</v>
      </c>
      <c r="E920" s="156" t="s">
        <v>5914</v>
      </c>
      <c r="F920" s="157"/>
      <c r="G920" s="156"/>
      <c r="H920" s="157"/>
      <c r="I920" s="157"/>
      <c r="J920" s="156" t="str">
        <f t="shared" si="14"/>
        <v/>
      </c>
      <c r="K920" s="162"/>
      <c r="L920" s="163"/>
      <c r="M920" s="164"/>
      <c r="N920" s="157"/>
      <c r="O920" s="157"/>
      <c r="P920" s="157"/>
      <c r="Q920" s="156" t="s">
        <v>5923</v>
      </c>
    </row>
    <row r="921" spans="4:17" x14ac:dyDescent="0.25">
      <c r="D921" s="157" t="s">
        <v>5924</v>
      </c>
      <c r="E921" s="156" t="s">
        <v>5914</v>
      </c>
      <c r="F921" s="157"/>
      <c r="G921" s="156"/>
      <c r="H921" s="157"/>
      <c r="I921" s="157"/>
      <c r="J921" s="156" t="str">
        <f t="shared" si="14"/>
        <v/>
      </c>
      <c r="K921" s="162"/>
      <c r="L921" s="163"/>
      <c r="M921" s="164"/>
      <c r="N921" s="157"/>
      <c r="O921" s="157"/>
      <c r="P921" s="157"/>
      <c r="Q921" s="156" t="s">
        <v>5925</v>
      </c>
    </row>
    <row r="922" spans="4:17" x14ac:dyDescent="0.25">
      <c r="D922" s="157" t="s">
        <v>5926</v>
      </c>
      <c r="E922" s="156" t="s">
        <v>5914</v>
      </c>
      <c r="F922" s="157"/>
      <c r="G922" s="156"/>
      <c r="H922" s="157"/>
      <c r="I922" s="157"/>
      <c r="J922" s="156" t="str">
        <f t="shared" si="14"/>
        <v/>
      </c>
      <c r="K922" s="162"/>
      <c r="L922" s="163"/>
      <c r="M922" s="164"/>
      <c r="N922" s="157"/>
      <c r="O922" s="157"/>
      <c r="P922" s="157"/>
      <c r="Q922" s="156" t="s">
        <v>5927</v>
      </c>
    </row>
    <row r="923" spans="4:17" x14ac:dyDescent="0.25">
      <c r="D923" s="157" t="s">
        <v>5928</v>
      </c>
      <c r="E923" s="156" t="s">
        <v>5914</v>
      </c>
      <c r="F923" s="157"/>
      <c r="G923" s="156"/>
      <c r="H923" s="157"/>
      <c r="I923" s="157"/>
      <c r="J923" s="156" t="str">
        <f t="shared" si="14"/>
        <v/>
      </c>
      <c r="K923" s="162"/>
      <c r="L923" s="163"/>
      <c r="M923" s="164"/>
      <c r="N923" s="157"/>
      <c r="O923" s="157"/>
      <c r="P923" s="157"/>
      <c r="Q923" s="156" t="s">
        <v>5929</v>
      </c>
    </row>
    <row r="924" spans="4:17" x14ac:dyDescent="0.25">
      <c r="D924" s="157" t="s">
        <v>5930</v>
      </c>
      <c r="E924" s="156" t="s">
        <v>5914</v>
      </c>
      <c r="F924" s="157"/>
      <c r="G924" s="156"/>
      <c r="H924" s="157"/>
      <c r="I924" s="157"/>
      <c r="J924" s="156" t="str">
        <f t="shared" si="14"/>
        <v/>
      </c>
      <c r="K924" s="162"/>
      <c r="L924" s="163"/>
      <c r="M924" s="164"/>
      <c r="N924" s="157"/>
      <c r="O924" s="157"/>
      <c r="P924" s="157"/>
      <c r="Q924" s="156" t="s">
        <v>5931</v>
      </c>
    </row>
    <row r="925" spans="4:17" x14ac:dyDescent="0.25">
      <c r="D925" s="157" t="s">
        <v>5932</v>
      </c>
      <c r="E925" s="156" t="s">
        <v>5914</v>
      </c>
      <c r="F925" s="157"/>
      <c r="G925" s="156"/>
      <c r="H925" s="157"/>
      <c r="I925" s="157"/>
      <c r="J925" s="156" t="str">
        <f t="shared" si="14"/>
        <v/>
      </c>
      <c r="K925" s="162"/>
      <c r="L925" s="163"/>
      <c r="M925" s="164"/>
      <c r="N925" s="157"/>
      <c r="O925" s="157"/>
      <c r="P925" s="157"/>
      <c r="Q925" s="156" t="s">
        <v>5933</v>
      </c>
    </row>
    <row r="926" spans="4:17" x14ac:dyDescent="0.25">
      <c r="D926" s="157" t="s">
        <v>5934</v>
      </c>
      <c r="E926" s="156" t="s">
        <v>5914</v>
      </c>
      <c r="F926" s="157"/>
      <c r="G926" s="156"/>
      <c r="H926" s="157"/>
      <c r="I926" s="157"/>
      <c r="J926" s="156" t="str">
        <f t="shared" si="14"/>
        <v/>
      </c>
      <c r="K926" s="162"/>
      <c r="L926" s="163"/>
      <c r="M926" s="164"/>
      <c r="N926" s="157"/>
      <c r="O926" s="157"/>
      <c r="P926" s="157"/>
      <c r="Q926" s="156" t="s">
        <v>5935</v>
      </c>
    </row>
    <row r="927" spans="4:17" x14ac:dyDescent="0.25">
      <c r="D927" s="157" t="s">
        <v>5936</v>
      </c>
      <c r="E927" s="156" t="s">
        <v>5914</v>
      </c>
      <c r="F927" s="157"/>
      <c r="G927" s="156"/>
      <c r="H927" s="157"/>
      <c r="I927" s="157"/>
      <c r="J927" s="156" t="str">
        <f t="shared" si="14"/>
        <v/>
      </c>
      <c r="K927" s="162"/>
      <c r="L927" s="163"/>
      <c r="M927" s="164"/>
      <c r="N927" s="157"/>
      <c r="O927" s="157"/>
      <c r="P927" s="157"/>
      <c r="Q927" s="156" t="s">
        <v>5937</v>
      </c>
    </row>
    <row r="928" spans="4:17" x14ac:dyDescent="0.25">
      <c r="D928" s="157" t="s">
        <v>5938</v>
      </c>
      <c r="E928" s="156" t="s">
        <v>5914</v>
      </c>
      <c r="F928" s="157"/>
      <c r="G928" s="156"/>
      <c r="H928" s="157"/>
      <c r="I928" s="157"/>
      <c r="J928" s="156" t="str">
        <f t="shared" si="14"/>
        <v/>
      </c>
      <c r="K928" s="162"/>
      <c r="L928" s="163"/>
      <c r="M928" s="164"/>
      <c r="N928" s="157"/>
      <c r="O928" s="157"/>
      <c r="P928" s="157"/>
      <c r="Q928" s="156" t="s">
        <v>5939</v>
      </c>
    </row>
    <row r="929" spans="4:17" x14ac:dyDescent="0.25">
      <c r="D929" s="157" t="s">
        <v>5940</v>
      </c>
      <c r="E929" s="156" t="s">
        <v>5914</v>
      </c>
      <c r="F929" s="157"/>
      <c r="G929" s="156"/>
      <c r="H929" s="157"/>
      <c r="I929" s="157"/>
      <c r="J929" s="156" t="str">
        <f t="shared" si="14"/>
        <v/>
      </c>
      <c r="K929" s="162"/>
      <c r="L929" s="163"/>
      <c r="M929" s="164"/>
      <c r="N929" s="157"/>
      <c r="O929" s="157"/>
      <c r="P929" s="157"/>
      <c r="Q929" s="156" t="s">
        <v>5941</v>
      </c>
    </row>
    <row r="930" spans="4:17" x14ac:dyDescent="0.25">
      <c r="D930" s="157" t="s">
        <v>5942</v>
      </c>
      <c r="E930" s="156" t="s">
        <v>5914</v>
      </c>
      <c r="F930" s="157"/>
      <c r="G930" s="156"/>
      <c r="H930" s="157"/>
      <c r="I930" s="157"/>
      <c r="J930" s="156" t="str">
        <f t="shared" si="14"/>
        <v/>
      </c>
      <c r="K930" s="162"/>
      <c r="L930" s="163"/>
      <c r="M930" s="164"/>
      <c r="N930" s="157"/>
      <c r="O930" s="157"/>
      <c r="P930" s="157"/>
      <c r="Q930" s="156" t="s">
        <v>5943</v>
      </c>
    </row>
    <row r="931" spans="4:17" x14ac:dyDescent="0.25">
      <c r="D931" s="157" t="s">
        <v>5944</v>
      </c>
      <c r="E931" s="156" t="s">
        <v>5914</v>
      </c>
      <c r="F931" s="157"/>
      <c r="G931" s="156"/>
      <c r="H931" s="157"/>
      <c r="I931" s="157"/>
      <c r="J931" s="156" t="str">
        <f t="shared" si="14"/>
        <v/>
      </c>
      <c r="K931" s="162"/>
      <c r="L931" s="163"/>
      <c r="M931" s="164"/>
      <c r="N931" s="157"/>
      <c r="O931" s="157"/>
      <c r="P931" s="157"/>
      <c r="Q931" s="156" t="s">
        <v>5945</v>
      </c>
    </row>
    <row r="932" spans="4:17" x14ac:dyDescent="0.25">
      <c r="D932" s="157" t="s">
        <v>5946</v>
      </c>
      <c r="E932" s="156" t="s">
        <v>5914</v>
      </c>
      <c r="F932" s="157"/>
      <c r="G932" s="156"/>
      <c r="H932" s="157"/>
      <c r="I932" s="157"/>
      <c r="J932" s="156" t="str">
        <f t="shared" si="14"/>
        <v/>
      </c>
      <c r="K932" s="162"/>
      <c r="L932" s="163"/>
      <c r="M932" s="164"/>
      <c r="N932" s="157"/>
      <c r="O932" s="157"/>
      <c r="P932" s="157"/>
      <c r="Q932" s="156" t="s">
        <v>5947</v>
      </c>
    </row>
    <row r="933" spans="4:17" x14ac:dyDescent="0.25">
      <c r="D933" s="157" t="s">
        <v>5948</v>
      </c>
      <c r="E933" s="156" t="s">
        <v>5914</v>
      </c>
      <c r="F933" s="157"/>
      <c r="G933" s="156"/>
      <c r="H933" s="157"/>
      <c r="I933" s="157"/>
      <c r="J933" s="156" t="str">
        <f t="shared" si="14"/>
        <v/>
      </c>
      <c r="K933" s="162"/>
      <c r="L933" s="163"/>
      <c r="M933" s="164"/>
      <c r="N933" s="157"/>
      <c r="O933" s="157"/>
      <c r="P933" s="157"/>
      <c r="Q933" s="156" t="s">
        <v>5949</v>
      </c>
    </row>
    <row r="934" spans="4:17" x14ac:dyDescent="0.25">
      <c r="D934" s="157" t="s">
        <v>5950</v>
      </c>
      <c r="E934" s="156" t="s">
        <v>5914</v>
      </c>
      <c r="F934" s="157"/>
      <c r="G934" s="156"/>
      <c r="H934" s="157"/>
      <c r="I934" s="157"/>
      <c r="J934" s="156" t="str">
        <f t="shared" si="14"/>
        <v/>
      </c>
      <c r="K934" s="162"/>
      <c r="L934" s="163"/>
      <c r="M934" s="164"/>
      <c r="N934" s="157"/>
      <c r="O934" s="157"/>
      <c r="P934" s="157"/>
      <c r="Q934" s="156" t="s">
        <v>5951</v>
      </c>
    </row>
    <row r="935" spans="4:17" x14ac:dyDescent="0.25">
      <c r="D935" s="157" t="s">
        <v>5952</v>
      </c>
      <c r="E935" s="156" t="s">
        <v>5914</v>
      </c>
      <c r="F935" s="157"/>
      <c r="G935" s="156"/>
      <c r="H935" s="157"/>
      <c r="I935" s="157"/>
      <c r="J935" s="156" t="str">
        <f t="shared" si="14"/>
        <v/>
      </c>
      <c r="K935" s="162"/>
      <c r="L935" s="163"/>
      <c r="M935" s="164"/>
      <c r="N935" s="157"/>
      <c r="O935" s="157"/>
      <c r="P935" s="157"/>
      <c r="Q935" s="156" t="s">
        <v>5953</v>
      </c>
    </row>
    <row r="936" spans="4:17" x14ac:dyDescent="0.25">
      <c r="D936" s="157" t="s">
        <v>5954</v>
      </c>
      <c r="E936" s="156" t="s">
        <v>5955</v>
      </c>
      <c r="F936" s="157"/>
      <c r="G936" s="156"/>
      <c r="H936" s="157"/>
      <c r="I936" s="157"/>
      <c r="J936" s="156" t="str">
        <f t="shared" ref="J936:J999" si="15">F936&amp;H936&amp;I936</f>
        <v/>
      </c>
      <c r="K936" s="162"/>
      <c r="L936" s="163"/>
      <c r="M936" s="164"/>
      <c r="N936" s="157"/>
      <c r="O936" s="157"/>
      <c r="P936" s="157"/>
      <c r="Q936" s="156" t="s">
        <v>5956</v>
      </c>
    </row>
    <row r="937" spans="4:17" x14ac:dyDescent="0.25">
      <c r="D937" s="157" t="s">
        <v>5957</v>
      </c>
      <c r="E937" s="156" t="s">
        <v>5955</v>
      </c>
      <c r="F937" s="157"/>
      <c r="G937" s="156"/>
      <c r="H937" s="157"/>
      <c r="I937" s="157"/>
      <c r="J937" s="156" t="str">
        <f t="shared" si="15"/>
        <v/>
      </c>
      <c r="K937" s="162"/>
      <c r="L937" s="163"/>
      <c r="M937" s="164"/>
      <c r="N937" s="157"/>
      <c r="O937" s="157"/>
      <c r="P937" s="157"/>
      <c r="Q937" s="156" t="s">
        <v>5958</v>
      </c>
    </row>
    <row r="938" spans="4:17" x14ac:dyDescent="0.25">
      <c r="D938" s="157" t="s">
        <v>5959</v>
      </c>
      <c r="E938" s="156" t="s">
        <v>5955</v>
      </c>
      <c r="F938" s="157"/>
      <c r="G938" s="156"/>
      <c r="H938" s="157"/>
      <c r="I938" s="157"/>
      <c r="J938" s="156" t="str">
        <f t="shared" si="15"/>
        <v/>
      </c>
      <c r="K938" s="162"/>
      <c r="L938" s="163"/>
      <c r="M938" s="164"/>
      <c r="N938" s="157"/>
      <c r="O938" s="157"/>
      <c r="P938" s="157"/>
      <c r="Q938" s="156" t="s">
        <v>5960</v>
      </c>
    </row>
    <row r="939" spans="4:17" x14ac:dyDescent="0.25">
      <c r="D939" s="157" t="s">
        <v>5961</v>
      </c>
      <c r="E939" s="156" t="s">
        <v>5955</v>
      </c>
      <c r="F939" s="157"/>
      <c r="G939" s="156"/>
      <c r="H939" s="157"/>
      <c r="I939" s="157"/>
      <c r="J939" s="156" t="str">
        <f t="shared" si="15"/>
        <v/>
      </c>
      <c r="K939" s="162"/>
      <c r="L939" s="163"/>
      <c r="M939" s="164"/>
      <c r="N939" s="157"/>
      <c r="O939" s="157"/>
      <c r="P939" s="157"/>
      <c r="Q939" s="156" t="s">
        <v>5962</v>
      </c>
    </row>
    <row r="940" spans="4:17" x14ac:dyDescent="0.25">
      <c r="D940" s="157" t="s">
        <v>5963</v>
      </c>
      <c r="E940" s="156" t="s">
        <v>5955</v>
      </c>
      <c r="F940" s="157"/>
      <c r="G940" s="156"/>
      <c r="H940" s="157"/>
      <c r="I940" s="157"/>
      <c r="J940" s="156" t="str">
        <f t="shared" si="15"/>
        <v/>
      </c>
      <c r="K940" s="162"/>
      <c r="L940" s="163"/>
      <c r="M940" s="164"/>
      <c r="N940" s="157"/>
      <c r="O940" s="157"/>
      <c r="P940" s="157"/>
      <c r="Q940" s="156" t="s">
        <v>5964</v>
      </c>
    </row>
    <row r="941" spans="4:17" x14ac:dyDescent="0.25">
      <c r="D941" s="157" t="s">
        <v>5965</v>
      </c>
      <c r="E941" s="156" t="s">
        <v>5955</v>
      </c>
      <c r="F941" s="157"/>
      <c r="G941" s="156"/>
      <c r="H941" s="157"/>
      <c r="I941" s="157"/>
      <c r="J941" s="156" t="str">
        <f t="shared" si="15"/>
        <v/>
      </c>
      <c r="K941" s="162"/>
      <c r="L941" s="163"/>
      <c r="M941" s="164"/>
      <c r="N941" s="157"/>
      <c r="O941" s="157"/>
      <c r="P941" s="157"/>
      <c r="Q941" s="156" t="s">
        <v>5966</v>
      </c>
    </row>
    <row r="942" spans="4:17" x14ac:dyDescent="0.25">
      <c r="D942" s="157" t="s">
        <v>5967</v>
      </c>
      <c r="E942" s="156" t="s">
        <v>5955</v>
      </c>
      <c r="F942" s="157"/>
      <c r="G942" s="156"/>
      <c r="H942" s="157"/>
      <c r="I942" s="157"/>
      <c r="J942" s="156" t="str">
        <f t="shared" si="15"/>
        <v/>
      </c>
      <c r="K942" s="162"/>
      <c r="L942" s="163"/>
      <c r="M942" s="164"/>
      <c r="N942" s="157"/>
      <c r="O942" s="157"/>
      <c r="P942" s="157"/>
      <c r="Q942" s="156" t="s">
        <v>5968</v>
      </c>
    </row>
    <row r="943" spans="4:17" x14ac:dyDescent="0.25">
      <c r="D943" s="157" t="s">
        <v>5969</v>
      </c>
      <c r="E943" s="156" t="s">
        <v>5955</v>
      </c>
      <c r="F943" s="157"/>
      <c r="G943" s="156"/>
      <c r="H943" s="157"/>
      <c r="I943" s="157"/>
      <c r="J943" s="156" t="str">
        <f t="shared" si="15"/>
        <v/>
      </c>
      <c r="K943" s="162"/>
      <c r="L943" s="163"/>
      <c r="M943" s="164"/>
      <c r="N943" s="157"/>
      <c r="O943" s="157"/>
      <c r="P943" s="157"/>
      <c r="Q943" s="156" t="s">
        <v>5970</v>
      </c>
    </row>
    <row r="944" spans="4:17" x14ac:dyDescent="0.25">
      <c r="D944" s="157" t="s">
        <v>5971</v>
      </c>
      <c r="E944" s="156" t="s">
        <v>5955</v>
      </c>
      <c r="F944" s="157"/>
      <c r="G944" s="156"/>
      <c r="H944" s="157"/>
      <c r="I944" s="157"/>
      <c r="J944" s="156" t="str">
        <f t="shared" si="15"/>
        <v/>
      </c>
      <c r="K944" s="162"/>
      <c r="L944" s="163"/>
      <c r="M944" s="164"/>
      <c r="N944" s="157"/>
      <c r="O944" s="157"/>
      <c r="P944" s="157"/>
      <c r="Q944" s="156" t="s">
        <v>5972</v>
      </c>
    </row>
    <row r="945" spans="4:17" x14ac:dyDescent="0.25">
      <c r="D945" s="157" t="s">
        <v>5973</v>
      </c>
      <c r="E945" s="156" t="s">
        <v>5955</v>
      </c>
      <c r="F945" s="157"/>
      <c r="G945" s="156"/>
      <c r="H945" s="157"/>
      <c r="I945" s="157"/>
      <c r="J945" s="156" t="str">
        <f t="shared" si="15"/>
        <v/>
      </c>
      <c r="K945" s="162"/>
      <c r="L945" s="163"/>
      <c r="M945" s="164"/>
      <c r="N945" s="157"/>
      <c r="O945" s="157"/>
      <c r="P945" s="157"/>
      <c r="Q945" s="156" t="s">
        <v>5974</v>
      </c>
    </row>
    <row r="946" spans="4:17" x14ac:dyDescent="0.25">
      <c r="D946" s="157" t="s">
        <v>5975</v>
      </c>
      <c r="E946" s="156" t="s">
        <v>5955</v>
      </c>
      <c r="F946" s="157"/>
      <c r="G946" s="156"/>
      <c r="H946" s="157"/>
      <c r="I946" s="157"/>
      <c r="J946" s="156" t="str">
        <f t="shared" si="15"/>
        <v/>
      </c>
      <c r="K946" s="162"/>
      <c r="L946" s="163"/>
      <c r="M946" s="164"/>
      <c r="N946" s="157"/>
      <c r="O946" s="157"/>
      <c r="P946" s="157"/>
      <c r="Q946" s="156" t="s">
        <v>5976</v>
      </c>
    </row>
    <row r="947" spans="4:17" x14ac:dyDescent="0.25">
      <c r="D947" s="157" t="s">
        <v>5977</v>
      </c>
      <c r="E947" s="156" t="s">
        <v>5955</v>
      </c>
      <c r="F947" s="157"/>
      <c r="G947" s="156"/>
      <c r="H947" s="157"/>
      <c r="I947" s="157"/>
      <c r="J947" s="156" t="str">
        <f t="shared" si="15"/>
        <v/>
      </c>
      <c r="K947" s="162"/>
      <c r="L947" s="163"/>
      <c r="M947" s="164"/>
      <c r="N947" s="157"/>
      <c r="O947" s="157"/>
      <c r="P947" s="157"/>
      <c r="Q947" s="156" t="s">
        <v>5978</v>
      </c>
    </row>
    <row r="948" spans="4:17" x14ac:dyDescent="0.25">
      <c r="D948" s="157" t="s">
        <v>5979</v>
      </c>
      <c r="E948" s="156" t="s">
        <v>5955</v>
      </c>
      <c r="F948" s="157"/>
      <c r="G948" s="156"/>
      <c r="H948" s="157"/>
      <c r="I948" s="157"/>
      <c r="J948" s="156" t="str">
        <f t="shared" si="15"/>
        <v/>
      </c>
      <c r="K948" s="162"/>
      <c r="L948" s="163"/>
      <c r="M948" s="164"/>
      <c r="N948" s="157"/>
      <c r="O948" s="157"/>
      <c r="P948" s="157"/>
      <c r="Q948" s="156" t="s">
        <v>5980</v>
      </c>
    </row>
    <row r="949" spans="4:17" x14ac:dyDescent="0.25">
      <c r="D949" s="157" t="s">
        <v>5981</v>
      </c>
      <c r="E949" s="156" t="s">
        <v>5955</v>
      </c>
      <c r="F949" s="157"/>
      <c r="G949" s="156"/>
      <c r="H949" s="157"/>
      <c r="I949" s="157"/>
      <c r="J949" s="156" t="str">
        <f t="shared" si="15"/>
        <v/>
      </c>
      <c r="K949" s="162"/>
      <c r="L949" s="163"/>
      <c r="M949" s="164"/>
      <c r="N949" s="157"/>
      <c r="O949" s="157"/>
      <c r="P949" s="157"/>
      <c r="Q949" s="156" t="s">
        <v>5982</v>
      </c>
    </row>
    <row r="950" spans="4:17" x14ac:dyDescent="0.25">
      <c r="D950" s="157" t="s">
        <v>5983</v>
      </c>
      <c r="E950" s="156" t="s">
        <v>5955</v>
      </c>
      <c r="F950" s="157"/>
      <c r="G950" s="156"/>
      <c r="H950" s="157"/>
      <c r="I950" s="157"/>
      <c r="J950" s="156" t="str">
        <f t="shared" si="15"/>
        <v/>
      </c>
      <c r="K950" s="162"/>
      <c r="L950" s="163"/>
      <c r="M950" s="164"/>
      <c r="N950" s="157"/>
      <c r="O950" s="157"/>
      <c r="P950" s="157"/>
      <c r="Q950" s="156" t="s">
        <v>5984</v>
      </c>
    </row>
    <row r="951" spans="4:17" x14ac:dyDescent="0.25">
      <c r="D951" s="157" t="s">
        <v>5985</v>
      </c>
      <c r="E951" s="156" t="s">
        <v>5955</v>
      </c>
      <c r="F951" s="157"/>
      <c r="G951" s="156"/>
      <c r="H951" s="157"/>
      <c r="I951" s="157"/>
      <c r="J951" s="156" t="str">
        <f t="shared" si="15"/>
        <v/>
      </c>
      <c r="K951" s="162"/>
      <c r="L951" s="163"/>
      <c r="M951" s="164"/>
      <c r="N951" s="157"/>
      <c r="O951" s="157"/>
      <c r="P951" s="157"/>
      <c r="Q951" s="156" t="s">
        <v>5986</v>
      </c>
    </row>
    <row r="952" spans="4:17" x14ac:dyDescent="0.25">
      <c r="D952" s="157" t="s">
        <v>5987</v>
      </c>
      <c r="E952" s="156" t="s">
        <v>5955</v>
      </c>
      <c r="F952" s="157"/>
      <c r="G952" s="156"/>
      <c r="H952" s="157"/>
      <c r="I952" s="157"/>
      <c r="J952" s="156" t="str">
        <f t="shared" si="15"/>
        <v/>
      </c>
      <c r="K952" s="162"/>
      <c r="L952" s="163"/>
      <c r="M952" s="164"/>
      <c r="N952" s="157"/>
      <c r="O952" s="157"/>
      <c r="P952" s="157"/>
      <c r="Q952" s="156" t="s">
        <v>5988</v>
      </c>
    </row>
    <row r="953" spans="4:17" x14ac:dyDescent="0.25">
      <c r="D953" s="157" t="s">
        <v>5989</v>
      </c>
      <c r="E953" s="156" t="s">
        <v>5955</v>
      </c>
      <c r="F953" s="157"/>
      <c r="G953" s="156"/>
      <c r="H953" s="157"/>
      <c r="I953" s="157"/>
      <c r="J953" s="156" t="str">
        <f t="shared" si="15"/>
        <v/>
      </c>
      <c r="K953" s="162"/>
      <c r="L953" s="163"/>
      <c r="M953" s="164"/>
      <c r="N953" s="157"/>
      <c r="O953" s="157"/>
      <c r="P953" s="157"/>
      <c r="Q953" s="156" t="s">
        <v>5990</v>
      </c>
    </row>
    <row r="954" spans="4:17" x14ac:dyDescent="0.25">
      <c r="D954" s="157" t="s">
        <v>5991</v>
      </c>
      <c r="E954" s="156" t="s">
        <v>5955</v>
      </c>
      <c r="F954" s="157"/>
      <c r="G954" s="156"/>
      <c r="H954" s="157"/>
      <c r="I954" s="157"/>
      <c r="J954" s="156" t="str">
        <f t="shared" si="15"/>
        <v/>
      </c>
      <c r="K954" s="162"/>
      <c r="L954" s="163"/>
      <c r="M954" s="164"/>
      <c r="N954" s="157"/>
      <c r="O954" s="157"/>
      <c r="P954" s="157"/>
      <c r="Q954" s="156" t="s">
        <v>5992</v>
      </c>
    </row>
    <row r="955" spans="4:17" x14ac:dyDescent="0.25">
      <c r="D955" s="157" t="s">
        <v>5993</v>
      </c>
      <c r="E955" s="156" t="s">
        <v>5955</v>
      </c>
      <c r="F955" s="157"/>
      <c r="G955" s="156"/>
      <c r="H955" s="157"/>
      <c r="I955" s="157"/>
      <c r="J955" s="156" t="str">
        <f t="shared" si="15"/>
        <v/>
      </c>
      <c r="K955" s="162"/>
      <c r="L955" s="163"/>
      <c r="M955" s="164"/>
      <c r="N955" s="157"/>
      <c r="O955" s="157"/>
      <c r="P955" s="157"/>
      <c r="Q955" s="156" t="s">
        <v>5994</v>
      </c>
    </row>
    <row r="956" spans="4:17" x14ac:dyDescent="0.25">
      <c r="D956" s="157" t="s">
        <v>5995</v>
      </c>
      <c r="E956" s="156" t="s">
        <v>5996</v>
      </c>
      <c r="F956" s="157"/>
      <c r="G956" s="156"/>
      <c r="H956" s="157"/>
      <c r="I956" s="157"/>
      <c r="J956" s="156" t="str">
        <f t="shared" si="15"/>
        <v/>
      </c>
      <c r="K956" s="162"/>
      <c r="L956" s="163"/>
      <c r="M956" s="164"/>
      <c r="N956" s="157"/>
      <c r="O956" s="157"/>
      <c r="P956" s="157"/>
      <c r="Q956" s="156" t="s">
        <v>5997</v>
      </c>
    </row>
    <row r="957" spans="4:17" x14ac:dyDescent="0.25">
      <c r="D957" s="157" t="s">
        <v>5998</v>
      </c>
      <c r="E957" s="156" t="s">
        <v>5996</v>
      </c>
      <c r="F957" s="157"/>
      <c r="G957" s="156"/>
      <c r="H957" s="157"/>
      <c r="I957" s="157"/>
      <c r="J957" s="156" t="str">
        <f t="shared" si="15"/>
        <v/>
      </c>
      <c r="K957" s="162"/>
      <c r="L957" s="163"/>
      <c r="M957" s="164"/>
      <c r="N957" s="157"/>
      <c r="O957" s="157"/>
      <c r="P957" s="157"/>
      <c r="Q957" s="156" t="s">
        <v>5999</v>
      </c>
    </row>
    <row r="958" spans="4:17" x14ac:dyDescent="0.25">
      <c r="D958" s="157" t="s">
        <v>6000</v>
      </c>
      <c r="E958" s="156" t="s">
        <v>5996</v>
      </c>
      <c r="F958" s="157"/>
      <c r="G958" s="156"/>
      <c r="H958" s="157"/>
      <c r="I958" s="157"/>
      <c r="J958" s="156" t="str">
        <f t="shared" si="15"/>
        <v/>
      </c>
      <c r="K958" s="162"/>
      <c r="L958" s="163"/>
      <c r="M958" s="164"/>
      <c r="N958" s="157"/>
      <c r="O958" s="157"/>
      <c r="P958" s="157"/>
      <c r="Q958" s="156" t="s">
        <v>6001</v>
      </c>
    </row>
    <row r="959" spans="4:17" x14ac:dyDescent="0.25">
      <c r="D959" s="157" t="s">
        <v>6002</v>
      </c>
      <c r="E959" s="156" t="s">
        <v>5996</v>
      </c>
      <c r="F959" s="157"/>
      <c r="G959" s="156"/>
      <c r="H959" s="157"/>
      <c r="I959" s="157"/>
      <c r="J959" s="156" t="str">
        <f t="shared" si="15"/>
        <v/>
      </c>
      <c r="K959" s="162"/>
      <c r="L959" s="163"/>
      <c r="M959" s="164"/>
      <c r="N959" s="157"/>
      <c r="O959" s="157"/>
      <c r="P959" s="157"/>
      <c r="Q959" s="156" t="s">
        <v>6003</v>
      </c>
    </row>
    <row r="960" spans="4:17" x14ac:dyDescent="0.25">
      <c r="D960" s="157" t="s">
        <v>6004</v>
      </c>
      <c r="E960" s="156" t="s">
        <v>5996</v>
      </c>
      <c r="F960" s="157"/>
      <c r="G960" s="156"/>
      <c r="H960" s="157"/>
      <c r="I960" s="157"/>
      <c r="J960" s="156" t="str">
        <f t="shared" si="15"/>
        <v/>
      </c>
      <c r="K960" s="162"/>
      <c r="L960" s="163"/>
      <c r="M960" s="164"/>
      <c r="N960" s="157"/>
      <c r="O960" s="157"/>
      <c r="P960" s="157"/>
      <c r="Q960" s="156" t="s">
        <v>6005</v>
      </c>
    </row>
    <row r="961" spans="4:17" x14ac:dyDescent="0.25">
      <c r="D961" s="157" t="s">
        <v>6006</v>
      </c>
      <c r="E961" s="156" t="s">
        <v>5996</v>
      </c>
      <c r="F961" s="157"/>
      <c r="G961" s="156"/>
      <c r="H961" s="157"/>
      <c r="I961" s="157"/>
      <c r="J961" s="156" t="str">
        <f t="shared" si="15"/>
        <v/>
      </c>
      <c r="K961" s="162"/>
      <c r="L961" s="163"/>
      <c r="M961" s="164"/>
      <c r="N961" s="157"/>
      <c r="O961" s="157"/>
      <c r="P961" s="157"/>
      <c r="Q961" s="156" t="s">
        <v>6007</v>
      </c>
    </row>
    <row r="962" spans="4:17" x14ac:dyDescent="0.25">
      <c r="D962" s="157" t="s">
        <v>6008</v>
      </c>
      <c r="E962" s="156" t="s">
        <v>5996</v>
      </c>
      <c r="F962" s="157"/>
      <c r="G962" s="156"/>
      <c r="H962" s="157"/>
      <c r="I962" s="157"/>
      <c r="J962" s="156" t="str">
        <f t="shared" si="15"/>
        <v/>
      </c>
      <c r="K962" s="162"/>
      <c r="L962" s="163"/>
      <c r="M962" s="164"/>
      <c r="N962" s="157"/>
      <c r="O962" s="157"/>
      <c r="P962" s="157"/>
      <c r="Q962" s="156" t="s">
        <v>6009</v>
      </c>
    </row>
    <row r="963" spans="4:17" x14ac:dyDescent="0.25">
      <c r="D963" s="157" t="s">
        <v>6010</v>
      </c>
      <c r="E963" s="156" t="s">
        <v>5996</v>
      </c>
      <c r="F963" s="157"/>
      <c r="G963" s="156"/>
      <c r="H963" s="157"/>
      <c r="I963" s="157"/>
      <c r="J963" s="156" t="str">
        <f t="shared" si="15"/>
        <v/>
      </c>
      <c r="K963" s="162"/>
      <c r="L963" s="163"/>
      <c r="M963" s="164"/>
      <c r="N963" s="157"/>
      <c r="O963" s="157"/>
      <c r="P963" s="157"/>
      <c r="Q963" s="156" t="s">
        <v>6011</v>
      </c>
    </row>
    <row r="964" spans="4:17" x14ac:dyDescent="0.25">
      <c r="D964" s="157" t="s">
        <v>6012</v>
      </c>
      <c r="E964" s="156" t="s">
        <v>5996</v>
      </c>
      <c r="F964" s="157"/>
      <c r="G964" s="156"/>
      <c r="H964" s="157"/>
      <c r="I964" s="157"/>
      <c r="J964" s="156" t="str">
        <f t="shared" si="15"/>
        <v/>
      </c>
      <c r="K964" s="162"/>
      <c r="L964" s="163"/>
      <c r="M964" s="164"/>
      <c r="N964" s="157"/>
      <c r="O964" s="157"/>
      <c r="P964" s="157"/>
      <c r="Q964" s="156" t="s">
        <v>6013</v>
      </c>
    </row>
    <row r="965" spans="4:17" x14ac:dyDescent="0.25">
      <c r="D965" s="157" t="s">
        <v>6014</v>
      </c>
      <c r="E965" s="156" t="s">
        <v>5996</v>
      </c>
      <c r="F965" s="157"/>
      <c r="G965" s="156"/>
      <c r="H965" s="157"/>
      <c r="I965" s="157"/>
      <c r="J965" s="156" t="str">
        <f t="shared" si="15"/>
        <v/>
      </c>
      <c r="K965" s="162"/>
      <c r="L965" s="163"/>
      <c r="M965" s="164"/>
      <c r="N965" s="157"/>
      <c r="O965" s="157"/>
      <c r="P965" s="157"/>
      <c r="Q965" s="156" t="s">
        <v>6015</v>
      </c>
    </row>
    <row r="966" spans="4:17" x14ac:dyDescent="0.25">
      <c r="D966" s="157" t="s">
        <v>6016</v>
      </c>
      <c r="E966" s="156" t="s">
        <v>5996</v>
      </c>
      <c r="F966" s="157"/>
      <c r="G966" s="156"/>
      <c r="H966" s="157"/>
      <c r="I966" s="157"/>
      <c r="J966" s="156" t="str">
        <f t="shared" si="15"/>
        <v/>
      </c>
      <c r="K966" s="162"/>
      <c r="L966" s="163"/>
      <c r="M966" s="164"/>
      <c r="N966" s="157"/>
      <c r="O966" s="157"/>
      <c r="P966" s="157"/>
      <c r="Q966" s="156" t="s">
        <v>6017</v>
      </c>
    </row>
    <row r="967" spans="4:17" x14ac:dyDescent="0.25">
      <c r="D967" s="157" t="s">
        <v>6018</v>
      </c>
      <c r="E967" s="156" t="s">
        <v>5996</v>
      </c>
      <c r="F967" s="157"/>
      <c r="G967" s="156"/>
      <c r="H967" s="157"/>
      <c r="I967" s="157"/>
      <c r="J967" s="156" t="str">
        <f t="shared" si="15"/>
        <v/>
      </c>
      <c r="K967" s="162"/>
      <c r="L967" s="163"/>
      <c r="M967" s="164"/>
      <c r="N967" s="157"/>
      <c r="O967" s="157"/>
      <c r="P967" s="157"/>
      <c r="Q967" s="156" t="s">
        <v>6019</v>
      </c>
    </row>
    <row r="968" spans="4:17" x14ac:dyDescent="0.25">
      <c r="D968" s="157" t="s">
        <v>6020</v>
      </c>
      <c r="E968" s="156" t="s">
        <v>5996</v>
      </c>
      <c r="F968" s="157"/>
      <c r="G968" s="156"/>
      <c r="H968" s="157"/>
      <c r="I968" s="157"/>
      <c r="J968" s="156" t="str">
        <f t="shared" si="15"/>
        <v/>
      </c>
      <c r="K968" s="162"/>
      <c r="L968" s="163"/>
      <c r="M968" s="164"/>
      <c r="N968" s="157"/>
      <c r="O968" s="157"/>
      <c r="P968" s="157"/>
      <c r="Q968" s="156" t="s">
        <v>6021</v>
      </c>
    </row>
    <row r="969" spans="4:17" x14ac:dyDescent="0.25">
      <c r="D969" s="157" t="s">
        <v>6022</v>
      </c>
      <c r="E969" s="156" t="s">
        <v>5996</v>
      </c>
      <c r="F969" s="157"/>
      <c r="G969" s="156"/>
      <c r="H969" s="157"/>
      <c r="I969" s="157"/>
      <c r="J969" s="156" t="str">
        <f t="shared" si="15"/>
        <v/>
      </c>
      <c r="K969" s="162"/>
      <c r="L969" s="163"/>
      <c r="M969" s="164"/>
      <c r="N969" s="157"/>
      <c r="O969" s="157"/>
      <c r="P969" s="157"/>
      <c r="Q969" s="156" t="s">
        <v>6023</v>
      </c>
    </row>
    <row r="970" spans="4:17" x14ac:dyDescent="0.25">
      <c r="D970" s="157" t="s">
        <v>6024</v>
      </c>
      <c r="E970" s="156" t="s">
        <v>5996</v>
      </c>
      <c r="F970" s="157"/>
      <c r="G970" s="156"/>
      <c r="H970" s="157"/>
      <c r="I970" s="157"/>
      <c r="J970" s="156" t="str">
        <f t="shared" si="15"/>
        <v/>
      </c>
      <c r="K970" s="162"/>
      <c r="L970" s="163"/>
      <c r="M970" s="164"/>
      <c r="N970" s="157"/>
      <c r="O970" s="157"/>
      <c r="P970" s="157"/>
      <c r="Q970" s="156" t="s">
        <v>6025</v>
      </c>
    </row>
    <row r="971" spans="4:17" x14ac:dyDescent="0.25">
      <c r="D971" s="157" t="s">
        <v>6026</v>
      </c>
      <c r="E971" s="156" t="s">
        <v>5996</v>
      </c>
      <c r="F971" s="157"/>
      <c r="G971" s="156"/>
      <c r="H971" s="157"/>
      <c r="I971" s="157"/>
      <c r="J971" s="156" t="str">
        <f t="shared" si="15"/>
        <v/>
      </c>
      <c r="K971" s="162"/>
      <c r="L971" s="163"/>
      <c r="M971" s="164"/>
      <c r="N971" s="157"/>
      <c r="O971" s="157"/>
      <c r="P971" s="157"/>
      <c r="Q971" s="156" t="s">
        <v>6027</v>
      </c>
    </row>
    <row r="972" spans="4:17" x14ac:dyDescent="0.25">
      <c r="D972" s="157" t="s">
        <v>6028</v>
      </c>
      <c r="E972" s="156" t="s">
        <v>5996</v>
      </c>
      <c r="F972" s="157"/>
      <c r="G972" s="156"/>
      <c r="H972" s="157"/>
      <c r="I972" s="157"/>
      <c r="J972" s="156" t="str">
        <f t="shared" si="15"/>
        <v/>
      </c>
      <c r="K972" s="162"/>
      <c r="L972" s="163"/>
      <c r="M972" s="164"/>
      <c r="N972" s="157"/>
      <c r="O972" s="157"/>
      <c r="P972" s="157"/>
      <c r="Q972" s="156" t="s">
        <v>6029</v>
      </c>
    </row>
    <row r="973" spans="4:17" x14ac:dyDescent="0.25">
      <c r="D973" s="157" t="s">
        <v>6030</v>
      </c>
      <c r="E973" s="156" t="s">
        <v>5996</v>
      </c>
      <c r="F973" s="157"/>
      <c r="G973" s="156"/>
      <c r="H973" s="157"/>
      <c r="I973" s="157"/>
      <c r="J973" s="156" t="str">
        <f t="shared" si="15"/>
        <v/>
      </c>
      <c r="K973" s="162"/>
      <c r="L973" s="163"/>
      <c r="M973" s="164"/>
      <c r="N973" s="157"/>
      <c r="O973" s="157"/>
      <c r="P973" s="157"/>
      <c r="Q973" s="156" t="s">
        <v>6031</v>
      </c>
    </row>
    <row r="974" spans="4:17" x14ac:dyDescent="0.25">
      <c r="D974" s="157" t="s">
        <v>6032</v>
      </c>
      <c r="E974" s="156" t="s">
        <v>5996</v>
      </c>
      <c r="F974" s="157"/>
      <c r="G974" s="156"/>
      <c r="H974" s="157"/>
      <c r="I974" s="157"/>
      <c r="J974" s="156" t="str">
        <f t="shared" si="15"/>
        <v/>
      </c>
      <c r="K974" s="162"/>
      <c r="L974" s="163"/>
      <c r="M974" s="164"/>
      <c r="N974" s="157"/>
      <c r="O974" s="157"/>
      <c r="P974" s="157"/>
      <c r="Q974" s="156" t="s">
        <v>6033</v>
      </c>
    </row>
    <row r="975" spans="4:17" x14ac:dyDescent="0.25">
      <c r="D975" s="157" t="s">
        <v>6034</v>
      </c>
      <c r="E975" s="156" t="s">
        <v>5996</v>
      </c>
      <c r="F975" s="157"/>
      <c r="G975" s="156"/>
      <c r="H975" s="157"/>
      <c r="I975" s="157"/>
      <c r="J975" s="156" t="str">
        <f t="shared" si="15"/>
        <v/>
      </c>
      <c r="K975" s="162"/>
      <c r="L975" s="163"/>
      <c r="M975" s="164"/>
      <c r="N975" s="157"/>
      <c r="O975" s="157"/>
      <c r="P975" s="157"/>
      <c r="Q975" s="156" t="s">
        <v>6035</v>
      </c>
    </row>
    <row r="976" spans="4:17" x14ac:dyDescent="0.25">
      <c r="D976" s="157" t="s">
        <v>6036</v>
      </c>
      <c r="E976" s="156" t="s">
        <v>6037</v>
      </c>
      <c r="F976" s="157"/>
      <c r="G976" s="156"/>
      <c r="H976" s="157"/>
      <c r="I976" s="157"/>
      <c r="J976" s="156" t="str">
        <f t="shared" si="15"/>
        <v/>
      </c>
      <c r="K976" s="162"/>
      <c r="L976" s="163"/>
      <c r="M976" s="164"/>
      <c r="N976" s="157"/>
      <c r="O976" s="157"/>
      <c r="P976" s="157"/>
      <c r="Q976" s="156" t="s">
        <v>6038</v>
      </c>
    </row>
    <row r="977" spans="4:17" x14ac:dyDescent="0.25">
      <c r="D977" s="157" t="s">
        <v>6039</v>
      </c>
      <c r="E977" s="156" t="s">
        <v>6037</v>
      </c>
      <c r="F977" s="157"/>
      <c r="G977" s="156"/>
      <c r="H977" s="157"/>
      <c r="I977" s="157"/>
      <c r="J977" s="156" t="str">
        <f t="shared" si="15"/>
        <v/>
      </c>
      <c r="K977" s="162"/>
      <c r="L977" s="163"/>
      <c r="M977" s="164"/>
      <c r="N977" s="157"/>
      <c r="O977" s="157"/>
      <c r="P977" s="157"/>
      <c r="Q977" s="156" t="s">
        <v>6040</v>
      </c>
    </row>
    <row r="978" spans="4:17" x14ac:dyDescent="0.25">
      <c r="D978" s="157" t="s">
        <v>6041</v>
      </c>
      <c r="E978" s="156" t="s">
        <v>6037</v>
      </c>
      <c r="F978" s="157"/>
      <c r="G978" s="156"/>
      <c r="H978" s="157"/>
      <c r="I978" s="157"/>
      <c r="J978" s="156" t="str">
        <f t="shared" si="15"/>
        <v/>
      </c>
      <c r="K978" s="162"/>
      <c r="L978" s="163"/>
      <c r="M978" s="164"/>
      <c r="N978" s="157"/>
      <c r="O978" s="157"/>
      <c r="P978" s="157"/>
      <c r="Q978" s="156" t="s">
        <v>6042</v>
      </c>
    </row>
    <row r="979" spans="4:17" x14ac:dyDescent="0.25">
      <c r="D979" s="157" t="s">
        <v>6043</v>
      </c>
      <c r="E979" s="156" t="s">
        <v>6037</v>
      </c>
      <c r="F979" s="157"/>
      <c r="G979" s="156"/>
      <c r="H979" s="157"/>
      <c r="I979" s="157"/>
      <c r="J979" s="156" t="str">
        <f t="shared" si="15"/>
        <v/>
      </c>
      <c r="K979" s="162"/>
      <c r="L979" s="163"/>
      <c r="M979" s="164"/>
      <c r="N979" s="157"/>
      <c r="O979" s="157"/>
      <c r="P979" s="157"/>
      <c r="Q979" s="156" t="s">
        <v>6044</v>
      </c>
    </row>
    <row r="980" spans="4:17" x14ac:dyDescent="0.25">
      <c r="D980" s="157" t="s">
        <v>6045</v>
      </c>
      <c r="E980" s="156" t="s">
        <v>6037</v>
      </c>
      <c r="F980" s="157"/>
      <c r="G980" s="156"/>
      <c r="H980" s="157"/>
      <c r="I980" s="157"/>
      <c r="J980" s="156" t="str">
        <f t="shared" si="15"/>
        <v/>
      </c>
      <c r="K980" s="162"/>
      <c r="L980" s="163"/>
      <c r="M980" s="164"/>
      <c r="N980" s="157"/>
      <c r="O980" s="157"/>
      <c r="P980" s="157"/>
      <c r="Q980" s="156" t="s">
        <v>6046</v>
      </c>
    </row>
    <row r="981" spans="4:17" x14ac:dyDescent="0.25">
      <c r="D981" s="157" t="s">
        <v>6047</v>
      </c>
      <c r="E981" s="156" t="s">
        <v>6037</v>
      </c>
      <c r="F981" s="157"/>
      <c r="G981" s="156"/>
      <c r="H981" s="157"/>
      <c r="I981" s="157"/>
      <c r="J981" s="156" t="str">
        <f t="shared" si="15"/>
        <v/>
      </c>
      <c r="K981" s="162"/>
      <c r="L981" s="163"/>
      <c r="M981" s="164"/>
      <c r="N981" s="157"/>
      <c r="O981" s="157"/>
      <c r="P981" s="157"/>
      <c r="Q981" s="156" t="s">
        <v>6048</v>
      </c>
    </row>
    <row r="982" spans="4:17" x14ac:dyDescent="0.25">
      <c r="D982" s="157" t="s">
        <v>6049</v>
      </c>
      <c r="E982" s="156" t="s">
        <v>6037</v>
      </c>
      <c r="F982" s="157"/>
      <c r="G982" s="156"/>
      <c r="H982" s="157"/>
      <c r="I982" s="157"/>
      <c r="J982" s="156" t="str">
        <f t="shared" si="15"/>
        <v/>
      </c>
      <c r="K982" s="162"/>
      <c r="L982" s="163"/>
      <c r="M982" s="164"/>
      <c r="N982" s="157"/>
      <c r="O982" s="157"/>
      <c r="P982" s="157"/>
      <c r="Q982" s="156" t="s">
        <v>6050</v>
      </c>
    </row>
    <row r="983" spans="4:17" x14ac:dyDescent="0.25">
      <c r="D983" s="157" t="s">
        <v>6051</v>
      </c>
      <c r="E983" s="156" t="s">
        <v>6037</v>
      </c>
      <c r="F983" s="157"/>
      <c r="G983" s="156"/>
      <c r="H983" s="157"/>
      <c r="I983" s="157"/>
      <c r="J983" s="156" t="str">
        <f t="shared" si="15"/>
        <v/>
      </c>
      <c r="K983" s="162"/>
      <c r="L983" s="163"/>
      <c r="M983" s="164"/>
      <c r="N983" s="157"/>
      <c r="O983" s="157"/>
      <c r="P983" s="157"/>
      <c r="Q983" s="156" t="s">
        <v>6052</v>
      </c>
    </row>
    <row r="984" spans="4:17" x14ac:dyDescent="0.25">
      <c r="D984" s="157" t="s">
        <v>6053</v>
      </c>
      <c r="E984" s="156" t="s">
        <v>6037</v>
      </c>
      <c r="F984" s="157"/>
      <c r="G984" s="156"/>
      <c r="H984" s="157"/>
      <c r="I984" s="157"/>
      <c r="J984" s="156" t="str">
        <f t="shared" si="15"/>
        <v/>
      </c>
      <c r="K984" s="162"/>
      <c r="L984" s="163"/>
      <c r="M984" s="164"/>
      <c r="N984" s="157"/>
      <c r="O984" s="157"/>
      <c r="P984" s="157"/>
      <c r="Q984" s="156" t="s">
        <v>6054</v>
      </c>
    </row>
    <row r="985" spans="4:17" x14ac:dyDescent="0.25">
      <c r="D985" s="157" t="s">
        <v>6055</v>
      </c>
      <c r="E985" s="156" t="s">
        <v>6037</v>
      </c>
      <c r="F985" s="157"/>
      <c r="G985" s="156"/>
      <c r="H985" s="157"/>
      <c r="I985" s="157"/>
      <c r="J985" s="156" t="str">
        <f t="shared" si="15"/>
        <v/>
      </c>
      <c r="K985" s="162"/>
      <c r="L985" s="163"/>
      <c r="M985" s="164"/>
      <c r="N985" s="157"/>
      <c r="O985" s="157"/>
      <c r="P985" s="157"/>
      <c r="Q985" s="156" t="s">
        <v>6056</v>
      </c>
    </row>
    <row r="986" spans="4:17" x14ac:dyDescent="0.25">
      <c r="D986" s="157" t="s">
        <v>6057</v>
      </c>
      <c r="E986" s="156" t="s">
        <v>6037</v>
      </c>
      <c r="F986" s="157"/>
      <c r="G986" s="156"/>
      <c r="H986" s="157"/>
      <c r="I986" s="157"/>
      <c r="J986" s="156" t="str">
        <f t="shared" si="15"/>
        <v/>
      </c>
      <c r="K986" s="162"/>
      <c r="L986" s="163"/>
      <c r="M986" s="164"/>
      <c r="N986" s="157"/>
      <c r="O986" s="157"/>
      <c r="P986" s="157"/>
      <c r="Q986" s="156" t="s">
        <v>6058</v>
      </c>
    </row>
    <row r="987" spans="4:17" x14ac:dyDescent="0.25">
      <c r="D987" s="157" t="s">
        <v>6059</v>
      </c>
      <c r="E987" s="156" t="s">
        <v>6037</v>
      </c>
      <c r="F987" s="157"/>
      <c r="G987" s="156"/>
      <c r="H987" s="157"/>
      <c r="I987" s="157"/>
      <c r="J987" s="156" t="str">
        <f t="shared" si="15"/>
        <v/>
      </c>
      <c r="K987" s="162"/>
      <c r="L987" s="163"/>
      <c r="M987" s="164"/>
      <c r="N987" s="157"/>
      <c r="O987" s="157"/>
      <c r="P987" s="157"/>
      <c r="Q987" s="156" t="s">
        <v>6060</v>
      </c>
    </row>
    <row r="988" spans="4:17" x14ac:dyDescent="0.25">
      <c r="D988" s="157" t="s">
        <v>6061</v>
      </c>
      <c r="E988" s="156" t="s">
        <v>6037</v>
      </c>
      <c r="F988" s="157"/>
      <c r="G988" s="156"/>
      <c r="H988" s="157"/>
      <c r="I988" s="157"/>
      <c r="J988" s="156" t="str">
        <f t="shared" si="15"/>
        <v/>
      </c>
      <c r="K988" s="162"/>
      <c r="L988" s="163"/>
      <c r="M988" s="164"/>
      <c r="N988" s="157"/>
      <c r="O988" s="157"/>
      <c r="P988" s="157"/>
      <c r="Q988" s="156" t="s">
        <v>6062</v>
      </c>
    </row>
    <row r="989" spans="4:17" x14ac:dyDescent="0.25">
      <c r="D989" s="157" t="s">
        <v>6063</v>
      </c>
      <c r="E989" s="156" t="s">
        <v>6037</v>
      </c>
      <c r="F989" s="157"/>
      <c r="G989" s="156"/>
      <c r="H989" s="157"/>
      <c r="I989" s="157"/>
      <c r="J989" s="156" t="str">
        <f t="shared" si="15"/>
        <v/>
      </c>
      <c r="K989" s="162"/>
      <c r="L989" s="163"/>
      <c r="M989" s="164"/>
      <c r="N989" s="157"/>
      <c r="O989" s="157"/>
      <c r="P989" s="157"/>
      <c r="Q989" s="156" t="s">
        <v>6064</v>
      </c>
    </row>
    <row r="990" spans="4:17" x14ac:dyDescent="0.25">
      <c r="D990" s="157" t="s">
        <v>6065</v>
      </c>
      <c r="E990" s="156" t="s">
        <v>6037</v>
      </c>
      <c r="F990" s="157"/>
      <c r="G990" s="156"/>
      <c r="H990" s="157"/>
      <c r="I990" s="157"/>
      <c r="J990" s="156" t="str">
        <f t="shared" si="15"/>
        <v/>
      </c>
      <c r="K990" s="162"/>
      <c r="L990" s="163"/>
      <c r="M990" s="164"/>
      <c r="N990" s="157"/>
      <c r="O990" s="157"/>
      <c r="P990" s="157"/>
      <c r="Q990" s="156" t="s">
        <v>6066</v>
      </c>
    </row>
    <row r="991" spans="4:17" x14ac:dyDescent="0.25">
      <c r="D991" s="157" t="s">
        <v>6067</v>
      </c>
      <c r="E991" s="156" t="s">
        <v>6037</v>
      </c>
      <c r="F991" s="157"/>
      <c r="G991" s="156"/>
      <c r="H991" s="157"/>
      <c r="I991" s="157"/>
      <c r="J991" s="156" t="str">
        <f t="shared" si="15"/>
        <v/>
      </c>
      <c r="K991" s="162"/>
      <c r="L991" s="163"/>
      <c r="M991" s="164"/>
      <c r="N991" s="157"/>
      <c r="O991" s="157"/>
      <c r="P991" s="157"/>
      <c r="Q991" s="156" t="s">
        <v>6068</v>
      </c>
    </row>
    <row r="992" spans="4:17" x14ac:dyDescent="0.25">
      <c r="D992" s="157" t="s">
        <v>6069</v>
      </c>
      <c r="E992" s="156" t="s">
        <v>6037</v>
      </c>
      <c r="F992" s="157"/>
      <c r="G992" s="156"/>
      <c r="H992" s="157"/>
      <c r="I992" s="157"/>
      <c r="J992" s="156" t="str">
        <f t="shared" si="15"/>
        <v/>
      </c>
      <c r="K992" s="162"/>
      <c r="L992" s="163"/>
      <c r="M992" s="164"/>
      <c r="N992" s="157"/>
      <c r="O992" s="157"/>
      <c r="P992" s="157"/>
      <c r="Q992" s="156" t="s">
        <v>6070</v>
      </c>
    </row>
    <row r="993" spans="4:17" x14ac:dyDescent="0.25">
      <c r="D993" s="157" t="s">
        <v>6071</v>
      </c>
      <c r="E993" s="156" t="s">
        <v>6037</v>
      </c>
      <c r="F993" s="157"/>
      <c r="G993" s="156"/>
      <c r="H993" s="157"/>
      <c r="I993" s="157"/>
      <c r="J993" s="156" t="str">
        <f t="shared" si="15"/>
        <v/>
      </c>
      <c r="K993" s="162"/>
      <c r="L993" s="163"/>
      <c r="M993" s="164"/>
      <c r="N993" s="157"/>
      <c r="O993" s="157"/>
      <c r="P993" s="157"/>
      <c r="Q993" s="156" t="s">
        <v>6072</v>
      </c>
    </row>
    <row r="994" spans="4:17" x14ac:dyDescent="0.25">
      <c r="D994" s="157" t="s">
        <v>6073</v>
      </c>
      <c r="E994" s="156" t="s">
        <v>6037</v>
      </c>
      <c r="F994" s="157"/>
      <c r="G994" s="156"/>
      <c r="H994" s="157"/>
      <c r="I994" s="157"/>
      <c r="J994" s="156" t="str">
        <f t="shared" si="15"/>
        <v/>
      </c>
      <c r="K994" s="162"/>
      <c r="L994" s="163"/>
      <c r="M994" s="164"/>
      <c r="N994" s="157"/>
      <c r="O994" s="157"/>
      <c r="P994" s="157"/>
      <c r="Q994" s="156" t="s">
        <v>6074</v>
      </c>
    </row>
    <row r="995" spans="4:17" x14ac:dyDescent="0.25">
      <c r="D995" s="157" t="s">
        <v>6075</v>
      </c>
      <c r="E995" s="156" t="s">
        <v>6037</v>
      </c>
      <c r="F995" s="157"/>
      <c r="G995" s="156"/>
      <c r="H995" s="157"/>
      <c r="I995" s="157"/>
      <c r="J995" s="156" t="str">
        <f t="shared" si="15"/>
        <v/>
      </c>
      <c r="K995" s="162"/>
      <c r="L995" s="163"/>
      <c r="M995" s="164"/>
      <c r="N995" s="157"/>
      <c r="O995" s="157"/>
      <c r="P995" s="157"/>
      <c r="Q995" s="156" t="s">
        <v>6076</v>
      </c>
    </row>
    <row r="996" spans="4:17" x14ac:dyDescent="0.25">
      <c r="D996" s="157" t="s">
        <v>6077</v>
      </c>
      <c r="E996" s="156" t="s">
        <v>6078</v>
      </c>
      <c r="F996" s="157"/>
      <c r="G996" s="156"/>
      <c r="H996" s="157"/>
      <c r="I996" s="157"/>
      <c r="J996" s="156" t="str">
        <f t="shared" si="15"/>
        <v/>
      </c>
      <c r="K996" s="162"/>
      <c r="L996" s="163"/>
      <c r="M996" s="164"/>
      <c r="N996" s="157"/>
      <c r="O996" s="157"/>
      <c r="P996" s="157"/>
      <c r="Q996" s="156" t="s">
        <v>6079</v>
      </c>
    </row>
    <row r="997" spans="4:17" x14ac:dyDescent="0.25">
      <c r="D997" s="157" t="s">
        <v>6080</v>
      </c>
      <c r="E997" s="156" t="s">
        <v>6078</v>
      </c>
      <c r="F997" s="157"/>
      <c r="G997" s="156"/>
      <c r="H997" s="157"/>
      <c r="I997" s="157"/>
      <c r="J997" s="156" t="str">
        <f t="shared" si="15"/>
        <v/>
      </c>
      <c r="K997" s="162"/>
      <c r="L997" s="163"/>
      <c r="M997" s="164"/>
      <c r="N997" s="157"/>
      <c r="O997" s="157"/>
      <c r="P997" s="157"/>
      <c r="Q997" s="156" t="s">
        <v>6081</v>
      </c>
    </row>
    <row r="998" spans="4:17" x14ac:dyDescent="0.25">
      <c r="D998" s="157" t="s">
        <v>6082</v>
      </c>
      <c r="E998" s="156" t="s">
        <v>6078</v>
      </c>
      <c r="F998" s="157"/>
      <c r="G998" s="156"/>
      <c r="H998" s="157"/>
      <c r="I998" s="157"/>
      <c r="J998" s="156" t="str">
        <f t="shared" si="15"/>
        <v/>
      </c>
      <c r="K998" s="162"/>
      <c r="L998" s="163"/>
      <c r="M998" s="164"/>
      <c r="N998" s="157"/>
      <c r="O998" s="157"/>
      <c r="P998" s="157"/>
      <c r="Q998" s="156" t="s">
        <v>6083</v>
      </c>
    </row>
    <row r="999" spans="4:17" x14ac:dyDescent="0.25">
      <c r="D999" s="157" t="s">
        <v>6084</v>
      </c>
      <c r="E999" s="156" t="s">
        <v>6078</v>
      </c>
      <c r="F999" s="157"/>
      <c r="G999" s="156"/>
      <c r="H999" s="157"/>
      <c r="I999" s="157"/>
      <c r="J999" s="156" t="str">
        <f t="shared" si="15"/>
        <v/>
      </c>
      <c r="K999" s="162"/>
      <c r="L999" s="163"/>
      <c r="M999" s="164"/>
      <c r="N999" s="157"/>
      <c r="O999" s="157"/>
      <c r="P999" s="157"/>
      <c r="Q999" s="156" t="s">
        <v>6085</v>
      </c>
    </row>
    <row r="1000" spans="4:17" x14ac:dyDescent="0.25">
      <c r="D1000" s="157" t="s">
        <v>6086</v>
      </c>
      <c r="E1000" s="156" t="s">
        <v>6078</v>
      </c>
      <c r="F1000" s="157"/>
      <c r="G1000" s="156"/>
      <c r="H1000" s="157"/>
      <c r="I1000" s="157"/>
      <c r="J1000" s="156" t="str">
        <f t="shared" ref="J1000:J1063" si="16">F1000&amp;H1000&amp;I1000</f>
        <v/>
      </c>
      <c r="K1000" s="162"/>
      <c r="L1000" s="163"/>
      <c r="M1000" s="164"/>
      <c r="N1000" s="157"/>
      <c r="O1000" s="157"/>
      <c r="P1000" s="157"/>
      <c r="Q1000" s="156" t="s">
        <v>6087</v>
      </c>
    </row>
    <row r="1001" spans="4:17" x14ac:dyDescent="0.25">
      <c r="D1001" s="157" t="s">
        <v>6088</v>
      </c>
      <c r="E1001" s="156" t="s">
        <v>6078</v>
      </c>
      <c r="F1001" s="157"/>
      <c r="G1001" s="156"/>
      <c r="H1001" s="157"/>
      <c r="I1001" s="157"/>
      <c r="J1001" s="156" t="str">
        <f t="shared" si="16"/>
        <v/>
      </c>
      <c r="K1001" s="162"/>
      <c r="L1001" s="163"/>
      <c r="M1001" s="164"/>
      <c r="N1001" s="157"/>
      <c r="O1001" s="157"/>
      <c r="P1001" s="157"/>
      <c r="Q1001" s="156" t="s">
        <v>6089</v>
      </c>
    </row>
    <row r="1002" spans="4:17" x14ac:dyDescent="0.25">
      <c r="D1002" s="157" t="s">
        <v>6090</v>
      </c>
      <c r="E1002" s="156" t="s">
        <v>6078</v>
      </c>
      <c r="F1002" s="157"/>
      <c r="G1002" s="156"/>
      <c r="H1002" s="157"/>
      <c r="I1002" s="157"/>
      <c r="J1002" s="156" t="str">
        <f t="shared" si="16"/>
        <v/>
      </c>
      <c r="K1002" s="162"/>
      <c r="L1002" s="163"/>
      <c r="M1002" s="164"/>
      <c r="N1002" s="157"/>
      <c r="O1002" s="157"/>
      <c r="P1002" s="157"/>
      <c r="Q1002" s="156" t="s">
        <v>6091</v>
      </c>
    </row>
    <row r="1003" spans="4:17" x14ac:dyDescent="0.25">
      <c r="D1003" s="157" t="s">
        <v>6092</v>
      </c>
      <c r="E1003" s="156" t="s">
        <v>6078</v>
      </c>
      <c r="F1003" s="157"/>
      <c r="G1003" s="156"/>
      <c r="H1003" s="157"/>
      <c r="I1003" s="157"/>
      <c r="J1003" s="156" t="str">
        <f t="shared" si="16"/>
        <v/>
      </c>
      <c r="K1003" s="162"/>
      <c r="L1003" s="163"/>
      <c r="M1003" s="164"/>
      <c r="N1003" s="157"/>
      <c r="O1003" s="157"/>
      <c r="P1003" s="157"/>
      <c r="Q1003" s="156" t="s">
        <v>6093</v>
      </c>
    </row>
    <row r="1004" spans="4:17" x14ac:dyDescent="0.25">
      <c r="D1004" s="157" t="s">
        <v>6094</v>
      </c>
      <c r="E1004" s="156" t="s">
        <v>6078</v>
      </c>
      <c r="F1004" s="157"/>
      <c r="G1004" s="156"/>
      <c r="H1004" s="157"/>
      <c r="I1004" s="157"/>
      <c r="J1004" s="156" t="str">
        <f t="shared" si="16"/>
        <v/>
      </c>
      <c r="K1004" s="162"/>
      <c r="L1004" s="163"/>
      <c r="M1004" s="164"/>
      <c r="N1004" s="157"/>
      <c r="O1004" s="157"/>
      <c r="P1004" s="157"/>
      <c r="Q1004" s="156" t="s">
        <v>6095</v>
      </c>
    </row>
    <row r="1005" spans="4:17" x14ac:dyDescent="0.25">
      <c r="D1005" s="157" t="s">
        <v>6096</v>
      </c>
      <c r="E1005" s="156" t="s">
        <v>6078</v>
      </c>
      <c r="F1005" s="157"/>
      <c r="G1005" s="156"/>
      <c r="H1005" s="157"/>
      <c r="I1005" s="157"/>
      <c r="J1005" s="156" t="str">
        <f t="shared" si="16"/>
        <v/>
      </c>
      <c r="K1005" s="162"/>
      <c r="L1005" s="163"/>
      <c r="M1005" s="164"/>
      <c r="N1005" s="157"/>
      <c r="O1005" s="157"/>
      <c r="P1005" s="157"/>
      <c r="Q1005" s="156" t="s">
        <v>6097</v>
      </c>
    </row>
    <row r="1006" spans="4:17" x14ac:dyDescent="0.25">
      <c r="D1006" s="157" t="s">
        <v>6098</v>
      </c>
      <c r="E1006" s="156" t="s">
        <v>6078</v>
      </c>
      <c r="F1006" s="157"/>
      <c r="G1006" s="156"/>
      <c r="H1006" s="157"/>
      <c r="I1006" s="157"/>
      <c r="J1006" s="156" t="str">
        <f t="shared" si="16"/>
        <v/>
      </c>
      <c r="K1006" s="162"/>
      <c r="L1006" s="163"/>
      <c r="M1006" s="164"/>
      <c r="N1006" s="157"/>
      <c r="O1006" s="157"/>
      <c r="P1006" s="157"/>
      <c r="Q1006" s="156" t="s">
        <v>6099</v>
      </c>
    </row>
    <row r="1007" spans="4:17" x14ac:dyDescent="0.25">
      <c r="D1007" s="157" t="s">
        <v>6100</v>
      </c>
      <c r="E1007" s="156" t="s">
        <v>6078</v>
      </c>
      <c r="F1007" s="157"/>
      <c r="G1007" s="156"/>
      <c r="H1007" s="157"/>
      <c r="I1007" s="157"/>
      <c r="J1007" s="156" t="str">
        <f t="shared" si="16"/>
        <v/>
      </c>
      <c r="K1007" s="162"/>
      <c r="L1007" s="163"/>
      <c r="M1007" s="164"/>
      <c r="N1007" s="157"/>
      <c r="O1007" s="157"/>
      <c r="P1007" s="157"/>
      <c r="Q1007" s="156" t="s">
        <v>6101</v>
      </c>
    </row>
    <row r="1008" spans="4:17" x14ac:dyDescent="0.25">
      <c r="D1008" s="157" t="s">
        <v>6102</v>
      </c>
      <c r="E1008" s="156" t="s">
        <v>6078</v>
      </c>
      <c r="F1008" s="157"/>
      <c r="G1008" s="156"/>
      <c r="H1008" s="157"/>
      <c r="I1008" s="157"/>
      <c r="J1008" s="156" t="str">
        <f t="shared" si="16"/>
        <v/>
      </c>
      <c r="K1008" s="162"/>
      <c r="L1008" s="163"/>
      <c r="M1008" s="164"/>
      <c r="N1008" s="157"/>
      <c r="O1008" s="157"/>
      <c r="P1008" s="157"/>
      <c r="Q1008" s="156" t="s">
        <v>6103</v>
      </c>
    </row>
    <row r="1009" spans="4:17" x14ac:dyDescent="0.25">
      <c r="D1009" s="157" t="s">
        <v>6104</v>
      </c>
      <c r="E1009" s="156" t="s">
        <v>6078</v>
      </c>
      <c r="F1009" s="157"/>
      <c r="G1009" s="156"/>
      <c r="H1009" s="157"/>
      <c r="I1009" s="157"/>
      <c r="J1009" s="156" t="str">
        <f t="shared" si="16"/>
        <v/>
      </c>
      <c r="K1009" s="162"/>
      <c r="L1009" s="163"/>
      <c r="M1009" s="164"/>
      <c r="N1009" s="157"/>
      <c r="O1009" s="157"/>
      <c r="P1009" s="157"/>
      <c r="Q1009" s="156" t="s">
        <v>6105</v>
      </c>
    </row>
    <row r="1010" spans="4:17" x14ac:dyDescent="0.25">
      <c r="D1010" s="157" t="s">
        <v>6106</v>
      </c>
      <c r="E1010" s="156" t="s">
        <v>6078</v>
      </c>
      <c r="F1010" s="157"/>
      <c r="G1010" s="156"/>
      <c r="H1010" s="157"/>
      <c r="I1010" s="157"/>
      <c r="J1010" s="156" t="str">
        <f t="shared" si="16"/>
        <v/>
      </c>
      <c r="K1010" s="162"/>
      <c r="L1010" s="163"/>
      <c r="M1010" s="164"/>
      <c r="N1010" s="157"/>
      <c r="O1010" s="157"/>
      <c r="P1010" s="157"/>
      <c r="Q1010" s="156" t="s">
        <v>6107</v>
      </c>
    </row>
    <row r="1011" spans="4:17" x14ac:dyDescent="0.25">
      <c r="D1011" s="157" t="s">
        <v>6108</v>
      </c>
      <c r="E1011" s="156" t="s">
        <v>6078</v>
      </c>
      <c r="F1011" s="157"/>
      <c r="G1011" s="156"/>
      <c r="H1011" s="157"/>
      <c r="I1011" s="157"/>
      <c r="J1011" s="156" t="str">
        <f t="shared" si="16"/>
        <v/>
      </c>
      <c r="K1011" s="162"/>
      <c r="L1011" s="163"/>
      <c r="M1011" s="164"/>
      <c r="N1011" s="157"/>
      <c r="O1011" s="157"/>
      <c r="P1011" s="157"/>
      <c r="Q1011" s="156" t="s">
        <v>6109</v>
      </c>
    </row>
    <row r="1012" spans="4:17" x14ac:dyDescent="0.25">
      <c r="D1012" s="157" t="s">
        <v>6110</v>
      </c>
      <c r="E1012" s="156" t="s">
        <v>6078</v>
      </c>
      <c r="F1012" s="157"/>
      <c r="G1012" s="156"/>
      <c r="H1012" s="157"/>
      <c r="I1012" s="157"/>
      <c r="J1012" s="156" t="str">
        <f t="shared" si="16"/>
        <v/>
      </c>
      <c r="K1012" s="162"/>
      <c r="L1012" s="163"/>
      <c r="M1012" s="164"/>
      <c r="N1012" s="157"/>
      <c r="O1012" s="157"/>
      <c r="P1012" s="157"/>
      <c r="Q1012" s="156" t="s">
        <v>6111</v>
      </c>
    </row>
    <row r="1013" spans="4:17" x14ac:dyDescent="0.25">
      <c r="D1013" s="157" t="s">
        <v>6112</v>
      </c>
      <c r="E1013" s="156" t="s">
        <v>6078</v>
      </c>
      <c r="F1013" s="157"/>
      <c r="G1013" s="156"/>
      <c r="H1013" s="157"/>
      <c r="I1013" s="157"/>
      <c r="J1013" s="156" t="str">
        <f t="shared" si="16"/>
        <v/>
      </c>
      <c r="K1013" s="162"/>
      <c r="L1013" s="163"/>
      <c r="M1013" s="164"/>
      <c r="N1013" s="157"/>
      <c r="O1013" s="157"/>
      <c r="P1013" s="157"/>
      <c r="Q1013" s="156" t="s">
        <v>6113</v>
      </c>
    </row>
    <row r="1014" spans="4:17" x14ac:dyDescent="0.25">
      <c r="D1014" s="157" t="s">
        <v>6114</v>
      </c>
      <c r="E1014" s="156" t="s">
        <v>6078</v>
      </c>
      <c r="F1014" s="157"/>
      <c r="G1014" s="156"/>
      <c r="H1014" s="157"/>
      <c r="I1014" s="157"/>
      <c r="J1014" s="156" t="str">
        <f t="shared" si="16"/>
        <v/>
      </c>
      <c r="K1014" s="162"/>
      <c r="L1014" s="163"/>
      <c r="M1014" s="164"/>
      <c r="N1014" s="157"/>
      <c r="O1014" s="157"/>
      <c r="P1014" s="157"/>
      <c r="Q1014" s="156" t="s">
        <v>6115</v>
      </c>
    </row>
    <row r="1015" spans="4:17" x14ac:dyDescent="0.25">
      <c r="D1015" s="157" t="s">
        <v>6116</v>
      </c>
      <c r="E1015" s="156" t="s">
        <v>6078</v>
      </c>
      <c r="F1015" s="157"/>
      <c r="G1015" s="156"/>
      <c r="H1015" s="157"/>
      <c r="I1015" s="157"/>
      <c r="J1015" s="156" t="str">
        <f t="shared" si="16"/>
        <v/>
      </c>
      <c r="K1015" s="162"/>
      <c r="L1015" s="163"/>
      <c r="M1015" s="164"/>
      <c r="N1015" s="157"/>
      <c r="O1015" s="157"/>
      <c r="P1015" s="157"/>
      <c r="Q1015" s="156" t="s">
        <v>6117</v>
      </c>
    </row>
    <row r="1016" spans="4:17" x14ac:dyDescent="0.25">
      <c r="D1016" s="157" t="s">
        <v>6118</v>
      </c>
      <c r="E1016" s="156" t="s">
        <v>6119</v>
      </c>
      <c r="F1016" s="157"/>
      <c r="G1016" s="156"/>
      <c r="H1016" s="157"/>
      <c r="I1016" s="157"/>
      <c r="J1016" s="156" t="str">
        <f t="shared" si="16"/>
        <v/>
      </c>
      <c r="K1016" s="162"/>
      <c r="L1016" s="163"/>
      <c r="M1016" s="164"/>
      <c r="N1016" s="157"/>
      <c r="O1016" s="157"/>
      <c r="P1016" s="157"/>
      <c r="Q1016" s="156" t="s">
        <v>6120</v>
      </c>
    </row>
    <row r="1017" spans="4:17" x14ac:dyDescent="0.25">
      <c r="D1017" s="157" t="s">
        <v>6121</v>
      </c>
      <c r="E1017" s="156" t="s">
        <v>6119</v>
      </c>
      <c r="F1017" s="157"/>
      <c r="G1017" s="156"/>
      <c r="H1017" s="157"/>
      <c r="I1017" s="157"/>
      <c r="J1017" s="156" t="str">
        <f t="shared" si="16"/>
        <v/>
      </c>
      <c r="K1017" s="162"/>
      <c r="L1017" s="163"/>
      <c r="M1017" s="164"/>
      <c r="N1017" s="157"/>
      <c r="O1017" s="157"/>
      <c r="P1017" s="157"/>
      <c r="Q1017" s="156" t="s">
        <v>6122</v>
      </c>
    </row>
    <row r="1018" spans="4:17" x14ac:dyDescent="0.25">
      <c r="D1018" s="157" t="s">
        <v>6123</v>
      </c>
      <c r="E1018" s="156" t="s">
        <v>6119</v>
      </c>
      <c r="F1018" s="157"/>
      <c r="G1018" s="156"/>
      <c r="H1018" s="157"/>
      <c r="I1018" s="157"/>
      <c r="J1018" s="156" t="str">
        <f t="shared" si="16"/>
        <v/>
      </c>
      <c r="K1018" s="162"/>
      <c r="L1018" s="163"/>
      <c r="M1018" s="164"/>
      <c r="N1018" s="157"/>
      <c r="O1018" s="157"/>
      <c r="P1018" s="157"/>
      <c r="Q1018" s="156" t="s">
        <v>6124</v>
      </c>
    </row>
    <row r="1019" spans="4:17" x14ac:dyDescent="0.25">
      <c r="D1019" s="157" t="s">
        <v>6125</v>
      </c>
      <c r="E1019" s="156" t="s">
        <v>6119</v>
      </c>
      <c r="F1019" s="157"/>
      <c r="G1019" s="156"/>
      <c r="H1019" s="157"/>
      <c r="I1019" s="157"/>
      <c r="J1019" s="156" t="str">
        <f t="shared" si="16"/>
        <v/>
      </c>
      <c r="K1019" s="162"/>
      <c r="L1019" s="163"/>
      <c r="M1019" s="164"/>
      <c r="N1019" s="157"/>
      <c r="O1019" s="157"/>
      <c r="P1019" s="157"/>
      <c r="Q1019" s="156" t="s">
        <v>6126</v>
      </c>
    </row>
    <row r="1020" spans="4:17" x14ac:dyDescent="0.25">
      <c r="D1020" s="157" t="s">
        <v>6127</v>
      </c>
      <c r="E1020" s="156" t="s">
        <v>6119</v>
      </c>
      <c r="F1020" s="157"/>
      <c r="G1020" s="156"/>
      <c r="H1020" s="157"/>
      <c r="I1020" s="157"/>
      <c r="J1020" s="156" t="str">
        <f t="shared" si="16"/>
        <v/>
      </c>
      <c r="K1020" s="162"/>
      <c r="L1020" s="163"/>
      <c r="M1020" s="164"/>
      <c r="N1020" s="157"/>
      <c r="O1020" s="157"/>
      <c r="P1020" s="157"/>
      <c r="Q1020" s="156" t="s">
        <v>6128</v>
      </c>
    </row>
    <row r="1021" spans="4:17" x14ac:dyDescent="0.25">
      <c r="D1021" s="157" t="s">
        <v>6129</v>
      </c>
      <c r="E1021" s="156" t="s">
        <v>6119</v>
      </c>
      <c r="F1021" s="157"/>
      <c r="G1021" s="156"/>
      <c r="H1021" s="157"/>
      <c r="I1021" s="157"/>
      <c r="J1021" s="156" t="str">
        <f t="shared" si="16"/>
        <v/>
      </c>
      <c r="K1021" s="162"/>
      <c r="L1021" s="163"/>
      <c r="M1021" s="164"/>
      <c r="N1021" s="157"/>
      <c r="O1021" s="157"/>
      <c r="P1021" s="157"/>
      <c r="Q1021" s="156" t="s">
        <v>6130</v>
      </c>
    </row>
    <row r="1022" spans="4:17" x14ac:dyDescent="0.25">
      <c r="D1022" s="157" t="s">
        <v>6131</v>
      </c>
      <c r="E1022" s="156" t="s">
        <v>6119</v>
      </c>
      <c r="F1022" s="157"/>
      <c r="G1022" s="156"/>
      <c r="H1022" s="157"/>
      <c r="I1022" s="157"/>
      <c r="J1022" s="156" t="str">
        <f t="shared" si="16"/>
        <v/>
      </c>
      <c r="K1022" s="162"/>
      <c r="L1022" s="163"/>
      <c r="M1022" s="164"/>
      <c r="N1022" s="157"/>
      <c r="O1022" s="157"/>
      <c r="P1022" s="157"/>
      <c r="Q1022" s="156" t="s">
        <v>6132</v>
      </c>
    </row>
    <row r="1023" spans="4:17" x14ac:dyDescent="0.25">
      <c r="D1023" s="157" t="s">
        <v>6133</v>
      </c>
      <c r="E1023" s="156" t="s">
        <v>6119</v>
      </c>
      <c r="F1023" s="157"/>
      <c r="G1023" s="156"/>
      <c r="H1023" s="157"/>
      <c r="I1023" s="157"/>
      <c r="J1023" s="156" t="str">
        <f t="shared" si="16"/>
        <v/>
      </c>
      <c r="K1023" s="162"/>
      <c r="L1023" s="163"/>
      <c r="M1023" s="164"/>
      <c r="N1023" s="157"/>
      <c r="O1023" s="157"/>
      <c r="P1023" s="157"/>
      <c r="Q1023" s="156" t="s">
        <v>6134</v>
      </c>
    </row>
    <row r="1024" spans="4:17" x14ac:dyDescent="0.25">
      <c r="D1024" s="157" t="s">
        <v>6135</v>
      </c>
      <c r="E1024" s="156" t="s">
        <v>6119</v>
      </c>
      <c r="F1024" s="157"/>
      <c r="G1024" s="156"/>
      <c r="H1024" s="157"/>
      <c r="I1024" s="157"/>
      <c r="J1024" s="156" t="str">
        <f t="shared" si="16"/>
        <v/>
      </c>
      <c r="K1024" s="162"/>
      <c r="L1024" s="163"/>
      <c r="M1024" s="164"/>
      <c r="N1024" s="157"/>
      <c r="O1024" s="157"/>
      <c r="P1024" s="157"/>
      <c r="Q1024" s="156" t="s">
        <v>6136</v>
      </c>
    </row>
    <row r="1025" spans="4:17" x14ac:dyDescent="0.25">
      <c r="D1025" s="157" t="s">
        <v>6137</v>
      </c>
      <c r="E1025" s="156" t="s">
        <v>6119</v>
      </c>
      <c r="F1025" s="157"/>
      <c r="G1025" s="156"/>
      <c r="H1025" s="157"/>
      <c r="I1025" s="157"/>
      <c r="J1025" s="156" t="str">
        <f t="shared" si="16"/>
        <v/>
      </c>
      <c r="K1025" s="162"/>
      <c r="L1025" s="163"/>
      <c r="M1025" s="164"/>
      <c r="N1025" s="157"/>
      <c r="O1025" s="157"/>
      <c r="P1025" s="157"/>
      <c r="Q1025" s="156" t="s">
        <v>6138</v>
      </c>
    </row>
    <row r="1026" spans="4:17" x14ac:dyDescent="0.25">
      <c r="D1026" s="157" t="s">
        <v>6139</v>
      </c>
      <c r="E1026" s="156" t="s">
        <v>6119</v>
      </c>
      <c r="F1026" s="157"/>
      <c r="G1026" s="156"/>
      <c r="H1026" s="157"/>
      <c r="I1026" s="157"/>
      <c r="J1026" s="156" t="str">
        <f t="shared" si="16"/>
        <v/>
      </c>
      <c r="K1026" s="162"/>
      <c r="L1026" s="163"/>
      <c r="M1026" s="164"/>
      <c r="N1026" s="157"/>
      <c r="O1026" s="157"/>
      <c r="P1026" s="157"/>
      <c r="Q1026" s="156" t="s">
        <v>6140</v>
      </c>
    </row>
    <row r="1027" spans="4:17" x14ac:dyDescent="0.25">
      <c r="D1027" s="157" t="s">
        <v>6141</v>
      </c>
      <c r="E1027" s="156" t="s">
        <v>6119</v>
      </c>
      <c r="F1027" s="157"/>
      <c r="G1027" s="156"/>
      <c r="H1027" s="157"/>
      <c r="I1027" s="157"/>
      <c r="J1027" s="156" t="str">
        <f t="shared" si="16"/>
        <v/>
      </c>
      <c r="K1027" s="162"/>
      <c r="L1027" s="163"/>
      <c r="M1027" s="164"/>
      <c r="N1027" s="157"/>
      <c r="O1027" s="157"/>
      <c r="P1027" s="157"/>
      <c r="Q1027" s="156" t="s">
        <v>6142</v>
      </c>
    </row>
    <row r="1028" spans="4:17" x14ac:dyDescent="0.25">
      <c r="D1028" s="157" t="s">
        <v>6143</v>
      </c>
      <c r="E1028" s="156" t="s">
        <v>6119</v>
      </c>
      <c r="F1028" s="157"/>
      <c r="G1028" s="156"/>
      <c r="H1028" s="157"/>
      <c r="I1028" s="157"/>
      <c r="J1028" s="156" t="str">
        <f t="shared" si="16"/>
        <v/>
      </c>
      <c r="K1028" s="162"/>
      <c r="L1028" s="163"/>
      <c r="M1028" s="164"/>
      <c r="N1028" s="157"/>
      <c r="O1028" s="157"/>
      <c r="P1028" s="157"/>
      <c r="Q1028" s="156" t="s">
        <v>6144</v>
      </c>
    </row>
    <row r="1029" spans="4:17" x14ac:dyDescent="0.25">
      <c r="D1029" s="157" t="s">
        <v>6145</v>
      </c>
      <c r="E1029" s="156" t="s">
        <v>6119</v>
      </c>
      <c r="F1029" s="157"/>
      <c r="G1029" s="156"/>
      <c r="H1029" s="157"/>
      <c r="I1029" s="157"/>
      <c r="J1029" s="156" t="str">
        <f t="shared" si="16"/>
        <v/>
      </c>
      <c r="K1029" s="162"/>
      <c r="L1029" s="163"/>
      <c r="M1029" s="164"/>
      <c r="N1029" s="157"/>
      <c r="O1029" s="157"/>
      <c r="P1029" s="157"/>
      <c r="Q1029" s="156" t="s">
        <v>6146</v>
      </c>
    </row>
    <row r="1030" spans="4:17" x14ac:dyDescent="0.25">
      <c r="D1030" s="157" t="s">
        <v>6147</v>
      </c>
      <c r="E1030" s="156" t="s">
        <v>6119</v>
      </c>
      <c r="F1030" s="157"/>
      <c r="G1030" s="156"/>
      <c r="H1030" s="157"/>
      <c r="I1030" s="157"/>
      <c r="J1030" s="156" t="str">
        <f t="shared" si="16"/>
        <v/>
      </c>
      <c r="K1030" s="162"/>
      <c r="L1030" s="163"/>
      <c r="M1030" s="164"/>
      <c r="N1030" s="157"/>
      <c r="O1030" s="157"/>
      <c r="P1030" s="157"/>
      <c r="Q1030" s="156" t="s">
        <v>6148</v>
      </c>
    </row>
    <row r="1031" spans="4:17" x14ac:dyDescent="0.25">
      <c r="D1031" s="157" t="s">
        <v>6149</v>
      </c>
      <c r="E1031" s="156" t="s">
        <v>6119</v>
      </c>
      <c r="F1031" s="157"/>
      <c r="G1031" s="156"/>
      <c r="H1031" s="157"/>
      <c r="I1031" s="157"/>
      <c r="J1031" s="156" t="str">
        <f t="shared" si="16"/>
        <v/>
      </c>
      <c r="K1031" s="162"/>
      <c r="L1031" s="163"/>
      <c r="M1031" s="164"/>
      <c r="N1031" s="157"/>
      <c r="O1031" s="157"/>
      <c r="P1031" s="157"/>
      <c r="Q1031" s="156" t="s">
        <v>6150</v>
      </c>
    </row>
    <row r="1032" spans="4:17" x14ac:dyDescent="0.25">
      <c r="D1032" s="157" t="s">
        <v>6151</v>
      </c>
      <c r="E1032" s="156" t="s">
        <v>6119</v>
      </c>
      <c r="F1032" s="157"/>
      <c r="G1032" s="156"/>
      <c r="H1032" s="157"/>
      <c r="I1032" s="157"/>
      <c r="J1032" s="156" t="str">
        <f t="shared" si="16"/>
        <v/>
      </c>
      <c r="K1032" s="162"/>
      <c r="L1032" s="163"/>
      <c r="M1032" s="164"/>
      <c r="N1032" s="157"/>
      <c r="O1032" s="157"/>
      <c r="P1032" s="157"/>
      <c r="Q1032" s="156" t="s">
        <v>6152</v>
      </c>
    </row>
    <row r="1033" spans="4:17" x14ac:dyDescent="0.25">
      <c r="D1033" s="157" t="s">
        <v>6153</v>
      </c>
      <c r="E1033" s="156" t="s">
        <v>6119</v>
      </c>
      <c r="F1033" s="157"/>
      <c r="G1033" s="156"/>
      <c r="H1033" s="157"/>
      <c r="I1033" s="157"/>
      <c r="J1033" s="156" t="str">
        <f t="shared" si="16"/>
        <v/>
      </c>
      <c r="K1033" s="162"/>
      <c r="L1033" s="163"/>
      <c r="M1033" s="164"/>
      <c r="N1033" s="157"/>
      <c r="O1033" s="157"/>
      <c r="P1033" s="157"/>
      <c r="Q1033" s="156" t="s">
        <v>6154</v>
      </c>
    </row>
    <row r="1034" spans="4:17" x14ac:dyDescent="0.25">
      <c r="D1034" s="157" t="s">
        <v>6155</v>
      </c>
      <c r="E1034" s="156" t="s">
        <v>6119</v>
      </c>
      <c r="F1034" s="157"/>
      <c r="G1034" s="156"/>
      <c r="H1034" s="157"/>
      <c r="I1034" s="157"/>
      <c r="J1034" s="156" t="str">
        <f t="shared" si="16"/>
        <v/>
      </c>
      <c r="K1034" s="162"/>
      <c r="L1034" s="163"/>
      <c r="M1034" s="164"/>
      <c r="N1034" s="157"/>
      <c r="O1034" s="157"/>
      <c r="P1034" s="157"/>
      <c r="Q1034" s="156" t="s">
        <v>6156</v>
      </c>
    </row>
    <row r="1035" spans="4:17" x14ac:dyDescent="0.25">
      <c r="D1035" s="157" t="s">
        <v>6157</v>
      </c>
      <c r="E1035" s="156" t="s">
        <v>6119</v>
      </c>
      <c r="F1035" s="157"/>
      <c r="G1035" s="156"/>
      <c r="H1035" s="157"/>
      <c r="I1035" s="157"/>
      <c r="J1035" s="156" t="str">
        <f t="shared" si="16"/>
        <v/>
      </c>
      <c r="K1035" s="162"/>
      <c r="L1035" s="163"/>
      <c r="M1035" s="164"/>
      <c r="N1035" s="157"/>
      <c r="O1035" s="157"/>
      <c r="P1035" s="157"/>
      <c r="Q1035" s="156" t="s">
        <v>6158</v>
      </c>
    </row>
    <row r="1036" spans="4:17" x14ac:dyDescent="0.25">
      <c r="D1036" s="157" t="s">
        <v>6159</v>
      </c>
      <c r="E1036" s="156" t="s">
        <v>6160</v>
      </c>
      <c r="F1036" s="157"/>
      <c r="G1036" s="156"/>
      <c r="H1036" s="157"/>
      <c r="I1036" s="157"/>
      <c r="J1036" s="156" t="str">
        <f t="shared" si="16"/>
        <v/>
      </c>
      <c r="K1036" s="162"/>
      <c r="L1036" s="163"/>
      <c r="M1036" s="164"/>
      <c r="N1036" s="157"/>
      <c r="O1036" s="157"/>
      <c r="P1036" s="157"/>
      <c r="Q1036" s="156" t="s">
        <v>6161</v>
      </c>
    </row>
    <row r="1037" spans="4:17" x14ac:dyDescent="0.25">
      <c r="D1037" s="157" t="s">
        <v>6162</v>
      </c>
      <c r="E1037" s="156" t="s">
        <v>6160</v>
      </c>
      <c r="F1037" s="157"/>
      <c r="G1037" s="156"/>
      <c r="H1037" s="157"/>
      <c r="I1037" s="157"/>
      <c r="J1037" s="156" t="str">
        <f t="shared" si="16"/>
        <v/>
      </c>
      <c r="K1037" s="162"/>
      <c r="L1037" s="163"/>
      <c r="M1037" s="164"/>
      <c r="N1037" s="157"/>
      <c r="O1037" s="157"/>
      <c r="P1037" s="157"/>
      <c r="Q1037" s="156" t="s">
        <v>6163</v>
      </c>
    </row>
    <row r="1038" spans="4:17" x14ac:dyDescent="0.25">
      <c r="D1038" s="157" t="s">
        <v>6164</v>
      </c>
      <c r="E1038" s="156" t="s">
        <v>6160</v>
      </c>
      <c r="F1038" s="157"/>
      <c r="G1038" s="156"/>
      <c r="H1038" s="157"/>
      <c r="I1038" s="157"/>
      <c r="J1038" s="156" t="str">
        <f t="shared" si="16"/>
        <v/>
      </c>
      <c r="K1038" s="162"/>
      <c r="L1038" s="163"/>
      <c r="M1038" s="164"/>
      <c r="N1038" s="157"/>
      <c r="O1038" s="157"/>
      <c r="P1038" s="157"/>
      <c r="Q1038" s="156" t="s">
        <v>6165</v>
      </c>
    </row>
    <row r="1039" spans="4:17" x14ac:dyDescent="0.25">
      <c r="D1039" s="157" t="s">
        <v>6166</v>
      </c>
      <c r="E1039" s="156" t="s">
        <v>6160</v>
      </c>
      <c r="F1039" s="157"/>
      <c r="G1039" s="156"/>
      <c r="H1039" s="157"/>
      <c r="I1039" s="157"/>
      <c r="J1039" s="156" t="str">
        <f t="shared" si="16"/>
        <v/>
      </c>
      <c r="K1039" s="162"/>
      <c r="L1039" s="163"/>
      <c r="M1039" s="164"/>
      <c r="N1039" s="157"/>
      <c r="O1039" s="157"/>
      <c r="P1039" s="157"/>
      <c r="Q1039" s="156" t="s">
        <v>6167</v>
      </c>
    </row>
    <row r="1040" spans="4:17" x14ac:dyDescent="0.25">
      <c r="D1040" s="157" t="s">
        <v>6168</v>
      </c>
      <c r="E1040" s="156" t="s">
        <v>6160</v>
      </c>
      <c r="F1040" s="157"/>
      <c r="G1040" s="156"/>
      <c r="H1040" s="157"/>
      <c r="I1040" s="157"/>
      <c r="J1040" s="156" t="str">
        <f t="shared" si="16"/>
        <v/>
      </c>
      <c r="K1040" s="162"/>
      <c r="L1040" s="163"/>
      <c r="M1040" s="164"/>
      <c r="N1040" s="157"/>
      <c r="O1040" s="157"/>
      <c r="P1040" s="157"/>
      <c r="Q1040" s="156" t="s">
        <v>6169</v>
      </c>
    </row>
    <row r="1041" spans="4:17" x14ac:dyDescent="0.25">
      <c r="D1041" s="157" t="s">
        <v>6170</v>
      </c>
      <c r="E1041" s="156" t="s">
        <v>6160</v>
      </c>
      <c r="F1041" s="157"/>
      <c r="G1041" s="156"/>
      <c r="H1041" s="157"/>
      <c r="I1041" s="157"/>
      <c r="J1041" s="156" t="str">
        <f t="shared" si="16"/>
        <v/>
      </c>
      <c r="K1041" s="162"/>
      <c r="L1041" s="163"/>
      <c r="M1041" s="164"/>
      <c r="N1041" s="157"/>
      <c r="O1041" s="157"/>
      <c r="P1041" s="157"/>
      <c r="Q1041" s="156" t="s">
        <v>6171</v>
      </c>
    </row>
    <row r="1042" spans="4:17" x14ac:dyDescent="0.25">
      <c r="D1042" s="157" t="s">
        <v>6172</v>
      </c>
      <c r="E1042" s="156" t="s">
        <v>6160</v>
      </c>
      <c r="F1042" s="157"/>
      <c r="G1042" s="156"/>
      <c r="H1042" s="157"/>
      <c r="I1042" s="157"/>
      <c r="J1042" s="156" t="str">
        <f t="shared" si="16"/>
        <v/>
      </c>
      <c r="K1042" s="162"/>
      <c r="L1042" s="163"/>
      <c r="M1042" s="164"/>
      <c r="N1042" s="157"/>
      <c r="O1042" s="157"/>
      <c r="P1042" s="157"/>
      <c r="Q1042" s="156" t="s">
        <v>6173</v>
      </c>
    </row>
    <row r="1043" spans="4:17" x14ac:dyDescent="0.25">
      <c r="D1043" s="157" t="s">
        <v>6174</v>
      </c>
      <c r="E1043" s="156" t="s">
        <v>6160</v>
      </c>
      <c r="F1043" s="157"/>
      <c r="G1043" s="156"/>
      <c r="H1043" s="157"/>
      <c r="I1043" s="157"/>
      <c r="J1043" s="156" t="str">
        <f t="shared" si="16"/>
        <v/>
      </c>
      <c r="K1043" s="162"/>
      <c r="L1043" s="163"/>
      <c r="M1043" s="164"/>
      <c r="N1043" s="157"/>
      <c r="O1043" s="157"/>
      <c r="P1043" s="157"/>
      <c r="Q1043" s="156" t="s">
        <v>6175</v>
      </c>
    </row>
    <row r="1044" spans="4:17" x14ac:dyDescent="0.25">
      <c r="D1044" s="157" t="s">
        <v>6176</v>
      </c>
      <c r="E1044" s="156" t="s">
        <v>6160</v>
      </c>
      <c r="F1044" s="157"/>
      <c r="G1044" s="156"/>
      <c r="H1044" s="157"/>
      <c r="I1044" s="157"/>
      <c r="J1044" s="156" t="str">
        <f t="shared" si="16"/>
        <v/>
      </c>
      <c r="K1044" s="162"/>
      <c r="L1044" s="163"/>
      <c r="M1044" s="164"/>
      <c r="N1044" s="157"/>
      <c r="O1044" s="157"/>
      <c r="P1044" s="157"/>
      <c r="Q1044" s="156" t="s">
        <v>6177</v>
      </c>
    </row>
    <row r="1045" spans="4:17" x14ac:dyDescent="0.25">
      <c r="D1045" s="157" t="s">
        <v>6178</v>
      </c>
      <c r="E1045" s="156" t="s">
        <v>6160</v>
      </c>
      <c r="F1045" s="157"/>
      <c r="G1045" s="156"/>
      <c r="H1045" s="157"/>
      <c r="I1045" s="157"/>
      <c r="J1045" s="156" t="str">
        <f t="shared" si="16"/>
        <v/>
      </c>
      <c r="K1045" s="162"/>
      <c r="L1045" s="163"/>
      <c r="M1045" s="164"/>
      <c r="N1045" s="157"/>
      <c r="O1045" s="157"/>
      <c r="P1045" s="157"/>
      <c r="Q1045" s="156" t="s">
        <v>6179</v>
      </c>
    </row>
    <row r="1046" spans="4:17" x14ac:dyDescent="0.25">
      <c r="D1046" s="157" t="s">
        <v>6180</v>
      </c>
      <c r="E1046" s="156" t="s">
        <v>6160</v>
      </c>
      <c r="F1046" s="157"/>
      <c r="G1046" s="156"/>
      <c r="H1046" s="157"/>
      <c r="I1046" s="157"/>
      <c r="J1046" s="156" t="str">
        <f t="shared" si="16"/>
        <v/>
      </c>
      <c r="K1046" s="162"/>
      <c r="L1046" s="163"/>
      <c r="M1046" s="164"/>
      <c r="N1046" s="157"/>
      <c r="O1046" s="157"/>
      <c r="P1046" s="157"/>
      <c r="Q1046" s="156" t="s">
        <v>6181</v>
      </c>
    </row>
    <row r="1047" spans="4:17" x14ac:dyDescent="0.25">
      <c r="D1047" s="157" t="s">
        <v>6182</v>
      </c>
      <c r="E1047" s="156" t="s">
        <v>6160</v>
      </c>
      <c r="F1047" s="157"/>
      <c r="G1047" s="156"/>
      <c r="H1047" s="157"/>
      <c r="I1047" s="157"/>
      <c r="J1047" s="156" t="str">
        <f t="shared" si="16"/>
        <v/>
      </c>
      <c r="K1047" s="162"/>
      <c r="L1047" s="163"/>
      <c r="M1047" s="164"/>
      <c r="N1047" s="157"/>
      <c r="O1047" s="157"/>
      <c r="P1047" s="157"/>
      <c r="Q1047" s="156" t="s">
        <v>6183</v>
      </c>
    </row>
    <row r="1048" spans="4:17" x14ac:dyDescent="0.25">
      <c r="D1048" s="157" t="s">
        <v>6184</v>
      </c>
      <c r="E1048" s="156" t="s">
        <v>6160</v>
      </c>
      <c r="F1048" s="157"/>
      <c r="G1048" s="156"/>
      <c r="H1048" s="157"/>
      <c r="I1048" s="157"/>
      <c r="J1048" s="156" t="str">
        <f t="shared" si="16"/>
        <v/>
      </c>
      <c r="K1048" s="162"/>
      <c r="L1048" s="163"/>
      <c r="M1048" s="164"/>
      <c r="N1048" s="157"/>
      <c r="O1048" s="157"/>
      <c r="P1048" s="157"/>
      <c r="Q1048" s="156" t="s">
        <v>6185</v>
      </c>
    </row>
    <row r="1049" spans="4:17" x14ac:dyDescent="0.25">
      <c r="D1049" s="157" t="s">
        <v>6186</v>
      </c>
      <c r="E1049" s="156" t="s">
        <v>6160</v>
      </c>
      <c r="F1049" s="157"/>
      <c r="G1049" s="156"/>
      <c r="H1049" s="157"/>
      <c r="I1049" s="157"/>
      <c r="J1049" s="156" t="str">
        <f t="shared" si="16"/>
        <v/>
      </c>
      <c r="K1049" s="162"/>
      <c r="L1049" s="163"/>
      <c r="M1049" s="164"/>
      <c r="N1049" s="157"/>
      <c r="O1049" s="157"/>
      <c r="P1049" s="157"/>
      <c r="Q1049" s="156" t="s">
        <v>6187</v>
      </c>
    </row>
    <row r="1050" spans="4:17" x14ac:dyDescent="0.25">
      <c r="D1050" s="157" t="s">
        <v>6188</v>
      </c>
      <c r="E1050" s="156" t="s">
        <v>6160</v>
      </c>
      <c r="F1050" s="157"/>
      <c r="G1050" s="156"/>
      <c r="H1050" s="157"/>
      <c r="I1050" s="157"/>
      <c r="J1050" s="156" t="str">
        <f t="shared" si="16"/>
        <v/>
      </c>
      <c r="K1050" s="162"/>
      <c r="L1050" s="163"/>
      <c r="M1050" s="164"/>
      <c r="N1050" s="157"/>
      <c r="O1050" s="157"/>
      <c r="P1050" s="157"/>
      <c r="Q1050" s="156" t="s">
        <v>6189</v>
      </c>
    </row>
    <row r="1051" spans="4:17" x14ac:dyDescent="0.25">
      <c r="D1051" s="157" t="s">
        <v>6190</v>
      </c>
      <c r="E1051" s="156" t="s">
        <v>6160</v>
      </c>
      <c r="F1051" s="157"/>
      <c r="G1051" s="156"/>
      <c r="H1051" s="157"/>
      <c r="I1051" s="157"/>
      <c r="J1051" s="156" t="str">
        <f t="shared" si="16"/>
        <v/>
      </c>
      <c r="K1051" s="162"/>
      <c r="L1051" s="163"/>
      <c r="M1051" s="164"/>
      <c r="N1051" s="157"/>
      <c r="O1051" s="157"/>
      <c r="P1051" s="157"/>
      <c r="Q1051" s="156" t="s">
        <v>6191</v>
      </c>
    </row>
    <row r="1052" spans="4:17" x14ac:dyDescent="0.25">
      <c r="D1052" s="157" t="s">
        <v>6192</v>
      </c>
      <c r="E1052" s="156" t="s">
        <v>6160</v>
      </c>
      <c r="F1052" s="157"/>
      <c r="G1052" s="156"/>
      <c r="H1052" s="157"/>
      <c r="I1052" s="157"/>
      <c r="J1052" s="156" t="str">
        <f t="shared" si="16"/>
        <v/>
      </c>
      <c r="K1052" s="162"/>
      <c r="L1052" s="163"/>
      <c r="M1052" s="164"/>
      <c r="N1052" s="157"/>
      <c r="O1052" s="157"/>
      <c r="P1052" s="157"/>
      <c r="Q1052" s="156" t="s">
        <v>6193</v>
      </c>
    </row>
    <row r="1053" spans="4:17" x14ac:dyDescent="0.25">
      <c r="D1053" s="157" t="s">
        <v>6194</v>
      </c>
      <c r="E1053" s="156" t="s">
        <v>6160</v>
      </c>
      <c r="F1053" s="157"/>
      <c r="G1053" s="156"/>
      <c r="H1053" s="157"/>
      <c r="I1053" s="157"/>
      <c r="J1053" s="156" t="str">
        <f t="shared" si="16"/>
        <v/>
      </c>
      <c r="K1053" s="162"/>
      <c r="L1053" s="163"/>
      <c r="M1053" s="164"/>
      <c r="N1053" s="157"/>
      <c r="O1053" s="157"/>
      <c r="P1053" s="157"/>
      <c r="Q1053" s="156" t="s">
        <v>6195</v>
      </c>
    </row>
    <row r="1054" spans="4:17" x14ac:dyDescent="0.25">
      <c r="D1054" s="157" t="s">
        <v>6196</v>
      </c>
      <c r="E1054" s="156" t="s">
        <v>6160</v>
      </c>
      <c r="F1054" s="157"/>
      <c r="G1054" s="156"/>
      <c r="H1054" s="157"/>
      <c r="I1054" s="157"/>
      <c r="J1054" s="156" t="str">
        <f t="shared" si="16"/>
        <v/>
      </c>
      <c r="K1054" s="162"/>
      <c r="L1054" s="163"/>
      <c r="M1054" s="164"/>
      <c r="N1054" s="157"/>
      <c r="O1054" s="157"/>
      <c r="P1054" s="157"/>
      <c r="Q1054" s="156" t="s">
        <v>6197</v>
      </c>
    </row>
    <row r="1055" spans="4:17" x14ac:dyDescent="0.25">
      <c r="D1055" s="157" t="s">
        <v>6198</v>
      </c>
      <c r="E1055" s="156" t="s">
        <v>6160</v>
      </c>
      <c r="F1055" s="157"/>
      <c r="G1055" s="156"/>
      <c r="H1055" s="157"/>
      <c r="I1055" s="157"/>
      <c r="J1055" s="156" t="str">
        <f t="shared" si="16"/>
        <v/>
      </c>
      <c r="K1055" s="162"/>
      <c r="L1055" s="163"/>
      <c r="M1055" s="164"/>
      <c r="N1055" s="157"/>
      <c r="O1055" s="157"/>
      <c r="P1055" s="157"/>
      <c r="Q1055" s="156" t="s">
        <v>6199</v>
      </c>
    </row>
    <row r="1056" spans="4:17" x14ac:dyDescent="0.25">
      <c r="D1056" s="157" t="s">
        <v>6200</v>
      </c>
      <c r="E1056" s="156" t="s">
        <v>6201</v>
      </c>
      <c r="F1056" s="157"/>
      <c r="G1056" s="156"/>
      <c r="H1056" s="157"/>
      <c r="I1056" s="157"/>
      <c r="J1056" s="156" t="str">
        <f t="shared" si="16"/>
        <v/>
      </c>
      <c r="K1056" s="162"/>
      <c r="L1056" s="163"/>
      <c r="M1056" s="164"/>
      <c r="N1056" s="157"/>
      <c r="O1056" s="157"/>
      <c r="P1056" s="157"/>
      <c r="Q1056" s="156" t="s">
        <v>6202</v>
      </c>
    </row>
    <row r="1057" spans="4:17" x14ac:dyDescent="0.25">
      <c r="D1057" s="157" t="s">
        <v>6203</v>
      </c>
      <c r="E1057" s="156" t="s">
        <v>6201</v>
      </c>
      <c r="F1057" s="157"/>
      <c r="G1057" s="156"/>
      <c r="H1057" s="157"/>
      <c r="I1057" s="157"/>
      <c r="J1057" s="156" t="str">
        <f t="shared" si="16"/>
        <v/>
      </c>
      <c r="K1057" s="162"/>
      <c r="L1057" s="163"/>
      <c r="M1057" s="164"/>
      <c r="N1057" s="157"/>
      <c r="O1057" s="157"/>
      <c r="P1057" s="157"/>
      <c r="Q1057" s="156" t="s">
        <v>6204</v>
      </c>
    </row>
    <row r="1058" spans="4:17" x14ac:dyDescent="0.25">
      <c r="D1058" s="157" t="s">
        <v>6205</v>
      </c>
      <c r="E1058" s="156" t="s">
        <v>6201</v>
      </c>
      <c r="F1058" s="157"/>
      <c r="G1058" s="156"/>
      <c r="H1058" s="157"/>
      <c r="I1058" s="157"/>
      <c r="J1058" s="156" t="str">
        <f t="shared" si="16"/>
        <v/>
      </c>
      <c r="K1058" s="162"/>
      <c r="L1058" s="163"/>
      <c r="M1058" s="164"/>
      <c r="N1058" s="157"/>
      <c r="O1058" s="157"/>
      <c r="P1058" s="157"/>
      <c r="Q1058" s="156" t="s">
        <v>6206</v>
      </c>
    </row>
    <row r="1059" spans="4:17" x14ac:dyDescent="0.25">
      <c r="D1059" s="157" t="s">
        <v>6207</v>
      </c>
      <c r="E1059" s="156" t="s">
        <v>6201</v>
      </c>
      <c r="F1059" s="157"/>
      <c r="G1059" s="156"/>
      <c r="H1059" s="157"/>
      <c r="I1059" s="157"/>
      <c r="J1059" s="156" t="str">
        <f t="shared" si="16"/>
        <v/>
      </c>
      <c r="K1059" s="162"/>
      <c r="L1059" s="163"/>
      <c r="M1059" s="164"/>
      <c r="N1059" s="157"/>
      <c r="O1059" s="157"/>
      <c r="P1059" s="157"/>
      <c r="Q1059" s="156" t="s">
        <v>6208</v>
      </c>
    </row>
    <row r="1060" spans="4:17" x14ac:dyDescent="0.25">
      <c r="D1060" s="157" t="s">
        <v>6209</v>
      </c>
      <c r="E1060" s="156" t="s">
        <v>6201</v>
      </c>
      <c r="F1060" s="157"/>
      <c r="G1060" s="156"/>
      <c r="H1060" s="157"/>
      <c r="I1060" s="157"/>
      <c r="J1060" s="156" t="str">
        <f t="shared" si="16"/>
        <v/>
      </c>
      <c r="K1060" s="162"/>
      <c r="L1060" s="163"/>
      <c r="M1060" s="164"/>
      <c r="N1060" s="157"/>
      <c r="O1060" s="157"/>
      <c r="P1060" s="157"/>
      <c r="Q1060" s="156" t="s">
        <v>6210</v>
      </c>
    </row>
    <row r="1061" spans="4:17" x14ac:dyDescent="0.25">
      <c r="D1061" s="157" t="s">
        <v>6211</v>
      </c>
      <c r="E1061" s="156" t="s">
        <v>6201</v>
      </c>
      <c r="F1061" s="157"/>
      <c r="G1061" s="156"/>
      <c r="H1061" s="157"/>
      <c r="I1061" s="157"/>
      <c r="J1061" s="156" t="str">
        <f t="shared" si="16"/>
        <v/>
      </c>
      <c r="K1061" s="162"/>
      <c r="L1061" s="163"/>
      <c r="M1061" s="164"/>
      <c r="N1061" s="157"/>
      <c r="O1061" s="157"/>
      <c r="P1061" s="157"/>
      <c r="Q1061" s="156" t="s">
        <v>6212</v>
      </c>
    </row>
    <row r="1062" spans="4:17" x14ac:dyDescent="0.25">
      <c r="D1062" s="157" t="s">
        <v>6213</v>
      </c>
      <c r="E1062" s="156" t="s">
        <v>6201</v>
      </c>
      <c r="F1062" s="157"/>
      <c r="G1062" s="156"/>
      <c r="H1062" s="157"/>
      <c r="I1062" s="157"/>
      <c r="J1062" s="156" t="str">
        <f t="shared" si="16"/>
        <v/>
      </c>
      <c r="K1062" s="162"/>
      <c r="L1062" s="163"/>
      <c r="M1062" s="164"/>
      <c r="N1062" s="157"/>
      <c r="O1062" s="157"/>
      <c r="P1062" s="157"/>
      <c r="Q1062" s="156" t="s">
        <v>6214</v>
      </c>
    </row>
    <row r="1063" spans="4:17" x14ac:dyDescent="0.25">
      <c r="D1063" s="157" t="s">
        <v>6215</v>
      </c>
      <c r="E1063" s="156" t="s">
        <v>6201</v>
      </c>
      <c r="F1063" s="157"/>
      <c r="G1063" s="156"/>
      <c r="H1063" s="157"/>
      <c r="I1063" s="157"/>
      <c r="J1063" s="156" t="str">
        <f t="shared" si="16"/>
        <v/>
      </c>
      <c r="K1063" s="162"/>
      <c r="L1063" s="163"/>
      <c r="M1063" s="164"/>
      <c r="N1063" s="157"/>
      <c r="O1063" s="157"/>
      <c r="P1063" s="157"/>
      <c r="Q1063" s="156" t="s">
        <v>6216</v>
      </c>
    </row>
    <row r="1064" spans="4:17" x14ac:dyDescent="0.25">
      <c r="D1064" s="157" t="s">
        <v>6217</v>
      </c>
      <c r="E1064" s="156" t="s">
        <v>6201</v>
      </c>
      <c r="F1064" s="157"/>
      <c r="G1064" s="156"/>
      <c r="H1064" s="157"/>
      <c r="I1064" s="157"/>
      <c r="J1064" s="156" t="str">
        <f t="shared" ref="J1064:J1127" si="17">F1064&amp;H1064&amp;I1064</f>
        <v/>
      </c>
      <c r="K1064" s="162"/>
      <c r="L1064" s="163"/>
      <c r="M1064" s="164"/>
      <c r="N1064" s="157"/>
      <c r="O1064" s="157"/>
      <c r="P1064" s="157"/>
      <c r="Q1064" s="156" t="s">
        <v>6218</v>
      </c>
    </row>
    <row r="1065" spans="4:17" x14ac:dyDescent="0.25">
      <c r="D1065" s="157" t="s">
        <v>6219</v>
      </c>
      <c r="E1065" s="156" t="s">
        <v>6201</v>
      </c>
      <c r="F1065" s="157"/>
      <c r="G1065" s="156"/>
      <c r="H1065" s="157"/>
      <c r="I1065" s="157"/>
      <c r="J1065" s="156" t="str">
        <f t="shared" si="17"/>
        <v/>
      </c>
      <c r="K1065" s="162"/>
      <c r="L1065" s="163"/>
      <c r="M1065" s="164"/>
      <c r="N1065" s="157"/>
      <c r="O1065" s="157"/>
      <c r="P1065" s="157"/>
      <c r="Q1065" s="156" t="s">
        <v>6220</v>
      </c>
    </row>
    <row r="1066" spans="4:17" x14ac:dyDescent="0.25">
      <c r="D1066" s="157" t="s">
        <v>6221</v>
      </c>
      <c r="E1066" s="156" t="s">
        <v>6201</v>
      </c>
      <c r="F1066" s="157"/>
      <c r="G1066" s="156"/>
      <c r="H1066" s="157"/>
      <c r="I1066" s="157"/>
      <c r="J1066" s="156" t="str">
        <f t="shared" si="17"/>
        <v/>
      </c>
      <c r="K1066" s="162"/>
      <c r="L1066" s="163"/>
      <c r="M1066" s="164"/>
      <c r="N1066" s="157"/>
      <c r="O1066" s="157"/>
      <c r="P1066" s="157"/>
      <c r="Q1066" s="156" t="s">
        <v>6222</v>
      </c>
    </row>
    <row r="1067" spans="4:17" x14ac:dyDescent="0.25">
      <c r="D1067" s="157" t="s">
        <v>6223</v>
      </c>
      <c r="E1067" s="156" t="s">
        <v>6201</v>
      </c>
      <c r="F1067" s="157"/>
      <c r="G1067" s="156"/>
      <c r="H1067" s="157"/>
      <c r="I1067" s="157"/>
      <c r="J1067" s="156" t="str">
        <f t="shared" si="17"/>
        <v/>
      </c>
      <c r="K1067" s="162"/>
      <c r="L1067" s="163"/>
      <c r="M1067" s="164"/>
      <c r="N1067" s="157"/>
      <c r="O1067" s="157"/>
      <c r="P1067" s="157"/>
      <c r="Q1067" s="156" t="s">
        <v>6224</v>
      </c>
    </row>
    <row r="1068" spans="4:17" x14ac:dyDescent="0.25">
      <c r="D1068" s="157" t="s">
        <v>6225</v>
      </c>
      <c r="E1068" s="156" t="s">
        <v>6201</v>
      </c>
      <c r="F1068" s="157"/>
      <c r="G1068" s="156"/>
      <c r="H1068" s="157"/>
      <c r="I1068" s="157"/>
      <c r="J1068" s="156" t="str">
        <f t="shared" si="17"/>
        <v/>
      </c>
      <c r="K1068" s="162"/>
      <c r="L1068" s="163"/>
      <c r="M1068" s="164"/>
      <c r="N1068" s="157"/>
      <c r="O1068" s="157"/>
      <c r="P1068" s="157"/>
      <c r="Q1068" s="156" t="s">
        <v>6226</v>
      </c>
    </row>
    <row r="1069" spans="4:17" x14ac:dyDescent="0.25">
      <c r="D1069" s="157" t="s">
        <v>6227</v>
      </c>
      <c r="E1069" s="156" t="s">
        <v>6201</v>
      </c>
      <c r="F1069" s="157"/>
      <c r="G1069" s="156"/>
      <c r="H1069" s="157"/>
      <c r="I1069" s="157"/>
      <c r="J1069" s="156" t="str">
        <f t="shared" si="17"/>
        <v/>
      </c>
      <c r="K1069" s="162"/>
      <c r="L1069" s="163"/>
      <c r="M1069" s="164"/>
      <c r="N1069" s="157"/>
      <c r="O1069" s="157"/>
      <c r="P1069" s="157"/>
      <c r="Q1069" s="156" t="s">
        <v>6228</v>
      </c>
    </row>
    <row r="1070" spans="4:17" x14ac:dyDescent="0.25">
      <c r="D1070" s="157" t="s">
        <v>6229</v>
      </c>
      <c r="E1070" s="156" t="s">
        <v>6201</v>
      </c>
      <c r="F1070" s="157"/>
      <c r="G1070" s="156"/>
      <c r="H1070" s="157"/>
      <c r="I1070" s="157"/>
      <c r="J1070" s="156" t="str">
        <f t="shared" si="17"/>
        <v/>
      </c>
      <c r="K1070" s="162"/>
      <c r="L1070" s="163"/>
      <c r="M1070" s="164"/>
      <c r="N1070" s="157"/>
      <c r="O1070" s="157"/>
      <c r="P1070" s="157"/>
      <c r="Q1070" s="156" t="s">
        <v>6230</v>
      </c>
    </row>
    <row r="1071" spans="4:17" x14ac:dyDescent="0.25">
      <c r="D1071" s="157" t="s">
        <v>6231</v>
      </c>
      <c r="E1071" s="156" t="s">
        <v>6201</v>
      </c>
      <c r="F1071" s="157"/>
      <c r="G1071" s="156"/>
      <c r="H1071" s="157"/>
      <c r="I1071" s="157"/>
      <c r="J1071" s="156" t="str">
        <f t="shared" si="17"/>
        <v/>
      </c>
      <c r="K1071" s="162"/>
      <c r="L1071" s="163"/>
      <c r="M1071" s="164"/>
      <c r="N1071" s="157"/>
      <c r="O1071" s="157"/>
      <c r="P1071" s="157"/>
      <c r="Q1071" s="156" t="s">
        <v>6232</v>
      </c>
    </row>
    <row r="1072" spans="4:17" x14ac:dyDescent="0.25">
      <c r="D1072" s="157" t="s">
        <v>6233</v>
      </c>
      <c r="E1072" s="156" t="s">
        <v>6201</v>
      </c>
      <c r="F1072" s="157"/>
      <c r="G1072" s="156"/>
      <c r="H1072" s="157"/>
      <c r="I1072" s="157"/>
      <c r="J1072" s="156" t="str">
        <f t="shared" si="17"/>
        <v/>
      </c>
      <c r="K1072" s="162"/>
      <c r="L1072" s="163"/>
      <c r="M1072" s="164"/>
      <c r="N1072" s="157"/>
      <c r="O1072" s="157"/>
      <c r="P1072" s="157"/>
      <c r="Q1072" s="156" t="s">
        <v>6234</v>
      </c>
    </row>
    <row r="1073" spans="4:17" x14ac:dyDescent="0.25">
      <c r="D1073" s="157" t="s">
        <v>6235</v>
      </c>
      <c r="E1073" s="156" t="s">
        <v>6201</v>
      </c>
      <c r="F1073" s="157"/>
      <c r="G1073" s="156"/>
      <c r="H1073" s="157"/>
      <c r="I1073" s="157"/>
      <c r="J1073" s="156" t="str">
        <f t="shared" si="17"/>
        <v/>
      </c>
      <c r="K1073" s="162"/>
      <c r="L1073" s="163"/>
      <c r="M1073" s="164"/>
      <c r="N1073" s="157"/>
      <c r="O1073" s="157"/>
      <c r="P1073" s="157"/>
      <c r="Q1073" s="156" t="s">
        <v>6236</v>
      </c>
    </row>
    <row r="1074" spans="4:17" x14ac:dyDescent="0.25">
      <c r="D1074" s="157" t="s">
        <v>6237</v>
      </c>
      <c r="E1074" s="156" t="s">
        <v>6201</v>
      </c>
      <c r="F1074" s="157"/>
      <c r="G1074" s="156"/>
      <c r="H1074" s="157"/>
      <c r="I1074" s="157"/>
      <c r="J1074" s="156" t="str">
        <f t="shared" si="17"/>
        <v/>
      </c>
      <c r="K1074" s="162"/>
      <c r="L1074" s="163"/>
      <c r="M1074" s="164"/>
      <c r="N1074" s="157"/>
      <c r="O1074" s="157"/>
      <c r="P1074" s="157"/>
      <c r="Q1074" s="156" t="s">
        <v>6238</v>
      </c>
    </row>
    <row r="1075" spans="4:17" x14ac:dyDescent="0.25">
      <c r="D1075" s="157" t="s">
        <v>6239</v>
      </c>
      <c r="E1075" s="156" t="s">
        <v>6201</v>
      </c>
      <c r="F1075" s="157"/>
      <c r="G1075" s="156"/>
      <c r="H1075" s="157"/>
      <c r="I1075" s="157"/>
      <c r="J1075" s="156" t="str">
        <f t="shared" si="17"/>
        <v/>
      </c>
      <c r="K1075" s="162"/>
      <c r="L1075" s="163"/>
      <c r="M1075" s="164"/>
      <c r="N1075" s="157"/>
      <c r="O1075" s="157"/>
      <c r="P1075" s="157"/>
      <c r="Q1075" s="156" t="s">
        <v>6240</v>
      </c>
    </row>
    <row r="1076" spans="4:17" x14ac:dyDescent="0.25">
      <c r="D1076" s="157" t="s">
        <v>6241</v>
      </c>
      <c r="E1076" s="156" t="s">
        <v>6242</v>
      </c>
      <c r="F1076" s="157"/>
      <c r="G1076" s="156"/>
      <c r="H1076" s="157"/>
      <c r="I1076" s="157"/>
      <c r="J1076" s="156" t="str">
        <f t="shared" si="17"/>
        <v/>
      </c>
      <c r="K1076" s="162"/>
      <c r="L1076" s="163"/>
      <c r="M1076" s="164"/>
      <c r="N1076" s="157"/>
      <c r="O1076" s="157"/>
      <c r="P1076" s="157"/>
      <c r="Q1076" s="156" t="s">
        <v>6243</v>
      </c>
    </row>
    <row r="1077" spans="4:17" x14ac:dyDescent="0.25">
      <c r="D1077" s="157" t="s">
        <v>6244</v>
      </c>
      <c r="E1077" s="156" t="s">
        <v>6242</v>
      </c>
      <c r="F1077" s="157"/>
      <c r="G1077" s="156"/>
      <c r="H1077" s="157"/>
      <c r="I1077" s="157"/>
      <c r="J1077" s="156" t="str">
        <f t="shared" si="17"/>
        <v/>
      </c>
      <c r="K1077" s="162"/>
      <c r="L1077" s="163"/>
      <c r="M1077" s="164"/>
      <c r="N1077" s="157"/>
      <c r="O1077" s="157"/>
      <c r="P1077" s="157"/>
      <c r="Q1077" s="156" t="s">
        <v>6245</v>
      </c>
    </row>
    <row r="1078" spans="4:17" x14ac:dyDescent="0.25">
      <c r="D1078" s="157" t="s">
        <v>6246</v>
      </c>
      <c r="E1078" s="156" t="s">
        <v>6242</v>
      </c>
      <c r="F1078" s="157"/>
      <c r="G1078" s="156"/>
      <c r="H1078" s="157"/>
      <c r="I1078" s="157"/>
      <c r="J1078" s="156" t="str">
        <f t="shared" si="17"/>
        <v/>
      </c>
      <c r="K1078" s="162"/>
      <c r="L1078" s="163"/>
      <c r="M1078" s="164"/>
      <c r="N1078" s="157"/>
      <c r="O1078" s="157"/>
      <c r="P1078" s="157"/>
      <c r="Q1078" s="156" t="s">
        <v>6247</v>
      </c>
    </row>
    <row r="1079" spans="4:17" x14ac:dyDescent="0.25">
      <c r="D1079" s="157" t="s">
        <v>6248</v>
      </c>
      <c r="E1079" s="156" t="s">
        <v>6242</v>
      </c>
      <c r="F1079" s="157"/>
      <c r="G1079" s="156"/>
      <c r="H1079" s="157"/>
      <c r="I1079" s="157"/>
      <c r="J1079" s="156" t="str">
        <f t="shared" si="17"/>
        <v/>
      </c>
      <c r="K1079" s="162"/>
      <c r="L1079" s="163"/>
      <c r="M1079" s="164"/>
      <c r="N1079" s="157"/>
      <c r="O1079" s="157"/>
      <c r="P1079" s="157"/>
      <c r="Q1079" s="156" t="s">
        <v>6249</v>
      </c>
    </row>
    <row r="1080" spans="4:17" x14ac:dyDescent="0.25">
      <c r="D1080" s="157" t="s">
        <v>6250</v>
      </c>
      <c r="E1080" s="156" t="s">
        <v>6242</v>
      </c>
      <c r="F1080" s="157"/>
      <c r="G1080" s="156"/>
      <c r="H1080" s="157"/>
      <c r="I1080" s="157"/>
      <c r="J1080" s="156" t="str">
        <f t="shared" si="17"/>
        <v/>
      </c>
      <c r="K1080" s="162"/>
      <c r="L1080" s="163"/>
      <c r="M1080" s="164"/>
      <c r="N1080" s="157"/>
      <c r="O1080" s="157"/>
      <c r="P1080" s="157"/>
      <c r="Q1080" s="156" t="s">
        <v>6251</v>
      </c>
    </row>
    <row r="1081" spans="4:17" x14ac:dyDescent="0.25">
      <c r="D1081" s="157" t="s">
        <v>6252</v>
      </c>
      <c r="E1081" s="156" t="s">
        <v>6242</v>
      </c>
      <c r="F1081" s="157"/>
      <c r="G1081" s="156"/>
      <c r="H1081" s="157"/>
      <c r="I1081" s="157"/>
      <c r="J1081" s="156" t="str">
        <f t="shared" si="17"/>
        <v/>
      </c>
      <c r="K1081" s="162"/>
      <c r="L1081" s="163"/>
      <c r="M1081" s="164"/>
      <c r="N1081" s="157"/>
      <c r="O1081" s="157"/>
      <c r="P1081" s="157"/>
      <c r="Q1081" s="156" t="s">
        <v>6253</v>
      </c>
    </row>
    <row r="1082" spans="4:17" x14ac:dyDescent="0.25">
      <c r="D1082" s="157" t="s">
        <v>6254</v>
      </c>
      <c r="E1082" s="156" t="s">
        <v>6242</v>
      </c>
      <c r="F1082" s="157"/>
      <c r="G1082" s="156"/>
      <c r="H1082" s="157"/>
      <c r="I1082" s="157"/>
      <c r="J1082" s="156" t="str">
        <f t="shared" si="17"/>
        <v/>
      </c>
      <c r="K1082" s="162"/>
      <c r="L1082" s="163"/>
      <c r="M1082" s="164"/>
      <c r="N1082" s="157"/>
      <c r="O1082" s="157"/>
      <c r="P1082" s="157"/>
      <c r="Q1082" s="156" t="s">
        <v>6255</v>
      </c>
    </row>
    <row r="1083" spans="4:17" x14ac:dyDescent="0.25">
      <c r="D1083" s="157" t="s">
        <v>6256</v>
      </c>
      <c r="E1083" s="156" t="s">
        <v>6242</v>
      </c>
      <c r="F1083" s="157"/>
      <c r="G1083" s="156"/>
      <c r="H1083" s="157"/>
      <c r="I1083" s="157"/>
      <c r="J1083" s="156" t="str">
        <f t="shared" si="17"/>
        <v/>
      </c>
      <c r="K1083" s="162"/>
      <c r="L1083" s="163"/>
      <c r="M1083" s="164"/>
      <c r="N1083" s="157"/>
      <c r="O1083" s="157"/>
      <c r="P1083" s="157"/>
      <c r="Q1083" s="156" t="s">
        <v>6257</v>
      </c>
    </row>
    <row r="1084" spans="4:17" x14ac:dyDescent="0.25">
      <c r="D1084" s="157" t="s">
        <v>6258</v>
      </c>
      <c r="E1084" s="156" t="s">
        <v>6242</v>
      </c>
      <c r="F1084" s="157"/>
      <c r="G1084" s="156"/>
      <c r="H1084" s="157"/>
      <c r="I1084" s="157"/>
      <c r="J1084" s="156" t="str">
        <f t="shared" si="17"/>
        <v/>
      </c>
      <c r="K1084" s="162"/>
      <c r="L1084" s="163"/>
      <c r="M1084" s="164"/>
      <c r="N1084" s="157"/>
      <c r="O1084" s="157"/>
      <c r="P1084" s="157"/>
      <c r="Q1084" s="156" t="s">
        <v>6259</v>
      </c>
    </row>
    <row r="1085" spans="4:17" x14ac:dyDescent="0.25">
      <c r="D1085" s="157" t="s">
        <v>6260</v>
      </c>
      <c r="E1085" s="156" t="s">
        <v>6242</v>
      </c>
      <c r="F1085" s="157"/>
      <c r="G1085" s="156"/>
      <c r="H1085" s="157"/>
      <c r="I1085" s="157"/>
      <c r="J1085" s="156" t="str">
        <f t="shared" si="17"/>
        <v/>
      </c>
      <c r="K1085" s="162"/>
      <c r="L1085" s="163"/>
      <c r="M1085" s="164"/>
      <c r="N1085" s="157"/>
      <c r="O1085" s="157"/>
      <c r="P1085" s="157"/>
      <c r="Q1085" s="156" t="s">
        <v>6261</v>
      </c>
    </row>
    <row r="1086" spans="4:17" x14ac:dyDescent="0.25">
      <c r="D1086" s="157" t="s">
        <v>6262</v>
      </c>
      <c r="E1086" s="156" t="s">
        <v>6242</v>
      </c>
      <c r="F1086" s="157"/>
      <c r="G1086" s="156"/>
      <c r="H1086" s="157"/>
      <c r="I1086" s="157"/>
      <c r="J1086" s="156" t="str">
        <f t="shared" si="17"/>
        <v/>
      </c>
      <c r="K1086" s="162"/>
      <c r="L1086" s="163"/>
      <c r="M1086" s="164"/>
      <c r="N1086" s="157"/>
      <c r="O1086" s="157"/>
      <c r="P1086" s="157"/>
      <c r="Q1086" s="156" t="s">
        <v>6263</v>
      </c>
    </row>
    <row r="1087" spans="4:17" x14ac:dyDescent="0.25">
      <c r="D1087" s="157" t="s">
        <v>6264</v>
      </c>
      <c r="E1087" s="156" t="s">
        <v>6242</v>
      </c>
      <c r="F1087" s="157"/>
      <c r="G1087" s="156"/>
      <c r="H1087" s="157"/>
      <c r="I1087" s="157"/>
      <c r="J1087" s="156" t="str">
        <f t="shared" si="17"/>
        <v/>
      </c>
      <c r="K1087" s="162"/>
      <c r="L1087" s="163"/>
      <c r="M1087" s="164"/>
      <c r="N1087" s="157"/>
      <c r="O1087" s="157"/>
      <c r="P1087" s="157"/>
      <c r="Q1087" s="156" t="s">
        <v>6265</v>
      </c>
    </row>
    <row r="1088" spans="4:17" x14ac:dyDescent="0.25">
      <c r="D1088" s="157" t="s">
        <v>6266</v>
      </c>
      <c r="E1088" s="156" t="s">
        <v>6242</v>
      </c>
      <c r="F1088" s="157"/>
      <c r="G1088" s="156"/>
      <c r="H1088" s="157"/>
      <c r="I1088" s="157"/>
      <c r="J1088" s="156" t="str">
        <f t="shared" si="17"/>
        <v/>
      </c>
      <c r="K1088" s="162"/>
      <c r="L1088" s="163"/>
      <c r="M1088" s="164"/>
      <c r="N1088" s="157"/>
      <c r="O1088" s="157"/>
      <c r="P1088" s="157"/>
      <c r="Q1088" s="156" t="s">
        <v>6267</v>
      </c>
    </row>
    <row r="1089" spans="4:17" x14ac:dyDescent="0.25">
      <c r="D1089" s="157" t="s">
        <v>6268</v>
      </c>
      <c r="E1089" s="156" t="s">
        <v>6242</v>
      </c>
      <c r="F1089" s="157"/>
      <c r="G1089" s="156"/>
      <c r="H1089" s="157"/>
      <c r="I1089" s="157"/>
      <c r="J1089" s="156" t="str">
        <f t="shared" si="17"/>
        <v/>
      </c>
      <c r="K1089" s="162"/>
      <c r="L1089" s="163"/>
      <c r="M1089" s="164"/>
      <c r="N1089" s="157"/>
      <c r="O1089" s="157"/>
      <c r="P1089" s="157"/>
      <c r="Q1089" s="156" t="s">
        <v>6269</v>
      </c>
    </row>
    <row r="1090" spans="4:17" x14ac:dyDescent="0.25">
      <c r="D1090" s="157" t="s">
        <v>6270</v>
      </c>
      <c r="E1090" s="156" t="s">
        <v>6242</v>
      </c>
      <c r="F1090" s="157"/>
      <c r="G1090" s="156"/>
      <c r="H1090" s="157"/>
      <c r="I1090" s="157"/>
      <c r="J1090" s="156" t="str">
        <f t="shared" si="17"/>
        <v/>
      </c>
      <c r="K1090" s="162"/>
      <c r="L1090" s="163"/>
      <c r="M1090" s="164"/>
      <c r="N1090" s="157"/>
      <c r="O1090" s="157"/>
      <c r="P1090" s="157"/>
      <c r="Q1090" s="156" t="s">
        <v>6271</v>
      </c>
    </row>
    <row r="1091" spans="4:17" x14ac:dyDescent="0.25">
      <c r="D1091" s="157" t="s">
        <v>6272</v>
      </c>
      <c r="E1091" s="156" t="s">
        <v>6242</v>
      </c>
      <c r="F1091" s="157"/>
      <c r="G1091" s="156"/>
      <c r="H1091" s="157"/>
      <c r="I1091" s="157"/>
      <c r="J1091" s="156" t="str">
        <f t="shared" si="17"/>
        <v/>
      </c>
      <c r="K1091" s="162"/>
      <c r="L1091" s="163"/>
      <c r="M1091" s="164"/>
      <c r="N1091" s="157"/>
      <c r="O1091" s="157"/>
      <c r="P1091" s="157"/>
      <c r="Q1091" s="156" t="s">
        <v>6273</v>
      </c>
    </row>
    <row r="1092" spans="4:17" x14ac:dyDescent="0.25">
      <c r="D1092" s="157" t="s">
        <v>6274</v>
      </c>
      <c r="E1092" s="156" t="s">
        <v>6242</v>
      </c>
      <c r="F1092" s="157"/>
      <c r="G1092" s="156"/>
      <c r="H1092" s="157"/>
      <c r="I1092" s="157"/>
      <c r="J1092" s="156" t="str">
        <f t="shared" si="17"/>
        <v/>
      </c>
      <c r="K1092" s="162"/>
      <c r="L1092" s="163"/>
      <c r="M1092" s="164"/>
      <c r="N1092" s="157"/>
      <c r="O1092" s="157"/>
      <c r="P1092" s="157"/>
      <c r="Q1092" s="156" t="s">
        <v>6275</v>
      </c>
    </row>
    <row r="1093" spans="4:17" x14ac:dyDescent="0.25">
      <c r="D1093" s="157" t="s">
        <v>6276</v>
      </c>
      <c r="E1093" s="156" t="s">
        <v>6242</v>
      </c>
      <c r="F1093" s="157"/>
      <c r="G1093" s="156"/>
      <c r="H1093" s="157"/>
      <c r="I1093" s="157"/>
      <c r="J1093" s="156" t="str">
        <f t="shared" si="17"/>
        <v/>
      </c>
      <c r="K1093" s="162"/>
      <c r="L1093" s="163"/>
      <c r="M1093" s="164"/>
      <c r="N1093" s="157"/>
      <c r="O1093" s="157"/>
      <c r="P1093" s="157"/>
      <c r="Q1093" s="156" t="s">
        <v>6277</v>
      </c>
    </row>
    <row r="1094" spans="4:17" x14ac:dyDescent="0.25">
      <c r="D1094" s="157" t="s">
        <v>6278</v>
      </c>
      <c r="E1094" s="156" t="s">
        <v>6242</v>
      </c>
      <c r="F1094" s="157"/>
      <c r="G1094" s="156"/>
      <c r="H1094" s="157"/>
      <c r="I1094" s="157"/>
      <c r="J1094" s="156" t="str">
        <f t="shared" si="17"/>
        <v/>
      </c>
      <c r="K1094" s="162"/>
      <c r="L1094" s="163"/>
      <c r="M1094" s="164"/>
      <c r="N1094" s="157"/>
      <c r="O1094" s="157"/>
      <c r="P1094" s="157"/>
      <c r="Q1094" s="156" t="s">
        <v>6279</v>
      </c>
    </row>
    <row r="1095" spans="4:17" x14ac:dyDescent="0.25">
      <c r="D1095" s="157" t="s">
        <v>6280</v>
      </c>
      <c r="E1095" s="156" t="s">
        <v>6242</v>
      </c>
      <c r="F1095" s="157"/>
      <c r="G1095" s="156"/>
      <c r="H1095" s="157"/>
      <c r="I1095" s="157"/>
      <c r="J1095" s="156" t="str">
        <f t="shared" si="17"/>
        <v/>
      </c>
      <c r="K1095" s="162"/>
      <c r="L1095" s="163"/>
      <c r="M1095" s="164"/>
      <c r="N1095" s="157"/>
      <c r="O1095" s="157"/>
      <c r="P1095" s="157"/>
      <c r="Q1095" s="156" t="s">
        <v>6281</v>
      </c>
    </row>
    <row r="1096" spans="4:17" x14ac:dyDescent="0.25">
      <c r="D1096" s="157" t="s">
        <v>6282</v>
      </c>
      <c r="E1096" s="156" t="s">
        <v>6283</v>
      </c>
      <c r="F1096" s="157"/>
      <c r="G1096" s="156"/>
      <c r="H1096" s="157"/>
      <c r="I1096" s="157"/>
      <c r="J1096" s="156" t="str">
        <f t="shared" si="17"/>
        <v/>
      </c>
      <c r="K1096" s="162"/>
      <c r="L1096" s="163"/>
      <c r="M1096" s="164"/>
      <c r="N1096" s="157"/>
      <c r="O1096" s="157"/>
      <c r="P1096" s="157"/>
      <c r="Q1096" s="156" t="s">
        <v>6284</v>
      </c>
    </row>
    <row r="1097" spans="4:17" x14ac:dyDescent="0.25">
      <c r="D1097" s="157" t="s">
        <v>6285</v>
      </c>
      <c r="E1097" s="156" t="s">
        <v>6283</v>
      </c>
      <c r="F1097" s="157"/>
      <c r="G1097" s="156"/>
      <c r="H1097" s="157"/>
      <c r="I1097" s="157"/>
      <c r="J1097" s="156" t="str">
        <f t="shared" si="17"/>
        <v/>
      </c>
      <c r="K1097" s="162"/>
      <c r="L1097" s="163"/>
      <c r="M1097" s="164"/>
      <c r="N1097" s="157"/>
      <c r="O1097" s="157"/>
      <c r="P1097" s="157"/>
      <c r="Q1097" s="156" t="s">
        <v>6286</v>
      </c>
    </row>
    <row r="1098" spans="4:17" x14ac:dyDescent="0.25">
      <c r="D1098" s="157" t="s">
        <v>6287</v>
      </c>
      <c r="E1098" s="156" t="s">
        <v>6283</v>
      </c>
      <c r="F1098" s="157"/>
      <c r="G1098" s="156"/>
      <c r="H1098" s="157"/>
      <c r="I1098" s="157"/>
      <c r="J1098" s="156" t="str">
        <f t="shared" si="17"/>
        <v/>
      </c>
      <c r="K1098" s="162"/>
      <c r="L1098" s="163"/>
      <c r="M1098" s="164"/>
      <c r="N1098" s="157"/>
      <c r="O1098" s="157"/>
      <c r="P1098" s="157"/>
      <c r="Q1098" s="156" t="s">
        <v>6288</v>
      </c>
    </row>
    <row r="1099" spans="4:17" x14ac:dyDescent="0.25">
      <c r="D1099" s="157" t="s">
        <v>6289</v>
      </c>
      <c r="E1099" s="156" t="s">
        <v>6283</v>
      </c>
      <c r="F1099" s="157"/>
      <c r="G1099" s="156"/>
      <c r="H1099" s="157"/>
      <c r="I1099" s="157"/>
      <c r="J1099" s="156" t="str">
        <f t="shared" si="17"/>
        <v/>
      </c>
      <c r="K1099" s="162"/>
      <c r="L1099" s="163"/>
      <c r="M1099" s="164"/>
      <c r="N1099" s="157"/>
      <c r="O1099" s="157"/>
      <c r="P1099" s="157"/>
      <c r="Q1099" s="156" t="s">
        <v>6290</v>
      </c>
    </row>
    <row r="1100" spans="4:17" x14ac:dyDescent="0.25">
      <c r="D1100" s="157" t="s">
        <v>6291</v>
      </c>
      <c r="E1100" s="156" t="s">
        <v>6283</v>
      </c>
      <c r="F1100" s="157"/>
      <c r="G1100" s="156"/>
      <c r="H1100" s="157"/>
      <c r="I1100" s="157"/>
      <c r="J1100" s="156" t="str">
        <f t="shared" si="17"/>
        <v/>
      </c>
      <c r="K1100" s="162"/>
      <c r="L1100" s="163"/>
      <c r="M1100" s="164"/>
      <c r="N1100" s="157"/>
      <c r="O1100" s="157"/>
      <c r="P1100" s="157"/>
      <c r="Q1100" s="156" t="s">
        <v>6292</v>
      </c>
    </row>
    <row r="1101" spans="4:17" x14ac:dyDescent="0.25">
      <c r="D1101" s="157" t="s">
        <v>6293</v>
      </c>
      <c r="E1101" s="156" t="s">
        <v>6283</v>
      </c>
      <c r="F1101" s="157"/>
      <c r="G1101" s="156"/>
      <c r="H1101" s="157"/>
      <c r="I1101" s="157"/>
      <c r="J1101" s="156" t="str">
        <f t="shared" si="17"/>
        <v/>
      </c>
      <c r="K1101" s="162"/>
      <c r="L1101" s="163"/>
      <c r="M1101" s="164"/>
      <c r="N1101" s="157"/>
      <c r="O1101" s="157"/>
      <c r="P1101" s="157"/>
      <c r="Q1101" s="156" t="s">
        <v>6294</v>
      </c>
    </row>
    <row r="1102" spans="4:17" x14ac:dyDescent="0.25">
      <c r="D1102" s="157" t="s">
        <v>6295</v>
      </c>
      <c r="E1102" s="156" t="s">
        <v>6283</v>
      </c>
      <c r="F1102" s="157"/>
      <c r="G1102" s="156"/>
      <c r="H1102" s="157"/>
      <c r="I1102" s="157"/>
      <c r="J1102" s="156" t="str">
        <f t="shared" si="17"/>
        <v/>
      </c>
      <c r="K1102" s="162"/>
      <c r="L1102" s="163"/>
      <c r="M1102" s="164"/>
      <c r="N1102" s="157"/>
      <c r="O1102" s="157"/>
      <c r="P1102" s="157"/>
      <c r="Q1102" s="156" t="s">
        <v>6296</v>
      </c>
    </row>
    <row r="1103" spans="4:17" x14ac:dyDescent="0.25">
      <c r="D1103" s="157" t="s">
        <v>6297</v>
      </c>
      <c r="E1103" s="156" t="s">
        <v>6283</v>
      </c>
      <c r="F1103" s="157"/>
      <c r="G1103" s="156"/>
      <c r="H1103" s="157"/>
      <c r="I1103" s="157"/>
      <c r="J1103" s="156" t="str">
        <f t="shared" si="17"/>
        <v/>
      </c>
      <c r="K1103" s="162"/>
      <c r="L1103" s="163"/>
      <c r="M1103" s="164"/>
      <c r="N1103" s="157"/>
      <c r="O1103" s="157"/>
      <c r="P1103" s="157"/>
      <c r="Q1103" s="156" t="s">
        <v>6298</v>
      </c>
    </row>
    <row r="1104" spans="4:17" x14ac:dyDescent="0.25">
      <c r="D1104" s="157" t="s">
        <v>6299</v>
      </c>
      <c r="E1104" s="156" t="s">
        <v>6283</v>
      </c>
      <c r="F1104" s="157"/>
      <c r="G1104" s="156"/>
      <c r="H1104" s="157"/>
      <c r="I1104" s="157"/>
      <c r="J1104" s="156" t="str">
        <f t="shared" si="17"/>
        <v/>
      </c>
      <c r="K1104" s="162"/>
      <c r="L1104" s="163"/>
      <c r="M1104" s="164"/>
      <c r="N1104" s="157"/>
      <c r="O1104" s="157"/>
      <c r="P1104" s="157"/>
      <c r="Q1104" s="156" t="s">
        <v>6300</v>
      </c>
    </row>
    <row r="1105" spans="4:17" x14ac:dyDescent="0.25">
      <c r="D1105" s="157" t="s">
        <v>6301</v>
      </c>
      <c r="E1105" s="156" t="s">
        <v>6283</v>
      </c>
      <c r="F1105" s="157"/>
      <c r="G1105" s="156"/>
      <c r="H1105" s="157"/>
      <c r="I1105" s="157"/>
      <c r="J1105" s="156" t="str">
        <f t="shared" si="17"/>
        <v/>
      </c>
      <c r="K1105" s="162"/>
      <c r="L1105" s="163"/>
      <c r="M1105" s="164"/>
      <c r="N1105" s="157"/>
      <c r="O1105" s="157"/>
      <c r="P1105" s="157"/>
      <c r="Q1105" s="156" t="s">
        <v>6302</v>
      </c>
    </row>
    <row r="1106" spans="4:17" x14ac:dyDescent="0.25">
      <c r="D1106" s="157" t="s">
        <v>6303</v>
      </c>
      <c r="E1106" s="156" t="s">
        <v>6283</v>
      </c>
      <c r="F1106" s="157"/>
      <c r="G1106" s="156"/>
      <c r="H1106" s="157"/>
      <c r="I1106" s="157"/>
      <c r="J1106" s="156" t="str">
        <f t="shared" si="17"/>
        <v/>
      </c>
      <c r="K1106" s="162"/>
      <c r="L1106" s="163"/>
      <c r="M1106" s="164"/>
      <c r="N1106" s="157"/>
      <c r="O1106" s="157"/>
      <c r="P1106" s="157"/>
      <c r="Q1106" s="156" t="s">
        <v>6304</v>
      </c>
    </row>
    <row r="1107" spans="4:17" x14ac:dyDescent="0.25">
      <c r="D1107" s="157" t="s">
        <v>6305</v>
      </c>
      <c r="E1107" s="156" t="s">
        <v>6283</v>
      </c>
      <c r="F1107" s="157"/>
      <c r="G1107" s="156"/>
      <c r="H1107" s="157"/>
      <c r="I1107" s="157"/>
      <c r="J1107" s="156" t="str">
        <f t="shared" si="17"/>
        <v/>
      </c>
      <c r="K1107" s="162"/>
      <c r="L1107" s="163"/>
      <c r="M1107" s="164"/>
      <c r="N1107" s="157"/>
      <c r="O1107" s="157"/>
      <c r="P1107" s="157"/>
      <c r="Q1107" s="156" t="s">
        <v>6306</v>
      </c>
    </row>
    <row r="1108" spans="4:17" x14ac:dyDescent="0.25">
      <c r="D1108" s="157" t="s">
        <v>6307</v>
      </c>
      <c r="E1108" s="156" t="s">
        <v>6283</v>
      </c>
      <c r="F1108" s="157"/>
      <c r="G1108" s="156"/>
      <c r="H1108" s="157"/>
      <c r="I1108" s="157"/>
      <c r="J1108" s="156" t="str">
        <f t="shared" si="17"/>
        <v/>
      </c>
      <c r="K1108" s="162"/>
      <c r="L1108" s="163"/>
      <c r="M1108" s="164"/>
      <c r="N1108" s="157"/>
      <c r="O1108" s="157"/>
      <c r="P1108" s="157"/>
      <c r="Q1108" s="156" t="s">
        <v>6308</v>
      </c>
    </row>
    <row r="1109" spans="4:17" x14ac:dyDescent="0.25">
      <c r="D1109" s="157" t="s">
        <v>6309</v>
      </c>
      <c r="E1109" s="156" t="s">
        <v>6283</v>
      </c>
      <c r="F1109" s="157"/>
      <c r="G1109" s="156"/>
      <c r="H1109" s="157"/>
      <c r="I1109" s="157"/>
      <c r="J1109" s="156" t="str">
        <f t="shared" si="17"/>
        <v/>
      </c>
      <c r="K1109" s="162"/>
      <c r="L1109" s="163"/>
      <c r="M1109" s="164"/>
      <c r="N1109" s="157"/>
      <c r="O1109" s="157"/>
      <c r="P1109" s="157"/>
      <c r="Q1109" s="156" t="s">
        <v>6310</v>
      </c>
    </row>
    <row r="1110" spans="4:17" x14ac:dyDescent="0.25">
      <c r="D1110" s="157" t="s">
        <v>6311</v>
      </c>
      <c r="E1110" s="156" t="s">
        <v>6283</v>
      </c>
      <c r="F1110" s="157"/>
      <c r="G1110" s="156"/>
      <c r="H1110" s="157"/>
      <c r="I1110" s="157"/>
      <c r="J1110" s="156" t="str">
        <f t="shared" si="17"/>
        <v/>
      </c>
      <c r="K1110" s="162"/>
      <c r="L1110" s="163"/>
      <c r="M1110" s="164"/>
      <c r="N1110" s="157"/>
      <c r="O1110" s="157"/>
      <c r="P1110" s="157"/>
      <c r="Q1110" s="156" t="s">
        <v>6312</v>
      </c>
    </row>
    <row r="1111" spans="4:17" x14ac:dyDescent="0.25">
      <c r="D1111" s="157" t="s">
        <v>6313</v>
      </c>
      <c r="E1111" s="156" t="s">
        <v>6283</v>
      </c>
      <c r="F1111" s="157"/>
      <c r="G1111" s="156"/>
      <c r="H1111" s="157"/>
      <c r="I1111" s="157"/>
      <c r="J1111" s="156" t="str">
        <f t="shared" si="17"/>
        <v/>
      </c>
      <c r="K1111" s="162"/>
      <c r="L1111" s="163"/>
      <c r="M1111" s="164"/>
      <c r="N1111" s="157"/>
      <c r="O1111" s="157"/>
      <c r="P1111" s="157"/>
      <c r="Q1111" s="156" t="s">
        <v>6314</v>
      </c>
    </row>
    <row r="1112" spans="4:17" x14ac:dyDescent="0.25">
      <c r="D1112" s="157" t="s">
        <v>6315</v>
      </c>
      <c r="E1112" s="156" t="s">
        <v>6283</v>
      </c>
      <c r="F1112" s="157"/>
      <c r="G1112" s="156"/>
      <c r="H1112" s="157"/>
      <c r="I1112" s="157"/>
      <c r="J1112" s="156" t="str">
        <f t="shared" si="17"/>
        <v/>
      </c>
      <c r="K1112" s="162"/>
      <c r="L1112" s="163"/>
      <c r="M1112" s="164"/>
      <c r="N1112" s="157"/>
      <c r="O1112" s="157"/>
      <c r="P1112" s="157"/>
      <c r="Q1112" s="156" t="s">
        <v>6316</v>
      </c>
    </row>
    <row r="1113" spans="4:17" x14ac:dyDescent="0.25">
      <c r="D1113" s="157" t="s">
        <v>6317</v>
      </c>
      <c r="E1113" s="156" t="s">
        <v>6283</v>
      </c>
      <c r="F1113" s="157"/>
      <c r="G1113" s="156"/>
      <c r="H1113" s="157"/>
      <c r="I1113" s="157"/>
      <c r="J1113" s="156" t="str">
        <f t="shared" si="17"/>
        <v/>
      </c>
      <c r="K1113" s="162"/>
      <c r="L1113" s="163"/>
      <c r="M1113" s="164"/>
      <c r="N1113" s="157"/>
      <c r="O1113" s="157"/>
      <c r="P1113" s="157"/>
      <c r="Q1113" s="156" t="s">
        <v>6318</v>
      </c>
    </row>
    <row r="1114" spans="4:17" x14ac:dyDescent="0.25">
      <c r="D1114" s="157" t="s">
        <v>6319</v>
      </c>
      <c r="E1114" s="156" t="s">
        <v>6283</v>
      </c>
      <c r="F1114" s="157"/>
      <c r="G1114" s="156"/>
      <c r="H1114" s="157"/>
      <c r="I1114" s="157"/>
      <c r="J1114" s="156" t="str">
        <f t="shared" si="17"/>
        <v/>
      </c>
      <c r="K1114" s="162"/>
      <c r="L1114" s="163"/>
      <c r="M1114" s="164"/>
      <c r="N1114" s="157"/>
      <c r="O1114" s="157"/>
      <c r="P1114" s="157"/>
      <c r="Q1114" s="156" t="s">
        <v>6320</v>
      </c>
    </row>
    <row r="1115" spans="4:17" x14ac:dyDescent="0.25">
      <c r="D1115" s="157" t="s">
        <v>6321</v>
      </c>
      <c r="E1115" s="156" t="s">
        <v>6283</v>
      </c>
      <c r="F1115" s="157"/>
      <c r="G1115" s="156"/>
      <c r="H1115" s="157"/>
      <c r="I1115" s="157"/>
      <c r="J1115" s="156" t="str">
        <f t="shared" si="17"/>
        <v/>
      </c>
      <c r="K1115" s="162"/>
      <c r="L1115" s="163"/>
      <c r="M1115" s="164"/>
      <c r="N1115" s="157"/>
      <c r="O1115" s="157"/>
      <c r="P1115" s="157"/>
      <c r="Q1115" s="156" t="s">
        <v>6322</v>
      </c>
    </row>
    <row r="1116" spans="4:17" x14ac:dyDescent="0.25">
      <c r="D1116" s="157" t="s">
        <v>6323</v>
      </c>
      <c r="E1116" s="156" t="s">
        <v>6324</v>
      </c>
      <c r="F1116" s="157"/>
      <c r="G1116" s="156"/>
      <c r="H1116" s="157"/>
      <c r="I1116" s="157"/>
      <c r="J1116" s="156" t="str">
        <f t="shared" si="17"/>
        <v/>
      </c>
      <c r="K1116" s="162"/>
      <c r="L1116" s="163"/>
      <c r="M1116" s="164"/>
      <c r="N1116" s="157"/>
      <c r="O1116" s="157"/>
      <c r="P1116" s="157"/>
      <c r="Q1116" s="156" t="s">
        <v>6325</v>
      </c>
    </row>
    <row r="1117" spans="4:17" x14ac:dyDescent="0.25">
      <c r="D1117" s="157" t="s">
        <v>6326</v>
      </c>
      <c r="E1117" s="156" t="s">
        <v>6324</v>
      </c>
      <c r="F1117" s="157"/>
      <c r="G1117" s="156"/>
      <c r="H1117" s="157"/>
      <c r="I1117" s="157"/>
      <c r="J1117" s="156" t="str">
        <f t="shared" si="17"/>
        <v/>
      </c>
      <c r="K1117" s="162"/>
      <c r="L1117" s="163"/>
      <c r="M1117" s="164"/>
      <c r="N1117" s="157"/>
      <c r="O1117" s="157"/>
      <c r="P1117" s="157"/>
      <c r="Q1117" s="156" t="s">
        <v>6327</v>
      </c>
    </row>
    <row r="1118" spans="4:17" x14ac:dyDescent="0.25">
      <c r="D1118" s="157" t="s">
        <v>6328</v>
      </c>
      <c r="E1118" s="156" t="s">
        <v>6324</v>
      </c>
      <c r="F1118" s="157"/>
      <c r="G1118" s="156"/>
      <c r="H1118" s="157"/>
      <c r="I1118" s="157"/>
      <c r="J1118" s="156" t="str">
        <f t="shared" si="17"/>
        <v/>
      </c>
      <c r="K1118" s="162"/>
      <c r="L1118" s="163"/>
      <c r="M1118" s="164"/>
      <c r="N1118" s="157"/>
      <c r="O1118" s="157"/>
      <c r="P1118" s="157"/>
      <c r="Q1118" s="156" t="s">
        <v>6329</v>
      </c>
    </row>
    <row r="1119" spans="4:17" x14ac:dyDescent="0.25">
      <c r="D1119" s="157" t="s">
        <v>6330</v>
      </c>
      <c r="E1119" s="156" t="s">
        <v>6324</v>
      </c>
      <c r="F1119" s="157"/>
      <c r="G1119" s="156"/>
      <c r="H1119" s="157"/>
      <c r="I1119" s="157"/>
      <c r="J1119" s="156" t="str">
        <f t="shared" si="17"/>
        <v/>
      </c>
      <c r="K1119" s="162"/>
      <c r="L1119" s="163"/>
      <c r="M1119" s="164"/>
      <c r="N1119" s="157"/>
      <c r="O1119" s="157"/>
      <c r="P1119" s="157"/>
      <c r="Q1119" s="156" t="s">
        <v>6331</v>
      </c>
    </row>
    <row r="1120" spans="4:17" x14ac:dyDescent="0.25">
      <c r="D1120" s="157" t="s">
        <v>6332</v>
      </c>
      <c r="E1120" s="156" t="s">
        <v>6324</v>
      </c>
      <c r="F1120" s="157"/>
      <c r="G1120" s="156"/>
      <c r="H1120" s="157"/>
      <c r="I1120" s="157"/>
      <c r="J1120" s="156" t="str">
        <f t="shared" si="17"/>
        <v/>
      </c>
      <c r="K1120" s="162"/>
      <c r="L1120" s="163"/>
      <c r="M1120" s="164"/>
      <c r="N1120" s="157"/>
      <c r="O1120" s="157"/>
      <c r="P1120" s="157"/>
      <c r="Q1120" s="156" t="s">
        <v>6333</v>
      </c>
    </row>
    <row r="1121" spans="4:17" x14ac:dyDescent="0.25">
      <c r="D1121" s="157" t="s">
        <v>6334</v>
      </c>
      <c r="E1121" s="156" t="s">
        <v>6324</v>
      </c>
      <c r="F1121" s="157"/>
      <c r="G1121" s="156"/>
      <c r="H1121" s="157"/>
      <c r="I1121" s="157"/>
      <c r="J1121" s="156" t="str">
        <f t="shared" si="17"/>
        <v/>
      </c>
      <c r="K1121" s="162"/>
      <c r="L1121" s="163"/>
      <c r="M1121" s="164"/>
      <c r="N1121" s="157"/>
      <c r="O1121" s="157"/>
      <c r="P1121" s="157"/>
      <c r="Q1121" s="156" t="s">
        <v>6335</v>
      </c>
    </row>
    <row r="1122" spans="4:17" x14ac:dyDescent="0.25">
      <c r="D1122" s="157" t="s">
        <v>6336</v>
      </c>
      <c r="E1122" s="156" t="s">
        <v>6324</v>
      </c>
      <c r="F1122" s="157"/>
      <c r="G1122" s="156"/>
      <c r="H1122" s="157"/>
      <c r="I1122" s="157"/>
      <c r="J1122" s="156" t="str">
        <f t="shared" si="17"/>
        <v/>
      </c>
      <c r="K1122" s="162"/>
      <c r="L1122" s="163"/>
      <c r="M1122" s="164"/>
      <c r="N1122" s="157"/>
      <c r="O1122" s="157"/>
      <c r="P1122" s="157"/>
      <c r="Q1122" s="156" t="s">
        <v>6337</v>
      </c>
    </row>
    <row r="1123" spans="4:17" x14ac:dyDescent="0.25">
      <c r="D1123" s="157" t="s">
        <v>6338</v>
      </c>
      <c r="E1123" s="156" t="s">
        <v>6324</v>
      </c>
      <c r="F1123" s="157"/>
      <c r="G1123" s="156"/>
      <c r="H1123" s="157"/>
      <c r="I1123" s="157"/>
      <c r="J1123" s="156" t="str">
        <f t="shared" si="17"/>
        <v/>
      </c>
      <c r="K1123" s="162"/>
      <c r="L1123" s="163"/>
      <c r="M1123" s="164"/>
      <c r="N1123" s="157"/>
      <c r="O1123" s="157"/>
      <c r="P1123" s="157"/>
      <c r="Q1123" s="156" t="s">
        <v>6339</v>
      </c>
    </row>
    <row r="1124" spans="4:17" x14ac:dyDescent="0.25">
      <c r="D1124" s="157" t="s">
        <v>6340</v>
      </c>
      <c r="E1124" s="156" t="s">
        <v>6324</v>
      </c>
      <c r="F1124" s="157"/>
      <c r="G1124" s="156"/>
      <c r="H1124" s="157"/>
      <c r="I1124" s="157"/>
      <c r="J1124" s="156" t="str">
        <f t="shared" si="17"/>
        <v/>
      </c>
      <c r="K1124" s="162"/>
      <c r="L1124" s="163"/>
      <c r="M1124" s="164"/>
      <c r="N1124" s="157"/>
      <c r="O1124" s="157"/>
      <c r="P1124" s="157"/>
      <c r="Q1124" s="156" t="s">
        <v>6341</v>
      </c>
    </row>
    <row r="1125" spans="4:17" x14ac:dyDescent="0.25">
      <c r="D1125" s="157" t="s">
        <v>6342</v>
      </c>
      <c r="E1125" s="156" t="s">
        <v>6324</v>
      </c>
      <c r="F1125" s="157"/>
      <c r="G1125" s="156"/>
      <c r="H1125" s="157"/>
      <c r="I1125" s="157"/>
      <c r="J1125" s="156" t="str">
        <f t="shared" si="17"/>
        <v/>
      </c>
      <c r="K1125" s="162"/>
      <c r="L1125" s="163"/>
      <c r="M1125" s="164"/>
      <c r="N1125" s="157"/>
      <c r="O1125" s="157"/>
      <c r="P1125" s="157"/>
      <c r="Q1125" s="156" t="s">
        <v>6343</v>
      </c>
    </row>
    <row r="1126" spans="4:17" x14ac:dyDescent="0.25">
      <c r="D1126" s="157" t="s">
        <v>6344</v>
      </c>
      <c r="E1126" s="156" t="s">
        <v>6324</v>
      </c>
      <c r="F1126" s="157"/>
      <c r="G1126" s="156"/>
      <c r="H1126" s="157"/>
      <c r="I1126" s="157"/>
      <c r="J1126" s="156" t="str">
        <f t="shared" si="17"/>
        <v/>
      </c>
      <c r="K1126" s="162"/>
      <c r="L1126" s="163"/>
      <c r="M1126" s="164"/>
      <c r="N1126" s="157"/>
      <c r="O1126" s="157"/>
      <c r="P1126" s="157"/>
      <c r="Q1126" s="156" t="s">
        <v>6345</v>
      </c>
    </row>
    <row r="1127" spans="4:17" x14ac:dyDescent="0.25">
      <c r="D1127" s="157" t="s">
        <v>6346</v>
      </c>
      <c r="E1127" s="156" t="s">
        <v>6324</v>
      </c>
      <c r="F1127" s="157"/>
      <c r="G1127" s="156"/>
      <c r="H1127" s="157"/>
      <c r="I1127" s="157"/>
      <c r="J1127" s="156" t="str">
        <f t="shared" si="17"/>
        <v/>
      </c>
      <c r="K1127" s="162"/>
      <c r="L1127" s="163"/>
      <c r="M1127" s="164"/>
      <c r="N1127" s="157"/>
      <c r="O1127" s="157"/>
      <c r="P1127" s="157"/>
      <c r="Q1127" s="156" t="s">
        <v>6347</v>
      </c>
    </row>
    <row r="1128" spans="4:17" x14ac:dyDescent="0.25">
      <c r="D1128" s="157" t="s">
        <v>6348</v>
      </c>
      <c r="E1128" s="156" t="s">
        <v>6324</v>
      </c>
      <c r="F1128" s="157"/>
      <c r="G1128" s="156"/>
      <c r="H1128" s="157"/>
      <c r="I1128" s="157"/>
      <c r="J1128" s="156" t="str">
        <f t="shared" ref="J1128:J1191" si="18">F1128&amp;H1128&amp;I1128</f>
        <v/>
      </c>
      <c r="K1128" s="162"/>
      <c r="L1128" s="163"/>
      <c r="M1128" s="164"/>
      <c r="N1128" s="157"/>
      <c r="O1128" s="157"/>
      <c r="P1128" s="157"/>
      <c r="Q1128" s="156" t="s">
        <v>6349</v>
      </c>
    </row>
    <row r="1129" spans="4:17" x14ac:dyDescent="0.25">
      <c r="D1129" s="157" t="s">
        <v>6350</v>
      </c>
      <c r="E1129" s="156" t="s">
        <v>6324</v>
      </c>
      <c r="F1129" s="157"/>
      <c r="G1129" s="156"/>
      <c r="H1129" s="157"/>
      <c r="I1129" s="157"/>
      <c r="J1129" s="156" t="str">
        <f t="shared" si="18"/>
        <v/>
      </c>
      <c r="K1129" s="162"/>
      <c r="L1129" s="163"/>
      <c r="M1129" s="164"/>
      <c r="N1129" s="157"/>
      <c r="O1129" s="157"/>
      <c r="P1129" s="157"/>
      <c r="Q1129" s="156" t="s">
        <v>6351</v>
      </c>
    </row>
    <row r="1130" spans="4:17" x14ac:dyDescent="0.25">
      <c r="D1130" s="157" t="s">
        <v>6352</v>
      </c>
      <c r="E1130" s="156" t="s">
        <v>6324</v>
      </c>
      <c r="F1130" s="157"/>
      <c r="G1130" s="156"/>
      <c r="H1130" s="157"/>
      <c r="I1130" s="157"/>
      <c r="J1130" s="156" t="str">
        <f t="shared" si="18"/>
        <v/>
      </c>
      <c r="K1130" s="162"/>
      <c r="L1130" s="163"/>
      <c r="M1130" s="164"/>
      <c r="N1130" s="157"/>
      <c r="O1130" s="157"/>
      <c r="P1130" s="157"/>
      <c r="Q1130" s="156" t="s">
        <v>6353</v>
      </c>
    </row>
    <row r="1131" spans="4:17" x14ac:dyDescent="0.25">
      <c r="D1131" s="157" t="s">
        <v>6354</v>
      </c>
      <c r="E1131" s="156" t="s">
        <v>6324</v>
      </c>
      <c r="F1131" s="157"/>
      <c r="G1131" s="156"/>
      <c r="H1131" s="157"/>
      <c r="I1131" s="157"/>
      <c r="J1131" s="156" t="str">
        <f t="shared" si="18"/>
        <v/>
      </c>
      <c r="K1131" s="162"/>
      <c r="L1131" s="163"/>
      <c r="M1131" s="164"/>
      <c r="N1131" s="157"/>
      <c r="O1131" s="157"/>
      <c r="P1131" s="157"/>
      <c r="Q1131" s="156" t="s">
        <v>6355</v>
      </c>
    </row>
    <row r="1132" spans="4:17" x14ac:dyDescent="0.25">
      <c r="D1132" s="157" t="s">
        <v>6356</v>
      </c>
      <c r="E1132" s="156" t="s">
        <v>6324</v>
      </c>
      <c r="F1132" s="157"/>
      <c r="G1132" s="156"/>
      <c r="H1132" s="157"/>
      <c r="I1132" s="157"/>
      <c r="J1132" s="156" t="str">
        <f t="shared" si="18"/>
        <v/>
      </c>
      <c r="K1132" s="162"/>
      <c r="L1132" s="163"/>
      <c r="M1132" s="164"/>
      <c r="N1132" s="157"/>
      <c r="O1132" s="157"/>
      <c r="P1132" s="157"/>
      <c r="Q1132" s="156" t="s">
        <v>6357</v>
      </c>
    </row>
    <row r="1133" spans="4:17" x14ac:dyDescent="0.25">
      <c r="D1133" s="157" t="s">
        <v>6358</v>
      </c>
      <c r="E1133" s="156" t="s">
        <v>6324</v>
      </c>
      <c r="F1133" s="157"/>
      <c r="G1133" s="156"/>
      <c r="H1133" s="157"/>
      <c r="I1133" s="157"/>
      <c r="J1133" s="156" t="str">
        <f t="shared" si="18"/>
        <v/>
      </c>
      <c r="K1133" s="162"/>
      <c r="L1133" s="163"/>
      <c r="M1133" s="164"/>
      <c r="N1133" s="157"/>
      <c r="O1133" s="157"/>
      <c r="P1133" s="157"/>
      <c r="Q1133" s="156" t="s">
        <v>6359</v>
      </c>
    </row>
    <row r="1134" spans="4:17" x14ac:dyDescent="0.25">
      <c r="D1134" s="157" t="s">
        <v>6360</v>
      </c>
      <c r="E1134" s="156" t="s">
        <v>6324</v>
      </c>
      <c r="F1134" s="157"/>
      <c r="G1134" s="156"/>
      <c r="H1134" s="157"/>
      <c r="I1134" s="157"/>
      <c r="J1134" s="156" t="str">
        <f t="shared" si="18"/>
        <v/>
      </c>
      <c r="K1134" s="162"/>
      <c r="L1134" s="163"/>
      <c r="M1134" s="164"/>
      <c r="N1134" s="157"/>
      <c r="O1134" s="157"/>
      <c r="P1134" s="157"/>
      <c r="Q1134" s="156" t="s">
        <v>6361</v>
      </c>
    </row>
    <row r="1135" spans="4:17" x14ac:dyDescent="0.25">
      <c r="D1135" s="157" t="s">
        <v>6362</v>
      </c>
      <c r="E1135" s="156" t="s">
        <v>6324</v>
      </c>
      <c r="F1135" s="157"/>
      <c r="G1135" s="156"/>
      <c r="H1135" s="157"/>
      <c r="I1135" s="157"/>
      <c r="J1135" s="156" t="str">
        <f t="shared" si="18"/>
        <v/>
      </c>
      <c r="K1135" s="162"/>
      <c r="L1135" s="163"/>
      <c r="M1135" s="164"/>
      <c r="N1135" s="157"/>
      <c r="O1135" s="157"/>
      <c r="P1135" s="157"/>
      <c r="Q1135" s="156" t="s">
        <v>6363</v>
      </c>
    </row>
    <row r="1136" spans="4:17" x14ac:dyDescent="0.25">
      <c r="D1136" s="157" t="s">
        <v>6364</v>
      </c>
      <c r="E1136" s="156" t="s">
        <v>6365</v>
      </c>
      <c r="F1136" s="157"/>
      <c r="G1136" s="156"/>
      <c r="H1136" s="157"/>
      <c r="I1136" s="157"/>
      <c r="J1136" s="156" t="str">
        <f t="shared" si="18"/>
        <v/>
      </c>
      <c r="K1136" s="162"/>
      <c r="L1136" s="163"/>
      <c r="M1136" s="164"/>
      <c r="N1136" s="157"/>
      <c r="O1136" s="157"/>
      <c r="P1136" s="157"/>
      <c r="Q1136" s="156" t="s">
        <v>6366</v>
      </c>
    </row>
    <row r="1137" spans="4:17" x14ac:dyDescent="0.25">
      <c r="D1137" s="157" t="s">
        <v>6367</v>
      </c>
      <c r="E1137" s="156" t="s">
        <v>6365</v>
      </c>
      <c r="F1137" s="157"/>
      <c r="G1137" s="156"/>
      <c r="H1137" s="157"/>
      <c r="I1137" s="157"/>
      <c r="J1137" s="156" t="str">
        <f t="shared" si="18"/>
        <v/>
      </c>
      <c r="K1137" s="162"/>
      <c r="L1137" s="163"/>
      <c r="M1137" s="164"/>
      <c r="N1137" s="157"/>
      <c r="O1137" s="157"/>
      <c r="P1137" s="157"/>
      <c r="Q1137" s="156" t="s">
        <v>6368</v>
      </c>
    </row>
    <row r="1138" spans="4:17" x14ac:dyDescent="0.25">
      <c r="D1138" s="157" t="s">
        <v>6369</v>
      </c>
      <c r="E1138" s="156" t="s">
        <v>6365</v>
      </c>
      <c r="F1138" s="157"/>
      <c r="G1138" s="156"/>
      <c r="H1138" s="157"/>
      <c r="I1138" s="157"/>
      <c r="J1138" s="156" t="str">
        <f t="shared" si="18"/>
        <v/>
      </c>
      <c r="K1138" s="162"/>
      <c r="L1138" s="163"/>
      <c r="M1138" s="164"/>
      <c r="N1138" s="157"/>
      <c r="O1138" s="157"/>
      <c r="P1138" s="157"/>
      <c r="Q1138" s="156" t="s">
        <v>6370</v>
      </c>
    </row>
    <row r="1139" spans="4:17" x14ac:dyDescent="0.25">
      <c r="D1139" s="157" t="s">
        <v>6371</v>
      </c>
      <c r="E1139" s="156" t="s">
        <v>6365</v>
      </c>
      <c r="F1139" s="157"/>
      <c r="G1139" s="156"/>
      <c r="H1139" s="157"/>
      <c r="I1139" s="157"/>
      <c r="J1139" s="156" t="str">
        <f t="shared" si="18"/>
        <v/>
      </c>
      <c r="K1139" s="162"/>
      <c r="L1139" s="163"/>
      <c r="M1139" s="164"/>
      <c r="N1139" s="157"/>
      <c r="O1139" s="157"/>
      <c r="P1139" s="157"/>
      <c r="Q1139" s="156" t="s">
        <v>6372</v>
      </c>
    </row>
    <row r="1140" spans="4:17" x14ac:dyDescent="0.25">
      <c r="D1140" s="157" t="s">
        <v>6373</v>
      </c>
      <c r="E1140" s="156" t="s">
        <v>6365</v>
      </c>
      <c r="F1140" s="157"/>
      <c r="G1140" s="156"/>
      <c r="H1140" s="157"/>
      <c r="I1140" s="157"/>
      <c r="J1140" s="156" t="str">
        <f t="shared" si="18"/>
        <v/>
      </c>
      <c r="K1140" s="162"/>
      <c r="L1140" s="163"/>
      <c r="M1140" s="164"/>
      <c r="N1140" s="157"/>
      <c r="O1140" s="157"/>
      <c r="P1140" s="157"/>
      <c r="Q1140" s="156" t="s">
        <v>6374</v>
      </c>
    </row>
    <row r="1141" spans="4:17" x14ac:dyDescent="0.25">
      <c r="D1141" s="157" t="s">
        <v>6375</v>
      </c>
      <c r="E1141" s="156" t="s">
        <v>6365</v>
      </c>
      <c r="F1141" s="157"/>
      <c r="G1141" s="156"/>
      <c r="H1141" s="157"/>
      <c r="I1141" s="157"/>
      <c r="J1141" s="156" t="str">
        <f t="shared" si="18"/>
        <v/>
      </c>
      <c r="K1141" s="162"/>
      <c r="L1141" s="163"/>
      <c r="M1141" s="164"/>
      <c r="N1141" s="157"/>
      <c r="O1141" s="157"/>
      <c r="P1141" s="157"/>
      <c r="Q1141" s="156" t="s">
        <v>6376</v>
      </c>
    </row>
    <row r="1142" spans="4:17" x14ac:dyDescent="0.25">
      <c r="D1142" s="157" t="s">
        <v>6377</v>
      </c>
      <c r="E1142" s="156" t="s">
        <v>6365</v>
      </c>
      <c r="F1142" s="157"/>
      <c r="G1142" s="156"/>
      <c r="H1142" s="157"/>
      <c r="I1142" s="157"/>
      <c r="J1142" s="156" t="str">
        <f t="shared" si="18"/>
        <v/>
      </c>
      <c r="K1142" s="162"/>
      <c r="L1142" s="163"/>
      <c r="M1142" s="164"/>
      <c r="N1142" s="157"/>
      <c r="O1142" s="157"/>
      <c r="P1142" s="157"/>
      <c r="Q1142" s="156" t="s">
        <v>6378</v>
      </c>
    </row>
    <row r="1143" spans="4:17" x14ac:dyDescent="0.25">
      <c r="D1143" s="157" t="s">
        <v>6379</v>
      </c>
      <c r="E1143" s="156" t="s">
        <v>6365</v>
      </c>
      <c r="F1143" s="157"/>
      <c r="G1143" s="156"/>
      <c r="H1143" s="157"/>
      <c r="I1143" s="157"/>
      <c r="J1143" s="156" t="str">
        <f t="shared" si="18"/>
        <v/>
      </c>
      <c r="K1143" s="162"/>
      <c r="L1143" s="163"/>
      <c r="M1143" s="164"/>
      <c r="N1143" s="157"/>
      <c r="O1143" s="157"/>
      <c r="P1143" s="157"/>
      <c r="Q1143" s="156" t="s">
        <v>6380</v>
      </c>
    </row>
    <row r="1144" spans="4:17" x14ac:dyDescent="0.25">
      <c r="D1144" s="157" t="s">
        <v>6381</v>
      </c>
      <c r="E1144" s="156" t="s">
        <v>6365</v>
      </c>
      <c r="F1144" s="157"/>
      <c r="G1144" s="156"/>
      <c r="H1144" s="157"/>
      <c r="I1144" s="157"/>
      <c r="J1144" s="156" t="str">
        <f t="shared" si="18"/>
        <v/>
      </c>
      <c r="K1144" s="162"/>
      <c r="L1144" s="163"/>
      <c r="M1144" s="164"/>
      <c r="N1144" s="157"/>
      <c r="O1144" s="157"/>
      <c r="P1144" s="157"/>
      <c r="Q1144" s="156" t="s">
        <v>6382</v>
      </c>
    </row>
    <row r="1145" spans="4:17" x14ac:dyDescent="0.25">
      <c r="D1145" s="157" t="s">
        <v>6383</v>
      </c>
      <c r="E1145" s="156" t="s">
        <v>6365</v>
      </c>
      <c r="F1145" s="157"/>
      <c r="G1145" s="156"/>
      <c r="H1145" s="157"/>
      <c r="I1145" s="157"/>
      <c r="J1145" s="156" t="str">
        <f t="shared" si="18"/>
        <v/>
      </c>
      <c r="K1145" s="162"/>
      <c r="L1145" s="163"/>
      <c r="M1145" s="164"/>
      <c r="N1145" s="157"/>
      <c r="O1145" s="157"/>
      <c r="P1145" s="157"/>
      <c r="Q1145" s="156" t="s">
        <v>6384</v>
      </c>
    </row>
    <row r="1146" spans="4:17" x14ac:dyDescent="0.25">
      <c r="D1146" s="157" t="s">
        <v>6385</v>
      </c>
      <c r="E1146" s="156" t="s">
        <v>6365</v>
      </c>
      <c r="F1146" s="157"/>
      <c r="G1146" s="156"/>
      <c r="H1146" s="157"/>
      <c r="I1146" s="157"/>
      <c r="J1146" s="156" t="str">
        <f t="shared" si="18"/>
        <v/>
      </c>
      <c r="K1146" s="162"/>
      <c r="L1146" s="163"/>
      <c r="M1146" s="164"/>
      <c r="N1146" s="157"/>
      <c r="O1146" s="157"/>
      <c r="P1146" s="157"/>
      <c r="Q1146" s="156" t="s">
        <v>6386</v>
      </c>
    </row>
    <row r="1147" spans="4:17" x14ac:dyDescent="0.25">
      <c r="D1147" s="157" t="s">
        <v>6387</v>
      </c>
      <c r="E1147" s="156" t="s">
        <v>6365</v>
      </c>
      <c r="F1147" s="157"/>
      <c r="G1147" s="156"/>
      <c r="H1147" s="157"/>
      <c r="I1147" s="157"/>
      <c r="J1147" s="156" t="str">
        <f t="shared" si="18"/>
        <v/>
      </c>
      <c r="K1147" s="162"/>
      <c r="L1147" s="163"/>
      <c r="M1147" s="164"/>
      <c r="N1147" s="157"/>
      <c r="O1147" s="157"/>
      <c r="P1147" s="157"/>
      <c r="Q1147" s="156" t="s">
        <v>6388</v>
      </c>
    </row>
    <row r="1148" spans="4:17" x14ac:dyDescent="0.25">
      <c r="D1148" s="157" t="s">
        <v>6389</v>
      </c>
      <c r="E1148" s="156" t="s">
        <v>6365</v>
      </c>
      <c r="F1148" s="157"/>
      <c r="G1148" s="156"/>
      <c r="H1148" s="157"/>
      <c r="I1148" s="157"/>
      <c r="J1148" s="156" t="str">
        <f t="shared" si="18"/>
        <v/>
      </c>
      <c r="K1148" s="162"/>
      <c r="L1148" s="163"/>
      <c r="M1148" s="164"/>
      <c r="N1148" s="157"/>
      <c r="O1148" s="157"/>
      <c r="P1148" s="157"/>
      <c r="Q1148" s="156" t="s">
        <v>6390</v>
      </c>
    </row>
    <row r="1149" spans="4:17" x14ac:dyDescent="0.25">
      <c r="D1149" s="157" t="s">
        <v>6391</v>
      </c>
      <c r="E1149" s="156" t="s">
        <v>6365</v>
      </c>
      <c r="F1149" s="157"/>
      <c r="G1149" s="156"/>
      <c r="H1149" s="157"/>
      <c r="I1149" s="157"/>
      <c r="J1149" s="156" t="str">
        <f t="shared" si="18"/>
        <v/>
      </c>
      <c r="K1149" s="162"/>
      <c r="L1149" s="163"/>
      <c r="M1149" s="164"/>
      <c r="N1149" s="157"/>
      <c r="O1149" s="157"/>
      <c r="P1149" s="157"/>
      <c r="Q1149" s="156" t="s">
        <v>6392</v>
      </c>
    </row>
    <row r="1150" spans="4:17" x14ac:dyDescent="0.25">
      <c r="D1150" s="157" t="s">
        <v>6393</v>
      </c>
      <c r="E1150" s="156" t="s">
        <v>6365</v>
      </c>
      <c r="F1150" s="157"/>
      <c r="G1150" s="156"/>
      <c r="H1150" s="157"/>
      <c r="I1150" s="157"/>
      <c r="J1150" s="156" t="str">
        <f t="shared" si="18"/>
        <v/>
      </c>
      <c r="K1150" s="162"/>
      <c r="L1150" s="163"/>
      <c r="M1150" s="164"/>
      <c r="N1150" s="157"/>
      <c r="O1150" s="157"/>
      <c r="P1150" s="157"/>
      <c r="Q1150" s="156" t="s">
        <v>6394</v>
      </c>
    </row>
    <row r="1151" spans="4:17" x14ac:dyDescent="0.25">
      <c r="D1151" s="157" t="s">
        <v>6395</v>
      </c>
      <c r="E1151" s="156" t="s">
        <v>6365</v>
      </c>
      <c r="F1151" s="157"/>
      <c r="G1151" s="156"/>
      <c r="H1151" s="157"/>
      <c r="I1151" s="157"/>
      <c r="J1151" s="156" t="str">
        <f t="shared" si="18"/>
        <v/>
      </c>
      <c r="K1151" s="162"/>
      <c r="L1151" s="163"/>
      <c r="M1151" s="164"/>
      <c r="N1151" s="157"/>
      <c r="O1151" s="157"/>
      <c r="P1151" s="157"/>
      <c r="Q1151" s="156" t="s">
        <v>6396</v>
      </c>
    </row>
    <row r="1152" spans="4:17" x14ac:dyDescent="0.25">
      <c r="D1152" s="157" t="s">
        <v>6397</v>
      </c>
      <c r="E1152" s="156" t="s">
        <v>6365</v>
      </c>
      <c r="F1152" s="157"/>
      <c r="G1152" s="156"/>
      <c r="H1152" s="157"/>
      <c r="I1152" s="157"/>
      <c r="J1152" s="156" t="str">
        <f t="shared" si="18"/>
        <v/>
      </c>
      <c r="K1152" s="162"/>
      <c r="L1152" s="163"/>
      <c r="M1152" s="164"/>
      <c r="N1152" s="157"/>
      <c r="O1152" s="157"/>
      <c r="P1152" s="157"/>
      <c r="Q1152" s="156" t="s">
        <v>6398</v>
      </c>
    </row>
    <row r="1153" spans="4:17" x14ac:dyDescent="0.25">
      <c r="D1153" s="157" t="s">
        <v>6399</v>
      </c>
      <c r="E1153" s="156" t="s">
        <v>6365</v>
      </c>
      <c r="F1153" s="157"/>
      <c r="G1153" s="156"/>
      <c r="H1153" s="157"/>
      <c r="I1153" s="157"/>
      <c r="J1153" s="156" t="str">
        <f t="shared" si="18"/>
        <v/>
      </c>
      <c r="K1153" s="162"/>
      <c r="L1153" s="163"/>
      <c r="M1153" s="164"/>
      <c r="N1153" s="157"/>
      <c r="O1153" s="157"/>
      <c r="P1153" s="157"/>
      <c r="Q1153" s="156" t="s">
        <v>6400</v>
      </c>
    </row>
    <row r="1154" spans="4:17" x14ac:dyDescent="0.25">
      <c r="D1154" s="157" t="s">
        <v>6401</v>
      </c>
      <c r="E1154" s="156" t="s">
        <v>6365</v>
      </c>
      <c r="F1154" s="157"/>
      <c r="G1154" s="156"/>
      <c r="H1154" s="157"/>
      <c r="I1154" s="157"/>
      <c r="J1154" s="156" t="str">
        <f t="shared" si="18"/>
        <v/>
      </c>
      <c r="K1154" s="162"/>
      <c r="L1154" s="163"/>
      <c r="M1154" s="164"/>
      <c r="N1154" s="157"/>
      <c r="O1154" s="157"/>
      <c r="P1154" s="157"/>
      <c r="Q1154" s="156" t="s">
        <v>6402</v>
      </c>
    </row>
    <row r="1155" spans="4:17" x14ac:dyDescent="0.25">
      <c r="D1155" s="157" t="s">
        <v>6403</v>
      </c>
      <c r="E1155" s="156" t="s">
        <v>6365</v>
      </c>
      <c r="F1155" s="157"/>
      <c r="G1155" s="156"/>
      <c r="H1155" s="157"/>
      <c r="I1155" s="157"/>
      <c r="J1155" s="156" t="str">
        <f t="shared" si="18"/>
        <v/>
      </c>
      <c r="K1155" s="162"/>
      <c r="L1155" s="163"/>
      <c r="M1155" s="164"/>
      <c r="N1155" s="157"/>
      <c r="O1155" s="157"/>
      <c r="P1155" s="157"/>
      <c r="Q1155" s="156" t="s">
        <v>6404</v>
      </c>
    </row>
    <row r="1156" spans="4:17" x14ac:dyDescent="0.25">
      <c r="D1156" s="157" t="s">
        <v>6405</v>
      </c>
      <c r="E1156" s="156" t="s">
        <v>6406</v>
      </c>
      <c r="F1156" s="157"/>
      <c r="G1156" s="156"/>
      <c r="H1156" s="157"/>
      <c r="I1156" s="157"/>
      <c r="J1156" s="156" t="str">
        <f t="shared" si="18"/>
        <v/>
      </c>
      <c r="K1156" s="162"/>
      <c r="L1156" s="163"/>
      <c r="M1156" s="164"/>
      <c r="N1156" s="157"/>
      <c r="O1156" s="157"/>
      <c r="P1156" s="157"/>
      <c r="Q1156" s="156" t="s">
        <v>6407</v>
      </c>
    </row>
    <row r="1157" spans="4:17" x14ac:dyDescent="0.25">
      <c r="D1157" s="157" t="s">
        <v>6408</v>
      </c>
      <c r="E1157" s="156" t="s">
        <v>6406</v>
      </c>
      <c r="F1157" s="157"/>
      <c r="G1157" s="156"/>
      <c r="H1157" s="157"/>
      <c r="I1157" s="157"/>
      <c r="J1157" s="156" t="str">
        <f t="shared" si="18"/>
        <v/>
      </c>
      <c r="K1157" s="162"/>
      <c r="L1157" s="163"/>
      <c r="M1157" s="164"/>
      <c r="N1157" s="157"/>
      <c r="O1157" s="157"/>
      <c r="P1157" s="157"/>
      <c r="Q1157" s="156" t="s">
        <v>6409</v>
      </c>
    </row>
    <row r="1158" spans="4:17" x14ac:dyDescent="0.25">
      <c r="D1158" s="157" t="s">
        <v>6410</v>
      </c>
      <c r="E1158" s="156" t="s">
        <v>6406</v>
      </c>
      <c r="F1158" s="157"/>
      <c r="G1158" s="156"/>
      <c r="H1158" s="157"/>
      <c r="I1158" s="157"/>
      <c r="J1158" s="156" t="str">
        <f t="shared" si="18"/>
        <v/>
      </c>
      <c r="K1158" s="162"/>
      <c r="L1158" s="163"/>
      <c r="M1158" s="164"/>
      <c r="N1158" s="157"/>
      <c r="O1158" s="157"/>
      <c r="P1158" s="157"/>
      <c r="Q1158" s="156" t="s">
        <v>6411</v>
      </c>
    </row>
    <row r="1159" spans="4:17" x14ac:dyDescent="0.25">
      <c r="D1159" s="157" t="s">
        <v>6412</v>
      </c>
      <c r="E1159" s="156" t="s">
        <v>6406</v>
      </c>
      <c r="F1159" s="157"/>
      <c r="G1159" s="156"/>
      <c r="H1159" s="157"/>
      <c r="I1159" s="157"/>
      <c r="J1159" s="156" t="str">
        <f t="shared" si="18"/>
        <v/>
      </c>
      <c r="K1159" s="162"/>
      <c r="L1159" s="163"/>
      <c r="M1159" s="164"/>
      <c r="N1159" s="157"/>
      <c r="O1159" s="157"/>
      <c r="P1159" s="157"/>
      <c r="Q1159" s="156" t="s">
        <v>6413</v>
      </c>
    </row>
    <row r="1160" spans="4:17" x14ac:dyDescent="0.25">
      <c r="D1160" s="157" t="s">
        <v>6414</v>
      </c>
      <c r="E1160" s="156" t="s">
        <v>6406</v>
      </c>
      <c r="F1160" s="157"/>
      <c r="G1160" s="156"/>
      <c r="H1160" s="157"/>
      <c r="I1160" s="157"/>
      <c r="J1160" s="156" t="str">
        <f t="shared" si="18"/>
        <v/>
      </c>
      <c r="K1160" s="162"/>
      <c r="L1160" s="163"/>
      <c r="M1160" s="164"/>
      <c r="N1160" s="157"/>
      <c r="O1160" s="157"/>
      <c r="P1160" s="157"/>
      <c r="Q1160" s="156" t="s">
        <v>6415</v>
      </c>
    </row>
    <row r="1161" spans="4:17" x14ac:dyDescent="0.25">
      <c r="D1161" s="157" t="s">
        <v>6416</v>
      </c>
      <c r="E1161" s="156" t="s">
        <v>6406</v>
      </c>
      <c r="F1161" s="157"/>
      <c r="G1161" s="156"/>
      <c r="H1161" s="157"/>
      <c r="I1161" s="157"/>
      <c r="J1161" s="156" t="str">
        <f t="shared" si="18"/>
        <v/>
      </c>
      <c r="K1161" s="162"/>
      <c r="L1161" s="163"/>
      <c r="M1161" s="164"/>
      <c r="N1161" s="157"/>
      <c r="O1161" s="157"/>
      <c r="P1161" s="157"/>
      <c r="Q1161" s="156" t="s">
        <v>6417</v>
      </c>
    </row>
    <row r="1162" spans="4:17" x14ac:dyDescent="0.25">
      <c r="D1162" s="157" t="s">
        <v>6418</v>
      </c>
      <c r="E1162" s="156" t="s">
        <v>6406</v>
      </c>
      <c r="F1162" s="157"/>
      <c r="G1162" s="156"/>
      <c r="H1162" s="157"/>
      <c r="I1162" s="157"/>
      <c r="J1162" s="156" t="str">
        <f t="shared" si="18"/>
        <v/>
      </c>
      <c r="K1162" s="162"/>
      <c r="L1162" s="163"/>
      <c r="M1162" s="164"/>
      <c r="N1162" s="157"/>
      <c r="O1162" s="157"/>
      <c r="P1162" s="157"/>
      <c r="Q1162" s="156" t="s">
        <v>6419</v>
      </c>
    </row>
    <row r="1163" spans="4:17" x14ac:dyDescent="0.25">
      <c r="D1163" s="157" t="s">
        <v>6420</v>
      </c>
      <c r="E1163" s="156" t="s">
        <v>6406</v>
      </c>
      <c r="F1163" s="157"/>
      <c r="G1163" s="156"/>
      <c r="H1163" s="157"/>
      <c r="I1163" s="157"/>
      <c r="J1163" s="156" t="str">
        <f t="shared" si="18"/>
        <v/>
      </c>
      <c r="K1163" s="162"/>
      <c r="L1163" s="163"/>
      <c r="M1163" s="164"/>
      <c r="N1163" s="157"/>
      <c r="O1163" s="157"/>
      <c r="P1163" s="157"/>
      <c r="Q1163" s="156" t="s">
        <v>6421</v>
      </c>
    </row>
    <row r="1164" spans="4:17" x14ac:dyDescent="0.25">
      <c r="D1164" s="157" t="s">
        <v>6422</v>
      </c>
      <c r="E1164" s="156" t="s">
        <v>6406</v>
      </c>
      <c r="F1164" s="157"/>
      <c r="G1164" s="156"/>
      <c r="H1164" s="157"/>
      <c r="I1164" s="157"/>
      <c r="J1164" s="156" t="str">
        <f t="shared" si="18"/>
        <v/>
      </c>
      <c r="K1164" s="162"/>
      <c r="L1164" s="163"/>
      <c r="M1164" s="164"/>
      <c r="N1164" s="157"/>
      <c r="O1164" s="157"/>
      <c r="P1164" s="157"/>
      <c r="Q1164" s="156" t="s">
        <v>6423</v>
      </c>
    </row>
    <row r="1165" spans="4:17" x14ac:dyDescent="0.25">
      <c r="D1165" s="157" t="s">
        <v>6424</v>
      </c>
      <c r="E1165" s="156" t="s">
        <v>6406</v>
      </c>
      <c r="F1165" s="157"/>
      <c r="G1165" s="156"/>
      <c r="H1165" s="157"/>
      <c r="I1165" s="157"/>
      <c r="J1165" s="156" t="str">
        <f t="shared" si="18"/>
        <v/>
      </c>
      <c r="K1165" s="162"/>
      <c r="L1165" s="163"/>
      <c r="M1165" s="164"/>
      <c r="N1165" s="157"/>
      <c r="O1165" s="157"/>
      <c r="P1165" s="157"/>
      <c r="Q1165" s="156" t="s">
        <v>6425</v>
      </c>
    </row>
    <row r="1166" spans="4:17" x14ac:dyDescent="0.25">
      <c r="D1166" s="157" t="s">
        <v>6426</v>
      </c>
      <c r="E1166" s="156" t="s">
        <v>6406</v>
      </c>
      <c r="F1166" s="157"/>
      <c r="G1166" s="156"/>
      <c r="H1166" s="157"/>
      <c r="I1166" s="157"/>
      <c r="J1166" s="156" t="str">
        <f t="shared" si="18"/>
        <v/>
      </c>
      <c r="K1166" s="162"/>
      <c r="L1166" s="163"/>
      <c r="M1166" s="164"/>
      <c r="N1166" s="157"/>
      <c r="O1166" s="157"/>
      <c r="P1166" s="157"/>
      <c r="Q1166" s="156" t="s">
        <v>6427</v>
      </c>
    </row>
    <row r="1167" spans="4:17" x14ac:dyDescent="0.25">
      <c r="D1167" s="157" t="s">
        <v>6428</v>
      </c>
      <c r="E1167" s="156" t="s">
        <v>6406</v>
      </c>
      <c r="F1167" s="157"/>
      <c r="G1167" s="156"/>
      <c r="H1167" s="157"/>
      <c r="I1167" s="157"/>
      <c r="J1167" s="156" t="str">
        <f t="shared" si="18"/>
        <v/>
      </c>
      <c r="K1167" s="162"/>
      <c r="L1167" s="163"/>
      <c r="M1167" s="164"/>
      <c r="N1167" s="157"/>
      <c r="O1167" s="157"/>
      <c r="P1167" s="157"/>
      <c r="Q1167" s="156" t="s">
        <v>6429</v>
      </c>
    </row>
    <row r="1168" spans="4:17" x14ac:dyDescent="0.25">
      <c r="D1168" s="157" t="s">
        <v>6430</v>
      </c>
      <c r="E1168" s="156" t="s">
        <v>6406</v>
      </c>
      <c r="F1168" s="157"/>
      <c r="G1168" s="156"/>
      <c r="H1168" s="157"/>
      <c r="I1168" s="157"/>
      <c r="J1168" s="156" t="str">
        <f t="shared" si="18"/>
        <v/>
      </c>
      <c r="K1168" s="162"/>
      <c r="L1168" s="163"/>
      <c r="M1168" s="164"/>
      <c r="N1168" s="157"/>
      <c r="O1168" s="157"/>
      <c r="P1168" s="157"/>
      <c r="Q1168" s="156" t="s">
        <v>6431</v>
      </c>
    </row>
    <row r="1169" spans="4:17" x14ac:dyDescent="0.25">
      <c r="D1169" s="157" t="s">
        <v>6432</v>
      </c>
      <c r="E1169" s="156" t="s">
        <v>6406</v>
      </c>
      <c r="F1169" s="157"/>
      <c r="G1169" s="156"/>
      <c r="H1169" s="157"/>
      <c r="I1169" s="157"/>
      <c r="J1169" s="156" t="str">
        <f t="shared" si="18"/>
        <v/>
      </c>
      <c r="K1169" s="162"/>
      <c r="L1169" s="163"/>
      <c r="M1169" s="164"/>
      <c r="N1169" s="157"/>
      <c r="O1169" s="157"/>
      <c r="P1169" s="157"/>
      <c r="Q1169" s="156" t="s">
        <v>6433</v>
      </c>
    </row>
    <row r="1170" spans="4:17" x14ac:dyDescent="0.25">
      <c r="D1170" s="157" t="s">
        <v>6434</v>
      </c>
      <c r="E1170" s="156" t="s">
        <v>6406</v>
      </c>
      <c r="F1170" s="157"/>
      <c r="G1170" s="156"/>
      <c r="H1170" s="157"/>
      <c r="I1170" s="157"/>
      <c r="J1170" s="156" t="str">
        <f t="shared" si="18"/>
        <v/>
      </c>
      <c r="K1170" s="162"/>
      <c r="L1170" s="163"/>
      <c r="M1170" s="164"/>
      <c r="N1170" s="157"/>
      <c r="O1170" s="157"/>
      <c r="P1170" s="157"/>
      <c r="Q1170" s="156" t="s">
        <v>6435</v>
      </c>
    </row>
    <row r="1171" spans="4:17" x14ac:dyDescent="0.25">
      <c r="D1171" s="157" t="s">
        <v>6436</v>
      </c>
      <c r="E1171" s="156" t="s">
        <v>6406</v>
      </c>
      <c r="F1171" s="157"/>
      <c r="G1171" s="156"/>
      <c r="H1171" s="157"/>
      <c r="I1171" s="157"/>
      <c r="J1171" s="156" t="str">
        <f t="shared" si="18"/>
        <v/>
      </c>
      <c r="K1171" s="162"/>
      <c r="L1171" s="163"/>
      <c r="M1171" s="164"/>
      <c r="N1171" s="157"/>
      <c r="O1171" s="157"/>
      <c r="P1171" s="157"/>
      <c r="Q1171" s="156" t="s">
        <v>6437</v>
      </c>
    </row>
    <row r="1172" spans="4:17" x14ac:dyDescent="0.25">
      <c r="D1172" s="157" t="s">
        <v>6438</v>
      </c>
      <c r="E1172" s="156" t="s">
        <v>6406</v>
      </c>
      <c r="F1172" s="157"/>
      <c r="G1172" s="156"/>
      <c r="H1172" s="157"/>
      <c r="I1172" s="157"/>
      <c r="J1172" s="156" t="str">
        <f t="shared" si="18"/>
        <v/>
      </c>
      <c r="K1172" s="162"/>
      <c r="L1172" s="163"/>
      <c r="M1172" s="164"/>
      <c r="N1172" s="157"/>
      <c r="O1172" s="157"/>
      <c r="P1172" s="157"/>
      <c r="Q1172" s="156" t="s">
        <v>6439</v>
      </c>
    </row>
    <row r="1173" spans="4:17" x14ac:dyDescent="0.25">
      <c r="D1173" s="157" t="s">
        <v>6440</v>
      </c>
      <c r="E1173" s="156" t="s">
        <v>6406</v>
      </c>
      <c r="F1173" s="157"/>
      <c r="G1173" s="156"/>
      <c r="H1173" s="157"/>
      <c r="I1173" s="157"/>
      <c r="J1173" s="156" t="str">
        <f t="shared" si="18"/>
        <v/>
      </c>
      <c r="K1173" s="162"/>
      <c r="L1173" s="163"/>
      <c r="M1173" s="164"/>
      <c r="N1173" s="157"/>
      <c r="O1173" s="157"/>
      <c r="P1173" s="157"/>
      <c r="Q1173" s="156" t="s">
        <v>6441</v>
      </c>
    </row>
    <row r="1174" spans="4:17" x14ac:dyDescent="0.25">
      <c r="D1174" s="157" t="s">
        <v>6442</v>
      </c>
      <c r="E1174" s="156" t="s">
        <v>6406</v>
      </c>
      <c r="F1174" s="157"/>
      <c r="G1174" s="156"/>
      <c r="H1174" s="157"/>
      <c r="I1174" s="157"/>
      <c r="J1174" s="156" t="str">
        <f t="shared" si="18"/>
        <v/>
      </c>
      <c r="K1174" s="162"/>
      <c r="L1174" s="163"/>
      <c r="M1174" s="164"/>
      <c r="N1174" s="157"/>
      <c r="O1174" s="157"/>
      <c r="P1174" s="157"/>
      <c r="Q1174" s="156" t="s">
        <v>6443</v>
      </c>
    </row>
    <row r="1175" spans="4:17" x14ac:dyDescent="0.25">
      <c r="D1175" s="157" t="s">
        <v>6444</v>
      </c>
      <c r="E1175" s="156" t="s">
        <v>6406</v>
      </c>
      <c r="F1175" s="157"/>
      <c r="G1175" s="156"/>
      <c r="H1175" s="157"/>
      <c r="I1175" s="157"/>
      <c r="J1175" s="156" t="str">
        <f t="shared" si="18"/>
        <v/>
      </c>
      <c r="K1175" s="162"/>
      <c r="L1175" s="163"/>
      <c r="M1175" s="164"/>
      <c r="N1175" s="157"/>
      <c r="O1175" s="157"/>
      <c r="P1175" s="157"/>
      <c r="Q1175" s="156" t="s">
        <v>6445</v>
      </c>
    </row>
    <row r="1176" spans="4:17" x14ac:dyDescent="0.25">
      <c r="D1176" s="157" t="s">
        <v>6446</v>
      </c>
      <c r="E1176" s="156" t="s">
        <v>6447</v>
      </c>
      <c r="F1176" s="157"/>
      <c r="G1176" s="156"/>
      <c r="H1176" s="157"/>
      <c r="I1176" s="157"/>
      <c r="J1176" s="156" t="str">
        <f t="shared" si="18"/>
        <v/>
      </c>
      <c r="K1176" s="162"/>
      <c r="L1176" s="163"/>
      <c r="M1176" s="164"/>
      <c r="N1176" s="157"/>
      <c r="O1176" s="157"/>
      <c r="P1176" s="157"/>
      <c r="Q1176" s="156" t="s">
        <v>6448</v>
      </c>
    </row>
    <row r="1177" spans="4:17" x14ac:dyDescent="0.25">
      <c r="D1177" s="157" t="s">
        <v>6449</v>
      </c>
      <c r="E1177" s="156" t="s">
        <v>6447</v>
      </c>
      <c r="F1177" s="157"/>
      <c r="G1177" s="156"/>
      <c r="H1177" s="157"/>
      <c r="I1177" s="157"/>
      <c r="J1177" s="156" t="str">
        <f t="shared" si="18"/>
        <v/>
      </c>
      <c r="K1177" s="162"/>
      <c r="L1177" s="163"/>
      <c r="M1177" s="164"/>
      <c r="N1177" s="157"/>
      <c r="O1177" s="157"/>
      <c r="P1177" s="157"/>
      <c r="Q1177" s="156" t="s">
        <v>6450</v>
      </c>
    </row>
    <row r="1178" spans="4:17" x14ac:dyDescent="0.25">
      <c r="D1178" s="157" t="s">
        <v>6451</v>
      </c>
      <c r="E1178" s="156" t="s">
        <v>6447</v>
      </c>
      <c r="F1178" s="157"/>
      <c r="G1178" s="156"/>
      <c r="H1178" s="157"/>
      <c r="I1178" s="157"/>
      <c r="J1178" s="156" t="str">
        <f t="shared" si="18"/>
        <v/>
      </c>
      <c r="K1178" s="162"/>
      <c r="L1178" s="163"/>
      <c r="M1178" s="164"/>
      <c r="N1178" s="157"/>
      <c r="O1178" s="157"/>
      <c r="P1178" s="157"/>
      <c r="Q1178" s="156" t="s">
        <v>6452</v>
      </c>
    </row>
    <row r="1179" spans="4:17" x14ac:dyDescent="0.25">
      <c r="D1179" s="157" t="s">
        <v>6453</v>
      </c>
      <c r="E1179" s="156" t="s">
        <v>6447</v>
      </c>
      <c r="F1179" s="157"/>
      <c r="G1179" s="156"/>
      <c r="H1179" s="157"/>
      <c r="I1179" s="157"/>
      <c r="J1179" s="156" t="str">
        <f t="shared" si="18"/>
        <v/>
      </c>
      <c r="K1179" s="162"/>
      <c r="L1179" s="163"/>
      <c r="M1179" s="164"/>
      <c r="N1179" s="157"/>
      <c r="O1179" s="157"/>
      <c r="P1179" s="157"/>
      <c r="Q1179" s="156" t="s">
        <v>6454</v>
      </c>
    </row>
    <row r="1180" spans="4:17" x14ac:dyDescent="0.25">
      <c r="D1180" s="157" t="s">
        <v>6455</v>
      </c>
      <c r="E1180" s="156" t="s">
        <v>6447</v>
      </c>
      <c r="F1180" s="157"/>
      <c r="G1180" s="156"/>
      <c r="H1180" s="157"/>
      <c r="I1180" s="157"/>
      <c r="J1180" s="156" t="str">
        <f t="shared" si="18"/>
        <v/>
      </c>
      <c r="K1180" s="162"/>
      <c r="L1180" s="163"/>
      <c r="M1180" s="164"/>
      <c r="N1180" s="157"/>
      <c r="O1180" s="157"/>
      <c r="P1180" s="157"/>
      <c r="Q1180" s="156" t="s">
        <v>6456</v>
      </c>
    </row>
    <row r="1181" spans="4:17" x14ac:dyDescent="0.25">
      <c r="D1181" s="157" t="s">
        <v>6457</v>
      </c>
      <c r="E1181" s="156" t="s">
        <v>6447</v>
      </c>
      <c r="F1181" s="157"/>
      <c r="G1181" s="156"/>
      <c r="H1181" s="157"/>
      <c r="I1181" s="157"/>
      <c r="J1181" s="156" t="str">
        <f t="shared" si="18"/>
        <v/>
      </c>
      <c r="K1181" s="162"/>
      <c r="L1181" s="163"/>
      <c r="M1181" s="164"/>
      <c r="N1181" s="157"/>
      <c r="O1181" s="157"/>
      <c r="P1181" s="157"/>
      <c r="Q1181" s="156" t="s">
        <v>6458</v>
      </c>
    </row>
    <row r="1182" spans="4:17" x14ac:dyDescent="0.25">
      <c r="D1182" s="157" t="s">
        <v>6459</v>
      </c>
      <c r="E1182" s="156" t="s">
        <v>6447</v>
      </c>
      <c r="F1182" s="157"/>
      <c r="G1182" s="156"/>
      <c r="H1182" s="157"/>
      <c r="I1182" s="157"/>
      <c r="J1182" s="156" t="str">
        <f t="shared" si="18"/>
        <v/>
      </c>
      <c r="K1182" s="162"/>
      <c r="L1182" s="163"/>
      <c r="M1182" s="164"/>
      <c r="N1182" s="157"/>
      <c r="O1182" s="157"/>
      <c r="P1182" s="157"/>
      <c r="Q1182" s="156" t="s">
        <v>6460</v>
      </c>
    </row>
    <row r="1183" spans="4:17" x14ac:dyDescent="0.25">
      <c r="D1183" s="157" t="s">
        <v>6461</v>
      </c>
      <c r="E1183" s="156" t="s">
        <v>6447</v>
      </c>
      <c r="F1183" s="157"/>
      <c r="G1183" s="156"/>
      <c r="H1183" s="157"/>
      <c r="I1183" s="157"/>
      <c r="J1183" s="156" t="str">
        <f t="shared" si="18"/>
        <v/>
      </c>
      <c r="K1183" s="162"/>
      <c r="L1183" s="163"/>
      <c r="M1183" s="164"/>
      <c r="N1183" s="157"/>
      <c r="O1183" s="157"/>
      <c r="P1183" s="157"/>
      <c r="Q1183" s="156" t="s">
        <v>6462</v>
      </c>
    </row>
    <row r="1184" spans="4:17" x14ac:dyDescent="0.25">
      <c r="D1184" s="157" t="s">
        <v>6463</v>
      </c>
      <c r="E1184" s="156" t="s">
        <v>6447</v>
      </c>
      <c r="F1184" s="157"/>
      <c r="G1184" s="156"/>
      <c r="H1184" s="157"/>
      <c r="I1184" s="157"/>
      <c r="J1184" s="156" t="str">
        <f t="shared" si="18"/>
        <v/>
      </c>
      <c r="K1184" s="162"/>
      <c r="L1184" s="163"/>
      <c r="M1184" s="164"/>
      <c r="N1184" s="157"/>
      <c r="O1184" s="157"/>
      <c r="P1184" s="157"/>
      <c r="Q1184" s="156" t="s">
        <v>6464</v>
      </c>
    </row>
    <row r="1185" spans="4:17" x14ac:dyDescent="0.25">
      <c r="D1185" s="157" t="s">
        <v>6465</v>
      </c>
      <c r="E1185" s="156" t="s">
        <v>6447</v>
      </c>
      <c r="F1185" s="157"/>
      <c r="G1185" s="156"/>
      <c r="H1185" s="157"/>
      <c r="I1185" s="157"/>
      <c r="J1185" s="156" t="str">
        <f t="shared" si="18"/>
        <v/>
      </c>
      <c r="K1185" s="162"/>
      <c r="L1185" s="163"/>
      <c r="M1185" s="164"/>
      <c r="N1185" s="157"/>
      <c r="O1185" s="157"/>
      <c r="P1185" s="157"/>
      <c r="Q1185" s="156" t="s">
        <v>6466</v>
      </c>
    </row>
    <row r="1186" spans="4:17" x14ac:dyDescent="0.25">
      <c r="D1186" s="157" t="s">
        <v>6467</v>
      </c>
      <c r="E1186" s="156" t="s">
        <v>6447</v>
      </c>
      <c r="F1186" s="157"/>
      <c r="G1186" s="156"/>
      <c r="H1186" s="157"/>
      <c r="I1186" s="157"/>
      <c r="J1186" s="156" t="str">
        <f t="shared" si="18"/>
        <v/>
      </c>
      <c r="K1186" s="162"/>
      <c r="L1186" s="163"/>
      <c r="M1186" s="164"/>
      <c r="N1186" s="157"/>
      <c r="O1186" s="157"/>
      <c r="P1186" s="157"/>
      <c r="Q1186" s="156" t="s">
        <v>6468</v>
      </c>
    </row>
    <row r="1187" spans="4:17" x14ac:dyDescent="0.25">
      <c r="D1187" s="157" t="s">
        <v>6469</v>
      </c>
      <c r="E1187" s="156" t="s">
        <v>6447</v>
      </c>
      <c r="F1187" s="157"/>
      <c r="G1187" s="156"/>
      <c r="H1187" s="157"/>
      <c r="I1187" s="157"/>
      <c r="J1187" s="156" t="str">
        <f t="shared" si="18"/>
        <v/>
      </c>
      <c r="K1187" s="162"/>
      <c r="L1187" s="163"/>
      <c r="M1187" s="164"/>
      <c r="N1187" s="157"/>
      <c r="O1187" s="157"/>
      <c r="P1187" s="157"/>
      <c r="Q1187" s="156" t="s">
        <v>6470</v>
      </c>
    </row>
    <row r="1188" spans="4:17" x14ac:dyDescent="0.25">
      <c r="D1188" s="157" t="s">
        <v>6471</v>
      </c>
      <c r="E1188" s="156" t="s">
        <v>6447</v>
      </c>
      <c r="F1188" s="157"/>
      <c r="G1188" s="156"/>
      <c r="H1188" s="157"/>
      <c r="I1188" s="157"/>
      <c r="J1188" s="156" t="str">
        <f t="shared" si="18"/>
        <v/>
      </c>
      <c r="K1188" s="162"/>
      <c r="L1188" s="163"/>
      <c r="M1188" s="164"/>
      <c r="N1188" s="157"/>
      <c r="O1188" s="157"/>
      <c r="P1188" s="157"/>
      <c r="Q1188" s="156" t="s">
        <v>6472</v>
      </c>
    </row>
    <row r="1189" spans="4:17" x14ac:dyDescent="0.25">
      <c r="D1189" s="157" t="s">
        <v>6473</v>
      </c>
      <c r="E1189" s="156" t="s">
        <v>6447</v>
      </c>
      <c r="F1189" s="157"/>
      <c r="G1189" s="156"/>
      <c r="H1189" s="157"/>
      <c r="I1189" s="157"/>
      <c r="J1189" s="156" t="str">
        <f t="shared" si="18"/>
        <v/>
      </c>
      <c r="K1189" s="162"/>
      <c r="L1189" s="163"/>
      <c r="M1189" s="164"/>
      <c r="N1189" s="157"/>
      <c r="O1189" s="157"/>
      <c r="P1189" s="157"/>
      <c r="Q1189" s="156" t="s">
        <v>6474</v>
      </c>
    </row>
    <row r="1190" spans="4:17" x14ac:dyDescent="0.25">
      <c r="D1190" s="157" t="s">
        <v>6475</v>
      </c>
      <c r="E1190" s="156" t="s">
        <v>6447</v>
      </c>
      <c r="F1190" s="157"/>
      <c r="G1190" s="156"/>
      <c r="H1190" s="157"/>
      <c r="I1190" s="157"/>
      <c r="J1190" s="156" t="str">
        <f t="shared" si="18"/>
        <v/>
      </c>
      <c r="K1190" s="162"/>
      <c r="L1190" s="163"/>
      <c r="M1190" s="164"/>
      <c r="N1190" s="157"/>
      <c r="O1190" s="157"/>
      <c r="P1190" s="157"/>
      <c r="Q1190" s="156" t="s">
        <v>6476</v>
      </c>
    </row>
    <row r="1191" spans="4:17" x14ac:dyDescent="0.25">
      <c r="D1191" s="157" t="s">
        <v>6477</v>
      </c>
      <c r="E1191" s="156" t="s">
        <v>6447</v>
      </c>
      <c r="F1191" s="157"/>
      <c r="G1191" s="156"/>
      <c r="H1191" s="157"/>
      <c r="I1191" s="157"/>
      <c r="J1191" s="156" t="str">
        <f t="shared" si="18"/>
        <v/>
      </c>
      <c r="K1191" s="162"/>
      <c r="L1191" s="163"/>
      <c r="M1191" s="164"/>
      <c r="N1191" s="157"/>
      <c r="O1191" s="157"/>
      <c r="P1191" s="157"/>
      <c r="Q1191" s="156" t="s">
        <v>6478</v>
      </c>
    </row>
    <row r="1192" spans="4:17" x14ac:dyDescent="0.25">
      <c r="D1192" s="157" t="s">
        <v>6479</v>
      </c>
      <c r="E1192" s="156" t="s">
        <v>6447</v>
      </c>
      <c r="F1192" s="157"/>
      <c r="G1192" s="156"/>
      <c r="H1192" s="157"/>
      <c r="I1192" s="157"/>
      <c r="J1192" s="156" t="str">
        <f t="shared" ref="J1192:J1255" si="19">F1192&amp;H1192&amp;I1192</f>
        <v/>
      </c>
      <c r="K1192" s="162"/>
      <c r="L1192" s="163"/>
      <c r="M1192" s="164"/>
      <c r="N1192" s="157"/>
      <c r="O1192" s="157"/>
      <c r="P1192" s="157"/>
      <c r="Q1192" s="156" t="s">
        <v>6480</v>
      </c>
    </row>
    <row r="1193" spans="4:17" x14ac:dyDescent="0.25">
      <c r="D1193" s="157" t="s">
        <v>6481</v>
      </c>
      <c r="E1193" s="156" t="s">
        <v>6447</v>
      </c>
      <c r="F1193" s="157"/>
      <c r="G1193" s="156"/>
      <c r="H1193" s="157"/>
      <c r="I1193" s="157"/>
      <c r="J1193" s="156" t="str">
        <f t="shared" si="19"/>
        <v/>
      </c>
      <c r="K1193" s="162"/>
      <c r="L1193" s="163"/>
      <c r="M1193" s="164"/>
      <c r="N1193" s="157"/>
      <c r="O1193" s="157"/>
      <c r="P1193" s="157"/>
      <c r="Q1193" s="156" t="s">
        <v>6482</v>
      </c>
    </row>
    <row r="1194" spans="4:17" x14ac:dyDescent="0.25">
      <c r="D1194" s="157" t="s">
        <v>6483</v>
      </c>
      <c r="E1194" s="156" t="s">
        <v>6447</v>
      </c>
      <c r="F1194" s="157"/>
      <c r="G1194" s="156"/>
      <c r="H1194" s="157"/>
      <c r="I1194" s="157"/>
      <c r="J1194" s="156" t="str">
        <f t="shared" si="19"/>
        <v/>
      </c>
      <c r="K1194" s="162"/>
      <c r="L1194" s="163"/>
      <c r="M1194" s="164"/>
      <c r="N1194" s="157"/>
      <c r="O1194" s="157"/>
      <c r="P1194" s="157"/>
      <c r="Q1194" s="156" t="s">
        <v>6484</v>
      </c>
    </row>
    <row r="1195" spans="4:17" x14ac:dyDescent="0.25">
      <c r="D1195" s="157" t="s">
        <v>6485</v>
      </c>
      <c r="E1195" s="156" t="s">
        <v>6447</v>
      </c>
      <c r="F1195" s="157"/>
      <c r="G1195" s="156"/>
      <c r="H1195" s="157"/>
      <c r="I1195" s="157"/>
      <c r="J1195" s="156" t="str">
        <f t="shared" si="19"/>
        <v/>
      </c>
      <c r="K1195" s="162"/>
      <c r="L1195" s="163"/>
      <c r="M1195" s="164"/>
      <c r="N1195" s="157"/>
      <c r="O1195" s="157"/>
      <c r="P1195" s="157"/>
      <c r="Q1195" s="156" t="s">
        <v>6486</v>
      </c>
    </row>
    <row r="1196" spans="4:17" x14ac:dyDescent="0.25">
      <c r="D1196" s="157" t="s">
        <v>6487</v>
      </c>
      <c r="E1196" s="156" t="s">
        <v>6488</v>
      </c>
      <c r="F1196" s="157"/>
      <c r="G1196" s="156"/>
      <c r="H1196" s="157"/>
      <c r="I1196" s="157"/>
      <c r="J1196" s="156" t="str">
        <f t="shared" si="19"/>
        <v/>
      </c>
      <c r="K1196" s="162"/>
      <c r="L1196" s="163"/>
      <c r="M1196" s="164"/>
      <c r="N1196" s="157"/>
      <c r="O1196" s="157"/>
      <c r="P1196" s="157"/>
      <c r="Q1196" s="156" t="s">
        <v>6489</v>
      </c>
    </row>
    <row r="1197" spans="4:17" x14ac:dyDescent="0.25">
      <c r="D1197" s="157" t="s">
        <v>6490</v>
      </c>
      <c r="E1197" s="156" t="s">
        <v>6488</v>
      </c>
      <c r="F1197" s="157"/>
      <c r="G1197" s="156"/>
      <c r="H1197" s="157"/>
      <c r="I1197" s="157"/>
      <c r="J1197" s="156" t="str">
        <f t="shared" si="19"/>
        <v/>
      </c>
      <c r="K1197" s="162"/>
      <c r="L1197" s="163"/>
      <c r="M1197" s="164"/>
      <c r="N1197" s="157"/>
      <c r="O1197" s="157"/>
      <c r="P1197" s="157"/>
      <c r="Q1197" s="156" t="s">
        <v>6491</v>
      </c>
    </row>
    <row r="1198" spans="4:17" x14ac:dyDescent="0.25">
      <c r="D1198" s="157" t="s">
        <v>6492</v>
      </c>
      <c r="E1198" s="156" t="s">
        <v>6488</v>
      </c>
      <c r="F1198" s="157"/>
      <c r="G1198" s="156"/>
      <c r="H1198" s="157"/>
      <c r="I1198" s="157"/>
      <c r="J1198" s="156" t="str">
        <f t="shared" si="19"/>
        <v/>
      </c>
      <c r="K1198" s="162"/>
      <c r="L1198" s="163"/>
      <c r="M1198" s="164"/>
      <c r="N1198" s="157"/>
      <c r="O1198" s="157"/>
      <c r="P1198" s="157"/>
      <c r="Q1198" s="156" t="s">
        <v>6493</v>
      </c>
    </row>
    <row r="1199" spans="4:17" x14ac:dyDescent="0.25">
      <c r="D1199" s="157" t="s">
        <v>6494</v>
      </c>
      <c r="E1199" s="156" t="s">
        <v>6488</v>
      </c>
      <c r="F1199" s="157"/>
      <c r="G1199" s="156"/>
      <c r="H1199" s="157"/>
      <c r="I1199" s="157"/>
      <c r="J1199" s="156" t="str">
        <f t="shared" si="19"/>
        <v/>
      </c>
      <c r="K1199" s="162"/>
      <c r="L1199" s="163"/>
      <c r="M1199" s="164"/>
      <c r="N1199" s="157"/>
      <c r="O1199" s="157"/>
      <c r="P1199" s="157"/>
      <c r="Q1199" s="156" t="s">
        <v>6495</v>
      </c>
    </row>
    <row r="1200" spans="4:17" x14ac:dyDescent="0.25">
      <c r="D1200" s="157" t="s">
        <v>6496</v>
      </c>
      <c r="E1200" s="156" t="s">
        <v>6488</v>
      </c>
      <c r="F1200" s="157"/>
      <c r="G1200" s="156"/>
      <c r="H1200" s="157"/>
      <c r="I1200" s="157"/>
      <c r="J1200" s="156" t="str">
        <f t="shared" si="19"/>
        <v/>
      </c>
      <c r="K1200" s="162"/>
      <c r="L1200" s="163"/>
      <c r="M1200" s="164"/>
      <c r="N1200" s="157"/>
      <c r="O1200" s="157"/>
      <c r="P1200" s="157"/>
      <c r="Q1200" s="156" t="s">
        <v>6497</v>
      </c>
    </row>
    <row r="1201" spans="4:17" x14ac:dyDescent="0.25">
      <c r="D1201" s="157" t="s">
        <v>6498</v>
      </c>
      <c r="E1201" s="156" t="s">
        <v>6488</v>
      </c>
      <c r="F1201" s="157"/>
      <c r="G1201" s="156"/>
      <c r="H1201" s="157"/>
      <c r="I1201" s="157"/>
      <c r="J1201" s="156" t="str">
        <f t="shared" si="19"/>
        <v/>
      </c>
      <c r="K1201" s="162"/>
      <c r="L1201" s="163"/>
      <c r="M1201" s="164"/>
      <c r="N1201" s="157"/>
      <c r="O1201" s="157"/>
      <c r="P1201" s="157"/>
      <c r="Q1201" s="156" t="s">
        <v>6499</v>
      </c>
    </row>
    <row r="1202" spans="4:17" x14ac:dyDescent="0.25">
      <c r="D1202" s="157" t="s">
        <v>6500</v>
      </c>
      <c r="E1202" s="156" t="s">
        <v>6488</v>
      </c>
      <c r="F1202" s="157"/>
      <c r="G1202" s="156"/>
      <c r="H1202" s="157"/>
      <c r="I1202" s="157"/>
      <c r="J1202" s="156" t="str">
        <f t="shared" si="19"/>
        <v/>
      </c>
      <c r="K1202" s="162"/>
      <c r="L1202" s="163"/>
      <c r="M1202" s="164"/>
      <c r="N1202" s="157"/>
      <c r="O1202" s="157"/>
      <c r="P1202" s="157"/>
      <c r="Q1202" s="156" t="s">
        <v>6501</v>
      </c>
    </row>
    <row r="1203" spans="4:17" x14ac:dyDescent="0.25">
      <c r="D1203" s="157" t="s">
        <v>6502</v>
      </c>
      <c r="E1203" s="156" t="s">
        <v>6488</v>
      </c>
      <c r="F1203" s="157"/>
      <c r="G1203" s="156"/>
      <c r="H1203" s="157"/>
      <c r="I1203" s="157"/>
      <c r="J1203" s="156" t="str">
        <f t="shared" si="19"/>
        <v/>
      </c>
      <c r="K1203" s="162"/>
      <c r="L1203" s="163"/>
      <c r="M1203" s="164"/>
      <c r="N1203" s="157"/>
      <c r="O1203" s="157"/>
      <c r="P1203" s="157"/>
      <c r="Q1203" s="156" t="s">
        <v>6503</v>
      </c>
    </row>
    <row r="1204" spans="4:17" x14ac:dyDescent="0.25">
      <c r="D1204" s="157" t="s">
        <v>6504</v>
      </c>
      <c r="E1204" s="156" t="s">
        <v>6488</v>
      </c>
      <c r="F1204" s="157"/>
      <c r="G1204" s="156"/>
      <c r="H1204" s="157"/>
      <c r="I1204" s="157"/>
      <c r="J1204" s="156" t="str">
        <f t="shared" si="19"/>
        <v/>
      </c>
      <c r="K1204" s="162"/>
      <c r="L1204" s="163"/>
      <c r="M1204" s="164"/>
      <c r="N1204" s="157"/>
      <c r="O1204" s="157"/>
      <c r="P1204" s="157"/>
      <c r="Q1204" s="156" t="s">
        <v>6505</v>
      </c>
    </row>
    <row r="1205" spans="4:17" x14ac:dyDescent="0.25">
      <c r="D1205" s="157" t="s">
        <v>6506</v>
      </c>
      <c r="E1205" s="156" t="s">
        <v>6488</v>
      </c>
      <c r="F1205" s="157"/>
      <c r="G1205" s="156"/>
      <c r="H1205" s="157"/>
      <c r="I1205" s="157"/>
      <c r="J1205" s="156" t="str">
        <f t="shared" si="19"/>
        <v/>
      </c>
      <c r="K1205" s="162"/>
      <c r="L1205" s="163"/>
      <c r="M1205" s="164"/>
      <c r="N1205" s="157"/>
      <c r="O1205" s="157"/>
      <c r="P1205" s="157"/>
      <c r="Q1205" s="156" t="s">
        <v>6507</v>
      </c>
    </row>
    <row r="1206" spans="4:17" x14ac:dyDescent="0.25">
      <c r="D1206" s="157" t="s">
        <v>6508</v>
      </c>
      <c r="E1206" s="156" t="s">
        <v>6488</v>
      </c>
      <c r="F1206" s="157"/>
      <c r="G1206" s="156"/>
      <c r="H1206" s="157"/>
      <c r="I1206" s="157"/>
      <c r="J1206" s="156" t="str">
        <f t="shared" si="19"/>
        <v/>
      </c>
      <c r="K1206" s="162"/>
      <c r="L1206" s="163"/>
      <c r="M1206" s="164"/>
      <c r="N1206" s="157"/>
      <c r="O1206" s="157"/>
      <c r="P1206" s="157"/>
      <c r="Q1206" s="156" t="s">
        <v>6509</v>
      </c>
    </row>
    <row r="1207" spans="4:17" x14ac:dyDescent="0.25">
      <c r="D1207" s="157" t="s">
        <v>6510</v>
      </c>
      <c r="E1207" s="156" t="s">
        <v>6488</v>
      </c>
      <c r="F1207" s="157"/>
      <c r="G1207" s="156"/>
      <c r="H1207" s="157"/>
      <c r="I1207" s="157"/>
      <c r="J1207" s="156" t="str">
        <f t="shared" si="19"/>
        <v/>
      </c>
      <c r="K1207" s="162"/>
      <c r="L1207" s="163"/>
      <c r="M1207" s="164"/>
      <c r="N1207" s="157"/>
      <c r="O1207" s="157"/>
      <c r="P1207" s="157"/>
      <c r="Q1207" s="156" t="s">
        <v>6511</v>
      </c>
    </row>
    <row r="1208" spans="4:17" x14ac:dyDescent="0.25">
      <c r="D1208" s="157" t="s">
        <v>6512</v>
      </c>
      <c r="E1208" s="156" t="s">
        <v>6488</v>
      </c>
      <c r="F1208" s="157"/>
      <c r="G1208" s="156"/>
      <c r="H1208" s="157"/>
      <c r="I1208" s="157"/>
      <c r="J1208" s="156" t="str">
        <f t="shared" si="19"/>
        <v/>
      </c>
      <c r="K1208" s="162"/>
      <c r="L1208" s="163"/>
      <c r="M1208" s="164"/>
      <c r="N1208" s="157"/>
      <c r="O1208" s="157"/>
      <c r="P1208" s="157"/>
      <c r="Q1208" s="156" t="s">
        <v>6513</v>
      </c>
    </row>
    <row r="1209" spans="4:17" x14ac:dyDescent="0.25">
      <c r="D1209" s="157" t="s">
        <v>6514</v>
      </c>
      <c r="E1209" s="156" t="s">
        <v>6488</v>
      </c>
      <c r="F1209" s="157"/>
      <c r="G1209" s="156"/>
      <c r="H1209" s="157"/>
      <c r="I1209" s="157"/>
      <c r="J1209" s="156" t="str">
        <f t="shared" si="19"/>
        <v/>
      </c>
      <c r="K1209" s="162"/>
      <c r="L1209" s="163"/>
      <c r="M1209" s="164"/>
      <c r="N1209" s="157"/>
      <c r="O1209" s="157"/>
      <c r="P1209" s="157"/>
      <c r="Q1209" s="156" t="s">
        <v>6515</v>
      </c>
    </row>
    <row r="1210" spans="4:17" x14ac:dyDescent="0.25">
      <c r="D1210" s="157" t="s">
        <v>6516</v>
      </c>
      <c r="E1210" s="156" t="s">
        <v>6488</v>
      </c>
      <c r="F1210" s="157"/>
      <c r="G1210" s="156"/>
      <c r="H1210" s="157"/>
      <c r="I1210" s="157"/>
      <c r="J1210" s="156" t="str">
        <f t="shared" si="19"/>
        <v/>
      </c>
      <c r="K1210" s="162"/>
      <c r="L1210" s="163"/>
      <c r="M1210" s="164"/>
      <c r="N1210" s="157"/>
      <c r="O1210" s="157"/>
      <c r="P1210" s="157"/>
      <c r="Q1210" s="156" t="s">
        <v>6517</v>
      </c>
    </row>
    <row r="1211" spans="4:17" x14ac:dyDescent="0.25">
      <c r="D1211" s="157" t="s">
        <v>6518</v>
      </c>
      <c r="E1211" s="156" t="s">
        <v>6488</v>
      </c>
      <c r="F1211" s="157"/>
      <c r="G1211" s="156"/>
      <c r="H1211" s="157"/>
      <c r="I1211" s="157"/>
      <c r="J1211" s="156" t="str">
        <f t="shared" si="19"/>
        <v/>
      </c>
      <c r="K1211" s="162"/>
      <c r="L1211" s="163"/>
      <c r="M1211" s="164"/>
      <c r="N1211" s="157"/>
      <c r="O1211" s="157"/>
      <c r="P1211" s="157"/>
      <c r="Q1211" s="156" t="s">
        <v>6519</v>
      </c>
    </row>
    <row r="1212" spans="4:17" x14ac:dyDescent="0.25">
      <c r="D1212" s="157" t="s">
        <v>6520</v>
      </c>
      <c r="E1212" s="156" t="s">
        <v>6488</v>
      </c>
      <c r="F1212" s="157"/>
      <c r="G1212" s="156"/>
      <c r="H1212" s="157"/>
      <c r="I1212" s="157"/>
      <c r="J1212" s="156" t="str">
        <f t="shared" si="19"/>
        <v/>
      </c>
      <c r="K1212" s="162"/>
      <c r="L1212" s="163"/>
      <c r="M1212" s="164"/>
      <c r="N1212" s="157"/>
      <c r="O1212" s="157"/>
      <c r="P1212" s="157"/>
      <c r="Q1212" s="156" t="s">
        <v>6521</v>
      </c>
    </row>
    <row r="1213" spans="4:17" x14ac:dyDescent="0.25">
      <c r="D1213" s="157" t="s">
        <v>6522</v>
      </c>
      <c r="E1213" s="156" t="s">
        <v>6488</v>
      </c>
      <c r="F1213" s="157"/>
      <c r="G1213" s="156"/>
      <c r="H1213" s="157"/>
      <c r="I1213" s="157"/>
      <c r="J1213" s="156" t="str">
        <f t="shared" si="19"/>
        <v/>
      </c>
      <c r="K1213" s="162"/>
      <c r="L1213" s="163"/>
      <c r="M1213" s="164"/>
      <c r="N1213" s="157"/>
      <c r="O1213" s="157"/>
      <c r="P1213" s="157"/>
      <c r="Q1213" s="156" t="s">
        <v>6523</v>
      </c>
    </row>
    <row r="1214" spans="4:17" x14ac:dyDescent="0.25">
      <c r="D1214" s="157" t="s">
        <v>6524</v>
      </c>
      <c r="E1214" s="156" t="s">
        <v>6488</v>
      </c>
      <c r="F1214" s="157"/>
      <c r="G1214" s="156"/>
      <c r="H1214" s="157"/>
      <c r="I1214" s="157"/>
      <c r="J1214" s="156" t="str">
        <f t="shared" si="19"/>
        <v/>
      </c>
      <c r="K1214" s="162"/>
      <c r="L1214" s="163"/>
      <c r="M1214" s="164"/>
      <c r="N1214" s="157"/>
      <c r="O1214" s="157"/>
      <c r="P1214" s="157"/>
      <c r="Q1214" s="156" t="s">
        <v>6525</v>
      </c>
    </row>
    <row r="1215" spans="4:17" x14ac:dyDescent="0.25">
      <c r="D1215" s="157" t="s">
        <v>6526</v>
      </c>
      <c r="E1215" s="156" t="s">
        <v>6488</v>
      </c>
      <c r="F1215" s="157"/>
      <c r="G1215" s="156"/>
      <c r="H1215" s="157"/>
      <c r="I1215" s="157"/>
      <c r="J1215" s="156" t="str">
        <f t="shared" si="19"/>
        <v/>
      </c>
      <c r="K1215" s="162"/>
      <c r="L1215" s="163"/>
      <c r="M1215" s="164"/>
      <c r="N1215" s="157"/>
      <c r="O1215" s="157"/>
      <c r="P1215" s="157"/>
      <c r="Q1215" s="156" t="s">
        <v>6527</v>
      </c>
    </row>
    <row r="1216" spans="4:17" x14ac:dyDescent="0.25">
      <c r="D1216" s="157" t="s">
        <v>6528</v>
      </c>
      <c r="E1216" s="156" t="s">
        <v>6529</v>
      </c>
      <c r="F1216" s="157" t="s">
        <v>3268</v>
      </c>
      <c r="G1216" s="156"/>
      <c r="H1216" s="157"/>
      <c r="I1216" s="157"/>
      <c r="J1216" s="156" t="str">
        <f t="shared" si="19"/>
        <v>TCP-6a Number of TB cases (all forms) notified among prisoners</v>
      </c>
      <c r="K1216" s="162"/>
      <c r="L1216" s="163"/>
      <c r="M1216" s="164"/>
      <c r="N1216" s="157"/>
      <c r="O1216" s="157"/>
      <c r="P1216" s="157"/>
      <c r="Q1216" s="156" t="s">
        <v>6530</v>
      </c>
    </row>
    <row r="1217" spans="4:17" x14ac:dyDescent="0.25">
      <c r="D1217" s="157" t="s">
        <v>6531</v>
      </c>
      <c r="E1217" s="156" t="s">
        <v>6529</v>
      </c>
      <c r="F1217" s="157" t="s">
        <v>3268</v>
      </c>
      <c r="G1217" s="156"/>
      <c r="H1217" s="157"/>
      <c r="I1217" s="157"/>
      <c r="J1217" s="156" t="str">
        <f t="shared" si="19"/>
        <v>TCP-6a Number of TB cases (all forms) notified among prisoners</v>
      </c>
      <c r="K1217" s="162"/>
      <c r="L1217" s="163"/>
      <c r="M1217" s="164"/>
      <c r="N1217" s="157"/>
      <c r="O1217" s="157"/>
      <c r="P1217" s="157"/>
      <c r="Q1217" s="156" t="s">
        <v>6532</v>
      </c>
    </row>
    <row r="1218" spans="4:17" x14ac:dyDescent="0.25">
      <c r="D1218" s="157" t="s">
        <v>6533</v>
      </c>
      <c r="E1218" s="156" t="s">
        <v>6529</v>
      </c>
      <c r="F1218" s="157" t="s">
        <v>3268</v>
      </c>
      <c r="G1218" s="156"/>
      <c r="H1218" s="157"/>
      <c r="I1218" s="157"/>
      <c r="J1218" s="156" t="str">
        <f t="shared" si="19"/>
        <v>TCP-6a Number of TB cases (all forms) notified among prisoners</v>
      </c>
      <c r="K1218" s="162"/>
      <c r="L1218" s="163"/>
      <c r="M1218" s="164"/>
      <c r="N1218" s="157"/>
      <c r="O1218" s="157"/>
      <c r="P1218" s="157"/>
      <c r="Q1218" s="156" t="s">
        <v>6534</v>
      </c>
    </row>
    <row r="1219" spans="4:17" x14ac:dyDescent="0.25">
      <c r="D1219" s="157" t="s">
        <v>6535</v>
      </c>
      <c r="E1219" s="156" t="s">
        <v>6529</v>
      </c>
      <c r="F1219" s="157" t="s">
        <v>3268</v>
      </c>
      <c r="G1219" s="156"/>
      <c r="H1219" s="157"/>
      <c r="I1219" s="157"/>
      <c r="J1219" s="156" t="str">
        <f t="shared" si="19"/>
        <v>TCP-6a Number of TB cases (all forms) notified among prisoners</v>
      </c>
      <c r="K1219" s="162"/>
      <c r="L1219" s="163"/>
      <c r="M1219" s="164"/>
      <c r="N1219" s="157"/>
      <c r="O1219" s="157"/>
      <c r="P1219" s="157"/>
      <c r="Q1219" s="156" t="s">
        <v>6536</v>
      </c>
    </row>
    <row r="1220" spans="4:17" x14ac:dyDescent="0.25">
      <c r="D1220" s="157" t="s">
        <v>6537</v>
      </c>
      <c r="E1220" s="156" t="s">
        <v>6529</v>
      </c>
      <c r="F1220" s="157" t="s">
        <v>3268</v>
      </c>
      <c r="G1220" s="156"/>
      <c r="H1220" s="157"/>
      <c r="I1220" s="157"/>
      <c r="J1220" s="156" t="str">
        <f t="shared" si="19"/>
        <v>TCP-6a Number of TB cases (all forms) notified among prisoners</v>
      </c>
      <c r="K1220" s="162"/>
      <c r="L1220" s="163"/>
      <c r="M1220" s="164"/>
      <c r="N1220" s="157"/>
      <c r="O1220" s="157"/>
      <c r="P1220" s="157"/>
      <c r="Q1220" s="156" t="s">
        <v>6538</v>
      </c>
    </row>
    <row r="1221" spans="4:17" x14ac:dyDescent="0.25">
      <c r="D1221" s="157" t="s">
        <v>6539</v>
      </c>
      <c r="E1221" s="156" t="s">
        <v>6529</v>
      </c>
      <c r="F1221" s="157" t="s">
        <v>3268</v>
      </c>
      <c r="G1221" s="156"/>
      <c r="H1221" s="157"/>
      <c r="I1221" s="157"/>
      <c r="J1221" s="156" t="str">
        <f t="shared" si="19"/>
        <v>TCP-6a Number of TB cases (all forms) notified among prisoners</v>
      </c>
      <c r="K1221" s="162"/>
      <c r="L1221" s="163"/>
      <c r="M1221" s="164"/>
      <c r="N1221" s="157"/>
      <c r="O1221" s="157"/>
      <c r="P1221" s="157"/>
      <c r="Q1221" s="156" t="s">
        <v>6540</v>
      </c>
    </row>
    <row r="1222" spans="4:17" x14ac:dyDescent="0.25">
      <c r="D1222" s="157" t="s">
        <v>6541</v>
      </c>
      <c r="E1222" s="156" t="s">
        <v>6529</v>
      </c>
      <c r="F1222" s="157" t="s">
        <v>3268</v>
      </c>
      <c r="G1222" s="156"/>
      <c r="H1222" s="157"/>
      <c r="I1222" s="157"/>
      <c r="J1222" s="156" t="str">
        <f t="shared" si="19"/>
        <v>TCP-6a Number of TB cases (all forms) notified among prisoners</v>
      </c>
      <c r="K1222" s="162"/>
      <c r="L1222" s="163"/>
      <c r="M1222" s="164"/>
      <c r="N1222" s="157"/>
      <c r="O1222" s="157"/>
      <c r="P1222" s="157"/>
      <c r="Q1222" s="156" t="s">
        <v>6542</v>
      </c>
    </row>
    <row r="1223" spans="4:17" x14ac:dyDescent="0.25">
      <c r="D1223" s="157" t="s">
        <v>6543</v>
      </c>
      <c r="E1223" s="156" t="s">
        <v>6529</v>
      </c>
      <c r="F1223" s="157" t="s">
        <v>3268</v>
      </c>
      <c r="G1223" s="156"/>
      <c r="H1223" s="157"/>
      <c r="I1223" s="157"/>
      <c r="J1223" s="156" t="str">
        <f t="shared" si="19"/>
        <v>TCP-6a Number of TB cases (all forms) notified among prisoners</v>
      </c>
      <c r="K1223" s="162"/>
      <c r="L1223" s="163"/>
      <c r="M1223" s="164"/>
      <c r="N1223" s="157"/>
      <c r="O1223" s="157"/>
      <c r="P1223" s="157"/>
      <c r="Q1223" s="156" t="s">
        <v>6544</v>
      </c>
    </row>
    <row r="1224" spans="4:17" x14ac:dyDescent="0.25">
      <c r="D1224" s="157" t="s">
        <v>6545</v>
      </c>
      <c r="E1224" s="156" t="s">
        <v>6529</v>
      </c>
      <c r="F1224" s="157" t="s">
        <v>3268</v>
      </c>
      <c r="G1224" s="156"/>
      <c r="H1224" s="157"/>
      <c r="I1224" s="157"/>
      <c r="J1224" s="156" t="str">
        <f t="shared" si="19"/>
        <v>TCP-6a Number of TB cases (all forms) notified among prisoners</v>
      </c>
      <c r="K1224" s="162"/>
      <c r="L1224" s="163"/>
      <c r="M1224" s="164"/>
      <c r="N1224" s="157"/>
      <c r="O1224" s="157"/>
      <c r="P1224" s="157"/>
      <c r="Q1224" s="156" t="s">
        <v>6546</v>
      </c>
    </row>
    <row r="1225" spans="4:17" x14ac:dyDescent="0.25">
      <c r="D1225" s="157" t="s">
        <v>6547</v>
      </c>
      <c r="E1225" s="156" t="s">
        <v>6529</v>
      </c>
      <c r="F1225" s="157" t="s">
        <v>3268</v>
      </c>
      <c r="G1225" s="156"/>
      <c r="H1225" s="157"/>
      <c r="I1225" s="157"/>
      <c r="J1225" s="156" t="str">
        <f t="shared" si="19"/>
        <v>TCP-6a Number of TB cases (all forms) notified among prisoners</v>
      </c>
      <c r="K1225" s="162"/>
      <c r="L1225" s="163"/>
      <c r="M1225" s="164"/>
      <c r="N1225" s="157"/>
      <c r="O1225" s="157"/>
      <c r="P1225" s="157"/>
      <c r="Q1225" s="156" t="s">
        <v>6548</v>
      </c>
    </row>
    <row r="1226" spans="4:17" x14ac:dyDescent="0.25">
      <c r="D1226" s="157" t="s">
        <v>6549</v>
      </c>
      <c r="E1226" s="156" t="s">
        <v>6529</v>
      </c>
      <c r="F1226" s="157" t="s">
        <v>3268</v>
      </c>
      <c r="G1226" s="156"/>
      <c r="H1226" s="157"/>
      <c r="I1226" s="157"/>
      <c r="J1226" s="156" t="str">
        <f t="shared" si="19"/>
        <v>TCP-6a Number of TB cases (all forms) notified among prisoners</v>
      </c>
      <c r="K1226" s="162"/>
      <c r="L1226" s="163"/>
      <c r="M1226" s="164"/>
      <c r="N1226" s="157"/>
      <c r="O1226" s="157"/>
      <c r="P1226" s="157"/>
      <c r="Q1226" s="156" t="s">
        <v>6550</v>
      </c>
    </row>
    <row r="1227" spans="4:17" x14ac:dyDescent="0.25">
      <c r="D1227" s="157" t="s">
        <v>6551</v>
      </c>
      <c r="E1227" s="156" t="s">
        <v>6529</v>
      </c>
      <c r="F1227" s="157" t="s">
        <v>3268</v>
      </c>
      <c r="G1227" s="156"/>
      <c r="H1227" s="157"/>
      <c r="I1227" s="157"/>
      <c r="J1227" s="156" t="str">
        <f t="shared" si="19"/>
        <v>TCP-6a Number of TB cases (all forms) notified among prisoners</v>
      </c>
      <c r="K1227" s="162"/>
      <c r="L1227" s="163"/>
      <c r="M1227" s="164"/>
      <c r="N1227" s="157"/>
      <c r="O1227" s="157"/>
      <c r="P1227" s="157"/>
      <c r="Q1227" s="156" t="s">
        <v>6552</v>
      </c>
    </row>
    <row r="1228" spans="4:17" x14ac:dyDescent="0.25">
      <c r="D1228" s="157" t="s">
        <v>6553</v>
      </c>
      <c r="E1228" s="156" t="s">
        <v>6529</v>
      </c>
      <c r="F1228" s="157" t="s">
        <v>3268</v>
      </c>
      <c r="G1228" s="156"/>
      <c r="H1228" s="157"/>
      <c r="I1228" s="157"/>
      <c r="J1228" s="156" t="str">
        <f t="shared" si="19"/>
        <v>TCP-6a Number of TB cases (all forms) notified among prisoners</v>
      </c>
      <c r="K1228" s="162"/>
      <c r="L1228" s="163"/>
      <c r="M1228" s="164"/>
      <c r="N1228" s="157"/>
      <c r="O1228" s="157"/>
      <c r="P1228" s="157"/>
      <c r="Q1228" s="156" t="s">
        <v>6554</v>
      </c>
    </row>
    <row r="1229" spans="4:17" x14ac:dyDescent="0.25">
      <c r="D1229" s="157" t="s">
        <v>6555</v>
      </c>
      <c r="E1229" s="156" t="s">
        <v>6529</v>
      </c>
      <c r="F1229" s="157" t="s">
        <v>3268</v>
      </c>
      <c r="G1229" s="156"/>
      <c r="H1229" s="157"/>
      <c r="I1229" s="157"/>
      <c r="J1229" s="156" t="str">
        <f t="shared" si="19"/>
        <v>TCP-6a Number of TB cases (all forms) notified among prisoners</v>
      </c>
      <c r="K1229" s="162"/>
      <c r="L1229" s="163"/>
      <c r="M1229" s="164"/>
      <c r="N1229" s="157"/>
      <c r="O1229" s="157"/>
      <c r="P1229" s="157"/>
      <c r="Q1229" s="156" t="s">
        <v>6556</v>
      </c>
    </row>
    <row r="1230" spans="4:17" x14ac:dyDescent="0.25">
      <c r="D1230" s="157" t="s">
        <v>6557</v>
      </c>
      <c r="E1230" s="156" t="s">
        <v>6529</v>
      </c>
      <c r="F1230" s="157" t="s">
        <v>3268</v>
      </c>
      <c r="G1230" s="156"/>
      <c r="H1230" s="157"/>
      <c r="I1230" s="157"/>
      <c r="J1230" s="156" t="str">
        <f t="shared" si="19"/>
        <v>TCP-6a Number of TB cases (all forms) notified among prisoners</v>
      </c>
      <c r="K1230" s="162"/>
      <c r="L1230" s="163"/>
      <c r="M1230" s="164"/>
      <c r="N1230" s="157"/>
      <c r="O1230" s="157"/>
      <c r="P1230" s="157"/>
      <c r="Q1230" s="156" t="s">
        <v>6558</v>
      </c>
    </row>
    <row r="1231" spans="4:17" x14ac:dyDescent="0.25">
      <c r="D1231" s="157" t="s">
        <v>6559</v>
      </c>
      <c r="E1231" s="156" t="s">
        <v>6529</v>
      </c>
      <c r="F1231" s="157" t="s">
        <v>3268</v>
      </c>
      <c r="G1231" s="156"/>
      <c r="H1231" s="157"/>
      <c r="I1231" s="157"/>
      <c r="J1231" s="156" t="str">
        <f t="shared" si="19"/>
        <v>TCP-6a Number of TB cases (all forms) notified among prisoners</v>
      </c>
      <c r="K1231" s="162"/>
      <c r="L1231" s="163"/>
      <c r="M1231" s="164"/>
      <c r="N1231" s="157"/>
      <c r="O1231" s="157"/>
      <c r="P1231" s="157"/>
      <c r="Q1231" s="156" t="s">
        <v>6560</v>
      </c>
    </row>
    <row r="1232" spans="4:17" x14ac:dyDescent="0.25">
      <c r="D1232" s="157" t="s">
        <v>6561</v>
      </c>
      <c r="E1232" s="156" t="s">
        <v>6529</v>
      </c>
      <c r="F1232" s="157" t="s">
        <v>3268</v>
      </c>
      <c r="G1232" s="156"/>
      <c r="H1232" s="157"/>
      <c r="I1232" s="157"/>
      <c r="J1232" s="156" t="str">
        <f t="shared" si="19"/>
        <v>TCP-6a Number of TB cases (all forms) notified among prisoners</v>
      </c>
      <c r="K1232" s="162"/>
      <c r="L1232" s="163"/>
      <c r="M1232" s="164"/>
      <c r="N1232" s="157"/>
      <c r="O1232" s="157"/>
      <c r="P1232" s="157"/>
      <c r="Q1232" s="156" t="s">
        <v>6562</v>
      </c>
    </row>
    <row r="1233" spans="4:17" x14ac:dyDescent="0.25">
      <c r="D1233" s="157" t="s">
        <v>6563</v>
      </c>
      <c r="E1233" s="156" t="s">
        <v>6529</v>
      </c>
      <c r="F1233" s="157" t="s">
        <v>3268</v>
      </c>
      <c r="G1233" s="156"/>
      <c r="H1233" s="157"/>
      <c r="I1233" s="157"/>
      <c r="J1233" s="156" t="str">
        <f t="shared" si="19"/>
        <v>TCP-6a Number of TB cases (all forms) notified among prisoners</v>
      </c>
      <c r="K1233" s="162"/>
      <c r="L1233" s="163"/>
      <c r="M1233" s="164"/>
      <c r="N1233" s="157"/>
      <c r="O1233" s="157"/>
      <c r="P1233" s="157"/>
      <c r="Q1233" s="156" t="s">
        <v>6564</v>
      </c>
    </row>
    <row r="1234" spans="4:17" x14ac:dyDescent="0.25">
      <c r="D1234" s="157" t="s">
        <v>6565</v>
      </c>
      <c r="E1234" s="156" t="s">
        <v>6529</v>
      </c>
      <c r="F1234" s="157" t="s">
        <v>3268</v>
      </c>
      <c r="G1234" s="156"/>
      <c r="H1234" s="157"/>
      <c r="I1234" s="157"/>
      <c r="J1234" s="156" t="str">
        <f t="shared" si="19"/>
        <v>TCP-6a Number of TB cases (all forms) notified among prisoners</v>
      </c>
      <c r="K1234" s="162"/>
      <c r="L1234" s="163"/>
      <c r="M1234" s="164"/>
      <c r="N1234" s="157"/>
      <c r="O1234" s="157"/>
      <c r="P1234" s="157"/>
      <c r="Q1234" s="156" t="s">
        <v>6566</v>
      </c>
    </row>
    <row r="1235" spans="4:17" x14ac:dyDescent="0.25">
      <c r="D1235" s="157" t="s">
        <v>6567</v>
      </c>
      <c r="E1235" s="156" t="s">
        <v>6529</v>
      </c>
      <c r="F1235" s="157" t="s">
        <v>3268</v>
      </c>
      <c r="G1235" s="156"/>
      <c r="H1235" s="157"/>
      <c r="I1235" s="157"/>
      <c r="J1235" s="156" t="str">
        <f t="shared" si="19"/>
        <v>TCP-6a Number of TB cases (all forms) notified among prisoners</v>
      </c>
      <c r="K1235" s="162"/>
      <c r="L1235" s="163"/>
      <c r="M1235" s="164"/>
      <c r="N1235" s="157"/>
      <c r="O1235" s="157"/>
      <c r="P1235" s="157"/>
      <c r="Q1235" s="156" t="s">
        <v>6568</v>
      </c>
    </row>
    <row r="1236" spans="4:17" x14ac:dyDescent="0.25">
      <c r="D1236" s="157" t="s">
        <v>6569</v>
      </c>
      <c r="E1236" s="156" t="s">
        <v>6570</v>
      </c>
      <c r="F1236" s="157"/>
      <c r="G1236" s="156"/>
      <c r="H1236" s="157"/>
      <c r="I1236" s="157"/>
      <c r="J1236" s="156" t="str">
        <f t="shared" si="19"/>
        <v/>
      </c>
      <c r="K1236" s="162"/>
      <c r="L1236" s="163"/>
      <c r="M1236" s="164"/>
      <c r="N1236" s="157"/>
      <c r="O1236" s="157"/>
      <c r="P1236" s="157"/>
      <c r="Q1236" s="156" t="s">
        <v>6571</v>
      </c>
    </row>
    <row r="1237" spans="4:17" x14ac:dyDescent="0.25">
      <c r="D1237" s="157" t="s">
        <v>6572</v>
      </c>
      <c r="E1237" s="156" t="s">
        <v>6570</v>
      </c>
      <c r="F1237" s="157"/>
      <c r="G1237" s="156"/>
      <c r="H1237" s="157"/>
      <c r="I1237" s="157"/>
      <c r="J1237" s="156" t="str">
        <f t="shared" si="19"/>
        <v/>
      </c>
      <c r="K1237" s="162"/>
      <c r="L1237" s="163"/>
      <c r="M1237" s="164"/>
      <c r="N1237" s="157"/>
      <c r="O1237" s="157"/>
      <c r="P1237" s="157"/>
      <c r="Q1237" s="156" t="s">
        <v>6573</v>
      </c>
    </row>
    <row r="1238" spans="4:17" x14ac:dyDescent="0.25">
      <c r="D1238" s="157" t="s">
        <v>6574</v>
      </c>
      <c r="E1238" s="156" t="s">
        <v>6570</v>
      </c>
      <c r="F1238" s="157"/>
      <c r="G1238" s="156"/>
      <c r="H1238" s="157"/>
      <c r="I1238" s="157"/>
      <c r="J1238" s="156" t="str">
        <f t="shared" si="19"/>
        <v/>
      </c>
      <c r="K1238" s="162"/>
      <c r="L1238" s="163"/>
      <c r="M1238" s="164"/>
      <c r="N1238" s="157"/>
      <c r="O1238" s="157"/>
      <c r="P1238" s="157"/>
      <c r="Q1238" s="156" t="s">
        <v>6575</v>
      </c>
    </row>
    <row r="1239" spans="4:17" x14ac:dyDescent="0.25">
      <c r="D1239" s="157" t="s">
        <v>6576</v>
      </c>
      <c r="E1239" s="156" t="s">
        <v>6570</v>
      </c>
      <c r="F1239" s="157"/>
      <c r="G1239" s="156"/>
      <c r="H1239" s="157"/>
      <c r="I1239" s="157"/>
      <c r="J1239" s="156" t="str">
        <f t="shared" si="19"/>
        <v/>
      </c>
      <c r="K1239" s="162"/>
      <c r="L1239" s="163"/>
      <c r="M1239" s="164"/>
      <c r="N1239" s="157"/>
      <c r="O1239" s="157"/>
      <c r="P1239" s="157"/>
      <c r="Q1239" s="156" t="s">
        <v>6577</v>
      </c>
    </row>
    <row r="1240" spans="4:17" x14ac:dyDescent="0.25">
      <c r="D1240" s="157" t="s">
        <v>6578</v>
      </c>
      <c r="E1240" s="156" t="s">
        <v>6570</v>
      </c>
      <c r="F1240" s="157"/>
      <c r="G1240" s="156"/>
      <c r="H1240" s="157"/>
      <c r="I1240" s="157"/>
      <c r="J1240" s="156" t="str">
        <f t="shared" si="19"/>
        <v/>
      </c>
      <c r="K1240" s="162"/>
      <c r="L1240" s="163"/>
      <c r="M1240" s="164"/>
      <c r="N1240" s="157"/>
      <c r="O1240" s="157"/>
      <c r="P1240" s="157"/>
      <c r="Q1240" s="156" t="s">
        <v>6579</v>
      </c>
    </row>
    <row r="1241" spans="4:17" x14ac:dyDescent="0.25">
      <c r="D1241" s="157" t="s">
        <v>6580</v>
      </c>
      <c r="E1241" s="156" t="s">
        <v>6570</v>
      </c>
      <c r="F1241" s="157"/>
      <c r="G1241" s="156"/>
      <c r="H1241" s="157"/>
      <c r="I1241" s="157"/>
      <c r="J1241" s="156" t="str">
        <f t="shared" si="19"/>
        <v/>
      </c>
      <c r="K1241" s="162"/>
      <c r="L1241" s="163"/>
      <c r="M1241" s="164"/>
      <c r="N1241" s="157"/>
      <c r="O1241" s="157"/>
      <c r="P1241" s="157"/>
      <c r="Q1241" s="156" t="s">
        <v>6581</v>
      </c>
    </row>
    <row r="1242" spans="4:17" x14ac:dyDescent="0.25">
      <c r="D1242" s="157" t="s">
        <v>6582</v>
      </c>
      <c r="E1242" s="156" t="s">
        <v>6570</v>
      </c>
      <c r="F1242" s="157"/>
      <c r="G1242" s="156"/>
      <c r="H1242" s="157"/>
      <c r="I1242" s="157"/>
      <c r="J1242" s="156" t="str">
        <f t="shared" si="19"/>
        <v/>
      </c>
      <c r="K1242" s="162"/>
      <c r="L1242" s="163"/>
      <c r="M1242" s="164"/>
      <c r="N1242" s="157"/>
      <c r="O1242" s="157"/>
      <c r="P1242" s="157"/>
      <c r="Q1242" s="156" t="s">
        <v>6583</v>
      </c>
    </row>
    <row r="1243" spans="4:17" x14ac:dyDescent="0.25">
      <c r="D1243" s="157" t="s">
        <v>6584</v>
      </c>
      <c r="E1243" s="156" t="s">
        <v>6570</v>
      </c>
      <c r="F1243" s="157"/>
      <c r="G1243" s="156"/>
      <c r="H1243" s="157"/>
      <c r="I1243" s="157"/>
      <c r="J1243" s="156" t="str">
        <f t="shared" si="19"/>
        <v/>
      </c>
      <c r="K1243" s="162"/>
      <c r="L1243" s="163"/>
      <c r="M1243" s="164"/>
      <c r="N1243" s="157"/>
      <c r="O1243" s="157"/>
      <c r="P1243" s="157"/>
      <c r="Q1243" s="156" t="s">
        <v>6585</v>
      </c>
    </row>
    <row r="1244" spans="4:17" x14ac:dyDescent="0.25">
      <c r="D1244" s="157" t="s">
        <v>6586</v>
      </c>
      <c r="E1244" s="156" t="s">
        <v>6570</v>
      </c>
      <c r="F1244" s="157"/>
      <c r="G1244" s="156"/>
      <c r="H1244" s="157"/>
      <c r="I1244" s="157"/>
      <c r="J1244" s="156" t="str">
        <f t="shared" si="19"/>
        <v/>
      </c>
      <c r="K1244" s="162"/>
      <c r="L1244" s="163"/>
      <c r="M1244" s="164"/>
      <c r="N1244" s="157"/>
      <c r="O1244" s="157"/>
      <c r="P1244" s="157"/>
      <c r="Q1244" s="156" t="s">
        <v>6587</v>
      </c>
    </row>
    <row r="1245" spans="4:17" x14ac:dyDescent="0.25">
      <c r="D1245" s="157" t="s">
        <v>6588</v>
      </c>
      <c r="E1245" s="156" t="s">
        <v>6570</v>
      </c>
      <c r="F1245" s="157"/>
      <c r="G1245" s="156"/>
      <c r="H1245" s="157"/>
      <c r="I1245" s="157"/>
      <c r="J1245" s="156" t="str">
        <f t="shared" si="19"/>
        <v/>
      </c>
      <c r="K1245" s="162"/>
      <c r="L1245" s="163"/>
      <c r="M1245" s="164"/>
      <c r="N1245" s="157"/>
      <c r="O1245" s="157"/>
      <c r="P1245" s="157"/>
      <c r="Q1245" s="156" t="s">
        <v>6589</v>
      </c>
    </row>
    <row r="1246" spans="4:17" x14ac:dyDescent="0.25">
      <c r="D1246" s="157" t="s">
        <v>6590</v>
      </c>
      <c r="E1246" s="156" t="s">
        <v>6570</v>
      </c>
      <c r="F1246" s="157"/>
      <c r="G1246" s="156"/>
      <c r="H1246" s="157"/>
      <c r="I1246" s="157"/>
      <c r="J1246" s="156" t="str">
        <f t="shared" si="19"/>
        <v/>
      </c>
      <c r="K1246" s="162"/>
      <c r="L1246" s="163"/>
      <c r="M1246" s="164"/>
      <c r="N1246" s="157"/>
      <c r="O1246" s="157"/>
      <c r="P1246" s="157"/>
      <c r="Q1246" s="156" t="s">
        <v>6591</v>
      </c>
    </row>
    <row r="1247" spans="4:17" x14ac:dyDescent="0.25">
      <c r="D1247" s="157" t="s">
        <v>6592</v>
      </c>
      <c r="E1247" s="156" t="s">
        <v>6570</v>
      </c>
      <c r="F1247" s="157"/>
      <c r="G1247" s="156"/>
      <c r="H1247" s="157"/>
      <c r="I1247" s="157"/>
      <c r="J1247" s="156" t="str">
        <f t="shared" si="19"/>
        <v/>
      </c>
      <c r="K1247" s="162"/>
      <c r="L1247" s="163"/>
      <c r="M1247" s="164"/>
      <c r="N1247" s="157"/>
      <c r="O1247" s="157"/>
      <c r="P1247" s="157"/>
      <c r="Q1247" s="156" t="s">
        <v>6593</v>
      </c>
    </row>
    <row r="1248" spans="4:17" x14ac:dyDescent="0.25">
      <c r="D1248" s="157" t="s">
        <v>6594</v>
      </c>
      <c r="E1248" s="156" t="s">
        <v>6570</v>
      </c>
      <c r="F1248" s="157"/>
      <c r="G1248" s="156"/>
      <c r="H1248" s="157"/>
      <c r="I1248" s="157"/>
      <c r="J1248" s="156" t="str">
        <f t="shared" si="19"/>
        <v/>
      </c>
      <c r="K1248" s="162"/>
      <c r="L1248" s="163"/>
      <c r="M1248" s="164"/>
      <c r="N1248" s="157"/>
      <c r="O1248" s="157"/>
      <c r="P1248" s="157"/>
      <c r="Q1248" s="156" t="s">
        <v>6595</v>
      </c>
    </row>
    <row r="1249" spans="4:17" x14ac:dyDescent="0.25">
      <c r="D1249" s="157" t="s">
        <v>6596</v>
      </c>
      <c r="E1249" s="156" t="s">
        <v>6570</v>
      </c>
      <c r="F1249" s="157"/>
      <c r="G1249" s="156"/>
      <c r="H1249" s="157"/>
      <c r="I1249" s="157"/>
      <c r="J1249" s="156" t="str">
        <f t="shared" si="19"/>
        <v/>
      </c>
      <c r="K1249" s="162"/>
      <c r="L1249" s="163"/>
      <c r="M1249" s="164"/>
      <c r="N1249" s="157"/>
      <c r="O1249" s="157"/>
      <c r="P1249" s="157"/>
      <c r="Q1249" s="156" t="s">
        <v>6597</v>
      </c>
    </row>
    <row r="1250" spans="4:17" x14ac:dyDescent="0.25">
      <c r="D1250" s="157" t="s">
        <v>6598</v>
      </c>
      <c r="E1250" s="156" t="s">
        <v>6570</v>
      </c>
      <c r="F1250" s="157"/>
      <c r="G1250" s="156"/>
      <c r="H1250" s="157"/>
      <c r="I1250" s="157"/>
      <c r="J1250" s="156" t="str">
        <f t="shared" si="19"/>
        <v/>
      </c>
      <c r="K1250" s="162"/>
      <c r="L1250" s="163"/>
      <c r="M1250" s="164"/>
      <c r="N1250" s="157"/>
      <c r="O1250" s="157"/>
      <c r="P1250" s="157"/>
      <c r="Q1250" s="156" t="s">
        <v>6599</v>
      </c>
    </row>
    <row r="1251" spans="4:17" x14ac:dyDescent="0.25">
      <c r="D1251" s="157" t="s">
        <v>6600</v>
      </c>
      <c r="E1251" s="156" t="s">
        <v>6570</v>
      </c>
      <c r="F1251" s="157"/>
      <c r="G1251" s="156"/>
      <c r="H1251" s="157"/>
      <c r="I1251" s="157"/>
      <c r="J1251" s="156" t="str">
        <f t="shared" si="19"/>
        <v/>
      </c>
      <c r="K1251" s="162"/>
      <c r="L1251" s="163"/>
      <c r="M1251" s="164"/>
      <c r="N1251" s="157"/>
      <c r="O1251" s="157"/>
      <c r="P1251" s="157"/>
      <c r="Q1251" s="156" t="s">
        <v>6601</v>
      </c>
    </row>
    <row r="1252" spans="4:17" x14ac:dyDescent="0.25">
      <c r="D1252" s="157" t="s">
        <v>6602</v>
      </c>
      <c r="E1252" s="156" t="s">
        <v>6570</v>
      </c>
      <c r="F1252" s="157"/>
      <c r="G1252" s="156"/>
      <c r="H1252" s="157"/>
      <c r="I1252" s="157"/>
      <c r="J1252" s="156" t="str">
        <f t="shared" si="19"/>
        <v/>
      </c>
      <c r="K1252" s="162"/>
      <c r="L1252" s="163"/>
      <c r="M1252" s="164"/>
      <c r="N1252" s="157"/>
      <c r="O1252" s="157"/>
      <c r="P1252" s="157"/>
      <c r="Q1252" s="156" t="s">
        <v>6603</v>
      </c>
    </row>
    <row r="1253" spans="4:17" x14ac:dyDescent="0.25">
      <c r="D1253" s="157" t="s">
        <v>6604</v>
      </c>
      <c r="E1253" s="156" t="s">
        <v>6570</v>
      </c>
      <c r="F1253" s="157"/>
      <c r="G1253" s="156"/>
      <c r="H1253" s="157"/>
      <c r="I1253" s="157"/>
      <c r="J1253" s="156" t="str">
        <f t="shared" si="19"/>
        <v/>
      </c>
      <c r="K1253" s="162"/>
      <c r="L1253" s="163"/>
      <c r="M1253" s="164"/>
      <c r="N1253" s="157"/>
      <c r="O1253" s="157"/>
      <c r="P1253" s="157"/>
      <c r="Q1253" s="156" t="s">
        <v>6605</v>
      </c>
    </row>
    <row r="1254" spans="4:17" x14ac:dyDescent="0.25">
      <c r="D1254" s="157" t="s">
        <v>6606</v>
      </c>
      <c r="E1254" s="156" t="s">
        <v>6570</v>
      </c>
      <c r="F1254" s="157"/>
      <c r="G1254" s="156"/>
      <c r="H1254" s="157"/>
      <c r="I1254" s="157"/>
      <c r="J1254" s="156" t="str">
        <f t="shared" si="19"/>
        <v/>
      </c>
      <c r="K1254" s="162"/>
      <c r="L1254" s="163"/>
      <c r="M1254" s="164"/>
      <c r="N1254" s="157"/>
      <c r="O1254" s="157"/>
      <c r="P1254" s="157"/>
      <c r="Q1254" s="156" t="s">
        <v>6607</v>
      </c>
    </row>
    <row r="1255" spans="4:17" x14ac:dyDescent="0.25">
      <c r="D1255" s="157" t="s">
        <v>6608</v>
      </c>
      <c r="E1255" s="156" t="s">
        <v>6570</v>
      </c>
      <c r="F1255" s="157"/>
      <c r="G1255" s="156"/>
      <c r="H1255" s="157"/>
      <c r="I1255" s="157"/>
      <c r="J1255" s="156" t="str">
        <f t="shared" si="19"/>
        <v/>
      </c>
      <c r="K1255" s="162"/>
      <c r="L1255" s="163"/>
      <c r="M1255" s="164"/>
      <c r="N1255" s="157"/>
      <c r="O1255" s="157"/>
      <c r="P1255" s="157"/>
      <c r="Q1255" s="156" t="s">
        <v>6609</v>
      </c>
    </row>
    <row r="1256" spans="4:17" x14ac:dyDescent="0.25">
      <c r="D1256" s="157" t="s">
        <v>6610</v>
      </c>
      <c r="E1256" s="156" t="s">
        <v>6611</v>
      </c>
      <c r="F1256" s="157" t="s">
        <v>2368</v>
      </c>
      <c r="G1256" s="156"/>
      <c r="H1256" s="157" t="s">
        <v>2364</v>
      </c>
      <c r="I1256" s="157" t="s">
        <v>2365</v>
      </c>
      <c r="J1256" s="156" t="str">
        <f t="shared" ref="J1256:J1319" si="20">F1256&amp;H1256&amp;I1256</f>
        <v>TCP-1⁽ᴹ⁾ Number of notified cases of all forms of TB (i.e. bacteriologically confirmed + clinically diagnosed), new and relapse casesTB case definitionBacteriologically confirmed</v>
      </c>
      <c r="K1256" s="162"/>
      <c r="L1256" s="163"/>
      <c r="M1256" s="164"/>
      <c r="N1256" s="157"/>
      <c r="O1256" s="157"/>
      <c r="P1256" s="157" t="s">
        <v>6612</v>
      </c>
      <c r="Q1256" s="156" t="s">
        <v>6613</v>
      </c>
    </row>
    <row r="1257" spans="4:17" x14ac:dyDescent="0.25">
      <c r="D1257" s="157" t="s">
        <v>6614</v>
      </c>
      <c r="E1257" s="156" t="s">
        <v>6611</v>
      </c>
      <c r="F1257" s="157" t="s">
        <v>2368</v>
      </c>
      <c r="G1257" s="156"/>
      <c r="H1257" s="157" t="s">
        <v>2068</v>
      </c>
      <c r="I1257" s="157" t="s">
        <v>2373</v>
      </c>
      <c r="J1257" s="156" t="str">
        <f t="shared" si="20"/>
        <v>TCP-1⁽ᴹ⁾ Number of notified cases of all forms of TB (i.e. bacteriologically confirmed + clinically diagnosed), new and relapse casesHIV test statusNot documented</v>
      </c>
      <c r="K1257" s="162"/>
      <c r="L1257" s="163"/>
      <c r="M1257" s="164"/>
      <c r="N1257" s="157"/>
      <c r="O1257" s="157"/>
      <c r="P1257" s="157" t="s">
        <v>6612</v>
      </c>
      <c r="Q1257" s="156" t="s">
        <v>6615</v>
      </c>
    </row>
    <row r="1258" spans="4:17" x14ac:dyDescent="0.25">
      <c r="D1258" s="157" t="s">
        <v>6616</v>
      </c>
      <c r="E1258" s="156" t="s">
        <v>6611</v>
      </c>
      <c r="F1258" s="157" t="s">
        <v>2368</v>
      </c>
      <c r="G1258" s="156"/>
      <c r="H1258" s="157" t="s">
        <v>2068</v>
      </c>
      <c r="I1258" s="157" t="s">
        <v>2071</v>
      </c>
      <c r="J1258" s="156" t="str">
        <f t="shared" si="20"/>
        <v>TCP-1⁽ᴹ⁾ Number of notified cases of all forms of TB (i.e. bacteriologically confirmed + clinically diagnosed), new and relapse casesHIV test statusNegative</v>
      </c>
      <c r="K1258" s="162"/>
      <c r="L1258" s="163"/>
      <c r="M1258" s="164"/>
      <c r="N1258" s="157"/>
      <c r="O1258" s="157"/>
      <c r="P1258" s="157" t="s">
        <v>6612</v>
      </c>
      <c r="Q1258" s="156" t="s">
        <v>6617</v>
      </c>
    </row>
    <row r="1259" spans="4:17" x14ac:dyDescent="0.25">
      <c r="D1259" s="157" t="s">
        <v>6618</v>
      </c>
      <c r="E1259" s="156" t="s">
        <v>6611</v>
      </c>
      <c r="F1259" s="157" t="s">
        <v>2368</v>
      </c>
      <c r="G1259" s="156"/>
      <c r="H1259" s="157" t="s">
        <v>2068</v>
      </c>
      <c r="I1259" s="157" t="s">
        <v>2079</v>
      </c>
      <c r="J1259" s="156" t="str">
        <f t="shared" si="20"/>
        <v>TCP-1⁽ᴹ⁾ Number of notified cases of all forms of TB (i.e. bacteriologically confirmed + clinically diagnosed), new and relapse casesHIV test statusPositive</v>
      </c>
      <c r="K1259" s="162"/>
      <c r="L1259" s="163"/>
      <c r="M1259" s="164"/>
      <c r="N1259" s="157"/>
      <c r="O1259" s="157"/>
      <c r="P1259" s="157" t="s">
        <v>6612</v>
      </c>
      <c r="Q1259" s="156" t="s">
        <v>6619</v>
      </c>
    </row>
    <row r="1260" spans="4:17" x14ac:dyDescent="0.25">
      <c r="D1260" s="157" t="s">
        <v>6620</v>
      </c>
      <c r="E1260" s="156" t="s">
        <v>6611</v>
      </c>
      <c r="F1260" s="157" t="s">
        <v>2368</v>
      </c>
      <c r="G1260" s="156"/>
      <c r="H1260" s="157" t="s">
        <v>1450</v>
      </c>
      <c r="I1260" s="157" t="s">
        <v>1453</v>
      </c>
      <c r="J1260" s="156" t="str">
        <f t="shared" si="20"/>
        <v>TCP-1⁽ᴹ⁾ Number of notified cases of all forms of TB (i.e. bacteriologically confirmed + clinically diagnosed), new and relapse casesGenderFemale</v>
      </c>
      <c r="K1260" s="162"/>
      <c r="L1260" s="163"/>
      <c r="M1260" s="164"/>
      <c r="N1260" s="157"/>
      <c r="O1260" s="157"/>
      <c r="P1260" s="157" t="s">
        <v>6612</v>
      </c>
      <c r="Q1260" s="156" t="s">
        <v>6621</v>
      </c>
    </row>
    <row r="1261" spans="4:17" x14ac:dyDescent="0.25">
      <c r="D1261" s="157" t="s">
        <v>6622</v>
      </c>
      <c r="E1261" s="156" t="s">
        <v>6611</v>
      </c>
      <c r="F1261" s="157" t="s">
        <v>2368</v>
      </c>
      <c r="G1261" s="156"/>
      <c r="H1261" s="157" t="s">
        <v>1450</v>
      </c>
      <c r="I1261" s="157" t="s">
        <v>1458</v>
      </c>
      <c r="J1261" s="156" t="str">
        <f t="shared" si="20"/>
        <v>TCP-1⁽ᴹ⁾ Number of notified cases of all forms of TB (i.e. bacteriologically confirmed + clinically diagnosed), new and relapse casesGenderMale</v>
      </c>
      <c r="K1261" s="162"/>
      <c r="L1261" s="163"/>
      <c r="M1261" s="164"/>
      <c r="N1261" s="157"/>
      <c r="O1261" s="157"/>
      <c r="P1261" s="157" t="s">
        <v>6612</v>
      </c>
      <c r="Q1261" s="156" t="s">
        <v>6623</v>
      </c>
    </row>
    <row r="1262" spans="4:17" x14ac:dyDescent="0.25">
      <c r="D1262" s="157" t="s">
        <v>6624</v>
      </c>
      <c r="E1262" s="156" t="s">
        <v>6611</v>
      </c>
      <c r="F1262" s="157" t="s">
        <v>2368</v>
      </c>
      <c r="G1262" s="156"/>
      <c r="H1262" s="157" t="s">
        <v>1463</v>
      </c>
      <c r="I1262" s="157" t="s">
        <v>1465</v>
      </c>
      <c r="J1262" s="156" t="str">
        <f t="shared" si="20"/>
        <v>TCP-1⁽ᴹ⁾ Number of notified cases of all forms of TB (i.e. bacteriologically confirmed + clinically diagnosed), new and relapse casesAge15+</v>
      </c>
      <c r="K1262" s="162"/>
      <c r="L1262" s="163"/>
      <c r="M1262" s="164"/>
      <c r="N1262" s="157"/>
      <c r="O1262" s="157"/>
      <c r="P1262" s="157" t="s">
        <v>6612</v>
      </c>
      <c r="Q1262" s="156" t="s">
        <v>6625</v>
      </c>
    </row>
    <row r="1263" spans="4:17" x14ac:dyDescent="0.25">
      <c r="D1263" s="157" t="s">
        <v>6626</v>
      </c>
      <c r="E1263" s="156" t="s">
        <v>6611</v>
      </c>
      <c r="F1263" s="157" t="s">
        <v>2368</v>
      </c>
      <c r="G1263" s="156"/>
      <c r="H1263" s="157" t="s">
        <v>1463</v>
      </c>
      <c r="I1263" s="157" t="s">
        <v>1468</v>
      </c>
      <c r="J1263" s="156" t="str">
        <f t="shared" si="20"/>
        <v>TCP-1⁽ᴹ⁾ Number of notified cases of all forms of TB (i.e. bacteriologically confirmed + clinically diagnosed), new and relapse casesAge&lt;15</v>
      </c>
      <c r="K1263" s="162"/>
      <c r="L1263" s="163"/>
      <c r="M1263" s="164"/>
      <c r="N1263" s="157"/>
      <c r="O1263" s="157"/>
      <c r="P1263" s="157" t="s">
        <v>6612</v>
      </c>
      <c r="Q1263" s="156" t="s">
        <v>6627</v>
      </c>
    </row>
    <row r="1264" spans="4:17" x14ac:dyDescent="0.25">
      <c r="D1264" s="157" t="s">
        <v>6628</v>
      </c>
      <c r="E1264" s="156" t="s">
        <v>6611</v>
      </c>
      <c r="F1264" s="157" t="s">
        <v>2368</v>
      </c>
      <c r="G1264" s="156"/>
      <c r="H1264" s="157"/>
      <c r="I1264" s="157"/>
      <c r="J1264" s="156" t="str">
        <f t="shared" si="20"/>
        <v>TCP-1⁽ᴹ⁾ Number of notified cases of all forms of TB (i.e. bacteriologically confirmed + clinically diagnosed), new and relapse cases</v>
      </c>
      <c r="K1264" s="162"/>
      <c r="L1264" s="163"/>
      <c r="M1264" s="164"/>
      <c r="N1264" s="157"/>
      <c r="O1264" s="157"/>
      <c r="P1264" s="157"/>
      <c r="Q1264" s="156" t="s">
        <v>6629</v>
      </c>
    </row>
    <row r="1265" spans="4:17" x14ac:dyDescent="0.25">
      <c r="D1265" s="157" t="s">
        <v>6630</v>
      </c>
      <c r="E1265" s="156" t="s">
        <v>6611</v>
      </c>
      <c r="F1265" s="157" t="s">
        <v>2368</v>
      </c>
      <c r="G1265" s="156"/>
      <c r="H1265" s="157"/>
      <c r="I1265" s="157"/>
      <c r="J1265" s="156" t="str">
        <f t="shared" si="20"/>
        <v>TCP-1⁽ᴹ⁾ Number of notified cases of all forms of TB (i.e. bacteriologically confirmed + clinically diagnosed), new and relapse cases</v>
      </c>
      <c r="K1265" s="162"/>
      <c r="L1265" s="163"/>
      <c r="M1265" s="164"/>
      <c r="N1265" s="157"/>
      <c r="O1265" s="157"/>
      <c r="P1265" s="157"/>
      <c r="Q1265" s="156" t="s">
        <v>6631</v>
      </c>
    </row>
    <row r="1266" spans="4:17" x14ac:dyDescent="0.25">
      <c r="D1266" s="157" t="s">
        <v>6632</v>
      </c>
      <c r="E1266" s="156" t="s">
        <v>6611</v>
      </c>
      <c r="F1266" s="157" t="s">
        <v>2368</v>
      </c>
      <c r="G1266" s="156"/>
      <c r="H1266" s="157"/>
      <c r="I1266" s="157"/>
      <c r="J1266" s="156" t="str">
        <f t="shared" si="20"/>
        <v>TCP-1⁽ᴹ⁾ Number of notified cases of all forms of TB (i.e. bacteriologically confirmed + clinically diagnosed), new and relapse cases</v>
      </c>
      <c r="K1266" s="162"/>
      <c r="L1266" s="163"/>
      <c r="M1266" s="164"/>
      <c r="N1266" s="157"/>
      <c r="O1266" s="157"/>
      <c r="P1266" s="157"/>
      <c r="Q1266" s="156" t="s">
        <v>6633</v>
      </c>
    </row>
    <row r="1267" spans="4:17" x14ac:dyDescent="0.25">
      <c r="D1267" s="157" t="s">
        <v>6634</v>
      </c>
      <c r="E1267" s="156" t="s">
        <v>6611</v>
      </c>
      <c r="F1267" s="157" t="s">
        <v>2368</v>
      </c>
      <c r="G1267" s="156"/>
      <c r="H1267" s="157"/>
      <c r="I1267" s="157"/>
      <c r="J1267" s="156" t="str">
        <f t="shared" si="20"/>
        <v>TCP-1⁽ᴹ⁾ Number of notified cases of all forms of TB (i.e. bacteriologically confirmed + clinically diagnosed), new and relapse cases</v>
      </c>
      <c r="K1267" s="162"/>
      <c r="L1267" s="163"/>
      <c r="M1267" s="164"/>
      <c r="N1267" s="157"/>
      <c r="O1267" s="157"/>
      <c r="P1267" s="157"/>
      <c r="Q1267" s="156" t="s">
        <v>6635</v>
      </c>
    </row>
    <row r="1268" spans="4:17" x14ac:dyDescent="0.25">
      <c r="D1268" s="157" t="s">
        <v>6636</v>
      </c>
      <c r="E1268" s="156" t="s">
        <v>6611</v>
      </c>
      <c r="F1268" s="157" t="s">
        <v>2368</v>
      </c>
      <c r="G1268" s="156"/>
      <c r="H1268" s="157"/>
      <c r="I1268" s="157"/>
      <c r="J1268" s="156" t="str">
        <f t="shared" si="20"/>
        <v>TCP-1⁽ᴹ⁾ Number of notified cases of all forms of TB (i.e. bacteriologically confirmed + clinically diagnosed), new and relapse cases</v>
      </c>
      <c r="K1268" s="162"/>
      <c r="L1268" s="163"/>
      <c r="M1268" s="164"/>
      <c r="N1268" s="157"/>
      <c r="O1268" s="157"/>
      <c r="P1268" s="157"/>
      <c r="Q1268" s="156" t="s">
        <v>6637</v>
      </c>
    </row>
    <row r="1269" spans="4:17" x14ac:dyDescent="0.25">
      <c r="D1269" s="157" t="s">
        <v>6638</v>
      </c>
      <c r="E1269" s="156" t="s">
        <v>6611</v>
      </c>
      <c r="F1269" s="157" t="s">
        <v>2368</v>
      </c>
      <c r="G1269" s="156"/>
      <c r="H1269" s="157"/>
      <c r="I1269" s="157"/>
      <c r="J1269" s="156" t="str">
        <f t="shared" si="20"/>
        <v>TCP-1⁽ᴹ⁾ Number of notified cases of all forms of TB (i.e. bacteriologically confirmed + clinically diagnosed), new and relapse cases</v>
      </c>
      <c r="K1269" s="162"/>
      <c r="L1269" s="163"/>
      <c r="M1269" s="164"/>
      <c r="N1269" s="157"/>
      <c r="O1269" s="157"/>
      <c r="P1269" s="157"/>
      <c r="Q1269" s="156" t="s">
        <v>6639</v>
      </c>
    </row>
    <row r="1270" spans="4:17" x14ac:dyDescent="0.25">
      <c r="D1270" s="157" t="s">
        <v>6640</v>
      </c>
      <c r="E1270" s="156" t="s">
        <v>6611</v>
      </c>
      <c r="F1270" s="157" t="s">
        <v>2368</v>
      </c>
      <c r="G1270" s="156"/>
      <c r="H1270" s="157"/>
      <c r="I1270" s="157"/>
      <c r="J1270" s="156" t="str">
        <f t="shared" si="20"/>
        <v>TCP-1⁽ᴹ⁾ Number of notified cases of all forms of TB (i.e. bacteriologically confirmed + clinically diagnosed), new and relapse cases</v>
      </c>
      <c r="K1270" s="162"/>
      <c r="L1270" s="163"/>
      <c r="M1270" s="164"/>
      <c r="N1270" s="157"/>
      <c r="O1270" s="157"/>
      <c r="P1270" s="157"/>
      <c r="Q1270" s="156" t="s">
        <v>6641</v>
      </c>
    </row>
    <row r="1271" spans="4:17" x14ac:dyDescent="0.25">
      <c r="D1271" s="157" t="s">
        <v>6642</v>
      </c>
      <c r="E1271" s="156" t="s">
        <v>6611</v>
      </c>
      <c r="F1271" s="157" t="s">
        <v>2368</v>
      </c>
      <c r="G1271" s="156"/>
      <c r="H1271" s="157"/>
      <c r="I1271" s="157"/>
      <c r="J1271" s="156" t="str">
        <f t="shared" si="20"/>
        <v>TCP-1⁽ᴹ⁾ Number of notified cases of all forms of TB (i.e. bacteriologically confirmed + clinically diagnosed), new and relapse cases</v>
      </c>
      <c r="K1271" s="162"/>
      <c r="L1271" s="163"/>
      <c r="M1271" s="164"/>
      <c r="N1271" s="157"/>
      <c r="O1271" s="157"/>
      <c r="P1271" s="157"/>
      <c r="Q1271" s="156" t="s">
        <v>6643</v>
      </c>
    </row>
    <row r="1272" spans="4:17" x14ac:dyDescent="0.25">
      <c r="D1272" s="157" t="s">
        <v>6644</v>
      </c>
      <c r="E1272" s="156" t="s">
        <v>6611</v>
      </c>
      <c r="F1272" s="157" t="s">
        <v>2368</v>
      </c>
      <c r="G1272" s="156"/>
      <c r="H1272" s="157"/>
      <c r="I1272" s="157"/>
      <c r="J1272" s="156" t="str">
        <f t="shared" si="20"/>
        <v>TCP-1⁽ᴹ⁾ Number of notified cases of all forms of TB (i.e. bacteriologically confirmed + clinically diagnosed), new and relapse cases</v>
      </c>
      <c r="K1272" s="162"/>
      <c r="L1272" s="163"/>
      <c r="M1272" s="164"/>
      <c r="N1272" s="157"/>
      <c r="O1272" s="157"/>
      <c r="P1272" s="157"/>
      <c r="Q1272" s="156" t="s">
        <v>6645</v>
      </c>
    </row>
    <row r="1273" spans="4:17" x14ac:dyDescent="0.25">
      <c r="D1273" s="157" t="s">
        <v>6646</v>
      </c>
      <c r="E1273" s="156" t="s">
        <v>6611</v>
      </c>
      <c r="F1273" s="157" t="s">
        <v>2368</v>
      </c>
      <c r="G1273" s="156"/>
      <c r="H1273" s="157"/>
      <c r="I1273" s="157"/>
      <c r="J1273" s="156" t="str">
        <f t="shared" si="20"/>
        <v>TCP-1⁽ᴹ⁾ Number of notified cases of all forms of TB (i.e. bacteriologically confirmed + clinically diagnosed), new and relapse cases</v>
      </c>
      <c r="K1273" s="162"/>
      <c r="L1273" s="163"/>
      <c r="M1273" s="164"/>
      <c r="N1273" s="157"/>
      <c r="O1273" s="157"/>
      <c r="P1273" s="157"/>
      <c r="Q1273" s="156" t="s">
        <v>6647</v>
      </c>
    </row>
    <row r="1274" spans="4:17" x14ac:dyDescent="0.25">
      <c r="D1274" s="157" t="s">
        <v>6648</v>
      </c>
      <c r="E1274" s="156" t="s">
        <v>6611</v>
      </c>
      <c r="F1274" s="157" t="s">
        <v>2368</v>
      </c>
      <c r="G1274" s="156"/>
      <c r="H1274" s="157"/>
      <c r="I1274" s="157"/>
      <c r="J1274" s="156" t="str">
        <f t="shared" si="20"/>
        <v>TCP-1⁽ᴹ⁾ Number of notified cases of all forms of TB (i.e. bacteriologically confirmed + clinically diagnosed), new and relapse cases</v>
      </c>
      <c r="K1274" s="162"/>
      <c r="L1274" s="163"/>
      <c r="M1274" s="164"/>
      <c r="N1274" s="157"/>
      <c r="O1274" s="157"/>
      <c r="P1274" s="157"/>
      <c r="Q1274" s="156" t="s">
        <v>6649</v>
      </c>
    </row>
    <row r="1275" spans="4:17" x14ac:dyDescent="0.25">
      <c r="D1275" s="157" t="s">
        <v>6650</v>
      </c>
      <c r="E1275" s="156" t="s">
        <v>6611</v>
      </c>
      <c r="F1275" s="157" t="s">
        <v>2368</v>
      </c>
      <c r="G1275" s="156"/>
      <c r="H1275" s="157"/>
      <c r="I1275" s="157"/>
      <c r="J1275" s="156" t="str">
        <f t="shared" si="20"/>
        <v>TCP-1⁽ᴹ⁾ Number of notified cases of all forms of TB (i.e. bacteriologically confirmed + clinically diagnosed), new and relapse cases</v>
      </c>
      <c r="K1275" s="162"/>
      <c r="L1275" s="163"/>
      <c r="M1275" s="164"/>
      <c r="N1275" s="157"/>
      <c r="O1275" s="157"/>
      <c r="P1275" s="157"/>
      <c r="Q1275" s="156" t="s">
        <v>6651</v>
      </c>
    </row>
    <row r="1276" spans="4:17" x14ac:dyDescent="0.25">
      <c r="D1276" s="157" t="s">
        <v>6652</v>
      </c>
      <c r="E1276" s="156" t="s">
        <v>6653</v>
      </c>
      <c r="F1276" s="157" t="s">
        <v>3309</v>
      </c>
      <c r="G1276" s="156"/>
      <c r="H1276" s="157"/>
      <c r="I1276" s="157"/>
      <c r="J1276" s="156" t="str">
        <f t="shared" si="20"/>
        <v>MDR TB-6 Percentage of TB patients with DST result for at least Rifampicin among the total number of notified (new and retreatment) cases in the same year</v>
      </c>
      <c r="K1276" s="162"/>
      <c r="L1276" s="163"/>
      <c r="M1276" s="164"/>
      <c r="N1276" s="157"/>
      <c r="O1276" s="157"/>
      <c r="P1276" s="157"/>
      <c r="Q1276" s="156" t="s">
        <v>6654</v>
      </c>
    </row>
    <row r="1277" spans="4:17" x14ac:dyDescent="0.25">
      <c r="D1277" s="157" t="s">
        <v>6655</v>
      </c>
      <c r="E1277" s="156" t="s">
        <v>6653</v>
      </c>
      <c r="F1277" s="157" t="s">
        <v>3309</v>
      </c>
      <c r="G1277" s="156"/>
      <c r="H1277" s="157"/>
      <c r="I1277" s="157"/>
      <c r="J1277" s="156" t="str">
        <f t="shared" si="20"/>
        <v>MDR TB-6 Percentage of TB patients with DST result for at least Rifampicin among the total number of notified (new and retreatment) cases in the same year</v>
      </c>
      <c r="K1277" s="162"/>
      <c r="L1277" s="163"/>
      <c r="M1277" s="164"/>
      <c r="N1277" s="157"/>
      <c r="O1277" s="157"/>
      <c r="P1277" s="157"/>
      <c r="Q1277" s="156" t="s">
        <v>6656</v>
      </c>
    </row>
    <row r="1278" spans="4:17" x14ac:dyDescent="0.25">
      <c r="D1278" s="157" t="s">
        <v>6657</v>
      </c>
      <c r="E1278" s="156" t="s">
        <v>6653</v>
      </c>
      <c r="F1278" s="157" t="s">
        <v>3309</v>
      </c>
      <c r="G1278" s="156"/>
      <c r="H1278" s="157"/>
      <c r="I1278" s="157"/>
      <c r="J1278" s="156" t="str">
        <f t="shared" si="20"/>
        <v>MDR TB-6 Percentage of TB patients with DST result for at least Rifampicin among the total number of notified (new and retreatment) cases in the same year</v>
      </c>
      <c r="K1278" s="162"/>
      <c r="L1278" s="163"/>
      <c r="M1278" s="164"/>
      <c r="N1278" s="157"/>
      <c r="O1278" s="157"/>
      <c r="P1278" s="157"/>
      <c r="Q1278" s="156" t="s">
        <v>6658</v>
      </c>
    </row>
    <row r="1279" spans="4:17" x14ac:dyDescent="0.25">
      <c r="D1279" s="157" t="s">
        <v>6659</v>
      </c>
      <c r="E1279" s="156" t="s">
        <v>6653</v>
      </c>
      <c r="F1279" s="157" t="s">
        <v>3309</v>
      </c>
      <c r="G1279" s="156"/>
      <c r="H1279" s="157"/>
      <c r="I1279" s="157"/>
      <c r="J1279" s="156" t="str">
        <f t="shared" si="20"/>
        <v>MDR TB-6 Percentage of TB patients with DST result for at least Rifampicin among the total number of notified (new and retreatment) cases in the same year</v>
      </c>
      <c r="K1279" s="162"/>
      <c r="L1279" s="163"/>
      <c r="M1279" s="164"/>
      <c r="N1279" s="157"/>
      <c r="O1279" s="157"/>
      <c r="P1279" s="157"/>
      <c r="Q1279" s="156" t="s">
        <v>6660</v>
      </c>
    </row>
    <row r="1280" spans="4:17" x14ac:dyDescent="0.25">
      <c r="D1280" s="157" t="s">
        <v>6661</v>
      </c>
      <c r="E1280" s="156" t="s">
        <v>6653</v>
      </c>
      <c r="F1280" s="157" t="s">
        <v>3309</v>
      </c>
      <c r="G1280" s="156"/>
      <c r="H1280" s="157"/>
      <c r="I1280" s="157"/>
      <c r="J1280" s="156" t="str">
        <f t="shared" si="20"/>
        <v>MDR TB-6 Percentage of TB patients with DST result for at least Rifampicin among the total number of notified (new and retreatment) cases in the same year</v>
      </c>
      <c r="K1280" s="162"/>
      <c r="L1280" s="163"/>
      <c r="M1280" s="164"/>
      <c r="N1280" s="157"/>
      <c r="O1280" s="157"/>
      <c r="P1280" s="157"/>
      <c r="Q1280" s="156" t="s">
        <v>6662</v>
      </c>
    </row>
    <row r="1281" spans="4:17" x14ac:dyDescent="0.25">
      <c r="D1281" s="157" t="s">
        <v>6663</v>
      </c>
      <c r="E1281" s="156" t="s">
        <v>6653</v>
      </c>
      <c r="F1281" s="157" t="s">
        <v>3309</v>
      </c>
      <c r="G1281" s="156"/>
      <c r="H1281" s="157"/>
      <c r="I1281" s="157"/>
      <c r="J1281" s="156" t="str">
        <f t="shared" si="20"/>
        <v>MDR TB-6 Percentage of TB patients with DST result for at least Rifampicin among the total number of notified (new and retreatment) cases in the same year</v>
      </c>
      <c r="K1281" s="162"/>
      <c r="L1281" s="163"/>
      <c r="M1281" s="164"/>
      <c r="N1281" s="157"/>
      <c r="O1281" s="157"/>
      <c r="P1281" s="157"/>
      <c r="Q1281" s="156" t="s">
        <v>6664</v>
      </c>
    </row>
    <row r="1282" spans="4:17" x14ac:dyDescent="0.25">
      <c r="D1282" s="157" t="s">
        <v>6665</v>
      </c>
      <c r="E1282" s="156" t="s">
        <v>6653</v>
      </c>
      <c r="F1282" s="157" t="s">
        <v>3309</v>
      </c>
      <c r="G1282" s="156"/>
      <c r="H1282" s="157"/>
      <c r="I1282" s="157"/>
      <c r="J1282" s="156" t="str">
        <f t="shared" si="20"/>
        <v>MDR TB-6 Percentage of TB patients with DST result for at least Rifampicin among the total number of notified (new and retreatment) cases in the same year</v>
      </c>
      <c r="K1282" s="162"/>
      <c r="L1282" s="163"/>
      <c r="M1282" s="164"/>
      <c r="N1282" s="157"/>
      <c r="O1282" s="157"/>
      <c r="P1282" s="157"/>
      <c r="Q1282" s="156" t="s">
        <v>6666</v>
      </c>
    </row>
    <row r="1283" spans="4:17" x14ac:dyDescent="0.25">
      <c r="D1283" s="157" t="s">
        <v>6667</v>
      </c>
      <c r="E1283" s="156" t="s">
        <v>6653</v>
      </c>
      <c r="F1283" s="157" t="s">
        <v>3309</v>
      </c>
      <c r="G1283" s="156"/>
      <c r="H1283" s="157"/>
      <c r="I1283" s="157"/>
      <c r="J1283" s="156" t="str">
        <f t="shared" si="20"/>
        <v>MDR TB-6 Percentage of TB patients with DST result for at least Rifampicin among the total number of notified (new and retreatment) cases in the same year</v>
      </c>
      <c r="K1283" s="162"/>
      <c r="L1283" s="163"/>
      <c r="M1283" s="164"/>
      <c r="N1283" s="157"/>
      <c r="O1283" s="157"/>
      <c r="P1283" s="157"/>
      <c r="Q1283" s="156" t="s">
        <v>6668</v>
      </c>
    </row>
    <row r="1284" spans="4:17" x14ac:dyDescent="0.25">
      <c r="D1284" s="157" t="s">
        <v>6669</v>
      </c>
      <c r="E1284" s="156" t="s">
        <v>6653</v>
      </c>
      <c r="F1284" s="157" t="s">
        <v>3309</v>
      </c>
      <c r="G1284" s="156"/>
      <c r="H1284" s="157"/>
      <c r="I1284" s="157"/>
      <c r="J1284" s="156" t="str">
        <f t="shared" si="20"/>
        <v>MDR TB-6 Percentage of TB patients with DST result for at least Rifampicin among the total number of notified (new and retreatment) cases in the same year</v>
      </c>
      <c r="K1284" s="162"/>
      <c r="L1284" s="163"/>
      <c r="M1284" s="164"/>
      <c r="N1284" s="157"/>
      <c r="O1284" s="157"/>
      <c r="P1284" s="157"/>
      <c r="Q1284" s="156" t="s">
        <v>6670</v>
      </c>
    </row>
    <row r="1285" spans="4:17" x14ac:dyDescent="0.25">
      <c r="D1285" s="157" t="s">
        <v>6671</v>
      </c>
      <c r="E1285" s="156" t="s">
        <v>6653</v>
      </c>
      <c r="F1285" s="157" t="s">
        <v>3309</v>
      </c>
      <c r="G1285" s="156"/>
      <c r="H1285" s="157"/>
      <c r="I1285" s="157"/>
      <c r="J1285" s="156" t="str">
        <f t="shared" si="20"/>
        <v>MDR TB-6 Percentage of TB patients with DST result for at least Rifampicin among the total number of notified (new and retreatment) cases in the same year</v>
      </c>
      <c r="K1285" s="162"/>
      <c r="L1285" s="163"/>
      <c r="M1285" s="164"/>
      <c r="N1285" s="157"/>
      <c r="O1285" s="157"/>
      <c r="P1285" s="157"/>
      <c r="Q1285" s="156" t="s">
        <v>6672</v>
      </c>
    </row>
    <row r="1286" spans="4:17" x14ac:dyDescent="0.25">
      <c r="D1286" s="157" t="s">
        <v>6673</v>
      </c>
      <c r="E1286" s="156" t="s">
        <v>6653</v>
      </c>
      <c r="F1286" s="157" t="s">
        <v>3309</v>
      </c>
      <c r="G1286" s="156"/>
      <c r="H1286" s="157"/>
      <c r="I1286" s="157"/>
      <c r="J1286" s="156" t="str">
        <f t="shared" si="20"/>
        <v>MDR TB-6 Percentage of TB patients with DST result for at least Rifampicin among the total number of notified (new and retreatment) cases in the same year</v>
      </c>
      <c r="K1286" s="162"/>
      <c r="L1286" s="163"/>
      <c r="M1286" s="164"/>
      <c r="N1286" s="157"/>
      <c r="O1286" s="157"/>
      <c r="P1286" s="157"/>
      <c r="Q1286" s="156" t="s">
        <v>6674</v>
      </c>
    </row>
    <row r="1287" spans="4:17" x14ac:dyDescent="0.25">
      <c r="D1287" s="157" t="s">
        <v>6675</v>
      </c>
      <c r="E1287" s="156" t="s">
        <v>6653</v>
      </c>
      <c r="F1287" s="157" t="s">
        <v>3309</v>
      </c>
      <c r="G1287" s="156"/>
      <c r="H1287" s="157"/>
      <c r="I1287" s="157"/>
      <c r="J1287" s="156" t="str">
        <f t="shared" si="20"/>
        <v>MDR TB-6 Percentage of TB patients with DST result for at least Rifampicin among the total number of notified (new and retreatment) cases in the same year</v>
      </c>
      <c r="K1287" s="162"/>
      <c r="L1287" s="163"/>
      <c r="M1287" s="164"/>
      <c r="N1287" s="157"/>
      <c r="O1287" s="157"/>
      <c r="P1287" s="157"/>
      <c r="Q1287" s="156" t="s">
        <v>6676</v>
      </c>
    </row>
    <row r="1288" spans="4:17" x14ac:dyDescent="0.25">
      <c r="D1288" s="157" t="s">
        <v>6677</v>
      </c>
      <c r="E1288" s="156" t="s">
        <v>6653</v>
      </c>
      <c r="F1288" s="157" t="s">
        <v>3309</v>
      </c>
      <c r="G1288" s="156"/>
      <c r="H1288" s="157"/>
      <c r="I1288" s="157"/>
      <c r="J1288" s="156" t="str">
        <f t="shared" si="20"/>
        <v>MDR TB-6 Percentage of TB patients with DST result for at least Rifampicin among the total number of notified (new and retreatment) cases in the same year</v>
      </c>
      <c r="K1288" s="162"/>
      <c r="L1288" s="163"/>
      <c r="M1288" s="164"/>
      <c r="N1288" s="157"/>
      <c r="O1288" s="157"/>
      <c r="P1288" s="157"/>
      <c r="Q1288" s="156" t="s">
        <v>6678</v>
      </c>
    </row>
    <row r="1289" spans="4:17" x14ac:dyDescent="0.25">
      <c r="D1289" s="157" t="s">
        <v>6679</v>
      </c>
      <c r="E1289" s="156" t="s">
        <v>6653</v>
      </c>
      <c r="F1289" s="157" t="s">
        <v>3309</v>
      </c>
      <c r="G1289" s="156"/>
      <c r="H1289" s="157"/>
      <c r="I1289" s="157"/>
      <c r="J1289" s="156" t="str">
        <f t="shared" si="20"/>
        <v>MDR TB-6 Percentage of TB patients with DST result for at least Rifampicin among the total number of notified (new and retreatment) cases in the same year</v>
      </c>
      <c r="K1289" s="162"/>
      <c r="L1289" s="163"/>
      <c r="M1289" s="164"/>
      <c r="N1289" s="157"/>
      <c r="O1289" s="157"/>
      <c r="P1289" s="157"/>
      <c r="Q1289" s="156" t="s">
        <v>6680</v>
      </c>
    </row>
    <row r="1290" spans="4:17" x14ac:dyDescent="0.25">
      <c r="D1290" s="157" t="s">
        <v>6681</v>
      </c>
      <c r="E1290" s="156" t="s">
        <v>6653</v>
      </c>
      <c r="F1290" s="157" t="s">
        <v>3309</v>
      </c>
      <c r="G1290" s="156"/>
      <c r="H1290" s="157"/>
      <c r="I1290" s="157"/>
      <c r="J1290" s="156" t="str">
        <f t="shared" si="20"/>
        <v>MDR TB-6 Percentage of TB patients with DST result for at least Rifampicin among the total number of notified (new and retreatment) cases in the same year</v>
      </c>
      <c r="K1290" s="162"/>
      <c r="L1290" s="163"/>
      <c r="M1290" s="164"/>
      <c r="N1290" s="157"/>
      <c r="O1290" s="157"/>
      <c r="P1290" s="157"/>
      <c r="Q1290" s="156" t="s">
        <v>6682</v>
      </c>
    </row>
    <row r="1291" spans="4:17" x14ac:dyDescent="0.25">
      <c r="D1291" s="157" t="s">
        <v>6683</v>
      </c>
      <c r="E1291" s="156" t="s">
        <v>6653</v>
      </c>
      <c r="F1291" s="157" t="s">
        <v>3309</v>
      </c>
      <c r="G1291" s="156"/>
      <c r="H1291" s="157"/>
      <c r="I1291" s="157"/>
      <c r="J1291" s="156" t="str">
        <f t="shared" si="20"/>
        <v>MDR TB-6 Percentage of TB patients with DST result for at least Rifampicin among the total number of notified (new and retreatment) cases in the same year</v>
      </c>
      <c r="K1291" s="162"/>
      <c r="L1291" s="163"/>
      <c r="M1291" s="164"/>
      <c r="N1291" s="157"/>
      <c r="O1291" s="157"/>
      <c r="P1291" s="157"/>
      <c r="Q1291" s="156" t="s">
        <v>6684</v>
      </c>
    </row>
    <row r="1292" spans="4:17" x14ac:dyDescent="0.25">
      <c r="D1292" s="157" t="s">
        <v>6685</v>
      </c>
      <c r="E1292" s="156" t="s">
        <v>6653</v>
      </c>
      <c r="F1292" s="157" t="s">
        <v>3309</v>
      </c>
      <c r="G1292" s="156"/>
      <c r="H1292" s="157"/>
      <c r="I1292" s="157"/>
      <c r="J1292" s="156" t="str">
        <f t="shared" si="20"/>
        <v>MDR TB-6 Percentage of TB patients with DST result for at least Rifampicin among the total number of notified (new and retreatment) cases in the same year</v>
      </c>
      <c r="K1292" s="162"/>
      <c r="L1292" s="163"/>
      <c r="M1292" s="164"/>
      <c r="N1292" s="157"/>
      <c r="O1292" s="157"/>
      <c r="P1292" s="157"/>
      <c r="Q1292" s="156" t="s">
        <v>6686</v>
      </c>
    </row>
    <row r="1293" spans="4:17" x14ac:dyDescent="0.25">
      <c r="D1293" s="157" t="s">
        <v>6687</v>
      </c>
      <c r="E1293" s="156" t="s">
        <v>6653</v>
      </c>
      <c r="F1293" s="157" t="s">
        <v>3309</v>
      </c>
      <c r="G1293" s="156"/>
      <c r="H1293" s="157"/>
      <c r="I1293" s="157"/>
      <c r="J1293" s="156" t="str">
        <f t="shared" si="20"/>
        <v>MDR TB-6 Percentage of TB patients with DST result for at least Rifampicin among the total number of notified (new and retreatment) cases in the same year</v>
      </c>
      <c r="K1293" s="162"/>
      <c r="L1293" s="163"/>
      <c r="M1293" s="164"/>
      <c r="N1293" s="157"/>
      <c r="O1293" s="157"/>
      <c r="P1293" s="157"/>
      <c r="Q1293" s="156" t="s">
        <v>6688</v>
      </c>
    </row>
    <row r="1294" spans="4:17" x14ac:dyDescent="0.25">
      <c r="D1294" s="157" t="s">
        <v>6689</v>
      </c>
      <c r="E1294" s="156" t="s">
        <v>6653</v>
      </c>
      <c r="F1294" s="157" t="s">
        <v>3309</v>
      </c>
      <c r="G1294" s="156"/>
      <c r="H1294" s="157"/>
      <c r="I1294" s="157"/>
      <c r="J1294" s="156" t="str">
        <f t="shared" si="20"/>
        <v>MDR TB-6 Percentage of TB patients with DST result for at least Rifampicin among the total number of notified (new and retreatment) cases in the same year</v>
      </c>
      <c r="K1294" s="162"/>
      <c r="L1294" s="163"/>
      <c r="M1294" s="164"/>
      <c r="N1294" s="157"/>
      <c r="O1294" s="157"/>
      <c r="P1294" s="157"/>
      <c r="Q1294" s="156" t="s">
        <v>6690</v>
      </c>
    </row>
    <row r="1295" spans="4:17" x14ac:dyDescent="0.25">
      <c r="D1295" s="157" t="s">
        <v>6691</v>
      </c>
      <c r="E1295" s="156" t="s">
        <v>6653</v>
      </c>
      <c r="F1295" s="157" t="s">
        <v>3309</v>
      </c>
      <c r="G1295" s="156"/>
      <c r="H1295" s="157"/>
      <c r="I1295" s="157"/>
      <c r="J1295" s="156" t="str">
        <f t="shared" si="20"/>
        <v>MDR TB-6 Percentage of TB patients with DST result for at least Rifampicin among the total number of notified (new and retreatment) cases in the same year</v>
      </c>
      <c r="K1295" s="162"/>
      <c r="L1295" s="163"/>
      <c r="M1295" s="164"/>
      <c r="N1295" s="157"/>
      <c r="O1295" s="157"/>
      <c r="P1295" s="157"/>
      <c r="Q1295" s="156" t="s">
        <v>6692</v>
      </c>
    </row>
    <row r="1296" spans="4:17" x14ac:dyDescent="0.25">
      <c r="D1296" s="157" t="s">
        <v>6693</v>
      </c>
      <c r="E1296" s="156" t="s">
        <v>6694</v>
      </c>
      <c r="F1296" s="157" t="s">
        <v>2451</v>
      </c>
      <c r="G1296" s="156"/>
      <c r="H1296" s="157" t="s">
        <v>2445</v>
      </c>
      <c r="I1296" s="157" t="s">
        <v>2448</v>
      </c>
      <c r="J1296" s="156" t="str">
        <f t="shared" si="20"/>
        <v>MDR TB-3⁽ᴹ⁾ Number of cases with RR-TB and/or MDR-TB that began second-line treatmentTB regimenShort regimens</v>
      </c>
      <c r="K1296" s="162"/>
      <c r="L1296" s="163"/>
      <c r="M1296" s="164"/>
      <c r="N1296" s="157"/>
      <c r="O1296" s="157"/>
      <c r="P1296" s="157" t="s">
        <v>6612</v>
      </c>
      <c r="Q1296" s="156" t="s">
        <v>6695</v>
      </c>
    </row>
    <row r="1297" spans="4:17" x14ac:dyDescent="0.25">
      <c r="D1297" s="157" t="s">
        <v>6696</v>
      </c>
      <c r="E1297" s="156" t="s">
        <v>6694</v>
      </c>
      <c r="F1297" s="157" t="s">
        <v>2451</v>
      </c>
      <c r="G1297" s="156"/>
      <c r="H1297" s="157" t="s">
        <v>2445</v>
      </c>
      <c r="I1297" s="157" t="s">
        <v>2456</v>
      </c>
      <c r="J1297" s="156" t="str">
        <f t="shared" si="20"/>
        <v>MDR TB-3⁽ᴹ⁾ Number of cases with RR-TB and/or MDR-TB that began second-line treatmentTB regimenNew TB drugs</v>
      </c>
      <c r="K1297" s="162"/>
      <c r="L1297" s="163"/>
      <c r="M1297" s="164"/>
      <c r="N1297" s="157"/>
      <c r="O1297" s="157"/>
      <c r="P1297" s="157" t="s">
        <v>6612</v>
      </c>
      <c r="Q1297" s="156" t="s">
        <v>6697</v>
      </c>
    </row>
    <row r="1298" spans="4:17" x14ac:dyDescent="0.25">
      <c r="D1298" s="157" t="s">
        <v>6698</v>
      </c>
      <c r="E1298" s="156" t="s">
        <v>6694</v>
      </c>
      <c r="F1298" s="157" t="s">
        <v>2451</v>
      </c>
      <c r="G1298" s="156"/>
      <c r="H1298" s="157" t="s">
        <v>1450</v>
      </c>
      <c r="I1298" s="157" t="s">
        <v>1453</v>
      </c>
      <c r="J1298" s="156" t="str">
        <f t="shared" si="20"/>
        <v>MDR TB-3⁽ᴹ⁾ Number of cases with RR-TB and/or MDR-TB that began second-line treatmentGenderFemale</v>
      </c>
      <c r="K1298" s="162"/>
      <c r="L1298" s="163"/>
      <c r="M1298" s="164"/>
      <c r="N1298" s="157"/>
      <c r="O1298" s="157"/>
      <c r="P1298" s="157" t="s">
        <v>6612</v>
      </c>
      <c r="Q1298" s="156" t="s">
        <v>6699</v>
      </c>
    </row>
    <row r="1299" spans="4:17" x14ac:dyDescent="0.25">
      <c r="D1299" s="157" t="s">
        <v>6700</v>
      </c>
      <c r="E1299" s="156" t="s">
        <v>6694</v>
      </c>
      <c r="F1299" s="157" t="s">
        <v>2451</v>
      </c>
      <c r="G1299" s="156"/>
      <c r="H1299" s="157" t="s">
        <v>1450</v>
      </c>
      <c r="I1299" s="157" t="s">
        <v>1458</v>
      </c>
      <c r="J1299" s="156" t="str">
        <f t="shared" si="20"/>
        <v>MDR TB-3⁽ᴹ⁾ Number of cases with RR-TB and/or MDR-TB that began second-line treatmentGenderMale</v>
      </c>
      <c r="K1299" s="162"/>
      <c r="L1299" s="163"/>
      <c r="M1299" s="164"/>
      <c r="N1299" s="157"/>
      <c r="O1299" s="157"/>
      <c r="P1299" s="157" t="s">
        <v>6612</v>
      </c>
      <c r="Q1299" s="156" t="s">
        <v>6701</v>
      </c>
    </row>
    <row r="1300" spans="4:17" x14ac:dyDescent="0.25">
      <c r="D1300" s="157" t="s">
        <v>6702</v>
      </c>
      <c r="E1300" s="156" t="s">
        <v>6694</v>
      </c>
      <c r="F1300" s="157" t="s">
        <v>2451</v>
      </c>
      <c r="G1300" s="156"/>
      <c r="H1300" s="157" t="s">
        <v>1463</v>
      </c>
      <c r="I1300" s="157" t="s">
        <v>1465</v>
      </c>
      <c r="J1300" s="156" t="str">
        <f t="shared" si="20"/>
        <v>MDR TB-3⁽ᴹ⁾ Number of cases with RR-TB and/or MDR-TB that began second-line treatmentAge15+</v>
      </c>
      <c r="K1300" s="162"/>
      <c r="L1300" s="163"/>
      <c r="M1300" s="164"/>
      <c r="N1300" s="157"/>
      <c r="O1300" s="157"/>
      <c r="P1300" s="157" t="s">
        <v>6612</v>
      </c>
      <c r="Q1300" s="156" t="s">
        <v>6703</v>
      </c>
    </row>
    <row r="1301" spans="4:17" x14ac:dyDescent="0.25">
      <c r="D1301" s="157" t="s">
        <v>6704</v>
      </c>
      <c r="E1301" s="156" t="s">
        <v>6694</v>
      </c>
      <c r="F1301" s="157" t="s">
        <v>2451</v>
      </c>
      <c r="G1301" s="156"/>
      <c r="H1301" s="157" t="s">
        <v>1463</v>
      </c>
      <c r="I1301" s="157" t="s">
        <v>1468</v>
      </c>
      <c r="J1301" s="156" t="str">
        <f t="shared" si="20"/>
        <v>MDR TB-3⁽ᴹ⁾ Number of cases with RR-TB and/or MDR-TB that began second-line treatmentAge&lt;15</v>
      </c>
      <c r="K1301" s="162"/>
      <c r="L1301" s="163"/>
      <c r="M1301" s="164"/>
      <c r="N1301" s="157"/>
      <c r="O1301" s="157"/>
      <c r="P1301" s="157" t="s">
        <v>6612</v>
      </c>
      <c r="Q1301" s="156" t="s">
        <v>6705</v>
      </c>
    </row>
    <row r="1302" spans="4:17" x14ac:dyDescent="0.25">
      <c r="D1302" s="157" t="s">
        <v>6706</v>
      </c>
      <c r="E1302" s="156" t="s">
        <v>6694</v>
      </c>
      <c r="F1302" s="157" t="s">
        <v>2451</v>
      </c>
      <c r="G1302" s="156"/>
      <c r="H1302" s="157"/>
      <c r="I1302" s="157"/>
      <c r="J1302" s="156" t="str">
        <f t="shared" si="20"/>
        <v>MDR TB-3⁽ᴹ⁾ Number of cases with RR-TB and/or MDR-TB that began second-line treatment</v>
      </c>
      <c r="K1302" s="162"/>
      <c r="L1302" s="163"/>
      <c r="M1302" s="164"/>
      <c r="N1302" s="157"/>
      <c r="O1302" s="157"/>
      <c r="P1302" s="157"/>
      <c r="Q1302" s="156" t="s">
        <v>6707</v>
      </c>
    </row>
    <row r="1303" spans="4:17" x14ac:dyDescent="0.25">
      <c r="D1303" s="157" t="s">
        <v>6708</v>
      </c>
      <c r="E1303" s="156" t="s">
        <v>6694</v>
      </c>
      <c r="F1303" s="157" t="s">
        <v>2451</v>
      </c>
      <c r="G1303" s="156"/>
      <c r="H1303" s="157"/>
      <c r="I1303" s="157"/>
      <c r="J1303" s="156" t="str">
        <f t="shared" si="20"/>
        <v>MDR TB-3⁽ᴹ⁾ Number of cases with RR-TB and/or MDR-TB that began second-line treatment</v>
      </c>
      <c r="K1303" s="162"/>
      <c r="L1303" s="163"/>
      <c r="M1303" s="164"/>
      <c r="N1303" s="157"/>
      <c r="O1303" s="157"/>
      <c r="P1303" s="157"/>
      <c r="Q1303" s="156" t="s">
        <v>6709</v>
      </c>
    </row>
    <row r="1304" spans="4:17" x14ac:dyDescent="0.25">
      <c r="D1304" s="157" t="s">
        <v>6710</v>
      </c>
      <c r="E1304" s="156" t="s">
        <v>6694</v>
      </c>
      <c r="F1304" s="157" t="s">
        <v>2451</v>
      </c>
      <c r="G1304" s="156"/>
      <c r="H1304" s="157"/>
      <c r="I1304" s="157"/>
      <c r="J1304" s="156" t="str">
        <f t="shared" si="20"/>
        <v>MDR TB-3⁽ᴹ⁾ Number of cases with RR-TB and/or MDR-TB that began second-line treatment</v>
      </c>
      <c r="K1304" s="162"/>
      <c r="L1304" s="163"/>
      <c r="M1304" s="164"/>
      <c r="N1304" s="157"/>
      <c r="O1304" s="157"/>
      <c r="P1304" s="157"/>
      <c r="Q1304" s="156" t="s">
        <v>6711</v>
      </c>
    </row>
    <row r="1305" spans="4:17" x14ac:dyDescent="0.25">
      <c r="D1305" s="157" t="s">
        <v>6712</v>
      </c>
      <c r="E1305" s="156" t="s">
        <v>6694</v>
      </c>
      <c r="F1305" s="157" t="s">
        <v>2451</v>
      </c>
      <c r="G1305" s="156"/>
      <c r="H1305" s="157"/>
      <c r="I1305" s="157"/>
      <c r="J1305" s="156" t="str">
        <f t="shared" si="20"/>
        <v>MDR TB-3⁽ᴹ⁾ Number of cases with RR-TB and/or MDR-TB that began second-line treatment</v>
      </c>
      <c r="K1305" s="162"/>
      <c r="L1305" s="163"/>
      <c r="M1305" s="164"/>
      <c r="N1305" s="157"/>
      <c r="O1305" s="157"/>
      <c r="P1305" s="157"/>
      <c r="Q1305" s="156" t="s">
        <v>6713</v>
      </c>
    </row>
    <row r="1306" spans="4:17" x14ac:dyDescent="0.25">
      <c r="D1306" s="157" t="s">
        <v>6714</v>
      </c>
      <c r="E1306" s="156" t="s">
        <v>6694</v>
      </c>
      <c r="F1306" s="157" t="s">
        <v>2451</v>
      </c>
      <c r="G1306" s="156"/>
      <c r="H1306" s="157"/>
      <c r="I1306" s="157"/>
      <c r="J1306" s="156" t="str">
        <f t="shared" si="20"/>
        <v>MDR TB-3⁽ᴹ⁾ Number of cases with RR-TB and/or MDR-TB that began second-line treatment</v>
      </c>
      <c r="K1306" s="162"/>
      <c r="L1306" s="163"/>
      <c r="M1306" s="164"/>
      <c r="N1306" s="157"/>
      <c r="O1306" s="157"/>
      <c r="P1306" s="157"/>
      <c r="Q1306" s="156" t="s">
        <v>6715</v>
      </c>
    </row>
    <row r="1307" spans="4:17" x14ac:dyDescent="0.25">
      <c r="D1307" s="157" t="s">
        <v>6716</v>
      </c>
      <c r="E1307" s="156" t="s">
        <v>6694</v>
      </c>
      <c r="F1307" s="157" t="s">
        <v>2451</v>
      </c>
      <c r="G1307" s="156"/>
      <c r="H1307" s="157"/>
      <c r="I1307" s="157"/>
      <c r="J1307" s="156" t="str">
        <f t="shared" si="20"/>
        <v>MDR TB-3⁽ᴹ⁾ Number of cases with RR-TB and/or MDR-TB that began second-line treatment</v>
      </c>
      <c r="K1307" s="162"/>
      <c r="L1307" s="163"/>
      <c r="M1307" s="164"/>
      <c r="N1307" s="157"/>
      <c r="O1307" s="157"/>
      <c r="P1307" s="157"/>
      <c r="Q1307" s="156" t="s">
        <v>6717</v>
      </c>
    </row>
    <row r="1308" spans="4:17" x14ac:dyDescent="0.25">
      <c r="D1308" s="157" t="s">
        <v>6718</v>
      </c>
      <c r="E1308" s="156" t="s">
        <v>6694</v>
      </c>
      <c r="F1308" s="157" t="s">
        <v>2451</v>
      </c>
      <c r="G1308" s="156"/>
      <c r="H1308" s="157"/>
      <c r="I1308" s="157"/>
      <c r="J1308" s="156" t="str">
        <f t="shared" si="20"/>
        <v>MDR TB-3⁽ᴹ⁾ Number of cases with RR-TB and/or MDR-TB that began second-line treatment</v>
      </c>
      <c r="K1308" s="162"/>
      <c r="L1308" s="163"/>
      <c r="M1308" s="164"/>
      <c r="N1308" s="157"/>
      <c r="O1308" s="157"/>
      <c r="P1308" s="157"/>
      <c r="Q1308" s="156" t="s">
        <v>6719</v>
      </c>
    </row>
    <row r="1309" spans="4:17" x14ac:dyDescent="0.25">
      <c r="D1309" s="157" t="s">
        <v>6720</v>
      </c>
      <c r="E1309" s="156" t="s">
        <v>6694</v>
      </c>
      <c r="F1309" s="157" t="s">
        <v>2451</v>
      </c>
      <c r="G1309" s="156"/>
      <c r="H1309" s="157"/>
      <c r="I1309" s="157"/>
      <c r="J1309" s="156" t="str">
        <f t="shared" si="20"/>
        <v>MDR TB-3⁽ᴹ⁾ Number of cases with RR-TB and/or MDR-TB that began second-line treatment</v>
      </c>
      <c r="K1309" s="162"/>
      <c r="L1309" s="163"/>
      <c r="M1309" s="164"/>
      <c r="N1309" s="157"/>
      <c r="O1309" s="157"/>
      <c r="P1309" s="157"/>
      <c r="Q1309" s="156" t="s">
        <v>6721</v>
      </c>
    </row>
    <row r="1310" spans="4:17" x14ac:dyDescent="0.25">
      <c r="D1310" s="157" t="s">
        <v>6722</v>
      </c>
      <c r="E1310" s="156" t="s">
        <v>6694</v>
      </c>
      <c r="F1310" s="157" t="s">
        <v>2451</v>
      </c>
      <c r="G1310" s="156"/>
      <c r="H1310" s="157"/>
      <c r="I1310" s="157"/>
      <c r="J1310" s="156" t="str">
        <f t="shared" si="20"/>
        <v>MDR TB-3⁽ᴹ⁾ Number of cases with RR-TB and/or MDR-TB that began second-line treatment</v>
      </c>
      <c r="K1310" s="162"/>
      <c r="L1310" s="163"/>
      <c r="M1310" s="164"/>
      <c r="N1310" s="157"/>
      <c r="O1310" s="157"/>
      <c r="P1310" s="157"/>
      <c r="Q1310" s="156" t="s">
        <v>6723</v>
      </c>
    </row>
    <row r="1311" spans="4:17" x14ac:dyDescent="0.25">
      <c r="D1311" s="157" t="s">
        <v>6724</v>
      </c>
      <c r="E1311" s="156" t="s">
        <v>6694</v>
      </c>
      <c r="F1311" s="157" t="s">
        <v>2451</v>
      </c>
      <c r="G1311" s="156"/>
      <c r="H1311" s="157"/>
      <c r="I1311" s="157"/>
      <c r="J1311" s="156" t="str">
        <f t="shared" si="20"/>
        <v>MDR TB-3⁽ᴹ⁾ Number of cases with RR-TB and/or MDR-TB that began second-line treatment</v>
      </c>
      <c r="K1311" s="162"/>
      <c r="L1311" s="163"/>
      <c r="M1311" s="164"/>
      <c r="N1311" s="157"/>
      <c r="O1311" s="157"/>
      <c r="P1311" s="157"/>
      <c r="Q1311" s="156" t="s">
        <v>6725</v>
      </c>
    </row>
    <row r="1312" spans="4:17" x14ac:dyDescent="0.25">
      <c r="D1312" s="157" t="s">
        <v>6726</v>
      </c>
      <c r="E1312" s="156" t="s">
        <v>6694</v>
      </c>
      <c r="F1312" s="157" t="s">
        <v>2451</v>
      </c>
      <c r="G1312" s="156"/>
      <c r="H1312" s="157"/>
      <c r="I1312" s="157"/>
      <c r="J1312" s="156" t="str">
        <f t="shared" si="20"/>
        <v>MDR TB-3⁽ᴹ⁾ Number of cases with RR-TB and/or MDR-TB that began second-line treatment</v>
      </c>
      <c r="K1312" s="162"/>
      <c r="L1312" s="163"/>
      <c r="M1312" s="164"/>
      <c r="N1312" s="157"/>
      <c r="O1312" s="157"/>
      <c r="P1312" s="157"/>
      <c r="Q1312" s="156" t="s">
        <v>6727</v>
      </c>
    </row>
    <row r="1313" spans="4:17" x14ac:dyDescent="0.25">
      <c r="D1313" s="157" t="s">
        <v>6728</v>
      </c>
      <c r="E1313" s="156" t="s">
        <v>6694</v>
      </c>
      <c r="F1313" s="157" t="s">
        <v>2451</v>
      </c>
      <c r="G1313" s="156"/>
      <c r="H1313" s="157"/>
      <c r="I1313" s="157"/>
      <c r="J1313" s="156" t="str">
        <f t="shared" si="20"/>
        <v>MDR TB-3⁽ᴹ⁾ Number of cases with RR-TB and/or MDR-TB that began second-line treatment</v>
      </c>
      <c r="K1313" s="162"/>
      <c r="L1313" s="163"/>
      <c r="M1313" s="164"/>
      <c r="N1313" s="157"/>
      <c r="O1313" s="157"/>
      <c r="P1313" s="157"/>
      <c r="Q1313" s="156" t="s">
        <v>6729</v>
      </c>
    </row>
    <row r="1314" spans="4:17" x14ac:dyDescent="0.25">
      <c r="D1314" s="157" t="s">
        <v>6730</v>
      </c>
      <c r="E1314" s="156" t="s">
        <v>6694</v>
      </c>
      <c r="F1314" s="157" t="s">
        <v>2451</v>
      </c>
      <c r="G1314" s="156"/>
      <c r="H1314" s="157"/>
      <c r="I1314" s="157"/>
      <c r="J1314" s="156" t="str">
        <f t="shared" si="20"/>
        <v>MDR TB-3⁽ᴹ⁾ Number of cases with RR-TB and/or MDR-TB that began second-line treatment</v>
      </c>
      <c r="K1314" s="162"/>
      <c r="L1314" s="163"/>
      <c r="M1314" s="164"/>
      <c r="N1314" s="157"/>
      <c r="O1314" s="157"/>
      <c r="P1314" s="157"/>
      <c r="Q1314" s="156" t="s">
        <v>6731</v>
      </c>
    </row>
    <row r="1315" spans="4:17" x14ac:dyDescent="0.25">
      <c r="D1315" s="157" t="s">
        <v>6732</v>
      </c>
      <c r="E1315" s="156" t="s">
        <v>6694</v>
      </c>
      <c r="F1315" s="157" t="s">
        <v>2451</v>
      </c>
      <c r="G1315" s="156"/>
      <c r="H1315" s="157"/>
      <c r="I1315" s="157"/>
      <c r="J1315" s="156" t="str">
        <f t="shared" si="20"/>
        <v>MDR TB-3⁽ᴹ⁾ Number of cases with RR-TB and/or MDR-TB that began second-line treatment</v>
      </c>
      <c r="K1315" s="162"/>
      <c r="L1315" s="163"/>
      <c r="M1315" s="164"/>
      <c r="N1315" s="157"/>
      <c r="O1315" s="157"/>
      <c r="P1315" s="157"/>
      <c r="Q1315" s="156" t="s">
        <v>6733</v>
      </c>
    </row>
    <row r="1316" spans="4:17" x14ac:dyDescent="0.25">
      <c r="D1316" s="157" t="s">
        <v>6734</v>
      </c>
      <c r="E1316" s="156" t="s">
        <v>6735</v>
      </c>
      <c r="F1316" s="157"/>
      <c r="G1316" s="156"/>
      <c r="H1316" s="157"/>
      <c r="I1316" s="157"/>
      <c r="J1316" s="156" t="str">
        <f t="shared" si="20"/>
        <v/>
      </c>
      <c r="K1316" s="162"/>
      <c r="L1316" s="163"/>
      <c r="M1316" s="164"/>
      <c r="N1316" s="157"/>
      <c r="O1316" s="157"/>
      <c r="P1316" s="157"/>
      <c r="Q1316" s="156" t="s">
        <v>6736</v>
      </c>
    </row>
    <row r="1317" spans="4:17" x14ac:dyDescent="0.25">
      <c r="D1317" s="157" t="s">
        <v>6737</v>
      </c>
      <c r="E1317" s="156" t="s">
        <v>6735</v>
      </c>
      <c r="F1317" s="157"/>
      <c r="G1317" s="156"/>
      <c r="H1317" s="157"/>
      <c r="I1317" s="157"/>
      <c r="J1317" s="156" t="str">
        <f t="shared" si="20"/>
        <v/>
      </c>
      <c r="K1317" s="162"/>
      <c r="L1317" s="163"/>
      <c r="M1317" s="164"/>
      <c r="N1317" s="157"/>
      <c r="O1317" s="157"/>
      <c r="P1317" s="157"/>
      <c r="Q1317" s="156" t="s">
        <v>6738</v>
      </c>
    </row>
    <row r="1318" spans="4:17" x14ac:dyDescent="0.25">
      <c r="D1318" s="157" t="s">
        <v>6739</v>
      </c>
      <c r="E1318" s="156" t="s">
        <v>6735</v>
      </c>
      <c r="F1318" s="157"/>
      <c r="G1318" s="156"/>
      <c r="H1318" s="157"/>
      <c r="I1318" s="157"/>
      <c r="J1318" s="156" t="str">
        <f t="shared" si="20"/>
        <v/>
      </c>
      <c r="K1318" s="162"/>
      <c r="L1318" s="163"/>
      <c r="M1318" s="164"/>
      <c r="N1318" s="157"/>
      <c r="O1318" s="157"/>
      <c r="P1318" s="157"/>
      <c r="Q1318" s="156" t="s">
        <v>6740</v>
      </c>
    </row>
    <row r="1319" spans="4:17" x14ac:dyDescent="0.25">
      <c r="D1319" s="157" t="s">
        <v>6741</v>
      </c>
      <c r="E1319" s="156" t="s">
        <v>6735</v>
      </c>
      <c r="F1319" s="157"/>
      <c r="G1319" s="156"/>
      <c r="H1319" s="157"/>
      <c r="I1319" s="157"/>
      <c r="J1319" s="156" t="str">
        <f t="shared" si="20"/>
        <v/>
      </c>
      <c r="K1319" s="162"/>
      <c r="L1319" s="163"/>
      <c r="M1319" s="164"/>
      <c r="N1319" s="157"/>
      <c r="O1319" s="157"/>
      <c r="P1319" s="157"/>
      <c r="Q1319" s="156" t="s">
        <v>6742</v>
      </c>
    </row>
    <row r="1320" spans="4:17" x14ac:dyDescent="0.25">
      <c r="D1320" s="157" t="s">
        <v>6743</v>
      </c>
      <c r="E1320" s="156" t="s">
        <v>6735</v>
      </c>
      <c r="F1320" s="157"/>
      <c r="G1320" s="156"/>
      <c r="H1320" s="157"/>
      <c r="I1320" s="157"/>
      <c r="J1320" s="156" t="str">
        <f t="shared" ref="J1320:J1383" si="21">F1320&amp;H1320&amp;I1320</f>
        <v/>
      </c>
      <c r="K1320" s="162"/>
      <c r="L1320" s="163"/>
      <c r="M1320" s="164"/>
      <c r="N1320" s="157"/>
      <c r="O1320" s="157"/>
      <c r="P1320" s="157"/>
      <c r="Q1320" s="156" t="s">
        <v>6744</v>
      </c>
    </row>
    <row r="1321" spans="4:17" x14ac:dyDescent="0.25">
      <c r="D1321" s="157" t="s">
        <v>6745</v>
      </c>
      <c r="E1321" s="156" t="s">
        <v>6735</v>
      </c>
      <c r="F1321" s="157"/>
      <c r="G1321" s="156"/>
      <c r="H1321" s="157"/>
      <c r="I1321" s="157"/>
      <c r="J1321" s="156" t="str">
        <f t="shared" si="21"/>
        <v/>
      </c>
      <c r="K1321" s="162"/>
      <c r="L1321" s="163"/>
      <c r="M1321" s="164"/>
      <c r="N1321" s="157"/>
      <c r="O1321" s="157"/>
      <c r="P1321" s="157"/>
      <c r="Q1321" s="156" t="s">
        <v>6746</v>
      </c>
    </row>
    <row r="1322" spans="4:17" x14ac:dyDescent="0.25">
      <c r="D1322" s="157" t="s">
        <v>6747</v>
      </c>
      <c r="E1322" s="156" t="s">
        <v>6735</v>
      </c>
      <c r="F1322" s="157"/>
      <c r="G1322" s="156"/>
      <c r="H1322" s="157"/>
      <c r="I1322" s="157"/>
      <c r="J1322" s="156" t="str">
        <f t="shared" si="21"/>
        <v/>
      </c>
      <c r="K1322" s="162"/>
      <c r="L1322" s="163"/>
      <c r="M1322" s="164"/>
      <c r="N1322" s="157"/>
      <c r="O1322" s="157"/>
      <c r="P1322" s="157"/>
      <c r="Q1322" s="156" t="s">
        <v>6748</v>
      </c>
    </row>
    <row r="1323" spans="4:17" x14ac:dyDescent="0.25">
      <c r="D1323" s="157" t="s">
        <v>6749</v>
      </c>
      <c r="E1323" s="156" t="s">
        <v>6735</v>
      </c>
      <c r="F1323" s="157"/>
      <c r="G1323" s="156"/>
      <c r="H1323" s="157"/>
      <c r="I1323" s="157"/>
      <c r="J1323" s="156" t="str">
        <f t="shared" si="21"/>
        <v/>
      </c>
      <c r="K1323" s="162"/>
      <c r="L1323" s="163"/>
      <c r="M1323" s="164"/>
      <c r="N1323" s="157"/>
      <c r="O1323" s="157"/>
      <c r="P1323" s="157"/>
      <c r="Q1323" s="156" t="s">
        <v>6750</v>
      </c>
    </row>
    <row r="1324" spans="4:17" x14ac:dyDescent="0.25">
      <c r="D1324" s="157" t="s">
        <v>6751</v>
      </c>
      <c r="E1324" s="156" t="s">
        <v>6735</v>
      </c>
      <c r="F1324" s="157"/>
      <c r="G1324" s="156"/>
      <c r="H1324" s="157"/>
      <c r="I1324" s="157"/>
      <c r="J1324" s="156" t="str">
        <f t="shared" si="21"/>
        <v/>
      </c>
      <c r="K1324" s="162"/>
      <c r="L1324" s="163"/>
      <c r="M1324" s="164"/>
      <c r="N1324" s="157"/>
      <c r="O1324" s="157"/>
      <c r="P1324" s="157"/>
      <c r="Q1324" s="156" t="s">
        <v>6752</v>
      </c>
    </row>
    <row r="1325" spans="4:17" x14ac:dyDescent="0.25">
      <c r="D1325" s="157" t="s">
        <v>6753</v>
      </c>
      <c r="E1325" s="156" t="s">
        <v>6735</v>
      </c>
      <c r="F1325" s="157"/>
      <c r="G1325" s="156"/>
      <c r="H1325" s="157"/>
      <c r="I1325" s="157"/>
      <c r="J1325" s="156" t="str">
        <f t="shared" si="21"/>
        <v/>
      </c>
      <c r="K1325" s="162"/>
      <c r="L1325" s="163"/>
      <c r="M1325" s="164"/>
      <c r="N1325" s="157"/>
      <c r="O1325" s="157"/>
      <c r="P1325" s="157"/>
      <c r="Q1325" s="156" t="s">
        <v>6754</v>
      </c>
    </row>
    <row r="1326" spans="4:17" x14ac:dyDescent="0.25">
      <c r="D1326" s="157" t="s">
        <v>6755</v>
      </c>
      <c r="E1326" s="156" t="s">
        <v>6735</v>
      </c>
      <c r="F1326" s="157"/>
      <c r="G1326" s="156"/>
      <c r="H1326" s="157"/>
      <c r="I1326" s="157"/>
      <c r="J1326" s="156" t="str">
        <f t="shared" si="21"/>
        <v/>
      </c>
      <c r="K1326" s="162"/>
      <c r="L1326" s="163"/>
      <c r="M1326" s="164"/>
      <c r="N1326" s="157"/>
      <c r="O1326" s="157"/>
      <c r="P1326" s="157"/>
      <c r="Q1326" s="156" t="s">
        <v>6756</v>
      </c>
    </row>
    <row r="1327" spans="4:17" x14ac:dyDescent="0.25">
      <c r="D1327" s="157" t="s">
        <v>6757</v>
      </c>
      <c r="E1327" s="156" t="s">
        <v>6735</v>
      </c>
      <c r="F1327" s="157"/>
      <c r="G1327" s="156"/>
      <c r="H1327" s="157"/>
      <c r="I1327" s="157"/>
      <c r="J1327" s="156" t="str">
        <f t="shared" si="21"/>
        <v/>
      </c>
      <c r="K1327" s="162"/>
      <c r="L1327" s="163"/>
      <c r="M1327" s="164"/>
      <c r="N1327" s="157"/>
      <c r="O1327" s="157"/>
      <c r="P1327" s="157"/>
      <c r="Q1327" s="156" t="s">
        <v>6758</v>
      </c>
    </row>
    <row r="1328" spans="4:17" x14ac:dyDescent="0.25">
      <c r="D1328" s="157" t="s">
        <v>6759</v>
      </c>
      <c r="E1328" s="156" t="s">
        <v>6735</v>
      </c>
      <c r="F1328" s="157"/>
      <c r="G1328" s="156"/>
      <c r="H1328" s="157"/>
      <c r="I1328" s="157"/>
      <c r="J1328" s="156" t="str">
        <f t="shared" si="21"/>
        <v/>
      </c>
      <c r="K1328" s="162"/>
      <c r="L1328" s="163"/>
      <c r="M1328" s="164"/>
      <c r="N1328" s="157"/>
      <c r="O1328" s="157"/>
      <c r="P1328" s="157"/>
      <c r="Q1328" s="156" t="s">
        <v>6760</v>
      </c>
    </row>
    <row r="1329" spans="4:17" x14ac:dyDescent="0.25">
      <c r="D1329" s="157" t="s">
        <v>6761</v>
      </c>
      <c r="E1329" s="156" t="s">
        <v>6735</v>
      </c>
      <c r="F1329" s="157"/>
      <c r="G1329" s="156"/>
      <c r="H1329" s="157"/>
      <c r="I1329" s="157"/>
      <c r="J1329" s="156" t="str">
        <f t="shared" si="21"/>
        <v/>
      </c>
      <c r="K1329" s="162"/>
      <c r="L1329" s="163"/>
      <c r="M1329" s="164"/>
      <c r="N1329" s="157"/>
      <c r="O1329" s="157"/>
      <c r="P1329" s="157"/>
      <c r="Q1329" s="156" t="s">
        <v>6762</v>
      </c>
    </row>
    <row r="1330" spans="4:17" x14ac:dyDescent="0.25">
      <c r="D1330" s="157" t="s">
        <v>6763</v>
      </c>
      <c r="E1330" s="156" t="s">
        <v>6735</v>
      </c>
      <c r="F1330" s="157"/>
      <c r="G1330" s="156"/>
      <c r="H1330" s="157"/>
      <c r="I1330" s="157"/>
      <c r="J1330" s="156" t="str">
        <f t="shared" si="21"/>
        <v/>
      </c>
      <c r="K1330" s="162"/>
      <c r="L1330" s="163"/>
      <c r="M1330" s="164"/>
      <c r="N1330" s="157"/>
      <c r="O1330" s="157"/>
      <c r="P1330" s="157"/>
      <c r="Q1330" s="156" t="s">
        <v>6764</v>
      </c>
    </row>
    <row r="1331" spans="4:17" x14ac:dyDescent="0.25">
      <c r="D1331" s="157" t="s">
        <v>6765</v>
      </c>
      <c r="E1331" s="156" t="s">
        <v>6735</v>
      </c>
      <c r="F1331" s="157"/>
      <c r="G1331" s="156"/>
      <c r="H1331" s="157"/>
      <c r="I1331" s="157"/>
      <c r="J1331" s="156" t="str">
        <f t="shared" si="21"/>
        <v/>
      </c>
      <c r="K1331" s="162"/>
      <c r="L1331" s="163"/>
      <c r="M1331" s="164"/>
      <c r="N1331" s="157"/>
      <c r="O1331" s="157"/>
      <c r="P1331" s="157"/>
      <c r="Q1331" s="156" t="s">
        <v>6766</v>
      </c>
    </row>
    <row r="1332" spans="4:17" x14ac:dyDescent="0.25">
      <c r="D1332" s="157" t="s">
        <v>6767</v>
      </c>
      <c r="E1332" s="156" t="s">
        <v>6735</v>
      </c>
      <c r="F1332" s="157"/>
      <c r="G1332" s="156"/>
      <c r="H1332" s="157"/>
      <c r="I1332" s="157"/>
      <c r="J1332" s="156" t="str">
        <f t="shared" si="21"/>
        <v/>
      </c>
      <c r="K1332" s="162"/>
      <c r="L1332" s="163"/>
      <c r="M1332" s="164"/>
      <c r="N1332" s="157"/>
      <c r="O1332" s="157"/>
      <c r="P1332" s="157"/>
      <c r="Q1332" s="156" t="s">
        <v>6768</v>
      </c>
    </row>
    <row r="1333" spans="4:17" x14ac:dyDescent="0.25">
      <c r="D1333" s="157" t="s">
        <v>6769</v>
      </c>
      <c r="E1333" s="156" t="s">
        <v>6735</v>
      </c>
      <c r="F1333" s="157"/>
      <c r="G1333" s="156"/>
      <c r="H1333" s="157"/>
      <c r="I1333" s="157"/>
      <c r="J1333" s="156" t="str">
        <f t="shared" si="21"/>
        <v/>
      </c>
      <c r="K1333" s="162"/>
      <c r="L1333" s="163"/>
      <c r="M1333" s="164"/>
      <c r="N1333" s="157"/>
      <c r="O1333" s="157"/>
      <c r="P1333" s="157"/>
      <c r="Q1333" s="156" t="s">
        <v>6770</v>
      </c>
    </row>
    <row r="1334" spans="4:17" x14ac:dyDescent="0.25">
      <c r="D1334" s="157" t="s">
        <v>6771</v>
      </c>
      <c r="E1334" s="156" t="s">
        <v>6735</v>
      </c>
      <c r="F1334" s="157"/>
      <c r="G1334" s="156"/>
      <c r="H1334" s="157"/>
      <c r="I1334" s="157"/>
      <c r="J1334" s="156" t="str">
        <f t="shared" si="21"/>
        <v/>
      </c>
      <c r="K1334" s="162"/>
      <c r="L1334" s="163"/>
      <c r="M1334" s="164"/>
      <c r="N1334" s="157"/>
      <c r="O1334" s="157"/>
      <c r="P1334" s="157"/>
      <c r="Q1334" s="156" t="s">
        <v>6772</v>
      </c>
    </row>
    <row r="1335" spans="4:17" x14ac:dyDescent="0.25">
      <c r="D1335" s="157" t="s">
        <v>6773</v>
      </c>
      <c r="E1335" s="156" t="s">
        <v>6735</v>
      </c>
      <c r="F1335" s="157"/>
      <c r="G1335" s="156"/>
      <c r="H1335" s="157"/>
      <c r="I1335" s="157"/>
      <c r="J1335" s="156" t="str">
        <f t="shared" si="21"/>
        <v/>
      </c>
      <c r="K1335" s="162"/>
      <c r="L1335" s="163"/>
      <c r="M1335" s="164"/>
      <c r="N1335" s="157"/>
      <c r="O1335" s="157"/>
      <c r="P1335" s="157"/>
      <c r="Q1335" s="156" t="s">
        <v>6774</v>
      </c>
    </row>
    <row r="1336" spans="4:17" x14ac:dyDescent="0.25">
      <c r="D1336" s="157" t="s">
        <v>6775</v>
      </c>
      <c r="E1336" s="156" t="s">
        <v>6776</v>
      </c>
      <c r="F1336" s="157"/>
      <c r="G1336" s="156"/>
      <c r="H1336" s="157"/>
      <c r="I1336" s="157"/>
      <c r="J1336" s="156" t="str">
        <f t="shared" si="21"/>
        <v/>
      </c>
      <c r="K1336" s="162"/>
      <c r="L1336" s="163"/>
      <c r="M1336" s="164"/>
      <c r="N1336" s="157"/>
      <c r="O1336" s="157"/>
      <c r="P1336" s="157"/>
      <c r="Q1336" s="156" t="s">
        <v>6777</v>
      </c>
    </row>
    <row r="1337" spans="4:17" x14ac:dyDescent="0.25">
      <c r="D1337" s="157" t="s">
        <v>6778</v>
      </c>
      <c r="E1337" s="156" t="s">
        <v>6776</v>
      </c>
      <c r="F1337" s="157"/>
      <c r="G1337" s="156"/>
      <c r="H1337" s="157"/>
      <c r="I1337" s="157"/>
      <c r="J1337" s="156" t="str">
        <f t="shared" si="21"/>
        <v/>
      </c>
      <c r="K1337" s="162"/>
      <c r="L1337" s="163"/>
      <c r="M1337" s="164"/>
      <c r="N1337" s="157"/>
      <c r="O1337" s="157"/>
      <c r="P1337" s="157"/>
      <c r="Q1337" s="156" t="s">
        <v>6779</v>
      </c>
    </row>
    <row r="1338" spans="4:17" x14ac:dyDescent="0.25">
      <c r="D1338" s="157" t="s">
        <v>6780</v>
      </c>
      <c r="E1338" s="156" t="s">
        <v>6776</v>
      </c>
      <c r="F1338" s="157"/>
      <c r="G1338" s="156"/>
      <c r="H1338" s="157"/>
      <c r="I1338" s="157"/>
      <c r="J1338" s="156" t="str">
        <f t="shared" si="21"/>
        <v/>
      </c>
      <c r="K1338" s="162"/>
      <c r="L1338" s="163"/>
      <c r="M1338" s="164"/>
      <c r="N1338" s="157"/>
      <c r="O1338" s="157"/>
      <c r="P1338" s="157"/>
      <c r="Q1338" s="156" t="s">
        <v>6781</v>
      </c>
    </row>
    <row r="1339" spans="4:17" x14ac:dyDescent="0.25">
      <c r="D1339" s="157" t="s">
        <v>6782</v>
      </c>
      <c r="E1339" s="156" t="s">
        <v>6776</v>
      </c>
      <c r="F1339" s="157"/>
      <c r="G1339" s="156"/>
      <c r="H1339" s="157"/>
      <c r="I1339" s="157"/>
      <c r="J1339" s="156" t="str">
        <f t="shared" si="21"/>
        <v/>
      </c>
      <c r="K1339" s="162"/>
      <c r="L1339" s="163"/>
      <c r="M1339" s="164"/>
      <c r="N1339" s="157"/>
      <c r="O1339" s="157"/>
      <c r="P1339" s="157"/>
      <c r="Q1339" s="156" t="s">
        <v>6783</v>
      </c>
    </row>
    <row r="1340" spans="4:17" x14ac:dyDescent="0.25">
      <c r="D1340" s="157" t="s">
        <v>6784</v>
      </c>
      <c r="E1340" s="156" t="s">
        <v>6776</v>
      </c>
      <c r="F1340" s="157"/>
      <c r="G1340" s="156"/>
      <c r="H1340" s="157"/>
      <c r="I1340" s="157"/>
      <c r="J1340" s="156" t="str">
        <f t="shared" si="21"/>
        <v/>
      </c>
      <c r="K1340" s="162"/>
      <c r="L1340" s="163"/>
      <c r="M1340" s="164"/>
      <c r="N1340" s="157"/>
      <c r="O1340" s="157"/>
      <c r="P1340" s="157"/>
      <c r="Q1340" s="156" t="s">
        <v>6785</v>
      </c>
    </row>
    <row r="1341" spans="4:17" x14ac:dyDescent="0.25">
      <c r="D1341" s="157" t="s">
        <v>6786</v>
      </c>
      <c r="E1341" s="156" t="s">
        <v>6776</v>
      </c>
      <c r="F1341" s="157"/>
      <c r="G1341" s="156"/>
      <c r="H1341" s="157"/>
      <c r="I1341" s="157"/>
      <c r="J1341" s="156" t="str">
        <f t="shared" si="21"/>
        <v/>
      </c>
      <c r="K1341" s="162"/>
      <c r="L1341" s="163"/>
      <c r="M1341" s="164"/>
      <c r="N1341" s="157"/>
      <c r="O1341" s="157"/>
      <c r="P1341" s="157"/>
      <c r="Q1341" s="156" t="s">
        <v>6787</v>
      </c>
    </row>
    <row r="1342" spans="4:17" x14ac:dyDescent="0.25">
      <c r="D1342" s="157" t="s">
        <v>6788</v>
      </c>
      <c r="E1342" s="156" t="s">
        <v>6776</v>
      </c>
      <c r="F1342" s="157"/>
      <c r="G1342" s="156"/>
      <c r="H1342" s="157"/>
      <c r="I1342" s="157"/>
      <c r="J1342" s="156" t="str">
        <f t="shared" si="21"/>
        <v/>
      </c>
      <c r="K1342" s="162"/>
      <c r="L1342" s="163"/>
      <c r="M1342" s="164"/>
      <c r="N1342" s="157"/>
      <c r="O1342" s="157"/>
      <c r="P1342" s="157"/>
      <c r="Q1342" s="156" t="s">
        <v>6789</v>
      </c>
    </row>
    <row r="1343" spans="4:17" x14ac:dyDescent="0.25">
      <c r="D1343" s="157" t="s">
        <v>6790</v>
      </c>
      <c r="E1343" s="156" t="s">
        <v>6776</v>
      </c>
      <c r="F1343" s="157"/>
      <c r="G1343" s="156"/>
      <c r="H1343" s="157"/>
      <c r="I1343" s="157"/>
      <c r="J1343" s="156" t="str">
        <f t="shared" si="21"/>
        <v/>
      </c>
      <c r="K1343" s="162"/>
      <c r="L1343" s="163"/>
      <c r="M1343" s="164"/>
      <c r="N1343" s="157"/>
      <c r="O1343" s="157"/>
      <c r="P1343" s="157"/>
      <c r="Q1343" s="156" t="s">
        <v>6791</v>
      </c>
    </row>
    <row r="1344" spans="4:17" x14ac:dyDescent="0.25">
      <c r="D1344" s="157" t="s">
        <v>6792</v>
      </c>
      <c r="E1344" s="156" t="s">
        <v>6776</v>
      </c>
      <c r="F1344" s="157"/>
      <c r="G1344" s="156"/>
      <c r="H1344" s="157"/>
      <c r="I1344" s="157"/>
      <c r="J1344" s="156" t="str">
        <f t="shared" si="21"/>
        <v/>
      </c>
      <c r="K1344" s="162"/>
      <c r="L1344" s="163"/>
      <c r="M1344" s="164"/>
      <c r="N1344" s="157"/>
      <c r="O1344" s="157"/>
      <c r="P1344" s="157"/>
      <c r="Q1344" s="156" t="s">
        <v>6793</v>
      </c>
    </row>
    <row r="1345" spans="4:17" x14ac:dyDescent="0.25">
      <c r="D1345" s="157" t="s">
        <v>6794</v>
      </c>
      <c r="E1345" s="156" t="s">
        <v>6776</v>
      </c>
      <c r="F1345" s="157"/>
      <c r="G1345" s="156"/>
      <c r="H1345" s="157"/>
      <c r="I1345" s="157"/>
      <c r="J1345" s="156" t="str">
        <f t="shared" si="21"/>
        <v/>
      </c>
      <c r="K1345" s="162"/>
      <c r="L1345" s="163"/>
      <c r="M1345" s="164"/>
      <c r="N1345" s="157"/>
      <c r="O1345" s="157"/>
      <c r="P1345" s="157"/>
      <c r="Q1345" s="156" t="s">
        <v>6795</v>
      </c>
    </row>
    <row r="1346" spans="4:17" x14ac:dyDescent="0.25">
      <c r="D1346" s="157" t="s">
        <v>6796</v>
      </c>
      <c r="E1346" s="156" t="s">
        <v>6776</v>
      </c>
      <c r="F1346" s="157"/>
      <c r="G1346" s="156"/>
      <c r="H1346" s="157"/>
      <c r="I1346" s="157"/>
      <c r="J1346" s="156" t="str">
        <f t="shared" si="21"/>
        <v/>
      </c>
      <c r="K1346" s="162"/>
      <c r="L1346" s="163"/>
      <c r="M1346" s="164"/>
      <c r="N1346" s="157"/>
      <c r="O1346" s="157"/>
      <c r="P1346" s="157"/>
      <c r="Q1346" s="156" t="s">
        <v>6797</v>
      </c>
    </row>
    <row r="1347" spans="4:17" x14ac:dyDescent="0.25">
      <c r="D1347" s="157" t="s">
        <v>6798</v>
      </c>
      <c r="E1347" s="156" t="s">
        <v>6776</v>
      </c>
      <c r="F1347" s="157"/>
      <c r="G1347" s="156"/>
      <c r="H1347" s="157"/>
      <c r="I1347" s="157"/>
      <c r="J1347" s="156" t="str">
        <f t="shared" si="21"/>
        <v/>
      </c>
      <c r="K1347" s="162"/>
      <c r="L1347" s="163"/>
      <c r="M1347" s="164"/>
      <c r="N1347" s="157"/>
      <c r="O1347" s="157"/>
      <c r="P1347" s="157"/>
      <c r="Q1347" s="156" t="s">
        <v>6799</v>
      </c>
    </row>
    <row r="1348" spans="4:17" x14ac:dyDescent="0.25">
      <c r="D1348" s="157" t="s">
        <v>6800</v>
      </c>
      <c r="E1348" s="156" t="s">
        <v>6776</v>
      </c>
      <c r="F1348" s="157"/>
      <c r="G1348" s="156"/>
      <c r="H1348" s="157"/>
      <c r="I1348" s="157"/>
      <c r="J1348" s="156" t="str">
        <f t="shared" si="21"/>
        <v/>
      </c>
      <c r="K1348" s="162"/>
      <c r="L1348" s="163"/>
      <c r="M1348" s="164"/>
      <c r="N1348" s="157"/>
      <c r="O1348" s="157"/>
      <c r="P1348" s="157"/>
      <c r="Q1348" s="156" t="s">
        <v>6801</v>
      </c>
    </row>
    <row r="1349" spans="4:17" x14ac:dyDescent="0.25">
      <c r="D1349" s="157" t="s">
        <v>6802</v>
      </c>
      <c r="E1349" s="156" t="s">
        <v>6776</v>
      </c>
      <c r="F1349" s="157"/>
      <c r="G1349" s="156"/>
      <c r="H1349" s="157"/>
      <c r="I1349" s="157"/>
      <c r="J1349" s="156" t="str">
        <f t="shared" si="21"/>
        <v/>
      </c>
      <c r="K1349" s="162"/>
      <c r="L1349" s="163"/>
      <c r="M1349" s="164"/>
      <c r="N1349" s="157"/>
      <c r="O1349" s="157"/>
      <c r="P1349" s="157"/>
      <c r="Q1349" s="156" t="s">
        <v>6803</v>
      </c>
    </row>
    <row r="1350" spans="4:17" x14ac:dyDescent="0.25">
      <c r="D1350" s="157" t="s">
        <v>6804</v>
      </c>
      <c r="E1350" s="156" t="s">
        <v>6776</v>
      </c>
      <c r="F1350" s="157"/>
      <c r="G1350" s="156"/>
      <c r="H1350" s="157"/>
      <c r="I1350" s="157"/>
      <c r="J1350" s="156" t="str">
        <f t="shared" si="21"/>
        <v/>
      </c>
      <c r="K1350" s="162"/>
      <c r="L1350" s="163"/>
      <c r="M1350" s="164"/>
      <c r="N1350" s="157"/>
      <c r="O1350" s="157"/>
      <c r="P1350" s="157"/>
      <c r="Q1350" s="156" t="s">
        <v>6805</v>
      </c>
    </row>
    <row r="1351" spans="4:17" x14ac:dyDescent="0.25">
      <c r="D1351" s="157" t="s">
        <v>6806</v>
      </c>
      <c r="E1351" s="156" t="s">
        <v>6776</v>
      </c>
      <c r="F1351" s="157"/>
      <c r="G1351" s="156"/>
      <c r="H1351" s="157"/>
      <c r="I1351" s="157"/>
      <c r="J1351" s="156" t="str">
        <f t="shared" si="21"/>
        <v/>
      </c>
      <c r="K1351" s="162"/>
      <c r="L1351" s="163"/>
      <c r="M1351" s="164"/>
      <c r="N1351" s="157"/>
      <c r="O1351" s="157"/>
      <c r="P1351" s="157"/>
      <c r="Q1351" s="156" t="s">
        <v>6807</v>
      </c>
    </row>
    <row r="1352" spans="4:17" x14ac:dyDescent="0.25">
      <c r="D1352" s="157" t="s">
        <v>6808</v>
      </c>
      <c r="E1352" s="156" t="s">
        <v>6776</v>
      </c>
      <c r="F1352" s="157"/>
      <c r="G1352" s="156"/>
      <c r="H1352" s="157"/>
      <c r="I1352" s="157"/>
      <c r="J1352" s="156" t="str">
        <f t="shared" si="21"/>
        <v/>
      </c>
      <c r="K1352" s="162"/>
      <c r="L1352" s="163"/>
      <c r="M1352" s="164"/>
      <c r="N1352" s="157"/>
      <c r="O1352" s="157"/>
      <c r="P1352" s="157"/>
      <c r="Q1352" s="156" t="s">
        <v>6809</v>
      </c>
    </row>
    <row r="1353" spans="4:17" x14ac:dyDescent="0.25">
      <c r="D1353" s="157" t="s">
        <v>6810</v>
      </c>
      <c r="E1353" s="156" t="s">
        <v>6776</v>
      </c>
      <c r="F1353" s="157"/>
      <c r="G1353" s="156"/>
      <c r="H1353" s="157"/>
      <c r="I1353" s="157"/>
      <c r="J1353" s="156" t="str">
        <f t="shared" si="21"/>
        <v/>
      </c>
      <c r="K1353" s="162"/>
      <c r="L1353" s="163"/>
      <c r="M1353" s="164"/>
      <c r="N1353" s="157"/>
      <c r="O1353" s="157"/>
      <c r="P1353" s="157"/>
      <c r="Q1353" s="156" t="s">
        <v>6811</v>
      </c>
    </row>
    <row r="1354" spans="4:17" x14ac:dyDescent="0.25">
      <c r="D1354" s="157" t="s">
        <v>6812</v>
      </c>
      <c r="E1354" s="156" t="s">
        <v>6776</v>
      </c>
      <c r="F1354" s="157"/>
      <c r="G1354" s="156"/>
      <c r="H1354" s="157"/>
      <c r="I1354" s="157"/>
      <c r="J1354" s="156" t="str">
        <f t="shared" si="21"/>
        <v/>
      </c>
      <c r="K1354" s="162"/>
      <c r="L1354" s="163"/>
      <c r="M1354" s="164"/>
      <c r="N1354" s="157"/>
      <c r="O1354" s="157"/>
      <c r="P1354" s="157"/>
      <c r="Q1354" s="156" t="s">
        <v>6813</v>
      </c>
    </row>
    <row r="1355" spans="4:17" x14ac:dyDescent="0.25">
      <c r="D1355" s="157" t="s">
        <v>6814</v>
      </c>
      <c r="E1355" s="156" t="s">
        <v>6776</v>
      </c>
      <c r="F1355" s="157"/>
      <c r="G1355" s="156"/>
      <c r="H1355" s="157"/>
      <c r="I1355" s="157"/>
      <c r="J1355" s="156" t="str">
        <f t="shared" si="21"/>
        <v/>
      </c>
      <c r="K1355" s="162"/>
      <c r="L1355" s="163"/>
      <c r="M1355" s="164"/>
      <c r="N1355" s="157"/>
      <c r="O1355" s="157"/>
      <c r="P1355" s="157"/>
      <c r="Q1355" s="156" t="s">
        <v>6815</v>
      </c>
    </row>
    <row r="1356" spans="4:17" x14ac:dyDescent="0.25">
      <c r="D1356" s="157" t="s">
        <v>6816</v>
      </c>
      <c r="E1356" s="156" t="s">
        <v>6817</v>
      </c>
      <c r="F1356" s="157"/>
      <c r="G1356" s="156"/>
      <c r="H1356" s="157"/>
      <c r="I1356" s="157"/>
      <c r="J1356" s="156" t="str">
        <f t="shared" si="21"/>
        <v/>
      </c>
      <c r="K1356" s="162"/>
      <c r="L1356" s="163"/>
      <c r="M1356" s="164"/>
      <c r="N1356" s="157"/>
      <c r="O1356" s="157"/>
      <c r="P1356" s="157"/>
      <c r="Q1356" s="156" t="s">
        <v>6818</v>
      </c>
    </row>
    <row r="1357" spans="4:17" x14ac:dyDescent="0.25">
      <c r="D1357" s="157" t="s">
        <v>6819</v>
      </c>
      <c r="E1357" s="156" t="s">
        <v>6817</v>
      </c>
      <c r="F1357" s="157"/>
      <c r="G1357" s="156"/>
      <c r="H1357" s="157"/>
      <c r="I1357" s="157"/>
      <c r="J1357" s="156" t="str">
        <f t="shared" si="21"/>
        <v/>
      </c>
      <c r="K1357" s="162"/>
      <c r="L1357" s="163"/>
      <c r="M1357" s="164"/>
      <c r="N1357" s="157"/>
      <c r="O1357" s="157"/>
      <c r="P1357" s="157"/>
      <c r="Q1357" s="156" t="s">
        <v>6820</v>
      </c>
    </row>
    <row r="1358" spans="4:17" x14ac:dyDescent="0.25">
      <c r="D1358" s="157" t="s">
        <v>6821</v>
      </c>
      <c r="E1358" s="156" t="s">
        <v>6817</v>
      </c>
      <c r="F1358" s="157"/>
      <c r="G1358" s="156"/>
      <c r="H1358" s="157"/>
      <c r="I1358" s="157"/>
      <c r="J1358" s="156" t="str">
        <f t="shared" si="21"/>
        <v/>
      </c>
      <c r="K1358" s="162"/>
      <c r="L1358" s="163"/>
      <c r="M1358" s="164"/>
      <c r="N1358" s="157"/>
      <c r="O1358" s="157"/>
      <c r="P1358" s="157"/>
      <c r="Q1358" s="156" t="s">
        <v>6822</v>
      </c>
    </row>
    <row r="1359" spans="4:17" x14ac:dyDescent="0.25">
      <c r="D1359" s="157" t="s">
        <v>6823</v>
      </c>
      <c r="E1359" s="156" t="s">
        <v>6817</v>
      </c>
      <c r="F1359" s="157"/>
      <c r="G1359" s="156"/>
      <c r="H1359" s="157"/>
      <c r="I1359" s="157"/>
      <c r="J1359" s="156" t="str">
        <f t="shared" si="21"/>
        <v/>
      </c>
      <c r="K1359" s="162"/>
      <c r="L1359" s="163"/>
      <c r="M1359" s="164"/>
      <c r="N1359" s="157"/>
      <c r="O1359" s="157"/>
      <c r="P1359" s="157"/>
      <c r="Q1359" s="156" t="s">
        <v>6824</v>
      </c>
    </row>
    <row r="1360" spans="4:17" x14ac:dyDescent="0.25">
      <c r="D1360" s="157" t="s">
        <v>6825</v>
      </c>
      <c r="E1360" s="156" t="s">
        <v>6817</v>
      </c>
      <c r="F1360" s="157"/>
      <c r="G1360" s="156"/>
      <c r="H1360" s="157"/>
      <c r="I1360" s="157"/>
      <c r="J1360" s="156" t="str">
        <f t="shared" si="21"/>
        <v/>
      </c>
      <c r="K1360" s="162"/>
      <c r="L1360" s="163"/>
      <c r="M1360" s="164"/>
      <c r="N1360" s="157"/>
      <c r="O1360" s="157"/>
      <c r="P1360" s="157"/>
      <c r="Q1360" s="156" t="s">
        <v>6826</v>
      </c>
    </row>
    <row r="1361" spans="4:17" x14ac:dyDescent="0.25">
      <c r="D1361" s="157" t="s">
        <v>6827</v>
      </c>
      <c r="E1361" s="156" t="s">
        <v>6817</v>
      </c>
      <c r="F1361" s="157"/>
      <c r="G1361" s="156"/>
      <c r="H1361" s="157"/>
      <c r="I1361" s="157"/>
      <c r="J1361" s="156" t="str">
        <f t="shared" si="21"/>
        <v/>
      </c>
      <c r="K1361" s="162"/>
      <c r="L1361" s="163"/>
      <c r="M1361" s="164"/>
      <c r="N1361" s="157"/>
      <c r="O1361" s="157"/>
      <c r="P1361" s="157"/>
      <c r="Q1361" s="156" t="s">
        <v>6828</v>
      </c>
    </row>
    <row r="1362" spans="4:17" x14ac:dyDescent="0.25">
      <c r="D1362" s="157" t="s">
        <v>6829</v>
      </c>
      <c r="E1362" s="156" t="s">
        <v>6817</v>
      </c>
      <c r="F1362" s="157"/>
      <c r="G1362" s="156"/>
      <c r="H1362" s="157"/>
      <c r="I1362" s="157"/>
      <c r="J1362" s="156" t="str">
        <f t="shared" si="21"/>
        <v/>
      </c>
      <c r="K1362" s="162"/>
      <c r="L1362" s="163"/>
      <c r="M1362" s="164"/>
      <c r="N1362" s="157"/>
      <c r="O1362" s="157"/>
      <c r="P1362" s="157"/>
      <c r="Q1362" s="156" t="s">
        <v>6830</v>
      </c>
    </row>
    <row r="1363" spans="4:17" x14ac:dyDescent="0.25">
      <c r="D1363" s="157" t="s">
        <v>6831</v>
      </c>
      <c r="E1363" s="156" t="s">
        <v>6817</v>
      </c>
      <c r="F1363" s="157"/>
      <c r="G1363" s="156"/>
      <c r="H1363" s="157"/>
      <c r="I1363" s="157"/>
      <c r="J1363" s="156" t="str">
        <f t="shared" si="21"/>
        <v/>
      </c>
      <c r="K1363" s="162"/>
      <c r="L1363" s="163"/>
      <c r="M1363" s="164"/>
      <c r="N1363" s="157"/>
      <c r="O1363" s="157"/>
      <c r="P1363" s="157"/>
      <c r="Q1363" s="156" t="s">
        <v>6832</v>
      </c>
    </row>
    <row r="1364" spans="4:17" x14ac:dyDescent="0.25">
      <c r="D1364" s="157" t="s">
        <v>6833</v>
      </c>
      <c r="E1364" s="156" t="s">
        <v>6817</v>
      </c>
      <c r="F1364" s="157"/>
      <c r="G1364" s="156"/>
      <c r="H1364" s="157"/>
      <c r="I1364" s="157"/>
      <c r="J1364" s="156" t="str">
        <f t="shared" si="21"/>
        <v/>
      </c>
      <c r="K1364" s="162"/>
      <c r="L1364" s="163"/>
      <c r="M1364" s="164"/>
      <c r="N1364" s="157"/>
      <c r="O1364" s="157"/>
      <c r="P1364" s="157"/>
      <c r="Q1364" s="156" t="s">
        <v>6834</v>
      </c>
    </row>
    <row r="1365" spans="4:17" x14ac:dyDescent="0.25">
      <c r="D1365" s="157" t="s">
        <v>6835</v>
      </c>
      <c r="E1365" s="156" t="s">
        <v>6817</v>
      </c>
      <c r="F1365" s="157"/>
      <c r="G1365" s="156"/>
      <c r="H1365" s="157"/>
      <c r="I1365" s="157"/>
      <c r="J1365" s="156" t="str">
        <f t="shared" si="21"/>
        <v/>
      </c>
      <c r="K1365" s="162"/>
      <c r="L1365" s="163"/>
      <c r="M1365" s="164"/>
      <c r="N1365" s="157"/>
      <c r="O1365" s="157"/>
      <c r="P1365" s="157"/>
      <c r="Q1365" s="156" t="s">
        <v>6836</v>
      </c>
    </row>
    <row r="1366" spans="4:17" x14ac:dyDescent="0.25">
      <c r="D1366" s="157" t="s">
        <v>6837</v>
      </c>
      <c r="E1366" s="156" t="s">
        <v>6817</v>
      </c>
      <c r="F1366" s="157"/>
      <c r="G1366" s="156"/>
      <c r="H1366" s="157"/>
      <c r="I1366" s="157"/>
      <c r="J1366" s="156" t="str">
        <f t="shared" si="21"/>
        <v/>
      </c>
      <c r="K1366" s="162"/>
      <c r="L1366" s="163"/>
      <c r="M1366" s="164"/>
      <c r="N1366" s="157"/>
      <c r="O1366" s="157"/>
      <c r="P1366" s="157"/>
      <c r="Q1366" s="156" t="s">
        <v>6838</v>
      </c>
    </row>
    <row r="1367" spans="4:17" x14ac:dyDescent="0.25">
      <c r="D1367" s="157" t="s">
        <v>6839</v>
      </c>
      <c r="E1367" s="156" t="s">
        <v>6817</v>
      </c>
      <c r="F1367" s="157"/>
      <c r="G1367" s="156"/>
      <c r="H1367" s="157"/>
      <c r="I1367" s="157"/>
      <c r="J1367" s="156" t="str">
        <f t="shared" si="21"/>
        <v/>
      </c>
      <c r="K1367" s="162"/>
      <c r="L1367" s="163"/>
      <c r="M1367" s="164"/>
      <c r="N1367" s="157"/>
      <c r="O1367" s="157"/>
      <c r="P1367" s="157"/>
      <c r="Q1367" s="156" t="s">
        <v>6840</v>
      </c>
    </row>
    <row r="1368" spans="4:17" x14ac:dyDescent="0.25">
      <c r="D1368" s="157" t="s">
        <v>6841</v>
      </c>
      <c r="E1368" s="156" t="s">
        <v>6817</v>
      </c>
      <c r="F1368" s="157"/>
      <c r="G1368" s="156"/>
      <c r="H1368" s="157"/>
      <c r="I1368" s="157"/>
      <c r="J1368" s="156" t="str">
        <f t="shared" si="21"/>
        <v/>
      </c>
      <c r="K1368" s="162"/>
      <c r="L1368" s="163"/>
      <c r="M1368" s="164"/>
      <c r="N1368" s="157"/>
      <c r="O1368" s="157"/>
      <c r="P1368" s="157"/>
      <c r="Q1368" s="156" t="s">
        <v>6842</v>
      </c>
    </row>
    <row r="1369" spans="4:17" x14ac:dyDescent="0.25">
      <c r="D1369" s="157" t="s">
        <v>6843</v>
      </c>
      <c r="E1369" s="156" t="s">
        <v>6817</v>
      </c>
      <c r="F1369" s="157"/>
      <c r="G1369" s="156"/>
      <c r="H1369" s="157"/>
      <c r="I1369" s="157"/>
      <c r="J1369" s="156" t="str">
        <f t="shared" si="21"/>
        <v/>
      </c>
      <c r="K1369" s="162"/>
      <c r="L1369" s="163"/>
      <c r="M1369" s="164"/>
      <c r="N1369" s="157"/>
      <c r="O1369" s="157"/>
      <c r="P1369" s="157"/>
      <c r="Q1369" s="156" t="s">
        <v>6844</v>
      </c>
    </row>
    <row r="1370" spans="4:17" x14ac:dyDescent="0.25">
      <c r="D1370" s="157" t="s">
        <v>6845</v>
      </c>
      <c r="E1370" s="156" t="s">
        <v>6817</v>
      </c>
      <c r="F1370" s="157"/>
      <c r="G1370" s="156"/>
      <c r="H1370" s="157"/>
      <c r="I1370" s="157"/>
      <c r="J1370" s="156" t="str">
        <f t="shared" si="21"/>
        <v/>
      </c>
      <c r="K1370" s="162"/>
      <c r="L1370" s="163"/>
      <c r="M1370" s="164"/>
      <c r="N1370" s="157"/>
      <c r="O1370" s="157"/>
      <c r="P1370" s="157"/>
      <c r="Q1370" s="156" t="s">
        <v>6846</v>
      </c>
    </row>
    <row r="1371" spans="4:17" x14ac:dyDescent="0.25">
      <c r="D1371" s="157" t="s">
        <v>6847</v>
      </c>
      <c r="E1371" s="156" t="s">
        <v>6817</v>
      </c>
      <c r="F1371" s="157"/>
      <c r="G1371" s="156"/>
      <c r="H1371" s="157"/>
      <c r="I1371" s="157"/>
      <c r="J1371" s="156" t="str">
        <f t="shared" si="21"/>
        <v/>
      </c>
      <c r="K1371" s="162"/>
      <c r="L1371" s="163"/>
      <c r="M1371" s="164"/>
      <c r="N1371" s="157"/>
      <c r="O1371" s="157"/>
      <c r="P1371" s="157"/>
      <c r="Q1371" s="156" t="s">
        <v>6848</v>
      </c>
    </row>
    <row r="1372" spans="4:17" x14ac:dyDescent="0.25">
      <c r="D1372" s="157" t="s">
        <v>6849</v>
      </c>
      <c r="E1372" s="156" t="s">
        <v>6817</v>
      </c>
      <c r="F1372" s="157"/>
      <c r="G1372" s="156"/>
      <c r="H1372" s="157"/>
      <c r="I1372" s="157"/>
      <c r="J1372" s="156" t="str">
        <f t="shared" si="21"/>
        <v/>
      </c>
      <c r="K1372" s="162"/>
      <c r="L1372" s="163"/>
      <c r="M1372" s="164"/>
      <c r="N1372" s="157"/>
      <c r="O1372" s="157"/>
      <c r="P1372" s="157"/>
      <c r="Q1372" s="156" t="s">
        <v>6850</v>
      </c>
    </row>
    <row r="1373" spans="4:17" x14ac:dyDescent="0.25">
      <c r="D1373" s="157" t="s">
        <v>6851</v>
      </c>
      <c r="E1373" s="156" t="s">
        <v>6817</v>
      </c>
      <c r="F1373" s="157"/>
      <c r="G1373" s="156"/>
      <c r="H1373" s="157"/>
      <c r="I1373" s="157"/>
      <c r="J1373" s="156" t="str">
        <f t="shared" si="21"/>
        <v/>
      </c>
      <c r="K1373" s="162"/>
      <c r="L1373" s="163"/>
      <c r="M1373" s="164"/>
      <c r="N1373" s="157"/>
      <c r="O1373" s="157"/>
      <c r="P1373" s="157"/>
      <c r="Q1373" s="156" t="s">
        <v>6852</v>
      </c>
    </row>
    <row r="1374" spans="4:17" x14ac:dyDescent="0.25">
      <c r="D1374" s="157" t="s">
        <v>6853</v>
      </c>
      <c r="E1374" s="156" t="s">
        <v>6817</v>
      </c>
      <c r="F1374" s="157"/>
      <c r="G1374" s="156"/>
      <c r="H1374" s="157"/>
      <c r="I1374" s="157"/>
      <c r="J1374" s="156" t="str">
        <f t="shared" si="21"/>
        <v/>
      </c>
      <c r="K1374" s="162"/>
      <c r="L1374" s="163"/>
      <c r="M1374" s="164"/>
      <c r="N1374" s="157"/>
      <c r="O1374" s="157"/>
      <c r="P1374" s="157"/>
      <c r="Q1374" s="156" t="s">
        <v>6854</v>
      </c>
    </row>
    <row r="1375" spans="4:17" x14ac:dyDescent="0.25">
      <c r="D1375" s="157" t="s">
        <v>6855</v>
      </c>
      <c r="E1375" s="156" t="s">
        <v>6817</v>
      </c>
      <c r="F1375" s="157"/>
      <c r="G1375" s="156"/>
      <c r="H1375" s="157"/>
      <c r="I1375" s="157"/>
      <c r="J1375" s="156" t="str">
        <f t="shared" si="21"/>
        <v/>
      </c>
      <c r="K1375" s="162"/>
      <c r="L1375" s="163"/>
      <c r="M1375" s="164"/>
      <c r="N1375" s="157"/>
      <c r="O1375" s="157"/>
      <c r="P1375" s="157"/>
      <c r="Q1375" s="156" t="s">
        <v>6856</v>
      </c>
    </row>
    <row r="1376" spans="4:17" x14ac:dyDescent="0.25">
      <c r="D1376" s="157" t="s">
        <v>6857</v>
      </c>
      <c r="E1376" s="156" t="s">
        <v>6858</v>
      </c>
      <c r="F1376" s="157"/>
      <c r="G1376" s="156"/>
      <c r="H1376" s="157"/>
      <c r="I1376" s="157"/>
      <c r="J1376" s="156" t="str">
        <f t="shared" si="21"/>
        <v/>
      </c>
      <c r="K1376" s="162"/>
      <c r="L1376" s="163"/>
      <c r="M1376" s="164"/>
      <c r="N1376" s="157"/>
      <c r="O1376" s="157"/>
      <c r="P1376" s="157"/>
      <c r="Q1376" s="156" t="s">
        <v>6859</v>
      </c>
    </row>
    <row r="1377" spans="4:17" x14ac:dyDescent="0.25">
      <c r="D1377" s="157" t="s">
        <v>6860</v>
      </c>
      <c r="E1377" s="156" t="s">
        <v>6858</v>
      </c>
      <c r="F1377" s="157"/>
      <c r="G1377" s="156"/>
      <c r="H1377" s="157"/>
      <c r="I1377" s="157"/>
      <c r="J1377" s="156" t="str">
        <f t="shared" si="21"/>
        <v/>
      </c>
      <c r="K1377" s="162"/>
      <c r="L1377" s="163"/>
      <c r="M1377" s="164"/>
      <c r="N1377" s="157"/>
      <c r="O1377" s="157"/>
      <c r="P1377" s="157"/>
      <c r="Q1377" s="156" t="s">
        <v>6861</v>
      </c>
    </row>
    <row r="1378" spans="4:17" x14ac:dyDescent="0.25">
      <c r="D1378" s="157" t="s">
        <v>6862</v>
      </c>
      <c r="E1378" s="156" t="s">
        <v>6858</v>
      </c>
      <c r="F1378" s="157"/>
      <c r="G1378" s="156"/>
      <c r="H1378" s="157"/>
      <c r="I1378" s="157"/>
      <c r="J1378" s="156" t="str">
        <f t="shared" si="21"/>
        <v/>
      </c>
      <c r="K1378" s="162"/>
      <c r="L1378" s="163"/>
      <c r="M1378" s="164"/>
      <c r="N1378" s="157"/>
      <c r="O1378" s="157"/>
      <c r="P1378" s="157"/>
      <c r="Q1378" s="156" t="s">
        <v>6863</v>
      </c>
    </row>
    <row r="1379" spans="4:17" x14ac:dyDescent="0.25">
      <c r="D1379" s="157" t="s">
        <v>6864</v>
      </c>
      <c r="E1379" s="156" t="s">
        <v>6858</v>
      </c>
      <c r="F1379" s="157"/>
      <c r="G1379" s="156"/>
      <c r="H1379" s="157"/>
      <c r="I1379" s="157"/>
      <c r="J1379" s="156" t="str">
        <f t="shared" si="21"/>
        <v/>
      </c>
      <c r="K1379" s="162"/>
      <c r="L1379" s="163"/>
      <c r="M1379" s="164"/>
      <c r="N1379" s="157"/>
      <c r="O1379" s="157"/>
      <c r="P1379" s="157"/>
      <c r="Q1379" s="156" t="s">
        <v>6865</v>
      </c>
    </row>
    <row r="1380" spans="4:17" x14ac:dyDescent="0.25">
      <c r="D1380" s="157" t="s">
        <v>6866</v>
      </c>
      <c r="E1380" s="156" t="s">
        <v>6858</v>
      </c>
      <c r="F1380" s="157"/>
      <c r="G1380" s="156"/>
      <c r="H1380" s="157"/>
      <c r="I1380" s="157"/>
      <c r="J1380" s="156" t="str">
        <f t="shared" si="21"/>
        <v/>
      </c>
      <c r="K1380" s="162"/>
      <c r="L1380" s="163"/>
      <c r="M1380" s="164"/>
      <c r="N1380" s="157"/>
      <c r="O1380" s="157"/>
      <c r="P1380" s="157"/>
      <c r="Q1380" s="156" t="s">
        <v>6867</v>
      </c>
    </row>
    <row r="1381" spans="4:17" x14ac:dyDescent="0.25">
      <c r="D1381" s="157" t="s">
        <v>6868</v>
      </c>
      <c r="E1381" s="156" t="s">
        <v>6858</v>
      </c>
      <c r="F1381" s="157"/>
      <c r="G1381" s="156"/>
      <c r="H1381" s="157"/>
      <c r="I1381" s="157"/>
      <c r="J1381" s="156" t="str">
        <f t="shared" si="21"/>
        <v/>
      </c>
      <c r="K1381" s="162"/>
      <c r="L1381" s="163"/>
      <c r="M1381" s="164"/>
      <c r="N1381" s="157"/>
      <c r="O1381" s="157"/>
      <c r="P1381" s="157"/>
      <c r="Q1381" s="156" t="s">
        <v>6869</v>
      </c>
    </row>
    <row r="1382" spans="4:17" x14ac:dyDescent="0.25">
      <c r="D1382" s="157" t="s">
        <v>6870</v>
      </c>
      <c r="E1382" s="156" t="s">
        <v>6858</v>
      </c>
      <c r="F1382" s="157"/>
      <c r="G1382" s="156"/>
      <c r="H1382" s="157"/>
      <c r="I1382" s="157"/>
      <c r="J1382" s="156" t="str">
        <f t="shared" si="21"/>
        <v/>
      </c>
      <c r="K1382" s="162"/>
      <c r="L1382" s="163"/>
      <c r="M1382" s="164"/>
      <c r="N1382" s="157"/>
      <c r="O1382" s="157"/>
      <c r="P1382" s="157"/>
      <c r="Q1382" s="156" t="s">
        <v>6871</v>
      </c>
    </row>
    <row r="1383" spans="4:17" x14ac:dyDescent="0.25">
      <c r="D1383" s="157" t="s">
        <v>6872</v>
      </c>
      <c r="E1383" s="156" t="s">
        <v>6858</v>
      </c>
      <c r="F1383" s="157"/>
      <c r="G1383" s="156"/>
      <c r="H1383" s="157"/>
      <c r="I1383" s="157"/>
      <c r="J1383" s="156" t="str">
        <f t="shared" si="21"/>
        <v/>
      </c>
      <c r="K1383" s="162"/>
      <c r="L1383" s="163"/>
      <c r="M1383" s="164"/>
      <c r="N1383" s="157"/>
      <c r="O1383" s="157"/>
      <c r="P1383" s="157"/>
      <c r="Q1383" s="156" t="s">
        <v>6873</v>
      </c>
    </row>
    <row r="1384" spans="4:17" x14ac:dyDescent="0.25">
      <c r="D1384" s="157" t="s">
        <v>6874</v>
      </c>
      <c r="E1384" s="156" t="s">
        <v>6858</v>
      </c>
      <c r="F1384" s="157"/>
      <c r="G1384" s="156"/>
      <c r="H1384" s="157"/>
      <c r="I1384" s="157"/>
      <c r="J1384" s="156" t="str">
        <f t="shared" ref="J1384:J1447" si="22">F1384&amp;H1384&amp;I1384</f>
        <v/>
      </c>
      <c r="K1384" s="162"/>
      <c r="L1384" s="163"/>
      <c r="M1384" s="164"/>
      <c r="N1384" s="157"/>
      <c r="O1384" s="157"/>
      <c r="P1384" s="157"/>
      <c r="Q1384" s="156" t="s">
        <v>6875</v>
      </c>
    </row>
    <row r="1385" spans="4:17" x14ac:dyDescent="0.25">
      <c r="D1385" s="157" t="s">
        <v>6876</v>
      </c>
      <c r="E1385" s="156" t="s">
        <v>6858</v>
      </c>
      <c r="F1385" s="157"/>
      <c r="G1385" s="156"/>
      <c r="H1385" s="157"/>
      <c r="I1385" s="157"/>
      <c r="J1385" s="156" t="str">
        <f t="shared" si="22"/>
        <v/>
      </c>
      <c r="K1385" s="162"/>
      <c r="L1385" s="163"/>
      <c r="M1385" s="164"/>
      <c r="N1385" s="157"/>
      <c r="O1385" s="157"/>
      <c r="P1385" s="157"/>
      <c r="Q1385" s="156" t="s">
        <v>6877</v>
      </c>
    </row>
    <row r="1386" spans="4:17" x14ac:dyDescent="0.25">
      <c r="D1386" s="157" t="s">
        <v>6878</v>
      </c>
      <c r="E1386" s="156" t="s">
        <v>6858</v>
      </c>
      <c r="F1386" s="157"/>
      <c r="G1386" s="156"/>
      <c r="H1386" s="157"/>
      <c r="I1386" s="157"/>
      <c r="J1386" s="156" t="str">
        <f t="shared" si="22"/>
        <v/>
      </c>
      <c r="K1386" s="162"/>
      <c r="L1386" s="163"/>
      <c r="M1386" s="164"/>
      <c r="N1386" s="157"/>
      <c r="O1386" s="157"/>
      <c r="P1386" s="157"/>
      <c r="Q1386" s="156" t="s">
        <v>6879</v>
      </c>
    </row>
    <row r="1387" spans="4:17" x14ac:dyDescent="0.25">
      <c r="D1387" s="157" t="s">
        <v>6880</v>
      </c>
      <c r="E1387" s="156" t="s">
        <v>6858</v>
      </c>
      <c r="F1387" s="157"/>
      <c r="G1387" s="156"/>
      <c r="H1387" s="157"/>
      <c r="I1387" s="157"/>
      <c r="J1387" s="156" t="str">
        <f t="shared" si="22"/>
        <v/>
      </c>
      <c r="K1387" s="162"/>
      <c r="L1387" s="163"/>
      <c r="M1387" s="164"/>
      <c r="N1387" s="157"/>
      <c r="O1387" s="157"/>
      <c r="P1387" s="157"/>
      <c r="Q1387" s="156" t="s">
        <v>6881</v>
      </c>
    </row>
    <row r="1388" spans="4:17" x14ac:dyDescent="0.25">
      <c r="D1388" s="157" t="s">
        <v>6882</v>
      </c>
      <c r="E1388" s="156" t="s">
        <v>6858</v>
      </c>
      <c r="F1388" s="157"/>
      <c r="G1388" s="156"/>
      <c r="H1388" s="157"/>
      <c r="I1388" s="157"/>
      <c r="J1388" s="156" t="str">
        <f t="shared" si="22"/>
        <v/>
      </c>
      <c r="K1388" s="162"/>
      <c r="L1388" s="163"/>
      <c r="M1388" s="164"/>
      <c r="N1388" s="157"/>
      <c r="O1388" s="157"/>
      <c r="P1388" s="157"/>
      <c r="Q1388" s="156" t="s">
        <v>6883</v>
      </c>
    </row>
    <row r="1389" spans="4:17" x14ac:dyDescent="0.25">
      <c r="D1389" s="157" t="s">
        <v>6884</v>
      </c>
      <c r="E1389" s="156" t="s">
        <v>6858</v>
      </c>
      <c r="F1389" s="157"/>
      <c r="G1389" s="156"/>
      <c r="H1389" s="157"/>
      <c r="I1389" s="157"/>
      <c r="J1389" s="156" t="str">
        <f t="shared" si="22"/>
        <v/>
      </c>
      <c r="K1389" s="162"/>
      <c r="L1389" s="163"/>
      <c r="M1389" s="164"/>
      <c r="N1389" s="157"/>
      <c r="O1389" s="157"/>
      <c r="P1389" s="157"/>
      <c r="Q1389" s="156" t="s">
        <v>6885</v>
      </c>
    </row>
    <row r="1390" spans="4:17" x14ac:dyDescent="0.25">
      <c r="D1390" s="157" t="s">
        <v>6886</v>
      </c>
      <c r="E1390" s="156" t="s">
        <v>6858</v>
      </c>
      <c r="F1390" s="157"/>
      <c r="G1390" s="156"/>
      <c r="H1390" s="157"/>
      <c r="I1390" s="157"/>
      <c r="J1390" s="156" t="str">
        <f t="shared" si="22"/>
        <v/>
      </c>
      <c r="K1390" s="162"/>
      <c r="L1390" s="163"/>
      <c r="M1390" s="164"/>
      <c r="N1390" s="157"/>
      <c r="O1390" s="157"/>
      <c r="P1390" s="157"/>
      <c r="Q1390" s="156" t="s">
        <v>6887</v>
      </c>
    </row>
    <row r="1391" spans="4:17" x14ac:dyDescent="0.25">
      <c r="D1391" s="157" t="s">
        <v>6888</v>
      </c>
      <c r="E1391" s="156" t="s">
        <v>6858</v>
      </c>
      <c r="F1391" s="157"/>
      <c r="G1391" s="156"/>
      <c r="H1391" s="157"/>
      <c r="I1391" s="157"/>
      <c r="J1391" s="156" t="str">
        <f t="shared" si="22"/>
        <v/>
      </c>
      <c r="K1391" s="162"/>
      <c r="L1391" s="163"/>
      <c r="M1391" s="164"/>
      <c r="N1391" s="157"/>
      <c r="O1391" s="157"/>
      <c r="P1391" s="157"/>
      <c r="Q1391" s="156" t="s">
        <v>6889</v>
      </c>
    </row>
    <row r="1392" spans="4:17" x14ac:dyDescent="0.25">
      <c r="D1392" s="157" t="s">
        <v>6890</v>
      </c>
      <c r="E1392" s="156" t="s">
        <v>6858</v>
      </c>
      <c r="F1392" s="157"/>
      <c r="G1392" s="156"/>
      <c r="H1392" s="157"/>
      <c r="I1392" s="157"/>
      <c r="J1392" s="156" t="str">
        <f t="shared" si="22"/>
        <v/>
      </c>
      <c r="K1392" s="162"/>
      <c r="L1392" s="163"/>
      <c r="M1392" s="164"/>
      <c r="N1392" s="157"/>
      <c r="O1392" s="157"/>
      <c r="P1392" s="157"/>
      <c r="Q1392" s="156" t="s">
        <v>6891</v>
      </c>
    </row>
    <row r="1393" spans="4:17" x14ac:dyDescent="0.25">
      <c r="D1393" s="157" t="s">
        <v>6892</v>
      </c>
      <c r="E1393" s="156" t="s">
        <v>6858</v>
      </c>
      <c r="F1393" s="157"/>
      <c r="G1393" s="156"/>
      <c r="H1393" s="157"/>
      <c r="I1393" s="157"/>
      <c r="J1393" s="156" t="str">
        <f t="shared" si="22"/>
        <v/>
      </c>
      <c r="K1393" s="162"/>
      <c r="L1393" s="163"/>
      <c r="M1393" s="164"/>
      <c r="N1393" s="157"/>
      <c r="O1393" s="157"/>
      <c r="P1393" s="157"/>
      <c r="Q1393" s="156" t="s">
        <v>6893</v>
      </c>
    </row>
    <row r="1394" spans="4:17" x14ac:dyDescent="0.25">
      <c r="D1394" s="157" t="s">
        <v>6894</v>
      </c>
      <c r="E1394" s="156" t="s">
        <v>6858</v>
      </c>
      <c r="F1394" s="157"/>
      <c r="G1394" s="156"/>
      <c r="H1394" s="157"/>
      <c r="I1394" s="157"/>
      <c r="J1394" s="156" t="str">
        <f t="shared" si="22"/>
        <v/>
      </c>
      <c r="K1394" s="162"/>
      <c r="L1394" s="163"/>
      <c r="M1394" s="164"/>
      <c r="N1394" s="157"/>
      <c r="O1394" s="157"/>
      <c r="P1394" s="157"/>
      <c r="Q1394" s="156" t="s">
        <v>6895</v>
      </c>
    </row>
    <row r="1395" spans="4:17" x14ac:dyDescent="0.25">
      <c r="D1395" s="157" t="s">
        <v>6896</v>
      </c>
      <c r="E1395" s="156" t="s">
        <v>6858</v>
      </c>
      <c r="F1395" s="157"/>
      <c r="G1395" s="156"/>
      <c r="H1395" s="157"/>
      <c r="I1395" s="157"/>
      <c r="J1395" s="156" t="str">
        <f t="shared" si="22"/>
        <v/>
      </c>
      <c r="K1395" s="162"/>
      <c r="L1395" s="163"/>
      <c r="M1395" s="164"/>
      <c r="N1395" s="157"/>
      <c r="O1395" s="157"/>
      <c r="P1395" s="157"/>
      <c r="Q1395" s="156" t="s">
        <v>6897</v>
      </c>
    </row>
    <row r="1396" spans="4:17" x14ac:dyDescent="0.25">
      <c r="D1396" s="157" t="s">
        <v>6898</v>
      </c>
      <c r="E1396" s="156" t="s">
        <v>6899</v>
      </c>
      <c r="F1396" s="157"/>
      <c r="G1396" s="156"/>
      <c r="H1396" s="157"/>
      <c r="I1396" s="157"/>
      <c r="J1396" s="156" t="str">
        <f t="shared" si="22"/>
        <v/>
      </c>
      <c r="K1396" s="162"/>
      <c r="L1396" s="163"/>
      <c r="M1396" s="164"/>
      <c r="N1396" s="157"/>
      <c r="O1396" s="157"/>
      <c r="P1396" s="157"/>
      <c r="Q1396" s="156" t="s">
        <v>6900</v>
      </c>
    </row>
    <row r="1397" spans="4:17" x14ac:dyDescent="0.25">
      <c r="D1397" s="157" t="s">
        <v>6901</v>
      </c>
      <c r="E1397" s="156" t="s">
        <v>6899</v>
      </c>
      <c r="F1397" s="157"/>
      <c r="G1397" s="156"/>
      <c r="H1397" s="157"/>
      <c r="I1397" s="157"/>
      <c r="J1397" s="156" t="str">
        <f t="shared" si="22"/>
        <v/>
      </c>
      <c r="K1397" s="162"/>
      <c r="L1397" s="163"/>
      <c r="M1397" s="164"/>
      <c r="N1397" s="157"/>
      <c r="O1397" s="157"/>
      <c r="P1397" s="157"/>
      <c r="Q1397" s="156" t="s">
        <v>6902</v>
      </c>
    </row>
    <row r="1398" spans="4:17" x14ac:dyDescent="0.25">
      <c r="D1398" s="157" t="s">
        <v>6903</v>
      </c>
      <c r="E1398" s="156" t="s">
        <v>6899</v>
      </c>
      <c r="F1398" s="157"/>
      <c r="G1398" s="156"/>
      <c r="H1398" s="157"/>
      <c r="I1398" s="157"/>
      <c r="J1398" s="156" t="str">
        <f t="shared" si="22"/>
        <v/>
      </c>
      <c r="K1398" s="162"/>
      <c r="L1398" s="163"/>
      <c r="M1398" s="164"/>
      <c r="N1398" s="157"/>
      <c r="O1398" s="157"/>
      <c r="P1398" s="157"/>
      <c r="Q1398" s="156" t="s">
        <v>6904</v>
      </c>
    </row>
    <row r="1399" spans="4:17" x14ac:dyDescent="0.25">
      <c r="D1399" s="157" t="s">
        <v>6905</v>
      </c>
      <c r="E1399" s="156" t="s">
        <v>6899</v>
      </c>
      <c r="F1399" s="157"/>
      <c r="G1399" s="156"/>
      <c r="H1399" s="157"/>
      <c r="I1399" s="157"/>
      <c r="J1399" s="156" t="str">
        <f t="shared" si="22"/>
        <v/>
      </c>
      <c r="K1399" s="162"/>
      <c r="L1399" s="163"/>
      <c r="M1399" s="164"/>
      <c r="N1399" s="157"/>
      <c r="O1399" s="157"/>
      <c r="P1399" s="157"/>
      <c r="Q1399" s="156" t="s">
        <v>6906</v>
      </c>
    </row>
    <row r="1400" spans="4:17" x14ac:dyDescent="0.25">
      <c r="D1400" s="157" t="s">
        <v>6907</v>
      </c>
      <c r="E1400" s="156" t="s">
        <v>6899</v>
      </c>
      <c r="F1400" s="157"/>
      <c r="G1400" s="156"/>
      <c r="H1400" s="157"/>
      <c r="I1400" s="157"/>
      <c r="J1400" s="156" t="str">
        <f t="shared" si="22"/>
        <v/>
      </c>
      <c r="K1400" s="162"/>
      <c r="L1400" s="163"/>
      <c r="M1400" s="164"/>
      <c r="N1400" s="157"/>
      <c r="O1400" s="157"/>
      <c r="P1400" s="157"/>
      <c r="Q1400" s="156" t="s">
        <v>6908</v>
      </c>
    </row>
    <row r="1401" spans="4:17" x14ac:dyDescent="0.25">
      <c r="D1401" s="157" t="s">
        <v>6909</v>
      </c>
      <c r="E1401" s="156" t="s">
        <v>6899</v>
      </c>
      <c r="F1401" s="157"/>
      <c r="G1401" s="156"/>
      <c r="H1401" s="157"/>
      <c r="I1401" s="157"/>
      <c r="J1401" s="156" t="str">
        <f t="shared" si="22"/>
        <v/>
      </c>
      <c r="K1401" s="162"/>
      <c r="L1401" s="163"/>
      <c r="M1401" s="164"/>
      <c r="N1401" s="157"/>
      <c r="O1401" s="157"/>
      <c r="P1401" s="157"/>
      <c r="Q1401" s="156" t="s">
        <v>6910</v>
      </c>
    </row>
    <row r="1402" spans="4:17" x14ac:dyDescent="0.25">
      <c r="D1402" s="157" t="s">
        <v>6911</v>
      </c>
      <c r="E1402" s="156" t="s">
        <v>6899</v>
      </c>
      <c r="F1402" s="157"/>
      <c r="G1402" s="156"/>
      <c r="H1402" s="157"/>
      <c r="I1402" s="157"/>
      <c r="J1402" s="156" t="str">
        <f t="shared" si="22"/>
        <v/>
      </c>
      <c r="K1402" s="162"/>
      <c r="L1402" s="163"/>
      <c r="M1402" s="164"/>
      <c r="N1402" s="157"/>
      <c r="O1402" s="157"/>
      <c r="P1402" s="157"/>
      <c r="Q1402" s="156" t="s">
        <v>6912</v>
      </c>
    </row>
    <row r="1403" spans="4:17" x14ac:dyDescent="0.25">
      <c r="D1403" s="157" t="s">
        <v>6913</v>
      </c>
      <c r="E1403" s="156" t="s">
        <v>6899</v>
      </c>
      <c r="F1403" s="157"/>
      <c r="G1403" s="156"/>
      <c r="H1403" s="157"/>
      <c r="I1403" s="157"/>
      <c r="J1403" s="156" t="str">
        <f t="shared" si="22"/>
        <v/>
      </c>
      <c r="K1403" s="162"/>
      <c r="L1403" s="163"/>
      <c r="M1403" s="164"/>
      <c r="N1403" s="157"/>
      <c r="O1403" s="157"/>
      <c r="P1403" s="157"/>
      <c r="Q1403" s="156" t="s">
        <v>6914</v>
      </c>
    </row>
    <row r="1404" spans="4:17" x14ac:dyDescent="0.25">
      <c r="D1404" s="157" t="s">
        <v>6915</v>
      </c>
      <c r="E1404" s="156" t="s">
        <v>6899</v>
      </c>
      <c r="F1404" s="157"/>
      <c r="G1404" s="156"/>
      <c r="H1404" s="157"/>
      <c r="I1404" s="157"/>
      <c r="J1404" s="156" t="str">
        <f t="shared" si="22"/>
        <v/>
      </c>
      <c r="K1404" s="162"/>
      <c r="L1404" s="163"/>
      <c r="M1404" s="164"/>
      <c r="N1404" s="157"/>
      <c r="O1404" s="157"/>
      <c r="P1404" s="157"/>
      <c r="Q1404" s="156" t="s">
        <v>6916</v>
      </c>
    </row>
    <row r="1405" spans="4:17" x14ac:dyDescent="0.25">
      <c r="D1405" s="157" t="s">
        <v>6917</v>
      </c>
      <c r="E1405" s="156" t="s">
        <v>6899</v>
      </c>
      <c r="F1405" s="157"/>
      <c r="G1405" s="156"/>
      <c r="H1405" s="157"/>
      <c r="I1405" s="157"/>
      <c r="J1405" s="156" t="str">
        <f t="shared" si="22"/>
        <v/>
      </c>
      <c r="K1405" s="162"/>
      <c r="L1405" s="163"/>
      <c r="M1405" s="164"/>
      <c r="N1405" s="157"/>
      <c r="O1405" s="157"/>
      <c r="P1405" s="157"/>
      <c r="Q1405" s="156" t="s">
        <v>6918</v>
      </c>
    </row>
    <row r="1406" spans="4:17" x14ac:dyDescent="0.25">
      <c r="D1406" s="157" t="s">
        <v>6919</v>
      </c>
      <c r="E1406" s="156" t="s">
        <v>6899</v>
      </c>
      <c r="F1406" s="157"/>
      <c r="G1406" s="156"/>
      <c r="H1406" s="157"/>
      <c r="I1406" s="157"/>
      <c r="J1406" s="156" t="str">
        <f t="shared" si="22"/>
        <v/>
      </c>
      <c r="K1406" s="162"/>
      <c r="L1406" s="163"/>
      <c r="M1406" s="164"/>
      <c r="N1406" s="157"/>
      <c r="O1406" s="157"/>
      <c r="P1406" s="157"/>
      <c r="Q1406" s="156" t="s">
        <v>6920</v>
      </c>
    </row>
    <row r="1407" spans="4:17" x14ac:dyDescent="0.25">
      <c r="D1407" s="157" t="s">
        <v>6921</v>
      </c>
      <c r="E1407" s="156" t="s">
        <v>6899</v>
      </c>
      <c r="F1407" s="157"/>
      <c r="G1407" s="156"/>
      <c r="H1407" s="157"/>
      <c r="I1407" s="157"/>
      <c r="J1407" s="156" t="str">
        <f t="shared" si="22"/>
        <v/>
      </c>
      <c r="K1407" s="162"/>
      <c r="L1407" s="163"/>
      <c r="M1407" s="164"/>
      <c r="N1407" s="157"/>
      <c r="O1407" s="157"/>
      <c r="P1407" s="157"/>
      <c r="Q1407" s="156" t="s">
        <v>6922</v>
      </c>
    </row>
    <row r="1408" spans="4:17" x14ac:dyDescent="0.25">
      <c r="D1408" s="157" t="s">
        <v>6923</v>
      </c>
      <c r="E1408" s="156" t="s">
        <v>6899</v>
      </c>
      <c r="F1408" s="157"/>
      <c r="G1408" s="156"/>
      <c r="H1408" s="157"/>
      <c r="I1408" s="157"/>
      <c r="J1408" s="156" t="str">
        <f t="shared" si="22"/>
        <v/>
      </c>
      <c r="K1408" s="162"/>
      <c r="L1408" s="163"/>
      <c r="M1408" s="164"/>
      <c r="N1408" s="157"/>
      <c r="O1408" s="157"/>
      <c r="P1408" s="157"/>
      <c r="Q1408" s="156" t="s">
        <v>6924</v>
      </c>
    </row>
    <row r="1409" spans="4:17" x14ac:dyDescent="0.25">
      <c r="D1409" s="157" t="s">
        <v>6925</v>
      </c>
      <c r="E1409" s="156" t="s">
        <v>6899</v>
      </c>
      <c r="F1409" s="157"/>
      <c r="G1409" s="156"/>
      <c r="H1409" s="157"/>
      <c r="I1409" s="157"/>
      <c r="J1409" s="156" t="str">
        <f t="shared" si="22"/>
        <v/>
      </c>
      <c r="K1409" s="162"/>
      <c r="L1409" s="163"/>
      <c r="M1409" s="164"/>
      <c r="N1409" s="157"/>
      <c r="O1409" s="157"/>
      <c r="P1409" s="157"/>
      <c r="Q1409" s="156" t="s">
        <v>6926</v>
      </c>
    </row>
    <row r="1410" spans="4:17" x14ac:dyDescent="0.25">
      <c r="D1410" s="157" t="s">
        <v>6927</v>
      </c>
      <c r="E1410" s="156" t="s">
        <v>6899</v>
      </c>
      <c r="F1410" s="157"/>
      <c r="G1410" s="156"/>
      <c r="H1410" s="157"/>
      <c r="I1410" s="157"/>
      <c r="J1410" s="156" t="str">
        <f t="shared" si="22"/>
        <v/>
      </c>
      <c r="K1410" s="162"/>
      <c r="L1410" s="163"/>
      <c r="M1410" s="164"/>
      <c r="N1410" s="157"/>
      <c r="O1410" s="157"/>
      <c r="P1410" s="157"/>
      <c r="Q1410" s="156" t="s">
        <v>6928</v>
      </c>
    </row>
    <row r="1411" spans="4:17" x14ac:dyDescent="0.25">
      <c r="D1411" s="157" t="s">
        <v>6929</v>
      </c>
      <c r="E1411" s="156" t="s">
        <v>6899</v>
      </c>
      <c r="F1411" s="157"/>
      <c r="G1411" s="156"/>
      <c r="H1411" s="157"/>
      <c r="I1411" s="157"/>
      <c r="J1411" s="156" t="str">
        <f t="shared" si="22"/>
        <v/>
      </c>
      <c r="K1411" s="162"/>
      <c r="L1411" s="163"/>
      <c r="M1411" s="164"/>
      <c r="N1411" s="157"/>
      <c r="O1411" s="157"/>
      <c r="P1411" s="157"/>
      <c r="Q1411" s="156" t="s">
        <v>6930</v>
      </c>
    </row>
    <row r="1412" spans="4:17" x14ac:dyDescent="0.25">
      <c r="D1412" s="157" t="s">
        <v>6931</v>
      </c>
      <c r="E1412" s="156" t="s">
        <v>6899</v>
      </c>
      <c r="F1412" s="157"/>
      <c r="G1412" s="156"/>
      <c r="H1412" s="157"/>
      <c r="I1412" s="157"/>
      <c r="J1412" s="156" t="str">
        <f t="shared" si="22"/>
        <v/>
      </c>
      <c r="K1412" s="162"/>
      <c r="L1412" s="163"/>
      <c r="M1412" s="164"/>
      <c r="N1412" s="157"/>
      <c r="O1412" s="157"/>
      <c r="P1412" s="157"/>
      <c r="Q1412" s="156" t="s">
        <v>6932</v>
      </c>
    </row>
    <row r="1413" spans="4:17" x14ac:dyDescent="0.25">
      <c r="D1413" s="157" t="s">
        <v>6933</v>
      </c>
      <c r="E1413" s="156" t="s">
        <v>6899</v>
      </c>
      <c r="F1413" s="157"/>
      <c r="G1413" s="156"/>
      <c r="H1413" s="157"/>
      <c r="I1413" s="157"/>
      <c r="J1413" s="156" t="str">
        <f t="shared" si="22"/>
        <v/>
      </c>
      <c r="K1413" s="162"/>
      <c r="L1413" s="163"/>
      <c r="M1413" s="164"/>
      <c r="N1413" s="157"/>
      <c r="O1413" s="157"/>
      <c r="P1413" s="157"/>
      <c r="Q1413" s="156" t="s">
        <v>6934</v>
      </c>
    </row>
    <row r="1414" spans="4:17" x14ac:dyDescent="0.25">
      <c r="D1414" s="157" t="s">
        <v>6935</v>
      </c>
      <c r="E1414" s="156" t="s">
        <v>6899</v>
      </c>
      <c r="F1414" s="157"/>
      <c r="G1414" s="156"/>
      <c r="H1414" s="157"/>
      <c r="I1414" s="157"/>
      <c r="J1414" s="156" t="str">
        <f t="shared" si="22"/>
        <v/>
      </c>
      <c r="K1414" s="162"/>
      <c r="L1414" s="163"/>
      <c r="M1414" s="164"/>
      <c r="N1414" s="157"/>
      <c r="O1414" s="157"/>
      <c r="P1414" s="157"/>
      <c r="Q1414" s="156" t="s">
        <v>6936</v>
      </c>
    </row>
    <row r="1415" spans="4:17" x14ac:dyDescent="0.25">
      <c r="D1415" s="157" t="s">
        <v>6937</v>
      </c>
      <c r="E1415" s="156" t="s">
        <v>6899</v>
      </c>
      <c r="F1415" s="157"/>
      <c r="G1415" s="156"/>
      <c r="H1415" s="157"/>
      <c r="I1415" s="157"/>
      <c r="J1415" s="156" t="str">
        <f t="shared" si="22"/>
        <v/>
      </c>
      <c r="K1415" s="162"/>
      <c r="L1415" s="163"/>
      <c r="M1415" s="164"/>
      <c r="N1415" s="157"/>
      <c r="O1415" s="157"/>
      <c r="P1415" s="157"/>
      <c r="Q1415" s="156" t="s">
        <v>6938</v>
      </c>
    </row>
    <row r="1416" spans="4:17" x14ac:dyDescent="0.25">
      <c r="D1416" s="157" t="s">
        <v>6939</v>
      </c>
      <c r="E1416" s="156" t="s">
        <v>6940</v>
      </c>
      <c r="F1416" s="157"/>
      <c r="G1416" s="156"/>
      <c r="H1416" s="157"/>
      <c r="I1416" s="157"/>
      <c r="J1416" s="156" t="str">
        <f t="shared" si="22"/>
        <v/>
      </c>
      <c r="K1416" s="162"/>
      <c r="L1416" s="163"/>
      <c r="M1416" s="164"/>
      <c r="N1416" s="157"/>
      <c r="O1416" s="157"/>
      <c r="P1416" s="157"/>
      <c r="Q1416" s="156" t="s">
        <v>6941</v>
      </c>
    </row>
    <row r="1417" spans="4:17" x14ac:dyDescent="0.25">
      <c r="D1417" s="157" t="s">
        <v>6942</v>
      </c>
      <c r="E1417" s="156" t="s">
        <v>6940</v>
      </c>
      <c r="F1417" s="157"/>
      <c r="G1417" s="156"/>
      <c r="H1417" s="157"/>
      <c r="I1417" s="157"/>
      <c r="J1417" s="156" t="str">
        <f t="shared" si="22"/>
        <v/>
      </c>
      <c r="K1417" s="162"/>
      <c r="L1417" s="163"/>
      <c r="M1417" s="164"/>
      <c r="N1417" s="157"/>
      <c r="O1417" s="157"/>
      <c r="P1417" s="157"/>
      <c r="Q1417" s="156" t="s">
        <v>6943</v>
      </c>
    </row>
    <row r="1418" spans="4:17" x14ac:dyDescent="0.25">
      <c r="D1418" s="157" t="s">
        <v>6944</v>
      </c>
      <c r="E1418" s="156" t="s">
        <v>6940</v>
      </c>
      <c r="F1418" s="157"/>
      <c r="G1418" s="156"/>
      <c r="H1418" s="157"/>
      <c r="I1418" s="157"/>
      <c r="J1418" s="156" t="str">
        <f t="shared" si="22"/>
        <v/>
      </c>
      <c r="K1418" s="162"/>
      <c r="L1418" s="163"/>
      <c r="M1418" s="164"/>
      <c r="N1418" s="157"/>
      <c r="O1418" s="157"/>
      <c r="P1418" s="157"/>
      <c r="Q1418" s="156" t="s">
        <v>6945</v>
      </c>
    </row>
    <row r="1419" spans="4:17" x14ac:dyDescent="0.25">
      <c r="D1419" s="157" t="s">
        <v>6946</v>
      </c>
      <c r="E1419" s="156" t="s">
        <v>6940</v>
      </c>
      <c r="F1419" s="157"/>
      <c r="G1419" s="156"/>
      <c r="H1419" s="157"/>
      <c r="I1419" s="157"/>
      <c r="J1419" s="156" t="str">
        <f t="shared" si="22"/>
        <v/>
      </c>
      <c r="K1419" s="162"/>
      <c r="L1419" s="163"/>
      <c r="M1419" s="164"/>
      <c r="N1419" s="157"/>
      <c r="O1419" s="157"/>
      <c r="P1419" s="157"/>
      <c r="Q1419" s="156" t="s">
        <v>6947</v>
      </c>
    </row>
    <row r="1420" spans="4:17" x14ac:dyDescent="0.25">
      <c r="D1420" s="157" t="s">
        <v>6948</v>
      </c>
      <c r="E1420" s="156" t="s">
        <v>6940</v>
      </c>
      <c r="F1420" s="157"/>
      <c r="G1420" s="156"/>
      <c r="H1420" s="157"/>
      <c r="I1420" s="157"/>
      <c r="J1420" s="156" t="str">
        <f t="shared" si="22"/>
        <v/>
      </c>
      <c r="K1420" s="162"/>
      <c r="L1420" s="163"/>
      <c r="M1420" s="164"/>
      <c r="N1420" s="157"/>
      <c r="O1420" s="157"/>
      <c r="P1420" s="157"/>
      <c r="Q1420" s="156" t="s">
        <v>6949</v>
      </c>
    </row>
    <row r="1421" spans="4:17" x14ac:dyDescent="0.25">
      <c r="D1421" s="157" t="s">
        <v>6950</v>
      </c>
      <c r="E1421" s="156" t="s">
        <v>6940</v>
      </c>
      <c r="F1421" s="157"/>
      <c r="G1421" s="156"/>
      <c r="H1421" s="157"/>
      <c r="I1421" s="157"/>
      <c r="J1421" s="156" t="str">
        <f t="shared" si="22"/>
        <v/>
      </c>
      <c r="K1421" s="162"/>
      <c r="L1421" s="163"/>
      <c r="M1421" s="164"/>
      <c r="N1421" s="157"/>
      <c r="O1421" s="157"/>
      <c r="P1421" s="157"/>
      <c r="Q1421" s="156" t="s">
        <v>6951</v>
      </c>
    </row>
    <row r="1422" spans="4:17" x14ac:dyDescent="0.25">
      <c r="D1422" s="157" t="s">
        <v>6952</v>
      </c>
      <c r="E1422" s="156" t="s">
        <v>6940</v>
      </c>
      <c r="F1422" s="157"/>
      <c r="G1422" s="156"/>
      <c r="H1422" s="157"/>
      <c r="I1422" s="157"/>
      <c r="J1422" s="156" t="str">
        <f t="shared" si="22"/>
        <v/>
      </c>
      <c r="K1422" s="162"/>
      <c r="L1422" s="163"/>
      <c r="M1422" s="164"/>
      <c r="N1422" s="157"/>
      <c r="O1422" s="157"/>
      <c r="P1422" s="157"/>
      <c r="Q1422" s="156" t="s">
        <v>6953</v>
      </c>
    </row>
    <row r="1423" spans="4:17" x14ac:dyDescent="0.25">
      <c r="D1423" s="157" t="s">
        <v>6954</v>
      </c>
      <c r="E1423" s="156" t="s">
        <v>6940</v>
      </c>
      <c r="F1423" s="157"/>
      <c r="G1423" s="156"/>
      <c r="H1423" s="157"/>
      <c r="I1423" s="157"/>
      <c r="J1423" s="156" t="str">
        <f t="shared" si="22"/>
        <v/>
      </c>
      <c r="K1423" s="162"/>
      <c r="L1423" s="163"/>
      <c r="M1423" s="164"/>
      <c r="N1423" s="157"/>
      <c r="O1423" s="157"/>
      <c r="P1423" s="157"/>
      <c r="Q1423" s="156" t="s">
        <v>6955</v>
      </c>
    </row>
    <row r="1424" spans="4:17" x14ac:dyDescent="0.25">
      <c r="D1424" s="157" t="s">
        <v>6956</v>
      </c>
      <c r="E1424" s="156" t="s">
        <v>6940</v>
      </c>
      <c r="F1424" s="157"/>
      <c r="G1424" s="156"/>
      <c r="H1424" s="157"/>
      <c r="I1424" s="157"/>
      <c r="J1424" s="156" t="str">
        <f t="shared" si="22"/>
        <v/>
      </c>
      <c r="K1424" s="162"/>
      <c r="L1424" s="163"/>
      <c r="M1424" s="164"/>
      <c r="N1424" s="157"/>
      <c r="O1424" s="157"/>
      <c r="P1424" s="157"/>
      <c r="Q1424" s="156" t="s">
        <v>6957</v>
      </c>
    </row>
    <row r="1425" spans="4:17" x14ac:dyDescent="0.25">
      <c r="D1425" s="157" t="s">
        <v>6958</v>
      </c>
      <c r="E1425" s="156" t="s">
        <v>6940</v>
      </c>
      <c r="F1425" s="157"/>
      <c r="G1425" s="156"/>
      <c r="H1425" s="157"/>
      <c r="I1425" s="157"/>
      <c r="J1425" s="156" t="str">
        <f t="shared" si="22"/>
        <v/>
      </c>
      <c r="K1425" s="162"/>
      <c r="L1425" s="163"/>
      <c r="M1425" s="164"/>
      <c r="N1425" s="157"/>
      <c r="O1425" s="157"/>
      <c r="P1425" s="157"/>
      <c r="Q1425" s="156" t="s">
        <v>6959</v>
      </c>
    </row>
    <row r="1426" spans="4:17" x14ac:dyDescent="0.25">
      <c r="D1426" s="157" t="s">
        <v>6960</v>
      </c>
      <c r="E1426" s="156" t="s">
        <v>6940</v>
      </c>
      <c r="F1426" s="157"/>
      <c r="G1426" s="156"/>
      <c r="H1426" s="157"/>
      <c r="I1426" s="157"/>
      <c r="J1426" s="156" t="str">
        <f t="shared" si="22"/>
        <v/>
      </c>
      <c r="K1426" s="162"/>
      <c r="L1426" s="163"/>
      <c r="M1426" s="164"/>
      <c r="N1426" s="157"/>
      <c r="O1426" s="157"/>
      <c r="P1426" s="157"/>
      <c r="Q1426" s="156" t="s">
        <v>6961</v>
      </c>
    </row>
    <row r="1427" spans="4:17" x14ac:dyDescent="0.25">
      <c r="D1427" s="157" t="s">
        <v>6962</v>
      </c>
      <c r="E1427" s="156" t="s">
        <v>6940</v>
      </c>
      <c r="F1427" s="157"/>
      <c r="G1427" s="156"/>
      <c r="H1427" s="157"/>
      <c r="I1427" s="157"/>
      <c r="J1427" s="156" t="str">
        <f t="shared" si="22"/>
        <v/>
      </c>
      <c r="K1427" s="162"/>
      <c r="L1427" s="163"/>
      <c r="M1427" s="164"/>
      <c r="N1427" s="157"/>
      <c r="O1427" s="157"/>
      <c r="P1427" s="157"/>
      <c r="Q1427" s="156" t="s">
        <v>6963</v>
      </c>
    </row>
    <row r="1428" spans="4:17" x14ac:dyDescent="0.25">
      <c r="D1428" s="157" t="s">
        <v>6964</v>
      </c>
      <c r="E1428" s="156" t="s">
        <v>6940</v>
      </c>
      <c r="F1428" s="157"/>
      <c r="G1428" s="156"/>
      <c r="H1428" s="157"/>
      <c r="I1428" s="157"/>
      <c r="J1428" s="156" t="str">
        <f t="shared" si="22"/>
        <v/>
      </c>
      <c r="K1428" s="162"/>
      <c r="L1428" s="163"/>
      <c r="M1428" s="164"/>
      <c r="N1428" s="157"/>
      <c r="O1428" s="157"/>
      <c r="P1428" s="157"/>
      <c r="Q1428" s="156" t="s">
        <v>6965</v>
      </c>
    </row>
    <row r="1429" spans="4:17" x14ac:dyDescent="0.25">
      <c r="D1429" s="157" t="s">
        <v>6966</v>
      </c>
      <c r="E1429" s="156" t="s">
        <v>6940</v>
      </c>
      <c r="F1429" s="157"/>
      <c r="G1429" s="156"/>
      <c r="H1429" s="157"/>
      <c r="I1429" s="157"/>
      <c r="J1429" s="156" t="str">
        <f t="shared" si="22"/>
        <v/>
      </c>
      <c r="K1429" s="162"/>
      <c r="L1429" s="163"/>
      <c r="M1429" s="164"/>
      <c r="N1429" s="157"/>
      <c r="O1429" s="157"/>
      <c r="P1429" s="157"/>
      <c r="Q1429" s="156" t="s">
        <v>6967</v>
      </c>
    </row>
    <row r="1430" spans="4:17" x14ac:dyDescent="0.25">
      <c r="D1430" s="157" t="s">
        <v>6968</v>
      </c>
      <c r="E1430" s="156" t="s">
        <v>6940</v>
      </c>
      <c r="F1430" s="157"/>
      <c r="G1430" s="156"/>
      <c r="H1430" s="157"/>
      <c r="I1430" s="157"/>
      <c r="J1430" s="156" t="str">
        <f t="shared" si="22"/>
        <v/>
      </c>
      <c r="K1430" s="162"/>
      <c r="L1430" s="163"/>
      <c r="M1430" s="164"/>
      <c r="N1430" s="157"/>
      <c r="O1430" s="157"/>
      <c r="P1430" s="157"/>
      <c r="Q1430" s="156" t="s">
        <v>6969</v>
      </c>
    </row>
    <row r="1431" spans="4:17" x14ac:dyDescent="0.25">
      <c r="D1431" s="157" t="s">
        <v>6970</v>
      </c>
      <c r="E1431" s="156" t="s">
        <v>6940</v>
      </c>
      <c r="F1431" s="157"/>
      <c r="G1431" s="156"/>
      <c r="H1431" s="157"/>
      <c r="I1431" s="157"/>
      <c r="J1431" s="156" t="str">
        <f t="shared" si="22"/>
        <v/>
      </c>
      <c r="K1431" s="162"/>
      <c r="L1431" s="163"/>
      <c r="M1431" s="164"/>
      <c r="N1431" s="157"/>
      <c r="O1431" s="157"/>
      <c r="P1431" s="157"/>
      <c r="Q1431" s="156" t="s">
        <v>6971</v>
      </c>
    </row>
    <row r="1432" spans="4:17" x14ac:dyDescent="0.25">
      <c r="D1432" s="157" t="s">
        <v>6972</v>
      </c>
      <c r="E1432" s="156" t="s">
        <v>6940</v>
      </c>
      <c r="F1432" s="157"/>
      <c r="G1432" s="156"/>
      <c r="H1432" s="157"/>
      <c r="I1432" s="157"/>
      <c r="J1432" s="156" t="str">
        <f t="shared" si="22"/>
        <v/>
      </c>
      <c r="K1432" s="162"/>
      <c r="L1432" s="163"/>
      <c r="M1432" s="164"/>
      <c r="N1432" s="157"/>
      <c r="O1432" s="157"/>
      <c r="P1432" s="157"/>
      <c r="Q1432" s="156" t="s">
        <v>6973</v>
      </c>
    </row>
    <row r="1433" spans="4:17" x14ac:dyDescent="0.25">
      <c r="D1433" s="157" t="s">
        <v>6974</v>
      </c>
      <c r="E1433" s="156" t="s">
        <v>6940</v>
      </c>
      <c r="F1433" s="157"/>
      <c r="G1433" s="156"/>
      <c r="H1433" s="157"/>
      <c r="I1433" s="157"/>
      <c r="J1433" s="156" t="str">
        <f t="shared" si="22"/>
        <v/>
      </c>
      <c r="K1433" s="162"/>
      <c r="L1433" s="163"/>
      <c r="M1433" s="164"/>
      <c r="N1433" s="157"/>
      <c r="O1433" s="157"/>
      <c r="P1433" s="157"/>
      <c r="Q1433" s="156" t="s">
        <v>6975</v>
      </c>
    </row>
    <row r="1434" spans="4:17" x14ac:dyDescent="0.25">
      <c r="D1434" s="157" t="s">
        <v>6976</v>
      </c>
      <c r="E1434" s="156" t="s">
        <v>6940</v>
      </c>
      <c r="F1434" s="157"/>
      <c r="G1434" s="156"/>
      <c r="H1434" s="157"/>
      <c r="I1434" s="157"/>
      <c r="J1434" s="156" t="str">
        <f t="shared" si="22"/>
        <v/>
      </c>
      <c r="K1434" s="162"/>
      <c r="L1434" s="163"/>
      <c r="M1434" s="164"/>
      <c r="N1434" s="157"/>
      <c r="O1434" s="157"/>
      <c r="P1434" s="157"/>
      <c r="Q1434" s="156" t="s">
        <v>6977</v>
      </c>
    </row>
    <row r="1435" spans="4:17" x14ac:dyDescent="0.25">
      <c r="D1435" s="157" t="s">
        <v>6978</v>
      </c>
      <c r="E1435" s="156" t="s">
        <v>6940</v>
      </c>
      <c r="F1435" s="157"/>
      <c r="G1435" s="156"/>
      <c r="H1435" s="157"/>
      <c r="I1435" s="157"/>
      <c r="J1435" s="156" t="str">
        <f t="shared" si="22"/>
        <v/>
      </c>
      <c r="K1435" s="162"/>
      <c r="L1435" s="163"/>
      <c r="M1435" s="164"/>
      <c r="N1435" s="157"/>
      <c r="O1435" s="157"/>
      <c r="P1435" s="157"/>
      <c r="Q1435" s="156" t="s">
        <v>6979</v>
      </c>
    </row>
    <row r="1436" spans="4:17" x14ac:dyDescent="0.25">
      <c r="D1436" s="157" t="s">
        <v>6980</v>
      </c>
      <c r="E1436" s="156" t="s">
        <v>6981</v>
      </c>
      <c r="F1436" s="157"/>
      <c r="G1436" s="156"/>
      <c r="H1436" s="157"/>
      <c r="I1436" s="157"/>
      <c r="J1436" s="156" t="str">
        <f t="shared" si="22"/>
        <v/>
      </c>
      <c r="K1436" s="162"/>
      <c r="L1436" s="163"/>
      <c r="M1436" s="164"/>
      <c r="N1436" s="157"/>
      <c r="O1436" s="157"/>
      <c r="P1436" s="157"/>
      <c r="Q1436" s="156" t="s">
        <v>6982</v>
      </c>
    </row>
    <row r="1437" spans="4:17" x14ac:dyDescent="0.25">
      <c r="D1437" s="157" t="s">
        <v>6983</v>
      </c>
      <c r="E1437" s="156" t="s">
        <v>6981</v>
      </c>
      <c r="F1437" s="157"/>
      <c r="G1437" s="156"/>
      <c r="H1437" s="157"/>
      <c r="I1437" s="157"/>
      <c r="J1437" s="156" t="str">
        <f t="shared" si="22"/>
        <v/>
      </c>
      <c r="K1437" s="162"/>
      <c r="L1437" s="163"/>
      <c r="M1437" s="164"/>
      <c r="N1437" s="157"/>
      <c r="O1437" s="157"/>
      <c r="P1437" s="157"/>
      <c r="Q1437" s="156" t="s">
        <v>6984</v>
      </c>
    </row>
    <row r="1438" spans="4:17" x14ac:dyDescent="0.25">
      <c r="D1438" s="157" t="s">
        <v>6985</v>
      </c>
      <c r="E1438" s="156" t="s">
        <v>6981</v>
      </c>
      <c r="F1438" s="157"/>
      <c r="G1438" s="156"/>
      <c r="H1438" s="157"/>
      <c r="I1438" s="157"/>
      <c r="J1438" s="156" t="str">
        <f t="shared" si="22"/>
        <v/>
      </c>
      <c r="K1438" s="162"/>
      <c r="L1438" s="163"/>
      <c r="M1438" s="164"/>
      <c r="N1438" s="157"/>
      <c r="O1438" s="157"/>
      <c r="P1438" s="157"/>
      <c r="Q1438" s="156" t="s">
        <v>6986</v>
      </c>
    </row>
    <row r="1439" spans="4:17" x14ac:dyDescent="0.25">
      <c r="D1439" s="157" t="s">
        <v>6987</v>
      </c>
      <c r="E1439" s="156" t="s">
        <v>6981</v>
      </c>
      <c r="F1439" s="157"/>
      <c r="G1439" s="156"/>
      <c r="H1439" s="157"/>
      <c r="I1439" s="157"/>
      <c r="J1439" s="156" t="str">
        <f t="shared" si="22"/>
        <v/>
      </c>
      <c r="K1439" s="162"/>
      <c r="L1439" s="163"/>
      <c r="M1439" s="164"/>
      <c r="N1439" s="157"/>
      <c r="O1439" s="157"/>
      <c r="P1439" s="157"/>
      <c r="Q1439" s="156" t="s">
        <v>6988</v>
      </c>
    </row>
    <row r="1440" spans="4:17" x14ac:dyDescent="0.25">
      <c r="D1440" s="157" t="s">
        <v>6989</v>
      </c>
      <c r="E1440" s="156" t="s">
        <v>6981</v>
      </c>
      <c r="F1440" s="157"/>
      <c r="G1440" s="156"/>
      <c r="H1440" s="157"/>
      <c r="I1440" s="157"/>
      <c r="J1440" s="156" t="str">
        <f t="shared" si="22"/>
        <v/>
      </c>
      <c r="K1440" s="162"/>
      <c r="L1440" s="163"/>
      <c r="M1440" s="164"/>
      <c r="N1440" s="157"/>
      <c r="O1440" s="157"/>
      <c r="P1440" s="157"/>
      <c r="Q1440" s="156" t="s">
        <v>6990</v>
      </c>
    </row>
    <row r="1441" spans="4:17" x14ac:dyDescent="0.25">
      <c r="D1441" s="157" t="s">
        <v>6991</v>
      </c>
      <c r="E1441" s="156" t="s">
        <v>6981</v>
      </c>
      <c r="F1441" s="157"/>
      <c r="G1441" s="156"/>
      <c r="H1441" s="157"/>
      <c r="I1441" s="157"/>
      <c r="J1441" s="156" t="str">
        <f t="shared" si="22"/>
        <v/>
      </c>
      <c r="K1441" s="162"/>
      <c r="L1441" s="163"/>
      <c r="M1441" s="164"/>
      <c r="N1441" s="157"/>
      <c r="O1441" s="157"/>
      <c r="P1441" s="157"/>
      <c r="Q1441" s="156" t="s">
        <v>6992</v>
      </c>
    </row>
    <row r="1442" spans="4:17" x14ac:dyDescent="0.25">
      <c r="D1442" s="157" t="s">
        <v>6993</v>
      </c>
      <c r="E1442" s="156" t="s">
        <v>6981</v>
      </c>
      <c r="F1442" s="157"/>
      <c r="G1442" s="156"/>
      <c r="H1442" s="157"/>
      <c r="I1442" s="157"/>
      <c r="J1442" s="156" t="str">
        <f t="shared" si="22"/>
        <v/>
      </c>
      <c r="K1442" s="162"/>
      <c r="L1442" s="163"/>
      <c r="M1442" s="164"/>
      <c r="N1442" s="157"/>
      <c r="O1442" s="157"/>
      <c r="P1442" s="157"/>
      <c r="Q1442" s="156" t="s">
        <v>6994</v>
      </c>
    </row>
    <row r="1443" spans="4:17" x14ac:dyDescent="0.25">
      <c r="D1443" s="157" t="s">
        <v>6995</v>
      </c>
      <c r="E1443" s="156" t="s">
        <v>6981</v>
      </c>
      <c r="F1443" s="157"/>
      <c r="G1443" s="156"/>
      <c r="H1443" s="157"/>
      <c r="I1443" s="157"/>
      <c r="J1443" s="156" t="str">
        <f t="shared" si="22"/>
        <v/>
      </c>
      <c r="K1443" s="162"/>
      <c r="L1443" s="163"/>
      <c r="M1443" s="164"/>
      <c r="N1443" s="157"/>
      <c r="O1443" s="157"/>
      <c r="P1443" s="157"/>
      <c r="Q1443" s="156" t="s">
        <v>6996</v>
      </c>
    </row>
    <row r="1444" spans="4:17" x14ac:dyDescent="0.25">
      <c r="D1444" s="157" t="s">
        <v>6997</v>
      </c>
      <c r="E1444" s="156" t="s">
        <v>6981</v>
      </c>
      <c r="F1444" s="157"/>
      <c r="G1444" s="156"/>
      <c r="H1444" s="157"/>
      <c r="I1444" s="157"/>
      <c r="J1444" s="156" t="str">
        <f t="shared" si="22"/>
        <v/>
      </c>
      <c r="K1444" s="162"/>
      <c r="L1444" s="163"/>
      <c r="M1444" s="164"/>
      <c r="N1444" s="157"/>
      <c r="O1444" s="157"/>
      <c r="P1444" s="157"/>
      <c r="Q1444" s="156" t="s">
        <v>6998</v>
      </c>
    </row>
    <row r="1445" spans="4:17" x14ac:dyDescent="0.25">
      <c r="D1445" s="157" t="s">
        <v>6999</v>
      </c>
      <c r="E1445" s="156" t="s">
        <v>6981</v>
      </c>
      <c r="F1445" s="157"/>
      <c r="G1445" s="156"/>
      <c r="H1445" s="157"/>
      <c r="I1445" s="157"/>
      <c r="J1445" s="156" t="str">
        <f t="shared" si="22"/>
        <v/>
      </c>
      <c r="K1445" s="162"/>
      <c r="L1445" s="163"/>
      <c r="M1445" s="164"/>
      <c r="N1445" s="157"/>
      <c r="O1445" s="157"/>
      <c r="P1445" s="157"/>
      <c r="Q1445" s="156" t="s">
        <v>7000</v>
      </c>
    </row>
    <row r="1446" spans="4:17" x14ac:dyDescent="0.25">
      <c r="D1446" s="157" t="s">
        <v>7001</v>
      </c>
      <c r="E1446" s="156" t="s">
        <v>6981</v>
      </c>
      <c r="F1446" s="157"/>
      <c r="G1446" s="156"/>
      <c r="H1446" s="157"/>
      <c r="I1446" s="157"/>
      <c r="J1446" s="156" t="str">
        <f t="shared" si="22"/>
        <v/>
      </c>
      <c r="K1446" s="162"/>
      <c r="L1446" s="163"/>
      <c r="M1446" s="164"/>
      <c r="N1446" s="157"/>
      <c r="O1446" s="157"/>
      <c r="P1446" s="157"/>
      <c r="Q1446" s="156" t="s">
        <v>7002</v>
      </c>
    </row>
    <row r="1447" spans="4:17" x14ac:dyDescent="0.25">
      <c r="D1447" s="157" t="s">
        <v>7003</v>
      </c>
      <c r="E1447" s="156" t="s">
        <v>6981</v>
      </c>
      <c r="F1447" s="157"/>
      <c r="G1447" s="156"/>
      <c r="H1447" s="157"/>
      <c r="I1447" s="157"/>
      <c r="J1447" s="156" t="str">
        <f t="shared" si="22"/>
        <v/>
      </c>
      <c r="K1447" s="162"/>
      <c r="L1447" s="163"/>
      <c r="M1447" s="164"/>
      <c r="N1447" s="157"/>
      <c r="O1447" s="157"/>
      <c r="P1447" s="157"/>
      <c r="Q1447" s="156" t="s">
        <v>7004</v>
      </c>
    </row>
    <row r="1448" spans="4:17" x14ac:dyDescent="0.25">
      <c r="D1448" s="157" t="s">
        <v>7005</v>
      </c>
      <c r="E1448" s="156" t="s">
        <v>6981</v>
      </c>
      <c r="F1448" s="157"/>
      <c r="G1448" s="156"/>
      <c r="H1448" s="157"/>
      <c r="I1448" s="157"/>
      <c r="J1448" s="156" t="str">
        <f t="shared" ref="J1448:J1511" si="23">F1448&amp;H1448&amp;I1448</f>
        <v/>
      </c>
      <c r="K1448" s="162"/>
      <c r="L1448" s="163"/>
      <c r="M1448" s="164"/>
      <c r="N1448" s="157"/>
      <c r="O1448" s="157"/>
      <c r="P1448" s="157"/>
      <c r="Q1448" s="156" t="s">
        <v>7006</v>
      </c>
    </row>
    <row r="1449" spans="4:17" x14ac:dyDescent="0.25">
      <c r="D1449" s="157" t="s">
        <v>7007</v>
      </c>
      <c r="E1449" s="156" t="s">
        <v>6981</v>
      </c>
      <c r="F1449" s="157"/>
      <c r="G1449" s="156"/>
      <c r="H1449" s="157"/>
      <c r="I1449" s="157"/>
      <c r="J1449" s="156" t="str">
        <f t="shared" si="23"/>
        <v/>
      </c>
      <c r="K1449" s="162"/>
      <c r="L1449" s="163"/>
      <c r="M1449" s="164"/>
      <c r="N1449" s="157"/>
      <c r="O1449" s="157"/>
      <c r="P1449" s="157"/>
      <c r="Q1449" s="156" t="s">
        <v>7008</v>
      </c>
    </row>
    <row r="1450" spans="4:17" x14ac:dyDescent="0.25">
      <c r="D1450" s="157" t="s">
        <v>7009</v>
      </c>
      <c r="E1450" s="156" t="s">
        <v>6981</v>
      </c>
      <c r="F1450" s="157"/>
      <c r="G1450" s="156"/>
      <c r="H1450" s="157"/>
      <c r="I1450" s="157"/>
      <c r="J1450" s="156" t="str">
        <f t="shared" si="23"/>
        <v/>
      </c>
      <c r="K1450" s="162"/>
      <c r="L1450" s="163"/>
      <c r="M1450" s="164"/>
      <c r="N1450" s="157"/>
      <c r="O1450" s="157"/>
      <c r="P1450" s="157"/>
      <c r="Q1450" s="156" t="s">
        <v>7010</v>
      </c>
    </row>
    <row r="1451" spans="4:17" x14ac:dyDescent="0.25">
      <c r="D1451" s="157" t="s">
        <v>7011</v>
      </c>
      <c r="E1451" s="156" t="s">
        <v>6981</v>
      </c>
      <c r="F1451" s="157"/>
      <c r="G1451" s="156"/>
      <c r="H1451" s="157"/>
      <c r="I1451" s="157"/>
      <c r="J1451" s="156" t="str">
        <f t="shared" si="23"/>
        <v/>
      </c>
      <c r="K1451" s="162"/>
      <c r="L1451" s="163"/>
      <c r="M1451" s="164"/>
      <c r="N1451" s="157"/>
      <c r="O1451" s="157"/>
      <c r="P1451" s="157"/>
      <c r="Q1451" s="156" t="s">
        <v>7012</v>
      </c>
    </row>
    <row r="1452" spans="4:17" x14ac:dyDescent="0.25">
      <c r="D1452" s="157" t="s">
        <v>7013</v>
      </c>
      <c r="E1452" s="156" t="s">
        <v>6981</v>
      </c>
      <c r="F1452" s="157"/>
      <c r="G1452" s="156"/>
      <c r="H1452" s="157"/>
      <c r="I1452" s="157"/>
      <c r="J1452" s="156" t="str">
        <f t="shared" si="23"/>
        <v/>
      </c>
      <c r="K1452" s="162"/>
      <c r="L1452" s="163"/>
      <c r="M1452" s="164"/>
      <c r="N1452" s="157"/>
      <c r="O1452" s="157"/>
      <c r="P1452" s="157"/>
      <c r="Q1452" s="156" t="s">
        <v>7014</v>
      </c>
    </row>
    <row r="1453" spans="4:17" x14ac:dyDescent="0.25">
      <c r="D1453" s="157" t="s">
        <v>7015</v>
      </c>
      <c r="E1453" s="156" t="s">
        <v>6981</v>
      </c>
      <c r="F1453" s="157"/>
      <c r="G1453" s="156"/>
      <c r="H1453" s="157"/>
      <c r="I1453" s="157"/>
      <c r="J1453" s="156" t="str">
        <f t="shared" si="23"/>
        <v/>
      </c>
      <c r="K1453" s="162"/>
      <c r="L1453" s="163"/>
      <c r="M1453" s="164"/>
      <c r="N1453" s="157"/>
      <c r="O1453" s="157"/>
      <c r="P1453" s="157"/>
      <c r="Q1453" s="156" t="s">
        <v>7016</v>
      </c>
    </row>
    <row r="1454" spans="4:17" x14ac:dyDescent="0.25">
      <c r="D1454" s="157" t="s">
        <v>7017</v>
      </c>
      <c r="E1454" s="156" t="s">
        <v>6981</v>
      </c>
      <c r="F1454" s="157"/>
      <c r="G1454" s="156"/>
      <c r="H1454" s="157"/>
      <c r="I1454" s="157"/>
      <c r="J1454" s="156" t="str">
        <f t="shared" si="23"/>
        <v/>
      </c>
      <c r="K1454" s="162"/>
      <c r="L1454" s="163"/>
      <c r="M1454" s="164"/>
      <c r="N1454" s="157"/>
      <c r="O1454" s="157"/>
      <c r="P1454" s="157"/>
      <c r="Q1454" s="156" t="s">
        <v>7018</v>
      </c>
    </row>
    <row r="1455" spans="4:17" x14ac:dyDescent="0.25">
      <c r="D1455" s="157" t="s">
        <v>7019</v>
      </c>
      <c r="E1455" s="156" t="s">
        <v>6981</v>
      </c>
      <c r="F1455" s="157"/>
      <c r="G1455" s="156"/>
      <c r="H1455" s="157"/>
      <c r="I1455" s="157"/>
      <c r="J1455" s="156" t="str">
        <f t="shared" si="23"/>
        <v/>
      </c>
      <c r="K1455" s="162"/>
      <c r="L1455" s="163"/>
      <c r="M1455" s="164"/>
      <c r="N1455" s="157"/>
      <c r="O1455" s="157"/>
      <c r="P1455" s="157"/>
      <c r="Q1455" s="156" t="s">
        <v>7020</v>
      </c>
    </row>
    <row r="1456" spans="4:17" x14ac:dyDescent="0.25">
      <c r="D1456" s="157" t="s">
        <v>7021</v>
      </c>
      <c r="E1456" s="156" t="s">
        <v>7022</v>
      </c>
      <c r="F1456" s="157"/>
      <c r="G1456" s="156"/>
      <c r="H1456" s="157"/>
      <c r="I1456" s="157"/>
      <c r="J1456" s="156" t="str">
        <f t="shared" si="23"/>
        <v/>
      </c>
      <c r="K1456" s="162"/>
      <c r="L1456" s="163"/>
      <c r="M1456" s="164"/>
      <c r="N1456" s="157"/>
      <c r="O1456" s="157"/>
      <c r="P1456" s="157"/>
      <c r="Q1456" s="156" t="s">
        <v>7023</v>
      </c>
    </row>
    <row r="1457" spans="4:17" x14ac:dyDescent="0.25">
      <c r="D1457" s="157" t="s">
        <v>7024</v>
      </c>
      <c r="E1457" s="156" t="s">
        <v>7022</v>
      </c>
      <c r="F1457" s="157"/>
      <c r="G1457" s="156"/>
      <c r="H1457" s="157"/>
      <c r="I1457" s="157"/>
      <c r="J1457" s="156" t="str">
        <f t="shared" si="23"/>
        <v/>
      </c>
      <c r="K1457" s="162"/>
      <c r="L1457" s="163"/>
      <c r="M1457" s="164"/>
      <c r="N1457" s="157"/>
      <c r="O1457" s="157"/>
      <c r="P1457" s="157"/>
      <c r="Q1457" s="156" t="s">
        <v>7025</v>
      </c>
    </row>
    <row r="1458" spans="4:17" x14ac:dyDescent="0.25">
      <c r="D1458" s="157" t="s">
        <v>7026</v>
      </c>
      <c r="E1458" s="156" t="s">
        <v>7022</v>
      </c>
      <c r="F1458" s="157"/>
      <c r="G1458" s="156"/>
      <c r="H1458" s="157"/>
      <c r="I1458" s="157"/>
      <c r="J1458" s="156" t="str">
        <f t="shared" si="23"/>
        <v/>
      </c>
      <c r="K1458" s="162"/>
      <c r="L1458" s="163"/>
      <c r="M1458" s="164"/>
      <c r="N1458" s="157"/>
      <c r="O1458" s="157"/>
      <c r="P1458" s="157"/>
      <c r="Q1458" s="156" t="s">
        <v>7027</v>
      </c>
    </row>
    <row r="1459" spans="4:17" x14ac:dyDescent="0.25">
      <c r="D1459" s="157" t="s">
        <v>7028</v>
      </c>
      <c r="E1459" s="156" t="s">
        <v>7022</v>
      </c>
      <c r="F1459" s="157"/>
      <c r="G1459" s="156"/>
      <c r="H1459" s="157"/>
      <c r="I1459" s="157"/>
      <c r="J1459" s="156" t="str">
        <f t="shared" si="23"/>
        <v/>
      </c>
      <c r="K1459" s="162"/>
      <c r="L1459" s="163"/>
      <c r="M1459" s="164"/>
      <c r="N1459" s="157"/>
      <c r="O1459" s="157"/>
      <c r="P1459" s="157"/>
      <c r="Q1459" s="156" t="s">
        <v>7029</v>
      </c>
    </row>
    <row r="1460" spans="4:17" x14ac:dyDescent="0.25">
      <c r="D1460" s="157" t="s">
        <v>7030</v>
      </c>
      <c r="E1460" s="156" t="s">
        <v>7022</v>
      </c>
      <c r="F1460" s="157"/>
      <c r="G1460" s="156"/>
      <c r="H1460" s="157"/>
      <c r="I1460" s="157"/>
      <c r="J1460" s="156" t="str">
        <f t="shared" si="23"/>
        <v/>
      </c>
      <c r="K1460" s="162"/>
      <c r="L1460" s="163"/>
      <c r="M1460" s="164"/>
      <c r="N1460" s="157"/>
      <c r="O1460" s="157"/>
      <c r="P1460" s="157"/>
      <c r="Q1460" s="156" t="s">
        <v>7031</v>
      </c>
    </row>
    <row r="1461" spans="4:17" x14ac:dyDescent="0.25">
      <c r="D1461" s="157" t="s">
        <v>7032</v>
      </c>
      <c r="E1461" s="156" t="s">
        <v>7022</v>
      </c>
      <c r="F1461" s="157"/>
      <c r="G1461" s="156"/>
      <c r="H1461" s="157"/>
      <c r="I1461" s="157"/>
      <c r="J1461" s="156" t="str">
        <f t="shared" si="23"/>
        <v/>
      </c>
      <c r="K1461" s="162"/>
      <c r="L1461" s="163"/>
      <c r="M1461" s="164"/>
      <c r="N1461" s="157"/>
      <c r="O1461" s="157"/>
      <c r="P1461" s="157"/>
      <c r="Q1461" s="156" t="s">
        <v>7033</v>
      </c>
    </row>
    <row r="1462" spans="4:17" x14ac:dyDescent="0.25">
      <c r="D1462" s="157" t="s">
        <v>7034</v>
      </c>
      <c r="E1462" s="156" t="s">
        <v>7022</v>
      </c>
      <c r="F1462" s="157"/>
      <c r="G1462" s="156"/>
      <c r="H1462" s="157"/>
      <c r="I1462" s="157"/>
      <c r="J1462" s="156" t="str">
        <f t="shared" si="23"/>
        <v/>
      </c>
      <c r="K1462" s="162"/>
      <c r="L1462" s="163"/>
      <c r="M1462" s="164"/>
      <c r="N1462" s="157"/>
      <c r="O1462" s="157"/>
      <c r="P1462" s="157"/>
      <c r="Q1462" s="156" t="s">
        <v>7035</v>
      </c>
    </row>
    <row r="1463" spans="4:17" x14ac:dyDescent="0.25">
      <c r="D1463" s="157" t="s">
        <v>7036</v>
      </c>
      <c r="E1463" s="156" t="s">
        <v>7022</v>
      </c>
      <c r="F1463" s="157"/>
      <c r="G1463" s="156"/>
      <c r="H1463" s="157"/>
      <c r="I1463" s="157"/>
      <c r="J1463" s="156" t="str">
        <f t="shared" si="23"/>
        <v/>
      </c>
      <c r="K1463" s="162"/>
      <c r="L1463" s="163"/>
      <c r="M1463" s="164"/>
      <c r="N1463" s="157"/>
      <c r="O1463" s="157"/>
      <c r="P1463" s="157"/>
      <c r="Q1463" s="156" t="s">
        <v>7037</v>
      </c>
    </row>
    <row r="1464" spans="4:17" x14ac:dyDescent="0.25">
      <c r="D1464" s="157" t="s">
        <v>7038</v>
      </c>
      <c r="E1464" s="156" t="s">
        <v>7022</v>
      </c>
      <c r="F1464" s="157"/>
      <c r="G1464" s="156"/>
      <c r="H1464" s="157"/>
      <c r="I1464" s="157"/>
      <c r="J1464" s="156" t="str">
        <f t="shared" si="23"/>
        <v/>
      </c>
      <c r="K1464" s="162"/>
      <c r="L1464" s="163"/>
      <c r="M1464" s="164"/>
      <c r="N1464" s="157"/>
      <c r="O1464" s="157"/>
      <c r="P1464" s="157"/>
      <c r="Q1464" s="156" t="s">
        <v>7039</v>
      </c>
    </row>
    <row r="1465" spans="4:17" x14ac:dyDescent="0.25">
      <c r="D1465" s="157" t="s">
        <v>7040</v>
      </c>
      <c r="E1465" s="156" t="s">
        <v>7022</v>
      </c>
      <c r="F1465" s="157"/>
      <c r="G1465" s="156"/>
      <c r="H1465" s="157"/>
      <c r="I1465" s="157"/>
      <c r="J1465" s="156" t="str">
        <f t="shared" si="23"/>
        <v/>
      </c>
      <c r="K1465" s="162"/>
      <c r="L1465" s="163"/>
      <c r="M1465" s="164"/>
      <c r="N1465" s="157"/>
      <c r="O1465" s="157"/>
      <c r="P1465" s="157"/>
      <c r="Q1465" s="156" t="s">
        <v>7041</v>
      </c>
    </row>
    <row r="1466" spans="4:17" x14ac:dyDescent="0.25">
      <c r="D1466" s="157" t="s">
        <v>7042</v>
      </c>
      <c r="E1466" s="156" t="s">
        <v>7022</v>
      </c>
      <c r="F1466" s="157"/>
      <c r="G1466" s="156"/>
      <c r="H1466" s="157"/>
      <c r="I1466" s="157"/>
      <c r="J1466" s="156" t="str">
        <f t="shared" si="23"/>
        <v/>
      </c>
      <c r="K1466" s="162"/>
      <c r="L1466" s="163"/>
      <c r="M1466" s="164"/>
      <c r="N1466" s="157"/>
      <c r="O1466" s="157"/>
      <c r="P1466" s="157"/>
      <c r="Q1466" s="156" t="s">
        <v>7043</v>
      </c>
    </row>
    <row r="1467" spans="4:17" x14ac:dyDescent="0.25">
      <c r="D1467" s="157" t="s">
        <v>7044</v>
      </c>
      <c r="E1467" s="156" t="s">
        <v>7022</v>
      </c>
      <c r="F1467" s="157"/>
      <c r="G1467" s="156"/>
      <c r="H1467" s="157"/>
      <c r="I1467" s="157"/>
      <c r="J1467" s="156" t="str">
        <f t="shared" si="23"/>
        <v/>
      </c>
      <c r="K1467" s="162"/>
      <c r="L1467" s="163"/>
      <c r="M1467" s="164"/>
      <c r="N1467" s="157"/>
      <c r="O1467" s="157"/>
      <c r="P1467" s="157"/>
      <c r="Q1467" s="156" t="s">
        <v>7045</v>
      </c>
    </row>
    <row r="1468" spans="4:17" x14ac:dyDescent="0.25">
      <c r="D1468" s="157" t="s">
        <v>7046</v>
      </c>
      <c r="E1468" s="156" t="s">
        <v>7022</v>
      </c>
      <c r="F1468" s="157"/>
      <c r="G1468" s="156"/>
      <c r="H1468" s="157"/>
      <c r="I1468" s="157"/>
      <c r="J1468" s="156" t="str">
        <f t="shared" si="23"/>
        <v/>
      </c>
      <c r="K1468" s="162"/>
      <c r="L1468" s="163"/>
      <c r="M1468" s="164"/>
      <c r="N1468" s="157"/>
      <c r="O1468" s="157"/>
      <c r="P1468" s="157"/>
      <c r="Q1468" s="156" t="s">
        <v>7047</v>
      </c>
    </row>
    <row r="1469" spans="4:17" x14ac:dyDescent="0.25">
      <c r="D1469" s="157" t="s">
        <v>7048</v>
      </c>
      <c r="E1469" s="156" t="s">
        <v>7022</v>
      </c>
      <c r="F1469" s="157"/>
      <c r="G1469" s="156"/>
      <c r="H1469" s="157"/>
      <c r="I1469" s="157"/>
      <c r="J1469" s="156" t="str">
        <f t="shared" si="23"/>
        <v/>
      </c>
      <c r="K1469" s="162"/>
      <c r="L1469" s="163"/>
      <c r="M1469" s="164"/>
      <c r="N1469" s="157"/>
      <c r="O1469" s="157"/>
      <c r="P1469" s="157"/>
      <c r="Q1469" s="156" t="s">
        <v>7049</v>
      </c>
    </row>
    <row r="1470" spans="4:17" x14ac:dyDescent="0.25">
      <c r="D1470" s="157" t="s">
        <v>7050</v>
      </c>
      <c r="E1470" s="156" t="s">
        <v>7022</v>
      </c>
      <c r="F1470" s="157"/>
      <c r="G1470" s="156"/>
      <c r="H1470" s="157"/>
      <c r="I1470" s="157"/>
      <c r="J1470" s="156" t="str">
        <f t="shared" si="23"/>
        <v/>
      </c>
      <c r="K1470" s="162"/>
      <c r="L1470" s="163"/>
      <c r="M1470" s="164"/>
      <c r="N1470" s="157"/>
      <c r="O1470" s="157"/>
      <c r="P1470" s="157"/>
      <c r="Q1470" s="156" t="s">
        <v>7051</v>
      </c>
    </row>
    <row r="1471" spans="4:17" x14ac:dyDescent="0.25">
      <c r="D1471" s="157" t="s">
        <v>7052</v>
      </c>
      <c r="E1471" s="156" t="s">
        <v>7022</v>
      </c>
      <c r="F1471" s="157"/>
      <c r="G1471" s="156"/>
      <c r="H1471" s="157"/>
      <c r="I1471" s="157"/>
      <c r="J1471" s="156" t="str">
        <f t="shared" si="23"/>
        <v/>
      </c>
      <c r="K1471" s="162"/>
      <c r="L1471" s="163"/>
      <c r="M1471" s="164"/>
      <c r="N1471" s="157"/>
      <c r="O1471" s="157"/>
      <c r="P1471" s="157"/>
      <c r="Q1471" s="156" t="s">
        <v>7053</v>
      </c>
    </row>
    <row r="1472" spans="4:17" x14ac:dyDescent="0.25">
      <c r="D1472" s="157" t="s">
        <v>7054</v>
      </c>
      <c r="E1472" s="156" t="s">
        <v>7022</v>
      </c>
      <c r="F1472" s="157"/>
      <c r="G1472" s="156"/>
      <c r="H1472" s="157"/>
      <c r="I1472" s="157"/>
      <c r="J1472" s="156" t="str">
        <f t="shared" si="23"/>
        <v/>
      </c>
      <c r="K1472" s="162"/>
      <c r="L1472" s="163"/>
      <c r="M1472" s="164"/>
      <c r="N1472" s="157"/>
      <c r="O1472" s="157"/>
      <c r="P1472" s="157"/>
      <c r="Q1472" s="156" t="s">
        <v>7055</v>
      </c>
    </row>
    <row r="1473" spans="4:17" x14ac:dyDescent="0.25">
      <c r="D1473" s="157" t="s">
        <v>7056</v>
      </c>
      <c r="E1473" s="156" t="s">
        <v>7022</v>
      </c>
      <c r="F1473" s="157"/>
      <c r="G1473" s="156"/>
      <c r="H1473" s="157"/>
      <c r="I1473" s="157"/>
      <c r="J1473" s="156" t="str">
        <f t="shared" si="23"/>
        <v/>
      </c>
      <c r="K1473" s="162"/>
      <c r="L1473" s="163"/>
      <c r="M1473" s="164"/>
      <c r="N1473" s="157"/>
      <c r="O1473" s="157"/>
      <c r="P1473" s="157"/>
      <c r="Q1473" s="156" t="s">
        <v>7057</v>
      </c>
    </row>
    <row r="1474" spans="4:17" x14ac:dyDescent="0.25">
      <c r="D1474" s="157" t="s">
        <v>7058</v>
      </c>
      <c r="E1474" s="156" t="s">
        <v>7022</v>
      </c>
      <c r="F1474" s="157"/>
      <c r="G1474" s="156"/>
      <c r="H1474" s="157"/>
      <c r="I1474" s="157"/>
      <c r="J1474" s="156" t="str">
        <f t="shared" si="23"/>
        <v/>
      </c>
      <c r="K1474" s="162"/>
      <c r="L1474" s="163"/>
      <c r="M1474" s="164"/>
      <c r="N1474" s="157"/>
      <c r="O1474" s="157"/>
      <c r="P1474" s="157"/>
      <c r="Q1474" s="156" t="s">
        <v>7059</v>
      </c>
    </row>
    <row r="1475" spans="4:17" x14ac:dyDescent="0.25">
      <c r="D1475" s="157" t="s">
        <v>7060</v>
      </c>
      <c r="E1475" s="156" t="s">
        <v>7022</v>
      </c>
      <c r="F1475" s="157"/>
      <c r="G1475" s="156"/>
      <c r="H1475" s="157"/>
      <c r="I1475" s="157"/>
      <c r="J1475" s="156" t="str">
        <f t="shared" si="23"/>
        <v/>
      </c>
      <c r="K1475" s="162"/>
      <c r="L1475" s="163"/>
      <c r="M1475" s="164"/>
      <c r="N1475" s="157"/>
      <c r="O1475" s="157"/>
      <c r="P1475" s="157"/>
      <c r="Q1475" s="156" t="s">
        <v>7061</v>
      </c>
    </row>
    <row r="1476" spans="4:17" x14ac:dyDescent="0.25">
      <c r="D1476" s="157" t="s">
        <v>7062</v>
      </c>
      <c r="E1476" s="156" t="s">
        <v>7063</v>
      </c>
      <c r="F1476" s="157"/>
      <c r="G1476" s="156"/>
      <c r="H1476" s="157"/>
      <c r="I1476" s="157"/>
      <c r="J1476" s="156" t="str">
        <f t="shared" si="23"/>
        <v/>
      </c>
      <c r="K1476" s="162"/>
      <c r="L1476" s="163"/>
      <c r="M1476" s="164"/>
      <c r="N1476" s="157"/>
      <c r="O1476" s="157"/>
      <c r="P1476" s="157"/>
      <c r="Q1476" s="156" t="s">
        <v>7064</v>
      </c>
    </row>
    <row r="1477" spans="4:17" x14ac:dyDescent="0.25">
      <c r="D1477" s="157" t="s">
        <v>7065</v>
      </c>
      <c r="E1477" s="156" t="s">
        <v>7063</v>
      </c>
      <c r="F1477" s="157"/>
      <c r="G1477" s="156"/>
      <c r="H1477" s="157"/>
      <c r="I1477" s="157"/>
      <c r="J1477" s="156" t="str">
        <f t="shared" si="23"/>
        <v/>
      </c>
      <c r="K1477" s="162"/>
      <c r="L1477" s="163"/>
      <c r="M1477" s="164"/>
      <c r="N1477" s="157"/>
      <c r="O1477" s="157"/>
      <c r="P1477" s="157"/>
      <c r="Q1477" s="156" t="s">
        <v>7066</v>
      </c>
    </row>
    <row r="1478" spans="4:17" x14ac:dyDescent="0.25">
      <c r="D1478" s="157" t="s">
        <v>7067</v>
      </c>
      <c r="E1478" s="156" t="s">
        <v>7063</v>
      </c>
      <c r="F1478" s="157"/>
      <c r="G1478" s="156"/>
      <c r="H1478" s="157"/>
      <c r="I1478" s="157"/>
      <c r="J1478" s="156" t="str">
        <f t="shared" si="23"/>
        <v/>
      </c>
      <c r="K1478" s="162"/>
      <c r="L1478" s="163"/>
      <c r="M1478" s="164"/>
      <c r="N1478" s="157"/>
      <c r="O1478" s="157"/>
      <c r="P1478" s="157"/>
      <c r="Q1478" s="156" t="s">
        <v>7068</v>
      </c>
    </row>
    <row r="1479" spans="4:17" x14ac:dyDescent="0.25">
      <c r="D1479" s="157" t="s">
        <v>7069</v>
      </c>
      <c r="E1479" s="156" t="s">
        <v>7063</v>
      </c>
      <c r="F1479" s="157"/>
      <c r="G1479" s="156"/>
      <c r="H1479" s="157"/>
      <c r="I1479" s="157"/>
      <c r="J1479" s="156" t="str">
        <f t="shared" si="23"/>
        <v/>
      </c>
      <c r="K1479" s="162"/>
      <c r="L1479" s="163"/>
      <c r="M1479" s="164"/>
      <c r="N1479" s="157"/>
      <c r="O1479" s="157"/>
      <c r="P1479" s="157"/>
      <c r="Q1479" s="156" t="s">
        <v>7070</v>
      </c>
    </row>
    <row r="1480" spans="4:17" x14ac:dyDescent="0.25">
      <c r="D1480" s="157" t="s">
        <v>7071</v>
      </c>
      <c r="E1480" s="156" t="s">
        <v>7063</v>
      </c>
      <c r="F1480" s="157"/>
      <c r="G1480" s="156"/>
      <c r="H1480" s="157"/>
      <c r="I1480" s="157"/>
      <c r="J1480" s="156" t="str">
        <f t="shared" si="23"/>
        <v/>
      </c>
      <c r="K1480" s="162"/>
      <c r="L1480" s="163"/>
      <c r="M1480" s="164"/>
      <c r="N1480" s="157"/>
      <c r="O1480" s="157"/>
      <c r="P1480" s="157"/>
      <c r="Q1480" s="156" t="s">
        <v>7072</v>
      </c>
    </row>
    <row r="1481" spans="4:17" x14ac:dyDescent="0.25">
      <c r="D1481" s="157" t="s">
        <v>7073</v>
      </c>
      <c r="E1481" s="156" t="s">
        <v>7063</v>
      </c>
      <c r="F1481" s="157"/>
      <c r="G1481" s="156"/>
      <c r="H1481" s="157"/>
      <c r="I1481" s="157"/>
      <c r="J1481" s="156" t="str">
        <f t="shared" si="23"/>
        <v/>
      </c>
      <c r="K1481" s="162"/>
      <c r="L1481" s="163"/>
      <c r="M1481" s="164"/>
      <c r="N1481" s="157"/>
      <c r="O1481" s="157"/>
      <c r="P1481" s="157"/>
      <c r="Q1481" s="156" t="s">
        <v>7074</v>
      </c>
    </row>
    <row r="1482" spans="4:17" x14ac:dyDescent="0.25">
      <c r="D1482" s="157" t="s">
        <v>7075</v>
      </c>
      <c r="E1482" s="156" t="s">
        <v>7063</v>
      </c>
      <c r="F1482" s="157"/>
      <c r="G1482" s="156"/>
      <c r="H1482" s="157"/>
      <c r="I1482" s="157"/>
      <c r="J1482" s="156" t="str">
        <f t="shared" si="23"/>
        <v/>
      </c>
      <c r="K1482" s="162"/>
      <c r="L1482" s="163"/>
      <c r="M1482" s="164"/>
      <c r="N1482" s="157"/>
      <c r="O1482" s="157"/>
      <c r="P1482" s="157"/>
      <c r="Q1482" s="156" t="s">
        <v>7076</v>
      </c>
    </row>
    <row r="1483" spans="4:17" x14ac:dyDescent="0.25">
      <c r="D1483" s="157" t="s">
        <v>7077</v>
      </c>
      <c r="E1483" s="156" t="s">
        <v>7063</v>
      </c>
      <c r="F1483" s="157"/>
      <c r="G1483" s="156"/>
      <c r="H1483" s="157"/>
      <c r="I1483" s="157"/>
      <c r="J1483" s="156" t="str">
        <f t="shared" si="23"/>
        <v/>
      </c>
      <c r="K1483" s="162"/>
      <c r="L1483" s="163"/>
      <c r="M1483" s="164"/>
      <c r="N1483" s="157"/>
      <c r="O1483" s="157"/>
      <c r="P1483" s="157"/>
      <c r="Q1483" s="156" t="s">
        <v>7078</v>
      </c>
    </row>
    <row r="1484" spans="4:17" x14ac:dyDescent="0.25">
      <c r="D1484" s="157" t="s">
        <v>7079</v>
      </c>
      <c r="E1484" s="156" t="s">
        <v>7063</v>
      </c>
      <c r="F1484" s="157"/>
      <c r="G1484" s="156"/>
      <c r="H1484" s="157"/>
      <c r="I1484" s="157"/>
      <c r="J1484" s="156" t="str">
        <f t="shared" si="23"/>
        <v/>
      </c>
      <c r="K1484" s="162"/>
      <c r="L1484" s="163"/>
      <c r="M1484" s="164"/>
      <c r="N1484" s="157"/>
      <c r="O1484" s="157"/>
      <c r="P1484" s="157"/>
      <c r="Q1484" s="156" t="s">
        <v>7080</v>
      </c>
    </row>
    <row r="1485" spans="4:17" x14ac:dyDescent="0.25">
      <c r="D1485" s="157" t="s">
        <v>7081</v>
      </c>
      <c r="E1485" s="156" t="s">
        <v>7063</v>
      </c>
      <c r="F1485" s="157"/>
      <c r="G1485" s="156"/>
      <c r="H1485" s="157"/>
      <c r="I1485" s="157"/>
      <c r="J1485" s="156" t="str">
        <f t="shared" si="23"/>
        <v/>
      </c>
      <c r="K1485" s="162"/>
      <c r="L1485" s="163"/>
      <c r="M1485" s="164"/>
      <c r="N1485" s="157"/>
      <c r="O1485" s="157"/>
      <c r="P1485" s="157"/>
      <c r="Q1485" s="156" t="s">
        <v>7082</v>
      </c>
    </row>
    <row r="1486" spans="4:17" x14ac:dyDescent="0.25">
      <c r="D1486" s="157" t="s">
        <v>7083</v>
      </c>
      <c r="E1486" s="156" t="s">
        <v>7063</v>
      </c>
      <c r="F1486" s="157"/>
      <c r="G1486" s="156"/>
      <c r="H1486" s="157"/>
      <c r="I1486" s="157"/>
      <c r="J1486" s="156" t="str">
        <f t="shared" si="23"/>
        <v/>
      </c>
      <c r="K1486" s="162"/>
      <c r="L1486" s="163"/>
      <c r="M1486" s="164"/>
      <c r="N1486" s="157"/>
      <c r="O1486" s="157"/>
      <c r="P1486" s="157"/>
      <c r="Q1486" s="156" t="s">
        <v>7084</v>
      </c>
    </row>
    <row r="1487" spans="4:17" x14ac:dyDescent="0.25">
      <c r="D1487" s="157" t="s">
        <v>7085</v>
      </c>
      <c r="E1487" s="156" t="s">
        <v>7063</v>
      </c>
      <c r="F1487" s="157"/>
      <c r="G1487" s="156"/>
      <c r="H1487" s="157"/>
      <c r="I1487" s="157"/>
      <c r="J1487" s="156" t="str">
        <f t="shared" si="23"/>
        <v/>
      </c>
      <c r="K1487" s="162"/>
      <c r="L1487" s="163"/>
      <c r="M1487" s="164"/>
      <c r="N1487" s="157"/>
      <c r="O1487" s="157"/>
      <c r="P1487" s="157"/>
      <c r="Q1487" s="156" t="s">
        <v>7086</v>
      </c>
    </row>
    <row r="1488" spans="4:17" x14ac:dyDescent="0.25">
      <c r="D1488" s="157" t="s">
        <v>7087</v>
      </c>
      <c r="E1488" s="156" t="s">
        <v>7063</v>
      </c>
      <c r="F1488" s="157"/>
      <c r="G1488" s="156"/>
      <c r="H1488" s="157"/>
      <c r="I1488" s="157"/>
      <c r="J1488" s="156" t="str">
        <f t="shared" si="23"/>
        <v/>
      </c>
      <c r="K1488" s="162"/>
      <c r="L1488" s="163"/>
      <c r="M1488" s="164"/>
      <c r="N1488" s="157"/>
      <c r="O1488" s="157"/>
      <c r="P1488" s="157"/>
      <c r="Q1488" s="156" t="s">
        <v>7088</v>
      </c>
    </row>
    <row r="1489" spans="4:17" x14ac:dyDescent="0.25">
      <c r="D1489" s="157" t="s">
        <v>7089</v>
      </c>
      <c r="E1489" s="156" t="s">
        <v>7063</v>
      </c>
      <c r="F1489" s="157"/>
      <c r="G1489" s="156"/>
      <c r="H1489" s="157"/>
      <c r="I1489" s="157"/>
      <c r="J1489" s="156" t="str">
        <f t="shared" si="23"/>
        <v/>
      </c>
      <c r="K1489" s="162"/>
      <c r="L1489" s="163"/>
      <c r="M1489" s="164"/>
      <c r="N1489" s="157"/>
      <c r="O1489" s="157"/>
      <c r="P1489" s="157"/>
      <c r="Q1489" s="156" t="s">
        <v>7090</v>
      </c>
    </row>
    <row r="1490" spans="4:17" x14ac:dyDescent="0.25">
      <c r="D1490" s="157" t="s">
        <v>7091</v>
      </c>
      <c r="E1490" s="156" t="s">
        <v>7063</v>
      </c>
      <c r="F1490" s="157"/>
      <c r="G1490" s="156"/>
      <c r="H1490" s="157"/>
      <c r="I1490" s="157"/>
      <c r="J1490" s="156" t="str">
        <f t="shared" si="23"/>
        <v/>
      </c>
      <c r="K1490" s="162"/>
      <c r="L1490" s="163"/>
      <c r="M1490" s="164"/>
      <c r="N1490" s="157"/>
      <c r="O1490" s="157"/>
      <c r="P1490" s="157"/>
      <c r="Q1490" s="156" t="s">
        <v>7092</v>
      </c>
    </row>
    <row r="1491" spans="4:17" x14ac:dyDescent="0.25">
      <c r="D1491" s="157" t="s">
        <v>7093</v>
      </c>
      <c r="E1491" s="156" t="s">
        <v>7063</v>
      </c>
      <c r="F1491" s="157"/>
      <c r="G1491" s="156"/>
      <c r="H1491" s="157"/>
      <c r="I1491" s="157"/>
      <c r="J1491" s="156" t="str">
        <f t="shared" si="23"/>
        <v/>
      </c>
      <c r="K1491" s="162"/>
      <c r="L1491" s="163"/>
      <c r="M1491" s="164"/>
      <c r="N1491" s="157"/>
      <c r="O1491" s="157"/>
      <c r="P1491" s="157"/>
      <c r="Q1491" s="156" t="s">
        <v>7094</v>
      </c>
    </row>
    <row r="1492" spans="4:17" x14ac:dyDescent="0.25">
      <c r="D1492" s="157" t="s">
        <v>7095</v>
      </c>
      <c r="E1492" s="156" t="s">
        <v>7063</v>
      </c>
      <c r="F1492" s="157"/>
      <c r="G1492" s="156"/>
      <c r="H1492" s="157"/>
      <c r="I1492" s="157"/>
      <c r="J1492" s="156" t="str">
        <f t="shared" si="23"/>
        <v/>
      </c>
      <c r="K1492" s="162"/>
      <c r="L1492" s="163"/>
      <c r="M1492" s="164"/>
      <c r="N1492" s="157"/>
      <c r="O1492" s="157"/>
      <c r="P1492" s="157"/>
      <c r="Q1492" s="156" t="s">
        <v>7096</v>
      </c>
    </row>
    <row r="1493" spans="4:17" x14ac:dyDescent="0.25">
      <c r="D1493" s="157" t="s">
        <v>7097</v>
      </c>
      <c r="E1493" s="156" t="s">
        <v>7063</v>
      </c>
      <c r="F1493" s="157"/>
      <c r="G1493" s="156"/>
      <c r="H1493" s="157"/>
      <c r="I1493" s="157"/>
      <c r="J1493" s="156" t="str">
        <f t="shared" si="23"/>
        <v/>
      </c>
      <c r="K1493" s="162"/>
      <c r="L1493" s="163"/>
      <c r="M1493" s="164"/>
      <c r="N1493" s="157"/>
      <c r="O1493" s="157"/>
      <c r="P1493" s="157"/>
      <c r="Q1493" s="156" t="s">
        <v>7098</v>
      </c>
    </row>
    <row r="1494" spans="4:17" x14ac:dyDescent="0.25">
      <c r="D1494" s="157" t="s">
        <v>7099</v>
      </c>
      <c r="E1494" s="156" t="s">
        <v>7063</v>
      </c>
      <c r="F1494" s="157"/>
      <c r="G1494" s="156"/>
      <c r="H1494" s="157"/>
      <c r="I1494" s="157"/>
      <c r="J1494" s="156" t="str">
        <f t="shared" si="23"/>
        <v/>
      </c>
      <c r="K1494" s="162"/>
      <c r="L1494" s="163"/>
      <c r="M1494" s="164"/>
      <c r="N1494" s="157"/>
      <c r="O1494" s="157"/>
      <c r="P1494" s="157"/>
      <c r="Q1494" s="156" t="s">
        <v>7100</v>
      </c>
    </row>
    <row r="1495" spans="4:17" x14ac:dyDescent="0.25">
      <c r="D1495" s="157" t="s">
        <v>7101</v>
      </c>
      <c r="E1495" s="156" t="s">
        <v>7063</v>
      </c>
      <c r="F1495" s="157"/>
      <c r="G1495" s="156"/>
      <c r="H1495" s="157"/>
      <c r="I1495" s="157"/>
      <c r="J1495" s="156" t="str">
        <f t="shared" si="23"/>
        <v/>
      </c>
      <c r="K1495" s="162"/>
      <c r="L1495" s="163"/>
      <c r="M1495" s="164"/>
      <c r="N1495" s="157"/>
      <c r="O1495" s="157"/>
      <c r="P1495" s="157"/>
      <c r="Q1495" s="156" t="s">
        <v>7102</v>
      </c>
    </row>
    <row r="1496" spans="4:17" x14ac:dyDescent="0.25">
      <c r="D1496" s="157" t="s">
        <v>7103</v>
      </c>
      <c r="E1496" s="156" t="s">
        <v>7104</v>
      </c>
      <c r="F1496" s="157"/>
      <c r="G1496" s="156"/>
      <c r="H1496" s="157"/>
      <c r="I1496" s="157"/>
      <c r="J1496" s="156" t="str">
        <f t="shared" si="23"/>
        <v/>
      </c>
      <c r="K1496" s="162"/>
      <c r="L1496" s="163"/>
      <c r="M1496" s="164"/>
      <c r="N1496" s="157"/>
      <c r="O1496" s="157"/>
      <c r="P1496" s="157"/>
      <c r="Q1496" s="156" t="s">
        <v>7105</v>
      </c>
    </row>
    <row r="1497" spans="4:17" x14ac:dyDescent="0.25">
      <c r="D1497" s="157" t="s">
        <v>7106</v>
      </c>
      <c r="E1497" s="156" t="s">
        <v>7104</v>
      </c>
      <c r="F1497" s="157"/>
      <c r="G1497" s="156"/>
      <c r="H1497" s="157"/>
      <c r="I1497" s="157"/>
      <c r="J1497" s="156" t="str">
        <f t="shared" si="23"/>
        <v/>
      </c>
      <c r="K1497" s="162"/>
      <c r="L1497" s="163"/>
      <c r="M1497" s="164"/>
      <c r="N1497" s="157"/>
      <c r="O1497" s="157"/>
      <c r="P1497" s="157"/>
      <c r="Q1497" s="156" t="s">
        <v>7107</v>
      </c>
    </row>
    <row r="1498" spans="4:17" x14ac:dyDescent="0.25">
      <c r="D1498" s="157" t="s">
        <v>7108</v>
      </c>
      <c r="E1498" s="156" t="s">
        <v>7104</v>
      </c>
      <c r="F1498" s="157"/>
      <c r="G1498" s="156"/>
      <c r="H1498" s="157"/>
      <c r="I1498" s="157"/>
      <c r="J1498" s="156" t="str">
        <f t="shared" si="23"/>
        <v/>
      </c>
      <c r="K1498" s="162"/>
      <c r="L1498" s="163"/>
      <c r="M1498" s="164"/>
      <c r="N1498" s="157"/>
      <c r="O1498" s="157"/>
      <c r="P1498" s="157"/>
      <c r="Q1498" s="156" t="s">
        <v>7109</v>
      </c>
    </row>
    <row r="1499" spans="4:17" x14ac:dyDescent="0.25">
      <c r="D1499" s="157" t="s">
        <v>7110</v>
      </c>
      <c r="E1499" s="156" t="s">
        <v>7104</v>
      </c>
      <c r="F1499" s="157"/>
      <c r="G1499" s="156"/>
      <c r="H1499" s="157"/>
      <c r="I1499" s="157"/>
      <c r="J1499" s="156" t="str">
        <f t="shared" si="23"/>
        <v/>
      </c>
      <c r="K1499" s="162"/>
      <c r="L1499" s="163"/>
      <c r="M1499" s="164"/>
      <c r="N1499" s="157"/>
      <c r="O1499" s="157"/>
      <c r="P1499" s="157"/>
      <c r="Q1499" s="156" t="s">
        <v>7111</v>
      </c>
    </row>
    <row r="1500" spans="4:17" x14ac:dyDescent="0.25">
      <c r="D1500" s="157" t="s">
        <v>7112</v>
      </c>
      <c r="E1500" s="156" t="s">
        <v>7104</v>
      </c>
      <c r="F1500" s="157"/>
      <c r="G1500" s="156"/>
      <c r="H1500" s="157"/>
      <c r="I1500" s="157"/>
      <c r="J1500" s="156" t="str">
        <f t="shared" si="23"/>
        <v/>
      </c>
      <c r="K1500" s="162"/>
      <c r="L1500" s="163"/>
      <c r="M1500" s="164"/>
      <c r="N1500" s="157"/>
      <c r="O1500" s="157"/>
      <c r="P1500" s="157"/>
      <c r="Q1500" s="156" t="s">
        <v>7113</v>
      </c>
    </row>
    <row r="1501" spans="4:17" x14ac:dyDescent="0.25">
      <c r="D1501" s="157" t="s">
        <v>7114</v>
      </c>
      <c r="E1501" s="156" t="s">
        <v>7104</v>
      </c>
      <c r="F1501" s="157"/>
      <c r="G1501" s="156"/>
      <c r="H1501" s="157"/>
      <c r="I1501" s="157"/>
      <c r="J1501" s="156" t="str">
        <f t="shared" si="23"/>
        <v/>
      </c>
      <c r="K1501" s="162"/>
      <c r="L1501" s="163"/>
      <c r="M1501" s="164"/>
      <c r="N1501" s="157"/>
      <c r="O1501" s="157"/>
      <c r="P1501" s="157"/>
      <c r="Q1501" s="156" t="s">
        <v>7115</v>
      </c>
    </row>
    <row r="1502" spans="4:17" x14ac:dyDescent="0.25">
      <c r="D1502" s="157" t="s">
        <v>7116</v>
      </c>
      <c r="E1502" s="156" t="s">
        <v>7104</v>
      </c>
      <c r="F1502" s="157"/>
      <c r="G1502" s="156"/>
      <c r="H1502" s="157"/>
      <c r="I1502" s="157"/>
      <c r="J1502" s="156" t="str">
        <f t="shared" si="23"/>
        <v/>
      </c>
      <c r="K1502" s="162"/>
      <c r="L1502" s="163"/>
      <c r="M1502" s="164"/>
      <c r="N1502" s="157"/>
      <c r="O1502" s="157"/>
      <c r="P1502" s="157"/>
      <c r="Q1502" s="156" t="s">
        <v>7117</v>
      </c>
    </row>
    <row r="1503" spans="4:17" x14ac:dyDescent="0.25">
      <c r="D1503" s="157" t="s">
        <v>7118</v>
      </c>
      <c r="E1503" s="156" t="s">
        <v>7104</v>
      </c>
      <c r="F1503" s="157"/>
      <c r="G1503" s="156"/>
      <c r="H1503" s="157"/>
      <c r="I1503" s="157"/>
      <c r="J1503" s="156" t="str">
        <f t="shared" si="23"/>
        <v/>
      </c>
      <c r="K1503" s="162"/>
      <c r="L1503" s="163"/>
      <c r="M1503" s="164"/>
      <c r="N1503" s="157"/>
      <c r="O1503" s="157"/>
      <c r="P1503" s="157"/>
      <c r="Q1503" s="156" t="s">
        <v>7119</v>
      </c>
    </row>
    <row r="1504" spans="4:17" x14ac:dyDescent="0.25">
      <c r="D1504" s="157" t="s">
        <v>7120</v>
      </c>
      <c r="E1504" s="156" t="s">
        <v>7104</v>
      </c>
      <c r="F1504" s="157"/>
      <c r="G1504" s="156"/>
      <c r="H1504" s="157"/>
      <c r="I1504" s="157"/>
      <c r="J1504" s="156" t="str">
        <f t="shared" si="23"/>
        <v/>
      </c>
      <c r="K1504" s="162"/>
      <c r="L1504" s="163"/>
      <c r="M1504" s="164"/>
      <c r="N1504" s="157"/>
      <c r="O1504" s="157"/>
      <c r="P1504" s="157"/>
      <c r="Q1504" s="156" t="s">
        <v>7121</v>
      </c>
    </row>
    <row r="1505" spans="4:17" x14ac:dyDescent="0.25">
      <c r="D1505" s="157" t="s">
        <v>7122</v>
      </c>
      <c r="E1505" s="156" t="s">
        <v>7104</v>
      </c>
      <c r="F1505" s="157"/>
      <c r="G1505" s="156"/>
      <c r="H1505" s="157"/>
      <c r="I1505" s="157"/>
      <c r="J1505" s="156" t="str">
        <f t="shared" si="23"/>
        <v/>
      </c>
      <c r="K1505" s="162"/>
      <c r="L1505" s="163"/>
      <c r="M1505" s="164"/>
      <c r="N1505" s="157"/>
      <c r="O1505" s="157"/>
      <c r="P1505" s="157"/>
      <c r="Q1505" s="156" t="s">
        <v>7123</v>
      </c>
    </row>
    <row r="1506" spans="4:17" x14ac:dyDescent="0.25">
      <c r="D1506" s="157" t="s">
        <v>7124</v>
      </c>
      <c r="E1506" s="156" t="s">
        <v>7104</v>
      </c>
      <c r="F1506" s="157"/>
      <c r="G1506" s="156"/>
      <c r="H1506" s="157"/>
      <c r="I1506" s="157"/>
      <c r="J1506" s="156" t="str">
        <f t="shared" si="23"/>
        <v/>
      </c>
      <c r="K1506" s="162"/>
      <c r="L1506" s="163"/>
      <c r="M1506" s="164"/>
      <c r="N1506" s="157"/>
      <c r="O1506" s="157"/>
      <c r="P1506" s="157"/>
      <c r="Q1506" s="156" t="s">
        <v>7125</v>
      </c>
    </row>
    <row r="1507" spans="4:17" x14ac:dyDescent="0.25">
      <c r="D1507" s="157" t="s">
        <v>7126</v>
      </c>
      <c r="E1507" s="156" t="s">
        <v>7104</v>
      </c>
      <c r="F1507" s="157"/>
      <c r="G1507" s="156"/>
      <c r="H1507" s="157"/>
      <c r="I1507" s="157"/>
      <c r="J1507" s="156" t="str">
        <f t="shared" si="23"/>
        <v/>
      </c>
      <c r="K1507" s="162"/>
      <c r="L1507" s="163"/>
      <c r="M1507" s="164"/>
      <c r="N1507" s="157"/>
      <c r="O1507" s="157"/>
      <c r="P1507" s="157"/>
      <c r="Q1507" s="156" t="s">
        <v>7127</v>
      </c>
    </row>
    <row r="1508" spans="4:17" x14ac:dyDescent="0.25">
      <c r="D1508" s="157" t="s">
        <v>7128</v>
      </c>
      <c r="E1508" s="156" t="s">
        <v>7104</v>
      </c>
      <c r="F1508" s="157"/>
      <c r="G1508" s="156"/>
      <c r="H1508" s="157"/>
      <c r="I1508" s="157"/>
      <c r="J1508" s="156" t="str">
        <f t="shared" si="23"/>
        <v/>
      </c>
      <c r="K1508" s="162"/>
      <c r="L1508" s="163"/>
      <c r="M1508" s="164"/>
      <c r="N1508" s="157"/>
      <c r="O1508" s="157"/>
      <c r="P1508" s="157"/>
      <c r="Q1508" s="156" t="s">
        <v>7129</v>
      </c>
    </row>
    <row r="1509" spans="4:17" x14ac:dyDescent="0.25">
      <c r="D1509" s="157" t="s">
        <v>7130</v>
      </c>
      <c r="E1509" s="156" t="s">
        <v>7104</v>
      </c>
      <c r="F1509" s="157"/>
      <c r="G1509" s="156"/>
      <c r="H1509" s="157"/>
      <c r="I1509" s="157"/>
      <c r="J1509" s="156" t="str">
        <f t="shared" si="23"/>
        <v/>
      </c>
      <c r="K1509" s="162"/>
      <c r="L1509" s="163"/>
      <c r="M1509" s="164"/>
      <c r="N1509" s="157"/>
      <c r="O1509" s="157"/>
      <c r="P1509" s="157"/>
      <c r="Q1509" s="156" t="s">
        <v>7131</v>
      </c>
    </row>
    <row r="1510" spans="4:17" x14ac:dyDescent="0.25">
      <c r="D1510" s="157" t="s">
        <v>7132</v>
      </c>
      <c r="E1510" s="156" t="s">
        <v>7104</v>
      </c>
      <c r="F1510" s="157"/>
      <c r="G1510" s="156"/>
      <c r="H1510" s="157"/>
      <c r="I1510" s="157"/>
      <c r="J1510" s="156" t="str">
        <f t="shared" si="23"/>
        <v/>
      </c>
      <c r="K1510" s="162"/>
      <c r="L1510" s="163"/>
      <c r="M1510" s="164"/>
      <c r="N1510" s="157"/>
      <c r="O1510" s="157"/>
      <c r="P1510" s="157"/>
      <c r="Q1510" s="156" t="s">
        <v>7133</v>
      </c>
    </row>
    <row r="1511" spans="4:17" x14ac:dyDescent="0.25">
      <c r="D1511" s="157" t="s">
        <v>7134</v>
      </c>
      <c r="E1511" s="156" t="s">
        <v>7104</v>
      </c>
      <c r="F1511" s="157"/>
      <c r="G1511" s="156"/>
      <c r="H1511" s="157"/>
      <c r="I1511" s="157"/>
      <c r="J1511" s="156" t="str">
        <f t="shared" si="23"/>
        <v/>
      </c>
      <c r="K1511" s="162"/>
      <c r="L1511" s="163"/>
      <c r="M1511" s="164"/>
      <c r="N1511" s="157"/>
      <c r="O1511" s="157"/>
      <c r="P1511" s="157"/>
      <c r="Q1511" s="156" t="s">
        <v>7135</v>
      </c>
    </row>
    <row r="1512" spans="4:17" x14ac:dyDescent="0.25">
      <c r="D1512" s="157" t="s">
        <v>7136</v>
      </c>
      <c r="E1512" s="156" t="s">
        <v>7104</v>
      </c>
      <c r="F1512" s="157"/>
      <c r="G1512" s="156"/>
      <c r="H1512" s="157"/>
      <c r="I1512" s="157"/>
      <c r="J1512" s="156" t="str">
        <f t="shared" ref="J1512:J1575" si="24">F1512&amp;H1512&amp;I1512</f>
        <v/>
      </c>
      <c r="K1512" s="162"/>
      <c r="L1512" s="163"/>
      <c r="M1512" s="164"/>
      <c r="N1512" s="157"/>
      <c r="O1512" s="157"/>
      <c r="P1512" s="157"/>
      <c r="Q1512" s="156" t="s">
        <v>7137</v>
      </c>
    </row>
    <row r="1513" spans="4:17" x14ac:dyDescent="0.25">
      <c r="D1513" s="157" t="s">
        <v>7138</v>
      </c>
      <c r="E1513" s="156" t="s">
        <v>7104</v>
      </c>
      <c r="F1513" s="157"/>
      <c r="G1513" s="156"/>
      <c r="H1513" s="157"/>
      <c r="I1513" s="157"/>
      <c r="J1513" s="156" t="str">
        <f t="shared" si="24"/>
        <v/>
      </c>
      <c r="K1513" s="162"/>
      <c r="L1513" s="163"/>
      <c r="M1513" s="164"/>
      <c r="N1513" s="157"/>
      <c r="O1513" s="157"/>
      <c r="P1513" s="157"/>
      <c r="Q1513" s="156" t="s">
        <v>7139</v>
      </c>
    </row>
    <row r="1514" spans="4:17" x14ac:dyDescent="0.25">
      <c r="D1514" s="157" t="s">
        <v>7140</v>
      </c>
      <c r="E1514" s="156" t="s">
        <v>7104</v>
      </c>
      <c r="F1514" s="157"/>
      <c r="G1514" s="156"/>
      <c r="H1514" s="157"/>
      <c r="I1514" s="157"/>
      <c r="J1514" s="156" t="str">
        <f t="shared" si="24"/>
        <v/>
      </c>
      <c r="K1514" s="162"/>
      <c r="L1514" s="163"/>
      <c r="M1514" s="164"/>
      <c r="N1514" s="157"/>
      <c r="O1514" s="157"/>
      <c r="P1514" s="157"/>
      <c r="Q1514" s="156" t="s">
        <v>7141</v>
      </c>
    </row>
    <row r="1515" spans="4:17" x14ac:dyDescent="0.25">
      <c r="D1515" s="157" t="s">
        <v>7142</v>
      </c>
      <c r="E1515" s="156" t="s">
        <v>7104</v>
      </c>
      <c r="F1515" s="157"/>
      <c r="G1515" s="156"/>
      <c r="H1515" s="157"/>
      <c r="I1515" s="157"/>
      <c r="J1515" s="156" t="str">
        <f t="shared" si="24"/>
        <v/>
      </c>
      <c r="K1515" s="162"/>
      <c r="L1515" s="163"/>
      <c r="M1515" s="164"/>
      <c r="N1515" s="157"/>
      <c r="O1515" s="157"/>
      <c r="P1515" s="157"/>
      <c r="Q1515" s="156" t="s">
        <v>7143</v>
      </c>
    </row>
    <row r="1516" spans="4:17" x14ac:dyDescent="0.25">
      <c r="D1516" s="157" t="s">
        <v>7144</v>
      </c>
      <c r="E1516" s="156" t="s">
        <v>7145</v>
      </c>
      <c r="F1516" s="157"/>
      <c r="G1516" s="156"/>
      <c r="H1516" s="157"/>
      <c r="I1516" s="157"/>
      <c r="J1516" s="156" t="str">
        <f t="shared" si="24"/>
        <v/>
      </c>
      <c r="K1516" s="162"/>
      <c r="L1516" s="163"/>
      <c r="M1516" s="164"/>
      <c r="N1516" s="157"/>
      <c r="O1516" s="157"/>
      <c r="P1516" s="157"/>
      <c r="Q1516" s="156" t="s">
        <v>7146</v>
      </c>
    </row>
    <row r="1517" spans="4:17" x14ac:dyDescent="0.25">
      <c r="D1517" s="157" t="s">
        <v>7147</v>
      </c>
      <c r="E1517" s="156" t="s">
        <v>7145</v>
      </c>
      <c r="F1517" s="157"/>
      <c r="G1517" s="156"/>
      <c r="H1517" s="157"/>
      <c r="I1517" s="157"/>
      <c r="J1517" s="156" t="str">
        <f t="shared" si="24"/>
        <v/>
      </c>
      <c r="K1517" s="162"/>
      <c r="L1517" s="163"/>
      <c r="M1517" s="164"/>
      <c r="N1517" s="157"/>
      <c r="O1517" s="157"/>
      <c r="P1517" s="157"/>
      <c r="Q1517" s="156" t="s">
        <v>7148</v>
      </c>
    </row>
    <row r="1518" spans="4:17" x14ac:dyDescent="0.25">
      <c r="D1518" s="157" t="s">
        <v>7149</v>
      </c>
      <c r="E1518" s="156" t="s">
        <v>7145</v>
      </c>
      <c r="F1518" s="157"/>
      <c r="G1518" s="156"/>
      <c r="H1518" s="157"/>
      <c r="I1518" s="157"/>
      <c r="J1518" s="156" t="str">
        <f t="shared" si="24"/>
        <v/>
      </c>
      <c r="K1518" s="162"/>
      <c r="L1518" s="163"/>
      <c r="M1518" s="164"/>
      <c r="N1518" s="157"/>
      <c r="O1518" s="157"/>
      <c r="P1518" s="157"/>
      <c r="Q1518" s="156" t="s">
        <v>7150</v>
      </c>
    </row>
    <row r="1519" spans="4:17" x14ac:dyDescent="0.25">
      <c r="D1519" s="157" t="s">
        <v>7151</v>
      </c>
      <c r="E1519" s="156" t="s">
        <v>7145</v>
      </c>
      <c r="F1519" s="157"/>
      <c r="G1519" s="156"/>
      <c r="H1519" s="157"/>
      <c r="I1519" s="157"/>
      <c r="J1519" s="156" t="str">
        <f t="shared" si="24"/>
        <v/>
      </c>
      <c r="K1519" s="162"/>
      <c r="L1519" s="163"/>
      <c r="M1519" s="164"/>
      <c r="N1519" s="157"/>
      <c r="O1519" s="157"/>
      <c r="P1519" s="157"/>
      <c r="Q1519" s="156" t="s">
        <v>7152</v>
      </c>
    </row>
    <row r="1520" spans="4:17" x14ac:dyDescent="0.25">
      <c r="D1520" s="157" t="s">
        <v>7153</v>
      </c>
      <c r="E1520" s="156" t="s">
        <v>7145</v>
      </c>
      <c r="F1520" s="157"/>
      <c r="G1520" s="156"/>
      <c r="H1520" s="157"/>
      <c r="I1520" s="157"/>
      <c r="J1520" s="156" t="str">
        <f t="shared" si="24"/>
        <v/>
      </c>
      <c r="K1520" s="162"/>
      <c r="L1520" s="163"/>
      <c r="M1520" s="164"/>
      <c r="N1520" s="157"/>
      <c r="O1520" s="157"/>
      <c r="P1520" s="157"/>
      <c r="Q1520" s="156" t="s">
        <v>7154</v>
      </c>
    </row>
    <row r="1521" spans="4:17" x14ac:dyDescent="0.25">
      <c r="D1521" s="157" t="s">
        <v>7155</v>
      </c>
      <c r="E1521" s="156" t="s">
        <v>7145</v>
      </c>
      <c r="F1521" s="157"/>
      <c r="G1521" s="156"/>
      <c r="H1521" s="157"/>
      <c r="I1521" s="157"/>
      <c r="J1521" s="156" t="str">
        <f t="shared" si="24"/>
        <v/>
      </c>
      <c r="K1521" s="162"/>
      <c r="L1521" s="163"/>
      <c r="M1521" s="164"/>
      <c r="N1521" s="157"/>
      <c r="O1521" s="157"/>
      <c r="P1521" s="157"/>
      <c r="Q1521" s="156" t="s">
        <v>7156</v>
      </c>
    </row>
    <row r="1522" spans="4:17" x14ac:dyDescent="0.25">
      <c r="D1522" s="157" t="s">
        <v>7157</v>
      </c>
      <c r="E1522" s="156" t="s">
        <v>7145</v>
      </c>
      <c r="F1522" s="157"/>
      <c r="G1522" s="156"/>
      <c r="H1522" s="157"/>
      <c r="I1522" s="157"/>
      <c r="J1522" s="156" t="str">
        <f t="shared" si="24"/>
        <v/>
      </c>
      <c r="K1522" s="162"/>
      <c r="L1522" s="163"/>
      <c r="M1522" s="164"/>
      <c r="N1522" s="157"/>
      <c r="O1522" s="157"/>
      <c r="P1522" s="157"/>
      <c r="Q1522" s="156" t="s">
        <v>7158</v>
      </c>
    </row>
    <row r="1523" spans="4:17" x14ac:dyDescent="0.25">
      <c r="D1523" s="157" t="s">
        <v>7159</v>
      </c>
      <c r="E1523" s="156" t="s">
        <v>7145</v>
      </c>
      <c r="F1523" s="157"/>
      <c r="G1523" s="156"/>
      <c r="H1523" s="157"/>
      <c r="I1523" s="157"/>
      <c r="J1523" s="156" t="str">
        <f t="shared" si="24"/>
        <v/>
      </c>
      <c r="K1523" s="162"/>
      <c r="L1523" s="163"/>
      <c r="M1523" s="164"/>
      <c r="N1523" s="157"/>
      <c r="O1523" s="157"/>
      <c r="P1523" s="157"/>
      <c r="Q1523" s="156" t="s">
        <v>7160</v>
      </c>
    </row>
    <row r="1524" spans="4:17" x14ac:dyDescent="0.25">
      <c r="D1524" s="157" t="s">
        <v>7161</v>
      </c>
      <c r="E1524" s="156" t="s">
        <v>7145</v>
      </c>
      <c r="F1524" s="157"/>
      <c r="G1524" s="156"/>
      <c r="H1524" s="157"/>
      <c r="I1524" s="157"/>
      <c r="J1524" s="156" t="str">
        <f t="shared" si="24"/>
        <v/>
      </c>
      <c r="K1524" s="162"/>
      <c r="L1524" s="163"/>
      <c r="M1524" s="164"/>
      <c r="N1524" s="157"/>
      <c r="O1524" s="157"/>
      <c r="P1524" s="157"/>
      <c r="Q1524" s="156" t="s">
        <v>7162</v>
      </c>
    </row>
    <row r="1525" spans="4:17" x14ac:dyDescent="0.25">
      <c r="D1525" s="157" t="s">
        <v>7163</v>
      </c>
      <c r="E1525" s="156" t="s">
        <v>7145</v>
      </c>
      <c r="F1525" s="157"/>
      <c r="G1525" s="156"/>
      <c r="H1525" s="157"/>
      <c r="I1525" s="157"/>
      <c r="J1525" s="156" t="str">
        <f t="shared" si="24"/>
        <v/>
      </c>
      <c r="K1525" s="162"/>
      <c r="L1525" s="163"/>
      <c r="M1525" s="164"/>
      <c r="N1525" s="157"/>
      <c r="O1525" s="157"/>
      <c r="P1525" s="157"/>
      <c r="Q1525" s="156" t="s">
        <v>7164</v>
      </c>
    </row>
    <row r="1526" spans="4:17" x14ac:dyDescent="0.25">
      <c r="D1526" s="157" t="s">
        <v>7165</v>
      </c>
      <c r="E1526" s="156" t="s">
        <v>7145</v>
      </c>
      <c r="F1526" s="157"/>
      <c r="G1526" s="156"/>
      <c r="H1526" s="157"/>
      <c r="I1526" s="157"/>
      <c r="J1526" s="156" t="str">
        <f t="shared" si="24"/>
        <v/>
      </c>
      <c r="K1526" s="162"/>
      <c r="L1526" s="163"/>
      <c r="M1526" s="164"/>
      <c r="N1526" s="157"/>
      <c r="O1526" s="157"/>
      <c r="P1526" s="157"/>
      <c r="Q1526" s="156" t="s">
        <v>7166</v>
      </c>
    </row>
    <row r="1527" spans="4:17" x14ac:dyDescent="0.25">
      <c r="D1527" s="157" t="s">
        <v>7167</v>
      </c>
      <c r="E1527" s="156" t="s">
        <v>7145</v>
      </c>
      <c r="F1527" s="157"/>
      <c r="G1527" s="156"/>
      <c r="H1527" s="157"/>
      <c r="I1527" s="157"/>
      <c r="J1527" s="156" t="str">
        <f t="shared" si="24"/>
        <v/>
      </c>
      <c r="K1527" s="162"/>
      <c r="L1527" s="163"/>
      <c r="M1527" s="164"/>
      <c r="N1527" s="157"/>
      <c r="O1527" s="157"/>
      <c r="P1527" s="157"/>
      <c r="Q1527" s="156" t="s">
        <v>7168</v>
      </c>
    </row>
    <row r="1528" spans="4:17" x14ac:dyDescent="0.25">
      <c r="D1528" s="157" t="s">
        <v>7169</v>
      </c>
      <c r="E1528" s="156" t="s">
        <v>7145</v>
      </c>
      <c r="F1528" s="157"/>
      <c r="G1528" s="156"/>
      <c r="H1528" s="157"/>
      <c r="I1528" s="157"/>
      <c r="J1528" s="156" t="str">
        <f t="shared" si="24"/>
        <v/>
      </c>
      <c r="K1528" s="162"/>
      <c r="L1528" s="163"/>
      <c r="M1528" s="164"/>
      <c r="N1528" s="157"/>
      <c r="O1528" s="157"/>
      <c r="P1528" s="157"/>
      <c r="Q1528" s="156" t="s">
        <v>7170</v>
      </c>
    </row>
    <row r="1529" spans="4:17" x14ac:dyDescent="0.25">
      <c r="D1529" s="157" t="s">
        <v>7171</v>
      </c>
      <c r="E1529" s="156" t="s">
        <v>7145</v>
      </c>
      <c r="F1529" s="157"/>
      <c r="G1529" s="156"/>
      <c r="H1529" s="157"/>
      <c r="I1529" s="157"/>
      <c r="J1529" s="156" t="str">
        <f t="shared" si="24"/>
        <v/>
      </c>
      <c r="K1529" s="162"/>
      <c r="L1529" s="163"/>
      <c r="M1529" s="164"/>
      <c r="N1529" s="157"/>
      <c r="O1529" s="157"/>
      <c r="P1529" s="157"/>
      <c r="Q1529" s="156" t="s">
        <v>7172</v>
      </c>
    </row>
    <row r="1530" spans="4:17" x14ac:dyDescent="0.25">
      <c r="D1530" s="157" t="s">
        <v>7173</v>
      </c>
      <c r="E1530" s="156" t="s">
        <v>7145</v>
      </c>
      <c r="F1530" s="157"/>
      <c r="G1530" s="156"/>
      <c r="H1530" s="157"/>
      <c r="I1530" s="157"/>
      <c r="J1530" s="156" t="str">
        <f t="shared" si="24"/>
        <v/>
      </c>
      <c r="K1530" s="162"/>
      <c r="L1530" s="163"/>
      <c r="M1530" s="164"/>
      <c r="N1530" s="157"/>
      <c r="O1530" s="157"/>
      <c r="P1530" s="157"/>
      <c r="Q1530" s="156" t="s">
        <v>7174</v>
      </c>
    </row>
    <row r="1531" spans="4:17" x14ac:dyDescent="0.25">
      <c r="D1531" s="157" t="s">
        <v>7175</v>
      </c>
      <c r="E1531" s="156" t="s">
        <v>7145</v>
      </c>
      <c r="F1531" s="157"/>
      <c r="G1531" s="156"/>
      <c r="H1531" s="157"/>
      <c r="I1531" s="157"/>
      <c r="J1531" s="156" t="str">
        <f t="shared" si="24"/>
        <v/>
      </c>
      <c r="K1531" s="162"/>
      <c r="L1531" s="163"/>
      <c r="M1531" s="164"/>
      <c r="N1531" s="157"/>
      <c r="O1531" s="157"/>
      <c r="P1531" s="157"/>
      <c r="Q1531" s="156" t="s">
        <v>7176</v>
      </c>
    </row>
    <row r="1532" spans="4:17" x14ac:dyDescent="0.25">
      <c r="D1532" s="157" t="s">
        <v>7177</v>
      </c>
      <c r="E1532" s="156" t="s">
        <v>7145</v>
      </c>
      <c r="F1532" s="157"/>
      <c r="G1532" s="156"/>
      <c r="H1532" s="157"/>
      <c r="I1532" s="157"/>
      <c r="J1532" s="156" t="str">
        <f t="shared" si="24"/>
        <v/>
      </c>
      <c r="K1532" s="162"/>
      <c r="L1532" s="163"/>
      <c r="M1532" s="164"/>
      <c r="N1532" s="157"/>
      <c r="O1532" s="157"/>
      <c r="P1532" s="157"/>
      <c r="Q1532" s="156" t="s">
        <v>7178</v>
      </c>
    </row>
    <row r="1533" spans="4:17" x14ac:dyDescent="0.25">
      <c r="D1533" s="157" t="s">
        <v>7179</v>
      </c>
      <c r="E1533" s="156" t="s">
        <v>7145</v>
      </c>
      <c r="F1533" s="157"/>
      <c r="G1533" s="156"/>
      <c r="H1533" s="157"/>
      <c r="I1533" s="157"/>
      <c r="J1533" s="156" t="str">
        <f t="shared" si="24"/>
        <v/>
      </c>
      <c r="K1533" s="162"/>
      <c r="L1533" s="163"/>
      <c r="M1533" s="164"/>
      <c r="N1533" s="157"/>
      <c r="O1533" s="157"/>
      <c r="P1533" s="157"/>
      <c r="Q1533" s="156" t="s">
        <v>7180</v>
      </c>
    </row>
    <row r="1534" spans="4:17" x14ac:dyDescent="0.25">
      <c r="D1534" s="157" t="s">
        <v>7181</v>
      </c>
      <c r="E1534" s="156" t="s">
        <v>7145</v>
      </c>
      <c r="F1534" s="157"/>
      <c r="G1534" s="156"/>
      <c r="H1534" s="157"/>
      <c r="I1534" s="157"/>
      <c r="J1534" s="156" t="str">
        <f t="shared" si="24"/>
        <v/>
      </c>
      <c r="K1534" s="162"/>
      <c r="L1534" s="163"/>
      <c r="M1534" s="164"/>
      <c r="N1534" s="157"/>
      <c r="O1534" s="157"/>
      <c r="P1534" s="157"/>
      <c r="Q1534" s="156" t="s">
        <v>7182</v>
      </c>
    </row>
    <row r="1535" spans="4:17" x14ac:dyDescent="0.25">
      <c r="D1535" s="157" t="s">
        <v>7183</v>
      </c>
      <c r="E1535" s="156" t="s">
        <v>7145</v>
      </c>
      <c r="F1535" s="157"/>
      <c r="G1535" s="156"/>
      <c r="H1535" s="157"/>
      <c r="I1535" s="157"/>
      <c r="J1535" s="156" t="str">
        <f t="shared" si="24"/>
        <v/>
      </c>
      <c r="K1535" s="162"/>
      <c r="L1535" s="163"/>
      <c r="M1535" s="164"/>
      <c r="N1535" s="157"/>
      <c r="O1535" s="157"/>
      <c r="P1535" s="157"/>
      <c r="Q1535" s="156" t="s">
        <v>7184</v>
      </c>
    </row>
    <row r="1536" spans="4:17" x14ac:dyDescent="0.25">
      <c r="D1536" s="157" t="s">
        <v>7185</v>
      </c>
      <c r="E1536" s="156" t="s">
        <v>7186</v>
      </c>
      <c r="F1536" s="157"/>
      <c r="G1536" s="156"/>
      <c r="H1536" s="157"/>
      <c r="I1536" s="157"/>
      <c r="J1536" s="156" t="str">
        <f t="shared" si="24"/>
        <v/>
      </c>
      <c r="K1536" s="162"/>
      <c r="L1536" s="163"/>
      <c r="M1536" s="164"/>
      <c r="N1536" s="157"/>
      <c r="O1536" s="157"/>
      <c r="P1536" s="157"/>
      <c r="Q1536" s="156" t="s">
        <v>7187</v>
      </c>
    </row>
    <row r="1537" spans="4:17" x14ac:dyDescent="0.25">
      <c r="D1537" s="157" t="s">
        <v>7188</v>
      </c>
      <c r="E1537" s="156" t="s">
        <v>7186</v>
      </c>
      <c r="F1537" s="157"/>
      <c r="G1537" s="156"/>
      <c r="H1537" s="157"/>
      <c r="I1537" s="157"/>
      <c r="J1537" s="156" t="str">
        <f t="shared" si="24"/>
        <v/>
      </c>
      <c r="K1537" s="162"/>
      <c r="L1537" s="163"/>
      <c r="M1537" s="164"/>
      <c r="N1537" s="157"/>
      <c r="O1537" s="157"/>
      <c r="P1537" s="157"/>
      <c r="Q1537" s="156" t="s">
        <v>7189</v>
      </c>
    </row>
    <row r="1538" spans="4:17" x14ac:dyDescent="0.25">
      <c r="D1538" s="157" t="s">
        <v>7190</v>
      </c>
      <c r="E1538" s="156" t="s">
        <v>7186</v>
      </c>
      <c r="F1538" s="157"/>
      <c r="G1538" s="156"/>
      <c r="H1538" s="157"/>
      <c r="I1538" s="157"/>
      <c r="J1538" s="156" t="str">
        <f t="shared" si="24"/>
        <v/>
      </c>
      <c r="K1538" s="162"/>
      <c r="L1538" s="163"/>
      <c r="M1538" s="164"/>
      <c r="N1538" s="157"/>
      <c r="O1538" s="157"/>
      <c r="P1538" s="157"/>
      <c r="Q1538" s="156" t="s">
        <v>7191</v>
      </c>
    </row>
    <row r="1539" spans="4:17" x14ac:dyDescent="0.25">
      <c r="D1539" s="157" t="s">
        <v>7192</v>
      </c>
      <c r="E1539" s="156" t="s">
        <v>7186</v>
      </c>
      <c r="F1539" s="157"/>
      <c r="G1539" s="156"/>
      <c r="H1539" s="157"/>
      <c r="I1539" s="157"/>
      <c r="J1539" s="156" t="str">
        <f t="shared" si="24"/>
        <v/>
      </c>
      <c r="K1539" s="162"/>
      <c r="L1539" s="163"/>
      <c r="M1539" s="164"/>
      <c r="N1539" s="157"/>
      <c r="O1539" s="157"/>
      <c r="P1539" s="157"/>
      <c r="Q1539" s="156" t="s">
        <v>7193</v>
      </c>
    </row>
    <row r="1540" spans="4:17" x14ac:dyDescent="0.25">
      <c r="D1540" s="157" t="s">
        <v>7194</v>
      </c>
      <c r="E1540" s="156" t="s">
        <v>7186</v>
      </c>
      <c r="F1540" s="157"/>
      <c r="G1540" s="156"/>
      <c r="H1540" s="157"/>
      <c r="I1540" s="157"/>
      <c r="J1540" s="156" t="str">
        <f t="shared" si="24"/>
        <v/>
      </c>
      <c r="K1540" s="162"/>
      <c r="L1540" s="163"/>
      <c r="M1540" s="164"/>
      <c r="N1540" s="157"/>
      <c r="O1540" s="157"/>
      <c r="P1540" s="157"/>
      <c r="Q1540" s="156" t="s">
        <v>7195</v>
      </c>
    </row>
    <row r="1541" spans="4:17" x14ac:dyDescent="0.25">
      <c r="D1541" s="157" t="s">
        <v>7196</v>
      </c>
      <c r="E1541" s="156" t="s">
        <v>7186</v>
      </c>
      <c r="F1541" s="157"/>
      <c r="G1541" s="156"/>
      <c r="H1541" s="157"/>
      <c r="I1541" s="157"/>
      <c r="J1541" s="156" t="str">
        <f t="shared" si="24"/>
        <v/>
      </c>
      <c r="K1541" s="162"/>
      <c r="L1541" s="163"/>
      <c r="M1541" s="164"/>
      <c r="N1541" s="157"/>
      <c r="O1541" s="157"/>
      <c r="P1541" s="157"/>
      <c r="Q1541" s="156" t="s">
        <v>7197</v>
      </c>
    </row>
    <row r="1542" spans="4:17" x14ac:dyDescent="0.25">
      <c r="D1542" s="157" t="s">
        <v>7198</v>
      </c>
      <c r="E1542" s="156" t="s">
        <v>7186</v>
      </c>
      <c r="F1542" s="157"/>
      <c r="G1542" s="156"/>
      <c r="H1542" s="157"/>
      <c r="I1542" s="157"/>
      <c r="J1542" s="156" t="str">
        <f t="shared" si="24"/>
        <v/>
      </c>
      <c r="K1542" s="162"/>
      <c r="L1542" s="163"/>
      <c r="M1542" s="164"/>
      <c r="N1542" s="157"/>
      <c r="O1542" s="157"/>
      <c r="P1542" s="157"/>
      <c r="Q1542" s="156" t="s">
        <v>7199</v>
      </c>
    </row>
    <row r="1543" spans="4:17" x14ac:dyDescent="0.25">
      <c r="D1543" s="157" t="s">
        <v>7200</v>
      </c>
      <c r="E1543" s="156" t="s">
        <v>7186</v>
      </c>
      <c r="F1543" s="157"/>
      <c r="G1543" s="156"/>
      <c r="H1543" s="157"/>
      <c r="I1543" s="157"/>
      <c r="J1543" s="156" t="str">
        <f t="shared" si="24"/>
        <v/>
      </c>
      <c r="K1543" s="162"/>
      <c r="L1543" s="163"/>
      <c r="M1543" s="164"/>
      <c r="N1543" s="157"/>
      <c r="O1543" s="157"/>
      <c r="P1543" s="157"/>
      <c r="Q1543" s="156" t="s">
        <v>7201</v>
      </c>
    </row>
    <row r="1544" spans="4:17" x14ac:dyDescent="0.25">
      <c r="D1544" s="157" t="s">
        <v>7202</v>
      </c>
      <c r="E1544" s="156" t="s">
        <v>7186</v>
      </c>
      <c r="F1544" s="157"/>
      <c r="G1544" s="156"/>
      <c r="H1544" s="157"/>
      <c r="I1544" s="157"/>
      <c r="J1544" s="156" t="str">
        <f t="shared" si="24"/>
        <v/>
      </c>
      <c r="K1544" s="162"/>
      <c r="L1544" s="163"/>
      <c r="M1544" s="164"/>
      <c r="N1544" s="157"/>
      <c r="O1544" s="157"/>
      <c r="P1544" s="157"/>
      <c r="Q1544" s="156" t="s">
        <v>7203</v>
      </c>
    </row>
    <row r="1545" spans="4:17" x14ac:dyDescent="0.25">
      <c r="D1545" s="157" t="s">
        <v>7204</v>
      </c>
      <c r="E1545" s="156" t="s">
        <v>7186</v>
      </c>
      <c r="F1545" s="157"/>
      <c r="G1545" s="156"/>
      <c r="H1545" s="157"/>
      <c r="I1545" s="157"/>
      <c r="J1545" s="156" t="str">
        <f t="shared" si="24"/>
        <v/>
      </c>
      <c r="K1545" s="162"/>
      <c r="L1545" s="163"/>
      <c r="M1545" s="164"/>
      <c r="N1545" s="157"/>
      <c r="O1545" s="157"/>
      <c r="P1545" s="157"/>
      <c r="Q1545" s="156" t="s">
        <v>7205</v>
      </c>
    </row>
    <row r="1546" spans="4:17" x14ac:dyDescent="0.25">
      <c r="D1546" s="157" t="s">
        <v>7206</v>
      </c>
      <c r="E1546" s="156" t="s">
        <v>7186</v>
      </c>
      <c r="F1546" s="157"/>
      <c r="G1546" s="156"/>
      <c r="H1546" s="157"/>
      <c r="I1546" s="157"/>
      <c r="J1546" s="156" t="str">
        <f t="shared" si="24"/>
        <v/>
      </c>
      <c r="K1546" s="162"/>
      <c r="L1546" s="163"/>
      <c r="M1546" s="164"/>
      <c r="N1546" s="157"/>
      <c r="O1546" s="157"/>
      <c r="P1546" s="157"/>
      <c r="Q1546" s="156" t="s">
        <v>7207</v>
      </c>
    </row>
    <row r="1547" spans="4:17" x14ac:dyDescent="0.25">
      <c r="D1547" s="157" t="s">
        <v>7208</v>
      </c>
      <c r="E1547" s="156" t="s">
        <v>7186</v>
      </c>
      <c r="F1547" s="157"/>
      <c r="G1547" s="156"/>
      <c r="H1547" s="157"/>
      <c r="I1547" s="157"/>
      <c r="J1547" s="156" t="str">
        <f t="shared" si="24"/>
        <v/>
      </c>
      <c r="K1547" s="162"/>
      <c r="L1547" s="163"/>
      <c r="M1547" s="164"/>
      <c r="N1547" s="157"/>
      <c r="O1547" s="157"/>
      <c r="P1547" s="157"/>
      <c r="Q1547" s="156" t="s">
        <v>7209</v>
      </c>
    </row>
    <row r="1548" spans="4:17" x14ac:dyDescent="0.25">
      <c r="D1548" s="157" t="s">
        <v>7210</v>
      </c>
      <c r="E1548" s="156" t="s">
        <v>7186</v>
      </c>
      <c r="F1548" s="157"/>
      <c r="G1548" s="156"/>
      <c r="H1548" s="157"/>
      <c r="I1548" s="157"/>
      <c r="J1548" s="156" t="str">
        <f t="shared" si="24"/>
        <v/>
      </c>
      <c r="K1548" s="162"/>
      <c r="L1548" s="163"/>
      <c r="M1548" s="164"/>
      <c r="N1548" s="157"/>
      <c r="O1548" s="157"/>
      <c r="P1548" s="157"/>
      <c r="Q1548" s="156" t="s">
        <v>7211</v>
      </c>
    </row>
    <row r="1549" spans="4:17" x14ac:dyDescent="0.25">
      <c r="D1549" s="157" t="s">
        <v>7212</v>
      </c>
      <c r="E1549" s="156" t="s">
        <v>7186</v>
      </c>
      <c r="F1549" s="157"/>
      <c r="G1549" s="156"/>
      <c r="H1549" s="157"/>
      <c r="I1549" s="157"/>
      <c r="J1549" s="156" t="str">
        <f t="shared" si="24"/>
        <v/>
      </c>
      <c r="K1549" s="162"/>
      <c r="L1549" s="163"/>
      <c r="M1549" s="164"/>
      <c r="N1549" s="157"/>
      <c r="O1549" s="157"/>
      <c r="P1549" s="157"/>
      <c r="Q1549" s="156" t="s">
        <v>7213</v>
      </c>
    </row>
    <row r="1550" spans="4:17" x14ac:dyDescent="0.25">
      <c r="D1550" s="157" t="s">
        <v>7214</v>
      </c>
      <c r="E1550" s="156" t="s">
        <v>7186</v>
      </c>
      <c r="F1550" s="157"/>
      <c r="G1550" s="156"/>
      <c r="H1550" s="157"/>
      <c r="I1550" s="157"/>
      <c r="J1550" s="156" t="str">
        <f t="shared" si="24"/>
        <v/>
      </c>
      <c r="K1550" s="162"/>
      <c r="L1550" s="163"/>
      <c r="M1550" s="164"/>
      <c r="N1550" s="157"/>
      <c r="O1550" s="157"/>
      <c r="P1550" s="157"/>
      <c r="Q1550" s="156" t="s">
        <v>7215</v>
      </c>
    </row>
    <row r="1551" spans="4:17" x14ac:dyDescent="0.25">
      <c r="D1551" s="157" t="s">
        <v>7216</v>
      </c>
      <c r="E1551" s="156" t="s">
        <v>7186</v>
      </c>
      <c r="F1551" s="157"/>
      <c r="G1551" s="156"/>
      <c r="H1551" s="157"/>
      <c r="I1551" s="157"/>
      <c r="J1551" s="156" t="str">
        <f t="shared" si="24"/>
        <v/>
      </c>
      <c r="K1551" s="162"/>
      <c r="L1551" s="163"/>
      <c r="M1551" s="164"/>
      <c r="N1551" s="157"/>
      <c r="O1551" s="157"/>
      <c r="P1551" s="157"/>
      <c r="Q1551" s="156" t="s">
        <v>7217</v>
      </c>
    </row>
    <row r="1552" spans="4:17" x14ac:dyDescent="0.25">
      <c r="D1552" s="157" t="s">
        <v>7218</v>
      </c>
      <c r="E1552" s="156" t="s">
        <v>7186</v>
      </c>
      <c r="F1552" s="157"/>
      <c r="G1552" s="156"/>
      <c r="H1552" s="157"/>
      <c r="I1552" s="157"/>
      <c r="J1552" s="156" t="str">
        <f t="shared" si="24"/>
        <v/>
      </c>
      <c r="K1552" s="162"/>
      <c r="L1552" s="163"/>
      <c r="M1552" s="164"/>
      <c r="N1552" s="157"/>
      <c r="O1552" s="157"/>
      <c r="P1552" s="157"/>
      <c r="Q1552" s="156" t="s">
        <v>7219</v>
      </c>
    </row>
    <row r="1553" spans="4:17" x14ac:dyDescent="0.25">
      <c r="D1553" s="157" t="s">
        <v>7220</v>
      </c>
      <c r="E1553" s="156" t="s">
        <v>7186</v>
      </c>
      <c r="F1553" s="157"/>
      <c r="G1553" s="156"/>
      <c r="H1553" s="157"/>
      <c r="I1553" s="157"/>
      <c r="J1553" s="156" t="str">
        <f t="shared" si="24"/>
        <v/>
      </c>
      <c r="K1553" s="162"/>
      <c r="L1553" s="163"/>
      <c r="M1553" s="164"/>
      <c r="N1553" s="157"/>
      <c r="O1553" s="157"/>
      <c r="P1553" s="157"/>
      <c r="Q1553" s="156" t="s">
        <v>7221</v>
      </c>
    </row>
    <row r="1554" spans="4:17" x14ac:dyDescent="0.25">
      <c r="D1554" s="157" t="s">
        <v>7222</v>
      </c>
      <c r="E1554" s="156" t="s">
        <v>7186</v>
      </c>
      <c r="F1554" s="157"/>
      <c r="G1554" s="156"/>
      <c r="H1554" s="157"/>
      <c r="I1554" s="157"/>
      <c r="J1554" s="156" t="str">
        <f t="shared" si="24"/>
        <v/>
      </c>
      <c r="K1554" s="162"/>
      <c r="L1554" s="163"/>
      <c r="M1554" s="164"/>
      <c r="N1554" s="157"/>
      <c r="O1554" s="157"/>
      <c r="P1554" s="157"/>
      <c r="Q1554" s="156" t="s">
        <v>7223</v>
      </c>
    </row>
    <row r="1555" spans="4:17" x14ac:dyDescent="0.25">
      <c r="D1555" s="157" t="s">
        <v>7224</v>
      </c>
      <c r="E1555" s="156" t="s">
        <v>7186</v>
      </c>
      <c r="F1555" s="157"/>
      <c r="G1555" s="156"/>
      <c r="H1555" s="157"/>
      <c r="I1555" s="157"/>
      <c r="J1555" s="156" t="str">
        <f t="shared" si="24"/>
        <v/>
      </c>
      <c r="K1555" s="162"/>
      <c r="L1555" s="163"/>
      <c r="M1555" s="164"/>
      <c r="N1555" s="157"/>
      <c r="O1555" s="157"/>
      <c r="P1555" s="157"/>
      <c r="Q1555" s="156" t="s">
        <v>7225</v>
      </c>
    </row>
    <row r="1556" spans="4:17" x14ac:dyDescent="0.25">
      <c r="D1556" s="157" t="s">
        <v>7226</v>
      </c>
      <c r="E1556" s="156" t="s">
        <v>7227</v>
      </c>
      <c r="F1556" s="157"/>
      <c r="G1556" s="156"/>
      <c r="H1556" s="157"/>
      <c r="I1556" s="157"/>
      <c r="J1556" s="156" t="str">
        <f t="shared" si="24"/>
        <v/>
      </c>
      <c r="K1556" s="162"/>
      <c r="L1556" s="163"/>
      <c r="M1556" s="164"/>
      <c r="N1556" s="157"/>
      <c r="O1556" s="157"/>
      <c r="P1556" s="157"/>
      <c r="Q1556" s="156" t="s">
        <v>7228</v>
      </c>
    </row>
    <row r="1557" spans="4:17" x14ac:dyDescent="0.25">
      <c r="D1557" s="157" t="s">
        <v>7229</v>
      </c>
      <c r="E1557" s="156" t="s">
        <v>7227</v>
      </c>
      <c r="F1557" s="157"/>
      <c r="G1557" s="156"/>
      <c r="H1557" s="157"/>
      <c r="I1557" s="157"/>
      <c r="J1557" s="156" t="str">
        <f t="shared" si="24"/>
        <v/>
      </c>
      <c r="K1557" s="162"/>
      <c r="L1557" s="163"/>
      <c r="M1557" s="164"/>
      <c r="N1557" s="157"/>
      <c r="O1557" s="157"/>
      <c r="P1557" s="157"/>
      <c r="Q1557" s="156" t="s">
        <v>7230</v>
      </c>
    </row>
    <row r="1558" spans="4:17" x14ac:dyDescent="0.25">
      <c r="D1558" s="157" t="s">
        <v>7231</v>
      </c>
      <c r="E1558" s="156" t="s">
        <v>7227</v>
      </c>
      <c r="F1558" s="157"/>
      <c r="G1558" s="156"/>
      <c r="H1558" s="157"/>
      <c r="I1558" s="157"/>
      <c r="J1558" s="156" t="str">
        <f t="shared" si="24"/>
        <v/>
      </c>
      <c r="K1558" s="162"/>
      <c r="L1558" s="163"/>
      <c r="M1558" s="164"/>
      <c r="N1558" s="157"/>
      <c r="O1558" s="157"/>
      <c r="P1558" s="157"/>
      <c r="Q1558" s="156" t="s">
        <v>7232</v>
      </c>
    </row>
    <row r="1559" spans="4:17" x14ac:dyDescent="0.25">
      <c r="D1559" s="157" t="s">
        <v>7233</v>
      </c>
      <c r="E1559" s="156" t="s">
        <v>7227</v>
      </c>
      <c r="F1559" s="157"/>
      <c r="G1559" s="156"/>
      <c r="H1559" s="157"/>
      <c r="I1559" s="157"/>
      <c r="J1559" s="156" t="str">
        <f t="shared" si="24"/>
        <v/>
      </c>
      <c r="K1559" s="162"/>
      <c r="L1559" s="163"/>
      <c r="M1559" s="164"/>
      <c r="N1559" s="157"/>
      <c r="O1559" s="157"/>
      <c r="P1559" s="157"/>
      <c r="Q1559" s="156" t="s">
        <v>7234</v>
      </c>
    </row>
    <row r="1560" spans="4:17" x14ac:dyDescent="0.25">
      <c r="D1560" s="157" t="s">
        <v>7235</v>
      </c>
      <c r="E1560" s="156" t="s">
        <v>7227</v>
      </c>
      <c r="F1560" s="157"/>
      <c r="G1560" s="156"/>
      <c r="H1560" s="157"/>
      <c r="I1560" s="157"/>
      <c r="J1560" s="156" t="str">
        <f t="shared" si="24"/>
        <v/>
      </c>
      <c r="K1560" s="162"/>
      <c r="L1560" s="163"/>
      <c r="M1560" s="164"/>
      <c r="N1560" s="157"/>
      <c r="O1560" s="157"/>
      <c r="P1560" s="157"/>
      <c r="Q1560" s="156" t="s">
        <v>7236</v>
      </c>
    </row>
    <row r="1561" spans="4:17" x14ac:dyDescent="0.25">
      <c r="D1561" s="157" t="s">
        <v>7237</v>
      </c>
      <c r="E1561" s="156" t="s">
        <v>7227</v>
      </c>
      <c r="F1561" s="157"/>
      <c r="G1561" s="156"/>
      <c r="H1561" s="157"/>
      <c r="I1561" s="157"/>
      <c r="J1561" s="156" t="str">
        <f t="shared" si="24"/>
        <v/>
      </c>
      <c r="K1561" s="162"/>
      <c r="L1561" s="163"/>
      <c r="M1561" s="164"/>
      <c r="N1561" s="157"/>
      <c r="O1561" s="157"/>
      <c r="P1561" s="157"/>
      <c r="Q1561" s="156" t="s">
        <v>7238</v>
      </c>
    </row>
    <row r="1562" spans="4:17" x14ac:dyDescent="0.25">
      <c r="D1562" s="157" t="s">
        <v>7239</v>
      </c>
      <c r="E1562" s="156" t="s">
        <v>7227</v>
      </c>
      <c r="F1562" s="157"/>
      <c r="G1562" s="156"/>
      <c r="H1562" s="157"/>
      <c r="I1562" s="157"/>
      <c r="J1562" s="156" t="str">
        <f t="shared" si="24"/>
        <v/>
      </c>
      <c r="K1562" s="162"/>
      <c r="L1562" s="163"/>
      <c r="M1562" s="164"/>
      <c r="N1562" s="157"/>
      <c r="O1562" s="157"/>
      <c r="P1562" s="157"/>
      <c r="Q1562" s="156" t="s">
        <v>7240</v>
      </c>
    </row>
    <row r="1563" spans="4:17" x14ac:dyDescent="0.25">
      <c r="D1563" s="157" t="s">
        <v>7241</v>
      </c>
      <c r="E1563" s="156" t="s">
        <v>7227</v>
      </c>
      <c r="F1563" s="157"/>
      <c r="G1563" s="156"/>
      <c r="H1563" s="157"/>
      <c r="I1563" s="157"/>
      <c r="J1563" s="156" t="str">
        <f t="shared" si="24"/>
        <v/>
      </c>
      <c r="K1563" s="162"/>
      <c r="L1563" s="163"/>
      <c r="M1563" s="164"/>
      <c r="N1563" s="157"/>
      <c r="O1563" s="157"/>
      <c r="P1563" s="157"/>
      <c r="Q1563" s="156" t="s">
        <v>7242</v>
      </c>
    </row>
    <row r="1564" spans="4:17" x14ac:dyDescent="0.25">
      <c r="D1564" s="157" t="s">
        <v>7243</v>
      </c>
      <c r="E1564" s="156" t="s">
        <v>7227</v>
      </c>
      <c r="F1564" s="157"/>
      <c r="G1564" s="156"/>
      <c r="H1564" s="157"/>
      <c r="I1564" s="157"/>
      <c r="J1564" s="156" t="str">
        <f t="shared" si="24"/>
        <v/>
      </c>
      <c r="K1564" s="162"/>
      <c r="L1564" s="163"/>
      <c r="M1564" s="164"/>
      <c r="N1564" s="157"/>
      <c r="O1564" s="157"/>
      <c r="P1564" s="157"/>
      <c r="Q1564" s="156" t="s">
        <v>7244</v>
      </c>
    </row>
    <row r="1565" spans="4:17" x14ac:dyDescent="0.25">
      <c r="D1565" s="157" t="s">
        <v>7245</v>
      </c>
      <c r="E1565" s="156" t="s">
        <v>7227</v>
      </c>
      <c r="F1565" s="157"/>
      <c r="G1565" s="156"/>
      <c r="H1565" s="157"/>
      <c r="I1565" s="157"/>
      <c r="J1565" s="156" t="str">
        <f t="shared" si="24"/>
        <v/>
      </c>
      <c r="K1565" s="162"/>
      <c r="L1565" s="163"/>
      <c r="M1565" s="164"/>
      <c r="N1565" s="157"/>
      <c r="O1565" s="157"/>
      <c r="P1565" s="157"/>
      <c r="Q1565" s="156" t="s">
        <v>7246</v>
      </c>
    </row>
    <row r="1566" spans="4:17" x14ac:dyDescent="0.25">
      <c r="D1566" s="157" t="s">
        <v>7247</v>
      </c>
      <c r="E1566" s="156" t="s">
        <v>7227</v>
      </c>
      <c r="F1566" s="157"/>
      <c r="G1566" s="156"/>
      <c r="H1566" s="157"/>
      <c r="I1566" s="157"/>
      <c r="J1566" s="156" t="str">
        <f t="shared" si="24"/>
        <v/>
      </c>
      <c r="K1566" s="162"/>
      <c r="L1566" s="163"/>
      <c r="M1566" s="164"/>
      <c r="N1566" s="157"/>
      <c r="O1566" s="157"/>
      <c r="P1566" s="157"/>
      <c r="Q1566" s="156" t="s">
        <v>7248</v>
      </c>
    </row>
    <row r="1567" spans="4:17" x14ac:dyDescent="0.25">
      <c r="D1567" s="157" t="s">
        <v>7249</v>
      </c>
      <c r="E1567" s="156" t="s">
        <v>7227</v>
      </c>
      <c r="F1567" s="157"/>
      <c r="G1567" s="156"/>
      <c r="H1567" s="157"/>
      <c r="I1567" s="157"/>
      <c r="J1567" s="156" t="str">
        <f t="shared" si="24"/>
        <v/>
      </c>
      <c r="K1567" s="162"/>
      <c r="L1567" s="163"/>
      <c r="M1567" s="164"/>
      <c r="N1567" s="157"/>
      <c r="O1567" s="157"/>
      <c r="P1567" s="157"/>
      <c r="Q1567" s="156" t="s">
        <v>7250</v>
      </c>
    </row>
    <row r="1568" spans="4:17" x14ac:dyDescent="0.25">
      <c r="D1568" s="157" t="s">
        <v>7251</v>
      </c>
      <c r="E1568" s="156" t="s">
        <v>7227</v>
      </c>
      <c r="F1568" s="157"/>
      <c r="G1568" s="156"/>
      <c r="H1568" s="157"/>
      <c r="I1568" s="157"/>
      <c r="J1568" s="156" t="str">
        <f t="shared" si="24"/>
        <v/>
      </c>
      <c r="K1568" s="162"/>
      <c r="L1568" s="163"/>
      <c r="M1568" s="164"/>
      <c r="N1568" s="157"/>
      <c r="O1568" s="157"/>
      <c r="P1568" s="157"/>
      <c r="Q1568" s="156" t="s">
        <v>7252</v>
      </c>
    </row>
    <row r="1569" spans="4:17" x14ac:dyDescent="0.25">
      <c r="D1569" s="157" t="s">
        <v>7253</v>
      </c>
      <c r="E1569" s="156" t="s">
        <v>7227</v>
      </c>
      <c r="F1569" s="157"/>
      <c r="G1569" s="156"/>
      <c r="H1569" s="157"/>
      <c r="I1569" s="157"/>
      <c r="J1569" s="156" t="str">
        <f t="shared" si="24"/>
        <v/>
      </c>
      <c r="K1569" s="162"/>
      <c r="L1569" s="163"/>
      <c r="M1569" s="164"/>
      <c r="N1569" s="157"/>
      <c r="O1569" s="157"/>
      <c r="P1569" s="157"/>
      <c r="Q1569" s="156" t="s">
        <v>7254</v>
      </c>
    </row>
    <row r="1570" spans="4:17" x14ac:dyDescent="0.25">
      <c r="D1570" s="157" t="s">
        <v>7255</v>
      </c>
      <c r="E1570" s="156" t="s">
        <v>7227</v>
      </c>
      <c r="F1570" s="157"/>
      <c r="G1570" s="156"/>
      <c r="H1570" s="157"/>
      <c r="I1570" s="157"/>
      <c r="J1570" s="156" t="str">
        <f t="shared" si="24"/>
        <v/>
      </c>
      <c r="K1570" s="162"/>
      <c r="L1570" s="163"/>
      <c r="M1570" s="164"/>
      <c r="N1570" s="157"/>
      <c r="O1570" s="157"/>
      <c r="P1570" s="157"/>
      <c r="Q1570" s="156" t="s">
        <v>7256</v>
      </c>
    </row>
    <row r="1571" spans="4:17" x14ac:dyDescent="0.25">
      <c r="D1571" s="157" t="s">
        <v>7257</v>
      </c>
      <c r="E1571" s="156" t="s">
        <v>7227</v>
      </c>
      <c r="F1571" s="157"/>
      <c r="G1571" s="156"/>
      <c r="H1571" s="157"/>
      <c r="I1571" s="157"/>
      <c r="J1571" s="156" t="str">
        <f t="shared" si="24"/>
        <v/>
      </c>
      <c r="K1571" s="162"/>
      <c r="L1571" s="163"/>
      <c r="M1571" s="164"/>
      <c r="N1571" s="157"/>
      <c r="O1571" s="157"/>
      <c r="P1571" s="157"/>
      <c r="Q1571" s="156" t="s">
        <v>7258</v>
      </c>
    </row>
    <row r="1572" spans="4:17" x14ac:dyDescent="0.25">
      <c r="D1572" s="157" t="s">
        <v>7259</v>
      </c>
      <c r="E1572" s="156" t="s">
        <v>7227</v>
      </c>
      <c r="F1572" s="157"/>
      <c r="G1572" s="156"/>
      <c r="H1572" s="157"/>
      <c r="I1572" s="157"/>
      <c r="J1572" s="156" t="str">
        <f t="shared" si="24"/>
        <v/>
      </c>
      <c r="K1572" s="162"/>
      <c r="L1572" s="163"/>
      <c r="M1572" s="164"/>
      <c r="N1572" s="157"/>
      <c r="O1572" s="157"/>
      <c r="P1572" s="157"/>
      <c r="Q1572" s="156" t="s">
        <v>7260</v>
      </c>
    </row>
    <row r="1573" spans="4:17" x14ac:dyDescent="0.25">
      <c r="D1573" s="157" t="s">
        <v>7261</v>
      </c>
      <c r="E1573" s="156" t="s">
        <v>7227</v>
      </c>
      <c r="F1573" s="157"/>
      <c r="G1573" s="156"/>
      <c r="H1573" s="157"/>
      <c r="I1573" s="157"/>
      <c r="J1573" s="156" t="str">
        <f t="shared" si="24"/>
        <v/>
      </c>
      <c r="K1573" s="162"/>
      <c r="L1573" s="163"/>
      <c r="M1573" s="164"/>
      <c r="N1573" s="157"/>
      <c r="O1573" s="157"/>
      <c r="P1573" s="157"/>
      <c r="Q1573" s="156" t="s">
        <v>7262</v>
      </c>
    </row>
    <row r="1574" spans="4:17" x14ac:dyDescent="0.25">
      <c r="D1574" s="157" t="s">
        <v>7263</v>
      </c>
      <c r="E1574" s="156" t="s">
        <v>7227</v>
      </c>
      <c r="F1574" s="157"/>
      <c r="G1574" s="156"/>
      <c r="H1574" s="157"/>
      <c r="I1574" s="157"/>
      <c r="J1574" s="156" t="str">
        <f t="shared" si="24"/>
        <v/>
      </c>
      <c r="K1574" s="162"/>
      <c r="L1574" s="163"/>
      <c r="M1574" s="164"/>
      <c r="N1574" s="157"/>
      <c r="O1574" s="157"/>
      <c r="P1574" s="157"/>
      <c r="Q1574" s="156" t="s">
        <v>7264</v>
      </c>
    </row>
    <row r="1575" spans="4:17" x14ac:dyDescent="0.25">
      <c r="D1575" s="157" t="s">
        <v>7265</v>
      </c>
      <c r="E1575" s="156" t="s">
        <v>7227</v>
      </c>
      <c r="F1575" s="157"/>
      <c r="G1575" s="156"/>
      <c r="H1575" s="157"/>
      <c r="I1575" s="157"/>
      <c r="J1575" s="156" t="str">
        <f t="shared" si="24"/>
        <v/>
      </c>
      <c r="K1575" s="162"/>
      <c r="L1575" s="163"/>
      <c r="M1575" s="164"/>
      <c r="N1575" s="157"/>
      <c r="O1575" s="157"/>
      <c r="P1575" s="157"/>
      <c r="Q1575" s="156" t="s">
        <v>7266</v>
      </c>
    </row>
    <row r="1576" spans="4:17" x14ac:dyDescent="0.25">
      <c r="D1576" s="157" t="s">
        <v>7267</v>
      </c>
      <c r="E1576" s="156" t="s">
        <v>7268</v>
      </c>
      <c r="F1576" s="157"/>
      <c r="G1576" s="156"/>
      <c r="H1576" s="157"/>
      <c r="I1576" s="157"/>
      <c r="J1576" s="156" t="str">
        <f t="shared" ref="J1576:J1639" si="25">F1576&amp;H1576&amp;I1576</f>
        <v/>
      </c>
      <c r="K1576" s="162"/>
      <c r="L1576" s="163"/>
      <c r="M1576" s="164"/>
      <c r="N1576" s="157"/>
      <c r="O1576" s="157"/>
      <c r="P1576" s="157"/>
      <c r="Q1576" s="156" t="s">
        <v>7269</v>
      </c>
    </row>
    <row r="1577" spans="4:17" x14ac:dyDescent="0.25">
      <c r="D1577" s="157" t="s">
        <v>7270</v>
      </c>
      <c r="E1577" s="156" t="s">
        <v>7268</v>
      </c>
      <c r="F1577" s="157"/>
      <c r="G1577" s="156"/>
      <c r="H1577" s="157"/>
      <c r="I1577" s="157"/>
      <c r="J1577" s="156" t="str">
        <f t="shared" si="25"/>
        <v/>
      </c>
      <c r="K1577" s="162"/>
      <c r="L1577" s="163"/>
      <c r="M1577" s="164"/>
      <c r="N1577" s="157"/>
      <c r="O1577" s="157"/>
      <c r="P1577" s="157"/>
      <c r="Q1577" s="156" t="s">
        <v>7271</v>
      </c>
    </row>
    <row r="1578" spans="4:17" x14ac:dyDescent="0.25">
      <c r="D1578" s="157" t="s">
        <v>7272</v>
      </c>
      <c r="E1578" s="156" t="s">
        <v>7268</v>
      </c>
      <c r="F1578" s="157"/>
      <c r="G1578" s="156"/>
      <c r="H1578" s="157"/>
      <c r="I1578" s="157"/>
      <c r="J1578" s="156" t="str">
        <f t="shared" si="25"/>
        <v/>
      </c>
      <c r="K1578" s="162"/>
      <c r="L1578" s="163"/>
      <c r="M1578" s="164"/>
      <c r="N1578" s="157"/>
      <c r="O1578" s="157"/>
      <c r="P1578" s="157"/>
      <c r="Q1578" s="156" t="s">
        <v>7273</v>
      </c>
    </row>
    <row r="1579" spans="4:17" x14ac:dyDescent="0.25">
      <c r="D1579" s="157" t="s">
        <v>7274</v>
      </c>
      <c r="E1579" s="156" t="s">
        <v>7268</v>
      </c>
      <c r="F1579" s="157"/>
      <c r="G1579" s="156"/>
      <c r="H1579" s="157"/>
      <c r="I1579" s="157"/>
      <c r="J1579" s="156" t="str">
        <f t="shared" si="25"/>
        <v/>
      </c>
      <c r="K1579" s="162"/>
      <c r="L1579" s="163"/>
      <c r="M1579" s="164"/>
      <c r="N1579" s="157"/>
      <c r="O1579" s="157"/>
      <c r="P1579" s="157"/>
      <c r="Q1579" s="156" t="s">
        <v>7275</v>
      </c>
    </row>
    <row r="1580" spans="4:17" x14ac:dyDescent="0.25">
      <c r="D1580" s="157" t="s">
        <v>7276</v>
      </c>
      <c r="E1580" s="156" t="s">
        <v>7268</v>
      </c>
      <c r="F1580" s="157"/>
      <c r="G1580" s="156"/>
      <c r="H1580" s="157"/>
      <c r="I1580" s="157"/>
      <c r="J1580" s="156" t="str">
        <f t="shared" si="25"/>
        <v/>
      </c>
      <c r="K1580" s="162"/>
      <c r="L1580" s="163"/>
      <c r="M1580" s="164"/>
      <c r="N1580" s="157"/>
      <c r="O1580" s="157"/>
      <c r="P1580" s="157"/>
      <c r="Q1580" s="156" t="s">
        <v>7277</v>
      </c>
    </row>
    <row r="1581" spans="4:17" x14ac:dyDescent="0.25">
      <c r="D1581" s="157" t="s">
        <v>7278</v>
      </c>
      <c r="E1581" s="156" t="s">
        <v>7268</v>
      </c>
      <c r="F1581" s="157"/>
      <c r="G1581" s="156"/>
      <c r="H1581" s="157"/>
      <c r="I1581" s="157"/>
      <c r="J1581" s="156" t="str">
        <f t="shared" si="25"/>
        <v/>
      </c>
      <c r="K1581" s="162"/>
      <c r="L1581" s="163"/>
      <c r="M1581" s="164"/>
      <c r="N1581" s="157"/>
      <c r="O1581" s="157"/>
      <c r="P1581" s="157"/>
      <c r="Q1581" s="156" t="s">
        <v>7279</v>
      </c>
    </row>
    <row r="1582" spans="4:17" x14ac:dyDescent="0.25">
      <c r="D1582" s="157" t="s">
        <v>7280</v>
      </c>
      <c r="E1582" s="156" t="s">
        <v>7268</v>
      </c>
      <c r="F1582" s="157"/>
      <c r="G1582" s="156"/>
      <c r="H1582" s="157"/>
      <c r="I1582" s="157"/>
      <c r="J1582" s="156" t="str">
        <f t="shared" si="25"/>
        <v/>
      </c>
      <c r="K1582" s="162"/>
      <c r="L1582" s="163"/>
      <c r="M1582" s="164"/>
      <c r="N1582" s="157"/>
      <c r="O1582" s="157"/>
      <c r="P1582" s="157"/>
      <c r="Q1582" s="156" t="s">
        <v>7281</v>
      </c>
    </row>
    <row r="1583" spans="4:17" x14ac:dyDescent="0.25">
      <c r="D1583" s="157" t="s">
        <v>7282</v>
      </c>
      <c r="E1583" s="156" t="s">
        <v>7268</v>
      </c>
      <c r="F1583" s="157"/>
      <c r="G1583" s="156"/>
      <c r="H1583" s="157"/>
      <c r="I1583" s="157"/>
      <c r="J1583" s="156" t="str">
        <f t="shared" si="25"/>
        <v/>
      </c>
      <c r="K1583" s="162"/>
      <c r="L1583" s="163"/>
      <c r="M1583" s="164"/>
      <c r="N1583" s="157"/>
      <c r="O1583" s="157"/>
      <c r="P1583" s="157"/>
      <c r="Q1583" s="156" t="s">
        <v>7283</v>
      </c>
    </row>
    <row r="1584" spans="4:17" x14ac:dyDescent="0.25">
      <c r="D1584" s="157" t="s">
        <v>7284</v>
      </c>
      <c r="E1584" s="156" t="s">
        <v>7268</v>
      </c>
      <c r="F1584" s="157"/>
      <c r="G1584" s="156"/>
      <c r="H1584" s="157"/>
      <c r="I1584" s="157"/>
      <c r="J1584" s="156" t="str">
        <f t="shared" si="25"/>
        <v/>
      </c>
      <c r="K1584" s="162"/>
      <c r="L1584" s="163"/>
      <c r="M1584" s="164"/>
      <c r="N1584" s="157"/>
      <c r="O1584" s="157"/>
      <c r="P1584" s="157"/>
      <c r="Q1584" s="156" t="s">
        <v>7285</v>
      </c>
    </row>
    <row r="1585" spans="4:17" x14ac:dyDescent="0.25">
      <c r="D1585" s="157" t="s">
        <v>7286</v>
      </c>
      <c r="E1585" s="156" t="s">
        <v>7268</v>
      </c>
      <c r="F1585" s="157"/>
      <c r="G1585" s="156"/>
      <c r="H1585" s="157"/>
      <c r="I1585" s="157"/>
      <c r="J1585" s="156" t="str">
        <f t="shared" si="25"/>
        <v/>
      </c>
      <c r="K1585" s="162"/>
      <c r="L1585" s="163"/>
      <c r="M1585" s="164"/>
      <c r="N1585" s="157"/>
      <c r="O1585" s="157"/>
      <c r="P1585" s="157"/>
      <c r="Q1585" s="156" t="s">
        <v>7287</v>
      </c>
    </row>
    <row r="1586" spans="4:17" x14ac:dyDescent="0.25">
      <c r="D1586" s="157" t="s">
        <v>7288</v>
      </c>
      <c r="E1586" s="156" t="s">
        <v>7268</v>
      </c>
      <c r="F1586" s="157"/>
      <c r="G1586" s="156"/>
      <c r="H1586" s="157"/>
      <c r="I1586" s="157"/>
      <c r="J1586" s="156" t="str">
        <f t="shared" si="25"/>
        <v/>
      </c>
      <c r="K1586" s="162"/>
      <c r="L1586" s="163"/>
      <c r="M1586" s="164"/>
      <c r="N1586" s="157"/>
      <c r="O1586" s="157"/>
      <c r="P1586" s="157"/>
      <c r="Q1586" s="156" t="s">
        <v>7289</v>
      </c>
    </row>
    <row r="1587" spans="4:17" x14ac:dyDescent="0.25">
      <c r="D1587" s="157" t="s">
        <v>7290</v>
      </c>
      <c r="E1587" s="156" t="s">
        <v>7268</v>
      </c>
      <c r="F1587" s="157"/>
      <c r="G1587" s="156"/>
      <c r="H1587" s="157"/>
      <c r="I1587" s="157"/>
      <c r="J1587" s="156" t="str">
        <f t="shared" si="25"/>
        <v/>
      </c>
      <c r="K1587" s="162"/>
      <c r="L1587" s="163"/>
      <c r="M1587" s="164"/>
      <c r="N1587" s="157"/>
      <c r="O1587" s="157"/>
      <c r="P1587" s="157"/>
      <c r="Q1587" s="156" t="s">
        <v>7291</v>
      </c>
    </row>
    <row r="1588" spans="4:17" x14ac:dyDescent="0.25">
      <c r="D1588" s="157" t="s">
        <v>7292</v>
      </c>
      <c r="E1588" s="156" t="s">
        <v>7268</v>
      </c>
      <c r="F1588" s="157"/>
      <c r="G1588" s="156"/>
      <c r="H1588" s="157"/>
      <c r="I1588" s="157"/>
      <c r="J1588" s="156" t="str">
        <f t="shared" si="25"/>
        <v/>
      </c>
      <c r="K1588" s="162"/>
      <c r="L1588" s="163"/>
      <c r="M1588" s="164"/>
      <c r="N1588" s="157"/>
      <c r="O1588" s="157"/>
      <c r="P1588" s="157"/>
      <c r="Q1588" s="156" t="s">
        <v>7293</v>
      </c>
    </row>
    <row r="1589" spans="4:17" x14ac:dyDescent="0.25">
      <c r="D1589" s="157" t="s">
        <v>7294</v>
      </c>
      <c r="E1589" s="156" t="s">
        <v>7268</v>
      </c>
      <c r="F1589" s="157"/>
      <c r="G1589" s="156"/>
      <c r="H1589" s="157"/>
      <c r="I1589" s="157"/>
      <c r="J1589" s="156" t="str">
        <f t="shared" si="25"/>
        <v/>
      </c>
      <c r="K1589" s="162"/>
      <c r="L1589" s="163"/>
      <c r="M1589" s="164"/>
      <c r="N1589" s="157"/>
      <c r="O1589" s="157"/>
      <c r="P1589" s="157"/>
      <c r="Q1589" s="156" t="s">
        <v>7295</v>
      </c>
    </row>
    <row r="1590" spans="4:17" x14ac:dyDescent="0.25">
      <c r="D1590" s="157" t="s">
        <v>7296</v>
      </c>
      <c r="E1590" s="156" t="s">
        <v>7268</v>
      </c>
      <c r="F1590" s="157"/>
      <c r="G1590" s="156"/>
      <c r="H1590" s="157"/>
      <c r="I1590" s="157"/>
      <c r="J1590" s="156" t="str">
        <f t="shared" si="25"/>
        <v/>
      </c>
      <c r="K1590" s="162"/>
      <c r="L1590" s="163"/>
      <c r="M1590" s="164"/>
      <c r="N1590" s="157"/>
      <c r="O1590" s="157"/>
      <c r="P1590" s="157"/>
      <c r="Q1590" s="156" t="s">
        <v>7297</v>
      </c>
    </row>
    <row r="1591" spans="4:17" x14ac:dyDescent="0.25">
      <c r="D1591" s="157" t="s">
        <v>7298</v>
      </c>
      <c r="E1591" s="156" t="s">
        <v>7268</v>
      </c>
      <c r="F1591" s="157"/>
      <c r="G1591" s="156"/>
      <c r="H1591" s="157"/>
      <c r="I1591" s="157"/>
      <c r="J1591" s="156" t="str">
        <f t="shared" si="25"/>
        <v/>
      </c>
      <c r="K1591" s="162"/>
      <c r="L1591" s="163"/>
      <c r="M1591" s="164"/>
      <c r="N1591" s="157"/>
      <c r="O1591" s="157"/>
      <c r="P1591" s="157"/>
      <c r="Q1591" s="156" t="s">
        <v>7299</v>
      </c>
    </row>
    <row r="1592" spans="4:17" x14ac:dyDescent="0.25">
      <c r="D1592" s="157" t="s">
        <v>7300</v>
      </c>
      <c r="E1592" s="156" t="s">
        <v>7268</v>
      </c>
      <c r="F1592" s="157"/>
      <c r="G1592" s="156"/>
      <c r="H1592" s="157"/>
      <c r="I1592" s="157"/>
      <c r="J1592" s="156" t="str">
        <f t="shared" si="25"/>
        <v/>
      </c>
      <c r="K1592" s="162"/>
      <c r="L1592" s="163"/>
      <c r="M1592" s="164"/>
      <c r="N1592" s="157"/>
      <c r="O1592" s="157"/>
      <c r="P1592" s="157"/>
      <c r="Q1592" s="156" t="s">
        <v>7301</v>
      </c>
    </row>
    <row r="1593" spans="4:17" x14ac:dyDescent="0.25">
      <c r="D1593" s="157" t="s">
        <v>7302</v>
      </c>
      <c r="E1593" s="156" t="s">
        <v>7268</v>
      </c>
      <c r="F1593" s="157"/>
      <c r="G1593" s="156"/>
      <c r="H1593" s="157"/>
      <c r="I1593" s="157"/>
      <c r="J1593" s="156" t="str">
        <f t="shared" si="25"/>
        <v/>
      </c>
      <c r="K1593" s="162"/>
      <c r="L1593" s="163"/>
      <c r="M1593" s="164"/>
      <c r="N1593" s="157"/>
      <c r="O1593" s="157"/>
      <c r="P1593" s="157"/>
      <c r="Q1593" s="156" t="s">
        <v>7303</v>
      </c>
    </row>
    <row r="1594" spans="4:17" x14ac:dyDescent="0.25">
      <c r="D1594" s="157" t="s">
        <v>7304</v>
      </c>
      <c r="E1594" s="156" t="s">
        <v>7268</v>
      </c>
      <c r="F1594" s="157"/>
      <c r="G1594" s="156"/>
      <c r="H1594" s="157"/>
      <c r="I1594" s="157"/>
      <c r="J1594" s="156" t="str">
        <f t="shared" si="25"/>
        <v/>
      </c>
      <c r="K1594" s="162"/>
      <c r="L1594" s="163"/>
      <c r="M1594" s="164"/>
      <c r="N1594" s="157"/>
      <c r="O1594" s="157"/>
      <c r="P1594" s="157"/>
      <c r="Q1594" s="156" t="s">
        <v>7305</v>
      </c>
    </row>
    <row r="1595" spans="4:17" x14ac:dyDescent="0.25">
      <c r="D1595" s="157" t="s">
        <v>7306</v>
      </c>
      <c r="E1595" s="156" t="s">
        <v>7268</v>
      </c>
      <c r="F1595" s="157"/>
      <c r="G1595" s="156"/>
      <c r="H1595" s="157"/>
      <c r="I1595" s="157"/>
      <c r="J1595" s="156" t="str">
        <f t="shared" si="25"/>
        <v/>
      </c>
      <c r="K1595" s="162"/>
      <c r="L1595" s="163"/>
      <c r="M1595" s="164"/>
      <c r="N1595" s="157"/>
      <c r="O1595" s="157"/>
      <c r="P1595" s="157"/>
      <c r="Q1595" s="156" t="s">
        <v>7307</v>
      </c>
    </row>
    <row r="1596" spans="4:17" x14ac:dyDescent="0.25">
      <c r="D1596" s="157" t="s">
        <v>7308</v>
      </c>
      <c r="E1596" s="156" t="s">
        <v>7309</v>
      </c>
      <c r="F1596" s="157"/>
      <c r="G1596" s="156"/>
      <c r="H1596" s="157"/>
      <c r="I1596" s="157"/>
      <c r="J1596" s="156" t="str">
        <f t="shared" si="25"/>
        <v/>
      </c>
      <c r="K1596" s="162"/>
      <c r="L1596" s="163"/>
      <c r="M1596" s="164"/>
      <c r="N1596" s="157"/>
      <c r="O1596" s="157"/>
      <c r="P1596" s="157"/>
      <c r="Q1596" s="156" t="s">
        <v>7310</v>
      </c>
    </row>
    <row r="1597" spans="4:17" x14ac:dyDescent="0.25">
      <c r="D1597" s="157" t="s">
        <v>7311</v>
      </c>
      <c r="E1597" s="156" t="s">
        <v>7309</v>
      </c>
      <c r="F1597" s="157"/>
      <c r="G1597" s="156"/>
      <c r="H1597" s="157"/>
      <c r="I1597" s="157"/>
      <c r="J1597" s="156" t="str">
        <f t="shared" si="25"/>
        <v/>
      </c>
      <c r="K1597" s="162"/>
      <c r="L1597" s="163"/>
      <c r="M1597" s="164"/>
      <c r="N1597" s="157"/>
      <c r="O1597" s="157"/>
      <c r="P1597" s="157"/>
      <c r="Q1597" s="156" t="s">
        <v>7312</v>
      </c>
    </row>
    <row r="1598" spans="4:17" x14ac:dyDescent="0.25">
      <c r="D1598" s="157" t="s">
        <v>7313</v>
      </c>
      <c r="E1598" s="156" t="s">
        <v>7309</v>
      </c>
      <c r="F1598" s="157"/>
      <c r="G1598" s="156"/>
      <c r="H1598" s="157"/>
      <c r="I1598" s="157"/>
      <c r="J1598" s="156" t="str">
        <f t="shared" si="25"/>
        <v/>
      </c>
      <c r="K1598" s="162"/>
      <c r="L1598" s="163"/>
      <c r="M1598" s="164"/>
      <c r="N1598" s="157"/>
      <c r="O1598" s="157"/>
      <c r="P1598" s="157"/>
      <c r="Q1598" s="156" t="s">
        <v>7314</v>
      </c>
    </row>
    <row r="1599" spans="4:17" x14ac:dyDescent="0.25">
      <c r="D1599" s="157" t="s">
        <v>7315</v>
      </c>
      <c r="E1599" s="156" t="s">
        <v>7309</v>
      </c>
      <c r="F1599" s="157"/>
      <c r="G1599" s="156"/>
      <c r="H1599" s="157"/>
      <c r="I1599" s="157"/>
      <c r="J1599" s="156" t="str">
        <f t="shared" si="25"/>
        <v/>
      </c>
      <c r="K1599" s="162"/>
      <c r="L1599" s="163"/>
      <c r="M1599" s="164"/>
      <c r="N1599" s="157"/>
      <c r="O1599" s="157"/>
      <c r="P1599" s="157"/>
      <c r="Q1599" s="156" t="s">
        <v>7316</v>
      </c>
    </row>
    <row r="1600" spans="4:17" x14ac:dyDescent="0.25">
      <c r="D1600" s="157" t="s">
        <v>7317</v>
      </c>
      <c r="E1600" s="156" t="s">
        <v>7309</v>
      </c>
      <c r="F1600" s="157"/>
      <c r="G1600" s="156"/>
      <c r="H1600" s="157"/>
      <c r="I1600" s="157"/>
      <c r="J1600" s="156" t="str">
        <f t="shared" si="25"/>
        <v/>
      </c>
      <c r="K1600" s="162"/>
      <c r="L1600" s="163"/>
      <c r="M1600" s="164"/>
      <c r="N1600" s="157"/>
      <c r="O1600" s="157"/>
      <c r="P1600" s="157"/>
      <c r="Q1600" s="156" t="s">
        <v>7318</v>
      </c>
    </row>
    <row r="1601" spans="4:17" x14ac:dyDescent="0.25">
      <c r="D1601" s="157" t="s">
        <v>7319</v>
      </c>
      <c r="E1601" s="156" t="s">
        <v>7309</v>
      </c>
      <c r="F1601" s="157"/>
      <c r="G1601" s="156"/>
      <c r="H1601" s="157"/>
      <c r="I1601" s="157"/>
      <c r="J1601" s="156" t="str">
        <f t="shared" si="25"/>
        <v/>
      </c>
      <c r="K1601" s="162"/>
      <c r="L1601" s="163"/>
      <c r="M1601" s="164"/>
      <c r="N1601" s="157"/>
      <c r="O1601" s="157"/>
      <c r="P1601" s="157"/>
      <c r="Q1601" s="156" t="s">
        <v>7320</v>
      </c>
    </row>
    <row r="1602" spans="4:17" x14ac:dyDescent="0.25">
      <c r="D1602" s="157" t="s">
        <v>7321</v>
      </c>
      <c r="E1602" s="156" t="s">
        <v>7309</v>
      </c>
      <c r="F1602" s="157"/>
      <c r="G1602" s="156"/>
      <c r="H1602" s="157"/>
      <c r="I1602" s="157"/>
      <c r="J1602" s="156" t="str">
        <f t="shared" si="25"/>
        <v/>
      </c>
      <c r="K1602" s="162"/>
      <c r="L1602" s="163"/>
      <c r="M1602" s="164"/>
      <c r="N1602" s="157"/>
      <c r="O1602" s="157"/>
      <c r="P1602" s="157"/>
      <c r="Q1602" s="156" t="s">
        <v>7322</v>
      </c>
    </row>
    <row r="1603" spans="4:17" x14ac:dyDescent="0.25">
      <c r="D1603" s="157" t="s">
        <v>7323</v>
      </c>
      <c r="E1603" s="156" t="s">
        <v>7309</v>
      </c>
      <c r="F1603" s="157"/>
      <c r="G1603" s="156"/>
      <c r="H1603" s="157"/>
      <c r="I1603" s="157"/>
      <c r="J1603" s="156" t="str">
        <f t="shared" si="25"/>
        <v/>
      </c>
      <c r="K1603" s="162"/>
      <c r="L1603" s="163"/>
      <c r="M1603" s="164"/>
      <c r="N1603" s="157"/>
      <c r="O1603" s="157"/>
      <c r="P1603" s="157"/>
      <c r="Q1603" s="156" t="s">
        <v>7324</v>
      </c>
    </row>
    <row r="1604" spans="4:17" x14ac:dyDescent="0.25">
      <c r="D1604" s="157" t="s">
        <v>7325</v>
      </c>
      <c r="E1604" s="156" t="s">
        <v>7309</v>
      </c>
      <c r="F1604" s="157"/>
      <c r="G1604" s="156"/>
      <c r="H1604" s="157"/>
      <c r="I1604" s="157"/>
      <c r="J1604" s="156" t="str">
        <f t="shared" si="25"/>
        <v/>
      </c>
      <c r="K1604" s="162"/>
      <c r="L1604" s="163"/>
      <c r="M1604" s="164"/>
      <c r="N1604" s="157"/>
      <c r="O1604" s="157"/>
      <c r="P1604" s="157"/>
      <c r="Q1604" s="156" t="s">
        <v>7326</v>
      </c>
    </row>
    <row r="1605" spans="4:17" x14ac:dyDescent="0.25">
      <c r="D1605" s="157" t="s">
        <v>7327</v>
      </c>
      <c r="E1605" s="156" t="s">
        <v>7309</v>
      </c>
      <c r="F1605" s="157"/>
      <c r="G1605" s="156"/>
      <c r="H1605" s="157"/>
      <c r="I1605" s="157"/>
      <c r="J1605" s="156" t="str">
        <f t="shared" si="25"/>
        <v/>
      </c>
      <c r="K1605" s="162"/>
      <c r="L1605" s="163"/>
      <c r="M1605" s="164"/>
      <c r="N1605" s="157"/>
      <c r="O1605" s="157"/>
      <c r="P1605" s="157"/>
      <c r="Q1605" s="156" t="s">
        <v>7328</v>
      </c>
    </row>
    <row r="1606" spans="4:17" x14ac:dyDescent="0.25">
      <c r="D1606" s="157" t="s">
        <v>7329</v>
      </c>
      <c r="E1606" s="156" t="s">
        <v>7309</v>
      </c>
      <c r="F1606" s="157"/>
      <c r="G1606" s="156"/>
      <c r="H1606" s="157"/>
      <c r="I1606" s="157"/>
      <c r="J1606" s="156" t="str">
        <f t="shared" si="25"/>
        <v/>
      </c>
      <c r="K1606" s="162"/>
      <c r="L1606" s="163"/>
      <c r="M1606" s="164"/>
      <c r="N1606" s="157"/>
      <c r="O1606" s="157"/>
      <c r="P1606" s="157"/>
      <c r="Q1606" s="156" t="s">
        <v>7330</v>
      </c>
    </row>
    <row r="1607" spans="4:17" x14ac:dyDescent="0.25">
      <c r="D1607" s="157" t="s">
        <v>7331</v>
      </c>
      <c r="E1607" s="156" t="s">
        <v>7309</v>
      </c>
      <c r="F1607" s="157"/>
      <c r="G1607" s="156"/>
      <c r="H1607" s="157"/>
      <c r="I1607" s="157"/>
      <c r="J1607" s="156" t="str">
        <f t="shared" si="25"/>
        <v/>
      </c>
      <c r="K1607" s="162"/>
      <c r="L1607" s="163"/>
      <c r="M1607" s="164"/>
      <c r="N1607" s="157"/>
      <c r="O1607" s="157"/>
      <c r="P1607" s="157"/>
      <c r="Q1607" s="156" t="s">
        <v>7332</v>
      </c>
    </row>
    <row r="1608" spans="4:17" x14ac:dyDescent="0.25">
      <c r="D1608" s="157" t="s">
        <v>7333</v>
      </c>
      <c r="E1608" s="156" t="s">
        <v>7309</v>
      </c>
      <c r="F1608" s="157"/>
      <c r="G1608" s="156"/>
      <c r="H1608" s="157"/>
      <c r="I1608" s="157"/>
      <c r="J1608" s="156" t="str">
        <f t="shared" si="25"/>
        <v/>
      </c>
      <c r="K1608" s="162"/>
      <c r="L1608" s="163"/>
      <c r="M1608" s="164"/>
      <c r="N1608" s="157"/>
      <c r="O1608" s="157"/>
      <c r="P1608" s="157"/>
      <c r="Q1608" s="156" t="s">
        <v>7334</v>
      </c>
    </row>
    <row r="1609" spans="4:17" x14ac:dyDescent="0.25">
      <c r="D1609" s="157" t="s">
        <v>7335</v>
      </c>
      <c r="E1609" s="156" t="s">
        <v>7309</v>
      </c>
      <c r="F1609" s="157"/>
      <c r="G1609" s="156"/>
      <c r="H1609" s="157"/>
      <c r="I1609" s="157"/>
      <c r="J1609" s="156" t="str">
        <f t="shared" si="25"/>
        <v/>
      </c>
      <c r="K1609" s="162"/>
      <c r="L1609" s="163"/>
      <c r="M1609" s="164"/>
      <c r="N1609" s="157"/>
      <c r="O1609" s="157"/>
      <c r="P1609" s="157"/>
      <c r="Q1609" s="156" t="s">
        <v>7336</v>
      </c>
    </row>
    <row r="1610" spans="4:17" x14ac:dyDescent="0.25">
      <c r="D1610" s="157" t="s">
        <v>7337</v>
      </c>
      <c r="E1610" s="156" t="s">
        <v>7309</v>
      </c>
      <c r="F1610" s="157"/>
      <c r="G1610" s="156"/>
      <c r="H1610" s="157"/>
      <c r="I1610" s="157"/>
      <c r="J1610" s="156" t="str">
        <f t="shared" si="25"/>
        <v/>
      </c>
      <c r="K1610" s="162"/>
      <c r="L1610" s="163"/>
      <c r="M1610" s="164"/>
      <c r="N1610" s="157"/>
      <c r="O1610" s="157"/>
      <c r="P1610" s="157"/>
      <c r="Q1610" s="156" t="s">
        <v>7338</v>
      </c>
    </row>
    <row r="1611" spans="4:17" x14ac:dyDescent="0.25">
      <c r="D1611" s="157" t="s">
        <v>7339</v>
      </c>
      <c r="E1611" s="156" t="s">
        <v>7309</v>
      </c>
      <c r="F1611" s="157"/>
      <c r="G1611" s="156"/>
      <c r="H1611" s="157"/>
      <c r="I1611" s="157"/>
      <c r="J1611" s="156" t="str">
        <f t="shared" si="25"/>
        <v/>
      </c>
      <c r="K1611" s="162"/>
      <c r="L1611" s="163"/>
      <c r="M1611" s="164"/>
      <c r="N1611" s="157"/>
      <c r="O1611" s="157"/>
      <c r="P1611" s="157"/>
      <c r="Q1611" s="156" t="s">
        <v>7340</v>
      </c>
    </row>
    <row r="1612" spans="4:17" x14ac:dyDescent="0.25">
      <c r="D1612" s="157" t="s">
        <v>7341</v>
      </c>
      <c r="E1612" s="156" t="s">
        <v>7309</v>
      </c>
      <c r="F1612" s="157"/>
      <c r="G1612" s="156"/>
      <c r="H1612" s="157"/>
      <c r="I1612" s="157"/>
      <c r="J1612" s="156" t="str">
        <f t="shared" si="25"/>
        <v/>
      </c>
      <c r="K1612" s="162"/>
      <c r="L1612" s="163"/>
      <c r="M1612" s="164"/>
      <c r="N1612" s="157"/>
      <c r="O1612" s="157"/>
      <c r="P1612" s="157"/>
      <c r="Q1612" s="156" t="s">
        <v>7342</v>
      </c>
    </row>
    <row r="1613" spans="4:17" x14ac:dyDescent="0.25">
      <c r="D1613" s="157" t="s">
        <v>7343</v>
      </c>
      <c r="E1613" s="156" t="s">
        <v>7309</v>
      </c>
      <c r="F1613" s="157"/>
      <c r="G1613" s="156"/>
      <c r="H1613" s="157"/>
      <c r="I1613" s="157"/>
      <c r="J1613" s="156" t="str">
        <f t="shared" si="25"/>
        <v/>
      </c>
      <c r="K1613" s="162"/>
      <c r="L1613" s="163"/>
      <c r="M1613" s="164"/>
      <c r="N1613" s="157"/>
      <c r="O1613" s="157"/>
      <c r="P1613" s="157"/>
      <c r="Q1613" s="156" t="s">
        <v>7344</v>
      </c>
    </row>
    <row r="1614" spans="4:17" x14ac:dyDescent="0.25">
      <c r="D1614" s="157" t="s">
        <v>7345</v>
      </c>
      <c r="E1614" s="156" t="s">
        <v>7309</v>
      </c>
      <c r="F1614" s="157"/>
      <c r="G1614" s="156"/>
      <c r="H1614" s="157"/>
      <c r="I1614" s="157"/>
      <c r="J1614" s="156" t="str">
        <f t="shared" si="25"/>
        <v/>
      </c>
      <c r="K1614" s="162"/>
      <c r="L1614" s="163"/>
      <c r="M1614" s="164"/>
      <c r="N1614" s="157"/>
      <c r="O1614" s="157"/>
      <c r="P1614" s="157"/>
      <c r="Q1614" s="156" t="s">
        <v>7346</v>
      </c>
    </row>
    <row r="1615" spans="4:17" x14ac:dyDescent="0.25">
      <c r="D1615" s="157" t="s">
        <v>7347</v>
      </c>
      <c r="E1615" s="156" t="s">
        <v>7309</v>
      </c>
      <c r="F1615" s="157"/>
      <c r="G1615" s="156"/>
      <c r="H1615" s="157"/>
      <c r="I1615" s="157"/>
      <c r="J1615" s="156" t="str">
        <f t="shared" si="25"/>
        <v/>
      </c>
      <c r="K1615" s="162"/>
      <c r="L1615" s="163"/>
      <c r="M1615" s="164"/>
      <c r="N1615" s="157"/>
      <c r="O1615" s="157"/>
      <c r="P1615" s="157"/>
      <c r="Q1615" s="156" t="s">
        <v>7348</v>
      </c>
    </row>
    <row r="1616" spans="4:17" x14ac:dyDescent="0.25">
      <c r="D1616" s="157" t="s">
        <v>7349</v>
      </c>
      <c r="E1616" s="156" t="s">
        <v>7350</v>
      </c>
      <c r="F1616" s="157"/>
      <c r="G1616" s="156"/>
      <c r="H1616" s="157"/>
      <c r="I1616" s="157"/>
      <c r="J1616" s="156" t="str">
        <f t="shared" si="25"/>
        <v/>
      </c>
      <c r="K1616" s="162"/>
      <c r="L1616" s="163"/>
      <c r="M1616" s="164"/>
      <c r="N1616" s="157"/>
      <c r="O1616" s="157"/>
      <c r="P1616" s="157"/>
      <c r="Q1616" s="156" t="s">
        <v>7351</v>
      </c>
    </row>
    <row r="1617" spans="4:17" x14ac:dyDescent="0.25">
      <c r="D1617" s="157" t="s">
        <v>7352</v>
      </c>
      <c r="E1617" s="156" t="s">
        <v>7350</v>
      </c>
      <c r="F1617" s="157"/>
      <c r="G1617" s="156"/>
      <c r="H1617" s="157"/>
      <c r="I1617" s="157"/>
      <c r="J1617" s="156" t="str">
        <f t="shared" si="25"/>
        <v/>
      </c>
      <c r="K1617" s="162"/>
      <c r="L1617" s="163"/>
      <c r="M1617" s="164"/>
      <c r="N1617" s="157"/>
      <c r="O1617" s="157"/>
      <c r="P1617" s="157"/>
      <c r="Q1617" s="156" t="s">
        <v>7353</v>
      </c>
    </row>
    <row r="1618" spans="4:17" x14ac:dyDescent="0.25">
      <c r="D1618" s="157" t="s">
        <v>7354</v>
      </c>
      <c r="E1618" s="156" t="s">
        <v>7350</v>
      </c>
      <c r="F1618" s="157"/>
      <c r="G1618" s="156"/>
      <c r="H1618" s="157"/>
      <c r="I1618" s="157"/>
      <c r="J1618" s="156" t="str">
        <f t="shared" si="25"/>
        <v/>
      </c>
      <c r="K1618" s="162"/>
      <c r="L1618" s="163"/>
      <c r="M1618" s="164"/>
      <c r="N1618" s="157"/>
      <c r="O1618" s="157"/>
      <c r="P1618" s="157"/>
      <c r="Q1618" s="156" t="s">
        <v>7355</v>
      </c>
    </row>
    <row r="1619" spans="4:17" x14ac:dyDescent="0.25">
      <c r="D1619" s="157" t="s">
        <v>7356</v>
      </c>
      <c r="E1619" s="156" t="s">
        <v>7350</v>
      </c>
      <c r="F1619" s="157"/>
      <c r="G1619" s="156"/>
      <c r="H1619" s="157"/>
      <c r="I1619" s="157"/>
      <c r="J1619" s="156" t="str">
        <f t="shared" si="25"/>
        <v/>
      </c>
      <c r="K1619" s="162"/>
      <c r="L1619" s="163"/>
      <c r="M1619" s="164"/>
      <c r="N1619" s="157"/>
      <c r="O1619" s="157"/>
      <c r="P1619" s="157"/>
      <c r="Q1619" s="156" t="s">
        <v>7357</v>
      </c>
    </row>
    <row r="1620" spans="4:17" x14ac:dyDescent="0.25">
      <c r="D1620" s="157" t="s">
        <v>7358</v>
      </c>
      <c r="E1620" s="156" t="s">
        <v>7350</v>
      </c>
      <c r="F1620" s="157"/>
      <c r="G1620" s="156"/>
      <c r="H1620" s="157"/>
      <c r="I1620" s="157"/>
      <c r="J1620" s="156" t="str">
        <f t="shared" si="25"/>
        <v/>
      </c>
      <c r="K1620" s="162"/>
      <c r="L1620" s="163"/>
      <c r="M1620" s="164"/>
      <c r="N1620" s="157"/>
      <c r="O1620" s="157"/>
      <c r="P1620" s="157"/>
      <c r="Q1620" s="156" t="s">
        <v>7359</v>
      </c>
    </row>
    <row r="1621" spans="4:17" x14ac:dyDescent="0.25">
      <c r="D1621" s="157" t="s">
        <v>7360</v>
      </c>
      <c r="E1621" s="156" t="s">
        <v>7350</v>
      </c>
      <c r="F1621" s="157"/>
      <c r="G1621" s="156"/>
      <c r="H1621" s="157"/>
      <c r="I1621" s="157"/>
      <c r="J1621" s="156" t="str">
        <f t="shared" si="25"/>
        <v/>
      </c>
      <c r="K1621" s="162"/>
      <c r="L1621" s="163"/>
      <c r="M1621" s="164"/>
      <c r="N1621" s="157"/>
      <c r="O1621" s="157"/>
      <c r="P1621" s="157"/>
      <c r="Q1621" s="156" t="s">
        <v>7361</v>
      </c>
    </row>
    <row r="1622" spans="4:17" x14ac:dyDescent="0.25">
      <c r="D1622" s="157" t="s">
        <v>7362</v>
      </c>
      <c r="E1622" s="156" t="s">
        <v>7350</v>
      </c>
      <c r="F1622" s="157"/>
      <c r="G1622" s="156"/>
      <c r="H1622" s="157"/>
      <c r="I1622" s="157"/>
      <c r="J1622" s="156" t="str">
        <f t="shared" si="25"/>
        <v/>
      </c>
      <c r="K1622" s="162"/>
      <c r="L1622" s="163"/>
      <c r="M1622" s="164"/>
      <c r="N1622" s="157"/>
      <c r="O1622" s="157"/>
      <c r="P1622" s="157"/>
      <c r="Q1622" s="156" t="s">
        <v>7363</v>
      </c>
    </row>
    <row r="1623" spans="4:17" x14ac:dyDescent="0.25">
      <c r="D1623" s="157" t="s">
        <v>7364</v>
      </c>
      <c r="E1623" s="156" t="s">
        <v>7350</v>
      </c>
      <c r="F1623" s="157"/>
      <c r="G1623" s="156"/>
      <c r="H1623" s="157"/>
      <c r="I1623" s="157"/>
      <c r="J1623" s="156" t="str">
        <f t="shared" si="25"/>
        <v/>
      </c>
      <c r="K1623" s="162"/>
      <c r="L1623" s="163"/>
      <c r="M1623" s="164"/>
      <c r="N1623" s="157"/>
      <c r="O1623" s="157"/>
      <c r="P1623" s="157"/>
      <c r="Q1623" s="156" t="s">
        <v>7365</v>
      </c>
    </row>
    <row r="1624" spans="4:17" x14ac:dyDescent="0.25">
      <c r="D1624" s="157" t="s">
        <v>7366</v>
      </c>
      <c r="E1624" s="156" t="s">
        <v>7350</v>
      </c>
      <c r="F1624" s="157"/>
      <c r="G1624" s="156"/>
      <c r="H1624" s="157"/>
      <c r="I1624" s="157"/>
      <c r="J1624" s="156" t="str">
        <f t="shared" si="25"/>
        <v/>
      </c>
      <c r="K1624" s="162"/>
      <c r="L1624" s="163"/>
      <c r="M1624" s="164"/>
      <c r="N1624" s="157"/>
      <c r="O1624" s="157"/>
      <c r="P1624" s="157"/>
      <c r="Q1624" s="156" t="s">
        <v>7367</v>
      </c>
    </row>
    <row r="1625" spans="4:17" x14ac:dyDescent="0.25">
      <c r="D1625" s="157" t="s">
        <v>7368</v>
      </c>
      <c r="E1625" s="156" t="s">
        <v>7350</v>
      </c>
      <c r="F1625" s="157"/>
      <c r="G1625" s="156"/>
      <c r="H1625" s="157"/>
      <c r="I1625" s="157"/>
      <c r="J1625" s="156" t="str">
        <f t="shared" si="25"/>
        <v/>
      </c>
      <c r="K1625" s="162"/>
      <c r="L1625" s="163"/>
      <c r="M1625" s="164"/>
      <c r="N1625" s="157"/>
      <c r="O1625" s="157"/>
      <c r="P1625" s="157"/>
      <c r="Q1625" s="156" t="s">
        <v>7369</v>
      </c>
    </row>
    <row r="1626" spans="4:17" x14ac:dyDescent="0.25">
      <c r="D1626" s="157" t="s">
        <v>7370</v>
      </c>
      <c r="E1626" s="156" t="s">
        <v>7350</v>
      </c>
      <c r="F1626" s="157"/>
      <c r="G1626" s="156"/>
      <c r="H1626" s="157"/>
      <c r="I1626" s="157"/>
      <c r="J1626" s="156" t="str">
        <f t="shared" si="25"/>
        <v/>
      </c>
      <c r="K1626" s="162"/>
      <c r="L1626" s="163"/>
      <c r="M1626" s="164"/>
      <c r="N1626" s="157"/>
      <c r="O1626" s="157"/>
      <c r="P1626" s="157"/>
      <c r="Q1626" s="156" t="s">
        <v>7371</v>
      </c>
    </row>
    <row r="1627" spans="4:17" x14ac:dyDescent="0.25">
      <c r="D1627" s="157" t="s">
        <v>7372</v>
      </c>
      <c r="E1627" s="156" t="s">
        <v>7350</v>
      </c>
      <c r="F1627" s="157"/>
      <c r="G1627" s="156"/>
      <c r="H1627" s="157"/>
      <c r="I1627" s="157"/>
      <c r="J1627" s="156" t="str">
        <f t="shared" si="25"/>
        <v/>
      </c>
      <c r="K1627" s="162"/>
      <c r="L1627" s="163"/>
      <c r="M1627" s="164"/>
      <c r="N1627" s="157"/>
      <c r="O1627" s="157"/>
      <c r="P1627" s="157"/>
      <c r="Q1627" s="156" t="s">
        <v>7373</v>
      </c>
    </row>
    <row r="1628" spans="4:17" x14ac:dyDescent="0.25">
      <c r="D1628" s="157" t="s">
        <v>7374</v>
      </c>
      <c r="E1628" s="156" t="s">
        <v>7350</v>
      </c>
      <c r="F1628" s="157"/>
      <c r="G1628" s="156"/>
      <c r="H1628" s="157"/>
      <c r="I1628" s="157"/>
      <c r="J1628" s="156" t="str">
        <f t="shared" si="25"/>
        <v/>
      </c>
      <c r="K1628" s="162"/>
      <c r="L1628" s="163"/>
      <c r="M1628" s="164"/>
      <c r="N1628" s="157"/>
      <c r="O1628" s="157"/>
      <c r="P1628" s="157"/>
      <c r="Q1628" s="156" t="s">
        <v>7375</v>
      </c>
    </row>
    <row r="1629" spans="4:17" x14ac:dyDescent="0.25">
      <c r="D1629" s="157" t="s">
        <v>7376</v>
      </c>
      <c r="E1629" s="156" t="s">
        <v>7350</v>
      </c>
      <c r="F1629" s="157"/>
      <c r="G1629" s="156"/>
      <c r="H1629" s="157"/>
      <c r="I1629" s="157"/>
      <c r="J1629" s="156" t="str">
        <f t="shared" si="25"/>
        <v/>
      </c>
      <c r="K1629" s="162"/>
      <c r="L1629" s="163"/>
      <c r="M1629" s="164"/>
      <c r="N1629" s="157"/>
      <c r="O1629" s="157"/>
      <c r="P1629" s="157"/>
      <c r="Q1629" s="156" t="s">
        <v>7377</v>
      </c>
    </row>
    <row r="1630" spans="4:17" x14ac:dyDescent="0.25">
      <c r="D1630" s="157" t="s">
        <v>7378</v>
      </c>
      <c r="E1630" s="156" t="s">
        <v>7350</v>
      </c>
      <c r="F1630" s="157"/>
      <c r="G1630" s="156"/>
      <c r="H1630" s="157"/>
      <c r="I1630" s="157"/>
      <c r="J1630" s="156" t="str">
        <f t="shared" si="25"/>
        <v/>
      </c>
      <c r="K1630" s="162"/>
      <c r="L1630" s="163"/>
      <c r="M1630" s="164"/>
      <c r="N1630" s="157"/>
      <c r="O1630" s="157"/>
      <c r="P1630" s="157"/>
      <c r="Q1630" s="156" t="s">
        <v>7379</v>
      </c>
    </row>
    <row r="1631" spans="4:17" x14ac:dyDescent="0.25">
      <c r="D1631" s="157" t="s">
        <v>7380</v>
      </c>
      <c r="E1631" s="156" t="s">
        <v>7350</v>
      </c>
      <c r="F1631" s="157"/>
      <c r="G1631" s="156"/>
      <c r="H1631" s="157"/>
      <c r="I1631" s="157"/>
      <c r="J1631" s="156" t="str">
        <f t="shared" si="25"/>
        <v/>
      </c>
      <c r="K1631" s="162"/>
      <c r="L1631" s="163"/>
      <c r="M1631" s="164"/>
      <c r="N1631" s="157"/>
      <c r="O1631" s="157"/>
      <c r="P1631" s="157"/>
      <c r="Q1631" s="156" t="s">
        <v>7381</v>
      </c>
    </row>
    <row r="1632" spans="4:17" x14ac:dyDescent="0.25">
      <c r="D1632" s="157" t="s">
        <v>7382</v>
      </c>
      <c r="E1632" s="156" t="s">
        <v>7350</v>
      </c>
      <c r="F1632" s="157"/>
      <c r="G1632" s="156"/>
      <c r="H1632" s="157"/>
      <c r="I1632" s="157"/>
      <c r="J1632" s="156" t="str">
        <f t="shared" si="25"/>
        <v/>
      </c>
      <c r="K1632" s="162"/>
      <c r="L1632" s="163"/>
      <c r="M1632" s="164"/>
      <c r="N1632" s="157"/>
      <c r="O1632" s="157"/>
      <c r="P1632" s="157"/>
      <c r="Q1632" s="156" t="s">
        <v>7383</v>
      </c>
    </row>
    <row r="1633" spans="4:17" x14ac:dyDescent="0.25">
      <c r="D1633" s="157" t="s">
        <v>7384</v>
      </c>
      <c r="E1633" s="156" t="s">
        <v>7350</v>
      </c>
      <c r="F1633" s="157"/>
      <c r="G1633" s="156"/>
      <c r="H1633" s="157"/>
      <c r="I1633" s="157"/>
      <c r="J1633" s="156" t="str">
        <f t="shared" si="25"/>
        <v/>
      </c>
      <c r="K1633" s="162"/>
      <c r="L1633" s="163"/>
      <c r="M1633" s="164"/>
      <c r="N1633" s="157"/>
      <c r="O1633" s="157"/>
      <c r="P1633" s="157"/>
      <c r="Q1633" s="156" t="s">
        <v>7385</v>
      </c>
    </row>
    <row r="1634" spans="4:17" x14ac:dyDescent="0.25">
      <c r="D1634" s="157" t="s">
        <v>7386</v>
      </c>
      <c r="E1634" s="156" t="s">
        <v>7350</v>
      </c>
      <c r="F1634" s="157"/>
      <c r="G1634" s="156"/>
      <c r="H1634" s="157"/>
      <c r="I1634" s="157"/>
      <c r="J1634" s="156" t="str">
        <f t="shared" si="25"/>
        <v/>
      </c>
      <c r="K1634" s="162"/>
      <c r="L1634" s="163"/>
      <c r="M1634" s="164"/>
      <c r="N1634" s="157"/>
      <c r="O1634" s="157"/>
      <c r="P1634" s="157"/>
      <c r="Q1634" s="156" t="s">
        <v>7387</v>
      </c>
    </row>
    <row r="1635" spans="4:17" x14ac:dyDescent="0.25">
      <c r="D1635" s="157" t="s">
        <v>7388</v>
      </c>
      <c r="E1635" s="156" t="s">
        <v>7350</v>
      </c>
      <c r="F1635" s="157"/>
      <c r="G1635" s="156"/>
      <c r="H1635" s="157"/>
      <c r="I1635" s="157"/>
      <c r="J1635" s="156" t="str">
        <f t="shared" si="25"/>
        <v/>
      </c>
      <c r="K1635" s="162"/>
      <c r="L1635" s="163"/>
      <c r="M1635" s="164"/>
      <c r="N1635" s="157"/>
      <c r="O1635" s="157"/>
      <c r="P1635" s="157"/>
      <c r="Q1635" s="156" t="s">
        <v>7389</v>
      </c>
    </row>
    <row r="1636" spans="4:17" x14ac:dyDescent="0.25">
      <c r="D1636" s="157" t="s">
        <v>7390</v>
      </c>
      <c r="E1636" s="156" t="s">
        <v>7391</v>
      </c>
      <c r="F1636" s="157"/>
      <c r="G1636" s="156"/>
      <c r="H1636" s="157"/>
      <c r="I1636" s="157"/>
      <c r="J1636" s="156" t="str">
        <f t="shared" si="25"/>
        <v/>
      </c>
      <c r="K1636" s="162"/>
      <c r="L1636" s="163"/>
      <c r="M1636" s="164"/>
      <c r="N1636" s="157"/>
      <c r="O1636" s="157"/>
      <c r="P1636" s="157"/>
      <c r="Q1636" s="156" t="s">
        <v>7392</v>
      </c>
    </row>
    <row r="1637" spans="4:17" x14ac:dyDescent="0.25">
      <c r="D1637" s="157" t="s">
        <v>7393</v>
      </c>
      <c r="E1637" s="156" t="s">
        <v>7391</v>
      </c>
      <c r="F1637" s="157"/>
      <c r="G1637" s="156"/>
      <c r="H1637" s="157"/>
      <c r="I1637" s="157"/>
      <c r="J1637" s="156" t="str">
        <f t="shared" si="25"/>
        <v/>
      </c>
      <c r="K1637" s="162"/>
      <c r="L1637" s="163"/>
      <c r="M1637" s="164"/>
      <c r="N1637" s="157"/>
      <c r="O1637" s="157"/>
      <c r="P1637" s="157"/>
      <c r="Q1637" s="156" t="s">
        <v>7394</v>
      </c>
    </row>
    <row r="1638" spans="4:17" x14ac:dyDescent="0.25">
      <c r="D1638" s="157" t="s">
        <v>7395</v>
      </c>
      <c r="E1638" s="156" t="s">
        <v>7391</v>
      </c>
      <c r="F1638" s="157"/>
      <c r="G1638" s="156"/>
      <c r="H1638" s="157"/>
      <c r="I1638" s="157"/>
      <c r="J1638" s="156" t="str">
        <f t="shared" si="25"/>
        <v/>
      </c>
      <c r="K1638" s="162"/>
      <c r="L1638" s="163"/>
      <c r="M1638" s="164"/>
      <c r="N1638" s="157"/>
      <c r="O1638" s="157"/>
      <c r="P1638" s="157"/>
      <c r="Q1638" s="156" t="s">
        <v>7396</v>
      </c>
    </row>
    <row r="1639" spans="4:17" x14ac:dyDescent="0.25">
      <c r="D1639" s="157" t="s">
        <v>7397</v>
      </c>
      <c r="E1639" s="156" t="s">
        <v>7391</v>
      </c>
      <c r="F1639" s="157"/>
      <c r="G1639" s="156"/>
      <c r="H1639" s="157"/>
      <c r="I1639" s="157"/>
      <c r="J1639" s="156" t="str">
        <f t="shared" si="25"/>
        <v/>
      </c>
      <c r="K1639" s="162"/>
      <c r="L1639" s="163"/>
      <c r="M1639" s="164"/>
      <c r="N1639" s="157"/>
      <c r="O1639" s="157"/>
      <c r="P1639" s="157"/>
      <c r="Q1639" s="156" t="s">
        <v>7398</v>
      </c>
    </row>
    <row r="1640" spans="4:17" x14ac:dyDescent="0.25">
      <c r="D1640" s="157" t="s">
        <v>7399</v>
      </c>
      <c r="E1640" s="156" t="s">
        <v>7391</v>
      </c>
      <c r="F1640" s="157"/>
      <c r="G1640" s="156"/>
      <c r="H1640" s="157"/>
      <c r="I1640" s="157"/>
      <c r="J1640" s="156" t="str">
        <f t="shared" ref="J1640:J1703" si="26">F1640&amp;H1640&amp;I1640</f>
        <v/>
      </c>
      <c r="K1640" s="162"/>
      <c r="L1640" s="163"/>
      <c r="M1640" s="164"/>
      <c r="N1640" s="157"/>
      <c r="O1640" s="157"/>
      <c r="P1640" s="157"/>
      <c r="Q1640" s="156" t="s">
        <v>7400</v>
      </c>
    </row>
    <row r="1641" spans="4:17" x14ac:dyDescent="0.25">
      <c r="D1641" s="157" t="s">
        <v>7401</v>
      </c>
      <c r="E1641" s="156" t="s">
        <v>7391</v>
      </c>
      <c r="F1641" s="157"/>
      <c r="G1641" s="156"/>
      <c r="H1641" s="157"/>
      <c r="I1641" s="157"/>
      <c r="J1641" s="156" t="str">
        <f t="shared" si="26"/>
        <v/>
      </c>
      <c r="K1641" s="162"/>
      <c r="L1641" s="163"/>
      <c r="M1641" s="164"/>
      <c r="N1641" s="157"/>
      <c r="O1641" s="157"/>
      <c r="P1641" s="157"/>
      <c r="Q1641" s="156" t="s">
        <v>7402</v>
      </c>
    </row>
    <row r="1642" spans="4:17" x14ac:dyDescent="0.25">
      <c r="D1642" s="157" t="s">
        <v>7403</v>
      </c>
      <c r="E1642" s="156" t="s">
        <v>7391</v>
      </c>
      <c r="F1642" s="157"/>
      <c r="G1642" s="156"/>
      <c r="H1642" s="157"/>
      <c r="I1642" s="157"/>
      <c r="J1642" s="156" t="str">
        <f t="shared" si="26"/>
        <v/>
      </c>
      <c r="K1642" s="162"/>
      <c r="L1642" s="163"/>
      <c r="M1642" s="164"/>
      <c r="N1642" s="157"/>
      <c r="O1642" s="157"/>
      <c r="P1642" s="157"/>
      <c r="Q1642" s="156" t="s">
        <v>7404</v>
      </c>
    </row>
    <row r="1643" spans="4:17" x14ac:dyDescent="0.25">
      <c r="D1643" s="157" t="s">
        <v>7405</v>
      </c>
      <c r="E1643" s="156" t="s">
        <v>7391</v>
      </c>
      <c r="F1643" s="157"/>
      <c r="G1643" s="156"/>
      <c r="H1643" s="157"/>
      <c r="I1643" s="157"/>
      <c r="J1643" s="156" t="str">
        <f t="shared" si="26"/>
        <v/>
      </c>
      <c r="K1643" s="162"/>
      <c r="L1643" s="163"/>
      <c r="M1643" s="164"/>
      <c r="N1643" s="157"/>
      <c r="O1643" s="157"/>
      <c r="P1643" s="157"/>
      <c r="Q1643" s="156" t="s">
        <v>7406</v>
      </c>
    </row>
    <row r="1644" spans="4:17" x14ac:dyDescent="0.25">
      <c r="D1644" s="157" t="s">
        <v>7407</v>
      </c>
      <c r="E1644" s="156" t="s">
        <v>7391</v>
      </c>
      <c r="F1644" s="157"/>
      <c r="G1644" s="156"/>
      <c r="H1644" s="157"/>
      <c r="I1644" s="157"/>
      <c r="J1644" s="156" t="str">
        <f t="shared" si="26"/>
        <v/>
      </c>
      <c r="K1644" s="162"/>
      <c r="L1644" s="163"/>
      <c r="M1644" s="164"/>
      <c r="N1644" s="157"/>
      <c r="O1644" s="157"/>
      <c r="P1644" s="157"/>
      <c r="Q1644" s="156" t="s">
        <v>7408</v>
      </c>
    </row>
    <row r="1645" spans="4:17" x14ac:dyDescent="0.25">
      <c r="D1645" s="157" t="s">
        <v>7409</v>
      </c>
      <c r="E1645" s="156" t="s">
        <v>7391</v>
      </c>
      <c r="F1645" s="157"/>
      <c r="G1645" s="156"/>
      <c r="H1645" s="157"/>
      <c r="I1645" s="157"/>
      <c r="J1645" s="156" t="str">
        <f t="shared" si="26"/>
        <v/>
      </c>
      <c r="K1645" s="162"/>
      <c r="L1645" s="163"/>
      <c r="M1645" s="164"/>
      <c r="N1645" s="157"/>
      <c r="O1645" s="157"/>
      <c r="P1645" s="157"/>
      <c r="Q1645" s="156" t="s">
        <v>7410</v>
      </c>
    </row>
    <row r="1646" spans="4:17" x14ac:dyDescent="0.25">
      <c r="D1646" s="157" t="s">
        <v>7411</v>
      </c>
      <c r="E1646" s="156" t="s">
        <v>7391</v>
      </c>
      <c r="F1646" s="157"/>
      <c r="G1646" s="156"/>
      <c r="H1646" s="157"/>
      <c r="I1646" s="157"/>
      <c r="J1646" s="156" t="str">
        <f t="shared" si="26"/>
        <v/>
      </c>
      <c r="K1646" s="162"/>
      <c r="L1646" s="163"/>
      <c r="M1646" s="164"/>
      <c r="N1646" s="157"/>
      <c r="O1646" s="157"/>
      <c r="P1646" s="157"/>
      <c r="Q1646" s="156" t="s">
        <v>7412</v>
      </c>
    </row>
    <row r="1647" spans="4:17" x14ac:dyDescent="0.25">
      <c r="D1647" s="157" t="s">
        <v>7413</v>
      </c>
      <c r="E1647" s="156" t="s">
        <v>7391</v>
      </c>
      <c r="F1647" s="157"/>
      <c r="G1647" s="156"/>
      <c r="H1647" s="157"/>
      <c r="I1647" s="157"/>
      <c r="J1647" s="156" t="str">
        <f t="shared" si="26"/>
        <v/>
      </c>
      <c r="K1647" s="162"/>
      <c r="L1647" s="163"/>
      <c r="M1647" s="164"/>
      <c r="N1647" s="157"/>
      <c r="O1647" s="157"/>
      <c r="P1647" s="157"/>
      <c r="Q1647" s="156" t="s">
        <v>7414</v>
      </c>
    </row>
    <row r="1648" spans="4:17" x14ac:dyDescent="0.25">
      <c r="D1648" s="157" t="s">
        <v>7415</v>
      </c>
      <c r="E1648" s="156" t="s">
        <v>7391</v>
      </c>
      <c r="F1648" s="157"/>
      <c r="G1648" s="156"/>
      <c r="H1648" s="157"/>
      <c r="I1648" s="157"/>
      <c r="J1648" s="156" t="str">
        <f t="shared" si="26"/>
        <v/>
      </c>
      <c r="K1648" s="162"/>
      <c r="L1648" s="163"/>
      <c r="M1648" s="164"/>
      <c r="N1648" s="157"/>
      <c r="O1648" s="157"/>
      <c r="P1648" s="157"/>
      <c r="Q1648" s="156" t="s">
        <v>7416</v>
      </c>
    </row>
    <row r="1649" spans="4:17" x14ac:dyDescent="0.25">
      <c r="D1649" s="157" t="s">
        <v>7417</v>
      </c>
      <c r="E1649" s="156" t="s">
        <v>7391</v>
      </c>
      <c r="F1649" s="157"/>
      <c r="G1649" s="156"/>
      <c r="H1649" s="157"/>
      <c r="I1649" s="157"/>
      <c r="J1649" s="156" t="str">
        <f t="shared" si="26"/>
        <v/>
      </c>
      <c r="K1649" s="162"/>
      <c r="L1649" s="163"/>
      <c r="M1649" s="164"/>
      <c r="N1649" s="157"/>
      <c r="O1649" s="157"/>
      <c r="P1649" s="157"/>
      <c r="Q1649" s="156" t="s">
        <v>7418</v>
      </c>
    </row>
    <row r="1650" spans="4:17" x14ac:dyDescent="0.25">
      <c r="D1650" s="157" t="s">
        <v>7419</v>
      </c>
      <c r="E1650" s="156" t="s">
        <v>7391</v>
      </c>
      <c r="F1650" s="157"/>
      <c r="G1650" s="156"/>
      <c r="H1650" s="157"/>
      <c r="I1650" s="157"/>
      <c r="J1650" s="156" t="str">
        <f t="shared" si="26"/>
        <v/>
      </c>
      <c r="K1650" s="162"/>
      <c r="L1650" s="163"/>
      <c r="M1650" s="164"/>
      <c r="N1650" s="157"/>
      <c r="O1650" s="157"/>
      <c r="P1650" s="157"/>
      <c r="Q1650" s="156" t="s">
        <v>7420</v>
      </c>
    </row>
    <row r="1651" spans="4:17" x14ac:dyDescent="0.25">
      <c r="D1651" s="157" t="s">
        <v>7421</v>
      </c>
      <c r="E1651" s="156" t="s">
        <v>7391</v>
      </c>
      <c r="F1651" s="157"/>
      <c r="G1651" s="156"/>
      <c r="H1651" s="157"/>
      <c r="I1651" s="157"/>
      <c r="J1651" s="156" t="str">
        <f t="shared" si="26"/>
        <v/>
      </c>
      <c r="K1651" s="162"/>
      <c r="L1651" s="163"/>
      <c r="M1651" s="164"/>
      <c r="N1651" s="157"/>
      <c r="O1651" s="157"/>
      <c r="P1651" s="157"/>
      <c r="Q1651" s="156" t="s">
        <v>7422</v>
      </c>
    </row>
    <row r="1652" spans="4:17" x14ac:dyDescent="0.25">
      <c r="D1652" s="157" t="s">
        <v>7423</v>
      </c>
      <c r="E1652" s="156" t="s">
        <v>7391</v>
      </c>
      <c r="F1652" s="157"/>
      <c r="G1652" s="156"/>
      <c r="H1652" s="157"/>
      <c r="I1652" s="157"/>
      <c r="J1652" s="156" t="str">
        <f t="shared" si="26"/>
        <v/>
      </c>
      <c r="K1652" s="162"/>
      <c r="L1652" s="163"/>
      <c r="M1652" s="164"/>
      <c r="N1652" s="157"/>
      <c r="O1652" s="157"/>
      <c r="P1652" s="157"/>
      <c r="Q1652" s="156" t="s">
        <v>7424</v>
      </c>
    </row>
    <row r="1653" spans="4:17" x14ac:dyDescent="0.25">
      <c r="D1653" s="157" t="s">
        <v>7425</v>
      </c>
      <c r="E1653" s="156" t="s">
        <v>7391</v>
      </c>
      <c r="F1653" s="157"/>
      <c r="G1653" s="156"/>
      <c r="H1653" s="157"/>
      <c r="I1653" s="157"/>
      <c r="J1653" s="156" t="str">
        <f t="shared" si="26"/>
        <v/>
      </c>
      <c r="K1653" s="162"/>
      <c r="L1653" s="163"/>
      <c r="M1653" s="164"/>
      <c r="N1653" s="157"/>
      <c r="O1653" s="157"/>
      <c r="P1653" s="157"/>
      <c r="Q1653" s="156" t="s">
        <v>7426</v>
      </c>
    </row>
    <row r="1654" spans="4:17" x14ac:dyDescent="0.25">
      <c r="D1654" s="157" t="s">
        <v>7427</v>
      </c>
      <c r="E1654" s="156" t="s">
        <v>7391</v>
      </c>
      <c r="F1654" s="157"/>
      <c r="G1654" s="156"/>
      <c r="H1654" s="157"/>
      <c r="I1654" s="157"/>
      <c r="J1654" s="156" t="str">
        <f t="shared" si="26"/>
        <v/>
      </c>
      <c r="K1654" s="162"/>
      <c r="L1654" s="163"/>
      <c r="M1654" s="164"/>
      <c r="N1654" s="157"/>
      <c r="O1654" s="157"/>
      <c r="P1654" s="157"/>
      <c r="Q1654" s="156" t="s">
        <v>7428</v>
      </c>
    </row>
    <row r="1655" spans="4:17" x14ac:dyDescent="0.25">
      <c r="D1655" s="157" t="s">
        <v>7429</v>
      </c>
      <c r="E1655" s="156" t="s">
        <v>7391</v>
      </c>
      <c r="F1655" s="157"/>
      <c r="G1655" s="156"/>
      <c r="H1655" s="157"/>
      <c r="I1655" s="157"/>
      <c r="J1655" s="156" t="str">
        <f t="shared" si="26"/>
        <v/>
      </c>
      <c r="K1655" s="162"/>
      <c r="L1655" s="163"/>
      <c r="M1655" s="164"/>
      <c r="N1655" s="157"/>
      <c r="O1655" s="157"/>
      <c r="P1655" s="157"/>
      <c r="Q1655" s="156" t="s">
        <v>7430</v>
      </c>
    </row>
    <row r="1656" spans="4:17" x14ac:dyDescent="0.25">
      <c r="D1656" s="157" t="s">
        <v>7431</v>
      </c>
      <c r="E1656" s="156" t="s">
        <v>7432</v>
      </c>
      <c r="F1656" s="157"/>
      <c r="G1656" s="156"/>
      <c r="H1656" s="157"/>
      <c r="I1656" s="157"/>
      <c r="J1656" s="156" t="str">
        <f t="shared" si="26"/>
        <v/>
      </c>
      <c r="K1656" s="162"/>
      <c r="L1656" s="163"/>
      <c r="M1656" s="164"/>
      <c r="N1656" s="157"/>
      <c r="O1656" s="157"/>
      <c r="P1656" s="157"/>
      <c r="Q1656" s="156" t="s">
        <v>7433</v>
      </c>
    </row>
    <row r="1657" spans="4:17" x14ac:dyDescent="0.25">
      <c r="D1657" s="157" t="s">
        <v>7434</v>
      </c>
      <c r="E1657" s="156" t="s">
        <v>7432</v>
      </c>
      <c r="F1657" s="157"/>
      <c r="G1657" s="156"/>
      <c r="H1657" s="157"/>
      <c r="I1657" s="157"/>
      <c r="J1657" s="156" t="str">
        <f t="shared" si="26"/>
        <v/>
      </c>
      <c r="K1657" s="162"/>
      <c r="L1657" s="163"/>
      <c r="M1657" s="164"/>
      <c r="N1657" s="157"/>
      <c r="O1657" s="157"/>
      <c r="P1657" s="157"/>
      <c r="Q1657" s="156" t="s">
        <v>7435</v>
      </c>
    </row>
    <row r="1658" spans="4:17" x14ac:dyDescent="0.25">
      <c r="D1658" s="157" t="s">
        <v>7436</v>
      </c>
      <c r="E1658" s="156" t="s">
        <v>7432</v>
      </c>
      <c r="F1658" s="157"/>
      <c r="G1658" s="156"/>
      <c r="H1658" s="157"/>
      <c r="I1658" s="157"/>
      <c r="J1658" s="156" t="str">
        <f t="shared" si="26"/>
        <v/>
      </c>
      <c r="K1658" s="162"/>
      <c r="L1658" s="163"/>
      <c r="M1658" s="164"/>
      <c r="N1658" s="157"/>
      <c r="O1658" s="157"/>
      <c r="P1658" s="157"/>
      <c r="Q1658" s="156" t="s">
        <v>7437</v>
      </c>
    </row>
    <row r="1659" spans="4:17" x14ac:dyDescent="0.25">
      <c r="D1659" s="157" t="s">
        <v>7438</v>
      </c>
      <c r="E1659" s="156" t="s">
        <v>7432</v>
      </c>
      <c r="F1659" s="157"/>
      <c r="G1659" s="156"/>
      <c r="H1659" s="157"/>
      <c r="I1659" s="157"/>
      <c r="J1659" s="156" t="str">
        <f t="shared" si="26"/>
        <v/>
      </c>
      <c r="K1659" s="162"/>
      <c r="L1659" s="163"/>
      <c r="M1659" s="164"/>
      <c r="N1659" s="157"/>
      <c r="O1659" s="157"/>
      <c r="P1659" s="157"/>
      <c r="Q1659" s="156" t="s">
        <v>7439</v>
      </c>
    </row>
    <row r="1660" spans="4:17" x14ac:dyDescent="0.25">
      <c r="D1660" s="157" t="s">
        <v>7440</v>
      </c>
      <c r="E1660" s="156" t="s">
        <v>7432</v>
      </c>
      <c r="F1660" s="157"/>
      <c r="G1660" s="156"/>
      <c r="H1660" s="157"/>
      <c r="I1660" s="157"/>
      <c r="J1660" s="156" t="str">
        <f t="shared" si="26"/>
        <v/>
      </c>
      <c r="K1660" s="162"/>
      <c r="L1660" s="163"/>
      <c r="M1660" s="164"/>
      <c r="N1660" s="157"/>
      <c r="O1660" s="157"/>
      <c r="P1660" s="157"/>
      <c r="Q1660" s="156" t="s">
        <v>7441</v>
      </c>
    </row>
    <row r="1661" spans="4:17" x14ac:dyDescent="0.25">
      <c r="D1661" s="157" t="s">
        <v>7442</v>
      </c>
      <c r="E1661" s="156" t="s">
        <v>7432</v>
      </c>
      <c r="F1661" s="157"/>
      <c r="G1661" s="156"/>
      <c r="H1661" s="157"/>
      <c r="I1661" s="157"/>
      <c r="J1661" s="156" t="str">
        <f t="shared" si="26"/>
        <v/>
      </c>
      <c r="K1661" s="162"/>
      <c r="L1661" s="163"/>
      <c r="M1661" s="164"/>
      <c r="N1661" s="157"/>
      <c r="O1661" s="157"/>
      <c r="P1661" s="157"/>
      <c r="Q1661" s="156" t="s">
        <v>7443</v>
      </c>
    </row>
    <row r="1662" spans="4:17" x14ac:dyDescent="0.25">
      <c r="D1662" s="157" t="s">
        <v>7444</v>
      </c>
      <c r="E1662" s="156" t="s">
        <v>7432</v>
      </c>
      <c r="F1662" s="157"/>
      <c r="G1662" s="156"/>
      <c r="H1662" s="157"/>
      <c r="I1662" s="157"/>
      <c r="J1662" s="156" t="str">
        <f t="shared" si="26"/>
        <v/>
      </c>
      <c r="K1662" s="162"/>
      <c r="L1662" s="163"/>
      <c r="M1662" s="164"/>
      <c r="N1662" s="157"/>
      <c r="O1662" s="157"/>
      <c r="P1662" s="157"/>
      <c r="Q1662" s="156" t="s">
        <v>7445</v>
      </c>
    </row>
    <row r="1663" spans="4:17" x14ac:dyDescent="0.25">
      <c r="D1663" s="157" t="s">
        <v>7446</v>
      </c>
      <c r="E1663" s="156" t="s">
        <v>7432</v>
      </c>
      <c r="F1663" s="157"/>
      <c r="G1663" s="156"/>
      <c r="H1663" s="157"/>
      <c r="I1663" s="157"/>
      <c r="J1663" s="156" t="str">
        <f t="shared" si="26"/>
        <v/>
      </c>
      <c r="K1663" s="162"/>
      <c r="L1663" s="163"/>
      <c r="M1663" s="164"/>
      <c r="N1663" s="157"/>
      <c r="O1663" s="157"/>
      <c r="P1663" s="157"/>
      <c r="Q1663" s="156" t="s">
        <v>7447</v>
      </c>
    </row>
    <row r="1664" spans="4:17" x14ac:dyDescent="0.25">
      <c r="D1664" s="157" t="s">
        <v>7448</v>
      </c>
      <c r="E1664" s="156" t="s">
        <v>7432</v>
      </c>
      <c r="F1664" s="157"/>
      <c r="G1664" s="156"/>
      <c r="H1664" s="157"/>
      <c r="I1664" s="157"/>
      <c r="J1664" s="156" t="str">
        <f t="shared" si="26"/>
        <v/>
      </c>
      <c r="K1664" s="162"/>
      <c r="L1664" s="163"/>
      <c r="M1664" s="164"/>
      <c r="N1664" s="157"/>
      <c r="O1664" s="157"/>
      <c r="P1664" s="157"/>
      <c r="Q1664" s="156" t="s">
        <v>7449</v>
      </c>
    </row>
    <row r="1665" spans="4:17" x14ac:dyDescent="0.25">
      <c r="D1665" s="157" t="s">
        <v>7450</v>
      </c>
      <c r="E1665" s="156" t="s">
        <v>7432</v>
      </c>
      <c r="F1665" s="157"/>
      <c r="G1665" s="156"/>
      <c r="H1665" s="157"/>
      <c r="I1665" s="157"/>
      <c r="J1665" s="156" t="str">
        <f t="shared" si="26"/>
        <v/>
      </c>
      <c r="K1665" s="162"/>
      <c r="L1665" s="163"/>
      <c r="M1665" s="164"/>
      <c r="N1665" s="157"/>
      <c r="O1665" s="157"/>
      <c r="P1665" s="157"/>
      <c r="Q1665" s="156" t="s">
        <v>7451</v>
      </c>
    </row>
    <row r="1666" spans="4:17" x14ac:dyDescent="0.25">
      <c r="D1666" s="157" t="s">
        <v>7452</v>
      </c>
      <c r="E1666" s="156" t="s">
        <v>7432</v>
      </c>
      <c r="F1666" s="157"/>
      <c r="G1666" s="156"/>
      <c r="H1666" s="157"/>
      <c r="I1666" s="157"/>
      <c r="J1666" s="156" t="str">
        <f t="shared" si="26"/>
        <v/>
      </c>
      <c r="K1666" s="162"/>
      <c r="L1666" s="163"/>
      <c r="M1666" s="164"/>
      <c r="N1666" s="157"/>
      <c r="O1666" s="157"/>
      <c r="P1666" s="157"/>
      <c r="Q1666" s="156" t="s">
        <v>7453</v>
      </c>
    </row>
    <row r="1667" spans="4:17" x14ac:dyDescent="0.25">
      <c r="D1667" s="157" t="s">
        <v>7454</v>
      </c>
      <c r="E1667" s="156" t="s">
        <v>7432</v>
      </c>
      <c r="F1667" s="157"/>
      <c r="G1667" s="156"/>
      <c r="H1667" s="157"/>
      <c r="I1667" s="157"/>
      <c r="J1667" s="156" t="str">
        <f t="shared" si="26"/>
        <v/>
      </c>
      <c r="K1667" s="162"/>
      <c r="L1667" s="163"/>
      <c r="M1667" s="164"/>
      <c r="N1667" s="157"/>
      <c r="O1667" s="157"/>
      <c r="P1667" s="157"/>
      <c r="Q1667" s="156" t="s">
        <v>7455</v>
      </c>
    </row>
    <row r="1668" spans="4:17" x14ac:dyDescent="0.25">
      <c r="D1668" s="157" t="s">
        <v>7456</v>
      </c>
      <c r="E1668" s="156" t="s">
        <v>7432</v>
      </c>
      <c r="F1668" s="157"/>
      <c r="G1668" s="156"/>
      <c r="H1668" s="157"/>
      <c r="I1668" s="157"/>
      <c r="J1668" s="156" t="str">
        <f t="shared" si="26"/>
        <v/>
      </c>
      <c r="K1668" s="162"/>
      <c r="L1668" s="163"/>
      <c r="M1668" s="164"/>
      <c r="N1668" s="157"/>
      <c r="O1668" s="157"/>
      <c r="P1668" s="157"/>
      <c r="Q1668" s="156" t="s">
        <v>7457</v>
      </c>
    </row>
    <row r="1669" spans="4:17" x14ac:dyDescent="0.25">
      <c r="D1669" s="157" t="s">
        <v>7458</v>
      </c>
      <c r="E1669" s="156" t="s">
        <v>7432</v>
      </c>
      <c r="F1669" s="157"/>
      <c r="G1669" s="156"/>
      <c r="H1669" s="157"/>
      <c r="I1669" s="157"/>
      <c r="J1669" s="156" t="str">
        <f t="shared" si="26"/>
        <v/>
      </c>
      <c r="K1669" s="162"/>
      <c r="L1669" s="163"/>
      <c r="M1669" s="164"/>
      <c r="N1669" s="157"/>
      <c r="O1669" s="157"/>
      <c r="P1669" s="157"/>
      <c r="Q1669" s="156" t="s">
        <v>7459</v>
      </c>
    </row>
    <row r="1670" spans="4:17" x14ac:dyDescent="0.25">
      <c r="D1670" s="157" t="s">
        <v>7460</v>
      </c>
      <c r="E1670" s="156" t="s">
        <v>7432</v>
      </c>
      <c r="F1670" s="157"/>
      <c r="G1670" s="156"/>
      <c r="H1670" s="157"/>
      <c r="I1670" s="157"/>
      <c r="J1670" s="156" t="str">
        <f t="shared" si="26"/>
        <v/>
      </c>
      <c r="K1670" s="162"/>
      <c r="L1670" s="163"/>
      <c r="M1670" s="164"/>
      <c r="N1670" s="157"/>
      <c r="O1670" s="157"/>
      <c r="P1670" s="157"/>
      <c r="Q1670" s="156" t="s">
        <v>7461</v>
      </c>
    </row>
    <row r="1671" spans="4:17" x14ac:dyDescent="0.25">
      <c r="D1671" s="157" t="s">
        <v>7462</v>
      </c>
      <c r="E1671" s="156" t="s">
        <v>7432</v>
      </c>
      <c r="F1671" s="157"/>
      <c r="G1671" s="156"/>
      <c r="H1671" s="157"/>
      <c r="I1671" s="157"/>
      <c r="J1671" s="156" t="str">
        <f t="shared" si="26"/>
        <v/>
      </c>
      <c r="K1671" s="162"/>
      <c r="L1671" s="163"/>
      <c r="M1671" s="164"/>
      <c r="N1671" s="157"/>
      <c r="O1671" s="157"/>
      <c r="P1671" s="157"/>
      <c r="Q1671" s="156" t="s">
        <v>7463</v>
      </c>
    </row>
    <row r="1672" spans="4:17" x14ac:dyDescent="0.25">
      <c r="D1672" s="157" t="s">
        <v>7464</v>
      </c>
      <c r="E1672" s="156" t="s">
        <v>7432</v>
      </c>
      <c r="F1672" s="157"/>
      <c r="G1672" s="156"/>
      <c r="H1672" s="157"/>
      <c r="I1672" s="157"/>
      <c r="J1672" s="156" t="str">
        <f t="shared" si="26"/>
        <v/>
      </c>
      <c r="K1672" s="162"/>
      <c r="L1672" s="163"/>
      <c r="M1672" s="164"/>
      <c r="N1672" s="157"/>
      <c r="O1672" s="157"/>
      <c r="P1672" s="157"/>
      <c r="Q1672" s="156" t="s">
        <v>7465</v>
      </c>
    </row>
    <row r="1673" spans="4:17" x14ac:dyDescent="0.25">
      <c r="D1673" s="157" t="s">
        <v>7466</v>
      </c>
      <c r="E1673" s="156" t="s">
        <v>7432</v>
      </c>
      <c r="F1673" s="157"/>
      <c r="G1673" s="156"/>
      <c r="H1673" s="157"/>
      <c r="I1673" s="157"/>
      <c r="J1673" s="156" t="str">
        <f t="shared" si="26"/>
        <v/>
      </c>
      <c r="K1673" s="162"/>
      <c r="L1673" s="163"/>
      <c r="M1673" s="164"/>
      <c r="N1673" s="157"/>
      <c r="O1673" s="157"/>
      <c r="P1673" s="157"/>
      <c r="Q1673" s="156" t="s">
        <v>7467</v>
      </c>
    </row>
    <row r="1674" spans="4:17" x14ac:dyDescent="0.25">
      <c r="D1674" s="157" t="s">
        <v>7468</v>
      </c>
      <c r="E1674" s="156" t="s">
        <v>7432</v>
      </c>
      <c r="F1674" s="157"/>
      <c r="G1674" s="156"/>
      <c r="H1674" s="157"/>
      <c r="I1674" s="157"/>
      <c r="J1674" s="156" t="str">
        <f t="shared" si="26"/>
        <v/>
      </c>
      <c r="K1674" s="162"/>
      <c r="L1674" s="163"/>
      <c r="M1674" s="164"/>
      <c r="N1674" s="157"/>
      <c r="O1674" s="157"/>
      <c r="P1674" s="157"/>
      <c r="Q1674" s="156" t="s">
        <v>7469</v>
      </c>
    </row>
    <row r="1675" spans="4:17" x14ac:dyDescent="0.25">
      <c r="D1675" s="157" t="s">
        <v>7470</v>
      </c>
      <c r="E1675" s="156" t="s">
        <v>7432</v>
      </c>
      <c r="F1675" s="157"/>
      <c r="G1675" s="156"/>
      <c r="H1675" s="157"/>
      <c r="I1675" s="157"/>
      <c r="J1675" s="156" t="str">
        <f t="shared" si="26"/>
        <v/>
      </c>
      <c r="K1675" s="162"/>
      <c r="L1675" s="163"/>
      <c r="M1675" s="164"/>
      <c r="N1675" s="157"/>
      <c r="O1675" s="157"/>
      <c r="P1675" s="157"/>
      <c r="Q1675" s="156" t="s">
        <v>7471</v>
      </c>
    </row>
    <row r="1676" spans="4:17" x14ac:dyDescent="0.25">
      <c r="D1676" s="157" t="s">
        <v>7472</v>
      </c>
      <c r="E1676" s="156" t="s">
        <v>7473</v>
      </c>
      <c r="F1676" s="157"/>
      <c r="G1676" s="156"/>
      <c r="H1676" s="157"/>
      <c r="I1676" s="157"/>
      <c r="J1676" s="156" t="str">
        <f t="shared" si="26"/>
        <v/>
      </c>
      <c r="K1676" s="162"/>
      <c r="L1676" s="163"/>
      <c r="M1676" s="164"/>
      <c r="N1676" s="157"/>
      <c r="O1676" s="157"/>
      <c r="P1676" s="157"/>
      <c r="Q1676" s="156" t="s">
        <v>7474</v>
      </c>
    </row>
    <row r="1677" spans="4:17" x14ac:dyDescent="0.25">
      <c r="D1677" s="157" t="s">
        <v>7475</v>
      </c>
      <c r="E1677" s="156" t="s">
        <v>7473</v>
      </c>
      <c r="F1677" s="157"/>
      <c r="G1677" s="156"/>
      <c r="H1677" s="157"/>
      <c r="I1677" s="157"/>
      <c r="J1677" s="156" t="str">
        <f t="shared" si="26"/>
        <v/>
      </c>
      <c r="K1677" s="162"/>
      <c r="L1677" s="163"/>
      <c r="M1677" s="164"/>
      <c r="N1677" s="157"/>
      <c r="O1677" s="157"/>
      <c r="P1677" s="157"/>
      <c r="Q1677" s="156" t="s">
        <v>7476</v>
      </c>
    </row>
    <row r="1678" spans="4:17" x14ac:dyDescent="0.25">
      <c r="D1678" s="157" t="s">
        <v>7477</v>
      </c>
      <c r="E1678" s="156" t="s">
        <v>7473</v>
      </c>
      <c r="F1678" s="157"/>
      <c r="G1678" s="156"/>
      <c r="H1678" s="157"/>
      <c r="I1678" s="157"/>
      <c r="J1678" s="156" t="str">
        <f t="shared" si="26"/>
        <v/>
      </c>
      <c r="K1678" s="162"/>
      <c r="L1678" s="163"/>
      <c r="M1678" s="164"/>
      <c r="N1678" s="157"/>
      <c r="O1678" s="157"/>
      <c r="P1678" s="157"/>
      <c r="Q1678" s="156" t="s">
        <v>7478</v>
      </c>
    </row>
    <row r="1679" spans="4:17" x14ac:dyDescent="0.25">
      <c r="D1679" s="157" t="s">
        <v>7479</v>
      </c>
      <c r="E1679" s="156" t="s">
        <v>7473</v>
      </c>
      <c r="F1679" s="157"/>
      <c r="G1679" s="156"/>
      <c r="H1679" s="157"/>
      <c r="I1679" s="157"/>
      <c r="J1679" s="156" t="str">
        <f t="shared" si="26"/>
        <v/>
      </c>
      <c r="K1679" s="162"/>
      <c r="L1679" s="163"/>
      <c r="M1679" s="164"/>
      <c r="N1679" s="157"/>
      <c r="O1679" s="157"/>
      <c r="P1679" s="157"/>
      <c r="Q1679" s="156" t="s">
        <v>7480</v>
      </c>
    </row>
    <row r="1680" spans="4:17" x14ac:dyDescent="0.25">
      <c r="D1680" s="157" t="s">
        <v>7481</v>
      </c>
      <c r="E1680" s="156" t="s">
        <v>7473</v>
      </c>
      <c r="F1680" s="157"/>
      <c r="G1680" s="156"/>
      <c r="H1680" s="157"/>
      <c r="I1680" s="157"/>
      <c r="J1680" s="156" t="str">
        <f t="shared" si="26"/>
        <v/>
      </c>
      <c r="K1680" s="162"/>
      <c r="L1680" s="163"/>
      <c r="M1680" s="164"/>
      <c r="N1680" s="157"/>
      <c r="O1680" s="157"/>
      <c r="P1680" s="157"/>
      <c r="Q1680" s="156" t="s">
        <v>7482</v>
      </c>
    </row>
    <row r="1681" spans="4:17" x14ac:dyDescent="0.25">
      <c r="D1681" s="157" t="s">
        <v>7483</v>
      </c>
      <c r="E1681" s="156" t="s">
        <v>7473</v>
      </c>
      <c r="F1681" s="157"/>
      <c r="G1681" s="156"/>
      <c r="H1681" s="157"/>
      <c r="I1681" s="157"/>
      <c r="J1681" s="156" t="str">
        <f t="shared" si="26"/>
        <v/>
      </c>
      <c r="K1681" s="162"/>
      <c r="L1681" s="163"/>
      <c r="M1681" s="164"/>
      <c r="N1681" s="157"/>
      <c r="O1681" s="157"/>
      <c r="P1681" s="157"/>
      <c r="Q1681" s="156" t="s">
        <v>7484</v>
      </c>
    </row>
    <row r="1682" spans="4:17" x14ac:dyDescent="0.25">
      <c r="D1682" s="157" t="s">
        <v>7485</v>
      </c>
      <c r="E1682" s="156" t="s">
        <v>7473</v>
      </c>
      <c r="F1682" s="157"/>
      <c r="G1682" s="156"/>
      <c r="H1682" s="157"/>
      <c r="I1682" s="157"/>
      <c r="J1682" s="156" t="str">
        <f t="shared" si="26"/>
        <v/>
      </c>
      <c r="K1682" s="162"/>
      <c r="L1682" s="163"/>
      <c r="M1682" s="164"/>
      <c r="N1682" s="157"/>
      <c r="O1682" s="157"/>
      <c r="P1682" s="157"/>
      <c r="Q1682" s="156" t="s">
        <v>7486</v>
      </c>
    </row>
    <row r="1683" spans="4:17" x14ac:dyDescent="0.25">
      <c r="D1683" s="157" t="s">
        <v>7487</v>
      </c>
      <c r="E1683" s="156" t="s">
        <v>7473</v>
      </c>
      <c r="F1683" s="157"/>
      <c r="G1683" s="156"/>
      <c r="H1683" s="157"/>
      <c r="I1683" s="157"/>
      <c r="J1683" s="156" t="str">
        <f t="shared" si="26"/>
        <v/>
      </c>
      <c r="K1683" s="162"/>
      <c r="L1683" s="163"/>
      <c r="M1683" s="164"/>
      <c r="N1683" s="157"/>
      <c r="O1683" s="157"/>
      <c r="P1683" s="157"/>
      <c r="Q1683" s="156" t="s">
        <v>7488</v>
      </c>
    </row>
    <row r="1684" spans="4:17" x14ac:dyDescent="0.25">
      <c r="D1684" s="157" t="s">
        <v>7489</v>
      </c>
      <c r="E1684" s="156" t="s">
        <v>7473</v>
      </c>
      <c r="F1684" s="157"/>
      <c r="G1684" s="156"/>
      <c r="H1684" s="157"/>
      <c r="I1684" s="157"/>
      <c r="J1684" s="156" t="str">
        <f t="shared" si="26"/>
        <v/>
      </c>
      <c r="K1684" s="162"/>
      <c r="L1684" s="163"/>
      <c r="M1684" s="164"/>
      <c r="N1684" s="157"/>
      <c r="O1684" s="157"/>
      <c r="P1684" s="157"/>
      <c r="Q1684" s="156" t="s">
        <v>7490</v>
      </c>
    </row>
    <row r="1685" spans="4:17" x14ac:dyDescent="0.25">
      <c r="D1685" s="157" t="s">
        <v>7491</v>
      </c>
      <c r="E1685" s="156" t="s">
        <v>7473</v>
      </c>
      <c r="F1685" s="157"/>
      <c r="G1685" s="156"/>
      <c r="H1685" s="157"/>
      <c r="I1685" s="157"/>
      <c r="J1685" s="156" t="str">
        <f t="shared" si="26"/>
        <v/>
      </c>
      <c r="K1685" s="162"/>
      <c r="L1685" s="163"/>
      <c r="M1685" s="164"/>
      <c r="N1685" s="157"/>
      <c r="O1685" s="157"/>
      <c r="P1685" s="157"/>
      <c r="Q1685" s="156" t="s">
        <v>7492</v>
      </c>
    </row>
    <row r="1686" spans="4:17" x14ac:dyDescent="0.25">
      <c r="D1686" s="157" t="s">
        <v>7493</v>
      </c>
      <c r="E1686" s="156" t="s">
        <v>7473</v>
      </c>
      <c r="F1686" s="157"/>
      <c r="G1686" s="156"/>
      <c r="H1686" s="157"/>
      <c r="I1686" s="157"/>
      <c r="J1686" s="156" t="str">
        <f t="shared" si="26"/>
        <v/>
      </c>
      <c r="K1686" s="162"/>
      <c r="L1686" s="163"/>
      <c r="M1686" s="164"/>
      <c r="N1686" s="157"/>
      <c r="O1686" s="157"/>
      <c r="P1686" s="157"/>
      <c r="Q1686" s="156" t="s">
        <v>7494</v>
      </c>
    </row>
    <row r="1687" spans="4:17" x14ac:dyDescent="0.25">
      <c r="D1687" s="157" t="s">
        <v>7495</v>
      </c>
      <c r="E1687" s="156" t="s">
        <v>7473</v>
      </c>
      <c r="F1687" s="157"/>
      <c r="G1687" s="156"/>
      <c r="H1687" s="157"/>
      <c r="I1687" s="157"/>
      <c r="J1687" s="156" t="str">
        <f t="shared" si="26"/>
        <v/>
      </c>
      <c r="K1687" s="162"/>
      <c r="L1687" s="163"/>
      <c r="M1687" s="164"/>
      <c r="N1687" s="157"/>
      <c r="O1687" s="157"/>
      <c r="P1687" s="157"/>
      <c r="Q1687" s="156" t="s">
        <v>7496</v>
      </c>
    </row>
    <row r="1688" spans="4:17" x14ac:dyDescent="0.25">
      <c r="D1688" s="157" t="s">
        <v>7497</v>
      </c>
      <c r="E1688" s="156" t="s">
        <v>7473</v>
      </c>
      <c r="F1688" s="157"/>
      <c r="G1688" s="156"/>
      <c r="H1688" s="157"/>
      <c r="I1688" s="157"/>
      <c r="J1688" s="156" t="str">
        <f t="shared" si="26"/>
        <v/>
      </c>
      <c r="K1688" s="162"/>
      <c r="L1688" s="163"/>
      <c r="M1688" s="164"/>
      <c r="N1688" s="157"/>
      <c r="O1688" s="157"/>
      <c r="P1688" s="157"/>
      <c r="Q1688" s="156" t="s">
        <v>7498</v>
      </c>
    </row>
    <row r="1689" spans="4:17" x14ac:dyDescent="0.25">
      <c r="D1689" s="157" t="s">
        <v>7499</v>
      </c>
      <c r="E1689" s="156" t="s">
        <v>7473</v>
      </c>
      <c r="F1689" s="157"/>
      <c r="G1689" s="156"/>
      <c r="H1689" s="157"/>
      <c r="I1689" s="157"/>
      <c r="J1689" s="156" t="str">
        <f t="shared" si="26"/>
        <v/>
      </c>
      <c r="K1689" s="162"/>
      <c r="L1689" s="163"/>
      <c r="M1689" s="164"/>
      <c r="N1689" s="157"/>
      <c r="O1689" s="157"/>
      <c r="P1689" s="157"/>
      <c r="Q1689" s="156" t="s">
        <v>7500</v>
      </c>
    </row>
    <row r="1690" spans="4:17" x14ac:dyDescent="0.25">
      <c r="D1690" s="157" t="s">
        <v>7501</v>
      </c>
      <c r="E1690" s="156" t="s">
        <v>7473</v>
      </c>
      <c r="F1690" s="157"/>
      <c r="G1690" s="156"/>
      <c r="H1690" s="157"/>
      <c r="I1690" s="157"/>
      <c r="J1690" s="156" t="str">
        <f t="shared" si="26"/>
        <v/>
      </c>
      <c r="K1690" s="162"/>
      <c r="L1690" s="163"/>
      <c r="M1690" s="164"/>
      <c r="N1690" s="157"/>
      <c r="O1690" s="157"/>
      <c r="P1690" s="157"/>
      <c r="Q1690" s="156" t="s">
        <v>7502</v>
      </c>
    </row>
    <row r="1691" spans="4:17" x14ac:dyDescent="0.25">
      <c r="D1691" s="157" t="s">
        <v>7503</v>
      </c>
      <c r="E1691" s="156" t="s">
        <v>7473</v>
      </c>
      <c r="F1691" s="157"/>
      <c r="G1691" s="156"/>
      <c r="H1691" s="157"/>
      <c r="I1691" s="157"/>
      <c r="J1691" s="156" t="str">
        <f t="shared" si="26"/>
        <v/>
      </c>
      <c r="K1691" s="162"/>
      <c r="L1691" s="163"/>
      <c r="M1691" s="164"/>
      <c r="N1691" s="157"/>
      <c r="O1691" s="157"/>
      <c r="P1691" s="157"/>
      <c r="Q1691" s="156" t="s">
        <v>7504</v>
      </c>
    </row>
    <row r="1692" spans="4:17" x14ac:dyDescent="0.25">
      <c r="D1692" s="157" t="s">
        <v>7505</v>
      </c>
      <c r="E1692" s="156" t="s">
        <v>7473</v>
      </c>
      <c r="F1692" s="157"/>
      <c r="G1692" s="156"/>
      <c r="H1692" s="157"/>
      <c r="I1692" s="157"/>
      <c r="J1692" s="156" t="str">
        <f t="shared" si="26"/>
        <v/>
      </c>
      <c r="K1692" s="162"/>
      <c r="L1692" s="163"/>
      <c r="M1692" s="164"/>
      <c r="N1692" s="157"/>
      <c r="O1692" s="157"/>
      <c r="P1692" s="157"/>
      <c r="Q1692" s="156" t="s">
        <v>7506</v>
      </c>
    </row>
    <row r="1693" spans="4:17" x14ac:dyDescent="0.25">
      <c r="D1693" s="157" t="s">
        <v>7507</v>
      </c>
      <c r="E1693" s="156" t="s">
        <v>7473</v>
      </c>
      <c r="F1693" s="157"/>
      <c r="G1693" s="156"/>
      <c r="H1693" s="157"/>
      <c r="I1693" s="157"/>
      <c r="J1693" s="156" t="str">
        <f t="shared" si="26"/>
        <v/>
      </c>
      <c r="K1693" s="162"/>
      <c r="L1693" s="163"/>
      <c r="M1693" s="164"/>
      <c r="N1693" s="157"/>
      <c r="O1693" s="157"/>
      <c r="P1693" s="157"/>
      <c r="Q1693" s="156" t="s">
        <v>7508</v>
      </c>
    </row>
    <row r="1694" spans="4:17" x14ac:dyDescent="0.25">
      <c r="D1694" s="157" t="s">
        <v>7509</v>
      </c>
      <c r="E1694" s="156" t="s">
        <v>7473</v>
      </c>
      <c r="F1694" s="157"/>
      <c r="G1694" s="156"/>
      <c r="H1694" s="157"/>
      <c r="I1694" s="157"/>
      <c r="J1694" s="156" t="str">
        <f t="shared" si="26"/>
        <v/>
      </c>
      <c r="K1694" s="162"/>
      <c r="L1694" s="163"/>
      <c r="M1694" s="164"/>
      <c r="N1694" s="157"/>
      <c r="O1694" s="157"/>
      <c r="P1694" s="157"/>
      <c r="Q1694" s="156" t="s">
        <v>7510</v>
      </c>
    </row>
    <row r="1695" spans="4:17" x14ac:dyDescent="0.25">
      <c r="D1695" s="157" t="s">
        <v>7511</v>
      </c>
      <c r="E1695" s="156" t="s">
        <v>7473</v>
      </c>
      <c r="F1695" s="157"/>
      <c r="G1695" s="156"/>
      <c r="H1695" s="157"/>
      <c r="I1695" s="157"/>
      <c r="J1695" s="156" t="str">
        <f t="shared" si="26"/>
        <v/>
      </c>
      <c r="K1695" s="162"/>
      <c r="L1695" s="163"/>
      <c r="M1695" s="164"/>
      <c r="N1695" s="157"/>
      <c r="O1695" s="157"/>
      <c r="P1695" s="157"/>
      <c r="Q1695" s="156" t="s">
        <v>7512</v>
      </c>
    </row>
    <row r="1696" spans="4:17" x14ac:dyDescent="0.25">
      <c r="D1696" s="157" t="s">
        <v>7513</v>
      </c>
      <c r="E1696" s="156" t="s">
        <v>7514</v>
      </c>
      <c r="F1696" s="157"/>
      <c r="G1696" s="156"/>
      <c r="H1696" s="157"/>
      <c r="I1696" s="157"/>
      <c r="J1696" s="156" t="str">
        <f t="shared" si="26"/>
        <v/>
      </c>
      <c r="K1696" s="162"/>
      <c r="L1696" s="163"/>
      <c r="M1696" s="164"/>
      <c r="N1696" s="157"/>
      <c r="O1696" s="157"/>
      <c r="P1696" s="157"/>
      <c r="Q1696" s="156" t="s">
        <v>7515</v>
      </c>
    </row>
    <row r="1697" spans="4:17" x14ac:dyDescent="0.25">
      <c r="D1697" s="157" t="s">
        <v>7516</v>
      </c>
      <c r="E1697" s="156" t="s">
        <v>7514</v>
      </c>
      <c r="F1697" s="157"/>
      <c r="G1697" s="156"/>
      <c r="H1697" s="157"/>
      <c r="I1697" s="157"/>
      <c r="J1697" s="156" t="str">
        <f t="shared" si="26"/>
        <v/>
      </c>
      <c r="K1697" s="162"/>
      <c r="L1697" s="163"/>
      <c r="M1697" s="164"/>
      <c r="N1697" s="157"/>
      <c r="O1697" s="157"/>
      <c r="P1697" s="157"/>
      <c r="Q1697" s="156" t="s">
        <v>7517</v>
      </c>
    </row>
    <row r="1698" spans="4:17" x14ac:dyDescent="0.25">
      <c r="D1698" s="157" t="s">
        <v>7518</v>
      </c>
      <c r="E1698" s="156" t="s">
        <v>7514</v>
      </c>
      <c r="F1698" s="157"/>
      <c r="G1698" s="156"/>
      <c r="H1698" s="157"/>
      <c r="I1698" s="157"/>
      <c r="J1698" s="156" t="str">
        <f t="shared" si="26"/>
        <v/>
      </c>
      <c r="K1698" s="162"/>
      <c r="L1698" s="163"/>
      <c r="M1698" s="164"/>
      <c r="N1698" s="157"/>
      <c r="O1698" s="157"/>
      <c r="P1698" s="157"/>
      <c r="Q1698" s="156" t="s">
        <v>7519</v>
      </c>
    </row>
    <row r="1699" spans="4:17" x14ac:dyDescent="0.25">
      <c r="D1699" s="157" t="s">
        <v>7520</v>
      </c>
      <c r="E1699" s="156" t="s">
        <v>7514</v>
      </c>
      <c r="F1699" s="157"/>
      <c r="G1699" s="156"/>
      <c r="H1699" s="157"/>
      <c r="I1699" s="157"/>
      <c r="J1699" s="156" t="str">
        <f t="shared" si="26"/>
        <v/>
      </c>
      <c r="K1699" s="162"/>
      <c r="L1699" s="163"/>
      <c r="M1699" s="164"/>
      <c r="N1699" s="157"/>
      <c r="O1699" s="157"/>
      <c r="P1699" s="157"/>
      <c r="Q1699" s="156" t="s">
        <v>7521</v>
      </c>
    </row>
    <row r="1700" spans="4:17" x14ac:dyDescent="0.25">
      <c r="D1700" s="157" t="s">
        <v>7522</v>
      </c>
      <c r="E1700" s="156" t="s">
        <v>7514</v>
      </c>
      <c r="F1700" s="157"/>
      <c r="G1700" s="156"/>
      <c r="H1700" s="157"/>
      <c r="I1700" s="157"/>
      <c r="J1700" s="156" t="str">
        <f t="shared" si="26"/>
        <v/>
      </c>
      <c r="K1700" s="162"/>
      <c r="L1700" s="163"/>
      <c r="M1700" s="164"/>
      <c r="N1700" s="157"/>
      <c r="O1700" s="157"/>
      <c r="P1700" s="157"/>
      <c r="Q1700" s="156" t="s">
        <v>7523</v>
      </c>
    </row>
    <row r="1701" spans="4:17" x14ac:dyDescent="0.25">
      <c r="D1701" s="157" t="s">
        <v>7524</v>
      </c>
      <c r="E1701" s="156" t="s">
        <v>7514</v>
      </c>
      <c r="F1701" s="157"/>
      <c r="G1701" s="156"/>
      <c r="H1701" s="157"/>
      <c r="I1701" s="157"/>
      <c r="J1701" s="156" t="str">
        <f t="shared" si="26"/>
        <v/>
      </c>
      <c r="K1701" s="162"/>
      <c r="L1701" s="163"/>
      <c r="M1701" s="164"/>
      <c r="N1701" s="157"/>
      <c r="O1701" s="157"/>
      <c r="P1701" s="157"/>
      <c r="Q1701" s="156" t="s">
        <v>7525</v>
      </c>
    </row>
    <row r="1702" spans="4:17" x14ac:dyDescent="0.25">
      <c r="D1702" s="157" t="s">
        <v>7526</v>
      </c>
      <c r="E1702" s="156" t="s">
        <v>7514</v>
      </c>
      <c r="F1702" s="157"/>
      <c r="G1702" s="156"/>
      <c r="H1702" s="157"/>
      <c r="I1702" s="157"/>
      <c r="J1702" s="156" t="str">
        <f t="shared" si="26"/>
        <v/>
      </c>
      <c r="K1702" s="162"/>
      <c r="L1702" s="163"/>
      <c r="M1702" s="164"/>
      <c r="N1702" s="157"/>
      <c r="O1702" s="157"/>
      <c r="P1702" s="157"/>
      <c r="Q1702" s="156" t="s">
        <v>7527</v>
      </c>
    </row>
    <row r="1703" spans="4:17" x14ac:dyDescent="0.25">
      <c r="D1703" s="157" t="s">
        <v>7528</v>
      </c>
      <c r="E1703" s="156" t="s">
        <v>7514</v>
      </c>
      <c r="F1703" s="157"/>
      <c r="G1703" s="156"/>
      <c r="H1703" s="157"/>
      <c r="I1703" s="157"/>
      <c r="J1703" s="156" t="str">
        <f t="shared" si="26"/>
        <v/>
      </c>
      <c r="K1703" s="162"/>
      <c r="L1703" s="163"/>
      <c r="M1703" s="164"/>
      <c r="N1703" s="157"/>
      <c r="O1703" s="157"/>
      <c r="P1703" s="157"/>
      <c r="Q1703" s="156" t="s">
        <v>7529</v>
      </c>
    </row>
    <row r="1704" spans="4:17" x14ac:dyDescent="0.25">
      <c r="D1704" s="157" t="s">
        <v>7530</v>
      </c>
      <c r="E1704" s="156" t="s">
        <v>7514</v>
      </c>
      <c r="F1704" s="157"/>
      <c r="G1704" s="156"/>
      <c r="H1704" s="157"/>
      <c r="I1704" s="157"/>
      <c r="J1704" s="156" t="str">
        <f t="shared" ref="J1704:J1767" si="27">F1704&amp;H1704&amp;I1704</f>
        <v/>
      </c>
      <c r="K1704" s="162"/>
      <c r="L1704" s="163"/>
      <c r="M1704" s="164"/>
      <c r="N1704" s="157"/>
      <c r="O1704" s="157"/>
      <c r="P1704" s="157"/>
      <c r="Q1704" s="156" t="s">
        <v>7531</v>
      </c>
    </row>
    <row r="1705" spans="4:17" x14ac:dyDescent="0.25">
      <c r="D1705" s="157" t="s">
        <v>7532</v>
      </c>
      <c r="E1705" s="156" t="s">
        <v>7514</v>
      </c>
      <c r="F1705" s="157"/>
      <c r="G1705" s="156"/>
      <c r="H1705" s="157"/>
      <c r="I1705" s="157"/>
      <c r="J1705" s="156" t="str">
        <f t="shared" si="27"/>
        <v/>
      </c>
      <c r="K1705" s="162"/>
      <c r="L1705" s="163"/>
      <c r="M1705" s="164"/>
      <c r="N1705" s="157"/>
      <c r="O1705" s="157"/>
      <c r="P1705" s="157"/>
      <c r="Q1705" s="156" t="s">
        <v>7533</v>
      </c>
    </row>
    <row r="1706" spans="4:17" x14ac:dyDescent="0.25">
      <c r="D1706" s="157" t="s">
        <v>7534</v>
      </c>
      <c r="E1706" s="156" t="s">
        <v>7514</v>
      </c>
      <c r="F1706" s="157"/>
      <c r="G1706" s="156"/>
      <c r="H1706" s="157"/>
      <c r="I1706" s="157"/>
      <c r="J1706" s="156" t="str">
        <f t="shared" si="27"/>
        <v/>
      </c>
      <c r="K1706" s="162"/>
      <c r="L1706" s="163"/>
      <c r="M1706" s="164"/>
      <c r="N1706" s="157"/>
      <c r="O1706" s="157"/>
      <c r="P1706" s="157"/>
      <c r="Q1706" s="156" t="s">
        <v>7535</v>
      </c>
    </row>
    <row r="1707" spans="4:17" x14ac:dyDescent="0.25">
      <c r="D1707" s="157" t="s">
        <v>7536</v>
      </c>
      <c r="E1707" s="156" t="s">
        <v>7514</v>
      </c>
      <c r="F1707" s="157"/>
      <c r="G1707" s="156"/>
      <c r="H1707" s="157"/>
      <c r="I1707" s="157"/>
      <c r="J1707" s="156" t="str">
        <f t="shared" si="27"/>
        <v/>
      </c>
      <c r="K1707" s="162"/>
      <c r="L1707" s="163"/>
      <c r="M1707" s="164"/>
      <c r="N1707" s="157"/>
      <c r="O1707" s="157"/>
      <c r="P1707" s="157"/>
      <c r="Q1707" s="156" t="s">
        <v>7537</v>
      </c>
    </row>
    <row r="1708" spans="4:17" x14ac:dyDescent="0.25">
      <c r="D1708" s="157" t="s">
        <v>7538</v>
      </c>
      <c r="E1708" s="156" t="s">
        <v>7514</v>
      </c>
      <c r="F1708" s="157"/>
      <c r="G1708" s="156"/>
      <c r="H1708" s="157"/>
      <c r="I1708" s="157"/>
      <c r="J1708" s="156" t="str">
        <f t="shared" si="27"/>
        <v/>
      </c>
      <c r="K1708" s="162"/>
      <c r="L1708" s="163"/>
      <c r="M1708" s="164"/>
      <c r="N1708" s="157"/>
      <c r="O1708" s="157"/>
      <c r="P1708" s="157"/>
      <c r="Q1708" s="156" t="s">
        <v>7539</v>
      </c>
    </row>
    <row r="1709" spans="4:17" x14ac:dyDescent="0.25">
      <c r="D1709" s="157" t="s">
        <v>7540</v>
      </c>
      <c r="E1709" s="156" t="s">
        <v>7514</v>
      </c>
      <c r="F1709" s="157"/>
      <c r="G1709" s="156"/>
      <c r="H1709" s="157"/>
      <c r="I1709" s="157"/>
      <c r="J1709" s="156" t="str">
        <f t="shared" si="27"/>
        <v/>
      </c>
      <c r="K1709" s="162"/>
      <c r="L1709" s="163"/>
      <c r="M1709" s="164"/>
      <c r="N1709" s="157"/>
      <c r="O1709" s="157"/>
      <c r="P1709" s="157"/>
      <c r="Q1709" s="156" t="s">
        <v>7541</v>
      </c>
    </row>
    <row r="1710" spans="4:17" x14ac:dyDescent="0.25">
      <c r="D1710" s="157" t="s">
        <v>7542</v>
      </c>
      <c r="E1710" s="156" t="s">
        <v>7514</v>
      </c>
      <c r="F1710" s="157"/>
      <c r="G1710" s="156"/>
      <c r="H1710" s="157"/>
      <c r="I1710" s="157"/>
      <c r="J1710" s="156" t="str">
        <f t="shared" si="27"/>
        <v/>
      </c>
      <c r="K1710" s="162"/>
      <c r="L1710" s="163"/>
      <c r="M1710" s="164"/>
      <c r="N1710" s="157"/>
      <c r="O1710" s="157"/>
      <c r="P1710" s="157"/>
      <c r="Q1710" s="156" t="s">
        <v>7543</v>
      </c>
    </row>
    <row r="1711" spans="4:17" x14ac:dyDescent="0.25">
      <c r="D1711" s="157" t="s">
        <v>7544</v>
      </c>
      <c r="E1711" s="156" t="s">
        <v>7514</v>
      </c>
      <c r="F1711" s="157"/>
      <c r="G1711" s="156"/>
      <c r="H1711" s="157"/>
      <c r="I1711" s="157"/>
      <c r="J1711" s="156" t="str">
        <f t="shared" si="27"/>
        <v/>
      </c>
      <c r="K1711" s="162"/>
      <c r="L1711" s="163"/>
      <c r="M1711" s="164"/>
      <c r="N1711" s="157"/>
      <c r="O1711" s="157"/>
      <c r="P1711" s="157"/>
      <c r="Q1711" s="156" t="s">
        <v>7545</v>
      </c>
    </row>
    <row r="1712" spans="4:17" x14ac:dyDescent="0.25">
      <c r="D1712" s="157" t="s">
        <v>7546</v>
      </c>
      <c r="E1712" s="156" t="s">
        <v>7514</v>
      </c>
      <c r="F1712" s="157"/>
      <c r="G1712" s="156"/>
      <c r="H1712" s="157"/>
      <c r="I1712" s="157"/>
      <c r="J1712" s="156" t="str">
        <f t="shared" si="27"/>
        <v/>
      </c>
      <c r="K1712" s="162"/>
      <c r="L1712" s="163"/>
      <c r="M1712" s="164"/>
      <c r="N1712" s="157"/>
      <c r="O1712" s="157"/>
      <c r="P1712" s="157"/>
      <c r="Q1712" s="156" t="s">
        <v>7547</v>
      </c>
    </row>
    <row r="1713" spans="4:17" x14ac:dyDescent="0.25">
      <c r="D1713" s="157" t="s">
        <v>7548</v>
      </c>
      <c r="E1713" s="156" t="s">
        <v>7514</v>
      </c>
      <c r="F1713" s="157"/>
      <c r="G1713" s="156"/>
      <c r="H1713" s="157"/>
      <c r="I1713" s="157"/>
      <c r="J1713" s="156" t="str">
        <f t="shared" si="27"/>
        <v/>
      </c>
      <c r="K1713" s="162"/>
      <c r="L1713" s="163"/>
      <c r="M1713" s="164"/>
      <c r="N1713" s="157"/>
      <c r="O1713" s="157"/>
      <c r="P1713" s="157"/>
      <c r="Q1713" s="156" t="s">
        <v>7549</v>
      </c>
    </row>
    <row r="1714" spans="4:17" x14ac:dyDescent="0.25">
      <c r="D1714" s="157" t="s">
        <v>7550</v>
      </c>
      <c r="E1714" s="156" t="s">
        <v>7514</v>
      </c>
      <c r="F1714" s="157"/>
      <c r="G1714" s="156"/>
      <c r="H1714" s="157"/>
      <c r="I1714" s="157"/>
      <c r="J1714" s="156" t="str">
        <f t="shared" si="27"/>
        <v/>
      </c>
      <c r="K1714" s="162"/>
      <c r="L1714" s="163"/>
      <c r="M1714" s="164"/>
      <c r="N1714" s="157"/>
      <c r="O1714" s="157"/>
      <c r="P1714" s="157"/>
      <c r="Q1714" s="156" t="s">
        <v>7551</v>
      </c>
    </row>
    <row r="1715" spans="4:17" x14ac:dyDescent="0.25">
      <c r="D1715" s="157" t="s">
        <v>7552</v>
      </c>
      <c r="E1715" s="156" t="s">
        <v>7514</v>
      </c>
      <c r="F1715" s="157"/>
      <c r="G1715" s="156"/>
      <c r="H1715" s="157"/>
      <c r="I1715" s="157"/>
      <c r="J1715" s="156" t="str">
        <f t="shared" si="27"/>
        <v/>
      </c>
      <c r="K1715" s="162"/>
      <c r="L1715" s="163"/>
      <c r="M1715" s="164"/>
      <c r="N1715" s="157"/>
      <c r="O1715" s="157"/>
      <c r="P1715" s="157"/>
      <c r="Q1715" s="156" t="s">
        <v>7553</v>
      </c>
    </row>
    <row r="1716" spans="4:17" x14ac:dyDescent="0.25">
      <c r="D1716" s="157" t="s">
        <v>7554</v>
      </c>
      <c r="E1716" s="156" t="s">
        <v>7555</v>
      </c>
      <c r="F1716" s="157"/>
      <c r="G1716" s="156"/>
      <c r="H1716" s="157"/>
      <c r="I1716" s="157"/>
      <c r="J1716" s="156" t="str">
        <f t="shared" si="27"/>
        <v/>
      </c>
      <c r="K1716" s="162"/>
      <c r="L1716" s="163"/>
      <c r="M1716" s="164"/>
      <c r="N1716" s="157"/>
      <c r="O1716" s="157"/>
      <c r="P1716" s="157"/>
      <c r="Q1716" s="156" t="s">
        <v>7556</v>
      </c>
    </row>
    <row r="1717" spans="4:17" x14ac:dyDescent="0.25">
      <c r="D1717" s="157" t="s">
        <v>7557</v>
      </c>
      <c r="E1717" s="156" t="s">
        <v>7555</v>
      </c>
      <c r="F1717" s="157"/>
      <c r="G1717" s="156"/>
      <c r="H1717" s="157"/>
      <c r="I1717" s="157"/>
      <c r="J1717" s="156" t="str">
        <f t="shared" si="27"/>
        <v/>
      </c>
      <c r="K1717" s="162"/>
      <c r="L1717" s="163"/>
      <c r="M1717" s="164"/>
      <c r="N1717" s="157"/>
      <c r="O1717" s="157"/>
      <c r="P1717" s="157"/>
      <c r="Q1717" s="156" t="s">
        <v>7558</v>
      </c>
    </row>
    <row r="1718" spans="4:17" x14ac:dyDescent="0.25">
      <c r="D1718" s="157" t="s">
        <v>7559</v>
      </c>
      <c r="E1718" s="156" t="s">
        <v>7555</v>
      </c>
      <c r="F1718" s="157"/>
      <c r="G1718" s="156"/>
      <c r="H1718" s="157"/>
      <c r="I1718" s="157"/>
      <c r="J1718" s="156" t="str">
        <f t="shared" si="27"/>
        <v/>
      </c>
      <c r="K1718" s="162"/>
      <c r="L1718" s="163"/>
      <c r="M1718" s="164"/>
      <c r="N1718" s="157"/>
      <c r="O1718" s="157"/>
      <c r="P1718" s="157"/>
      <c r="Q1718" s="156" t="s">
        <v>7560</v>
      </c>
    </row>
    <row r="1719" spans="4:17" x14ac:dyDescent="0.25">
      <c r="D1719" s="157" t="s">
        <v>7561</v>
      </c>
      <c r="E1719" s="156" t="s">
        <v>7555</v>
      </c>
      <c r="F1719" s="157"/>
      <c r="G1719" s="156"/>
      <c r="H1719" s="157"/>
      <c r="I1719" s="157"/>
      <c r="J1719" s="156" t="str">
        <f t="shared" si="27"/>
        <v/>
      </c>
      <c r="K1719" s="162"/>
      <c r="L1719" s="163"/>
      <c r="M1719" s="164"/>
      <c r="N1719" s="157"/>
      <c r="O1719" s="157"/>
      <c r="P1719" s="157"/>
      <c r="Q1719" s="156" t="s">
        <v>7562</v>
      </c>
    </row>
    <row r="1720" spans="4:17" x14ac:dyDescent="0.25">
      <c r="D1720" s="157" t="s">
        <v>7563</v>
      </c>
      <c r="E1720" s="156" t="s">
        <v>7555</v>
      </c>
      <c r="F1720" s="157"/>
      <c r="G1720" s="156"/>
      <c r="H1720" s="157"/>
      <c r="I1720" s="157"/>
      <c r="J1720" s="156" t="str">
        <f t="shared" si="27"/>
        <v/>
      </c>
      <c r="K1720" s="162"/>
      <c r="L1720" s="163"/>
      <c r="M1720" s="164"/>
      <c r="N1720" s="157"/>
      <c r="O1720" s="157"/>
      <c r="P1720" s="157"/>
      <c r="Q1720" s="156" t="s">
        <v>7564</v>
      </c>
    </row>
    <row r="1721" spans="4:17" x14ac:dyDescent="0.25">
      <c r="D1721" s="157" t="s">
        <v>7565</v>
      </c>
      <c r="E1721" s="156" t="s">
        <v>7555</v>
      </c>
      <c r="F1721" s="157"/>
      <c r="G1721" s="156"/>
      <c r="H1721" s="157"/>
      <c r="I1721" s="157"/>
      <c r="J1721" s="156" t="str">
        <f t="shared" si="27"/>
        <v/>
      </c>
      <c r="K1721" s="162"/>
      <c r="L1721" s="163"/>
      <c r="M1721" s="164"/>
      <c r="N1721" s="157"/>
      <c r="O1721" s="157"/>
      <c r="P1721" s="157"/>
      <c r="Q1721" s="156" t="s">
        <v>7566</v>
      </c>
    </row>
    <row r="1722" spans="4:17" x14ac:dyDescent="0.25">
      <c r="D1722" s="157" t="s">
        <v>7567</v>
      </c>
      <c r="E1722" s="156" t="s">
        <v>7555</v>
      </c>
      <c r="F1722" s="157"/>
      <c r="G1722" s="156"/>
      <c r="H1722" s="157"/>
      <c r="I1722" s="157"/>
      <c r="J1722" s="156" t="str">
        <f t="shared" si="27"/>
        <v/>
      </c>
      <c r="K1722" s="162"/>
      <c r="L1722" s="163"/>
      <c r="M1722" s="164"/>
      <c r="N1722" s="157"/>
      <c r="O1722" s="157"/>
      <c r="P1722" s="157"/>
      <c r="Q1722" s="156" t="s">
        <v>7568</v>
      </c>
    </row>
    <row r="1723" spans="4:17" x14ac:dyDescent="0.25">
      <c r="D1723" s="157" t="s">
        <v>7569</v>
      </c>
      <c r="E1723" s="156" t="s">
        <v>7555</v>
      </c>
      <c r="F1723" s="157"/>
      <c r="G1723" s="156"/>
      <c r="H1723" s="157"/>
      <c r="I1723" s="157"/>
      <c r="J1723" s="156" t="str">
        <f t="shared" si="27"/>
        <v/>
      </c>
      <c r="K1723" s="162"/>
      <c r="L1723" s="163"/>
      <c r="M1723" s="164"/>
      <c r="N1723" s="157"/>
      <c r="O1723" s="157"/>
      <c r="P1723" s="157"/>
      <c r="Q1723" s="156" t="s">
        <v>7570</v>
      </c>
    </row>
    <row r="1724" spans="4:17" x14ac:dyDescent="0.25">
      <c r="D1724" s="157" t="s">
        <v>7571</v>
      </c>
      <c r="E1724" s="156" t="s">
        <v>7555</v>
      </c>
      <c r="F1724" s="157"/>
      <c r="G1724" s="156"/>
      <c r="H1724" s="157"/>
      <c r="I1724" s="157"/>
      <c r="J1724" s="156" t="str">
        <f t="shared" si="27"/>
        <v/>
      </c>
      <c r="K1724" s="162"/>
      <c r="L1724" s="163"/>
      <c r="M1724" s="164"/>
      <c r="N1724" s="157"/>
      <c r="O1724" s="157"/>
      <c r="P1724" s="157"/>
      <c r="Q1724" s="156" t="s">
        <v>7572</v>
      </c>
    </row>
    <row r="1725" spans="4:17" x14ac:dyDescent="0.25">
      <c r="D1725" s="157" t="s">
        <v>7573</v>
      </c>
      <c r="E1725" s="156" t="s">
        <v>7555</v>
      </c>
      <c r="F1725" s="157"/>
      <c r="G1725" s="156"/>
      <c r="H1725" s="157"/>
      <c r="I1725" s="157"/>
      <c r="J1725" s="156" t="str">
        <f t="shared" si="27"/>
        <v/>
      </c>
      <c r="K1725" s="162"/>
      <c r="L1725" s="163"/>
      <c r="M1725" s="164"/>
      <c r="N1725" s="157"/>
      <c r="O1725" s="157"/>
      <c r="P1725" s="157"/>
      <c r="Q1725" s="156" t="s">
        <v>7574</v>
      </c>
    </row>
    <row r="1726" spans="4:17" x14ac:dyDescent="0.25">
      <c r="D1726" s="157" t="s">
        <v>7575</v>
      </c>
      <c r="E1726" s="156" t="s">
        <v>7555</v>
      </c>
      <c r="F1726" s="157"/>
      <c r="G1726" s="156"/>
      <c r="H1726" s="157"/>
      <c r="I1726" s="157"/>
      <c r="J1726" s="156" t="str">
        <f t="shared" si="27"/>
        <v/>
      </c>
      <c r="K1726" s="162"/>
      <c r="L1726" s="163"/>
      <c r="M1726" s="164"/>
      <c r="N1726" s="157"/>
      <c r="O1726" s="157"/>
      <c r="P1726" s="157"/>
      <c r="Q1726" s="156" t="s">
        <v>7576</v>
      </c>
    </row>
    <row r="1727" spans="4:17" x14ac:dyDescent="0.25">
      <c r="D1727" s="157" t="s">
        <v>7577</v>
      </c>
      <c r="E1727" s="156" t="s">
        <v>7555</v>
      </c>
      <c r="F1727" s="157"/>
      <c r="G1727" s="156"/>
      <c r="H1727" s="157"/>
      <c r="I1727" s="157"/>
      <c r="J1727" s="156" t="str">
        <f t="shared" si="27"/>
        <v/>
      </c>
      <c r="K1727" s="162"/>
      <c r="L1727" s="163"/>
      <c r="M1727" s="164"/>
      <c r="N1727" s="157"/>
      <c r="O1727" s="157"/>
      <c r="P1727" s="157"/>
      <c r="Q1727" s="156" t="s">
        <v>7578</v>
      </c>
    </row>
    <row r="1728" spans="4:17" x14ac:dyDescent="0.25">
      <c r="D1728" s="157" t="s">
        <v>7579</v>
      </c>
      <c r="E1728" s="156" t="s">
        <v>7555</v>
      </c>
      <c r="F1728" s="157"/>
      <c r="G1728" s="156"/>
      <c r="H1728" s="157"/>
      <c r="I1728" s="157"/>
      <c r="J1728" s="156" t="str">
        <f t="shared" si="27"/>
        <v/>
      </c>
      <c r="K1728" s="162"/>
      <c r="L1728" s="163"/>
      <c r="M1728" s="164"/>
      <c r="N1728" s="157"/>
      <c r="O1728" s="157"/>
      <c r="P1728" s="157"/>
      <c r="Q1728" s="156" t="s">
        <v>7580</v>
      </c>
    </row>
    <row r="1729" spans="4:17" x14ac:dyDescent="0.25">
      <c r="D1729" s="157" t="s">
        <v>7581</v>
      </c>
      <c r="E1729" s="156" t="s">
        <v>7555</v>
      </c>
      <c r="F1729" s="157"/>
      <c r="G1729" s="156"/>
      <c r="H1729" s="157"/>
      <c r="I1729" s="157"/>
      <c r="J1729" s="156" t="str">
        <f t="shared" si="27"/>
        <v/>
      </c>
      <c r="K1729" s="162"/>
      <c r="L1729" s="163"/>
      <c r="M1729" s="164"/>
      <c r="N1729" s="157"/>
      <c r="O1729" s="157"/>
      <c r="P1729" s="157"/>
      <c r="Q1729" s="156" t="s">
        <v>7582</v>
      </c>
    </row>
    <row r="1730" spans="4:17" x14ac:dyDescent="0.25">
      <c r="D1730" s="157" t="s">
        <v>7583</v>
      </c>
      <c r="E1730" s="156" t="s">
        <v>7555</v>
      </c>
      <c r="F1730" s="157"/>
      <c r="G1730" s="156"/>
      <c r="H1730" s="157"/>
      <c r="I1730" s="157"/>
      <c r="J1730" s="156" t="str">
        <f t="shared" si="27"/>
        <v/>
      </c>
      <c r="K1730" s="162"/>
      <c r="L1730" s="163"/>
      <c r="M1730" s="164"/>
      <c r="N1730" s="157"/>
      <c r="O1730" s="157"/>
      <c r="P1730" s="157"/>
      <c r="Q1730" s="156" t="s">
        <v>7584</v>
      </c>
    </row>
    <row r="1731" spans="4:17" x14ac:dyDescent="0.25">
      <c r="D1731" s="157" t="s">
        <v>7585</v>
      </c>
      <c r="E1731" s="156" t="s">
        <v>7555</v>
      </c>
      <c r="F1731" s="157"/>
      <c r="G1731" s="156"/>
      <c r="H1731" s="157"/>
      <c r="I1731" s="157"/>
      <c r="J1731" s="156" t="str">
        <f t="shared" si="27"/>
        <v/>
      </c>
      <c r="K1731" s="162"/>
      <c r="L1731" s="163"/>
      <c r="M1731" s="164"/>
      <c r="N1731" s="157"/>
      <c r="O1731" s="157"/>
      <c r="P1731" s="157"/>
      <c r="Q1731" s="156" t="s">
        <v>7586</v>
      </c>
    </row>
    <row r="1732" spans="4:17" x14ac:dyDescent="0.25">
      <c r="D1732" s="157" t="s">
        <v>7587</v>
      </c>
      <c r="E1732" s="156" t="s">
        <v>7555</v>
      </c>
      <c r="F1732" s="157"/>
      <c r="G1732" s="156"/>
      <c r="H1732" s="157"/>
      <c r="I1732" s="157"/>
      <c r="J1732" s="156" t="str">
        <f t="shared" si="27"/>
        <v/>
      </c>
      <c r="K1732" s="162"/>
      <c r="L1732" s="163"/>
      <c r="M1732" s="164"/>
      <c r="N1732" s="157"/>
      <c r="O1732" s="157"/>
      <c r="P1732" s="157"/>
      <c r="Q1732" s="156" t="s">
        <v>7588</v>
      </c>
    </row>
    <row r="1733" spans="4:17" x14ac:dyDescent="0.25">
      <c r="D1733" s="157" t="s">
        <v>7589</v>
      </c>
      <c r="E1733" s="156" t="s">
        <v>7555</v>
      </c>
      <c r="F1733" s="157"/>
      <c r="G1733" s="156"/>
      <c r="H1733" s="157"/>
      <c r="I1733" s="157"/>
      <c r="J1733" s="156" t="str">
        <f t="shared" si="27"/>
        <v/>
      </c>
      <c r="K1733" s="162"/>
      <c r="L1733" s="163"/>
      <c r="M1733" s="164"/>
      <c r="N1733" s="157"/>
      <c r="O1733" s="157"/>
      <c r="P1733" s="157"/>
      <c r="Q1733" s="156" t="s">
        <v>7590</v>
      </c>
    </row>
    <row r="1734" spans="4:17" x14ac:dyDescent="0.25">
      <c r="D1734" s="157" t="s">
        <v>7591</v>
      </c>
      <c r="E1734" s="156" t="s">
        <v>7555</v>
      </c>
      <c r="F1734" s="157"/>
      <c r="G1734" s="156"/>
      <c r="H1734" s="157"/>
      <c r="I1734" s="157"/>
      <c r="J1734" s="156" t="str">
        <f t="shared" si="27"/>
        <v/>
      </c>
      <c r="K1734" s="162"/>
      <c r="L1734" s="163"/>
      <c r="M1734" s="164"/>
      <c r="N1734" s="157"/>
      <c r="O1734" s="157"/>
      <c r="P1734" s="157"/>
      <c r="Q1734" s="156" t="s">
        <v>7592</v>
      </c>
    </row>
    <row r="1735" spans="4:17" x14ac:dyDescent="0.25">
      <c r="D1735" s="157" t="s">
        <v>7593</v>
      </c>
      <c r="E1735" s="156" t="s">
        <v>7555</v>
      </c>
      <c r="F1735" s="157"/>
      <c r="G1735" s="156"/>
      <c r="H1735" s="157"/>
      <c r="I1735" s="157"/>
      <c r="J1735" s="156" t="str">
        <f t="shared" si="27"/>
        <v/>
      </c>
      <c r="K1735" s="162"/>
      <c r="L1735" s="163"/>
      <c r="M1735" s="164"/>
      <c r="N1735" s="157"/>
      <c r="O1735" s="157"/>
      <c r="P1735" s="157"/>
      <c r="Q1735" s="156" t="s">
        <v>7594</v>
      </c>
    </row>
    <row r="1736" spans="4:17" x14ac:dyDescent="0.25">
      <c r="D1736" s="157" t="s">
        <v>7595</v>
      </c>
      <c r="E1736" s="156" t="s">
        <v>7596</v>
      </c>
      <c r="F1736" s="157"/>
      <c r="G1736" s="156"/>
      <c r="H1736" s="157"/>
      <c r="I1736" s="157"/>
      <c r="J1736" s="156" t="str">
        <f t="shared" si="27"/>
        <v/>
      </c>
      <c r="K1736" s="162"/>
      <c r="L1736" s="163"/>
      <c r="M1736" s="164"/>
      <c r="N1736" s="157"/>
      <c r="O1736" s="157"/>
      <c r="P1736" s="157"/>
      <c r="Q1736" s="156" t="s">
        <v>7597</v>
      </c>
    </row>
    <row r="1737" spans="4:17" x14ac:dyDescent="0.25">
      <c r="D1737" s="157" t="s">
        <v>7598</v>
      </c>
      <c r="E1737" s="156" t="s">
        <v>7596</v>
      </c>
      <c r="F1737" s="157"/>
      <c r="G1737" s="156"/>
      <c r="H1737" s="157"/>
      <c r="I1737" s="157"/>
      <c r="J1737" s="156" t="str">
        <f t="shared" si="27"/>
        <v/>
      </c>
      <c r="K1737" s="162"/>
      <c r="L1737" s="163"/>
      <c r="M1737" s="164"/>
      <c r="N1737" s="157"/>
      <c r="O1737" s="157"/>
      <c r="P1737" s="157"/>
      <c r="Q1737" s="156" t="s">
        <v>7599</v>
      </c>
    </row>
    <row r="1738" spans="4:17" x14ac:dyDescent="0.25">
      <c r="D1738" s="157" t="s">
        <v>7600</v>
      </c>
      <c r="E1738" s="156" t="s">
        <v>7596</v>
      </c>
      <c r="F1738" s="157"/>
      <c r="G1738" s="156"/>
      <c r="H1738" s="157"/>
      <c r="I1738" s="157"/>
      <c r="J1738" s="156" t="str">
        <f t="shared" si="27"/>
        <v/>
      </c>
      <c r="K1738" s="162"/>
      <c r="L1738" s="163"/>
      <c r="M1738" s="164"/>
      <c r="N1738" s="157"/>
      <c r="O1738" s="157"/>
      <c r="P1738" s="157"/>
      <c r="Q1738" s="156" t="s">
        <v>7601</v>
      </c>
    </row>
    <row r="1739" spans="4:17" x14ac:dyDescent="0.25">
      <c r="D1739" s="157" t="s">
        <v>7602</v>
      </c>
      <c r="E1739" s="156" t="s">
        <v>7596</v>
      </c>
      <c r="F1739" s="157"/>
      <c r="G1739" s="156"/>
      <c r="H1739" s="157"/>
      <c r="I1739" s="157"/>
      <c r="J1739" s="156" t="str">
        <f t="shared" si="27"/>
        <v/>
      </c>
      <c r="K1739" s="162"/>
      <c r="L1739" s="163"/>
      <c r="M1739" s="164"/>
      <c r="N1739" s="157"/>
      <c r="O1739" s="157"/>
      <c r="P1739" s="157"/>
      <c r="Q1739" s="156" t="s">
        <v>7603</v>
      </c>
    </row>
    <row r="1740" spans="4:17" x14ac:dyDescent="0.25">
      <c r="D1740" s="157" t="s">
        <v>7604</v>
      </c>
      <c r="E1740" s="156" t="s">
        <v>7596</v>
      </c>
      <c r="F1740" s="157"/>
      <c r="G1740" s="156"/>
      <c r="H1740" s="157"/>
      <c r="I1740" s="157"/>
      <c r="J1740" s="156" t="str">
        <f t="shared" si="27"/>
        <v/>
      </c>
      <c r="K1740" s="162"/>
      <c r="L1740" s="163"/>
      <c r="M1740" s="164"/>
      <c r="N1740" s="157"/>
      <c r="O1740" s="157"/>
      <c r="P1740" s="157"/>
      <c r="Q1740" s="156" t="s">
        <v>7605</v>
      </c>
    </row>
    <row r="1741" spans="4:17" x14ac:dyDescent="0.25">
      <c r="D1741" s="157" t="s">
        <v>7606</v>
      </c>
      <c r="E1741" s="156" t="s">
        <v>7596</v>
      </c>
      <c r="F1741" s="157"/>
      <c r="G1741" s="156"/>
      <c r="H1741" s="157"/>
      <c r="I1741" s="157"/>
      <c r="J1741" s="156" t="str">
        <f t="shared" si="27"/>
        <v/>
      </c>
      <c r="K1741" s="162"/>
      <c r="L1741" s="163"/>
      <c r="M1741" s="164"/>
      <c r="N1741" s="157"/>
      <c r="O1741" s="157"/>
      <c r="P1741" s="157"/>
      <c r="Q1741" s="156" t="s">
        <v>7607</v>
      </c>
    </row>
    <row r="1742" spans="4:17" x14ac:dyDescent="0.25">
      <c r="D1742" s="157" t="s">
        <v>7608</v>
      </c>
      <c r="E1742" s="156" t="s">
        <v>7596</v>
      </c>
      <c r="F1742" s="157"/>
      <c r="G1742" s="156"/>
      <c r="H1742" s="157"/>
      <c r="I1742" s="157"/>
      <c r="J1742" s="156" t="str">
        <f t="shared" si="27"/>
        <v/>
      </c>
      <c r="K1742" s="162"/>
      <c r="L1742" s="163"/>
      <c r="M1742" s="164"/>
      <c r="N1742" s="157"/>
      <c r="O1742" s="157"/>
      <c r="P1742" s="157"/>
      <c r="Q1742" s="156" t="s">
        <v>7609</v>
      </c>
    </row>
    <row r="1743" spans="4:17" x14ac:dyDescent="0.25">
      <c r="D1743" s="157" t="s">
        <v>7610</v>
      </c>
      <c r="E1743" s="156" t="s">
        <v>7596</v>
      </c>
      <c r="F1743" s="157"/>
      <c r="G1743" s="156"/>
      <c r="H1743" s="157"/>
      <c r="I1743" s="157"/>
      <c r="J1743" s="156" t="str">
        <f t="shared" si="27"/>
        <v/>
      </c>
      <c r="K1743" s="162"/>
      <c r="L1743" s="163"/>
      <c r="M1743" s="164"/>
      <c r="N1743" s="157"/>
      <c r="O1743" s="157"/>
      <c r="P1743" s="157"/>
      <c r="Q1743" s="156" t="s">
        <v>7611</v>
      </c>
    </row>
    <row r="1744" spans="4:17" x14ac:dyDescent="0.25">
      <c r="D1744" s="157" t="s">
        <v>7612</v>
      </c>
      <c r="E1744" s="156" t="s">
        <v>7596</v>
      </c>
      <c r="F1744" s="157"/>
      <c r="G1744" s="156"/>
      <c r="H1744" s="157"/>
      <c r="I1744" s="157"/>
      <c r="J1744" s="156" t="str">
        <f t="shared" si="27"/>
        <v/>
      </c>
      <c r="K1744" s="162"/>
      <c r="L1744" s="163"/>
      <c r="M1744" s="164"/>
      <c r="N1744" s="157"/>
      <c r="O1744" s="157"/>
      <c r="P1744" s="157"/>
      <c r="Q1744" s="156" t="s">
        <v>7613</v>
      </c>
    </row>
    <row r="1745" spans="4:17" x14ac:dyDescent="0.25">
      <c r="D1745" s="157" t="s">
        <v>7614</v>
      </c>
      <c r="E1745" s="156" t="s">
        <v>7596</v>
      </c>
      <c r="F1745" s="157"/>
      <c r="G1745" s="156"/>
      <c r="H1745" s="157"/>
      <c r="I1745" s="157"/>
      <c r="J1745" s="156" t="str">
        <f t="shared" si="27"/>
        <v/>
      </c>
      <c r="K1745" s="162"/>
      <c r="L1745" s="163"/>
      <c r="M1745" s="164"/>
      <c r="N1745" s="157"/>
      <c r="O1745" s="157"/>
      <c r="P1745" s="157"/>
      <c r="Q1745" s="156" t="s">
        <v>7615</v>
      </c>
    </row>
    <row r="1746" spans="4:17" x14ac:dyDescent="0.25">
      <c r="D1746" s="157" t="s">
        <v>7616</v>
      </c>
      <c r="E1746" s="156" t="s">
        <v>7596</v>
      </c>
      <c r="F1746" s="157"/>
      <c r="G1746" s="156"/>
      <c r="H1746" s="157"/>
      <c r="I1746" s="157"/>
      <c r="J1746" s="156" t="str">
        <f t="shared" si="27"/>
        <v/>
      </c>
      <c r="K1746" s="162"/>
      <c r="L1746" s="163"/>
      <c r="M1746" s="164"/>
      <c r="N1746" s="157"/>
      <c r="O1746" s="157"/>
      <c r="P1746" s="157"/>
      <c r="Q1746" s="156" t="s">
        <v>7617</v>
      </c>
    </row>
    <row r="1747" spans="4:17" x14ac:dyDescent="0.25">
      <c r="D1747" s="157" t="s">
        <v>7618</v>
      </c>
      <c r="E1747" s="156" t="s">
        <v>7596</v>
      </c>
      <c r="F1747" s="157"/>
      <c r="G1747" s="156"/>
      <c r="H1747" s="157"/>
      <c r="I1747" s="157"/>
      <c r="J1747" s="156" t="str">
        <f t="shared" si="27"/>
        <v/>
      </c>
      <c r="K1747" s="162"/>
      <c r="L1747" s="163"/>
      <c r="M1747" s="164"/>
      <c r="N1747" s="157"/>
      <c r="O1747" s="157"/>
      <c r="P1747" s="157"/>
      <c r="Q1747" s="156" t="s">
        <v>7619</v>
      </c>
    </row>
    <row r="1748" spans="4:17" x14ac:dyDescent="0.25">
      <c r="D1748" s="157" t="s">
        <v>7620</v>
      </c>
      <c r="E1748" s="156" t="s">
        <v>7596</v>
      </c>
      <c r="F1748" s="157"/>
      <c r="G1748" s="156"/>
      <c r="H1748" s="157"/>
      <c r="I1748" s="157"/>
      <c r="J1748" s="156" t="str">
        <f t="shared" si="27"/>
        <v/>
      </c>
      <c r="K1748" s="162"/>
      <c r="L1748" s="163"/>
      <c r="M1748" s="164"/>
      <c r="N1748" s="157"/>
      <c r="O1748" s="157"/>
      <c r="P1748" s="157"/>
      <c r="Q1748" s="156" t="s">
        <v>7621</v>
      </c>
    </row>
    <row r="1749" spans="4:17" x14ac:dyDescent="0.25">
      <c r="D1749" s="157" t="s">
        <v>7622</v>
      </c>
      <c r="E1749" s="156" t="s">
        <v>7596</v>
      </c>
      <c r="F1749" s="157"/>
      <c r="G1749" s="156"/>
      <c r="H1749" s="157"/>
      <c r="I1749" s="157"/>
      <c r="J1749" s="156" t="str">
        <f t="shared" si="27"/>
        <v/>
      </c>
      <c r="K1749" s="162"/>
      <c r="L1749" s="163"/>
      <c r="M1749" s="164"/>
      <c r="N1749" s="157"/>
      <c r="O1749" s="157"/>
      <c r="P1749" s="157"/>
      <c r="Q1749" s="156" t="s">
        <v>7623</v>
      </c>
    </row>
    <row r="1750" spans="4:17" x14ac:dyDescent="0.25">
      <c r="D1750" s="157" t="s">
        <v>7624</v>
      </c>
      <c r="E1750" s="156" t="s">
        <v>7596</v>
      </c>
      <c r="F1750" s="157"/>
      <c r="G1750" s="156"/>
      <c r="H1750" s="157"/>
      <c r="I1750" s="157"/>
      <c r="J1750" s="156" t="str">
        <f t="shared" si="27"/>
        <v/>
      </c>
      <c r="K1750" s="162"/>
      <c r="L1750" s="163"/>
      <c r="M1750" s="164"/>
      <c r="N1750" s="157"/>
      <c r="O1750" s="157"/>
      <c r="P1750" s="157"/>
      <c r="Q1750" s="156" t="s">
        <v>7625</v>
      </c>
    </row>
    <row r="1751" spans="4:17" x14ac:dyDescent="0.25">
      <c r="D1751" s="157" t="s">
        <v>7626</v>
      </c>
      <c r="E1751" s="156" t="s">
        <v>7596</v>
      </c>
      <c r="F1751" s="157"/>
      <c r="G1751" s="156"/>
      <c r="H1751" s="157"/>
      <c r="I1751" s="157"/>
      <c r="J1751" s="156" t="str">
        <f t="shared" si="27"/>
        <v/>
      </c>
      <c r="K1751" s="162"/>
      <c r="L1751" s="163"/>
      <c r="M1751" s="164"/>
      <c r="N1751" s="157"/>
      <c r="O1751" s="157"/>
      <c r="P1751" s="157"/>
      <c r="Q1751" s="156" t="s">
        <v>7627</v>
      </c>
    </row>
    <row r="1752" spans="4:17" x14ac:dyDescent="0.25">
      <c r="D1752" s="157" t="s">
        <v>7628</v>
      </c>
      <c r="E1752" s="156" t="s">
        <v>7596</v>
      </c>
      <c r="F1752" s="157"/>
      <c r="G1752" s="156"/>
      <c r="H1752" s="157"/>
      <c r="I1752" s="157"/>
      <c r="J1752" s="156" t="str">
        <f t="shared" si="27"/>
        <v/>
      </c>
      <c r="K1752" s="162"/>
      <c r="L1752" s="163"/>
      <c r="M1752" s="164"/>
      <c r="N1752" s="157"/>
      <c r="O1752" s="157"/>
      <c r="P1752" s="157"/>
      <c r="Q1752" s="156" t="s">
        <v>7629</v>
      </c>
    </row>
    <row r="1753" spans="4:17" x14ac:dyDescent="0.25">
      <c r="D1753" s="157" t="s">
        <v>7630</v>
      </c>
      <c r="E1753" s="156" t="s">
        <v>7596</v>
      </c>
      <c r="F1753" s="157"/>
      <c r="G1753" s="156"/>
      <c r="H1753" s="157"/>
      <c r="I1753" s="157"/>
      <c r="J1753" s="156" t="str">
        <f t="shared" si="27"/>
        <v/>
      </c>
      <c r="K1753" s="162"/>
      <c r="L1753" s="163"/>
      <c r="M1753" s="164"/>
      <c r="N1753" s="157"/>
      <c r="O1753" s="157"/>
      <c r="P1753" s="157"/>
      <c r="Q1753" s="156" t="s">
        <v>7631</v>
      </c>
    </row>
    <row r="1754" spans="4:17" x14ac:dyDescent="0.25">
      <c r="D1754" s="157" t="s">
        <v>7632</v>
      </c>
      <c r="E1754" s="156" t="s">
        <v>7596</v>
      </c>
      <c r="F1754" s="157"/>
      <c r="G1754" s="156"/>
      <c r="H1754" s="157"/>
      <c r="I1754" s="157"/>
      <c r="J1754" s="156" t="str">
        <f t="shared" si="27"/>
        <v/>
      </c>
      <c r="K1754" s="162"/>
      <c r="L1754" s="163"/>
      <c r="M1754" s="164"/>
      <c r="N1754" s="157"/>
      <c r="O1754" s="157"/>
      <c r="P1754" s="157"/>
      <c r="Q1754" s="156" t="s">
        <v>7633</v>
      </c>
    </row>
    <row r="1755" spans="4:17" x14ac:dyDescent="0.25">
      <c r="D1755" s="157" t="s">
        <v>7634</v>
      </c>
      <c r="E1755" s="156" t="s">
        <v>7596</v>
      </c>
      <c r="F1755" s="157"/>
      <c r="G1755" s="156"/>
      <c r="H1755" s="157"/>
      <c r="I1755" s="157"/>
      <c r="J1755" s="156" t="str">
        <f t="shared" si="27"/>
        <v/>
      </c>
      <c r="K1755" s="162"/>
      <c r="L1755" s="163"/>
      <c r="M1755" s="164"/>
      <c r="N1755" s="157"/>
      <c r="O1755" s="157"/>
      <c r="P1755" s="157"/>
      <c r="Q1755" s="156" t="s">
        <v>7635</v>
      </c>
    </row>
    <row r="1756" spans="4:17" x14ac:dyDescent="0.25">
      <c r="D1756" s="157" t="s">
        <v>7636</v>
      </c>
      <c r="E1756" s="156" t="s">
        <v>7637</v>
      </c>
      <c r="F1756" s="157"/>
      <c r="G1756" s="156"/>
      <c r="H1756" s="157"/>
      <c r="I1756" s="157"/>
      <c r="J1756" s="156" t="str">
        <f t="shared" si="27"/>
        <v/>
      </c>
      <c r="K1756" s="162"/>
      <c r="L1756" s="163"/>
      <c r="M1756" s="164"/>
      <c r="N1756" s="157"/>
      <c r="O1756" s="157"/>
      <c r="P1756" s="157"/>
      <c r="Q1756" s="156" t="s">
        <v>7638</v>
      </c>
    </row>
    <row r="1757" spans="4:17" x14ac:dyDescent="0.25">
      <c r="D1757" s="157" t="s">
        <v>7639</v>
      </c>
      <c r="E1757" s="156" t="s">
        <v>7637</v>
      </c>
      <c r="F1757" s="157"/>
      <c r="G1757" s="156"/>
      <c r="H1757" s="157"/>
      <c r="I1757" s="157"/>
      <c r="J1757" s="156" t="str">
        <f t="shared" si="27"/>
        <v/>
      </c>
      <c r="K1757" s="162"/>
      <c r="L1757" s="163"/>
      <c r="M1757" s="164"/>
      <c r="N1757" s="157"/>
      <c r="O1757" s="157"/>
      <c r="P1757" s="157"/>
      <c r="Q1757" s="156" t="s">
        <v>7640</v>
      </c>
    </row>
    <row r="1758" spans="4:17" x14ac:dyDescent="0.25">
      <c r="D1758" s="157" t="s">
        <v>7641</v>
      </c>
      <c r="E1758" s="156" t="s">
        <v>7637</v>
      </c>
      <c r="F1758" s="157"/>
      <c r="G1758" s="156"/>
      <c r="H1758" s="157"/>
      <c r="I1758" s="157"/>
      <c r="J1758" s="156" t="str">
        <f t="shared" si="27"/>
        <v/>
      </c>
      <c r="K1758" s="162"/>
      <c r="L1758" s="163"/>
      <c r="M1758" s="164"/>
      <c r="N1758" s="157"/>
      <c r="O1758" s="157"/>
      <c r="P1758" s="157"/>
      <c r="Q1758" s="156" t="s">
        <v>7642</v>
      </c>
    </row>
    <row r="1759" spans="4:17" x14ac:dyDescent="0.25">
      <c r="D1759" s="157" t="s">
        <v>7643</v>
      </c>
      <c r="E1759" s="156" t="s">
        <v>7637</v>
      </c>
      <c r="F1759" s="157"/>
      <c r="G1759" s="156"/>
      <c r="H1759" s="157"/>
      <c r="I1759" s="157"/>
      <c r="J1759" s="156" t="str">
        <f t="shared" si="27"/>
        <v/>
      </c>
      <c r="K1759" s="162"/>
      <c r="L1759" s="163"/>
      <c r="M1759" s="164"/>
      <c r="N1759" s="157"/>
      <c r="O1759" s="157"/>
      <c r="P1759" s="157"/>
      <c r="Q1759" s="156" t="s">
        <v>7644</v>
      </c>
    </row>
    <row r="1760" spans="4:17" x14ac:dyDescent="0.25">
      <c r="D1760" s="157" t="s">
        <v>7645</v>
      </c>
      <c r="E1760" s="156" t="s">
        <v>7637</v>
      </c>
      <c r="F1760" s="157"/>
      <c r="G1760" s="156"/>
      <c r="H1760" s="157"/>
      <c r="I1760" s="157"/>
      <c r="J1760" s="156" t="str">
        <f t="shared" si="27"/>
        <v/>
      </c>
      <c r="K1760" s="162"/>
      <c r="L1760" s="163"/>
      <c r="M1760" s="164"/>
      <c r="N1760" s="157"/>
      <c r="O1760" s="157"/>
      <c r="P1760" s="157"/>
      <c r="Q1760" s="156" t="s">
        <v>7646</v>
      </c>
    </row>
    <row r="1761" spans="4:17" x14ac:dyDescent="0.25">
      <c r="D1761" s="157" t="s">
        <v>7647</v>
      </c>
      <c r="E1761" s="156" t="s">
        <v>7637</v>
      </c>
      <c r="F1761" s="157"/>
      <c r="G1761" s="156"/>
      <c r="H1761" s="157"/>
      <c r="I1761" s="157"/>
      <c r="J1761" s="156" t="str">
        <f t="shared" si="27"/>
        <v/>
      </c>
      <c r="K1761" s="162"/>
      <c r="L1761" s="163"/>
      <c r="M1761" s="164"/>
      <c r="N1761" s="157"/>
      <c r="O1761" s="157"/>
      <c r="P1761" s="157"/>
      <c r="Q1761" s="156" t="s">
        <v>7648</v>
      </c>
    </row>
    <row r="1762" spans="4:17" x14ac:dyDescent="0.25">
      <c r="D1762" s="157" t="s">
        <v>7649</v>
      </c>
      <c r="E1762" s="156" t="s">
        <v>7637</v>
      </c>
      <c r="F1762" s="157"/>
      <c r="G1762" s="156"/>
      <c r="H1762" s="157"/>
      <c r="I1762" s="157"/>
      <c r="J1762" s="156" t="str">
        <f t="shared" si="27"/>
        <v/>
      </c>
      <c r="K1762" s="162"/>
      <c r="L1762" s="163"/>
      <c r="M1762" s="164"/>
      <c r="N1762" s="157"/>
      <c r="O1762" s="157"/>
      <c r="P1762" s="157"/>
      <c r="Q1762" s="156" t="s">
        <v>7650</v>
      </c>
    </row>
    <row r="1763" spans="4:17" x14ac:dyDescent="0.25">
      <c r="D1763" s="157" t="s">
        <v>7651</v>
      </c>
      <c r="E1763" s="156" t="s">
        <v>7637</v>
      </c>
      <c r="F1763" s="157"/>
      <c r="G1763" s="156"/>
      <c r="H1763" s="157"/>
      <c r="I1763" s="157"/>
      <c r="J1763" s="156" t="str">
        <f t="shared" si="27"/>
        <v/>
      </c>
      <c r="K1763" s="162"/>
      <c r="L1763" s="163"/>
      <c r="M1763" s="164"/>
      <c r="N1763" s="157"/>
      <c r="O1763" s="157"/>
      <c r="P1763" s="157"/>
      <c r="Q1763" s="156" t="s">
        <v>7652</v>
      </c>
    </row>
    <row r="1764" spans="4:17" x14ac:dyDescent="0.25">
      <c r="D1764" s="157" t="s">
        <v>7653</v>
      </c>
      <c r="E1764" s="156" t="s">
        <v>7637</v>
      </c>
      <c r="F1764" s="157"/>
      <c r="G1764" s="156"/>
      <c r="H1764" s="157"/>
      <c r="I1764" s="157"/>
      <c r="J1764" s="156" t="str">
        <f t="shared" si="27"/>
        <v/>
      </c>
      <c r="K1764" s="162"/>
      <c r="L1764" s="163"/>
      <c r="M1764" s="164"/>
      <c r="N1764" s="157"/>
      <c r="O1764" s="157"/>
      <c r="P1764" s="157"/>
      <c r="Q1764" s="156" t="s">
        <v>7654</v>
      </c>
    </row>
    <row r="1765" spans="4:17" x14ac:dyDescent="0.25">
      <c r="D1765" s="157" t="s">
        <v>7655</v>
      </c>
      <c r="E1765" s="156" t="s">
        <v>7637</v>
      </c>
      <c r="F1765" s="157"/>
      <c r="G1765" s="156"/>
      <c r="H1765" s="157"/>
      <c r="I1765" s="157"/>
      <c r="J1765" s="156" t="str">
        <f t="shared" si="27"/>
        <v/>
      </c>
      <c r="K1765" s="162"/>
      <c r="L1765" s="163"/>
      <c r="M1765" s="164"/>
      <c r="N1765" s="157"/>
      <c r="O1765" s="157"/>
      <c r="P1765" s="157"/>
      <c r="Q1765" s="156" t="s">
        <v>7656</v>
      </c>
    </row>
    <row r="1766" spans="4:17" x14ac:dyDescent="0.25">
      <c r="D1766" s="157" t="s">
        <v>7657</v>
      </c>
      <c r="E1766" s="156" t="s">
        <v>7637</v>
      </c>
      <c r="F1766" s="157"/>
      <c r="G1766" s="156"/>
      <c r="H1766" s="157"/>
      <c r="I1766" s="157"/>
      <c r="J1766" s="156" t="str">
        <f t="shared" si="27"/>
        <v/>
      </c>
      <c r="K1766" s="162"/>
      <c r="L1766" s="163"/>
      <c r="M1766" s="164"/>
      <c r="N1766" s="157"/>
      <c r="O1766" s="157"/>
      <c r="P1766" s="157"/>
      <c r="Q1766" s="156" t="s">
        <v>7658</v>
      </c>
    </row>
    <row r="1767" spans="4:17" x14ac:dyDescent="0.25">
      <c r="D1767" s="157" t="s">
        <v>7659</v>
      </c>
      <c r="E1767" s="156" t="s">
        <v>7637</v>
      </c>
      <c r="F1767" s="157"/>
      <c r="G1767" s="156"/>
      <c r="H1767" s="157"/>
      <c r="I1767" s="157"/>
      <c r="J1767" s="156" t="str">
        <f t="shared" si="27"/>
        <v/>
      </c>
      <c r="K1767" s="162"/>
      <c r="L1767" s="163"/>
      <c r="M1767" s="164"/>
      <c r="N1767" s="157"/>
      <c r="O1767" s="157"/>
      <c r="P1767" s="157"/>
      <c r="Q1767" s="156" t="s">
        <v>7660</v>
      </c>
    </row>
    <row r="1768" spans="4:17" x14ac:dyDescent="0.25">
      <c r="D1768" s="157" t="s">
        <v>7661</v>
      </c>
      <c r="E1768" s="156" t="s">
        <v>7637</v>
      </c>
      <c r="F1768" s="157"/>
      <c r="G1768" s="156"/>
      <c r="H1768" s="157"/>
      <c r="I1768" s="157"/>
      <c r="J1768" s="156" t="str">
        <f t="shared" ref="J1768:J1815" si="28">F1768&amp;H1768&amp;I1768</f>
        <v/>
      </c>
      <c r="K1768" s="162"/>
      <c r="L1768" s="163"/>
      <c r="M1768" s="164"/>
      <c r="N1768" s="157"/>
      <c r="O1768" s="157"/>
      <c r="P1768" s="157"/>
      <c r="Q1768" s="156" t="s">
        <v>7662</v>
      </c>
    </row>
    <row r="1769" spans="4:17" x14ac:dyDescent="0.25">
      <c r="D1769" s="157" t="s">
        <v>7663</v>
      </c>
      <c r="E1769" s="156" t="s">
        <v>7637</v>
      </c>
      <c r="F1769" s="157"/>
      <c r="G1769" s="156"/>
      <c r="H1769" s="157"/>
      <c r="I1769" s="157"/>
      <c r="J1769" s="156" t="str">
        <f t="shared" si="28"/>
        <v/>
      </c>
      <c r="K1769" s="162"/>
      <c r="L1769" s="163"/>
      <c r="M1769" s="164"/>
      <c r="N1769" s="157"/>
      <c r="O1769" s="157"/>
      <c r="P1769" s="157"/>
      <c r="Q1769" s="156" t="s">
        <v>7664</v>
      </c>
    </row>
    <row r="1770" spans="4:17" x14ac:dyDescent="0.25">
      <c r="D1770" s="157" t="s">
        <v>7665</v>
      </c>
      <c r="E1770" s="156" t="s">
        <v>7637</v>
      </c>
      <c r="F1770" s="157"/>
      <c r="G1770" s="156"/>
      <c r="H1770" s="157"/>
      <c r="I1770" s="157"/>
      <c r="J1770" s="156" t="str">
        <f t="shared" si="28"/>
        <v/>
      </c>
      <c r="K1770" s="162"/>
      <c r="L1770" s="163"/>
      <c r="M1770" s="164"/>
      <c r="N1770" s="157"/>
      <c r="O1770" s="157"/>
      <c r="P1770" s="157"/>
      <c r="Q1770" s="156" t="s">
        <v>7666</v>
      </c>
    </row>
    <row r="1771" spans="4:17" x14ac:dyDescent="0.25">
      <c r="D1771" s="157" t="s">
        <v>7667</v>
      </c>
      <c r="E1771" s="156" t="s">
        <v>7637</v>
      </c>
      <c r="F1771" s="157"/>
      <c r="G1771" s="156"/>
      <c r="H1771" s="157"/>
      <c r="I1771" s="157"/>
      <c r="J1771" s="156" t="str">
        <f t="shared" si="28"/>
        <v/>
      </c>
      <c r="K1771" s="162"/>
      <c r="L1771" s="163"/>
      <c r="M1771" s="164"/>
      <c r="N1771" s="157"/>
      <c r="O1771" s="157"/>
      <c r="P1771" s="157"/>
      <c r="Q1771" s="156" t="s">
        <v>7668</v>
      </c>
    </row>
    <row r="1772" spans="4:17" x14ac:dyDescent="0.25">
      <c r="D1772" s="157" t="s">
        <v>7669</v>
      </c>
      <c r="E1772" s="156" t="s">
        <v>7637</v>
      </c>
      <c r="F1772" s="157"/>
      <c r="G1772" s="156"/>
      <c r="H1772" s="157"/>
      <c r="I1772" s="157"/>
      <c r="J1772" s="156" t="str">
        <f t="shared" si="28"/>
        <v/>
      </c>
      <c r="K1772" s="162"/>
      <c r="L1772" s="163"/>
      <c r="M1772" s="164"/>
      <c r="N1772" s="157"/>
      <c r="O1772" s="157"/>
      <c r="P1772" s="157"/>
      <c r="Q1772" s="156" t="s">
        <v>7670</v>
      </c>
    </row>
    <row r="1773" spans="4:17" x14ac:dyDescent="0.25">
      <c r="D1773" s="157" t="s">
        <v>7671</v>
      </c>
      <c r="E1773" s="156" t="s">
        <v>7637</v>
      </c>
      <c r="F1773" s="157"/>
      <c r="G1773" s="156"/>
      <c r="H1773" s="157"/>
      <c r="I1773" s="157"/>
      <c r="J1773" s="156" t="str">
        <f t="shared" si="28"/>
        <v/>
      </c>
      <c r="K1773" s="162"/>
      <c r="L1773" s="163"/>
      <c r="M1773" s="164"/>
      <c r="N1773" s="157"/>
      <c r="O1773" s="157"/>
      <c r="P1773" s="157"/>
      <c r="Q1773" s="156" t="s">
        <v>7672</v>
      </c>
    </row>
    <row r="1774" spans="4:17" x14ac:dyDescent="0.25">
      <c r="D1774" s="157" t="s">
        <v>7673</v>
      </c>
      <c r="E1774" s="156" t="s">
        <v>7637</v>
      </c>
      <c r="F1774" s="157"/>
      <c r="G1774" s="156"/>
      <c r="H1774" s="157"/>
      <c r="I1774" s="157"/>
      <c r="J1774" s="156" t="str">
        <f t="shared" si="28"/>
        <v/>
      </c>
      <c r="K1774" s="162"/>
      <c r="L1774" s="163"/>
      <c r="M1774" s="164"/>
      <c r="N1774" s="157"/>
      <c r="O1774" s="157"/>
      <c r="P1774" s="157"/>
      <c r="Q1774" s="156" t="s">
        <v>7674</v>
      </c>
    </row>
    <row r="1775" spans="4:17" x14ac:dyDescent="0.25">
      <c r="D1775" s="157" t="s">
        <v>7675</v>
      </c>
      <c r="E1775" s="156" t="s">
        <v>7637</v>
      </c>
      <c r="F1775" s="157"/>
      <c r="G1775" s="156"/>
      <c r="H1775" s="157"/>
      <c r="I1775" s="157"/>
      <c r="J1775" s="156" t="str">
        <f t="shared" si="28"/>
        <v/>
      </c>
      <c r="K1775" s="162"/>
      <c r="L1775" s="163"/>
      <c r="M1775" s="164"/>
      <c r="N1775" s="157"/>
      <c r="O1775" s="157"/>
      <c r="P1775" s="157"/>
      <c r="Q1775" s="156" t="s">
        <v>7676</v>
      </c>
    </row>
    <row r="1776" spans="4:17" x14ac:dyDescent="0.25">
      <c r="D1776" s="157" t="s">
        <v>7677</v>
      </c>
      <c r="E1776" s="156" t="s">
        <v>7678</v>
      </c>
      <c r="F1776" s="157"/>
      <c r="G1776" s="156"/>
      <c r="H1776" s="157"/>
      <c r="I1776" s="157"/>
      <c r="J1776" s="156" t="str">
        <f t="shared" si="28"/>
        <v/>
      </c>
      <c r="K1776" s="162"/>
      <c r="L1776" s="163"/>
      <c r="M1776" s="164"/>
      <c r="N1776" s="157"/>
      <c r="O1776" s="157"/>
      <c r="P1776" s="157"/>
      <c r="Q1776" s="156" t="s">
        <v>7679</v>
      </c>
    </row>
    <row r="1777" spans="4:17" x14ac:dyDescent="0.25">
      <c r="D1777" s="157" t="s">
        <v>7680</v>
      </c>
      <c r="E1777" s="156" t="s">
        <v>7678</v>
      </c>
      <c r="F1777" s="157"/>
      <c r="G1777" s="156"/>
      <c r="H1777" s="157"/>
      <c r="I1777" s="157"/>
      <c r="J1777" s="156" t="str">
        <f t="shared" si="28"/>
        <v/>
      </c>
      <c r="K1777" s="162"/>
      <c r="L1777" s="163"/>
      <c r="M1777" s="164"/>
      <c r="N1777" s="157"/>
      <c r="O1777" s="157"/>
      <c r="P1777" s="157"/>
      <c r="Q1777" s="156" t="s">
        <v>7681</v>
      </c>
    </row>
    <row r="1778" spans="4:17" x14ac:dyDescent="0.25">
      <c r="D1778" s="157" t="s">
        <v>7682</v>
      </c>
      <c r="E1778" s="156" t="s">
        <v>7678</v>
      </c>
      <c r="F1778" s="157"/>
      <c r="G1778" s="156"/>
      <c r="H1778" s="157"/>
      <c r="I1778" s="157"/>
      <c r="J1778" s="156" t="str">
        <f t="shared" si="28"/>
        <v/>
      </c>
      <c r="K1778" s="162"/>
      <c r="L1778" s="163"/>
      <c r="M1778" s="164"/>
      <c r="N1778" s="157"/>
      <c r="O1778" s="157"/>
      <c r="P1778" s="157"/>
      <c r="Q1778" s="156" t="s">
        <v>7683</v>
      </c>
    </row>
    <row r="1779" spans="4:17" x14ac:dyDescent="0.25">
      <c r="D1779" s="157" t="s">
        <v>7684</v>
      </c>
      <c r="E1779" s="156" t="s">
        <v>7678</v>
      </c>
      <c r="F1779" s="157"/>
      <c r="G1779" s="156"/>
      <c r="H1779" s="157"/>
      <c r="I1779" s="157"/>
      <c r="J1779" s="156" t="str">
        <f t="shared" si="28"/>
        <v/>
      </c>
      <c r="K1779" s="162"/>
      <c r="L1779" s="163"/>
      <c r="M1779" s="164"/>
      <c r="N1779" s="157"/>
      <c r="O1779" s="157"/>
      <c r="P1779" s="157"/>
      <c r="Q1779" s="156" t="s">
        <v>7685</v>
      </c>
    </row>
    <row r="1780" spans="4:17" x14ac:dyDescent="0.25">
      <c r="D1780" s="157" t="s">
        <v>7686</v>
      </c>
      <c r="E1780" s="156" t="s">
        <v>7678</v>
      </c>
      <c r="F1780" s="157"/>
      <c r="G1780" s="156"/>
      <c r="H1780" s="157"/>
      <c r="I1780" s="157"/>
      <c r="J1780" s="156" t="str">
        <f t="shared" si="28"/>
        <v/>
      </c>
      <c r="K1780" s="162"/>
      <c r="L1780" s="163"/>
      <c r="M1780" s="164"/>
      <c r="N1780" s="157"/>
      <c r="O1780" s="157"/>
      <c r="P1780" s="157"/>
      <c r="Q1780" s="156" t="s">
        <v>7687</v>
      </c>
    </row>
    <row r="1781" spans="4:17" x14ac:dyDescent="0.25">
      <c r="D1781" s="157" t="s">
        <v>7688</v>
      </c>
      <c r="E1781" s="156" t="s">
        <v>7678</v>
      </c>
      <c r="F1781" s="157"/>
      <c r="G1781" s="156"/>
      <c r="H1781" s="157"/>
      <c r="I1781" s="157"/>
      <c r="J1781" s="156" t="str">
        <f t="shared" si="28"/>
        <v/>
      </c>
      <c r="K1781" s="162"/>
      <c r="L1781" s="163"/>
      <c r="M1781" s="164"/>
      <c r="N1781" s="157"/>
      <c r="O1781" s="157"/>
      <c r="P1781" s="157"/>
      <c r="Q1781" s="156" t="s">
        <v>7689</v>
      </c>
    </row>
    <row r="1782" spans="4:17" x14ac:dyDescent="0.25">
      <c r="D1782" s="157" t="s">
        <v>7690</v>
      </c>
      <c r="E1782" s="156" t="s">
        <v>7678</v>
      </c>
      <c r="F1782" s="157"/>
      <c r="G1782" s="156"/>
      <c r="H1782" s="157"/>
      <c r="I1782" s="157"/>
      <c r="J1782" s="156" t="str">
        <f t="shared" si="28"/>
        <v/>
      </c>
      <c r="K1782" s="162"/>
      <c r="L1782" s="163"/>
      <c r="M1782" s="164"/>
      <c r="N1782" s="157"/>
      <c r="O1782" s="157"/>
      <c r="P1782" s="157"/>
      <c r="Q1782" s="156" t="s">
        <v>7691</v>
      </c>
    </row>
    <row r="1783" spans="4:17" x14ac:dyDescent="0.25">
      <c r="D1783" s="157" t="s">
        <v>7692</v>
      </c>
      <c r="E1783" s="156" t="s">
        <v>7678</v>
      </c>
      <c r="F1783" s="157"/>
      <c r="G1783" s="156"/>
      <c r="H1783" s="157"/>
      <c r="I1783" s="157"/>
      <c r="J1783" s="156" t="str">
        <f t="shared" si="28"/>
        <v/>
      </c>
      <c r="K1783" s="162"/>
      <c r="L1783" s="163"/>
      <c r="M1783" s="164"/>
      <c r="N1783" s="157"/>
      <c r="O1783" s="157"/>
      <c r="P1783" s="157"/>
      <c r="Q1783" s="156" t="s">
        <v>7693</v>
      </c>
    </row>
    <row r="1784" spans="4:17" x14ac:dyDescent="0.25">
      <c r="D1784" s="157" t="s">
        <v>7694</v>
      </c>
      <c r="E1784" s="156" t="s">
        <v>7678</v>
      </c>
      <c r="F1784" s="157"/>
      <c r="G1784" s="156"/>
      <c r="H1784" s="157"/>
      <c r="I1784" s="157"/>
      <c r="J1784" s="156" t="str">
        <f t="shared" si="28"/>
        <v/>
      </c>
      <c r="K1784" s="162"/>
      <c r="L1784" s="163"/>
      <c r="M1784" s="164"/>
      <c r="N1784" s="157"/>
      <c r="O1784" s="157"/>
      <c r="P1784" s="157"/>
      <c r="Q1784" s="156" t="s">
        <v>7695</v>
      </c>
    </row>
    <row r="1785" spans="4:17" x14ac:dyDescent="0.25">
      <c r="D1785" s="157" t="s">
        <v>7696</v>
      </c>
      <c r="E1785" s="156" t="s">
        <v>7678</v>
      </c>
      <c r="F1785" s="157"/>
      <c r="G1785" s="156"/>
      <c r="H1785" s="157"/>
      <c r="I1785" s="157"/>
      <c r="J1785" s="156" t="str">
        <f t="shared" si="28"/>
        <v/>
      </c>
      <c r="K1785" s="162"/>
      <c r="L1785" s="163"/>
      <c r="M1785" s="164"/>
      <c r="N1785" s="157"/>
      <c r="O1785" s="157"/>
      <c r="P1785" s="157"/>
      <c r="Q1785" s="156" t="s">
        <v>7697</v>
      </c>
    </row>
    <row r="1786" spans="4:17" x14ac:dyDescent="0.25">
      <c r="D1786" s="157" t="s">
        <v>7698</v>
      </c>
      <c r="E1786" s="156" t="s">
        <v>7678</v>
      </c>
      <c r="F1786" s="157"/>
      <c r="G1786" s="156"/>
      <c r="H1786" s="157"/>
      <c r="I1786" s="157"/>
      <c r="J1786" s="156" t="str">
        <f t="shared" si="28"/>
        <v/>
      </c>
      <c r="K1786" s="162"/>
      <c r="L1786" s="163"/>
      <c r="M1786" s="164"/>
      <c r="N1786" s="157"/>
      <c r="O1786" s="157"/>
      <c r="P1786" s="157"/>
      <c r="Q1786" s="156" t="s">
        <v>7699</v>
      </c>
    </row>
    <row r="1787" spans="4:17" x14ac:dyDescent="0.25">
      <c r="D1787" s="157" t="s">
        <v>7700</v>
      </c>
      <c r="E1787" s="156" t="s">
        <v>7678</v>
      </c>
      <c r="F1787" s="157"/>
      <c r="G1787" s="156"/>
      <c r="H1787" s="157"/>
      <c r="I1787" s="157"/>
      <c r="J1787" s="156" t="str">
        <f t="shared" si="28"/>
        <v/>
      </c>
      <c r="K1787" s="162"/>
      <c r="L1787" s="163"/>
      <c r="M1787" s="164"/>
      <c r="N1787" s="157"/>
      <c r="O1787" s="157"/>
      <c r="P1787" s="157"/>
      <c r="Q1787" s="156" t="s">
        <v>7701</v>
      </c>
    </row>
    <row r="1788" spans="4:17" x14ac:dyDescent="0.25">
      <c r="D1788" s="157" t="s">
        <v>7702</v>
      </c>
      <c r="E1788" s="156" t="s">
        <v>7678</v>
      </c>
      <c r="F1788" s="157"/>
      <c r="G1788" s="156"/>
      <c r="H1788" s="157"/>
      <c r="I1788" s="157"/>
      <c r="J1788" s="156" t="str">
        <f t="shared" si="28"/>
        <v/>
      </c>
      <c r="K1788" s="162"/>
      <c r="L1788" s="163"/>
      <c r="M1788" s="164"/>
      <c r="N1788" s="157"/>
      <c r="O1788" s="157"/>
      <c r="P1788" s="157"/>
      <c r="Q1788" s="156" t="s">
        <v>7703</v>
      </c>
    </row>
    <row r="1789" spans="4:17" x14ac:dyDescent="0.25">
      <c r="D1789" s="157" t="s">
        <v>7704</v>
      </c>
      <c r="E1789" s="156" t="s">
        <v>7678</v>
      </c>
      <c r="F1789" s="157"/>
      <c r="G1789" s="156"/>
      <c r="H1789" s="157"/>
      <c r="I1789" s="157"/>
      <c r="J1789" s="156" t="str">
        <f t="shared" si="28"/>
        <v/>
      </c>
      <c r="K1789" s="162"/>
      <c r="L1789" s="163"/>
      <c r="M1789" s="164"/>
      <c r="N1789" s="157"/>
      <c r="O1789" s="157"/>
      <c r="P1789" s="157"/>
      <c r="Q1789" s="156" t="s">
        <v>7705</v>
      </c>
    </row>
    <row r="1790" spans="4:17" x14ac:dyDescent="0.25">
      <c r="D1790" s="157" t="s">
        <v>7706</v>
      </c>
      <c r="E1790" s="156" t="s">
        <v>7678</v>
      </c>
      <c r="F1790" s="157"/>
      <c r="G1790" s="156"/>
      <c r="H1790" s="157"/>
      <c r="I1790" s="157"/>
      <c r="J1790" s="156" t="str">
        <f t="shared" si="28"/>
        <v/>
      </c>
      <c r="K1790" s="162"/>
      <c r="L1790" s="163"/>
      <c r="M1790" s="164"/>
      <c r="N1790" s="157"/>
      <c r="O1790" s="157"/>
      <c r="P1790" s="157"/>
      <c r="Q1790" s="156" t="s">
        <v>7707</v>
      </c>
    </row>
    <row r="1791" spans="4:17" x14ac:dyDescent="0.25">
      <c r="D1791" s="157" t="s">
        <v>7708</v>
      </c>
      <c r="E1791" s="156" t="s">
        <v>7678</v>
      </c>
      <c r="F1791" s="157"/>
      <c r="G1791" s="156"/>
      <c r="H1791" s="157"/>
      <c r="I1791" s="157"/>
      <c r="J1791" s="156" t="str">
        <f t="shared" si="28"/>
        <v/>
      </c>
      <c r="K1791" s="162"/>
      <c r="L1791" s="163"/>
      <c r="M1791" s="164"/>
      <c r="N1791" s="157"/>
      <c r="O1791" s="157"/>
      <c r="P1791" s="157"/>
      <c r="Q1791" s="156" t="s">
        <v>7709</v>
      </c>
    </row>
    <row r="1792" spans="4:17" x14ac:dyDescent="0.25">
      <c r="D1792" s="157" t="s">
        <v>7710</v>
      </c>
      <c r="E1792" s="156" t="s">
        <v>7678</v>
      </c>
      <c r="F1792" s="157"/>
      <c r="G1792" s="156"/>
      <c r="H1792" s="157"/>
      <c r="I1792" s="157"/>
      <c r="J1792" s="156" t="str">
        <f t="shared" si="28"/>
        <v/>
      </c>
      <c r="K1792" s="162"/>
      <c r="L1792" s="163"/>
      <c r="M1792" s="164"/>
      <c r="N1792" s="157"/>
      <c r="O1792" s="157"/>
      <c r="P1792" s="157"/>
      <c r="Q1792" s="156" t="s">
        <v>7711</v>
      </c>
    </row>
    <row r="1793" spans="4:17" x14ac:dyDescent="0.25">
      <c r="D1793" s="157" t="s">
        <v>7712</v>
      </c>
      <c r="E1793" s="156" t="s">
        <v>7678</v>
      </c>
      <c r="F1793" s="157"/>
      <c r="G1793" s="156"/>
      <c r="H1793" s="157"/>
      <c r="I1793" s="157"/>
      <c r="J1793" s="156" t="str">
        <f t="shared" si="28"/>
        <v/>
      </c>
      <c r="K1793" s="162"/>
      <c r="L1793" s="163"/>
      <c r="M1793" s="164"/>
      <c r="N1793" s="157"/>
      <c r="O1793" s="157"/>
      <c r="P1793" s="157"/>
      <c r="Q1793" s="156" t="s">
        <v>7713</v>
      </c>
    </row>
    <row r="1794" spans="4:17" x14ac:dyDescent="0.25">
      <c r="D1794" s="157" t="s">
        <v>7714</v>
      </c>
      <c r="E1794" s="156" t="s">
        <v>7678</v>
      </c>
      <c r="F1794" s="157"/>
      <c r="G1794" s="156"/>
      <c r="H1794" s="157"/>
      <c r="I1794" s="157"/>
      <c r="J1794" s="156" t="str">
        <f t="shared" si="28"/>
        <v/>
      </c>
      <c r="K1794" s="162"/>
      <c r="L1794" s="163"/>
      <c r="M1794" s="164"/>
      <c r="N1794" s="157"/>
      <c r="O1794" s="157"/>
      <c r="P1794" s="157"/>
      <c r="Q1794" s="156" t="s">
        <v>7715</v>
      </c>
    </row>
    <row r="1795" spans="4:17" x14ac:dyDescent="0.25">
      <c r="D1795" s="157" t="s">
        <v>7716</v>
      </c>
      <c r="E1795" s="156" t="s">
        <v>7678</v>
      </c>
      <c r="F1795" s="157"/>
      <c r="G1795" s="156"/>
      <c r="H1795" s="157"/>
      <c r="I1795" s="157"/>
      <c r="J1795" s="156" t="str">
        <f t="shared" si="28"/>
        <v/>
      </c>
      <c r="K1795" s="162"/>
      <c r="L1795" s="163"/>
      <c r="M1795" s="164"/>
      <c r="N1795" s="157"/>
      <c r="O1795" s="157"/>
      <c r="P1795" s="157"/>
      <c r="Q1795" s="156" t="s">
        <v>7717</v>
      </c>
    </row>
    <row r="1796" spans="4:17" x14ac:dyDescent="0.25">
      <c r="D1796" s="157" t="s">
        <v>7718</v>
      </c>
      <c r="E1796" s="156" t="s">
        <v>7719</v>
      </c>
      <c r="F1796" s="157"/>
      <c r="G1796" s="156"/>
      <c r="H1796" s="157"/>
      <c r="I1796" s="157"/>
      <c r="J1796" s="156" t="str">
        <f t="shared" si="28"/>
        <v/>
      </c>
      <c r="K1796" s="162"/>
      <c r="L1796" s="163"/>
      <c r="M1796" s="164"/>
      <c r="N1796" s="157"/>
      <c r="O1796" s="157"/>
      <c r="P1796" s="157"/>
      <c r="Q1796" s="156" t="s">
        <v>7720</v>
      </c>
    </row>
    <row r="1797" spans="4:17" x14ac:dyDescent="0.25">
      <c r="D1797" s="157" t="s">
        <v>7721</v>
      </c>
      <c r="E1797" s="156" t="s">
        <v>7719</v>
      </c>
      <c r="F1797" s="157"/>
      <c r="G1797" s="156"/>
      <c r="H1797" s="157"/>
      <c r="I1797" s="157"/>
      <c r="J1797" s="156" t="str">
        <f t="shared" si="28"/>
        <v/>
      </c>
      <c r="K1797" s="162"/>
      <c r="L1797" s="163"/>
      <c r="M1797" s="164"/>
      <c r="N1797" s="157"/>
      <c r="O1797" s="157"/>
      <c r="P1797" s="157"/>
      <c r="Q1797" s="156" t="s">
        <v>7722</v>
      </c>
    </row>
    <row r="1798" spans="4:17" x14ac:dyDescent="0.25">
      <c r="D1798" s="157" t="s">
        <v>7723</v>
      </c>
      <c r="E1798" s="156" t="s">
        <v>7719</v>
      </c>
      <c r="F1798" s="157"/>
      <c r="G1798" s="156"/>
      <c r="H1798" s="157"/>
      <c r="I1798" s="157"/>
      <c r="J1798" s="156" t="str">
        <f t="shared" si="28"/>
        <v/>
      </c>
      <c r="K1798" s="162"/>
      <c r="L1798" s="163"/>
      <c r="M1798" s="164"/>
      <c r="N1798" s="157"/>
      <c r="O1798" s="157"/>
      <c r="P1798" s="157"/>
      <c r="Q1798" s="156" t="s">
        <v>7724</v>
      </c>
    </row>
    <row r="1799" spans="4:17" x14ac:dyDescent="0.25">
      <c r="D1799" s="157" t="s">
        <v>7725</v>
      </c>
      <c r="E1799" s="156" t="s">
        <v>7719</v>
      </c>
      <c r="F1799" s="157"/>
      <c r="G1799" s="156"/>
      <c r="H1799" s="157"/>
      <c r="I1799" s="157"/>
      <c r="J1799" s="156" t="str">
        <f t="shared" si="28"/>
        <v/>
      </c>
      <c r="K1799" s="162"/>
      <c r="L1799" s="163"/>
      <c r="M1799" s="164"/>
      <c r="N1799" s="157"/>
      <c r="O1799" s="157"/>
      <c r="P1799" s="157"/>
      <c r="Q1799" s="156" t="s">
        <v>7726</v>
      </c>
    </row>
    <row r="1800" spans="4:17" x14ac:dyDescent="0.25">
      <c r="D1800" s="157" t="s">
        <v>7727</v>
      </c>
      <c r="E1800" s="156" t="s">
        <v>7719</v>
      </c>
      <c r="F1800" s="157"/>
      <c r="G1800" s="156"/>
      <c r="H1800" s="157"/>
      <c r="I1800" s="157"/>
      <c r="J1800" s="156" t="str">
        <f t="shared" si="28"/>
        <v/>
      </c>
      <c r="K1800" s="162"/>
      <c r="L1800" s="163"/>
      <c r="M1800" s="164"/>
      <c r="N1800" s="157"/>
      <c r="O1800" s="157"/>
      <c r="P1800" s="157"/>
      <c r="Q1800" s="156" t="s">
        <v>7728</v>
      </c>
    </row>
    <row r="1801" spans="4:17" x14ac:dyDescent="0.25">
      <c r="D1801" s="157" t="s">
        <v>7729</v>
      </c>
      <c r="E1801" s="156" t="s">
        <v>7719</v>
      </c>
      <c r="F1801" s="157"/>
      <c r="G1801" s="156"/>
      <c r="H1801" s="157"/>
      <c r="I1801" s="157"/>
      <c r="J1801" s="156" t="str">
        <f t="shared" si="28"/>
        <v/>
      </c>
      <c r="K1801" s="162"/>
      <c r="L1801" s="163"/>
      <c r="M1801" s="164"/>
      <c r="N1801" s="157"/>
      <c r="O1801" s="157"/>
      <c r="P1801" s="157"/>
      <c r="Q1801" s="156" t="s">
        <v>7730</v>
      </c>
    </row>
    <row r="1802" spans="4:17" x14ac:dyDescent="0.25">
      <c r="D1802" s="157" t="s">
        <v>7731</v>
      </c>
      <c r="E1802" s="156" t="s">
        <v>7719</v>
      </c>
      <c r="F1802" s="157"/>
      <c r="G1802" s="156"/>
      <c r="H1802" s="157"/>
      <c r="I1802" s="157"/>
      <c r="J1802" s="156" t="str">
        <f t="shared" si="28"/>
        <v/>
      </c>
      <c r="K1802" s="162"/>
      <c r="L1802" s="163"/>
      <c r="M1802" s="164"/>
      <c r="N1802" s="157"/>
      <c r="O1802" s="157"/>
      <c r="P1802" s="157"/>
      <c r="Q1802" s="156" t="s">
        <v>7732</v>
      </c>
    </row>
    <row r="1803" spans="4:17" x14ac:dyDescent="0.25">
      <c r="D1803" s="157" t="s">
        <v>7733</v>
      </c>
      <c r="E1803" s="156" t="s">
        <v>7719</v>
      </c>
      <c r="F1803" s="157"/>
      <c r="G1803" s="156"/>
      <c r="H1803" s="157"/>
      <c r="I1803" s="157"/>
      <c r="J1803" s="156" t="str">
        <f t="shared" si="28"/>
        <v/>
      </c>
      <c r="K1803" s="162"/>
      <c r="L1803" s="163"/>
      <c r="M1803" s="164"/>
      <c r="N1803" s="157"/>
      <c r="O1803" s="157"/>
      <c r="P1803" s="157"/>
      <c r="Q1803" s="156" t="s">
        <v>7734</v>
      </c>
    </row>
    <row r="1804" spans="4:17" x14ac:dyDescent="0.25">
      <c r="D1804" s="157" t="s">
        <v>7735</v>
      </c>
      <c r="E1804" s="156" t="s">
        <v>7719</v>
      </c>
      <c r="F1804" s="157"/>
      <c r="G1804" s="156"/>
      <c r="H1804" s="157"/>
      <c r="I1804" s="157"/>
      <c r="J1804" s="156" t="str">
        <f t="shared" si="28"/>
        <v/>
      </c>
      <c r="K1804" s="162"/>
      <c r="L1804" s="163"/>
      <c r="M1804" s="164"/>
      <c r="N1804" s="157"/>
      <c r="O1804" s="157"/>
      <c r="P1804" s="157"/>
      <c r="Q1804" s="156" t="s">
        <v>7736</v>
      </c>
    </row>
    <row r="1805" spans="4:17" x14ac:dyDescent="0.25">
      <c r="D1805" s="157" t="s">
        <v>7737</v>
      </c>
      <c r="E1805" s="156" t="s">
        <v>7719</v>
      </c>
      <c r="F1805" s="157"/>
      <c r="G1805" s="156"/>
      <c r="H1805" s="157"/>
      <c r="I1805" s="157"/>
      <c r="J1805" s="156" t="str">
        <f t="shared" si="28"/>
        <v/>
      </c>
      <c r="K1805" s="162"/>
      <c r="L1805" s="163"/>
      <c r="M1805" s="164"/>
      <c r="N1805" s="157"/>
      <c r="O1805" s="157"/>
      <c r="P1805" s="157"/>
      <c r="Q1805" s="156" t="s">
        <v>7738</v>
      </c>
    </row>
    <row r="1806" spans="4:17" x14ac:dyDescent="0.25">
      <c r="D1806" s="157" t="s">
        <v>7739</v>
      </c>
      <c r="E1806" s="156" t="s">
        <v>7719</v>
      </c>
      <c r="F1806" s="157"/>
      <c r="G1806" s="156"/>
      <c r="H1806" s="157"/>
      <c r="I1806" s="157"/>
      <c r="J1806" s="156" t="str">
        <f t="shared" si="28"/>
        <v/>
      </c>
      <c r="K1806" s="162"/>
      <c r="L1806" s="163"/>
      <c r="M1806" s="164"/>
      <c r="N1806" s="157"/>
      <c r="O1806" s="157"/>
      <c r="P1806" s="157"/>
      <c r="Q1806" s="156" t="s">
        <v>7740</v>
      </c>
    </row>
    <row r="1807" spans="4:17" x14ac:dyDescent="0.25">
      <c r="D1807" s="157" t="s">
        <v>7741</v>
      </c>
      <c r="E1807" s="156" t="s">
        <v>7719</v>
      </c>
      <c r="F1807" s="157"/>
      <c r="G1807" s="156"/>
      <c r="H1807" s="157"/>
      <c r="I1807" s="157"/>
      <c r="J1807" s="156" t="str">
        <f t="shared" si="28"/>
        <v/>
      </c>
      <c r="K1807" s="162"/>
      <c r="L1807" s="163"/>
      <c r="M1807" s="164"/>
      <c r="N1807" s="157"/>
      <c r="O1807" s="157"/>
      <c r="P1807" s="157"/>
      <c r="Q1807" s="156" t="s">
        <v>7742</v>
      </c>
    </row>
    <row r="1808" spans="4:17" x14ac:dyDescent="0.25">
      <c r="D1808" s="157" t="s">
        <v>7743</v>
      </c>
      <c r="E1808" s="156" t="s">
        <v>7719</v>
      </c>
      <c r="F1808" s="157"/>
      <c r="G1808" s="156"/>
      <c r="H1808" s="157"/>
      <c r="I1808" s="157"/>
      <c r="J1808" s="156" t="str">
        <f t="shared" si="28"/>
        <v/>
      </c>
      <c r="K1808" s="162"/>
      <c r="L1808" s="163"/>
      <c r="M1808" s="164"/>
      <c r="N1808" s="157"/>
      <c r="O1808" s="157"/>
      <c r="P1808" s="157"/>
      <c r="Q1808" s="156" t="s">
        <v>7744</v>
      </c>
    </row>
    <row r="1809" spans="4:17" x14ac:dyDescent="0.25">
      <c r="D1809" s="157" t="s">
        <v>7745</v>
      </c>
      <c r="E1809" s="156" t="s">
        <v>7719</v>
      </c>
      <c r="F1809" s="157"/>
      <c r="G1809" s="156"/>
      <c r="H1809" s="157"/>
      <c r="I1809" s="157"/>
      <c r="J1809" s="156" t="str">
        <f t="shared" si="28"/>
        <v/>
      </c>
      <c r="K1809" s="162"/>
      <c r="L1809" s="163"/>
      <c r="M1809" s="164"/>
      <c r="N1809" s="157"/>
      <c r="O1809" s="157"/>
      <c r="P1809" s="157"/>
      <c r="Q1809" s="156" t="s">
        <v>7746</v>
      </c>
    </row>
    <row r="1810" spans="4:17" x14ac:dyDescent="0.25">
      <c r="D1810" s="157" t="s">
        <v>7747</v>
      </c>
      <c r="E1810" s="156" t="s">
        <v>7719</v>
      </c>
      <c r="F1810" s="157"/>
      <c r="G1810" s="156"/>
      <c r="H1810" s="157"/>
      <c r="I1810" s="157"/>
      <c r="J1810" s="156" t="str">
        <f t="shared" si="28"/>
        <v/>
      </c>
      <c r="K1810" s="162"/>
      <c r="L1810" s="163"/>
      <c r="M1810" s="164"/>
      <c r="N1810" s="157"/>
      <c r="O1810" s="157"/>
      <c r="P1810" s="157"/>
      <c r="Q1810" s="156" t="s">
        <v>7748</v>
      </c>
    </row>
    <row r="1811" spans="4:17" x14ac:dyDescent="0.25">
      <c r="D1811" s="157" t="s">
        <v>7749</v>
      </c>
      <c r="E1811" s="156" t="s">
        <v>7719</v>
      </c>
      <c r="F1811" s="157"/>
      <c r="G1811" s="156"/>
      <c r="H1811" s="157"/>
      <c r="I1811" s="157"/>
      <c r="J1811" s="156" t="str">
        <f t="shared" si="28"/>
        <v/>
      </c>
      <c r="K1811" s="162"/>
      <c r="L1811" s="163"/>
      <c r="M1811" s="164"/>
      <c r="N1811" s="157"/>
      <c r="O1811" s="157"/>
      <c r="P1811" s="157"/>
      <c r="Q1811" s="156" t="s">
        <v>7750</v>
      </c>
    </row>
    <row r="1812" spans="4:17" x14ac:dyDescent="0.25">
      <c r="D1812" s="157" t="s">
        <v>7751</v>
      </c>
      <c r="E1812" s="156" t="s">
        <v>7719</v>
      </c>
      <c r="F1812" s="157"/>
      <c r="G1812" s="156"/>
      <c r="H1812" s="157"/>
      <c r="I1812" s="157"/>
      <c r="J1812" s="156" t="str">
        <f t="shared" si="28"/>
        <v/>
      </c>
      <c r="K1812" s="162"/>
      <c r="L1812" s="163"/>
      <c r="M1812" s="164"/>
      <c r="N1812" s="157"/>
      <c r="O1812" s="157"/>
      <c r="P1812" s="157"/>
      <c r="Q1812" s="156" t="s">
        <v>7752</v>
      </c>
    </row>
    <row r="1813" spans="4:17" x14ac:dyDescent="0.25">
      <c r="D1813" s="157" t="s">
        <v>7753</v>
      </c>
      <c r="E1813" s="156" t="s">
        <v>7719</v>
      </c>
      <c r="F1813" s="157"/>
      <c r="G1813" s="156"/>
      <c r="H1813" s="157"/>
      <c r="I1813" s="157"/>
      <c r="J1813" s="156" t="str">
        <f t="shared" si="28"/>
        <v/>
      </c>
      <c r="K1813" s="162"/>
      <c r="L1813" s="163"/>
      <c r="M1813" s="164"/>
      <c r="N1813" s="157"/>
      <c r="O1813" s="157"/>
      <c r="P1813" s="157"/>
      <c r="Q1813" s="156" t="s">
        <v>7754</v>
      </c>
    </row>
    <row r="1814" spans="4:17" x14ac:dyDescent="0.25">
      <c r="D1814" s="157" t="s">
        <v>7755</v>
      </c>
      <c r="E1814" s="156" t="s">
        <v>7719</v>
      </c>
      <c r="F1814" s="157"/>
      <c r="G1814" s="156"/>
      <c r="H1814" s="157"/>
      <c r="I1814" s="157"/>
      <c r="J1814" s="156" t="str">
        <f t="shared" si="28"/>
        <v/>
      </c>
      <c r="K1814" s="162"/>
      <c r="L1814" s="163"/>
      <c r="M1814" s="164"/>
      <c r="N1814" s="157"/>
      <c r="O1814" s="157"/>
      <c r="P1814" s="157"/>
      <c r="Q1814" s="156" t="s">
        <v>7756</v>
      </c>
    </row>
    <row r="1815" spans="4:17" x14ac:dyDescent="0.25">
      <c r="D1815" s="157" t="s">
        <v>7757</v>
      </c>
      <c r="E1815" s="156" t="s">
        <v>7719</v>
      </c>
      <c r="F1815" s="157"/>
      <c r="G1815" s="156"/>
      <c r="H1815" s="157"/>
      <c r="I1815" s="157"/>
      <c r="J1815" s="156" t="str">
        <f t="shared" si="28"/>
        <v/>
      </c>
      <c r="K1815" s="162"/>
      <c r="L1815" s="163"/>
      <c r="M1815" s="164"/>
      <c r="N1815" s="157"/>
      <c r="O1815" s="157"/>
      <c r="P1815" s="157"/>
      <c r="Q1815" s="156" t="s">
        <v>7758</v>
      </c>
    </row>
  </sheetData>
  <dataValidations count="9">
    <dataValidation type="custom" allowBlank="1" showInputMessage="1" showErrorMessage="1" errorTitle="X-Author for Excel" error="Id and Lookup fields are not editable." promptTitle="X-Author for Excel" sqref="O3:O303 O309:O609 Q615:Q1815" xr:uid="{00000000-0002-0000-1000-000000000000}">
      <formula1>""</formula1>
    </dataValidation>
    <dataValidation type="decimal" allowBlank="1" showInputMessage="1" showErrorMessage="1" errorTitle="X-Author for Excel" error="Please enter a valid numeric value. Valid range for Baseline N# is -1E+16 to 1E+16." promptTitle="X-Author for Excel" sqref="K615:K1815" xr:uid="{00000000-0002-0000-1000-000003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615:L1815 P3:P303" xr:uid="{00000000-0002-0000-1000-000004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615:M1815" xr:uid="{00000000-0002-0000-1000-000005000000}">
      <formula1>-999.9</formula1>
      <formula2>999.9</formula2>
    </dataValidation>
    <dataValidation type="list" allowBlank="1" showInputMessage="1" showErrorMessage="1" errorTitle="X-Author for Excel" error="Please select a value from the drop-down." promptTitle="X-Author for Excel" sqref="L3:L303" xr:uid="{2A9836FB-E7E9-49AF-89FB-625801B6ACF5}">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303" xr:uid="{FE8CF38F-623D-47B6-976E-0A4DE61CBAA7}">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303" xr:uid="{4B3DC11D-8E1B-4AC6-B347-E3F139B3D4D2}">
      <formula1>-999.99</formula1>
      <formula2>999.99</formula2>
    </dataValidation>
    <dataValidation type="list" allowBlank="1" showInputMessage="1" showErrorMessage="1" errorTitle="X-Author for Excel" error="Please select a value from the drop-down." promptTitle="X-Author for Excel" sqref="L309:L609" xr:uid="{E9B7A1FE-5EB1-4CB1-B52F-C5E746C4C7A3}">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615:N1815" xr:uid="{89874097-A35E-41D1-947D-C9C04FD1906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G1109"/>
  <sheetViews>
    <sheetView workbookViewId="0">
      <selection activeCell="F2" sqref="F2"/>
    </sheetView>
  </sheetViews>
  <sheetFormatPr defaultColWidth="8.58203125" defaultRowHeight="12.5" x14ac:dyDescent="0.25"/>
  <cols>
    <col min="1" max="1" width="13.58203125" style="1" bestFit="1" customWidth="1"/>
    <col min="2" max="2" width="24.08203125" style="1" customWidth="1"/>
    <col min="3" max="3" width="12.58203125" style="9" customWidth="1"/>
    <col min="4" max="4" width="13.58203125" style="1" bestFit="1" customWidth="1"/>
    <col min="5" max="5" width="26.6640625" style="1" customWidth="1"/>
    <col min="6" max="6" width="18.6640625" style="1" customWidth="1"/>
    <col min="7" max="16384" width="8.58203125" style="1"/>
  </cols>
  <sheetData>
    <row r="1" spans="1:7" ht="13" x14ac:dyDescent="0.3">
      <c r="A1" s="942" t="s">
        <v>118</v>
      </c>
      <c r="B1" s="942"/>
      <c r="C1" s="942"/>
      <c r="D1" s="942"/>
    </row>
    <row r="2" spans="1:7" x14ac:dyDescent="0.25">
      <c r="A2" s="156" t="s">
        <v>51</v>
      </c>
      <c r="B2" s="161" t="s">
        <v>49</v>
      </c>
      <c r="C2" s="159"/>
      <c r="D2" s="156" t="s">
        <v>82</v>
      </c>
      <c r="E2" s="156" t="s">
        <v>48</v>
      </c>
      <c r="F2" s="156" t="str">
        <f>A2</f>
        <v>Account Role ID</v>
      </c>
      <c r="G2" s="156" t="s">
        <v>39</v>
      </c>
    </row>
    <row r="3" spans="1:7" hidden="1" x14ac:dyDescent="0.25">
      <c r="A3" s="157" t="s">
        <v>50</v>
      </c>
      <c r="B3" s="156" t="s">
        <v>119</v>
      </c>
      <c r="C3" s="156" t="str">
        <f t="array" ref="C3">IFERROR(INDEX($B$3:$B$15, MATCH(0, COUNTIF($C$2:C2, $B$3:$B$15&amp;"") + IF($B$3:$B$15="",1,0), 0)), "")</f>
        <v>[Account (Name)]</v>
      </c>
      <c r="D3" s="156" t="s">
        <v>81</v>
      </c>
      <c r="E3" s="157" t="s">
        <v>47</v>
      </c>
      <c r="F3" s="157" t="str">
        <f>A3</f>
        <v>[Account Role ID]</v>
      </c>
      <c r="G3" s="156" t="s">
        <v>143</v>
      </c>
    </row>
    <row r="4" spans="1:7" s="9" customFormat="1" x14ac:dyDescent="0.25">
      <c r="A4" s="157" t="s">
        <v>4012</v>
      </c>
      <c r="B4" s="156" t="s">
        <v>1073</v>
      </c>
      <c r="C4" s="156" t="str">
        <f t="array" ref="C4">IFERROR(INDEX($B$3:$B$15, MATCH(0, COUNTIF($C$2:C3, $B$3:$B$15&amp;"") + IF($B$3:$B$15="",1,0), 0)), "")</f>
        <v>Ministry of Health of the Republic of El Salvador</v>
      </c>
      <c r="D4" s="156" t="s">
        <v>4013</v>
      </c>
      <c r="E4" s="157" t="s">
        <v>4014</v>
      </c>
      <c r="F4" s="157" t="str">
        <f t="shared" ref="F4:F14" si="0">A4</f>
        <v>AR-01594</v>
      </c>
      <c r="G4" s="156"/>
    </row>
    <row r="5" spans="1:7" s="9" customFormat="1" x14ac:dyDescent="0.25">
      <c r="A5" s="157" t="s">
        <v>4015</v>
      </c>
      <c r="B5" s="156" t="s">
        <v>1073</v>
      </c>
      <c r="C5" s="156" t="str">
        <f t="array" ref="C5">IFERROR(INDEX($B$3:$B$15, MATCH(0, COUNTIF($C$2:C4, $B$3:$B$15&amp;"") + IF($B$3:$B$15="",1,0), 0)), "")</f>
        <v>Plan International, Inc.</v>
      </c>
      <c r="D5" s="156" t="s">
        <v>4013</v>
      </c>
      <c r="E5" s="157" t="s">
        <v>4016</v>
      </c>
      <c r="F5" s="157" t="str">
        <f t="shared" si="0"/>
        <v>AR-01592</v>
      </c>
      <c r="G5" s="156"/>
    </row>
    <row r="6" spans="1:7" s="9" customFormat="1" x14ac:dyDescent="0.25">
      <c r="A6" s="157" t="s">
        <v>4017</v>
      </c>
      <c r="B6" s="156" t="s">
        <v>1073</v>
      </c>
      <c r="C6" s="156" t="str">
        <f t="array" ref="C6">IFERROR(INDEX($B$3:$B$15, MATCH(0, COUNTIF($C$2:C5, $B$3:$B$15&amp;"") + IF($B$3:$B$15="",1,0), 0)), "")</f>
        <v/>
      </c>
      <c r="D6" s="156" t="s">
        <v>4013</v>
      </c>
      <c r="E6" s="157" t="s">
        <v>4018</v>
      </c>
      <c r="F6" s="157" t="str">
        <f t="shared" si="0"/>
        <v>AR-01593</v>
      </c>
      <c r="G6" s="156"/>
    </row>
    <row r="7" spans="1:7" s="9" customFormat="1" x14ac:dyDescent="0.25">
      <c r="A7" s="157" t="s">
        <v>4019</v>
      </c>
      <c r="B7" s="156" t="s">
        <v>4020</v>
      </c>
      <c r="C7" s="156" t="str">
        <f t="array" ref="C7">IFERROR(INDEX($B$3:$B$15, MATCH(0, COUNTIF($C$2:C6, $B$3:$B$15&amp;"") + IF($B$3:$B$15="",1,0), 0)), "")</f>
        <v/>
      </c>
      <c r="D7" s="156" t="s">
        <v>4021</v>
      </c>
      <c r="E7" s="157" t="s">
        <v>4022</v>
      </c>
      <c r="F7" s="157" t="str">
        <f t="shared" si="0"/>
        <v>AR-01126</v>
      </c>
      <c r="G7" s="156"/>
    </row>
    <row r="8" spans="1:7" s="9" customFormat="1" x14ac:dyDescent="0.25">
      <c r="A8" s="157" t="s">
        <v>4023</v>
      </c>
      <c r="B8" s="156" t="s">
        <v>1073</v>
      </c>
      <c r="C8" s="156" t="str">
        <f t="array" ref="C8">IFERROR(INDEX($B$3:$B$15, MATCH(0, COUNTIF($C$2:C7, $B$3:$B$15&amp;"") + IF($B$3:$B$15="",1,0), 0)), "")</f>
        <v/>
      </c>
      <c r="D8" s="156" t="s">
        <v>4013</v>
      </c>
      <c r="E8" s="157" t="s">
        <v>4024</v>
      </c>
      <c r="F8" s="157" t="str">
        <f t="shared" si="0"/>
        <v>AR-02636</v>
      </c>
      <c r="G8" s="156"/>
    </row>
    <row r="9" spans="1:7" s="9" customFormat="1" x14ac:dyDescent="0.25">
      <c r="A9" s="157" t="s">
        <v>4025</v>
      </c>
      <c r="B9" s="156" t="s">
        <v>1073</v>
      </c>
      <c r="C9" s="156" t="str">
        <f t="array" ref="C9">IFERROR(INDEX($B$3:$B$15, MATCH(0, COUNTIF($C$2:C8, $B$3:$B$15&amp;"") + IF($B$3:$B$15="",1,0), 0)), "")</f>
        <v/>
      </c>
      <c r="D9" s="156" t="s">
        <v>4013</v>
      </c>
      <c r="E9" s="157" t="s">
        <v>4026</v>
      </c>
      <c r="F9" s="157" t="str">
        <f t="shared" si="0"/>
        <v>AR-04178</v>
      </c>
      <c r="G9" s="156"/>
    </row>
    <row r="10" spans="1:7" s="9" customFormat="1" x14ac:dyDescent="0.25">
      <c r="A10" s="157" t="s">
        <v>4027</v>
      </c>
      <c r="B10" s="156" t="s">
        <v>1073</v>
      </c>
      <c r="C10" s="156" t="str">
        <f t="array" ref="C10">IFERROR(INDEX($B$3:$B$15, MATCH(0, COUNTIF($C$2:C9, $B$3:$B$15&amp;"") + IF($B$3:$B$15="",1,0), 0)), "")</f>
        <v/>
      </c>
      <c r="D10" s="156" t="s">
        <v>4013</v>
      </c>
      <c r="E10" s="157" t="s">
        <v>4028</v>
      </c>
      <c r="F10" s="157" t="str">
        <f t="shared" si="0"/>
        <v>AR-04187</v>
      </c>
      <c r="G10" s="156"/>
    </row>
    <row r="11" spans="1:7" s="9" customFormat="1" x14ac:dyDescent="0.25">
      <c r="A11" s="157" t="s">
        <v>4029</v>
      </c>
      <c r="B11" s="156" t="s">
        <v>1073</v>
      </c>
      <c r="C11" s="156" t="str">
        <f t="array" ref="C11">IFERROR(INDEX($B$3:$B$15, MATCH(0, COUNTIF($C$2:C10, $B$3:$B$15&amp;"") + IF($B$3:$B$15="",1,0), 0)), "")</f>
        <v/>
      </c>
      <c r="D11" s="156" t="s">
        <v>4013</v>
      </c>
      <c r="E11" s="157" t="s">
        <v>4030</v>
      </c>
      <c r="F11" s="157" t="str">
        <f t="shared" si="0"/>
        <v>AR-08723</v>
      </c>
      <c r="G11" s="156"/>
    </row>
    <row r="12" spans="1:7" s="9" customFormat="1" x14ac:dyDescent="0.25">
      <c r="A12" s="157" t="s">
        <v>4031</v>
      </c>
      <c r="B12" s="156" t="s">
        <v>4020</v>
      </c>
      <c r="C12" s="156" t="str">
        <f t="array" ref="C12">IFERROR(INDEX($B$3:$B$15, MATCH(0, COUNTIF($C$2:C11, $B$3:$B$15&amp;"") + IF($B$3:$B$15="",1,0), 0)), "")</f>
        <v/>
      </c>
      <c r="D12" s="156" t="s">
        <v>4021</v>
      </c>
      <c r="E12" s="157" t="s">
        <v>4032</v>
      </c>
      <c r="F12" s="157" t="str">
        <f t="shared" si="0"/>
        <v>AR-08724</v>
      </c>
      <c r="G12" s="156"/>
    </row>
    <row r="13" spans="1:7" s="9" customFormat="1" x14ac:dyDescent="0.25">
      <c r="A13" s="157" t="s">
        <v>4033</v>
      </c>
      <c r="B13" s="156" t="s">
        <v>1073</v>
      </c>
      <c r="C13" s="156" t="str">
        <f t="array" ref="C13">IFERROR(INDEX($B$3:$B$15, MATCH(0, COUNTIF($C$2:C12, $B$3:$B$15&amp;"") + IF($B$3:$B$15="",1,0), 0)), "")</f>
        <v/>
      </c>
      <c r="D13" s="156" t="s">
        <v>4013</v>
      </c>
      <c r="E13" s="157" t="s">
        <v>4034</v>
      </c>
      <c r="F13" s="157" t="str">
        <f t="shared" si="0"/>
        <v>AR-08751</v>
      </c>
      <c r="G13" s="156"/>
    </row>
    <row r="14" spans="1:7" s="9" customFormat="1" x14ac:dyDescent="0.25">
      <c r="A14" s="157" t="s">
        <v>1075</v>
      </c>
      <c r="B14" s="156" t="s">
        <v>1073</v>
      </c>
      <c r="C14" s="156" t="str">
        <f t="array" ref="C14">IFERROR(INDEX($B$3:$B$15, MATCH(0, COUNTIF($C$2:C13, $B$3:$B$15&amp;"") + IF($B$3:$B$15="",1,0), 0)), "")</f>
        <v/>
      </c>
      <c r="D14" s="156" t="s">
        <v>4013</v>
      </c>
      <c r="E14" s="157" t="s">
        <v>1074</v>
      </c>
      <c r="F14" s="157" t="str">
        <f t="shared" si="0"/>
        <v>AR-09389</v>
      </c>
      <c r="G14" s="156"/>
    </row>
    <row r="15" spans="1:7" s="9" customFormat="1" x14ac:dyDescent="0.25"/>
    <row r="16" spans="1:7" s="9" customFormat="1" hidden="1" x14ac:dyDescent="0.25"/>
    <row r="17" spans="1:4" s="9" customFormat="1" hidden="1" x14ac:dyDescent="0.25"/>
    <row r="18" spans="1:4" s="9" customFormat="1" hidden="1" x14ac:dyDescent="0.25"/>
    <row r="19" spans="1:4" s="9" customFormat="1" hidden="1" x14ac:dyDescent="0.25"/>
    <row r="21" spans="1:4" ht="13" x14ac:dyDescent="0.3">
      <c r="A21" s="942" t="s">
        <v>117</v>
      </c>
      <c r="B21" s="942"/>
      <c r="C21" s="942"/>
      <c r="D21" s="942"/>
    </row>
    <row r="22" spans="1:4" x14ac:dyDescent="0.25">
      <c r="A22" s="156" t="s">
        <v>51</v>
      </c>
      <c r="B22" s="156" t="s">
        <v>49</v>
      </c>
      <c r="C22" s="156"/>
      <c r="D22" s="156" t="s">
        <v>82</v>
      </c>
    </row>
    <row r="23" spans="1:4" hidden="1" x14ac:dyDescent="0.25">
      <c r="A23" s="157" t="s">
        <v>50</v>
      </c>
      <c r="B23" s="156" t="s">
        <v>119</v>
      </c>
      <c r="C23" s="156" t="str">
        <f t="array" ref="C23">IFERROR(INDEX($B$23:$B$293, MATCH(0, COUNTIF($C$22:C22, $B$23:$B$293&amp;"") + IF($B$23:$B$293="",1,0), 0)), "")</f>
        <v>[Account (Name)]</v>
      </c>
      <c r="D23" s="156" t="s">
        <v>81</v>
      </c>
    </row>
    <row r="24" spans="1:4" s="9" customFormat="1" x14ac:dyDescent="0.25">
      <c r="A24" s="157" t="s">
        <v>7810</v>
      </c>
      <c r="B24" s="156" t="s">
        <v>7811</v>
      </c>
      <c r="C24" s="156" t="str">
        <f t="array" ref="C24">IFERROR(INDEX($B$23:$B$293, MATCH(0, COUNTIF($C$22:C23, $B$23:$B$293&amp;"") + IF($B$23:$B$293="",1,0), 0)), "")</f>
        <v>Kazakh scientific center of dermatology and infectious diseases of the Ministry of Health of the Republic of Kazakhstan</v>
      </c>
      <c r="D24" s="156" t="s">
        <v>7812</v>
      </c>
    </row>
    <row r="25" spans="1:4" s="9" customFormat="1" x14ac:dyDescent="0.25">
      <c r="A25" s="157" t="s">
        <v>7813</v>
      </c>
      <c r="B25" s="156" t="s">
        <v>7814</v>
      </c>
      <c r="C25" s="156" t="str">
        <f t="array" ref="C25">IFERROR(INDEX($B$23:$B$293, MATCH(0, COUNTIF($C$22:C24, $B$23:$B$293&amp;"") + IF($B$23:$B$293="",1,0), 0)), "")</f>
        <v>Project HOPE  - the People to People Health Foundation</v>
      </c>
      <c r="D25" s="156" t="s">
        <v>7815</v>
      </c>
    </row>
    <row r="26" spans="1:4" s="9" customFormat="1" x14ac:dyDescent="0.25">
      <c r="A26" s="157" t="s">
        <v>7816</v>
      </c>
      <c r="B26" s="156" t="s">
        <v>7817</v>
      </c>
      <c r="C26" s="156" t="str">
        <f t="array" ref="C26">IFERROR(INDEX($B$23:$B$293, MATCH(0, COUNTIF($C$22:C25, $B$23:$B$293&amp;"") + IF($B$23:$B$293="",1,0), 0)), "")</f>
        <v>RSE on REU “National Scientific Center of Phthisiopulmonology of the Republic of  Kazakhstan” of the Ministry of Health of the Republic of  Kazakhstan</v>
      </c>
      <c r="D26" s="156" t="s">
        <v>7818</v>
      </c>
    </row>
    <row r="27" spans="1:4" s="9" customFormat="1" x14ac:dyDescent="0.25">
      <c r="A27" s="157" t="s">
        <v>7819</v>
      </c>
      <c r="B27" s="156" t="s">
        <v>7811</v>
      </c>
      <c r="C27" s="156" t="str">
        <f t="array" ref="C27">IFERROR(INDEX($B$23:$B$293, MATCH(0, COUNTIF($C$22:C26, $B$23:$B$293&amp;"") + IF($B$23:$B$293="",1,0), 0)), "")</f>
        <v>United Nations Development Programme</v>
      </c>
      <c r="D27" s="156" t="s">
        <v>7812</v>
      </c>
    </row>
    <row r="28" spans="1:4" s="9" customFormat="1" x14ac:dyDescent="0.25">
      <c r="A28" s="157" t="s">
        <v>7820</v>
      </c>
      <c r="B28" s="156" t="s">
        <v>7817</v>
      </c>
      <c r="C28" s="156" t="str">
        <f t="array" ref="C28">IFERROR(INDEX($B$23:$B$293, MATCH(0, COUNTIF($C$22:C27, $B$23:$B$293&amp;"") + IF($B$23:$B$293="",1,0), 0)), "")</f>
        <v>Republican Center of Tuberculosis Control - Tajikistan</v>
      </c>
      <c r="D28" s="156" t="s">
        <v>7818</v>
      </c>
    </row>
    <row r="29" spans="1:4" s="9" customFormat="1" x14ac:dyDescent="0.25">
      <c r="A29" s="157" t="s">
        <v>7821</v>
      </c>
      <c r="B29" s="156" t="s">
        <v>7811</v>
      </c>
      <c r="C29" s="156" t="str">
        <f t="array" ref="C29">IFERROR(INDEX($B$23:$B$293, MATCH(0, COUNTIF($C$22:C28, $B$23:$B$293&amp;"") + IF($B$23:$B$293="",1,0), 0)), "")</f>
        <v>Republican Specialized Scientific-Practical Medical Center of Phthisiology and Pulmonology</v>
      </c>
      <c r="D29" s="156" t="s">
        <v>7812</v>
      </c>
    </row>
    <row r="30" spans="1:4" s="9" customFormat="1" x14ac:dyDescent="0.25">
      <c r="A30" s="157" t="s">
        <v>7822</v>
      </c>
      <c r="B30" s="156" t="s">
        <v>7817</v>
      </c>
      <c r="C30" s="156" t="str">
        <f t="array" ref="C30">IFERROR(INDEX($B$23:$B$293, MATCH(0, COUNTIF($C$22:C29, $B$23:$B$293&amp;"") + IF($B$23:$B$293="",1,0), 0)), "")</f>
        <v>Republican Center to Fight AIDS</v>
      </c>
      <c r="D30" s="156" t="s">
        <v>7818</v>
      </c>
    </row>
    <row r="31" spans="1:4" s="9" customFormat="1" x14ac:dyDescent="0.25">
      <c r="A31" s="157" t="s">
        <v>7823</v>
      </c>
      <c r="B31" s="156" t="s">
        <v>7824</v>
      </c>
      <c r="C31" s="156" t="str">
        <f t="array" ref="C31">IFERROR(INDEX($B$23:$B$293, MATCH(0, COUNTIF($C$22:C30, $B$23:$B$293&amp;"") + IF($B$23:$B$293="",1,0), 0)), "")</f>
        <v>Republican Center of State Sanitary-Epidemiological Surveillance of the Republic of Uzbekistan</v>
      </c>
      <c r="D31" s="156" t="s">
        <v>7825</v>
      </c>
    </row>
    <row r="32" spans="1:4" s="9" customFormat="1" x14ac:dyDescent="0.25">
      <c r="A32" s="157" t="s">
        <v>7826</v>
      </c>
      <c r="B32" s="156" t="s">
        <v>7824</v>
      </c>
      <c r="C32" s="156" t="str">
        <f t="array" ref="C32">IFERROR(INDEX($B$23:$B$293, MATCH(0, COUNTIF($C$22:C31, $B$23:$B$293&amp;"") + IF($B$23:$B$293="",1,0), 0)), "")</f>
        <v>Republican DOTS Centre  Ministry of Health of the Republic of Uzbekistan</v>
      </c>
      <c r="D32" s="156" t="s">
        <v>7825</v>
      </c>
    </row>
    <row r="33" spans="1:4" s="9" customFormat="1" x14ac:dyDescent="0.25">
      <c r="A33" s="157" t="s">
        <v>7827</v>
      </c>
      <c r="B33" s="156" t="s">
        <v>7824</v>
      </c>
      <c r="C33" s="156" t="str">
        <f t="array" ref="C33">IFERROR(INDEX($B$23:$B$293, MATCH(0, COUNTIF($C$22:C32, $B$23:$B$293&amp;"") + IF($B$23:$B$293="",1,0), 0)), "")</f>
        <v>Ministry of Health of Mongolia</v>
      </c>
      <c r="D33" s="156" t="s">
        <v>7825</v>
      </c>
    </row>
    <row r="34" spans="1:4" s="9" customFormat="1" x14ac:dyDescent="0.25">
      <c r="A34" s="157" t="s">
        <v>7828</v>
      </c>
      <c r="B34" s="156" t="s">
        <v>7824</v>
      </c>
      <c r="C34" s="156" t="str">
        <f t="array" ref="C34">IFERROR(INDEX($B$23:$B$293, MATCH(0, COUNTIF($C$22:C33, $B$23:$B$293&amp;"") + IF($B$23:$B$293="",1,0), 0)), "")</f>
        <v>Ministry of Health of the Lao People's Democratic Republic</v>
      </c>
      <c r="D34" s="156" t="s">
        <v>7825</v>
      </c>
    </row>
    <row r="35" spans="1:4" s="9" customFormat="1" x14ac:dyDescent="0.25">
      <c r="A35" s="157" t="s">
        <v>7829</v>
      </c>
      <c r="B35" s="156" t="s">
        <v>7814</v>
      </c>
      <c r="C35" s="156" t="str">
        <f t="array" ref="C35">IFERROR(INDEX($B$23:$B$293, MATCH(0, COUNTIF($C$22:C34, $B$23:$B$293&amp;"") + IF($B$23:$B$293="",1,0), 0)), "")</f>
        <v>Malaysian AIDS Council</v>
      </c>
      <c r="D35" s="156" t="s">
        <v>7830</v>
      </c>
    </row>
    <row r="36" spans="1:4" s="9" customFormat="1" x14ac:dyDescent="0.25">
      <c r="A36" s="157" t="s">
        <v>7831</v>
      </c>
      <c r="B36" s="156" t="s">
        <v>7824</v>
      </c>
      <c r="C36" s="156" t="str">
        <f t="array" ref="C36">IFERROR(INDEX($B$23:$B$293, MATCH(0, COUNTIF($C$22:C35, $B$23:$B$293&amp;"") + IF($B$23:$B$293="",1,0), 0)), "")</f>
        <v>Ministry of Health of the Democratic Republic of Timor-Leste</v>
      </c>
      <c r="D36" s="156" t="s">
        <v>7825</v>
      </c>
    </row>
    <row r="37" spans="1:4" s="9" customFormat="1" x14ac:dyDescent="0.25">
      <c r="A37" s="157" t="s">
        <v>7832</v>
      </c>
      <c r="B37" s="156" t="s">
        <v>7824</v>
      </c>
      <c r="C37" s="156" t="str">
        <f t="array" ref="C37">IFERROR(INDEX($B$23:$B$293, MATCH(0, COUNTIF($C$22:C36, $B$23:$B$293&amp;"") + IF($B$23:$B$293="",1,0), 0)), "")</f>
        <v>Ministry of Health of the Royal Government of Bhutan</v>
      </c>
      <c r="D37" s="156" t="s">
        <v>7825</v>
      </c>
    </row>
    <row r="38" spans="1:4" s="9" customFormat="1" x14ac:dyDescent="0.25">
      <c r="A38" s="157" t="s">
        <v>7833</v>
      </c>
      <c r="B38" s="156" t="s">
        <v>7824</v>
      </c>
      <c r="C38" s="156" t="str">
        <f t="array" ref="C38">IFERROR(INDEX($B$23:$B$293, MATCH(0, COUNTIF($C$22:C37, $B$23:$B$293&amp;"") + IF($B$23:$B$293="",1,0), 0)), "")</f>
        <v>Ministry of Health of the Republic of Armenia</v>
      </c>
      <c r="D38" s="156" t="s">
        <v>7825</v>
      </c>
    </row>
    <row r="39" spans="1:4" s="9" customFormat="1" x14ac:dyDescent="0.25">
      <c r="A39" s="157" t="s">
        <v>7834</v>
      </c>
      <c r="B39" s="156" t="s">
        <v>7814</v>
      </c>
      <c r="C39" s="156" t="str">
        <f t="array" ref="C39">IFERROR(INDEX($B$23:$B$293, MATCH(0, COUNTIF($C$22:C38, $B$23:$B$293&amp;"") + IF($B$23:$B$293="",1,0), 0)), "")</f>
        <v>Mission East</v>
      </c>
      <c r="D39" s="156" t="s">
        <v>7830</v>
      </c>
    </row>
    <row r="40" spans="1:4" s="9" customFormat="1" x14ac:dyDescent="0.25">
      <c r="A40" s="157" t="s">
        <v>7835</v>
      </c>
      <c r="B40" s="156" t="s">
        <v>7836</v>
      </c>
      <c r="C40" s="156" t="str">
        <f t="array" ref="C40">IFERROR(INDEX($B$23:$B$293, MATCH(0, COUNTIF($C$22:C39, $B$23:$B$293&amp;"") + IF($B$23:$B$293="",1,0), 0)), "")</f>
        <v>Ministry of Health of the Republic of Azerbaijan</v>
      </c>
      <c r="D40" s="156" t="s">
        <v>7837</v>
      </c>
    </row>
    <row r="41" spans="1:4" s="9" customFormat="1" x14ac:dyDescent="0.25">
      <c r="A41" s="157" t="s">
        <v>7838</v>
      </c>
      <c r="B41" s="156" t="s">
        <v>7824</v>
      </c>
      <c r="C41" s="156" t="str">
        <f t="array" ref="C41">IFERROR(INDEX($B$23:$B$293, MATCH(0, COUNTIF($C$22:C40, $B$23:$B$293&amp;"") + IF($B$23:$B$293="",1,0), 0)), "")</f>
        <v>Main Medical Department of the Ministry of Justice of the Republic of Azerbaijan</v>
      </c>
      <c r="D41" s="156" t="s">
        <v>7839</v>
      </c>
    </row>
    <row r="42" spans="1:4" s="9" customFormat="1" x14ac:dyDescent="0.25">
      <c r="A42" s="157" t="s">
        <v>7840</v>
      </c>
      <c r="B42" s="156" t="s">
        <v>7824</v>
      </c>
      <c r="C42" s="156" t="str">
        <f t="array" ref="C42">IFERROR(INDEX($B$23:$B$293, MATCH(0, COUNTIF($C$22:C41, $B$23:$B$293&amp;"") + IF($B$23:$B$293="",1,0), 0)), "")</f>
        <v>National Center For Disease Control and Public Health</v>
      </c>
      <c r="D42" s="156" t="s">
        <v>7839</v>
      </c>
    </row>
    <row r="43" spans="1:4" s="9" customFormat="1" x14ac:dyDescent="0.25">
      <c r="A43" s="157" t="s">
        <v>7841</v>
      </c>
      <c r="B43" s="156" t="s">
        <v>7814</v>
      </c>
      <c r="C43" s="156" t="str">
        <f t="array" ref="C43">IFERROR(INDEX($B$23:$B$293, MATCH(0, COUNTIF($C$22:C42, $B$23:$B$293&amp;"") + IF($B$23:$B$293="",1,0), 0)), "")</f>
        <v>Republican Scientific and Practical Center for Medical Technologies, Informatization, Administration and Management of Health</v>
      </c>
      <c r="D43" s="156" t="s">
        <v>7830</v>
      </c>
    </row>
    <row r="44" spans="1:4" s="9" customFormat="1" x14ac:dyDescent="0.25">
      <c r="A44" s="157" t="s">
        <v>7842</v>
      </c>
      <c r="B44" s="156" t="s">
        <v>7824</v>
      </c>
      <c r="C44" s="156" t="str">
        <f t="array" ref="C44">IFERROR(INDEX($B$23:$B$293, MATCH(0, COUNTIF($C$22:C43, $B$23:$B$293&amp;"") + IF($B$23:$B$293="",1,0), 0)), "")</f>
        <v>Public Institution - Coordination, Implementation and Monitoring Unit of the Health  System Projects</v>
      </c>
      <c r="D44" s="156" t="s">
        <v>7839</v>
      </c>
    </row>
    <row r="45" spans="1:4" s="9" customFormat="1" x14ac:dyDescent="0.25">
      <c r="A45" s="157" t="s">
        <v>7843</v>
      </c>
      <c r="B45" s="156" t="s">
        <v>7824</v>
      </c>
      <c r="C45" s="156" t="str">
        <f t="array" ref="C45">IFERROR(INDEX($B$23:$B$293, MATCH(0, COUNTIF($C$22:C44, $B$23:$B$293&amp;"") + IF($B$23:$B$293="",1,0), 0)), "")</f>
        <v>Center for Health Policies and Studies</v>
      </c>
      <c r="D45" s="156" t="s">
        <v>7839</v>
      </c>
    </row>
    <row r="46" spans="1:4" s="9" customFormat="1" x14ac:dyDescent="0.25">
      <c r="A46" s="157" t="s">
        <v>7844</v>
      </c>
      <c r="B46" s="156" t="s">
        <v>7824</v>
      </c>
      <c r="C46" s="156" t="str">
        <f t="array" ref="C46">IFERROR(INDEX($B$23:$B$293, MATCH(0, COUNTIF($C$22:C45, $B$23:$B$293&amp;"") + IF($B$23:$B$293="",1,0), 0)), "")</f>
        <v>State Institution "Public Health Center of the Ministry of Health of Ukraine"</v>
      </c>
      <c r="D46" s="156" t="s">
        <v>7839</v>
      </c>
    </row>
    <row r="47" spans="1:4" s="9" customFormat="1" x14ac:dyDescent="0.25">
      <c r="A47" s="157" t="s">
        <v>7845</v>
      </c>
      <c r="B47" s="156" t="s">
        <v>7836</v>
      </c>
      <c r="C47" s="156" t="str">
        <f t="array" ref="C47">IFERROR(INDEX($B$23:$B$293, MATCH(0, COUNTIF($C$22:C46, $B$23:$B$293&amp;"") + IF($B$23:$B$293="",1,0), 0)), "")</f>
        <v>Charitable Organization "All-Ukrainian Network of People Living with HIV/AIDS"</v>
      </c>
      <c r="D47" s="156" t="s">
        <v>7837</v>
      </c>
    </row>
    <row r="48" spans="1:4" s="9" customFormat="1" x14ac:dyDescent="0.25">
      <c r="A48" s="157" t="s">
        <v>7846</v>
      </c>
      <c r="B48" s="156" t="s">
        <v>7814</v>
      </c>
      <c r="C48" s="156" t="str">
        <f t="array" ref="C48">IFERROR(INDEX($B$23:$B$293, MATCH(0, COUNTIF($C$22:C47, $B$23:$B$293&amp;"") + IF($B$23:$B$293="",1,0), 0)), "")</f>
        <v>International Charitable Foundation “Alliance for Public Health”</v>
      </c>
      <c r="D48" s="156" t="s">
        <v>7830</v>
      </c>
    </row>
    <row r="49" spans="1:4" s="9" customFormat="1" x14ac:dyDescent="0.25">
      <c r="A49" s="157" t="s">
        <v>7847</v>
      </c>
      <c r="B49" s="156" t="s">
        <v>7824</v>
      </c>
      <c r="C49" s="156" t="str">
        <f t="array" ref="C49">IFERROR(INDEX($B$23:$B$293, MATCH(0, COUNTIF($C$22:C48, $B$23:$B$293&amp;"") + IF($B$23:$B$293="",1,0), 0)), "")</f>
        <v>United Nations Children's Fund</v>
      </c>
      <c r="D49" s="156" t="s">
        <v>7839</v>
      </c>
    </row>
    <row r="50" spans="1:4" s="9" customFormat="1" x14ac:dyDescent="0.25">
      <c r="A50" s="157" t="s">
        <v>7848</v>
      </c>
      <c r="B50" s="156" t="s">
        <v>7824</v>
      </c>
      <c r="C50" s="156" t="str">
        <f t="array" ref="C50">IFERROR(INDEX($B$23:$B$293, MATCH(0, COUNTIF($C$22:C49, $B$23:$B$293&amp;"") + IF($B$23:$B$293="",1,0), 0)), "")</f>
        <v>World Vision (PNG) Trust</v>
      </c>
      <c r="D50" s="156" t="s">
        <v>7849</v>
      </c>
    </row>
    <row r="51" spans="1:4" s="9" customFormat="1" x14ac:dyDescent="0.25">
      <c r="A51" s="157" t="s">
        <v>7850</v>
      </c>
      <c r="B51" s="156" t="s">
        <v>7824</v>
      </c>
      <c r="C51" s="156" t="str">
        <f t="array" ref="C51">IFERROR(INDEX($B$23:$B$293, MATCH(0, COUNTIF($C$22:C50, $B$23:$B$293&amp;"") + IF($B$23:$B$293="",1,0), 0)), "")</f>
        <v>The Rotary Club of Port Moresby Inc.</v>
      </c>
      <c r="D51" s="156" t="s">
        <v>7849</v>
      </c>
    </row>
    <row r="52" spans="1:4" s="9" customFormat="1" x14ac:dyDescent="0.25">
      <c r="A52" s="157" t="s">
        <v>7851</v>
      </c>
      <c r="B52" s="156" t="s">
        <v>7824</v>
      </c>
      <c r="C52" s="156" t="str">
        <f t="array" ref="C52">IFERROR(INDEX($B$23:$B$293, MATCH(0, COUNTIF($C$22:C51, $B$23:$B$293&amp;"") + IF($B$23:$B$293="",1,0), 0)), "")</f>
        <v>Oil Search Foundation</v>
      </c>
      <c r="D52" s="156" t="s">
        <v>7849</v>
      </c>
    </row>
    <row r="53" spans="1:4" s="9" customFormat="1" x14ac:dyDescent="0.25">
      <c r="A53" s="157" t="s">
        <v>7852</v>
      </c>
      <c r="B53" s="156" t="s">
        <v>7853</v>
      </c>
      <c r="C53" s="156" t="str">
        <f t="array" ref="C53">IFERROR(INDEX($B$23:$B$293, MATCH(0, COUNTIF($C$22:C52, $B$23:$B$293&amp;"") + IF($B$23:$B$293="",1,0), 0)), "")</f>
        <v>Population Services International</v>
      </c>
      <c r="D53" s="156" t="s">
        <v>7854</v>
      </c>
    </row>
    <row r="54" spans="1:4" s="9" customFormat="1" x14ac:dyDescent="0.25">
      <c r="A54" s="157" t="s">
        <v>7855</v>
      </c>
      <c r="B54" s="156" t="s">
        <v>7856</v>
      </c>
      <c r="C54" s="156" t="str">
        <f t="array" ref="C54">IFERROR(INDEX($B$23:$B$293, MATCH(0, COUNTIF($C$22:C53, $B$23:$B$293&amp;"") + IF($B$23:$B$293="",1,0), 0)), "")</f>
        <v>UNICEF South Sudan</v>
      </c>
      <c r="D54" s="156" t="s">
        <v>7857</v>
      </c>
    </row>
    <row r="55" spans="1:4" s="9" customFormat="1" x14ac:dyDescent="0.25">
      <c r="A55" s="157" t="s">
        <v>7858</v>
      </c>
      <c r="B55" s="156" t="s">
        <v>7859</v>
      </c>
      <c r="C55" s="156" t="str">
        <f t="array" ref="C55">IFERROR(INDEX($B$23:$B$293, MATCH(0, COUNTIF($C$22:C54, $B$23:$B$293&amp;"") + IF($B$23:$B$293="",1,0), 0)), "")</f>
        <v>UNICEF Ethiopia</v>
      </c>
      <c r="D55" s="156" t="s">
        <v>7860</v>
      </c>
    </row>
    <row r="56" spans="1:4" s="9" customFormat="1" x14ac:dyDescent="0.25">
      <c r="A56" s="157" t="s">
        <v>7861</v>
      </c>
      <c r="B56" s="156" t="s">
        <v>7862</v>
      </c>
      <c r="C56" s="156" t="str">
        <f t="array" ref="C56">IFERROR(INDEX($B$23:$B$293, MATCH(0, COUNTIF($C$22:C55, $B$23:$B$293&amp;"") + IF($B$23:$B$293="",1,0), 0)), "")</f>
        <v>Federal Ministry of Health of the Federal Democratic Republic of Ethiopia</v>
      </c>
      <c r="D56" s="156" t="s">
        <v>7863</v>
      </c>
    </row>
    <row r="57" spans="1:4" s="9" customFormat="1" x14ac:dyDescent="0.25">
      <c r="A57" s="157" t="s">
        <v>7864</v>
      </c>
      <c r="B57" s="156" t="s">
        <v>7859</v>
      </c>
      <c r="C57" s="156" t="str">
        <f t="array" ref="C57">IFERROR(INDEX($B$23:$B$293, MATCH(0, COUNTIF($C$22:C56, $B$23:$B$293&amp;"") + IF($B$23:$B$293="",1,0), 0)), "")</f>
        <v>HIV/AIDS Prevention and Control Office</v>
      </c>
      <c r="D57" s="156" t="s">
        <v>7860</v>
      </c>
    </row>
    <row r="58" spans="1:4" s="9" customFormat="1" x14ac:dyDescent="0.25">
      <c r="A58" s="157" t="s">
        <v>7865</v>
      </c>
      <c r="B58" s="156" t="s">
        <v>7824</v>
      </c>
      <c r="C58" s="156" t="str">
        <f t="array" ref="C58">IFERROR(INDEX($B$23:$B$293, MATCH(0, COUNTIF($C$22:C57, $B$23:$B$293&amp;"") + IF($B$23:$B$293="",1,0), 0)), "")</f>
        <v>Amref Health Africa in Kenya</v>
      </c>
      <c r="D58" s="156" t="s">
        <v>7866</v>
      </c>
    </row>
    <row r="59" spans="1:4" s="9" customFormat="1" x14ac:dyDescent="0.25">
      <c r="A59" s="157" t="s">
        <v>7867</v>
      </c>
      <c r="B59" s="156" t="s">
        <v>7856</v>
      </c>
      <c r="C59" s="156" t="str">
        <f t="array" ref="C59">IFERROR(INDEX($B$23:$B$293, MATCH(0, COUNTIF($C$22:C58, $B$23:$B$293&amp;"") + IF($B$23:$B$293="",1,0), 0)), "")</f>
        <v>National Treasury of the Republic of Kenya</v>
      </c>
      <c r="D59" s="156" t="s">
        <v>7857</v>
      </c>
    </row>
    <row r="60" spans="1:4" s="9" customFormat="1" x14ac:dyDescent="0.25">
      <c r="A60" s="157" t="s">
        <v>7868</v>
      </c>
      <c r="B60" s="156" t="s">
        <v>7862</v>
      </c>
      <c r="C60" s="156" t="str">
        <f t="array" ref="C60">IFERROR(INDEX($B$23:$B$293, MATCH(0, COUNTIF($C$22:C59, $B$23:$B$293&amp;"") + IF($B$23:$B$293="",1,0), 0)), "")</f>
        <v>Kenya Red Cross Society</v>
      </c>
      <c r="D60" s="156" t="s">
        <v>7863</v>
      </c>
    </row>
    <row r="61" spans="1:4" s="9" customFormat="1" x14ac:dyDescent="0.25">
      <c r="A61" s="157" t="s">
        <v>7869</v>
      </c>
      <c r="B61" s="156" t="s">
        <v>7853</v>
      </c>
      <c r="C61" s="156" t="str">
        <f t="array" ref="C61">IFERROR(INDEX($B$23:$B$293, MATCH(0, COUNTIF($C$22:C60, $B$23:$B$293&amp;"") + IF($B$23:$B$293="",1,0), 0)), "")</f>
        <v>World Vision International</v>
      </c>
      <c r="D61" s="156" t="s">
        <v>7854</v>
      </c>
    </row>
    <row r="62" spans="1:4" s="9" customFormat="1" x14ac:dyDescent="0.25">
      <c r="A62" s="157" t="s">
        <v>7870</v>
      </c>
      <c r="B62" s="156" t="s">
        <v>7856</v>
      </c>
      <c r="C62" s="156" t="str">
        <f t="array" ref="C62">IFERROR(INDEX($B$23:$B$293, MATCH(0, COUNTIF($C$22:C61, $B$23:$B$293&amp;"") + IF($B$23:$B$293="",1,0), 0)), "")</f>
        <v>Ministry of Finance, Planning and Economic Development of the Republic of Uganda</v>
      </c>
      <c r="D62" s="156" t="s">
        <v>7857</v>
      </c>
    </row>
    <row r="63" spans="1:4" s="9" customFormat="1" x14ac:dyDescent="0.25">
      <c r="A63" s="157" t="s">
        <v>7871</v>
      </c>
      <c r="B63" s="156" t="s">
        <v>7872</v>
      </c>
      <c r="C63" s="156" t="str">
        <f t="array" ref="C63">IFERROR(INDEX($B$23:$B$293, MATCH(0, COUNTIF($C$22:C62, $B$23:$B$293&amp;"") + IF($B$23:$B$293="",1,0), 0)), "")</f>
        <v>The AIDS Support Organisation (Uganda) Limited</v>
      </c>
      <c r="D63" s="156" t="s">
        <v>7873</v>
      </c>
    </row>
    <row r="64" spans="1:4" s="9" customFormat="1" x14ac:dyDescent="0.25">
      <c r="A64" s="157" t="s">
        <v>7874</v>
      </c>
      <c r="B64" s="156" t="s">
        <v>7872</v>
      </c>
      <c r="C64" s="156" t="str">
        <f t="array" ref="C64">IFERROR(INDEX($B$23:$B$293, MATCH(0, COUNTIF($C$22:C63, $B$23:$B$293&amp;"") + IF($B$23:$B$293="",1,0), 0)), "")</f>
        <v>Federal Ministry of Health of the Republic of Sudan</v>
      </c>
      <c r="D64" s="156" t="s">
        <v>7873</v>
      </c>
    </row>
    <row r="65" spans="1:4" s="9" customFormat="1" x14ac:dyDescent="0.25">
      <c r="A65" s="157" t="s">
        <v>7875</v>
      </c>
      <c r="B65" s="156" t="s">
        <v>7872</v>
      </c>
      <c r="C65" s="156" t="str">
        <f t="array" ref="C65">IFERROR(INDEX($B$23:$B$293, MATCH(0, COUNTIF($C$22:C64, $B$23:$B$293&amp;"") + IF($B$23:$B$293="",1,0), 0)), "")</f>
        <v>Conseil National de Lutte contre le VIH/SIDA, la Tuberculose, le Paludisme, les Hépatites, les Infections sexuellement transmissibles et les Epidémies</v>
      </c>
      <c r="D65" s="156" t="s">
        <v>7873</v>
      </c>
    </row>
    <row r="66" spans="1:4" s="9" customFormat="1" x14ac:dyDescent="0.25">
      <c r="A66" s="157" t="s">
        <v>7876</v>
      </c>
      <c r="B66" s="156" t="s">
        <v>7872</v>
      </c>
      <c r="C66" s="156" t="str">
        <f t="array" ref="C66">IFERROR(INDEX($B$23:$B$293, MATCH(0, COUNTIF($C$22:C65, $B$23:$B$293&amp;"") + IF($B$23:$B$293="",1,0), 0)), "")</f>
        <v>Programme santé de lutte contre le Sida</v>
      </c>
      <c r="D66" s="156" t="s">
        <v>7873</v>
      </c>
    </row>
    <row r="67" spans="1:4" s="9" customFormat="1" x14ac:dyDescent="0.25">
      <c r="A67" s="157" t="s">
        <v>7877</v>
      </c>
      <c r="B67" s="156" t="s">
        <v>7872</v>
      </c>
      <c r="C67" s="156" t="str">
        <f t="array" ref="C67">IFERROR(INDEX($B$23:$B$293, MATCH(0, COUNTIF($C$22:C66, $B$23:$B$293&amp;"") + IF($B$23:$B$293="",1,0), 0)), "")</f>
        <v>Plan International, Inc.</v>
      </c>
      <c r="D67" s="156" t="s">
        <v>7873</v>
      </c>
    </row>
    <row r="68" spans="1:4" s="9" customFormat="1" x14ac:dyDescent="0.25">
      <c r="A68" s="157" t="s">
        <v>7878</v>
      </c>
      <c r="B68" s="156" t="s">
        <v>7872</v>
      </c>
      <c r="C68" s="156" t="str">
        <f t="array" ref="C68">IFERROR(INDEX($B$23:$B$293, MATCH(0, COUNTIF($C$22:C67, $B$23:$B$293&amp;"") + IF($B$23:$B$293="",1,0), 0)), "")</f>
        <v>Programme National de Lutte contre le Paludisme de la République du Bénin</v>
      </c>
      <c r="D68" s="156" t="s">
        <v>7873</v>
      </c>
    </row>
    <row r="69" spans="1:4" s="9" customFormat="1" x14ac:dyDescent="0.25">
      <c r="A69" s="157" t="s">
        <v>7879</v>
      </c>
      <c r="B69" s="156" t="s">
        <v>7880</v>
      </c>
      <c r="C69" s="156" t="str">
        <f t="array" ref="C69">IFERROR(INDEX($B$23:$B$293, MATCH(0, COUNTIF($C$22:C68, $B$23:$B$293&amp;"") + IF($B$23:$B$293="",1,0), 0)), "")</f>
        <v>Programme National contre la Tuberculose de la République du Bénin</v>
      </c>
      <c r="D69" s="156" t="s">
        <v>7881</v>
      </c>
    </row>
    <row r="70" spans="1:4" s="9" customFormat="1" x14ac:dyDescent="0.25">
      <c r="A70" s="157" t="s">
        <v>7882</v>
      </c>
      <c r="B70" s="156" t="s">
        <v>7880</v>
      </c>
      <c r="C70" s="156" t="str">
        <f t="array" ref="C70">IFERROR(INDEX($B$23:$B$293, MATCH(0, COUNTIF($C$22:C69, $B$23:$B$293&amp;"") + IF($B$23:$B$293="",1,0), 0)), "")</f>
        <v>Africare</v>
      </c>
      <c r="D70" s="156" t="s">
        <v>7881</v>
      </c>
    </row>
    <row r="71" spans="1:4" s="9" customFormat="1" x14ac:dyDescent="0.25">
      <c r="A71" s="157" t="s">
        <v>7883</v>
      </c>
      <c r="B71" s="156" t="s">
        <v>7880</v>
      </c>
      <c r="C71" s="156" t="str">
        <f t="array" ref="C71">IFERROR(INDEX($B$23:$B$293, MATCH(0, COUNTIF($C$22:C70, $B$23:$B$293&amp;"") + IF($B$23:$B$293="",1,0), 0)), "")</f>
        <v>Catholic Relief Services - United States Conference of Catholic Bishops</v>
      </c>
      <c r="D71" s="156" t="s">
        <v>7881</v>
      </c>
    </row>
    <row r="72" spans="1:4" s="9" customFormat="1" x14ac:dyDescent="0.25">
      <c r="A72" s="157" t="s">
        <v>7884</v>
      </c>
      <c r="B72" s="156" t="s">
        <v>7880</v>
      </c>
      <c r="C72" s="156" t="str">
        <f t="array" ref="C72">IFERROR(INDEX($B$23:$B$293, MATCH(0, COUNTIF($C$22:C71, $B$23:$B$293&amp;"") + IF($B$23:$B$293="",1,0), 0)), "")</f>
        <v>Health System Performance Program</v>
      </c>
      <c r="D72" s="156" t="s">
        <v>7881</v>
      </c>
    </row>
    <row r="73" spans="1:4" s="9" customFormat="1" x14ac:dyDescent="0.25">
      <c r="A73" s="157" t="s">
        <v>7885</v>
      </c>
      <c r="B73" s="156" t="s">
        <v>7880</v>
      </c>
      <c r="C73" s="156" t="str">
        <f t="array" ref="C73">IFERROR(INDEX($B$23:$B$293, MATCH(0, COUNTIF($C$22:C72, $B$23:$B$293&amp;"") + IF($B$23:$B$293="",1,0), 0)), "")</f>
        <v/>
      </c>
      <c r="D73" s="156" t="s">
        <v>7881</v>
      </c>
    </row>
    <row r="74" spans="1:4" s="9" customFormat="1" x14ac:dyDescent="0.25">
      <c r="A74" s="157" t="s">
        <v>7886</v>
      </c>
      <c r="B74" s="156" t="s">
        <v>7880</v>
      </c>
      <c r="C74" s="156" t="str">
        <f t="array" ref="C74">IFERROR(INDEX($B$23:$B$293, MATCH(0, COUNTIF($C$22:C73, $B$23:$B$293&amp;"") + IF($B$23:$B$293="",1,0), 0)), "")</f>
        <v/>
      </c>
      <c r="D74" s="156" t="s">
        <v>7881</v>
      </c>
    </row>
    <row r="75" spans="1:4" s="9" customFormat="1" x14ac:dyDescent="0.25">
      <c r="A75" s="157" t="s">
        <v>7887</v>
      </c>
      <c r="B75" s="156" t="s">
        <v>7880</v>
      </c>
      <c r="C75" s="156" t="str">
        <f t="array" ref="C75">IFERROR(INDEX($B$23:$B$293, MATCH(0, COUNTIF($C$22:C74, $B$23:$B$293&amp;"") + IF($B$23:$B$293="",1,0), 0)), "")</f>
        <v/>
      </c>
      <c r="D75" s="156" t="s">
        <v>7881</v>
      </c>
    </row>
    <row r="76" spans="1:4" s="9" customFormat="1" x14ac:dyDescent="0.25">
      <c r="A76" s="157" t="s">
        <v>7888</v>
      </c>
      <c r="B76" s="156" t="s">
        <v>7880</v>
      </c>
      <c r="C76" s="156" t="str">
        <f t="array" ref="C76">IFERROR(INDEX($B$23:$B$293, MATCH(0, COUNTIF($C$22:C75, $B$23:$B$293&amp;"") + IF($B$23:$B$293="",1,0), 0)), "")</f>
        <v/>
      </c>
      <c r="D76" s="156" t="s">
        <v>7881</v>
      </c>
    </row>
    <row r="77" spans="1:4" s="9" customFormat="1" x14ac:dyDescent="0.25">
      <c r="A77" s="157" t="s">
        <v>7889</v>
      </c>
      <c r="B77" s="156" t="s">
        <v>7880</v>
      </c>
      <c r="C77" s="156" t="str">
        <f t="array" ref="C77">IFERROR(INDEX($B$23:$B$293, MATCH(0, COUNTIF($C$22:C76, $B$23:$B$293&amp;"") + IF($B$23:$B$293="",1,0), 0)), "")</f>
        <v/>
      </c>
      <c r="D77" s="156" t="s">
        <v>7881</v>
      </c>
    </row>
    <row r="78" spans="1:4" s="9" customFormat="1" x14ac:dyDescent="0.25">
      <c r="A78" s="157" t="s">
        <v>7890</v>
      </c>
      <c r="B78" s="156" t="s">
        <v>7891</v>
      </c>
      <c r="C78" s="156" t="str">
        <f t="array" ref="C78">IFERROR(INDEX($B$23:$B$293, MATCH(0, COUNTIF($C$22:C77, $B$23:$B$293&amp;"") + IF($B$23:$B$293="",1,0), 0)), "")</f>
        <v/>
      </c>
      <c r="D78" s="156" t="s">
        <v>7892</v>
      </c>
    </row>
    <row r="79" spans="1:4" s="9" customFormat="1" x14ac:dyDescent="0.25">
      <c r="A79" s="157" t="s">
        <v>7893</v>
      </c>
      <c r="B79" s="156" t="s">
        <v>7891</v>
      </c>
      <c r="C79" s="156" t="str">
        <f t="array" ref="C79">IFERROR(INDEX($B$23:$B$293, MATCH(0, COUNTIF($C$22:C78, $B$23:$B$293&amp;"") + IF($B$23:$B$293="",1,0), 0)), "")</f>
        <v/>
      </c>
      <c r="D79" s="156" t="s">
        <v>7892</v>
      </c>
    </row>
    <row r="80" spans="1:4" s="9" customFormat="1" x14ac:dyDescent="0.25">
      <c r="A80" s="157" t="s">
        <v>7894</v>
      </c>
      <c r="B80" s="156" t="s">
        <v>7891</v>
      </c>
      <c r="C80" s="156" t="str">
        <f t="array" ref="C80">IFERROR(INDEX($B$23:$B$293, MATCH(0, COUNTIF($C$22:C79, $B$23:$B$293&amp;"") + IF($B$23:$B$293="",1,0), 0)), "")</f>
        <v/>
      </c>
      <c r="D80" s="156" t="s">
        <v>7892</v>
      </c>
    </row>
    <row r="81" spans="1:4" s="9" customFormat="1" x14ac:dyDescent="0.25">
      <c r="A81" s="157" t="s">
        <v>7895</v>
      </c>
      <c r="B81" s="156" t="s">
        <v>7896</v>
      </c>
      <c r="C81" s="156" t="str">
        <f t="array" ref="C81">IFERROR(INDEX($B$23:$B$293, MATCH(0, COUNTIF($C$22:C80, $B$23:$B$293&amp;"") + IF($B$23:$B$293="",1,0), 0)), "")</f>
        <v/>
      </c>
      <c r="D81" s="156" t="s">
        <v>7897</v>
      </c>
    </row>
    <row r="82" spans="1:4" s="9" customFormat="1" x14ac:dyDescent="0.25">
      <c r="A82" s="157" t="s">
        <v>7898</v>
      </c>
      <c r="B82" s="156" t="s">
        <v>7896</v>
      </c>
      <c r="C82" s="156" t="str">
        <f t="array" ref="C82">IFERROR(INDEX($B$23:$B$293, MATCH(0, COUNTIF($C$22:C81, $B$23:$B$293&amp;"") + IF($B$23:$B$293="",1,0), 0)), "")</f>
        <v/>
      </c>
      <c r="D82" s="156" t="s">
        <v>7897</v>
      </c>
    </row>
    <row r="83" spans="1:4" s="9" customFormat="1" x14ac:dyDescent="0.25">
      <c r="A83" s="157" t="s">
        <v>7899</v>
      </c>
      <c r="B83" s="156" t="s">
        <v>7896</v>
      </c>
      <c r="C83" s="156" t="str">
        <f t="array" ref="C83">IFERROR(INDEX($B$23:$B$293, MATCH(0, COUNTIF($C$22:C82, $B$23:$B$293&amp;"") + IF($B$23:$B$293="",1,0), 0)), "")</f>
        <v/>
      </c>
      <c r="D83" s="156" t="s">
        <v>7897</v>
      </c>
    </row>
    <row r="84" spans="1:4" s="9" customFormat="1" x14ac:dyDescent="0.25">
      <c r="A84" s="157" t="s">
        <v>7900</v>
      </c>
      <c r="B84" s="156" t="s">
        <v>7896</v>
      </c>
      <c r="C84" s="156" t="str">
        <f t="array" ref="C84">IFERROR(INDEX($B$23:$B$293, MATCH(0, COUNTIF($C$22:C83, $B$23:$B$293&amp;"") + IF($B$23:$B$293="",1,0), 0)), "")</f>
        <v/>
      </c>
      <c r="D84" s="156" t="s">
        <v>7897</v>
      </c>
    </row>
    <row r="85" spans="1:4" s="9" customFormat="1" x14ac:dyDescent="0.25">
      <c r="A85" s="157" t="s">
        <v>7901</v>
      </c>
      <c r="B85" s="156" t="s">
        <v>7896</v>
      </c>
      <c r="C85" s="156" t="str">
        <f t="array" ref="C85">IFERROR(INDEX($B$23:$B$293, MATCH(0, COUNTIF($C$22:C84, $B$23:$B$293&amp;"") + IF($B$23:$B$293="",1,0), 0)), "")</f>
        <v/>
      </c>
      <c r="D85" s="156" t="s">
        <v>7897</v>
      </c>
    </row>
    <row r="86" spans="1:4" s="9" customFormat="1" x14ac:dyDescent="0.25">
      <c r="A86" s="157" t="s">
        <v>7902</v>
      </c>
      <c r="B86" s="156" t="s">
        <v>7896</v>
      </c>
      <c r="C86" s="156" t="str">
        <f t="array" ref="C86">IFERROR(INDEX($B$23:$B$293, MATCH(0, COUNTIF($C$22:C85, $B$23:$B$293&amp;"") + IF($B$23:$B$293="",1,0), 0)), "")</f>
        <v/>
      </c>
      <c r="D86" s="156" t="s">
        <v>7897</v>
      </c>
    </row>
    <row r="87" spans="1:4" s="9" customFormat="1" x14ac:dyDescent="0.25">
      <c r="A87" s="157" t="s">
        <v>7903</v>
      </c>
      <c r="B87" s="156" t="s">
        <v>7896</v>
      </c>
      <c r="C87" s="156" t="str">
        <f t="array" ref="C87">IFERROR(INDEX($B$23:$B$293, MATCH(0, COUNTIF($C$22:C86, $B$23:$B$293&amp;"") + IF($B$23:$B$293="",1,0), 0)), "")</f>
        <v/>
      </c>
      <c r="D87" s="156" t="s">
        <v>7897</v>
      </c>
    </row>
    <row r="88" spans="1:4" s="9" customFormat="1" x14ac:dyDescent="0.25">
      <c r="A88" s="157" t="s">
        <v>7904</v>
      </c>
      <c r="B88" s="156" t="s">
        <v>7896</v>
      </c>
      <c r="C88" s="156" t="str">
        <f t="array" ref="C88">IFERROR(INDEX($B$23:$B$293, MATCH(0, COUNTIF($C$22:C87, $B$23:$B$293&amp;"") + IF($B$23:$B$293="",1,0), 0)), "")</f>
        <v/>
      </c>
      <c r="D88" s="156" t="s">
        <v>7897</v>
      </c>
    </row>
    <row r="89" spans="1:4" s="9" customFormat="1" x14ac:dyDescent="0.25">
      <c r="A89" s="157" t="s">
        <v>7905</v>
      </c>
      <c r="B89" s="156" t="s">
        <v>7824</v>
      </c>
      <c r="C89" s="156" t="str">
        <f t="array" ref="C89">IFERROR(INDEX($B$23:$B$293, MATCH(0, COUNTIF($C$22:C88, $B$23:$B$293&amp;"") + IF($B$23:$B$293="",1,0), 0)), "")</f>
        <v/>
      </c>
      <c r="D89" s="156" t="s">
        <v>7839</v>
      </c>
    </row>
    <row r="90" spans="1:4" s="9" customFormat="1" x14ac:dyDescent="0.25">
      <c r="A90" s="157" t="s">
        <v>7906</v>
      </c>
      <c r="B90" s="156" t="s">
        <v>7824</v>
      </c>
      <c r="C90" s="156" t="str">
        <f t="array" ref="C90">IFERROR(INDEX($B$23:$B$293, MATCH(0, COUNTIF($C$22:C89, $B$23:$B$293&amp;"") + IF($B$23:$B$293="",1,0), 0)), "")</f>
        <v/>
      </c>
      <c r="D90" s="156" t="s">
        <v>7849</v>
      </c>
    </row>
    <row r="91" spans="1:4" s="9" customFormat="1" x14ac:dyDescent="0.25">
      <c r="A91" s="157" t="s">
        <v>7907</v>
      </c>
      <c r="B91" s="156" t="s">
        <v>7862</v>
      </c>
      <c r="C91" s="156" t="str">
        <f t="array" ref="C91">IFERROR(INDEX($B$23:$B$293, MATCH(0, COUNTIF($C$22:C90, $B$23:$B$293&amp;"") + IF($B$23:$B$293="",1,0), 0)), "")</f>
        <v/>
      </c>
      <c r="D91" s="156" t="s">
        <v>7863</v>
      </c>
    </row>
    <row r="92" spans="1:4" s="9" customFormat="1" x14ac:dyDescent="0.25">
      <c r="A92" s="157" t="s">
        <v>7908</v>
      </c>
      <c r="B92" s="156" t="s">
        <v>7856</v>
      </c>
      <c r="C92" s="156" t="str">
        <f t="array" ref="C92">IFERROR(INDEX($B$23:$B$293, MATCH(0, COUNTIF($C$22:C91, $B$23:$B$293&amp;"") + IF($B$23:$B$293="",1,0), 0)), "")</f>
        <v/>
      </c>
      <c r="D92" s="156" t="s">
        <v>7857</v>
      </c>
    </row>
    <row r="93" spans="1:4" s="9" customFormat="1" x14ac:dyDescent="0.25">
      <c r="A93" s="157" t="s">
        <v>7909</v>
      </c>
      <c r="B93" s="156" t="s">
        <v>7853</v>
      </c>
      <c r="C93" s="156" t="str">
        <f t="array" ref="C93">IFERROR(INDEX($B$23:$B$293, MATCH(0, COUNTIF($C$22:C92, $B$23:$B$293&amp;"") + IF($B$23:$B$293="",1,0), 0)), "")</f>
        <v/>
      </c>
      <c r="D93" s="156" t="s">
        <v>7854</v>
      </c>
    </row>
    <row r="94" spans="1:4" s="9" customFormat="1" x14ac:dyDescent="0.25">
      <c r="A94" s="157" t="s">
        <v>7910</v>
      </c>
      <c r="B94" s="156" t="s">
        <v>7862</v>
      </c>
      <c r="C94" s="156" t="str">
        <f t="array" ref="C94">IFERROR(INDEX($B$23:$B$293, MATCH(0, COUNTIF($C$22:C93, $B$23:$B$293&amp;"") + IF($B$23:$B$293="",1,0), 0)), "")</f>
        <v/>
      </c>
      <c r="D94" s="156" t="s">
        <v>7863</v>
      </c>
    </row>
    <row r="95" spans="1:4" s="9" customFormat="1" x14ac:dyDescent="0.25">
      <c r="A95" s="157" t="s">
        <v>7911</v>
      </c>
      <c r="B95" s="156" t="s">
        <v>7872</v>
      </c>
      <c r="C95" s="156" t="str">
        <f t="array" ref="C95">IFERROR(INDEX($B$23:$B$293, MATCH(0, COUNTIF($C$22:C94, $B$23:$B$293&amp;"") + IF($B$23:$B$293="",1,0), 0)), "")</f>
        <v/>
      </c>
      <c r="D95" s="156" t="s">
        <v>7873</v>
      </c>
    </row>
    <row r="96" spans="1:4" s="9" customFormat="1" x14ac:dyDescent="0.25">
      <c r="A96" s="157" t="s">
        <v>7912</v>
      </c>
      <c r="B96" s="156" t="s">
        <v>7913</v>
      </c>
      <c r="C96" s="156" t="str">
        <f t="array" ref="C96">IFERROR(INDEX($B$23:$B$293, MATCH(0, COUNTIF($C$22:C95, $B$23:$B$293&amp;"") + IF($B$23:$B$293="",1,0), 0)), "")</f>
        <v/>
      </c>
      <c r="D96" s="156" t="s">
        <v>7914</v>
      </c>
    </row>
    <row r="97" spans="1:4" s="9" customFormat="1" x14ac:dyDescent="0.25">
      <c r="A97" s="157" t="s">
        <v>7915</v>
      </c>
      <c r="B97" s="156" t="s">
        <v>7913</v>
      </c>
      <c r="C97" s="156" t="str">
        <f t="array" ref="C97">IFERROR(INDEX($B$23:$B$293, MATCH(0, COUNTIF($C$22:C96, $B$23:$B$293&amp;"") + IF($B$23:$B$293="",1,0), 0)), "")</f>
        <v/>
      </c>
      <c r="D97" s="156" t="s">
        <v>7914</v>
      </c>
    </row>
    <row r="98" spans="1:4" s="9" customFormat="1" x14ac:dyDescent="0.25">
      <c r="A98" s="157" t="s">
        <v>7916</v>
      </c>
      <c r="B98" s="156" t="s">
        <v>7913</v>
      </c>
      <c r="C98" s="156" t="str">
        <f t="array" ref="C98">IFERROR(INDEX($B$23:$B$293, MATCH(0, COUNTIF($C$22:C97, $B$23:$B$293&amp;"") + IF($B$23:$B$293="",1,0), 0)), "")</f>
        <v/>
      </c>
      <c r="D98" s="156" t="s">
        <v>7914</v>
      </c>
    </row>
    <row r="99" spans="1:4" s="9" customFormat="1" x14ac:dyDescent="0.25">
      <c r="A99" s="157" t="s">
        <v>7917</v>
      </c>
      <c r="B99" s="156" t="s">
        <v>7913</v>
      </c>
      <c r="C99" s="156" t="str">
        <f t="array" ref="C99">IFERROR(INDEX($B$23:$B$293, MATCH(0, COUNTIF($C$22:C98, $B$23:$B$293&amp;"") + IF($B$23:$B$293="",1,0), 0)), "")</f>
        <v/>
      </c>
      <c r="D99" s="156" t="s">
        <v>7914</v>
      </c>
    </row>
    <row r="100" spans="1:4" s="9" customFormat="1" x14ac:dyDescent="0.25">
      <c r="A100" s="157" t="s">
        <v>7918</v>
      </c>
      <c r="B100" s="156" t="s">
        <v>7913</v>
      </c>
      <c r="C100" s="156" t="str">
        <f t="array" ref="C100">IFERROR(INDEX($B$23:$B$293, MATCH(0, COUNTIF($C$22:C99, $B$23:$B$293&amp;"") + IF($B$23:$B$293="",1,0), 0)), "")</f>
        <v/>
      </c>
      <c r="D100" s="156" t="s">
        <v>7914</v>
      </c>
    </row>
    <row r="101" spans="1:4" s="9" customFormat="1" x14ac:dyDescent="0.25">
      <c r="A101" s="157" t="s">
        <v>7919</v>
      </c>
      <c r="B101" s="156" t="s">
        <v>7913</v>
      </c>
      <c r="C101" s="156" t="str">
        <f t="array" ref="C101">IFERROR(INDEX($B$23:$B$293, MATCH(0, COUNTIF($C$22:C100, $B$23:$B$293&amp;"") + IF($B$23:$B$293="",1,0), 0)), "")</f>
        <v/>
      </c>
      <c r="D101" s="156" t="s">
        <v>7914</v>
      </c>
    </row>
    <row r="102" spans="1:4" s="9" customFormat="1" x14ac:dyDescent="0.25">
      <c r="A102" s="157" t="s">
        <v>7920</v>
      </c>
      <c r="B102" s="156" t="s">
        <v>7913</v>
      </c>
      <c r="C102" s="156" t="str">
        <f t="array" ref="C102">IFERROR(INDEX($B$23:$B$293, MATCH(0, COUNTIF($C$22:C101, $B$23:$B$293&amp;"") + IF($B$23:$B$293="",1,0), 0)), "")</f>
        <v/>
      </c>
      <c r="D102" s="156" t="s">
        <v>7914</v>
      </c>
    </row>
    <row r="103" spans="1:4" s="9" customFormat="1" x14ac:dyDescent="0.25">
      <c r="A103" s="157" t="s">
        <v>7921</v>
      </c>
      <c r="B103" s="156" t="s">
        <v>7913</v>
      </c>
      <c r="C103" s="156" t="str">
        <f t="array" ref="C103">IFERROR(INDEX($B$23:$B$293, MATCH(0, COUNTIF($C$22:C102, $B$23:$B$293&amp;"") + IF($B$23:$B$293="",1,0), 0)), "")</f>
        <v/>
      </c>
      <c r="D103" s="156" t="s">
        <v>7914</v>
      </c>
    </row>
    <row r="104" spans="1:4" s="9" customFormat="1" x14ac:dyDescent="0.25">
      <c r="A104" s="157" t="s">
        <v>7922</v>
      </c>
      <c r="B104" s="156" t="s">
        <v>7913</v>
      </c>
      <c r="C104" s="156" t="str">
        <f t="array" ref="C104">IFERROR(INDEX($B$23:$B$293, MATCH(0, COUNTIF($C$22:C103, $B$23:$B$293&amp;"") + IF($B$23:$B$293="",1,0), 0)), "")</f>
        <v/>
      </c>
      <c r="D104" s="156" t="s">
        <v>7914</v>
      </c>
    </row>
    <row r="105" spans="1:4" s="9" customFormat="1" x14ac:dyDescent="0.25">
      <c r="A105" s="157" t="s">
        <v>7923</v>
      </c>
      <c r="B105" s="156" t="s">
        <v>7924</v>
      </c>
      <c r="C105" s="156" t="str">
        <f t="array" ref="C105">IFERROR(INDEX($B$23:$B$293, MATCH(0, COUNTIF($C$22:C104, $B$23:$B$293&amp;"") + IF($B$23:$B$293="",1,0), 0)), "")</f>
        <v/>
      </c>
      <c r="D105" s="156" t="s">
        <v>7925</v>
      </c>
    </row>
    <row r="106" spans="1:4" s="9" customFormat="1" x14ac:dyDescent="0.25">
      <c r="A106" s="157" t="s">
        <v>7926</v>
      </c>
      <c r="B106" s="156" t="s">
        <v>7927</v>
      </c>
      <c r="C106" s="156" t="str">
        <f t="array" ref="C106">IFERROR(INDEX($B$23:$B$293, MATCH(0, COUNTIF($C$22:C105, $B$23:$B$293&amp;"") + IF($B$23:$B$293="",1,0), 0)), "")</f>
        <v/>
      </c>
      <c r="D106" s="156" t="s">
        <v>7928</v>
      </c>
    </row>
    <row r="107" spans="1:4" s="9" customFormat="1" x14ac:dyDescent="0.25">
      <c r="A107" s="157" t="s">
        <v>7929</v>
      </c>
      <c r="B107" s="156" t="s">
        <v>7924</v>
      </c>
      <c r="C107" s="156" t="str">
        <f t="array" ref="C107">IFERROR(INDEX($B$23:$B$293, MATCH(0, COUNTIF($C$22:C106, $B$23:$B$293&amp;"") + IF($B$23:$B$293="",1,0), 0)), "")</f>
        <v/>
      </c>
      <c r="D107" s="156" t="s">
        <v>7925</v>
      </c>
    </row>
    <row r="108" spans="1:4" s="9" customFormat="1" x14ac:dyDescent="0.25">
      <c r="A108" s="157" t="s">
        <v>7930</v>
      </c>
      <c r="B108" s="156" t="s">
        <v>7924</v>
      </c>
      <c r="C108" s="156" t="str">
        <f t="array" ref="C108">IFERROR(INDEX($B$23:$B$293, MATCH(0, COUNTIF($C$22:C107, $B$23:$B$293&amp;"") + IF($B$23:$B$293="",1,0), 0)), "")</f>
        <v/>
      </c>
      <c r="D108" s="156" t="s">
        <v>7925</v>
      </c>
    </row>
    <row r="109" spans="1:4" s="9" customFormat="1" x14ac:dyDescent="0.25">
      <c r="A109" s="157" t="s">
        <v>7931</v>
      </c>
      <c r="B109" s="156" t="s">
        <v>7924</v>
      </c>
      <c r="C109" s="156" t="str">
        <f t="array" ref="C109">IFERROR(INDEX($B$23:$B$293, MATCH(0, COUNTIF($C$22:C108, $B$23:$B$293&amp;"") + IF($B$23:$B$293="",1,0), 0)), "")</f>
        <v/>
      </c>
      <c r="D109" s="156" t="s">
        <v>7925</v>
      </c>
    </row>
    <row r="110" spans="1:4" s="9" customFormat="1" x14ac:dyDescent="0.25">
      <c r="A110" s="157" t="s">
        <v>7932</v>
      </c>
      <c r="B110" s="156" t="s">
        <v>7924</v>
      </c>
      <c r="C110" s="156" t="str">
        <f t="array" ref="C110">IFERROR(INDEX($B$23:$B$293, MATCH(0, COUNTIF($C$22:C109, $B$23:$B$293&amp;"") + IF($B$23:$B$293="",1,0), 0)), "")</f>
        <v/>
      </c>
      <c r="D110" s="156" t="s">
        <v>7925</v>
      </c>
    </row>
    <row r="111" spans="1:4" s="9" customFormat="1" x14ac:dyDescent="0.25">
      <c r="A111" s="157" t="s">
        <v>7933</v>
      </c>
      <c r="B111" s="156" t="s">
        <v>7924</v>
      </c>
      <c r="C111" s="156" t="str">
        <f t="array" ref="C111">IFERROR(INDEX($B$23:$B$293, MATCH(0, COUNTIF($C$22:C110, $B$23:$B$293&amp;"") + IF($B$23:$B$293="",1,0), 0)), "")</f>
        <v/>
      </c>
      <c r="D111" s="156" t="s">
        <v>7925</v>
      </c>
    </row>
    <row r="112" spans="1:4" s="9" customFormat="1" x14ac:dyDescent="0.25">
      <c r="A112" s="157" t="s">
        <v>7934</v>
      </c>
      <c r="B112" s="156" t="s">
        <v>7924</v>
      </c>
      <c r="C112" s="156" t="str">
        <f t="array" ref="C112">IFERROR(INDEX($B$23:$B$293, MATCH(0, COUNTIF($C$22:C111, $B$23:$B$293&amp;"") + IF($B$23:$B$293="",1,0), 0)), "")</f>
        <v/>
      </c>
      <c r="D112" s="156" t="s">
        <v>7925</v>
      </c>
    </row>
    <row r="113" spans="1:4" s="9" customFormat="1" x14ac:dyDescent="0.25">
      <c r="A113" s="157" t="s">
        <v>7935</v>
      </c>
      <c r="B113" s="156" t="s">
        <v>7936</v>
      </c>
      <c r="C113" s="156" t="str">
        <f t="array" ref="C113">IFERROR(INDEX($B$23:$B$293, MATCH(0, COUNTIF($C$22:C112, $B$23:$B$293&amp;"") + IF($B$23:$B$293="",1,0), 0)), "")</f>
        <v/>
      </c>
      <c r="D113" s="156" t="s">
        <v>7937</v>
      </c>
    </row>
    <row r="114" spans="1:4" s="9" customFormat="1" x14ac:dyDescent="0.25">
      <c r="A114" s="157" t="s">
        <v>7938</v>
      </c>
      <c r="B114" s="156" t="s">
        <v>7936</v>
      </c>
      <c r="C114" s="156" t="str">
        <f t="array" ref="C114">IFERROR(INDEX($B$23:$B$293, MATCH(0, COUNTIF($C$22:C113, $B$23:$B$293&amp;"") + IF($B$23:$B$293="",1,0), 0)), "")</f>
        <v/>
      </c>
      <c r="D114" s="156" t="s">
        <v>7937</v>
      </c>
    </row>
    <row r="115" spans="1:4" s="9" customFormat="1" x14ac:dyDescent="0.25">
      <c r="A115" s="157" t="s">
        <v>7939</v>
      </c>
      <c r="B115" s="156" t="s">
        <v>7936</v>
      </c>
      <c r="C115" s="156" t="str">
        <f t="array" ref="C115">IFERROR(INDEX($B$23:$B$293, MATCH(0, COUNTIF($C$22:C114, $B$23:$B$293&amp;"") + IF($B$23:$B$293="",1,0), 0)), "")</f>
        <v/>
      </c>
      <c r="D115" s="156" t="s">
        <v>7937</v>
      </c>
    </row>
    <row r="116" spans="1:4" s="9" customFormat="1" x14ac:dyDescent="0.25">
      <c r="A116" s="157" t="s">
        <v>7940</v>
      </c>
      <c r="B116" s="156" t="s">
        <v>7936</v>
      </c>
      <c r="C116" s="156" t="str">
        <f t="array" ref="C116">IFERROR(INDEX($B$23:$B$293, MATCH(0, COUNTIF($C$22:C115, $B$23:$B$293&amp;"") + IF($B$23:$B$293="",1,0), 0)), "")</f>
        <v/>
      </c>
      <c r="D116" s="156" t="s">
        <v>7937</v>
      </c>
    </row>
    <row r="117" spans="1:4" s="9" customFormat="1" x14ac:dyDescent="0.25">
      <c r="A117" s="157" t="s">
        <v>7941</v>
      </c>
      <c r="B117" s="156" t="s">
        <v>7942</v>
      </c>
      <c r="C117" s="156" t="str">
        <f t="array" ref="C117">IFERROR(INDEX($B$23:$B$293, MATCH(0, COUNTIF($C$22:C116, $B$23:$B$293&amp;"") + IF($B$23:$B$293="",1,0), 0)), "")</f>
        <v/>
      </c>
      <c r="D117" s="156" t="s">
        <v>7943</v>
      </c>
    </row>
    <row r="118" spans="1:4" s="9" customFormat="1" x14ac:dyDescent="0.25">
      <c r="A118" s="157" t="s">
        <v>7944</v>
      </c>
      <c r="B118" s="156" t="s">
        <v>7936</v>
      </c>
      <c r="C118" s="156" t="str">
        <f t="array" ref="C118">IFERROR(INDEX($B$23:$B$293, MATCH(0, COUNTIF($C$22:C117, $B$23:$B$293&amp;"") + IF($B$23:$B$293="",1,0), 0)), "")</f>
        <v/>
      </c>
      <c r="D118" s="156" t="s">
        <v>7937</v>
      </c>
    </row>
    <row r="119" spans="1:4" s="9" customFormat="1" x14ac:dyDescent="0.25">
      <c r="A119" s="157" t="s">
        <v>7945</v>
      </c>
      <c r="B119" s="156" t="s">
        <v>7936</v>
      </c>
      <c r="C119" s="156" t="str">
        <f t="array" ref="C119">IFERROR(INDEX($B$23:$B$293, MATCH(0, COUNTIF($C$22:C118, $B$23:$B$293&amp;"") + IF($B$23:$B$293="",1,0), 0)), "")</f>
        <v/>
      </c>
      <c r="D119" s="156" t="s">
        <v>7937</v>
      </c>
    </row>
    <row r="120" spans="1:4" s="9" customFormat="1" x14ac:dyDescent="0.25">
      <c r="A120" s="157" t="s">
        <v>7946</v>
      </c>
      <c r="B120" s="156" t="s">
        <v>7936</v>
      </c>
      <c r="C120" s="156" t="str">
        <f t="array" ref="C120">IFERROR(INDEX($B$23:$B$293, MATCH(0, COUNTIF($C$22:C119, $B$23:$B$293&amp;"") + IF($B$23:$B$293="",1,0), 0)), "")</f>
        <v/>
      </c>
      <c r="D120" s="156" t="s">
        <v>7937</v>
      </c>
    </row>
    <row r="121" spans="1:4" s="9" customFormat="1" x14ac:dyDescent="0.25">
      <c r="A121" s="157" t="s">
        <v>7947</v>
      </c>
      <c r="B121" s="156" t="s">
        <v>7936</v>
      </c>
      <c r="C121" s="156" t="str">
        <f t="array" ref="C121">IFERROR(INDEX($B$23:$B$293, MATCH(0, COUNTIF($C$22:C120, $B$23:$B$293&amp;"") + IF($B$23:$B$293="",1,0), 0)), "")</f>
        <v/>
      </c>
      <c r="D121" s="156" t="s">
        <v>7937</v>
      </c>
    </row>
    <row r="122" spans="1:4" s="9" customFormat="1" x14ac:dyDescent="0.25">
      <c r="A122" s="157" t="s">
        <v>7948</v>
      </c>
      <c r="B122" s="156" t="s">
        <v>7949</v>
      </c>
      <c r="C122" s="156" t="str">
        <f t="array" ref="C122">IFERROR(INDEX($B$23:$B$293, MATCH(0, COUNTIF($C$22:C121, $B$23:$B$293&amp;"") + IF($B$23:$B$293="",1,0), 0)), "")</f>
        <v/>
      </c>
      <c r="D122" s="156" t="s">
        <v>7950</v>
      </c>
    </row>
    <row r="123" spans="1:4" s="9" customFormat="1" x14ac:dyDescent="0.25">
      <c r="A123" s="157" t="s">
        <v>7951</v>
      </c>
      <c r="B123" s="156" t="s">
        <v>7949</v>
      </c>
      <c r="C123" s="156" t="str">
        <f t="array" ref="C123">IFERROR(INDEX($B$23:$B$293, MATCH(0, COUNTIF($C$22:C122, $B$23:$B$293&amp;"") + IF($B$23:$B$293="",1,0), 0)), "")</f>
        <v/>
      </c>
      <c r="D123" s="156" t="s">
        <v>7950</v>
      </c>
    </row>
    <row r="124" spans="1:4" s="9" customFormat="1" x14ac:dyDescent="0.25">
      <c r="A124" s="157" t="s">
        <v>7952</v>
      </c>
      <c r="B124" s="156" t="s">
        <v>7949</v>
      </c>
      <c r="C124" s="156" t="str">
        <f t="array" ref="C124">IFERROR(INDEX($B$23:$B$293, MATCH(0, COUNTIF($C$22:C123, $B$23:$B$293&amp;"") + IF($B$23:$B$293="",1,0), 0)), "")</f>
        <v/>
      </c>
      <c r="D124" s="156" t="s">
        <v>7950</v>
      </c>
    </row>
    <row r="125" spans="1:4" s="9" customFormat="1" x14ac:dyDescent="0.25">
      <c r="A125" s="157" t="s">
        <v>7953</v>
      </c>
      <c r="B125" s="156" t="s">
        <v>7949</v>
      </c>
      <c r="C125" s="156" t="str">
        <f t="array" ref="C125">IFERROR(INDEX($B$23:$B$293, MATCH(0, COUNTIF($C$22:C124, $B$23:$B$293&amp;"") + IF($B$23:$B$293="",1,0), 0)), "")</f>
        <v/>
      </c>
      <c r="D125" s="156" t="s">
        <v>7950</v>
      </c>
    </row>
    <row r="126" spans="1:4" s="9" customFormat="1" x14ac:dyDescent="0.25">
      <c r="A126" s="157" t="s">
        <v>7954</v>
      </c>
      <c r="B126" s="156" t="s">
        <v>7955</v>
      </c>
      <c r="C126" s="156" t="str">
        <f t="array" ref="C126">IFERROR(INDEX($B$23:$B$293, MATCH(0, COUNTIF($C$22:C125, $B$23:$B$293&amp;"") + IF($B$23:$B$293="",1,0), 0)), "")</f>
        <v/>
      </c>
      <c r="D126" s="156" t="s">
        <v>7956</v>
      </c>
    </row>
    <row r="127" spans="1:4" s="9" customFormat="1" x14ac:dyDescent="0.25">
      <c r="A127" s="157" t="s">
        <v>7957</v>
      </c>
      <c r="B127" s="156" t="s">
        <v>7955</v>
      </c>
      <c r="C127" s="156" t="str">
        <f t="array" ref="C127">IFERROR(INDEX($B$23:$B$293, MATCH(0, COUNTIF($C$22:C126, $B$23:$B$293&amp;"") + IF($B$23:$B$293="",1,0), 0)), "")</f>
        <v/>
      </c>
      <c r="D127" s="156" t="s">
        <v>7956</v>
      </c>
    </row>
    <row r="128" spans="1:4" s="9" customFormat="1" x14ac:dyDescent="0.25">
      <c r="A128" s="157" t="s">
        <v>7958</v>
      </c>
      <c r="B128" s="156" t="s">
        <v>7824</v>
      </c>
      <c r="C128" s="156" t="str">
        <f t="array" ref="C128">IFERROR(INDEX($B$23:$B$293, MATCH(0, COUNTIF($C$22:C127, $B$23:$B$293&amp;"") + IF($B$23:$B$293="",1,0), 0)), "")</f>
        <v/>
      </c>
      <c r="D128" s="156" t="s">
        <v>7959</v>
      </c>
    </row>
    <row r="129" spans="1:4" s="9" customFormat="1" x14ac:dyDescent="0.25">
      <c r="A129" s="157" t="s">
        <v>7960</v>
      </c>
      <c r="B129" s="156" t="s">
        <v>7824</v>
      </c>
      <c r="C129" s="156" t="str">
        <f t="array" ref="C129">IFERROR(INDEX($B$23:$B$293, MATCH(0, COUNTIF($C$22:C128, $B$23:$B$293&amp;"") + IF($B$23:$B$293="",1,0), 0)), "")</f>
        <v/>
      </c>
      <c r="D129" s="156" t="s">
        <v>7959</v>
      </c>
    </row>
    <row r="130" spans="1:4" s="9" customFormat="1" x14ac:dyDescent="0.25">
      <c r="A130" s="157" t="s">
        <v>7961</v>
      </c>
      <c r="B130" s="156" t="s">
        <v>7955</v>
      </c>
      <c r="C130" s="156" t="str">
        <f t="array" ref="C130">IFERROR(INDEX($B$23:$B$293, MATCH(0, COUNTIF($C$22:C129, $B$23:$B$293&amp;"") + IF($B$23:$B$293="",1,0), 0)), "")</f>
        <v/>
      </c>
      <c r="D130" s="156" t="s">
        <v>7956</v>
      </c>
    </row>
    <row r="131" spans="1:4" s="9" customFormat="1" x14ac:dyDescent="0.25">
      <c r="A131" s="157" t="s">
        <v>7962</v>
      </c>
      <c r="B131" s="156" t="s">
        <v>7955</v>
      </c>
      <c r="C131" s="156" t="str">
        <f t="array" ref="C131">IFERROR(INDEX($B$23:$B$293, MATCH(0, COUNTIF($C$22:C130, $B$23:$B$293&amp;"") + IF($B$23:$B$293="",1,0), 0)), "")</f>
        <v/>
      </c>
      <c r="D131" s="156" t="s">
        <v>7956</v>
      </c>
    </row>
    <row r="132" spans="1:4" s="9" customFormat="1" x14ac:dyDescent="0.25">
      <c r="A132" s="157" t="s">
        <v>7963</v>
      </c>
      <c r="B132" s="156" t="s">
        <v>7955</v>
      </c>
      <c r="C132" s="156" t="str">
        <f t="array" ref="C132">IFERROR(INDEX($B$23:$B$293, MATCH(0, COUNTIF($C$22:C131, $B$23:$B$293&amp;"") + IF($B$23:$B$293="",1,0), 0)), "")</f>
        <v/>
      </c>
      <c r="D132" s="156" t="s">
        <v>7956</v>
      </c>
    </row>
    <row r="133" spans="1:4" s="9" customFormat="1" x14ac:dyDescent="0.25">
      <c r="A133" s="157" t="s">
        <v>7964</v>
      </c>
      <c r="B133" s="156" t="s">
        <v>7955</v>
      </c>
      <c r="C133" s="156" t="str">
        <f t="array" ref="C133">IFERROR(INDEX($B$23:$B$293, MATCH(0, COUNTIF($C$22:C132, $B$23:$B$293&amp;"") + IF($B$23:$B$293="",1,0), 0)), "")</f>
        <v/>
      </c>
      <c r="D133" s="156" t="s">
        <v>7956</v>
      </c>
    </row>
    <row r="134" spans="1:4" s="9" customFormat="1" x14ac:dyDescent="0.25">
      <c r="A134" s="157" t="s">
        <v>7965</v>
      </c>
      <c r="B134" s="156" t="s">
        <v>7966</v>
      </c>
      <c r="C134" s="156" t="str">
        <f t="array" ref="C134">IFERROR(INDEX($B$23:$B$293, MATCH(0, COUNTIF($C$22:C133, $B$23:$B$293&amp;"") + IF($B$23:$B$293="",1,0), 0)), "")</f>
        <v/>
      </c>
      <c r="D134" s="156" t="s">
        <v>7967</v>
      </c>
    </row>
    <row r="135" spans="1:4" s="9" customFormat="1" x14ac:dyDescent="0.25">
      <c r="A135" s="157" t="s">
        <v>7968</v>
      </c>
      <c r="B135" s="156" t="s">
        <v>7966</v>
      </c>
      <c r="C135" s="156" t="str">
        <f t="array" ref="C135">IFERROR(INDEX($B$23:$B$293, MATCH(0, COUNTIF($C$22:C134, $B$23:$B$293&amp;"") + IF($B$23:$B$293="",1,0), 0)), "")</f>
        <v/>
      </c>
      <c r="D135" s="156" t="s">
        <v>7967</v>
      </c>
    </row>
    <row r="136" spans="1:4" s="9" customFormat="1" x14ac:dyDescent="0.25">
      <c r="A136" s="157" t="s">
        <v>7969</v>
      </c>
      <c r="B136" s="156" t="s">
        <v>7966</v>
      </c>
      <c r="C136" s="156" t="str">
        <f t="array" ref="C136">IFERROR(INDEX($B$23:$B$293, MATCH(0, COUNTIF($C$22:C135, $B$23:$B$293&amp;"") + IF($B$23:$B$293="",1,0), 0)), "")</f>
        <v/>
      </c>
      <c r="D136" s="156" t="s">
        <v>7967</v>
      </c>
    </row>
    <row r="137" spans="1:4" s="9" customFormat="1" x14ac:dyDescent="0.25">
      <c r="A137" s="157" t="s">
        <v>7970</v>
      </c>
      <c r="B137" s="156" t="s">
        <v>7971</v>
      </c>
      <c r="C137" s="156" t="str">
        <f t="array" ref="C137">IFERROR(INDEX($B$23:$B$293, MATCH(0, COUNTIF($C$22:C136, $B$23:$B$293&amp;"") + IF($B$23:$B$293="",1,0), 0)), "")</f>
        <v/>
      </c>
      <c r="D137" s="156" t="s">
        <v>7972</v>
      </c>
    </row>
    <row r="138" spans="1:4" s="9" customFormat="1" x14ac:dyDescent="0.25">
      <c r="A138" s="157" t="s">
        <v>7973</v>
      </c>
      <c r="B138" s="156" t="s">
        <v>7971</v>
      </c>
      <c r="C138" s="156" t="str">
        <f t="array" ref="C138">IFERROR(INDEX($B$23:$B$293, MATCH(0, COUNTIF($C$22:C137, $B$23:$B$293&amp;"") + IF($B$23:$B$293="",1,0), 0)), "")</f>
        <v/>
      </c>
      <c r="D138" s="156" t="s">
        <v>7972</v>
      </c>
    </row>
    <row r="139" spans="1:4" s="9" customFormat="1" x14ac:dyDescent="0.25">
      <c r="A139" s="157" t="s">
        <v>7974</v>
      </c>
      <c r="B139" s="156" t="s">
        <v>7971</v>
      </c>
      <c r="C139" s="156" t="str">
        <f t="array" ref="C139">IFERROR(INDEX($B$23:$B$293, MATCH(0, COUNTIF($C$22:C138, $B$23:$B$293&amp;"") + IF($B$23:$B$293="",1,0), 0)), "")</f>
        <v/>
      </c>
      <c r="D139" s="156" t="s">
        <v>7972</v>
      </c>
    </row>
    <row r="140" spans="1:4" s="9" customFormat="1" x14ac:dyDescent="0.25">
      <c r="A140" s="157" t="s">
        <v>7975</v>
      </c>
      <c r="B140" s="156" t="s">
        <v>7971</v>
      </c>
      <c r="C140" s="156" t="str">
        <f t="array" ref="C140">IFERROR(INDEX($B$23:$B$293, MATCH(0, COUNTIF($C$22:C139, $B$23:$B$293&amp;"") + IF($B$23:$B$293="",1,0), 0)), "")</f>
        <v/>
      </c>
      <c r="D140" s="156" t="s">
        <v>7972</v>
      </c>
    </row>
    <row r="141" spans="1:4" s="9" customFormat="1" x14ac:dyDescent="0.25">
      <c r="A141" s="157" t="s">
        <v>7976</v>
      </c>
      <c r="B141" s="156" t="s">
        <v>7966</v>
      </c>
      <c r="C141" s="156" t="str">
        <f t="array" ref="C141">IFERROR(INDEX($B$23:$B$293, MATCH(0, COUNTIF($C$22:C140, $B$23:$B$293&amp;"") + IF($B$23:$B$293="",1,0), 0)), "")</f>
        <v/>
      </c>
      <c r="D141" s="156" t="s">
        <v>7967</v>
      </c>
    </row>
    <row r="142" spans="1:4" s="9" customFormat="1" x14ac:dyDescent="0.25">
      <c r="A142" s="157" t="s">
        <v>7977</v>
      </c>
      <c r="B142" s="156" t="s">
        <v>7971</v>
      </c>
      <c r="C142" s="156" t="str">
        <f t="array" ref="C142">IFERROR(INDEX($B$23:$B$293, MATCH(0, COUNTIF($C$22:C141, $B$23:$B$293&amp;"") + IF($B$23:$B$293="",1,0), 0)), "")</f>
        <v/>
      </c>
      <c r="D142" s="156" t="s">
        <v>7972</v>
      </c>
    </row>
    <row r="143" spans="1:4" s="9" customFormat="1" x14ac:dyDescent="0.25">
      <c r="A143" s="157" t="s">
        <v>7978</v>
      </c>
      <c r="B143" s="156" t="s">
        <v>7966</v>
      </c>
      <c r="C143" s="156" t="str">
        <f t="array" ref="C143">IFERROR(INDEX($B$23:$B$293, MATCH(0, COUNTIF($C$22:C142, $B$23:$B$293&amp;"") + IF($B$23:$B$293="",1,0), 0)), "")</f>
        <v/>
      </c>
      <c r="D143" s="156" t="s">
        <v>7967</v>
      </c>
    </row>
    <row r="144" spans="1:4" s="9" customFormat="1" x14ac:dyDescent="0.25">
      <c r="A144" s="157" t="s">
        <v>7979</v>
      </c>
      <c r="B144" s="156" t="s">
        <v>7966</v>
      </c>
      <c r="C144" s="156" t="str">
        <f t="array" ref="C144">IFERROR(INDEX($B$23:$B$293, MATCH(0, COUNTIF($C$22:C143, $B$23:$B$293&amp;"") + IF($B$23:$B$293="",1,0), 0)), "")</f>
        <v/>
      </c>
      <c r="D144" s="156" t="s">
        <v>7967</v>
      </c>
    </row>
    <row r="145" spans="1:4" s="9" customFormat="1" x14ac:dyDescent="0.25">
      <c r="A145" s="157" t="s">
        <v>7980</v>
      </c>
      <c r="B145" s="156" t="s">
        <v>7981</v>
      </c>
      <c r="C145" s="156" t="str">
        <f t="array" ref="C145">IFERROR(INDEX($B$23:$B$293, MATCH(0, COUNTIF($C$22:C144, $B$23:$B$293&amp;"") + IF($B$23:$B$293="",1,0), 0)), "")</f>
        <v/>
      </c>
      <c r="D145" s="156" t="s">
        <v>7982</v>
      </c>
    </row>
    <row r="146" spans="1:4" s="9" customFormat="1" x14ac:dyDescent="0.25">
      <c r="A146" s="157" t="s">
        <v>7983</v>
      </c>
      <c r="B146" s="156" t="s">
        <v>7984</v>
      </c>
      <c r="C146" s="156" t="str">
        <f t="array" ref="C146">IFERROR(INDEX($B$23:$B$293, MATCH(0, COUNTIF($C$22:C145, $B$23:$B$293&amp;"") + IF($B$23:$B$293="",1,0), 0)), "")</f>
        <v/>
      </c>
      <c r="D146" s="156" t="s">
        <v>7985</v>
      </c>
    </row>
    <row r="147" spans="1:4" s="9" customFormat="1" x14ac:dyDescent="0.25">
      <c r="A147" s="157" t="s">
        <v>7986</v>
      </c>
      <c r="B147" s="156" t="s">
        <v>7987</v>
      </c>
      <c r="C147" s="156" t="str">
        <f t="array" ref="C147">IFERROR(INDEX($B$23:$B$293, MATCH(0, COUNTIF($C$22:C146, $B$23:$B$293&amp;"") + IF($B$23:$B$293="",1,0), 0)), "")</f>
        <v/>
      </c>
      <c r="D147" s="156" t="s">
        <v>7988</v>
      </c>
    </row>
    <row r="148" spans="1:4" s="9" customFormat="1" x14ac:dyDescent="0.25">
      <c r="A148" s="157" t="s">
        <v>7989</v>
      </c>
      <c r="B148" s="156" t="s">
        <v>7990</v>
      </c>
      <c r="C148" s="156" t="str">
        <f t="array" ref="C148">IFERROR(INDEX($B$23:$B$293, MATCH(0, COUNTIF($C$22:C147, $B$23:$B$293&amp;"") + IF($B$23:$B$293="",1,0), 0)), "")</f>
        <v/>
      </c>
      <c r="D148" s="156" t="s">
        <v>7991</v>
      </c>
    </row>
    <row r="149" spans="1:4" s="9" customFormat="1" x14ac:dyDescent="0.25">
      <c r="A149" s="157" t="s">
        <v>7992</v>
      </c>
      <c r="B149" s="156" t="s">
        <v>7987</v>
      </c>
      <c r="C149" s="156" t="str">
        <f t="array" ref="C149">IFERROR(INDEX($B$23:$B$293, MATCH(0, COUNTIF($C$22:C148, $B$23:$B$293&amp;"") + IF($B$23:$B$293="",1,0), 0)), "")</f>
        <v/>
      </c>
      <c r="D149" s="156" t="s">
        <v>7988</v>
      </c>
    </row>
    <row r="150" spans="1:4" s="9" customFormat="1" x14ac:dyDescent="0.25">
      <c r="A150" s="157" t="s">
        <v>7993</v>
      </c>
      <c r="B150" s="156" t="s">
        <v>7984</v>
      </c>
      <c r="C150" s="156" t="str">
        <f t="array" ref="C150">IFERROR(INDEX($B$23:$B$293, MATCH(0, COUNTIF($C$22:C149, $B$23:$B$293&amp;"") + IF($B$23:$B$293="",1,0), 0)), "")</f>
        <v/>
      </c>
      <c r="D150" s="156" t="s">
        <v>7985</v>
      </c>
    </row>
    <row r="151" spans="1:4" s="9" customFormat="1" x14ac:dyDescent="0.25">
      <c r="A151" s="157" t="s">
        <v>7994</v>
      </c>
      <c r="B151" s="156" t="s">
        <v>7981</v>
      </c>
      <c r="C151" s="156" t="str">
        <f t="array" ref="C151">IFERROR(INDEX($B$23:$B$293, MATCH(0, COUNTIF($C$22:C150, $B$23:$B$293&amp;"") + IF($B$23:$B$293="",1,0), 0)), "")</f>
        <v/>
      </c>
      <c r="D151" s="156" t="s">
        <v>7982</v>
      </c>
    </row>
    <row r="152" spans="1:4" s="9" customFormat="1" x14ac:dyDescent="0.25">
      <c r="A152" s="157" t="s">
        <v>7995</v>
      </c>
      <c r="B152" s="156" t="s">
        <v>7981</v>
      </c>
      <c r="C152" s="156" t="str">
        <f t="array" ref="C152">IFERROR(INDEX($B$23:$B$293, MATCH(0, COUNTIF($C$22:C151, $B$23:$B$293&amp;"") + IF($B$23:$B$293="",1,0), 0)), "")</f>
        <v/>
      </c>
      <c r="D152" s="156" t="s">
        <v>7982</v>
      </c>
    </row>
    <row r="153" spans="1:4" s="9" customFormat="1" x14ac:dyDescent="0.25">
      <c r="A153" s="157" t="s">
        <v>7996</v>
      </c>
      <c r="B153" s="156" t="s">
        <v>7987</v>
      </c>
      <c r="C153" s="156" t="str">
        <f t="array" ref="C153">IFERROR(INDEX($B$23:$B$293, MATCH(0, COUNTIF($C$22:C152, $B$23:$B$293&amp;"") + IF($B$23:$B$293="",1,0), 0)), "")</f>
        <v/>
      </c>
      <c r="D153" s="156" t="s">
        <v>7988</v>
      </c>
    </row>
    <row r="154" spans="1:4" s="9" customFormat="1" x14ac:dyDescent="0.25">
      <c r="A154" s="157" t="s">
        <v>7997</v>
      </c>
      <c r="B154" s="156" t="s">
        <v>7984</v>
      </c>
      <c r="C154" s="156" t="str">
        <f t="array" ref="C154">IFERROR(INDEX($B$23:$B$293, MATCH(0, COUNTIF($C$22:C153, $B$23:$B$293&amp;"") + IF($B$23:$B$293="",1,0), 0)), "")</f>
        <v/>
      </c>
      <c r="D154" s="156" t="s">
        <v>7985</v>
      </c>
    </row>
    <row r="155" spans="1:4" s="9" customFormat="1" x14ac:dyDescent="0.25">
      <c r="A155" s="157" t="s">
        <v>7998</v>
      </c>
      <c r="B155" s="156" t="s">
        <v>7981</v>
      </c>
      <c r="C155" s="156" t="str">
        <f t="array" ref="C155">IFERROR(INDEX($B$23:$B$293, MATCH(0, COUNTIF($C$22:C154, $B$23:$B$293&amp;"") + IF($B$23:$B$293="",1,0), 0)), "")</f>
        <v/>
      </c>
      <c r="D155" s="156" t="s">
        <v>7982</v>
      </c>
    </row>
    <row r="156" spans="1:4" s="9" customFormat="1" x14ac:dyDescent="0.25">
      <c r="A156" s="157" t="s">
        <v>7999</v>
      </c>
      <c r="B156" s="156" t="s">
        <v>7981</v>
      </c>
      <c r="C156" s="156" t="str">
        <f t="array" ref="C156">IFERROR(INDEX($B$23:$B$293, MATCH(0, COUNTIF($C$22:C155, $B$23:$B$293&amp;"") + IF($B$23:$B$293="",1,0), 0)), "")</f>
        <v/>
      </c>
      <c r="D156" s="156" t="s">
        <v>7982</v>
      </c>
    </row>
    <row r="157" spans="1:4" s="9" customFormat="1" x14ac:dyDescent="0.25">
      <c r="A157" s="157" t="s">
        <v>8000</v>
      </c>
      <c r="B157" s="156" t="s">
        <v>7987</v>
      </c>
      <c r="C157" s="156" t="str">
        <f t="array" ref="C157">IFERROR(INDEX($B$23:$B$293, MATCH(0, COUNTIF($C$22:C156, $B$23:$B$293&amp;"") + IF($B$23:$B$293="",1,0), 0)), "")</f>
        <v/>
      </c>
      <c r="D157" s="156" t="s">
        <v>7988</v>
      </c>
    </row>
    <row r="158" spans="1:4" s="9" customFormat="1" x14ac:dyDescent="0.25">
      <c r="A158" s="157" t="s">
        <v>8001</v>
      </c>
      <c r="B158" s="156" t="s">
        <v>7984</v>
      </c>
      <c r="C158" s="156" t="str">
        <f t="array" ref="C158">IFERROR(INDEX($B$23:$B$293, MATCH(0, COUNTIF($C$22:C157, $B$23:$B$293&amp;"") + IF($B$23:$B$293="",1,0), 0)), "")</f>
        <v/>
      </c>
      <c r="D158" s="156" t="s">
        <v>7985</v>
      </c>
    </row>
    <row r="159" spans="1:4" s="9" customFormat="1" x14ac:dyDescent="0.25">
      <c r="A159" s="157" t="s">
        <v>8002</v>
      </c>
      <c r="B159" s="156" t="s">
        <v>8003</v>
      </c>
      <c r="C159" s="156" t="str">
        <f t="array" ref="C159">IFERROR(INDEX($B$23:$B$293, MATCH(0, COUNTIF($C$22:C158, $B$23:$B$293&amp;"") + IF($B$23:$B$293="",1,0), 0)), "")</f>
        <v/>
      </c>
      <c r="D159" s="156" t="s">
        <v>8004</v>
      </c>
    </row>
    <row r="160" spans="1:4" s="9" customFormat="1" x14ac:dyDescent="0.25">
      <c r="A160" s="157" t="s">
        <v>8005</v>
      </c>
      <c r="B160" s="156" t="s">
        <v>8006</v>
      </c>
      <c r="C160" s="156" t="str">
        <f t="array" ref="C160">IFERROR(INDEX($B$23:$B$293, MATCH(0, COUNTIF($C$22:C159, $B$23:$B$293&amp;"") + IF($B$23:$B$293="",1,0), 0)), "")</f>
        <v/>
      </c>
      <c r="D160" s="156" t="s">
        <v>8007</v>
      </c>
    </row>
    <row r="161" spans="1:4" s="9" customFormat="1" x14ac:dyDescent="0.25">
      <c r="A161" s="157" t="s">
        <v>8008</v>
      </c>
      <c r="B161" s="156" t="s">
        <v>8009</v>
      </c>
      <c r="C161" s="156" t="str">
        <f t="array" ref="C161">IFERROR(INDEX($B$23:$B$293, MATCH(0, COUNTIF($C$22:C160, $B$23:$B$293&amp;"") + IF($B$23:$B$293="",1,0), 0)), "")</f>
        <v/>
      </c>
      <c r="D161" s="156" t="s">
        <v>8010</v>
      </c>
    </row>
    <row r="162" spans="1:4" s="9" customFormat="1" x14ac:dyDescent="0.25">
      <c r="A162" s="157" t="s">
        <v>8011</v>
      </c>
      <c r="B162" s="156" t="s">
        <v>8012</v>
      </c>
      <c r="C162" s="156" t="str">
        <f t="array" ref="C162">IFERROR(INDEX($B$23:$B$293, MATCH(0, COUNTIF($C$22:C161, $B$23:$B$293&amp;"") + IF($B$23:$B$293="",1,0), 0)), "")</f>
        <v/>
      </c>
      <c r="D162" s="156" t="s">
        <v>8013</v>
      </c>
    </row>
    <row r="163" spans="1:4" s="9" customFormat="1" x14ac:dyDescent="0.25">
      <c r="A163" s="157" t="s">
        <v>8014</v>
      </c>
      <c r="B163" s="156" t="s">
        <v>8006</v>
      </c>
      <c r="C163" s="156" t="str">
        <f t="array" ref="C163">IFERROR(INDEX($B$23:$B$293, MATCH(0, COUNTIF($C$22:C162, $B$23:$B$293&amp;"") + IF($B$23:$B$293="",1,0), 0)), "")</f>
        <v/>
      </c>
      <c r="D163" s="156" t="s">
        <v>8007</v>
      </c>
    </row>
    <row r="164" spans="1:4" s="9" customFormat="1" x14ac:dyDescent="0.25">
      <c r="A164" s="157" t="s">
        <v>8015</v>
      </c>
      <c r="B164" s="156" t="s">
        <v>8003</v>
      </c>
      <c r="C164" s="156" t="str">
        <f t="array" ref="C164">IFERROR(INDEX($B$23:$B$293, MATCH(0, COUNTIF($C$22:C163, $B$23:$B$293&amp;"") + IF($B$23:$B$293="",1,0), 0)), "")</f>
        <v/>
      </c>
      <c r="D164" s="156" t="s">
        <v>8004</v>
      </c>
    </row>
    <row r="165" spans="1:4" s="9" customFormat="1" x14ac:dyDescent="0.25">
      <c r="A165" s="157" t="s">
        <v>8016</v>
      </c>
      <c r="B165" s="156" t="s">
        <v>8012</v>
      </c>
      <c r="C165" s="156" t="str">
        <f t="array" ref="C165">IFERROR(INDEX($B$23:$B$293, MATCH(0, COUNTIF($C$22:C164, $B$23:$B$293&amp;"") + IF($B$23:$B$293="",1,0), 0)), "")</f>
        <v/>
      </c>
      <c r="D165" s="156" t="s">
        <v>8013</v>
      </c>
    </row>
    <row r="166" spans="1:4" s="9" customFormat="1" x14ac:dyDescent="0.25">
      <c r="A166" s="157" t="s">
        <v>8017</v>
      </c>
      <c r="B166" s="156" t="s">
        <v>8003</v>
      </c>
      <c r="C166" s="156" t="str">
        <f t="array" ref="C166">IFERROR(INDEX($B$23:$B$293, MATCH(0, COUNTIF($C$22:C165, $B$23:$B$293&amp;"") + IF($B$23:$B$293="",1,0), 0)), "")</f>
        <v/>
      </c>
      <c r="D166" s="156" t="s">
        <v>8004</v>
      </c>
    </row>
    <row r="167" spans="1:4" s="9" customFormat="1" x14ac:dyDescent="0.25">
      <c r="A167" s="157" t="s">
        <v>8018</v>
      </c>
      <c r="B167" s="156" t="s">
        <v>8009</v>
      </c>
      <c r="C167" s="156" t="str">
        <f t="array" ref="C167">IFERROR(INDEX($B$23:$B$293, MATCH(0, COUNTIF($C$22:C166, $B$23:$B$293&amp;"") + IF($B$23:$B$293="",1,0), 0)), "")</f>
        <v/>
      </c>
      <c r="D167" s="156" t="s">
        <v>8010</v>
      </c>
    </row>
    <row r="168" spans="1:4" s="9" customFormat="1" x14ac:dyDescent="0.25">
      <c r="A168" s="157" t="s">
        <v>8019</v>
      </c>
      <c r="B168" s="156" t="s">
        <v>8006</v>
      </c>
      <c r="C168" s="156" t="str">
        <f t="array" ref="C168">IFERROR(INDEX($B$23:$B$293, MATCH(0, COUNTIF($C$22:C167, $B$23:$B$293&amp;"") + IF($B$23:$B$293="",1,0), 0)), "")</f>
        <v/>
      </c>
      <c r="D168" s="156" t="s">
        <v>8007</v>
      </c>
    </row>
    <row r="169" spans="1:4" s="9" customFormat="1" x14ac:dyDescent="0.25">
      <c r="A169" s="157" t="s">
        <v>8020</v>
      </c>
      <c r="B169" s="156" t="s">
        <v>8003</v>
      </c>
      <c r="C169" s="156" t="str">
        <f t="array" ref="C169">IFERROR(INDEX($B$23:$B$293, MATCH(0, COUNTIF($C$22:C168, $B$23:$B$293&amp;"") + IF($B$23:$B$293="",1,0), 0)), "")</f>
        <v/>
      </c>
      <c r="D169" s="156" t="s">
        <v>8004</v>
      </c>
    </row>
    <row r="170" spans="1:4" s="9" customFormat="1" x14ac:dyDescent="0.25">
      <c r="A170" s="157" t="s">
        <v>8021</v>
      </c>
      <c r="B170" s="156" t="s">
        <v>7824</v>
      </c>
      <c r="C170" s="156" t="str">
        <f t="array" ref="C170">IFERROR(INDEX($B$23:$B$293, MATCH(0, COUNTIF($C$22:C169, $B$23:$B$293&amp;"") + IF($B$23:$B$293="",1,0), 0)), "")</f>
        <v/>
      </c>
      <c r="D170" s="156" t="s">
        <v>8022</v>
      </c>
    </row>
    <row r="171" spans="1:4" s="9" customFormat="1" x14ac:dyDescent="0.25">
      <c r="A171" s="157" t="s">
        <v>8023</v>
      </c>
      <c r="B171" s="156" t="s">
        <v>7990</v>
      </c>
      <c r="C171" s="156" t="str">
        <f t="array" ref="C171">IFERROR(INDEX($B$23:$B$293, MATCH(0, COUNTIF($C$22:C170, $B$23:$B$293&amp;"") + IF($B$23:$B$293="",1,0), 0)), "")</f>
        <v/>
      </c>
      <c r="D171" s="156" t="s">
        <v>7991</v>
      </c>
    </row>
    <row r="172" spans="1:4" s="9" customFormat="1" x14ac:dyDescent="0.25">
      <c r="A172" s="157" t="s">
        <v>8024</v>
      </c>
      <c r="B172" s="156" t="s">
        <v>8025</v>
      </c>
      <c r="C172" s="156" t="str">
        <f t="array" ref="C172">IFERROR(INDEX($B$23:$B$293, MATCH(0, COUNTIF($C$22:C171, $B$23:$B$293&amp;"") + IF($B$23:$B$293="",1,0), 0)), "")</f>
        <v/>
      </c>
      <c r="D172" s="156" t="s">
        <v>8026</v>
      </c>
    </row>
    <row r="173" spans="1:4" s="9" customFormat="1" x14ac:dyDescent="0.25">
      <c r="A173" s="157" t="s">
        <v>8027</v>
      </c>
      <c r="B173" s="156" t="s">
        <v>7824</v>
      </c>
      <c r="C173" s="156" t="str">
        <f t="array" ref="C173">IFERROR(INDEX($B$23:$B$293, MATCH(0, COUNTIF($C$22:C172, $B$23:$B$293&amp;"") + IF($B$23:$B$293="",1,0), 0)), "")</f>
        <v/>
      </c>
      <c r="D173" s="156" t="s">
        <v>8022</v>
      </c>
    </row>
    <row r="174" spans="1:4" s="9" customFormat="1" x14ac:dyDescent="0.25">
      <c r="A174" s="157" t="s">
        <v>8028</v>
      </c>
      <c r="B174" s="156" t="s">
        <v>7824</v>
      </c>
      <c r="C174" s="156" t="str">
        <f t="array" ref="C174">IFERROR(INDEX($B$23:$B$293, MATCH(0, COUNTIF($C$22:C173, $B$23:$B$293&amp;"") + IF($B$23:$B$293="",1,0), 0)), "")</f>
        <v/>
      </c>
      <c r="D174" s="156" t="s">
        <v>8022</v>
      </c>
    </row>
    <row r="175" spans="1:4" s="9" customFormat="1" x14ac:dyDescent="0.25">
      <c r="A175" s="157" t="s">
        <v>8029</v>
      </c>
      <c r="B175" s="156" t="s">
        <v>8012</v>
      </c>
      <c r="C175" s="156" t="str">
        <f t="array" ref="C175">IFERROR(INDEX($B$23:$B$293, MATCH(0, COUNTIF($C$22:C174, $B$23:$B$293&amp;"") + IF($B$23:$B$293="",1,0), 0)), "")</f>
        <v/>
      </c>
      <c r="D175" s="156" t="s">
        <v>8013</v>
      </c>
    </row>
    <row r="176" spans="1:4" s="9" customFormat="1" x14ac:dyDescent="0.25">
      <c r="A176" s="157" t="s">
        <v>8030</v>
      </c>
      <c r="B176" s="156" t="s">
        <v>7824</v>
      </c>
      <c r="C176" s="156" t="str">
        <f t="array" ref="C176">IFERROR(INDEX($B$23:$B$293, MATCH(0, COUNTIF($C$22:C175, $B$23:$B$293&amp;"") + IF($B$23:$B$293="",1,0), 0)), "")</f>
        <v/>
      </c>
      <c r="D176" s="156" t="s">
        <v>8022</v>
      </c>
    </row>
    <row r="177" spans="1:4" s="9" customFormat="1" x14ac:dyDescent="0.25">
      <c r="A177" s="157" t="s">
        <v>8031</v>
      </c>
      <c r="B177" s="156" t="s">
        <v>7824</v>
      </c>
      <c r="C177" s="156" t="str">
        <f t="array" ref="C177">IFERROR(INDEX($B$23:$B$293, MATCH(0, COUNTIF($C$22:C176, $B$23:$B$293&amp;"") + IF($B$23:$B$293="",1,0), 0)), "")</f>
        <v/>
      </c>
      <c r="D177" s="156" t="s">
        <v>8022</v>
      </c>
    </row>
    <row r="178" spans="1:4" s="9" customFormat="1" x14ac:dyDescent="0.25">
      <c r="A178" s="157" t="s">
        <v>8032</v>
      </c>
      <c r="B178" s="156" t="s">
        <v>7824</v>
      </c>
      <c r="C178" s="156" t="str">
        <f t="array" ref="C178">IFERROR(INDEX($B$23:$B$293, MATCH(0, COUNTIF($C$22:C177, $B$23:$B$293&amp;"") + IF($B$23:$B$293="",1,0), 0)), "")</f>
        <v/>
      </c>
      <c r="D178" s="156" t="s">
        <v>8022</v>
      </c>
    </row>
    <row r="179" spans="1:4" s="9" customFormat="1" x14ac:dyDescent="0.25">
      <c r="A179" s="157" t="s">
        <v>8033</v>
      </c>
      <c r="B179" s="156" t="s">
        <v>7824</v>
      </c>
      <c r="C179" s="156" t="str">
        <f t="array" ref="C179">IFERROR(INDEX($B$23:$B$293, MATCH(0, COUNTIF($C$22:C178, $B$23:$B$293&amp;"") + IF($B$23:$B$293="",1,0), 0)), "")</f>
        <v/>
      </c>
      <c r="D179" s="156" t="s">
        <v>8022</v>
      </c>
    </row>
    <row r="180" spans="1:4" s="9" customFormat="1" x14ac:dyDescent="0.25">
      <c r="A180" s="157" t="s">
        <v>8034</v>
      </c>
      <c r="B180" s="156" t="s">
        <v>7824</v>
      </c>
      <c r="C180" s="156" t="str">
        <f t="array" ref="C180">IFERROR(INDEX($B$23:$B$293, MATCH(0, COUNTIF($C$22:C179, $B$23:$B$293&amp;"") + IF($B$23:$B$293="",1,0), 0)), "")</f>
        <v/>
      </c>
      <c r="D180" s="156" t="s">
        <v>8022</v>
      </c>
    </row>
    <row r="181" spans="1:4" s="9" customFormat="1" x14ac:dyDescent="0.25">
      <c r="A181" s="157" t="s">
        <v>8035</v>
      </c>
      <c r="B181" s="156" t="s">
        <v>8012</v>
      </c>
      <c r="C181" s="156" t="str">
        <f t="array" ref="C181">IFERROR(INDEX($B$23:$B$293, MATCH(0, COUNTIF($C$22:C180, $B$23:$B$293&amp;"") + IF($B$23:$B$293="",1,0), 0)), "")</f>
        <v/>
      </c>
      <c r="D181" s="156" t="s">
        <v>8013</v>
      </c>
    </row>
    <row r="182" spans="1:4" s="9" customFormat="1" x14ac:dyDescent="0.25">
      <c r="A182" s="157" t="s">
        <v>8036</v>
      </c>
      <c r="B182" s="156" t="s">
        <v>8012</v>
      </c>
      <c r="C182" s="156" t="str">
        <f t="array" ref="C182">IFERROR(INDEX($B$23:$B$293, MATCH(0, COUNTIF($C$22:C181, $B$23:$B$293&amp;"") + IF($B$23:$B$293="",1,0), 0)), "")</f>
        <v/>
      </c>
      <c r="D182" s="156" t="s">
        <v>8013</v>
      </c>
    </row>
    <row r="183" spans="1:4" s="9" customFormat="1" x14ac:dyDescent="0.25">
      <c r="A183" s="157" t="s">
        <v>8037</v>
      </c>
      <c r="B183" s="156" t="s">
        <v>7824</v>
      </c>
      <c r="C183" s="156" t="str">
        <f t="array" ref="C183">IFERROR(INDEX($B$23:$B$293, MATCH(0, COUNTIF($C$22:C182, $B$23:$B$293&amp;"") + IF($B$23:$B$293="",1,0), 0)), "")</f>
        <v/>
      </c>
      <c r="D183" s="156" t="s">
        <v>8022</v>
      </c>
    </row>
    <row r="184" spans="1:4" s="9" customFormat="1" x14ac:dyDescent="0.25">
      <c r="A184" s="157" t="s">
        <v>8038</v>
      </c>
      <c r="B184" s="156" t="s">
        <v>7824</v>
      </c>
      <c r="C184" s="156" t="str">
        <f t="array" ref="C184">IFERROR(INDEX($B$23:$B$293, MATCH(0, COUNTIF($C$22:C183, $B$23:$B$293&amp;"") + IF($B$23:$B$293="",1,0), 0)), "")</f>
        <v/>
      </c>
      <c r="D184" s="156" t="s">
        <v>8022</v>
      </c>
    </row>
    <row r="185" spans="1:4" s="9" customFormat="1" x14ac:dyDescent="0.25">
      <c r="A185" s="157" t="s">
        <v>8039</v>
      </c>
      <c r="B185" s="156" t="s">
        <v>7824</v>
      </c>
      <c r="C185" s="156" t="str">
        <f t="array" ref="C185">IFERROR(INDEX($B$23:$B$293, MATCH(0, COUNTIF($C$22:C184, $B$23:$B$293&amp;"") + IF($B$23:$B$293="",1,0), 0)), "")</f>
        <v/>
      </c>
      <c r="D185" s="156" t="s">
        <v>8022</v>
      </c>
    </row>
    <row r="186" spans="1:4" s="9" customFormat="1" x14ac:dyDescent="0.25">
      <c r="A186" s="157" t="s">
        <v>8040</v>
      </c>
      <c r="B186" s="156" t="s">
        <v>8025</v>
      </c>
      <c r="C186" s="156" t="str">
        <f t="array" ref="C186">IFERROR(INDEX($B$23:$B$293, MATCH(0, COUNTIF($C$22:C185, $B$23:$B$293&amp;"") + IF($B$23:$B$293="",1,0), 0)), "")</f>
        <v/>
      </c>
      <c r="D186" s="156" t="s">
        <v>8026</v>
      </c>
    </row>
    <row r="187" spans="1:4" s="9" customFormat="1" x14ac:dyDescent="0.25">
      <c r="A187" s="157" t="s">
        <v>8041</v>
      </c>
      <c r="B187" s="156" t="s">
        <v>7824</v>
      </c>
      <c r="C187" s="156" t="str">
        <f t="array" ref="C187">IFERROR(INDEX($B$23:$B$293, MATCH(0, COUNTIF($C$22:C186, $B$23:$B$293&amp;"") + IF($B$23:$B$293="",1,0), 0)), "")</f>
        <v/>
      </c>
      <c r="D187" s="156" t="s">
        <v>8042</v>
      </c>
    </row>
    <row r="188" spans="1:4" s="9" customFormat="1" x14ac:dyDescent="0.25">
      <c r="A188" s="157" t="s">
        <v>8043</v>
      </c>
      <c r="B188" s="156" t="s">
        <v>7824</v>
      </c>
      <c r="C188" s="156" t="str">
        <f t="array" ref="C188">IFERROR(INDEX($B$23:$B$293, MATCH(0, COUNTIF($C$22:C187, $B$23:$B$293&amp;"") + IF($B$23:$B$293="",1,0), 0)), "")</f>
        <v/>
      </c>
      <c r="D188" s="156" t="s">
        <v>8042</v>
      </c>
    </row>
    <row r="189" spans="1:4" s="9" customFormat="1" x14ac:dyDescent="0.25">
      <c r="A189" s="157" t="s">
        <v>8044</v>
      </c>
      <c r="B189" s="156" t="s">
        <v>7824</v>
      </c>
      <c r="C189" s="156" t="str">
        <f t="array" ref="C189">IFERROR(INDEX($B$23:$B$293, MATCH(0, COUNTIF($C$22:C188, $B$23:$B$293&amp;"") + IF($B$23:$B$293="",1,0), 0)), "")</f>
        <v/>
      </c>
      <c r="D189" s="156" t="s">
        <v>8042</v>
      </c>
    </row>
    <row r="190" spans="1:4" s="9" customFormat="1" x14ac:dyDescent="0.25">
      <c r="A190" s="157" t="s">
        <v>8045</v>
      </c>
      <c r="B190" s="156" t="s">
        <v>7824</v>
      </c>
      <c r="C190" s="156" t="str">
        <f t="array" ref="C190">IFERROR(INDEX($B$23:$B$293, MATCH(0, COUNTIF($C$22:C189, $B$23:$B$293&amp;"") + IF($B$23:$B$293="",1,0), 0)), "")</f>
        <v/>
      </c>
      <c r="D190" s="156" t="s">
        <v>8042</v>
      </c>
    </row>
    <row r="191" spans="1:4" s="9" customFormat="1" x14ac:dyDescent="0.25">
      <c r="A191" s="157" t="s">
        <v>8046</v>
      </c>
      <c r="B191" s="156" t="s">
        <v>7824</v>
      </c>
      <c r="C191" s="156" t="str">
        <f t="array" ref="C191">IFERROR(INDEX($B$23:$B$293, MATCH(0, COUNTIF($C$22:C190, $B$23:$B$293&amp;"") + IF($B$23:$B$293="",1,0), 0)), "")</f>
        <v/>
      </c>
      <c r="D191" s="156" t="s">
        <v>8042</v>
      </c>
    </row>
    <row r="192" spans="1:4" s="9" customFormat="1" x14ac:dyDescent="0.25">
      <c r="A192" s="157" t="s">
        <v>8047</v>
      </c>
      <c r="B192" s="156" t="s">
        <v>7824</v>
      </c>
      <c r="C192" s="156" t="str">
        <f t="array" ref="C192">IFERROR(INDEX($B$23:$B$293, MATCH(0, COUNTIF($C$22:C191, $B$23:$B$293&amp;"") + IF($B$23:$B$293="",1,0), 0)), "")</f>
        <v/>
      </c>
      <c r="D192" s="156" t="s">
        <v>8042</v>
      </c>
    </row>
    <row r="193" spans="1:4" s="9" customFormat="1" x14ac:dyDescent="0.25">
      <c r="A193" s="157" t="s">
        <v>8048</v>
      </c>
      <c r="B193" s="156" t="s">
        <v>7824</v>
      </c>
      <c r="C193" s="156" t="str">
        <f t="array" ref="C193">IFERROR(INDEX($B$23:$B$293, MATCH(0, COUNTIF($C$22:C192, $B$23:$B$293&amp;"") + IF($B$23:$B$293="",1,0), 0)), "")</f>
        <v/>
      </c>
      <c r="D193" s="156" t="s">
        <v>8042</v>
      </c>
    </row>
    <row r="194" spans="1:4" s="9" customFormat="1" x14ac:dyDescent="0.25">
      <c r="A194" s="157" t="s">
        <v>8049</v>
      </c>
      <c r="B194" s="156" t="s">
        <v>7824</v>
      </c>
      <c r="C194" s="156" t="str">
        <f t="array" ref="C194">IFERROR(INDEX($B$23:$B$293, MATCH(0, COUNTIF($C$22:C193, $B$23:$B$293&amp;"") + IF($B$23:$B$293="",1,0), 0)), "")</f>
        <v/>
      </c>
      <c r="D194" s="156" t="s">
        <v>8042</v>
      </c>
    </row>
    <row r="195" spans="1:4" s="9" customFormat="1" x14ac:dyDescent="0.25">
      <c r="A195" s="157" t="s">
        <v>8050</v>
      </c>
      <c r="B195" s="156" t="s">
        <v>7824</v>
      </c>
      <c r="C195" s="156" t="str">
        <f t="array" ref="C195">IFERROR(INDEX($B$23:$B$293, MATCH(0, COUNTIF($C$22:C194, $B$23:$B$293&amp;"") + IF($B$23:$B$293="",1,0), 0)), "")</f>
        <v/>
      </c>
      <c r="D195" s="156" t="s">
        <v>8042</v>
      </c>
    </row>
    <row r="196" spans="1:4" s="9" customFormat="1" x14ac:dyDescent="0.25">
      <c r="A196" s="157" t="s">
        <v>8051</v>
      </c>
      <c r="B196" s="156" t="s">
        <v>7824</v>
      </c>
      <c r="C196" s="156" t="str">
        <f t="array" ref="C196">IFERROR(INDEX($B$23:$B$293, MATCH(0, COUNTIF($C$22:C195, $B$23:$B$293&amp;"") + IF($B$23:$B$293="",1,0), 0)), "")</f>
        <v/>
      </c>
      <c r="D196" s="156" t="s">
        <v>8042</v>
      </c>
    </row>
    <row r="197" spans="1:4" s="9" customFormat="1" x14ac:dyDescent="0.25">
      <c r="A197" s="157" t="s">
        <v>8052</v>
      </c>
      <c r="B197" s="156" t="s">
        <v>8053</v>
      </c>
      <c r="C197" s="156" t="str">
        <f t="array" ref="C197">IFERROR(INDEX($B$23:$B$293, MATCH(0, COUNTIF($C$22:C196, $B$23:$B$293&amp;"") + IF($B$23:$B$293="",1,0), 0)), "")</f>
        <v/>
      </c>
      <c r="D197" s="156" t="s">
        <v>8054</v>
      </c>
    </row>
    <row r="198" spans="1:4" s="9" customFormat="1" x14ac:dyDescent="0.25">
      <c r="A198" s="157" t="s">
        <v>8055</v>
      </c>
      <c r="B198" s="156" t="s">
        <v>8053</v>
      </c>
      <c r="C198" s="156" t="str">
        <f t="array" ref="C198">IFERROR(INDEX($B$23:$B$293, MATCH(0, COUNTIF($C$22:C197, $B$23:$B$293&amp;"") + IF($B$23:$B$293="",1,0), 0)), "")</f>
        <v/>
      </c>
      <c r="D198" s="156" t="s">
        <v>8054</v>
      </c>
    </row>
    <row r="199" spans="1:4" s="9" customFormat="1" x14ac:dyDescent="0.25">
      <c r="A199" s="157" t="s">
        <v>8056</v>
      </c>
      <c r="B199" s="156" t="s">
        <v>8057</v>
      </c>
      <c r="C199" s="156" t="str">
        <f t="array" ref="C199">IFERROR(INDEX($B$23:$B$293, MATCH(0, COUNTIF($C$22:C198, $B$23:$B$293&amp;"") + IF($B$23:$B$293="",1,0), 0)), "")</f>
        <v/>
      </c>
      <c r="D199" s="156" t="s">
        <v>8058</v>
      </c>
    </row>
    <row r="200" spans="1:4" s="9" customFormat="1" x14ac:dyDescent="0.25">
      <c r="A200" s="157" t="s">
        <v>8059</v>
      </c>
      <c r="B200" s="156" t="s">
        <v>8060</v>
      </c>
      <c r="C200" s="156" t="str">
        <f t="array" ref="C200">IFERROR(INDEX($B$23:$B$293, MATCH(0, COUNTIF($C$22:C199, $B$23:$B$293&amp;"") + IF($B$23:$B$293="",1,0), 0)), "")</f>
        <v/>
      </c>
      <c r="D200" s="156" t="s">
        <v>8061</v>
      </c>
    </row>
    <row r="201" spans="1:4" s="9" customFormat="1" x14ac:dyDescent="0.25">
      <c r="A201" s="157" t="s">
        <v>8062</v>
      </c>
      <c r="B201" s="156" t="s">
        <v>8057</v>
      </c>
      <c r="C201" s="156" t="str">
        <f t="array" ref="C201">IFERROR(INDEX($B$23:$B$293, MATCH(0, COUNTIF($C$22:C200, $B$23:$B$293&amp;"") + IF($B$23:$B$293="",1,0), 0)), "")</f>
        <v/>
      </c>
      <c r="D201" s="156" t="s">
        <v>8058</v>
      </c>
    </row>
    <row r="202" spans="1:4" s="9" customFormat="1" x14ac:dyDescent="0.25">
      <c r="A202" s="157" t="s">
        <v>8063</v>
      </c>
      <c r="B202" s="156" t="s">
        <v>8057</v>
      </c>
      <c r="C202" s="156" t="str">
        <f t="array" ref="C202">IFERROR(INDEX($B$23:$B$293, MATCH(0, COUNTIF($C$22:C201, $B$23:$B$293&amp;"") + IF($B$23:$B$293="",1,0), 0)), "")</f>
        <v/>
      </c>
      <c r="D202" s="156" t="s">
        <v>8058</v>
      </c>
    </row>
    <row r="203" spans="1:4" s="9" customFormat="1" x14ac:dyDescent="0.25">
      <c r="A203" s="157" t="s">
        <v>8064</v>
      </c>
      <c r="B203" s="156" t="s">
        <v>8057</v>
      </c>
      <c r="C203" s="156" t="str">
        <f t="array" ref="C203">IFERROR(INDEX($B$23:$B$293, MATCH(0, COUNTIF($C$22:C202, $B$23:$B$293&amp;"") + IF($B$23:$B$293="",1,0), 0)), "")</f>
        <v/>
      </c>
      <c r="D203" s="156" t="s">
        <v>8058</v>
      </c>
    </row>
    <row r="204" spans="1:4" s="9" customFormat="1" x14ac:dyDescent="0.25">
      <c r="A204" s="157" t="s">
        <v>8065</v>
      </c>
      <c r="B204" s="156" t="s">
        <v>8060</v>
      </c>
      <c r="C204" s="156" t="str">
        <f t="array" ref="C204">IFERROR(INDEX($B$23:$B$293, MATCH(0, COUNTIF($C$22:C203, $B$23:$B$293&amp;"") + IF($B$23:$B$293="",1,0), 0)), "")</f>
        <v/>
      </c>
      <c r="D204" s="156" t="s">
        <v>8061</v>
      </c>
    </row>
    <row r="205" spans="1:4" s="9" customFormat="1" x14ac:dyDescent="0.25">
      <c r="A205" s="157" t="s">
        <v>8066</v>
      </c>
      <c r="B205" s="156" t="s">
        <v>8060</v>
      </c>
      <c r="C205" s="156" t="str">
        <f t="array" ref="C205">IFERROR(INDEX($B$23:$B$293, MATCH(0, COUNTIF($C$22:C204, $B$23:$B$293&amp;"") + IF($B$23:$B$293="",1,0), 0)), "")</f>
        <v/>
      </c>
      <c r="D205" s="156" t="s">
        <v>8061</v>
      </c>
    </row>
    <row r="206" spans="1:4" s="9" customFormat="1" x14ac:dyDescent="0.25">
      <c r="A206" s="157" t="s">
        <v>8067</v>
      </c>
      <c r="B206" s="156" t="s">
        <v>8057</v>
      </c>
      <c r="C206" s="156" t="str">
        <f t="array" ref="C206">IFERROR(INDEX($B$23:$B$293, MATCH(0, COUNTIF($C$22:C205, $B$23:$B$293&amp;"") + IF($B$23:$B$293="",1,0), 0)), "")</f>
        <v/>
      </c>
      <c r="D206" s="156" t="s">
        <v>8058</v>
      </c>
    </row>
    <row r="207" spans="1:4" s="9" customFormat="1" x14ac:dyDescent="0.25">
      <c r="A207" s="157" t="s">
        <v>8068</v>
      </c>
      <c r="B207" s="156" t="s">
        <v>8057</v>
      </c>
      <c r="C207" s="156" t="str">
        <f t="array" ref="C207">IFERROR(INDEX($B$23:$B$293, MATCH(0, COUNTIF($C$22:C206, $B$23:$B$293&amp;"") + IF($B$23:$B$293="",1,0), 0)), "")</f>
        <v/>
      </c>
      <c r="D207" s="156" t="s">
        <v>8058</v>
      </c>
    </row>
    <row r="208" spans="1:4" s="9" customFormat="1" x14ac:dyDescent="0.25">
      <c r="A208" s="157" t="s">
        <v>8069</v>
      </c>
      <c r="B208" s="156" t="s">
        <v>8057</v>
      </c>
      <c r="C208" s="156" t="str">
        <f t="array" ref="C208">IFERROR(INDEX($B$23:$B$293, MATCH(0, COUNTIF($C$22:C207, $B$23:$B$293&amp;"") + IF($B$23:$B$293="",1,0), 0)), "")</f>
        <v/>
      </c>
      <c r="D208" s="156" t="s">
        <v>8058</v>
      </c>
    </row>
    <row r="209" spans="1:4" s="9" customFormat="1" x14ac:dyDescent="0.25">
      <c r="A209" s="157" t="s">
        <v>8070</v>
      </c>
      <c r="B209" s="156" t="s">
        <v>8057</v>
      </c>
      <c r="C209" s="156" t="str">
        <f t="array" ref="C209">IFERROR(INDEX($B$23:$B$293, MATCH(0, COUNTIF($C$22:C208, $B$23:$B$293&amp;"") + IF($B$23:$B$293="",1,0), 0)), "")</f>
        <v/>
      </c>
      <c r="D209" s="156" t="s">
        <v>8058</v>
      </c>
    </row>
    <row r="210" spans="1:4" s="9" customFormat="1" x14ac:dyDescent="0.25">
      <c r="A210" s="157" t="s">
        <v>8071</v>
      </c>
      <c r="B210" s="156" t="s">
        <v>8060</v>
      </c>
      <c r="C210" s="156" t="str">
        <f t="array" ref="C210">IFERROR(INDEX($B$23:$B$293, MATCH(0, COUNTIF($C$22:C209, $B$23:$B$293&amp;"") + IF($B$23:$B$293="",1,0), 0)), "")</f>
        <v/>
      </c>
      <c r="D210" s="156" t="s">
        <v>8061</v>
      </c>
    </row>
    <row r="211" spans="1:4" s="9" customFormat="1" x14ac:dyDescent="0.25">
      <c r="A211" s="157" t="s">
        <v>8072</v>
      </c>
      <c r="B211" s="156" t="s">
        <v>8057</v>
      </c>
      <c r="C211" s="156" t="str">
        <f t="array" ref="C211">IFERROR(INDEX($B$23:$B$293, MATCH(0, COUNTIF($C$22:C210, $B$23:$B$293&amp;"") + IF($B$23:$B$293="",1,0), 0)), "")</f>
        <v/>
      </c>
      <c r="D211" s="156" t="s">
        <v>8058</v>
      </c>
    </row>
    <row r="212" spans="1:4" s="9" customFormat="1" x14ac:dyDescent="0.25">
      <c r="A212" s="157" t="s">
        <v>8073</v>
      </c>
      <c r="B212" s="156" t="s">
        <v>8057</v>
      </c>
      <c r="C212" s="156" t="str">
        <f t="array" ref="C212">IFERROR(INDEX($B$23:$B$293, MATCH(0, COUNTIF($C$22:C211, $B$23:$B$293&amp;"") + IF($B$23:$B$293="",1,0), 0)), "")</f>
        <v/>
      </c>
      <c r="D212" s="156" t="s">
        <v>8058</v>
      </c>
    </row>
    <row r="213" spans="1:4" s="9" customFormat="1" x14ac:dyDescent="0.25">
      <c r="A213" s="157" t="s">
        <v>8074</v>
      </c>
      <c r="B213" s="156" t="s">
        <v>8057</v>
      </c>
      <c r="C213" s="156" t="str">
        <f t="array" ref="C213">IFERROR(INDEX($B$23:$B$293, MATCH(0, COUNTIF($C$22:C212, $B$23:$B$293&amp;"") + IF($B$23:$B$293="",1,0), 0)), "")</f>
        <v/>
      </c>
      <c r="D213" s="156" t="s">
        <v>8058</v>
      </c>
    </row>
    <row r="214" spans="1:4" s="9" customFormat="1" x14ac:dyDescent="0.25">
      <c r="A214" s="157" t="s">
        <v>8075</v>
      </c>
      <c r="B214" s="156" t="s">
        <v>8076</v>
      </c>
      <c r="C214" s="156" t="str">
        <f t="array" ref="C214">IFERROR(INDEX($B$23:$B$293, MATCH(0, COUNTIF($C$22:C213, $B$23:$B$293&amp;"") + IF($B$23:$B$293="",1,0), 0)), "")</f>
        <v/>
      </c>
      <c r="D214" s="156" t="s">
        <v>8077</v>
      </c>
    </row>
    <row r="215" spans="1:4" s="9" customFormat="1" x14ac:dyDescent="0.25">
      <c r="A215" s="157" t="s">
        <v>8078</v>
      </c>
      <c r="B215" s="156" t="s">
        <v>8079</v>
      </c>
      <c r="C215" s="156" t="str">
        <f t="array" ref="C215">IFERROR(INDEX($B$23:$B$293, MATCH(0, COUNTIF($C$22:C214, $B$23:$B$293&amp;"") + IF($B$23:$B$293="",1,0), 0)), "")</f>
        <v/>
      </c>
      <c r="D215" s="156" t="s">
        <v>8080</v>
      </c>
    </row>
    <row r="216" spans="1:4" s="9" customFormat="1" x14ac:dyDescent="0.25">
      <c r="A216" s="157" t="s">
        <v>8081</v>
      </c>
      <c r="B216" s="156" t="s">
        <v>8082</v>
      </c>
      <c r="C216" s="156" t="str">
        <f t="array" ref="C216">IFERROR(INDEX($B$23:$B$293, MATCH(0, COUNTIF($C$22:C215, $B$23:$B$293&amp;"") + IF($B$23:$B$293="",1,0), 0)), "")</f>
        <v/>
      </c>
      <c r="D216" s="156" t="s">
        <v>8083</v>
      </c>
    </row>
    <row r="217" spans="1:4" s="9" customFormat="1" x14ac:dyDescent="0.25">
      <c r="A217" s="157" t="s">
        <v>8084</v>
      </c>
      <c r="B217" s="156" t="s">
        <v>8079</v>
      </c>
      <c r="C217" s="156" t="str">
        <f t="array" ref="C217">IFERROR(INDEX($B$23:$B$293, MATCH(0, COUNTIF($C$22:C216, $B$23:$B$293&amp;"") + IF($B$23:$B$293="",1,0), 0)), "")</f>
        <v/>
      </c>
      <c r="D217" s="156" t="s">
        <v>8080</v>
      </c>
    </row>
    <row r="218" spans="1:4" s="9" customFormat="1" x14ac:dyDescent="0.25">
      <c r="A218" s="157" t="s">
        <v>8085</v>
      </c>
      <c r="B218" s="156" t="s">
        <v>8076</v>
      </c>
      <c r="C218" s="156" t="str">
        <f t="array" ref="C218">IFERROR(INDEX($B$23:$B$293, MATCH(0, COUNTIF($C$22:C217, $B$23:$B$293&amp;"") + IF($B$23:$B$293="",1,0), 0)), "")</f>
        <v/>
      </c>
      <c r="D218" s="156" t="s">
        <v>8077</v>
      </c>
    </row>
    <row r="219" spans="1:4" s="9" customFormat="1" x14ac:dyDescent="0.25">
      <c r="A219" s="157" t="s">
        <v>8086</v>
      </c>
      <c r="B219" s="156" t="s">
        <v>8079</v>
      </c>
      <c r="C219" s="156" t="str">
        <f t="array" ref="C219">IFERROR(INDEX($B$23:$B$293, MATCH(0, COUNTIF($C$22:C218, $B$23:$B$293&amp;"") + IF($B$23:$B$293="",1,0), 0)), "")</f>
        <v/>
      </c>
      <c r="D219" s="156" t="s">
        <v>8080</v>
      </c>
    </row>
    <row r="220" spans="1:4" s="9" customFormat="1" x14ac:dyDescent="0.25">
      <c r="A220" s="157" t="s">
        <v>8087</v>
      </c>
      <c r="B220" s="156" t="s">
        <v>8079</v>
      </c>
      <c r="C220" s="156" t="str">
        <f t="array" ref="C220">IFERROR(INDEX($B$23:$B$293, MATCH(0, COUNTIF($C$22:C219, $B$23:$B$293&amp;"") + IF($B$23:$B$293="",1,0), 0)), "")</f>
        <v/>
      </c>
      <c r="D220" s="156" t="s">
        <v>8080</v>
      </c>
    </row>
    <row r="221" spans="1:4" s="9" customFormat="1" x14ac:dyDescent="0.25">
      <c r="A221" s="157" t="s">
        <v>8088</v>
      </c>
      <c r="B221" s="156" t="s">
        <v>8076</v>
      </c>
      <c r="C221" s="156" t="str">
        <f t="array" ref="C221">IFERROR(INDEX($B$23:$B$293, MATCH(0, COUNTIF($C$22:C220, $B$23:$B$293&amp;"") + IF($B$23:$B$293="",1,0), 0)), "")</f>
        <v/>
      </c>
      <c r="D221" s="156" t="s">
        <v>8077</v>
      </c>
    </row>
    <row r="222" spans="1:4" s="9" customFormat="1" x14ac:dyDescent="0.25">
      <c r="A222" s="157" t="s">
        <v>8089</v>
      </c>
      <c r="B222" s="156" t="s">
        <v>8079</v>
      </c>
      <c r="C222" s="156" t="str">
        <f t="array" ref="C222">IFERROR(INDEX($B$23:$B$293, MATCH(0, COUNTIF($C$22:C221, $B$23:$B$293&amp;"") + IF($B$23:$B$293="",1,0), 0)), "")</f>
        <v/>
      </c>
      <c r="D222" s="156" t="s">
        <v>8080</v>
      </c>
    </row>
    <row r="223" spans="1:4" s="9" customFormat="1" x14ac:dyDescent="0.25">
      <c r="A223" s="157" t="s">
        <v>8090</v>
      </c>
      <c r="B223" s="156" t="s">
        <v>8082</v>
      </c>
      <c r="C223" s="156" t="str">
        <f t="array" ref="C223">IFERROR(INDEX($B$23:$B$293, MATCH(0, COUNTIF($C$22:C222, $B$23:$B$293&amp;"") + IF($B$23:$B$293="",1,0), 0)), "")</f>
        <v/>
      </c>
      <c r="D223" s="156" t="s">
        <v>8083</v>
      </c>
    </row>
    <row r="224" spans="1:4" s="9" customFormat="1" x14ac:dyDescent="0.25">
      <c r="A224" s="157" t="s">
        <v>8091</v>
      </c>
      <c r="B224" s="156" t="s">
        <v>8076</v>
      </c>
      <c r="C224" s="156" t="str">
        <f t="array" ref="C224">IFERROR(INDEX($B$23:$B$293, MATCH(0, COUNTIF($C$22:C223, $B$23:$B$293&amp;"") + IF($B$23:$B$293="",1,0), 0)), "")</f>
        <v/>
      </c>
      <c r="D224" s="156" t="s">
        <v>8077</v>
      </c>
    </row>
    <row r="225" spans="1:4" s="9" customFormat="1" x14ac:dyDescent="0.25">
      <c r="A225" s="157" t="s">
        <v>8092</v>
      </c>
      <c r="B225" s="156" t="s">
        <v>8079</v>
      </c>
      <c r="C225" s="156" t="str">
        <f t="array" ref="C225">IFERROR(INDEX($B$23:$B$293, MATCH(0, COUNTIF($C$22:C224, $B$23:$B$293&amp;"") + IF($B$23:$B$293="",1,0), 0)), "")</f>
        <v/>
      </c>
      <c r="D225" s="156" t="s">
        <v>8080</v>
      </c>
    </row>
    <row r="226" spans="1:4" s="9" customFormat="1" x14ac:dyDescent="0.25">
      <c r="A226" s="157" t="s">
        <v>8093</v>
      </c>
      <c r="B226" s="156" t="s">
        <v>8076</v>
      </c>
      <c r="C226" s="156" t="str">
        <f t="array" ref="C226">IFERROR(INDEX($B$23:$B$293, MATCH(0, COUNTIF($C$22:C225, $B$23:$B$293&amp;"") + IF($B$23:$B$293="",1,0), 0)), "")</f>
        <v/>
      </c>
      <c r="D226" s="156" t="s">
        <v>8077</v>
      </c>
    </row>
    <row r="227" spans="1:4" s="9" customFormat="1" x14ac:dyDescent="0.25">
      <c r="A227" s="157" t="s">
        <v>8094</v>
      </c>
      <c r="B227" s="156" t="s">
        <v>8082</v>
      </c>
      <c r="C227" s="156" t="str">
        <f t="array" ref="C227">IFERROR(INDEX($B$23:$B$293, MATCH(0, COUNTIF($C$22:C226, $B$23:$B$293&amp;"") + IF($B$23:$B$293="",1,0), 0)), "")</f>
        <v/>
      </c>
      <c r="D227" s="156" t="s">
        <v>8083</v>
      </c>
    </row>
    <row r="228" spans="1:4" s="9" customFormat="1" x14ac:dyDescent="0.25">
      <c r="A228" s="157" t="s">
        <v>8095</v>
      </c>
      <c r="B228" s="156" t="s">
        <v>8079</v>
      </c>
      <c r="C228" s="156" t="str">
        <f t="array" ref="C228">IFERROR(INDEX($B$23:$B$293, MATCH(0, COUNTIF($C$22:C227, $B$23:$B$293&amp;"") + IF($B$23:$B$293="",1,0), 0)), "")</f>
        <v/>
      </c>
      <c r="D228" s="156" t="s">
        <v>8080</v>
      </c>
    </row>
    <row r="229" spans="1:4" s="9" customFormat="1" x14ac:dyDescent="0.25">
      <c r="A229" s="157" t="s">
        <v>8096</v>
      </c>
      <c r="B229" s="156" t="s">
        <v>8076</v>
      </c>
      <c r="C229" s="156" t="str">
        <f t="array" ref="C229">IFERROR(INDEX($B$23:$B$293, MATCH(0, COUNTIF($C$22:C228, $B$23:$B$293&amp;"") + IF($B$23:$B$293="",1,0), 0)), "")</f>
        <v/>
      </c>
      <c r="D229" s="156" t="s">
        <v>8077</v>
      </c>
    </row>
    <row r="230" spans="1:4" s="9" customFormat="1" x14ac:dyDescent="0.25">
      <c r="A230" s="157" t="s">
        <v>8097</v>
      </c>
      <c r="B230" s="156" t="s">
        <v>8098</v>
      </c>
      <c r="C230" s="156" t="str">
        <f t="array" ref="C230">IFERROR(INDEX($B$23:$B$293, MATCH(0, COUNTIF($C$22:C229, $B$23:$B$293&amp;"") + IF($B$23:$B$293="",1,0), 0)), "")</f>
        <v/>
      </c>
      <c r="D230" s="156" t="s">
        <v>8099</v>
      </c>
    </row>
    <row r="231" spans="1:4" s="9" customFormat="1" x14ac:dyDescent="0.25">
      <c r="A231" s="157" t="s">
        <v>8100</v>
      </c>
      <c r="B231" s="156" t="s">
        <v>7990</v>
      </c>
      <c r="C231" s="156" t="str">
        <f t="array" ref="C231">IFERROR(INDEX($B$23:$B$293, MATCH(0, COUNTIF($C$22:C230, $B$23:$B$293&amp;"") + IF($B$23:$B$293="",1,0), 0)), "")</f>
        <v/>
      </c>
      <c r="D231" s="156" t="s">
        <v>7991</v>
      </c>
    </row>
    <row r="232" spans="1:4" s="9" customFormat="1" x14ac:dyDescent="0.25">
      <c r="A232" s="157" t="s">
        <v>8101</v>
      </c>
      <c r="B232" s="156" t="s">
        <v>7990</v>
      </c>
      <c r="C232" s="156" t="str">
        <f t="array" ref="C232">IFERROR(INDEX($B$23:$B$293, MATCH(0, COUNTIF($C$22:C231, $B$23:$B$293&amp;"") + IF($B$23:$B$293="",1,0), 0)), "")</f>
        <v/>
      </c>
      <c r="D232" s="156" t="s">
        <v>7991</v>
      </c>
    </row>
    <row r="233" spans="1:4" s="9" customFormat="1" x14ac:dyDescent="0.25">
      <c r="A233" s="157" t="s">
        <v>8102</v>
      </c>
      <c r="B233" s="156" t="s">
        <v>7990</v>
      </c>
      <c r="C233" s="156" t="str">
        <f t="array" ref="C233">IFERROR(INDEX($B$23:$B$293, MATCH(0, COUNTIF($C$22:C232, $B$23:$B$293&amp;"") + IF($B$23:$B$293="",1,0), 0)), "")</f>
        <v/>
      </c>
      <c r="D233" s="156" t="s">
        <v>7991</v>
      </c>
    </row>
    <row r="234" spans="1:4" s="9" customFormat="1" x14ac:dyDescent="0.25">
      <c r="A234" s="157" t="s">
        <v>8103</v>
      </c>
      <c r="B234" s="156" t="s">
        <v>7990</v>
      </c>
      <c r="C234" s="156" t="str">
        <f t="array" ref="C234">IFERROR(INDEX($B$23:$B$293, MATCH(0, COUNTIF($C$22:C233, $B$23:$B$293&amp;"") + IF($B$23:$B$293="",1,0), 0)), "")</f>
        <v/>
      </c>
      <c r="D234" s="156" t="s">
        <v>7991</v>
      </c>
    </row>
    <row r="235" spans="1:4" s="9" customFormat="1" x14ac:dyDescent="0.25">
      <c r="A235" s="157" t="s">
        <v>8104</v>
      </c>
      <c r="B235" s="156" t="s">
        <v>8098</v>
      </c>
      <c r="C235" s="156" t="str">
        <f t="array" ref="C235">IFERROR(INDEX($B$23:$B$293, MATCH(0, COUNTIF($C$22:C234, $B$23:$B$293&amp;"") + IF($B$23:$B$293="",1,0), 0)), "")</f>
        <v/>
      </c>
      <c r="D235" s="156" t="s">
        <v>8099</v>
      </c>
    </row>
    <row r="236" spans="1:4" s="9" customFormat="1" x14ac:dyDescent="0.25">
      <c r="A236" s="157" t="s">
        <v>8105</v>
      </c>
      <c r="B236" s="156" t="s">
        <v>7990</v>
      </c>
      <c r="C236" s="156" t="str">
        <f t="array" ref="C236">IFERROR(INDEX($B$23:$B$293, MATCH(0, COUNTIF($C$22:C235, $B$23:$B$293&amp;"") + IF($B$23:$B$293="",1,0), 0)), "")</f>
        <v/>
      </c>
      <c r="D236" s="156" t="s">
        <v>7991</v>
      </c>
    </row>
    <row r="237" spans="1:4" s="9" customFormat="1" x14ac:dyDescent="0.25">
      <c r="A237" s="157" t="s">
        <v>8106</v>
      </c>
      <c r="B237" s="156" t="s">
        <v>7990</v>
      </c>
      <c r="C237" s="156" t="str">
        <f t="array" ref="C237">IFERROR(INDEX($B$23:$B$293, MATCH(0, COUNTIF($C$22:C236, $B$23:$B$293&amp;"") + IF($B$23:$B$293="",1,0), 0)), "")</f>
        <v/>
      </c>
      <c r="D237" s="156" t="s">
        <v>7991</v>
      </c>
    </row>
    <row r="238" spans="1:4" s="9" customFormat="1" x14ac:dyDescent="0.25">
      <c r="A238" s="157" t="s">
        <v>8107</v>
      </c>
      <c r="B238" s="156" t="s">
        <v>8098</v>
      </c>
      <c r="C238" s="156" t="str">
        <f t="array" ref="C238">IFERROR(INDEX($B$23:$B$293, MATCH(0, COUNTIF($C$22:C237, $B$23:$B$293&amp;"") + IF($B$23:$B$293="",1,0), 0)), "")</f>
        <v/>
      </c>
      <c r="D238" s="156" t="s">
        <v>8099</v>
      </c>
    </row>
    <row r="239" spans="1:4" s="9" customFormat="1" x14ac:dyDescent="0.25">
      <c r="A239" s="157" t="s">
        <v>8108</v>
      </c>
      <c r="B239" s="156" t="s">
        <v>7990</v>
      </c>
      <c r="C239" s="156" t="str">
        <f t="array" ref="C239">IFERROR(INDEX($B$23:$B$293, MATCH(0, COUNTIF($C$22:C238, $B$23:$B$293&amp;"") + IF($B$23:$B$293="",1,0), 0)), "")</f>
        <v/>
      </c>
      <c r="D239" s="156" t="s">
        <v>7991</v>
      </c>
    </row>
    <row r="240" spans="1:4" s="9" customFormat="1" x14ac:dyDescent="0.25">
      <c r="A240" s="157" t="s">
        <v>8109</v>
      </c>
      <c r="B240" s="156" t="s">
        <v>7990</v>
      </c>
      <c r="C240" s="156" t="str">
        <f t="array" ref="C240">IFERROR(INDEX($B$23:$B$293, MATCH(0, COUNTIF($C$22:C239, $B$23:$B$293&amp;"") + IF($B$23:$B$293="",1,0), 0)), "")</f>
        <v/>
      </c>
      <c r="D240" s="156" t="s">
        <v>7991</v>
      </c>
    </row>
    <row r="241" spans="1:4" s="9" customFormat="1" x14ac:dyDescent="0.25">
      <c r="A241" s="157" t="s">
        <v>8110</v>
      </c>
      <c r="B241" s="156" t="s">
        <v>8111</v>
      </c>
      <c r="C241" s="156" t="str">
        <f t="array" ref="C241">IFERROR(INDEX($B$23:$B$293, MATCH(0, COUNTIF($C$22:C240, $B$23:$B$293&amp;"") + IF($B$23:$B$293="",1,0), 0)), "")</f>
        <v/>
      </c>
      <c r="D241" s="156" t="s">
        <v>8112</v>
      </c>
    </row>
    <row r="242" spans="1:4" s="9" customFormat="1" x14ac:dyDescent="0.25">
      <c r="A242" s="157" t="s">
        <v>8113</v>
      </c>
      <c r="B242" s="156" t="s">
        <v>8114</v>
      </c>
      <c r="C242" s="156" t="str">
        <f t="array" ref="C242">IFERROR(INDEX($B$23:$B$293, MATCH(0, COUNTIF($C$22:C241, $B$23:$B$293&amp;"") + IF($B$23:$B$293="",1,0), 0)), "")</f>
        <v/>
      </c>
      <c r="D242" s="156" t="s">
        <v>8115</v>
      </c>
    </row>
    <row r="243" spans="1:4" s="9" customFormat="1" x14ac:dyDescent="0.25">
      <c r="A243" s="157" t="s">
        <v>8116</v>
      </c>
      <c r="B243" s="156" t="s">
        <v>8111</v>
      </c>
      <c r="C243" s="156" t="str">
        <f t="array" ref="C243">IFERROR(INDEX($B$23:$B$293, MATCH(0, COUNTIF($C$22:C242, $B$23:$B$293&amp;"") + IF($B$23:$B$293="",1,0), 0)), "")</f>
        <v/>
      </c>
      <c r="D243" s="156" t="s">
        <v>8112</v>
      </c>
    </row>
    <row r="244" spans="1:4" s="9" customFormat="1" x14ac:dyDescent="0.25">
      <c r="A244" s="157" t="s">
        <v>8117</v>
      </c>
      <c r="B244" s="156" t="s">
        <v>8114</v>
      </c>
      <c r="C244" s="156" t="str">
        <f t="array" ref="C244">IFERROR(INDEX($B$23:$B$293, MATCH(0, COUNTIF($C$22:C243, $B$23:$B$293&amp;"") + IF($B$23:$B$293="",1,0), 0)), "")</f>
        <v/>
      </c>
      <c r="D244" s="156" t="s">
        <v>8115</v>
      </c>
    </row>
    <row r="245" spans="1:4" s="9" customFormat="1" x14ac:dyDescent="0.25">
      <c r="A245" s="157" t="s">
        <v>8118</v>
      </c>
      <c r="B245" s="156" t="s">
        <v>8111</v>
      </c>
      <c r="C245" s="156" t="str">
        <f t="array" ref="C245">IFERROR(INDEX($B$23:$B$293, MATCH(0, COUNTIF($C$22:C244, $B$23:$B$293&amp;"") + IF($B$23:$B$293="",1,0), 0)), "")</f>
        <v/>
      </c>
      <c r="D245" s="156" t="s">
        <v>8112</v>
      </c>
    </row>
    <row r="246" spans="1:4" s="9" customFormat="1" x14ac:dyDescent="0.25">
      <c r="A246" s="157" t="s">
        <v>8119</v>
      </c>
      <c r="B246" s="156" t="s">
        <v>8114</v>
      </c>
      <c r="C246" s="156" t="str">
        <f t="array" ref="C246">IFERROR(INDEX($B$23:$B$293, MATCH(0, COUNTIF($C$22:C245, $B$23:$B$293&amp;"") + IF($B$23:$B$293="",1,0), 0)), "")</f>
        <v/>
      </c>
      <c r="D246" s="156" t="s">
        <v>8115</v>
      </c>
    </row>
    <row r="247" spans="1:4" s="9" customFormat="1" x14ac:dyDescent="0.25">
      <c r="A247" s="157" t="s">
        <v>8120</v>
      </c>
      <c r="B247" s="156" t="s">
        <v>8111</v>
      </c>
      <c r="C247" s="156" t="str">
        <f t="array" ref="C247">IFERROR(INDEX($B$23:$B$293, MATCH(0, COUNTIF($C$22:C246, $B$23:$B$293&amp;"") + IF($B$23:$B$293="",1,0), 0)), "")</f>
        <v/>
      </c>
      <c r="D247" s="156" t="s">
        <v>8112</v>
      </c>
    </row>
    <row r="248" spans="1:4" s="9" customFormat="1" x14ac:dyDescent="0.25">
      <c r="A248" s="157" t="s">
        <v>8121</v>
      </c>
      <c r="B248" s="156" t="s">
        <v>8111</v>
      </c>
      <c r="C248" s="156" t="str">
        <f t="array" ref="C248">IFERROR(INDEX($B$23:$B$293, MATCH(0, COUNTIF($C$22:C247, $B$23:$B$293&amp;"") + IF($B$23:$B$293="",1,0), 0)), "")</f>
        <v/>
      </c>
      <c r="D248" s="156" t="s">
        <v>8112</v>
      </c>
    </row>
    <row r="249" spans="1:4" s="9" customFormat="1" x14ac:dyDescent="0.25">
      <c r="A249" s="157" t="s">
        <v>8122</v>
      </c>
      <c r="B249" s="156" t="s">
        <v>8111</v>
      </c>
      <c r="C249" s="156" t="str">
        <f t="array" ref="C249">IFERROR(INDEX($B$23:$B$293, MATCH(0, COUNTIF($C$22:C248, $B$23:$B$293&amp;"") + IF($B$23:$B$293="",1,0), 0)), "")</f>
        <v/>
      </c>
      <c r="D249" s="156" t="s">
        <v>8112</v>
      </c>
    </row>
    <row r="250" spans="1:4" s="9" customFormat="1" x14ac:dyDescent="0.25">
      <c r="A250" s="157" t="s">
        <v>8123</v>
      </c>
      <c r="B250" s="156" t="s">
        <v>8114</v>
      </c>
      <c r="C250" s="156" t="str">
        <f t="array" ref="C250">IFERROR(INDEX($B$23:$B$293, MATCH(0, COUNTIF($C$22:C249, $B$23:$B$293&amp;"") + IF($B$23:$B$293="",1,0), 0)), "")</f>
        <v/>
      </c>
      <c r="D250" s="156" t="s">
        <v>8115</v>
      </c>
    </row>
    <row r="251" spans="1:4" s="9" customFormat="1" x14ac:dyDescent="0.25">
      <c r="A251" s="157" t="s">
        <v>8124</v>
      </c>
      <c r="B251" s="156" t="s">
        <v>8111</v>
      </c>
      <c r="C251" s="156" t="str">
        <f t="array" ref="C251">IFERROR(INDEX($B$23:$B$293, MATCH(0, COUNTIF($C$22:C250, $B$23:$B$293&amp;"") + IF($B$23:$B$293="",1,0), 0)), "")</f>
        <v/>
      </c>
      <c r="D251" s="156" t="s">
        <v>8112</v>
      </c>
    </row>
    <row r="252" spans="1:4" s="9" customFormat="1" x14ac:dyDescent="0.25">
      <c r="A252" s="157" t="s">
        <v>8125</v>
      </c>
      <c r="B252" s="156" t="s">
        <v>8114</v>
      </c>
      <c r="C252" s="156" t="str">
        <f t="array" ref="C252">IFERROR(INDEX($B$23:$B$293, MATCH(0, COUNTIF($C$22:C251, $B$23:$B$293&amp;"") + IF($B$23:$B$293="",1,0), 0)), "")</f>
        <v/>
      </c>
      <c r="D252" s="156" t="s">
        <v>8115</v>
      </c>
    </row>
    <row r="253" spans="1:4" s="9" customFormat="1" x14ac:dyDescent="0.25">
      <c r="A253" s="157" t="s">
        <v>8126</v>
      </c>
      <c r="B253" s="156" t="s">
        <v>8111</v>
      </c>
      <c r="C253" s="156" t="str">
        <f t="array" ref="C253">IFERROR(INDEX($B$23:$B$293, MATCH(0, COUNTIF($C$22:C252, $B$23:$B$293&amp;"") + IF($B$23:$B$293="",1,0), 0)), "")</f>
        <v/>
      </c>
      <c r="D253" s="156" t="s">
        <v>8112</v>
      </c>
    </row>
    <row r="254" spans="1:4" s="9" customFormat="1" x14ac:dyDescent="0.25">
      <c r="A254" s="157" t="s">
        <v>8127</v>
      </c>
      <c r="B254" s="156" t="s">
        <v>8114</v>
      </c>
      <c r="C254" s="156" t="str">
        <f t="array" ref="C254">IFERROR(INDEX($B$23:$B$293, MATCH(0, COUNTIF($C$22:C253, $B$23:$B$293&amp;"") + IF($B$23:$B$293="",1,0), 0)), "")</f>
        <v/>
      </c>
      <c r="D254" s="156" t="s">
        <v>8115</v>
      </c>
    </row>
    <row r="255" spans="1:4" s="9" customFormat="1" x14ac:dyDescent="0.25">
      <c r="A255" s="157" t="s">
        <v>8128</v>
      </c>
      <c r="B255" s="156" t="s">
        <v>8111</v>
      </c>
      <c r="C255" s="156" t="str">
        <f t="array" ref="C255">IFERROR(INDEX($B$23:$B$293, MATCH(0, COUNTIF($C$22:C254, $B$23:$B$293&amp;"") + IF($B$23:$B$293="",1,0), 0)), "")</f>
        <v/>
      </c>
      <c r="D255" s="156" t="s">
        <v>8112</v>
      </c>
    </row>
    <row r="256" spans="1:4" s="9" customFormat="1" x14ac:dyDescent="0.25">
      <c r="A256" s="157" t="s">
        <v>8129</v>
      </c>
      <c r="B256" s="156" t="s">
        <v>8111</v>
      </c>
      <c r="C256" s="156" t="str">
        <f t="array" ref="C256">IFERROR(INDEX($B$23:$B$293, MATCH(0, COUNTIF($C$22:C255, $B$23:$B$293&amp;"") + IF($B$23:$B$293="",1,0), 0)), "")</f>
        <v/>
      </c>
      <c r="D256" s="156" t="s">
        <v>8112</v>
      </c>
    </row>
    <row r="257" spans="1:4" s="9" customFormat="1" x14ac:dyDescent="0.25">
      <c r="A257" s="157" t="s">
        <v>8130</v>
      </c>
      <c r="B257" s="156" t="s">
        <v>8111</v>
      </c>
      <c r="C257" s="156" t="str">
        <f t="array" ref="C257">IFERROR(INDEX($B$23:$B$293, MATCH(0, COUNTIF($C$22:C256, $B$23:$B$293&amp;"") + IF($B$23:$B$293="",1,0), 0)), "")</f>
        <v/>
      </c>
      <c r="D257" s="156" t="s">
        <v>8112</v>
      </c>
    </row>
    <row r="258" spans="1:4" s="9" customFormat="1" x14ac:dyDescent="0.25">
      <c r="A258" s="157" t="s">
        <v>8131</v>
      </c>
      <c r="B258" s="156" t="s">
        <v>8114</v>
      </c>
      <c r="C258" s="156" t="str">
        <f t="array" ref="C258">IFERROR(INDEX($B$23:$B$293, MATCH(0, COUNTIF($C$22:C257, $B$23:$B$293&amp;"") + IF($B$23:$B$293="",1,0), 0)), "")</f>
        <v/>
      </c>
      <c r="D258" s="156" t="s">
        <v>8115</v>
      </c>
    </row>
    <row r="259" spans="1:4" s="9" customFormat="1" x14ac:dyDescent="0.25">
      <c r="A259" s="157" t="s">
        <v>8132</v>
      </c>
      <c r="B259" s="156" t="s">
        <v>8111</v>
      </c>
      <c r="C259" s="156" t="str">
        <f t="array" ref="C259">IFERROR(INDEX($B$23:$B$293, MATCH(0, COUNTIF($C$22:C258, $B$23:$B$293&amp;"") + IF($B$23:$B$293="",1,0), 0)), "")</f>
        <v/>
      </c>
      <c r="D259" s="156" t="s">
        <v>8112</v>
      </c>
    </row>
    <row r="260" spans="1:4" s="9" customFormat="1" x14ac:dyDescent="0.25">
      <c r="A260" s="157" t="s">
        <v>8133</v>
      </c>
      <c r="B260" s="156" t="s">
        <v>8114</v>
      </c>
      <c r="C260" s="156" t="str">
        <f t="array" ref="C260">IFERROR(INDEX($B$23:$B$293, MATCH(0, COUNTIF($C$22:C259, $B$23:$B$293&amp;"") + IF($B$23:$B$293="",1,0), 0)), "")</f>
        <v/>
      </c>
      <c r="D260" s="156" t="s">
        <v>8115</v>
      </c>
    </row>
    <row r="261" spans="1:4" s="9" customFormat="1" x14ac:dyDescent="0.25">
      <c r="A261" s="157" t="s">
        <v>8134</v>
      </c>
      <c r="B261" s="156" t="s">
        <v>7824</v>
      </c>
      <c r="C261" s="156" t="str">
        <f t="array" ref="C261">IFERROR(INDEX($B$23:$B$293, MATCH(0, COUNTIF($C$22:C260, $B$23:$B$293&amp;"") + IF($B$23:$B$293="",1,0), 0)), "")</f>
        <v/>
      </c>
      <c r="D261" s="156" t="s">
        <v>8135</v>
      </c>
    </row>
    <row r="262" spans="1:4" s="9" customFormat="1" x14ac:dyDescent="0.25">
      <c r="A262" s="157" t="s">
        <v>8136</v>
      </c>
      <c r="B262" s="156" t="s">
        <v>7824</v>
      </c>
      <c r="C262" s="156" t="str">
        <f t="array" ref="C262">IFERROR(INDEX($B$23:$B$293, MATCH(0, COUNTIF($C$22:C261, $B$23:$B$293&amp;"") + IF($B$23:$B$293="",1,0), 0)), "")</f>
        <v/>
      </c>
      <c r="D262" s="156" t="s">
        <v>8135</v>
      </c>
    </row>
    <row r="263" spans="1:4" s="9" customFormat="1" x14ac:dyDescent="0.25">
      <c r="A263" s="157" t="s">
        <v>8137</v>
      </c>
      <c r="B263" s="156" t="s">
        <v>7824</v>
      </c>
      <c r="C263" s="156" t="str">
        <f t="array" ref="C263">IFERROR(INDEX($B$23:$B$293, MATCH(0, COUNTIF($C$22:C262, $B$23:$B$293&amp;"") + IF($B$23:$B$293="",1,0), 0)), "")</f>
        <v/>
      </c>
      <c r="D263" s="156" t="s">
        <v>8135</v>
      </c>
    </row>
    <row r="264" spans="1:4" s="9" customFormat="1" x14ac:dyDescent="0.25">
      <c r="A264" s="157" t="s">
        <v>8138</v>
      </c>
      <c r="B264" s="156" t="s">
        <v>7824</v>
      </c>
      <c r="C264" s="156" t="str">
        <f t="array" ref="C264">IFERROR(INDEX($B$23:$B$293, MATCH(0, COUNTIF($C$22:C263, $B$23:$B$293&amp;"") + IF($B$23:$B$293="",1,0), 0)), "")</f>
        <v/>
      </c>
      <c r="D264" s="156" t="s">
        <v>8135</v>
      </c>
    </row>
    <row r="265" spans="1:4" s="9" customFormat="1" x14ac:dyDescent="0.25">
      <c r="A265" s="157" t="s">
        <v>8139</v>
      </c>
      <c r="B265" s="156" t="s">
        <v>8140</v>
      </c>
      <c r="C265" s="156" t="str">
        <f t="array" ref="C265">IFERROR(INDEX($B$23:$B$293, MATCH(0, COUNTIF($C$22:C264, $B$23:$B$293&amp;"") + IF($B$23:$B$293="",1,0), 0)), "")</f>
        <v/>
      </c>
      <c r="D265" s="156" t="s">
        <v>8141</v>
      </c>
    </row>
    <row r="266" spans="1:4" s="9" customFormat="1" x14ac:dyDescent="0.25">
      <c r="A266" s="157" t="s">
        <v>8142</v>
      </c>
      <c r="B266" s="156" t="s">
        <v>7824</v>
      </c>
      <c r="C266" s="156" t="str">
        <f t="array" ref="C266">IFERROR(INDEX($B$23:$B$293, MATCH(0, COUNTIF($C$22:C265, $B$23:$B$293&amp;"") + IF($B$23:$B$293="",1,0), 0)), "")</f>
        <v/>
      </c>
      <c r="D266" s="156" t="s">
        <v>8135</v>
      </c>
    </row>
    <row r="267" spans="1:4" s="9" customFormat="1" x14ac:dyDescent="0.25">
      <c r="A267" s="157" t="s">
        <v>8143</v>
      </c>
      <c r="B267" s="156" t="s">
        <v>7824</v>
      </c>
      <c r="C267" s="156" t="str">
        <f t="array" ref="C267">IFERROR(INDEX($B$23:$B$293, MATCH(0, COUNTIF($C$22:C266, $B$23:$B$293&amp;"") + IF($B$23:$B$293="",1,0), 0)), "")</f>
        <v/>
      </c>
      <c r="D267" s="156" t="s">
        <v>8135</v>
      </c>
    </row>
    <row r="268" spans="1:4" s="9" customFormat="1" x14ac:dyDescent="0.25">
      <c r="A268" s="157" t="s">
        <v>8144</v>
      </c>
      <c r="B268" s="156" t="s">
        <v>7824</v>
      </c>
      <c r="C268" s="156" t="str">
        <f t="array" ref="C268">IFERROR(INDEX($B$23:$B$293, MATCH(0, COUNTIF($C$22:C267, $B$23:$B$293&amp;"") + IF($B$23:$B$293="",1,0), 0)), "")</f>
        <v/>
      </c>
      <c r="D268" s="156" t="s">
        <v>8135</v>
      </c>
    </row>
    <row r="269" spans="1:4" s="9" customFormat="1" x14ac:dyDescent="0.25">
      <c r="A269" s="157" t="s">
        <v>8145</v>
      </c>
      <c r="B269" s="156" t="s">
        <v>7824</v>
      </c>
      <c r="C269" s="156" t="str">
        <f t="array" ref="C269">IFERROR(INDEX($B$23:$B$293, MATCH(0, COUNTIF($C$22:C268, $B$23:$B$293&amp;"") + IF($B$23:$B$293="",1,0), 0)), "")</f>
        <v/>
      </c>
      <c r="D269" s="156" t="s">
        <v>8135</v>
      </c>
    </row>
    <row r="270" spans="1:4" s="9" customFormat="1" x14ac:dyDescent="0.25">
      <c r="A270" s="157" t="s">
        <v>8146</v>
      </c>
      <c r="B270" s="156" t="s">
        <v>8140</v>
      </c>
      <c r="C270" s="156" t="str">
        <f t="array" ref="C270">IFERROR(INDEX($B$23:$B$293, MATCH(0, COUNTIF($C$22:C269, $B$23:$B$293&amp;"") + IF($B$23:$B$293="",1,0), 0)), "")</f>
        <v/>
      </c>
      <c r="D270" s="156" t="s">
        <v>8141</v>
      </c>
    </row>
    <row r="271" spans="1:4" s="9" customFormat="1" x14ac:dyDescent="0.25">
      <c r="A271" s="157" t="s">
        <v>8147</v>
      </c>
      <c r="B271" s="156" t="s">
        <v>8140</v>
      </c>
      <c r="C271" s="156" t="str">
        <f t="array" ref="C271">IFERROR(INDEX($B$23:$B$293, MATCH(0, COUNTIF($C$22:C270, $B$23:$B$293&amp;"") + IF($B$23:$B$293="",1,0), 0)), "")</f>
        <v/>
      </c>
      <c r="D271" s="156" t="s">
        <v>8141</v>
      </c>
    </row>
    <row r="272" spans="1:4" s="9" customFormat="1" x14ac:dyDescent="0.25">
      <c r="A272" s="157" t="s">
        <v>8148</v>
      </c>
      <c r="B272" s="156" t="s">
        <v>7824</v>
      </c>
      <c r="C272" s="156" t="str">
        <f t="array" ref="C272">IFERROR(INDEX($B$23:$B$293, MATCH(0, COUNTIF($C$22:C271, $B$23:$B$293&amp;"") + IF($B$23:$B$293="",1,0), 0)), "")</f>
        <v/>
      </c>
      <c r="D272" s="156" t="s">
        <v>8135</v>
      </c>
    </row>
    <row r="273" spans="1:4" s="9" customFormat="1" x14ac:dyDescent="0.25">
      <c r="A273" s="157" t="s">
        <v>8149</v>
      </c>
      <c r="B273" s="156" t="s">
        <v>8140</v>
      </c>
      <c r="C273" s="156" t="str">
        <f t="array" ref="C273">IFERROR(INDEX($B$23:$B$293, MATCH(0, COUNTIF($C$22:C272, $B$23:$B$293&amp;"") + IF($B$23:$B$293="",1,0), 0)), "")</f>
        <v/>
      </c>
      <c r="D273" s="156" t="s">
        <v>8141</v>
      </c>
    </row>
    <row r="274" spans="1:4" s="9" customFormat="1" x14ac:dyDescent="0.25">
      <c r="A274" s="157" t="s">
        <v>8150</v>
      </c>
      <c r="B274" s="156" t="s">
        <v>8151</v>
      </c>
      <c r="C274" s="156" t="str">
        <f t="array" ref="C274">IFERROR(INDEX($B$23:$B$293, MATCH(0, COUNTIF($C$22:C273, $B$23:$B$293&amp;"") + IF($B$23:$B$293="",1,0), 0)), "")</f>
        <v/>
      </c>
      <c r="D274" s="156" t="s">
        <v>8152</v>
      </c>
    </row>
    <row r="275" spans="1:4" s="9" customFormat="1" x14ac:dyDescent="0.25">
      <c r="A275" s="157" t="s">
        <v>8153</v>
      </c>
      <c r="B275" s="156" t="s">
        <v>8154</v>
      </c>
      <c r="C275" s="156" t="str">
        <f t="array" ref="C275">IFERROR(INDEX($B$23:$B$293, MATCH(0, COUNTIF($C$22:C274, $B$23:$B$293&amp;"") + IF($B$23:$B$293="",1,0), 0)), "")</f>
        <v/>
      </c>
      <c r="D275" s="156" t="s">
        <v>8155</v>
      </c>
    </row>
    <row r="276" spans="1:4" s="9" customFormat="1" x14ac:dyDescent="0.25">
      <c r="A276" s="157" t="s">
        <v>8156</v>
      </c>
      <c r="B276" s="156" t="s">
        <v>4020</v>
      </c>
      <c r="C276" s="156" t="str">
        <f t="array" ref="C276">IFERROR(INDEX($B$23:$B$293, MATCH(0, COUNTIF($C$22:C275, $B$23:$B$293&amp;"") + IF($B$23:$B$293="",1,0), 0)), "")</f>
        <v/>
      </c>
      <c r="D276" s="156" t="s">
        <v>4021</v>
      </c>
    </row>
    <row r="277" spans="1:4" s="9" customFormat="1" x14ac:dyDescent="0.25">
      <c r="A277" s="157" t="s">
        <v>8157</v>
      </c>
      <c r="B277" s="156" t="s">
        <v>8158</v>
      </c>
      <c r="C277" s="156" t="str">
        <f t="array" ref="C277">IFERROR(INDEX($B$23:$B$293, MATCH(0, COUNTIF($C$22:C276, $B$23:$B$293&amp;"") + IF($B$23:$B$293="",1,0), 0)), "")</f>
        <v/>
      </c>
      <c r="D277" s="156" t="s">
        <v>8159</v>
      </c>
    </row>
    <row r="278" spans="1:4" s="9" customFormat="1" x14ac:dyDescent="0.25">
      <c r="A278" s="157" t="s">
        <v>8160</v>
      </c>
      <c r="B278" s="156" t="s">
        <v>8161</v>
      </c>
      <c r="C278" s="156" t="str">
        <f t="array" ref="C278">IFERROR(INDEX($B$23:$B$293, MATCH(0, COUNTIF($C$22:C277, $B$23:$B$293&amp;"") + IF($B$23:$B$293="",1,0), 0)), "")</f>
        <v/>
      </c>
      <c r="D278" s="156" t="s">
        <v>8162</v>
      </c>
    </row>
    <row r="279" spans="1:4" s="9" customFormat="1" x14ac:dyDescent="0.25">
      <c r="A279" s="157" t="s">
        <v>8163</v>
      </c>
      <c r="B279" s="156" t="s">
        <v>8151</v>
      </c>
      <c r="C279" s="156" t="str">
        <f t="array" ref="C279">IFERROR(INDEX($B$23:$B$293, MATCH(0, COUNTIF($C$22:C278, $B$23:$B$293&amp;"") + IF($B$23:$B$293="",1,0), 0)), "")</f>
        <v/>
      </c>
      <c r="D279" s="156" t="s">
        <v>8152</v>
      </c>
    </row>
    <row r="280" spans="1:4" s="9" customFormat="1" x14ac:dyDescent="0.25">
      <c r="A280" s="157" t="s">
        <v>8164</v>
      </c>
      <c r="B280" s="156" t="s">
        <v>8154</v>
      </c>
      <c r="C280" s="156" t="str">
        <f t="array" ref="C280">IFERROR(INDEX($B$23:$B$293, MATCH(0, COUNTIF($C$22:C279, $B$23:$B$293&amp;"") + IF($B$23:$B$293="",1,0), 0)), "")</f>
        <v/>
      </c>
      <c r="D280" s="156" t="s">
        <v>8155</v>
      </c>
    </row>
    <row r="281" spans="1:4" s="9" customFormat="1" x14ac:dyDescent="0.25">
      <c r="A281" s="157" t="s">
        <v>8165</v>
      </c>
      <c r="B281" s="156" t="s">
        <v>8166</v>
      </c>
      <c r="C281" s="156" t="str">
        <f t="array" ref="C281">IFERROR(INDEX($B$23:$B$293, MATCH(0, COUNTIF($C$22:C280, $B$23:$B$293&amp;"") + IF($B$23:$B$293="",1,0), 0)), "")</f>
        <v/>
      </c>
      <c r="D281" s="156" t="s">
        <v>8167</v>
      </c>
    </row>
    <row r="282" spans="1:4" s="9" customFormat="1" x14ac:dyDescent="0.25">
      <c r="A282" s="157" t="s">
        <v>8168</v>
      </c>
      <c r="B282" s="156" t="s">
        <v>8169</v>
      </c>
      <c r="C282" s="156" t="str">
        <f t="array" ref="C282">IFERROR(INDEX($B$23:$B$293, MATCH(0, COUNTIF($C$22:C281, $B$23:$B$293&amp;"") + IF($B$23:$B$293="",1,0), 0)), "")</f>
        <v/>
      </c>
      <c r="D282" s="156" t="s">
        <v>8170</v>
      </c>
    </row>
    <row r="283" spans="1:4" s="9" customFormat="1" x14ac:dyDescent="0.25">
      <c r="A283" s="157" t="s">
        <v>8171</v>
      </c>
      <c r="B283" s="156" t="s">
        <v>8161</v>
      </c>
      <c r="C283" s="156" t="str">
        <f t="array" ref="C283">IFERROR(INDEX($B$23:$B$293, MATCH(0, COUNTIF($C$22:C282, $B$23:$B$293&amp;"") + IF($B$23:$B$293="",1,0), 0)), "")</f>
        <v/>
      </c>
      <c r="D283" s="156" t="s">
        <v>8162</v>
      </c>
    </row>
    <row r="284" spans="1:4" s="9" customFormat="1" x14ac:dyDescent="0.25">
      <c r="A284" s="157" t="s">
        <v>8172</v>
      </c>
      <c r="B284" s="156" t="s">
        <v>4020</v>
      </c>
      <c r="C284" s="156" t="str">
        <f t="array" ref="C284">IFERROR(INDEX($B$23:$B$293, MATCH(0, COUNTIF($C$22:C283, $B$23:$B$293&amp;"") + IF($B$23:$B$293="",1,0), 0)), "")</f>
        <v/>
      </c>
      <c r="D284" s="156" t="s">
        <v>4021</v>
      </c>
    </row>
    <row r="285" spans="1:4" s="9" customFormat="1" x14ac:dyDescent="0.25">
      <c r="A285" s="157" t="s">
        <v>8173</v>
      </c>
      <c r="B285" s="156" t="s">
        <v>8174</v>
      </c>
      <c r="C285" s="156" t="str">
        <f t="array" ref="C285">IFERROR(INDEX($B$23:$B$293, MATCH(0, COUNTIF($C$22:C284, $B$23:$B$293&amp;"") + IF($B$23:$B$293="",1,0), 0)), "")</f>
        <v/>
      </c>
      <c r="D285" s="156" t="s">
        <v>8175</v>
      </c>
    </row>
    <row r="286" spans="1:4" s="9" customFormat="1" x14ac:dyDescent="0.25">
      <c r="A286" s="157" t="s">
        <v>8176</v>
      </c>
      <c r="B286" s="156" t="s">
        <v>8158</v>
      </c>
      <c r="C286" s="156" t="str">
        <f t="array" ref="C286">IFERROR(INDEX($B$23:$B$293, MATCH(0, COUNTIF($C$22:C285, $B$23:$B$293&amp;"") + IF($B$23:$B$293="",1,0), 0)), "")</f>
        <v/>
      </c>
      <c r="D286" s="156" t="s">
        <v>8159</v>
      </c>
    </row>
    <row r="287" spans="1:4" s="9" customFormat="1" x14ac:dyDescent="0.25">
      <c r="A287" s="157" t="s">
        <v>8177</v>
      </c>
      <c r="B287" s="156" t="s">
        <v>8154</v>
      </c>
      <c r="C287" s="156" t="str">
        <f t="array" ref="C287">IFERROR(INDEX($B$23:$B$293, MATCH(0, COUNTIF($C$22:C286, $B$23:$B$293&amp;"") + IF($B$23:$B$293="",1,0), 0)), "")</f>
        <v/>
      </c>
      <c r="D287" s="156" t="s">
        <v>8155</v>
      </c>
    </row>
    <row r="288" spans="1:4" s="9" customFormat="1" x14ac:dyDescent="0.25">
      <c r="A288" s="157" t="s">
        <v>8178</v>
      </c>
      <c r="B288" s="156" t="s">
        <v>4020</v>
      </c>
      <c r="C288" s="156" t="str">
        <f t="array" ref="C288">IFERROR(INDEX($B$23:$B$293, MATCH(0, COUNTIF($C$22:C287, $B$23:$B$293&amp;"") + IF($B$23:$B$293="",1,0), 0)), "")</f>
        <v/>
      </c>
      <c r="D288" s="156" t="s">
        <v>4021</v>
      </c>
    </row>
    <row r="289" spans="1:4" s="9" customFormat="1" x14ac:dyDescent="0.25">
      <c r="A289" s="157" t="s">
        <v>8179</v>
      </c>
      <c r="B289" s="156" t="s">
        <v>8161</v>
      </c>
      <c r="C289" s="156" t="str">
        <f t="array" ref="C289">IFERROR(INDEX($B$23:$B$293, MATCH(0, COUNTIF($C$22:C288, $B$23:$B$293&amp;"") + IF($B$23:$B$293="",1,0), 0)), "")</f>
        <v/>
      </c>
      <c r="D289" s="156" t="s">
        <v>8162</v>
      </c>
    </row>
    <row r="290" spans="1:4" s="9" customFormat="1" x14ac:dyDescent="0.25">
      <c r="A290" s="157" t="s">
        <v>8180</v>
      </c>
      <c r="B290" s="156" t="s">
        <v>8158</v>
      </c>
      <c r="C290" s="156" t="str">
        <f t="array" ref="C290">IFERROR(INDEX($B$23:$B$293, MATCH(0, COUNTIF($C$22:C289, $B$23:$B$293&amp;"") + IF($B$23:$B$293="",1,0), 0)), "")</f>
        <v/>
      </c>
      <c r="D290" s="156" t="s">
        <v>8159</v>
      </c>
    </row>
    <row r="291" spans="1:4" s="9" customFormat="1" x14ac:dyDescent="0.25">
      <c r="A291" s="157" t="s">
        <v>8181</v>
      </c>
      <c r="B291" s="156" t="s">
        <v>8151</v>
      </c>
      <c r="C291" s="156" t="str">
        <f t="array" ref="C291">IFERROR(INDEX($B$23:$B$293, MATCH(0, COUNTIF($C$22:C290, $B$23:$B$293&amp;"") + IF($B$23:$B$293="",1,0), 0)), "")</f>
        <v/>
      </c>
      <c r="D291" s="156" t="s">
        <v>8152</v>
      </c>
    </row>
    <row r="292" spans="1:4" s="9" customFormat="1" x14ac:dyDescent="0.25">
      <c r="A292" s="157" t="s">
        <v>8182</v>
      </c>
      <c r="B292" s="156" t="s">
        <v>8151</v>
      </c>
      <c r="C292" s="156" t="str">
        <f t="array" ref="C292">IFERROR(INDEX($B$23:$B$293, MATCH(0, COUNTIF($C$22:C291, $B$23:$B$293&amp;"") + IF($B$23:$B$293="",1,0), 0)), "")</f>
        <v/>
      </c>
      <c r="D292" s="156" t="s">
        <v>8152</v>
      </c>
    </row>
    <row r="296" spans="1:4" x14ac:dyDescent="0.25">
      <c r="B296" s="8"/>
    </row>
    <row r="297" spans="1:4" x14ac:dyDescent="0.25">
      <c r="A297" s="9"/>
      <c r="B297" s="8"/>
    </row>
    <row r="298" spans="1:4" x14ac:dyDescent="0.25">
      <c r="A298" s="9"/>
      <c r="B298" s="8"/>
    </row>
    <row r="299" spans="1:4" x14ac:dyDescent="0.25">
      <c r="A299" s="9"/>
      <c r="B299" s="8"/>
    </row>
    <row r="300" spans="1:4" x14ac:dyDescent="0.25">
      <c r="A300" s="9"/>
      <c r="B300" s="8"/>
    </row>
    <row r="301" spans="1:4" x14ac:dyDescent="0.25">
      <c r="A301" s="9"/>
      <c r="B301" s="8"/>
    </row>
    <row r="302" spans="1:4" x14ac:dyDescent="0.25">
      <c r="A302" s="9"/>
      <c r="B302" s="8"/>
    </row>
    <row r="303" spans="1:4" x14ac:dyDescent="0.25">
      <c r="A303" s="9"/>
      <c r="B303" s="8"/>
    </row>
    <row r="304" spans="1:4" x14ac:dyDescent="0.25">
      <c r="A304" s="9"/>
      <c r="B304" s="8"/>
    </row>
    <row r="305" spans="1:2" x14ac:dyDescent="0.25">
      <c r="A305" s="9"/>
      <c r="B305" s="8"/>
    </row>
    <row r="306" spans="1:2" x14ac:dyDescent="0.25">
      <c r="A306" s="9"/>
      <c r="B306" s="8"/>
    </row>
    <row r="307" spans="1:2" x14ac:dyDescent="0.25">
      <c r="A307" s="9"/>
      <c r="B307" s="8"/>
    </row>
    <row r="308" spans="1:2" x14ac:dyDescent="0.25">
      <c r="A308" s="9"/>
      <c r="B308" s="8"/>
    </row>
    <row r="309" spans="1:2" x14ac:dyDescent="0.25">
      <c r="A309" s="9"/>
      <c r="B309" s="8"/>
    </row>
    <row r="310" spans="1:2" x14ac:dyDescent="0.25">
      <c r="A310" s="9"/>
      <c r="B310" s="8"/>
    </row>
    <row r="311" spans="1:2" x14ac:dyDescent="0.25">
      <c r="A311" s="9"/>
      <c r="B311" s="8"/>
    </row>
    <row r="312" spans="1:2" x14ac:dyDescent="0.25">
      <c r="A312" s="9"/>
      <c r="B312" s="8"/>
    </row>
    <row r="313" spans="1:2" x14ac:dyDescent="0.25">
      <c r="A313" s="9"/>
      <c r="B313" s="8"/>
    </row>
    <row r="314" spans="1:2" x14ac:dyDescent="0.25">
      <c r="A314" s="9"/>
      <c r="B314" s="8"/>
    </row>
    <row r="315" spans="1:2" x14ac:dyDescent="0.25">
      <c r="A315" s="9"/>
      <c r="B315" s="8"/>
    </row>
    <row r="316" spans="1:2" x14ac:dyDescent="0.25">
      <c r="A316" s="9"/>
      <c r="B316" s="8"/>
    </row>
    <row r="317" spans="1:2" x14ac:dyDescent="0.25">
      <c r="A317" s="9"/>
      <c r="B317" s="8"/>
    </row>
    <row r="318" spans="1:2" x14ac:dyDescent="0.25">
      <c r="A318" s="9"/>
      <c r="B318" s="8"/>
    </row>
    <row r="319" spans="1:2" x14ac:dyDescent="0.25">
      <c r="A319" s="9"/>
      <c r="B319" s="8"/>
    </row>
    <row r="320" spans="1:2" x14ac:dyDescent="0.25">
      <c r="A320" s="9"/>
      <c r="B320" s="8"/>
    </row>
    <row r="321" spans="1:2" x14ac:dyDescent="0.25">
      <c r="A321" s="9"/>
      <c r="B321" s="8"/>
    </row>
    <row r="322" spans="1:2" x14ac:dyDescent="0.25">
      <c r="A322" s="9"/>
      <c r="B322" s="8"/>
    </row>
    <row r="323" spans="1:2" x14ac:dyDescent="0.25">
      <c r="A323" s="9"/>
      <c r="B323" s="8"/>
    </row>
    <row r="324" spans="1:2" x14ac:dyDescent="0.25">
      <c r="A324" s="9"/>
      <c r="B324" s="8"/>
    </row>
    <row r="325" spans="1:2" x14ac:dyDescent="0.25">
      <c r="A325" s="9"/>
      <c r="B325" s="8"/>
    </row>
    <row r="326" spans="1:2" x14ac:dyDescent="0.25">
      <c r="A326" s="9"/>
      <c r="B326" s="8"/>
    </row>
    <row r="327" spans="1:2" x14ac:dyDescent="0.25">
      <c r="A327" s="9"/>
      <c r="B327" s="8"/>
    </row>
    <row r="328" spans="1:2" x14ac:dyDescent="0.25">
      <c r="A328" s="9"/>
      <c r="B328" s="8"/>
    </row>
    <row r="329" spans="1:2" x14ac:dyDescent="0.25">
      <c r="A329" s="9"/>
      <c r="B329" s="8"/>
    </row>
    <row r="330" spans="1:2" x14ac:dyDescent="0.25">
      <c r="A330" s="9"/>
      <c r="B330" s="8"/>
    </row>
    <row r="331" spans="1:2" x14ac:dyDescent="0.25">
      <c r="A331" s="9"/>
      <c r="B331" s="8"/>
    </row>
    <row r="332" spans="1:2" x14ac:dyDescent="0.25">
      <c r="A332" s="9"/>
      <c r="B332" s="8"/>
    </row>
    <row r="333" spans="1:2" x14ac:dyDescent="0.25">
      <c r="A333" s="9"/>
      <c r="B333" s="8"/>
    </row>
    <row r="334" spans="1:2" x14ac:dyDescent="0.25">
      <c r="A334" s="9"/>
      <c r="B334" s="8"/>
    </row>
    <row r="335" spans="1:2" x14ac:dyDescent="0.25">
      <c r="A335" s="9"/>
      <c r="B335" s="8"/>
    </row>
    <row r="336" spans="1:2" x14ac:dyDescent="0.25">
      <c r="A336" s="9"/>
      <c r="B336" s="8"/>
    </row>
    <row r="337" spans="1:2" x14ac:dyDescent="0.25">
      <c r="A337" s="9"/>
      <c r="B337" s="8"/>
    </row>
    <row r="338" spans="1:2" x14ac:dyDescent="0.25">
      <c r="A338" s="9"/>
      <c r="B338" s="8"/>
    </row>
    <row r="339" spans="1:2" x14ac:dyDescent="0.25">
      <c r="A339" s="9"/>
      <c r="B339" s="8"/>
    </row>
    <row r="340" spans="1:2" x14ac:dyDescent="0.25">
      <c r="A340" s="9"/>
      <c r="B340" s="8"/>
    </row>
    <row r="341" spans="1:2" x14ac:dyDescent="0.25">
      <c r="A341" s="9"/>
      <c r="B341" s="8"/>
    </row>
    <row r="342" spans="1:2" x14ac:dyDescent="0.25">
      <c r="A342" s="9"/>
      <c r="B342" s="8"/>
    </row>
    <row r="343" spans="1:2" x14ac:dyDescent="0.25">
      <c r="A343" s="9"/>
      <c r="B343" s="8"/>
    </row>
    <row r="344" spans="1:2" x14ac:dyDescent="0.25">
      <c r="A344" s="9"/>
      <c r="B344" s="8"/>
    </row>
    <row r="345" spans="1:2" x14ac:dyDescent="0.25">
      <c r="A345" s="9"/>
      <c r="B345" s="8"/>
    </row>
    <row r="346" spans="1:2" x14ac:dyDescent="0.25">
      <c r="A346" s="9"/>
      <c r="B346" s="8"/>
    </row>
    <row r="347" spans="1:2" x14ac:dyDescent="0.25">
      <c r="A347" s="9"/>
      <c r="B347" s="8"/>
    </row>
    <row r="348" spans="1:2" x14ac:dyDescent="0.25">
      <c r="A348" s="9"/>
      <c r="B348" s="8"/>
    </row>
    <row r="349" spans="1:2" x14ac:dyDescent="0.25">
      <c r="A349" s="9"/>
      <c r="B349" s="8"/>
    </row>
    <row r="350" spans="1:2" x14ac:dyDescent="0.25">
      <c r="A350" s="9"/>
      <c r="B350" s="8"/>
    </row>
    <row r="351" spans="1:2" x14ac:dyDescent="0.25">
      <c r="A351" s="9"/>
      <c r="B351" s="8"/>
    </row>
    <row r="352" spans="1:2" x14ac:dyDescent="0.25">
      <c r="A352" s="9"/>
      <c r="B352" s="8"/>
    </row>
    <row r="353" spans="1:2" x14ac:dyDescent="0.25">
      <c r="A353" s="9"/>
      <c r="B353" s="8"/>
    </row>
    <row r="354" spans="1:2" x14ac:dyDescent="0.25">
      <c r="A354" s="9"/>
      <c r="B354" s="8"/>
    </row>
    <row r="355" spans="1:2" x14ac:dyDescent="0.25">
      <c r="A355" s="9"/>
      <c r="B355" s="8"/>
    </row>
    <row r="356" spans="1:2" x14ac:dyDescent="0.25">
      <c r="A356" s="9"/>
      <c r="B356" s="8"/>
    </row>
    <row r="357" spans="1:2" x14ac:dyDescent="0.25">
      <c r="A357" s="9"/>
      <c r="B357" s="8"/>
    </row>
    <row r="358" spans="1:2" x14ac:dyDescent="0.25">
      <c r="A358" s="9"/>
      <c r="B358" s="8"/>
    </row>
    <row r="359" spans="1:2" x14ac:dyDescent="0.25">
      <c r="A359" s="9"/>
      <c r="B359" s="8"/>
    </row>
    <row r="360" spans="1:2" x14ac:dyDescent="0.25">
      <c r="A360" s="9"/>
      <c r="B360" s="8"/>
    </row>
    <row r="361" spans="1:2" x14ac:dyDescent="0.25">
      <c r="A361" s="9"/>
      <c r="B361" s="8"/>
    </row>
    <row r="362" spans="1:2" x14ac:dyDescent="0.25">
      <c r="A362" s="9"/>
      <c r="B362" s="8"/>
    </row>
    <row r="363" spans="1:2" x14ac:dyDescent="0.25">
      <c r="A363" s="9"/>
      <c r="B363" s="8"/>
    </row>
    <row r="364" spans="1:2" x14ac:dyDescent="0.25">
      <c r="A364" s="9"/>
      <c r="B364" s="8"/>
    </row>
    <row r="365" spans="1:2" x14ac:dyDescent="0.25">
      <c r="A365" s="9"/>
      <c r="B365" s="8"/>
    </row>
    <row r="366" spans="1:2" x14ac:dyDescent="0.25">
      <c r="A366" s="9"/>
      <c r="B366" s="8"/>
    </row>
    <row r="367" spans="1:2" x14ac:dyDescent="0.25">
      <c r="A367" s="9"/>
      <c r="B367" s="8"/>
    </row>
    <row r="368" spans="1:2" x14ac:dyDescent="0.25">
      <c r="A368" s="9"/>
      <c r="B368" s="8"/>
    </row>
    <row r="369" spans="1:2" x14ac:dyDescent="0.25">
      <c r="A369" s="9"/>
      <c r="B369" s="8"/>
    </row>
    <row r="370" spans="1:2" x14ac:dyDescent="0.25">
      <c r="A370" s="9"/>
      <c r="B370" s="8"/>
    </row>
    <row r="371" spans="1:2" x14ac:dyDescent="0.25">
      <c r="A371" s="9"/>
      <c r="B371" s="8"/>
    </row>
    <row r="372" spans="1:2" x14ac:dyDescent="0.25">
      <c r="A372" s="9"/>
      <c r="B372" s="8"/>
    </row>
    <row r="373" spans="1:2" x14ac:dyDescent="0.25">
      <c r="A373" s="9"/>
      <c r="B373" s="8"/>
    </row>
    <row r="374" spans="1:2" x14ac:dyDescent="0.25">
      <c r="A374" s="9"/>
      <c r="B374" s="8"/>
    </row>
    <row r="375" spans="1:2" x14ac:dyDescent="0.25">
      <c r="A375" s="9"/>
      <c r="B375" s="8"/>
    </row>
    <row r="376" spans="1:2" x14ac:dyDescent="0.25">
      <c r="A376" s="9"/>
      <c r="B376" s="8"/>
    </row>
    <row r="377" spans="1:2" x14ac:dyDescent="0.25">
      <c r="A377" s="9"/>
      <c r="B377" s="8"/>
    </row>
    <row r="378" spans="1:2" x14ac:dyDescent="0.25">
      <c r="A378" s="9"/>
      <c r="B378" s="8"/>
    </row>
    <row r="379" spans="1:2" x14ac:dyDescent="0.25">
      <c r="A379" s="9"/>
      <c r="B379" s="8"/>
    </row>
    <row r="380" spans="1:2" x14ac:dyDescent="0.25">
      <c r="A380" s="9"/>
      <c r="B380" s="8"/>
    </row>
    <row r="381" spans="1:2" x14ac:dyDescent="0.25">
      <c r="A381" s="9"/>
      <c r="B381" s="8"/>
    </row>
    <row r="382" spans="1:2" x14ac:dyDescent="0.25">
      <c r="A382" s="9"/>
      <c r="B382" s="8"/>
    </row>
    <row r="383" spans="1:2" x14ac:dyDescent="0.25">
      <c r="A383" s="9"/>
      <c r="B383" s="8"/>
    </row>
    <row r="384" spans="1:2" x14ac:dyDescent="0.25">
      <c r="A384" s="9"/>
      <c r="B384" s="8"/>
    </row>
    <row r="385" spans="1:2" x14ac:dyDescent="0.25">
      <c r="A385" s="9"/>
      <c r="B385" s="8"/>
    </row>
    <row r="386" spans="1:2" x14ac:dyDescent="0.25">
      <c r="A386" s="9"/>
      <c r="B386" s="8"/>
    </row>
    <row r="387" spans="1:2" x14ac:dyDescent="0.25">
      <c r="A387" s="9"/>
      <c r="B387" s="8"/>
    </row>
    <row r="388" spans="1:2" x14ac:dyDescent="0.25">
      <c r="A388" s="9"/>
      <c r="B388" s="8"/>
    </row>
    <row r="389" spans="1:2" x14ac:dyDescent="0.25">
      <c r="A389" s="9"/>
      <c r="B389" s="8"/>
    </row>
    <row r="390" spans="1:2" x14ac:dyDescent="0.25">
      <c r="A390" s="9"/>
      <c r="B390" s="8"/>
    </row>
    <row r="391" spans="1:2" x14ac:dyDescent="0.25">
      <c r="A391" s="9"/>
      <c r="B391" s="8"/>
    </row>
    <row r="392" spans="1:2" x14ac:dyDescent="0.25">
      <c r="A392" s="9"/>
      <c r="B392" s="8"/>
    </row>
    <row r="393" spans="1:2" x14ac:dyDescent="0.25">
      <c r="A393" s="9"/>
      <c r="B393" s="8"/>
    </row>
    <row r="394" spans="1:2" x14ac:dyDescent="0.25">
      <c r="A394" s="9"/>
      <c r="B394" s="8"/>
    </row>
    <row r="395" spans="1:2" x14ac:dyDescent="0.25">
      <c r="A395" s="9"/>
      <c r="B395" s="8"/>
    </row>
    <row r="396" spans="1:2" x14ac:dyDescent="0.25">
      <c r="A396" s="9"/>
      <c r="B396" s="8"/>
    </row>
    <row r="397" spans="1:2" x14ac:dyDescent="0.25">
      <c r="A397" s="9"/>
      <c r="B397" s="8"/>
    </row>
    <row r="398" spans="1:2" x14ac:dyDescent="0.25">
      <c r="A398" s="9"/>
      <c r="B398" s="8"/>
    </row>
    <row r="399" spans="1:2" x14ac:dyDescent="0.25">
      <c r="A399" s="9"/>
      <c r="B399" s="8"/>
    </row>
    <row r="400" spans="1:2" x14ac:dyDescent="0.25">
      <c r="A400" s="9"/>
      <c r="B400" s="8"/>
    </row>
    <row r="401" spans="1:2" x14ac:dyDescent="0.25">
      <c r="A401" s="9"/>
      <c r="B401" s="8"/>
    </row>
    <row r="402" spans="1:2" x14ac:dyDescent="0.25">
      <c r="A402" s="9"/>
      <c r="B402" s="8"/>
    </row>
    <row r="403" spans="1:2" x14ac:dyDescent="0.25">
      <c r="A403" s="9"/>
      <c r="B403" s="8"/>
    </row>
    <row r="404" spans="1:2" x14ac:dyDescent="0.25">
      <c r="A404" s="9"/>
      <c r="B404" s="8"/>
    </row>
    <row r="405" spans="1:2" x14ac:dyDescent="0.25">
      <c r="A405" s="9"/>
      <c r="B405" s="8"/>
    </row>
    <row r="406" spans="1:2" x14ac:dyDescent="0.25">
      <c r="A406" s="9"/>
      <c r="B406" s="8"/>
    </row>
    <row r="407" spans="1:2" x14ac:dyDescent="0.25">
      <c r="A407" s="9"/>
      <c r="B407" s="8"/>
    </row>
    <row r="408" spans="1:2" x14ac:dyDescent="0.25">
      <c r="A408" s="9"/>
      <c r="B408" s="8"/>
    </row>
    <row r="409" spans="1:2" x14ac:dyDescent="0.25">
      <c r="A409" s="9"/>
      <c r="B409" s="8"/>
    </row>
    <row r="410" spans="1:2" x14ac:dyDescent="0.25">
      <c r="A410" s="9"/>
      <c r="B410" s="8"/>
    </row>
    <row r="411" spans="1:2" x14ac:dyDescent="0.25">
      <c r="A411" s="9"/>
      <c r="B411" s="8"/>
    </row>
    <row r="412" spans="1:2" x14ac:dyDescent="0.25">
      <c r="A412" s="9"/>
      <c r="B412" s="8"/>
    </row>
    <row r="413" spans="1:2" x14ac:dyDescent="0.25">
      <c r="A413" s="9"/>
      <c r="B413" s="8"/>
    </row>
    <row r="414" spans="1:2" x14ac:dyDescent="0.25">
      <c r="A414" s="9"/>
      <c r="B414" s="8"/>
    </row>
    <row r="415" spans="1:2" x14ac:dyDescent="0.25">
      <c r="A415" s="9"/>
      <c r="B415" s="8"/>
    </row>
    <row r="416" spans="1:2" x14ac:dyDescent="0.25">
      <c r="A416" s="9"/>
      <c r="B416" s="8"/>
    </row>
    <row r="417" spans="1:2" x14ac:dyDescent="0.25">
      <c r="A417" s="9"/>
      <c r="B417" s="8"/>
    </row>
    <row r="418" spans="1:2" x14ac:dyDescent="0.25">
      <c r="A418" s="9"/>
      <c r="B418" s="8"/>
    </row>
    <row r="419" spans="1:2" x14ac:dyDescent="0.25">
      <c r="A419" s="9"/>
      <c r="B419" s="8"/>
    </row>
    <row r="420" spans="1:2" x14ac:dyDescent="0.25">
      <c r="A420" s="9"/>
      <c r="B420" s="8"/>
    </row>
    <row r="421" spans="1:2" x14ac:dyDescent="0.25">
      <c r="A421" s="9"/>
      <c r="B421" s="8"/>
    </row>
    <row r="422" spans="1:2" x14ac:dyDescent="0.25">
      <c r="A422" s="9"/>
      <c r="B422" s="8"/>
    </row>
    <row r="423" spans="1:2" x14ac:dyDescent="0.25">
      <c r="A423" s="9"/>
      <c r="B423" s="8"/>
    </row>
    <row r="424" spans="1:2" x14ac:dyDescent="0.25">
      <c r="A424" s="9"/>
      <c r="B424" s="8"/>
    </row>
    <row r="425" spans="1:2" x14ac:dyDescent="0.25">
      <c r="A425" s="9"/>
      <c r="B425" s="8"/>
    </row>
    <row r="426" spans="1:2" x14ac:dyDescent="0.25">
      <c r="A426" s="9"/>
      <c r="B426" s="8"/>
    </row>
    <row r="427" spans="1:2" x14ac:dyDescent="0.25">
      <c r="A427" s="9"/>
      <c r="B427" s="8"/>
    </row>
    <row r="428" spans="1:2" x14ac:dyDescent="0.25">
      <c r="A428" s="9"/>
      <c r="B428" s="8"/>
    </row>
    <row r="429" spans="1:2" x14ac:dyDescent="0.25">
      <c r="A429" s="9"/>
      <c r="B429" s="8"/>
    </row>
    <row r="430" spans="1:2" x14ac:dyDescent="0.25">
      <c r="A430" s="9"/>
      <c r="B430" s="8"/>
    </row>
    <row r="431" spans="1:2" x14ac:dyDescent="0.25">
      <c r="A431" s="9"/>
      <c r="B431" s="8"/>
    </row>
    <row r="432" spans="1:2" x14ac:dyDescent="0.25">
      <c r="A432" s="9"/>
      <c r="B432" s="8"/>
    </row>
    <row r="433" spans="1:2" x14ac:dyDescent="0.25">
      <c r="A433" s="9"/>
      <c r="B433" s="8"/>
    </row>
    <row r="434" spans="1:2" x14ac:dyDescent="0.25">
      <c r="A434" s="9"/>
      <c r="B434" s="8"/>
    </row>
    <row r="435" spans="1:2" x14ac:dyDescent="0.25">
      <c r="A435" s="9"/>
      <c r="B435" s="8"/>
    </row>
    <row r="436" spans="1:2" x14ac:dyDescent="0.25">
      <c r="A436" s="9"/>
      <c r="B436" s="8"/>
    </row>
    <row r="437" spans="1:2" x14ac:dyDescent="0.25">
      <c r="A437" s="9"/>
      <c r="B437" s="8"/>
    </row>
    <row r="438" spans="1:2" x14ac:dyDescent="0.25">
      <c r="A438" s="9"/>
      <c r="B438" s="8"/>
    </row>
    <row r="439" spans="1:2" x14ac:dyDescent="0.25">
      <c r="A439" s="9"/>
      <c r="B439" s="8"/>
    </row>
    <row r="440" spans="1:2" x14ac:dyDescent="0.25">
      <c r="A440" s="9"/>
      <c r="B440" s="8"/>
    </row>
    <row r="441" spans="1:2" x14ac:dyDescent="0.25">
      <c r="A441" s="9"/>
      <c r="B441" s="8"/>
    </row>
    <row r="442" spans="1:2" x14ac:dyDescent="0.25">
      <c r="A442" s="9"/>
      <c r="B442" s="8"/>
    </row>
    <row r="443" spans="1:2" x14ac:dyDescent="0.25">
      <c r="A443" s="9"/>
      <c r="B443" s="8"/>
    </row>
    <row r="444" spans="1:2" x14ac:dyDescent="0.25">
      <c r="A444" s="9"/>
      <c r="B444" s="8"/>
    </row>
    <row r="445" spans="1:2" x14ac:dyDescent="0.25">
      <c r="A445" s="9"/>
      <c r="B445" s="8"/>
    </row>
    <row r="446" spans="1:2" x14ac:dyDescent="0.25">
      <c r="A446" s="9"/>
      <c r="B446" s="8"/>
    </row>
    <row r="447" spans="1:2" x14ac:dyDescent="0.25">
      <c r="A447" s="9"/>
      <c r="B447" s="8"/>
    </row>
    <row r="448" spans="1:2" x14ac:dyDescent="0.25">
      <c r="A448" s="9"/>
      <c r="B448" s="8"/>
    </row>
    <row r="449" spans="1:2" x14ac:dyDescent="0.25">
      <c r="A449" s="9"/>
      <c r="B449" s="8"/>
    </row>
    <row r="450" spans="1:2" x14ac:dyDescent="0.25">
      <c r="A450" s="9"/>
      <c r="B450" s="8"/>
    </row>
    <row r="451" spans="1:2" x14ac:dyDescent="0.25">
      <c r="A451" s="9"/>
      <c r="B451" s="8"/>
    </row>
    <row r="452" spans="1:2" x14ac:dyDescent="0.25">
      <c r="A452" s="9"/>
      <c r="B452" s="8"/>
    </row>
    <row r="453" spans="1:2" x14ac:dyDescent="0.25">
      <c r="A453" s="9"/>
      <c r="B453" s="8"/>
    </row>
    <row r="454" spans="1:2" x14ac:dyDescent="0.25">
      <c r="A454" s="9"/>
      <c r="B454" s="8"/>
    </row>
    <row r="455" spans="1:2" x14ac:dyDescent="0.25">
      <c r="A455" s="9"/>
      <c r="B455" s="8"/>
    </row>
    <row r="456" spans="1:2" x14ac:dyDescent="0.25">
      <c r="A456" s="9"/>
      <c r="B456" s="8"/>
    </row>
    <row r="457" spans="1:2" x14ac:dyDescent="0.25">
      <c r="A457" s="9"/>
      <c r="B457" s="8"/>
    </row>
    <row r="458" spans="1:2" x14ac:dyDescent="0.25">
      <c r="A458" s="9"/>
      <c r="B458" s="8"/>
    </row>
    <row r="459" spans="1:2" x14ac:dyDescent="0.25">
      <c r="A459" s="9"/>
      <c r="B459" s="8"/>
    </row>
    <row r="460" spans="1:2" x14ac:dyDescent="0.25">
      <c r="A460" s="9"/>
      <c r="B460" s="8"/>
    </row>
    <row r="461" spans="1:2" x14ac:dyDescent="0.25">
      <c r="A461" s="9"/>
      <c r="B461" s="8"/>
    </row>
    <row r="462" spans="1:2" x14ac:dyDescent="0.25">
      <c r="A462" s="9"/>
      <c r="B462" s="8"/>
    </row>
    <row r="463" spans="1:2" x14ac:dyDescent="0.25">
      <c r="A463" s="9"/>
      <c r="B463" s="8"/>
    </row>
    <row r="464" spans="1:2" x14ac:dyDescent="0.25">
      <c r="A464" s="9"/>
      <c r="B464" s="8"/>
    </row>
    <row r="465" spans="1:2" x14ac:dyDescent="0.25">
      <c r="A465" s="9"/>
      <c r="B465" s="8"/>
    </row>
    <row r="466" spans="1:2" x14ac:dyDescent="0.25">
      <c r="A466" s="9"/>
      <c r="B466" s="8"/>
    </row>
    <row r="467" spans="1:2" x14ac:dyDescent="0.25">
      <c r="A467" s="9"/>
      <c r="B467" s="8"/>
    </row>
    <row r="468" spans="1:2" x14ac:dyDescent="0.25">
      <c r="A468" s="9"/>
      <c r="B468" s="8"/>
    </row>
    <row r="469" spans="1:2" x14ac:dyDescent="0.25">
      <c r="A469" s="9"/>
      <c r="B469" s="8"/>
    </row>
    <row r="470" spans="1:2" x14ac:dyDescent="0.25">
      <c r="A470" s="9"/>
      <c r="B470" s="8"/>
    </row>
    <row r="471" spans="1:2" x14ac:dyDescent="0.25">
      <c r="A471" s="9"/>
      <c r="B471" s="8"/>
    </row>
    <row r="472" spans="1:2" x14ac:dyDescent="0.25">
      <c r="A472" s="9"/>
      <c r="B472" s="8"/>
    </row>
    <row r="473" spans="1:2" x14ac:dyDescent="0.25">
      <c r="A473" s="9"/>
      <c r="B473" s="8"/>
    </row>
    <row r="474" spans="1:2" x14ac:dyDescent="0.25">
      <c r="A474" s="9"/>
      <c r="B474" s="8"/>
    </row>
    <row r="475" spans="1:2" x14ac:dyDescent="0.25">
      <c r="A475" s="9"/>
      <c r="B475" s="8"/>
    </row>
    <row r="476" spans="1:2" x14ac:dyDescent="0.25">
      <c r="A476" s="9"/>
      <c r="B476" s="8"/>
    </row>
    <row r="477" spans="1:2" x14ac:dyDescent="0.25">
      <c r="A477" s="9"/>
      <c r="B477" s="8"/>
    </row>
    <row r="478" spans="1:2" x14ac:dyDescent="0.25">
      <c r="A478" s="9"/>
      <c r="B478" s="8"/>
    </row>
    <row r="479" spans="1:2" x14ac:dyDescent="0.25">
      <c r="A479" s="9"/>
      <c r="B479" s="8"/>
    </row>
    <row r="480" spans="1:2" x14ac:dyDescent="0.25">
      <c r="A480" s="9"/>
      <c r="B480" s="8"/>
    </row>
    <row r="481" spans="1:2" x14ac:dyDescent="0.25">
      <c r="A481" s="9"/>
      <c r="B481" s="8"/>
    </row>
    <row r="482" spans="1:2" x14ac:dyDescent="0.25">
      <c r="A482" s="9"/>
      <c r="B482" s="8"/>
    </row>
    <row r="483" spans="1:2" x14ac:dyDescent="0.25">
      <c r="A483" s="9"/>
      <c r="B483" s="8"/>
    </row>
    <row r="484" spans="1:2" x14ac:dyDescent="0.25">
      <c r="A484" s="9"/>
      <c r="B484" s="8"/>
    </row>
    <row r="485" spans="1:2" x14ac:dyDescent="0.25">
      <c r="A485" s="9"/>
      <c r="B485" s="8"/>
    </row>
    <row r="486" spans="1:2" x14ac:dyDescent="0.25">
      <c r="A486" s="9"/>
      <c r="B486" s="8"/>
    </row>
    <row r="487" spans="1:2" x14ac:dyDescent="0.25">
      <c r="A487" s="9"/>
      <c r="B487" s="8"/>
    </row>
    <row r="488" spans="1:2" x14ac:dyDescent="0.25">
      <c r="A488" s="9"/>
      <c r="B488" s="8"/>
    </row>
    <row r="489" spans="1:2" x14ac:dyDescent="0.25">
      <c r="A489" s="9"/>
      <c r="B489" s="8"/>
    </row>
    <row r="490" spans="1:2" x14ac:dyDescent="0.25">
      <c r="A490" s="9"/>
      <c r="B490" s="8"/>
    </row>
    <row r="491" spans="1:2" x14ac:dyDescent="0.25">
      <c r="A491" s="9"/>
      <c r="B491" s="8"/>
    </row>
    <row r="492" spans="1:2" x14ac:dyDescent="0.25">
      <c r="A492" s="9"/>
      <c r="B492" s="8"/>
    </row>
    <row r="493" spans="1:2" x14ac:dyDescent="0.25">
      <c r="A493" s="9"/>
      <c r="B493" s="8"/>
    </row>
    <row r="494" spans="1:2" x14ac:dyDescent="0.25">
      <c r="A494" s="9"/>
      <c r="B494" s="8"/>
    </row>
    <row r="495" spans="1:2" x14ac:dyDescent="0.25">
      <c r="A495" s="9"/>
      <c r="B495" s="8"/>
    </row>
    <row r="496" spans="1:2" x14ac:dyDescent="0.25">
      <c r="A496" s="9"/>
      <c r="B496" s="8"/>
    </row>
    <row r="497" spans="1:2" x14ac:dyDescent="0.25">
      <c r="A497" s="9"/>
      <c r="B497" s="8"/>
    </row>
    <row r="498" spans="1:2" x14ac:dyDescent="0.25">
      <c r="A498" s="9"/>
      <c r="B498" s="8"/>
    </row>
    <row r="499" spans="1:2" x14ac:dyDescent="0.25">
      <c r="A499" s="9"/>
      <c r="B499" s="8"/>
    </row>
    <row r="500" spans="1:2" x14ac:dyDescent="0.25">
      <c r="A500" s="9"/>
      <c r="B500" s="8"/>
    </row>
    <row r="501" spans="1:2" x14ac:dyDescent="0.25">
      <c r="A501" s="9"/>
      <c r="B501" s="8"/>
    </row>
    <row r="502" spans="1:2" x14ac:dyDescent="0.25">
      <c r="A502" s="9"/>
      <c r="B502" s="8"/>
    </row>
    <row r="503" spans="1:2" x14ac:dyDescent="0.25">
      <c r="A503" s="9"/>
      <c r="B503" s="8"/>
    </row>
    <row r="504" spans="1:2" x14ac:dyDescent="0.25">
      <c r="A504" s="9"/>
      <c r="B504" s="8"/>
    </row>
    <row r="505" spans="1:2" x14ac:dyDescent="0.25">
      <c r="A505" s="9"/>
      <c r="B505" s="8"/>
    </row>
    <row r="506" spans="1:2" x14ac:dyDescent="0.25">
      <c r="A506" s="9"/>
      <c r="B506" s="8"/>
    </row>
    <row r="507" spans="1:2" x14ac:dyDescent="0.25">
      <c r="A507" s="9"/>
      <c r="B507" s="8"/>
    </row>
    <row r="508" spans="1:2" x14ac:dyDescent="0.25">
      <c r="A508" s="9"/>
      <c r="B508" s="8"/>
    </row>
    <row r="509" spans="1:2" x14ac:dyDescent="0.25">
      <c r="A509" s="9"/>
      <c r="B509" s="8"/>
    </row>
    <row r="510" spans="1:2" x14ac:dyDescent="0.25">
      <c r="A510" s="9"/>
      <c r="B510" s="8"/>
    </row>
    <row r="511" spans="1:2" x14ac:dyDescent="0.25">
      <c r="A511" s="9"/>
      <c r="B511" s="8"/>
    </row>
    <row r="512" spans="1:2" x14ac:dyDescent="0.25">
      <c r="A512" s="9"/>
      <c r="B512" s="8"/>
    </row>
    <row r="513" spans="1:2" x14ac:dyDescent="0.25">
      <c r="A513" s="9"/>
      <c r="B513" s="8"/>
    </row>
    <row r="514" spans="1:2" x14ac:dyDescent="0.25">
      <c r="A514" s="9"/>
      <c r="B514" s="8"/>
    </row>
    <row r="515" spans="1:2" x14ac:dyDescent="0.25">
      <c r="A515" s="9"/>
      <c r="B515" s="8"/>
    </row>
    <row r="516" spans="1:2" x14ac:dyDescent="0.25">
      <c r="A516" s="9"/>
      <c r="B516" s="8"/>
    </row>
    <row r="517" spans="1:2" x14ac:dyDescent="0.25">
      <c r="A517" s="9"/>
      <c r="B517" s="8"/>
    </row>
    <row r="518" spans="1:2" x14ac:dyDescent="0.25">
      <c r="A518" s="9"/>
      <c r="B518" s="8"/>
    </row>
    <row r="519" spans="1:2" x14ac:dyDescent="0.25">
      <c r="A519" s="9"/>
      <c r="B519" s="8"/>
    </row>
    <row r="520" spans="1:2" x14ac:dyDescent="0.25">
      <c r="A520" s="9"/>
      <c r="B520" s="8"/>
    </row>
    <row r="521" spans="1:2" x14ac:dyDescent="0.25">
      <c r="A521" s="9"/>
      <c r="B521" s="8"/>
    </row>
    <row r="522" spans="1:2" x14ac:dyDescent="0.25">
      <c r="A522" s="9"/>
      <c r="B522" s="8"/>
    </row>
    <row r="523" spans="1:2" x14ac:dyDescent="0.25">
      <c r="A523" s="9"/>
      <c r="B523" s="8"/>
    </row>
    <row r="524" spans="1:2" x14ac:dyDescent="0.25">
      <c r="A524" s="9"/>
      <c r="B524" s="8"/>
    </row>
    <row r="525" spans="1:2" x14ac:dyDescent="0.25">
      <c r="A525" s="9"/>
      <c r="B525" s="8"/>
    </row>
    <row r="526" spans="1:2" x14ac:dyDescent="0.25">
      <c r="A526" s="9"/>
      <c r="B526" s="8"/>
    </row>
    <row r="527" spans="1:2" x14ac:dyDescent="0.25">
      <c r="A527" s="9"/>
      <c r="B527" s="8"/>
    </row>
    <row r="528" spans="1:2" x14ac:dyDescent="0.25">
      <c r="A528" s="9"/>
      <c r="B528" s="8"/>
    </row>
    <row r="529" spans="1:2" x14ac:dyDescent="0.25">
      <c r="A529" s="9"/>
      <c r="B529" s="8"/>
    </row>
    <row r="530" spans="1:2" x14ac:dyDescent="0.25">
      <c r="A530" s="9"/>
      <c r="B530" s="8"/>
    </row>
    <row r="531" spans="1:2" x14ac:dyDescent="0.25">
      <c r="A531" s="9"/>
      <c r="B531" s="8"/>
    </row>
    <row r="532" spans="1:2" x14ac:dyDescent="0.25">
      <c r="A532" s="9"/>
      <c r="B532" s="8"/>
    </row>
    <row r="533" spans="1:2" x14ac:dyDescent="0.25">
      <c r="A533" s="9"/>
      <c r="B533" s="8"/>
    </row>
    <row r="534" spans="1:2" x14ac:dyDescent="0.25">
      <c r="A534" s="9"/>
      <c r="B534" s="8"/>
    </row>
    <row r="535" spans="1:2" x14ac:dyDescent="0.25">
      <c r="A535" s="9"/>
      <c r="B535" s="8"/>
    </row>
    <row r="536" spans="1:2" x14ac:dyDescent="0.25">
      <c r="A536" s="9"/>
      <c r="B536" s="8"/>
    </row>
    <row r="537" spans="1:2" x14ac:dyDescent="0.25">
      <c r="A537" s="9"/>
      <c r="B537" s="8"/>
    </row>
    <row r="538" spans="1:2" x14ac:dyDescent="0.25">
      <c r="A538" s="9"/>
      <c r="B538" s="8"/>
    </row>
    <row r="539" spans="1:2" x14ac:dyDescent="0.25">
      <c r="A539" s="9"/>
      <c r="B539" s="8"/>
    </row>
    <row r="540" spans="1:2" x14ac:dyDescent="0.25">
      <c r="A540" s="9"/>
      <c r="B540" s="8"/>
    </row>
    <row r="541" spans="1:2" x14ac:dyDescent="0.25">
      <c r="A541" s="9"/>
      <c r="B541" s="8"/>
    </row>
    <row r="542" spans="1:2" x14ac:dyDescent="0.25">
      <c r="A542" s="9"/>
      <c r="B542" s="8"/>
    </row>
    <row r="543" spans="1:2" x14ac:dyDescent="0.25">
      <c r="A543" s="9"/>
      <c r="B543" s="8"/>
    </row>
    <row r="544" spans="1:2" x14ac:dyDescent="0.25">
      <c r="A544" s="9"/>
      <c r="B544" s="8"/>
    </row>
    <row r="545" spans="1:2" x14ac:dyDescent="0.25">
      <c r="A545" s="9"/>
      <c r="B545" s="8"/>
    </row>
    <row r="546" spans="1:2" x14ac:dyDescent="0.25">
      <c r="A546" s="9"/>
      <c r="B546" s="8"/>
    </row>
    <row r="547" spans="1:2" x14ac:dyDescent="0.25">
      <c r="A547" s="9"/>
      <c r="B547" s="8"/>
    </row>
    <row r="548" spans="1:2" x14ac:dyDescent="0.25">
      <c r="A548" s="9"/>
      <c r="B548" s="8"/>
    </row>
    <row r="549" spans="1:2" x14ac:dyDescent="0.25">
      <c r="A549" s="9"/>
      <c r="B549" s="8"/>
    </row>
    <row r="550" spans="1:2" x14ac:dyDescent="0.25">
      <c r="A550" s="9"/>
      <c r="B550" s="8"/>
    </row>
    <row r="551" spans="1:2" x14ac:dyDescent="0.25">
      <c r="A551" s="9"/>
      <c r="B551" s="8"/>
    </row>
    <row r="552" spans="1:2" x14ac:dyDescent="0.25">
      <c r="A552" s="9"/>
      <c r="B552" s="8"/>
    </row>
    <row r="553" spans="1:2" x14ac:dyDescent="0.25">
      <c r="A553" s="9"/>
      <c r="B553" s="8"/>
    </row>
    <row r="554" spans="1:2" x14ac:dyDescent="0.25">
      <c r="A554" s="9"/>
      <c r="B554" s="8"/>
    </row>
    <row r="555" spans="1:2" x14ac:dyDescent="0.25">
      <c r="A555" s="9"/>
      <c r="B555" s="8"/>
    </row>
    <row r="556" spans="1:2" x14ac:dyDescent="0.25">
      <c r="A556" s="9"/>
      <c r="B556" s="8"/>
    </row>
    <row r="557" spans="1:2" x14ac:dyDescent="0.25">
      <c r="A557" s="9"/>
      <c r="B557" s="8"/>
    </row>
    <row r="558" spans="1:2" x14ac:dyDescent="0.25">
      <c r="A558" s="9"/>
      <c r="B558" s="8"/>
    </row>
    <row r="559" spans="1:2" x14ac:dyDescent="0.25">
      <c r="A559" s="9"/>
      <c r="B559" s="8"/>
    </row>
    <row r="560" spans="1:2" x14ac:dyDescent="0.25">
      <c r="A560" s="9"/>
      <c r="B560" s="8"/>
    </row>
    <row r="561" spans="1:2" x14ac:dyDescent="0.25">
      <c r="A561" s="9"/>
      <c r="B561" s="8"/>
    </row>
    <row r="562" spans="1:2" x14ac:dyDescent="0.25">
      <c r="A562" s="9"/>
      <c r="B562" s="8"/>
    </row>
    <row r="563" spans="1:2" x14ac:dyDescent="0.25">
      <c r="A563" s="9"/>
      <c r="B563" s="8"/>
    </row>
    <row r="564" spans="1:2" x14ac:dyDescent="0.25">
      <c r="A564" s="9"/>
      <c r="B564" s="8"/>
    </row>
    <row r="565" spans="1:2" x14ac:dyDescent="0.25">
      <c r="A565" s="9"/>
      <c r="B565" s="8"/>
    </row>
    <row r="566" spans="1:2" x14ac:dyDescent="0.25">
      <c r="A566" s="9"/>
      <c r="B566" s="8"/>
    </row>
    <row r="567" spans="1:2" x14ac:dyDescent="0.25">
      <c r="A567" s="9"/>
      <c r="B567" s="8"/>
    </row>
    <row r="568" spans="1:2" x14ac:dyDescent="0.25">
      <c r="A568" s="9"/>
      <c r="B568" s="8"/>
    </row>
    <row r="569" spans="1:2" x14ac:dyDescent="0.25">
      <c r="A569" s="9"/>
      <c r="B569" s="8"/>
    </row>
    <row r="570" spans="1:2" x14ac:dyDescent="0.25">
      <c r="A570" s="9"/>
      <c r="B570" s="8"/>
    </row>
    <row r="571" spans="1:2" x14ac:dyDescent="0.25">
      <c r="A571" s="9"/>
      <c r="B571" s="8"/>
    </row>
    <row r="572" spans="1:2" x14ac:dyDescent="0.25">
      <c r="A572" s="9"/>
      <c r="B572" s="8"/>
    </row>
    <row r="573" spans="1:2" x14ac:dyDescent="0.25">
      <c r="A573" s="9"/>
      <c r="B573" s="8"/>
    </row>
    <row r="574" spans="1:2" x14ac:dyDescent="0.25">
      <c r="A574" s="9"/>
      <c r="B574" s="8"/>
    </row>
    <row r="575" spans="1:2" x14ac:dyDescent="0.25">
      <c r="A575" s="9"/>
      <c r="B575" s="8"/>
    </row>
    <row r="576" spans="1:2" x14ac:dyDescent="0.25">
      <c r="A576" s="9"/>
      <c r="B576" s="8"/>
    </row>
    <row r="577" spans="1:2" x14ac:dyDescent="0.25">
      <c r="A577" s="9"/>
      <c r="B577" s="8"/>
    </row>
    <row r="578" spans="1:2" x14ac:dyDescent="0.25">
      <c r="A578" s="9"/>
      <c r="B578" s="8"/>
    </row>
    <row r="579" spans="1:2" x14ac:dyDescent="0.25">
      <c r="A579" s="9"/>
      <c r="B579" s="8"/>
    </row>
    <row r="580" spans="1:2" x14ac:dyDescent="0.25">
      <c r="A580" s="9"/>
      <c r="B580" s="8"/>
    </row>
    <row r="581" spans="1:2" x14ac:dyDescent="0.25">
      <c r="A581" s="9"/>
      <c r="B581" s="8"/>
    </row>
    <row r="582" spans="1:2" x14ac:dyDescent="0.25">
      <c r="A582" s="9"/>
      <c r="B582" s="8"/>
    </row>
    <row r="583" spans="1:2" x14ac:dyDescent="0.25">
      <c r="A583" s="9"/>
      <c r="B583" s="8"/>
    </row>
    <row r="584" spans="1:2" x14ac:dyDescent="0.25">
      <c r="A584" s="9"/>
      <c r="B584" s="8"/>
    </row>
    <row r="585" spans="1:2" x14ac:dyDescent="0.25">
      <c r="A585" s="9"/>
      <c r="B585" s="8"/>
    </row>
    <row r="586" spans="1:2" x14ac:dyDescent="0.25">
      <c r="A586" s="9"/>
      <c r="B586" s="8"/>
    </row>
    <row r="587" spans="1:2" x14ac:dyDescent="0.25">
      <c r="A587" s="9"/>
      <c r="B587" s="8"/>
    </row>
    <row r="588" spans="1:2" x14ac:dyDescent="0.25">
      <c r="A588" s="9"/>
      <c r="B588" s="8"/>
    </row>
    <row r="589" spans="1:2" x14ac:dyDescent="0.25">
      <c r="A589" s="9"/>
      <c r="B589" s="8"/>
    </row>
    <row r="590" spans="1:2" x14ac:dyDescent="0.25">
      <c r="A590" s="9"/>
      <c r="B590" s="8"/>
    </row>
    <row r="591" spans="1:2" x14ac:dyDescent="0.25">
      <c r="A591" s="9"/>
      <c r="B591" s="8"/>
    </row>
    <row r="592" spans="1:2" x14ac:dyDescent="0.25">
      <c r="A592" s="9"/>
      <c r="B592" s="8"/>
    </row>
    <row r="593" spans="1:2" x14ac:dyDescent="0.25">
      <c r="A593" s="9"/>
      <c r="B593" s="8"/>
    </row>
    <row r="594" spans="1:2" x14ac:dyDescent="0.25">
      <c r="A594" s="9"/>
      <c r="B594" s="8"/>
    </row>
    <row r="595" spans="1:2" x14ac:dyDescent="0.25">
      <c r="A595" s="9"/>
      <c r="B595" s="8"/>
    </row>
    <row r="596" spans="1:2" x14ac:dyDescent="0.25">
      <c r="A596" s="9"/>
      <c r="B596" s="8"/>
    </row>
    <row r="597" spans="1:2" x14ac:dyDescent="0.25">
      <c r="A597" s="9"/>
      <c r="B597" s="8"/>
    </row>
    <row r="598" spans="1:2" x14ac:dyDescent="0.25">
      <c r="A598" s="9"/>
      <c r="B598" s="8"/>
    </row>
    <row r="599" spans="1:2" x14ac:dyDescent="0.25">
      <c r="A599" s="9"/>
      <c r="B599" s="8"/>
    </row>
    <row r="600" spans="1:2" x14ac:dyDescent="0.25">
      <c r="A600" s="9"/>
      <c r="B600" s="8"/>
    </row>
    <row r="601" spans="1:2" x14ac:dyDescent="0.25">
      <c r="A601" s="9"/>
      <c r="B601" s="8"/>
    </row>
    <row r="602" spans="1:2" x14ac:dyDescent="0.25">
      <c r="A602" s="9"/>
      <c r="B602" s="8"/>
    </row>
    <row r="603" spans="1:2" x14ac:dyDescent="0.25">
      <c r="A603" s="9"/>
      <c r="B603" s="8"/>
    </row>
    <row r="604" spans="1:2" x14ac:dyDescent="0.25">
      <c r="A604" s="9"/>
      <c r="B604" s="8"/>
    </row>
    <row r="605" spans="1:2" x14ac:dyDescent="0.25">
      <c r="A605" s="9"/>
      <c r="B605" s="8"/>
    </row>
    <row r="606" spans="1:2" x14ac:dyDescent="0.25">
      <c r="A606" s="9"/>
      <c r="B606" s="8"/>
    </row>
    <row r="607" spans="1:2" x14ac:dyDescent="0.25">
      <c r="A607" s="9"/>
      <c r="B607" s="8"/>
    </row>
    <row r="608" spans="1:2" x14ac:dyDescent="0.25">
      <c r="A608" s="9"/>
      <c r="B608" s="8"/>
    </row>
    <row r="609" spans="1:2" x14ac:dyDescent="0.25">
      <c r="A609" s="9"/>
      <c r="B609" s="8"/>
    </row>
    <row r="610" spans="1:2" x14ac:dyDescent="0.25">
      <c r="A610" s="9"/>
      <c r="B610" s="8"/>
    </row>
    <row r="611" spans="1:2" x14ac:dyDescent="0.25">
      <c r="A611" s="9"/>
      <c r="B611" s="8"/>
    </row>
    <row r="612" spans="1:2" x14ac:dyDescent="0.25">
      <c r="A612" s="9"/>
      <c r="B612" s="8"/>
    </row>
    <row r="613" spans="1:2" x14ac:dyDescent="0.25">
      <c r="A613" s="9"/>
      <c r="B613" s="8"/>
    </row>
    <row r="614" spans="1:2" x14ac:dyDescent="0.25">
      <c r="A614" s="9"/>
      <c r="B614" s="8"/>
    </row>
    <row r="615" spans="1:2" x14ac:dyDescent="0.25">
      <c r="A615" s="9"/>
      <c r="B615" s="8"/>
    </row>
    <row r="616" spans="1:2" x14ac:dyDescent="0.25">
      <c r="A616" s="9"/>
      <c r="B616" s="8"/>
    </row>
    <row r="617" spans="1:2" x14ac:dyDescent="0.25">
      <c r="A617" s="9"/>
      <c r="B617" s="8"/>
    </row>
    <row r="618" spans="1:2" x14ac:dyDescent="0.25">
      <c r="A618" s="9"/>
      <c r="B618" s="8"/>
    </row>
    <row r="619" spans="1:2" x14ac:dyDescent="0.25">
      <c r="A619" s="9"/>
      <c r="B619" s="8"/>
    </row>
    <row r="620" spans="1:2" x14ac:dyDescent="0.25">
      <c r="A620" s="9"/>
      <c r="B620" s="8"/>
    </row>
    <row r="621" spans="1:2" x14ac:dyDescent="0.25">
      <c r="A621" s="9"/>
      <c r="B621" s="8"/>
    </row>
    <row r="622" spans="1:2" x14ac:dyDescent="0.25">
      <c r="A622" s="9"/>
      <c r="B622" s="8"/>
    </row>
    <row r="623" spans="1:2" x14ac:dyDescent="0.25">
      <c r="A623" s="9"/>
      <c r="B623" s="8"/>
    </row>
    <row r="624" spans="1:2" x14ac:dyDescent="0.25">
      <c r="A624" s="9"/>
      <c r="B624" s="8"/>
    </row>
    <row r="625" spans="1:2" x14ac:dyDescent="0.25">
      <c r="A625" s="9"/>
      <c r="B625" s="8"/>
    </row>
    <row r="626" spans="1:2" x14ac:dyDescent="0.25">
      <c r="A626" s="9"/>
      <c r="B626" s="8"/>
    </row>
    <row r="627" spans="1:2" x14ac:dyDescent="0.25">
      <c r="A627" s="9"/>
      <c r="B627" s="8"/>
    </row>
    <row r="628" spans="1:2" x14ac:dyDescent="0.25">
      <c r="A628" s="9"/>
      <c r="B628" s="8"/>
    </row>
    <row r="629" spans="1:2" x14ac:dyDescent="0.25">
      <c r="A629" s="9"/>
      <c r="B629" s="8"/>
    </row>
    <row r="630" spans="1:2" x14ac:dyDescent="0.25">
      <c r="A630" s="9"/>
      <c r="B630" s="8"/>
    </row>
    <row r="631" spans="1:2" x14ac:dyDescent="0.25">
      <c r="A631" s="9"/>
      <c r="B631" s="8"/>
    </row>
    <row r="632" spans="1:2" x14ac:dyDescent="0.25">
      <c r="A632" s="9"/>
      <c r="B632" s="8"/>
    </row>
    <row r="633" spans="1:2" x14ac:dyDescent="0.25">
      <c r="A633" s="9"/>
      <c r="B633" s="8"/>
    </row>
    <row r="634" spans="1:2" x14ac:dyDescent="0.25">
      <c r="A634" s="9"/>
      <c r="B634" s="8"/>
    </row>
    <row r="635" spans="1:2" x14ac:dyDescent="0.25">
      <c r="A635" s="9"/>
      <c r="B635" s="8"/>
    </row>
    <row r="636" spans="1:2" x14ac:dyDescent="0.25">
      <c r="A636" s="9"/>
      <c r="B636" s="8"/>
    </row>
    <row r="637" spans="1:2" x14ac:dyDescent="0.25">
      <c r="A637" s="9"/>
      <c r="B637" s="8"/>
    </row>
    <row r="638" spans="1:2" x14ac:dyDescent="0.25">
      <c r="A638" s="9"/>
      <c r="B638" s="8"/>
    </row>
    <row r="639" spans="1:2" x14ac:dyDescent="0.25">
      <c r="A639" s="9"/>
      <c r="B639" s="8"/>
    </row>
    <row r="640" spans="1:2" x14ac:dyDescent="0.25">
      <c r="A640" s="9"/>
      <c r="B640" s="8"/>
    </row>
    <row r="641" spans="1:2" x14ac:dyDescent="0.25">
      <c r="A641" s="9"/>
      <c r="B641" s="8"/>
    </row>
    <row r="642" spans="1:2" x14ac:dyDescent="0.25">
      <c r="A642" s="9"/>
      <c r="B642" s="8"/>
    </row>
    <row r="643" spans="1:2" x14ac:dyDescent="0.25">
      <c r="A643" s="9"/>
      <c r="B643" s="8"/>
    </row>
    <row r="644" spans="1:2" x14ac:dyDescent="0.25">
      <c r="A644" s="9"/>
      <c r="B644" s="8"/>
    </row>
    <row r="645" spans="1:2" x14ac:dyDescent="0.25">
      <c r="A645" s="9"/>
      <c r="B645" s="8"/>
    </row>
    <row r="646" spans="1:2" x14ac:dyDescent="0.25">
      <c r="A646" s="9"/>
      <c r="B646" s="8"/>
    </row>
    <row r="647" spans="1:2" x14ac:dyDescent="0.25">
      <c r="A647" s="9"/>
      <c r="B647" s="8"/>
    </row>
    <row r="648" spans="1:2" x14ac:dyDescent="0.25">
      <c r="A648" s="9"/>
      <c r="B648" s="8"/>
    </row>
    <row r="649" spans="1:2" x14ac:dyDescent="0.25">
      <c r="A649" s="9"/>
      <c r="B649" s="8"/>
    </row>
    <row r="650" spans="1:2" x14ac:dyDescent="0.25">
      <c r="A650" s="9"/>
      <c r="B650" s="8"/>
    </row>
    <row r="651" spans="1:2" x14ac:dyDescent="0.25">
      <c r="A651" s="9"/>
      <c r="B651" s="8"/>
    </row>
    <row r="652" spans="1:2" x14ac:dyDescent="0.25">
      <c r="A652" s="9"/>
      <c r="B652" s="8"/>
    </row>
    <row r="653" spans="1:2" x14ac:dyDescent="0.25">
      <c r="A653" s="9"/>
      <c r="B653" s="8"/>
    </row>
    <row r="654" spans="1:2" x14ac:dyDescent="0.25">
      <c r="A654" s="9"/>
      <c r="B654" s="8"/>
    </row>
    <row r="655" spans="1:2" x14ac:dyDescent="0.25">
      <c r="A655" s="9"/>
      <c r="B655" s="8"/>
    </row>
    <row r="656" spans="1:2" x14ac:dyDescent="0.25">
      <c r="A656" s="9"/>
      <c r="B656" s="8"/>
    </row>
    <row r="657" spans="1:2" x14ac:dyDescent="0.25">
      <c r="A657" s="9"/>
      <c r="B657" s="8"/>
    </row>
    <row r="658" spans="1:2" x14ac:dyDescent="0.25">
      <c r="A658" s="9"/>
      <c r="B658" s="8"/>
    </row>
    <row r="659" spans="1:2" x14ac:dyDescent="0.25">
      <c r="A659" s="9"/>
      <c r="B659" s="8"/>
    </row>
    <row r="660" spans="1:2" x14ac:dyDescent="0.25">
      <c r="A660" s="9"/>
      <c r="B660" s="8"/>
    </row>
    <row r="661" spans="1:2" x14ac:dyDescent="0.25">
      <c r="A661" s="9"/>
      <c r="B661" s="8"/>
    </row>
    <row r="662" spans="1:2" x14ac:dyDescent="0.25">
      <c r="A662" s="9"/>
      <c r="B662" s="8"/>
    </row>
    <row r="663" spans="1:2" x14ac:dyDescent="0.25">
      <c r="A663" s="9"/>
      <c r="B663" s="8"/>
    </row>
    <row r="664" spans="1:2" x14ac:dyDescent="0.25">
      <c r="A664" s="9"/>
      <c r="B664" s="8"/>
    </row>
    <row r="665" spans="1:2" x14ac:dyDescent="0.25">
      <c r="A665" s="9"/>
      <c r="B665" s="8"/>
    </row>
    <row r="666" spans="1:2" x14ac:dyDescent="0.25">
      <c r="A666" s="9"/>
      <c r="B666" s="8"/>
    </row>
    <row r="667" spans="1:2" x14ac:dyDescent="0.25">
      <c r="A667" s="9"/>
      <c r="B667" s="8"/>
    </row>
    <row r="668" spans="1:2" x14ac:dyDescent="0.25">
      <c r="A668" s="9"/>
      <c r="B668" s="8"/>
    </row>
    <row r="669" spans="1:2" x14ac:dyDescent="0.25">
      <c r="A669" s="9"/>
      <c r="B669" s="8"/>
    </row>
    <row r="670" spans="1:2" x14ac:dyDescent="0.25">
      <c r="A670" s="9"/>
      <c r="B670" s="8"/>
    </row>
    <row r="671" spans="1:2" x14ac:dyDescent="0.25">
      <c r="A671" s="9"/>
      <c r="B671" s="8"/>
    </row>
    <row r="672" spans="1:2" x14ac:dyDescent="0.25">
      <c r="A672" s="9"/>
      <c r="B672" s="8"/>
    </row>
    <row r="673" spans="1:2" x14ac:dyDescent="0.25">
      <c r="A673" s="9"/>
      <c r="B673" s="8"/>
    </row>
    <row r="674" spans="1:2" x14ac:dyDescent="0.25">
      <c r="A674" s="9"/>
      <c r="B674" s="8"/>
    </row>
    <row r="675" spans="1:2" x14ac:dyDescent="0.25">
      <c r="A675" s="9"/>
      <c r="B675" s="8"/>
    </row>
    <row r="676" spans="1:2" x14ac:dyDescent="0.25">
      <c r="A676" s="9"/>
      <c r="B676" s="8"/>
    </row>
    <row r="677" spans="1:2" x14ac:dyDescent="0.25">
      <c r="A677" s="9"/>
      <c r="B677" s="8"/>
    </row>
    <row r="678" spans="1:2" x14ac:dyDescent="0.25">
      <c r="A678" s="9"/>
      <c r="B678" s="8"/>
    </row>
    <row r="679" spans="1:2" x14ac:dyDescent="0.25">
      <c r="A679" s="9"/>
      <c r="B679" s="8"/>
    </row>
    <row r="680" spans="1:2" x14ac:dyDescent="0.25">
      <c r="A680" s="9"/>
      <c r="B680" s="8"/>
    </row>
    <row r="681" spans="1:2" x14ac:dyDescent="0.25">
      <c r="A681" s="9"/>
      <c r="B681" s="8"/>
    </row>
    <row r="682" spans="1:2" x14ac:dyDescent="0.25">
      <c r="A682" s="9"/>
      <c r="B682" s="8"/>
    </row>
    <row r="683" spans="1:2" x14ac:dyDescent="0.25">
      <c r="A683" s="9"/>
      <c r="B683" s="8"/>
    </row>
    <row r="684" spans="1:2" x14ac:dyDescent="0.25">
      <c r="A684" s="9"/>
      <c r="B684" s="8"/>
    </row>
    <row r="685" spans="1:2" x14ac:dyDescent="0.25">
      <c r="A685" s="9"/>
      <c r="B685" s="8"/>
    </row>
    <row r="686" spans="1:2" x14ac:dyDescent="0.25">
      <c r="A686" s="9"/>
      <c r="B686" s="8"/>
    </row>
    <row r="687" spans="1:2" x14ac:dyDescent="0.25">
      <c r="A687" s="9"/>
      <c r="B687" s="8"/>
    </row>
    <row r="688" spans="1:2" x14ac:dyDescent="0.25">
      <c r="A688" s="9"/>
      <c r="B688" s="8"/>
    </row>
    <row r="689" spans="1:2" x14ac:dyDescent="0.25">
      <c r="A689" s="9"/>
      <c r="B689" s="8"/>
    </row>
    <row r="690" spans="1:2" x14ac:dyDescent="0.25">
      <c r="A690" s="9"/>
      <c r="B690" s="8"/>
    </row>
    <row r="691" spans="1:2" x14ac:dyDescent="0.25">
      <c r="A691" s="9"/>
      <c r="B691" s="8"/>
    </row>
    <row r="692" spans="1:2" x14ac:dyDescent="0.25">
      <c r="A692" s="9"/>
      <c r="B692" s="8"/>
    </row>
    <row r="693" spans="1:2" x14ac:dyDescent="0.25">
      <c r="A693" s="9"/>
      <c r="B693" s="8"/>
    </row>
    <row r="694" spans="1:2" x14ac:dyDescent="0.25">
      <c r="A694" s="9"/>
      <c r="B694" s="8"/>
    </row>
    <row r="695" spans="1:2" x14ac:dyDescent="0.25">
      <c r="A695" s="9"/>
      <c r="B695" s="8"/>
    </row>
    <row r="696" spans="1:2" x14ac:dyDescent="0.25">
      <c r="A696" s="9"/>
      <c r="B696" s="8"/>
    </row>
    <row r="697" spans="1:2" x14ac:dyDescent="0.25">
      <c r="A697" s="9"/>
      <c r="B697" s="8"/>
    </row>
    <row r="698" spans="1:2" x14ac:dyDescent="0.25">
      <c r="A698" s="9"/>
      <c r="B698" s="8"/>
    </row>
    <row r="699" spans="1:2" x14ac:dyDescent="0.25">
      <c r="A699" s="9"/>
      <c r="B699" s="8"/>
    </row>
    <row r="700" spans="1:2" x14ac:dyDescent="0.25">
      <c r="A700" s="9"/>
      <c r="B700" s="8"/>
    </row>
    <row r="701" spans="1:2" x14ac:dyDescent="0.25">
      <c r="A701" s="9"/>
      <c r="B701" s="8"/>
    </row>
    <row r="702" spans="1:2" x14ac:dyDescent="0.25">
      <c r="A702" s="9"/>
      <c r="B702" s="8"/>
    </row>
    <row r="703" spans="1:2" x14ac:dyDescent="0.25">
      <c r="A703" s="9"/>
      <c r="B703" s="8"/>
    </row>
    <row r="704" spans="1:2" x14ac:dyDescent="0.25">
      <c r="A704" s="9"/>
      <c r="B704" s="8"/>
    </row>
    <row r="705" spans="1:2" x14ac:dyDescent="0.25">
      <c r="A705" s="9"/>
      <c r="B705" s="8"/>
    </row>
    <row r="706" spans="1:2" x14ac:dyDescent="0.25">
      <c r="A706" s="9"/>
      <c r="B706" s="8"/>
    </row>
    <row r="707" spans="1:2" x14ac:dyDescent="0.25">
      <c r="A707" s="9"/>
      <c r="B707" s="8"/>
    </row>
    <row r="708" spans="1:2" x14ac:dyDescent="0.25">
      <c r="A708" s="9"/>
      <c r="B708" s="8"/>
    </row>
    <row r="709" spans="1:2" x14ac:dyDescent="0.25">
      <c r="A709" s="9"/>
      <c r="B709" s="8"/>
    </row>
    <row r="710" spans="1:2" x14ac:dyDescent="0.25">
      <c r="A710" s="9"/>
      <c r="B710" s="8"/>
    </row>
    <row r="711" spans="1:2" x14ac:dyDescent="0.25">
      <c r="A711" s="9"/>
      <c r="B711" s="8"/>
    </row>
    <row r="712" spans="1:2" x14ac:dyDescent="0.25">
      <c r="A712" s="9"/>
      <c r="B712" s="8"/>
    </row>
    <row r="713" spans="1:2" x14ac:dyDescent="0.25">
      <c r="A713" s="9"/>
      <c r="B713" s="8"/>
    </row>
    <row r="714" spans="1:2" x14ac:dyDescent="0.25">
      <c r="A714" s="9"/>
      <c r="B714" s="8"/>
    </row>
    <row r="715" spans="1:2" x14ac:dyDescent="0.25">
      <c r="A715" s="9"/>
      <c r="B715" s="8"/>
    </row>
    <row r="716" spans="1:2" x14ac:dyDescent="0.25">
      <c r="A716" s="9"/>
      <c r="B716" s="8"/>
    </row>
    <row r="717" spans="1:2" x14ac:dyDescent="0.25">
      <c r="A717" s="9"/>
      <c r="B717" s="8"/>
    </row>
    <row r="718" spans="1:2" x14ac:dyDescent="0.25">
      <c r="A718" s="9"/>
      <c r="B718" s="8"/>
    </row>
    <row r="719" spans="1:2" x14ac:dyDescent="0.25">
      <c r="A719" s="9"/>
      <c r="B719" s="8"/>
    </row>
    <row r="720" spans="1:2" x14ac:dyDescent="0.25">
      <c r="A720" s="9"/>
      <c r="B720" s="8"/>
    </row>
    <row r="721" spans="1:2" x14ac:dyDescent="0.25">
      <c r="A721" s="9"/>
      <c r="B721" s="8"/>
    </row>
    <row r="722" spans="1:2" x14ac:dyDescent="0.25">
      <c r="A722" s="9"/>
      <c r="B722" s="8"/>
    </row>
    <row r="723" spans="1:2" x14ac:dyDescent="0.25">
      <c r="A723" s="9"/>
      <c r="B723" s="8"/>
    </row>
    <row r="724" spans="1:2" x14ac:dyDescent="0.25">
      <c r="A724" s="9"/>
      <c r="B724" s="8"/>
    </row>
    <row r="725" spans="1:2" x14ac:dyDescent="0.25">
      <c r="A725" s="9"/>
      <c r="B725" s="8"/>
    </row>
    <row r="726" spans="1:2" x14ac:dyDescent="0.25">
      <c r="A726" s="9"/>
      <c r="B726" s="8"/>
    </row>
    <row r="727" spans="1:2" x14ac:dyDescent="0.25">
      <c r="A727" s="9"/>
      <c r="B727" s="8"/>
    </row>
    <row r="728" spans="1:2" x14ac:dyDescent="0.25">
      <c r="A728" s="9"/>
      <c r="B728" s="8"/>
    </row>
    <row r="729" spans="1:2" x14ac:dyDescent="0.25">
      <c r="A729" s="9"/>
      <c r="B729" s="8"/>
    </row>
    <row r="730" spans="1:2" x14ac:dyDescent="0.25">
      <c r="A730" s="9"/>
      <c r="B730" s="8"/>
    </row>
    <row r="731" spans="1:2" x14ac:dyDescent="0.25">
      <c r="A731" s="9"/>
      <c r="B731" s="8"/>
    </row>
    <row r="732" spans="1:2" x14ac:dyDescent="0.25">
      <c r="A732" s="9"/>
      <c r="B732" s="8"/>
    </row>
    <row r="733" spans="1:2" x14ac:dyDescent="0.25">
      <c r="A733" s="9"/>
      <c r="B733" s="8"/>
    </row>
    <row r="734" spans="1:2" x14ac:dyDescent="0.25">
      <c r="A734" s="9"/>
      <c r="B734" s="8"/>
    </row>
    <row r="735" spans="1:2" x14ac:dyDescent="0.25">
      <c r="A735" s="9"/>
      <c r="B735" s="8"/>
    </row>
    <row r="736" spans="1:2" x14ac:dyDescent="0.25">
      <c r="A736" s="9"/>
      <c r="B736" s="8"/>
    </row>
    <row r="737" spans="1:2" x14ac:dyDescent="0.25">
      <c r="A737" s="9"/>
      <c r="B737" s="8"/>
    </row>
    <row r="738" spans="1:2" x14ac:dyDescent="0.25">
      <c r="A738" s="9"/>
      <c r="B738" s="8"/>
    </row>
    <row r="739" spans="1:2" x14ac:dyDescent="0.25">
      <c r="A739" s="9"/>
      <c r="B739" s="8"/>
    </row>
    <row r="740" spans="1:2" x14ac:dyDescent="0.25">
      <c r="A740" s="9"/>
      <c r="B740" s="8"/>
    </row>
    <row r="741" spans="1:2" x14ac:dyDescent="0.25">
      <c r="A741" s="9"/>
      <c r="B741" s="8"/>
    </row>
    <row r="742" spans="1:2" x14ac:dyDescent="0.25">
      <c r="A742" s="9"/>
      <c r="B742" s="8"/>
    </row>
    <row r="743" spans="1:2" x14ac:dyDescent="0.25">
      <c r="A743" s="9"/>
      <c r="B743" s="8"/>
    </row>
    <row r="744" spans="1:2" x14ac:dyDescent="0.25">
      <c r="A744" s="9"/>
      <c r="B744" s="8"/>
    </row>
    <row r="745" spans="1:2" x14ac:dyDescent="0.25">
      <c r="A745" s="9"/>
      <c r="B745" s="8"/>
    </row>
    <row r="746" spans="1:2" x14ac:dyDescent="0.25">
      <c r="A746" s="9"/>
      <c r="B746" s="8"/>
    </row>
    <row r="747" spans="1:2" x14ac:dyDescent="0.25">
      <c r="A747" s="9"/>
      <c r="B747" s="8"/>
    </row>
    <row r="748" spans="1:2" x14ac:dyDescent="0.25">
      <c r="A748" s="9"/>
      <c r="B748" s="8"/>
    </row>
    <row r="749" spans="1:2" x14ac:dyDescent="0.25">
      <c r="A749" s="9"/>
      <c r="B749" s="8"/>
    </row>
    <row r="750" spans="1:2" x14ac:dyDescent="0.25">
      <c r="A750" s="9"/>
      <c r="B750" s="8"/>
    </row>
    <row r="751" spans="1:2" x14ac:dyDescent="0.25">
      <c r="A751" s="9"/>
      <c r="B751" s="8"/>
    </row>
    <row r="752" spans="1:2" x14ac:dyDescent="0.25">
      <c r="A752" s="9"/>
      <c r="B752" s="8"/>
    </row>
    <row r="753" spans="1:2" x14ac:dyDescent="0.25">
      <c r="A753" s="9"/>
      <c r="B753" s="8"/>
    </row>
    <row r="754" spans="1:2" x14ac:dyDescent="0.25">
      <c r="A754" s="9"/>
      <c r="B754" s="8"/>
    </row>
    <row r="755" spans="1:2" x14ac:dyDescent="0.25">
      <c r="A755" s="9"/>
      <c r="B755" s="8"/>
    </row>
    <row r="756" spans="1:2" x14ac:dyDescent="0.25">
      <c r="A756" s="9"/>
      <c r="B756" s="8"/>
    </row>
    <row r="757" spans="1:2" x14ac:dyDescent="0.25">
      <c r="A757" s="9"/>
      <c r="B757" s="8"/>
    </row>
    <row r="758" spans="1:2" x14ac:dyDescent="0.25">
      <c r="A758" s="9"/>
      <c r="B758" s="8"/>
    </row>
    <row r="759" spans="1:2" x14ac:dyDescent="0.25">
      <c r="A759" s="9"/>
      <c r="B759" s="8"/>
    </row>
    <row r="760" spans="1:2" x14ac:dyDescent="0.25">
      <c r="A760" s="9"/>
      <c r="B760" s="8"/>
    </row>
    <row r="761" spans="1:2" x14ac:dyDescent="0.25">
      <c r="A761" s="9"/>
      <c r="B761" s="8"/>
    </row>
    <row r="762" spans="1:2" x14ac:dyDescent="0.25">
      <c r="A762" s="9"/>
      <c r="B762" s="8"/>
    </row>
    <row r="763" spans="1:2" x14ac:dyDescent="0.25">
      <c r="A763" s="9"/>
      <c r="B763" s="8"/>
    </row>
    <row r="764" spans="1:2" x14ac:dyDescent="0.25">
      <c r="A764" s="9"/>
      <c r="B764" s="8"/>
    </row>
    <row r="765" spans="1:2" x14ac:dyDescent="0.25">
      <c r="A765" s="9"/>
      <c r="B765" s="8"/>
    </row>
    <row r="766" spans="1:2" x14ac:dyDescent="0.25">
      <c r="A766" s="9"/>
      <c r="B766" s="8"/>
    </row>
    <row r="767" spans="1:2" x14ac:dyDescent="0.25">
      <c r="A767" s="9"/>
      <c r="B767" s="8"/>
    </row>
    <row r="768" spans="1:2" x14ac:dyDescent="0.25">
      <c r="A768" s="9"/>
      <c r="B768" s="8"/>
    </row>
    <row r="769" spans="1:2" x14ac:dyDescent="0.25">
      <c r="A769" s="9"/>
      <c r="B769" s="8"/>
    </row>
    <row r="770" spans="1:2" x14ac:dyDescent="0.25">
      <c r="A770" s="9"/>
      <c r="B770" s="8"/>
    </row>
    <row r="771" spans="1:2" x14ac:dyDescent="0.25">
      <c r="A771" s="9"/>
      <c r="B771" s="8"/>
    </row>
    <row r="772" spans="1:2" x14ac:dyDescent="0.25">
      <c r="A772" s="9"/>
      <c r="B772" s="8"/>
    </row>
    <row r="773" spans="1:2" x14ac:dyDescent="0.25">
      <c r="A773" s="9"/>
      <c r="B773" s="8"/>
    </row>
    <row r="774" spans="1:2" x14ac:dyDescent="0.25">
      <c r="A774" s="9"/>
      <c r="B774" s="8"/>
    </row>
    <row r="775" spans="1:2" x14ac:dyDescent="0.25">
      <c r="A775" s="9"/>
      <c r="B775" s="8"/>
    </row>
    <row r="776" spans="1:2" x14ac:dyDescent="0.25">
      <c r="A776" s="9"/>
      <c r="B776" s="8"/>
    </row>
    <row r="777" spans="1:2" x14ac:dyDescent="0.25">
      <c r="A777" s="9"/>
      <c r="B777" s="8"/>
    </row>
    <row r="778" spans="1:2" x14ac:dyDescent="0.25">
      <c r="A778" s="9"/>
      <c r="B778" s="8"/>
    </row>
    <row r="779" spans="1:2" x14ac:dyDescent="0.25">
      <c r="A779" s="9"/>
      <c r="B779" s="8"/>
    </row>
    <row r="780" spans="1:2" x14ac:dyDescent="0.25">
      <c r="A780" s="9"/>
      <c r="B780" s="8"/>
    </row>
    <row r="781" spans="1:2" x14ac:dyDescent="0.25">
      <c r="A781" s="9"/>
      <c r="B781" s="8"/>
    </row>
    <row r="782" spans="1:2" x14ac:dyDescent="0.25">
      <c r="A782" s="9"/>
      <c r="B782" s="8"/>
    </row>
    <row r="783" spans="1:2" x14ac:dyDescent="0.25">
      <c r="A783" s="9"/>
      <c r="B783" s="8"/>
    </row>
    <row r="784" spans="1:2" x14ac:dyDescent="0.25">
      <c r="A784" s="9"/>
      <c r="B784" s="8"/>
    </row>
    <row r="785" spans="1:2" x14ac:dyDescent="0.25">
      <c r="A785" s="9"/>
      <c r="B785" s="8"/>
    </row>
    <row r="786" spans="1:2" x14ac:dyDescent="0.25">
      <c r="A786" s="9"/>
      <c r="B786" s="8"/>
    </row>
    <row r="787" spans="1:2" x14ac:dyDescent="0.25">
      <c r="A787" s="9"/>
      <c r="B787" s="8"/>
    </row>
    <row r="788" spans="1:2" x14ac:dyDescent="0.25">
      <c r="A788" s="9"/>
      <c r="B788" s="8"/>
    </row>
    <row r="789" spans="1:2" x14ac:dyDescent="0.25">
      <c r="A789" s="9"/>
      <c r="B789" s="8"/>
    </row>
    <row r="790" spans="1:2" x14ac:dyDescent="0.25">
      <c r="A790" s="9"/>
      <c r="B790" s="8"/>
    </row>
    <row r="791" spans="1:2" x14ac:dyDescent="0.25">
      <c r="A791" s="9"/>
      <c r="B791" s="8"/>
    </row>
    <row r="792" spans="1:2" x14ac:dyDescent="0.25">
      <c r="A792" s="9"/>
      <c r="B792" s="8"/>
    </row>
    <row r="793" spans="1:2" x14ac:dyDescent="0.25">
      <c r="A793" s="9"/>
      <c r="B793" s="8"/>
    </row>
    <row r="794" spans="1:2" x14ac:dyDescent="0.25">
      <c r="A794" s="9"/>
      <c r="B794" s="8"/>
    </row>
    <row r="795" spans="1:2" x14ac:dyDescent="0.25">
      <c r="A795" s="9"/>
      <c r="B795" s="8"/>
    </row>
    <row r="796" spans="1:2" x14ac:dyDescent="0.25">
      <c r="A796" s="9"/>
      <c r="B796" s="8"/>
    </row>
    <row r="797" spans="1:2" x14ac:dyDescent="0.25">
      <c r="A797" s="9"/>
      <c r="B797" s="8"/>
    </row>
    <row r="798" spans="1:2" x14ac:dyDescent="0.25">
      <c r="A798" s="9"/>
      <c r="B798" s="8"/>
    </row>
    <row r="799" spans="1:2" x14ac:dyDescent="0.25">
      <c r="A799" s="9"/>
      <c r="B799" s="8"/>
    </row>
    <row r="800" spans="1:2" x14ac:dyDescent="0.25">
      <c r="A800" s="9"/>
      <c r="B800" s="8"/>
    </row>
    <row r="801" spans="1:2" x14ac:dyDescent="0.25">
      <c r="A801" s="9"/>
      <c r="B801" s="8"/>
    </row>
    <row r="802" spans="1:2" x14ac:dyDescent="0.25">
      <c r="A802" s="9"/>
      <c r="B802" s="8"/>
    </row>
    <row r="803" spans="1:2" x14ac:dyDescent="0.25">
      <c r="A803" s="9"/>
      <c r="B803" s="8"/>
    </row>
    <row r="804" spans="1:2" x14ac:dyDescent="0.25">
      <c r="A804" s="9"/>
      <c r="B804" s="8"/>
    </row>
    <row r="805" spans="1:2" x14ac:dyDescent="0.25">
      <c r="A805" s="9"/>
      <c r="B805" s="8"/>
    </row>
    <row r="806" spans="1:2" x14ac:dyDescent="0.25">
      <c r="A806" s="9"/>
      <c r="B806" s="8"/>
    </row>
    <row r="807" spans="1:2" x14ac:dyDescent="0.25">
      <c r="A807" s="9"/>
      <c r="B807" s="8"/>
    </row>
    <row r="808" spans="1:2" x14ac:dyDescent="0.25">
      <c r="A808" s="9"/>
      <c r="B808" s="8"/>
    </row>
    <row r="809" spans="1:2" x14ac:dyDescent="0.25">
      <c r="A809" s="9"/>
      <c r="B809" s="8"/>
    </row>
    <row r="810" spans="1:2" x14ac:dyDescent="0.25">
      <c r="A810" s="9"/>
      <c r="B810" s="8"/>
    </row>
    <row r="811" spans="1:2" x14ac:dyDescent="0.25">
      <c r="A811" s="9"/>
      <c r="B811" s="8"/>
    </row>
    <row r="812" spans="1:2" x14ac:dyDescent="0.25">
      <c r="A812" s="9"/>
      <c r="B812" s="8"/>
    </row>
    <row r="813" spans="1:2" x14ac:dyDescent="0.25">
      <c r="A813" s="9"/>
      <c r="B813" s="8"/>
    </row>
    <row r="814" spans="1:2" x14ac:dyDescent="0.25">
      <c r="A814" s="9"/>
      <c r="B814" s="8"/>
    </row>
    <row r="815" spans="1:2" x14ac:dyDescent="0.25">
      <c r="A815" s="9"/>
      <c r="B815" s="8"/>
    </row>
    <row r="816" spans="1:2" x14ac:dyDescent="0.25">
      <c r="A816" s="9"/>
      <c r="B816" s="8"/>
    </row>
    <row r="817" spans="1:2" x14ac:dyDescent="0.25">
      <c r="A817" s="9"/>
      <c r="B817" s="8"/>
    </row>
    <row r="818" spans="1:2" x14ac:dyDescent="0.25">
      <c r="A818" s="9"/>
      <c r="B818" s="8"/>
    </row>
    <row r="819" spans="1:2" x14ac:dyDescent="0.25">
      <c r="A819" s="9"/>
      <c r="B819" s="8"/>
    </row>
    <row r="820" spans="1:2" x14ac:dyDescent="0.25">
      <c r="A820" s="9"/>
      <c r="B820" s="8"/>
    </row>
    <row r="821" spans="1:2" x14ac:dyDescent="0.25">
      <c r="A821" s="9"/>
      <c r="B821" s="8"/>
    </row>
    <row r="822" spans="1:2" x14ac:dyDescent="0.25">
      <c r="A822" s="9"/>
      <c r="B822" s="8"/>
    </row>
    <row r="823" spans="1:2" x14ac:dyDescent="0.25">
      <c r="A823" s="9"/>
      <c r="B823" s="8"/>
    </row>
    <row r="824" spans="1:2" x14ac:dyDescent="0.25">
      <c r="A824" s="9"/>
      <c r="B824" s="8"/>
    </row>
    <row r="825" spans="1:2" x14ac:dyDescent="0.25">
      <c r="A825" s="9"/>
      <c r="B825" s="8"/>
    </row>
    <row r="826" spans="1:2" x14ac:dyDescent="0.25">
      <c r="A826" s="9"/>
      <c r="B826" s="8"/>
    </row>
    <row r="827" spans="1:2" x14ac:dyDescent="0.25">
      <c r="A827" s="9"/>
      <c r="B827" s="8"/>
    </row>
    <row r="828" spans="1:2" x14ac:dyDescent="0.25">
      <c r="A828" s="9"/>
      <c r="B828" s="8"/>
    </row>
    <row r="829" spans="1:2" x14ac:dyDescent="0.25">
      <c r="A829" s="9"/>
      <c r="B829" s="8"/>
    </row>
    <row r="830" spans="1:2" x14ac:dyDescent="0.25">
      <c r="A830" s="9"/>
      <c r="B830" s="8"/>
    </row>
    <row r="831" spans="1:2" x14ac:dyDescent="0.25">
      <c r="A831" s="9"/>
      <c r="B831" s="8"/>
    </row>
    <row r="832" spans="1:2" x14ac:dyDescent="0.25">
      <c r="A832" s="9"/>
      <c r="B832" s="8"/>
    </row>
    <row r="833" spans="1:2" x14ac:dyDescent="0.25">
      <c r="A833" s="9"/>
      <c r="B833" s="8"/>
    </row>
    <row r="834" spans="1:2" x14ac:dyDescent="0.25">
      <c r="A834" s="9"/>
      <c r="B834" s="8"/>
    </row>
    <row r="835" spans="1:2" x14ac:dyDescent="0.25">
      <c r="A835" s="9"/>
      <c r="B835" s="8"/>
    </row>
    <row r="836" spans="1:2" x14ac:dyDescent="0.25">
      <c r="A836" s="9"/>
      <c r="B836" s="8"/>
    </row>
    <row r="837" spans="1:2" x14ac:dyDescent="0.25">
      <c r="A837" s="9"/>
      <c r="B837" s="8"/>
    </row>
    <row r="838" spans="1:2" x14ac:dyDescent="0.25">
      <c r="A838" s="9"/>
      <c r="B838" s="8"/>
    </row>
    <row r="839" spans="1:2" x14ac:dyDescent="0.25">
      <c r="A839" s="9"/>
      <c r="B839" s="8"/>
    </row>
    <row r="840" spans="1:2" x14ac:dyDescent="0.25">
      <c r="A840" s="9"/>
      <c r="B840" s="8"/>
    </row>
    <row r="841" spans="1:2" x14ac:dyDescent="0.25">
      <c r="A841" s="9"/>
      <c r="B841" s="8"/>
    </row>
    <row r="842" spans="1:2" x14ac:dyDescent="0.25">
      <c r="A842" s="9"/>
      <c r="B842" s="8"/>
    </row>
    <row r="843" spans="1:2" x14ac:dyDescent="0.25">
      <c r="A843" s="9"/>
      <c r="B843" s="8"/>
    </row>
    <row r="844" spans="1:2" x14ac:dyDescent="0.25">
      <c r="A844" s="9"/>
      <c r="B844" s="8"/>
    </row>
    <row r="845" spans="1:2" x14ac:dyDescent="0.25">
      <c r="A845" s="9"/>
      <c r="B845" s="8"/>
    </row>
    <row r="846" spans="1:2" x14ac:dyDescent="0.25">
      <c r="A846" s="9"/>
      <c r="B846" s="8"/>
    </row>
    <row r="847" spans="1:2" x14ac:dyDescent="0.25">
      <c r="A847" s="9"/>
      <c r="B847" s="8"/>
    </row>
    <row r="848" spans="1:2" x14ac:dyDescent="0.25">
      <c r="A848" s="9"/>
      <c r="B848" s="8"/>
    </row>
    <row r="849" spans="1:2" x14ac:dyDescent="0.25">
      <c r="A849" s="9"/>
      <c r="B849" s="8"/>
    </row>
    <row r="850" spans="1:2" x14ac:dyDescent="0.25">
      <c r="A850" s="9"/>
      <c r="B850" s="8"/>
    </row>
    <row r="851" spans="1:2" x14ac:dyDescent="0.25">
      <c r="A851" s="9"/>
      <c r="B851" s="8"/>
    </row>
    <row r="852" spans="1:2" x14ac:dyDescent="0.25">
      <c r="A852" s="9"/>
      <c r="B852" s="8"/>
    </row>
    <row r="853" spans="1:2" x14ac:dyDescent="0.25">
      <c r="A853" s="9"/>
      <c r="B853" s="8"/>
    </row>
    <row r="854" spans="1:2" x14ac:dyDescent="0.25">
      <c r="A854" s="9"/>
      <c r="B854" s="8"/>
    </row>
    <row r="855" spans="1:2" x14ac:dyDescent="0.25">
      <c r="A855" s="9"/>
      <c r="B855" s="8"/>
    </row>
    <row r="856" spans="1:2" x14ac:dyDescent="0.25">
      <c r="A856" s="9"/>
      <c r="B856" s="8"/>
    </row>
    <row r="857" spans="1:2" x14ac:dyDescent="0.25">
      <c r="A857" s="9"/>
      <c r="B857" s="8"/>
    </row>
    <row r="858" spans="1:2" x14ac:dyDescent="0.25">
      <c r="A858" s="9"/>
      <c r="B858" s="8"/>
    </row>
    <row r="859" spans="1:2" x14ac:dyDescent="0.25">
      <c r="A859" s="9"/>
      <c r="B859" s="8"/>
    </row>
    <row r="860" spans="1:2" x14ac:dyDescent="0.25">
      <c r="A860" s="9"/>
      <c r="B860" s="8"/>
    </row>
    <row r="861" spans="1:2" x14ac:dyDescent="0.25">
      <c r="A861" s="9"/>
      <c r="B861" s="8"/>
    </row>
    <row r="862" spans="1:2" x14ac:dyDescent="0.25">
      <c r="A862" s="9"/>
      <c r="B862" s="8"/>
    </row>
    <row r="863" spans="1:2" x14ac:dyDescent="0.25">
      <c r="A863" s="9"/>
      <c r="B863" s="8"/>
    </row>
    <row r="864" spans="1:2" x14ac:dyDescent="0.25">
      <c r="A864" s="9"/>
      <c r="B864" s="8"/>
    </row>
    <row r="865" spans="1:2" x14ac:dyDescent="0.25">
      <c r="A865" s="9"/>
      <c r="B865" s="8"/>
    </row>
    <row r="866" spans="1:2" x14ac:dyDescent="0.25">
      <c r="A866" s="9"/>
      <c r="B866" s="8"/>
    </row>
    <row r="867" spans="1:2" x14ac:dyDescent="0.25">
      <c r="A867" s="9"/>
      <c r="B867" s="8"/>
    </row>
    <row r="868" spans="1:2" x14ac:dyDescent="0.25">
      <c r="A868" s="9"/>
      <c r="B868" s="8"/>
    </row>
    <row r="869" spans="1:2" x14ac:dyDescent="0.25">
      <c r="A869" s="9"/>
      <c r="B869" s="8"/>
    </row>
    <row r="870" spans="1:2" x14ac:dyDescent="0.25">
      <c r="A870" s="9"/>
      <c r="B870" s="8"/>
    </row>
    <row r="871" spans="1:2" x14ac:dyDescent="0.25">
      <c r="A871" s="9"/>
      <c r="B871" s="8"/>
    </row>
    <row r="872" spans="1:2" x14ac:dyDescent="0.25">
      <c r="A872" s="9"/>
      <c r="B872" s="8"/>
    </row>
    <row r="873" spans="1:2" x14ac:dyDescent="0.25">
      <c r="A873" s="9"/>
      <c r="B873" s="8"/>
    </row>
    <row r="874" spans="1:2" x14ac:dyDescent="0.25">
      <c r="A874" s="9"/>
      <c r="B874" s="8"/>
    </row>
    <row r="875" spans="1:2" x14ac:dyDescent="0.25">
      <c r="A875" s="9"/>
      <c r="B875" s="8"/>
    </row>
    <row r="876" spans="1:2" x14ac:dyDescent="0.25">
      <c r="A876" s="9"/>
      <c r="B876" s="8"/>
    </row>
    <row r="877" spans="1:2" x14ac:dyDescent="0.25">
      <c r="A877" s="9"/>
      <c r="B877" s="8"/>
    </row>
    <row r="878" spans="1:2" x14ac:dyDescent="0.25">
      <c r="A878" s="9"/>
      <c r="B878" s="8"/>
    </row>
    <row r="879" spans="1:2" x14ac:dyDescent="0.25">
      <c r="A879" s="9"/>
      <c r="B879" s="8"/>
    </row>
    <row r="880" spans="1:2" x14ac:dyDescent="0.25">
      <c r="A880" s="9"/>
      <c r="B880" s="8"/>
    </row>
    <row r="881" spans="1:2" x14ac:dyDescent="0.25">
      <c r="A881" s="9"/>
      <c r="B881" s="8"/>
    </row>
    <row r="882" spans="1:2" x14ac:dyDescent="0.25">
      <c r="A882" s="9"/>
      <c r="B882" s="8"/>
    </row>
    <row r="883" spans="1:2" x14ac:dyDescent="0.25">
      <c r="A883" s="9"/>
      <c r="B883" s="8"/>
    </row>
    <row r="884" spans="1:2" x14ac:dyDescent="0.25">
      <c r="A884" s="9"/>
      <c r="B884" s="8"/>
    </row>
    <row r="885" spans="1:2" x14ac:dyDescent="0.25">
      <c r="A885" s="9"/>
      <c r="B885" s="8"/>
    </row>
    <row r="886" spans="1:2" x14ac:dyDescent="0.25">
      <c r="A886" s="9"/>
      <c r="B886" s="8"/>
    </row>
    <row r="887" spans="1:2" x14ac:dyDescent="0.25">
      <c r="A887" s="9"/>
      <c r="B887" s="8"/>
    </row>
    <row r="888" spans="1:2" x14ac:dyDescent="0.25">
      <c r="A888" s="9"/>
      <c r="B888" s="8"/>
    </row>
    <row r="889" spans="1:2" x14ac:dyDescent="0.25">
      <c r="A889" s="9"/>
      <c r="B889" s="8"/>
    </row>
    <row r="890" spans="1:2" x14ac:dyDescent="0.25">
      <c r="A890" s="9"/>
      <c r="B890" s="8"/>
    </row>
    <row r="891" spans="1:2" x14ac:dyDescent="0.25">
      <c r="A891" s="9"/>
      <c r="B891" s="8"/>
    </row>
    <row r="892" spans="1:2" x14ac:dyDescent="0.25">
      <c r="A892" s="9"/>
      <c r="B892" s="8"/>
    </row>
    <row r="893" spans="1:2" x14ac:dyDescent="0.25">
      <c r="A893" s="9"/>
      <c r="B893" s="8"/>
    </row>
    <row r="894" spans="1:2" x14ac:dyDescent="0.25">
      <c r="A894" s="9"/>
      <c r="B894" s="8"/>
    </row>
    <row r="895" spans="1:2" x14ac:dyDescent="0.25">
      <c r="A895" s="9"/>
      <c r="B895" s="8"/>
    </row>
    <row r="896" spans="1:2" x14ac:dyDescent="0.25">
      <c r="A896" s="9"/>
      <c r="B896" s="8"/>
    </row>
    <row r="897" spans="1:2" x14ac:dyDescent="0.25">
      <c r="A897" s="9"/>
      <c r="B897" s="8"/>
    </row>
    <row r="898" spans="1:2" x14ac:dyDescent="0.25">
      <c r="A898" s="9"/>
      <c r="B898" s="8"/>
    </row>
    <row r="899" spans="1:2" x14ac:dyDescent="0.25">
      <c r="A899" s="9"/>
      <c r="B899" s="8"/>
    </row>
    <row r="900" spans="1:2" x14ac:dyDescent="0.25">
      <c r="A900" s="9"/>
      <c r="B900" s="8"/>
    </row>
    <row r="901" spans="1:2" x14ac:dyDescent="0.25">
      <c r="A901" s="9"/>
      <c r="B901" s="8"/>
    </row>
    <row r="902" spans="1:2" x14ac:dyDescent="0.25">
      <c r="A902" s="9"/>
      <c r="B902" s="8"/>
    </row>
    <row r="903" spans="1:2" x14ac:dyDescent="0.25">
      <c r="A903" s="9"/>
      <c r="B903" s="8"/>
    </row>
    <row r="904" spans="1:2" x14ac:dyDescent="0.25">
      <c r="A904" s="9"/>
      <c r="B904" s="8"/>
    </row>
    <row r="905" spans="1:2" x14ac:dyDescent="0.25">
      <c r="A905" s="9"/>
      <c r="B905" s="8"/>
    </row>
    <row r="906" spans="1:2" x14ac:dyDescent="0.25">
      <c r="A906" s="9"/>
      <c r="B906" s="8"/>
    </row>
    <row r="907" spans="1:2" x14ac:dyDescent="0.25">
      <c r="A907" s="9"/>
      <c r="B907" s="8"/>
    </row>
    <row r="908" spans="1:2" x14ac:dyDescent="0.25">
      <c r="A908" s="9"/>
      <c r="B908" s="8"/>
    </row>
    <row r="909" spans="1:2" x14ac:dyDescent="0.25">
      <c r="A909" s="9"/>
      <c r="B909" s="8"/>
    </row>
    <row r="910" spans="1:2" x14ac:dyDescent="0.25">
      <c r="A910" s="9"/>
      <c r="B910" s="8"/>
    </row>
    <row r="911" spans="1:2" x14ac:dyDescent="0.25">
      <c r="A911" s="9"/>
      <c r="B911" s="8"/>
    </row>
    <row r="912" spans="1:2" x14ac:dyDescent="0.25">
      <c r="A912" s="9"/>
      <c r="B912" s="8"/>
    </row>
    <row r="913" spans="1:2" x14ac:dyDescent="0.25">
      <c r="A913" s="9"/>
      <c r="B913" s="8"/>
    </row>
    <row r="914" spans="1:2" x14ac:dyDescent="0.25">
      <c r="A914" s="9"/>
      <c r="B914" s="8"/>
    </row>
    <row r="915" spans="1:2" x14ac:dyDescent="0.25">
      <c r="A915" s="9"/>
      <c r="B915" s="8"/>
    </row>
    <row r="916" spans="1:2" x14ac:dyDescent="0.25">
      <c r="A916" s="9"/>
      <c r="B916" s="8"/>
    </row>
    <row r="917" spans="1:2" x14ac:dyDescent="0.25">
      <c r="A917" s="9"/>
      <c r="B917" s="8"/>
    </row>
    <row r="918" spans="1:2" x14ac:dyDescent="0.25">
      <c r="A918" s="9"/>
      <c r="B918" s="8"/>
    </row>
    <row r="919" spans="1:2" x14ac:dyDescent="0.25">
      <c r="A919" s="9"/>
      <c r="B919" s="8"/>
    </row>
    <row r="920" spans="1:2" x14ac:dyDescent="0.25">
      <c r="A920" s="9"/>
      <c r="B920" s="8"/>
    </row>
    <row r="921" spans="1:2" x14ac:dyDescent="0.25">
      <c r="A921" s="9"/>
      <c r="B921" s="8"/>
    </row>
    <row r="922" spans="1:2" x14ac:dyDescent="0.25">
      <c r="A922" s="9"/>
      <c r="B922" s="8"/>
    </row>
    <row r="923" spans="1:2" x14ac:dyDescent="0.25">
      <c r="A923" s="9"/>
      <c r="B923" s="8"/>
    </row>
    <row r="924" spans="1:2" x14ac:dyDescent="0.25">
      <c r="A924" s="9"/>
      <c r="B924" s="8"/>
    </row>
    <row r="925" spans="1:2" x14ac:dyDescent="0.25">
      <c r="A925" s="9"/>
      <c r="B925" s="8"/>
    </row>
    <row r="926" spans="1:2" x14ac:dyDescent="0.25">
      <c r="A926" s="9"/>
      <c r="B926" s="8"/>
    </row>
    <row r="927" spans="1:2" x14ac:dyDescent="0.25">
      <c r="A927" s="9"/>
      <c r="B927" s="8"/>
    </row>
    <row r="928" spans="1:2" x14ac:dyDescent="0.25">
      <c r="A928" s="9"/>
      <c r="B928" s="8"/>
    </row>
    <row r="929" spans="1:2" x14ac:dyDescent="0.25">
      <c r="A929" s="9"/>
      <c r="B929" s="8"/>
    </row>
    <row r="930" spans="1:2" x14ac:dyDescent="0.25">
      <c r="A930" s="9"/>
      <c r="B930" s="8"/>
    </row>
    <row r="931" spans="1:2" x14ac:dyDescent="0.25">
      <c r="A931" s="9"/>
      <c r="B931" s="8"/>
    </row>
    <row r="932" spans="1:2" x14ac:dyDescent="0.25">
      <c r="A932" s="9"/>
      <c r="B932" s="8"/>
    </row>
    <row r="933" spans="1:2" x14ac:dyDescent="0.25">
      <c r="A933" s="9"/>
      <c r="B933" s="8"/>
    </row>
    <row r="934" spans="1:2" x14ac:dyDescent="0.25">
      <c r="A934" s="9"/>
      <c r="B934" s="8"/>
    </row>
    <row r="935" spans="1:2" x14ac:dyDescent="0.25">
      <c r="A935" s="9"/>
      <c r="B935" s="8"/>
    </row>
    <row r="936" spans="1:2" x14ac:dyDescent="0.25">
      <c r="A936" s="9"/>
      <c r="B936" s="8"/>
    </row>
    <row r="937" spans="1:2" x14ac:dyDescent="0.25">
      <c r="A937" s="9"/>
      <c r="B937" s="8"/>
    </row>
    <row r="938" spans="1:2" x14ac:dyDescent="0.25">
      <c r="A938" s="9"/>
      <c r="B938" s="8"/>
    </row>
    <row r="939" spans="1:2" x14ac:dyDescent="0.25">
      <c r="A939" s="9"/>
      <c r="B939" s="8"/>
    </row>
    <row r="940" spans="1:2" x14ac:dyDescent="0.25">
      <c r="A940" s="9"/>
      <c r="B940" s="8"/>
    </row>
    <row r="941" spans="1:2" x14ac:dyDescent="0.25">
      <c r="A941" s="9"/>
      <c r="B941" s="8"/>
    </row>
    <row r="942" spans="1:2" x14ac:dyDescent="0.25">
      <c r="A942" s="9"/>
      <c r="B942" s="8"/>
    </row>
    <row r="943" spans="1:2" x14ac:dyDescent="0.25">
      <c r="A943" s="9"/>
      <c r="B943" s="8"/>
    </row>
    <row r="944" spans="1:2" x14ac:dyDescent="0.25">
      <c r="A944" s="9"/>
      <c r="B944" s="8"/>
    </row>
    <row r="945" spans="1:2" x14ac:dyDescent="0.25">
      <c r="A945" s="9"/>
      <c r="B945" s="8"/>
    </row>
    <row r="946" spans="1:2" x14ac:dyDescent="0.25">
      <c r="A946" s="9"/>
      <c r="B946" s="8"/>
    </row>
    <row r="947" spans="1:2" x14ac:dyDescent="0.25">
      <c r="A947" s="9"/>
      <c r="B947" s="8"/>
    </row>
    <row r="948" spans="1:2" x14ac:dyDescent="0.25">
      <c r="A948" s="9"/>
      <c r="B948" s="8"/>
    </row>
    <row r="949" spans="1:2" x14ac:dyDescent="0.25">
      <c r="A949" s="9"/>
      <c r="B949" s="8"/>
    </row>
    <row r="950" spans="1:2" x14ac:dyDescent="0.25">
      <c r="A950" s="9"/>
      <c r="B950" s="8"/>
    </row>
    <row r="951" spans="1:2" x14ac:dyDescent="0.25">
      <c r="A951" s="9"/>
      <c r="B951" s="8"/>
    </row>
    <row r="952" spans="1:2" x14ac:dyDescent="0.25">
      <c r="A952" s="9"/>
      <c r="B952" s="8"/>
    </row>
    <row r="953" spans="1:2" x14ac:dyDescent="0.25">
      <c r="A953" s="9"/>
      <c r="B953" s="8"/>
    </row>
    <row r="954" spans="1:2" x14ac:dyDescent="0.25">
      <c r="A954" s="9"/>
      <c r="B954" s="8"/>
    </row>
    <row r="955" spans="1:2" x14ac:dyDescent="0.25">
      <c r="A955" s="9"/>
      <c r="B955" s="8"/>
    </row>
    <row r="956" spans="1:2" x14ac:dyDescent="0.25">
      <c r="A956" s="9"/>
      <c r="B956" s="8"/>
    </row>
    <row r="957" spans="1:2" x14ac:dyDescent="0.25">
      <c r="A957" s="9"/>
      <c r="B957" s="8"/>
    </row>
    <row r="958" spans="1:2" x14ac:dyDescent="0.25">
      <c r="A958" s="9"/>
      <c r="B958" s="8"/>
    </row>
    <row r="959" spans="1:2" x14ac:dyDescent="0.25">
      <c r="A959" s="9"/>
      <c r="B959" s="8"/>
    </row>
    <row r="960" spans="1:2" x14ac:dyDescent="0.25">
      <c r="A960" s="9"/>
      <c r="B960" s="8"/>
    </row>
    <row r="961" spans="1:2" x14ac:dyDescent="0.25">
      <c r="A961" s="9"/>
      <c r="B961" s="8"/>
    </row>
    <row r="962" spans="1:2" x14ac:dyDescent="0.25">
      <c r="A962" s="9"/>
      <c r="B962" s="8"/>
    </row>
    <row r="963" spans="1:2" x14ac:dyDescent="0.25">
      <c r="A963" s="9"/>
      <c r="B963" s="8"/>
    </row>
    <row r="964" spans="1:2" x14ac:dyDescent="0.25">
      <c r="A964" s="9"/>
      <c r="B964" s="8"/>
    </row>
    <row r="965" spans="1:2" x14ac:dyDescent="0.25">
      <c r="A965" s="9"/>
      <c r="B965" s="8"/>
    </row>
    <row r="966" spans="1:2" x14ac:dyDescent="0.25">
      <c r="A966" s="9"/>
      <c r="B966" s="8"/>
    </row>
    <row r="967" spans="1:2" x14ac:dyDescent="0.25">
      <c r="A967" s="9"/>
      <c r="B967" s="8"/>
    </row>
    <row r="968" spans="1:2" x14ac:dyDescent="0.25">
      <c r="A968" s="9"/>
      <c r="B968" s="8"/>
    </row>
    <row r="969" spans="1:2" x14ac:dyDescent="0.25">
      <c r="A969" s="9"/>
      <c r="B969" s="8"/>
    </row>
    <row r="970" spans="1:2" x14ac:dyDescent="0.25">
      <c r="A970" s="9"/>
      <c r="B970" s="8"/>
    </row>
    <row r="971" spans="1:2" x14ac:dyDescent="0.25">
      <c r="A971" s="9"/>
      <c r="B971" s="8"/>
    </row>
    <row r="972" spans="1:2" x14ac:dyDescent="0.25">
      <c r="A972" s="9"/>
      <c r="B972" s="8"/>
    </row>
    <row r="973" spans="1:2" x14ac:dyDescent="0.25">
      <c r="A973" s="9"/>
      <c r="B973" s="8"/>
    </row>
    <row r="974" spans="1:2" x14ac:dyDescent="0.25">
      <c r="A974" s="9"/>
      <c r="B974" s="8"/>
    </row>
    <row r="975" spans="1:2" x14ac:dyDescent="0.25">
      <c r="A975" s="9"/>
      <c r="B975" s="8"/>
    </row>
    <row r="976" spans="1:2" x14ac:dyDescent="0.25">
      <c r="A976" s="9"/>
      <c r="B976" s="8"/>
    </row>
    <row r="977" spans="1:2" x14ac:dyDescent="0.25">
      <c r="A977" s="9"/>
      <c r="B977" s="8"/>
    </row>
    <row r="978" spans="1:2" x14ac:dyDescent="0.25">
      <c r="A978" s="9"/>
      <c r="B978" s="8"/>
    </row>
    <row r="979" spans="1:2" x14ac:dyDescent="0.25">
      <c r="A979" s="9"/>
      <c r="B979" s="8"/>
    </row>
    <row r="980" spans="1:2" x14ac:dyDescent="0.25">
      <c r="A980" s="9"/>
      <c r="B980" s="8"/>
    </row>
    <row r="981" spans="1:2" x14ac:dyDescent="0.25">
      <c r="A981" s="9"/>
      <c r="B981" s="8"/>
    </row>
    <row r="982" spans="1:2" x14ac:dyDescent="0.25">
      <c r="A982" s="9"/>
      <c r="B982" s="8"/>
    </row>
    <row r="983" spans="1:2" x14ac:dyDescent="0.25">
      <c r="A983" s="9"/>
      <c r="B983" s="8"/>
    </row>
    <row r="984" spans="1:2" x14ac:dyDescent="0.25">
      <c r="A984" s="9"/>
      <c r="B984" s="8"/>
    </row>
    <row r="985" spans="1:2" x14ac:dyDescent="0.25">
      <c r="A985" s="9"/>
      <c r="B985" s="8"/>
    </row>
    <row r="986" spans="1:2" x14ac:dyDescent="0.25">
      <c r="A986" s="9"/>
      <c r="B986" s="8"/>
    </row>
    <row r="987" spans="1:2" x14ac:dyDescent="0.25">
      <c r="A987" s="9"/>
      <c r="B987" s="8"/>
    </row>
    <row r="988" spans="1:2" x14ac:dyDescent="0.25">
      <c r="A988" s="9"/>
      <c r="B988" s="8"/>
    </row>
    <row r="989" spans="1:2" x14ac:dyDescent="0.25">
      <c r="A989" s="9"/>
      <c r="B989" s="8"/>
    </row>
    <row r="990" spans="1:2" x14ac:dyDescent="0.25">
      <c r="A990" s="9"/>
      <c r="B990" s="8"/>
    </row>
    <row r="991" spans="1:2" x14ac:dyDescent="0.25">
      <c r="A991" s="9"/>
      <c r="B991" s="8"/>
    </row>
    <row r="992" spans="1:2" x14ac:dyDescent="0.25">
      <c r="A992" s="9"/>
      <c r="B992" s="8"/>
    </row>
    <row r="993" spans="1:2" x14ac:dyDescent="0.25">
      <c r="A993" s="9"/>
      <c r="B993" s="8"/>
    </row>
    <row r="994" spans="1:2" x14ac:dyDescent="0.25">
      <c r="A994" s="9"/>
      <c r="B994" s="8"/>
    </row>
    <row r="995" spans="1:2" x14ac:dyDescent="0.25">
      <c r="A995" s="9"/>
      <c r="B995" s="8"/>
    </row>
    <row r="996" spans="1:2" x14ac:dyDescent="0.25">
      <c r="A996" s="9"/>
      <c r="B996" s="8"/>
    </row>
    <row r="997" spans="1:2" x14ac:dyDescent="0.25">
      <c r="A997" s="9"/>
      <c r="B997" s="8"/>
    </row>
    <row r="998" spans="1:2" x14ac:dyDescent="0.25">
      <c r="A998" s="9"/>
      <c r="B998" s="8"/>
    </row>
    <row r="999" spans="1:2" x14ac:dyDescent="0.25">
      <c r="A999" s="9"/>
      <c r="B999" s="8"/>
    </row>
    <row r="1000" spans="1:2" x14ac:dyDescent="0.25">
      <c r="A1000" s="9"/>
      <c r="B1000" s="8"/>
    </row>
    <row r="1001" spans="1:2" x14ac:dyDescent="0.25">
      <c r="A1001" s="9"/>
      <c r="B1001" s="8"/>
    </row>
    <row r="1002" spans="1:2" x14ac:dyDescent="0.25">
      <c r="A1002" s="9"/>
      <c r="B1002" s="8"/>
    </row>
    <row r="1003" spans="1:2" x14ac:dyDescent="0.25">
      <c r="A1003" s="9"/>
      <c r="B1003" s="8"/>
    </row>
    <row r="1004" spans="1:2" x14ac:dyDescent="0.25">
      <c r="A1004" s="9"/>
      <c r="B1004" s="8"/>
    </row>
    <row r="1005" spans="1:2" x14ac:dyDescent="0.25">
      <c r="A1005" s="9"/>
      <c r="B1005" s="8"/>
    </row>
    <row r="1006" spans="1:2" x14ac:dyDescent="0.25">
      <c r="A1006" s="9"/>
      <c r="B1006" s="8"/>
    </row>
    <row r="1007" spans="1:2" x14ac:dyDescent="0.25">
      <c r="A1007" s="9"/>
      <c r="B1007" s="8"/>
    </row>
    <row r="1008" spans="1:2" x14ac:dyDescent="0.25">
      <c r="A1008" s="9"/>
      <c r="B1008" s="8"/>
    </row>
    <row r="1009" spans="1:2" x14ac:dyDescent="0.25">
      <c r="A1009" s="9"/>
      <c r="B1009" s="8"/>
    </row>
    <row r="1010" spans="1:2" x14ac:dyDescent="0.25">
      <c r="A1010" s="9"/>
      <c r="B1010" s="8"/>
    </row>
    <row r="1011" spans="1:2" x14ac:dyDescent="0.25">
      <c r="A1011" s="9"/>
      <c r="B1011" s="8"/>
    </row>
    <row r="1012" spans="1:2" x14ac:dyDescent="0.25">
      <c r="A1012" s="9"/>
      <c r="B1012" s="8"/>
    </row>
    <row r="1013" spans="1:2" x14ac:dyDescent="0.25">
      <c r="A1013" s="9"/>
      <c r="B1013" s="8"/>
    </row>
    <row r="1014" spans="1:2" x14ac:dyDescent="0.25">
      <c r="A1014" s="9"/>
      <c r="B1014" s="8"/>
    </row>
    <row r="1015" spans="1:2" x14ac:dyDescent="0.25">
      <c r="A1015" s="9"/>
      <c r="B1015" s="8"/>
    </row>
    <row r="1016" spans="1:2" x14ac:dyDescent="0.25">
      <c r="A1016" s="9"/>
      <c r="B1016" s="8"/>
    </row>
    <row r="1017" spans="1:2" x14ac:dyDescent="0.25">
      <c r="A1017" s="9"/>
      <c r="B1017" s="8"/>
    </row>
    <row r="1018" spans="1:2" x14ac:dyDescent="0.25">
      <c r="A1018" s="9"/>
      <c r="B1018" s="8"/>
    </row>
    <row r="1019" spans="1:2" x14ac:dyDescent="0.25">
      <c r="A1019" s="9"/>
      <c r="B1019" s="8"/>
    </row>
    <row r="1020" spans="1:2" x14ac:dyDescent="0.25">
      <c r="A1020" s="9"/>
      <c r="B1020" s="8"/>
    </row>
    <row r="1021" spans="1:2" x14ac:dyDescent="0.25">
      <c r="A1021" s="9"/>
      <c r="B1021" s="8"/>
    </row>
    <row r="1022" spans="1:2" x14ac:dyDescent="0.25">
      <c r="A1022" s="9"/>
      <c r="B1022" s="8"/>
    </row>
    <row r="1023" spans="1:2" x14ac:dyDescent="0.25">
      <c r="A1023" s="9"/>
      <c r="B1023" s="8"/>
    </row>
    <row r="1024" spans="1:2" x14ac:dyDescent="0.25">
      <c r="A1024" s="9"/>
      <c r="B1024" s="8"/>
    </row>
    <row r="1025" spans="1:2" x14ac:dyDescent="0.25">
      <c r="A1025" s="9"/>
      <c r="B1025" s="8"/>
    </row>
    <row r="1026" spans="1:2" x14ac:dyDescent="0.25">
      <c r="A1026" s="9"/>
      <c r="B1026" s="8"/>
    </row>
    <row r="1027" spans="1:2" x14ac:dyDescent="0.25">
      <c r="A1027" s="9"/>
      <c r="B1027" s="8"/>
    </row>
    <row r="1028" spans="1:2" x14ac:dyDescent="0.25">
      <c r="A1028" s="9"/>
      <c r="B1028" s="8"/>
    </row>
    <row r="1029" spans="1:2" x14ac:dyDescent="0.25">
      <c r="A1029" s="9"/>
      <c r="B1029" s="8"/>
    </row>
    <row r="1030" spans="1:2" x14ac:dyDescent="0.25">
      <c r="A1030" s="9"/>
      <c r="B1030" s="8"/>
    </row>
    <row r="1031" spans="1:2" x14ac:dyDescent="0.25">
      <c r="A1031" s="9"/>
      <c r="B1031" s="8"/>
    </row>
    <row r="1032" spans="1:2" x14ac:dyDescent="0.25">
      <c r="A1032" s="9"/>
      <c r="B1032" s="8"/>
    </row>
    <row r="1033" spans="1:2" x14ac:dyDescent="0.25">
      <c r="A1033" s="9"/>
      <c r="B1033" s="8"/>
    </row>
    <row r="1034" spans="1:2" x14ac:dyDescent="0.25">
      <c r="A1034" s="9"/>
      <c r="B1034" s="8"/>
    </row>
    <row r="1035" spans="1:2" x14ac:dyDescent="0.25">
      <c r="A1035" s="9"/>
      <c r="B1035" s="8"/>
    </row>
    <row r="1036" spans="1:2" x14ac:dyDescent="0.25">
      <c r="A1036" s="9"/>
      <c r="B1036" s="8"/>
    </row>
    <row r="1037" spans="1:2" x14ac:dyDescent="0.25">
      <c r="A1037" s="9"/>
      <c r="B1037" s="8"/>
    </row>
    <row r="1038" spans="1:2" x14ac:dyDescent="0.25">
      <c r="A1038" s="9"/>
      <c r="B1038" s="8"/>
    </row>
    <row r="1039" spans="1:2" x14ac:dyDescent="0.25">
      <c r="A1039" s="9"/>
      <c r="B1039" s="8"/>
    </row>
    <row r="1040" spans="1:2" x14ac:dyDescent="0.25">
      <c r="A1040" s="9"/>
      <c r="B1040" s="8"/>
    </row>
    <row r="1041" spans="1:2" x14ac:dyDescent="0.25">
      <c r="A1041" s="9"/>
      <c r="B1041" s="8"/>
    </row>
    <row r="1042" spans="1:2" x14ac:dyDescent="0.25">
      <c r="A1042" s="9"/>
      <c r="B1042" s="8"/>
    </row>
    <row r="1043" spans="1:2" x14ac:dyDescent="0.25">
      <c r="A1043" s="9"/>
      <c r="B1043" s="8"/>
    </row>
    <row r="1044" spans="1:2" x14ac:dyDescent="0.25">
      <c r="A1044" s="9"/>
      <c r="B1044" s="8"/>
    </row>
    <row r="1045" spans="1:2" x14ac:dyDescent="0.25">
      <c r="A1045" s="9"/>
      <c r="B1045" s="8"/>
    </row>
    <row r="1046" spans="1:2" x14ac:dyDescent="0.25">
      <c r="A1046" s="9"/>
      <c r="B1046" s="8"/>
    </row>
    <row r="1047" spans="1:2" x14ac:dyDescent="0.25">
      <c r="A1047" s="9"/>
      <c r="B1047" s="8"/>
    </row>
    <row r="1048" spans="1:2" x14ac:dyDescent="0.25">
      <c r="A1048" s="9"/>
      <c r="B1048" s="8"/>
    </row>
    <row r="1049" spans="1:2" x14ac:dyDescent="0.25">
      <c r="A1049" s="9"/>
      <c r="B1049" s="8"/>
    </row>
    <row r="1050" spans="1:2" x14ac:dyDescent="0.25">
      <c r="A1050" s="9"/>
      <c r="B1050" s="8"/>
    </row>
    <row r="1051" spans="1:2" x14ac:dyDescent="0.25">
      <c r="A1051" s="9"/>
      <c r="B1051" s="8"/>
    </row>
    <row r="1052" spans="1:2" x14ac:dyDescent="0.25">
      <c r="A1052" s="9"/>
      <c r="B1052" s="8"/>
    </row>
    <row r="1053" spans="1:2" x14ac:dyDescent="0.25">
      <c r="A1053" s="9"/>
      <c r="B1053" s="8"/>
    </row>
    <row r="1054" spans="1:2" x14ac:dyDescent="0.25">
      <c r="A1054" s="9"/>
      <c r="B1054" s="8"/>
    </row>
    <row r="1055" spans="1:2" x14ac:dyDescent="0.25">
      <c r="A1055" s="9"/>
      <c r="B1055" s="8"/>
    </row>
    <row r="1056" spans="1:2" x14ac:dyDescent="0.25">
      <c r="A1056" s="9"/>
      <c r="B1056" s="8"/>
    </row>
    <row r="1057" spans="1:2" x14ac:dyDescent="0.25">
      <c r="A1057" s="9"/>
      <c r="B1057" s="8"/>
    </row>
    <row r="1058" spans="1:2" x14ac:dyDescent="0.25">
      <c r="A1058" s="9"/>
      <c r="B1058" s="8"/>
    </row>
    <row r="1059" spans="1:2" x14ac:dyDescent="0.25">
      <c r="A1059" s="9"/>
      <c r="B1059" s="8"/>
    </row>
    <row r="1060" spans="1:2" x14ac:dyDescent="0.25">
      <c r="A1060" s="9"/>
      <c r="B1060" s="8"/>
    </row>
    <row r="1061" spans="1:2" x14ac:dyDescent="0.25">
      <c r="A1061" s="9"/>
      <c r="B1061" s="8"/>
    </row>
    <row r="1062" spans="1:2" x14ac:dyDescent="0.25">
      <c r="A1062" s="9"/>
      <c r="B1062" s="8"/>
    </row>
    <row r="1063" spans="1:2" x14ac:dyDescent="0.25">
      <c r="A1063" s="9"/>
      <c r="B1063" s="8"/>
    </row>
    <row r="1064" spans="1:2" x14ac:dyDescent="0.25">
      <c r="A1064" s="9"/>
      <c r="B1064" s="8"/>
    </row>
    <row r="1065" spans="1:2" x14ac:dyDescent="0.25">
      <c r="A1065" s="9"/>
      <c r="B1065" s="8"/>
    </row>
    <row r="1066" spans="1:2" x14ac:dyDescent="0.25">
      <c r="A1066" s="9"/>
      <c r="B1066" s="8"/>
    </row>
    <row r="1067" spans="1:2" x14ac:dyDescent="0.25">
      <c r="A1067" s="9"/>
      <c r="B1067" s="8"/>
    </row>
    <row r="1068" spans="1:2" x14ac:dyDescent="0.25">
      <c r="A1068" s="9"/>
      <c r="B1068" s="8"/>
    </row>
    <row r="1069" spans="1:2" x14ac:dyDescent="0.25">
      <c r="A1069" s="9"/>
      <c r="B1069" s="8"/>
    </row>
    <row r="1070" spans="1:2" x14ac:dyDescent="0.25">
      <c r="A1070" s="9"/>
      <c r="B1070" s="8"/>
    </row>
    <row r="1071" spans="1:2" x14ac:dyDescent="0.25">
      <c r="A1071" s="9"/>
      <c r="B1071" s="8"/>
    </row>
    <row r="1072" spans="1:2" x14ac:dyDescent="0.25">
      <c r="A1072" s="9"/>
      <c r="B1072" s="8"/>
    </row>
    <row r="1073" spans="1:2" x14ac:dyDescent="0.25">
      <c r="A1073" s="9"/>
      <c r="B1073" s="8"/>
    </row>
    <row r="1074" spans="1:2" x14ac:dyDescent="0.25">
      <c r="A1074" s="9"/>
      <c r="B1074" s="8"/>
    </row>
    <row r="1075" spans="1:2" x14ac:dyDescent="0.25">
      <c r="A1075" s="9"/>
      <c r="B1075" s="8"/>
    </row>
    <row r="1076" spans="1:2" x14ac:dyDescent="0.25">
      <c r="A1076" s="9"/>
      <c r="B1076" s="8"/>
    </row>
    <row r="1077" spans="1:2" x14ac:dyDescent="0.25">
      <c r="A1077" s="9"/>
      <c r="B1077" s="8"/>
    </row>
    <row r="1078" spans="1:2" x14ac:dyDescent="0.25">
      <c r="A1078" s="9"/>
      <c r="B1078" s="8"/>
    </row>
    <row r="1079" spans="1:2" x14ac:dyDescent="0.25">
      <c r="A1079" s="9"/>
      <c r="B1079" s="8"/>
    </row>
    <row r="1080" spans="1:2" x14ac:dyDescent="0.25">
      <c r="A1080" s="9"/>
      <c r="B1080" s="8"/>
    </row>
    <row r="1081" spans="1:2" x14ac:dyDescent="0.25">
      <c r="A1081" s="9"/>
      <c r="B1081" s="8"/>
    </row>
    <row r="1082" spans="1:2" x14ac:dyDescent="0.25">
      <c r="A1082" s="9"/>
      <c r="B1082" s="8"/>
    </row>
    <row r="1083" spans="1:2" x14ac:dyDescent="0.25">
      <c r="A1083" s="9"/>
      <c r="B1083" s="8"/>
    </row>
    <row r="1084" spans="1:2" x14ac:dyDescent="0.25">
      <c r="A1084" s="9"/>
      <c r="B1084" s="8"/>
    </row>
    <row r="1085" spans="1:2" x14ac:dyDescent="0.25">
      <c r="A1085" s="9"/>
      <c r="B1085" s="8"/>
    </row>
    <row r="1086" spans="1:2" x14ac:dyDescent="0.25">
      <c r="A1086" s="9"/>
      <c r="B1086" s="8"/>
    </row>
    <row r="1087" spans="1:2" x14ac:dyDescent="0.25">
      <c r="A1087" s="9"/>
      <c r="B1087" s="8"/>
    </row>
    <row r="1088" spans="1:2" x14ac:dyDescent="0.25">
      <c r="A1088" s="9"/>
      <c r="B1088" s="8"/>
    </row>
    <row r="1089" spans="1:2" x14ac:dyDescent="0.25">
      <c r="A1089" s="9"/>
      <c r="B1089" s="8"/>
    </row>
    <row r="1090" spans="1:2" x14ac:dyDescent="0.25">
      <c r="A1090" s="9"/>
      <c r="B1090" s="8"/>
    </row>
    <row r="1091" spans="1:2" x14ac:dyDescent="0.25">
      <c r="A1091" s="9"/>
      <c r="B1091" s="8"/>
    </row>
    <row r="1092" spans="1:2" x14ac:dyDescent="0.25">
      <c r="A1092" s="9"/>
      <c r="B1092" s="8"/>
    </row>
    <row r="1093" spans="1:2" x14ac:dyDescent="0.25">
      <c r="A1093" s="9"/>
      <c r="B1093" s="8"/>
    </row>
    <row r="1094" spans="1:2" x14ac:dyDescent="0.25">
      <c r="A1094" s="9"/>
      <c r="B1094" s="8"/>
    </row>
    <row r="1095" spans="1:2" x14ac:dyDescent="0.25">
      <c r="A1095" s="9"/>
      <c r="B1095" s="8"/>
    </row>
    <row r="1096" spans="1:2" x14ac:dyDescent="0.25">
      <c r="A1096" s="9"/>
      <c r="B1096" s="8"/>
    </row>
    <row r="1097" spans="1:2" x14ac:dyDescent="0.25">
      <c r="A1097" s="9"/>
      <c r="B1097" s="8"/>
    </row>
    <row r="1098" spans="1:2" x14ac:dyDescent="0.25">
      <c r="A1098" s="9"/>
      <c r="B1098" s="8"/>
    </row>
    <row r="1099" spans="1:2" x14ac:dyDescent="0.25">
      <c r="A1099" s="9"/>
      <c r="B1099" s="8"/>
    </row>
    <row r="1100" spans="1:2" x14ac:dyDescent="0.25">
      <c r="A1100" s="9"/>
      <c r="B1100" s="8"/>
    </row>
    <row r="1101" spans="1:2" x14ac:dyDescent="0.25">
      <c r="A1101" s="9"/>
      <c r="B1101" s="8"/>
    </row>
    <row r="1102" spans="1:2" x14ac:dyDescent="0.25">
      <c r="A1102" s="9"/>
      <c r="B1102" s="8"/>
    </row>
    <row r="1103" spans="1:2" x14ac:dyDescent="0.25">
      <c r="A1103" s="9"/>
      <c r="B1103" s="8"/>
    </row>
    <row r="1104" spans="1:2" x14ac:dyDescent="0.25">
      <c r="A1104" s="9"/>
      <c r="B1104" s="8"/>
    </row>
    <row r="1105" spans="1:2" x14ac:dyDescent="0.25">
      <c r="A1105" s="9"/>
      <c r="B1105" s="8"/>
    </row>
    <row r="1106" spans="1:2" x14ac:dyDescent="0.25">
      <c r="A1106" s="9" t="str">
        <f t="array" ref="A1106">IF(ISERROR(INDEX(List,MATCH(0,COUNTIF(List,"&lt;"&amp;List)-SUM(COUNTIF(List,$A$295:A1105)),0))),"",INDEX(List,MATCH(0,COUNTIF(List,"&lt;"&amp;List)-SUM(COUNTIF(List,$A$295:A1105),0))))</f>
        <v>[Account (Name)]</v>
      </c>
      <c r="B1106" s="8">
        <f>IF(A1106="","",MAX(B$295:B1105)+1)</f>
        <v>1</v>
      </c>
    </row>
    <row r="1107" spans="1:2" x14ac:dyDescent="0.25">
      <c r="A1107" s="9" t="str">
        <f t="array" ref="A1107">IF(ISERROR(INDEX(List,MATCH(0,COUNTIF(List,"&lt;"&amp;List)-SUM(COUNTIF(List,$A$295:A1106)),0))),"",INDEX(List,MATCH(0,COUNTIF(List,"&lt;"&amp;List)-SUM(COUNTIF(List,$A$295:A1106),0))))</f>
        <v>[Account (Name)]</v>
      </c>
      <c r="B1107" s="8">
        <f>IF(A1107="","",MAX(B$295:B1106)+1)</f>
        <v>2</v>
      </c>
    </row>
    <row r="1108" spans="1:2" x14ac:dyDescent="0.25">
      <c r="A1108" s="9" t="str">
        <f t="array" ref="A1108">IF(ISERROR(INDEX(List,MATCH(0,COUNTIF(List,"&lt;"&amp;List)-SUM(COUNTIF(List,$A$295:A1107)),0))),"",INDEX(List,MATCH(0,COUNTIF(List,"&lt;"&amp;List)-SUM(COUNTIF(List,$A$295:A1107),0))))</f>
        <v>Ministry of Health of the Republic of El Salvador</v>
      </c>
      <c r="B1108" s="8">
        <f>IF(A1108="","",MAX(B$295:B1107)+1)</f>
        <v>3</v>
      </c>
    </row>
    <row r="1109" spans="1:2" x14ac:dyDescent="0.25">
      <c r="A1109" s="9">
        <f t="array" ref="A1109">IF(ISERROR(INDEX(List,MATCH(0,COUNTIF(List,"&lt;"&amp;List)-SUM(COUNTIF(List,$A$295:A1108)),0))),"",INDEX(List,MATCH(0,COUNTIF(List,"&lt;"&amp;List)-SUM(COUNTIF(List,$A$295:A1108),0))))</f>
        <v>0</v>
      </c>
      <c r="B1109" s="8">
        <f>IF(A1109="","",MAX(B$295:B1108)+1)</f>
        <v>4</v>
      </c>
    </row>
  </sheetData>
  <sheetProtection selectLockedCells="1" selectUnlockedCells="1"/>
  <mergeCells count="2">
    <mergeCell ref="A1:D1"/>
    <mergeCell ref="A21:D21"/>
  </mergeCells>
  <dataValidations count="1">
    <dataValidation type="custom" allowBlank="1" showInputMessage="1" showErrorMessage="1" errorTitle="X-Author for Excel" error="Id and Lookup fields are not editable." promptTitle="X-Author for Excel" sqref="D23:D292 D3:E14" xr:uid="{00000000-0002-0000-1100-000000000000}">
      <formula1>""</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A1:BF25"/>
  <sheetViews>
    <sheetView workbookViewId="0"/>
  </sheetViews>
  <sheetFormatPr defaultColWidth="9" defaultRowHeight="15.5" x14ac:dyDescent="0.35"/>
  <sheetData>
    <row r="1" spans="1:58" x14ac:dyDescent="0.35">
      <c r="A1" s="128" t="s">
        <v>990</v>
      </c>
      <c r="B1" t="s">
        <v>255</v>
      </c>
      <c r="Y1" t="s">
        <v>265</v>
      </c>
      <c r="Z1" t="s">
        <v>266</v>
      </c>
      <c r="AA1" t="s">
        <v>1004</v>
      </c>
      <c r="AB1" t="s">
        <v>1006</v>
      </c>
      <c r="AC1" t="s">
        <v>1009</v>
      </c>
      <c r="AD1" t="s">
        <v>1014</v>
      </c>
      <c r="AE1" t="s">
        <v>1039</v>
      </c>
      <c r="AF1" t="s">
        <v>1040</v>
      </c>
      <c r="AG1" t="s">
        <v>1041</v>
      </c>
      <c r="AH1" t="s">
        <v>1042</v>
      </c>
      <c r="AI1" t="s">
        <v>1043</v>
      </c>
      <c r="AJ1" t="s">
        <v>1044</v>
      </c>
      <c r="AK1" t="s">
        <v>1045</v>
      </c>
      <c r="AL1" t="s">
        <v>1046</v>
      </c>
      <c r="AM1" t="s">
        <v>1047</v>
      </c>
      <c r="AN1" t="s">
        <v>1048</v>
      </c>
      <c r="AO1" t="s">
        <v>1049</v>
      </c>
      <c r="AP1" t="s">
        <v>1050</v>
      </c>
      <c r="AQ1" t="s">
        <v>1051</v>
      </c>
      <c r="AR1" t="s">
        <v>256</v>
      </c>
      <c r="AS1" t="s">
        <v>1056</v>
      </c>
      <c r="AT1" t="s">
        <v>262</v>
      </c>
      <c r="AU1" t="s">
        <v>264</v>
      </c>
      <c r="AV1" t="s">
        <v>261</v>
      </c>
      <c r="AW1" t="s">
        <v>263</v>
      </c>
      <c r="AX1" t="s">
        <v>1057</v>
      </c>
      <c r="AY1" t="s">
        <v>1058</v>
      </c>
      <c r="AZ1" t="s">
        <v>1059</v>
      </c>
      <c r="BA1" t="s">
        <v>1060</v>
      </c>
      <c r="BB1" t="s">
        <v>1061</v>
      </c>
      <c r="BC1" t="s">
        <v>1062</v>
      </c>
      <c r="BD1" t="s">
        <v>1063</v>
      </c>
      <c r="BE1" t="s">
        <v>1064</v>
      </c>
      <c r="BF1" t="s">
        <v>1065</v>
      </c>
    </row>
    <row r="2" spans="1:58" x14ac:dyDescent="0.35">
      <c r="Y2" s="143" t="s">
        <v>270</v>
      </c>
      <c r="Z2" s="143" t="s">
        <v>271</v>
      </c>
      <c r="AA2" s="143" t="s">
        <v>1005</v>
      </c>
      <c r="AB2" s="143" t="s">
        <v>1007</v>
      </c>
      <c r="AC2" s="143" t="s">
        <v>1010</v>
      </c>
      <c r="AD2" s="143" t="s">
        <v>1015</v>
      </c>
      <c r="AE2" s="143" t="s">
        <v>439</v>
      </c>
      <c r="AF2" s="143" t="s">
        <v>254</v>
      </c>
      <c r="AG2" s="143" t="s">
        <v>1015</v>
      </c>
      <c r="AH2" s="143" t="s">
        <v>1015</v>
      </c>
      <c r="AI2" s="143" t="s">
        <v>1015</v>
      </c>
      <c r="AJ2" s="143" t="s">
        <v>254</v>
      </c>
      <c r="AK2" s="143" t="s">
        <v>1015</v>
      </c>
      <c r="AL2" s="143" t="s">
        <v>1015</v>
      </c>
      <c r="AM2" s="143" t="s">
        <v>1015</v>
      </c>
      <c r="AN2" s="143" t="s">
        <v>439</v>
      </c>
      <c r="AO2" s="143" t="s">
        <v>1015</v>
      </c>
      <c r="AP2" s="143" t="s">
        <v>254</v>
      </c>
      <c r="AQ2" s="143" t="s">
        <v>1052</v>
      </c>
      <c r="AR2" s="143" t="s">
        <v>257</v>
      </c>
      <c r="AS2" s="143" t="s">
        <v>257</v>
      </c>
      <c r="AT2" s="143" t="s">
        <v>257</v>
      </c>
      <c r="AU2" s="143" t="s">
        <v>257</v>
      </c>
      <c r="AV2" s="143" t="s">
        <v>257</v>
      </c>
      <c r="AW2" s="143" t="s">
        <v>257</v>
      </c>
      <c r="AX2" s="143" t="s">
        <v>257</v>
      </c>
      <c r="AY2" s="143" t="s">
        <v>257</v>
      </c>
      <c r="AZ2" s="143" t="s">
        <v>621</v>
      </c>
      <c r="BA2" s="143" t="s">
        <v>621</v>
      </c>
      <c r="BB2" s="143" t="s">
        <v>621</v>
      </c>
      <c r="BC2" s="143" t="s">
        <v>621</v>
      </c>
      <c r="BD2" s="143" t="s">
        <v>621</v>
      </c>
      <c r="BE2" s="143" t="s">
        <v>621</v>
      </c>
      <c r="BF2" s="143" t="s">
        <v>621</v>
      </c>
    </row>
    <row r="3" spans="1:58" x14ac:dyDescent="0.35">
      <c r="Y3" s="143" t="s">
        <v>272</v>
      </c>
      <c r="Z3" s="143" t="s">
        <v>273</v>
      </c>
      <c r="AB3" s="143" t="s">
        <v>1008</v>
      </c>
      <c r="AC3" s="143" t="s">
        <v>1011</v>
      </c>
      <c r="AD3" s="143" t="s">
        <v>1016</v>
      </c>
      <c r="AE3" s="143" t="s">
        <v>281</v>
      </c>
      <c r="AG3" s="143" t="s">
        <v>1016</v>
      </c>
      <c r="AH3" s="143" t="s">
        <v>1016</v>
      </c>
      <c r="AI3" s="143" t="s">
        <v>1016</v>
      </c>
      <c r="AK3" s="143" t="s">
        <v>1016</v>
      </c>
      <c r="AL3" s="143" t="s">
        <v>1016</v>
      </c>
      <c r="AM3" s="143" t="s">
        <v>1016</v>
      </c>
      <c r="AN3" s="143" t="s">
        <v>281</v>
      </c>
      <c r="AO3" s="143" t="s">
        <v>1016</v>
      </c>
      <c r="AQ3" s="143" t="s">
        <v>1053</v>
      </c>
      <c r="AR3" s="143" t="s">
        <v>258</v>
      </c>
      <c r="AS3" s="143" t="s">
        <v>258</v>
      </c>
      <c r="AT3" s="143" t="s">
        <v>258</v>
      </c>
      <c r="AU3" s="143" t="s">
        <v>258</v>
      </c>
      <c r="AV3" s="143" t="s">
        <v>258</v>
      </c>
      <c r="AW3" s="143" t="s">
        <v>258</v>
      </c>
      <c r="AX3" s="143" t="s">
        <v>258</v>
      </c>
      <c r="AY3" s="143" t="s">
        <v>258</v>
      </c>
      <c r="AZ3" s="143" t="s">
        <v>622</v>
      </c>
      <c r="BA3" s="143" t="s">
        <v>622</v>
      </c>
      <c r="BB3" s="143" t="s">
        <v>622</v>
      </c>
      <c r="BC3" s="143" t="s">
        <v>622</v>
      </c>
      <c r="BD3" s="143" t="s">
        <v>622</v>
      </c>
      <c r="BE3" s="143" t="s">
        <v>622</v>
      </c>
      <c r="BF3" s="143" t="s">
        <v>622</v>
      </c>
    </row>
    <row r="4" spans="1:58" x14ac:dyDescent="0.35">
      <c r="Y4" s="143" t="s">
        <v>30</v>
      </c>
      <c r="Z4" s="143" t="s">
        <v>30</v>
      </c>
      <c r="AB4" s="143" t="s">
        <v>312</v>
      </c>
      <c r="AC4" s="143" t="s">
        <v>1012</v>
      </c>
      <c r="AD4" s="143" t="s">
        <v>1017</v>
      </c>
      <c r="AE4" s="143" t="s">
        <v>254</v>
      </c>
      <c r="AG4" s="143" t="s">
        <v>1017</v>
      </c>
      <c r="AH4" s="143" t="s">
        <v>1017</v>
      </c>
      <c r="AI4" s="143" t="s">
        <v>1017</v>
      </c>
      <c r="AK4" s="143" t="s">
        <v>1017</v>
      </c>
      <c r="AL4" s="143" t="s">
        <v>1017</v>
      </c>
      <c r="AM4" s="143" t="s">
        <v>1017</v>
      </c>
      <c r="AN4" s="143" t="s">
        <v>254</v>
      </c>
      <c r="AO4" s="143" t="s">
        <v>1017</v>
      </c>
      <c r="AQ4" s="143" t="s">
        <v>1054</v>
      </c>
      <c r="AR4" s="143" t="s">
        <v>259</v>
      </c>
      <c r="AS4" s="143" t="s">
        <v>259</v>
      </c>
      <c r="AT4" s="143" t="s">
        <v>259</v>
      </c>
      <c r="AU4" s="143" t="s">
        <v>259</v>
      </c>
      <c r="AV4" s="143" t="s">
        <v>259</v>
      </c>
      <c r="AW4" s="143" t="s">
        <v>259</v>
      </c>
      <c r="AX4" s="143" t="s">
        <v>259</v>
      </c>
      <c r="AY4" s="143" t="s">
        <v>259</v>
      </c>
      <c r="AZ4" s="143" t="s">
        <v>623</v>
      </c>
      <c r="BA4" s="143" t="s">
        <v>623</v>
      </c>
      <c r="BB4" s="143" t="s">
        <v>623</v>
      </c>
      <c r="BC4" s="143" t="s">
        <v>623</v>
      </c>
      <c r="BD4" s="143" t="s">
        <v>623</v>
      </c>
      <c r="BE4" s="143" t="s">
        <v>623</v>
      </c>
      <c r="BF4" s="143" t="s">
        <v>623</v>
      </c>
    </row>
    <row r="5" spans="1:58" x14ac:dyDescent="0.35">
      <c r="Y5" s="143" t="s">
        <v>67</v>
      </c>
      <c r="Z5" s="143" t="s">
        <v>67</v>
      </c>
      <c r="AB5" s="143" t="s">
        <v>314</v>
      </c>
      <c r="AC5" s="143" t="s">
        <v>622</v>
      </c>
      <c r="AD5" s="143" t="s">
        <v>1018</v>
      </c>
      <c r="AG5" s="143" t="s">
        <v>1018</v>
      </c>
      <c r="AH5" s="143" t="s">
        <v>1018</v>
      </c>
      <c r="AI5" s="143" t="s">
        <v>1018</v>
      </c>
      <c r="AK5" s="143" t="s">
        <v>1018</v>
      </c>
      <c r="AL5" s="143" t="s">
        <v>1018</v>
      </c>
      <c r="AM5" s="143" t="s">
        <v>1018</v>
      </c>
      <c r="AO5" s="143" t="s">
        <v>1018</v>
      </c>
      <c r="AQ5" s="143" t="s">
        <v>1055</v>
      </c>
      <c r="AS5" s="143" t="s">
        <v>260</v>
      </c>
      <c r="AT5" s="143" t="s">
        <v>260</v>
      </c>
      <c r="AU5" s="143" t="s">
        <v>260</v>
      </c>
      <c r="AV5" s="143" t="s">
        <v>260</v>
      </c>
      <c r="AW5" s="143" t="s">
        <v>260</v>
      </c>
      <c r="AX5" s="143" t="s">
        <v>260</v>
      </c>
      <c r="AY5" s="143" t="s">
        <v>260</v>
      </c>
      <c r="AZ5" s="143" t="s">
        <v>260</v>
      </c>
      <c r="BA5" s="143" t="s">
        <v>260</v>
      </c>
      <c r="BB5" s="143" t="s">
        <v>260</v>
      </c>
    </row>
    <row r="6" spans="1:58" x14ac:dyDescent="0.35">
      <c r="Y6" s="143" t="s">
        <v>1</v>
      </c>
      <c r="Z6" s="143" t="s">
        <v>1</v>
      </c>
      <c r="AB6" s="143" t="s">
        <v>313</v>
      </c>
      <c r="AC6" s="143" t="s">
        <v>623</v>
      </c>
      <c r="AD6" s="143" t="s">
        <v>1019</v>
      </c>
      <c r="AG6" s="143" t="s">
        <v>1019</v>
      </c>
      <c r="AH6" s="143" t="s">
        <v>1019</v>
      </c>
      <c r="AI6" s="143" t="s">
        <v>1019</v>
      </c>
      <c r="AK6" s="143" t="s">
        <v>1019</v>
      </c>
      <c r="AL6" s="143" t="s">
        <v>1019</v>
      </c>
      <c r="AM6" s="143" t="s">
        <v>1019</v>
      </c>
      <c r="AO6" s="143" t="s">
        <v>1019</v>
      </c>
    </row>
    <row r="7" spans="1:58" x14ac:dyDescent="0.35">
      <c r="Y7" s="143" t="s">
        <v>269</v>
      </c>
      <c r="Z7" s="143" t="s">
        <v>269</v>
      </c>
      <c r="AC7" s="143" t="s">
        <v>621</v>
      </c>
      <c r="AD7" s="143" t="s">
        <v>1020</v>
      </c>
      <c r="AG7" s="143" t="s">
        <v>1020</v>
      </c>
      <c r="AH7" s="143" t="s">
        <v>1020</v>
      </c>
      <c r="AI7" s="143" t="s">
        <v>1020</v>
      </c>
      <c r="AK7" s="143" t="s">
        <v>1020</v>
      </c>
      <c r="AL7" s="143" t="s">
        <v>1020</v>
      </c>
      <c r="AM7" s="143" t="s">
        <v>1020</v>
      </c>
      <c r="AO7" s="143" t="s">
        <v>1020</v>
      </c>
    </row>
    <row r="8" spans="1:58" x14ac:dyDescent="0.35">
      <c r="Y8" s="143" t="s">
        <v>270</v>
      </c>
      <c r="Z8" s="143" t="s">
        <v>271</v>
      </c>
      <c r="AC8" s="143" t="s">
        <v>1066</v>
      </c>
      <c r="AD8" s="143" t="s">
        <v>1021</v>
      </c>
      <c r="AG8" s="143" t="s">
        <v>1021</v>
      </c>
      <c r="AH8" s="143" t="s">
        <v>1021</v>
      </c>
      <c r="AI8" s="143" t="s">
        <v>1021</v>
      </c>
      <c r="AK8" s="143" t="s">
        <v>1021</v>
      </c>
      <c r="AL8" s="143" t="s">
        <v>1021</v>
      </c>
      <c r="AM8" s="143" t="s">
        <v>1021</v>
      </c>
      <c r="AO8" s="143" t="s">
        <v>1021</v>
      </c>
    </row>
    <row r="9" spans="1:58" x14ac:dyDescent="0.35">
      <c r="Y9" s="143" t="s">
        <v>272</v>
      </c>
      <c r="Z9" s="143" t="s">
        <v>273</v>
      </c>
      <c r="AC9" s="143" t="s">
        <v>622</v>
      </c>
      <c r="AD9" s="143" t="s">
        <v>1022</v>
      </c>
      <c r="AG9" s="143" t="s">
        <v>1022</v>
      </c>
      <c r="AH9" s="143" t="s">
        <v>1022</v>
      </c>
      <c r="AI9" s="143" t="s">
        <v>1022</v>
      </c>
      <c r="AK9" s="143" t="s">
        <v>1022</v>
      </c>
      <c r="AL9" s="143" t="s">
        <v>1022</v>
      </c>
      <c r="AM9" s="143" t="s">
        <v>1022</v>
      </c>
      <c r="AO9" s="143" t="s">
        <v>1022</v>
      </c>
    </row>
    <row r="10" spans="1:58" x14ac:dyDescent="0.35">
      <c r="Y10" s="143" t="s">
        <v>30</v>
      </c>
      <c r="Z10" s="143" t="s">
        <v>30</v>
      </c>
      <c r="AC10" s="143" t="s">
        <v>623</v>
      </c>
      <c r="AD10" s="143" t="s">
        <v>1023</v>
      </c>
      <c r="AG10" s="143" t="s">
        <v>1023</v>
      </c>
      <c r="AH10" s="143" t="s">
        <v>1023</v>
      </c>
      <c r="AI10" s="143" t="s">
        <v>1023</v>
      </c>
      <c r="AK10" s="143" t="s">
        <v>1023</v>
      </c>
      <c r="AL10" s="143" t="s">
        <v>1023</v>
      </c>
      <c r="AM10" s="143" t="s">
        <v>1023</v>
      </c>
      <c r="AO10" s="143" t="s">
        <v>1023</v>
      </c>
    </row>
    <row r="11" spans="1:58" x14ac:dyDescent="0.35">
      <c r="Y11" s="143" t="s">
        <v>67</v>
      </c>
      <c r="Z11" s="143" t="s">
        <v>67</v>
      </c>
      <c r="AC11" s="143" t="s">
        <v>621</v>
      </c>
      <c r="AD11" s="143" t="s">
        <v>1024</v>
      </c>
      <c r="AG11" s="143" t="s">
        <v>1024</v>
      </c>
      <c r="AH11" s="143" t="s">
        <v>1024</v>
      </c>
      <c r="AI11" s="143" t="s">
        <v>1024</v>
      </c>
      <c r="AK11" s="143" t="s">
        <v>1024</v>
      </c>
      <c r="AL11" s="143" t="s">
        <v>1024</v>
      </c>
      <c r="AM11" s="143" t="s">
        <v>1024</v>
      </c>
      <c r="AO11" s="143" t="s">
        <v>1024</v>
      </c>
    </row>
    <row r="12" spans="1:58" x14ac:dyDescent="0.35">
      <c r="Y12" s="143" t="s">
        <v>1</v>
      </c>
      <c r="Z12" s="143" t="s">
        <v>1</v>
      </c>
      <c r="AC12" s="143" t="s">
        <v>1013</v>
      </c>
      <c r="AD12" s="143" t="s">
        <v>1025</v>
      </c>
      <c r="AG12" s="143" t="s">
        <v>1025</v>
      </c>
      <c r="AH12" s="143" t="s">
        <v>1025</v>
      </c>
      <c r="AI12" s="143" t="s">
        <v>1025</v>
      </c>
      <c r="AK12" s="143" t="s">
        <v>1025</v>
      </c>
      <c r="AL12" s="143" t="s">
        <v>1025</v>
      </c>
      <c r="AM12" s="143" t="s">
        <v>1025</v>
      </c>
      <c r="AO12" s="143" t="s">
        <v>1025</v>
      </c>
    </row>
    <row r="13" spans="1:58" x14ac:dyDescent="0.35">
      <c r="Y13" s="143" t="s">
        <v>269</v>
      </c>
      <c r="Z13" s="143" t="s">
        <v>269</v>
      </c>
      <c r="AD13" s="143" t="s">
        <v>1026</v>
      </c>
      <c r="AG13" s="143" t="s">
        <v>1026</v>
      </c>
      <c r="AH13" s="143" t="s">
        <v>1026</v>
      </c>
      <c r="AI13" s="143" t="s">
        <v>1026</v>
      </c>
      <c r="AK13" s="143" t="s">
        <v>1026</v>
      </c>
      <c r="AL13" s="143" t="s">
        <v>1026</v>
      </c>
      <c r="AM13" s="143" t="s">
        <v>1026</v>
      </c>
      <c r="AO13" s="143" t="s">
        <v>1026</v>
      </c>
    </row>
    <row r="14" spans="1:58" x14ac:dyDescent="0.35">
      <c r="AD14" s="143" t="s">
        <v>1027</v>
      </c>
      <c r="AG14" s="143" t="s">
        <v>1027</v>
      </c>
      <c r="AH14" s="143" t="s">
        <v>1027</v>
      </c>
      <c r="AI14" s="143" t="s">
        <v>1027</v>
      </c>
      <c r="AK14" s="143" t="s">
        <v>1027</v>
      </c>
      <c r="AL14" s="143" t="s">
        <v>1027</v>
      </c>
      <c r="AM14" s="143" t="s">
        <v>1027</v>
      </c>
      <c r="AO14" s="143" t="s">
        <v>1027</v>
      </c>
    </row>
    <row r="15" spans="1:58" x14ac:dyDescent="0.35">
      <c r="AD15" s="143" t="s">
        <v>1028</v>
      </c>
      <c r="AG15" s="143" t="s">
        <v>1028</v>
      </c>
      <c r="AH15" s="143" t="s">
        <v>1028</v>
      </c>
      <c r="AI15" s="143" t="s">
        <v>1028</v>
      </c>
      <c r="AK15" s="143" t="s">
        <v>1028</v>
      </c>
      <c r="AL15" s="143" t="s">
        <v>1028</v>
      </c>
      <c r="AM15" s="143" t="s">
        <v>1028</v>
      </c>
      <c r="AO15" s="143" t="s">
        <v>1028</v>
      </c>
    </row>
    <row r="16" spans="1:58" x14ac:dyDescent="0.35">
      <c r="AD16" s="143" t="s">
        <v>1029</v>
      </c>
      <c r="AG16" s="143" t="s">
        <v>1029</v>
      </c>
      <c r="AH16" s="143" t="s">
        <v>1029</v>
      </c>
      <c r="AI16" s="143" t="s">
        <v>1029</v>
      </c>
      <c r="AK16" s="143" t="s">
        <v>1029</v>
      </c>
      <c r="AL16" s="143" t="s">
        <v>1029</v>
      </c>
      <c r="AM16" s="143" t="s">
        <v>1029</v>
      </c>
      <c r="AO16" s="143" t="s">
        <v>1029</v>
      </c>
    </row>
    <row r="17" spans="30:41" x14ac:dyDescent="0.35">
      <c r="AD17" s="143" t="s">
        <v>1030</v>
      </c>
      <c r="AG17" s="143" t="s">
        <v>1030</v>
      </c>
      <c r="AH17" s="143" t="s">
        <v>1030</v>
      </c>
      <c r="AI17" s="143" t="s">
        <v>1030</v>
      </c>
      <c r="AK17" s="143" t="s">
        <v>1030</v>
      </c>
      <c r="AL17" s="143" t="s">
        <v>1030</v>
      </c>
      <c r="AM17" s="143" t="s">
        <v>1030</v>
      </c>
      <c r="AO17" s="143" t="s">
        <v>1030</v>
      </c>
    </row>
    <row r="18" spans="30:41" x14ac:dyDescent="0.35">
      <c r="AD18" s="143" t="s">
        <v>1031</v>
      </c>
      <c r="AG18" s="143" t="s">
        <v>1031</v>
      </c>
      <c r="AH18" s="143" t="s">
        <v>1031</v>
      </c>
      <c r="AI18" s="143" t="s">
        <v>1031</v>
      </c>
      <c r="AK18" s="143" t="s">
        <v>1031</v>
      </c>
      <c r="AL18" s="143" t="s">
        <v>1031</v>
      </c>
      <c r="AM18" s="143" t="s">
        <v>1031</v>
      </c>
      <c r="AO18" s="143" t="s">
        <v>1031</v>
      </c>
    </row>
    <row r="19" spans="30:41" x14ac:dyDescent="0.35">
      <c r="AD19" s="143" t="s">
        <v>1032</v>
      </c>
      <c r="AG19" s="143" t="s">
        <v>1032</v>
      </c>
      <c r="AH19" s="143" t="s">
        <v>1032</v>
      </c>
      <c r="AI19" s="143" t="s">
        <v>1032</v>
      </c>
      <c r="AK19" s="143" t="s">
        <v>1032</v>
      </c>
      <c r="AL19" s="143" t="s">
        <v>1032</v>
      </c>
      <c r="AM19" s="143" t="s">
        <v>1032</v>
      </c>
      <c r="AO19" s="143" t="s">
        <v>1032</v>
      </c>
    </row>
    <row r="20" spans="30:41" x14ac:dyDescent="0.35">
      <c r="AD20" s="143" t="s">
        <v>1033</v>
      </c>
      <c r="AG20" s="143" t="s">
        <v>1033</v>
      </c>
      <c r="AH20" s="143" t="s">
        <v>1033</v>
      </c>
      <c r="AI20" s="143" t="s">
        <v>1033</v>
      </c>
      <c r="AK20" s="143" t="s">
        <v>1033</v>
      </c>
      <c r="AL20" s="143" t="s">
        <v>1033</v>
      </c>
      <c r="AM20" s="143" t="s">
        <v>1033</v>
      </c>
      <c r="AO20" s="143" t="s">
        <v>1033</v>
      </c>
    </row>
    <row r="21" spans="30:41" x14ac:dyDescent="0.35">
      <c r="AD21" s="143" t="s">
        <v>1034</v>
      </c>
      <c r="AG21" s="143" t="s">
        <v>1034</v>
      </c>
      <c r="AH21" s="143" t="s">
        <v>1034</v>
      </c>
      <c r="AI21" s="143" t="s">
        <v>1034</v>
      </c>
      <c r="AK21" s="143" t="s">
        <v>1034</v>
      </c>
      <c r="AL21" s="143" t="s">
        <v>1034</v>
      </c>
      <c r="AM21" s="143" t="s">
        <v>1034</v>
      </c>
      <c r="AO21" s="143" t="s">
        <v>1034</v>
      </c>
    </row>
    <row r="22" spans="30:41" x14ac:dyDescent="0.35">
      <c r="AD22" s="143" t="s">
        <v>1035</v>
      </c>
      <c r="AG22" s="143" t="s">
        <v>1035</v>
      </c>
      <c r="AH22" s="143" t="s">
        <v>1035</v>
      </c>
      <c r="AI22" s="143" t="s">
        <v>1035</v>
      </c>
      <c r="AK22" s="143" t="s">
        <v>1035</v>
      </c>
      <c r="AL22" s="143" t="s">
        <v>1035</v>
      </c>
      <c r="AM22" s="143" t="s">
        <v>1035</v>
      </c>
      <c r="AO22" s="143" t="s">
        <v>1035</v>
      </c>
    </row>
    <row r="23" spans="30:41" x14ac:dyDescent="0.35">
      <c r="AD23" s="143" t="s">
        <v>1036</v>
      </c>
      <c r="AG23" s="143" t="s">
        <v>1036</v>
      </c>
      <c r="AH23" s="143" t="s">
        <v>1036</v>
      </c>
      <c r="AI23" s="143" t="s">
        <v>1036</v>
      </c>
      <c r="AK23" s="143" t="s">
        <v>1036</v>
      </c>
      <c r="AL23" s="143" t="s">
        <v>1036</v>
      </c>
      <c r="AM23" s="143" t="s">
        <v>1036</v>
      </c>
      <c r="AO23" s="143" t="s">
        <v>1036</v>
      </c>
    </row>
    <row r="24" spans="30:41" x14ac:dyDescent="0.35">
      <c r="AD24" s="143" t="s">
        <v>1037</v>
      </c>
      <c r="AG24" s="143" t="s">
        <v>1037</v>
      </c>
      <c r="AH24" s="143" t="s">
        <v>1037</v>
      </c>
      <c r="AI24" s="143" t="s">
        <v>1037</v>
      </c>
      <c r="AK24" s="143" t="s">
        <v>1037</v>
      </c>
      <c r="AL24" s="143" t="s">
        <v>1037</v>
      </c>
      <c r="AM24" s="143" t="s">
        <v>1037</v>
      </c>
      <c r="AO24" s="143" t="s">
        <v>1037</v>
      </c>
    </row>
    <row r="25" spans="30:41" x14ac:dyDescent="0.35">
      <c r="AD25" s="143" t="s">
        <v>1038</v>
      </c>
      <c r="AG25" s="143" t="s">
        <v>1038</v>
      </c>
      <c r="AH25" s="143" t="s">
        <v>1038</v>
      </c>
      <c r="AI25" s="143" t="s">
        <v>1038</v>
      </c>
      <c r="AK25" s="143" t="s">
        <v>1038</v>
      </c>
      <c r="AL25" s="143" t="s">
        <v>1038</v>
      </c>
      <c r="AM25" s="143" t="s">
        <v>1038</v>
      </c>
      <c r="AO25" s="143" t="s">
        <v>1038</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ackager Shell Object" dvAspect="DVASPECT_ICON" shapeId="5121" r:id="rId4">
          <objectPr defaultSize="0" r:id="rId5">
            <anchor moveWithCells="1">
              <from>
                <xdr:col>0</xdr:col>
                <xdr:colOff>0</xdr:colOff>
                <xdr:row>0</xdr:row>
                <xdr:rowOff>0</xdr:rowOff>
              </from>
              <to>
                <xdr:col>7</xdr:col>
                <xdr:colOff>469900</xdr:colOff>
                <xdr:row>2</xdr:row>
                <xdr:rowOff>120650</xdr:rowOff>
              </to>
            </anchor>
          </objectPr>
        </oleObject>
      </mc:Choice>
      <mc:Fallback>
        <oleObject progId="Packager Shell Object" dvAspect="DVASPECT_ICON" shapeId="5121" r:id="rId4"/>
      </mc:Fallback>
    </mc:AlternateContent>
    <mc:AlternateContent xmlns:mc="http://schemas.openxmlformats.org/markup-compatibility/2006">
      <mc:Choice Requires="x14">
        <oleObject progId="Packager Shell Object" dvAspect="DVASPECT_ICON" shapeId="5137" r:id="rId6">
          <objectPr defaultSize="0" r:id="rId7">
            <anchor moveWithCells="1">
              <from>
                <xdr:col>0</xdr:col>
                <xdr:colOff>0</xdr:colOff>
                <xdr:row>0</xdr:row>
                <xdr:rowOff>0</xdr:rowOff>
              </from>
              <to>
                <xdr:col>0</xdr:col>
                <xdr:colOff>577850</xdr:colOff>
                <xdr:row>2</xdr:row>
                <xdr:rowOff>120650</xdr:rowOff>
              </to>
            </anchor>
          </objectPr>
        </oleObject>
      </mc:Choice>
      <mc:Fallback>
        <oleObject progId="Packager Shell Object" dvAspect="DVASPECT_ICON" shapeId="5137" r:id="rId6"/>
      </mc:Fallback>
    </mc:AlternateContent>
    <mc:AlternateContent xmlns:mc="http://schemas.openxmlformats.org/markup-compatibility/2006">
      <mc:Choice Requires="x14">
        <oleObject progId="Packager Shell Object" dvAspect="DVASPECT_ICON" shapeId="5138" r:id="rId8">
          <objectPr defaultSize="0" r:id="rId9">
            <anchor moveWithCells="1">
              <from>
                <xdr:col>0</xdr:col>
                <xdr:colOff>0</xdr:colOff>
                <xdr:row>0</xdr:row>
                <xdr:rowOff>0</xdr:rowOff>
              </from>
              <to>
                <xdr:col>1</xdr:col>
                <xdr:colOff>342900</xdr:colOff>
                <xdr:row>2</xdr:row>
                <xdr:rowOff>120650</xdr:rowOff>
              </to>
            </anchor>
          </objectPr>
        </oleObject>
      </mc:Choice>
      <mc:Fallback>
        <oleObject progId="Packager Shell Object" dvAspect="DVASPECT_ICON" shapeId="5138" r:id="rId8"/>
      </mc:Fallback>
    </mc:AlternateContent>
    <mc:AlternateContent xmlns:mc="http://schemas.openxmlformats.org/markup-compatibility/2006">
      <mc:Choice Requires="x14">
        <oleObject progId="Packager Shell Object" dvAspect="DVASPECT_ICON" shapeId="5139" r:id="rId10">
          <objectPr defaultSize="0" r:id="rId11">
            <anchor moveWithCells="1">
              <from>
                <xdr:col>0</xdr:col>
                <xdr:colOff>0</xdr:colOff>
                <xdr:row>0</xdr:row>
                <xdr:rowOff>0</xdr:rowOff>
              </from>
              <to>
                <xdr:col>1</xdr:col>
                <xdr:colOff>273050</xdr:colOff>
                <xdr:row>2</xdr:row>
                <xdr:rowOff>120650</xdr:rowOff>
              </to>
            </anchor>
          </objectPr>
        </oleObject>
      </mc:Choice>
      <mc:Fallback>
        <oleObject progId="Packager Shell Object" dvAspect="DVASPECT_ICON" shapeId="513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283"/>
  <sheetViews>
    <sheetView showGridLines="0" view="pageBreakPreview" topLeftCell="A153" zoomScale="80" zoomScaleNormal="80" zoomScaleSheetLayoutView="80" workbookViewId="0">
      <selection activeCell="E73" sqref="E73"/>
    </sheetView>
  </sheetViews>
  <sheetFormatPr defaultColWidth="11" defaultRowHeight="15.5" x14ac:dyDescent="0.35"/>
  <cols>
    <col min="1" max="1" width="35.08203125" style="5" customWidth="1"/>
    <col min="2" max="2" width="22.58203125" style="5" hidden="1" customWidth="1"/>
    <col min="3" max="3" width="15.58203125" style="5" hidden="1" customWidth="1"/>
    <col min="4" max="4" width="21.08203125" style="5" hidden="1" customWidth="1"/>
    <col min="5" max="5" width="55" style="5" customWidth="1"/>
    <col min="6" max="6" width="22.1640625" style="5" hidden="1" customWidth="1"/>
    <col min="7" max="7" width="24.58203125" style="5" hidden="1" customWidth="1"/>
    <col min="8" max="8" width="27" style="5" hidden="1" customWidth="1"/>
    <col min="9" max="9" width="1.08203125" style="5" hidden="1" customWidth="1"/>
    <col min="10" max="10" width="12.08203125" style="5" hidden="1" customWidth="1"/>
    <col min="11" max="11" width="29.5" style="5" customWidth="1"/>
    <col min="12" max="12" width="16.08203125" style="5" hidden="1" customWidth="1"/>
    <col min="13" max="13" width="19.58203125" style="5" hidden="1" customWidth="1"/>
    <col min="14" max="14" width="20.1640625" style="5" hidden="1" customWidth="1"/>
    <col min="15" max="15" width="23.6640625" style="5" hidden="1" customWidth="1"/>
    <col min="16" max="16" width="23.08203125" style="5" hidden="1" customWidth="1"/>
    <col min="17" max="18" width="25.08203125" style="5" hidden="1" customWidth="1"/>
    <col min="19" max="19" width="9.6640625" style="5" hidden="1" customWidth="1"/>
    <col min="20" max="20" width="35.08203125" style="5" customWidth="1"/>
    <col min="21" max="21" width="16.6640625" style="5" hidden="1" customWidth="1"/>
    <col min="22" max="22" width="30" style="28" customWidth="1"/>
    <col min="23" max="23" width="29.08203125" style="28" hidden="1" customWidth="1"/>
    <col min="24" max="24" width="39.58203125" style="28" hidden="1" customWidth="1"/>
    <col min="25" max="25" width="27.58203125" style="28" hidden="1" customWidth="1"/>
    <col min="26" max="26" width="20" style="28" hidden="1" customWidth="1"/>
    <col min="27" max="27" width="17.6640625" style="5" hidden="1" customWidth="1"/>
    <col min="28" max="28" width="23.6640625" style="5" hidden="1" customWidth="1"/>
    <col min="29" max="29" width="23" style="5" hidden="1" customWidth="1"/>
    <col min="30" max="30" width="27.1640625" style="5" hidden="1" customWidth="1"/>
    <col min="31" max="31" width="22.1640625" style="5" hidden="1" customWidth="1"/>
    <col min="32" max="32" width="22.58203125" style="5" hidden="1" customWidth="1"/>
    <col min="33" max="33" width="12.1640625" style="5" hidden="1" customWidth="1"/>
    <col min="34" max="34" width="20" style="5" hidden="1" customWidth="1"/>
    <col min="35" max="38" width="11" style="5" hidden="1" customWidth="1"/>
    <col min="39" max="39" width="16.58203125" style="5" hidden="1" customWidth="1"/>
    <col min="40" max="40" width="3.5" style="5" hidden="1" customWidth="1"/>
    <col min="41" max="41" width="3.5" style="7" hidden="1" customWidth="1"/>
    <col min="42" max="42" width="16.08203125" style="7" hidden="1" customWidth="1"/>
    <col min="43" max="45" width="11" style="7" hidden="1" customWidth="1"/>
    <col min="46" max="46" width="11" style="7" customWidth="1"/>
    <col min="47" max="50" width="11" style="7"/>
    <col min="51" max="16384" width="11" style="5"/>
  </cols>
  <sheetData>
    <row r="1" spans="1:50" x14ac:dyDescent="0.35">
      <c r="A1" s="607" t="str">
        <f ca="1">Translations!A4</f>
        <v>Marco de desempeño  - Descripción General - Sección A</v>
      </c>
      <c r="B1" s="608"/>
      <c r="C1" s="608"/>
      <c r="D1" s="608"/>
      <c r="E1" s="608"/>
      <c r="F1" s="608"/>
      <c r="G1" s="608"/>
      <c r="H1" s="608"/>
      <c r="I1" s="608"/>
      <c r="J1" s="608"/>
      <c r="K1" s="608"/>
      <c r="L1" s="608"/>
      <c r="M1" s="608"/>
      <c r="N1" s="608"/>
      <c r="O1" s="608"/>
      <c r="P1" s="608"/>
      <c r="Q1" s="608"/>
      <c r="R1" s="608"/>
      <c r="S1" s="608"/>
      <c r="T1" s="609"/>
    </row>
    <row r="2" spans="1:50" s="10" customFormat="1" ht="27" customHeight="1" thickBot="1" x14ac:dyDescent="0.4">
      <c r="A2" s="610"/>
      <c r="B2" s="611"/>
      <c r="C2" s="611"/>
      <c r="D2" s="611"/>
      <c r="E2" s="611"/>
      <c r="F2" s="611"/>
      <c r="G2" s="611"/>
      <c r="H2" s="611"/>
      <c r="I2" s="611"/>
      <c r="J2" s="611"/>
      <c r="K2" s="611"/>
      <c r="L2" s="611"/>
      <c r="M2" s="611"/>
      <c r="N2" s="611"/>
      <c r="O2" s="611"/>
      <c r="P2" s="611"/>
      <c r="Q2" s="611"/>
      <c r="R2" s="611"/>
      <c r="S2" s="611"/>
      <c r="T2" s="612"/>
      <c r="V2" s="11"/>
      <c r="W2" s="11"/>
      <c r="X2" s="11"/>
      <c r="Y2" s="11"/>
      <c r="Z2" s="11"/>
      <c r="AO2" s="12"/>
      <c r="AP2" s="12"/>
      <c r="AQ2" s="12"/>
      <c r="AR2" s="12"/>
      <c r="AS2" s="12"/>
      <c r="AT2" s="12"/>
      <c r="AU2" s="12"/>
      <c r="AV2" s="12"/>
      <c r="AW2" s="12"/>
      <c r="AX2" s="12"/>
    </row>
    <row r="3" spans="1:50" ht="17.5" x14ac:dyDescent="0.35">
      <c r="A3" s="110" t="s">
        <v>999</v>
      </c>
      <c r="B3" s="111"/>
      <c r="C3" s="111"/>
      <c r="D3" s="111"/>
      <c r="K3" s="268" t="str">
        <f ca="1">Translations!$A$3</f>
        <v>Langue :</v>
      </c>
      <c r="L3" s="224"/>
      <c r="M3" s="224"/>
      <c r="N3" s="224"/>
      <c r="O3" s="224"/>
      <c r="P3" s="224"/>
      <c r="Q3" s="224"/>
      <c r="R3" s="224"/>
      <c r="S3" s="224"/>
      <c r="T3" s="367" t="s">
        <v>385</v>
      </c>
    </row>
    <row r="4" spans="1:50" ht="19.5" customHeight="1" thickBot="1" x14ac:dyDescent="0.4">
      <c r="F4" s="28"/>
      <c r="G4" s="28"/>
      <c r="H4" s="28"/>
      <c r="I4" s="28"/>
      <c r="J4" s="28"/>
      <c r="K4" s="28"/>
      <c r="L4" s="30"/>
      <c r="M4" s="30"/>
      <c r="N4" s="30"/>
      <c r="O4" s="30"/>
      <c r="P4" s="30"/>
      <c r="Q4" s="30"/>
      <c r="R4" s="30"/>
      <c r="S4" s="30"/>
      <c r="T4" s="30"/>
      <c r="W4" s="239"/>
    </row>
    <row r="5" spans="1:50" ht="29.15" customHeight="1" thickBot="1" x14ac:dyDescent="0.4">
      <c r="A5" s="31" t="str">
        <f ca="1">Translations!A5</f>
        <v>País / Solicitante:</v>
      </c>
      <c r="B5" s="32"/>
      <c r="C5" s="32"/>
      <c r="D5" s="124"/>
      <c r="E5" s="113" t="str">
        <f>IFERROR(IF($AN$5="Funding Request",IF('Reference Records'!$B$341&lt;&gt;"",'Reference Records'!$B$341,'Reference Records'!$B$342),IF(OR($AN$5="Grant Making", $AN$5="Grant Revision"),'Reference Records'!B346,"")),"")</f>
        <v>El Salvador</v>
      </c>
      <c r="F5" s="33"/>
      <c r="G5" s="33"/>
      <c r="H5" s="33"/>
      <c r="I5" s="33"/>
      <c r="J5" s="33"/>
      <c r="K5" s="33"/>
      <c r="L5" s="30"/>
      <c r="M5" s="30"/>
      <c r="N5" s="30"/>
      <c r="O5" s="30"/>
      <c r="P5" s="30"/>
      <c r="Q5" s="30"/>
      <c r="R5" s="30"/>
      <c r="S5" s="30"/>
      <c r="T5" s="30"/>
      <c r="V5" s="239"/>
      <c r="W5" s="239"/>
      <c r="AL5" s="7"/>
      <c r="AM5" s="89" t="s">
        <v>192</v>
      </c>
      <c r="AN5" s="176" t="s">
        <v>1067</v>
      </c>
      <c r="AO5" s="89"/>
      <c r="AP5" s="89"/>
    </row>
    <row r="6" spans="1:50" ht="28.4" customHeight="1" thickBot="1" x14ac:dyDescent="0.4">
      <c r="A6" s="251" t="str">
        <f ca="1">Translations!A6</f>
        <v>Nombre de la Subvención/Nombre de la solicitud de financiamiento</v>
      </c>
      <c r="B6" s="32"/>
      <c r="C6" s="32"/>
      <c r="D6" s="124"/>
      <c r="E6" s="112" t="str">
        <f>IF($AN$5="Funding Request",'Reference Records'!$B$340,IF(OR($AN$5="Grant Making", $AN$5="Grant Revision"),'Reference Records'!$B$345,""))</f>
        <v>SLV-C-MOH</v>
      </c>
      <c r="F6" s="33"/>
      <c r="G6" s="33"/>
      <c r="H6" s="33"/>
      <c r="I6" s="33"/>
      <c r="J6" s="33"/>
      <c r="K6" s="33"/>
      <c r="L6" s="30"/>
      <c r="M6" s="30"/>
      <c r="N6" s="30"/>
      <c r="O6" s="30"/>
      <c r="P6" s="30"/>
      <c r="Q6" s="30"/>
      <c r="R6" s="30"/>
      <c r="S6" s="30"/>
      <c r="T6" s="30"/>
      <c r="V6" s="34"/>
      <c r="W6" s="34"/>
    </row>
    <row r="7" spans="1:50" ht="31.5" customHeight="1" thickBot="1" x14ac:dyDescent="0.4">
      <c r="A7" s="251" t="str">
        <f ca="1">Translations!A7</f>
        <v>Fecha de inicio del programa</v>
      </c>
      <c r="B7" s="32"/>
      <c r="C7" s="32"/>
      <c r="D7" s="124"/>
      <c r="E7" s="218">
        <v>44562</v>
      </c>
      <c r="F7" s="35"/>
      <c r="G7" s="35"/>
      <c r="H7" s="35"/>
      <c r="I7" s="35"/>
      <c r="J7" s="35"/>
      <c r="K7" s="35"/>
      <c r="L7" s="30"/>
      <c r="M7" s="30"/>
      <c r="N7" s="30"/>
      <c r="O7" s="30"/>
      <c r="P7" s="30"/>
      <c r="Q7" s="30"/>
      <c r="R7" s="30"/>
      <c r="S7" s="30"/>
      <c r="T7" s="30"/>
      <c r="V7" s="34" t="s">
        <v>37</v>
      </c>
      <c r="W7" s="34"/>
    </row>
    <row r="8" spans="1:50" ht="31.5" customHeight="1" thickBot="1" x14ac:dyDescent="0.4">
      <c r="A8" s="251" t="str">
        <f ca="1">Translations!A8</f>
        <v>Fecha final del programa</v>
      </c>
      <c r="B8" s="96"/>
      <c r="C8" s="96"/>
      <c r="D8" s="125" t="s">
        <v>196</v>
      </c>
      <c r="E8" s="218">
        <v>45657</v>
      </c>
      <c r="F8" s="35"/>
      <c r="G8" s="35"/>
      <c r="H8" s="35"/>
      <c r="I8" s="35"/>
      <c r="J8" s="35"/>
      <c r="K8" s="70"/>
      <c r="L8" s="30"/>
      <c r="M8" s="30"/>
      <c r="N8" s="30"/>
      <c r="O8" s="30"/>
      <c r="P8" s="30"/>
      <c r="Q8" s="30"/>
      <c r="R8" s="30"/>
      <c r="S8" s="30"/>
      <c r="T8" s="30"/>
      <c r="V8" s="34"/>
      <c r="W8" s="34"/>
      <c r="AL8" s="89"/>
      <c r="AM8" s="89"/>
      <c r="AN8" s="89"/>
      <c r="AO8" s="89"/>
    </row>
    <row r="9" spans="1:50" ht="32.25" customHeight="1" thickBot="1" x14ac:dyDescent="0.4">
      <c r="A9" s="251" t="str">
        <f ca="1">Translations!A9</f>
        <v>Frecuencia del período de reporte programático</v>
      </c>
      <c r="B9" s="4" t="s">
        <v>122</v>
      </c>
      <c r="C9" s="437">
        <v>12</v>
      </c>
      <c r="D9" s="126" t="s">
        <v>122</v>
      </c>
      <c r="E9" s="436">
        <f>IFERROR(IF(C9="","",C9),"")</f>
        <v>12</v>
      </c>
      <c r="F9" s="33"/>
      <c r="G9" s="33"/>
      <c r="H9" s="33"/>
      <c r="I9" s="33"/>
      <c r="J9" s="33"/>
      <c r="K9" s="33"/>
      <c r="L9" s="30"/>
      <c r="M9" s="30"/>
      <c r="N9" s="30"/>
      <c r="O9" s="30"/>
      <c r="P9" s="30"/>
      <c r="Q9" s="30"/>
      <c r="R9" s="30"/>
      <c r="S9" s="30"/>
      <c r="T9" s="30"/>
      <c r="W9" s="34"/>
      <c r="AL9" s="89"/>
      <c r="AM9" s="89" t="s">
        <v>198</v>
      </c>
      <c r="AN9" s="89">
        <f>'Reference Records'!$B$407</f>
        <v>0</v>
      </c>
      <c r="AO9" s="89"/>
    </row>
    <row r="10" spans="1:50" ht="32.25" customHeight="1" thickBot="1" x14ac:dyDescent="0.4">
      <c r="A10" s="352" t="str">
        <f ca="1">Translations!A10</f>
        <v>Fecha de inicio del período de uso de la asignación</v>
      </c>
      <c r="B10" s="28"/>
      <c r="C10" s="28"/>
      <c r="D10" s="127" t="s">
        <v>217</v>
      </c>
      <c r="E10" s="122">
        <v>44562</v>
      </c>
      <c r="F10" s="33"/>
      <c r="G10" s="33"/>
      <c r="H10" s="33"/>
      <c r="I10" s="33"/>
      <c r="J10" s="33"/>
      <c r="K10" s="613" t="str">
        <f>IF(E8&gt;E11,"Please note, the Implementation Period End Date is longer than the Allocation Utilisation Period End Date"," ")</f>
        <v xml:space="preserve"> </v>
      </c>
      <c r="L10" s="30"/>
      <c r="M10" s="30"/>
      <c r="N10" s="30"/>
      <c r="O10" s="30"/>
      <c r="P10" s="30"/>
      <c r="Q10" s="30"/>
      <c r="R10" s="30"/>
      <c r="S10" s="30"/>
      <c r="T10" s="30"/>
      <c r="AM10" s="89" t="s">
        <v>201</v>
      </c>
      <c r="AN10" s="89" t="s">
        <v>1068</v>
      </c>
    </row>
    <row r="11" spans="1:50" ht="27" customHeight="1" thickBot="1" x14ac:dyDescent="0.4">
      <c r="A11" s="352" t="str">
        <f ca="1">Translations!A11</f>
        <v xml:space="preserve">Fecha de término del período de uso de la asignación </v>
      </c>
      <c r="B11" s="99"/>
      <c r="C11" s="99"/>
      <c r="D11" s="98" t="s">
        <v>218</v>
      </c>
      <c r="E11" s="123">
        <v>45657</v>
      </c>
      <c r="F11" s="36"/>
      <c r="G11" s="36"/>
      <c r="H11" s="36"/>
      <c r="I11" s="36"/>
      <c r="J11" s="36"/>
      <c r="K11" s="613"/>
      <c r="L11" s="30"/>
      <c r="M11" s="30"/>
      <c r="N11" s="30"/>
      <c r="O11" s="30"/>
      <c r="P11" s="30"/>
      <c r="Q11" s="30"/>
      <c r="R11" s="30"/>
      <c r="S11" s="30"/>
      <c r="T11" s="37"/>
      <c r="W11" s="34"/>
      <c r="AM11" s="89" t="s">
        <v>235</v>
      </c>
      <c r="AN11" s="89" t="str">
        <f ca="1">CONCATENATE(E6&amp;"_PF_"&amp;AN5&amp;"_Imported_",TEXT(TODAY(),"dd-mmm-yy"))</f>
        <v>SLV-C-MOH_PF_Grant Making_Imported_28-Sep-21</v>
      </c>
    </row>
    <row r="12" spans="1:50" s="18" customFormat="1" ht="27.75" customHeight="1" thickBot="1" x14ac:dyDescent="0.4">
      <c r="A12" s="36"/>
      <c r="B12" s="36"/>
      <c r="C12" s="36"/>
      <c r="D12" s="36"/>
      <c r="E12" s="36"/>
      <c r="F12" s="36"/>
      <c r="G12" s="36"/>
      <c r="H12" s="36"/>
      <c r="I12" s="36"/>
      <c r="J12" s="36"/>
      <c r="K12" s="36"/>
      <c r="L12" s="37"/>
      <c r="M12" s="37"/>
      <c r="N12" s="37"/>
      <c r="O12" s="37"/>
      <c r="P12" s="37"/>
      <c r="Q12" s="37"/>
      <c r="R12" s="37"/>
      <c r="S12" s="37"/>
      <c r="T12" s="16"/>
      <c r="V12" s="28"/>
      <c r="W12" s="34"/>
      <c r="X12" s="28"/>
      <c r="Y12" s="28"/>
      <c r="Z12" s="28"/>
      <c r="AN12" s="139" t="str">
        <f ca="1">CONCATENATE(E6&amp;"_PF_"&amp;AN5&amp;"_Extracted_",TEXT(TODAY(),"dd-mmm-yy"))</f>
        <v>SLV-C-MOH_PF_Grant Making_Extracted_28-Sep-21</v>
      </c>
      <c r="AO12" s="3"/>
      <c r="AP12" s="3"/>
      <c r="AQ12" s="3"/>
      <c r="AR12" s="3"/>
      <c r="AS12" s="3"/>
      <c r="AT12" s="3"/>
      <c r="AU12" s="3"/>
      <c r="AV12" s="3"/>
      <c r="AW12" s="3"/>
      <c r="AX12" s="3"/>
    </row>
    <row r="13" spans="1:50" s="18" customFormat="1" ht="35.25" customHeight="1" thickBot="1" x14ac:dyDescent="0.4">
      <c r="A13" s="616" t="str">
        <f ca="1">Translations!A12</f>
        <v>Navegación de la página</v>
      </c>
      <c r="B13" s="38"/>
      <c r="C13" s="39"/>
      <c r="D13" s="39"/>
      <c r="E13" s="188" t="str">
        <f ca="1">Translations!A45</f>
        <v>Receptores principales</v>
      </c>
      <c r="F13" s="14"/>
      <c r="G13" s="14"/>
      <c r="H13" s="14"/>
      <c r="I13" s="14"/>
      <c r="J13" s="14"/>
      <c r="K13" s="188" t="str">
        <f ca="1">Translations!A47</f>
        <v>Período de reporte</v>
      </c>
      <c r="L13" s="15"/>
      <c r="M13" s="14"/>
      <c r="N13" s="14"/>
      <c r="O13" s="14"/>
      <c r="P13" s="14"/>
      <c r="Q13" s="14"/>
      <c r="R13" s="14"/>
      <c r="S13" s="14"/>
      <c r="T13" s="188" t="str">
        <f ca="1">Translations!A22</f>
        <v xml:space="preserve">Metas </v>
      </c>
      <c r="V13" s="188" t="str">
        <f ca="1">Translations!A48</f>
        <v>Instrucciones</v>
      </c>
      <c r="W13" s="34"/>
      <c r="X13" s="28"/>
      <c r="Y13" s="28"/>
      <c r="Z13" s="28"/>
      <c r="AO13" s="3"/>
      <c r="AP13" s="3"/>
      <c r="AQ13" s="3"/>
      <c r="AR13" s="3"/>
      <c r="AS13" s="3"/>
      <c r="AT13" s="3"/>
      <c r="AU13" s="3"/>
      <c r="AV13" s="3"/>
      <c r="AW13" s="3"/>
      <c r="AX13" s="3"/>
    </row>
    <row r="14" spans="1:50" s="18" customFormat="1" ht="40.5" customHeight="1" thickBot="1" x14ac:dyDescent="0.4">
      <c r="A14" s="616"/>
      <c r="B14" s="40"/>
      <c r="C14" s="41"/>
      <c r="D14" s="41"/>
      <c r="E14" s="188" t="str">
        <f ca="1">Translations!A25</f>
        <v>Objetivos</v>
      </c>
      <c r="F14" s="14"/>
      <c r="G14" s="14"/>
      <c r="H14" s="14"/>
      <c r="I14" s="14"/>
      <c r="J14" s="14"/>
      <c r="K14" s="76" t="str">
        <f ca="1">Translations!A28</f>
        <v>Módulos</v>
      </c>
      <c r="L14" s="15"/>
      <c r="M14" s="14"/>
      <c r="N14" s="14"/>
      <c r="O14" s="14"/>
      <c r="P14" s="14"/>
      <c r="Q14" s="14"/>
      <c r="R14" s="14"/>
      <c r="S14" s="14"/>
      <c r="T14" s="13" t="str">
        <f ca="1">Translations!A46</f>
        <v>Intervención</v>
      </c>
      <c r="V14" s="28"/>
      <c r="W14" s="34"/>
      <c r="X14" s="28"/>
      <c r="Y14" s="28"/>
      <c r="Z14" s="28"/>
      <c r="AO14" s="3"/>
      <c r="AP14" s="3"/>
      <c r="AQ14" s="3"/>
      <c r="AR14" s="3"/>
      <c r="AS14" s="3"/>
      <c r="AT14" s="3"/>
      <c r="AU14" s="3"/>
      <c r="AV14" s="3"/>
      <c r="AW14" s="3"/>
      <c r="AX14" s="3"/>
    </row>
    <row r="15" spans="1:50" s="18" customFormat="1" ht="28.5" customHeight="1" x14ac:dyDescent="0.35">
      <c r="A15" s="36"/>
      <c r="B15" s="36"/>
      <c r="C15" s="36"/>
      <c r="D15" s="36"/>
      <c r="E15" s="36"/>
      <c r="F15" s="36"/>
      <c r="G15" s="36"/>
      <c r="H15" s="36"/>
      <c r="I15" s="36"/>
      <c r="J15" s="36"/>
      <c r="K15" s="36"/>
      <c r="L15" s="37"/>
      <c r="M15" s="37"/>
      <c r="N15" s="37"/>
      <c r="O15" s="37"/>
      <c r="P15" s="37"/>
      <c r="Q15" s="37"/>
      <c r="R15" s="37"/>
      <c r="S15" s="37"/>
      <c r="T15" s="16"/>
      <c r="V15" s="28"/>
      <c r="W15" s="34"/>
      <c r="X15" s="28"/>
      <c r="Y15" s="28"/>
      <c r="Z15" s="28"/>
      <c r="AO15" s="3"/>
      <c r="AP15" s="3"/>
      <c r="AQ15" s="3"/>
      <c r="AR15" s="3"/>
      <c r="AS15" s="3"/>
      <c r="AT15" s="3"/>
      <c r="AU15" s="3"/>
      <c r="AV15" s="3"/>
      <c r="AW15" s="3"/>
      <c r="AX15" s="3"/>
    </row>
    <row r="16" spans="1:50" ht="37.5" customHeight="1" thickBot="1" x14ac:dyDescent="0.4">
      <c r="A16" s="30"/>
      <c r="B16" s="30"/>
      <c r="C16" s="30"/>
      <c r="D16" s="30"/>
      <c r="E16" s="22"/>
      <c r="T16" s="22"/>
      <c r="W16" s="34"/>
      <c r="X16" s="34"/>
    </row>
    <row r="17" spans="1:26" ht="0.75" customHeight="1" x14ac:dyDescent="0.35">
      <c r="A17" s="42"/>
      <c r="B17" s="43"/>
      <c r="C17" s="43"/>
      <c r="D17" s="44"/>
      <c r="E17" s="30"/>
      <c r="F17" s="30"/>
      <c r="G17" s="30"/>
      <c r="H17" s="30"/>
      <c r="I17" s="30"/>
      <c r="J17" s="30"/>
      <c r="K17" s="30"/>
      <c r="L17" s="30"/>
      <c r="M17" s="30"/>
      <c r="N17" s="30"/>
      <c r="O17" s="30"/>
      <c r="P17" s="30"/>
      <c r="Q17" s="30"/>
      <c r="R17" s="30"/>
      <c r="S17" s="30"/>
      <c r="T17" s="22"/>
      <c r="W17" s="34"/>
      <c r="X17" s="34"/>
    </row>
    <row r="18" spans="1:26" ht="36.75" customHeight="1" x14ac:dyDescent="0.35">
      <c r="A18" s="145" t="str">
        <f ca="1">Translations!A13</f>
        <v>Componente</v>
      </c>
      <c r="B18" s="145"/>
      <c r="C18" s="145" t="s">
        <v>91</v>
      </c>
      <c r="D18" s="45"/>
      <c r="E18" s="30"/>
      <c r="F18" s="30"/>
      <c r="G18" s="30"/>
      <c r="H18" s="30"/>
      <c r="I18" s="30"/>
      <c r="J18" s="30"/>
      <c r="K18" s="30"/>
      <c r="L18" s="30"/>
      <c r="M18" s="30"/>
      <c r="N18" s="30"/>
      <c r="O18" s="30"/>
      <c r="P18" s="30"/>
      <c r="Q18" s="30"/>
      <c r="R18" s="30"/>
      <c r="S18" s="30"/>
      <c r="T18" s="22"/>
      <c r="W18" s="34"/>
      <c r="X18" s="34"/>
    </row>
    <row r="19" spans="1:26" ht="47.15" hidden="1" customHeight="1" x14ac:dyDescent="0.35">
      <c r="A19" s="146" t="s">
        <v>120</v>
      </c>
      <c r="B19" s="146"/>
      <c r="C19" s="146" t="s">
        <v>90</v>
      </c>
      <c r="D19" s="30"/>
      <c r="E19" s="30"/>
      <c r="F19" s="30"/>
      <c r="G19" s="30"/>
      <c r="H19" s="30"/>
      <c r="I19" s="30"/>
      <c r="J19" s="30"/>
      <c r="K19" s="30"/>
      <c r="L19" s="30"/>
      <c r="M19" s="30"/>
      <c r="N19" s="30"/>
      <c r="O19" s="30"/>
      <c r="P19" s="30"/>
      <c r="Q19" s="30"/>
      <c r="R19" s="30"/>
      <c r="S19" s="30"/>
      <c r="T19" s="22"/>
      <c r="W19" s="34"/>
      <c r="X19" s="34"/>
    </row>
    <row r="20" spans="1:26" ht="47.15" customHeight="1" x14ac:dyDescent="0.35">
      <c r="A20" s="146" t="s">
        <v>1413</v>
      </c>
      <c r="B20" s="146"/>
      <c r="C20" s="146" t="s">
        <v>1413</v>
      </c>
      <c r="D20" s="30"/>
      <c r="E20" s="30"/>
      <c r="F20" s="30"/>
      <c r="G20" s="30"/>
      <c r="H20" s="30"/>
      <c r="I20" s="30"/>
      <c r="J20" s="30"/>
      <c r="K20" s="30"/>
      <c r="L20" s="30"/>
      <c r="M20" s="30"/>
      <c r="N20" s="30"/>
      <c r="O20" s="30"/>
      <c r="P20" s="30"/>
      <c r="Q20" s="30"/>
      <c r="R20" s="30"/>
      <c r="S20" s="30"/>
      <c r="T20" s="22"/>
      <c r="W20" s="239"/>
      <c r="X20" s="239"/>
    </row>
    <row r="21" spans="1:26" ht="47.15" customHeight="1" x14ac:dyDescent="0.35">
      <c r="A21" s="146" t="s">
        <v>1414</v>
      </c>
      <c r="B21" s="146"/>
      <c r="C21" s="146" t="s">
        <v>1414</v>
      </c>
      <c r="D21" s="30"/>
      <c r="E21" s="30"/>
      <c r="F21" s="30"/>
      <c r="G21" s="30"/>
      <c r="H21" s="30"/>
      <c r="I21" s="30"/>
      <c r="J21" s="30"/>
      <c r="K21" s="30"/>
      <c r="L21" s="30"/>
      <c r="M21" s="30"/>
      <c r="N21" s="30"/>
      <c r="O21" s="30"/>
      <c r="P21" s="30"/>
      <c r="Q21" s="30"/>
      <c r="R21" s="30"/>
      <c r="S21" s="30"/>
      <c r="T21" s="22"/>
      <c r="W21" s="239"/>
      <c r="X21" s="239"/>
    </row>
    <row r="22" spans="1:26" ht="47.15" customHeight="1" x14ac:dyDescent="0.35">
      <c r="A22" s="181"/>
      <c r="B22" s="180"/>
      <c r="C22" s="146" t="s">
        <v>274</v>
      </c>
      <c r="D22" s="30"/>
      <c r="E22" s="30"/>
      <c r="F22" s="30"/>
      <c r="G22" s="30"/>
      <c r="H22" s="30"/>
      <c r="I22" s="30"/>
      <c r="J22" s="30"/>
      <c r="K22" s="30"/>
      <c r="L22" s="30"/>
      <c r="M22" s="30"/>
      <c r="N22" s="30"/>
      <c r="O22" s="30"/>
      <c r="P22" s="30"/>
      <c r="Q22" s="30"/>
      <c r="R22" s="30"/>
      <c r="S22" s="30"/>
      <c r="T22" s="22"/>
      <c r="W22" s="144"/>
      <c r="X22" s="144"/>
    </row>
    <row r="23" spans="1:26" s="30" customFormat="1" ht="20.149999999999999" customHeight="1" x14ac:dyDescent="0.35">
      <c r="A23" s="181"/>
      <c r="B23" s="180"/>
      <c r="C23" s="146"/>
      <c r="V23" s="29"/>
      <c r="W23" s="29"/>
      <c r="X23" s="29"/>
      <c r="Y23" s="29"/>
      <c r="Z23" s="29"/>
    </row>
    <row r="24" spans="1:26" ht="16.399999999999999" customHeight="1" thickBot="1" x14ac:dyDescent="0.4">
      <c r="A24" s="22"/>
      <c r="E24" s="22"/>
      <c r="J24" s="22"/>
      <c r="T24" s="22"/>
      <c r="W24" s="34"/>
      <c r="X24" s="34"/>
    </row>
    <row r="25" spans="1:26" ht="0.75" customHeight="1" x14ac:dyDescent="0.35">
      <c r="A25" s="22"/>
      <c r="B25" s="19"/>
      <c r="C25" s="19"/>
      <c r="D25" s="19"/>
      <c r="E25" s="22"/>
      <c r="F25" s="19"/>
      <c r="G25" s="19"/>
      <c r="H25" s="19"/>
      <c r="I25" s="19"/>
      <c r="J25" s="21"/>
      <c r="K25" s="22"/>
      <c r="L25" s="22"/>
      <c r="M25" s="22"/>
      <c r="N25" s="22"/>
      <c r="O25" s="22"/>
      <c r="P25" s="22"/>
      <c r="Q25" s="22"/>
      <c r="R25" s="22"/>
      <c r="T25" s="22"/>
      <c r="W25" s="34"/>
      <c r="X25" s="34"/>
    </row>
    <row r="26" spans="1:26" ht="21" customHeight="1" x14ac:dyDescent="0.35">
      <c r="A26" s="145" t="str">
        <f ca="1">Translations!A14</f>
        <v xml:space="preserve">Número del Receptor Principal </v>
      </c>
      <c r="B26" s="145"/>
      <c r="C26" s="145"/>
      <c r="D26" s="145"/>
      <c r="E26" s="438" t="str">
        <f ca="1">Translations!A15</f>
        <v>Nombre del Receptor Principal</v>
      </c>
      <c r="F26" s="439"/>
      <c r="G26" s="439"/>
      <c r="H26" s="439"/>
      <c r="I26" s="440" t="s">
        <v>48</v>
      </c>
      <c r="J26" s="439" t="s">
        <v>51</v>
      </c>
      <c r="K26" s="439"/>
      <c r="L26" s="441"/>
      <c r="M26" s="442"/>
      <c r="N26" s="442"/>
      <c r="O26" s="443"/>
      <c r="P26" s="443"/>
      <c r="Q26" s="442"/>
      <c r="R26" s="444"/>
      <c r="S26" s="148" t="s">
        <v>958</v>
      </c>
      <c r="T26" s="22"/>
      <c r="W26" s="34"/>
      <c r="X26" s="34"/>
    </row>
    <row r="27" spans="1:26" ht="19.399999999999999" hidden="1" customHeight="1" x14ac:dyDescent="0.35">
      <c r="A27" s="445" t="str">
        <f>IF(E27&lt;&gt;"[Account (Name)]",1,"")</f>
        <v/>
      </c>
      <c r="B27" s="146"/>
      <c r="C27" s="146"/>
      <c r="D27" s="146"/>
      <c r="E27" s="446" t="s">
        <v>119</v>
      </c>
      <c r="F27" s="447"/>
      <c r="G27" s="447"/>
      <c r="H27" s="447"/>
      <c r="I27" s="448" t="s">
        <v>47</v>
      </c>
      <c r="J27" s="449" t="s">
        <v>50</v>
      </c>
      <c r="K27" s="148"/>
      <c r="L27" s="450" t="str">
        <f>E27</f>
        <v>[Account (Name)]</v>
      </c>
      <c r="M27" s="451" t="str">
        <f>E27</f>
        <v>[Account (Name)]</v>
      </c>
      <c r="N27" s="452"/>
      <c r="O27" s="453"/>
      <c r="P27" s="453" t="str">
        <f>I27</f>
        <v>[Record ID]</v>
      </c>
      <c r="Q27" s="453"/>
      <c r="R27" s="454"/>
      <c r="S27" s="148" t="s">
        <v>957</v>
      </c>
      <c r="T27" s="22"/>
      <c r="W27" s="34"/>
      <c r="X27" s="34"/>
    </row>
    <row r="28" spans="1:26" ht="19.399999999999999" customHeight="1" x14ac:dyDescent="0.35">
      <c r="A28" s="445">
        <v>1</v>
      </c>
      <c r="B28" s="146"/>
      <c r="C28" s="146"/>
      <c r="D28" s="146"/>
      <c r="E28" s="446" t="s">
        <v>1073</v>
      </c>
      <c r="F28" s="447"/>
      <c r="G28" s="447"/>
      <c r="H28" s="447"/>
      <c r="I28" s="448" t="s">
        <v>1074</v>
      </c>
      <c r="J28" s="449" t="s">
        <v>1075</v>
      </c>
      <c r="K28" s="148"/>
      <c r="L28" s="450" t="str">
        <f>E28</f>
        <v>Ministry of Health of the Republic of El Salvador</v>
      </c>
      <c r="M28" s="451" t="str">
        <f>E28</f>
        <v>Ministry of Health of the Republic of El Salvador</v>
      </c>
      <c r="N28" s="452"/>
      <c r="O28" s="453"/>
      <c r="P28" s="453" t="str">
        <f>I28</f>
        <v>a123p000007FHAgAAO</v>
      </c>
      <c r="Q28" s="453"/>
      <c r="R28" s="454"/>
      <c r="S28" s="148" t="s">
        <v>1072</v>
      </c>
      <c r="T28" s="22"/>
      <c r="W28" s="239"/>
      <c r="X28" s="239"/>
    </row>
    <row r="29" spans="1:26" ht="18.649999999999999" customHeight="1" thickBot="1" x14ac:dyDescent="0.4">
      <c r="A29" s="85"/>
      <c r="B29" s="22"/>
      <c r="C29" s="22"/>
      <c r="D29" s="22"/>
      <c r="E29" s="22"/>
      <c r="F29" s="22"/>
      <c r="G29" s="22"/>
      <c r="H29" s="22"/>
      <c r="I29" s="22"/>
      <c r="J29" s="22"/>
      <c r="K29" s="22"/>
      <c r="L29" s="22"/>
      <c r="M29" s="22"/>
      <c r="N29" s="22"/>
      <c r="O29" s="22"/>
      <c r="P29" s="22">
        <f>I29</f>
        <v>0</v>
      </c>
      <c r="Q29" s="22"/>
      <c r="R29" s="22"/>
      <c r="S29" s="22"/>
      <c r="W29" s="34"/>
      <c r="X29" s="34"/>
    </row>
    <row r="30" spans="1:26" ht="12.65" customHeight="1" x14ac:dyDescent="0.35">
      <c r="A30" s="191"/>
      <c r="B30" s="19"/>
      <c r="C30" s="19"/>
      <c r="D30" s="19"/>
      <c r="E30" s="191"/>
      <c r="F30" s="19"/>
      <c r="G30" s="19"/>
      <c r="H30" s="19"/>
      <c r="I30" s="19"/>
      <c r="J30" s="22"/>
      <c r="K30" s="191"/>
      <c r="L30" s="19"/>
      <c r="M30" s="19"/>
      <c r="N30" s="19"/>
      <c r="O30" s="19"/>
      <c r="P30" s="19"/>
      <c r="Q30" s="19"/>
      <c r="R30" s="63"/>
      <c r="S30" s="20"/>
      <c r="W30" s="34"/>
    </row>
    <row r="31" spans="1:26" ht="75" customHeight="1" x14ac:dyDescent="0.35">
      <c r="A31" s="77" t="str">
        <f ca="1">Translations!A14</f>
        <v xml:space="preserve">Número del Receptor Principal </v>
      </c>
      <c r="B31" s="78"/>
      <c r="C31" s="78"/>
      <c r="D31" s="78"/>
      <c r="E31" s="243" t="str">
        <f ca="1">Translations!A16</f>
        <v>Nombre del Receptor Principal (Seleccione los RP que han tenido subvenciones con el Fondo Mundial previamente)</v>
      </c>
      <c r="F31" s="78"/>
      <c r="G31" s="78"/>
      <c r="H31" s="78"/>
      <c r="I31" s="78"/>
      <c r="K31" s="246" t="str">
        <f ca="1">Translations!A49</f>
        <v xml:space="preserve">Nuevo Receptor principal (utilice si la entidad nunca ha sido RP del Fondo Mundial o no aparece en la lista desplegable de las columnas anteriores) </v>
      </c>
      <c r="L31" s="91" t="s">
        <v>46</v>
      </c>
      <c r="M31" s="92" t="s">
        <v>110</v>
      </c>
      <c r="N31" s="92" t="s">
        <v>176</v>
      </c>
      <c r="O31" s="92" t="s">
        <v>175</v>
      </c>
      <c r="P31" s="91" t="s">
        <v>48</v>
      </c>
      <c r="Q31" s="91" t="s">
        <v>49</v>
      </c>
      <c r="R31" s="78" t="s">
        <v>51</v>
      </c>
      <c r="S31" s="21"/>
      <c r="W31" s="34"/>
    </row>
    <row r="32" spans="1:26" ht="40.5" hidden="1" customHeight="1" x14ac:dyDescent="0.35">
      <c r="A32" s="90" t="s">
        <v>62</v>
      </c>
      <c r="B32" s="79"/>
      <c r="C32" s="79"/>
      <c r="D32" s="79" t="str">
        <f>IF(E32&lt;&gt;"",E32,K32)</f>
        <v>[Account (Name)]</v>
      </c>
      <c r="E32" s="102" t="str">
        <f>IFERROR(IF(Q32="Funding Request Place Holder","",Q32),"")</f>
        <v>[Account (Name)]</v>
      </c>
      <c r="F32" s="80"/>
      <c r="G32" s="80"/>
      <c r="H32" s="80"/>
      <c r="I32" s="80"/>
      <c r="J32" s="24" t="str">
        <f>R32</f>
        <v>[Account Role ID]</v>
      </c>
      <c r="K32" s="102" t="s">
        <v>174</v>
      </c>
      <c r="L32" s="93" t="b">
        <f>IFERROR(IF(AND($AN$5="Funding Request",OR(E32&lt;&gt;"",K32&lt;&gt;"")),TRUE,FALSE),FALSE)</f>
        <v>0</v>
      </c>
      <c r="M32" s="93" t="str">
        <f>E32&amp;K32</f>
        <v>[Account (Name)][Alternative Account]</v>
      </c>
      <c r="N32" s="94" t="str">
        <f>IFERROR(IF(E32&lt;&gt;"",IF('Reference Records'!$C$341&lt;&gt;"",VLOOKUP(E32,'Account Role'!$B$3:$D$15,3,FALSE),VLOOKUP(E32,'Account Role'!$B$23:$D$293,3,FALSE)),O32),"")</f>
        <v>[Account]</v>
      </c>
      <c r="O32" s="93" t="s">
        <v>81</v>
      </c>
      <c r="P32" s="94" t="s">
        <v>47</v>
      </c>
      <c r="Q32" s="95" t="s">
        <v>119</v>
      </c>
      <c r="R32" s="80" t="s">
        <v>50</v>
      </c>
      <c r="S32" s="21"/>
      <c r="W32" s="34"/>
    </row>
    <row r="33" spans="1:50" ht="24" customHeight="1" thickBot="1" x14ac:dyDescent="0.4">
      <c r="A33" s="26"/>
      <c r="B33" s="26"/>
      <c r="C33" s="26"/>
      <c r="D33" s="26"/>
      <c r="E33" s="87"/>
      <c r="F33" s="87"/>
      <c r="G33" s="87"/>
      <c r="H33" s="87"/>
      <c r="I33" s="87"/>
      <c r="J33" s="87"/>
      <c r="K33" s="87"/>
      <c r="L33" s="87"/>
      <c r="M33" s="87"/>
      <c r="N33" s="87"/>
      <c r="O33" s="87"/>
      <c r="P33" s="87"/>
      <c r="Q33" s="87"/>
      <c r="R33" s="245"/>
      <c r="S33" s="23"/>
      <c r="T33" s="22"/>
      <c r="W33" s="34"/>
    </row>
    <row r="34" spans="1:50" ht="30" customHeight="1" x14ac:dyDescent="0.35">
      <c r="A34" s="85"/>
      <c r="B34" s="22"/>
      <c r="C34" s="22"/>
      <c r="D34" s="22"/>
      <c r="E34" s="84"/>
      <c r="F34" s="84"/>
      <c r="G34" s="84"/>
      <c r="H34" s="84"/>
      <c r="I34" s="84"/>
      <c r="J34" s="84"/>
      <c r="K34" s="84"/>
      <c r="L34" s="84"/>
      <c r="M34" s="84"/>
      <c r="N34" s="84"/>
      <c r="O34" s="84"/>
      <c r="P34" s="86"/>
      <c r="Q34" s="24"/>
      <c r="R34" s="46"/>
      <c r="S34" s="22"/>
      <c r="W34" s="34"/>
    </row>
    <row r="35" spans="1:50" s="58" customFormat="1" ht="29.25" customHeight="1" x14ac:dyDescent="0.35">
      <c r="A35" s="617"/>
      <c r="B35" s="617"/>
      <c r="C35" s="617"/>
      <c r="D35" s="617"/>
      <c r="E35" s="617"/>
      <c r="F35" s="617"/>
      <c r="G35" s="617"/>
      <c r="H35" s="617"/>
      <c r="I35" s="617"/>
      <c r="J35" s="617"/>
      <c r="K35" s="617"/>
      <c r="L35" s="617"/>
      <c r="M35" s="49"/>
      <c r="N35" s="49"/>
      <c r="O35" s="49"/>
      <c r="P35" s="49"/>
      <c r="Q35" s="49"/>
      <c r="R35" s="49"/>
      <c r="W35" s="82"/>
      <c r="AO35" s="83"/>
      <c r="AP35" s="83"/>
      <c r="AQ35" s="83"/>
      <c r="AR35" s="83"/>
      <c r="AS35" s="83"/>
      <c r="AT35" s="83"/>
      <c r="AU35" s="83"/>
      <c r="AV35" s="83"/>
      <c r="AW35" s="83"/>
      <c r="AX35" s="83"/>
    </row>
    <row r="36" spans="1:50" ht="30.75" customHeight="1" thickBot="1" x14ac:dyDescent="0.4">
      <c r="R36" s="46"/>
      <c r="S36" s="22"/>
      <c r="T36" s="22"/>
      <c r="W36" s="34"/>
    </row>
    <row r="37" spans="1:50" ht="29.25" customHeight="1" thickBot="1" x14ac:dyDescent="0.4">
      <c r="A37" s="603" t="str">
        <f ca="1">Translations!A17</f>
        <v>Período de reporte</v>
      </c>
      <c r="B37" s="604"/>
      <c r="C37" s="604"/>
      <c r="D37" s="604"/>
      <c r="E37" s="604"/>
      <c r="F37" s="604"/>
      <c r="G37" s="604"/>
      <c r="H37" s="604"/>
      <c r="I37" s="604"/>
      <c r="J37" s="604"/>
      <c r="K37" s="604"/>
      <c r="L37" s="604"/>
      <c r="M37" s="604"/>
      <c r="N37" s="604"/>
      <c r="O37" s="604"/>
      <c r="P37" s="604"/>
      <c r="Q37" s="604"/>
      <c r="R37" s="604"/>
      <c r="S37" s="604"/>
      <c r="T37" s="604"/>
      <c r="U37" s="19"/>
      <c r="V37" s="58"/>
      <c r="W37" s="34"/>
    </row>
    <row r="38" spans="1:50" ht="32.15" customHeight="1" x14ac:dyDescent="0.35">
      <c r="A38" s="75" t="str">
        <f ca="1">Translations!A18</f>
        <v>Fecha de inicio del período</v>
      </c>
      <c r="B38" s="81">
        <v>0</v>
      </c>
      <c r="C38" s="75"/>
      <c r="D38" s="75"/>
      <c r="E38" s="75" t="str">
        <f ca="1">Translations!A19</f>
        <v>Fecha de término del período</v>
      </c>
      <c r="F38" s="75"/>
      <c r="G38" s="75"/>
      <c r="H38" s="75"/>
      <c r="I38" s="75"/>
      <c r="J38" s="75"/>
      <c r="K38" s="75" t="str">
        <f ca="1">Translations!A20</f>
        <v>Fecha de envío del PUDR</v>
      </c>
      <c r="L38" s="147" t="s">
        <v>208</v>
      </c>
      <c r="M38" s="147" t="s">
        <v>212</v>
      </c>
      <c r="N38" s="147" t="s">
        <v>46</v>
      </c>
      <c r="O38" s="147" t="s">
        <v>200</v>
      </c>
      <c r="P38" s="147" t="s">
        <v>0</v>
      </c>
      <c r="Q38" s="147" t="s">
        <v>201</v>
      </c>
      <c r="R38" s="147"/>
      <c r="S38" s="148"/>
      <c r="T38" s="75" t="str">
        <f ca="1">Translations!A21</f>
        <v>Fecha de envío</v>
      </c>
      <c r="U38" s="149" t="s">
        <v>48</v>
      </c>
      <c r="V38" s="58"/>
      <c r="W38" s="34"/>
    </row>
    <row r="39" spans="1:50" ht="34.5" hidden="1" customHeight="1" x14ac:dyDescent="0.35">
      <c r="A39" s="150" t="str">
        <f ca="1">IF(P39="",IF(B39=2,$E$7,IF(B39=1,"",E38+1)),IF(P39&lt;TODAY(),O39,IF(B39=2,$E$7,IF(B39=1,"",E38+1))))</f>
        <v/>
      </c>
      <c r="B39" s="151">
        <f>B38+1</f>
        <v>1</v>
      </c>
      <c r="C39" s="148"/>
      <c r="D39" s="148"/>
      <c r="E39" s="152" t="str">
        <f ca="1">IF(P39="",IFERROR(EOMONTH($A39,$E$9-1),""),IF(P39&lt;TODAY(),P39,IFERROR(EOMONTH($A39,$E$9-1),"")))</f>
        <v/>
      </c>
      <c r="F39" s="152"/>
      <c r="G39" s="152"/>
      <c r="H39" s="152"/>
      <c r="I39" s="152"/>
      <c r="J39" s="152"/>
      <c r="K39" s="153" t="str">
        <f ca="1">IF(M39=TRUE,Translations!$A$101,Translations!$A$102)</f>
        <v>No</v>
      </c>
      <c r="L39" s="149" t="b">
        <f ca="1">IF(K39=Translations!$A$101,TRUE,FALSE)</f>
        <v>0</v>
      </c>
      <c r="M39" s="149" t="s">
        <v>213</v>
      </c>
      <c r="N39" s="149" t="b">
        <f ca="1">IFERROR(IF(E39&lt;=$E$8,TRUE,FALSE),"")</f>
        <v>0</v>
      </c>
      <c r="O39" s="154" t="s">
        <v>199</v>
      </c>
      <c r="P39" s="154" t="s">
        <v>38</v>
      </c>
      <c r="Q39" s="155" t="s">
        <v>47</v>
      </c>
      <c r="R39" s="147"/>
      <c r="S39" s="149"/>
      <c r="T39" s="150" t="e">
        <f ca="1">TEXT(IF(K39="","",IF(K39=Translations!$A$102,E39+45,IF(K39=Translations!$A$101,E39+60,""))),Setup!$A$33)</f>
        <v>#VALUE!</v>
      </c>
      <c r="U39" s="149" t="s">
        <v>47</v>
      </c>
      <c r="V39" s="58"/>
      <c r="W39" s="34"/>
    </row>
    <row r="40" spans="1:50" ht="34.5" customHeight="1" x14ac:dyDescent="0.35">
      <c r="A40" s="150">
        <f t="shared" ref="A40:A45" ca="1" si="0">IF(P40="",IF(B40=2,$E$7,IF(B40=1,"",E39+1)),IF(P40&lt;TODAY(),O40,IF(B40=2,$E$7,IF(B40=1,"",E39+1))))</f>
        <v>44562</v>
      </c>
      <c r="B40" s="151">
        <f t="shared" ref="B40:B45" si="1">B39+1</f>
        <v>2</v>
      </c>
      <c r="C40" s="148"/>
      <c r="D40" s="148"/>
      <c r="E40" s="152">
        <f t="shared" ref="E40:E45" ca="1" si="2">IF(P40="",IFERROR(EOMONTH($A40,$E$9-1),""),IF(P40&lt;TODAY(),P40,IFERROR(EOMONTH($A40,$E$9-1),"")))</f>
        <v>44926</v>
      </c>
      <c r="F40" s="152"/>
      <c r="G40" s="152"/>
      <c r="H40" s="152"/>
      <c r="I40" s="152"/>
      <c r="J40" s="152"/>
      <c r="K40" s="153" t="s">
        <v>441</v>
      </c>
      <c r="L40" s="149" t="b">
        <f ca="1">IF(K40=Translations!$A$101,TRUE,FALSE)</f>
        <v>1</v>
      </c>
      <c r="M40" s="149" t="b">
        <v>0</v>
      </c>
      <c r="N40" s="149" t="b">
        <f t="shared" ref="N40:N45" ca="1" si="3">IFERROR(IF(E40&lt;=$E$8,TRUE,FALSE),"")</f>
        <v>1</v>
      </c>
      <c r="O40" s="154"/>
      <c r="P40" s="154"/>
      <c r="Q40" s="155" t="s">
        <v>1068</v>
      </c>
      <c r="R40" s="147"/>
      <c r="S40" s="149"/>
      <c r="T40" s="150" t="str">
        <f ca="1">TEXT(IF(K40="","",IF(K40=Translations!$A$102,E40+45,IF(K40=Translations!$A$101,E40+60,""))),Setup!$A$33)</f>
        <v>1-Mar-23</v>
      </c>
      <c r="U40" s="149" t="s">
        <v>1415</v>
      </c>
      <c r="V40" s="58"/>
      <c r="W40" s="239"/>
    </row>
    <row r="41" spans="1:50" ht="34.5" customHeight="1" x14ac:dyDescent="0.35">
      <c r="A41" s="150">
        <f t="shared" ca="1" si="0"/>
        <v>44927</v>
      </c>
      <c r="B41" s="151">
        <f t="shared" si="1"/>
        <v>3</v>
      </c>
      <c r="C41" s="148"/>
      <c r="D41" s="148"/>
      <c r="E41" s="152">
        <f t="shared" ca="1" si="2"/>
        <v>45291</v>
      </c>
      <c r="F41" s="152"/>
      <c r="G41" s="152"/>
      <c r="H41" s="152"/>
      <c r="I41" s="152"/>
      <c r="J41" s="152"/>
      <c r="K41" s="153" t="s">
        <v>441</v>
      </c>
      <c r="L41" s="149" t="b">
        <f ca="1">IF(K41=Translations!$A$101,TRUE,FALSE)</f>
        <v>1</v>
      </c>
      <c r="M41" s="149" t="b">
        <v>0</v>
      </c>
      <c r="N41" s="149" t="b">
        <f t="shared" ca="1" si="3"/>
        <v>1</v>
      </c>
      <c r="O41" s="154"/>
      <c r="P41" s="154"/>
      <c r="Q41" s="155" t="s">
        <v>1068</v>
      </c>
      <c r="R41" s="147"/>
      <c r="S41" s="149"/>
      <c r="T41" s="150" t="str">
        <f ca="1">TEXT(IF(K41="","",IF(K41=Translations!$A$102,E41+45,IF(K41=Translations!$A$101,E41+60,""))),Setup!$A$33)</f>
        <v>29-Feb-24</v>
      </c>
      <c r="U41" s="149" t="s">
        <v>1416</v>
      </c>
      <c r="V41" s="58"/>
      <c r="W41" s="239"/>
    </row>
    <row r="42" spans="1:50" ht="34.5" customHeight="1" x14ac:dyDescent="0.35">
      <c r="A42" s="150">
        <f t="shared" ca="1" si="0"/>
        <v>45292</v>
      </c>
      <c r="B42" s="151">
        <f t="shared" si="1"/>
        <v>4</v>
      </c>
      <c r="C42" s="148"/>
      <c r="D42" s="148"/>
      <c r="E42" s="152">
        <f t="shared" ca="1" si="2"/>
        <v>45657</v>
      </c>
      <c r="F42" s="152"/>
      <c r="G42" s="152"/>
      <c r="H42" s="152"/>
      <c r="I42" s="152"/>
      <c r="J42" s="152"/>
      <c r="K42" s="153" t="str">
        <f ca="1">IF(M42=TRUE,Translations!$A$101,Translations!$A$102)</f>
        <v>No</v>
      </c>
      <c r="L42" s="149" t="b">
        <f ca="1">IF(K42=Translations!$A$101,TRUE,FALSE)</f>
        <v>0</v>
      </c>
      <c r="M42" s="149" t="b">
        <v>0</v>
      </c>
      <c r="N42" s="149" t="b">
        <f t="shared" ca="1" si="3"/>
        <v>1</v>
      </c>
      <c r="O42" s="154"/>
      <c r="P42" s="154"/>
      <c r="Q42" s="155" t="s">
        <v>1068</v>
      </c>
      <c r="R42" s="147"/>
      <c r="S42" s="149"/>
      <c r="T42" s="150" t="str">
        <f ca="1">TEXT(IF(K42="","",IF(K42=Translations!$A$102,E42+45,IF(K42=Translations!$A$101,E42+60,""))),Setup!$A$33)</f>
        <v>14-Feb-25</v>
      </c>
      <c r="U42" s="149" t="s">
        <v>1417</v>
      </c>
      <c r="V42" s="58"/>
      <c r="W42" s="239"/>
    </row>
    <row r="43" spans="1:50" ht="34.5" customHeight="1" x14ac:dyDescent="0.35">
      <c r="A43" s="150">
        <f t="shared" ca="1" si="0"/>
        <v>45658</v>
      </c>
      <c r="B43" s="151">
        <f t="shared" si="1"/>
        <v>5</v>
      </c>
      <c r="C43" s="148"/>
      <c r="D43" s="148"/>
      <c r="E43" s="152">
        <f t="shared" ca="1" si="2"/>
        <v>46022</v>
      </c>
      <c r="F43" s="152"/>
      <c r="G43" s="152"/>
      <c r="H43" s="152"/>
      <c r="I43" s="152"/>
      <c r="J43" s="152"/>
      <c r="K43" s="153" t="str">
        <f ca="1">IF(M43=TRUE,Translations!$A$101,Translations!$A$102)</f>
        <v>No</v>
      </c>
      <c r="L43" s="149" t="b">
        <f ca="1">IF(K43=Translations!$A$101,TRUE,FALSE)</f>
        <v>0</v>
      </c>
      <c r="M43" s="149" t="b">
        <v>0</v>
      </c>
      <c r="N43" s="149" t="b">
        <f t="shared" ca="1" si="3"/>
        <v>0</v>
      </c>
      <c r="O43" s="154"/>
      <c r="P43" s="154"/>
      <c r="Q43" s="155" t="s">
        <v>1068</v>
      </c>
      <c r="R43" s="147"/>
      <c r="S43" s="149"/>
      <c r="T43" s="150" t="str">
        <f ca="1">TEXT(IF(K43="","",IF(K43=Translations!$A$102,E43+45,IF(K43=Translations!$A$101,E43+60,""))),Setup!$A$33)</f>
        <v>14-Feb-26</v>
      </c>
      <c r="U43" s="149" t="s">
        <v>1418</v>
      </c>
      <c r="V43" s="58"/>
      <c r="W43" s="239"/>
    </row>
    <row r="44" spans="1:50" ht="34.5" customHeight="1" x14ac:dyDescent="0.35">
      <c r="A44" s="150">
        <f t="shared" ca="1" si="0"/>
        <v>46023</v>
      </c>
      <c r="B44" s="151">
        <f t="shared" si="1"/>
        <v>6</v>
      </c>
      <c r="C44" s="148"/>
      <c r="D44" s="148"/>
      <c r="E44" s="152">
        <f t="shared" ca="1" si="2"/>
        <v>46387</v>
      </c>
      <c r="F44" s="152"/>
      <c r="G44" s="152"/>
      <c r="H44" s="152"/>
      <c r="I44" s="152"/>
      <c r="J44" s="152"/>
      <c r="K44" s="153" t="str">
        <f ca="1">IF(M44=TRUE,Translations!$A$101,Translations!$A$102)</f>
        <v>No</v>
      </c>
      <c r="L44" s="149" t="b">
        <f ca="1">IF(K44=Translations!$A$101,TRUE,FALSE)</f>
        <v>0</v>
      </c>
      <c r="M44" s="149" t="b">
        <v>0</v>
      </c>
      <c r="N44" s="149" t="b">
        <f t="shared" ca="1" si="3"/>
        <v>0</v>
      </c>
      <c r="O44" s="154"/>
      <c r="P44" s="154"/>
      <c r="Q44" s="155" t="s">
        <v>1068</v>
      </c>
      <c r="R44" s="147"/>
      <c r="S44" s="149"/>
      <c r="T44" s="150" t="str">
        <f ca="1">TEXT(IF(K44="","",IF(K44=Translations!$A$102,E44+45,IF(K44=Translations!$A$101,E44+60,""))),Setup!$A$33)</f>
        <v>14-Feb-27</v>
      </c>
      <c r="U44" s="149" t="s">
        <v>1419</v>
      </c>
      <c r="V44" s="58"/>
      <c r="W44" s="239"/>
    </row>
    <row r="45" spans="1:50" ht="34.5" customHeight="1" x14ac:dyDescent="0.35">
      <c r="A45" s="150">
        <f t="shared" ca="1" si="0"/>
        <v>46388</v>
      </c>
      <c r="B45" s="151">
        <f t="shared" si="1"/>
        <v>7</v>
      </c>
      <c r="C45" s="148"/>
      <c r="D45" s="148"/>
      <c r="E45" s="152">
        <f t="shared" ca="1" si="2"/>
        <v>46752</v>
      </c>
      <c r="F45" s="152"/>
      <c r="G45" s="152"/>
      <c r="H45" s="152"/>
      <c r="I45" s="152"/>
      <c r="J45" s="152"/>
      <c r="K45" s="153" t="str">
        <f ca="1">IF(M45=TRUE,Translations!$A$101,Translations!$A$102)</f>
        <v>No</v>
      </c>
      <c r="L45" s="149" t="b">
        <f ca="1">IF(K45=Translations!$A$101,TRUE,FALSE)</f>
        <v>0</v>
      </c>
      <c r="M45" s="149" t="b">
        <v>0</v>
      </c>
      <c r="N45" s="149" t="b">
        <f t="shared" ca="1" si="3"/>
        <v>0</v>
      </c>
      <c r="O45" s="154"/>
      <c r="P45" s="154"/>
      <c r="Q45" s="155" t="s">
        <v>1068</v>
      </c>
      <c r="R45" s="147"/>
      <c r="S45" s="149"/>
      <c r="T45" s="150" t="str">
        <f ca="1">TEXT(IF(K45="","",IF(K45=Translations!$A$102,E45+45,IF(K45=Translations!$A$101,E45+60,""))),Setup!$A$33)</f>
        <v>14-Feb-28</v>
      </c>
      <c r="U45" s="149" t="s">
        <v>1420</v>
      </c>
      <c r="V45" s="58"/>
      <c r="W45" s="239"/>
    </row>
    <row r="46" spans="1:50" ht="9.65" hidden="1" customHeight="1" thickBot="1" x14ac:dyDescent="0.4">
      <c r="A46" s="25"/>
      <c r="B46" s="26"/>
      <c r="C46" s="26"/>
      <c r="D46" s="26"/>
      <c r="E46" s="26"/>
      <c r="F46" s="26"/>
      <c r="G46" s="26"/>
      <c r="H46" s="26"/>
      <c r="I46" s="26"/>
      <c r="J46" s="26"/>
      <c r="K46" s="26"/>
      <c r="L46" s="26"/>
      <c r="M46" s="26"/>
      <c r="N46" s="26"/>
      <c r="O46" s="26"/>
      <c r="P46" s="26"/>
      <c r="Q46" s="26"/>
      <c r="R46" s="26"/>
      <c r="S46" s="26"/>
      <c r="T46" s="26"/>
      <c r="U46" s="26"/>
      <c r="V46" s="88"/>
      <c r="W46" s="34"/>
    </row>
    <row r="47" spans="1:50" ht="30" customHeight="1" x14ac:dyDescent="0.35">
      <c r="T47" s="22"/>
      <c r="W47" s="34"/>
    </row>
    <row r="48" spans="1:50" ht="30" customHeight="1" x14ac:dyDescent="0.35">
      <c r="L48" s="97"/>
      <c r="T48" s="22"/>
      <c r="W48" s="34"/>
    </row>
    <row r="49" spans="1:25" ht="25.5" customHeight="1" thickBot="1" x14ac:dyDescent="0.4">
      <c r="A49" s="48"/>
      <c r="B49" s="36"/>
      <c r="C49" s="36"/>
      <c r="D49" s="36"/>
      <c r="E49" s="36"/>
      <c r="F49" s="36"/>
      <c r="G49" s="36"/>
      <c r="H49" s="36"/>
      <c r="I49" s="36"/>
      <c r="J49" s="36"/>
      <c r="K49" s="36"/>
      <c r="L49" s="37"/>
      <c r="M49" s="37"/>
      <c r="N49" s="37"/>
      <c r="O49" s="37"/>
      <c r="P49" s="37"/>
      <c r="Q49" s="37"/>
      <c r="R49" s="37"/>
      <c r="S49" s="37"/>
      <c r="T49" s="16"/>
      <c r="U49" s="16"/>
      <c r="V49" s="33"/>
      <c r="W49" s="34"/>
    </row>
    <row r="50" spans="1:25" ht="25.5" customHeight="1" thickBot="1" x14ac:dyDescent="0.4">
      <c r="A50" s="603" t="str">
        <f ca="1">Translations!A22</f>
        <v xml:space="preserve">Metas </v>
      </c>
      <c r="B50" s="604"/>
      <c r="C50" s="604"/>
      <c r="D50" s="604"/>
      <c r="E50" s="604"/>
      <c r="F50" s="67"/>
      <c r="G50" s="67"/>
      <c r="H50" s="67"/>
      <c r="I50" s="67"/>
      <c r="J50" s="68"/>
      <c r="K50" s="71"/>
      <c r="L50" s="46"/>
      <c r="M50" s="46"/>
      <c r="N50" s="46"/>
      <c r="O50" s="46"/>
      <c r="P50" s="46"/>
      <c r="Q50" s="46"/>
      <c r="R50" s="46"/>
      <c r="S50" s="46"/>
      <c r="T50" s="46"/>
      <c r="U50" s="46"/>
      <c r="V50" s="49"/>
      <c r="W50" s="34"/>
    </row>
    <row r="51" spans="1:25" ht="32.25" customHeight="1" x14ac:dyDescent="0.35">
      <c r="A51" s="455" t="str">
        <f ca="1">Translations!A23</f>
        <v>Número de meta</v>
      </c>
      <c r="B51" s="455"/>
      <c r="C51" s="455"/>
      <c r="D51" s="455"/>
      <c r="E51" s="456" t="str">
        <f ca="1">Translations!A24</f>
        <v>Descripción de meta</v>
      </c>
      <c r="F51" s="457" t="s">
        <v>201</v>
      </c>
      <c r="G51" s="457" t="s">
        <v>46</v>
      </c>
      <c r="H51" s="457" t="s">
        <v>48</v>
      </c>
      <c r="I51" s="72"/>
      <c r="J51" s="50"/>
      <c r="K51" s="72"/>
      <c r="L51" s="47"/>
      <c r="M51" s="47"/>
      <c r="N51" s="47"/>
      <c r="O51" s="47"/>
      <c r="P51" s="47"/>
      <c r="Q51" s="47"/>
      <c r="R51" s="47"/>
      <c r="S51" s="47"/>
      <c r="T51" s="47"/>
      <c r="U51" s="47"/>
      <c r="V51" s="51"/>
      <c r="W51" s="34"/>
      <c r="Y51" s="602"/>
    </row>
    <row r="52" spans="1:25" ht="47.15" hidden="1" customHeight="1" x14ac:dyDescent="0.35">
      <c r="A52" s="146" t="s">
        <v>63</v>
      </c>
      <c r="B52" s="146"/>
      <c r="C52" s="146"/>
      <c r="D52" s="146"/>
      <c r="E52" s="458" t="s">
        <v>53</v>
      </c>
      <c r="F52" s="459" t="s">
        <v>47</v>
      </c>
      <c r="G52" s="459" t="b">
        <f>IFERROR(IF(E52&lt;&gt;"",TRUE,FALSE),FALSE)</f>
        <v>1</v>
      </c>
      <c r="H52" s="459" t="s">
        <v>47</v>
      </c>
      <c r="I52" s="73"/>
      <c r="J52" s="74"/>
      <c r="K52" s="73"/>
      <c r="L52" s="46"/>
      <c r="M52" s="46"/>
      <c r="N52" s="46"/>
      <c r="O52" s="46"/>
      <c r="P52" s="46"/>
      <c r="Q52" s="46"/>
      <c r="R52" s="46"/>
      <c r="S52" s="46"/>
      <c r="T52" s="46"/>
      <c r="U52" s="46"/>
      <c r="V52" s="49"/>
      <c r="Y52" s="602"/>
    </row>
    <row r="53" spans="1:25" ht="222" customHeight="1" x14ac:dyDescent="0.35">
      <c r="A53" s="146">
        <v>1</v>
      </c>
      <c r="B53" s="146"/>
      <c r="C53" s="146"/>
      <c r="D53" s="146"/>
      <c r="E53" s="458" t="s">
        <v>1076</v>
      </c>
      <c r="F53" s="459" t="s">
        <v>1068</v>
      </c>
      <c r="G53" s="459" t="b">
        <f t="shared" ref="G53:G76" si="4">IFERROR(IF(E53&lt;&gt;"",TRUE,FALSE),FALSE)</f>
        <v>1</v>
      </c>
      <c r="H53" s="459" t="s">
        <v>1077</v>
      </c>
      <c r="I53" s="73"/>
      <c r="J53" s="74"/>
      <c r="K53" s="73"/>
      <c r="L53" s="46"/>
      <c r="M53" s="46"/>
      <c r="N53" s="46"/>
      <c r="O53" s="46"/>
      <c r="P53" s="46"/>
      <c r="Q53" s="46"/>
      <c r="R53" s="46"/>
      <c r="S53" s="46"/>
      <c r="T53" s="46"/>
      <c r="U53" s="46"/>
      <c r="V53" s="49"/>
      <c r="Y53" s="435"/>
    </row>
    <row r="54" spans="1:25" ht="221.25" customHeight="1" x14ac:dyDescent="0.35">
      <c r="A54" s="146">
        <v>2</v>
      </c>
      <c r="B54" s="146"/>
      <c r="C54" s="146"/>
      <c r="D54" s="146"/>
      <c r="E54" s="458" t="s">
        <v>1078</v>
      </c>
      <c r="F54" s="459" t="s">
        <v>1068</v>
      </c>
      <c r="G54" s="459" t="b">
        <f t="shared" si="4"/>
        <v>1</v>
      </c>
      <c r="H54" s="459" t="s">
        <v>1079</v>
      </c>
      <c r="I54" s="73"/>
      <c r="J54" s="74"/>
      <c r="K54" s="73"/>
      <c r="L54" s="46"/>
      <c r="M54" s="46"/>
      <c r="N54" s="46"/>
      <c r="O54" s="46"/>
      <c r="P54" s="46"/>
      <c r="Q54" s="46"/>
      <c r="R54" s="46"/>
      <c r="S54" s="46"/>
      <c r="T54" s="46"/>
      <c r="U54" s="46"/>
      <c r="V54" s="49"/>
      <c r="Y54" s="435"/>
    </row>
    <row r="55" spans="1:25" ht="47.15" customHeight="1" x14ac:dyDescent="0.35">
      <c r="A55" s="146">
        <v>3</v>
      </c>
      <c r="B55" s="146"/>
      <c r="C55" s="146"/>
      <c r="D55" s="146"/>
      <c r="E55" s="458"/>
      <c r="F55" s="459" t="s">
        <v>1068</v>
      </c>
      <c r="G55" s="459" t="b">
        <f t="shared" si="4"/>
        <v>0</v>
      </c>
      <c r="H55" s="459" t="s">
        <v>1080</v>
      </c>
      <c r="I55" s="73"/>
      <c r="J55" s="74"/>
      <c r="K55" s="73"/>
      <c r="L55" s="46"/>
      <c r="M55" s="46"/>
      <c r="N55" s="46"/>
      <c r="O55" s="46"/>
      <c r="P55" s="46"/>
      <c r="Q55" s="46"/>
      <c r="R55" s="46"/>
      <c r="S55" s="46"/>
      <c r="T55" s="46"/>
      <c r="U55" s="46"/>
      <c r="V55" s="49"/>
      <c r="Y55" s="435"/>
    </row>
    <row r="56" spans="1:25" ht="47.15" customHeight="1" x14ac:dyDescent="0.35">
      <c r="A56" s="146">
        <v>4</v>
      </c>
      <c r="B56" s="146"/>
      <c r="C56" s="146"/>
      <c r="D56" s="146"/>
      <c r="E56" s="458"/>
      <c r="F56" s="459" t="s">
        <v>1068</v>
      </c>
      <c r="G56" s="459" t="b">
        <f t="shared" si="4"/>
        <v>0</v>
      </c>
      <c r="H56" s="459" t="s">
        <v>1081</v>
      </c>
      <c r="I56" s="73"/>
      <c r="J56" s="74"/>
      <c r="K56" s="73"/>
      <c r="L56" s="46"/>
      <c r="M56" s="46"/>
      <c r="N56" s="46"/>
      <c r="O56" s="46"/>
      <c r="P56" s="46"/>
      <c r="Q56" s="46"/>
      <c r="R56" s="46"/>
      <c r="S56" s="46"/>
      <c r="T56" s="46"/>
      <c r="U56" s="46"/>
      <c r="V56" s="49"/>
      <c r="Y56" s="435"/>
    </row>
    <row r="57" spans="1:25" ht="47.15" customHeight="1" x14ac:dyDescent="0.35">
      <c r="A57" s="146">
        <v>5</v>
      </c>
      <c r="B57" s="146"/>
      <c r="C57" s="146"/>
      <c r="D57" s="146"/>
      <c r="E57" s="458"/>
      <c r="F57" s="459" t="s">
        <v>1068</v>
      </c>
      <c r="G57" s="459" t="b">
        <f t="shared" si="4"/>
        <v>0</v>
      </c>
      <c r="H57" s="459" t="s">
        <v>1082</v>
      </c>
      <c r="I57" s="73"/>
      <c r="J57" s="74"/>
      <c r="K57" s="73"/>
      <c r="L57" s="46"/>
      <c r="M57" s="46"/>
      <c r="N57" s="46"/>
      <c r="O57" s="46"/>
      <c r="P57" s="46"/>
      <c r="Q57" s="46"/>
      <c r="R57" s="46"/>
      <c r="S57" s="46"/>
      <c r="T57" s="46"/>
      <c r="U57" s="46"/>
      <c r="V57" s="49"/>
      <c r="Y57" s="435"/>
    </row>
    <row r="58" spans="1:25" ht="47.15" customHeight="1" x14ac:dyDescent="0.35">
      <c r="A58" s="146">
        <v>6</v>
      </c>
      <c r="B58" s="146"/>
      <c r="C58" s="146"/>
      <c r="D58" s="146"/>
      <c r="E58" s="458"/>
      <c r="F58" s="459" t="s">
        <v>1068</v>
      </c>
      <c r="G58" s="459" t="b">
        <f t="shared" si="4"/>
        <v>0</v>
      </c>
      <c r="H58" s="459" t="s">
        <v>1083</v>
      </c>
      <c r="I58" s="73"/>
      <c r="J58" s="74"/>
      <c r="K58" s="73"/>
      <c r="L58" s="46"/>
      <c r="M58" s="46"/>
      <c r="N58" s="46"/>
      <c r="O58" s="46"/>
      <c r="P58" s="46"/>
      <c r="Q58" s="46"/>
      <c r="R58" s="46"/>
      <c r="S58" s="46"/>
      <c r="T58" s="46"/>
      <c r="U58" s="46"/>
      <c r="V58" s="49"/>
      <c r="Y58" s="435"/>
    </row>
    <row r="59" spans="1:25" ht="47.15" customHeight="1" x14ac:dyDescent="0.35">
      <c r="A59" s="146">
        <v>7</v>
      </c>
      <c r="B59" s="146"/>
      <c r="C59" s="146"/>
      <c r="D59" s="146"/>
      <c r="E59" s="458"/>
      <c r="F59" s="459" t="s">
        <v>1068</v>
      </c>
      <c r="G59" s="459" t="b">
        <f t="shared" si="4"/>
        <v>0</v>
      </c>
      <c r="H59" s="459" t="s">
        <v>1084</v>
      </c>
      <c r="I59" s="73"/>
      <c r="J59" s="74"/>
      <c r="K59" s="73"/>
      <c r="L59" s="46"/>
      <c r="M59" s="46"/>
      <c r="N59" s="46"/>
      <c r="O59" s="46"/>
      <c r="P59" s="46"/>
      <c r="Q59" s="46"/>
      <c r="R59" s="46"/>
      <c r="S59" s="46"/>
      <c r="T59" s="46"/>
      <c r="U59" s="46"/>
      <c r="V59" s="49"/>
      <c r="Y59" s="435"/>
    </row>
    <row r="60" spans="1:25" ht="47.15" customHeight="1" x14ac:dyDescent="0.35">
      <c r="A60" s="146">
        <v>8</v>
      </c>
      <c r="B60" s="146"/>
      <c r="C60" s="146"/>
      <c r="D60" s="146"/>
      <c r="E60" s="458"/>
      <c r="F60" s="459" t="s">
        <v>1068</v>
      </c>
      <c r="G60" s="459" t="b">
        <f t="shared" si="4"/>
        <v>0</v>
      </c>
      <c r="H60" s="459" t="s">
        <v>1085</v>
      </c>
      <c r="I60" s="73"/>
      <c r="J60" s="74"/>
      <c r="K60" s="73"/>
      <c r="L60" s="46"/>
      <c r="M60" s="46"/>
      <c r="N60" s="46"/>
      <c r="O60" s="46"/>
      <c r="P60" s="46"/>
      <c r="Q60" s="46"/>
      <c r="R60" s="46"/>
      <c r="S60" s="46"/>
      <c r="T60" s="46"/>
      <c r="U60" s="46"/>
      <c r="V60" s="49"/>
      <c r="Y60" s="435"/>
    </row>
    <row r="61" spans="1:25" ht="47.15" customHeight="1" x14ac:dyDescent="0.35">
      <c r="A61" s="146">
        <v>9</v>
      </c>
      <c r="B61" s="146"/>
      <c r="C61" s="146"/>
      <c r="D61" s="146"/>
      <c r="E61" s="458"/>
      <c r="F61" s="459" t="s">
        <v>1068</v>
      </c>
      <c r="G61" s="459" t="b">
        <f t="shared" si="4"/>
        <v>0</v>
      </c>
      <c r="H61" s="459" t="s">
        <v>1086</v>
      </c>
      <c r="I61" s="73"/>
      <c r="J61" s="74"/>
      <c r="K61" s="73"/>
      <c r="L61" s="46"/>
      <c r="M61" s="46"/>
      <c r="N61" s="46"/>
      <c r="O61" s="46"/>
      <c r="P61" s="46"/>
      <c r="Q61" s="46"/>
      <c r="R61" s="46"/>
      <c r="S61" s="46"/>
      <c r="T61" s="46"/>
      <c r="U61" s="46"/>
      <c r="V61" s="49"/>
      <c r="Y61" s="435"/>
    </row>
    <row r="62" spans="1:25" ht="47.15" customHeight="1" x14ac:dyDescent="0.35">
      <c r="A62" s="146">
        <v>10</v>
      </c>
      <c r="B62" s="146"/>
      <c r="C62" s="146"/>
      <c r="D62" s="146"/>
      <c r="E62" s="458"/>
      <c r="F62" s="459" t="s">
        <v>1068</v>
      </c>
      <c r="G62" s="459" t="b">
        <f t="shared" si="4"/>
        <v>0</v>
      </c>
      <c r="H62" s="459" t="s">
        <v>1087</v>
      </c>
      <c r="I62" s="73"/>
      <c r="J62" s="74"/>
      <c r="K62" s="73"/>
      <c r="L62" s="46"/>
      <c r="M62" s="46"/>
      <c r="N62" s="46"/>
      <c r="O62" s="46"/>
      <c r="P62" s="46"/>
      <c r="Q62" s="46"/>
      <c r="R62" s="46"/>
      <c r="S62" s="46"/>
      <c r="T62" s="46"/>
      <c r="U62" s="46"/>
      <c r="V62" s="49"/>
      <c r="Y62" s="435"/>
    </row>
    <row r="63" spans="1:25" ht="47.15" customHeight="1" x14ac:dyDescent="0.35">
      <c r="A63" s="146">
        <v>11</v>
      </c>
      <c r="B63" s="146"/>
      <c r="C63" s="146"/>
      <c r="D63" s="146"/>
      <c r="E63" s="458"/>
      <c r="F63" s="459" t="s">
        <v>1068</v>
      </c>
      <c r="G63" s="459" t="b">
        <f t="shared" si="4"/>
        <v>0</v>
      </c>
      <c r="H63" s="459" t="s">
        <v>1088</v>
      </c>
      <c r="I63" s="73"/>
      <c r="J63" s="74"/>
      <c r="K63" s="73"/>
      <c r="L63" s="46"/>
      <c r="M63" s="46"/>
      <c r="N63" s="46"/>
      <c r="O63" s="46"/>
      <c r="P63" s="46"/>
      <c r="Q63" s="46"/>
      <c r="R63" s="46"/>
      <c r="S63" s="46"/>
      <c r="T63" s="46"/>
      <c r="U63" s="46"/>
      <c r="V63" s="49"/>
      <c r="Y63" s="435"/>
    </row>
    <row r="64" spans="1:25" ht="47.15" customHeight="1" x14ac:dyDescent="0.35">
      <c r="A64" s="146">
        <v>12</v>
      </c>
      <c r="B64" s="146"/>
      <c r="C64" s="146"/>
      <c r="D64" s="146"/>
      <c r="E64" s="458"/>
      <c r="F64" s="459" t="s">
        <v>1068</v>
      </c>
      <c r="G64" s="459" t="b">
        <f t="shared" si="4"/>
        <v>0</v>
      </c>
      <c r="H64" s="459" t="s">
        <v>1089</v>
      </c>
      <c r="I64" s="73"/>
      <c r="J64" s="74"/>
      <c r="K64" s="73"/>
      <c r="L64" s="46"/>
      <c r="M64" s="46"/>
      <c r="N64" s="46"/>
      <c r="O64" s="46"/>
      <c r="P64" s="46"/>
      <c r="Q64" s="46"/>
      <c r="R64" s="46"/>
      <c r="S64" s="46"/>
      <c r="T64" s="46"/>
      <c r="U64" s="46"/>
      <c r="V64" s="49"/>
      <c r="Y64" s="435"/>
    </row>
    <row r="65" spans="1:50" ht="47.15" customHeight="1" x14ac:dyDescent="0.35">
      <c r="A65" s="146">
        <v>13</v>
      </c>
      <c r="B65" s="146"/>
      <c r="C65" s="146"/>
      <c r="D65" s="146"/>
      <c r="E65" s="458"/>
      <c r="F65" s="459" t="s">
        <v>1068</v>
      </c>
      <c r="G65" s="459" t="b">
        <f t="shared" si="4"/>
        <v>0</v>
      </c>
      <c r="H65" s="459" t="s">
        <v>1090</v>
      </c>
      <c r="I65" s="73"/>
      <c r="J65" s="74"/>
      <c r="K65" s="73"/>
      <c r="L65" s="46"/>
      <c r="M65" s="46"/>
      <c r="N65" s="46"/>
      <c r="O65" s="46"/>
      <c r="P65" s="46"/>
      <c r="Q65" s="46"/>
      <c r="R65" s="46"/>
      <c r="S65" s="46"/>
      <c r="T65" s="46"/>
      <c r="U65" s="46"/>
      <c r="V65" s="49"/>
      <c r="Y65" s="435"/>
    </row>
    <row r="66" spans="1:50" ht="47.15" customHeight="1" x14ac:dyDescent="0.35">
      <c r="A66" s="146">
        <v>14</v>
      </c>
      <c r="B66" s="146"/>
      <c r="C66" s="146"/>
      <c r="D66" s="146"/>
      <c r="E66" s="458"/>
      <c r="F66" s="459" t="s">
        <v>1068</v>
      </c>
      <c r="G66" s="459" t="b">
        <f t="shared" si="4"/>
        <v>0</v>
      </c>
      <c r="H66" s="459" t="s">
        <v>1091</v>
      </c>
      <c r="I66" s="73"/>
      <c r="J66" s="74"/>
      <c r="K66" s="73"/>
      <c r="L66" s="46"/>
      <c r="M66" s="46"/>
      <c r="N66" s="46"/>
      <c r="O66" s="46"/>
      <c r="P66" s="46"/>
      <c r="Q66" s="46"/>
      <c r="R66" s="46"/>
      <c r="S66" s="46"/>
      <c r="T66" s="46"/>
      <c r="U66" s="46"/>
      <c r="V66" s="49"/>
      <c r="Y66" s="435"/>
    </row>
    <row r="67" spans="1:50" ht="47.15" customHeight="1" x14ac:dyDescent="0.35">
      <c r="A67" s="146">
        <v>15</v>
      </c>
      <c r="B67" s="146"/>
      <c r="C67" s="146"/>
      <c r="D67" s="146"/>
      <c r="E67" s="458"/>
      <c r="F67" s="459" t="s">
        <v>1068</v>
      </c>
      <c r="G67" s="459" t="b">
        <f t="shared" si="4"/>
        <v>0</v>
      </c>
      <c r="H67" s="459" t="s">
        <v>1092</v>
      </c>
      <c r="I67" s="73"/>
      <c r="J67" s="74"/>
      <c r="K67" s="73"/>
      <c r="L67" s="46"/>
      <c r="M67" s="46"/>
      <c r="N67" s="46"/>
      <c r="O67" s="46"/>
      <c r="P67" s="46"/>
      <c r="Q67" s="46"/>
      <c r="R67" s="46"/>
      <c r="S67" s="46"/>
      <c r="T67" s="46"/>
      <c r="U67" s="46"/>
      <c r="V67" s="49"/>
      <c r="Y67" s="435"/>
    </row>
    <row r="68" spans="1:50" ht="47.15" customHeight="1" x14ac:dyDescent="0.35">
      <c r="A68" s="146">
        <v>16</v>
      </c>
      <c r="B68" s="146"/>
      <c r="C68" s="146"/>
      <c r="D68" s="146"/>
      <c r="E68" s="458"/>
      <c r="F68" s="459" t="s">
        <v>1068</v>
      </c>
      <c r="G68" s="459" t="b">
        <f t="shared" si="4"/>
        <v>0</v>
      </c>
      <c r="H68" s="459" t="s">
        <v>1093</v>
      </c>
      <c r="I68" s="73"/>
      <c r="J68" s="74"/>
      <c r="K68" s="73"/>
      <c r="L68" s="46"/>
      <c r="M68" s="46"/>
      <c r="N68" s="46"/>
      <c r="O68" s="46"/>
      <c r="P68" s="46"/>
      <c r="Q68" s="46"/>
      <c r="R68" s="46"/>
      <c r="S68" s="46"/>
      <c r="T68" s="46"/>
      <c r="U68" s="46"/>
      <c r="V68" s="49"/>
      <c r="Y68" s="435"/>
    </row>
    <row r="69" spans="1:50" ht="47.15" customHeight="1" x14ac:dyDescent="0.35">
      <c r="A69" s="146">
        <v>17</v>
      </c>
      <c r="B69" s="146"/>
      <c r="C69" s="146"/>
      <c r="D69" s="146"/>
      <c r="E69" s="458"/>
      <c r="F69" s="459" t="s">
        <v>1068</v>
      </c>
      <c r="G69" s="459" t="b">
        <f t="shared" si="4"/>
        <v>0</v>
      </c>
      <c r="H69" s="459" t="s">
        <v>1094</v>
      </c>
      <c r="I69" s="73"/>
      <c r="J69" s="74"/>
      <c r="K69" s="73"/>
      <c r="L69" s="46"/>
      <c r="M69" s="46"/>
      <c r="N69" s="46"/>
      <c r="O69" s="46"/>
      <c r="P69" s="46"/>
      <c r="Q69" s="46"/>
      <c r="R69" s="46"/>
      <c r="S69" s="46"/>
      <c r="T69" s="46"/>
      <c r="U69" s="46"/>
      <c r="V69" s="49"/>
      <c r="Y69" s="435"/>
    </row>
    <row r="70" spans="1:50" ht="47.15" customHeight="1" x14ac:dyDescent="0.35">
      <c r="A70" s="146">
        <v>18</v>
      </c>
      <c r="B70" s="146"/>
      <c r="C70" s="146"/>
      <c r="D70" s="146"/>
      <c r="E70" s="458"/>
      <c r="F70" s="459" t="s">
        <v>1068</v>
      </c>
      <c r="G70" s="459" t="b">
        <f t="shared" si="4"/>
        <v>0</v>
      </c>
      <c r="H70" s="459" t="s">
        <v>1095</v>
      </c>
      <c r="I70" s="73"/>
      <c r="J70" s="74"/>
      <c r="K70" s="73"/>
      <c r="L70" s="46"/>
      <c r="M70" s="46"/>
      <c r="N70" s="46"/>
      <c r="O70" s="46"/>
      <c r="P70" s="46"/>
      <c r="Q70" s="46"/>
      <c r="R70" s="46"/>
      <c r="S70" s="46"/>
      <c r="T70" s="46"/>
      <c r="U70" s="46"/>
      <c r="V70" s="49"/>
      <c r="Y70" s="435"/>
    </row>
    <row r="71" spans="1:50" ht="47.15" customHeight="1" x14ac:dyDescent="0.35">
      <c r="A71" s="146">
        <v>19</v>
      </c>
      <c r="B71" s="146"/>
      <c r="C71" s="146"/>
      <c r="D71" s="146"/>
      <c r="E71" s="458"/>
      <c r="F71" s="459" t="s">
        <v>1068</v>
      </c>
      <c r="G71" s="459" t="b">
        <f t="shared" si="4"/>
        <v>0</v>
      </c>
      <c r="H71" s="459" t="s">
        <v>1096</v>
      </c>
      <c r="I71" s="73"/>
      <c r="J71" s="74"/>
      <c r="K71" s="73"/>
      <c r="L71" s="46"/>
      <c r="M71" s="46"/>
      <c r="N71" s="46"/>
      <c r="O71" s="46"/>
      <c r="P71" s="46"/>
      <c r="Q71" s="46"/>
      <c r="R71" s="46"/>
      <c r="S71" s="46"/>
      <c r="T71" s="46"/>
      <c r="U71" s="46"/>
      <c r="V71" s="49"/>
      <c r="Y71" s="435"/>
    </row>
    <row r="72" spans="1:50" ht="47.15" customHeight="1" x14ac:dyDescent="0.35">
      <c r="A72" s="146">
        <v>20</v>
      </c>
      <c r="B72" s="146"/>
      <c r="C72" s="146"/>
      <c r="D72" s="146"/>
      <c r="E72" s="458"/>
      <c r="F72" s="459" t="s">
        <v>1068</v>
      </c>
      <c r="G72" s="459" t="b">
        <f t="shared" si="4"/>
        <v>0</v>
      </c>
      <c r="H72" s="459" t="s">
        <v>1097</v>
      </c>
      <c r="I72" s="73"/>
      <c r="J72" s="74"/>
      <c r="K72" s="73"/>
      <c r="L72" s="46"/>
      <c r="M72" s="46"/>
      <c r="N72" s="46"/>
      <c r="O72" s="46"/>
      <c r="P72" s="46"/>
      <c r="Q72" s="46"/>
      <c r="R72" s="46"/>
      <c r="S72" s="46"/>
      <c r="T72" s="46"/>
      <c r="U72" s="46"/>
      <c r="V72" s="49"/>
      <c r="Y72" s="435"/>
    </row>
    <row r="73" spans="1:50" ht="47.15" customHeight="1" x14ac:dyDescent="0.35">
      <c r="A73" s="146">
        <v>21</v>
      </c>
      <c r="B73" s="146"/>
      <c r="C73" s="146"/>
      <c r="D73" s="146"/>
      <c r="E73" s="458"/>
      <c r="F73" s="459" t="s">
        <v>1068</v>
      </c>
      <c r="G73" s="459" t="b">
        <f t="shared" si="4"/>
        <v>0</v>
      </c>
      <c r="H73" s="459" t="s">
        <v>1098</v>
      </c>
      <c r="I73" s="73"/>
      <c r="J73" s="74"/>
      <c r="K73" s="73"/>
      <c r="L73" s="46"/>
      <c r="M73" s="46"/>
      <c r="N73" s="46"/>
      <c r="O73" s="46"/>
      <c r="P73" s="46"/>
      <c r="Q73" s="46"/>
      <c r="R73" s="46"/>
      <c r="S73" s="46"/>
      <c r="T73" s="46"/>
      <c r="U73" s="46"/>
      <c r="V73" s="49"/>
      <c r="Y73" s="435"/>
    </row>
    <row r="74" spans="1:50" ht="47.15" customHeight="1" x14ac:dyDescent="0.35">
      <c r="A74" s="146">
        <v>22</v>
      </c>
      <c r="B74" s="146"/>
      <c r="C74" s="146"/>
      <c r="D74" s="146"/>
      <c r="E74" s="458"/>
      <c r="F74" s="459" t="s">
        <v>1068</v>
      </c>
      <c r="G74" s="459" t="b">
        <f t="shared" si="4"/>
        <v>0</v>
      </c>
      <c r="H74" s="459" t="s">
        <v>1099</v>
      </c>
      <c r="I74" s="73"/>
      <c r="J74" s="74"/>
      <c r="K74" s="73"/>
      <c r="L74" s="46"/>
      <c r="M74" s="46"/>
      <c r="N74" s="46"/>
      <c r="O74" s="46"/>
      <c r="P74" s="46"/>
      <c r="Q74" s="46"/>
      <c r="R74" s="46"/>
      <c r="S74" s="46"/>
      <c r="T74" s="46"/>
      <c r="U74" s="46"/>
      <c r="V74" s="49"/>
      <c r="Y74" s="435"/>
    </row>
    <row r="75" spans="1:50" ht="47.15" customHeight="1" x14ac:dyDescent="0.35">
      <c r="A75" s="146">
        <v>23</v>
      </c>
      <c r="B75" s="146"/>
      <c r="C75" s="146"/>
      <c r="D75" s="146"/>
      <c r="E75" s="458"/>
      <c r="F75" s="459" t="s">
        <v>1068</v>
      </c>
      <c r="G75" s="459" t="b">
        <f t="shared" si="4"/>
        <v>0</v>
      </c>
      <c r="H75" s="459" t="s">
        <v>1100</v>
      </c>
      <c r="I75" s="73"/>
      <c r="J75" s="74"/>
      <c r="K75" s="73"/>
      <c r="L75" s="46"/>
      <c r="M75" s="46"/>
      <c r="N75" s="46"/>
      <c r="O75" s="46"/>
      <c r="P75" s="46"/>
      <c r="Q75" s="46"/>
      <c r="R75" s="46"/>
      <c r="S75" s="46"/>
      <c r="T75" s="46"/>
      <c r="U75" s="46"/>
      <c r="V75" s="49"/>
      <c r="Y75" s="435"/>
    </row>
    <row r="76" spans="1:50" ht="47.15" customHeight="1" x14ac:dyDescent="0.35">
      <c r="A76" s="146">
        <v>24</v>
      </c>
      <c r="B76" s="146"/>
      <c r="C76" s="146"/>
      <c r="D76" s="146"/>
      <c r="E76" s="458"/>
      <c r="F76" s="459" t="s">
        <v>1068</v>
      </c>
      <c r="G76" s="459" t="b">
        <f t="shared" si="4"/>
        <v>0</v>
      </c>
      <c r="H76" s="459" t="s">
        <v>1101</v>
      </c>
      <c r="I76" s="73"/>
      <c r="J76" s="74"/>
      <c r="K76" s="73"/>
      <c r="L76" s="46"/>
      <c r="M76" s="46"/>
      <c r="N76" s="46"/>
      <c r="O76" s="46"/>
      <c r="P76" s="46"/>
      <c r="Q76" s="46"/>
      <c r="R76" s="46"/>
      <c r="S76" s="46"/>
      <c r="T76" s="46"/>
      <c r="U76" s="46"/>
      <c r="V76" s="49"/>
      <c r="Y76" s="435"/>
    </row>
    <row r="77" spans="1:50" ht="2.9" customHeight="1" thickBot="1" x14ac:dyDescent="0.4">
      <c r="A77" s="52"/>
      <c r="B77" s="53"/>
      <c r="C77" s="53"/>
      <c r="D77" s="53"/>
      <c r="E77" s="53"/>
      <c r="F77" s="53"/>
      <c r="G77" s="53"/>
      <c r="H77" s="53"/>
      <c r="I77" s="53"/>
      <c r="J77" s="54"/>
      <c r="K77" s="56"/>
      <c r="L77" s="46"/>
      <c r="M77" s="46"/>
      <c r="N77" s="46"/>
      <c r="O77" s="46"/>
      <c r="P77" s="46"/>
      <c r="Q77" s="46"/>
      <c r="R77" s="46"/>
      <c r="S77" s="46"/>
      <c r="T77" s="46"/>
      <c r="U77" s="46"/>
      <c r="V77" s="49"/>
      <c r="Y77" s="55"/>
    </row>
    <row r="78" spans="1:50" ht="29.25" customHeight="1" x14ac:dyDescent="0.35">
      <c r="A78" s="56"/>
      <c r="B78" s="56"/>
      <c r="C78" s="56"/>
      <c r="D78" s="56"/>
      <c r="E78" s="56"/>
      <c r="F78" s="56"/>
      <c r="G78" s="56"/>
      <c r="H78" s="56"/>
      <c r="I78" s="56"/>
      <c r="J78" s="56"/>
      <c r="K78" s="56"/>
      <c r="L78" s="46"/>
      <c r="M78" s="46"/>
      <c r="N78" s="46"/>
      <c r="O78" s="46"/>
      <c r="P78" s="46"/>
      <c r="Q78" s="46"/>
      <c r="R78" s="46"/>
      <c r="S78" s="46"/>
      <c r="T78" s="46"/>
      <c r="U78" s="46"/>
      <c r="V78" s="49"/>
      <c r="Y78" s="55"/>
    </row>
    <row r="79" spans="1:50" s="18" customFormat="1" ht="30.75" customHeight="1" thickBot="1" x14ac:dyDescent="0.4">
      <c r="A79" s="57"/>
      <c r="B79" s="57"/>
      <c r="C79" s="57"/>
      <c r="D79" s="57"/>
      <c r="E79" s="57"/>
      <c r="F79" s="57"/>
      <c r="G79" s="57"/>
      <c r="H79" s="57"/>
      <c r="I79" s="57"/>
      <c r="J79" s="57"/>
      <c r="K79" s="57"/>
      <c r="L79" s="57"/>
      <c r="M79" s="57"/>
      <c r="N79" s="57"/>
      <c r="O79" s="57"/>
      <c r="P79" s="57"/>
      <c r="Q79" s="57"/>
      <c r="R79" s="57"/>
      <c r="S79" s="57"/>
      <c r="T79" s="57"/>
      <c r="U79" s="57"/>
      <c r="V79" s="28"/>
      <c r="W79" s="28"/>
      <c r="X79" s="28"/>
      <c r="Y79" s="28"/>
      <c r="Z79" s="28"/>
      <c r="AO79" s="3"/>
      <c r="AP79" s="3"/>
      <c r="AQ79" s="3"/>
      <c r="AR79" s="3"/>
      <c r="AS79" s="3"/>
      <c r="AT79" s="3"/>
      <c r="AU79" s="3"/>
      <c r="AV79" s="3"/>
      <c r="AW79" s="3"/>
      <c r="AX79" s="3"/>
    </row>
    <row r="80" spans="1:50" ht="30.75" customHeight="1" thickBot="1" x14ac:dyDescent="0.4">
      <c r="A80" s="605" t="str">
        <f ca="1">Translations!A25</f>
        <v>Objetivos</v>
      </c>
      <c r="B80" s="604"/>
      <c r="C80" s="604"/>
      <c r="D80" s="604"/>
      <c r="E80" s="606"/>
      <c r="F80" s="67"/>
      <c r="G80" s="67"/>
      <c r="H80" s="67"/>
      <c r="I80" s="67"/>
      <c r="J80" s="68"/>
      <c r="K80" s="71"/>
      <c r="L80" s="46"/>
      <c r="M80" s="46"/>
      <c r="N80" s="46"/>
      <c r="O80" s="46"/>
      <c r="P80" s="46"/>
      <c r="Q80" s="46"/>
      <c r="R80" s="46"/>
      <c r="S80" s="46"/>
      <c r="T80" s="46"/>
      <c r="U80" s="46"/>
      <c r="V80" s="49"/>
      <c r="W80" s="34"/>
    </row>
    <row r="81" spans="1:25" ht="30.75" customHeight="1" x14ac:dyDescent="0.35">
      <c r="A81" s="455" t="str">
        <f ca="1">Translations!A26</f>
        <v>Número de objetivo</v>
      </c>
      <c r="B81" s="455"/>
      <c r="C81" s="455"/>
      <c r="D81" s="455"/>
      <c r="E81" s="456" t="str">
        <f ca="1">Translations!A27</f>
        <v>Descripción de objetivos</v>
      </c>
      <c r="F81" s="457" t="s">
        <v>201</v>
      </c>
      <c r="G81" s="457" t="s">
        <v>46</v>
      </c>
      <c r="H81" s="457" t="s">
        <v>48</v>
      </c>
      <c r="I81" s="72"/>
      <c r="J81" s="50"/>
      <c r="K81" s="72"/>
      <c r="L81" s="47"/>
      <c r="M81" s="47"/>
      <c r="N81" s="47"/>
      <c r="O81" s="47"/>
      <c r="P81" s="47"/>
      <c r="Q81" s="47"/>
      <c r="R81" s="47"/>
      <c r="S81" s="47"/>
      <c r="T81" s="47"/>
      <c r="U81" s="47"/>
      <c r="V81" s="51"/>
      <c r="W81" s="34"/>
      <c r="Y81" s="602"/>
    </row>
    <row r="82" spans="1:25" ht="47.15" hidden="1" customHeight="1" x14ac:dyDescent="0.35">
      <c r="A82" s="146" t="s">
        <v>64</v>
      </c>
      <c r="B82" s="146"/>
      <c r="C82" s="146"/>
      <c r="D82" s="146"/>
      <c r="E82" s="458" t="s">
        <v>54</v>
      </c>
      <c r="F82" s="459" t="s">
        <v>47</v>
      </c>
      <c r="G82" s="459" t="b">
        <f>IFERROR(IF(E82&lt;&gt;"",TRUE,FALSE),FALSE)</f>
        <v>1</v>
      </c>
      <c r="H82" s="459" t="s">
        <v>47</v>
      </c>
      <c r="I82" s="73"/>
      <c r="J82" s="74"/>
      <c r="K82" s="73"/>
      <c r="L82" s="17"/>
      <c r="M82" s="17"/>
      <c r="N82" s="17"/>
      <c r="O82" s="17"/>
      <c r="P82" s="17"/>
      <c r="Q82" s="17"/>
      <c r="R82" s="17"/>
      <c r="S82" s="17"/>
      <c r="T82" s="17"/>
      <c r="U82" s="17"/>
      <c r="V82" s="58"/>
      <c r="Y82" s="602"/>
    </row>
    <row r="83" spans="1:25" ht="47.15" customHeight="1" x14ac:dyDescent="0.35">
      <c r="A83" s="146">
        <v>1</v>
      </c>
      <c r="B83" s="146"/>
      <c r="C83" s="146"/>
      <c r="D83" s="146"/>
      <c r="E83" s="458" t="s">
        <v>1102</v>
      </c>
      <c r="F83" s="459" t="s">
        <v>1068</v>
      </c>
      <c r="G83" s="459" t="b">
        <f t="shared" ref="G83:G106" si="5">IFERROR(IF(E83&lt;&gt;"",TRUE,FALSE),FALSE)</f>
        <v>1</v>
      </c>
      <c r="H83" s="459" t="s">
        <v>1103</v>
      </c>
      <c r="I83" s="73"/>
      <c r="J83" s="74"/>
      <c r="K83" s="73"/>
      <c r="L83" s="17"/>
      <c r="M83" s="17"/>
      <c r="N83" s="17"/>
      <c r="O83" s="17"/>
      <c r="P83" s="17"/>
      <c r="Q83" s="17"/>
      <c r="R83" s="17"/>
      <c r="S83" s="17"/>
      <c r="T83" s="17"/>
      <c r="U83" s="17"/>
      <c r="V83" s="58"/>
      <c r="Y83" s="602"/>
    </row>
    <row r="84" spans="1:25" ht="47.15" customHeight="1" x14ac:dyDescent="0.35">
      <c r="A84" s="146">
        <v>2</v>
      </c>
      <c r="B84" s="146"/>
      <c r="C84" s="146"/>
      <c r="D84" s="146"/>
      <c r="E84" s="458" t="s">
        <v>1104</v>
      </c>
      <c r="F84" s="459" t="s">
        <v>1068</v>
      </c>
      <c r="G84" s="459" t="b">
        <f t="shared" si="5"/>
        <v>1</v>
      </c>
      <c r="H84" s="459" t="s">
        <v>1105</v>
      </c>
      <c r="I84" s="73"/>
      <c r="J84" s="74"/>
      <c r="K84" s="73"/>
      <c r="L84" s="17"/>
      <c r="M84" s="17"/>
      <c r="N84" s="17"/>
      <c r="O84" s="17"/>
      <c r="P84" s="17"/>
      <c r="Q84" s="17"/>
      <c r="R84" s="17"/>
      <c r="S84" s="17"/>
      <c r="T84" s="17"/>
      <c r="U84" s="17"/>
      <c r="V84" s="58"/>
      <c r="Y84" s="602"/>
    </row>
    <row r="85" spans="1:25" ht="47.15" customHeight="1" x14ac:dyDescent="0.35">
      <c r="A85" s="146">
        <v>3</v>
      </c>
      <c r="B85" s="146"/>
      <c r="C85" s="146"/>
      <c r="D85" s="146"/>
      <c r="E85" s="458" t="s">
        <v>1106</v>
      </c>
      <c r="F85" s="459" t="s">
        <v>1068</v>
      </c>
      <c r="G85" s="459" t="b">
        <f t="shared" si="5"/>
        <v>1</v>
      </c>
      <c r="H85" s="459" t="s">
        <v>1107</v>
      </c>
      <c r="I85" s="73"/>
      <c r="J85" s="74"/>
      <c r="K85" s="73"/>
      <c r="L85" s="17"/>
      <c r="M85" s="17"/>
      <c r="N85" s="17"/>
      <c r="O85" s="17"/>
      <c r="P85" s="17"/>
      <c r="Q85" s="17"/>
      <c r="R85" s="17"/>
      <c r="S85" s="17"/>
      <c r="T85" s="17"/>
      <c r="U85" s="17"/>
      <c r="V85" s="58"/>
      <c r="Y85" s="602"/>
    </row>
    <row r="86" spans="1:25" ht="47.15" customHeight="1" x14ac:dyDescent="0.35">
      <c r="A86" s="146">
        <v>4</v>
      </c>
      <c r="B86" s="146"/>
      <c r="C86" s="146"/>
      <c r="D86" s="146"/>
      <c r="E86" s="458" t="s">
        <v>1108</v>
      </c>
      <c r="F86" s="459" t="s">
        <v>1068</v>
      </c>
      <c r="G86" s="459" t="b">
        <f t="shared" si="5"/>
        <v>1</v>
      </c>
      <c r="H86" s="459" t="s">
        <v>1109</v>
      </c>
      <c r="I86" s="73"/>
      <c r="J86" s="74"/>
      <c r="K86" s="73"/>
      <c r="L86" s="17"/>
      <c r="M86" s="17"/>
      <c r="N86" s="17"/>
      <c r="O86" s="17"/>
      <c r="P86" s="17"/>
      <c r="Q86" s="17"/>
      <c r="R86" s="17"/>
      <c r="S86" s="17"/>
      <c r="T86" s="17"/>
      <c r="U86" s="17"/>
      <c r="V86" s="58"/>
      <c r="Y86" s="602"/>
    </row>
    <row r="87" spans="1:25" ht="47.15" customHeight="1" x14ac:dyDescent="0.35">
      <c r="A87" s="146">
        <v>5</v>
      </c>
      <c r="B87" s="146"/>
      <c r="C87" s="146"/>
      <c r="D87" s="146"/>
      <c r="E87" s="458" t="s">
        <v>1110</v>
      </c>
      <c r="F87" s="459" t="s">
        <v>1068</v>
      </c>
      <c r="G87" s="459" t="b">
        <f t="shared" si="5"/>
        <v>1</v>
      </c>
      <c r="H87" s="459" t="s">
        <v>1111</v>
      </c>
      <c r="I87" s="73"/>
      <c r="J87" s="74"/>
      <c r="K87" s="73"/>
      <c r="L87" s="17"/>
      <c r="M87" s="17"/>
      <c r="N87" s="17"/>
      <c r="O87" s="17"/>
      <c r="P87" s="17"/>
      <c r="Q87" s="17"/>
      <c r="R87" s="17"/>
      <c r="S87" s="17"/>
      <c r="T87" s="17"/>
      <c r="U87" s="17"/>
      <c r="V87" s="58"/>
      <c r="Y87" s="602"/>
    </row>
    <row r="88" spans="1:25" ht="47.15" customHeight="1" x14ac:dyDescent="0.35">
      <c r="A88" s="146">
        <v>6</v>
      </c>
      <c r="B88" s="146"/>
      <c r="C88" s="146"/>
      <c r="D88" s="146"/>
      <c r="E88" s="458" t="s">
        <v>1112</v>
      </c>
      <c r="F88" s="459" t="s">
        <v>1068</v>
      </c>
      <c r="G88" s="459" t="b">
        <f t="shared" si="5"/>
        <v>1</v>
      </c>
      <c r="H88" s="459" t="s">
        <v>1113</v>
      </c>
      <c r="I88" s="73"/>
      <c r="J88" s="74"/>
      <c r="K88" s="73"/>
      <c r="L88" s="17"/>
      <c r="M88" s="17"/>
      <c r="N88" s="17"/>
      <c r="O88" s="17"/>
      <c r="P88" s="17"/>
      <c r="Q88" s="17"/>
      <c r="R88" s="17"/>
      <c r="S88" s="17"/>
      <c r="T88" s="17"/>
      <c r="U88" s="17"/>
      <c r="V88" s="58"/>
      <c r="Y88" s="602"/>
    </row>
    <row r="89" spans="1:25" ht="47.15" customHeight="1" x14ac:dyDescent="0.35">
      <c r="A89" s="146">
        <v>7</v>
      </c>
      <c r="B89" s="146"/>
      <c r="C89" s="146"/>
      <c r="D89" s="146"/>
      <c r="E89" s="458" t="s">
        <v>1115</v>
      </c>
      <c r="F89" s="459" t="s">
        <v>1068</v>
      </c>
      <c r="G89" s="459" t="b">
        <f t="shared" si="5"/>
        <v>1</v>
      </c>
      <c r="H89" s="459" t="s">
        <v>1114</v>
      </c>
      <c r="I89" s="73"/>
      <c r="J89" s="74"/>
      <c r="K89" s="73"/>
      <c r="L89" s="17"/>
      <c r="M89" s="17"/>
      <c r="N89" s="17"/>
      <c r="O89" s="17"/>
      <c r="P89" s="17"/>
      <c r="Q89" s="17"/>
      <c r="R89" s="17"/>
      <c r="S89" s="17"/>
      <c r="T89" s="17"/>
      <c r="U89" s="17"/>
      <c r="V89" s="58"/>
      <c r="Y89" s="602"/>
    </row>
    <row r="90" spans="1:25" ht="47.15" customHeight="1" x14ac:dyDescent="0.35">
      <c r="A90" s="146">
        <v>8</v>
      </c>
      <c r="B90" s="146"/>
      <c r="C90" s="146"/>
      <c r="D90" s="146"/>
      <c r="E90" s="458" t="s">
        <v>1118</v>
      </c>
      <c r="F90" s="459" t="s">
        <v>1068</v>
      </c>
      <c r="G90" s="459" t="b">
        <f t="shared" si="5"/>
        <v>1</v>
      </c>
      <c r="H90" s="459" t="s">
        <v>1116</v>
      </c>
      <c r="I90" s="73"/>
      <c r="J90" s="74"/>
      <c r="K90" s="73"/>
      <c r="L90" s="17"/>
      <c r="M90" s="17"/>
      <c r="N90" s="17"/>
      <c r="O90" s="17"/>
      <c r="P90" s="17"/>
      <c r="Q90" s="17"/>
      <c r="R90" s="17"/>
      <c r="S90" s="17"/>
      <c r="T90" s="17"/>
      <c r="U90" s="17"/>
      <c r="V90" s="58"/>
      <c r="Y90" s="602"/>
    </row>
    <row r="91" spans="1:25" ht="47.15" customHeight="1" x14ac:dyDescent="0.35">
      <c r="A91" s="146">
        <v>9</v>
      </c>
      <c r="B91" s="146"/>
      <c r="C91" s="146"/>
      <c r="D91" s="146"/>
      <c r="E91" s="458" t="s">
        <v>1121</v>
      </c>
      <c r="F91" s="459" t="s">
        <v>1068</v>
      </c>
      <c r="G91" s="459" t="b">
        <f t="shared" si="5"/>
        <v>1</v>
      </c>
      <c r="H91" s="459" t="s">
        <v>1117</v>
      </c>
      <c r="I91" s="73"/>
      <c r="J91" s="74"/>
      <c r="K91" s="73"/>
      <c r="L91" s="17"/>
      <c r="M91" s="17"/>
      <c r="N91" s="17"/>
      <c r="O91" s="17"/>
      <c r="P91" s="17"/>
      <c r="Q91" s="17"/>
      <c r="R91" s="17"/>
      <c r="S91" s="17"/>
      <c r="T91" s="17"/>
      <c r="U91" s="17"/>
      <c r="V91" s="58"/>
      <c r="Y91" s="602"/>
    </row>
    <row r="92" spans="1:25" ht="47.15" customHeight="1" x14ac:dyDescent="0.35">
      <c r="A92" s="146">
        <v>10</v>
      </c>
      <c r="B92" s="146"/>
      <c r="C92" s="146"/>
      <c r="D92" s="146"/>
      <c r="E92" s="458" t="s">
        <v>1124</v>
      </c>
      <c r="F92" s="459" t="s">
        <v>1068</v>
      </c>
      <c r="G92" s="459" t="b">
        <f t="shared" si="5"/>
        <v>1</v>
      </c>
      <c r="H92" s="459" t="s">
        <v>1119</v>
      </c>
      <c r="I92" s="73"/>
      <c r="J92" s="74"/>
      <c r="K92" s="73"/>
      <c r="L92" s="17"/>
      <c r="M92" s="17"/>
      <c r="N92" s="17"/>
      <c r="O92" s="17"/>
      <c r="P92" s="17"/>
      <c r="Q92" s="17"/>
      <c r="R92" s="17"/>
      <c r="S92" s="17"/>
      <c r="T92" s="17"/>
      <c r="U92" s="17"/>
      <c r="V92" s="58"/>
      <c r="Y92" s="602"/>
    </row>
    <row r="93" spans="1:25" ht="47.15" customHeight="1" x14ac:dyDescent="0.35">
      <c r="A93" s="146">
        <v>11</v>
      </c>
      <c r="B93" s="146"/>
      <c r="C93" s="146"/>
      <c r="D93" s="146"/>
      <c r="E93" s="458" t="s">
        <v>1127</v>
      </c>
      <c r="F93" s="459" t="s">
        <v>1068</v>
      </c>
      <c r="G93" s="459" t="b">
        <f t="shared" si="5"/>
        <v>1</v>
      </c>
      <c r="H93" s="459" t="s">
        <v>1120</v>
      </c>
      <c r="I93" s="73"/>
      <c r="J93" s="74"/>
      <c r="K93" s="73"/>
      <c r="L93" s="17"/>
      <c r="M93" s="17"/>
      <c r="N93" s="17"/>
      <c r="O93" s="17"/>
      <c r="P93" s="17"/>
      <c r="Q93" s="17"/>
      <c r="R93" s="17"/>
      <c r="S93" s="17"/>
      <c r="T93" s="17"/>
      <c r="U93" s="17"/>
      <c r="V93" s="58"/>
      <c r="Y93" s="602"/>
    </row>
    <row r="94" spans="1:25" ht="47.15" customHeight="1" x14ac:dyDescent="0.35">
      <c r="A94" s="146">
        <v>12</v>
      </c>
      <c r="B94" s="146"/>
      <c r="C94" s="146"/>
      <c r="D94" s="146"/>
      <c r="E94" s="458" t="s">
        <v>1130</v>
      </c>
      <c r="F94" s="459" t="s">
        <v>1068</v>
      </c>
      <c r="G94" s="459" t="b">
        <f t="shared" si="5"/>
        <v>1</v>
      </c>
      <c r="H94" s="459" t="s">
        <v>1122</v>
      </c>
      <c r="I94" s="73"/>
      <c r="J94" s="74"/>
      <c r="K94" s="73"/>
      <c r="L94" s="17"/>
      <c r="M94" s="17"/>
      <c r="N94" s="17"/>
      <c r="O94" s="17"/>
      <c r="P94" s="17"/>
      <c r="Q94" s="17"/>
      <c r="R94" s="17"/>
      <c r="S94" s="17"/>
      <c r="T94" s="17"/>
      <c r="U94" s="17"/>
      <c r="V94" s="58"/>
      <c r="Y94" s="602"/>
    </row>
    <row r="95" spans="1:25" ht="47.15" customHeight="1" x14ac:dyDescent="0.35">
      <c r="A95" s="146">
        <v>13</v>
      </c>
      <c r="B95" s="146"/>
      <c r="C95" s="146"/>
      <c r="D95" s="146"/>
      <c r="E95" s="458" t="s">
        <v>1133</v>
      </c>
      <c r="F95" s="459" t="s">
        <v>1068</v>
      </c>
      <c r="G95" s="459" t="b">
        <f t="shared" si="5"/>
        <v>1</v>
      </c>
      <c r="H95" s="459" t="s">
        <v>1123</v>
      </c>
      <c r="I95" s="73"/>
      <c r="J95" s="74"/>
      <c r="K95" s="73"/>
      <c r="L95" s="17"/>
      <c r="M95" s="17"/>
      <c r="N95" s="17"/>
      <c r="O95" s="17"/>
      <c r="P95" s="17"/>
      <c r="Q95" s="17"/>
      <c r="R95" s="17"/>
      <c r="S95" s="17"/>
      <c r="T95" s="17"/>
      <c r="U95" s="17"/>
      <c r="V95" s="58"/>
      <c r="Y95" s="602"/>
    </row>
    <row r="96" spans="1:25" ht="47.15" customHeight="1" x14ac:dyDescent="0.35">
      <c r="A96" s="146">
        <v>14</v>
      </c>
      <c r="B96" s="146"/>
      <c r="C96" s="146"/>
      <c r="D96" s="146"/>
      <c r="E96" s="458"/>
      <c r="F96" s="459" t="s">
        <v>1068</v>
      </c>
      <c r="G96" s="459" t="b">
        <f t="shared" si="5"/>
        <v>0</v>
      </c>
      <c r="H96" s="459" t="s">
        <v>1125</v>
      </c>
      <c r="I96" s="73"/>
      <c r="J96" s="74"/>
      <c r="K96" s="73"/>
      <c r="L96" s="17"/>
      <c r="M96" s="17"/>
      <c r="N96" s="17"/>
      <c r="O96" s="17"/>
      <c r="P96" s="17"/>
      <c r="Q96" s="17"/>
      <c r="R96" s="17"/>
      <c r="S96" s="17"/>
      <c r="T96" s="17"/>
      <c r="U96" s="17"/>
      <c r="V96" s="58"/>
      <c r="Y96" s="602"/>
    </row>
    <row r="97" spans="1:25" ht="47.15" customHeight="1" x14ac:dyDescent="0.35">
      <c r="A97" s="146">
        <v>15</v>
      </c>
      <c r="B97" s="146"/>
      <c r="C97" s="146"/>
      <c r="D97" s="146"/>
      <c r="E97" s="458"/>
      <c r="F97" s="459" t="s">
        <v>1068</v>
      </c>
      <c r="G97" s="459" t="b">
        <f t="shared" si="5"/>
        <v>0</v>
      </c>
      <c r="H97" s="459" t="s">
        <v>1126</v>
      </c>
      <c r="I97" s="73"/>
      <c r="J97" s="74"/>
      <c r="K97" s="73"/>
      <c r="L97" s="17"/>
      <c r="M97" s="17"/>
      <c r="N97" s="17"/>
      <c r="O97" s="17"/>
      <c r="P97" s="17"/>
      <c r="Q97" s="17"/>
      <c r="R97" s="17"/>
      <c r="S97" s="17"/>
      <c r="T97" s="17"/>
      <c r="U97" s="17"/>
      <c r="V97" s="58"/>
      <c r="Y97" s="602"/>
    </row>
    <row r="98" spans="1:25" ht="47.15" customHeight="1" x14ac:dyDescent="0.35">
      <c r="A98" s="146">
        <v>16</v>
      </c>
      <c r="B98" s="146"/>
      <c r="C98" s="146"/>
      <c r="D98" s="146"/>
      <c r="E98" s="458"/>
      <c r="F98" s="459" t="s">
        <v>1068</v>
      </c>
      <c r="G98" s="459" t="b">
        <f t="shared" si="5"/>
        <v>0</v>
      </c>
      <c r="H98" s="459" t="s">
        <v>1128</v>
      </c>
      <c r="I98" s="73"/>
      <c r="J98" s="74"/>
      <c r="K98" s="73"/>
      <c r="L98" s="17"/>
      <c r="M98" s="17"/>
      <c r="N98" s="17"/>
      <c r="O98" s="17"/>
      <c r="P98" s="17"/>
      <c r="Q98" s="17"/>
      <c r="R98" s="17"/>
      <c r="S98" s="17"/>
      <c r="T98" s="17"/>
      <c r="U98" s="17"/>
      <c r="V98" s="58"/>
      <c r="Y98" s="602"/>
    </row>
    <row r="99" spans="1:25" ht="47.15" customHeight="1" x14ac:dyDescent="0.35">
      <c r="A99" s="146">
        <v>17</v>
      </c>
      <c r="B99" s="146"/>
      <c r="C99" s="146"/>
      <c r="D99" s="146"/>
      <c r="E99" s="458"/>
      <c r="F99" s="459" t="s">
        <v>1068</v>
      </c>
      <c r="G99" s="459" t="b">
        <f t="shared" si="5"/>
        <v>0</v>
      </c>
      <c r="H99" s="459" t="s">
        <v>1129</v>
      </c>
      <c r="I99" s="73"/>
      <c r="J99" s="74"/>
      <c r="K99" s="73"/>
      <c r="L99" s="17"/>
      <c r="M99" s="17"/>
      <c r="N99" s="17"/>
      <c r="O99" s="17"/>
      <c r="P99" s="17"/>
      <c r="Q99" s="17"/>
      <c r="R99" s="17"/>
      <c r="S99" s="17"/>
      <c r="T99" s="17"/>
      <c r="U99" s="17"/>
      <c r="V99" s="58"/>
      <c r="Y99" s="602"/>
    </row>
    <row r="100" spans="1:25" ht="47.15" customHeight="1" x14ac:dyDescent="0.35">
      <c r="A100" s="146">
        <v>18</v>
      </c>
      <c r="B100" s="146"/>
      <c r="C100" s="146"/>
      <c r="D100" s="146"/>
      <c r="E100" s="458"/>
      <c r="F100" s="459" t="s">
        <v>1068</v>
      </c>
      <c r="G100" s="459" t="b">
        <f t="shared" si="5"/>
        <v>0</v>
      </c>
      <c r="H100" s="459" t="s">
        <v>1131</v>
      </c>
      <c r="I100" s="73"/>
      <c r="J100" s="74"/>
      <c r="K100" s="73"/>
      <c r="L100" s="17"/>
      <c r="M100" s="17"/>
      <c r="N100" s="17"/>
      <c r="O100" s="17"/>
      <c r="P100" s="17"/>
      <c r="Q100" s="17"/>
      <c r="R100" s="17"/>
      <c r="S100" s="17"/>
      <c r="T100" s="17"/>
      <c r="U100" s="17"/>
      <c r="V100" s="58"/>
      <c r="Y100" s="602"/>
    </row>
    <row r="101" spans="1:25" ht="47.15" customHeight="1" x14ac:dyDescent="0.35">
      <c r="A101" s="146">
        <v>19</v>
      </c>
      <c r="B101" s="146"/>
      <c r="C101" s="146"/>
      <c r="D101" s="146"/>
      <c r="E101" s="458"/>
      <c r="F101" s="459" t="s">
        <v>1068</v>
      </c>
      <c r="G101" s="459" t="b">
        <f t="shared" si="5"/>
        <v>0</v>
      </c>
      <c r="H101" s="459" t="s">
        <v>1132</v>
      </c>
      <c r="I101" s="73"/>
      <c r="J101" s="74"/>
      <c r="K101" s="73"/>
      <c r="L101" s="17"/>
      <c r="M101" s="17"/>
      <c r="N101" s="17"/>
      <c r="O101" s="17"/>
      <c r="P101" s="17"/>
      <c r="Q101" s="17"/>
      <c r="R101" s="17"/>
      <c r="S101" s="17"/>
      <c r="T101" s="17"/>
      <c r="U101" s="17"/>
      <c r="V101" s="58"/>
      <c r="Y101" s="602"/>
    </row>
    <row r="102" spans="1:25" ht="47.15" customHeight="1" x14ac:dyDescent="0.35">
      <c r="A102" s="146">
        <v>20</v>
      </c>
      <c r="B102" s="146"/>
      <c r="C102" s="146"/>
      <c r="D102" s="146"/>
      <c r="E102" s="458"/>
      <c r="F102" s="459" t="s">
        <v>1068</v>
      </c>
      <c r="G102" s="459" t="b">
        <f t="shared" si="5"/>
        <v>0</v>
      </c>
      <c r="H102" s="459" t="s">
        <v>1134</v>
      </c>
      <c r="I102" s="73"/>
      <c r="J102" s="74"/>
      <c r="K102" s="73"/>
      <c r="L102" s="17"/>
      <c r="M102" s="17"/>
      <c r="N102" s="17"/>
      <c r="O102" s="17"/>
      <c r="P102" s="17"/>
      <c r="Q102" s="17"/>
      <c r="R102" s="17"/>
      <c r="S102" s="17"/>
      <c r="T102" s="17"/>
      <c r="U102" s="17"/>
      <c r="V102" s="58"/>
      <c r="Y102" s="602"/>
    </row>
    <row r="103" spans="1:25" ht="47.15" customHeight="1" x14ac:dyDescent="0.35">
      <c r="A103" s="146">
        <v>21</v>
      </c>
      <c r="B103" s="146"/>
      <c r="C103" s="146"/>
      <c r="D103" s="146"/>
      <c r="E103" s="458"/>
      <c r="F103" s="459" t="s">
        <v>1068</v>
      </c>
      <c r="G103" s="459" t="b">
        <f t="shared" si="5"/>
        <v>0</v>
      </c>
      <c r="H103" s="459" t="s">
        <v>1135</v>
      </c>
      <c r="I103" s="73"/>
      <c r="J103" s="74"/>
      <c r="K103" s="73"/>
      <c r="L103" s="17"/>
      <c r="M103" s="17"/>
      <c r="N103" s="17"/>
      <c r="O103" s="17"/>
      <c r="P103" s="17"/>
      <c r="Q103" s="17"/>
      <c r="R103" s="17"/>
      <c r="S103" s="17"/>
      <c r="T103" s="17"/>
      <c r="U103" s="17"/>
      <c r="V103" s="58"/>
      <c r="Y103" s="602"/>
    </row>
    <row r="104" spans="1:25" ht="47.15" customHeight="1" x14ac:dyDescent="0.35">
      <c r="A104" s="146">
        <v>22</v>
      </c>
      <c r="B104" s="146"/>
      <c r="C104" s="146"/>
      <c r="D104" s="146"/>
      <c r="E104" s="458"/>
      <c r="F104" s="459" t="s">
        <v>1068</v>
      </c>
      <c r="G104" s="459" t="b">
        <f t="shared" si="5"/>
        <v>0</v>
      </c>
      <c r="H104" s="459" t="s">
        <v>1136</v>
      </c>
      <c r="I104" s="73"/>
      <c r="J104" s="74"/>
      <c r="K104" s="73"/>
      <c r="L104" s="17"/>
      <c r="M104" s="17"/>
      <c r="N104" s="17"/>
      <c r="O104" s="17"/>
      <c r="P104" s="17"/>
      <c r="Q104" s="17"/>
      <c r="R104" s="17"/>
      <c r="S104" s="17"/>
      <c r="T104" s="17"/>
      <c r="U104" s="17"/>
      <c r="V104" s="58"/>
      <c r="Y104" s="602"/>
    </row>
    <row r="105" spans="1:25" ht="47.15" customHeight="1" x14ac:dyDescent="0.35">
      <c r="A105" s="146">
        <v>23</v>
      </c>
      <c r="B105" s="146"/>
      <c r="C105" s="146"/>
      <c r="D105" s="146"/>
      <c r="E105" s="458"/>
      <c r="F105" s="459" t="s">
        <v>1068</v>
      </c>
      <c r="G105" s="459" t="b">
        <f t="shared" si="5"/>
        <v>0</v>
      </c>
      <c r="H105" s="459" t="s">
        <v>1137</v>
      </c>
      <c r="I105" s="73"/>
      <c r="J105" s="74"/>
      <c r="K105" s="73"/>
      <c r="L105" s="17"/>
      <c r="M105" s="17"/>
      <c r="N105" s="17"/>
      <c r="O105" s="17"/>
      <c r="P105" s="17"/>
      <c r="Q105" s="17"/>
      <c r="R105" s="17"/>
      <c r="S105" s="17"/>
      <c r="T105" s="17"/>
      <c r="U105" s="17"/>
      <c r="V105" s="58"/>
      <c r="Y105" s="602"/>
    </row>
    <row r="106" spans="1:25" ht="47.15" customHeight="1" x14ac:dyDescent="0.35">
      <c r="A106" s="146">
        <v>24</v>
      </c>
      <c r="B106" s="146"/>
      <c r="C106" s="146"/>
      <c r="D106" s="146"/>
      <c r="E106" s="458"/>
      <c r="F106" s="459" t="s">
        <v>1068</v>
      </c>
      <c r="G106" s="459" t="b">
        <f t="shared" si="5"/>
        <v>0</v>
      </c>
      <c r="H106" s="459" t="s">
        <v>1138</v>
      </c>
      <c r="I106" s="73"/>
      <c r="J106" s="74"/>
      <c r="K106" s="73"/>
      <c r="L106" s="17"/>
      <c r="M106" s="17"/>
      <c r="N106" s="17"/>
      <c r="O106" s="17"/>
      <c r="P106" s="17"/>
      <c r="Q106" s="17"/>
      <c r="R106" s="17"/>
      <c r="S106" s="17"/>
      <c r="T106" s="17"/>
      <c r="U106" s="17"/>
      <c r="V106" s="58"/>
      <c r="Y106" s="602"/>
    </row>
    <row r="107" spans="1:25" ht="2.9" customHeight="1" thickBot="1" x14ac:dyDescent="0.4">
      <c r="A107" s="25"/>
      <c r="B107" s="26"/>
      <c r="C107" s="26"/>
      <c r="D107" s="26"/>
      <c r="E107" s="26"/>
      <c r="F107" s="26"/>
      <c r="G107" s="26"/>
      <c r="H107" s="26"/>
      <c r="I107" s="26"/>
      <c r="J107" s="23"/>
      <c r="K107" s="22"/>
      <c r="L107" s="17"/>
      <c r="M107" s="17"/>
      <c r="N107" s="17"/>
      <c r="O107" s="17"/>
      <c r="P107" s="17"/>
      <c r="Q107" s="17"/>
      <c r="R107" s="17"/>
      <c r="S107" s="17"/>
      <c r="T107" s="17"/>
      <c r="U107" s="17"/>
      <c r="V107" s="58"/>
      <c r="Y107" s="602"/>
    </row>
    <row r="108" spans="1:25" ht="35.25" customHeight="1" x14ac:dyDescent="0.35">
      <c r="L108" s="17"/>
      <c r="M108" s="17"/>
      <c r="N108" s="17"/>
      <c r="O108" s="17"/>
      <c r="P108" s="17"/>
      <c r="Q108" s="17"/>
      <c r="R108" s="17"/>
      <c r="S108" s="17"/>
      <c r="T108" s="17"/>
      <c r="U108" s="17"/>
      <c r="V108" s="58"/>
      <c r="Y108" s="602"/>
    </row>
    <row r="109" spans="1:25" ht="35.25" hidden="1" customHeight="1" x14ac:dyDescent="0.35">
      <c r="L109" s="17"/>
      <c r="M109" s="17"/>
      <c r="N109" s="17"/>
      <c r="O109" s="17"/>
      <c r="P109" s="17"/>
      <c r="Q109" s="17"/>
      <c r="R109" s="17"/>
      <c r="S109" s="17"/>
      <c r="T109" s="17"/>
      <c r="U109" s="17"/>
      <c r="V109" s="58"/>
    </row>
    <row r="110" spans="1:25" ht="35.25" hidden="1" customHeight="1" x14ac:dyDescent="0.35">
      <c r="L110" s="17"/>
      <c r="M110" s="17"/>
      <c r="N110" s="17"/>
      <c r="O110" s="17"/>
      <c r="P110" s="17"/>
      <c r="Q110" s="17"/>
      <c r="R110" s="17"/>
      <c r="S110" s="17"/>
      <c r="T110" s="17"/>
      <c r="U110" s="17"/>
      <c r="V110" s="58"/>
    </row>
    <row r="111" spans="1:25" ht="35.25" hidden="1" customHeight="1" x14ac:dyDescent="0.35">
      <c r="L111" s="17"/>
      <c r="M111" s="17"/>
      <c r="N111" s="17"/>
      <c r="O111" s="17"/>
      <c r="P111" s="17"/>
      <c r="Q111" s="17"/>
      <c r="R111" s="17"/>
      <c r="S111" s="17"/>
      <c r="T111" s="17"/>
      <c r="U111" s="17"/>
      <c r="V111" s="58"/>
    </row>
    <row r="112" spans="1:25" ht="35.25" hidden="1" customHeight="1" x14ac:dyDescent="0.35">
      <c r="L112" s="17"/>
      <c r="M112" s="17"/>
      <c r="N112" s="17"/>
      <c r="O112" s="17"/>
      <c r="P112" s="17"/>
      <c r="Q112" s="17"/>
      <c r="R112" s="17"/>
      <c r="S112" s="17"/>
      <c r="T112" s="17"/>
      <c r="U112" s="17"/>
      <c r="V112" s="58"/>
    </row>
    <row r="113" spans="1:45" ht="17.25" hidden="1" customHeight="1" x14ac:dyDescent="0.35">
      <c r="L113" s="17"/>
      <c r="M113" s="17"/>
      <c r="N113" s="17"/>
      <c r="O113" s="17"/>
      <c r="P113" s="17"/>
      <c r="Q113" s="17"/>
      <c r="R113" s="17"/>
      <c r="S113" s="17"/>
      <c r="T113" s="17"/>
      <c r="U113" s="17"/>
      <c r="V113" s="58"/>
    </row>
    <row r="114" spans="1:45" ht="21.75" hidden="1" customHeight="1" x14ac:dyDescent="0.35">
      <c r="L114" s="17"/>
      <c r="M114" s="17"/>
      <c r="N114" s="17"/>
      <c r="O114" s="17"/>
      <c r="P114" s="17"/>
      <c r="Q114" s="17"/>
      <c r="R114" s="17"/>
      <c r="S114" s="17"/>
      <c r="T114" s="17"/>
      <c r="U114" s="17"/>
      <c r="V114" s="58"/>
    </row>
    <row r="115" spans="1:45" ht="29.25" customHeight="1" thickBot="1" x14ac:dyDescent="0.4">
      <c r="L115" s="17"/>
      <c r="M115" s="17"/>
      <c r="N115" s="17"/>
      <c r="O115" s="17"/>
      <c r="P115" s="17"/>
      <c r="Q115" s="17"/>
      <c r="R115" s="17"/>
      <c r="S115" s="17"/>
      <c r="T115" s="17"/>
      <c r="U115" s="17"/>
      <c r="V115" s="58"/>
    </row>
    <row r="116" spans="1:45" ht="29.25" customHeight="1" thickBot="1" x14ac:dyDescent="0.4">
      <c r="A116" s="605" t="str">
        <f ca="1">Translations!A28</f>
        <v>Módulos</v>
      </c>
      <c r="B116" s="604"/>
      <c r="C116" s="604"/>
      <c r="D116" s="604"/>
      <c r="E116" s="606"/>
      <c r="F116" s="100"/>
      <c r="G116" s="100"/>
      <c r="H116" s="100"/>
      <c r="I116" s="100"/>
      <c r="J116" s="101"/>
      <c r="K116" s="71"/>
      <c r="L116" s="46"/>
      <c r="M116" s="46"/>
      <c r="N116" s="46"/>
      <c r="O116" s="46"/>
      <c r="P116" s="46"/>
      <c r="Q116" s="46"/>
      <c r="R116" s="46"/>
      <c r="S116" s="46"/>
      <c r="T116" s="46"/>
      <c r="U116" s="46"/>
      <c r="V116" s="49"/>
    </row>
    <row r="117" spans="1:45" ht="26.25" customHeight="1" x14ac:dyDescent="0.35">
      <c r="A117" s="455" t="str">
        <f ca="1">Translations!A29</f>
        <v>Número de módulo</v>
      </c>
      <c r="B117" s="455"/>
      <c r="C117" s="460" t="s">
        <v>402</v>
      </c>
      <c r="D117" s="461" t="s">
        <v>70</v>
      </c>
      <c r="E117" s="455" t="str">
        <f ca="1">Translations!A30</f>
        <v>Nombre del módulo</v>
      </c>
      <c r="F117" s="462" t="s">
        <v>140</v>
      </c>
      <c r="G117" s="462" t="s">
        <v>46</v>
      </c>
      <c r="H117" s="462" t="s">
        <v>48</v>
      </c>
      <c r="I117" s="440" t="s">
        <v>78</v>
      </c>
      <c r="J117" s="440" t="s">
        <v>201</v>
      </c>
      <c r="L117" s="47"/>
      <c r="M117" s="47"/>
      <c r="N117" s="47"/>
      <c r="O117" s="47"/>
      <c r="P117" s="47"/>
      <c r="Q117" s="47"/>
      <c r="R117" s="47"/>
      <c r="S117" s="47"/>
      <c r="T117" s="47"/>
      <c r="U117" s="47"/>
      <c r="V117" s="51"/>
    </row>
    <row r="118" spans="1:45" ht="47.15" hidden="1" customHeight="1" x14ac:dyDescent="0.35">
      <c r="A118" s="146" t="s">
        <v>65</v>
      </c>
      <c r="B118" s="146"/>
      <c r="C118" s="460" t="str">
        <f>IF(ISNUMBER(A118),IF(E118="","--select--",E118),"")</f>
        <v/>
      </c>
      <c r="D118" s="463" t="s">
        <v>401</v>
      </c>
      <c r="E118" s="464" t="str">
        <f>IFERROR(IF(F118="[Module Reference (Name)]","--Select--",VLOOKUP(F118,'Reference records(soft deleted)'!$B$118:$D$162,3,FALSE)),"")</f>
        <v>--Select--</v>
      </c>
      <c r="F118" s="465" t="s">
        <v>139</v>
      </c>
      <c r="G118" s="465" t="b">
        <f>IFERROR(IF(E118&lt;&gt;"",TRUE,FALSE),FALSE)</f>
        <v>1</v>
      </c>
      <c r="H118" s="466" t="s">
        <v>47</v>
      </c>
      <c r="I118" s="466" t="str">
        <f>IFERROR(VLOOKUP(E118,'Reference records(soft deleted)'!D$118:F$162,3,FALSE),"")</f>
        <v/>
      </c>
      <c r="J118" s="465" t="s">
        <v>47</v>
      </c>
      <c r="L118" s="17"/>
      <c r="M118" s="17"/>
      <c r="N118" s="17"/>
      <c r="O118" s="17"/>
      <c r="P118" s="17"/>
      <c r="Q118" s="17"/>
      <c r="R118" s="17"/>
      <c r="S118" s="17"/>
      <c r="T118" s="17"/>
      <c r="U118" s="17"/>
      <c r="V118" s="58"/>
      <c r="Y118" s="55"/>
      <c r="AS118" s="5"/>
    </row>
    <row r="119" spans="1:45" ht="47.15" customHeight="1" x14ac:dyDescent="0.35">
      <c r="A119" s="146">
        <v>1</v>
      </c>
      <c r="B119" s="146"/>
      <c r="C119" s="460" t="str">
        <f t="shared" ref="C119:C148" si="6">IF(ISNUMBER(A119),IF(E119="","--select--",E119),"")</f>
        <v>Servicios diferenciados de diagnóstico del VIH</v>
      </c>
      <c r="D119" s="463" t="s">
        <v>1139</v>
      </c>
      <c r="E119" s="464" t="str">
        <f>IFERROR(IF(F119="[Module Reference (Name)]","--Select--",VLOOKUP(F119,'Reference records(soft deleted)'!$B$118:$D$162,3,FALSE)),"")</f>
        <v>Servicios diferenciados de diagnóstico del VIH</v>
      </c>
      <c r="F119" s="465" t="s">
        <v>1140</v>
      </c>
      <c r="G119" s="465" t="b">
        <f t="shared" ref="G119:G148" si="7">IFERROR(IF(E119&lt;&gt;"",TRUE,FALSE),FALSE)</f>
        <v>1</v>
      </c>
      <c r="H119" s="466" t="s">
        <v>1141</v>
      </c>
      <c r="I119" s="466" t="str">
        <f>IFERROR(VLOOKUP(E119,'Reference records(soft deleted)'!D$118:F$162,3,FALSE),"")</f>
        <v>a1O1R000006c5MbUAI</v>
      </c>
      <c r="J119" s="465" t="s">
        <v>1068</v>
      </c>
      <c r="L119" s="17"/>
      <c r="M119" s="17"/>
      <c r="N119" s="17"/>
      <c r="O119" s="17"/>
      <c r="P119" s="17"/>
      <c r="Q119" s="17"/>
      <c r="R119" s="17"/>
      <c r="S119" s="17"/>
      <c r="T119" s="17"/>
      <c r="U119" s="17"/>
      <c r="V119" s="58"/>
      <c r="Y119" s="435"/>
      <c r="AS119" s="5"/>
    </row>
    <row r="120" spans="1:45" ht="47.15" customHeight="1" x14ac:dyDescent="0.35">
      <c r="A120" s="146">
        <v>2</v>
      </c>
      <c r="B120" s="146"/>
      <c r="C120" s="460" t="str">
        <f t="shared" si="6"/>
        <v>Financiación basada en los resultados</v>
      </c>
      <c r="D120" s="463" t="s">
        <v>1143</v>
      </c>
      <c r="E120" s="464" t="str">
        <f>IFERROR(IF(F120="[Module Reference (Name)]","--Select--",VLOOKUP(F120,'Reference records(soft deleted)'!$B$118:$D$162,3,FALSE)),"")</f>
        <v>Financiación basada en los resultados</v>
      </c>
      <c r="F120" s="465" t="s">
        <v>1144</v>
      </c>
      <c r="G120" s="465" t="b">
        <f t="shared" si="7"/>
        <v>1</v>
      </c>
      <c r="H120" s="466" t="s">
        <v>1145</v>
      </c>
      <c r="I120" s="466" t="str">
        <f>IFERROR(VLOOKUP(E120,'Reference records(soft deleted)'!D$118:F$162,3,FALSE),"")</f>
        <v>a1O1R000006c5MuUAI</v>
      </c>
      <c r="J120" s="465" t="s">
        <v>1068</v>
      </c>
      <c r="L120" s="17"/>
      <c r="M120" s="17"/>
      <c r="N120" s="17"/>
      <c r="O120" s="17"/>
      <c r="P120" s="17"/>
      <c r="Q120" s="17"/>
      <c r="R120" s="17"/>
      <c r="S120" s="17"/>
      <c r="T120" s="17"/>
      <c r="U120" s="17"/>
      <c r="V120" s="58"/>
      <c r="Y120" s="435"/>
      <c r="AS120" s="5"/>
    </row>
    <row r="121" spans="1:45" ht="47.15" customHeight="1" x14ac:dyDescent="0.35">
      <c r="A121" s="146">
        <v>3</v>
      </c>
      <c r="B121" s="146"/>
      <c r="C121" s="460" t="str">
        <f t="shared" si="6"/>
        <v>PTMI</v>
      </c>
      <c r="D121" s="463" t="s">
        <v>1147</v>
      </c>
      <c r="E121" s="464" t="str">
        <f>IFERROR(IF(F121="[Module Reference (Name)]","--Select--",VLOOKUP(F121,'Reference records(soft deleted)'!$B$118:$D$162,3,FALSE)),"")</f>
        <v>PTMI</v>
      </c>
      <c r="F121" s="465" t="s">
        <v>1148</v>
      </c>
      <c r="G121" s="465" t="b">
        <f t="shared" si="7"/>
        <v>1</v>
      </c>
      <c r="H121" s="466" t="s">
        <v>1149</v>
      </c>
      <c r="I121" s="466" t="str">
        <f>IFERROR(VLOOKUP(E121,'Reference records(soft deleted)'!D$118:F$162,3,FALSE),"")</f>
        <v>a1O1R000006c5MaUAI</v>
      </c>
      <c r="J121" s="465" t="s">
        <v>1068</v>
      </c>
      <c r="L121" s="17"/>
      <c r="M121" s="17"/>
      <c r="N121" s="17"/>
      <c r="O121" s="17"/>
      <c r="P121" s="17"/>
      <c r="Q121" s="17"/>
      <c r="R121" s="17"/>
      <c r="S121" s="17"/>
      <c r="T121" s="17"/>
      <c r="U121" s="17"/>
      <c r="V121" s="58"/>
      <c r="Y121" s="435"/>
      <c r="AS121" s="5"/>
    </row>
    <row r="122" spans="1:45" ht="47.15" customHeight="1" x14ac:dyDescent="0.35">
      <c r="A122" s="146">
        <v>4</v>
      </c>
      <c r="B122" s="146"/>
      <c r="C122" s="460" t="str">
        <f t="shared" si="6"/>
        <v>Atención y prevención de la tuberculosis</v>
      </c>
      <c r="D122" s="463" t="s">
        <v>1151</v>
      </c>
      <c r="E122" s="464" t="str">
        <f>IFERROR(IF(F122="[Module Reference (Name)]","--Select--",VLOOKUP(F122,'Reference records(soft deleted)'!$B$118:$D$162,3,FALSE)),"")</f>
        <v>Atención y prevención de la tuberculosis</v>
      </c>
      <c r="F122" s="465" t="s">
        <v>1152</v>
      </c>
      <c r="G122" s="465" t="b">
        <f t="shared" si="7"/>
        <v>1</v>
      </c>
      <c r="H122" s="466" t="s">
        <v>1153</v>
      </c>
      <c r="I122" s="466" t="str">
        <f>IFERROR(VLOOKUP(E122,'Reference records(soft deleted)'!D$118:F$162,3,FALSE),"")</f>
        <v>a1O1R000006c5MeUAI</v>
      </c>
      <c r="J122" s="465" t="s">
        <v>1068</v>
      </c>
      <c r="L122" s="17"/>
      <c r="M122" s="17"/>
      <c r="N122" s="17"/>
      <c r="O122" s="17"/>
      <c r="P122" s="17"/>
      <c r="Q122" s="17"/>
      <c r="R122" s="17"/>
      <c r="S122" s="17"/>
      <c r="T122" s="17"/>
      <c r="U122" s="17"/>
      <c r="V122" s="58"/>
      <c r="Y122" s="435"/>
      <c r="AS122" s="5"/>
    </row>
    <row r="123" spans="1:45" ht="47.15" customHeight="1" x14ac:dyDescent="0.35">
      <c r="A123" s="146">
        <v>5</v>
      </c>
      <c r="B123" s="146"/>
      <c r="C123" s="460" t="str">
        <f t="shared" si="6"/>
        <v>Prevención</v>
      </c>
      <c r="D123" s="463" t="s">
        <v>1155</v>
      </c>
      <c r="E123" s="464" t="str">
        <f>IFERROR(IF(F123="[Module Reference (Name)]","--Select--",VLOOKUP(F123,'Reference records(soft deleted)'!$B$118:$D$162,3,FALSE)),"")</f>
        <v>Prevención</v>
      </c>
      <c r="F123" s="465" t="s">
        <v>1156</v>
      </c>
      <c r="G123" s="465" t="b">
        <f t="shared" si="7"/>
        <v>1</v>
      </c>
      <c r="H123" s="466" t="s">
        <v>1157</v>
      </c>
      <c r="I123" s="466" t="str">
        <f>IFERROR(VLOOKUP(E123,'Reference records(soft deleted)'!D$118:F$162,3,FALSE),"")</f>
        <v>a1O1R000006c5MZUAY</v>
      </c>
      <c r="J123" s="465" t="s">
        <v>1068</v>
      </c>
      <c r="L123" s="17"/>
      <c r="M123" s="17"/>
      <c r="N123" s="17"/>
      <c r="O123" s="17"/>
      <c r="P123" s="17"/>
      <c r="Q123" s="17"/>
      <c r="R123" s="17"/>
      <c r="S123" s="17"/>
      <c r="T123" s="17"/>
      <c r="U123" s="17"/>
      <c r="V123" s="58"/>
      <c r="Y123" s="435"/>
      <c r="AS123" s="5"/>
    </row>
    <row r="124" spans="1:45" ht="47.15" customHeight="1" x14ac:dyDescent="0.35">
      <c r="A124" s="146">
        <v>6</v>
      </c>
      <c r="B124" s="146"/>
      <c r="C124" s="460" t="str">
        <f t="shared" si="6"/>
        <v>Tuberculosis multirresistente</v>
      </c>
      <c r="D124" s="463" t="s">
        <v>1159</v>
      </c>
      <c r="E124" s="464" t="str">
        <f>IFERROR(IF(F124="[Module Reference (Name)]","--Select--",VLOOKUP(F124,'Reference records(soft deleted)'!$B$118:$D$162,3,FALSE)),"")</f>
        <v>Tuberculosis multirresistente</v>
      </c>
      <c r="F124" s="465" t="s">
        <v>1160</v>
      </c>
      <c r="G124" s="465" t="b">
        <f t="shared" si="7"/>
        <v>1</v>
      </c>
      <c r="H124" s="466" t="s">
        <v>1161</v>
      </c>
      <c r="I124" s="466" t="str">
        <f>IFERROR(VLOOKUP(E124,'Reference records(soft deleted)'!D$118:F$162,3,FALSE),"")</f>
        <v>a1O1R000006c5MfUAI</v>
      </c>
      <c r="J124" s="465" t="s">
        <v>1068</v>
      </c>
      <c r="L124" s="17"/>
      <c r="M124" s="17"/>
      <c r="N124" s="17"/>
      <c r="O124" s="17"/>
      <c r="P124" s="17"/>
      <c r="Q124" s="17"/>
      <c r="R124" s="17"/>
      <c r="S124" s="17"/>
      <c r="T124" s="17"/>
      <c r="U124" s="17"/>
      <c r="V124" s="58"/>
      <c r="Y124" s="435"/>
      <c r="AS124" s="5"/>
    </row>
    <row r="125" spans="1:45" ht="47.15" customHeight="1" x14ac:dyDescent="0.35">
      <c r="A125" s="146">
        <v>7</v>
      </c>
      <c r="B125" s="146"/>
      <c r="C125" s="460" t="str">
        <f t="shared" si="6"/>
        <v>Tratamiento, atención y apoyo</v>
      </c>
      <c r="D125" s="463" t="s">
        <v>1163</v>
      </c>
      <c r="E125" s="464" t="str">
        <f>IFERROR(IF(F125="[Module Reference (Name)]","--Select--",VLOOKUP(F125,'Reference records(soft deleted)'!$B$118:$D$162,3,FALSE)),"")</f>
        <v>Tratamiento, atención y apoyo</v>
      </c>
      <c r="F125" s="465" t="s">
        <v>1164</v>
      </c>
      <c r="G125" s="465" t="b">
        <f t="shared" si="7"/>
        <v>1</v>
      </c>
      <c r="H125" s="466" t="s">
        <v>1165</v>
      </c>
      <c r="I125" s="466" t="str">
        <f>IFERROR(VLOOKUP(E125,'Reference records(soft deleted)'!D$118:F$162,3,FALSE),"")</f>
        <v>a1O1R000006c5McUAI</v>
      </c>
      <c r="J125" s="465" t="s">
        <v>1068</v>
      </c>
      <c r="L125" s="17"/>
      <c r="M125" s="17"/>
      <c r="N125" s="17"/>
      <c r="O125" s="17"/>
      <c r="P125" s="17"/>
      <c r="Q125" s="17"/>
      <c r="R125" s="17"/>
      <c r="S125" s="17"/>
      <c r="T125" s="17"/>
      <c r="U125" s="17"/>
      <c r="V125" s="58"/>
      <c r="Y125" s="435"/>
      <c r="AS125" s="5"/>
    </row>
    <row r="126" spans="1:45" ht="47.15" customHeight="1" x14ac:dyDescent="0.35">
      <c r="A126" s="146">
        <v>8</v>
      </c>
      <c r="B126" s="146"/>
      <c r="C126" s="460" t="str">
        <f t="shared" si="6"/>
        <v>SSRS: sistemas de laboratorio</v>
      </c>
      <c r="D126" s="463" t="s">
        <v>1167</v>
      </c>
      <c r="E126" s="549" t="s">
        <v>3129</v>
      </c>
      <c r="F126" s="465"/>
      <c r="G126" s="465" t="b">
        <f t="shared" si="7"/>
        <v>1</v>
      </c>
      <c r="H126" s="466" t="s">
        <v>1168</v>
      </c>
      <c r="I126" s="466" t="str">
        <f>IFERROR(VLOOKUP(E126,'Reference records(soft deleted)'!D$118:F$162,3,FALSE),"")</f>
        <v>a1O1R000006c5MtUAI</v>
      </c>
      <c r="J126" s="465" t="s">
        <v>1068</v>
      </c>
      <c r="L126" s="17"/>
      <c r="M126" s="17"/>
      <c r="N126" s="17"/>
      <c r="O126" s="17"/>
      <c r="P126" s="17"/>
      <c r="Q126" s="17"/>
      <c r="R126" s="17"/>
      <c r="S126" s="17"/>
      <c r="T126" s="17"/>
      <c r="U126" s="17"/>
      <c r="V126" s="58"/>
      <c r="Y126" s="435"/>
      <c r="AS126" s="5"/>
    </row>
    <row r="127" spans="1:45" ht="47.15" customHeight="1" x14ac:dyDescent="0.35">
      <c r="A127" s="146">
        <v>9</v>
      </c>
      <c r="B127" s="146"/>
      <c r="C127" s="460" t="str">
        <f t="shared" si="6"/>
        <v>--select--</v>
      </c>
      <c r="D127" s="463" t="s">
        <v>1169</v>
      </c>
      <c r="E127" s="464" t="str">
        <f>IFERROR(IF(F127="[Module Reference (Name)]","--Select--",VLOOKUP(F127,'Reference records(soft deleted)'!$B$118:$D$162,3,FALSE)),"")</f>
        <v/>
      </c>
      <c r="F127" s="465"/>
      <c r="G127" s="465" t="b">
        <f t="shared" si="7"/>
        <v>0</v>
      </c>
      <c r="H127" s="466" t="s">
        <v>1170</v>
      </c>
      <c r="I127" s="466" t="str">
        <f>IFERROR(VLOOKUP(E127,'Reference records(soft deleted)'!D$118:F$162,3,FALSE),"")</f>
        <v/>
      </c>
      <c r="J127" s="465" t="s">
        <v>1068</v>
      </c>
      <c r="L127" s="17"/>
      <c r="M127" s="17"/>
      <c r="N127" s="17"/>
      <c r="O127" s="17"/>
      <c r="P127" s="17"/>
      <c r="Q127" s="17"/>
      <c r="R127" s="17"/>
      <c r="S127" s="17"/>
      <c r="T127" s="17"/>
      <c r="U127" s="17"/>
      <c r="V127" s="58"/>
      <c r="Y127" s="435"/>
      <c r="AS127" s="5"/>
    </row>
    <row r="128" spans="1:45" ht="47.15" customHeight="1" x14ac:dyDescent="0.35">
      <c r="A128" s="146">
        <v>10</v>
      </c>
      <c r="B128" s="146"/>
      <c r="C128" s="460" t="str">
        <f t="shared" si="6"/>
        <v>--select--</v>
      </c>
      <c r="D128" s="463" t="s">
        <v>1171</v>
      </c>
      <c r="E128" s="464" t="str">
        <f>IFERROR(IF(F128="[Module Reference (Name)]","--Select--",VLOOKUP(F128,'Reference records(soft deleted)'!$B$118:$D$162,3,FALSE)),"")</f>
        <v/>
      </c>
      <c r="F128" s="465"/>
      <c r="G128" s="465" t="b">
        <f t="shared" si="7"/>
        <v>0</v>
      </c>
      <c r="H128" s="466" t="s">
        <v>1172</v>
      </c>
      <c r="I128" s="466" t="str">
        <f>IFERROR(VLOOKUP(E128,'Reference records(soft deleted)'!D$118:F$162,3,FALSE),"")</f>
        <v/>
      </c>
      <c r="J128" s="465" t="s">
        <v>1068</v>
      </c>
      <c r="L128" s="17"/>
      <c r="M128" s="17"/>
      <c r="N128" s="17"/>
      <c r="O128" s="17"/>
      <c r="P128" s="17"/>
      <c r="Q128" s="17"/>
      <c r="R128" s="17"/>
      <c r="S128" s="17"/>
      <c r="T128" s="17"/>
      <c r="U128" s="17"/>
      <c r="V128" s="58"/>
      <c r="Y128" s="435"/>
      <c r="AS128" s="5"/>
    </row>
    <row r="129" spans="1:45" ht="47.15" customHeight="1" x14ac:dyDescent="0.35">
      <c r="A129" s="146">
        <v>11</v>
      </c>
      <c r="B129" s="146"/>
      <c r="C129" s="460" t="str">
        <f t="shared" si="6"/>
        <v>--select--</v>
      </c>
      <c r="D129" s="463" t="s">
        <v>1173</v>
      </c>
      <c r="E129" s="464" t="str">
        <f>IFERROR(IF(F129="[Module Reference (Name)]","--Select--",VLOOKUP(F129,'Reference records(soft deleted)'!$B$118:$D$162,3,FALSE)),"")</f>
        <v/>
      </c>
      <c r="F129" s="465"/>
      <c r="G129" s="465" t="b">
        <f t="shared" si="7"/>
        <v>0</v>
      </c>
      <c r="H129" s="466" t="s">
        <v>1174</v>
      </c>
      <c r="I129" s="466" t="str">
        <f>IFERROR(VLOOKUP(E129,'Reference records(soft deleted)'!D$118:F$162,3,FALSE),"")</f>
        <v/>
      </c>
      <c r="J129" s="465" t="s">
        <v>1068</v>
      </c>
      <c r="L129" s="17"/>
      <c r="M129" s="17"/>
      <c r="N129" s="17"/>
      <c r="O129" s="17"/>
      <c r="P129" s="17"/>
      <c r="Q129" s="17"/>
      <c r="R129" s="17"/>
      <c r="S129" s="17"/>
      <c r="T129" s="17"/>
      <c r="U129" s="17"/>
      <c r="V129" s="58"/>
      <c r="Y129" s="435"/>
      <c r="AS129" s="5"/>
    </row>
    <row r="130" spans="1:45" ht="47.15" customHeight="1" x14ac:dyDescent="0.35">
      <c r="A130" s="146">
        <v>12</v>
      </c>
      <c r="B130" s="146"/>
      <c r="C130" s="460" t="str">
        <f t="shared" si="6"/>
        <v>--select--</v>
      </c>
      <c r="D130" s="463" t="s">
        <v>1175</v>
      </c>
      <c r="E130" s="464" t="str">
        <f>IFERROR(IF(F130="[Module Reference (Name)]","--Select--",VLOOKUP(F130,'Reference records(soft deleted)'!$B$118:$D$162,3,FALSE)),"")</f>
        <v/>
      </c>
      <c r="F130" s="465"/>
      <c r="G130" s="465" t="b">
        <f t="shared" si="7"/>
        <v>0</v>
      </c>
      <c r="H130" s="466" t="s">
        <v>1176</v>
      </c>
      <c r="I130" s="466" t="str">
        <f>IFERROR(VLOOKUP(E130,'Reference records(soft deleted)'!D$118:F$162,3,FALSE),"")</f>
        <v/>
      </c>
      <c r="J130" s="465" t="s">
        <v>1068</v>
      </c>
      <c r="L130" s="17"/>
      <c r="M130" s="17"/>
      <c r="N130" s="17"/>
      <c r="O130" s="17"/>
      <c r="P130" s="17"/>
      <c r="Q130" s="17"/>
      <c r="R130" s="17"/>
      <c r="S130" s="17"/>
      <c r="T130" s="17"/>
      <c r="U130" s="17"/>
      <c r="V130" s="58"/>
      <c r="Y130" s="435"/>
      <c r="AS130" s="5"/>
    </row>
    <row r="131" spans="1:45" ht="47.15" customHeight="1" x14ac:dyDescent="0.35">
      <c r="A131" s="146">
        <v>13</v>
      </c>
      <c r="B131" s="146"/>
      <c r="C131" s="460" t="str">
        <f t="shared" si="6"/>
        <v>--select--</v>
      </c>
      <c r="D131" s="463" t="s">
        <v>1177</v>
      </c>
      <c r="E131" s="464" t="str">
        <f>IFERROR(IF(F131="[Module Reference (Name)]","--Select--",VLOOKUP(F131,'Reference records(soft deleted)'!$B$118:$D$162,3,FALSE)),"")</f>
        <v/>
      </c>
      <c r="F131" s="465"/>
      <c r="G131" s="465" t="b">
        <f t="shared" si="7"/>
        <v>0</v>
      </c>
      <c r="H131" s="466" t="s">
        <v>1178</v>
      </c>
      <c r="I131" s="466" t="str">
        <f>IFERROR(VLOOKUP(E131,'Reference records(soft deleted)'!D$118:F$162,3,FALSE),"")</f>
        <v/>
      </c>
      <c r="J131" s="465" t="s">
        <v>1068</v>
      </c>
      <c r="L131" s="17"/>
      <c r="M131" s="17"/>
      <c r="N131" s="17"/>
      <c r="O131" s="17"/>
      <c r="P131" s="17"/>
      <c r="Q131" s="17"/>
      <c r="R131" s="17"/>
      <c r="S131" s="17"/>
      <c r="T131" s="17"/>
      <c r="U131" s="17"/>
      <c r="V131" s="58"/>
      <c r="Y131" s="435"/>
      <c r="AS131" s="5"/>
    </row>
    <row r="132" spans="1:45" ht="47.15" customHeight="1" x14ac:dyDescent="0.35">
      <c r="A132" s="146">
        <v>14</v>
      </c>
      <c r="B132" s="146"/>
      <c r="C132" s="460" t="str">
        <f t="shared" si="6"/>
        <v>--select--</v>
      </c>
      <c r="D132" s="463" t="s">
        <v>1179</v>
      </c>
      <c r="E132" s="464" t="str">
        <f>IFERROR(IF(F132="[Module Reference (Name)]","--Select--",VLOOKUP(F132,'Reference records(soft deleted)'!$B$118:$D$162,3,FALSE)),"")</f>
        <v/>
      </c>
      <c r="F132" s="465"/>
      <c r="G132" s="465" t="b">
        <f t="shared" si="7"/>
        <v>0</v>
      </c>
      <c r="H132" s="466" t="s">
        <v>1180</v>
      </c>
      <c r="I132" s="466" t="str">
        <f>IFERROR(VLOOKUP(E132,'Reference records(soft deleted)'!D$118:F$162,3,FALSE),"")</f>
        <v/>
      </c>
      <c r="J132" s="465" t="s">
        <v>1068</v>
      </c>
      <c r="L132" s="17"/>
      <c r="M132" s="17"/>
      <c r="N132" s="17"/>
      <c r="O132" s="17"/>
      <c r="P132" s="17"/>
      <c r="Q132" s="17"/>
      <c r="R132" s="17"/>
      <c r="S132" s="17"/>
      <c r="T132" s="17"/>
      <c r="U132" s="17"/>
      <c r="V132" s="58"/>
      <c r="Y132" s="435"/>
      <c r="AS132" s="5"/>
    </row>
    <row r="133" spans="1:45" ht="47.15" customHeight="1" x14ac:dyDescent="0.35">
      <c r="A133" s="146">
        <v>15</v>
      </c>
      <c r="B133" s="146"/>
      <c r="C133" s="460" t="str">
        <f t="shared" si="6"/>
        <v>--select--</v>
      </c>
      <c r="D133" s="463" t="s">
        <v>1181</v>
      </c>
      <c r="E133" s="464" t="str">
        <f>IFERROR(IF(F133="[Module Reference (Name)]","--Select--",VLOOKUP(F133,'Reference records(soft deleted)'!$B$118:$D$162,3,FALSE)),"")</f>
        <v/>
      </c>
      <c r="F133" s="465"/>
      <c r="G133" s="465" t="b">
        <f t="shared" si="7"/>
        <v>0</v>
      </c>
      <c r="H133" s="466" t="s">
        <v>1182</v>
      </c>
      <c r="I133" s="466" t="str">
        <f>IFERROR(VLOOKUP(E133,'Reference records(soft deleted)'!D$118:F$162,3,FALSE),"")</f>
        <v/>
      </c>
      <c r="J133" s="465" t="s">
        <v>1068</v>
      </c>
      <c r="L133" s="17"/>
      <c r="M133" s="17"/>
      <c r="N133" s="17"/>
      <c r="O133" s="17"/>
      <c r="P133" s="17"/>
      <c r="Q133" s="17"/>
      <c r="R133" s="17"/>
      <c r="S133" s="17"/>
      <c r="T133" s="17"/>
      <c r="U133" s="17"/>
      <c r="V133" s="58"/>
      <c r="Y133" s="435"/>
      <c r="AS133" s="5"/>
    </row>
    <row r="134" spans="1:45" ht="47.15" customHeight="1" x14ac:dyDescent="0.35">
      <c r="A134" s="146">
        <v>16</v>
      </c>
      <c r="B134" s="146"/>
      <c r="C134" s="460" t="str">
        <f t="shared" si="6"/>
        <v>--select--</v>
      </c>
      <c r="D134" s="463" t="s">
        <v>1183</v>
      </c>
      <c r="E134" s="464" t="str">
        <f>IFERROR(IF(F134="[Module Reference (Name)]","--Select--",VLOOKUP(F134,'Reference records(soft deleted)'!$B$118:$D$162,3,FALSE)),"")</f>
        <v/>
      </c>
      <c r="F134" s="465"/>
      <c r="G134" s="465" t="b">
        <f t="shared" si="7"/>
        <v>0</v>
      </c>
      <c r="H134" s="466" t="s">
        <v>1184</v>
      </c>
      <c r="I134" s="466" t="str">
        <f>IFERROR(VLOOKUP(E134,'Reference records(soft deleted)'!D$118:F$162,3,FALSE),"")</f>
        <v/>
      </c>
      <c r="J134" s="465" t="s">
        <v>1068</v>
      </c>
      <c r="L134" s="17"/>
      <c r="M134" s="17"/>
      <c r="N134" s="17"/>
      <c r="O134" s="17"/>
      <c r="P134" s="17"/>
      <c r="Q134" s="17"/>
      <c r="R134" s="17"/>
      <c r="S134" s="17"/>
      <c r="T134" s="17"/>
      <c r="U134" s="17"/>
      <c r="V134" s="58"/>
      <c r="Y134" s="435"/>
      <c r="AS134" s="5"/>
    </row>
    <row r="135" spans="1:45" ht="47.15" customHeight="1" x14ac:dyDescent="0.35">
      <c r="A135" s="146">
        <v>17</v>
      </c>
      <c r="B135" s="146"/>
      <c r="C135" s="460" t="str">
        <f t="shared" si="6"/>
        <v>--select--</v>
      </c>
      <c r="D135" s="463" t="s">
        <v>1185</v>
      </c>
      <c r="E135" s="464" t="str">
        <f>IFERROR(IF(F135="[Module Reference (Name)]","--Select--",VLOOKUP(F135,'Reference records(soft deleted)'!$B$118:$D$162,3,FALSE)),"")</f>
        <v/>
      </c>
      <c r="F135" s="465"/>
      <c r="G135" s="465" t="b">
        <f t="shared" si="7"/>
        <v>0</v>
      </c>
      <c r="H135" s="466" t="s">
        <v>1186</v>
      </c>
      <c r="I135" s="466" t="str">
        <f>IFERROR(VLOOKUP(E135,'Reference records(soft deleted)'!D$118:F$162,3,FALSE),"")</f>
        <v/>
      </c>
      <c r="J135" s="465" t="s">
        <v>1068</v>
      </c>
      <c r="L135" s="17"/>
      <c r="M135" s="17"/>
      <c r="N135" s="17"/>
      <c r="O135" s="17"/>
      <c r="P135" s="17"/>
      <c r="Q135" s="17"/>
      <c r="R135" s="17"/>
      <c r="S135" s="17"/>
      <c r="T135" s="17"/>
      <c r="U135" s="17"/>
      <c r="V135" s="58"/>
      <c r="Y135" s="435"/>
      <c r="AS135" s="5"/>
    </row>
    <row r="136" spans="1:45" ht="47.15" customHeight="1" x14ac:dyDescent="0.35">
      <c r="A136" s="146">
        <v>18</v>
      </c>
      <c r="B136" s="146"/>
      <c r="C136" s="460" t="str">
        <f t="shared" si="6"/>
        <v>--select--</v>
      </c>
      <c r="D136" s="463" t="s">
        <v>1187</v>
      </c>
      <c r="E136" s="464" t="str">
        <f>IFERROR(IF(F136="[Module Reference (Name)]","--Select--",VLOOKUP(F136,'Reference records(soft deleted)'!$B$118:$D$162,3,FALSE)),"")</f>
        <v/>
      </c>
      <c r="F136" s="465"/>
      <c r="G136" s="465" t="b">
        <f t="shared" si="7"/>
        <v>0</v>
      </c>
      <c r="H136" s="466" t="s">
        <v>1188</v>
      </c>
      <c r="I136" s="466" t="str">
        <f>IFERROR(VLOOKUP(E136,'Reference records(soft deleted)'!D$118:F$162,3,FALSE),"")</f>
        <v/>
      </c>
      <c r="J136" s="465" t="s">
        <v>1068</v>
      </c>
      <c r="L136" s="17"/>
      <c r="M136" s="17"/>
      <c r="N136" s="17"/>
      <c r="O136" s="17"/>
      <c r="P136" s="17"/>
      <c r="Q136" s="17"/>
      <c r="R136" s="17"/>
      <c r="S136" s="17"/>
      <c r="T136" s="17"/>
      <c r="U136" s="17"/>
      <c r="V136" s="58"/>
      <c r="Y136" s="435"/>
      <c r="AS136" s="5"/>
    </row>
    <row r="137" spans="1:45" ht="47.15" customHeight="1" x14ac:dyDescent="0.35">
      <c r="A137" s="146">
        <v>19</v>
      </c>
      <c r="B137" s="146"/>
      <c r="C137" s="460" t="str">
        <f t="shared" si="6"/>
        <v>--select--</v>
      </c>
      <c r="D137" s="463" t="s">
        <v>1189</v>
      </c>
      <c r="E137" s="464" t="str">
        <f>IFERROR(IF(F137="[Module Reference (Name)]","--Select--",VLOOKUP(F137,'Reference records(soft deleted)'!$B$118:$D$162,3,FALSE)),"")</f>
        <v/>
      </c>
      <c r="F137" s="465"/>
      <c r="G137" s="465" t="b">
        <f t="shared" si="7"/>
        <v>0</v>
      </c>
      <c r="H137" s="466" t="s">
        <v>1190</v>
      </c>
      <c r="I137" s="466" t="str">
        <f>IFERROR(VLOOKUP(E137,'Reference records(soft deleted)'!D$118:F$162,3,FALSE),"")</f>
        <v/>
      </c>
      <c r="J137" s="465" t="s">
        <v>1068</v>
      </c>
      <c r="L137" s="17"/>
      <c r="M137" s="17"/>
      <c r="N137" s="17"/>
      <c r="O137" s="17"/>
      <c r="P137" s="17"/>
      <c r="Q137" s="17"/>
      <c r="R137" s="17"/>
      <c r="S137" s="17"/>
      <c r="T137" s="17"/>
      <c r="U137" s="17"/>
      <c r="V137" s="58"/>
      <c r="Y137" s="435"/>
      <c r="AS137" s="5"/>
    </row>
    <row r="138" spans="1:45" ht="47.15" customHeight="1" x14ac:dyDescent="0.35">
      <c r="A138" s="146">
        <v>20</v>
      </c>
      <c r="B138" s="146"/>
      <c r="C138" s="460" t="str">
        <f t="shared" si="6"/>
        <v>--select--</v>
      </c>
      <c r="D138" s="463" t="s">
        <v>1191</v>
      </c>
      <c r="E138" s="464" t="str">
        <f>IFERROR(IF(F138="[Module Reference (Name)]","--Select--",VLOOKUP(F138,'Reference records(soft deleted)'!$B$118:$D$162,3,FALSE)),"")</f>
        <v/>
      </c>
      <c r="F138" s="465"/>
      <c r="G138" s="465" t="b">
        <f t="shared" si="7"/>
        <v>0</v>
      </c>
      <c r="H138" s="466" t="s">
        <v>1192</v>
      </c>
      <c r="I138" s="466" t="str">
        <f>IFERROR(VLOOKUP(E138,'Reference records(soft deleted)'!D$118:F$162,3,FALSE),"")</f>
        <v/>
      </c>
      <c r="J138" s="465" t="s">
        <v>1068</v>
      </c>
      <c r="L138" s="17"/>
      <c r="M138" s="17"/>
      <c r="N138" s="17"/>
      <c r="O138" s="17"/>
      <c r="P138" s="17"/>
      <c r="Q138" s="17"/>
      <c r="R138" s="17"/>
      <c r="S138" s="17"/>
      <c r="T138" s="17"/>
      <c r="U138" s="17"/>
      <c r="V138" s="58"/>
      <c r="Y138" s="435"/>
      <c r="AS138" s="5"/>
    </row>
    <row r="139" spans="1:45" ht="47.15" customHeight="1" x14ac:dyDescent="0.35">
      <c r="A139" s="146">
        <v>21</v>
      </c>
      <c r="B139" s="146"/>
      <c r="C139" s="460" t="str">
        <f t="shared" si="6"/>
        <v>--select--</v>
      </c>
      <c r="D139" s="463" t="s">
        <v>1193</v>
      </c>
      <c r="E139" s="464" t="str">
        <f>IFERROR(IF(F139="[Module Reference (Name)]","--Select--",VLOOKUP(F139,'Reference records(soft deleted)'!$B$118:$D$162,3,FALSE)),"")</f>
        <v/>
      </c>
      <c r="F139" s="465"/>
      <c r="G139" s="465" t="b">
        <f t="shared" si="7"/>
        <v>0</v>
      </c>
      <c r="H139" s="466" t="s">
        <v>1194</v>
      </c>
      <c r="I139" s="466" t="str">
        <f>IFERROR(VLOOKUP(E139,'Reference records(soft deleted)'!D$118:F$162,3,FALSE),"")</f>
        <v/>
      </c>
      <c r="J139" s="465" t="s">
        <v>1068</v>
      </c>
      <c r="L139" s="17"/>
      <c r="M139" s="17"/>
      <c r="N139" s="17"/>
      <c r="O139" s="17"/>
      <c r="P139" s="17"/>
      <c r="Q139" s="17"/>
      <c r="R139" s="17"/>
      <c r="S139" s="17"/>
      <c r="T139" s="17"/>
      <c r="U139" s="17"/>
      <c r="V139" s="58"/>
      <c r="Y139" s="435"/>
      <c r="AS139" s="5"/>
    </row>
    <row r="140" spans="1:45" ht="47.15" customHeight="1" x14ac:dyDescent="0.35">
      <c r="A140" s="146">
        <v>22</v>
      </c>
      <c r="B140" s="146"/>
      <c r="C140" s="460" t="str">
        <f t="shared" si="6"/>
        <v>--select--</v>
      </c>
      <c r="D140" s="463" t="s">
        <v>1195</v>
      </c>
      <c r="E140" s="464" t="str">
        <f>IFERROR(IF(F140="[Module Reference (Name)]","--Select--",VLOOKUP(F140,'Reference records(soft deleted)'!$B$118:$D$162,3,FALSE)),"")</f>
        <v/>
      </c>
      <c r="F140" s="465"/>
      <c r="G140" s="465" t="b">
        <f t="shared" si="7"/>
        <v>0</v>
      </c>
      <c r="H140" s="466" t="s">
        <v>1196</v>
      </c>
      <c r="I140" s="466" t="str">
        <f>IFERROR(VLOOKUP(E140,'Reference records(soft deleted)'!D$118:F$162,3,FALSE),"")</f>
        <v/>
      </c>
      <c r="J140" s="465" t="s">
        <v>1068</v>
      </c>
      <c r="L140" s="17"/>
      <c r="M140" s="17"/>
      <c r="N140" s="17"/>
      <c r="O140" s="17"/>
      <c r="P140" s="17"/>
      <c r="Q140" s="17"/>
      <c r="R140" s="17"/>
      <c r="S140" s="17"/>
      <c r="T140" s="17"/>
      <c r="U140" s="17"/>
      <c r="V140" s="58"/>
      <c r="Y140" s="435"/>
      <c r="AS140" s="5"/>
    </row>
    <row r="141" spans="1:45" ht="47.15" customHeight="1" x14ac:dyDescent="0.35">
      <c r="A141" s="146">
        <v>23</v>
      </c>
      <c r="B141" s="146"/>
      <c r="C141" s="460" t="str">
        <f t="shared" si="6"/>
        <v>--select--</v>
      </c>
      <c r="D141" s="463" t="s">
        <v>1197</v>
      </c>
      <c r="E141" s="464" t="str">
        <f>IFERROR(IF(F141="[Module Reference (Name)]","--Select--",VLOOKUP(F141,'Reference records(soft deleted)'!$B$118:$D$162,3,FALSE)),"")</f>
        <v/>
      </c>
      <c r="F141" s="465"/>
      <c r="G141" s="465" t="b">
        <f t="shared" si="7"/>
        <v>0</v>
      </c>
      <c r="H141" s="466" t="s">
        <v>1198</v>
      </c>
      <c r="I141" s="466" t="str">
        <f>IFERROR(VLOOKUP(E141,'Reference records(soft deleted)'!D$118:F$162,3,FALSE),"")</f>
        <v/>
      </c>
      <c r="J141" s="465" t="s">
        <v>1068</v>
      </c>
      <c r="L141" s="17"/>
      <c r="M141" s="17"/>
      <c r="N141" s="17"/>
      <c r="O141" s="17"/>
      <c r="P141" s="17"/>
      <c r="Q141" s="17"/>
      <c r="R141" s="17"/>
      <c r="S141" s="17"/>
      <c r="T141" s="17"/>
      <c r="U141" s="17"/>
      <c r="V141" s="58"/>
      <c r="Y141" s="435"/>
      <c r="AS141" s="5"/>
    </row>
    <row r="142" spans="1:45" ht="47.15" customHeight="1" x14ac:dyDescent="0.35">
      <c r="A142" s="146">
        <v>24</v>
      </c>
      <c r="B142" s="146"/>
      <c r="C142" s="460" t="str">
        <f t="shared" si="6"/>
        <v>--select--</v>
      </c>
      <c r="D142" s="463" t="s">
        <v>1199</v>
      </c>
      <c r="E142" s="464" t="str">
        <f>IFERROR(IF(F142="[Module Reference (Name)]","--Select--",VLOOKUP(F142,'Reference records(soft deleted)'!$B$118:$D$162,3,FALSE)),"")</f>
        <v/>
      </c>
      <c r="F142" s="465"/>
      <c r="G142" s="465" t="b">
        <f t="shared" si="7"/>
        <v>0</v>
      </c>
      <c r="H142" s="466" t="s">
        <v>1200</v>
      </c>
      <c r="I142" s="466" t="str">
        <f>IFERROR(VLOOKUP(E142,'Reference records(soft deleted)'!D$118:F$162,3,FALSE),"")</f>
        <v/>
      </c>
      <c r="J142" s="465" t="s">
        <v>1068</v>
      </c>
      <c r="L142" s="17"/>
      <c r="M142" s="17"/>
      <c r="N142" s="17"/>
      <c r="O142" s="17"/>
      <c r="P142" s="17"/>
      <c r="Q142" s="17"/>
      <c r="R142" s="17"/>
      <c r="S142" s="17"/>
      <c r="T142" s="17"/>
      <c r="U142" s="17"/>
      <c r="V142" s="58"/>
      <c r="Y142" s="435"/>
      <c r="AS142" s="5"/>
    </row>
    <row r="143" spans="1:45" ht="47.15" customHeight="1" x14ac:dyDescent="0.35">
      <c r="A143" s="146">
        <v>25</v>
      </c>
      <c r="B143" s="146"/>
      <c r="C143" s="460" t="str">
        <f t="shared" si="6"/>
        <v>--select--</v>
      </c>
      <c r="D143" s="463" t="s">
        <v>1201</v>
      </c>
      <c r="E143" s="464" t="str">
        <f>IFERROR(IF(F143="[Module Reference (Name)]","--Select--",VLOOKUP(F143,'Reference records(soft deleted)'!$B$118:$D$162,3,FALSE)),"")</f>
        <v/>
      </c>
      <c r="F143" s="465"/>
      <c r="G143" s="465" t="b">
        <f t="shared" si="7"/>
        <v>0</v>
      </c>
      <c r="H143" s="466" t="s">
        <v>1202</v>
      </c>
      <c r="I143" s="466" t="str">
        <f>IFERROR(VLOOKUP(E143,'Reference records(soft deleted)'!D$118:F$162,3,FALSE),"")</f>
        <v/>
      </c>
      <c r="J143" s="465" t="s">
        <v>1068</v>
      </c>
      <c r="L143" s="17"/>
      <c r="M143" s="17"/>
      <c r="N143" s="17"/>
      <c r="O143" s="17"/>
      <c r="P143" s="17"/>
      <c r="Q143" s="17"/>
      <c r="R143" s="17"/>
      <c r="S143" s="17"/>
      <c r="T143" s="17"/>
      <c r="U143" s="17"/>
      <c r="V143" s="58"/>
      <c r="Y143" s="435"/>
      <c r="AS143" s="5"/>
    </row>
    <row r="144" spans="1:45" ht="47.15" customHeight="1" x14ac:dyDescent="0.35">
      <c r="A144" s="146">
        <v>26</v>
      </c>
      <c r="B144" s="146"/>
      <c r="C144" s="460" t="str">
        <f t="shared" si="6"/>
        <v>--select--</v>
      </c>
      <c r="D144" s="463" t="s">
        <v>1203</v>
      </c>
      <c r="E144" s="464" t="str">
        <f>IFERROR(IF(F144="[Module Reference (Name)]","--Select--",VLOOKUP(F144,'Reference records(soft deleted)'!$B$118:$D$162,3,FALSE)),"")</f>
        <v/>
      </c>
      <c r="F144" s="465"/>
      <c r="G144" s="465" t="b">
        <f t="shared" si="7"/>
        <v>0</v>
      </c>
      <c r="H144" s="466" t="s">
        <v>1204</v>
      </c>
      <c r="I144" s="466" t="str">
        <f>IFERROR(VLOOKUP(E144,'Reference records(soft deleted)'!D$118:F$162,3,FALSE),"")</f>
        <v/>
      </c>
      <c r="J144" s="465" t="s">
        <v>1068</v>
      </c>
      <c r="L144" s="17"/>
      <c r="M144" s="17"/>
      <c r="N144" s="17"/>
      <c r="O144" s="17"/>
      <c r="P144" s="17"/>
      <c r="Q144" s="17"/>
      <c r="R144" s="17"/>
      <c r="S144" s="17"/>
      <c r="T144" s="17"/>
      <c r="U144" s="17"/>
      <c r="V144" s="58"/>
      <c r="Y144" s="435"/>
      <c r="AS144" s="5"/>
    </row>
    <row r="145" spans="1:45" ht="47.15" customHeight="1" x14ac:dyDescent="0.35">
      <c r="A145" s="146">
        <v>27</v>
      </c>
      <c r="B145" s="146"/>
      <c r="C145" s="460" t="str">
        <f t="shared" si="6"/>
        <v>--select--</v>
      </c>
      <c r="D145" s="463" t="s">
        <v>1205</v>
      </c>
      <c r="E145" s="464" t="str">
        <f>IFERROR(IF(F145="[Module Reference (Name)]","--Select--",VLOOKUP(F145,'Reference records(soft deleted)'!$B$118:$D$162,3,FALSE)),"")</f>
        <v/>
      </c>
      <c r="F145" s="465"/>
      <c r="G145" s="465" t="b">
        <f t="shared" si="7"/>
        <v>0</v>
      </c>
      <c r="H145" s="466" t="s">
        <v>1206</v>
      </c>
      <c r="I145" s="466" t="str">
        <f>IFERROR(VLOOKUP(E145,'Reference records(soft deleted)'!D$118:F$162,3,FALSE),"")</f>
        <v/>
      </c>
      <c r="J145" s="465" t="s">
        <v>1068</v>
      </c>
      <c r="L145" s="17"/>
      <c r="M145" s="17"/>
      <c r="N145" s="17"/>
      <c r="O145" s="17"/>
      <c r="P145" s="17"/>
      <c r="Q145" s="17"/>
      <c r="R145" s="17"/>
      <c r="S145" s="17"/>
      <c r="T145" s="17"/>
      <c r="U145" s="17"/>
      <c r="V145" s="58"/>
      <c r="Y145" s="435"/>
      <c r="AS145" s="5"/>
    </row>
    <row r="146" spans="1:45" ht="47.15" customHeight="1" x14ac:dyDescent="0.35">
      <c r="A146" s="146">
        <v>28</v>
      </c>
      <c r="B146" s="146"/>
      <c r="C146" s="460" t="str">
        <f t="shared" si="6"/>
        <v>--select--</v>
      </c>
      <c r="D146" s="463" t="s">
        <v>1207</v>
      </c>
      <c r="E146" s="464" t="str">
        <f>IFERROR(IF(F146="[Module Reference (Name)]","--Select--",VLOOKUP(F146,'Reference records(soft deleted)'!$B$118:$D$162,3,FALSE)),"")</f>
        <v/>
      </c>
      <c r="F146" s="465"/>
      <c r="G146" s="465" t="b">
        <f t="shared" si="7"/>
        <v>0</v>
      </c>
      <c r="H146" s="466" t="s">
        <v>1208</v>
      </c>
      <c r="I146" s="466" t="str">
        <f>IFERROR(VLOOKUP(E146,'Reference records(soft deleted)'!D$118:F$162,3,FALSE),"")</f>
        <v/>
      </c>
      <c r="J146" s="465" t="s">
        <v>1068</v>
      </c>
      <c r="L146" s="17"/>
      <c r="M146" s="17"/>
      <c r="N146" s="17"/>
      <c r="O146" s="17"/>
      <c r="P146" s="17"/>
      <c r="Q146" s="17"/>
      <c r="R146" s="17"/>
      <c r="S146" s="17"/>
      <c r="T146" s="17"/>
      <c r="U146" s="17"/>
      <c r="V146" s="58"/>
      <c r="Y146" s="435"/>
      <c r="AS146" s="5"/>
    </row>
    <row r="147" spans="1:45" ht="47.15" customHeight="1" x14ac:dyDescent="0.35">
      <c r="A147" s="146">
        <v>29</v>
      </c>
      <c r="B147" s="146"/>
      <c r="C147" s="460" t="str">
        <f t="shared" si="6"/>
        <v>--select--</v>
      </c>
      <c r="D147" s="463" t="s">
        <v>1209</v>
      </c>
      <c r="E147" s="464" t="str">
        <f>IFERROR(IF(F147="[Module Reference (Name)]","--Select--",VLOOKUP(F147,'Reference records(soft deleted)'!$B$118:$D$162,3,FALSE)),"")</f>
        <v/>
      </c>
      <c r="F147" s="465"/>
      <c r="G147" s="465" t="b">
        <f t="shared" si="7"/>
        <v>0</v>
      </c>
      <c r="H147" s="466" t="s">
        <v>1210</v>
      </c>
      <c r="I147" s="466" t="str">
        <f>IFERROR(VLOOKUP(E147,'Reference records(soft deleted)'!D$118:F$162,3,FALSE),"")</f>
        <v/>
      </c>
      <c r="J147" s="465" t="s">
        <v>1068</v>
      </c>
      <c r="L147" s="17"/>
      <c r="M147" s="17"/>
      <c r="N147" s="17"/>
      <c r="O147" s="17"/>
      <c r="P147" s="17"/>
      <c r="Q147" s="17"/>
      <c r="R147" s="17"/>
      <c r="S147" s="17"/>
      <c r="T147" s="17"/>
      <c r="U147" s="17"/>
      <c r="V147" s="58"/>
      <c r="Y147" s="435"/>
      <c r="AS147" s="5"/>
    </row>
    <row r="148" spans="1:45" ht="47.15" customHeight="1" x14ac:dyDescent="0.35">
      <c r="A148" s="146">
        <v>30</v>
      </c>
      <c r="B148" s="146"/>
      <c r="C148" s="460" t="str">
        <f t="shared" si="6"/>
        <v>--select--</v>
      </c>
      <c r="D148" s="463" t="s">
        <v>1211</v>
      </c>
      <c r="E148" s="464" t="str">
        <f>IFERROR(IF(F148="[Module Reference (Name)]","--Select--",VLOOKUP(F148,'Reference records(soft deleted)'!$B$118:$D$162,3,FALSE)),"")</f>
        <v/>
      </c>
      <c r="F148" s="465"/>
      <c r="G148" s="465" t="b">
        <f t="shared" si="7"/>
        <v>0</v>
      </c>
      <c r="H148" s="466" t="s">
        <v>1212</v>
      </c>
      <c r="I148" s="466" t="str">
        <f>IFERROR(VLOOKUP(E148,'Reference records(soft deleted)'!D$118:F$162,3,FALSE),"")</f>
        <v/>
      </c>
      <c r="J148" s="465" t="s">
        <v>1068</v>
      </c>
      <c r="L148" s="17"/>
      <c r="M148" s="17"/>
      <c r="N148" s="17"/>
      <c r="O148" s="17"/>
      <c r="P148" s="17"/>
      <c r="Q148" s="17"/>
      <c r="R148" s="17"/>
      <c r="S148" s="17"/>
      <c r="T148" s="17"/>
      <c r="U148" s="17"/>
      <c r="V148" s="58"/>
      <c r="Y148" s="435"/>
      <c r="AS148" s="5"/>
    </row>
    <row r="149" spans="1:45" ht="21" hidden="1" customHeight="1" thickBot="1" x14ac:dyDescent="0.4">
      <c r="A149" s="25"/>
      <c r="B149" s="26"/>
      <c r="C149" s="26"/>
      <c r="D149" s="26"/>
      <c r="E149" s="26"/>
      <c r="F149" s="26"/>
      <c r="G149" s="26"/>
      <c r="H149" s="26"/>
      <c r="I149" s="26"/>
      <c r="J149" s="23"/>
      <c r="K149" s="22"/>
      <c r="L149" s="17"/>
      <c r="M149" s="17"/>
      <c r="N149" s="17"/>
      <c r="O149" s="17"/>
      <c r="P149" s="17"/>
      <c r="Q149" s="17"/>
      <c r="R149" s="17"/>
      <c r="S149" s="17"/>
      <c r="T149" s="17"/>
      <c r="U149" s="17"/>
      <c r="V149" s="58"/>
    </row>
    <row r="150" spans="1:45" ht="35.25" customHeight="1" x14ac:dyDescent="0.35">
      <c r="L150" s="17"/>
      <c r="M150" s="17"/>
      <c r="N150" s="17"/>
      <c r="O150" s="17"/>
      <c r="P150" s="17"/>
      <c r="Q150" s="17"/>
      <c r="R150" s="17"/>
      <c r="S150" s="17"/>
      <c r="T150" s="17"/>
      <c r="U150" s="17"/>
      <c r="V150" s="58"/>
    </row>
    <row r="151" spans="1:45" ht="27.75" customHeight="1" thickBot="1" x14ac:dyDescent="0.4">
      <c r="A151" s="59"/>
      <c r="B151" s="16"/>
      <c r="C151" s="16"/>
      <c r="D151" s="16"/>
      <c r="E151" s="17"/>
      <c r="F151" s="17"/>
      <c r="G151" s="17"/>
      <c r="H151" s="17"/>
      <c r="I151" s="17"/>
      <c r="J151" s="17"/>
      <c r="K151" s="17"/>
      <c r="L151" s="17"/>
      <c r="M151" s="17"/>
      <c r="N151" s="17"/>
      <c r="O151" s="17"/>
      <c r="P151" s="17"/>
      <c r="Q151" s="17"/>
      <c r="R151" s="17"/>
      <c r="S151" s="17"/>
      <c r="T151" s="17"/>
      <c r="U151" s="17"/>
      <c r="V151" s="58"/>
    </row>
    <row r="152" spans="1:45" ht="16.5" customHeight="1" thickBot="1" x14ac:dyDescent="0.4">
      <c r="A152" s="614" t="str">
        <f ca="1">Translations!A50</f>
        <v>Solo se requiere si tiene Medidas de Seguimiento al Plan de Trabajo</v>
      </c>
      <c r="B152" s="615"/>
      <c r="C152" s="615"/>
      <c r="D152" s="615"/>
      <c r="E152" s="615"/>
      <c r="F152" s="615"/>
      <c r="G152" s="615"/>
      <c r="H152" s="615"/>
      <c r="I152" s="615"/>
      <c r="J152" s="615"/>
      <c r="K152" s="615"/>
      <c r="L152" s="615"/>
      <c r="M152" s="615"/>
      <c r="N152" s="615"/>
      <c r="O152" s="615"/>
      <c r="P152" s="615"/>
      <c r="Q152" s="615"/>
      <c r="R152" s="615"/>
      <c r="S152" s="615"/>
      <c r="T152" s="615"/>
      <c r="U152" s="615"/>
      <c r="V152" s="615"/>
      <c r="W152" s="60"/>
      <c r="X152" s="60"/>
      <c r="Y152" s="60"/>
      <c r="Z152" s="60"/>
      <c r="AA152" s="61"/>
      <c r="AB152" s="61"/>
      <c r="AC152" s="62"/>
    </row>
    <row r="153" spans="1:45" ht="30" customHeight="1" x14ac:dyDescent="0.35">
      <c r="A153" s="607" t="s">
        <v>32</v>
      </c>
      <c r="B153" s="608"/>
      <c r="C153" s="608"/>
      <c r="D153" s="608"/>
      <c r="E153" s="608"/>
      <c r="F153" s="608"/>
      <c r="G153" s="608"/>
      <c r="H153" s="608"/>
      <c r="I153" s="608"/>
      <c r="J153" s="608"/>
      <c r="K153" s="608"/>
      <c r="L153" s="608"/>
      <c r="M153" s="608"/>
      <c r="N153" s="608"/>
      <c r="O153" s="608"/>
      <c r="P153" s="608"/>
      <c r="Q153" s="608"/>
      <c r="R153" s="608"/>
      <c r="S153" s="608"/>
      <c r="T153" s="608"/>
      <c r="U153" s="608"/>
      <c r="V153" s="608"/>
      <c r="W153" s="129"/>
      <c r="X153" s="129"/>
      <c r="Y153" s="129"/>
      <c r="Z153" s="130"/>
      <c r="AA153" s="131"/>
      <c r="AB153" s="131"/>
      <c r="AC153" s="132"/>
    </row>
    <row r="154" spans="1:45" ht="46.5" customHeight="1" x14ac:dyDescent="0.35">
      <c r="A154" s="455" t="str">
        <f ca="1">Translations!A32</f>
        <v>Número de intervención</v>
      </c>
      <c r="B154" s="455"/>
      <c r="C154" s="455"/>
      <c r="D154" s="455" t="s">
        <v>960</v>
      </c>
      <c r="E154" s="467" t="str">
        <f ca="1">Translations!A28</f>
        <v>Módulos</v>
      </c>
      <c r="F154" s="467" t="s">
        <v>976</v>
      </c>
      <c r="G154" s="467" t="s">
        <v>978</v>
      </c>
      <c r="H154" s="467" t="s">
        <v>114</v>
      </c>
      <c r="I154" s="467" t="s">
        <v>115</v>
      </c>
      <c r="J154" s="467" t="s">
        <v>125</v>
      </c>
      <c r="K154" s="467" t="str">
        <f ca="1">Translations!A33</f>
        <v xml:space="preserve">Intervención estándar </v>
      </c>
      <c r="L154" s="467" t="s">
        <v>308</v>
      </c>
      <c r="M154" s="468" t="s">
        <v>309</v>
      </c>
      <c r="N154" s="468" t="s">
        <v>310</v>
      </c>
      <c r="O154" s="468" t="s">
        <v>126</v>
      </c>
      <c r="P154" s="468" t="s">
        <v>127</v>
      </c>
      <c r="Q154" s="468" t="s">
        <v>140</v>
      </c>
      <c r="R154" s="468" t="s">
        <v>190</v>
      </c>
      <c r="S154" s="467" t="s">
        <v>189</v>
      </c>
      <c r="T154" s="469" t="str">
        <f ca="1">Translations!A34</f>
        <v>Intervención personalizada (solo si selecciona "otras" intervenciones)</v>
      </c>
      <c r="U154" s="470" t="s">
        <v>60</v>
      </c>
      <c r="V154" s="469" t="s">
        <v>279</v>
      </c>
      <c r="W154" s="471" t="s">
        <v>110</v>
      </c>
      <c r="X154" s="472" t="s">
        <v>70</v>
      </c>
      <c r="Y154" s="472" t="s">
        <v>46</v>
      </c>
      <c r="Z154" s="472" t="s">
        <v>71</v>
      </c>
      <c r="AA154" s="472" t="s">
        <v>72</v>
      </c>
      <c r="AB154" s="472" t="s">
        <v>48</v>
      </c>
      <c r="AC154" s="473"/>
      <c r="AD154" s="473" t="s">
        <v>233</v>
      </c>
      <c r="AE154" s="472" t="s">
        <v>234</v>
      </c>
      <c r="AF154" s="473" t="s">
        <v>380</v>
      </c>
      <c r="AG154" s="473" t="s">
        <v>72</v>
      </c>
      <c r="AH154" s="474" t="s">
        <v>477</v>
      </c>
      <c r="AI154" s="473" t="s">
        <v>478</v>
      </c>
      <c r="AJ154" s="473" t="s">
        <v>479</v>
      </c>
      <c r="AK154" s="473" t="s">
        <v>480</v>
      </c>
      <c r="AL154" s="473" t="s">
        <v>481</v>
      </c>
      <c r="AM154" s="473" t="s">
        <v>482</v>
      </c>
      <c r="AN154" s="473" t="s">
        <v>483</v>
      </c>
      <c r="AO154" s="473"/>
      <c r="AP154" s="473"/>
      <c r="AQ154" s="473" t="s">
        <v>232</v>
      </c>
      <c r="AR154" s="107"/>
    </row>
    <row r="155" spans="1:45" ht="47.15" hidden="1" customHeight="1" x14ac:dyDescent="0.35">
      <c r="A155" s="146"/>
      <c r="B155" s="475"/>
      <c r="C155" s="475"/>
      <c r="D155" s="148"/>
      <c r="E155" s="476" t="str">
        <f>IFERROR(IF(AND(K155="",T155=""),"",(VLOOKUP(Q155,'Reference records(soft deleted)'!$B$118:$D$162,3,FALSE))),"")</f>
        <v/>
      </c>
      <c r="F155" s="477" t="s">
        <v>975</v>
      </c>
      <c r="G155" s="477" t="s">
        <v>977</v>
      </c>
      <c r="H155" s="478" t="str">
        <f>IF(R155="",IFERROR(VLOOKUP(AC155,'Reference Records'!G$413:J414,4,0),""),IFERROR(VLOOKUP(AC155,'Reference Records'!H$413:J414,3,0),""))</f>
        <v/>
      </c>
      <c r="I155" s="478"/>
      <c r="J155" s="479" t="s">
        <v>959</v>
      </c>
      <c r="K155" s="476" t="str">
        <f>IFERROR(VLOOKUP(INDEX('Reference Records'!E$412:E618,MATCH(R155,'Reference Records'!F$412:F618,0),1),'Reference Records'!B$211:C213,2,0),"")</f>
        <v/>
      </c>
      <c r="L155" s="478" t="e">
        <f>VLOOKUP(U155&amp;K155,'Reference Records'!H$212:I333,2,0)</f>
        <v>#N/A</v>
      </c>
      <c r="M155" s="478" t="e">
        <f>MATCH($L155,'Reference Records'!$E$413:$E$618,0)+ROW(Population_by_intervention) -1</f>
        <v>#N/A</v>
      </c>
      <c r="N155" s="478" t="e">
        <f>MATCH($L155,'Reference Records'!$E$413:$E$618,1)+ROW(Population_by_intervention) -1</f>
        <v>#N/A</v>
      </c>
      <c r="O155" s="478" t="e">
        <f>INDEX('Reference Records'!K$212:K333,MATCH(L155,'Reference Records'!B$212:B333,0))</f>
        <v>#N/A</v>
      </c>
      <c r="P155" s="478"/>
      <c r="Q155" s="480" t="s">
        <v>139</v>
      </c>
      <c r="R155" s="481" t="s">
        <v>141</v>
      </c>
      <c r="S155" s="478" t="str">
        <f>IFERROR(VLOOKUP(INDEX('Reference Records'!J$412:J618,MATCH(R155,'Reference Records'!F$412:F618),1),'Reference Records'!B$211:C213,2,0),"")</f>
        <v/>
      </c>
      <c r="T155" s="479"/>
      <c r="U155" s="482" t="str">
        <f>IFERROR(IF(VLOOKUP(E155,'Reference Records'!$F$159:$N$210,9,FALSE)=0,"",VLOOKUP(E155,'Reference Records'!$F$159:$N$210,9,FALSE)),"")</f>
        <v/>
      </c>
      <c r="V155" s="476" t="str">
        <f>IF(IF(Language="French",G155,F155)=0,"",IF(Language="French",G155,F155))</f>
        <v>[Intervention ES]</v>
      </c>
      <c r="W155" s="483" t="str">
        <f>K155&amp;T155</f>
        <v/>
      </c>
      <c r="X155" s="484" t="str">
        <f>IFERROR(VLOOKUP(E155,$E$118:$H$150,4,FALSE),"")</f>
        <v>a1P3p000007oOIJEA2</v>
      </c>
      <c r="Y155" s="484" t="b">
        <f>IFERROR(IF(OR(K155&lt;&gt;"",T155&lt;&gt;""),TRUE,FALSE),FALSE)</f>
        <v>0</v>
      </c>
      <c r="Z155" s="484" t="b">
        <f>IFERROR(TRUE,FALSE)</f>
        <v>1</v>
      </c>
      <c r="AA155" s="484" t="str">
        <f>IF(R155="",IFERROR(VLOOKUP(AC155,'Reference Records'!G$413:J414,3,0),""),IFERROR(VLOOKUP(AC155,'Reference Records'!H$413:J414,2,0),""))</f>
        <v/>
      </c>
      <c r="AB155" s="484" t="s">
        <v>47</v>
      </c>
      <c r="AC155" s="473" t="e">
        <f>IF(R155="",L155&amp;"|"&amp;V155,L155&amp;"|"&amp;R155)</f>
        <v>#N/A</v>
      </c>
      <c r="AD155" s="473" t="str">
        <f>E155</f>
        <v/>
      </c>
      <c r="AE155" s="473" t="str">
        <f t="array" ref="AE155">IFERROR(IF(INDEX($W$155:$W$256, MATCH(0, IF(AD155=$E$155:$E$256, COUNTIF($AE$154:$AE154, $W$155:$W$256), ""), 0))=0,"",INDEX($W$155:$W$256, MATCH(0, IF(AD155=$E$155:$E$256, COUNTIF($AE$154:$AE154, $W$155:$W$256), ""), 0))),"")</f>
        <v/>
      </c>
      <c r="AF155" s="473" t="str">
        <f>IF(AND(E155&amp;J155="",AQ155&lt;&gt;""),"|empty|",E155&amp;V155&amp;K155&amp;T155)</f>
        <v>[Intervention ES]</v>
      </c>
      <c r="AG155" s="473" t="str">
        <f>AQ155</f>
        <v>[Intervention ID]</v>
      </c>
      <c r="AH155" s="473" t="e">
        <f>X155&amp;AC155</f>
        <v>#N/A</v>
      </c>
      <c r="AI155" s="473">
        <f>IF(COUNTIF($AH$155:AH256,"&lt;="&amp;AH155)=0,"",COUNTIF($AH$155:AH256,"&lt;="&amp;AH155))</f>
        <v>100</v>
      </c>
      <c r="AJ155" s="473">
        <f>RANK(AI155,AI$155:AI256,1)</f>
        <v>2</v>
      </c>
      <c r="AK155" s="473" t="str">
        <f>INDEX(E$155:E256,MATCH(ROWS(AJ$155:AJ155),AJ$155:AJ256,0))</f>
        <v>SSRS: sistemas de laboratorio</v>
      </c>
      <c r="AL155" s="473" t="str">
        <f>INDEX(K$155:K256,MATCH(ROWS(AJ$155:AJ155),AJ$155:AJ256,0))</f>
        <v>Sistemas de gestión de infraestructuras y equipos</v>
      </c>
      <c r="AM155" s="473" t="str">
        <f>INDEX(V$155:V256,MATCH(ROWS(AJ$155:AJ155),AJ$155:AJ256,0))</f>
        <v>No aplicable</v>
      </c>
      <c r="AN155" s="473" t="str">
        <f>AK155&amp;AL155</f>
        <v>SSRS: sistemas de laboratorioSistemas de gestión de infraestructuras y equipos</v>
      </c>
      <c r="AO155" s="473" t="e">
        <f>L155</f>
        <v>#N/A</v>
      </c>
      <c r="AP155" s="473"/>
      <c r="AQ155" s="485" t="s">
        <v>231</v>
      </c>
      <c r="AR155" s="107"/>
    </row>
    <row r="156" spans="1:45" ht="47.15" customHeight="1" x14ac:dyDescent="0.35">
      <c r="A156" s="146">
        <v>1</v>
      </c>
      <c r="B156" s="475"/>
      <c r="C156" s="475"/>
      <c r="D156" s="148"/>
      <c r="E156" s="476" t="s">
        <v>3129</v>
      </c>
      <c r="F156" s="551"/>
      <c r="G156" s="551"/>
      <c r="H156" s="552" t="str">
        <f>IF(R156="",IFERROR(VLOOKUP(AC156,'Reference Records'!G$413:J618,4,0),""),IFERROR(VLOOKUP(AC156,'Reference Records'!H$413:J618,3,0),""))</f>
        <v>Not applicable</v>
      </c>
      <c r="I156" s="552"/>
      <c r="J156" s="553"/>
      <c r="K156" s="550" t="s">
        <v>3984</v>
      </c>
      <c r="L156" s="552" t="str">
        <f>VLOOKUP(U156&amp;K156,'Reference Records'!H$212:I334,2,0)</f>
        <v>MCI-00810</v>
      </c>
      <c r="M156" s="552">
        <f>MATCH($L156,'Reference Records'!$E$413:$E$618,0)+ROW(Population_by_intervention) -1</f>
        <v>611</v>
      </c>
      <c r="N156" s="552">
        <f>MATCH($L156,'Reference Records'!$E$413:$E$618,1)+ROW(Population_by_intervention) -1</f>
        <v>611</v>
      </c>
      <c r="O156" s="552" t="str">
        <f>INDEX('Reference Records'!K$212:K334,MATCH(L156,'Reference Records'!B$212:B334,0))</f>
        <v>Infrastructure and equipment management systems</v>
      </c>
      <c r="P156" s="552"/>
      <c r="Q156" s="554"/>
      <c r="R156" s="555"/>
      <c r="S156" s="552" t="str">
        <f>IFERROR(VLOOKUP(INDEX('Reference Records'!J$412:J619,MATCH(R156,'Reference Records'!F$412:F619),1),'Reference Records'!B$211:C333,2,0),"")</f>
        <v/>
      </c>
      <c r="T156" s="553"/>
      <c r="U156" s="556" t="str">
        <f>IFERROR(IF(VLOOKUP(E156,'Reference Records'!$F$159:$N$210,9,FALSE)=0,"",VLOOKUP(E156,'Reference Records'!$F$159:$N$210,9,FALSE)),"")</f>
        <v>MCI-00668</v>
      </c>
      <c r="V156" s="550" t="s">
        <v>979</v>
      </c>
      <c r="W156" s="483" t="str">
        <f t="shared" ref="W156:W219" si="8">K156&amp;T156</f>
        <v>Sistemas de gestión de infraestructuras y equipos</v>
      </c>
      <c r="X156" s="484" t="str">
        <f t="shared" ref="X156:X219" si="9">IFERROR(VLOOKUP(E156,$E$118:$H$150,4,FALSE),"")</f>
        <v>a1P3p000007oOIXEA2</v>
      </c>
      <c r="Y156" s="484" t="b">
        <f t="shared" ref="Y156:Y219" si="10">IFERROR(IF(OR(K156&lt;&gt;"",T156&lt;&gt;""),TRUE,FALSE),FALSE)</f>
        <v>1</v>
      </c>
      <c r="Z156" s="484" t="b">
        <f t="shared" ref="Z156:Z219" si="11">IFERROR(TRUE,FALSE)</f>
        <v>1</v>
      </c>
      <c r="AA156" s="484" t="str">
        <f>IF(R156="",IFERROR(VLOOKUP(AC156,'Reference Records'!G$413:J618,3,0),""),IFERROR(VLOOKUP(AC156,'Reference Records'!H$413:J618,2,0),""))</f>
        <v>a1O1R000006c5nRUAQ</v>
      </c>
      <c r="AB156" s="484" t="s">
        <v>1213</v>
      </c>
      <c r="AC156" s="473" t="str">
        <f t="shared" ref="AC156:AC219" si="12">IF(R156="",L156&amp;"|"&amp;V156,L156&amp;"|"&amp;R156)</f>
        <v>MCI-00810|No aplicable</v>
      </c>
      <c r="AD156" s="473" t="str">
        <f t="shared" ref="AD156:AD219" si="13">E156</f>
        <v>SSRS: sistemas de laboratorio</v>
      </c>
      <c r="AE156" s="473" t="str">
        <f t="array" ref="AE156">IFERROR(IF(INDEX($W$155:$W$256, MATCH(0, IF(AD156=$E$155:$E$256, COUNTIF($AE$154:$AE155, $W$155:$W$256), ""), 0))=0,"",INDEX($W$155:$W$256, MATCH(0, IF(AD156=$E$155:$E$256, COUNTIF($AE$154:$AE155, $W$155:$W$256), ""), 0))),"")</f>
        <v>Sistemas de gestión de infraestructuras y equipos</v>
      </c>
      <c r="AF156" s="473" t="str">
        <f t="shared" ref="AF156:AF219" si="14">IF(AND(E156&amp;J156="",AQ156&lt;&gt;""),"|empty|",E156&amp;V156&amp;K156&amp;T156)</f>
        <v>SSRS: sistemas de laboratorioNo aplicableSistemas de gestión de infraestructuras y equipos</v>
      </c>
      <c r="AG156" s="473" t="str">
        <f t="shared" ref="AG156:AG219" si="15">AQ156</f>
        <v>INT-211653</v>
      </c>
      <c r="AH156" s="473" t="str">
        <f t="shared" ref="AH156:AH219" si="16">X156&amp;AC156</f>
        <v>a1P3p000007oOIXEA2MCI-00810|No aplicable</v>
      </c>
      <c r="AI156" s="473">
        <f>IF(COUNTIF($AH$155:AH257,"&lt;="&amp;AH156)=0,"",COUNTIF($AH$155:AH257,"&lt;="&amp;AH156))</f>
        <v>1</v>
      </c>
      <c r="AJ156" s="473">
        <f>RANK(AI156,AI$155:AI257,1)</f>
        <v>1</v>
      </c>
      <c r="AK156" s="473" t="str">
        <f>INDEX(E$155:E257,MATCH(ROWS(AJ$155:AJ156),AJ$155:AJ257,0))</f>
        <v/>
      </c>
      <c r="AL156" s="473" t="str">
        <f>INDEX(K$155:K257,MATCH(ROWS(AJ$155:AJ156),AJ$155:AJ257,0))</f>
        <v/>
      </c>
      <c r="AM156" s="473" t="str">
        <f>INDEX(V$155:V257,MATCH(ROWS(AJ$155:AJ156),AJ$155:AJ257,0))</f>
        <v>[Intervention ES]</v>
      </c>
      <c r="AN156" s="473" t="str">
        <f t="shared" ref="AN156:AN219" si="17">AK156&amp;AL156</f>
        <v/>
      </c>
      <c r="AO156" s="473" t="str">
        <f t="shared" ref="AO156:AO219" si="18">L156</f>
        <v>MCI-00810</v>
      </c>
      <c r="AP156" s="473"/>
      <c r="AQ156" s="485" t="s">
        <v>1214</v>
      </c>
      <c r="AR156" s="107"/>
    </row>
    <row r="157" spans="1:45" ht="47.15" customHeight="1" x14ac:dyDescent="0.35">
      <c r="A157" s="146">
        <v>2</v>
      </c>
      <c r="B157" s="475"/>
      <c r="C157" s="475"/>
      <c r="D157" s="148"/>
      <c r="E157" s="476"/>
      <c r="F157" s="477"/>
      <c r="G157" s="477"/>
      <c r="H157" s="478" t="str">
        <f>IF(R157="",IFERROR(VLOOKUP(AC157,'Reference Records'!G$413:J619,4,0),""),IFERROR(VLOOKUP(AC157,'Reference Records'!H$413:J619,3,0),""))</f>
        <v/>
      </c>
      <c r="I157" s="478"/>
      <c r="J157" s="479"/>
      <c r="K157" s="476"/>
      <c r="L157" s="478" t="e">
        <f>VLOOKUP(U157&amp;K157,'Reference Records'!H$212:I335,2,0)</f>
        <v>#N/A</v>
      </c>
      <c r="M157" s="478" t="e">
        <f>MATCH($L157,'Reference Records'!$E$413:$E$618,0)+ROW(Population_by_intervention) -1</f>
        <v>#N/A</v>
      </c>
      <c r="N157" s="478" t="e">
        <f>MATCH($L157,'Reference Records'!$E$413:$E$618,1)+ROW(Population_by_intervention) -1</f>
        <v>#N/A</v>
      </c>
      <c r="O157" s="478" t="e">
        <f>INDEX('Reference Records'!K$212:K335,MATCH(L157,'Reference Records'!B$212:B335,0))</f>
        <v>#N/A</v>
      </c>
      <c r="P157" s="478"/>
      <c r="Q157" s="480"/>
      <c r="R157" s="481"/>
      <c r="S157" s="478" t="str">
        <f>IFERROR(VLOOKUP(INDEX('Reference Records'!J$412:J620,MATCH(R157,'Reference Records'!F$412:F620),1),'Reference Records'!B$211:C334,2,0),"")</f>
        <v/>
      </c>
      <c r="T157" s="479"/>
      <c r="U157" s="482" t="str">
        <f>IFERROR(IF(VLOOKUP(E157,'Reference Records'!$F$159:$N$210,9,FALSE)=0,"",VLOOKUP(E157,'Reference Records'!$F$159:$N$210,9,FALSE)),"")</f>
        <v/>
      </c>
      <c r="V157" s="476" t="str">
        <f>IF(IF(Language="French",G157,F157)=0,"",IF(Language="French",G157,F157))</f>
        <v/>
      </c>
      <c r="W157" s="483" t="str">
        <f t="shared" si="8"/>
        <v/>
      </c>
      <c r="X157" s="484" t="str">
        <f t="shared" si="9"/>
        <v/>
      </c>
      <c r="Y157" s="484" t="b">
        <f t="shared" si="10"/>
        <v>0</v>
      </c>
      <c r="Z157" s="484" t="b">
        <f t="shared" si="11"/>
        <v>1</v>
      </c>
      <c r="AA157" s="484" t="str">
        <f>IF(R157="",IFERROR(VLOOKUP(AC157,'Reference Records'!G$413:J619,3,0),""),IFERROR(VLOOKUP(AC157,'Reference Records'!H$413:J619,2,0),""))</f>
        <v/>
      </c>
      <c r="AB157" s="484" t="s">
        <v>1215</v>
      </c>
      <c r="AC157" s="473" t="e">
        <f t="shared" si="12"/>
        <v>#N/A</v>
      </c>
      <c r="AD157" s="473">
        <f t="shared" si="13"/>
        <v>0</v>
      </c>
      <c r="AE157" s="473" t="str">
        <f t="array" ref="AE157">IFERROR(IF(INDEX($W$155:$W$256, MATCH(0, IF(AD157=$E$155:$E$256, COUNTIF($AE$154:$AE156, $W$155:$W$256), ""), 0))=0,"",INDEX($W$155:$W$256, MATCH(0, IF(AD157=$E$155:$E$256, COUNTIF($AE$154:$AE156, $W$155:$W$256), ""), 0))),"")</f>
        <v/>
      </c>
      <c r="AF157" s="473" t="str">
        <f t="shared" si="14"/>
        <v>|empty|</v>
      </c>
      <c r="AG157" s="473" t="str">
        <f t="shared" si="15"/>
        <v>INT-211703</v>
      </c>
      <c r="AH157" s="473" t="e">
        <f t="shared" si="16"/>
        <v>#N/A</v>
      </c>
      <c r="AI157" s="473">
        <f>IF(COUNTIF($AH$155:AH258,"&lt;="&amp;AH157)=0,"",COUNTIF($AH$155:AH258,"&lt;="&amp;AH157))</f>
        <v>100</v>
      </c>
      <c r="AJ157" s="473">
        <f>RANK(AI157,AI$155:AI258,1)</f>
        <v>2</v>
      </c>
      <c r="AK157" s="473" t="e">
        <f>INDEX(E$155:E258,MATCH(ROWS(AJ$155:AJ157),AJ$155:AJ258,0))</f>
        <v>#N/A</v>
      </c>
      <c r="AL157" s="473" t="e">
        <f>INDEX(K$155:K258,MATCH(ROWS(AJ$155:AJ157),AJ$155:AJ258,0))</f>
        <v>#N/A</v>
      </c>
      <c r="AM157" s="473" t="e">
        <f>INDEX(V$155:V258,MATCH(ROWS(AJ$155:AJ157),AJ$155:AJ258,0))</f>
        <v>#N/A</v>
      </c>
      <c r="AN157" s="473" t="e">
        <f t="shared" si="17"/>
        <v>#N/A</v>
      </c>
      <c r="AO157" s="473" t="e">
        <f t="shared" si="18"/>
        <v>#N/A</v>
      </c>
      <c r="AP157" s="473"/>
      <c r="AQ157" s="485" t="s">
        <v>1216</v>
      </c>
      <c r="AR157" s="107"/>
    </row>
    <row r="158" spans="1:45" ht="47.15" customHeight="1" x14ac:dyDescent="0.35">
      <c r="A158" s="146">
        <v>3</v>
      </c>
      <c r="B158" s="475"/>
      <c r="C158" s="475"/>
      <c r="D158" s="148"/>
      <c r="E158" s="476" t="str">
        <f>IFERROR(IF(AND(K158="",T158=""),"",(VLOOKUP(Q158,'Reference records(soft deleted)'!$B$118:$D$162,3,FALSE))),"")</f>
        <v/>
      </c>
      <c r="F158" s="477"/>
      <c r="G158" s="477"/>
      <c r="H158" s="478" t="str">
        <f>IF(R158="",IFERROR(VLOOKUP(AC158,'Reference Records'!G$413:J620,4,0),""),IFERROR(VLOOKUP(AC158,'Reference Records'!H$413:J620,3,0),""))</f>
        <v/>
      </c>
      <c r="I158" s="478"/>
      <c r="J158" s="479"/>
      <c r="K158" s="476" t="str">
        <f>IFERROR(VLOOKUP(INDEX('Reference Records'!E$412:E621,MATCH(R158,'Reference Records'!F$412:F621,0),1),'Reference Records'!B$211:C335,2,0),"")</f>
        <v/>
      </c>
      <c r="L158" s="478" t="e">
        <f>VLOOKUP(U158&amp;K158,'Reference Records'!H$212:I336,2,0)</f>
        <v>#N/A</v>
      </c>
      <c r="M158" s="478" t="e">
        <f>MATCH($L158,'Reference Records'!$E$413:$E$618,0)+ROW(Population_by_intervention) -1</f>
        <v>#N/A</v>
      </c>
      <c r="N158" s="478" t="e">
        <f>MATCH($L158,'Reference Records'!$E$413:$E$618,1)+ROW(Population_by_intervention) -1</f>
        <v>#N/A</v>
      </c>
      <c r="O158" s="478" t="e">
        <f>INDEX('Reference Records'!K$212:K336,MATCH(L158,'Reference Records'!B$212:B336,0))</f>
        <v>#N/A</v>
      </c>
      <c r="P158" s="478"/>
      <c r="Q158" s="480"/>
      <c r="R158" s="481"/>
      <c r="S158" s="478" t="str">
        <f>IFERROR(VLOOKUP(INDEX('Reference Records'!J$412:J621,MATCH(R158,'Reference Records'!F$412:F621),1),'Reference Records'!B$211:C335,2,0),"")</f>
        <v/>
      </c>
      <c r="T158" s="479"/>
      <c r="U158" s="482" t="str">
        <f>IFERROR(IF(VLOOKUP(E158,'Reference Records'!$F$159:$N$210,9,FALSE)=0,"",VLOOKUP(E158,'Reference Records'!$F$159:$N$210,9,FALSE)),"")</f>
        <v/>
      </c>
      <c r="V158" s="476" t="str">
        <f>IF(IF(Language="French",G158,F158)=0,"",IF(Language="French",G158,F158))</f>
        <v/>
      </c>
      <c r="W158" s="483" t="str">
        <f t="shared" si="8"/>
        <v/>
      </c>
      <c r="X158" s="484" t="str">
        <f t="shared" si="9"/>
        <v>a1P3p000007oOIJEA2</v>
      </c>
      <c r="Y158" s="484" t="b">
        <f t="shared" si="10"/>
        <v>0</v>
      </c>
      <c r="Z158" s="484" t="b">
        <f t="shared" si="11"/>
        <v>1</v>
      </c>
      <c r="AA158" s="484" t="str">
        <f>IF(R158="",IFERROR(VLOOKUP(AC158,'Reference Records'!G$413:J620,3,0),""),IFERROR(VLOOKUP(AC158,'Reference Records'!H$413:J620,2,0),""))</f>
        <v/>
      </c>
      <c r="AB158" s="484" t="s">
        <v>1217</v>
      </c>
      <c r="AC158" s="473" t="e">
        <f t="shared" si="12"/>
        <v>#N/A</v>
      </c>
      <c r="AD158" s="473" t="str">
        <f t="shared" si="13"/>
        <v/>
      </c>
      <c r="AE158" s="473" t="str">
        <f t="array" ref="AE158">IFERROR(IF(INDEX($W$155:$W$256, MATCH(0, IF(AD158=$E$155:$E$256, COUNTIF($AE$154:$AE157, $W$155:$W$256), ""), 0))=0,"",INDEX($W$155:$W$256, MATCH(0, IF(AD158=$E$155:$E$256, COUNTIF($AE$154:$AE157, $W$155:$W$256), ""), 0))),"")</f>
        <v/>
      </c>
      <c r="AF158" s="473" t="str">
        <f t="shared" si="14"/>
        <v>|empty|</v>
      </c>
      <c r="AG158" s="473" t="str">
        <f t="shared" si="15"/>
        <v>INT-211654</v>
      </c>
      <c r="AH158" s="473" t="e">
        <f t="shared" si="16"/>
        <v>#N/A</v>
      </c>
      <c r="AI158" s="473">
        <f>IF(COUNTIF($AH$155:AH259,"&lt;="&amp;AH158)=0,"",COUNTIF($AH$155:AH259,"&lt;="&amp;AH158))</f>
        <v>100</v>
      </c>
      <c r="AJ158" s="473">
        <f>RANK(AI158,AI$155:AI259,1)</f>
        <v>2</v>
      </c>
      <c r="AK158" s="473" t="e">
        <f>INDEX(E$155:E259,MATCH(ROWS(AJ$155:AJ158),AJ$155:AJ259,0))</f>
        <v>#N/A</v>
      </c>
      <c r="AL158" s="473" t="e">
        <f>INDEX(K$155:K259,MATCH(ROWS(AJ$155:AJ158),AJ$155:AJ259,0))</f>
        <v>#N/A</v>
      </c>
      <c r="AM158" s="473" t="e">
        <f>INDEX(V$155:V259,MATCH(ROWS(AJ$155:AJ158),AJ$155:AJ259,0))</f>
        <v>#N/A</v>
      </c>
      <c r="AN158" s="473" t="e">
        <f t="shared" si="17"/>
        <v>#N/A</v>
      </c>
      <c r="AO158" s="473" t="e">
        <f t="shared" si="18"/>
        <v>#N/A</v>
      </c>
      <c r="AP158" s="473"/>
      <c r="AQ158" s="485" t="s">
        <v>1218</v>
      </c>
      <c r="AR158" s="107"/>
    </row>
    <row r="159" spans="1:45" ht="47.15" customHeight="1" x14ac:dyDescent="0.35">
      <c r="A159" s="146">
        <v>4</v>
      </c>
      <c r="B159" s="475"/>
      <c r="C159" s="475"/>
      <c r="D159" s="148"/>
      <c r="E159" s="476" t="str">
        <f>IFERROR(IF(AND(K159="",T159=""),"",(VLOOKUP(Q159,'Reference records(soft deleted)'!$B$118:$D$162,3,FALSE))),"")</f>
        <v/>
      </c>
      <c r="F159" s="477"/>
      <c r="G159" s="477"/>
      <c r="H159" s="478" t="str">
        <f>IF(R159="",IFERROR(VLOOKUP(AC159,'Reference Records'!G$413:J621,4,0),""),IFERROR(VLOOKUP(AC159,'Reference Records'!H$413:J621,3,0),""))</f>
        <v/>
      </c>
      <c r="I159" s="478"/>
      <c r="J159" s="479"/>
      <c r="K159" s="476" t="str">
        <f>IFERROR(VLOOKUP(INDEX('Reference Records'!E$412:E622,MATCH(R159,'Reference Records'!F$412:F622,0),1),'Reference Records'!B$211:C336,2,0),"")</f>
        <v/>
      </c>
      <c r="L159" s="478" t="e">
        <f>VLOOKUP(U159&amp;K159,'Reference Records'!H$212:I337,2,0)</f>
        <v>#N/A</v>
      </c>
      <c r="M159" s="478" t="e">
        <f>MATCH($L159,'Reference Records'!$E$413:$E$618,0)+ROW(Population_by_intervention) -1</f>
        <v>#N/A</v>
      </c>
      <c r="N159" s="478" t="e">
        <f>MATCH($L159,'Reference Records'!$E$413:$E$618,1)+ROW(Population_by_intervention) -1</f>
        <v>#N/A</v>
      </c>
      <c r="O159" s="478" t="e">
        <f>INDEX('Reference Records'!K$212:K337,MATCH(L159,'Reference Records'!B$212:B337,0))</f>
        <v>#N/A</v>
      </c>
      <c r="P159" s="478"/>
      <c r="Q159" s="480"/>
      <c r="R159" s="481"/>
      <c r="S159" s="478" t="str">
        <f>IFERROR(VLOOKUP(INDEX('Reference Records'!J$412:J622,MATCH(R159,'Reference Records'!F$412:F622),1),'Reference Records'!B$211:C336,2,0),"")</f>
        <v/>
      </c>
      <c r="T159" s="479"/>
      <c r="U159" s="482" t="str">
        <f>IFERROR(IF(VLOOKUP(E159,'Reference Records'!$F$159:$N$210,9,FALSE)=0,"",VLOOKUP(E159,'Reference Records'!$F$159:$N$210,9,FALSE)),"")</f>
        <v/>
      </c>
      <c r="V159" s="476" t="str">
        <f>IF(IF(Language="French",G159,F159)=0,"",IF(Language="French",G159,F159))</f>
        <v/>
      </c>
      <c r="W159" s="483" t="str">
        <f t="shared" si="8"/>
        <v/>
      </c>
      <c r="X159" s="484" t="str">
        <f t="shared" si="9"/>
        <v>a1P3p000007oOIJEA2</v>
      </c>
      <c r="Y159" s="484" t="b">
        <f t="shared" si="10"/>
        <v>0</v>
      </c>
      <c r="Z159" s="484" t="b">
        <f t="shared" si="11"/>
        <v>1</v>
      </c>
      <c r="AA159" s="484" t="str">
        <f>IF(R159="",IFERROR(VLOOKUP(AC159,'Reference Records'!G$413:J621,3,0),""),IFERROR(VLOOKUP(AC159,'Reference Records'!H$413:J621,2,0),""))</f>
        <v/>
      </c>
      <c r="AB159" s="484" t="s">
        <v>1219</v>
      </c>
      <c r="AC159" s="473" t="e">
        <f t="shared" si="12"/>
        <v>#N/A</v>
      </c>
      <c r="AD159" s="473" t="str">
        <f t="shared" si="13"/>
        <v/>
      </c>
      <c r="AE159" s="473" t="str">
        <f t="array" ref="AE159">IFERROR(IF(INDEX($W$155:$W$256, MATCH(0, IF(AD159=$E$155:$E$256, COUNTIF($AE$154:$AE158, $W$155:$W$256), ""), 0))=0,"",INDEX($W$155:$W$256, MATCH(0, IF(AD159=$E$155:$E$256, COUNTIF($AE$154:$AE158, $W$155:$W$256), ""), 0))),"")</f>
        <v/>
      </c>
      <c r="AF159" s="473" t="str">
        <f t="shared" si="14"/>
        <v>|empty|</v>
      </c>
      <c r="AG159" s="473" t="str">
        <f t="shared" si="15"/>
        <v>INT-211704</v>
      </c>
      <c r="AH159" s="473" t="e">
        <f t="shared" si="16"/>
        <v>#N/A</v>
      </c>
      <c r="AI159" s="473">
        <f>IF(COUNTIF($AH$155:AH260,"&lt;="&amp;AH159)=0,"",COUNTIF($AH$155:AH260,"&lt;="&amp;AH159))</f>
        <v>100</v>
      </c>
      <c r="AJ159" s="473">
        <f>RANK(AI159,AI$155:AI260,1)</f>
        <v>2</v>
      </c>
      <c r="AK159" s="473" t="e">
        <f>INDEX(E$155:E260,MATCH(ROWS(AJ$155:AJ159),AJ$155:AJ260,0))</f>
        <v>#N/A</v>
      </c>
      <c r="AL159" s="473" t="e">
        <f>INDEX(K$155:K260,MATCH(ROWS(AJ$155:AJ159),AJ$155:AJ260,0))</f>
        <v>#N/A</v>
      </c>
      <c r="AM159" s="473" t="e">
        <f>INDEX(V$155:V260,MATCH(ROWS(AJ$155:AJ159),AJ$155:AJ260,0))</f>
        <v>#N/A</v>
      </c>
      <c r="AN159" s="473" t="e">
        <f t="shared" si="17"/>
        <v>#N/A</v>
      </c>
      <c r="AO159" s="473" t="e">
        <f t="shared" si="18"/>
        <v>#N/A</v>
      </c>
      <c r="AP159" s="473"/>
      <c r="AQ159" s="485" t="s">
        <v>1220</v>
      </c>
      <c r="AR159" s="107"/>
    </row>
    <row r="160" spans="1:45" ht="47.15" customHeight="1" x14ac:dyDescent="0.35">
      <c r="A160" s="146">
        <v>5</v>
      </c>
      <c r="B160" s="475"/>
      <c r="C160" s="475"/>
      <c r="D160" s="148"/>
      <c r="E160" s="476" t="str">
        <f>IFERROR(IF(AND(K160="",T160=""),"",(VLOOKUP(Q160,'Reference records(soft deleted)'!$B$118:$D$162,3,FALSE))),"")</f>
        <v/>
      </c>
      <c r="F160" s="477"/>
      <c r="G160" s="477"/>
      <c r="H160" s="478" t="str">
        <f>IF(R160="",IFERROR(VLOOKUP(AC160,'Reference Records'!G$413:J622,4,0),""),IFERROR(VLOOKUP(AC160,'Reference Records'!H$413:J622,3,0),""))</f>
        <v/>
      </c>
      <c r="I160" s="478"/>
      <c r="J160" s="479"/>
      <c r="K160" s="476" t="str">
        <f>IFERROR(VLOOKUP(INDEX('Reference Records'!E$412:E699,MATCH(R160,'Reference Records'!F$412:F699,0),1),'Reference Records'!B$211:C337,2,0),"")</f>
        <v/>
      </c>
      <c r="L160" s="478" t="e">
        <f>VLOOKUP(U160&amp;K160,'Reference Records'!H$212:I338,2,0)</f>
        <v>#N/A</v>
      </c>
      <c r="M160" s="478" t="e">
        <f>MATCH($L160,'Reference Records'!$E$413:$E$618,0)+ROW(Population_by_intervention) -1</f>
        <v>#N/A</v>
      </c>
      <c r="N160" s="478" t="e">
        <f>MATCH($L160,'Reference Records'!$E$413:$E$618,1)+ROW(Population_by_intervention) -1</f>
        <v>#N/A</v>
      </c>
      <c r="O160" s="478" t="e">
        <f>INDEX('Reference Records'!K$212:K338,MATCH(L160,'Reference Records'!B$212:B338,0))</f>
        <v>#N/A</v>
      </c>
      <c r="P160" s="478"/>
      <c r="Q160" s="480"/>
      <c r="R160" s="481"/>
      <c r="S160" s="478" t="str">
        <f>IFERROR(VLOOKUP(INDEX('Reference Records'!J$412:J699,MATCH(R160,'Reference Records'!F$412:F699),1),'Reference Records'!B$211:C337,2,0),"")</f>
        <v/>
      </c>
      <c r="T160" s="479"/>
      <c r="U160" s="482" t="str">
        <f>IFERROR(IF(VLOOKUP(E160,'Reference Records'!$F$159:$N$210,9,FALSE)=0,"",VLOOKUP(E160,'Reference Records'!$F$159:$N$210,9,FALSE)),"")</f>
        <v/>
      </c>
      <c r="V160" s="476" t="str">
        <f>IF(IF(Language="French",G160,F160)=0,"",IF(Language="French",G160,F160))</f>
        <v/>
      </c>
      <c r="W160" s="483" t="str">
        <f t="shared" si="8"/>
        <v/>
      </c>
      <c r="X160" s="484" t="str">
        <f t="shared" si="9"/>
        <v>a1P3p000007oOIJEA2</v>
      </c>
      <c r="Y160" s="484" t="b">
        <f t="shared" si="10"/>
        <v>0</v>
      </c>
      <c r="Z160" s="484" t="b">
        <f t="shared" si="11"/>
        <v>1</v>
      </c>
      <c r="AA160" s="484" t="str">
        <f>IF(R160="",IFERROR(VLOOKUP(AC160,'Reference Records'!G$413:J622,3,0),""),IFERROR(VLOOKUP(AC160,'Reference Records'!H$413:J622,2,0),""))</f>
        <v/>
      </c>
      <c r="AB160" s="484" t="s">
        <v>1221</v>
      </c>
      <c r="AC160" s="473" t="e">
        <f t="shared" si="12"/>
        <v>#N/A</v>
      </c>
      <c r="AD160" s="473" t="str">
        <f t="shared" si="13"/>
        <v/>
      </c>
      <c r="AE160" s="473" t="str">
        <f t="array" ref="AE160">IFERROR(IF(INDEX($W$155:$W$256, MATCH(0, IF(AD160=$E$155:$E$256, COUNTIF($AE$154:$AE159, $W$155:$W$256), ""), 0))=0,"",INDEX($W$155:$W$256, MATCH(0, IF(AD160=$E$155:$E$256, COUNTIF($AE$154:$AE159, $W$155:$W$256), ""), 0))),"")</f>
        <v/>
      </c>
      <c r="AF160" s="473" t="str">
        <f t="shared" si="14"/>
        <v>|empty|</v>
      </c>
      <c r="AG160" s="473" t="str">
        <f t="shared" si="15"/>
        <v>INT-211655</v>
      </c>
      <c r="AH160" s="473" t="e">
        <f t="shared" si="16"/>
        <v>#N/A</v>
      </c>
      <c r="AI160" s="473">
        <f>IF(COUNTIF($AH$155:AH261,"&lt;="&amp;AH160)=0,"",COUNTIF($AH$155:AH261,"&lt;="&amp;AH160))</f>
        <v>100</v>
      </c>
      <c r="AJ160" s="473">
        <f>RANK(AI160,AI$155:AI261,1)</f>
        <v>2</v>
      </c>
      <c r="AK160" s="473" t="e">
        <f>INDEX(E$155:E261,MATCH(ROWS(AJ$155:AJ160),AJ$155:AJ261,0))</f>
        <v>#N/A</v>
      </c>
      <c r="AL160" s="473" t="e">
        <f>INDEX(K$155:K261,MATCH(ROWS(AJ$155:AJ160),AJ$155:AJ261,0))</f>
        <v>#N/A</v>
      </c>
      <c r="AM160" s="473" t="e">
        <f>INDEX(V$155:V261,MATCH(ROWS(AJ$155:AJ160),AJ$155:AJ261,0))</f>
        <v>#N/A</v>
      </c>
      <c r="AN160" s="473" t="e">
        <f t="shared" si="17"/>
        <v>#N/A</v>
      </c>
      <c r="AO160" s="473" t="e">
        <f t="shared" si="18"/>
        <v>#N/A</v>
      </c>
      <c r="AP160" s="473"/>
      <c r="AQ160" s="485" t="s">
        <v>1222</v>
      </c>
      <c r="AR160" s="107"/>
    </row>
    <row r="161" spans="1:44" ht="47.15" customHeight="1" x14ac:dyDescent="0.35">
      <c r="A161" s="146">
        <v>6</v>
      </c>
      <c r="B161" s="475"/>
      <c r="C161" s="475"/>
      <c r="D161" s="148"/>
      <c r="E161" s="476" t="str">
        <f>IFERROR(IF(AND(K161="",T161=""),"",(VLOOKUP(Q161,'Reference records(soft deleted)'!$B$118:$D$162,3,FALSE))),"")</f>
        <v/>
      </c>
      <c r="F161" s="477"/>
      <c r="G161" s="477"/>
      <c r="H161" s="478" t="str">
        <f>IF(R161="",IFERROR(VLOOKUP(AC161,'Reference Records'!G$413:J699,4,0),""),IFERROR(VLOOKUP(AC161,'Reference Records'!H$413:J699,3,0),""))</f>
        <v/>
      </c>
      <c r="I161" s="478"/>
      <c r="J161" s="479"/>
      <c r="K161" s="476" t="str">
        <f>IFERROR(VLOOKUP(INDEX('Reference Records'!E$412:E700,MATCH(R161,'Reference Records'!F$412:F700,0),1),'Reference Records'!B$211:C338,2,0),"")</f>
        <v/>
      </c>
      <c r="L161" s="478" t="e">
        <f>VLOOKUP(U161&amp;K161,'Reference Records'!H$212:I339,2,0)</f>
        <v>#N/A</v>
      </c>
      <c r="M161" s="478" t="e">
        <f>MATCH($L161,'Reference Records'!$E$413:$E$618,0)+ROW(Population_by_intervention) -1</f>
        <v>#N/A</v>
      </c>
      <c r="N161" s="478" t="e">
        <f>MATCH($L161,'Reference Records'!$E$413:$E$618,1)+ROW(Population_by_intervention) -1</f>
        <v>#N/A</v>
      </c>
      <c r="O161" s="478" t="e">
        <f>INDEX('Reference Records'!K$212:K339,MATCH(L161,'Reference Records'!B$212:B339,0))</f>
        <v>#N/A</v>
      </c>
      <c r="P161" s="478"/>
      <c r="Q161" s="480"/>
      <c r="R161" s="481"/>
      <c r="S161" s="478" t="str">
        <f>IFERROR(VLOOKUP(INDEX('Reference Records'!J$412:J700,MATCH(R161,'Reference Records'!F$412:F700),1),'Reference Records'!B$211:C338,2,0),"")</f>
        <v/>
      </c>
      <c r="T161" s="479"/>
      <c r="U161" s="482" t="str">
        <f>IFERROR(IF(VLOOKUP(E161,'Reference Records'!$F$159:$N$210,9,FALSE)=0,"",VLOOKUP(E161,'Reference Records'!$F$159:$N$210,9,FALSE)),"")</f>
        <v/>
      </c>
      <c r="V161" s="476" t="str">
        <f>IF(IF(Language="French",G161,F161)=0,"",IF(Language="French",G161,F161))</f>
        <v/>
      </c>
      <c r="W161" s="483" t="str">
        <f t="shared" si="8"/>
        <v/>
      </c>
      <c r="X161" s="484" t="str">
        <f t="shared" si="9"/>
        <v>a1P3p000007oOIJEA2</v>
      </c>
      <c r="Y161" s="484" t="b">
        <f t="shared" si="10"/>
        <v>0</v>
      </c>
      <c r="Z161" s="484" t="b">
        <f t="shared" si="11"/>
        <v>1</v>
      </c>
      <c r="AA161" s="484" t="str">
        <f>IF(R161="",IFERROR(VLOOKUP(AC161,'Reference Records'!G$413:J699,3,0),""),IFERROR(VLOOKUP(AC161,'Reference Records'!H$413:J699,2,0),""))</f>
        <v/>
      </c>
      <c r="AB161" s="484" t="s">
        <v>1223</v>
      </c>
      <c r="AC161" s="473" t="e">
        <f t="shared" si="12"/>
        <v>#N/A</v>
      </c>
      <c r="AD161" s="473" t="str">
        <f t="shared" si="13"/>
        <v/>
      </c>
      <c r="AE161" s="473" t="str">
        <f t="array" ref="AE161">IFERROR(IF(INDEX($W$155:$W$256, MATCH(0, IF(AD161=$E$155:$E$256, COUNTIF($AE$154:$AE160, $W$155:$W$256), ""), 0))=0,"",INDEX($W$155:$W$256, MATCH(0, IF(AD161=$E$155:$E$256, COUNTIF($AE$154:$AE160, $W$155:$W$256), ""), 0))),"")</f>
        <v/>
      </c>
      <c r="AF161" s="473" t="str">
        <f t="shared" si="14"/>
        <v>|empty|</v>
      </c>
      <c r="AG161" s="473" t="str">
        <f t="shared" si="15"/>
        <v>INT-211705</v>
      </c>
      <c r="AH161" s="473" t="e">
        <f t="shared" si="16"/>
        <v>#N/A</v>
      </c>
      <c r="AI161" s="473">
        <f>IF(COUNTIF($AH$155:AH262,"&lt;="&amp;AH161)=0,"",COUNTIF($AH$155:AH262,"&lt;="&amp;AH161))</f>
        <v>100</v>
      </c>
      <c r="AJ161" s="473">
        <f>RANK(AI161,AI$155:AI262,1)</f>
        <v>2</v>
      </c>
      <c r="AK161" s="473" t="e">
        <f>INDEX(E$155:E262,MATCH(ROWS(AJ$155:AJ161),AJ$155:AJ262,0))</f>
        <v>#N/A</v>
      </c>
      <c r="AL161" s="473" t="e">
        <f>INDEX(K$155:K262,MATCH(ROWS(AJ$155:AJ161),AJ$155:AJ262,0))</f>
        <v>#N/A</v>
      </c>
      <c r="AM161" s="473" t="e">
        <f>INDEX(V$155:V262,MATCH(ROWS(AJ$155:AJ161),AJ$155:AJ262,0))</f>
        <v>#N/A</v>
      </c>
      <c r="AN161" s="473" t="e">
        <f t="shared" si="17"/>
        <v>#N/A</v>
      </c>
      <c r="AO161" s="473" t="e">
        <f t="shared" si="18"/>
        <v>#N/A</v>
      </c>
      <c r="AP161" s="473"/>
      <c r="AQ161" s="485" t="s">
        <v>1224</v>
      </c>
      <c r="AR161" s="107"/>
    </row>
    <row r="162" spans="1:44" ht="47.15" customHeight="1" x14ac:dyDescent="0.35">
      <c r="A162" s="146">
        <v>7</v>
      </c>
      <c r="B162" s="475"/>
      <c r="C162" s="475"/>
      <c r="D162" s="148"/>
      <c r="E162" s="476" t="str">
        <f>IFERROR(IF(AND(K162="",T162=""),"",(VLOOKUP(Q162,'Reference records(soft deleted)'!$B$118:$D$162,3,FALSE))),"")</f>
        <v/>
      </c>
      <c r="F162" s="477"/>
      <c r="G162" s="477"/>
      <c r="H162" s="478" t="str">
        <f>IF(R162="",IFERROR(VLOOKUP(AC162,'Reference Records'!G$413:J700,4,0),""),IFERROR(VLOOKUP(AC162,'Reference Records'!H$413:J700,3,0),""))</f>
        <v/>
      </c>
      <c r="I162" s="478"/>
      <c r="J162" s="479"/>
      <c r="K162" s="476" t="str">
        <f>IFERROR(VLOOKUP(INDEX('Reference Records'!E$412:E701,MATCH(R162,'Reference Records'!F$412:F701,0),1),'Reference Records'!B$211:C339,2,0),"")</f>
        <v/>
      </c>
      <c r="L162" s="478" t="e">
        <f>VLOOKUP(U162&amp;K162,'Reference Records'!H$212:I340,2,0)</f>
        <v>#N/A</v>
      </c>
      <c r="M162" s="478" t="e">
        <f>MATCH($L162,'Reference Records'!$E$413:$E$618,0)+ROW(Population_by_intervention) -1</f>
        <v>#N/A</v>
      </c>
      <c r="N162" s="478" t="e">
        <f>MATCH($L162,'Reference Records'!$E$413:$E$618,1)+ROW(Population_by_intervention) -1</f>
        <v>#N/A</v>
      </c>
      <c r="O162" s="478" t="e">
        <f>INDEX('Reference Records'!K$212:K340,MATCH(L162,'Reference Records'!B$212:B340,0))</f>
        <v>#N/A</v>
      </c>
      <c r="P162" s="478"/>
      <c r="Q162" s="480"/>
      <c r="R162" s="481"/>
      <c r="S162" s="478" t="str">
        <f>IFERROR(VLOOKUP(INDEX('Reference Records'!J$412:J701,MATCH(R162,'Reference Records'!F$412:F701),1),'Reference Records'!B$211:C339,2,0),"")</f>
        <v/>
      </c>
      <c r="T162" s="479"/>
      <c r="U162" s="482" t="str">
        <f>IFERROR(IF(VLOOKUP(E162,'Reference Records'!$F$159:$N$210,9,FALSE)=0,"",VLOOKUP(E162,'Reference Records'!$F$159:$N$210,9,FALSE)),"")</f>
        <v/>
      </c>
      <c r="V162" s="476" t="str">
        <f>IF(IF(Language="French",G162,F162)=0,"",IF(Language="French",G162,F162))</f>
        <v/>
      </c>
      <c r="W162" s="483" t="str">
        <f t="shared" si="8"/>
        <v/>
      </c>
      <c r="X162" s="484" t="str">
        <f t="shared" si="9"/>
        <v>a1P3p000007oOIJEA2</v>
      </c>
      <c r="Y162" s="484" t="b">
        <f t="shared" si="10"/>
        <v>0</v>
      </c>
      <c r="Z162" s="484" t="b">
        <f t="shared" si="11"/>
        <v>1</v>
      </c>
      <c r="AA162" s="484" t="str">
        <f>IF(R162="",IFERROR(VLOOKUP(AC162,'Reference Records'!G$413:J700,3,0),""),IFERROR(VLOOKUP(AC162,'Reference Records'!H$413:J700,2,0),""))</f>
        <v/>
      </c>
      <c r="AB162" s="484" t="s">
        <v>1225</v>
      </c>
      <c r="AC162" s="473" t="e">
        <f t="shared" si="12"/>
        <v>#N/A</v>
      </c>
      <c r="AD162" s="473" t="str">
        <f t="shared" si="13"/>
        <v/>
      </c>
      <c r="AE162" s="473" t="str">
        <f t="array" ref="AE162">IFERROR(IF(INDEX($W$155:$W$256, MATCH(0, IF(AD162=$E$155:$E$256, COUNTIF($AE$154:$AE161, $W$155:$W$256), ""), 0))=0,"",INDEX($W$155:$W$256, MATCH(0, IF(AD162=$E$155:$E$256, COUNTIF($AE$154:$AE161, $W$155:$W$256), ""), 0))),"")</f>
        <v/>
      </c>
      <c r="AF162" s="473" t="str">
        <f t="shared" si="14"/>
        <v>|empty|</v>
      </c>
      <c r="AG162" s="473" t="str">
        <f t="shared" si="15"/>
        <v>INT-211656</v>
      </c>
      <c r="AH162" s="473" t="e">
        <f t="shared" si="16"/>
        <v>#N/A</v>
      </c>
      <c r="AI162" s="473">
        <f>IF(COUNTIF($AH$155:AH263,"&lt;="&amp;AH162)=0,"",COUNTIF($AH$155:AH263,"&lt;="&amp;AH162))</f>
        <v>100</v>
      </c>
      <c r="AJ162" s="473">
        <f>RANK(AI162,AI$155:AI263,1)</f>
        <v>2</v>
      </c>
      <c r="AK162" s="473" t="e">
        <f>INDEX(E$155:E263,MATCH(ROWS(AJ$155:AJ162),AJ$155:AJ263,0))</f>
        <v>#N/A</v>
      </c>
      <c r="AL162" s="473" t="e">
        <f>INDEX(K$155:K263,MATCH(ROWS(AJ$155:AJ162),AJ$155:AJ263,0))</f>
        <v>#N/A</v>
      </c>
      <c r="AM162" s="473" t="e">
        <f>INDEX(V$155:V263,MATCH(ROWS(AJ$155:AJ162),AJ$155:AJ263,0))</f>
        <v>#N/A</v>
      </c>
      <c r="AN162" s="473" t="e">
        <f t="shared" si="17"/>
        <v>#N/A</v>
      </c>
      <c r="AO162" s="473" t="e">
        <f t="shared" si="18"/>
        <v>#N/A</v>
      </c>
      <c r="AP162" s="473"/>
      <c r="AQ162" s="485" t="s">
        <v>1226</v>
      </c>
      <c r="AR162" s="107"/>
    </row>
    <row r="163" spans="1:44" ht="47.15" customHeight="1" x14ac:dyDescent="0.35">
      <c r="A163" s="146">
        <v>8</v>
      </c>
      <c r="B163" s="475"/>
      <c r="C163" s="475"/>
      <c r="D163" s="148"/>
      <c r="E163" s="476" t="str">
        <f>IFERROR(IF(AND(K163="",T163=""),"",(VLOOKUP(Q163,'Reference records(soft deleted)'!$B$118:$D$162,3,FALSE))),"")</f>
        <v/>
      </c>
      <c r="F163" s="477"/>
      <c r="G163" s="477"/>
      <c r="H163" s="478" t="str">
        <f>IF(R163="",IFERROR(VLOOKUP(AC163,'Reference Records'!G$413:J701,4,0),""),IFERROR(VLOOKUP(AC163,'Reference Records'!H$413:J701,3,0),""))</f>
        <v/>
      </c>
      <c r="I163" s="478"/>
      <c r="J163" s="479"/>
      <c r="K163" s="476" t="str">
        <f>IFERROR(VLOOKUP(INDEX('Reference Records'!E$412:E702,MATCH(R163,'Reference Records'!F$412:F702,0),1),'Reference Records'!B$211:C340,2,0),"")</f>
        <v/>
      </c>
      <c r="L163" s="478" t="e">
        <f>VLOOKUP(U163&amp;K163,'Reference Records'!H$212:I341,2,0)</f>
        <v>#N/A</v>
      </c>
      <c r="M163" s="478" t="e">
        <f>MATCH($L163,'Reference Records'!$E$413:$E$618,0)+ROW(Population_by_intervention) -1</f>
        <v>#N/A</v>
      </c>
      <c r="N163" s="478" t="e">
        <f>MATCH($L163,'Reference Records'!$E$413:$E$618,1)+ROW(Population_by_intervention) -1</f>
        <v>#N/A</v>
      </c>
      <c r="O163" s="478" t="e">
        <f>INDEX('Reference Records'!K$212:K341,MATCH(L163,'Reference Records'!B$212:B341,0))</f>
        <v>#N/A</v>
      </c>
      <c r="P163" s="478"/>
      <c r="Q163" s="480"/>
      <c r="R163" s="481"/>
      <c r="S163" s="478" t="str">
        <f>IFERROR(VLOOKUP(INDEX('Reference Records'!J$412:J702,MATCH(R163,'Reference Records'!F$412:F702),1),'Reference Records'!B$211:C340,2,0),"")</f>
        <v/>
      </c>
      <c r="T163" s="479"/>
      <c r="U163" s="482" t="str">
        <f>IFERROR(IF(VLOOKUP(E163,'Reference Records'!$F$159:$N$210,9,FALSE)=0,"",VLOOKUP(E163,'Reference Records'!$F$159:$N$210,9,FALSE)),"")</f>
        <v/>
      </c>
      <c r="V163" s="476" t="str">
        <f>IF(IF(Language="French",G163,F163)=0,"",IF(Language="French",G163,F163))</f>
        <v/>
      </c>
      <c r="W163" s="483" t="str">
        <f t="shared" si="8"/>
        <v/>
      </c>
      <c r="X163" s="484" t="str">
        <f t="shared" si="9"/>
        <v>a1P3p000007oOIJEA2</v>
      </c>
      <c r="Y163" s="484" t="b">
        <f t="shared" si="10"/>
        <v>0</v>
      </c>
      <c r="Z163" s="484" t="b">
        <f t="shared" si="11"/>
        <v>1</v>
      </c>
      <c r="AA163" s="484" t="str">
        <f>IF(R163="",IFERROR(VLOOKUP(AC163,'Reference Records'!G$413:J701,3,0),""),IFERROR(VLOOKUP(AC163,'Reference Records'!H$413:J701,2,0),""))</f>
        <v/>
      </c>
      <c r="AB163" s="484" t="s">
        <v>1227</v>
      </c>
      <c r="AC163" s="473" t="e">
        <f t="shared" si="12"/>
        <v>#N/A</v>
      </c>
      <c r="AD163" s="473" t="str">
        <f t="shared" si="13"/>
        <v/>
      </c>
      <c r="AE163" s="473" t="str">
        <f t="array" ref="AE163">IFERROR(IF(INDEX($W$155:$W$256, MATCH(0, IF(AD163=$E$155:$E$256, COUNTIF($AE$154:$AE162, $W$155:$W$256), ""), 0))=0,"",INDEX($W$155:$W$256, MATCH(0, IF(AD163=$E$155:$E$256, COUNTIF($AE$154:$AE162, $W$155:$W$256), ""), 0))),"")</f>
        <v/>
      </c>
      <c r="AF163" s="473" t="str">
        <f t="shared" si="14"/>
        <v>|empty|</v>
      </c>
      <c r="AG163" s="473" t="str">
        <f t="shared" si="15"/>
        <v>INT-211706</v>
      </c>
      <c r="AH163" s="473" t="e">
        <f t="shared" si="16"/>
        <v>#N/A</v>
      </c>
      <c r="AI163" s="473">
        <f>IF(COUNTIF($AH$155:AH264,"&lt;="&amp;AH163)=0,"",COUNTIF($AH$155:AH264,"&lt;="&amp;AH163))</f>
        <v>100</v>
      </c>
      <c r="AJ163" s="473">
        <f>RANK(AI163,AI$155:AI264,1)</f>
        <v>2</v>
      </c>
      <c r="AK163" s="473" t="e">
        <f>INDEX(E$155:E264,MATCH(ROWS(AJ$155:AJ163),AJ$155:AJ264,0))</f>
        <v>#N/A</v>
      </c>
      <c r="AL163" s="473" t="e">
        <f>INDEX(K$155:K264,MATCH(ROWS(AJ$155:AJ163),AJ$155:AJ264,0))</f>
        <v>#N/A</v>
      </c>
      <c r="AM163" s="473" t="e">
        <f>INDEX(V$155:V264,MATCH(ROWS(AJ$155:AJ163),AJ$155:AJ264,0))</f>
        <v>#N/A</v>
      </c>
      <c r="AN163" s="473" t="e">
        <f t="shared" si="17"/>
        <v>#N/A</v>
      </c>
      <c r="AO163" s="473" t="e">
        <f t="shared" si="18"/>
        <v>#N/A</v>
      </c>
      <c r="AP163" s="473"/>
      <c r="AQ163" s="485" t="s">
        <v>1228</v>
      </c>
      <c r="AR163" s="107"/>
    </row>
    <row r="164" spans="1:44" ht="47.15" customHeight="1" x14ac:dyDescent="0.35">
      <c r="A164" s="146">
        <v>9</v>
      </c>
      <c r="B164" s="475"/>
      <c r="C164" s="475"/>
      <c r="D164" s="148"/>
      <c r="E164" s="476" t="str">
        <f>IFERROR(IF(AND(K164="",T164=""),"",(VLOOKUP(Q164,'Reference records(soft deleted)'!$B$118:$D$162,3,FALSE))),"")</f>
        <v/>
      </c>
      <c r="F164" s="477"/>
      <c r="G164" s="477"/>
      <c r="H164" s="478" t="str">
        <f>IF(R164="",IFERROR(VLOOKUP(AC164,'Reference Records'!G$413:J702,4,0),""),IFERROR(VLOOKUP(AC164,'Reference Records'!H$413:J702,3,0),""))</f>
        <v/>
      </c>
      <c r="I164" s="478"/>
      <c r="J164" s="479"/>
      <c r="K164" s="476" t="str">
        <f>IFERROR(VLOOKUP(INDEX('Reference Records'!E$412:E703,MATCH(R164,'Reference Records'!F$412:F703,0),1),'Reference Records'!B$211:C341,2,0),"")</f>
        <v/>
      </c>
      <c r="L164" s="478" t="e">
        <f>VLOOKUP(U164&amp;K164,'Reference Records'!H$212:I342,2,0)</f>
        <v>#N/A</v>
      </c>
      <c r="M164" s="478" t="e">
        <f>MATCH($L164,'Reference Records'!$E$413:$E$618,0)+ROW(Population_by_intervention) -1</f>
        <v>#N/A</v>
      </c>
      <c r="N164" s="478" t="e">
        <f>MATCH($L164,'Reference Records'!$E$413:$E$618,1)+ROW(Population_by_intervention) -1</f>
        <v>#N/A</v>
      </c>
      <c r="O164" s="478" t="e">
        <f>INDEX('Reference Records'!K$212:K342,MATCH(L164,'Reference Records'!B$212:B342,0))</f>
        <v>#N/A</v>
      </c>
      <c r="P164" s="478"/>
      <c r="Q164" s="480"/>
      <c r="R164" s="481"/>
      <c r="S164" s="478" t="str">
        <f>IFERROR(VLOOKUP(INDEX('Reference Records'!J$412:J703,MATCH(R164,'Reference Records'!F$412:F703),1),'Reference Records'!B$211:C341,2,0),"")</f>
        <v/>
      </c>
      <c r="T164" s="479"/>
      <c r="U164" s="482" t="str">
        <f>IFERROR(IF(VLOOKUP(E164,'Reference Records'!$F$159:$N$210,9,FALSE)=0,"",VLOOKUP(E164,'Reference Records'!$F$159:$N$210,9,FALSE)),"")</f>
        <v/>
      </c>
      <c r="V164" s="476" t="str">
        <f>IF(IF(Language="French",G164,F164)=0,"",IF(Language="French",G164,F164))</f>
        <v/>
      </c>
      <c r="W164" s="483" t="str">
        <f t="shared" si="8"/>
        <v/>
      </c>
      <c r="X164" s="484" t="str">
        <f t="shared" si="9"/>
        <v>a1P3p000007oOIJEA2</v>
      </c>
      <c r="Y164" s="484" t="b">
        <f t="shared" si="10"/>
        <v>0</v>
      </c>
      <c r="Z164" s="484" t="b">
        <f t="shared" si="11"/>
        <v>1</v>
      </c>
      <c r="AA164" s="484" t="str">
        <f>IF(R164="",IFERROR(VLOOKUP(AC164,'Reference Records'!G$413:J702,3,0),""),IFERROR(VLOOKUP(AC164,'Reference Records'!H$413:J702,2,0),""))</f>
        <v/>
      </c>
      <c r="AB164" s="484" t="s">
        <v>1229</v>
      </c>
      <c r="AC164" s="473" t="e">
        <f t="shared" si="12"/>
        <v>#N/A</v>
      </c>
      <c r="AD164" s="473" t="str">
        <f t="shared" si="13"/>
        <v/>
      </c>
      <c r="AE164" s="473" t="str">
        <f t="array" ref="AE164">IFERROR(IF(INDEX($W$155:$W$256, MATCH(0, IF(AD164=$E$155:$E$256, COUNTIF($AE$154:$AE163, $W$155:$W$256), ""), 0))=0,"",INDEX($W$155:$W$256, MATCH(0, IF(AD164=$E$155:$E$256, COUNTIF($AE$154:$AE163, $W$155:$W$256), ""), 0))),"")</f>
        <v/>
      </c>
      <c r="AF164" s="473" t="str">
        <f t="shared" si="14"/>
        <v>|empty|</v>
      </c>
      <c r="AG164" s="473" t="str">
        <f t="shared" si="15"/>
        <v>INT-211657</v>
      </c>
      <c r="AH164" s="473" t="e">
        <f t="shared" si="16"/>
        <v>#N/A</v>
      </c>
      <c r="AI164" s="473">
        <f>IF(COUNTIF($AH$155:AH265,"&lt;="&amp;AH164)=0,"",COUNTIF($AH$155:AH265,"&lt;="&amp;AH164))</f>
        <v>100</v>
      </c>
      <c r="AJ164" s="473">
        <f>RANK(AI164,AI$155:AI265,1)</f>
        <v>2</v>
      </c>
      <c r="AK164" s="473" t="e">
        <f>INDEX(E$155:E265,MATCH(ROWS(AJ$155:AJ164),AJ$155:AJ265,0))</f>
        <v>#N/A</v>
      </c>
      <c r="AL164" s="473" t="e">
        <f>INDEX(K$155:K265,MATCH(ROWS(AJ$155:AJ164),AJ$155:AJ265,0))</f>
        <v>#N/A</v>
      </c>
      <c r="AM164" s="473" t="e">
        <f>INDEX(V$155:V265,MATCH(ROWS(AJ$155:AJ164),AJ$155:AJ265,0))</f>
        <v>#N/A</v>
      </c>
      <c r="AN164" s="473" t="e">
        <f t="shared" si="17"/>
        <v>#N/A</v>
      </c>
      <c r="AO164" s="473" t="e">
        <f t="shared" si="18"/>
        <v>#N/A</v>
      </c>
      <c r="AP164" s="473"/>
      <c r="AQ164" s="485" t="s">
        <v>1230</v>
      </c>
      <c r="AR164" s="107"/>
    </row>
    <row r="165" spans="1:44" ht="47.15" customHeight="1" x14ac:dyDescent="0.35">
      <c r="A165" s="146">
        <v>10</v>
      </c>
      <c r="B165" s="475"/>
      <c r="C165" s="475"/>
      <c r="D165" s="148"/>
      <c r="E165" s="476" t="str">
        <f>IFERROR(IF(AND(K165="",T165=""),"",(VLOOKUP(Q165,'Reference records(soft deleted)'!$B$118:$D$162,3,FALSE))),"")</f>
        <v/>
      </c>
      <c r="F165" s="477"/>
      <c r="G165" s="477"/>
      <c r="H165" s="478" t="str">
        <f>IF(R165="",IFERROR(VLOOKUP(AC165,'Reference Records'!G$413:J703,4,0),""),IFERROR(VLOOKUP(AC165,'Reference Records'!H$413:J703,3,0),""))</f>
        <v/>
      </c>
      <c r="I165" s="478"/>
      <c r="J165" s="479"/>
      <c r="K165" s="476" t="str">
        <f>IFERROR(VLOOKUP(INDEX('Reference Records'!E$412:E704,MATCH(R165,'Reference Records'!F$412:F704,0),1),'Reference Records'!B$211:C342,2,0),"")</f>
        <v/>
      </c>
      <c r="L165" s="478" t="e">
        <f>VLOOKUP(U165&amp;K165,'Reference Records'!H$212:I343,2,0)</f>
        <v>#N/A</v>
      </c>
      <c r="M165" s="478" t="e">
        <f>MATCH($L165,'Reference Records'!$E$413:$E$618,0)+ROW(Population_by_intervention) -1</f>
        <v>#N/A</v>
      </c>
      <c r="N165" s="478" t="e">
        <f>MATCH($L165,'Reference Records'!$E$413:$E$618,1)+ROW(Population_by_intervention) -1</f>
        <v>#N/A</v>
      </c>
      <c r="O165" s="478" t="e">
        <f>INDEX('Reference Records'!K$212:K343,MATCH(L165,'Reference Records'!B$212:B343,0))</f>
        <v>#N/A</v>
      </c>
      <c r="P165" s="478"/>
      <c r="Q165" s="480"/>
      <c r="R165" s="481"/>
      <c r="S165" s="478" t="str">
        <f>IFERROR(VLOOKUP(INDEX('Reference Records'!J$412:J704,MATCH(R165,'Reference Records'!F$412:F704),1),'Reference Records'!B$211:C342,2,0),"")</f>
        <v/>
      </c>
      <c r="T165" s="479"/>
      <c r="U165" s="482" t="str">
        <f>IFERROR(IF(VLOOKUP(E165,'Reference Records'!$F$159:$N$210,9,FALSE)=0,"",VLOOKUP(E165,'Reference Records'!$F$159:$N$210,9,FALSE)),"")</f>
        <v/>
      </c>
      <c r="V165" s="476" t="str">
        <f>IF(IF(Language="French",G165,F165)=0,"",IF(Language="French",G165,F165))</f>
        <v/>
      </c>
      <c r="W165" s="483" t="str">
        <f t="shared" si="8"/>
        <v/>
      </c>
      <c r="X165" s="484" t="str">
        <f t="shared" si="9"/>
        <v>a1P3p000007oOIJEA2</v>
      </c>
      <c r="Y165" s="484" t="b">
        <f t="shared" si="10"/>
        <v>0</v>
      </c>
      <c r="Z165" s="484" t="b">
        <f t="shared" si="11"/>
        <v>1</v>
      </c>
      <c r="AA165" s="484" t="str">
        <f>IF(R165="",IFERROR(VLOOKUP(AC165,'Reference Records'!G$413:J703,3,0),""),IFERROR(VLOOKUP(AC165,'Reference Records'!H$413:J703,2,0),""))</f>
        <v/>
      </c>
      <c r="AB165" s="484" t="s">
        <v>1231</v>
      </c>
      <c r="AC165" s="473" t="e">
        <f t="shared" si="12"/>
        <v>#N/A</v>
      </c>
      <c r="AD165" s="473" t="str">
        <f t="shared" si="13"/>
        <v/>
      </c>
      <c r="AE165" s="473" t="str">
        <f t="array" ref="AE165">IFERROR(IF(INDEX($W$155:$W$256, MATCH(0, IF(AD165=$E$155:$E$256, COUNTIF($AE$154:$AE164, $W$155:$W$256), ""), 0))=0,"",INDEX($W$155:$W$256, MATCH(0, IF(AD165=$E$155:$E$256, COUNTIF($AE$154:$AE164, $W$155:$W$256), ""), 0))),"")</f>
        <v/>
      </c>
      <c r="AF165" s="473" t="str">
        <f t="shared" si="14"/>
        <v>|empty|</v>
      </c>
      <c r="AG165" s="473" t="str">
        <f t="shared" si="15"/>
        <v>INT-211707</v>
      </c>
      <c r="AH165" s="473" t="e">
        <f t="shared" si="16"/>
        <v>#N/A</v>
      </c>
      <c r="AI165" s="473">
        <f>IF(COUNTIF($AH$155:AH266,"&lt;="&amp;AH165)=0,"",COUNTIF($AH$155:AH266,"&lt;="&amp;AH165))</f>
        <v>100</v>
      </c>
      <c r="AJ165" s="473">
        <f>RANK(AI165,AI$155:AI266,1)</f>
        <v>2</v>
      </c>
      <c r="AK165" s="473" t="e">
        <f>INDEX(E$155:E266,MATCH(ROWS(AJ$155:AJ165),AJ$155:AJ266,0))</f>
        <v>#N/A</v>
      </c>
      <c r="AL165" s="473" t="e">
        <f>INDEX(K$155:K266,MATCH(ROWS(AJ$155:AJ165),AJ$155:AJ266,0))</f>
        <v>#N/A</v>
      </c>
      <c r="AM165" s="473" t="e">
        <f>INDEX(V$155:V266,MATCH(ROWS(AJ$155:AJ165),AJ$155:AJ266,0))</f>
        <v>#N/A</v>
      </c>
      <c r="AN165" s="473" t="e">
        <f t="shared" si="17"/>
        <v>#N/A</v>
      </c>
      <c r="AO165" s="473" t="e">
        <f t="shared" si="18"/>
        <v>#N/A</v>
      </c>
      <c r="AP165" s="473"/>
      <c r="AQ165" s="485" t="s">
        <v>1232</v>
      </c>
      <c r="AR165" s="107"/>
    </row>
    <row r="166" spans="1:44" ht="47.15" customHeight="1" x14ac:dyDescent="0.35">
      <c r="A166" s="146">
        <v>11</v>
      </c>
      <c r="B166" s="475"/>
      <c r="C166" s="475"/>
      <c r="D166" s="148"/>
      <c r="E166" s="476" t="str">
        <f>IFERROR(IF(AND(K166="",T166=""),"",(VLOOKUP(Q166,'Reference records(soft deleted)'!$B$118:$D$162,3,FALSE))),"")</f>
        <v/>
      </c>
      <c r="F166" s="477"/>
      <c r="G166" s="477"/>
      <c r="H166" s="478" t="str">
        <f>IF(R166="",IFERROR(VLOOKUP(AC166,'Reference Records'!G$413:J704,4,0),""),IFERROR(VLOOKUP(AC166,'Reference Records'!H$413:J704,3,0),""))</f>
        <v/>
      </c>
      <c r="I166" s="478"/>
      <c r="J166" s="479"/>
      <c r="K166" s="476" t="str">
        <f>IFERROR(VLOOKUP(INDEX('Reference Records'!E$412:E705,MATCH(R166,'Reference Records'!F$412:F705,0),1),'Reference Records'!B$211:C343,2,0),"")</f>
        <v/>
      </c>
      <c r="L166" s="478" t="e">
        <f>VLOOKUP(U166&amp;K166,'Reference Records'!H$212:I344,2,0)</f>
        <v>#N/A</v>
      </c>
      <c r="M166" s="478" t="e">
        <f>MATCH($L166,'Reference Records'!$E$413:$E$618,0)+ROW(Population_by_intervention) -1</f>
        <v>#N/A</v>
      </c>
      <c r="N166" s="478" t="e">
        <f>MATCH($L166,'Reference Records'!$E$413:$E$618,1)+ROW(Population_by_intervention) -1</f>
        <v>#N/A</v>
      </c>
      <c r="O166" s="478" t="e">
        <f>INDEX('Reference Records'!K$212:K344,MATCH(L166,'Reference Records'!B$212:B344,0))</f>
        <v>#N/A</v>
      </c>
      <c r="P166" s="478"/>
      <c r="Q166" s="480"/>
      <c r="R166" s="481"/>
      <c r="S166" s="478" t="str">
        <f>IFERROR(VLOOKUP(INDEX('Reference Records'!J$412:J705,MATCH(R166,'Reference Records'!F$412:F705),1),'Reference Records'!B$211:C343,2,0),"")</f>
        <v/>
      </c>
      <c r="T166" s="479"/>
      <c r="U166" s="482" t="str">
        <f>IFERROR(IF(VLOOKUP(E166,'Reference Records'!$F$159:$N$210,9,FALSE)=0,"",VLOOKUP(E166,'Reference Records'!$F$159:$N$210,9,FALSE)),"")</f>
        <v/>
      </c>
      <c r="V166" s="476" t="str">
        <f>IF(IF(Language="French",G166,F166)=0,"",IF(Language="French",G166,F166))</f>
        <v/>
      </c>
      <c r="W166" s="483" t="str">
        <f t="shared" si="8"/>
        <v/>
      </c>
      <c r="X166" s="484" t="str">
        <f t="shared" si="9"/>
        <v>a1P3p000007oOIJEA2</v>
      </c>
      <c r="Y166" s="484" t="b">
        <f t="shared" si="10"/>
        <v>0</v>
      </c>
      <c r="Z166" s="484" t="b">
        <f t="shared" si="11"/>
        <v>1</v>
      </c>
      <c r="AA166" s="484" t="str">
        <f>IF(R166="",IFERROR(VLOOKUP(AC166,'Reference Records'!G$413:J704,3,0),""),IFERROR(VLOOKUP(AC166,'Reference Records'!H$413:J704,2,0),""))</f>
        <v/>
      </c>
      <c r="AB166" s="484" t="s">
        <v>1233</v>
      </c>
      <c r="AC166" s="473" t="e">
        <f t="shared" si="12"/>
        <v>#N/A</v>
      </c>
      <c r="AD166" s="473" t="str">
        <f t="shared" si="13"/>
        <v/>
      </c>
      <c r="AE166" s="473" t="str">
        <f t="array" ref="AE166">IFERROR(IF(INDEX($W$155:$W$256, MATCH(0, IF(AD166=$E$155:$E$256, COUNTIF($AE$154:$AE165, $W$155:$W$256), ""), 0))=0,"",INDEX($W$155:$W$256, MATCH(0, IF(AD166=$E$155:$E$256, COUNTIF($AE$154:$AE165, $W$155:$W$256), ""), 0))),"")</f>
        <v/>
      </c>
      <c r="AF166" s="473" t="str">
        <f t="shared" si="14"/>
        <v>|empty|</v>
      </c>
      <c r="AG166" s="473" t="str">
        <f t="shared" si="15"/>
        <v>INT-211658</v>
      </c>
      <c r="AH166" s="473" t="e">
        <f t="shared" si="16"/>
        <v>#N/A</v>
      </c>
      <c r="AI166" s="473">
        <f>IF(COUNTIF($AH$155:AH267,"&lt;="&amp;AH166)=0,"",COUNTIF($AH$155:AH267,"&lt;="&amp;AH166))</f>
        <v>100</v>
      </c>
      <c r="AJ166" s="473">
        <f>RANK(AI166,AI$155:AI267,1)</f>
        <v>2</v>
      </c>
      <c r="AK166" s="473" t="e">
        <f>INDEX(E$155:E267,MATCH(ROWS(AJ$155:AJ166),AJ$155:AJ267,0))</f>
        <v>#N/A</v>
      </c>
      <c r="AL166" s="473" t="e">
        <f>INDEX(K$155:K267,MATCH(ROWS(AJ$155:AJ166),AJ$155:AJ267,0))</f>
        <v>#N/A</v>
      </c>
      <c r="AM166" s="473" t="e">
        <f>INDEX(V$155:V267,MATCH(ROWS(AJ$155:AJ166),AJ$155:AJ267,0))</f>
        <v>#N/A</v>
      </c>
      <c r="AN166" s="473" t="e">
        <f t="shared" si="17"/>
        <v>#N/A</v>
      </c>
      <c r="AO166" s="473" t="e">
        <f t="shared" si="18"/>
        <v>#N/A</v>
      </c>
      <c r="AP166" s="473"/>
      <c r="AQ166" s="485" t="s">
        <v>1234</v>
      </c>
      <c r="AR166" s="107"/>
    </row>
    <row r="167" spans="1:44" ht="47.15" customHeight="1" x14ac:dyDescent="0.35">
      <c r="A167" s="146">
        <v>12</v>
      </c>
      <c r="B167" s="475"/>
      <c r="C167" s="475"/>
      <c r="D167" s="148"/>
      <c r="E167" s="476" t="str">
        <f>IFERROR(IF(AND(K167="",T167=""),"",(VLOOKUP(Q167,'Reference records(soft deleted)'!$B$118:$D$162,3,FALSE))),"")</f>
        <v/>
      </c>
      <c r="F167" s="477"/>
      <c r="G167" s="477"/>
      <c r="H167" s="478" t="str">
        <f>IF(R167="",IFERROR(VLOOKUP(AC167,'Reference Records'!G$413:J705,4,0),""),IFERROR(VLOOKUP(AC167,'Reference Records'!H$413:J705,3,0),""))</f>
        <v/>
      </c>
      <c r="I167" s="478"/>
      <c r="J167" s="479"/>
      <c r="K167" s="476" t="str">
        <f>IFERROR(VLOOKUP(INDEX('Reference Records'!E$412:E706,MATCH(R167,'Reference Records'!F$412:F706,0),1),'Reference Records'!B$211:C344,2,0),"")</f>
        <v/>
      </c>
      <c r="L167" s="478" t="e">
        <f>VLOOKUP(U167&amp;K167,'Reference Records'!H$212:I345,2,0)</f>
        <v>#N/A</v>
      </c>
      <c r="M167" s="478" t="e">
        <f>MATCH($L167,'Reference Records'!$E$413:$E$618,0)+ROW(Population_by_intervention) -1</f>
        <v>#N/A</v>
      </c>
      <c r="N167" s="478" t="e">
        <f>MATCH($L167,'Reference Records'!$E$413:$E$618,1)+ROW(Population_by_intervention) -1</f>
        <v>#N/A</v>
      </c>
      <c r="O167" s="478" t="e">
        <f>INDEX('Reference Records'!K$212:K345,MATCH(L167,'Reference Records'!B$212:B345,0))</f>
        <v>#N/A</v>
      </c>
      <c r="P167" s="478"/>
      <c r="Q167" s="480"/>
      <c r="R167" s="481"/>
      <c r="S167" s="478" t="str">
        <f>IFERROR(VLOOKUP(INDEX('Reference Records'!J$412:J706,MATCH(R167,'Reference Records'!F$412:F706),1),'Reference Records'!B$211:C344,2,0),"")</f>
        <v/>
      </c>
      <c r="T167" s="479"/>
      <c r="U167" s="482" t="str">
        <f>IFERROR(IF(VLOOKUP(E167,'Reference Records'!$F$159:$N$210,9,FALSE)=0,"",VLOOKUP(E167,'Reference Records'!$F$159:$N$210,9,FALSE)),"")</f>
        <v/>
      </c>
      <c r="V167" s="476" t="str">
        <f>IF(IF(Language="French",G167,F167)=0,"",IF(Language="French",G167,F167))</f>
        <v/>
      </c>
      <c r="W167" s="483" t="str">
        <f t="shared" si="8"/>
        <v/>
      </c>
      <c r="X167" s="484" t="str">
        <f t="shared" si="9"/>
        <v>a1P3p000007oOIJEA2</v>
      </c>
      <c r="Y167" s="484" t="b">
        <f t="shared" si="10"/>
        <v>0</v>
      </c>
      <c r="Z167" s="484" t="b">
        <f t="shared" si="11"/>
        <v>1</v>
      </c>
      <c r="AA167" s="484" t="str">
        <f>IF(R167="",IFERROR(VLOOKUP(AC167,'Reference Records'!G$413:J705,3,0),""),IFERROR(VLOOKUP(AC167,'Reference Records'!H$413:J705,2,0),""))</f>
        <v/>
      </c>
      <c r="AB167" s="484" t="s">
        <v>1235</v>
      </c>
      <c r="AC167" s="473" t="e">
        <f t="shared" si="12"/>
        <v>#N/A</v>
      </c>
      <c r="AD167" s="473" t="str">
        <f t="shared" si="13"/>
        <v/>
      </c>
      <c r="AE167" s="473" t="str">
        <f t="array" ref="AE167">IFERROR(IF(INDEX($W$155:$W$256, MATCH(0, IF(AD167=$E$155:$E$256, COUNTIF($AE$154:$AE166, $W$155:$W$256), ""), 0))=0,"",INDEX($W$155:$W$256, MATCH(0, IF(AD167=$E$155:$E$256, COUNTIF($AE$154:$AE166, $W$155:$W$256), ""), 0))),"")</f>
        <v/>
      </c>
      <c r="AF167" s="473" t="str">
        <f t="shared" si="14"/>
        <v>|empty|</v>
      </c>
      <c r="AG167" s="473" t="str">
        <f t="shared" si="15"/>
        <v>INT-211708</v>
      </c>
      <c r="AH167" s="473" t="e">
        <f t="shared" si="16"/>
        <v>#N/A</v>
      </c>
      <c r="AI167" s="473">
        <f>IF(COUNTIF($AH$155:AH268,"&lt;="&amp;AH167)=0,"",COUNTIF($AH$155:AH268,"&lt;="&amp;AH167))</f>
        <v>100</v>
      </c>
      <c r="AJ167" s="473">
        <f>RANK(AI167,AI$155:AI268,1)</f>
        <v>2</v>
      </c>
      <c r="AK167" s="473" t="e">
        <f>INDEX(E$155:E268,MATCH(ROWS(AJ$155:AJ167),AJ$155:AJ268,0))</f>
        <v>#N/A</v>
      </c>
      <c r="AL167" s="473" t="e">
        <f>INDEX(K$155:K268,MATCH(ROWS(AJ$155:AJ167),AJ$155:AJ268,0))</f>
        <v>#N/A</v>
      </c>
      <c r="AM167" s="473" t="e">
        <f>INDEX(V$155:V268,MATCH(ROWS(AJ$155:AJ167),AJ$155:AJ268,0))</f>
        <v>#N/A</v>
      </c>
      <c r="AN167" s="473" t="e">
        <f t="shared" si="17"/>
        <v>#N/A</v>
      </c>
      <c r="AO167" s="473" t="e">
        <f t="shared" si="18"/>
        <v>#N/A</v>
      </c>
      <c r="AP167" s="473"/>
      <c r="AQ167" s="485" t="s">
        <v>1236</v>
      </c>
      <c r="AR167" s="107"/>
    </row>
    <row r="168" spans="1:44" ht="47.15" customHeight="1" x14ac:dyDescent="0.35">
      <c r="A168" s="146">
        <v>13</v>
      </c>
      <c r="B168" s="475"/>
      <c r="C168" s="475"/>
      <c r="D168" s="148"/>
      <c r="E168" s="476" t="str">
        <f>IFERROR(IF(AND(K168="",T168=""),"",(VLOOKUP(Q168,'Reference records(soft deleted)'!$B$118:$D$162,3,FALSE))),"")</f>
        <v/>
      </c>
      <c r="F168" s="477"/>
      <c r="G168" s="477"/>
      <c r="H168" s="478" t="str">
        <f>IF(R168="",IFERROR(VLOOKUP(AC168,'Reference Records'!G$413:J706,4,0),""),IFERROR(VLOOKUP(AC168,'Reference Records'!H$413:J706,3,0),""))</f>
        <v/>
      </c>
      <c r="I168" s="478"/>
      <c r="J168" s="479"/>
      <c r="K168" s="476" t="str">
        <f>IFERROR(VLOOKUP(INDEX('Reference Records'!E$412:E707,MATCH(R168,'Reference Records'!F$412:F707,0),1),'Reference Records'!B$211:C345,2,0),"")</f>
        <v/>
      </c>
      <c r="L168" s="478" t="e">
        <f>VLOOKUP(U168&amp;K168,'Reference Records'!H$212:I346,2,0)</f>
        <v>#N/A</v>
      </c>
      <c r="M168" s="478" t="e">
        <f>MATCH($L168,'Reference Records'!$E$413:$E$618,0)+ROW(Population_by_intervention) -1</f>
        <v>#N/A</v>
      </c>
      <c r="N168" s="478" t="e">
        <f>MATCH($L168,'Reference Records'!$E$413:$E$618,1)+ROW(Population_by_intervention) -1</f>
        <v>#N/A</v>
      </c>
      <c r="O168" s="478" t="e">
        <f>INDEX('Reference Records'!K$212:K346,MATCH(L168,'Reference Records'!B$212:B346,0))</f>
        <v>#N/A</v>
      </c>
      <c r="P168" s="478"/>
      <c r="Q168" s="480"/>
      <c r="R168" s="481"/>
      <c r="S168" s="478" t="str">
        <f>IFERROR(VLOOKUP(INDEX('Reference Records'!J$412:J707,MATCH(R168,'Reference Records'!F$412:F707),1),'Reference Records'!B$211:C345,2,0),"")</f>
        <v/>
      </c>
      <c r="T168" s="479"/>
      <c r="U168" s="482" t="str">
        <f>IFERROR(IF(VLOOKUP(E168,'Reference Records'!$F$159:$N$210,9,FALSE)=0,"",VLOOKUP(E168,'Reference Records'!$F$159:$N$210,9,FALSE)),"")</f>
        <v/>
      </c>
      <c r="V168" s="476" t="str">
        <f>IF(IF(Language="French",G168,F168)=0,"",IF(Language="French",G168,F168))</f>
        <v/>
      </c>
      <c r="W168" s="483" t="str">
        <f t="shared" si="8"/>
        <v/>
      </c>
      <c r="X168" s="484" t="str">
        <f t="shared" si="9"/>
        <v>a1P3p000007oOIJEA2</v>
      </c>
      <c r="Y168" s="484" t="b">
        <f t="shared" si="10"/>
        <v>0</v>
      </c>
      <c r="Z168" s="484" t="b">
        <f t="shared" si="11"/>
        <v>1</v>
      </c>
      <c r="AA168" s="484" t="str">
        <f>IF(R168="",IFERROR(VLOOKUP(AC168,'Reference Records'!G$413:J706,3,0),""),IFERROR(VLOOKUP(AC168,'Reference Records'!H$413:J706,2,0),""))</f>
        <v/>
      </c>
      <c r="AB168" s="484" t="s">
        <v>1237</v>
      </c>
      <c r="AC168" s="473" t="e">
        <f t="shared" si="12"/>
        <v>#N/A</v>
      </c>
      <c r="AD168" s="473" t="str">
        <f t="shared" si="13"/>
        <v/>
      </c>
      <c r="AE168" s="473" t="str">
        <f t="array" ref="AE168">IFERROR(IF(INDEX($W$155:$W$256, MATCH(0, IF(AD168=$E$155:$E$256, COUNTIF($AE$154:$AE167, $W$155:$W$256), ""), 0))=0,"",INDEX($W$155:$W$256, MATCH(0, IF(AD168=$E$155:$E$256, COUNTIF($AE$154:$AE167, $W$155:$W$256), ""), 0))),"")</f>
        <v/>
      </c>
      <c r="AF168" s="473" t="str">
        <f t="shared" si="14"/>
        <v>|empty|</v>
      </c>
      <c r="AG168" s="473" t="str">
        <f t="shared" si="15"/>
        <v>INT-211659</v>
      </c>
      <c r="AH168" s="473" t="e">
        <f t="shared" si="16"/>
        <v>#N/A</v>
      </c>
      <c r="AI168" s="473">
        <f>IF(COUNTIF($AH$155:AH269,"&lt;="&amp;AH168)=0,"",COUNTIF($AH$155:AH269,"&lt;="&amp;AH168))</f>
        <v>100</v>
      </c>
      <c r="AJ168" s="473">
        <f>RANK(AI168,AI$155:AI269,1)</f>
        <v>2</v>
      </c>
      <c r="AK168" s="473" t="e">
        <f>INDEX(E$155:E269,MATCH(ROWS(AJ$155:AJ168),AJ$155:AJ269,0))</f>
        <v>#N/A</v>
      </c>
      <c r="AL168" s="473" t="e">
        <f>INDEX(K$155:K269,MATCH(ROWS(AJ$155:AJ168),AJ$155:AJ269,0))</f>
        <v>#N/A</v>
      </c>
      <c r="AM168" s="473" t="e">
        <f>INDEX(V$155:V269,MATCH(ROWS(AJ$155:AJ168),AJ$155:AJ269,0))</f>
        <v>#N/A</v>
      </c>
      <c r="AN168" s="473" t="e">
        <f t="shared" si="17"/>
        <v>#N/A</v>
      </c>
      <c r="AO168" s="473" t="e">
        <f t="shared" si="18"/>
        <v>#N/A</v>
      </c>
      <c r="AP168" s="473"/>
      <c r="AQ168" s="485" t="s">
        <v>1238</v>
      </c>
      <c r="AR168" s="107"/>
    </row>
    <row r="169" spans="1:44" ht="47.15" customHeight="1" x14ac:dyDescent="0.35">
      <c r="A169" s="146">
        <v>14</v>
      </c>
      <c r="B169" s="475"/>
      <c r="C169" s="475"/>
      <c r="D169" s="148"/>
      <c r="E169" s="476" t="str">
        <f>IFERROR(IF(AND(K169="",T169=""),"",(VLOOKUP(Q169,'Reference records(soft deleted)'!$B$118:$D$162,3,FALSE))),"")</f>
        <v/>
      </c>
      <c r="F169" s="477"/>
      <c r="G169" s="477"/>
      <c r="H169" s="478" t="str">
        <f>IF(R169="",IFERROR(VLOOKUP(AC169,'Reference Records'!G$413:J707,4,0),""),IFERROR(VLOOKUP(AC169,'Reference Records'!H$413:J707,3,0),""))</f>
        <v/>
      </c>
      <c r="I169" s="478"/>
      <c r="J169" s="479"/>
      <c r="K169" s="476" t="str">
        <f>IFERROR(VLOOKUP(INDEX('Reference Records'!E$412:E708,MATCH(R169,'Reference Records'!F$412:F708,0),1),'Reference Records'!B$211:C346,2,0),"")</f>
        <v/>
      </c>
      <c r="L169" s="478" t="e">
        <f>VLOOKUP(U169&amp;K169,'Reference Records'!H$212:I347,2,0)</f>
        <v>#N/A</v>
      </c>
      <c r="M169" s="478" t="e">
        <f>MATCH($L169,'Reference Records'!$E$413:$E$618,0)+ROW(Population_by_intervention) -1</f>
        <v>#N/A</v>
      </c>
      <c r="N169" s="478" t="e">
        <f>MATCH($L169,'Reference Records'!$E$413:$E$618,1)+ROW(Population_by_intervention) -1</f>
        <v>#N/A</v>
      </c>
      <c r="O169" s="478" t="e">
        <f>INDEX('Reference Records'!K$212:K347,MATCH(L169,'Reference Records'!B$212:B347,0))</f>
        <v>#N/A</v>
      </c>
      <c r="P169" s="478"/>
      <c r="Q169" s="480"/>
      <c r="R169" s="481"/>
      <c r="S169" s="478" t="str">
        <f>IFERROR(VLOOKUP(INDEX('Reference Records'!J$412:J708,MATCH(R169,'Reference Records'!F$412:F708),1),'Reference Records'!B$211:C346,2,0),"")</f>
        <v/>
      </c>
      <c r="T169" s="479"/>
      <c r="U169" s="482" t="str">
        <f>IFERROR(IF(VLOOKUP(E169,'Reference Records'!$F$159:$N$210,9,FALSE)=0,"",VLOOKUP(E169,'Reference Records'!$F$159:$N$210,9,FALSE)),"")</f>
        <v/>
      </c>
      <c r="V169" s="476" t="str">
        <f>IF(IF(Language="French",G169,F169)=0,"",IF(Language="French",G169,F169))</f>
        <v/>
      </c>
      <c r="W169" s="483" t="str">
        <f t="shared" si="8"/>
        <v/>
      </c>
      <c r="X169" s="484" t="str">
        <f t="shared" si="9"/>
        <v>a1P3p000007oOIJEA2</v>
      </c>
      <c r="Y169" s="484" t="b">
        <f t="shared" si="10"/>
        <v>0</v>
      </c>
      <c r="Z169" s="484" t="b">
        <f t="shared" si="11"/>
        <v>1</v>
      </c>
      <c r="AA169" s="484" t="str">
        <f>IF(R169="",IFERROR(VLOOKUP(AC169,'Reference Records'!G$413:J707,3,0),""),IFERROR(VLOOKUP(AC169,'Reference Records'!H$413:J707,2,0),""))</f>
        <v/>
      </c>
      <c r="AB169" s="484" t="s">
        <v>1239</v>
      </c>
      <c r="AC169" s="473" t="e">
        <f t="shared" si="12"/>
        <v>#N/A</v>
      </c>
      <c r="AD169" s="473" t="str">
        <f t="shared" si="13"/>
        <v/>
      </c>
      <c r="AE169" s="473" t="str">
        <f t="array" ref="AE169">IFERROR(IF(INDEX($W$155:$W$256, MATCH(0, IF(AD169=$E$155:$E$256, COUNTIF($AE$154:$AE168, $W$155:$W$256), ""), 0))=0,"",INDEX($W$155:$W$256, MATCH(0, IF(AD169=$E$155:$E$256, COUNTIF($AE$154:$AE168, $W$155:$W$256), ""), 0))),"")</f>
        <v/>
      </c>
      <c r="AF169" s="473" t="str">
        <f t="shared" si="14"/>
        <v>|empty|</v>
      </c>
      <c r="AG169" s="473" t="str">
        <f t="shared" si="15"/>
        <v>INT-211709</v>
      </c>
      <c r="AH169" s="473" t="e">
        <f t="shared" si="16"/>
        <v>#N/A</v>
      </c>
      <c r="AI169" s="473">
        <f>IF(COUNTIF($AH$155:AH270,"&lt;="&amp;AH169)=0,"",COUNTIF($AH$155:AH270,"&lt;="&amp;AH169))</f>
        <v>100</v>
      </c>
      <c r="AJ169" s="473">
        <f>RANK(AI169,AI$155:AI270,1)</f>
        <v>2</v>
      </c>
      <c r="AK169" s="473" t="e">
        <f>INDEX(E$155:E270,MATCH(ROWS(AJ$155:AJ169),AJ$155:AJ270,0))</f>
        <v>#N/A</v>
      </c>
      <c r="AL169" s="473" t="e">
        <f>INDEX(K$155:K270,MATCH(ROWS(AJ$155:AJ169),AJ$155:AJ270,0))</f>
        <v>#N/A</v>
      </c>
      <c r="AM169" s="473" t="e">
        <f>INDEX(V$155:V270,MATCH(ROWS(AJ$155:AJ169),AJ$155:AJ270,0))</f>
        <v>#N/A</v>
      </c>
      <c r="AN169" s="473" t="e">
        <f t="shared" si="17"/>
        <v>#N/A</v>
      </c>
      <c r="AO169" s="473" t="e">
        <f t="shared" si="18"/>
        <v>#N/A</v>
      </c>
      <c r="AP169" s="473"/>
      <c r="AQ169" s="485" t="s">
        <v>1240</v>
      </c>
      <c r="AR169" s="107"/>
    </row>
    <row r="170" spans="1:44" ht="47.15" customHeight="1" x14ac:dyDescent="0.35">
      <c r="A170" s="146">
        <v>15</v>
      </c>
      <c r="B170" s="475"/>
      <c r="C170" s="475"/>
      <c r="D170" s="148"/>
      <c r="E170" s="476" t="str">
        <f>IFERROR(IF(AND(K170="",T170=""),"",(VLOOKUP(Q170,'Reference records(soft deleted)'!$B$118:$D$162,3,FALSE))),"")</f>
        <v/>
      </c>
      <c r="F170" s="477"/>
      <c r="G170" s="477"/>
      <c r="H170" s="478" t="str">
        <f>IF(R170="",IFERROR(VLOOKUP(AC170,'Reference Records'!G$413:J708,4,0),""),IFERROR(VLOOKUP(AC170,'Reference Records'!H$413:J708,3,0),""))</f>
        <v/>
      </c>
      <c r="I170" s="478"/>
      <c r="J170" s="479"/>
      <c r="K170" s="476" t="str">
        <f>IFERROR(VLOOKUP(INDEX('Reference Records'!E$412:E709,MATCH(R170,'Reference Records'!F$412:F709,0),1),'Reference Records'!B$211:C347,2,0),"")</f>
        <v/>
      </c>
      <c r="L170" s="478" t="e">
        <f>VLOOKUP(U170&amp;K170,'Reference Records'!H$212:I348,2,0)</f>
        <v>#N/A</v>
      </c>
      <c r="M170" s="478" t="e">
        <f>MATCH($L170,'Reference Records'!$E$413:$E$618,0)+ROW(Population_by_intervention) -1</f>
        <v>#N/A</v>
      </c>
      <c r="N170" s="478" t="e">
        <f>MATCH($L170,'Reference Records'!$E$413:$E$618,1)+ROW(Population_by_intervention) -1</f>
        <v>#N/A</v>
      </c>
      <c r="O170" s="478" t="e">
        <f>INDEX('Reference Records'!K$212:K348,MATCH(L170,'Reference Records'!B$212:B348,0))</f>
        <v>#N/A</v>
      </c>
      <c r="P170" s="478"/>
      <c r="Q170" s="480"/>
      <c r="R170" s="481"/>
      <c r="S170" s="478" t="str">
        <f>IFERROR(VLOOKUP(INDEX('Reference Records'!J$412:J709,MATCH(R170,'Reference Records'!F$412:F709),1),'Reference Records'!B$211:C347,2,0),"")</f>
        <v/>
      </c>
      <c r="T170" s="479"/>
      <c r="U170" s="482" t="str">
        <f>IFERROR(IF(VLOOKUP(E170,'Reference Records'!$F$159:$N$210,9,FALSE)=0,"",VLOOKUP(E170,'Reference Records'!$F$159:$N$210,9,FALSE)),"")</f>
        <v/>
      </c>
      <c r="V170" s="476" t="str">
        <f>IF(IF(Language="French",G170,F170)=0,"",IF(Language="French",G170,F170))</f>
        <v/>
      </c>
      <c r="W170" s="483" t="str">
        <f t="shared" si="8"/>
        <v/>
      </c>
      <c r="X170" s="484" t="str">
        <f t="shared" si="9"/>
        <v>a1P3p000007oOIJEA2</v>
      </c>
      <c r="Y170" s="484" t="b">
        <f t="shared" si="10"/>
        <v>0</v>
      </c>
      <c r="Z170" s="484" t="b">
        <f t="shared" si="11"/>
        <v>1</v>
      </c>
      <c r="AA170" s="484" t="str">
        <f>IF(R170="",IFERROR(VLOOKUP(AC170,'Reference Records'!G$413:J708,3,0),""),IFERROR(VLOOKUP(AC170,'Reference Records'!H$413:J708,2,0),""))</f>
        <v/>
      </c>
      <c r="AB170" s="484" t="s">
        <v>1241</v>
      </c>
      <c r="AC170" s="473" t="e">
        <f t="shared" si="12"/>
        <v>#N/A</v>
      </c>
      <c r="AD170" s="473" t="str">
        <f t="shared" si="13"/>
        <v/>
      </c>
      <c r="AE170" s="473" t="str">
        <f t="array" ref="AE170">IFERROR(IF(INDEX($W$155:$W$256, MATCH(0, IF(AD170=$E$155:$E$256, COUNTIF($AE$154:$AE169, $W$155:$W$256), ""), 0))=0,"",INDEX($W$155:$W$256, MATCH(0, IF(AD170=$E$155:$E$256, COUNTIF($AE$154:$AE169, $W$155:$W$256), ""), 0))),"")</f>
        <v/>
      </c>
      <c r="AF170" s="473" t="str">
        <f t="shared" si="14"/>
        <v>|empty|</v>
      </c>
      <c r="AG170" s="473" t="str">
        <f t="shared" si="15"/>
        <v>INT-211660</v>
      </c>
      <c r="AH170" s="473" t="e">
        <f t="shared" si="16"/>
        <v>#N/A</v>
      </c>
      <c r="AI170" s="473">
        <f>IF(COUNTIF($AH$155:AH271,"&lt;="&amp;AH170)=0,"",COUNTIF($AH$155:AH271,"&lt;="&amp;AH170))</f>
        <v>100</v>
      </c>
      <c r="AJ170" s="473">
        <f>RANK(AI170,AI$155:AI271,1)</f>
        <v>2</v>
      </c>
      <c r="AK170" s="473" t="e">
        <f>INDEX(E$155:E271,MATCH(ROWS(AJ$155:AJ170),AJ$155:AJ271,0))</f>
        <v>#N/A</v>
      </c>
      <c r="AL170" s="473" t="e">
        <f>INDEX(K$155:K271,MATCH(ROWS(AJ$155:AJ170),AJ$155:AJ271,0))</f>
        <v>#N/A</v>
      </c>
      <c r="AM170" s="473" t="e">
        <f>INDEX(V$155:V271,MATCH(ROWS(AJ$155:AJ170),AJ$155:AJ271,0))</f>
        <v>#N/A</v>
      </c>
      <c r="AN170" s="473" t="e">
        <f t="shared" si="17"/>
        <v>#N/A</v>
      </c>
      <c r="AO170" s="473" t="e">
        <f t="shared" si="18"/>
        <v>#N/A</v>
      </c>
      <c r="AP170" s="473"/>
      <c r="AQ170" s="485" t="s">
        <v>1242</v>
      </c>
      <c r="AR170" s="107"/>
    </row>
    <row r="171" spans="1:44" ht="47.15" customHeight="1" x14ac:dyDescent="0.35">
      <c r="A171" s="146">
        <v>16</v>
      </c>
      <c r="B171" s="475"/>
      <c r="C171" s="475"/>
      <c r="D171" s="148"/>
      <c r="E171" s="476" t="str">
        <f>IFERROR(IF(AND(K171="",T171=""),"",(VLOOKUP(Q171,'Reference records(soft deleted)'!$B$118:$D$162,3,FALSE))),"")</f>
        <v/>
      </c>
      <c r="F171" s="477"/>
      <c r="G171" s="477"/>
      <c r="H171" s="478" t="str">
        <f>IF(R171="",IFERROR(VLOOKUP(AC171,'Reference Records'!G$413:J709,4,0),""),IFERROR(VLOOKUP(AC171,'Reference Records'!H$413:J709,3,0),""))</f>
        <v/>
      </c>
      <c r="I171" s="478"/>
      <c r="J171" s="479"/>
      <c r="K171" s="476" t="str">
        <f>IFERROR(VLOOKUP(INDEX('Reference Records'!E$412:E710,MATCH(R171,'Reference Records'!F$412:F710,0),1),'Reference Records'!B$211:C348,2,0),"")</f>
        <v/>
      </c>
      <c r="L171" s="478" t="e">
        <f>VLOOKUP(U171&amp;K171,'Reference Records'!H$212:I349,2,0)</f>
        <v>#N/A</v>
      </c>
      <c r="M171" s="478" t="e">
        <f>MATCH($L171,'Reference Records'!$E$413:$E$618,0)+ROW(Population_by_intervention) -1</f>
        <v>#N/A</v>
      </c>
      <c r="N171" s="478" t="e">
        <f>MATCH($L171,'Reference Records'!$E$413:$E$618,1)+ROW(Population_by_intervention) -1</f>
        <v>#N/A</v>
      </c>
      <c r="O171" s="478" t="e">
        <f>INDEX('Reference Records'!K$212:K349,MATCH(L171,'Reference Records'!B$212:B349,0))</f>
        <v>#N/A</v>
      </c>
      <c r="P171" s="478"/>
      <c r="Q171" s="480"/>
      <c r="R171" s="481"/>
      <c r="S171" s="478" t="str">
        <f>IFERROR(VLOOKUP(INDEX('Reference Records'!J$412:J710,MATCH(R171,'Reference Records'!F$412:F710),1),'Reference Records'!B$211:C348,2,0),"")</f>
        <v/>
      </c>
      <c r="T171" s="479"/>
      <c r="U171" s="482" t="str">
        <f>IFERROR(IF(VLOOKUP(E171,'Reference Records'!$F$159:$N$210,9,FALSE)=0,"",VLOOKUP(E171,'Reference Records'!$F$159:$N$210,9,FALSE)),"")</f>
        <v/>
      </c>
      <c r="V171" s="476" t="str">
        <f>IF(IF(Language="French",G171,F171)=0,"",IF(Language="French",G171,F171))</f>
        <v/>
      </c>
      <c r="W171" s="483" t="str">
        <f t="shared" si="8"/>
        <v/>
      </c>
      <c r="X171" s="484" t="str">
        <f t="shared" si="9"/>
        <v>a1P3p000007oOIJEA2</v>
      </c>
      <c r="Y171" s="484" t="b">
        <f t="shared" si="10"/>
        <v>0</v>
      </c>
      <c r="Z171" s="484" t="b">
        <f t="shared" si="11"/>
        <v>1</v>
      </c>
      <c r="AA171" s="484" t="str">
        <f>IF(R171="",IFERROR(VLOOKUP(AC171,'Reference Records'!G$413:J709,3,0),""),IFERROR(VLOOKUP(AC171,'Reference Records'!H$413:J709,2,0),""))</f>
        <v/>
      </c>
      <c r="AB171" s="484" t="s">
        <v>1243</v>
      </c>
      <c r="AC171" s="473" t="e">
        <f t="shared" si="12"/>
        <v>#N/A</v>
      </c>
      <c r="AD171" s="473" t="str">
        <f t="shared" si="13"/>
        <v/>
      </c>
      <c r="AE171" s="473" t="str">
        <f t="array" ref="AE171">IFERROR(IF(INDEX($W$155:$W$256, MATCH(0, IF(AD171=$E$155:$E$256, COUNTIF($AE$154:$AE170, $W$155:$W$256), ""), 0))=0,"",INDEX($W$155:$W$256, MATCH(0, IF(AD171=$E$155:$E$256, COUNTIF($AE$154:$AE170, $W$155:$W$256), ""), 0))),"")</f>
        <v/>
      </c>
      <c r="AF171" s="473" t="str">
        <f t="shared" si="14"/>
        <v>|empty|</v>
      </c>
      <c r="AG171" s="473" t="str">
        <f t="shared" si="15"/>
        <v>INT-211710</v>
      </c>
      <c r="AH171" s="473" t="e">
        <f t="shared" si="16"/>
        <v>#N/A</v>
      </c>
      <c r="AI171" s="473">
        <f>IF(COUNTIF($AH$155:AH272,"&lt;="&amp;AH171)=0,"",COUNTIF($AH$155:AH272,"&lt;="&amp;AH171))</f>
        <v>100</v>
      </c>
      <c r="AJ171" s="473">
        <f>RANK(AI171,AI$155:AI272,1)</f>
        <v>2</v>
      </c>
      <c r="AK171" s="473" t="e">
        <f>INDEX(E$155:E272,MATCH(ROWS(AJ$155:AJ171),AJ$155:AJ272,0))</f>
        <v>#N/A</v>
      </c>
      <c r="AL171" s="473" t="e">
        <f>INDEX(K$155:K272,MATCH(ROWS(AJ$155:AJ171),AJ$155:AJ272,0))</f>
        <v>#N/A</v>
      </c>
      <c r="AM171" s="473" t="e">
        <f>INDEX(V$155:V272,MATCH(ROWS(AJ$155:AJ171),AJ$155:AJ272,0))</f>
        <v>#N/A</v>
      </c>
      <c r="AN171" s="473" t="e">
        <f t="shared" si="17"/>
        <v>#N/A</v>
      </c>
      <c r="AO171" s="473" t="e">
        <f t="shared" si="18"/>
        <v>#N/A</v>
      </c>
      <c r="AP171" s="473"/>
      <c r="AQ171" s="485" t="s">
        <v>1244</v>
      </c>
      <c r="AR171" s="107"/>
    </row>
    <row r="172" spans="1:44" ht="47.15" customHeight="1" x14ac:dyDescent="0.35">
      <c r="A172" s="146">
        <v>17</v>
      </c>
      <c r="B172" s="475"/>
      <c r="C172" s="475"/>
      <c r="D172" s="148"/>
      <c r="E172" s="476" t="str">
        <f>IFERROR(IF(AND(K172="",T172=""),"",(VLOOKUP(Q172,'Reference records(soft deleted)'!$B$118:$D$162,3,FALSE))),"")</f>
        <v/>
      </c>
      <c r="F172" s="477"/>
      <c r="G172" s="477"/>
      <c r="H172" s="478" t="str">
        <f>IF(R172="",IFERROR(VLOOKUP(AC172,'Reference Records'!G$413:J710,4,0),""),IFERROR(VLOOKUP(AC172,'Reference Records'!H$413:J710,3,0),""))</f>
        <v/>
      </c>
      <c r="I172" s="478"/>
      <c r="J172" s="479"/>
      <c r="K172" s="476" t="str">
        <f>IFERROR(VLOOKUP(INDEX('Reference Records'!E$412:E711,MATCH(R172,'Reference Records'!F$412:F711,0),1),'Reference Records'!B$211:C349,2,0),"")</f>
        <v/>
      </c>
      <c r="L172" s="478" t="e">
        <f>VLOOKUP(U172&amp;K172,'Reference Records'!H$212:I350,2,0)</f>
        <v>#N/A</v>
      </c>
      <c r="M172" s="478" t="e">
        <f>MATCH($L172,'Reference Records'!$E$413:$E$618,0)+ROW(Population_by_intervention) -1</f>
        <v>#N/A</v>
      </c>
      <c r="N172" s="478" t="e">
        <f>MATCH($L172,'Reference Records'!$E$413:$E$618,1)+ROW(Population_by_intervention) -1</f>
        <v>#N/A</v>
      </c>
      <c r="O172" s="478" t="e">
        <f>INDEX('Reference Records'!K$212:K350,MATCH(L172,'Reference Records'!B$212:B350,0))</f>
        <v>#N/A</v>
      </c>
      <c r="P172" s="478"/>
      <c r="Q172" s="480"/>
      <c r="R172" s="481"/>
      <c r="S172" s="478" t="str">
        <f>IFERROR(VLOOKUP(INDEX('Reference Records'!J$412:J711,MATCH(R172,'Reference Records'!F$412:F711),1),'Reference Records'!B$211:C349,2,0),"")</f>
        <v/>
      </c>
      <c r="T172" s="479"/>
      <c r="U172" s="482" t="str">
        <f>IFERROR(IF(VLOOKUP(E172,'Reference Records'!$F$159:$N$210,9,FALSE)=0,"",VLOOKUP(E172,'Reference Records'!$F$159:$N$210,9,FALSE)),"")</f>
        <v/>
      </c>
      <c r="V172" s="476" t="str">
        <f>IF(IF(Language="French",G172,F172)=0,"",IF(Language="French",G172,F172))</f>
        <v/>
      </c>
      <c r="W172" s="483" t="str">
        <f t="shared" si="8"/>
        <v/>
      </c>
      <c r="X172" s="484" t="str">
        <f t="shared" si="9"/>
        <v>a1P3p000007oOIJEA2</v>
      </c>
      <c r="Y172" s="484" t="b">
        <f t="shared" si="10"/>
        <v>0</v>
      </c>
      <c r="Z172" s="484" t="b">
        <f t="shared" si="11"/>
        <v>1</v>
      </c>
      <c r="AA172" s="484" t="str">
        <f>IF(R172="",IFERROR(VLOOKUP(AC172,'Reference Records'!G$413:J710,3,0),""),IFERROR(VLOOKUP(AC172,'Reference Records'!H$413:J710,2,0),""))</f>
        <v/>
      </c>
      <c r="AB172" s="484" t="s">
        <v>1245</v>
      </c>
      <c r="AC172" s="473" t="e">
        <f t="shared" si="12"/>
        <v>#N/A</v>
      </c>
      <c r="AD172" s="473" t="str">
        <f t="shared" si="13"/>
        <v/>
      </c>
      <c r="AE172" s="473" t="str">
        <f t="array" ref="AE172">IFERROR(IF(INDEX($W$155:$W$256, MATCH(0, IF(AD172=$E$155:$E$256, COUNTIF($AE$154:$AE171, $W$155:$W$256), ""), 0))=0,"",INDEX($W$155:$W$256, MATCH(0, IF(AD172=$E$155:$E$256, COUNTIF($AE$154:$AE171, $W$155:$W$256), ""), 0))),"")</f>
        <v/>
      </c>
      <c r="AF172" s="473" t="str">
        <f t="shared" si="14"/>
        <v>|empty|</v>
      </c>
      <c r="AG172" s="473" t="str">
        <f t="shared" si="15"/>
        <v>INT-211661</v>
      </c>
      <c r="AH172" s="473" t="e">
        <f t="shared" si="16"/>
        <v>#N/A</v>
      </c>
      <c r="AI172" s="473">
        <f>IF(COUNTIF($AH$155:AH273,"&lt;="&amp;AH172)=0,"",COUNTIF($AH$155:AH273,"&lt;="&amp;AH172))</f>
        <v>100</v>
      </c>
      <c r="AJ172" s="473">
        <f>RANK(AI172,AI$155:AI273,1)</f>
        <v>2</v>
      </c>
      <c r="AK172" s="473" t="e">
        <f>INDEX(E$155:E273,MATCH(ROWS(AJ$155:AJ172),AJ$155:AJ273,0))</f>
        <v>#N/A</v>
      </c>
      <c r="AL172" s="473" t="e">
        <f>INDEX(K$155:K273,MATCH(ROWS(AJ$155:AJ172),AJ$155:AJ273,0))</f>
        <v>#N/A</v>
      </c>
      <c r="AM172" s="473" t="e">
        <f>INDEX(V$155:V273,MATCH(ROWS(AJ$155:AJ172),AJ$155:AJ273,0))</f>
        <v>#N/A</v>
      </c>
      <c r="AN172" s="473" t="e">
        <f t="shared" si="17"/>
        <v>#N/A</v>
      </c>
      <c r="AO172" s="473" t="e">
        <f t="shared" si="18"/>
        <v>#N/A</v>
      </c>
      <c r="AP172" s="473"/>
      <c r="AQ172" s="485" t="s">
        <v>1246</v>
      </c>
      <c r="AR172" s="107"/>
    </row>
    <row r="173" spans="1:44" ht="47.15" customHeight="1" x14ac:dyDescent="0.35">
      <c r="A173" s="146">
        <v>18</v>
      </c>
      <c r="B173" s="475"/>
      <c r="C173" s="475"/>
      <c r="D173" s="148"/>
      <c r="E173" s="476" t="str">
        <f>IFERROR(IF(AND(K173="",T173=""),"",(VLOOKUP(Q173,'Reference records(soft deleted)'!$B$118:$D$162,3,FALSE))),"")</f>
        <v/>
      </c>
      <c r="F173" s="477"/>
      <c r="G173" s="477"/>
      <c r="H173" s="478" t="str">
        <f>IF(R173="",IFERROR(VLOOKUP(AC173,'Reference Records'!G$413:J711,4,0),""),IFERROR(VLOOKUP(AC173,'Reference Records'!H$413:J711,3,0),""))</f>
        <v/>
      </c>
      <c r="I173" s="478"/>
      <c r="J173" s="479"/>
      <c r="K173" s="476" t="str">
        <f>IFERROR(VLOOKUP(INDEX('Reference Records'!E$412:E712,MATCH(R173,'Reference Records'!F$412:F712,0),1),'Reference Records'!B$211:C350,2,0),"")</f>
        <v/>
      </c>
      <c r="L173" s="478" t="e">
        <f>VLOOKUP(U173&amp;K173,'Reference Records'!H$212:I351,2,0)</f>
        <v>#N/A</v>
      </c>
      <c r="M173" s="478" t="e">
        <f>MATCH($L173,'Reference Records'!$E$413:$E$618,0)+ROW(Population_by_intervention) -1</f>
        <v>#N/A</v>
      </c>
      <c r="N173" s="478" t="e">
        <f>MATCH($L173,'Reference Records'!$E$413:$E$618,1)+ROW(Population_by_intervention) -1</f>
        <v>#N/A</v>
      </c>
      <c r="O173" s="478" t="e">
        <f>INDEX('Reference Records'!K$212:K351,MATCH(L173,'Reference Records'!B$212:B351,0))</f>
        <v>#N/A</v>
      </c>
      <c r="P173" s="478"/>
      <c r="Q173" s="480"/>
      <c r="R173" s="481"/>
      <c r="S173" s="478" t="str">
        <f>IFERROR(VLOOKUP(INDEX('Reference Records'!J$412:J712,MATCH(R173,'Reference Records'!F$412:F712),1),'Reference Records'!B$211:C350,2,0),"")</f>
        <v/>
      </c>
      <c r="T173" s="479"/>
      <c r="U173" s="482" t="str">
        <f>IFERROR(IF(VLOOKUP(E173,'Reference Records'!$F$159:$N$210,9,FALSE)=0,"",VLOOKUP(E173,'Reference Records'!$F$159:$N$210,9,FALSE)),"")</f>
        <v/>
      </c>
      <c r="V173" s="476" t="str">
        <f>IF(IF(Language="French",G173,F173)=0,"",IF(Language="French",G173,F173))</f>
        <v/>
      </c>
      <c r="W173" s="483" t="str">
        <f t="shared" si="8"/>
        <v/>
      </c>
      <c r="X173" s="484" t="str">
        <f t="shared" si="9"/>
        <v>a1P3p000007oOIJEA2</v>
      </c>
      <c r="Y173" s="484" t="b">
        <f t="shared" si="10"/>
        <v>0</v>
      </c>
      <c r="Z173" s="484" t="b">
        <f t="shared" si="11"/>
        <v>1</v>
      </c>
      <c r="AA173" s="484" t="str">
        <f>IF(R173="",IFERROR(VLOOKUP(AC173,'Reference Records'!G$413:J711,3,0),""),IFERROR(VLOOKUP(AC173,'Reference Records'!H$413:J711,2,0),""))</f>
        <v/>
      </c>
      <c r="AB173" s="484" t="s">
        <v>1247</v>
      </c>
      <c r="AC173" s="473" t="e">
        <f t="shared" si="12"/>
        <v>#N/A</v>
      </c>
      <c r="AD173" s="473" t="str">
        <f t="shared" si="13"/>
        <v/>
      </c>
      <c r="AE173" s="473" t="str">
        <f t="array" ref="AE173">IFERROR(IF(INDEX($W$155:$W$256, MATCH(0, IF(AD173=$E$155:$E$256, COUNTIF($AE$154:$AE172, $W$155:$W$256), ""), 0))=0,"",INDEX($W$155:$W$256, MATCH(0, IF(AD173=$E$155:$E$256, COUNTIF($AE$154:$AE172, $W$155:$W$256), ""), 0))),"")</f>
        <v/>
      </c>
      <c r="AF173" s="473" t="str">
        <f t="shared" si="14"/>
        <v>|empty|</v>
      </c>
      <c r="AG173" s="473" t="str">
        <f t="shared" si="15"/>
        <v>INT-211711</v>
      </c>
      <c r="AH173" s="473" t="e">
        <f t="shared" si="16"/>
        <v>#N/A</v>
      </c>
      <c r="AI173" s="473">
        <f>IF(COUNTIF($AH$155:AH274,"&lt;="&amp;AH173)=0,"",COUNTIF($AH$155:AH274,"&lt;="&amp;AH173))</f>
        <v>100</v>
      </c>
      <c r="AJ173" s="473">
        <f>RANK(AI173,AI$155:AI274,1)</f>
        <v>2</v>
      </c>
      <c r="AK173" s="473" t="e">
        <f>INDEX(E$155:E274,MATCH(ROWS(AJ$155:AJ173),AJ$155:AJ274,0))</f>
        <v>#N/A</v>
      </c>
      <c r="AL173" s="473" t="e">
        <f>INDEX(K$155:K274,MATCH(ROWS(AJ$155:AJ173),AJ$155:AJ274,0))</f>
        <v>#N/A</v>
      </c>
      <c r="AM173" s="473" t="e">
        <f>INDEX(V$155:V274,MATCH(ROWS(AJ$155:AJ173),AJ$155:AJ274,0))</f>
        <v>#N/A</v>
      </c>
      <c r="AN173" s="473" t="e">
        <f t="shared" si="17"/>
        <v>#N/A</v>
      </c>
      <c r="AO173" s="473" t="e">
        <f t="shared" si="18"/>
        <v>#N/A</v>
      </c>
      <c r="AP173" s="473"/>
      <c r="AQ173" s="485" t="s">
        <v>1248</v>
      </c>
      <c r="AR173" s="107"/>
    </row>
    <row r="174" spans="1:44" ht="47.15" customHeight="1" x14ac:dyDescent="0.35">
      <c r="A174" s="146">
        <v>19</v>
      </c>
      <c r="B174" s="475"/>
      <c r="C174" s="475"/>
      <c r="D174" s="148"/>
      <c r="E174" s="476" t="str">
        <f>IFERROR(IF(AND(K174="",T174=""),"",(VLOOKUP(Q174,'Reference records(soft deleted)'!$B$118:$D$162,3,FALSE))),"")</f>
        <v/>
      </c>
      <c r="F174" s="477"/>
      <c r="G174" s="477"/>
      <c r="H174" s="478" t="str">
        <f>IF(R174="",IFERROR(VLOOKUP(AC174,'Reference Records'!G$413:J712,4,0),""),IFERROR(VLOOKUP(AC174,'Reference Records'!H$413:J712,3,0),""))</f>
        <v/>
      </c>
      <c r="I174" s="478"/>
      <c r="J174" s="479"/>
      <c r="K174" s="476" t="str">
        <f>IFERROR(VLOOKUP(INDEX('Reference Records'!E$412:E713,MATCH(R174,'Reference Records'!F$412:F713,0),1),'Reference Records'!B$211:C351,2,0),"")</f>
        <v/>
      </c>
      <c r="L174" s="478" t="e">
        <f>VLOOKUP(U174&amp;K174,'Reference Records'!H$212:I352,2,0)</f>
        <v>#N/A</v>
      </c>
      <c r="M174" s="478" t="e">
        <f>MATCH($L174,'Reference Records'!$E$413:$E$618,0)+ROW(Population_by_intervention) -1</f>
        <v>#N/A</v>
      </c>
      <c r="N174" s="478" t="e">
        <f>MATCH($L174,'Reference Records'!$E$413:$E$618,1)+ROW(Population_by_intervention) -1</f>
        <v>#N/A</v>
      </c>
      <c r="O174" s="478" t="e">
        <f>INDEX('Reference Records'!K$212:K352,MATCH(L174,'Reference Records'!B$212:B352,0))</f>
        <v>#N/A</v>
      </c>
      <c r="P174" s="478"/>
      <c r="Q174" s="480"/>
      <c r="R174" s="481"/>
      <c r="S174" s="478" t="str">
        <f>IFERROR(VLOOKUP(INDEX('Reference Records'!J$412:J713,MATCH(R174,'Reference Records'!F$412:F713),1),'Reference Records'!B$211:C351,2,0),"")</f>
        <v/>
      </c>
      <c r="T174" s="479"/>
      <c r="U174" s="482" t="str">
        <f>IFERROR(IF(VLOOKUP(E174,'Reference Records'!$F$159:$N$210,9,FALSE)=0,"",VLOOKUP(E174,'Reference Records'!$F$159:$N$210,9,FALSE)),"")</f>
        <v/>
      </c>
      <c r="V174" s="476" t="str">
        <f>IF(IF(Language="French",G174,F174)=0,"",IF(Language="French",G174,F174))</f>
        <v/>
      </c>
      <c r="W174" s="483" t="str">
        <f t="shared" si="8"/>
        <v/>
      </c>
      <c r="X174" s="484" t="str">
        <f t="shared" si="9"/>
        <v>a1P3p000007oOIJEA2</v>
      </c>
      <c r="Y174" s="484" t="b">
        <f t="shared" si="10"/>
        <v>0</v>
      </c>
      <c r="Z174" s="484" t="b">
        <f t="shared" si="11"/>
        <v>1</v>
      </c>
      <c r="AA174" s="484" t="str">
        <f>IF(R174="",IFERROR(VLOOKUP(AC174,'Reference Records'!G$413:J712,3,0),""),IFERROR(VLOOKUP(AC174,'Reference Records'!H$413:J712,2,0),""))</f>
        <v/>
      </c>
      <c r="AB174" s="484" t="s">
        <v>1249</v>
      </c>
      <c r="AC174" s="473" t="e">
        <f t="shared" si="12"/>
        <v>#N/A</v>
      </c>
      <c r="AD174" s="473" t="str">
        <f t="shared" si="13"/>
        <v/>
      </c>
      <c r="AE174" s="473" t="str">
        <f t="array" ref="AE174">IFERROR(IF(INDEX($W$155:$W$256, MATCH(0, IF(AD174=$E$155:$E$256, COUNTIF($AE$154:$AE173, $W$155:$W$256), ""), 0))=0,"",INDEX($W$155:$W$256, MATCH(0, IF(AD174=$E$155:$E$256, COUNTIF($AE$154:$AE173, $W$155:$W$256), ""), 0))),"")</f>
        <v/>
      </c>
      <c r="AF174" s="473" t="str">
        <f t="shared" si="14"/>
        <v>|empty|</v>
      </c>
      <c r="AG174" s="473" t="str">
        <f t="shared" si="15"/>
        <v>INT-211662</v>
      </c>
      <c r="AH174" s="473" t="e">
        <f t="shared" si="16"/>
        <v>#N/A</v>
      </c>
      <c r="AI174" s="473">
        <f>IF(COUNTIF($AH$155:AH275,"&lt;="&amp;AH174)=0,"",COUNTIF($AH$155:AH275,"&lt;="&amp;AH174))</f>
        <v>100</v>
      </c>
      <c r="AJ174" s="473">
        <f>RANK(AI174,AI$155:AI275,1)</f>
        <v>2</v>
      </c>
      <c r="AK174" s="473" t="e">
        <f>INDEX(E$155:E275,MATCH(ROWS(AJ$155:AJ174),AJ$155:AJ275,0))</f>
        <v>#N/A</v>
      </c>
      <c r="AL174" s="473" t="e">
        <f>INDEX(K$155:K275,MATCH(ROWS(AJ$155:AJ174),AJ$155:AJ275,0))</f>
        <v>#N/A</v>
      </c>
      <c r="AM174" s="473" t="e">
        <f>INDEX(V$155:V275,MATCH(ROWS(AJ$155:AJ174),AJ$155:AJ275,0))</f>
        <v>#N/A</v>
      </c>
      <c r="AN174" s="473" t="e">
        <f t="shared" si="17"/>
        <v>#N/A</v>
      </c>
      <c r="AO174" s="473" t="e">
        <f t="shared" si="18"/>
        <v>#N/A</v>
      </c>
      <c r="AP174" s="473"/>
      <c r="AQ174" s="485" t="s">
        <v>1250</v>
      </c>
      <c r="AR174" s="107"/>
    </row>
    <row r="175" spans="1:44" ht="47.15" customHeight="1" x14ac:dyDescent="0.35">
      <c r="A175" s="146">
        <v>20</v>
      </c>
      <c r="B175" s="475"/>
      <c r="C175" s="475"/>
      <c r="D175" s="148"/>
      <c r="E175" s="476" t="str">
        <f>IFERROR(IF(AND(K175="",T175=""),"",(VLOOKUP(Q175,'Reference records(soft deleted)'!$B$118:$D$162,3,FALSE))),"")</f>
        <v/>
      </c>
      <c r="F175" s="477"/>
      <c r="G175" s="477"/>
      <c r="H175" s="478" t="str">
        <f>IF(R175="",IFERROR(VLOOKUP(AC175,'Reference Records'!G$413:J713,4,0),""),IFERROR(VLOOKUP(AC175,'Reference Records'!H$413:J713,3,0),""))</f>
        <v/>
      </c>
      <c r="I175" s="478"/>
      <c r="J175" s="479"/>
      <c r="K175" s="476" t="str">
        <f>IFERROR(VLOOKUP(INDEX('Reference Records'!E$412:E714,MATCH(R175,'Reference Records'!F$412:F714,0),1),'Reference Records'!B$211:C352,2,0),"")</f>
        <v/>
      </c>
      <c r="L175" s="478" t="e">
        <f>VLOOKUP(U175&amp;K175,'Reference Records'!H$212:I353,2,0)</f>
        <v>#N/A</v>
      </c>
      <c r="M175" s="478" t="e">
        <f>MATCH($L175,'Reference Records'!$E$413:$E$618,0)+ROW(Population_by_intervention) -1</f>
        <v>#N/A</v>
      </c>
      <c r="N175" s="478" t="e">
        <f>MATCH($L175,'Reference Records'!$E$413:$E$618,1)+ROW(Population_by_intervention) -1</f>
        <v>#N/A</v>
      </c>
      <c r="O175" s="478" t="e">
        <f>INDEX('Reference Records'!K$212:K353,MATCH(L175,'Reference Records'!B$212:B353,0))</f>
        <v>#N/A</v>
      </c>
      <c r="P175" s="478"/>
      <c r="Q175" s="480"/>
      <c r="R175" s="481"/>
      <c r="S175" s="478" t="str">
        <f>IFERROR(VLOOKUP(INDEX('Reference Records'!J$412:J714,MATCH(R175,'Reference Records'!F$412:F714),1),'Reference Records'!B$211:C352,2,0),"")</f>
        <v/>
      </c>
      <c r="T175" s="479"/>
      <c r="U175" s="482" t="str">
        <f>IFERROR(IF(VLOOKUP(E175,'Reference Records'!$F$159:$N$210,9,FALSE)=0,"",VLOOKUP(E175,'Reference Records'!$F$159:$N$210,9,FALSE)),"")</f>
        <v/>
      </c>
      <c r="V175" s="476" t="str">
        <f>IF(IF(Language="French",G175,F175)=0,"",IF(Language="French",G175,F175))</f>
        <v/>
      </c>
      <c r="W175" s="483" t="str">
        <f t="shared" si="8"/>
        <v/>
      </c>
      <c r="X175" s="484" t="str">
        <f t="shared" si="9"/>
        <v>a1P3p000007oOIJEA2</v>
      </c>
      <c r="Y175" s="484" t="b">
        <f t="shared" si="10"/>
        <v>0</v>
      </c>
      <c r="Z175" s="484" t="b">
        <f t="shared" si="11"/>
        <v>1</v>
      </c>
      <c r="AA175" s="484" t="str">
        <f>IF(R175="",IFERROR(VLOOKUP(AC175,'Reference Records'!G$413:J713,3,0),""),IFERROR(VLOOKUP(AC175,'Reference Records'!H$413:J713,2,0),""))</f>
        <v/>
      </c>
      <c r="AB175" s="484" t="s">
        <v>1251</v>
      </c>
      <c r="AC175" s="473" t="e">
        <f t="shared" si="12"/>
        <v>#N/A</v>
      </c>
      <c r="AD175" s="473" t="str">
        <f t="shared" si="13"/>
        <v/>
      </c>
      <c r="AE175" s="473" t="str">
        <f t="array" ref="AE175">IFERROR(IF(INDEX($W$155:$W$256, MATCH(0, IF(AD175=$E$155:$E$256, COUNTIF($AE$154:$AE174, $W$155:$W$256), ""), 0))=0,"",INDEX($W$155:$W$256, MATCH(0, IF(AD175=$E$155:$E$256, COUNTIF($AE$154:$AE174, $W$155:$W$256), ""), 0))),"")</f>
        <v/>
      </c>
      <c r="AF175" s="473" t="str">
        <f t="shared" si="14"/>
        <v>|empty|</v>
      </c>
      <c r="AG175" s="473" t="str">
        <f t="shared" si="15"/>
        <v>INT-211712</v>
      </c>
      <c r="AH175" s="473" t="e">
        <f t="shared" si="16"/>
        <v>#N/A</v>
      </c>
      <c r="AI175" s="473">
        <f>IF(COUNTIF($AH$155:AH276,"&lt;="&amp;AH175)=0,"",COUNTIF($AH$155:AH276,"&lt;="&amp;AH175))</f>
        <v>100</v>
      </c>
      <c r="AJ175" s="473">
        <f>RANK(AI175,AI$155:AI276,1)</f>
        <v>2</v>
      </c>
      <c r="AK175" s="473" t="e">
        <f>INDEX(E$155:E276,MATCH(ROWS(AJ$155:AJ175),AJ$155:AJ276,0))</f>
        <v>#N/A</v>
      </c>
      <c r="AL175" s="473" t="e">
        <f>INDEX(K$155:K276,MATCH(ROWS(AJ$155:AJ175),AJ$155:AJ276,0))</f>
        <v>#N/A</v>
      </c>
      <c r="AM175" s="473" t="e">
        <f>INDEX(V$155:V276,MATCH(ROWS(AJ$155:AJ175),AJ$155:AJ276,0))</f>
        <v>#N/A</v>
      </c>
      <c r="AN175" s="473" t="e">
        <f t="shared" si="17"/>
        <v>#N/A</v>
      </c>
      <c r="AO175" s="473" t="e">
        <f t="shared" si="18"/>
        <v>#N/A</v>
      </c>
      <c r="AP175" s="473"/>
      <c r="AQ175" s="485" t="s">
        <v>1252</v>
      </c>
      <c r="AR175" s="107"/>
    </row>
    <row r="176" spans="1:44" ht="47.15" customHeight="1" x14ac:dyDescent="0.35">
      <c r="A176" s="146">
        <v>21</v>
      </c>
      <c r="B176" s="475"/>
      <c r="C176" s="475"/>
      <c r="D176" s="148"/>
      <c r="E176" s="476" t="str">
        <f>IFERROR(IF(AND(K176="",T176=""),"",(VLOOKUP(Q176,'Reference records(soft deleted)'!$B$118:$D$162,3,FALSE))),"")</f>
        <v/>
      </c>
      <c r="F176" s="477"/>
      <c r="G176" s="477"/>
      <c r="H176" s="478" t="str">
        <f>IF(R176="",IFERROR(VLOOKUP(AC176,'Reference Records'!G$413:J714,4,0),""),IFERROR(VLOOKUP(AC176,'Reference Records'!H$413:J714,3,0),""))</f>
        <v/>
      </c>
      <c r="I176" s="478"/>
      <c r="J176" s="479"/>
      <c r="K176" s="476" t="str">
        <f>IFERROR(VLOOKUP(INDEX('Reference Records'!E$412:E715,MATCH(R176,'Reference Records'!F$412:F715,0),1),'Reference Records'!B$211:C353,2,0),"")</f>
        <v/>
      </c>
      <c r="L176" s="478" t="e">
        <f>VLOOKUP(U176&amp;K176,'Reference Records'!H$212:I354,2,0)</f>
        <v>#N/A</v>
      </c>
      <c r="M176" s="478" t="e">
        <f>MATCH($L176,'Reference Records'!$E$413:$E$618,0)+ROW(Population_by_intervention) -1</f>
        <v>#N/A</v>
      </c>
      <c r="N176" s="478" t="e">
        <f>MATCH($L176,'Reference Records'!$E$413:$E$618,1)+ROW(Population_by_intervention) -1</f>
        <v>#N/A</v>
      </c>
      <c r="O176" s="478" t="e">
        <f>INDEX('Reference Records'!K$212:K354,MATCH(L176,'Reference Records'!B$212:B354,0))</f>
        <v>#N/A</v>
      </c>
      <c r="P176" s="478"/>
      <c r="Q176" s="480"/>
      <c r="R176" s="481"/>
      <c r="S176" s="478" t="str">
        <f>IFERROR(VLOOKUP(INDEX('Reference Records'!J$412:J715,MATCH(R176,'Reference Records'!F$412:F715),1),'Reference Records'!B$211:C353,2,0),"")</f>
        <v/>
      </c>
      <c r="T176" s="479"/>
      <c r="U176" s="482" t="str">
        <f>IFERROR(IF(VLOOKUP(E176,'Reference Records'!$F$159:$N$210,9,FALSE)=0,"",VLOOKUP(E176,'Reference Records'!$F$159:$N$210,9,FALSE)),"")</f>
        <v/>
      </c>
      <c r="V176" s="476" t="str">
        <f>IF(IF(Language="French",G176,F176)=0,"",IF(Language="French",G176,F176))</f>
        <v/>
      </c>
      <c r="W176" s="483" t="str">
        <f t="shared" si="8"/>
        <v/>
      </c>
      <c r="X176" s="484" t="str">
        <f t="shared" si="9"/>
        <v>a1P3p000007oOIJEA2</v>
      </c>
      <c r="Y176" s="484" t="b">
        <f t="shared" si="10"/>
        <v>0</v>
      </c>
      <c r="Z176" s="484" t="b">
        <f t="shared" si="11"/>
        <v>1</v>
      </c>
      <c r="AA176" s="484" t="str">
        <f>IF(R176="",IFERROR(VLOOKUP(AC176,'Reference Records'!G$413:J714,3,0),""),IFERROR(VLOOKUP(AC176,'Reference Records'!H$413:J714,2,0),""))</f>
        <v/>
      </c>
      <c r="AB176" s="484" t="s">
        <v>1253</v>
      </c>
      <c r="AC176" s="473" t="e">
        <f t="shared" si="12"/>
        <v>#N/A</v>
      </c>
      <c r="AD176" s="473" t="str">
        <f t="shared" si="13"/>
        <v/>
      </c>
      <c r="AE176" s="473" t="str">
        <f t="array" ref="AE176">IFERROR(IF(INDEX($W$155:$W$256, MATCH(0, IF(AD176=$E$155:$E$256, COUNTIF($AE$154:$AE175, $W$155:$W$256), ""), 0))=0,"",INDEX($W$155:$W$256, MATCH(0, IF(AD176=$E$155:$E$256, COUNTIF($AE$154:$AE175, $W$155:$W$256), ""), 0))),"")</f>
        <v/>
      </c>
      <c r="AF176" s="473" t="str">
        <f t="shared" si="14"/>
        <v>|empty|</v>
      </c>
      <c r="AG176" s="473" t="str">
        <f t="shared" si="15"/>
        <v>INT-211663</v>
      </c>
      <c r="AH176" s="473" t="e">
        <f t="shared" si="16"/>
        <v>#N/A</v>
      </c>
      <c r="AI176" s="473">
        <f>IF(COUNTIF($AH$155:AH277,"&lt;="&amp;AH176)=0,"",COUNTIF($AH$155:AH277,"&lt;="&amp;AH176))</f>
        <v>100</v>
      </c>
      <c r="AJ176" s="473">
        <f>RANK(AI176,AI$155:AI277,1)</f>
        <v>2</v>
      </c>
      <c r="AK176" s="473" t="e">
        <f>INDEX(E$155:E277,MATCH(ROWS(AJ$155:AJ176),AJ$155:AJ277,0))</f>
        <v>#N/A</v>
      </c>
      <c r="AL176" s="473" t="e">
        <f>INDEX(K$155:K277,MATCH(ROWS(AJ$155:AJ176),AJ$155:AJ277,0))</f>
        <v>#N/A</v>
      </c>
      <c r="AM176" s="473" t="e">
        <f>INDEX(V$155:V277,MATCH(ROWS(AJ$155:AJ176),AJ$155:AJ277,0))</f>
        <v>#N/A</v>
      </c>
      <c r="AN176" s="473" t="e">
        <f t="shared" si="17"/>
        <v>#N/A</v>
      </c>
      <c r="AO176" s="473" t="e">
        <f t="shared" si="18"/>
        <v>#N/A</v>
      </c>
      <c r="AP176" s="473"/>
      <c r="AQ176" s="485" t="s">
        <v>1254</v>
      </c>
      <c r="AR176" s="107"/>
    </row>
    <row r="177" spans="1:44" ht="47.15" customHeight="1" x14ac:dyDescent="0.35">
      <c r="A177" s="146">
        <v>22</v>
      </c>
      <c r="B177" s="475"/>
      <c r="C177" s="475"/>
      <c r="D177" s="148"/>
      <c r="E177" s="476" t="str">
        <f>IFERROR(IF(AND(K177="",T177=""),"",(VLOOKUP(Q177,'Reference records(soft deleted)'!$B$118:$D$162,3,FALSE))),"")</f>
        <v/>
      </c>
      <c r="F177" s="477"/>
      <c r="G177" s="477"/>
      <c r="H177" s="478" t="str">
        <f>IF(R177="",IFERROR(VLOOKUP(AC177,'Reference Records'!G$413:J715,4,0),""),IFERROR(VLOOKUP(AC177,'Reference Records'!H$413:J715,3,0),""))</f>
        <v/>
      </c>
      <c r="I177" s="478"/>
      <c r="J177" s="479"/>
      <c r="K177" s="476" t="str">
        <f>IFERROR(VLOOKUP(INDEX('Reference Records'!E$412:E716,MATCH(R177,'Reference Records'!F$412:F716,0),1),'Reference Records'!B$211:C354,2,0),"")</f>
        <v/>
      </c>
      <c r="L177" s="478" t="e">
        <f>VLOOKUP(U177&amp;K177,'Reference Records'!H$212:I400,2,0)</f>
        <v>#N/A</v>
      </c>
      <c r="M177" s="478" t="e">
        <f>MATCH($L177,'Reference Records'!$E$413:$E$618,0)+ROW(Population_by_intervention) -1</f>
        <v>#N/A</v>
      </c>
      <c r="N177" s="478" t="e">
        <f>MATCH($L177,'Reference Records'!$E$413:$E$618,1)+ROW(Population_by_intervention) -1</f>
        <v>#N/A</v>
      </c>
      <c r="O177" s="478" t="e">
        <f>INDEX('Reference Records'!K$212:K400,MATCH(L177,'Reference Records'!B$212:B400,0))</f>
        <v>#N/A</v>
      </c>
      <c r="P177" s="478"/>
      <c r="Q177" s="480"/>
      <c r="R177" s="481"/>
      <c r="S177" s="478" t="str">
        <f>IFERROR(VLOOKUP(INDEX('Reference Records'!J$412:J716,MATCH(R177,'Reference Records'!F$412:F716),1),'Reference Records'!B$211:C354,2,0),"")</f>
        <v/>
      </c>
      <c r="T177" s="479"/>
      <c r="U177" s="482" t="str">
        <f>IFERROR(IF(VLOOKUP(E177,'Reference Records'!$F$159:$N$210,9,FALSE)=0,"",VLOOKUP(E177,'Reference Records'!$F$159:$N$210,9,FALSE)),"")</f>
        <v/>
      </c>
      <c r="V177" s="476" t="str">
        <f>IF(IF(Language="French",G177,F177)=0,"",IF(Language="French",G177,F177))</f>
        <v/>
      </c>
      <c r="W177" s="483" t="str">
        <f t="shared" si="8"/>
        <v/>
      </c>
      <c r="X177" s="484" t="str">
        <f t="shared" si="9"/>
        <v>a1P3p000007oOIJEA2</v>
      </c>
      <c r="Y177" s="484" t="b">
        <f t="shared" si="10"/>
        <v>0</v>
      </c>
      <c r="Z177" s="484" t="b">
        <f t="shared" si="11"/>
        <v>1</v>
      </c>
      <c r="AA177" s="484" t="str">
        <f>IF(R177="",IFERROR(VLOOKUP(AC177,'Reference Records'!G$413:J715,3,0),""),IFERROR(VLOOKUP(AC177,'Reference Records'!H$413:J715,2,0),""))</f>
        <v/>
      </c>
      <c r="AB177" s="484" t="s">
        <v>1255</v>
      </c>
      <c r="AC177" s="473" t="e">
        <f t="shared" si="12"/>
        <v>#N/A</v>
      </c>
      <c r="AD177" s="473" t="str">
        <f t="shared" si="13"/>
        <v/>
      </c>
      <c r="AE177" s="473" t="str">
        <f t="array" ref="AE177">IFERROR(IF(INDEX($W$155:$W$256, MATCH(0, IF(AD177=$E$155:$E$256, COUNTIF($AE$154:$AE176, $W$155:$W$256), ""), 0))=0,"",INDEX($W$155:$W$256, MATCH(0, IF(AD177=$E$155:$E$256, COUNTIF($AE$154:$AE176, $W$155:$W$256), ""), 0))),"")</f>
        <v/>
      </c>
      <c r="AF177" s="473" t="str">
        <f t="shared" si="14"/>
        <v>|empty|</v>
      </c>
      <c r="AG177" s="473" t="str">
        <f t="shared" si="15"/>
        <v>INT-211713</v>
      </c>
      <c r="AH177" s="473" t="e">
        <f t="shared" si="16"/>
        <v>#N/A</v>
      </c>
      <c r="AI177" s="473">
        <f>IF(COUNTIF($AH$155:AH278,"&lt;="&amp;AH177)=0,"",COUNTIF($AH$155:AH278,"&lt;="&amp;AH177))</f>
        <v>100</v>
      </c>
      <c r="AJ177" s="473">
        <f>RANK(AI177,AI$155:AI278,1)</f>
        <v>2</v>
      </c>
      <c r="AK177" s="473" t="e">
        <f>INDEX(E$155:E278,MATCH(ROWS(AJ$155:AJ177),AJ$155:AJ278,0))</f>
        <v>#N/A</v>
      </c>
      <c r="AL177" s="473" t="e">
        <f>INDEX(K$155:K278,MATCH(ROWS(AJ$155:AJ177),AJ$155:AJ278,0))</f>
        <v>#N/A</v>
      </c>
      <c r="AM177" s="473" t="e">
        <f>INDEX(V$155:V278,MATCH(ROWS(AJ$155:AJ177),AJ$155:AJ278,0))</f>
        <v>#N/A</v>
      </c>
      <c r="AN177" s="473" t="e">
        <f t="shared" si="17"/>
        <v>#N/A</v>
      </c>
      <c r="AO177" s="473" t="e">
        <f t="shared" si="18"/>
        <v>#N/A</v>
      </c>
      <c r="AP177" s="473"/>
      <c r="AQ177" s="485" t="s">
        <v>1256</v>
      </c>
      <c r="AR177" s="107"/>
    </row>
    <row r="178" spans="1:44" ht="47.15" customHeight="1" x14ac:dyDescent="0.35">
      <c r="A178" s="146">
        <v>23</v>
      </c>
      <c r="B178" s="475"/>
      <c r="C178" s="475"/>
      <c r="D178" s="148"/>
      <c r="E178" s="476" t="str">
        <f>IFERROR(IF(AND(K178="",T178=""),"",(VLOOKUP(Q178,'Reference records(soft deleted)'!$B$118:$D$162,3,FALSE))),"")</f>
        <v/>
      </c>
      <c r="F178" s="477"/>
      <c r="G178" s="477"/>
      <c r="H178" s="478" t="str">
        <f>IF(R178="",IFERROR(VLOOKUP(AC178,'Reference Records'!G$413:J716,4,0),""),IFERROR(VLOOKUP(AC178,'Reference Records'!H$413:J716,3,0),""))</f>
        <v/>
      </c>
      <c r="I178" s="478"/>
      <c r="J178" s="479"/>
      <c r="K178" s="476" t="str">
        <f>IFERROR(VLOOKUP(INDEX('Reference Records'!E$412:E717,MATCH(R178,'Reference Records'!F$412:F717,0),1),'Reference Records'!B$211:C400,2,0),"")</f>
        <v/>
      </c>
      <c r="L178" s="478" t="e">
        <f>VLOOKUP(U178&amp;K178,'Reference Records'!H$212:I401,2,0)</f>
        <v>#N/A</v>
      </c>
      <c r="M178" s="478" t="e">
        <f>MATCH($L178,'Reference Records'!$E$413:$E$618,0)+ROW(Population_by_intervention) -1</f>
        <v>#N/A</v>
      </c>
      <c r="N178" s="478" t="e">
        <f>MATCH($L178,'Reference Records'!$E$413:$E$618,1)+ROW(Population_by_intervention) -1</f>
        <v>#N/A</v>
      </c>
      <c r="O178" s="478" t="e">
        <f>INDEX('Reference Records'!K$212:K401,MATCH(L178,'Reference Records'!B$212:B401,0))</f>
        <v>#N/A</v>
      </c>
      <c r="P178" s="478"/>
      <c r="Q178" s="480"/>
      <c r="R178" s="481"/>
      <c r="S178" s="478" t="str">
        <f>IFERROR(VLOOKUP(INDEX('Reference Records'!J$412:J717,MATCH(R178,'Reference Records'!F$412:F717),1),'Reference Records'!B$211:C400,2,0),"")</f>
        <v/>
      </c>
      <c r="T178" s="479"/>
      <c r="U178" s="482" t="str">
        <f>IFERROR(IF(VLOOKUP(E178,'Reference Records'!$F$159:$N$210,9,FALSE)=0,"",VLOOKUP(E178,'Reference Records'!$F$159:$N$210,9,FALSE)),"")</f>
        <v/>
      </c>
      <c r="V178" s="476" t="str">
        <f>IF(IF(Language="French",G178,F178)=0,"",IF(Language="French",G178,F178))</f>
        <v/>
      </c>
      <c r="W178" s="483" t="str">
        <f t="shared" si="8"/>
        <v/>
      </c>
      <c r="X178" s="484" t="str">
        <f t="shared" si="9"/>
        <v>a1P3p000007oOIJEA2</v>
      </c>
      <c r="Y178" s="484" t="b">
        <f t="shared" si="10"/>
        <v>0</v>
      </c>
      <c r="Z178" s="484" t="b">
        <f t="shared" si="11"/>
        <v>1</v>
      </c>
      <c r="AA178" s="484" t="str">
        <f>IF(R178="",IFERROR(VLOOKUP(AC178,'Reference Records'!G$413:J716,3,0),""),IFERROR(VLOOKUP(AC178,'Reference Records'!H$413:J716,2,0),""))</f>
        <v/>
      </c>
      <c r="AB178" s="484" t="s">
        <v>1257</v>
      </c>
      <c r="AC178" s="473" t="e">
        <f t="shared" si="12"/>
        <v>#N/A</v>
      </c>
      <c r="AD178" s="473" t="str">
        <f t="shared" si="13"/>
        <v/>
      </c>
      <c r="AE178" s="473" t="str">
        <f t="array" ref="AE178">IFERROR(IF(INDEX($W$155:$W$256, MATCH(0, IF(AD178=$E$155:$E$256, COUNTIF($AE$154:$AE177, $W$155:$W$256), ""), 0))=0,"",INDEX($W$155:$W$256, MATCH(0, IF(AD178=$E$155:$E$256, COUNTIF($AE$154:$AE177, $W$155:$W$256), ""), 0))),"")</f>
        <v/>
      </c>
      <c r="AF178" s="473" t="str">
        <f t="shared" si="14"/>
        <v>|empty|</v>
      </c>
      <c r="AG178" s="473" t="str">
        <f t="shared" si="15"/>
        <v>INT-211664</v>
      </c>
      <c r="AH178" s="473" t="e">
        <f t="shared" si="16"/>
        <v>#N/A</v>
      </c>
      <c r="AI178" s="473">
        <f>IF(COUNTIF($AH$155:AH279,"&lt;="&amp;AH178)=0,"",COUNTIF($AH$155:AH279,"&lt;="&amp;AH178))</f>
        <v>100</v>
      </c>
      <c r="AJ178" s="473">
        <f>RANK(AI178,AI$155:AI279,1)</f>
        <v>2</v>
      </c>
      <c r="AK178" s="473" t="e">
        <f>INDEX(E$155:E279,MATCH(ROWS(AJ$155:AJ178),AJ$155:AJ279,0))</f>
        <v>#N/A</v>
      </c>
      <c r="AL178" s="473" t="e">
        <f>INDEX(K$155:K279,MATCH(ROWS(AJ$155:AJ178),AJ$155:AJ279,0))</f>
        <v>#N/A</v>
      </c>
      <c r="AM178" s="473" t="e">
        <f>INDEX(V$155:V279,MATCH(ROWS(AJ$155:AJ178),AJ$155:AJ279,0))</f>
        <v>#N/A</v>
      </c>
      <c r="AN178" s="473" t="e">
        <f t="shared" si="17"/>
        <v>#N/A</v>
      </c>
      <c r="AO178" s="473" t="e">
        <f t="shared" si="18"/>
        <v>#N/A</v>
      </c>
      <c r="AP178" s="473"/>
      <c r="AQ178" s="485" t="s">
        <v>1258</v>
      </c>
      <c r="AR178" s="107"/>
    </row>
    <row r="179" spans="1:44" ht="47.15" customHeight="1" x14ac:dyDescent="0.35">
      <c r="A179" s="146">
        <v>24</v>
      </c>
      <c r="B179" s="475"/>
      <c r="C179" s="475"/>
      <c r="D179" s="148"/>
      <c r="E179" s="476" t="str">
        <f>IFERROR(IF(AND(K179="",T179=""),"",(VLOOKUP(Q179,'Reference records(soft deleted)'!$B$118:$D$162,3,FALSE))),"")</f>
        <v/>
      </c>
      <c r="F179" s="477"/>
      <c r="G179" s="477"/>
      <c r="H179" s="478" t="str">
        <f>IF(R179="",IFERROR(VLOOKUP(AC179,'Reference Records'!G$413:J717,4,0),""),IFERROR(VLOOKUP(AC179,'Reference Records'!H$413:J717,3,0),""))</f>
        <v/>
      </c>
      <c r="I179" s="478"/>
      <c r="J179" s="479"/>
      <c r="K179" s="476" t="str">
        <f>IFERROR(VLOOKUP(INDEX('Reference Records'!E$412:E718,MATCH(R179,'Reference Records'!F$412:F718,0),1),'Reference Records'!B$211:C401,2,0),"")</f>
        <v/>
      </c>
      <c r="L179" s="478" t="e">
        <f>VLOOKUP(U179&amp;K179,'Reference Records'!H$212:I402,2,0)</f>
        <v>#N/A</v>
      </c>
      <c r="M179" s="478" t="e">
        <f>MATCH($L179,'Reference Records'!$E$413:$E$618,0)+ROW(Population_by_intervention) -1</f>
        <v>#N/A</v>
      </c>
      <c r="N179" s="478" t="e">
        <f>MATCH($L179,'Reference Records'!$E$413:$E$618,1)+ROW(Population_by_intervention) -1</f>
        <v>#N/A</v>
      </c>
      <c r="O179" s="478" t="e">
        <f>INDEX('Reference Records'!K$212:K402,MATCH(L179,'Reference Records'!B$212:B402,0))</f>
        <v>#N/A</v>
      </c>
      <c r="P179" s="478"/>
      <c r="Q179" s="480"/>
      <c r="R179" s="481"/>
      <c r="S179" s="478" t="str">
        <f>IFERROR(VLOOKUP(INDEX('Reference Records'!J$412:J718,MATCH(R179,'Reference Records'!F$412:F718),1),'Reference Records'!B$211:C401,2,0),"")</f>
        <v/>
      </c>
      <c r="T179" s="479"/>
      <c r="U179" s="482" t="str">
        <f>IFERROR(IF(VLOOKUP(E179,'Reference Records'!$F$159:$N$210,9,FALSE)=0,"",VLOOKUP(E179,'Reference Records'!$F$159:$N$210,9,FALSE)),"")</f>
        <v/>
      </c>
      <c r="V179" s="476" t="str">
        <f>IF(IF(Language="French",G179,F179)=0,"",IF(Language="French",G179,F179))</f>
        <v/>
      </c>
      <c r="W179" s="483" t="str">
        <f t="shared" si="8"/>
        <v/>
      </c>
      <c r="X179" s="484" t="str">
        <f t="shared" si="9"/>
        <v>a1P3p000007oOIJEA2</v>
      </c>
      <c r="Y179" s="484" t="b">
        <f t="shared" si="10"/>
        <v>0</v>
      </c>
      <c r="Z179" s="484" t="b">
        <f t="shared" si="11"/>
        <v>1</v>
      </c>
      <c r="AA179" s="484" t="str">
        <f>IF(R179="",IFERROR(VLOOKUP(AC179,'Reference Records'!G$413:J717,3,0),""),IFERROR(VLOOKUP(AC179,'Reference Records'!H$413:J717,2,0),""))</f>
        <v/>
      </c>
      <c r="AB179" s="484" t="s">
        <v>1259</v>
      </c>
      <c r="AC179" s="473" t="e">
        <f t="shared" si="12"/>
        <v>#N/A</v>
      </c>
      <c r="AD179" s="473" t="str">
        <f t="shared" si="13"/>
        <v/>
      </c>
      <c r="AE179" s="473" t="str">
        <f t="array" ref="AE179">IFERROR(IF(INDEX($W$155:$W$256, MATCH(0, IF(AD179=$E$155:$E$256, COUNTIF($AE$154:$AE178, $W$155:$W$256), ""), 0))=0,"",INDEX($W$155:$W$256, MATCH(0, IF(AD179=$E$155:$E$256, COUNTIF($AE$154:$AE178, $W$155:$W$256), ""), 0))),"")</f>
        <v/>
      </c>
      <c r="AF179" s="473" t="str">
        <f t="shared" si="14"/>
        <v>|empty|</v>
      </c>
      <c r="AG179" s="473" t="str">
        <f t="shared" si="15"/>
        <v>INT-211714</v>
      </c>
      <c r="AH179" s="473" t="e">
        <f t="shared" si="16"/>
        <v>#N/A</v>
      </c>
      <c r="AI179" s="473">
        <f>IF(COUNTIF($AH$155:AH280,"&lt;="&amp;AH179)=0,"",COUNTIF($AH$155:AH280,"&lt;="&amp;AH179))</f>
        <v>100</v>
      </c>
      <c r="AJ179" s="473">
        <f>RANK(AI179,AI$155:AI280,1)</f>
        <v>2</v>
      </c>
      <c r="AK179" s="473" t="e">
        <f>INDEX(E$155:E280,MATCH(ROWS(AJ$155:AJ179),AJ$155:AJ280,0))</f>
        <v>#N/A</v>
      </c>
      <c r="AL179" s="473" t="e">
        <f>INDEX(K$155:K280,MATCH(ROWS(AJ$155:AJ179),AJ$155:AJ280,0))</f>
        <v>#N/A</v>
      </c>
      <c r="AM179" s="473" t="e">
        <f>INDEX(V$155:V280,MATCH(ROWS(AJ$155:AJ179),AJ$155:AJ280,0))</f>
        <v>#N/A</v>
      </c>
      <c r="AN179" s="473" t="e">
        <f t="shared" si="17"/>
        <v>#N/A</v>
      </c>
      <c r="AO179" s="473" t="e">
        <f t="shared" si="18"/>
        <v>#N/A</v>
      </c>
      <c r="AP179" s="473"/>
      <c r="AQ179" s="485" t="s">
        <v>1260</v>
      </c>
      <c r="AR179" s="107"/>
    </row>
    <row r="180" spans="1:44" ht="47.15" customHeight="1" x14ac:dyDescent="0.35">
      <c r="A180" s="146">
        <v>25</v>
      </c>
      <c r="B180" s="475"/>
      <c r="C180" s="475"/>
      <c r="D180" s="148"/>
      <c r="E180" s="476" t="str">
        <f>IFERROR(IF(AND(K180="",T180=""),"",(VLOOKUP(Q180,'Reference records(soft deleted)'!$B$118:$D$162,3,FALSE))),"")</f>
        <v/>
      </c>
      <c r="F180" s="477"/>
      <c r="G180" s="477"/>
      <c r="H180" s="478" t="str">
        <f>IF(R180="",IFERROR(VLOOKUP(AC180,'Reference Records'!G$413:J718,4,0),""),IFERROR(VLOOKUP(AC180,'Reference Records'!H$413:J718,3,0),""))</f>
        <v/>
      </c>
      <c r="I180" s="478"/>
      <c r="J180" s="479"/>
      <c r="K180" s="476" t="str">
        <f>IFERROR(VLOOKUP(INDEX('Reference Records'!E$412:E719,MATCH(R180,'Reference Records'!F$412:F719,0),1),'Reference Records'!B$211:C402,2,0),"")</f>
        <v/>
      </c>
      <c r="L180" s="478" t="e">
        <f>VLOOKUP(U180&amp;K180,'Reference Records'!H$212:I403,2,0)</f>
        <v>#N/A</v>
      </c>
      <c r="M180" s="478" t="e">
        <f>MATCH($L180,'Reference Records'!$E$413:$E$618,0)+ROW(Population_by_intervention) -1</f>
        <v>#N/A</v>
      </c>
      <c r="N180" s="478" t="e">
        <f>MATCH($L180,'Reference Records'!$E$413:$E$618,1)+ROW(Population_by_intervention) -1</f>
        <v>#N/A</v>
      </c>
      <c r="O180" s="478" t="e">
        <f>INDEX('Reference Records'!K$212:K403,MATCH(L180,'Reference Records'!B$212:B403,0))</f>
        <v>#N/A</v>
      </c>
      <c r="P180" s="478"/>
      <c r="Q180" s="480"/>
      <c r="R180" s="481"/>
      <c r="S180" s="478" t="str">
        <f>IFERROR(VLOOKUP(INDEX('Reference Records'!J$412:J719,MATCH(R180,'Reference Records'!F$412:F719),1),'Reference Records'!B$211:C402,2,0),"")</f>
        <v/>
      </c>
      <c r="T180" s="479"/>
      <c r="U180" s="482" t="str">
        <f>IFERROR(IF(VLOOKUP(E180,'Reference Records'!$F$159:$N$210,9,FALSE)=0,"",VLOOKUP(E180,'Reference Records'!$F$159:$N$210,9,FALSE)),"")</f>
        <v/>
      </c>
      <c r="V180" s="476" t="str">
        <f>IF(IF(Language="French",G180,F180)=0,"",IF(Language="French",G180,F180))</f>
        <v/>
      </c>
      <c r="W180" s="483" t="str">
        <f t="shared" si="8"/>
        <v/>
      </c>
      <c r="X180" s="484" t="str">
        <f t="shared" si="9"/>
        <v>a1P3p000007oOIJEA2</v>
      </c>
      <c r="Y180" s="484" t="b">
        <f t="shared" si="10"/>
        <v>0</v>
      </c>
      <c r="Z180" s="484" t="b">
        <f t="shared" si="11"/>
        <v>1</v>
      </c>
      <c r="AA180" s="484" t="str">
        <f>IF(R180="",IFERROR(VLOOKUP(AC180,'Reference Records'!G$413:J718,3,0),""),IFERROR(VLOOKUP(AC180,'Reference Records'!H$413:J718,2,0),""))</f>
        <v/>
      </c>
      <c r="AB180" s="484" t="s">
        <v>1261</v>
      </c>
      <c r="AC180" s="473" t="e">
        <f t="shared" si="12"/>
        <v>#N/A</v>
      </c>
      <c r="AD180" s="473" t="str">
        <f t="shared" si="13"/>
        <v/>
      </c>
      <c r="AE180" s="473" t="str">
        <f t="array" ref="AE180">IFERROR(IF(INDEX($W$155:$W$256, MATCH(0, IF(AD180=$E$155:$E$256, COUNTIF($AE$154:$AE179, $W$155:$W$256), ""), 0))=0,"",INDEX($W$155:$W$256, MATCH(0, IF(AD180=$E$155:$E$256, COUNTIF($AE$154:$AE179, $W$155:$W$256), ""), 0))),"")</f>
        <v/>
      </c>
      <c r="AF180" s="473" t="str">
        <f t="shared" si="14"/>
        <v>|empty|</v>
      </c>
      <c r="AG180" s="473" t="str">
        <f t="shared" si="15"/>
        <v>INT-211665</v>
      </c>
      <c r="AH180" s="473" t="e">
        <f t="shared" si="16"/>
        <v>#N/A</v>
      </c>
      <c r="AI180" s="473">
        <f>IF(COUNTIF($AH$155:AH281,"&lt;="&amp;AH180)=0,"",COUNTIF($AH$155:AH281,"&lt;="&amp;AH180))</f>
        <v>100</v>
      </c>
      <c r="AJ180" s="473">
        <f>RANK(AI180,AI$155:AI281,1)</f>
        <v>2</v>
      </c>
      <c r="AK180" s="473" t="e">
        <f>INDEX(E$155:E281,MATCH(ROWS(AJ$155:AJ180),AJ$155:AJ281,0))</f>
        <v>#N/A</v>
      </c>
      <c r="AL180" s="473" t="e">
        <f>INDEX(K$155:K281,MATCH(ROWS(AJ$155:AJ180),AJ$155:AJ281,0))</f>
        <v>#N/A</v>
      </c>
      <c r="AM180" s="473" t="e">
        <f>INDEX(V$155:V281,MATCH(ROWS(AJ$155:AJ180),AJ$155:AJ281,0))</f>
        <v>#N/A</v>
      </c>
      <c r="AN180" s="473" t="e">
        <f t="shared" si="17"/>
        <v>#N/A</v>
      </c>
      <c r="AO180" s="473" t="e">
        <f t="shared" si="18"/>
        <v>#N/A</v>
      </c>
      <c r="AP180" s="473"/>
      <c r="AQ180" s="485" t="s">
        <v>1262</v>
      </c>
      <c r="AR180" s="107"/>
    </row>
    <row r="181" spans="1:44" ht="47.15" customHeight="1" x14ac:dyDescent="0.35">
      <c r="A181" s="146">
        <v>26</v>
      </c>
      <c r="B181" s="475"/>
      <c r="C181" s="475"/>
      <c r="D181" s="148"/>
      <c r="E181" s="476" t="str">
        <f>IFERROR(IF(AND(K181="",T181=""),"",(VLOOKUP(Q181,'Reference records(soft deleted)'!$B$118:$D$162,3,FALSE))),"")</f>
        <v/>
      </c>
      <c r="F181" s="477"/>
      <c r="G181" s="477"/>
      <c r="H181" s="478" t="str">
        <f>IF(R181="",IFERROR(VLOOKUP(AC181,'Reference Records'!G$413:J719,4,0),""),IFERROR(VLOOKUP(AC181,'Reference Records'!H$413:J719,3,0),""))</f>
        <v/>
      </c>
      <c r="I181" s="478"/>
      <c r="J181" s="479"/>
      <c r="K181" s="476" t="str">
        <f>IFERROR(VLOOKUP(INDEX('Reference Records'!E$412:E720,MATCH(R181,'Reference Records'!F$412:F720,0),1),'Reference Records'!B$211:C403,2,0),"")</f>
        <v/>
      </c>
      <c r="L181" s="478" t="e">
        <f>VLOOKUP(U181&amp;K181,'Reference Records'!H$212:I405,2,0)</f>
        <v>#N/A</v>
      </c>
      <c r="M181" s="478" t="e">
        <f>MATCH($L181,'Reference Records'!$E$413:$E$618,0)+ROW(Population_by_intervention) -1</f>
        <v>#N/A</v>
      </c>
      <c r="N181" s="478" t="e">
        <f>MATCH($L181,'Reference Records'!$E$413:$E$618,1)+ROW(Population_by_intervention) -1</f>
        <v>#N/A</v>
      </c>
      <c r="O181" s="478" t="e">
        <f>INDEX('Reference Records'!K$212:K405,MATCH(L181,'Reference Records'!B$212:B405,0))</f>
        <v>#N/A</v>
      </c>
      <c r="P181" s="478"/>
      <c r="Q181" s="480"/>
      <c r="R181" s="481"/>
      <c r="S181" s="478" t="str">
        <f>IFERROR(VLOOKUP(INDEX('Reference Records'!J$412:J720,MATCH(R181,'Reference Records'!F$412:F720),1),'Reference Records'!B$211:C403,2,0),"")</f>
        <v/>
      </c>
      <c r="T181" s="479"/>
      <c r="U181" s="482" t="str">
        <f>IFERROR(IF(VLOOKUP(E181,'Reference Records'!$F$159:$N$210,9,FALSE)=0,"",VLOOKUP(E181,'Reference Records'!$F$159:$N$210,9,FALSE)),"")</f>
        <v/>
      </c>
      <c r="V181" s="476" t="str">
        <f>IF(IF(Language="French",G181,F181)=0,"",IF(Language="French",G181,F181))</f>
        <v/>
      </c>
      <c r="W181" s="483" t="str">
        <f t="shared" si="8"/>
        <v/>
      </c>
      <c r="X181" s="484" t="str">
        <f t="shared" si="9"/>
        <v>a1P3p000007oOIJEA2</v>
      </c>
      <c r="Y181" s="484" t="b">
        <f t="shared" si="10"/>
        <v>0</v>
      </c>
      <c r="Z181" s="484" t="b">
        <f t="shared" si="11"/>
        <v>1</v>
      </c>
      <c r="AA181" s="484" t="str">
        <f>IF(R181="",IFERROR(VLOOKUP(AC181,'Reference Records'!G$413:J719,3,0),""),IFERROR(VLOOKUP(AC181,'Reference Records'!H$413:J719,2,0),""))</f>
        <v/>
      </c>
      <c r="AB181" s="484" t="s">
        <v>1263</v>
      </c>
      <c r="AC181" s="473" t="e">
        <f t="shared" si="12"/>
        <v>#N/A</v>
      </c>
      <c r="AD181" s="473" t="str">
        <f t="shared" si="13"/>
        <v/>
      </c>
      <c r="AE181" s="473" t="str">
        <f t="array" ref="AE181">IFERROR(IF(INDEX($W$155:$W$256, MATCH(0, IF(AD181=$E$155:$E$256, COUNTIF($AE$154:$AE180, $W$155:$W$256), ""), 0))=0,"",INDEX($W$155:$W$256, MATCH(0, IF(AD181=$E$155:$E$256, COUNTIF($AE$154:$AE180, $W$155:$W$256), ""), 0))),"")</f>
        <v/>
      </c>
      <c r="AF181" s="473" t="str">
        <f t="shared" si="14"/>
        <v>|empty|</v>
      </c>
      <c r="AG181" s="473" t="str">
        <f t="shared" si="15"/>
        <v>INT-211715</v>
      </c>
      <c r="AH181" s="473" t="e">
        <f t="shared" si="16"/>
        <v>#N/A</v>
      </c>
      <c r="AI181" s="473">
        <f>IF(COUNTIF($AH$155:AH282,"&lt;="&amp;AH181)=0,"",COUNTIF($AH$155:AH282,"&lt;="&amp;AH181))</f>
        <v>100</v>
      </c>
      <c r="AJ181" s="473">
        <f>RANK(AI181,AI$155:AI282,1)</f>
        <v>2</v>
      </c>
      <c r="AK181" s="473" t="e">
        <f>INDEX(E$155:E282,MATCH(ROWS(AJ$155:AJ181),AJ$155:AJ282,0))</f>
        <v>#N/A</v>
      </c>
      <c r="AL181" s="473" t="e">
        <f>INDEX(K$155:K282,MATCH(ROWS(AJ$155:AJ181),AJ$155:AJ282,0))</f>
        <v>#N/A</v>
      </c>
      <c r="AM181" s="473" t="e">
        <f>INDEX(V$155:V282,MATCH(ROWS(AJ$155:AJ181),AJ$155:AJ282,0))</f>
        <v>#N/A</v>
      </c>
      <c r="AN181" s="473" t="e">
        <f t="shared" si="17"/>
        <v>#N/A</v>
      </c>
      <c r="AO181" s="473" t="e">
        <f t="shared" si="18"/>
        <v>#N/A</v>
      </c>
      <c r="AP181" s="473"/>
      <c r="AQ181" s="485" t="s">
        <v>1264</v>
      </c>
      <c r="AR181" s="107"/>
    </row>
    <row r="182" spans="1:44" ht="47.15" customHeight="1" x14ac:dyDescent="0.35">
      <c r="A182" s="146">
        <v>27</v>
      </c>
      <c r="B182" s="475"/>
      <c r="C182" s="475"/>
      <c r="D182" s="148"/>
      <c r="E182" s="476" t="str">
        <f>IFERROR(IF(AND(K182="",T182=""),"",(VLOOKUP(Q182,'Reference records(soft deleted)'!$B$118:$D$162,3,FALSE))),"")</f>
        <v/>
      </c>
      <c r="F182" s="477"/>
      <c r="G182" s="477"/>
      <c r="H182" s="478" t="str">
        <f>IF(R182="",IFERROR(VLOOKUP(AC182,'Reference Records'!G$413:J720,4,0),""),IFERROR(VLOOKUP(AC182,'Reference Records'!H$413:J720,3,0),""))</f>
        <v/>
      </c>
      <c r="I182" s="478"/>
      <c r="J182" s="479"/>
      <c r="K182" s="476" t="str">
        <f>IFERROR(VLOOKUP(INDEX('Reference Records'!E$412:E721,MATCH(R182,'Reference Records'!F$412:F721,0),1),'Reference Records'!B$211:C405,2,0),"")</f>
        <v/>
      </c>
      <c r="L182" s="478" t="e">
        <f>VLOOKUP(U182&amp;K182,'Reference Records'!H$212:I406,2,0)</f>
        <v>#N/A</v>
      </c>
      <c r="M182" s="478" t="e">
        <f>MATCH($L182,'Reference Records'!$E$413:$E$618,0)+ROW(Population_by_intervention) -1</f>
        <v>#N/A</v>
      </c>
      <c r="N182" s="478" t="e">
        <f>MATCH($L182,'Reference Records'!$E$413:$E$618,1)+ROW(Population_by_intervention) -1</f>
        <v>#N/A</v>
      </c>
      <c r="O182" s="478" t="e">
        <f>INDEX('Reference Records'!K$212:K406,MATCH(L182,'Reference Records'!B$212:B406,0))</f>
        <v>#N/A</v>
      </c>
      <c r="P182" s="478"/>
      <c r="Q182" s="480"/>
      <c r="R182" s="481"/>
      <c r="S182" s="478" t="str">
        <f>IFERROR(VLOOKUP(INDEX('Reference Records'!J$412:J721,MATCH(R182,'Reference Records'!F$412:F721),1),'Reference Records'!B$211:C405,2,0),"")</f>
        <v/>
      </c>
      <c r="T182" s="479"/>
      <c r="U182" s="482" t="str">
        <f>IFERROR(IF(VLOOKUP(E182,'Reference Records'!$F$159:$N$210,9,FALSE)=0,"",VLOOKUP(E182,'Reference Records'!$F$159:$N$210,9,FALSE)),"")</f>
        <v/>
      </c>
      <c r="V182" s="476" t="str">
        <f>IF(IF(Language="French",G182,F182)=0,"",IF(Language="French",G182,F182))</f>
        <v/>
      </c>
      <c r="W182" s="483" t="str">
        <f t="shared" si="8"/>
        <v/>
      </c>
      <c r="X182" s="484" t="str">
        <f t="shared" si="9"/>
        <v>a1P3p000007oOIJEA2</v>
      </c>
      <c r="Y182" s="484" t="b">
        <f t="shared" si="10"/>
        <v>0</v>
      </c>
      <c r="Z182" s="484" t="b">
        <f t="shared" si="11"/>
        <v>1</v>
      </c>
      <c r="AA182" s="484" t="str">
        <f>IF(R182="",IFERROR(VLOOKUP(AC182,'Reference Records'!G$413:J720,3,0),""),IFERROR(VLOOKUP(AC182,'Reference Records'!H$413:J720,2,0),""))</f>
        <v/>
      </c>
      <c r="AB182" s="484" t="s">
        <v>1265</v>
      </c>
      <c r="AC182" s="473" t="e">
        <f t="shared" si="12"/>
        <v>#N/A</v>
      </c>
      <c r="AD182" s="473" t="str">
        <f t="shared" si="13"/>
        <v/>
      </c>
      <c r="AE182" s="473" t="str">
        <f t="array" ref="AE182">IFERROR(IF(INDEX($W$155:$W$256, MATCH(0, IF(AD182=$E$155:$E$256, COUNTIF($AE$154:$AE181, $W$155:$W$256), ""), 0))=0,"",INDEX($W$155:$W$256, MATCH(0, IF(AD182=$E$155:$E$256, COUNTIF($AE$154:$AE181, $W$155:$W$256), ""), 0))),"")</f>
        <v/>
      </c>
      <c r="AF182" s="473" t="str">
        <f t="shared" si="14"/>
        <v>|empty|</v>
      </c>
      <c r="AG182" s="473" t="str">
        <f t="shared" si="15"/>
        <v>INT-211666</v>
      </c>
      <c r="AH182" s="473" t="e">
        <f t="shared" si="16"/>
        <v>#N/A</v>
      </c>
      <c r="AI182" s="473">
        <f>IF(COUNTIF($AH$155:AH283,"&lt;="&amp;AH182)=0,"",COUNTIF($AH$155:AH283,"&lt;="&amp;AH182))</f>
        <v>100</v>
      </c>
      <c r="AJ182" s="473">
        <f>RANK(AI182,AI$155:AI283,1)</f>
        <v>2</v>
      </c>
      <c r="AK182" s="473" t="e">
        <f>INDEX(E$155:E283,MATCH(ROWS(AJ$155:AJ182),AJ$155:AJ283,0))</f>
        <v>#N/A</v>
      </c>
      <c r="AL182" s="473" t="e">
        <f>INDEX(K$155:K283,MATCH(ROWS(AJ$155:AJ182),AJ$155:AJ283,0))</f>
        <v>#N/A</v>
      </c>
      <c r="AM182" s="473" t="e">
        <f>INDEX(V$155:V283,MATCH(ROWS(AJ$155:AJ182),AJ$155:AJ283,0))</f>
        <v>#N/A</v>
      </c>
      <c r="AN182" s="473" t="e">
        <f t="shared" si="17"/>
        <v>#N/A</v>
      </c>
      <c r="AO182" s="473" t="e">
        <f t="shared" si="18"/>
        <v>#N/A</v>
      </c>
      <c r="AP182" s="473"/>
      <c r="AQ182" s="485" t="s">
        <v>1266</v>
      </c>
      <c r="AR182" s="107"/>
    </row>
    <row r="183" spans="1:44" ht="47.15" customHeight="1" x14ac:dyDescent="0.35">
      <c r="A183" s="146">
        <v>28</v>
      </c>
      <c r="B183" s="475"/>
      <c r="C183" s="475"/>
      <c r="D183" s="148"/>
      <c r="E183" s="476" t="str">
        <f>IFERROR(IF(AND(K183="",T183=""),"",(VLOOKUP(Q183,'Reference records(soft deleted)'!$B$118:$D$162,3,FALSE))),"")</f>
        <v/>
      </c>
      <c r="F183" s="477"/>
      <c r="G183" s="477"/>
      <c r="H183" s="478" t="str">
        <f>IF(R183="",IFERROR(VLOOKUP(AC183,'Reference Records'!G$413:J721,4,0),""),IFERROR(VLOOKUP(AC183,'Reference Records'!H$413:J721,3,0),""))</f>
        <v/>
      </c>
      <c r="I183" s="478"/>
      <c r="J183" s="479"/>
      <c r="K183" s="476" t="str">
        <f>IFERROR(VLOOKUP(INDEX('Reference Records'!E$412:E722,MATCH(R183,'Reference Records'!F$412:F722,0),1),'Reference Records'!B$211:C406,2,0),"")</f>
        <v/>
      </c>
      <c r="L183" s="478" t="e">
        <f>VLOOKUP(U183&amp;K183,'Reference Records'!H$212:I407,2,0)</f>
        <v>#N/A</v>
      </c>
      <c r="M183" s="478" t="e">
        <f>MATCH($L183,'Reference Records'!$E$413:$E$618,0)+ROW(Population_by_intervention) -1</f>
        <v>#N/A</v>
      </c>
      <c r="N183" s="478" t="e">
        <f>MATCH($L183,'Reference Records'!$E$413:$E$618,1)+ROW(Population_by_intervention) -1</f>
        <v>#N/A</v>
      </c>
      <c r="O183" s="478" t="e">
        <f>INDEX('Reference Records'!K$212:K407,MATCH(L183,'Reference Records'!B$212:B407,0))</f>
        <v>#N/A</v>
      </c>
      <c r="P183" s="478"/>
      <c r="Q183" s="480"/>
      <c r="R183" s="481"/>
      <c r="S183" s="478" t="str">
        <f>IFERROR(VLOOKUP(INDEX('Reference Records'!J$412:J722,MATCH(R183,'Reference Records'!F$412:F722),1),'Reference Records'!B$211:C406,2,0),"")</f>
        <v/>
      </c>
      <c r="T183" s="479"/>
      <c r="U183" s="482" t="str">
        <f>IFERROR(IF(VLOOKUP(E183,'Reference Records'!$F$159:$N$210,9,FALSE)=0,"",VLOOKUP(E183,'Reference Records'!$F$159:$N$210,9,FALSE)),"")</f>
        <v/>
      </c>
      <c r="V183" s="476" t="str">
        <f>IF(IF(Language="French",G183,F183)=0,"",IF(Language="French",G183,F183))</f>
        <v/>
      </c>
      <c r="W183" s="483" t="str">
        <f t="shared" si="8"/>
        <v/>
      </c>
      <c r="X183" s="484" t="str">
        <f t="shared" si="9"/>
        <v>a1P3p000007oOIJEA2</v>
      </c>
      <c r="Y183" s="484" t="b">
        <f t="shared" si="10"/>
        <v>0</v>
      </c>
      <c r="Z183" s="484" t="b">
        <f t="shared" si="11"/>
        <v>1</v>
      </c>
      <c r="AA183" s="484" t="str">
        <f>IF(R183="",IFERROR(VLOOKUP(AC183,'Reference Records'!G$413:J721,3,0),""),IFERROR(VLOOKUP(AC183,'Reference Records'!H$413:J721,2,0),""))</f>
        <v/>
      </c>
      <c r="AB183" s="484" t="s">
        <v>1267</v>
      </c>
      <c r="AC183" s="473" t="e">
        <f t="shared" si="12"/>
        <v>#N/A</v>
      </c>
      <c r="AD183" s="473" t="str">
        <f t="shared" si="13"/>
        <v/>
      </c>
      <c r="AE183" s="473" t="str">
        <f t="array" ref="AE183">IFERROR(IF(INDEX($W$155:$W$256, MATCH(0, IF(AD183=$E$155:$E$256, COUNTIF($AE$154:$AE182, $W$155:$W$256), ""), 0))=0,"",INDEX($W$155:$W$256, MATCH(0, IF(AD183=$E$155:$E$256, COUNTIF($AE$154:$AE182, $W$155:$W$256), ""), 0))),"")</f>
        <v/>
      </c>
      <c r="AF183" s="473" t="str">
        <f t="shared" si="14"/>
        <v>|empty|</v>
      </c>
      <c r="AG183" s="473" t="str">
        <f t="shared" si="15"/>
        <v>INT-211716</v>
      </c>
      <c r="AH183" s="473" t="e">
        <f t="shared" si="16"/>
        <v>#N/A</v>
      </c>
      <c r="AI183" s="473">
        <f>IF(COUNTIF($AH$155:AH284,"&lt;="&amp;AH183)=0,"",COUNTIF($AH$155:AH284,"&lt;="&amp;AH183))</f>
        <v>100</v>
      </c>
      <c r="AJ183" s="473">
        <f>RANK(AI183,AI$155:AI284,1)</f>
        <v>2</v>
      </c>
      <c r="AK183" s="473" t="e">
        <f>INDEX(E$155:E284,MATCH(ROWS(AJ$155:AJ183),AJ$155:AJ284,0))</f>
        <v>#N/A</v>
      </c>
      <c r="AL183" s="473" t="e">
        <f>INDEX(K$155:K284,MATCH(ROWS(AJ$155:AJ183),AJ$155:AJ284,0))</f>
        <v>#N/A</v>
      </c>
      <c r="AM183" s="473" t="e">
        <f>INDEX(V$155:V284,MATCH(ROWS(AJ$155:AJ183),AJ$155:AJ284,0))</f>
        <v>#N/A</v>
      </c>
      <c r="AN183" s="473" t="e">
        <f t="shared" si="17"/>
        <v>#N/A</v>
      </c>
      <c r="AO183" s="473" t="e">
        <f t="shared" si="18"/>
        <v>#N/A</v>
      </c>
      <c r="AP183" s="473"/>
      <c r="AQ183" s="485" t="s">
        <v>1268</v>
      </c>
      <c r="AR183" s="107"/>
    </row>
    <row r="184" spans="1:44" ht="47.15" customHeight="1" x14ac:dyDescent="0.35">
      <c r="A184" s="146">
        <v>29</v>
      </c>
      <c r="B184" s="475"/>
      <c r="C184" s="475"/>
      <c r="D184" s="148"/>
      <c r="E184" s="476" t="str">
        <f>IFERROR(IF(AND(K184="",T184=""),"",(VLOOKUP(Q184,'Reference records(soft deleted)'!$B$118:$D$162,3,FALSE))),"")</f>
        <v/>
      </c>
      <c r="F184" s="477"/>
      <c r="G184" s="477"/>
      <c r="H184" s="478" t="str">
        <f>IF(R184="",IFERROR(VLOOKUP(AC184,'Reference Records'!G$413:J722,4,0),""),IFERROR(VLOOKUP(AC184,'Reference Records'!H$413:J722,3,0),""))</f>
        <v/>
      </c>
      <c r="I184" s="478"/>
      <c r="J184" s="479"/>
      <c r="K184" s="476" t="str">
        <f>IFERROR(VLOOKUP(INDEX('Reference Records'!E$412:E723,MATCH(R184,'Reference Records'!F$412:F723,0),1),'Reference Records'!B$211:C407,2,0),"")</f>
        <v/>
      </c>
      <c r="L184" s="478" t="e">
        <f>VLOOKUP(U184&amp;K184,'Reference Records'!H$212:I408,2,0)</f>
        <v>#N/A</v>
      </c>
      <c r="M184" s="478" t="e">
        <f>MATCH($L184,'Reference Records'!$E$413:$E$618,0)+ROW(Population_by_intervention) -1</f>
        <v>#N/A</v>
      </c>
      <c r="N184" s="478" t="e">
        <f>MATCH($L184,'Reference Records'!$E$413:$E$618,1)+ROW(Population_by_intervention) -1</f>
        <v>#N/A</v>
      </c>
      <c r="O184" s="478" t="e">
        <f>INDEX('Reference Records'!K$212:K408,MATCH(L184,'Reference Records'!B$212:B408,0))</f>
        <v>#N/A</v>
      </c>
      <c r="P184" s="478"/>
      <c r="Q184" s="480"/>
      <c r="R184" s="481"/>
      <c r="S184" s="478" t="str">
        <f>IFERROR(VLOOKUP(INDEX('Reference Records'!J$412:J723,MATCH(R184,'Reference Records'!F$412:F723),1),'Reference Records'!B$211:C407,2,0),"")</f>
        <v/>
      </c>
      <c r="T184" s="479"/>
      <c r="U184" s="482" t="str">
        <f>IFERROR(IF(VLOOKUP(E184,'Reference Records'!$F$159:$N$210,9,FALSE)=0,"",VLOOKUP(E184,'Reference Records'!$F$159:$N$210,9,FALSE)),"")</f>
        <v/>
      </c>
      <c r="V184" s="476" t="str">
        <f>IF(IF(Language="French",G184,F184)=0,"",IF(Language="French",G184,F184))</f>
        <v/>
      </c>
      <c r="W184" s="483" t="str">
        <f t="shared" si="8"/>
        <v/>
      </c>
      <c r="X184" s="484" t="str">
        <f t="shared" si="9"/>
        <v>a1P3p000007oOIJEA2</v>
      </c>
      <c r="Y184" s="484" t="b">
        <f t="shared" si="10"/>
        <v>0</v>
      </c>
      <c r="Z184" s="484" t="b">
        <f t="shared" si="11"/>
        <v>1</v>
      </c>
      <c r="AA184" s="484" t="str">
        <f>IF(R184="",IFERROR(VLOOKUP(AC184,'Reference Records'!G$413:J722,3,0),""),IFERROR(VLOOKUP(AC184,'Reference Records'!H$413:J722,2,0),""))</f>
        <v/>
      </c>
      <c r="AB184" s="484" t="s">
        <v>1269</v>
      </c>
      <c r="AC184" s="473" t="e">
        <f t="shared" si="12"/>
        <v>#N/A</v>
      </c>
      <c r="AD184" s="473" t="str">
        <f t="shared" si="13"/>
        <v/>
      </c>
      <c r="AE184" s="473" t="str">
        <f t="array" ref="AE184">IFERROR(IF(INDEX($W$155:$W$256, MATCH(0, IF(AD184=$E$155:$E$256, COUNTIF($AE$154:$AE183, $W$155:$W$256), ""), 0))=0,"",INDEX($W$155:$W$256, MATCH(0, IF(AD184=$E$155:$E$256, COUNTIF($AE$154:$AE183, $W$155:$W$256), ""), 0))),"")</f>
        <v/>
      </c>
      <c r="AF184" s="473" t="str">
        <f t="shared" si="14"/>
        <v>|empty|</v>
      </c>
      <c r="AG184" s="473" t="str">
        <f t="shared" si="15"/>
        <v>INT-211667</v>
      </c>
      <c r="AH184" s="473" t="e">
        <f t="shared" si="16"/>
        <v>#N/A</v>
      </c>
      <c r="AI184" s="473">
        <f>IF(COUNTIF($AH$155:AH285,"&lt;="&amp;AH184)=0,"",COUNTIF($AH$155:AH285,"&lt;="&amp;AH184))</f>
        <v>100</v>
      </c>
      <c r="AJ184" s="473">
        <f>RANK(AI184,AI$155:AI285,1)</f>
        <v>2</v>
      </c>
      <c r="AK184" s="473" t="e">
        <f>INDEX(E$155:E285,MATCH(ROWS(AJ$155:AJ184),AJ$155:AJ285,0))</f>
        <v>#N/A</v>
      </c>
      <c r="AL184" s="473" t="e">
        <f>INDEX(K$155:K285,MATCH(ROWS(AJ$155:AJ184),AJ$155:AJ285,0))</f>
        <v>#N/A</v>
      </c>
      <c r="AM184" s="473" t="e">
        <f>INDEX(V$155:V285,MATCH(ROWS(AJ$155:AJ184),AJ$155:AJ285,0))</f>
        <v>#N/A</v>
      </c>
      <c r="AN184" s="473" t="e">
        <f t="shared" si="17"/>
        <v>#N/A</v>
      </c>
      <c r="AO184" s="473" t="e">
        <f t="shared" si="18"/>
        <v>#N/A</v>
      </c>
      <c r="AP184" s="473"/>
      <c r="AQ184" s="485" t="s">
        <v>1270</v>
      </c>
      <c r="AR184" s="107"/>
    </row>
    <row r="185" spans="1:44" ht="47.15" customHeight="1" x14ac:dyDescent="0.35">
      <c r="A185" s="146">
        <v>30</v>
      </c>
      <c r="B185" s="475"/>
      <c r="C185" s="475"/>
      <c r="D185" s="148"/>
      <c r="E185" s="476" t="str">
        <f>IFERROR(IF(AND(K185="",T185=""),"",(VLOOKUP(Q185,'Reference records(soft deleted)'!$B$118:$D$162,3,FALSE))),"")</f>
        <v/>
      </c>
      <c r="F185" s="477"/>
      <c r="G185" s="477"/>
      <c r="H185" s="478" t="str">
        <f>IF(R185="",IFERROR(VLOOKUP(AC185,'Reference Records'!G$413:J723,4,0),""),IFERROR(VLOOKUP(AC185,'Reference Records'!H$413:J723,3,0),""))</f>
        <v/>
      </c>
      <c r="I185" s="478"/>
      <c r="J185" s="479"/>
      <c r="K185" s="476" t="str">
        <f>IFERROR(VLOOKUP(INDEX('Reference Records'!E$412:E724,MATCH(R185,'Reference Records'!F$412:F724,0),1),'Reference Records'!B$211:C408,2,0),"")</f>
        <v/>
      </c>
      <c r="L185" s="478" t="e">
        <f>VLOOKUP(U185&amp;K185,'Reference Records'!H$212:I409,2,0)</f>
        <v>#N/A</v>
      </c>
      <c r="M185" s="478" t="e">
        <f>MATCH($L185,'Reference Records'!$E$413:$E$618,0)+ROW(Population_by_intervention) -1</f>
        <v>#N/A</v>
      </c>
      <c r="N185" s="478" t="e">
        <f>MATCH($L185,'Reference Records'!$E$413:$E$618,1)+ROW(Population_by_intervention) -1</f>
        <v>#N/A</v>
      </c>
      <c r="O185" s="478" t="e">
        <f>INDEX('Reference Records'!K$212:K409,MATCH(L185,'Reference Records'!B$212:B409,0))</f>
        <v>#N/A</v>
      </c>
      <c r="P185" s="478"/>
      <c r="Q185" s="480"/>
      <c r="R185" s="481"/>
      <c r="S185" s="478" t="str">
        <f>IFERROR(VLOOKUP(INDEX('Reference Records'!J$412:J724,MATCH(R185,'Reference Records'!F$412:F724),1),'Reference Records'!B$211:C408,2,0),"")</f>
        <v/>
      </c>
      <c r="T185" s="479"/>
      <c r="U185" s="482" t="str">
        <f>IFERROR(IF(VLOOKUP(E185,'Reference Records'!$F$159:$N$210,9,FALSE)=0,"",VLOOKUP(E185,'Reference Records'!$F$159:$N$210,9,FALSE)),"")</f>
        <v/>
      </c>
      <c r="V185" s="476" t="str">
        <f>IF(IF(Language="French",G185,F185)=0,"",IF(Language="French",G185,F185))</f>
        <v/>
      </c>
      <c r="W185" s="483" t="str">
        <f t="shared" si="8"/>
        <v/>
      </c>
      <c r="X185" s="484" t="str">
        <f t="shared" si="9"/>
        <v>a1P3p000007oOIJEA2</v>
      </c>
      <c r="Y185" s="484" t="b">
        <f t="shared" si="10"/>
        <v>0</v>
      </c>
      <c r="Z185" s="484" t="b">
        <f t="shared" si="11"/>
        <v>1</v>
      </c>
      <c r="AA185" s="484" t="str">
        <f>IF(R185="",IFERROR(VLOOKUP(AC185,'Reference Records'!G$413:J723,3,0),""),IFERROR(VLOOKUP(AC185,'Reference Records'!H$413:J723,2,0),""))</f>
        <v/>
      </c>
      <c r="AB185" s="484" t="s">
        <v>1271</v>
      </c>
      <c r="AC185" s="473" t="e">
        <f t="shared" si="12"/>
        <v>#N/A</v>
      </c>
      <c r="AD185" s="473" t="str">
        <f t="shared" si="13"/>
        <v/>
      </c>
      <c r="AE185" s="473" t="str">
        <f t="array" ref="AE185">IFERROR(IF(INDEX($W$155:$W$256, MATCH(0, IF(AD185=$E$155:$E$256, COUNTIF($AE$154:$AE184, $W$155:$W$256), ""), 0))=0,"",INDEX($W$155:$W$256, MATCH(0, IF(AD185=$E$155:$E$256, COUNTIF($AE$154:$AE184, $W$155:$W$256), ""), 0))),"")</f>
        <v/>
      </c>
      <c r="AF185" s="473" t="str">
        <f t="shared" si="14"/>
        <v>|empty|</v>
      </c>
      <c r="AG185" s="473" t="str">
        <f t="shared" si="15"/>
        <v>INT-211717</v>
      </c>
      <c r="AH185" s="473" t="e">
        <f t="shared" si="16"/>
        <v>#N/A</v>
      </c>
      <c r="AI185" s="473">
        <f>IF(COUNTIF($AH$155:AH286,"&lt;="&amp;AH185)=0,"",COUNTIF($AH$155:AH286,"&lt;="&amp;AH185))</f>
        <v>100</v>
      </c>
      <c r="AJ185" s="473">
        <f>RANK(AI185,AI$155:AI286,1)</f>
        <v>2</v>
      </c>
      <c r="AK185" s="473" t="e">
        <f>INDEX(E$155:E286,MATCH(ROWS(AJ$155:AJ185),AJ$155:AJ286,0))</f>
        <v>#N/A</v>
      </c>
      <c r="AL185" s="473" t="e">
        <f>INDEX(K$155:K286,MATCH(ROWS(AJ$155:AJ185),AJ$155:AJ286,0))</f>
        <v>#N/A</v>
      </c>
      <c r="AM185" s="473" t="e">
        <f>INDEX(V$155:V286,MATCH(ROWS(AJ$155:AJ185),AJ$155:AJ286,0))</f>
        <v>#N/A</v>
      </c>
      <c r="AN185" s="473" t="e">
        <f t="shared" si="17"/>
        <v>#N/A</v>
      </c>
      <c r="AO185" s="473" t="e">
        <f t="shared" si="18"/>
        <v>#N/A</v>
      </c>
      <c r="AP185" s="473"/>
      <c r="AQ185" s="485" t="s">
        <v>1272</v>
      </c>
      <c r="AR185" s="107"/>
    </row>
    <row r="186" spans="1:44" ht="47.15" customHeight="1" x14ac:dyDescent="0.35">
      <c r="A186" s="146">
        <v>31</v>
      </c>
      <c r="B186" s="475"/>
      <c r="C186" s="475"/>
      <c r="D186" s="148"/>
      <c r="E186" s="476" t="str">
        <f>IFERROR(IF(AND(K186="",T186=""),"",(VLOOKUP(Q186,'Reference records(soft deleted)'!$B$118:$D$162,3,FALSE))),"")</f>
        <v/>
      </c>
      <c r="F186" s="477"/>
      <c r="G186" s="477"/>
      <c r="H186" s="478" t="str">
        <f>IF(R186="",IFERROR(VLOOKUP(AC186,'Reference Records'!G$413:J724,4,0),""),IFERROR(VLOOKUP(AC186,'Reference Records'!H$413:J724,3,0),""))</f>
        <v/>
      </c>
      <c r="I186" s="478"/>
      <c r="J186" s="479"/>
      <c r="K186" s="476" t="str">
        <f>IFERROR(VLOOKUP(INDEX('Reference Records'!E$412:E725,MATCH(R186,'Reference Records'!F$412:F725,0),1),'Reference Records'!B$211:C409,2,0),"")</f>
        <v/>
      </c>
      <c r="L186" s="478" t="e">
        <f>VLOOKUP(U186&amp;K186,'Reference Records'!H$212:I410,2,0)</f>
        <v>#N/A</v>
      </c>
      <c r="M186" s="478" t="e">
        <f>MATCH($L186,'Reference Records'!$E$413:$E$618,0)+ROW(Population_by_intervention) -1</f>
        <v>#N/A</v>
      </c>
      <c r="N186" s="478" t="e">
        <f>MATCH($L186,'Reference Records'!$E$413:$E$618,1)+ROW(Population_by_intervention) -1</f>
        <v>#N/A</v>
      </c>
      <c r="O186" s="478" t="e">
        <f>INDEX('Reference Records'!K$212:K410,MATCH(L186,'Reference Records'!B$212:B410,0))</f>
        <v>#N/A</v>
      </c>
      <c r="P186" s="478"/>
      <c r="Q186" s="480"/>
      <c r="R186" s="481"/>
      <c r="S186" s="478" t="str">
        <f>IFERROR(VLOOKUP(INDEX('Reference Records'!J$412:J725,MATCH(R186,'Reference Records'!F$412:F725),1),'Reference Records'!B$211:C409,2,0),"")</f>
        <v/>
      </c>
      <c r="T186" s="479"/>
      <c r="U186" s="482" t="str">
        <f>IFERROR(IF(VLOOKUP(E186,'Reference Records'!$F$159:$N$210,9,FALSE)=0,"",VLOOKUP(E186,'Reference Records'!$F$159:$N$210,9,FALSE)),"")</f>
        <v/>
      </c>
      <c r="V186" s="476" t="str">
        <f>IF(IF(Language="French",G186,F186)=0,"",IF(Language="French",G186,F186))</f>
        <v/>
      </c>
      <c r="W186" s="483" t="str">
        <f t="shared" si="8"/>
        <v/>
      </c>
      <c r="X186" s="484" t="str">
        <f t="shared" si="9"/>
        <v>a1P3p000007oOIJEA2</v>
      </c>
      <c r="Y186" s="484" t="b">
        <f t="shared" si="10"/>
        <v>0</v>
      </c>
      <c r="Z186" s="484" t="b">
        <f t="shared" si="11"/>
        <v>1</v>
      </c>
      <c r="AA186" s="484" t="str">
        <f>IF(R186="",IFERROR(VLOOKUP(AC186,'Reference Records'!G$413:J724,3,0),""),IFERROR(VLOOKUP(AC186,'Reference Records'!H$413:J724,2,0),""))</f>
        <v/>
      </c>
      <c r="AB186" s="484" t="s">
        <v>1273</v>
      </c>
      <c r="AC186" s="473" t="e">
        <f t="shared" si="12"/>
        <v>#N/A</v>
      </c>
      <c r="AD186" s="473" t="str">
        <f t="shared" si="13"/>
        <v/>
      </c>
      <c r="AE186" s="473" t="str">
        <f t="array" ref="AE186">IFERROR(IF(INDEX($W$155:$W$256, MATCH(0, IF(AD186=$E$155:$E$256, COUNTIF($AE$154:$AE185, $W$155:$W$256), ""), 0))=0,"",INDEX($W$155:$W$256, MATCH(0, IF(AD186=$E$155:$E$256, COUNTIF($AE$154:$AE185, $W$155:$W$256), ""), 0))),"")</f>
        <v/>
      </c>
      <c r="AF186" s="473" t="str">
        <f t="shared" si="14"/>
        <v>|empty|</v>
      </c>
      <c r="AG186" s="473" t="str">
        <f t="shared" si="15"/>
        <v>INT-211668</v>
      </c>
      <c r="AH186" s="473" t="e">
        <f t="shared" si="16"/>
        <v>#N/A</v>
      </c>
      <c r="AI186" s="473">
        <f>IF(COUNTIF($AH$155:AH287,"&lt;="&amp;AH186)=0,"",COUNTIF($AH$155:AH287,"&lt;="&amp;AH186))</f>
        <v>100</v>
      </c>
      <c r="AJ186" s="473">
        <f>RANK(AI186,AI$155:AI287,1)</f>
        <v>2</v>
      </c>
      <c r="AK186" s="473" t="e">
        <f>INDEX(E$155:E287,MATCH(ROWS(AJ$155:AJ186),AJ$155:AJ287,0))</f>
        <v>#N/A</v>
      </c>
      <c r="AL186" s="473" t="e">
        <f>INDEX(K$155:K287,MATCH(ROWS(AJ$155:AJ186),AJ$155:AJ287,0))</f>
        <v>#N/A</v>
      </c>
      <c r="AM186" s="473" t="e">
        <f>INDEX(V$155:V287,MATCH(ROWS(AJ$155:AJ186),AJ$155:AJ287,0))</f>
        <v>#N/A</v>
      </c>
      <c r="AN186" s="473" t="e">
        <f t="shared" si="17"/>
        <v>#N/A</v>
      </c>
      <c r="AO186" s="473" t="e">
        <f t="shared" si="18"/>
        <v>#N/A</v>
      </c>
      <c r="AP186" s="473"/>
      <c r="AQ186" s="485" t="s">
        <v>1274</v>
      </c>
      <c r="AR186" s="107"/>
    </row>
    <row r="187" spans="1:44" ht="47.15" customHeight="1" x14ac:dyDescent="0.35">
      <c r="A187" s="146">
        <v>32</v>
      </c>
      <c r="B187" s="475"/>
      <c r="C187" s="475"/>
      <c r="D187" s="148"/>
      <c r="E187" s="476" t="str">
        <f>IFERROR(IF(AND(K187="",T187=""),"",(VLOOKUP(Q187,'Reference records(soft deleted)'!$B$118:$D$162,3,FALSE))),"")</f>
        <v/>
      </c>
      <c r="F187" s="477"/>
      <c r="G187" s="477"/>
      <c r="H187" s="478" t="str">
        <f>IF(R187="",IFERROR(VLOOKUP(AC187,'Reference Records'!G$413:J725,4,0),""),IFERROR(VLOOKUP(AC187,'Reference Records'!H$413:J725,3,0),""))</f>
        <v/>
      </c>
      <c r="I187" s="478"/>
      <c r="J187" s="479"/>
      <c r="K187" s="476" t="str">
        <f>IFERROR(VLOOKUP(INDEX('Reference Records'!E$412:E726,MATCH(R187,'Reference Records'!F$412:F726,0),1),'Reference Records'!B$211:C410,2,0),"")</f>
        <v/>
      </c>
      <c r="L187" s="478" t="e">
        <f>VLOOKUP(U187&amp;K187,'Reference Records'!H$212:I411,2,0)</f>
        <v>#N/A</v>
      </c>
      <c r="M187" s="478" t="e">
        <f>MATCH($L187,'Reference Records'!$E$413:$E$618,0)+ROW(Population_by_intervention) -1</f>
        <v>#N/A</v>
      </c>
      <c r="N187" s="478" t="e">
        <f>MATCH($L187,'Reference Records'!$E$413:$E$618,1)+ROW(Population_by_intervention) -1</f>
        <v>#N/A</v>
      </c>
      <c r="O187" s="478" t="e">
        <f>INDEX('Reference Records'!K$212:K411,MATCH(L187,'Reference Records'!B$212:B411,0))</f>
        <v>#N/A</v>
      </c>
      <c r="P187" s="478"/>
      <c r="Q187" s="480"/>
      <c r="R187" s="481"/>
      <c r="S187" s="478" t="str">
        <f>IFERROR(VLOOKUP(INDEX('Reference Records'!J$412:J726,MATCH(R187,'Reference Records'!F$412:F726),1),'Reference Records'!B$211:C410,2,0),"")</f>
        <v/>
      </c>
      <c r="T187" s="479"/>
      <c r="U187" s="482" t="str">
        <f>IFERROR(IF(VLOOKUP(E187,'Reference Records'!$F$159:$N$210,9,FALSE)=0,"",VLOOKUP(E187,'Reference Records'!$F$159:$N$210,9,FALSE)),"")</f>
        <v/>
      </c>
      <c r="V187" s="476" t="str">
        <f>IF(IF(Language="French",G187,F187)=0,"",IF(Language="French",G187,F187))</f>
        <v/>
      </c>
      <c r="W187" s="483" t="str">
        <f t="shared" si="8"/>
        <v/>
      </c>
      <c r="X187" s="484" t="str">
        <f t="shared" si="9"/>
        <v>a1P3p000007oOIJEA2</v>
      </c>
      <c r="Y187" s="484" t="b">
        <f t="shared" si="10"/>
        <v>0</v>
      </c>
      <c r="Z187" s="484" t="b">
        <f t="shared" si="11"/>
        <v>1</v>
      </c>
      <c r="AA187" s="484" t="str">
        <f>IF(R187="",IFERROR(VLOOKUP(AC187,'Reference Records'!G$413:J725,3,0),""),IFERROR(VLOOKUP(AC187,'Reference Records'!H$413:J725,2,0),""))</f>
        <v/>
      </c>
      <c r="AB187" s="484" t="s">
        <v>1275</v>
      </c>
      <c r="AC187" s="473" t="e">
        <f t="shared" si="12"/>
        <v>#N/A</v>
      </c>
      <c r="AD187" s="473" t="str">
        <f t="shared" si="13"/>
        <v/>
      </c>
      <c r="AE187" s="473" t="str">
        <f t="array" ref="AE187">IFERROR(IF(INDEX($W$155:$W$256, MATCH(0, IF(AD187=$E$155:$E$256, COUNTIF($AE$154:$AE186, $W$155:$W$256), ""), 0))=0,"",INDEX($W$155:$W$256, MATCH(0, IF(AD187=$E$155:$E$256, COUNTIF($AE$154:$AE186, $W$155:$W$256), ""), 0))),"")</f>
        <v/>
      </c>
      <c r="AF187" s="473" t="str">
        <f t="shared" si="14"/>
        <v>|empty|</v>
      </c>
      <c r="AG187" s="473" t="str">
        <f t="shared" si="15"/>
        <v>INT-211718</v>
      </c>
      <c r="AH187" s="473" t="e">
        <f t="shared" si="16"/>
        <v>#N/A</v>
      </c>
      <c r="AI187" s="473">
        <f>IF(COUNTIF($AH$155:AH288,"&lt;="&amp;AH187)=0,"",COUNTIF($AH$155:AH288,"&lt;="&amp;AH187))</f>
        <v>100</v>
      </c>
      <c r="AJ187" s="473">
        <f>RANK(AI187,AI$155:AI288,1)</f>
        <v>2</v>
      </c>
      <c r="AK187" s="473" t="e">
        <f>INDEX(E$155:E288,MATCH(ROWS(AJ$155:AJ187),AJ$155:AJ288,0))</f>
        <v>#N/A</v>
      </c>
      <c r="AL187" s="473" t="e">
        <f>INDEX(K$155:K288,MATCH(ROWS(AJ$155:AJ187),AJ$155:AJ288,0))</f>
        <v>#N/A</v>
      </c>
      <c r="AM187" s="473" t="e">
        <f>INDEX(V$155:V288,MATCH(ROWS(AJ$155:AJ187),AJ$155:AJ288,0))</f>
        <v>#N/A</v>
      </c>
      <c r="AN187" s="473" t="e">
        <f t="shared" si="17"/>
        <v>#N/A</v>
      </c>
      <c r="AO187" s="473" t="e">
        <f t="shared" si="18"/>
        <v>#N/A</v>
      </c>
      <c r="AP187" s="473"/>
      <c r="AQ187" s="485" t="s">
        <v>1276</v>
      </c>
      <c r="AR187" s="107"/>
    </row>
    <row r="188" spans="1:44" ht="47.15" customHeight="1" x14ac:dyDescent="0.35">
      <c r="A188" s="146">
        <v>33</v>
      </c>
      <c r="B188" s="475"/>
      <c r="C188" s="475"/>
      <c r="D188" s="148"/>
      <c r="E188" s="476" t="str">
        <f>IFERROR(IF(AND(K188="",T188=""),"",(VLOOKUP(Q188,'Reference records(soft deleted)'!$B$118:$D$162,3,FALSE))),"")</f>
        <v/>
      </c>
      <c r="F188" s="477"/>
      <c r="G188" s="477"/>
      <c r="H188" s="478" t="str">
        <f>IF(R188="",IFERROR(VLOOKUP(AC188,'Reference Records'!G$413:J726,4,0),""),IFERROR(VLOOKUP(AC188,'Reference Records'!H$413:J726,3,0),""))</f>
        <v/>
      </c>
      <c r="I188" s="478"/>
      <c r="J188" s="479"/>
      <c r="K188" s="476" t="str">
        <f>IFERROR(VLOOKUP(INDEX('Reference Records'!E$412:E727,MATCH(R188,'Reference Records'!F$412:F727,0),1),'Reference Records'!B$211:C411,2,0),"")</f>
        <v/>
      </c>
      <c r="L188" s="478" t="e">
        <f>VLOOKUP(U188&amp;K188,'Reference Records'!H$212:I412,2,0)</f>
        <v>#N/A</v>
      </c>
      <c r="M188" s="478" t="e">
        <f>MATCH($L188,'Reference Records'!$E$413:$E$618,0)+ROW(Population_by_intervention) -1</f>
        <v>#N/A</v>
      </c>
      <c r="N188" s="478" t="e">
        <f>MATCH($L188,'Reference Records'!$E$413:$E$618,1)+ROW(Population_by_intervention) -1</f>
        <v>#N/A</v>
      </c>
      <c r="O188" s="478" t="e">
        <f>INDEX('Reference Records'!K$212:K412,MATCH(L188,'Reference Records'!B$212:B412,0))</f>
        <v>#N/A</v>
      </c>
      <c r="P188" s="478"/>
      <c r="Q188" s="480"/>
      <c r="R188" s="481"/>
      <c r="S188" s="478" t="str">
        <f>IFERROR(VLOOKUP(INDEX('Reference Records'!J$412:J727,MATCH(R188,'Reference Records'!F$412:F727),1),'Reference Records'!B$211:C411,2,0),"")</f>
        <v/>
      </c>
      <c r="T188" s="479"/>
      <c r="U188" s="482" t="str">
        <f>IFERROR(IF(VLOOKUP(E188,'Reference Records'!$F$159:$N$210,9,FALSE)=0,"",VLOOKUP(E188,'Reference Records'!$F$159:$N$210,9,FALSE)),"")</f>
        <v/>
      </c>
      <c r="V188" s="476" t="str">
        <f>IF(IF(Language="French",G188,F188)=0,"",IF(Language="French",G188,F188))</f>
        <v/>
      </c>
      <c r="W188" s="483" t="str">
        <f t="shared" si="8"/>
        <v/>
      </c>
      <c r="X188" s="484" t="str">
        <f t="shared" si="9"/>
        <v>a1P3p000007oOIJEA2</v>
      </c>
      <c r="Y188" s="484" t="b">
        <f t="shared" si="10"/>
        <v>0</v>
      </c>
      <c r="Z188" s="484" t="b">
        <f t="shared" si="11"/>
        <v>1</v>
      </c>
      <c r="AA188" s="484" t="str">
        <f>IF(R188="",IFERROR(VLOOKUP(AC188,'Reference Records'!G$413:J726,3,0),""),IFERROR(VLOOKUP(AC188,'Reference Records'!H$413:J726,2,0),""))</f>
        <v/>
      </c>
      <c r="AB188" s="484" t="s">
        <v>1277</v>
      </c>
      <c r="AC188" s="473" t="e">
        <f t="shared" si="12"/>
        <v>#N/A</v>
      </c>
      <c r="AD188" s="473" t="str">
        <f t="shared" si="13"/>
        <v/>
      </c>
      <c r="AE188" s="473" t="str">
        <f t="array" ref="AE188">IFERROR(IF(INDEX($W$155:$W$256, MATCH(0, IF(AD188=$E$155:$E$256, COUNTIF($AE$154:$AE187, $W$155:$W$256), ""), 0))=0,"",INDEX($W$155:$W$256, MATCH(0, IF(AD188=$E$155:$E$256, COUNTIF($AE$154:$AE187, $W$155:$W$256), ""), 0))),"")</f>
        <v/>
      </c>
      <c r="AF188" s="473" t="str">
        <f t="shared" si="14"/>
        <v>|empty|</v>
      </c>
      <c r="AG188" s="473" t="str">
        <f t="shared" si="15"/>
        <v>INT-211669</v>
      </c>
      <c r="AH188" s="473" t="e">
        <f t="shared" si="16"/>
        <v>#N/A</v>
      </c>
      <c r="AI188" s="473">
        <f>IF(COUNTIF($AH$155:AH289,"&lt;="&amp;AH188)=0,"",COUNTIF($AH$155:AH289,"&lt;="&amp;AH188))</f>
        <v>100</v>
      </c>
      <c r="AJ188" s="473">
        <f>RANK(AI188,AI$155:AI289,1)</f>
        <v>2</v>
      </c>
      <c r="AK188" s="473" t="e">
        <f>INDEX(E$155:E289,MATCH(ROWS(AJ$155:AJ188),AJ$155:AJ289,0))</f>
        <v>#N/A</v>
      </c>
      <c r="AL188" s="473" t="e">
        <f>INDEX(K$155:K289,MATCH(ROWS(AJ$155:AJ188),AJ$155:AJ289,0))</f>
        <v>#N/A</v>
      </c>
      <c r="AM188" s="473" t="e">
        <f>INDEX(V$155:V289,MATCH(ROWS(AJ$155:AJ188),AJ$155:AJ289,0))</f>
        <v>#N/A</v>
      </c>
      <c r="AN188" s="473" t="e">
        <f t="shared" si="17"/>
        <v>#N/A</v>
      </c>
      <c r="AO188" s="473" t="e">
        <f t="shared" si="18"/>
        <v>#N/A</v>
      </c>
      <c r="AP188" s="473"/>
      <c r="AQ188" s="485" t="s">
        <v>1278</v>
      </c>
      <c r="AR188" s="107"/>
    </row>
    <row r="189" spans="1:44" ht="47.15" customHeight="1" x14ac:dyDescent="0.35">
      <c r="A189" s="146">
        <v>34</v>
      </c>
      <c r="B189" s="475"/>
      <c r="C189" s="475"/>
      <c r="D189" s="148"/>
      <c r="E189" s="476" t="str">
        <f>IFERROR(IF(AND(K189="",T189=""),"",(VLOOKUP(Q189,'Reference records(soft deleted)'!$B$118:$D$162,3,FALSE))),"")</f>
        <v/>
      </c>
      <c r="F189" s="477"/>
      <c r="G189" s="477"/>
      <c r="H189" s="478" t="str">
        <f>IF(R189="",IFERROR(VLOOKUP(AC189,'Reference Records'!G$413:J727,4,0),""),IFERROR(VLOOKUP(AC189,'Reference Records'!H$413:J727,3,0),""))</f>
        <v/>
      </c>
      <c r="I189" s="478"/>
      <c r="J189" s="479"/>
      <c r="K189" s="476" t="str">
        <f>IFERROR(VLOOKUP(INDEX('Reference Records'!E$412:E728,MATCH(R189,'Reference Records'!F$412:F728,0),1),'Reference Records'!B$211:C412,2,0),"")</f>
        <v/>
      </c>
      <c r="L189" s="478" t="e">
        <f>VLOOKUP(U189&amp;K189,'Reference Records'!H$212:I413,2,0)</f>
        <v>#N/A</v>
      </c>
      <c r="M189" s="478" t="e">
        <f>MATCH($L189,'Reference Records'!$E$413:$E$618,0)+ROW(Population_by_intervention) -1</f>
        <v>#N/A</v>
      </c>
      <c r="N189" s="478" t="e">
        <f>MATCH($L189,'Reference Records'!$E$413:$E$618,1)+ROW(Population_by_intervention) -1</f>
        <v>#N/A</v>
      </c>
      <c r="O189" s="478" t="e">
        <f>INDEX('Reference Records'!K$212:K413,MATCH(L189,'Reference Records'!B$212:B413,0))</f>
        <v>#N/A</v>
      </c>
      <c r="P189" s="478"/>
      <c r="Q189" s="480"/>
      <c r="R189" s="481"/>
      <c r="S189" s="478" t="str">
        <f>IFERROR(VLOOKUP(INDEX('Reference Records'!J$412:J728,MATCH(R189,'Reference Records'!F$412:F728),1),'Reference Records'!B$211:C412,2,0),"")</f>
        <v/>
      </c>
      <c r="T189" s="479"/>
      <c r="U189" s="482" t="str">
        <f>IFERROR(IF(VLOOKUP(E189,'Reference Records'!$F$159:$N$210,9,FALSE)=0,"",VLOOKUP(E189,'Reference Records'!$F$159:$N$210,9,FALSE)),"")</f>
        <v/>
      </c>
      <c r="V189" s="476" t="str">
        <f>IF(IF(Language="French",G189,F189)=0,"",IF(Language="French",G189,F189))</f>
        <v/>
      </c>
      <c r="W189" s="483" t="str">
        <f t="shared" si="8"/>
        <v/>
      </c>
      <c r="X189" s="484" t="str">
        <f t="shared" si="9"/>
        <v>a1P3p000007oOIJEA2</v>
      </c>
      <c r="Y189" s="484" t="b">
        <f t="shared" si="10"/>
        <v>0</v>
      </c>
      <c r="Z189" s="484" t="b">
        <f t="shared" si="11"/>
        <v>1</v>
      </c>
      <c r="AA189" s="484" t="str">
        <f>IF(R189="",IFERROR(VLOOKUP(AC189,'Reference Records'!G$413:J727,3,0),""),IFERROR(VLOOKUP(AC189,'Reference Records'!H$413:J727,2,0),""))</f>
        <v/>
      </c>
      <c r="AB189" s="484" t="s">
        <v>1279</v>
      </c>
      <c r="AC189" s="473" t="e">
        <f t="shared" si="12"/>
        <v>#N/A</v>
      </c>
      <c r="AD189" s="473" t="str">
        <f t="shared" si="13"/>
        <v/>
      </c>
      <c r="AE189" s="473" t="str">
        <f t="array" ref="AE189">IFERROR(IF(INDEX($W$155:$W$256, MATCH(0, IF(AD189=$E$155:$E$256, COUNTIF($AE$154:$AE188, $W$155:$W$256), ""), 0))=0,"",INDEX($W$155:$W$256, MATCH(0, IF(AD189=$E$155:$E$256, COUNTIF($AE$154:$AE188, $W$155:$W$256), ""), 0))),"")</f>
        <v/>
      </c>
      <c r="AF189" s="473" t="str">
        <f t="shared" si="14"/>
        <v>|empty|</v>
      </c>
      <c r="AG189" s="473" t="str">
        <f t="shared" si="15"/>
        <v>INT-211719</v>
      </c>
      <c r="AH189" s="473" t="e">
        <f t="shared" si="16"/>
        <v>#N/A</v>
      </c>
      <c r="AI189" s="473">
        <f>IF(COUNTIF($AH$155:AH290,"&lt;="&amp;AH189)=0,"",COUNTIF($AH$155:AH290,"&lt;="&amp;AH189))</f>
        <v>100</v>
      </c>
      <c r="AJ189" s="473">
        <f>RANK(AI189,AI$155:AI290,1)</f>
        <v>2</v>
      </c>
      <c r="AK189" s="473" t="e">
        <f>INDEX(E$155:E290,MATCH(ROWS(AJ$155:AJ189),AJ$155:AJ290,0))</f>
        <v>#N/A</v>
      </c>
      <c r="AL189" s="473" t="e">
        <f>INDEX(K$155:K290,MATCH(ROWS(AJ$155:AJ189),AJ$155:AJ290,0))</f>
        <v>#N/A</v>
      </c>
      <c r="AM189" s="473" t="e">
        <f>INDEX(V$155:V290,MATCH(ROWS(AJ$155:AJ189),AJ$155:AJ290,0))</f>
        <v>#N/A</v>
      </c>
      <c r="AN189" s="473" t="e">
        <f t="shared" si="17"/>
        <v>#N/A</v>
      </c>
      <c r="AO189" s="473" t="e">
        <f t="shared" si="18"/>
        <v>#N/A</v>
      </c>
      <c r="AP189" s="473"/>
      <c r="AQ189" s="485" t="s">
        <v>1280</v>
      </c>
      <c r="AR189" s="107"/>
    </row>
    <row r="190" spans="1:44" ht="47.15" customHeight="1" x14ac:dyDescent="0.35">
      <c r="A190" s="146">
        <v>35</v>
      </c>
      <c r="B190" s="475"/>
      <c r="C190" s="475"/>
      <c r="D190" s="148"/>
      <c r="E190" s="476" t="str">
        <f>IFERROR(IF(AND(K190="",T190=""),"",(VLOOKUP(Q190,'Reference records(soft deleted)'!$B$118:$D$162,3,FALSE))),"")</f>
        <v/>
      </c>
      <c r="F190" s="477"/>
      <c r="G190" s="477"/>
      <c r="H190" s="478" t="str">
        <f>IF(R190="",IFERROR(VLOOKUP(AC190,'Reference Records'!G$413:J728,4,0),""),IFERROR(VLOOKUP(AC190,'Reference Records'!H$413:J728,3,0),""))</f>
        <v/>
      </c>
      <c r="I190" s="478"/>
      <c r="J190" s="479"/>
      <c r="K190" s="476" t="str">
        <f>IFERROR(VLOOKUP(INDEX('Reference Records'!E$412:E729,MATCH(R190,'Reference Records'!F$412:F729,0),1),'Reference Records'!B$211:C413,2,0),"")</f>
        <v/>
      </c>
      <c r="L190" s="478" t="e">
        <f>VLOOKUP(U190&amp;K190,'Reference Records'!H$212:I414,2,0)</f>
        <v>#N/A</v>
      </c>
      <c r="M190" s="478" t="e">
        <f>MATCH($L190,'Reference Records'!$E$413:$E$618,0)+ROW(Population_by_intervention) -1</f>
        <v>#N/A</v>
      </c>
      <c r="N190" s="478" t="e">
        <f>MATCH($L190,'Reference Records'!$E$413:$E$618,1)+ROW(Population_by_intervention) -1</f>
        <v>#N/A</v>
      </c>
      <c r="O190" s="478" t="e">
        <f>INDEX('Reference Records'!K$212:K414,MATCH(L190,'Reference Records'!B$212:B414,0))</f>
        <v>#N/A</v>
      </c>
      <c r="P190" s="478"/>
      <c r="Q190" s="480"/>
      <c r="R190" s="481"/>
      <c r="S190" s="478" t="str">
        <f>IFERROR(VLOOKUP(INDEX('Reference Records'!J$412:J729,MATCH(R190,'Reference Records'!F$412:F729),1),'Reference Records'!B$211:C413,2,0),"")</f>
        <v/>
      </c>
      <c r="T190" s="479"/>
      <c r="U190" s="482" t="str">
        <f>IFERROR(IF(VLOOKUP(E190,'Reference Records'!$F$159:$N$210,9,FALSE)=0,"",VLOOKUP(E190,'Reference Records'!$F$159:$N$210,9,FALSE)),"")</f>
        <v/>
      </c>
      <c r="V190" s="476" t="str">
        <f>IF(IF(Language="French",G190,F190)=0,"",IF(Language="French",G190,F190))</f>
        <v/>
      </c>
      <c r="W190" s="483" t="str">
        <f t="shared" si="8"/>
        <v/>
      </c>
      <c r="X190" s="484" t="str">
        <f t="shared" si="9"/>
        <v>a1P3p000007oOIJEA2</v>
      </c>
      <c r="Y190" s="484" t="b">
        <f t="shared" si="10"/>
        <v>0</v>
      </c>
      <c r="Z190" s="484" t="b">
        <f t="shared" si="11"/>
        <v>1</v>
      </c>
      <c r="AA190" s="484" t="str">
        <f>IF(R190="",IFERROR(VLOOKUP(AC190,'Reference Records'!G$413:J728,3,0),""),IFERROR(VLOOKUP(AC190,'Reference Records'!H$413:J728,2,0),""))</f>
        <v/>
      </c>
      <c r="AB190" s="484" t="s">
        <v>1281</v>
      </c>
      <c r="AC190" s="473" t="e">
        <f t="shared" si="12"/>
        <v>#N/A</v>
      </c>
      <c r="AD190" s="473" t="str">
        <f t="shared" si="13"/>
        <v/>
      </c>
      <c r="AE190" s="473" t="str">
        <f t="array" ref="AE190">IFERROR(IF(INDEX($W$155:$W$256, MATCH(0, IF(AD190=$E$155:$E$256, COUNTIF($AE$154:$AE189, $W$155:$W$256), ""), 0))=0,"",INDEX($W$155:$W$256, MATCH(0, IF(AD190=$E$155:$E$256, COUNTIF($AE$154:$AE189, $W$155:$W$256), ""), 0))),"")</f>
        <v/>
      </c>
      <c r="AF190" s="473" t="str">
        <f t="shared" si="14"/>
        <v>|empty|</v>
      </c>
      <c r="AG190" s="473" t="str">
        <f t="shared" si="15"/>
        <v>INT-211670</v>
      </c>
      <c r="AH190" s="473" t="e">
        <f t="shared" si="16"/>
        <v>#N/A</v>
      </c>
      <c r="AI190" s="473">
        <f>IF(COUNTIF($AH$155:AH291,"&lt;="&amp;AH190)=0,"",COUNTIF($AH$155:AH291,"&lt;="&amp;AH190))</f>
        <v>100</v>
      </c>
      <c r="AJ190" s="473">
        <f>RANK(AI190,AI$155:AI291,1)</f>
        <v>2</v>
      </c>
      <c r="AK190" s="473" t="e">
        <f>INDEX(E$155:E291,MATCH(ROWS(AJ$155:AJ190),AJ$155:AJ291,0))</f>
        <v>#N/A</v>
      </c>
      <c r="AL190" s="473" t="e">
        <f>INDEX(K$155:K291,MATCH(ROWS(AJ$155:AJ190),AJ$155:AJ291,0))</f>
        <v>#N/A</v>
      </c>
      <c r="AM190" s="473" t="e">
        <f>INDEX(V$155:V291,MATCH(ROWS(AJ$155:AJ190),AJ$155:AJ291,0))</f>
        <v>#N/A</v>
      </c>
      <c r="AN190" s="473" t="e">
        <f t="shared" si="17"/>
        <v>#N/A</v>
      </c>
      <c r="AO190" s="473" t="e">
        <f t="shared" si="18"/>
        <v>#N/A</v>
      </c>
      <c r="AP190" s="473"/>
      <c r="AQ190" s="485" t="s">
        <v>1282</v>
      </c>
      <c r="AR190" s="107"/>
    </row>
    <row r="191" spans="1:44" ht="47.15" customHeight="1" x14ac:dyDescent="0.35">
      <c r="A191" s="146">
        <v>36</v>
      </c>
      <c r="B191" s="475"/>
      <c r="C191" s="475"/>
      <c r="D191" s="148"/>
      <c r="E191" s="476" t="str">
        <f>IFERROR(IF(AND(K191="",T191=""),"",(VLOOKUP(Q191,'Reference records(soft deleted)'!$B$118:$D$162,3,FALSE))),"")</f>
        <v/>
      </c>
      <c r="F191" s="477"/>
      <c r="G191" s="477"/>
      <c r="H191" s="478" t="str">
        <f>IF(R191="",IFERROR(VLOOKUP(AC191,'Reference Records'!G$413:J729,4,0),""),IFERROR(VLOOKUP(AC191,'Reference Records'!H$413:J729,3,0),""))</f>
        <v/>
      </c>
      <c r="I191" s="478"/>
      <c r="J191" s="479"/>
      <c r="K191" s="476" t="str">
        <f>IFERROR(VLOOKUP(INDEX('Reference Records'!E$412:E730,MATCH(R191,'Reference Records'!F$412:F730,0),1),'Reference Records'!B$211:C414,2,0),"")</f>
        <v/>
      </c>
      <c r="L191" s="478" t="e">
        <f>VLOOKUP(U191&amp;K191,'Reference Records'!H$212:I618,2,0)</f>
        <v>#N/A</v>
      </c>
      <c r="M191" s="478" t="e">
        <f>MATCH($L191,'Reference Records'!$E$413:$E$618,0)+ROW(Population_by_intervention) -1</f>
        <v>#N/A</v>
      </c>
      <c r="N191" s="478" t="e">
        <f>MATCH($L191,'Reference Records'!$E$413:$E$618,1)+ROW(Population_by_intervention) -1</f>
        <v>#N/A</v>
      </c>
      <c r="O191" s="478" t="e">
        <f>INDEX('Reference Records'!K$212:K618,MATCH(L191,'Reference Records'!B$212:B618,0))</f>
        <v>#N/A</v>
      </c>
      <c r="P191" s="478"/>
      <c r="Q191" s="480"/>
      <c r="R191" s="481"/>
      <c r="S191" s="478" t="str">
        <f>IFERROR(VLOOKUP(INDEX('Reference Records'!J$412:J730,MATCH(R191,'Reference Records'!F$412:F730),1),'Reference Records'!B$211:C414,2,0),"")</f>
        <v/>
      </c>
      <c r="T191" s="479"/>
      <c r="U191" s="482" t="str">
        <f>IFERROR(IF(VLOOKUP(E191,'Reference Records'!$F$159:$N$210,9,FALSE)=0,"",VLOOKUP(E191,'Reference Records'!$F$159:$N$210,9,FALSE)),"")</f>
        <v/>
      </c>
      <c r="V191" s="476" t="str">
        <f>IF(IF(Language="French",G191,F191)=0,"",IF(Language="French",G191,F191))</f>
        <v/>
      </c>
      <c r="W191" s="483" t="str">
        <f t="shared" si="8"/>
        <v/>
      </c>
      <c r="X191" s="484" t="str">
        <f t="shared" si="9"/>
        <v>a1P3p000007oOIJEA2</v>
      </c>
      <c r="Y191" s="484" t="b">
        <f t="shared" si="10"/>
        <v>0</v>
      </c>
      <c r="Z191" s="484" t="b">
        <f t="shared" si="11"/>
        <v>1</v>
      </c>
      <c r="AA191" s="484" t="str">
        <f>IF(R191="",IFERROR(VLOOKUP(AC191,'Reference Records'!G$413:J729,3,0),""),IFERROR(VLOOKUP(AC191,'Reference Records'!H$413:J729,2,0),""))</f>
        <v/>
      </c>
      <c r="AB191" s="484" t="s">
        <v>1283</v>
      </c>
      <c r="AC191" s="473" t="e">
        <f t="shared" si="12"/>
        <v>#N/A</v>
      </c>
      <c r="AD191" s="473" t="str">
        <f t="shared" si="13"/>
        <v/>
      </c>
      <c r="AE191" s="473" t="str">
        <f t="array" ref="AE191">IFERROR(IF(INDEX($W$155:$W$256, MATCH(0, IF(AD191=$E$155:$E$256, COUNTIF($AE$154:$AE190, $W$155:$W$256), ""), 0))=0,"",INDEX($W$155:$W$256, MATCH(0, IF(AD191=$E$155:$E$256, COUNTIF($AE$154:$AE190, $W$155:$W$256), ""), 0))),"")</f>
        <v/>
      </c>
      <c r="AF191" s="473" t="str">
        <f t="shared" si="14"/>
        <v>|empty|</v>
      </c>
      <c r="AG191" s="473" t="str">
        <f t="shared" si="15"/>
        <v>INT-211720</v>
      </c>
      <c r="AH191" s="473" t="e">
        <f t="shared" si="16"/>
        <v>#N/A</v>
      </c>
      <c r="AI191" s="473">
        <f>IF(COUNTIF($AH$155:AH292,"&lt;="&amp;AH191)=0,"",COUNTIF($AH$155:AH292,"&lt;="&amp;AH191))</f>
        <v>100</v>
      </c>
      <c r="AJ191" s="473">
        <f>RANK(AI191,AI$155:AI292,1)</f>
        <v>2</v>
      </c>
      <c r="AK191" s="473" t="e">
        <f>INDEX(E$155:E292,MATCH(ROWS(AJ$155:AJ191),AJ$155:AJ292,0))</f>
        <v>#N/A</v>
      </c>
      <c r="AL191" s="473" t="e">
        <f>INDEX(K$155:K292,MATCH(ROWS(AJ$155:AJ191),AJ$155:AJ292,0))</f>
        <v>#N/A</v>
      </c>
      <c r="AM191" s="473" t="e">
        <f>INDEX(V$155:V292,MATCH(ROWS(AJ$155:AJ191),AJ$155:AJ292,0))</f>
        <v>#N/A</v>
      </c>
      <c r="AN191" s="473" t="e">
        <f t="shared" si="17"/>
        <v>#N/A</v>
      </c>
      <c r="AO191" s="473" t="e">
        <f t="shared" si="18"/>
        <v>#N/A</v>
      </c>
      <c r="AP191" s="473"/>
      <c r="AQ191" s="485" t="s">
        <v>1284</v>
      </c>
      <c r="AR191" s="107"/>
    </row>
    <row r="192" spans="1:44" ht="47.15" customHeight="1" x14ac:dyDescent="0.35">
      <c r="A192" s="146">
        <v>37</v>
      </c>
      <c r="B192" s="475"/>
      <c r="C192" s="475"/>
      <c r="D192" s="148"/>
      <c r="E192" s="476" t="str">
        <f>IFERROR(IF(AND(K192="",T192=""),"",(VLOOKUP(Q192,'Reference records(soft deleted)'!$B$118:$D$162,3,FALSE))),"")</f>
        <v/>
      </c>
      <c r="F192" s="477"/>
      <c r="G192" s="477"/>
      <c r="H192" s="478" t="str">
        <f>IF(R192="",IFERROR(VLOOKUP(AC192,'Reference Records'!G$413:J730,4,0),""),IFERROR(VLOOKUP(AC192,'Reference Records'!H$413:J730,3,0),""))</f>
        <v/>
      </c>
      <c r="I192" s="478"/>
      <c r="J192" s="479"/>
      <c r="K192" s="476" t="str">
        <f>IFERROR(VLOOKUP(INDEX('Reference Records'!E$412:E731,MATCH(R192,'Reference Records'!F$412:F731,0),1),'Reference Records'!B$211:C618,2,0),"")</f>
        <v/>
      </c>
      <c r="L192" s="478" t="e">
        <f>VLOOKUP(U192&amp;K192,'Reference Records'!H$212:I619,2,0)</f>
        <v>#N/A</v>
      </c>
      <c r="M192" s="478" t="e">
        <f>MATCH($L192,'Reference Records'!$E$413:$E$618,0)+ROW(Population_by_intervention) -1</f>
        <v>#N/A</v>
      </c>
      <c r="N192" s="478" t="e">
        <f>MATCH($L192,'Reference Records'!$E$413:$E$618,1)+ROW(Population_by_intervention) -1</f>
        <v>#N/A</v>
      </c>
      <c r="O192" s="478" t="e">
        <f>INDEX('Reference Records'!K$212:K619,MATCH(L192,'Reference Records'!B$212:B619,0))</f>
        <v>#N/A</v>
      </c>
      <c r="P192" s="478"/>
      <c r="Q192" s="480"/>
      <c r="R192" s="481"/>
      <c r="S192" s="478" t="str">
        <f>IFERROR(VLOOKUP(INDEX('Reference Records'!J$412:J731,MATCH(R192,'Reference Records'!F$412:F731),1),'Reference Records'!B$211:C618,2,0),"")</f>
        <v/>
      </c>
      <c r="T192" s="479"/>
      <c r="U192" s="482" t="str">
        <f>IFERROR(IF(VLOOKUP(E192,'Reference Records'!$F$159:$N$210,9,FALSE)=0,"",VLOOKUP(E192,'Reference Records'!$F$159:$N$210,9,FALSE)),"")</f>
        <v/>
      </c>
      <c r="V192" s="476" t="str">
        <f>IF(IF(Language="French",G192,F192)=0,"",IF(Language="French",G192,F192))</f>
        <v/>
      </c>
      <c r="W192" s="483" t="str">
        <f t="shared" si="8"/>
        <v/>
      </c>
      <c r="X192" s="484" t="str">
        <f t="shared" si="9"/>
        <v>a1P3p000007oOIJEA2</v>
      </c>
      <c r="Y192" s="484" t="b">
        <f t="shared" si="10"/>
        <v>0</v>
      </c>
      <c r="Z192" s="484" t="b">
        <f t="shared" si="11"/>
        <v>1</v>
      </c>
      <c r="AA192" s="484" t="str">
        <f>IF(R192="",IFERROR(VLOOKUP(AC192,'Reference Records'!G$413:J730,3,0),""),IFERROR(VLOOKUP(AC192,'Reference Records'!H$413:J730,2,0),""))</f>
        <v/>
      </c>
      <c r="AB192" s="484" t="s">
        <v>1285</v>
      </c>
      <c r="AC192" s="473" t="e">
        <f t="shared" si="12"/>
        <v>#N/A</v>
      </c>
      <c r="AD192" s="473" t="str">
        <f t="shared" si="13"/>
        <v/>
      </c>
      <c r="AE192" s="473" t="str">
        <f t="array" ref="AE192">IFERROR(IF(INDEX($W$155:$W$256, MATCH(0, IF(AD192=$E$155:$E$256, COUNTIF($AE$154:$AE191, $W$155:$W$256), ""), 0))=0,"",INDEX($W$155:$W$256, MATCH(0, IF(AD192=$E$155:$E$256, COUNTIF($AE$154:$AE191, $W$155:$W$256), ""), 0))),"")</f>
        <v/>
      </c>
      <c r="AF192" s="473" t="str">
        <f t="shared" si="14"/>
        <v>|empty|</v>
      </c>
      <c r="AG192" s="473" t="str">
        <f t="shared" si="15"/>
        <v>INT-211671</v>
      </c>
      <c r="AH192" s="473" t="e">
        <f t="shared" si="16"/>
        <v>#N/A</v>
      </c>
      <c r="AI192" s="473">
        <f>IF(COUNTIF($AH$155:AH293,"&lt;="&amp;AH192)=0,"",COUNTIF($AH$155:AH293,"&lt;="&amp;AH192))</f>
        <v>100</v>
      </c>
      <c r="AJ192" s="473">
        <f>RANK(AI192,AI$155:AI293,1)</f>
        <v>2</v>
      </c>
      <c r="AK192" s="473" t="e">
        <f>INDEX(E$155:E293,MATCH(ROWS(AJ$155:AJ192),AJ$155:AJ293,0))</f>
        <v>#N/A</v>
      </c>
      <c r="AL192" s="473" t="e">
        <f>INDEX(K$155:K293,MATCH(ROWS(AJ$155:AJ192),AJ$155:AJ293,0))</f>
        <v>#N/A</v>
      </c>
      <c r="AM192" s="473" t="e">
        <f>INDEX(V$155:V293,MATCH(ROWS(AJ$155:AJ192),AJ$155:AJ293,0))</f>
        <v>#N/A</v>
      </c>
      <c r="AN192" s="473" t="e">
        <f t="shared" si="17"/>
        <v>#N/A</v>
      </c>
      <c r="AO192" s="473" t="e">
        <f t="shared" si="18"/>
        <v>#N/A</v>
      </c>
      <c r="AP192" s="473"/>
      <c r="AQ192" s="485" t="s">
        <v>1286</v>
      </c>
      <c r="AR192" s="107"/>
    </row>
    <row r="193" spans="1:44" ht="47.15" customHeight="1" x14ac:dyDescent="0.35">
      <c r="A193" s="146">
        <v>38</v>
      </c>
      <c r="B193" s="475"/>
      <c r="C193" s="475"/>
      <c r="D193" s="148"/>
      <c r="E193" s="476" t="str">
        <f>IFERROR(IF(AND(K193="",T193=""),"",(VLOOKUP(Q193,'Reference records(soft deleted)'!$B$118:$D$162,3,FALSE))),"")</f>
        <v/>
      </c>
      <c r="F193" s="477"/>
      <c r="G193" s="477"/>
      <c r="H193" s="478" t="str">
        <f>IF(R193="",IFERROR(VLOOKUP(AC193,'Reference Records'!G$413:J731,4,0),""),IFERROR(VLOOKUP(AC193,'Reference Records'!H$413:J731,3,0),""))</f>
        <v/>
      </c>
      <c r="I193" s="478"/>
      <c r="J193" s="479"/>
      <c r="K193" s="476" t="str">
        <f>IFERROR(VLOOKUP(INDEX('Reference Records'!E$412:E732,MATCH(R193,'Reference Records'!F$412:F732,0),1),'Reference Records'!B$211:C619,2,0),"")</f>
        <v/>
      </c>
      <c r="L193" s="478" t="e">
        <f>VLOOKUP(U193&amp;K193,'Reference Records'!H$212:I620,2,0)</f>
        <v>#N/A</v>
      </c>
      <c r="M193" s="478" t="e">
        <f>MATCH($L193,'Reference Records'!$E$413:$E$618,0)+ROW(Population_by_intervention) -1</f>
        <v>#N/A</v>
      </c>
      <c r="N193" s="478" t="e">
        <f>MATCH($L193,'Reference Records'!$E$413:$E$618,1)+ROW(Population_by_intervention) -1</f>
        <v>#N/A</v>
      </c>
      <c r="O193" s="478" t="e">
        <f>INDEX('Reference Records'!K$212:K620,MATCH(L193,'Reference Records'!B$212:B620,0))</f>
        <v>#N/A</v>
      </c>
      <c r="P193" s="478"/>
      <c r="Q193" s="480"/>
      <c r="R193" s="481"/>
      <c r="S193" s="478" t="str">
        <f>IFERROR(VLOOKUP(INDEX('Reference Records'!J$412:J732,MATCH(R193,'Reference Records'!F$412:F732),1),'Reference Records'!B$211:C619,2,0),"")</f>
        <v/>
      </c>
      <c r="T193" s="479"/>
      <c r="U193" s="482" t="str">
        <f>IFERROR(IF(VLOOKUP(E193,'Reference Records'!$F$159:$N$210,9,FALSE)=0,"",VLOOKUP(E193,'Reference Records'!$F$159:$N$210,9,FALSE)),"")</f>
        <v/>
      </c>
      <c r="V193" s="476" t="str">
        <f>IF(IF(Language="French",G193,F193)=0,"",IF(Language="French",G193,F193))</f>
        <v/>
      </c>
      <c r="W193" s="483" t="str">
        <f t="shared" si="8"/>
        <v/>
      </c>
      <c r="X193" s="484" t="str">
        <f t="shared" si="9"/>
        <v>a1P3p000007oOIJEA2</v>
      </c>
      <c r="Y193" s="484" t="b">
        <f t="shared" si="10"/>
        <v>0</v>
      </c>
      <c r="Z193" s="484" t="b">
        <f t="shared" si="11"/>
        <v>1</v>
      </c>
      <c r="AA193" s="484" t="str">
        <f>IF(R193="",IFERROR(VLOOKUP(AC193,'Reference Records'!G$413:J731,3,0),""),IFERROR(VLOOKUP(AC193,'Reference Records'!H$413:J731,2,0),""))</f>
        <v/>
      </c>
      <c r="AB193" s="484" t="s">
        <v>1287</v>
      </c>
      <c r="AC193" s="473" t="e">
        <f t="shared" si="12"/>
        <v>#N/A</v>
      </c>
      <c r="AD193" s="473" t="str">
        <f t="shared" si="13"/>
        <v/>
      </c>
      <c r="AE193" s="473" t="str">
        <f t="array" ref="AE193">IFERROR(IF(INDEX($W$155:$W$256, MATCH(0, IF(AD193=$E$155:$E$256, COUNTIF($AE$154:$AE192, $W$155:$W$256), ""), 0))=0,"",INDEX($W$155:$W$256, MATCH(0, IF(AD193=$E$155:$E$256, COUNTIF($AE$154:$AE192, $W$155:$W$256), ""), 0))),"")</f>
        <v/>
      </c>
      <c r="AF193" s="473" t="str">
        <f t="shared" si="14"/>
        <v>|empty|</v>
      </c>
      <c r="AG193" s="473" t="str">
        <f t="shared" si="15"/>
        <v>INT-211721</v>
      </c>
      <c r="AH193" s="473" t="e">
        <f t="shared" si="16"/>
        <v>#N/A</v>
      </c>
      <c r="AI193" s="473">
        <f>IF(COUNTIF($AH$155:AH294,"&lt;="&amp;AH193)=0,"",COUNTIF($AH$155:AH294,"&lt;="&amp;AH193))</f>
        <v>100</v>
      </c>
      <c r="AJ193" s="473">
        <f>RANK(AI193,AI$155:AI294,1)</f>
        <v>2</v>
      </c>
      <c r="AK193" s="473" t="e">
        <f>INDEX(E$155:E294,MATCH(ROWS(AJ$155:AJ193),AJ$155:AJ294,0))</f>
        <v>#N/A</v>
      </c>
      <c r="AL193" s="473" t="e">
        <f>INDEX(K$155:K294,MATCH(ROWS(AJ$155:AJ193),AJ$155:AJ294,0))</f>
        <v>#N/A</v>
      </c>
      <c r="AM193" s="473" t="e">
        <f>INDEX(V$155:V294,MATCH(ROWS(AJ$155:AJ193),AJ$155:AJ294,0))</f>
        <v>#N/A</v>
      </c>
      <c r="AN193" s="473" t="e">
        <f t="shared" si="17"/>
        <v>#N/A</v>
      </c>
      <c r="AO193" s="473" t="e">
        <f t="shared" si="18"/>
        <v>#N/A</v>
      </c>
      <c r="AP193" s="473"/>
      <c r="AQ193" s="485" t="s">
        <v>1288</v>
      </c>
      <c r="AR193" s="107"/>
    </row>
    <row r="194" spans="1:44" ht="47.15" customHeight="1" x14ac:dyDescent="0.35">
      <c r="A194" s="146">
        <v>39</v>
      </c>
      <c r="B194" s="475"/>
      <c r="C194" s="475"/>
      <c r="D194" s="148"/>
      <c r="E194" s="476" t="str">
        <f>IFERROR(IF(AND(K194="",T194=""),"",(VLOOKUP(Q194,'Reference records(soft deleted)'!$B$118:$D$162,3,FALSE))),"")</f>
        <v/>
      </c>
      <c r="F194" s="477"/>
      <c r="G194" s="477"/>
      <c r="H194" s="478" t="str">
        <f>IF(R194="",IFERROR(VLOOKUP(AC194,'Reference Records'!G$413:J732,4,0),""),IFERROR(VLOOKUP(AC194,'Reference Records'!H$413:J732,3,0),""))</f>
        <v/>
      </c>
      <c r="I194" s="478"/>
      <c r="J194" s="479"/>
      <c r="K194" s="476" t="str">
        <f>IFERROR(VLOOKUP(INDEX('Reference Records'!E$412:E733,MATCH(R194,'Reference Records'!F$412:F733,0),1),'Reference Records'!B$211:C620,2,0),"")</f>
        <v/>
      </c>
      <c r="L194" s="478" t="e">
        <f>VLOOKUP(U194&amp;K194,'Reference Records'!H$212:I621,2,0)</f>
        <v>#N/A</v>
      </c>
      <c r="M194" s="478" t="e">
        <f>MATCH($L194,'Reference Records'!$E$413:$E$618,0)+ROW(Population_by_intervention) -1</f>
        <v>#N/A</v>
      </c>
      <c r="N194" s="478" t="e">
        <f>MATCH($L194,'Reference Records'!$E$413:$E$618,1)+ROW(Population_by_intervention) -1</f>
        <v>#N/A</v>
      </c>
      <c r="O194" s="478" t="e">
        <f>INDEX('Reference Records'!K$212:K621,MATCH(L194,'Reference Records'!B$212:B621,0))</f>
        <v>#N/A</v>
      </c>
      <c r="P194" s="478"/>
      <c r="Q194" s="480"/>
      <c r="R194" s="481"/>
      <c r="S194" s="478" t="str">
        <f>IFERROR(VLOOKUP(INDEX('Reference Records'!J$412:J733,MATCH(R194,'Reference Records'!F$412:F733),1),'Reference Records'!B$211:C620,2,0),"")</f>
        <v/>
      </c>
      <c r="T194" s="479"/>
      <c r="U194" s="482" t="str">
        <f>IFERROR(IF(VLOOKUP(E194,'Reference Records'!$F$159:$N$210,9,FALSE)=0,"",VLOOKUP(E194,'Reference Records'!$F$159:$N$210,9,FALSE)),"")</f>
        <v/>
      </c>
      <c r="V194" s="476" t="str">
        <f>IF(IF(Language="French",G194,F194)=0,"",IF(Language="French",G194,F194))</f>
        <v/>
      </c>
      <c r="W194" s="483" t="str">
        <f t="shared" si="8"/>
        <v/>
      </c>
      <c r="X194" s="484" t="str">
        <f t="shared" si="9"/>
        <v>a1P3p000007oOIJEA2</v>
      </c>
      <c r="Y194" s="484" t="b">
        <f t="shared" si="10"/>
        <v>0</v>
      </c>
      <c r="Z194" s="484" t="b">
        <f t="shared" si="11"/>
        <v>1</v>
      </c>
      <c r="AA194" s="484" t="str">
        <f>IF(R194="",IFERROR(VLOOKUP(AC194,'Reference Records'!G$413:J732,3,0),""),IFERROR(VLOOKUP(AC194,'Reference Records'!H$413:J732,2,0),""))</f>
        <v/>
      </c>
      <c r="AB194" s="484" t="s">
        <v>1289</v>
      </c>
      <c r="AC194" s="473" t="e">
        <f t="shared" si="12"/>
        <v>#N/A</v>
      </c>
      <c r="AD194" s="473" t="str">
        <f t="shared" si="13"/>
        <v/>
      </c>
      <c r="AE194" s="473" t="str">
        <f t="array" ref="AE194">IFERROR(IF(INDEX($W$155:$W$256, MATCH(0, IF(AD194=$E$155:$E$256, COUNTIF($AE$154:$AE193, $W$155:$W$256), ""), 0))=0,"",INDEX($W$155:$W$256, MATCH(0, IF(AD194=$E$155:$E$256, COUNTIF($AE$154:$AE193, $W$155:$W$256), ""), 0))),"")</f>
        <v/>
      </c>
      <c r="AF194" s="473" t="str">
        <f t="shared" si="14"/>
        <v>|empty|</v>
      </c>
      <c r="AG194" s="473" t="str">
        <f t="shared" si="15"/>
        <v>INT-211672</v>
      </c>
      <c r="AH194" s="473" t="e">
        <f t="shared" si="16"/>
        <v>#N/A</v>
      </c>
      <c r="AI194" s="473">
        <f>IF(COUNTIF($AH$155:AH295,"&lt;="&amp;AH194)=0,"",COUNTIF($AH$155:AH295,"&lt;="&amp;AH194))</f>
        <v>100</v>
      </c>
      <c r="AJ194" s="473">
        <f>RANK(AI194,AI$155:AI295,1)</f>
        <v>2</v>
      </c>
      <c r="AK194" s="473" t="e">
        <f>INDEX(E$155:E295,MATCH(ROWS(AJ$155:AJ194),AJ$155:AJ295,0))</f>
        <v>#N/A</v>
      </c>
      <c r="AL194" s="473" t="e">
        <f>INDEX(K$155:K295,MATCH(ROWS(AJ$155:AJ194),AJ$155:AJ295,0))</f>
        <v>#N/A</v>
      </c>
      <c r="AM194" s="473" t="e">
        <f>INDEX(V$155:V295,MATCH(ROWS(AJ$155:AJ194),AJ$155:AJ295,0))</f>
        <v>#N/A</v>
      </c>
      <c r="AN194" s="473" t="e">
        <f t="shared" si="17"/>
        <v>#N/A</v>
      </c>
      <c r="AO194" s="473" t="e">
        <f t="shared" si="18"/>
        <v>#N/A</v>
      </c>
      <c r="AP194" s="473"/>
      <c r="AQ194" s="485" t="s">
        <v>1290</v>
      </c>
      <c r="AR194" s="107"/>
    </row>
    <row r="195" spans="1:44" ht="47.15" customHeight="1" x14ac:dyDescent="0.35">
      <c r="A195" s="146">
        <v>40</v>
      </c>
      <c r="B195" s="475"/>
      <c r="C195" s="475"/>
      <c r="D195" s="148"/>
      <c r="E195" s="476" t="str">
        <f>IFERROR(IF(AND(K195="",T195=""),"",(VLOOKUP(Q195,'Reference records(soft deleted)'!$B$118:$D$162,3,FALSE))),"")</f>
        <v/>
      </c>
      <c r="F195" s="477"/>
      <c r="G195" s="477"/>
      <c r="H195" s="478" t="str">
        <f>IF(R195="",IFERROR(VLOOKUP(AC195,'Reference Records'!G$413:J733,4,0),""),IFERROR(VLOOKUP(AC195,'Reference Records'!H$413:J733,3,0),""))</f>
        <v/>
      </c>
      <c r="I195" s="478"/>
      <c r="J195" s="479"/>
      <c r="K195" s="476" t="str">
        <f>IFERROR(VLOOKUP(INDEX('Reference Records'!E$412:E734,MATCH(R195,'Reference Records'!F$412:F734,0),1),'Reference Records'!B$211:C621,2,0),"")</f>
        <v/>
      </c>
      <c r="L195" s="478" t="e">
        <f>VLOOKUP(U195&amp;K195,'Reference Records'!H$212:I622,2,0)</f>
        <v>#N/A</v>
      </c>
      <c r="M195" s="478" t="e">
        <f>MATCH($L195,'Reference Records'!$E$413:$E$618,0)+ROW(Population_by_intervention) -1</f>
        <v>#N/A</v>
      </c>
      <c r="N195" s="478" t="e">
        <f>MATCH($L195,'Reference Records'!$E$413:$E$618,1)+ROW(Population_by_intervention) -1</f>
        <v>#N/A</v>
      </c>
      <c r="O195" s="478" t="e">
        <f>INDEX('Reference Records'!K$212:K622,MATCH(L195,'Reference Records'!B$212:B622,0))</f>
        <v>#N/A</v>
      </c>
      <c r="P195" s="478"/>
      <c r="Q195" s="480"/>
      <c r="R195" s="481"/>
      <c r="S195" s="478" t="str">
        <f>IFERROR(VLOOKUP(INDEX('Reference Records'!J$412:J734,MATCH(R195,'Reference Records'!F$412:F734),1),'Reference Records'!B$211:C621,2,0),"")</f>
        <v/>
      </c>
      <c r="T195" s="479"/>
      <c r="U195" s="482" t="str">
        <f>IFERROR(IF(VLOOKUP(E195,'Reference Records'!$F$159:$N$210,9,FALSE)=0,"",VLOOKUP(E195,'Reference Records'!$F$159:$N$210,9,FALSE)),"")</f>
        <v/>
      </c>
      <c r="V195" s="476" t="str">
        <f>IF(IF(Language="French",G195,F195)=0,"",IF(Language="French",G195,F195))</f>
        <v/>
      </c>
      <c r="W195" s="483" t="str">
        <f t="shared" si="8"/>
        <v/>
      </c>
      <c r="X195" s="484" t="str">
        <f t="shared" si="9"/>
        <v>a1P3p000007oOIJEA2</v>
      </c>
      <c r="Y195" s="484" t="b">
        <f t="shared" si="10"/>
        <v>0</v>
      </c>
      <c r="Z195" s="484" t="b">
        <f t="shared" si="11"/>
        <v>1</v>
      </c>
      <c r="AA195" s="484" t="str">
        <f>IF(R195="",IFERROR(VLOOKUP(AC195,'Reference Records'!G$413:J733,3,0),""),IFERROR(VLOOKUP(AC195,'Reference Records'!H$413:J733,2,0),""))</f>
        <v/>
      </c>
      <c r="AB195" s="484" t="s">
        <v>1291</v>
      </c>
      <c r="AC195" s="473" t="e">
        <f t="shared" si="12"/>
        <v>#N/A</v>
      </c>
      <c r="AD195" s="473" t="str">
        <f t="shared" si="13"/>
        <v/>
      </c>
      <c r="AE195" s="473" t="str">
        <f t="array" ref="AE195">IFERROR(IF(INDEX($W$155:$W$256, MATCH(0, IF(AD195=$E$155:$E$256, COUNTIF($AE$154:$AE194, $W$155:$W$256), ""), 0))=0,"",INDEX($W$155:$W$256, MATCH(0, IF(AD195=$E$155:$E$256, COUNTIF($AE$154:$AE194, $W$155:$W$256), ""), 0))),"")</f>
        <v/>
      </c>
      <c r="AF195" s="473" t="str">
        <f t="shared" si="14"/>
        <v>|empty|</v>
      </c>
      <c r="AG195" s="473" t="str">
        <f t="shared" si="15"/>
        <v>INT-211723</v>
      </c>
      <c r="AH195" s="473" t="e">
        <f t="shared" si="16"/>
        <v>#N/A</v>
      </c>
      <c r="AI195" s="473">
        <f>IF(COUNTIF($AH$155:AH296,"&lt;="&amp;AH195)=0,"",COUNTIF($AH$155:AH296,"&lt;="&amp;AH195))</f>
        <v>100</v>
      </c>
      <c r="AJ195" s="473">
        <f>RANK(AI195,AI$155:AI296,1)</f>
        <v>2</v>
      </c>
      <c r="AK195" s="473" t="e">
        <f>INDEX(E$155:E296,MATCH(ROWS(AJ$155:AJ195),AJ$155:AJ296,0))</f>
        <v>#N/A</v>
      </c>
      <c r="AL195" s="473" t="e">
        <f>INDEX(K$155:K296,MATCH(ROWS(AJ$155:AJ195),AJ$155:AJ296,0))</f>
        <v>#N/A</v>
      </c>
      <c r="AM195" s="473" t="e">
        <f>INDEX(V$155:V296,MATCH(ROWS(AJ$155:AJ195),AJ$155:AJ296,0))</f>
        <v>#N/A</v>
      </c>
      <c r="AN195" s="473" t="e">
        <f t="shared" si="17"/>
        <v>#N/A</v>
      </c>
      <c r="AO195" s="473" t="e">
        <f t="shared" si="18"/>
        <v>#N/A</v>
      </c>
      <c r="AP195" s="473"/>
      <c r="AQ195" s="485" t="s">
        <v>1292</v>
      </c>
      <c r="AR195" s="107"/>
    </row>
    <row r="196" spans="1:44" ht="47.15" customHeight="1" x14ac:dyDescent="0.35">
      <c r="A196" s="146">
        <v>41</v>
      </c>
      <c r="B196" s="475"/>
      <c r="C196" s="475"/>
      <c r="D196" s="148"/>
      <c r="E196" s="476" t="str">
        <f>IFERROR(IF(AND(K196="",T196=""),"",(VLOOKUP(Q196,'Reference records(soft deleted)'!$B$118:$D$162,3,FALSE))),"")</f>
        <v/>
      </c>
      <c r="F196" s="477"/>
      <c r="G196" s="477"/>
      <c r="H196" s="478" t="str">
        <f>IF(R196="",IFERROR(VLOOKUP(AC196,'Reference Records'!G$413:J734,4,0),""),IFERROR(VLOOKUP(AC196,'Reference Records'!H$413:J734,3,0),""))</f>
        <v/>
      </c>
      <c r="I196" s="478"/>
      <c r="J196" s="479"/>
      <c r="K196" s="476" t="str">
        <f>IFERROR(VLOOKUP(INDEX('Reference Records'!E$412:E735,MATCH(R196,'Reference Records'!F$412:F735,0),1),'Reference Records'!B$211:C622,2,0),"")</f>
        <v/>
      </c>
      <c r="L196" s="478" t="e">
        <f>VLOOKUP(U196&amp;K196,'Reference Records'!H$212:I699,2,0)</f>
        <v>#N/A</v>
      </c>
      <c r="M196" s="478" t="e">
        <f>MATCH($L196,'Reference Records'!$E$413:$E$618,0)+ROW(Population_by_intervention) -1</f>
        <v>#N/A</v>
      </c>
      <c r="N196" s="478" t="e">
        <f>MATCH($L196,'Reference Records'!$E$413:$E$618,1)+ROW(Population_by_intervention) -1</f>
        <v>#N/A</v>
      </c>
      <c r="O196" s="478" t="e">
        <f>INDEX('Reference Records'!K$212:K699,MATCH(L196,'Reference Records'!B$212:B699,0))</f>
        <v>#N/A</v>
      </c>
      <c r="P196" s="478"/>
      <c r="Q196" s="480"/>
      <c r="R196" s="481"/>
      <c r="S196" s="478" t="str">
        <f>IFERROR(VLOOKUP(INDEX('Reference Records'!J$412:J735,MATCH(R196,'Reference Records'!F$412:F735),1),'Reference Records'!B$211:C622,2,0),"")</f>
        <v/>
      </c>
      <c r="T196" s="479"/>
      <c r="U196" s="482" t="str">
        <f>IFERROR(IF(VLOOKUP(E196,'Reference Records'!$F$159:$N$210,9,FALSE)=0,"",VLOOKUP(E196,'Reference Records'!$F$159:$N$210,9,FALSE)),"")</f>
        <v/>
      </c>
      <c r="V196" s="476" t="str">
        <f>IF(IF(Language="French",G196,F196)=0,"",IF(Language="French",G196,F196))</f>
        <v/>
      </c>
      <c r="W196" s="483" t="str">
        <f t="shared" si="8"/>
        <v/>
      </c>
      <c r="X196" s="484" t="str">
        <f t="shared" si="9"/>
        <v>a1P3p000007oOIJEA2</v>
      </c>
      <c r="Y196" s="484" t="b">
        <f t="shared" si="10"/>
        <v>0</v>
      </c>
      <c r="Z196" s="484" t="b">
        <f t="shared" si="11"/>
        <v>1</v>
      </c>
      <c r="AA196" s="484" t="str">
        <f>IF(R196="",IFERROR(VLOOKUP(AC196,'Reference Records'!G$413:J734,3,0),""),IFERROR(VLOOKUP(AC196,'Reference Records'!H$413:J734,2,0),""))</f>
        <v/>
      </c>
      <c r="AB196" s="484" t="s">
        <v>1293</v>
      </c>
      <c r="AC196" s="473" t="e">
        <f t="shared" si="12"/>
        <v>#N/A</v>
      </c>
      <c r="AD196" s="473" t="str">
        <f t="shared" si="13"/>
        <v/>
      </c>
      <c r="AE196" s="473" t="str">
        <f t="array" ref="AE196">IFERROR(IF(INDEX($W$155:$W$256, MATCH(0, IF(AD196=$E$155:$E$256, COUNTIF($AE$154:$AE195, $W$155:$W$256), ""), 0))=0,"",INDEX($W$155:$W$256, MATCH(0, IF(AD196=$E$155:$E$256, COUNTIF($AE$154:$AE195, $W$155:$W$256), ""), 0))),"")</f>
        <v/>
      </c>
      <c r="AF196" s="473" t="str">
        <f t="shared" si="14"/>
        <v>|empty|</v>
      </c>
      <c r="AG196" s="473" t="str">
        <f t="shared" si="15"/>
        <v>INT-211673</v>
      </c>
      <c r="AH196" s="473" t="e">
        <f t="shared" si="16"/>
        <v>#N/A</v>
      </c>
      <c r="AI196" s="473">
        <f>IF(COUNTIF($AH$155:AH297,"&lt;="&amp;AH196)=0,"",COUNTIF($AH$155:AH297,"&lt;="&amp;AH196))</f>
        <v>100</v>
      </c>
      <c r="AJ196" s="473">
        <f>RANK(AI196,AI$155:AI297,1)</f>
        <v>2</v>
      </c>
      <c r="AK196" s="473" t="e">
        <f>INDEX(E$155:E297,MATCH(ROWS(AJ$155:AJ196),AJ$155:AJ297,0))</f>
        <v>#N/A</v>
      </c>
      <c r="AL196" s="473" t="e">
        <f>INDEX(K$155:K297,MATCH(ROWS(AJ$155:AJ196),AJ$155:AJ297,0))</f>
        <v>#N/A</v>
      </c>
      <c r="AM196" s="473" t="e">
        <f>INDEX(V$155:V297,MATCH(ROWS(AJ$155:AJ196),AJ$155:AJ297,0))</f>
        <v>#N/A</v>
      </c>
      <c r="AN196" s="473" t="e">
        <f t="shared" si="17"/>
        <v>#N/A</v>
      </c>
      <c r="AO196" s="473" t="e">
        <f t="shared" si="18"/>
        <v>#N/A</v>
      </c>
      <c r="AP196" s="473"/>
      <c r="AQ196" s="485" t="s">
        <v>1294</v>
      </c>
      <c r="AR196" s="107"/>
    </row>
    <row r="197" spans="1:44" ht="47.15" customHeight="1" x14ac:dyDescent="0.35">
      <c r="A197" s="146">
        <v>42</v>
      </c>
      <c r="B197" s="475"/>
      <c r="C197" s="475"/>
      <c r="D197" s="148"/>
      <c r="E197" s="476" t="str">
        <f>IFERROR(IF(AND(K197="",T197=""),"",(VLOOKUP(Q197,'Reference records(soft deleted)'!$B$118:$D$162,3,FALSE))),"")</f>
        <v/>
      </c>
      <c r="F197" s="477"/>
      <c r="G197" s="477"/>
      <c r="H197" s="478" t="str">
        <f>IF(R197="",IFERROR(VLOOKUP(AC197,'Reference Records'!G$413:J735,4,0),""),IFERROR(VLOOKUP(AC197,'Reference Records'!H$413:J735,3,0),""))</f>
        <v/>
      </c>
      <c r="I197" s="478"/>
      <c r="J197" s="479"/>
      <c r="K197" s="476" t="str">
        <f>IFERROR(VLOOKUP(INDEX('Reference Records'!E$412:E736,MATCH(R197,'Reference Records'!F$412:F736,0),1),'Reference Records'!B$211:C699,2,0),"")</f>
        <v/>
      </c>
      <c r="L197" s="478" t="e">
        <f>VLOOKUP(U197&amp;K197,'Reference Records'!H$212:I700,2,0)</f>
        <v>#N/A</v>
      </c>
      <c r="M197" s="478" t="e">
        <f>MATCH($L197,'Reference Records'!$E$413:$E$618,0)+ROW(Population_by_intervention) -1</f>
        <v>#N/A</v>
      </c>
      <c r="N197" s="478" t="e">
        <f>MATCH($L197,'Reference Records'!$E$413:$E$618,1)+ROW(Population_by_intervention) -1</f>
        <v>#N/A</v>
      </c>
      <c r="O197" s="478" t="e">
        <f>INDEX('Reference Records'!K$212:K700,MATCH(L197,'Reference Records'!B$212:B700,0))</f>
        <v>#N/A</v>
      </c>
      <c r="P197" s="478"/>
      <c r="Q197" s="480"/>
      <c r="R197" s="481"/>
      <c r="S197" s="478" t="str">
        <f>IFERROR(VLOOKUP(INDEX('Reference Records'!J$412:J736,MATCH(R197,'Reference Records'!F$412:F736),1),'Reference Records'!B$211:C699,2,0),"")</f>
        <v/>
      </c>
      <c r="T197" s="479"/>
      <c r="U197" s="482" t="str">
        <f>IFERROR(IF(VLOOKUP(E197,'Reference Records'!$F$159:$N$210,9,FALSE)=0,"",VLOOKUP(E197,'Reference Records'!$F$159:$N$210,9,FALSE)),"")</f>
        <v/>
      </c>
      <c r="V197" s="476" t="str">
        <f>IF(IF(Language="French",G197,F197)=0,"",IF(Language="French",G197,F197))</f>
        <v/>
      </c>
      <c r="W197" s="483" t="str">
        <f t="shared" si="8"/>
        <v/>
      </c>
      <c r="X197" s="484" t="str">
        <f t="shared" si="9"/>
        <v>a1P3p000007oOIJEA2</v>
      </c>
      <c r="Y197" s="484" t="b">
        <f t="shared" si="10"/>
        <v>0</v>
      </c>
      <c r="Z197" s="484" t="b">
        <f t="shared" si="11"/>
        <v>1</v>
      </c>
      <c r="AA197" s="484" t="str">
        <f>IF(R197="",IFERROR(VLOOKUP(AC197,'Reference Records'!G$413:J735,3,0),""),IFERROR(VLOOKUP(AC197,'Reference Records'!H$413:J735,2,0),""))</f>
        <v/>
      </c>
      <c r="AB197" s="484" t="s">
        <v>1295</v>
      </c>
      <c r="AC197" s="473" t="e">
        <f t="shared" si="12"/>
        <v>#N/A</v>
      </c>
      <c r="AD197" s="473" t="str">
        <f t="shared" si="13"/>
        <v/>
      </c>
      <c r="AE197" s="473" t="str">
        <f t="array" ref="AE197">IFERROR(IF(INDEX($W$155:$W$256, MATCH(0, IF(AD197=$E$155:$E$256, COUNTIF($AE$154:$AE196, $W$155:$W$256), ""), 0))=0,"",INDEX($W$155:$W$256, MATCH(0, IF(AD197=$E$155:$E$256, COUNTIF($AE$154:$AE196, $W$155:$W$256), ""), 0))),"")</f>
        <v/>
      </c>
      <c r="AF197" s="473" t="str">
        <f t="shared" si="14"/>
        <v>|empty|</v>
      </c>
      <c r="AG197" s="473" t="str">
        <f t="shared" si="15"/>
        <v>INT-211724</v>
      </c>
      <c r="AH197" s="473" t="e">
        <f t="shared" si="16"/>
        <v>#N/A</v>
      </c>
      <c r="AI197" s="473">
        <f>IF(COUNTIF($AH$155:AH298,"&lt;="&amp;AH197)=0,"",COUNTIF($AH$155:AH298,"&lt;="&amp;AH197))</f>
        <v>100</v>
      </c>
      <c r="AJ197" s="473">
        <f>RANK(AI197,AI$155:AI298,1)</f>
        <v>2</v>
      </c>
      <c r="AK197" s="473" t="e">
        <f>INDEX(E$155:E298,MATCH(ROWS(AJ$155:AJ197),AJ$155:AJ298,0))</f>
        <v>#N/A</v>
      </c>
      <c r="AL197" s="473" t="e">
        <f>INDEX(K$155:K298,MATCH(ROWS(AJ$155:AJ197),AJ$155:AJ298,0))</f>
        <v>#N/A</v>
      </c>
      <c r="AM197" s="473" t="e">
        <f>INDEX(V$155:V298,MATCH(ROWS(AJ$155:AJ197),AJ$155:AJ298,0))</f>
        <v>#N/A</v>
      </c>
      <c r="AN197" s="473" t="e">
        <f t="shared" si="17"/>
        <v>#N/A</v>
      </c>
      <c r="AO197" s="473" t="e">
        <f t="shared" si="18"/>
        <v>#N/A</v>
      </c>
      <c r="AP197" s="473"/>
      <c r="AQ197" s="485" t="s">
        <v>1296</v>
      </c>
      <c r="AR197" s="107"/>
    </row>
    <row r="198" spans="1:44" ht="47.15" customHeight="1" x14ac:dyDescent="0.35">
      <c r="A198" s="146">
        <v>43</v>
      </c>
      <c r="B198" s="475"/>
      <c r="C198" s="475"/>
      <c r="D198" s="148"/>
      <c r="E198" s="476" t="str">
        <f>IFERROR(IF(AND(K198="",T198=""),"",(VLOOKUP(Q198,'Reference records(soft deleted)'!$B$118:$D$162,3,FALSE))),"")</f>
        <v/>
      </c>
      <c r="F198" s="477"/>
      <c r="G198" s="477"/>
      <c r="H198" s="478" t="str">
        <f>IF(R198="",IFERROR(VLOOKUP(AC198,'Reference Records'!G$413:J736,4,0),""),IFERROR(VLOOKUP(AC198,'Reference Records'!H$413:J736,3,0),""))</f>
        <v/>
      </c>
      <c r="I198" s="478"/>
      <c r="J198" s="479"/>
      <c r="K198" s="476" t="str">
        <f>IFERROR(VLOOKUP(INDEX('Reference Records'!E$412:E737,MATCH(R198,'Reference Records'!F$412:F737,0),1),'Reference Records'!B$211:C700,2,0),"")</f>
        <v/>
      </c>
      <c r="L198" s="478" t="e">
        <f>VLOOKUP(U198&amp;K198,'Reference Records'!H$212:I701,2,0)</f>
        <v>#N/A</v>
      </c>
      <c r="M198" s="478" t="e">
        <f>MATCH($L198,'Reference Records'!$E$413:$E$618,0)+ROW(Population_by_intervention) -1</f>
        <v>#N/A</v>
      </c>
      <c r="N198" s="478" t="e">
        <f>MATCH($L198,'Reference Records'!$E$413:$E$618,1)+ROW(Population_by_intervention) -1</f>
        <v>#N/A</v>
      </c>
      <c r="O198" s="478" t="e">
        <f>INDEX('Reference Records'!K$212:K701,MATCH(L198,'Reference Records'!B$212:B701,0))</f>
        <v>#N/A</v>
      </c>
      <c r="P198" s="478"/>
      <c r="Q198" s="480"/>
      <c r="R198" s="481"/>
      <c r="S198" s="478" t="str">
        <f>IFERROR(VLOOKUP(INDEX('Reference Records'!J$412:J737,MATCH(R198,'Reference Records'!F$412:F737),1),'Reference Records'!B$211:C700,2,0),"")</f>
        <v/>
      </c>
      <c r="T198" s="479"/>
      <c r="U198" s="482" t="str">
        <f>IFERROR(IF(VLOOKUP(E198,'Reference Records'!$F$159:$N$210,9,FALSE)=0,"",VLOOKUP(E198,'Reference Records'!$F$159:$N$210,9,FALSE)),"")</f>
        <v/>
      </c>
      <c r="V198" s="476" t="str">
        <f>IF(IF(Language="French",G198,F198)=0,"",IF(Language="French",G198,F198))</f>
        <v/>
      </c>
      <c r="W198" s="483" t="str">
        <f t="shared" si="8"/>
        <v/>
      </c>
      <c r="X198" s="484" t="str">
        <f t="shared" si="9"/>
        <v>a1P3p000007oOIJEA2</v>
      </c>
      <c r="Y198" s="484" t="b">
        <f t="shared" si="10"/>
        <v>0</v>
      </c>
      <c r="Z198" s="484" t="b">
        <f t="shared" si="11"/>
        <v>1</v>
      </c>
      <c r="AA198" s="484" t="str">
        <f>IF(R198="",IFERROR(VLOOKUP(AC198,'Reference Records'!G$413:J736,3,0),""),IFERROR(VLOOKUP(AC198,'Reference Records'!H$413:J736,2,0),""))</f>
        <v/>
      </c>
      <c r="AB198" s="484" t="s">
        <v>1297</v>
      </c>
      <c r="AC198" s="473" t="e">
        <f t="shared" si="12"/>
        <v>#N/A</v>
      </c>
      <c r="AD198" s="473" t="str">
        <f t="shared" si="13"/>
        <v/>
      </c>
      <c r="AE198" s="473" t="str">
        <f t="array" ref="AE198">IFERROR(IF(INDEX($W$155:$W$256, MATCH(0, IF(AD198=$E$155:$E$256, COUNTIF($AE$154:$AE197, $W$155:$W$256), ""), 0))=0,"",INDEX($W$155:$W$256, MATCH(0, IF(AD198=$E$155:$E$256, COUNTIF($AE$154:$AE197, $W$155:$W$256), ""), 0))),"")</f>
        <v/>
      </c>
      <c r="AF198" s="473" t="str">
        <f t="shared" si="14"/>
        <v>|empty|</v>
      </c>
      <c r="AG198" s="473" t="str">
        <f t="shared" si="15"/>
        <v>INT-211674</v>
      </c>
      <c r="AH198" s="473" t="e">
        <f t="shared" si="16"/>
        <v>#N/A</v>
      </c>
      <c r="AI198" s="473">
        <f>IF(COUNTIF($AH$155:AH299,"&lt;="&amp;AH198)=0,"",COUNTIF($AH$155:AH299,"&lt;="&amp;AH198))</f>
        <v>100</v>
      </c>
      <c r="AJ198" s="473">
        <f>RANK(AI198,AI$155:AI299,1)</f>
        <v>2</v>
      </c>
      <c r="AK198" s="473" t="e">
        <f>INDEX(E$155:E299,MATCH(ROWS(AJ$155:AJ198),AJ$155:AJ299,0))</f>
        <v>#N/A</v>
      </c>
      <c r="AL198" s="473" t="e">
        <f>INDEX(K$155:K299,MATCH(ROWS(AJ$155:AJ198),AJ$155:AJ299,0))</f>
        <v>#N/A</v>
      </c>
      <c r="AM198" s="473" t="e">
        <f>INDEX(V$155:V299,MATCH(ROWS(AJ$155:AJ198),AJ$155:AJ299,0))</f>
        <v>#N/A</v>
      </c>
      <c r="AN198" s="473" t="e">
        <f t="shared" si="17"/>
        <v>#N/A</v>
      </c>
      <c r="AO198" s="473" t="e">
        <f t="shared" si="18"/>
        <v>#N/A</v>
      </c>
      <c r="AP198" s="473"/>
      <c r="AQ198" s="485" t="s">
        <v>1298</v>
      </c>
      <c r="AR198" s="107"/>
    </row>
    <row r="199" spans="1:44" ht="47.15" customHeight="1" x14ac:dyDescent="0.35">
      <c r="A199" s="146">
        <v>44</v>
      </c>
      <c r="B199" s="475"/>
      <c r="C199" s="475"/>
      <c r="D199" s="148"/>
      <c r="E199" s="476" t="str">
        <f>IFERROR(IF(AND(K199="",T199=""),"",(VLOOKUP(Q199,'Reference records(soft deleted)'!$B$118:$D$162,3,FALSE))),"")</f>
        <v/>
      </c>
      <c r="F199" s="477"/>
      <c r="G199" s="477"/>
      <c r="H199" s="478" t="str">
        <f>IF(R199="",IFERROR(VLOOKUP(AC199,'Reference Records'!G$413:J737,4,0),""),IFERROR(VLOOKUP(AC199,'Reference Records'!H$413:J737,3,0),""))</f>
        <v/>
      </c>
      <c r="I199" s="478"/>
      <c r="J199" s="479"/>
      <c r="K199" s="476" t="str">
        <f>IFERROR(VLOOKUP(INDEX('Reference Records'!E$412:E738,MATCH(R199,'Reference Records'!F$412:F738,0),1),'Reference Records'!B$211:C701,2,0),"")</f>
        <v/>
      </c>
      <c r="L199" s="478" t="e">
        <f>VLOOKUP(U199&amp;K199,'Reference Records'!H$212:I702,2,0)</f>
        <v>#N/A</v>
      </c>
      <c r="M199" s="478" t="e">
        <f>MATCH($L199,'Reference Records'!$E$413:$E$618,0)+ROW(Population_by_intervention) -1</f>
        <v>#N/A</v>
      </c>
      <c r="N199" s="478" t="e">
        <f>MATCH($L199,'Reference Records'!$E$413:$E$618,1)+ROW(Population_by_intervention) -1</f>
        <v>#N/A</v>
      </c>
      <c r="O199" s="478" t="e">
        <f>INDEX('Reference Records'!K$212:K702,MATCH(L199,'Reference Records'!B$212:B702,0))</f>
        <v>#N/A</v>
      </c>
      <c r="P199" s="478"/>
      <c r="Q199" s="480"/>
      <c r="R199" s="481"/>
      <c r="S199" s="478" t="str">
        <f>IFERROR(VLOOKUP(INDEX('Reference Records'!J$412:J738,MATCH(R199,'Reference Records'!F$412:F738),1),'Reference Records'!B$211:C701,2,0),"")</f>
        <v/>
      </c>
      <c r="T199" s="479"/>
      <c r="U199" s="482" t="str">
        <f>IFERROR(IF(VLOOKUP(E199,'Reference Records'!$F$159:$N$210,9,FALSE)=0,"",VLOOKUP(E199,'Reference Records'!$F$159:$N$210,9,FALSE)),"")</f>
        <v/>
      </c>
      <c r="V199" s="476" t="str">
        <f>IF(IF(Language="French",G199,F199)=0,"",IF(Language="French",G199,F199))</f>
        <v/>
      </c>
      <c r="W199" s="483" t="str">
        <f t="shared" si="8"/>
        <v/>
      </c>
      <c r="X199" s="484" t="str">
        <f t="shared" si="9"/>
        <v>a1P3p000007oOIJEA2</v>
      </c>
      <c r="Y199" s="484" t="b">
        <f t="shared" si="10"/>
        <v>0</v>
      </c>
      <c r="Z199" s="484" t="b">
        <f t="shared" si="11"/>
        <v>1</v>
      </c>
      <c r="AA199" s="484" t="str">
        <f>IF(R199="",IFERROR(VLOOKUP(AC199,'Reference Records'!G$413:J737,3,0),""),IFERROR(VLOOKUP(AC199,'Reference Records'!H$413:J737,2,0),""))</f>
        <v/>
      </c>
      <c r="AB199" s="484" t="s">
        <v>1299</v>
      </c>
      <c r="AC199" s="473" t="e">
        <f t="shared" si="12"/>
        <v>#N/A</v>
      </c>
      <c r="AD199" s="473" t="str">
        <f t="shared" si="13"/>
        <v/>
      </c>
      <c r="AE199" s="473" t="str">
        <f t="array" ref="AE199">IFERROR(IF(INDEX($W$155:$W$256, MATCH(0, IF(AD199=$E$155:$E$256, COUNTIF($AE$154:$AE198, $W$155:$W$256), ""), 0))=0,"",INDEX($W$155:$W$256, MATCH(0, IF(AD199=$E$155:$E$256, COUNTIF($AE$154:$AE198, $W$155:$W$256), ""), 0))),"")</f>
        <v/>
      </c>
      <c r="AF199" s="473" t="str">
        <f t="shared" si="14"/>
        <v>|empty|</v>
      </c>
      <c r="AG199" s="473" t="str">
        <f t="shared" si="15"/>
        <v>INT-211725</v>
      </c>
      <c r="AH199" s="473" t="e">
        <f t="shared" si="16"/>
        <v>#N/A</v>
      </c>
      <c r="AI199" s="473">
        <f>IF(COUNTIF($AH$155:AH300,"&lt;="&amp;AH199)=0,"",COUNTIF($AH$155:AH300,"&lt;="&amp;AH199))</f>
        <v>100</v>
      </c>
      <c r="AJ199" s="473">
        <f>RANK(AI199,AI$155:AI300,1)</f>
        <v>2</v>
      </c>
      <c r="AK199" s="473" t="e">
        <f>INDEX(E$155:E300,MATCH(ROWS(AJ$155:AJ199),AJ$155:AJ300,0))</f>
        <v>#N/A</v>
      </c>
      <c r="AL199" s="473" t="e">
        <f>INDEX(K$155:K300,MATCH(ROWS(AJ$155:AJ199),AJ$155:AJ300,0))</f>
        <v>#N/A</v>
      </c>
      <c r="AM199" s="473" t="e">
        <f>INDEX(V$155:V300,MATCH(ROWS(AJ$155:AJ199),AJ$155:AJ300,0))</f>
        <v>#N/A</v>
      </c>
      <c r="AN199" s="473" t="e">
        <f t="shared" si="17"/>
        <v>#N/A</v>
      </c>
      <c r="AO199" s="473" t="e">
        <f t="shared" si="18"/>
        <v>#N/A</v>
      </c>
      <c r="AP199" s="473"/>
      <c r="AQ199" s="485" t="s">
        <v>1300</v>
      </c>
      <c r="AR199" s="107"/>
    </row>
    <row r="200" spans="1:44" ht="47.15" customHeight="1" x14ac:dyDescent="0.35">
      <c r="A200" s="146">
        <v>45</v>
      </c>
      <c r="B200" s="475"/>
      <c r="C200" s="475"/>
      <c r="D200" s="148"/>
      <c r="E200" s="476" t="str">
        <f>IFERROR(IF(AND(K200="",T200=""),"",(VLOOKUP(Q200,'Reference records(soft deleted)'!$B$118:$D$162,3,FALSE))),"")</f>
        <v/>
      </c>
      <c r="F200" s="477"/>
      <c r="G200" s="477"/>
      <c r="H200" s="478" t="str">
        <f>IF(R200="",IFERROR(VLOOKUP(AC200,'Reference Records'!G$413:J738,4,0),""),IFERROR(VLOOKUP(AC200,'Reference Records'!H$413:J738,3,0),""))</f>
        <v/>
      </c>
      <c r="I200" s="478"/>
      <c r="J200" s="479"/>
      <c r="K200" s="476" t="str">
        <f>IFERROR(VLOOKUP(INDEX('Reference Records'!E$412:E739,MATCH(R200,'Reference Records'!F$412:F739,0),1),'Reference Records'!B$211:C702,2,0),"")</f>
        <v/>
      </c>
      <c r="L200" s="478" t="e">
        <f>VLOOKUP(U200&amp;K200,'Reference Records'!H$212:I703,2,0)</f>
        <v>#N/A</v>
      </c>
      <c r="M200" s="478" t="e">
        <f>MATCH($L200,'Reference Records'!$E$413:$E$618,0)+ROW(Population_by_intervention) -1</f>
        <v>#N/A</v>
      </c>
      <c r="N200" s="478" t="e">
        <f>MATCH($L200,'Reference Records'!$E$413:$E$618,1)+ROW(Population_by_intervention) -1</f>
        <v>#N/A</v>
      </c>
      <c r="O200" s="478" t="e">
        <f>INDEX('Reference Records'!K$212:K703,MATCH(L200,'Reference Records'!B$212:B703,0))</f>
        <v>#N/A</v>
      </c>
      <c r="P200" s="478"/>
      <c r="Q200" s="480"/>
      <c r="R200" s="481"/>
      <c r="S200" s="478" t="str">
        <f>IFERROR(VLOOKUP(INDEX('Reference Records'!J$412:J739,MATCH(R200,'Reference Records'!F$412:F739),1),'Reference Records'!B$211:C702,2,0),"")</f>
        <v/>
      </c>
      <c r="T200" s="479"/>
      <c r="U200" s="482" t="str">
        <f>IFERROR(IF(VLOOKUP(E200,'Reference Records'!$F$159:$N$210,9,FALSE)=0,"",VLOOKUP(E200,'Reference Records'!$F$159:$N$210,9,FALSE)),"")</f>
        <v/>
      </c>
      <c r="V200" s="476" t="str">
        <f>IF(IF(Language="French",G200,F200)=0,"",IF(Language="French",G200,F200))</f>
        <v/>
      </c>
      <c r="W200" s="483" t="str">
        <f t="shared" si="8"/>
        <v/>
      </c>
      <c r="X200" s="484" t="str">
        <f t="shared" si="9"/>
        <v>a1P3p000007oOIJEA2</v>
      </c>
      <c r="Y200" s="484" t="b">
        <f t="shared" si="10"/>
        <v>0</v>
      </c>
      <c r="Z200" s="484" t="b">
        <f t="shared" si="11"/>
        <v>1</v>
      </c>
      <c r="AA200" s="484" t="str">
        <f>IF(R200="",IFERROR(VLOOKUP(AC200,'Reference Records'!G$413:J738,3,0),""),IFERROR(VLOOKUP(AC200,'Reference Records'!H$413:J738,2,0),""))</f>
        <v/>
      </c>
      <c r="AB200" s="484" t="s">
        <v>1301</v>
      </c>
      <c r="AC200" s="473" t="e">
        <f t="shared" si="12"/>
        <v>#N/A</v>
      </c>
      <c r="AD200" s="473" t="str">
        <f t="shared" si="13"/>
        <v/>
      </c>
      <c r="AE200" s="473" t="str">
        <f t="array" ref="AE200">IFERROR(IF(INDEX($W$155:$W$256, MATCH(0, IF(AD200=$E$155:$E$256, COUNTIF($AE$154:$AE199, $W$155:$W$256), ""), 0))=0,"",INDEX($W$155:$W$256, MATCH(0, IF(AD200=$E$155:$E$256, COUNTIF($AE$154:$AE199, $W$155:$W$256), ""), 0))),"")</f>
        <v/>
      </c>
      <c r="AF200" s="473" t="str">
        <f t="shared" si="14"/>
        <v>|empty|</v>
      </c>
      <c r="AG200" s="473" t="str">
        <f t="shared" si="15"/>
        <v>INT-211675</v>
      </c>
      <c r="AH200" s="473" t="e">
        <f t="shared" si="16"/>
        <v>#N/A</v>
      </c>
      <c r="AI200" s="473">
        <f>IF(COUNTIF($AH$155:AH301,"&lt;="&amp;AH200)=0,"",COUNTIF($AH$155:AH301,"&lt;="&amp;AH200))</f>
        <v>100</v>
      </c>
      <c r="AJ200" s="473">
        <f>RANK(AI200,AI$155:AI301,1)</f>
        <v>2</v>
      </c>
      <c r="AK200" s="473" t="e">
        <f>INDEX(E$155:E301,MATCH(ROWS(AJ$155:AJ200),AJ$155:AJ301,0))</f>
        <v>#N/A</v>
      </c>
      <c r="AL200" s="473" t="e">
        <f>INDEX(K$155:K301,MATCH(ROWS(AJ$155:AJ200),AJ$155:AJ301,0))</f>
        <v>#N/A</v>
      </c>
      <c r="AM200" s="473" t="e">
        <f>INDEX(V$155:V301,MATCH(ROWS(AJ$155:AJ200),AJ$155:AJ301,0))</f>
        <v>#N/A</v>
      </c>
      <c r="AN200" s="473" t="e">
        <f t="shared" si="17"/>
        <v>#N/A</v>
      </c>
      <c r="AO200" s="473" t="e">
        <f t="shared" si="18"/>
        <v>#N/A</v>
      </c>
      <c r="AP200" s="473"/>
      <c r="AQ200" s="485" t="s">
        <v>1302</v>
      </c>
      <c r="AR200" s="107"/>
    </row>
    <row r="201" spans="1:44" ht="47.15" customHeight="1" x14ac:dyDescent="0.35">
      <c r="A201" s="146">
        <v>46</v>
      </c>
      <c r="B201" s="475"/>
      <c r="C201" s="475"/>
      <c r="D201" s="148"/>
      <c r="E201" s="476" t="str">
        <f>IFERROR(IF(AND(K201="",T201=""),"",(VLOOKUP(Q201,'Reference records(soft deleted)'!$B$118:$D$162,3,FALSE))),"")</f>
        <v/>
      </c>
      <c r="F201" s="477"/>
      <c r="G201" s="477"/>
      <c r="H201" s="478" t="str">
        <f>IF(R201="",IFERROR(VLOOKUP(AC201,'Reference Records'!G$413:J739,4,0),""),IFERROR(VLOOKUP(AC201,'Reference Records'!H$413:J739,3,0),""))</f>
        <v/>
      </c>
      <c r="I201" s="478"/>
      <c r="J201" s="479"/>
      <c r="K201" s="476" t="str">
        <f>IFERROR(VLOOKUP(INDEX('Reference Records'!E$412:E740,MATCH(R201,'Reference Records'!F$412:F740,0),1),'Reference Records'!B$211:C703,2,0),"")</f>
        <v/>
      </c>
      <c r="L201" s="478" t="e">
        <f>VLOOKUP(U201&amp;K201,'Reference Records'!H$212:I704,2,0)</f>
        <v>#N/A</v>
      </c>
      <c r="M201" s="478" t="e">
        <f>MATCH($L201,'Reference Records'!$E$413:$E$618,0)+ROW(Population_by_intervention) -1</f>
        <v>#N/A</v>
      </c>
      <c r="N201" s="478" t="e">
        <f>MATCH($L201,'Reference Records'!$E$413:$E$618,1)+ROW(Population_by_intervention) -1</f>
        <v>#N/A</v>
      </c>
      <c r="O201" s="478" t="e">
        <f>INDEX('Reference Records'!K$212:K704,MATCH(L201,'Reference Records'!B$212:B704,0))</f>
        <v>#N/A</v>
      </c>
      <c r="P201" s="478"/>
      <c r="Q201" s="480"/>
      <c r="R201" s="481"/>
      <c r="S201" s="478" t="str">
        <f>IFERROR(VLOOKUP(INDEX('Reference Records'!J$412:J740,MATCH(R201,'Reference Records'!F$412:F740),1),'Reference Records'!B$211:C703,2,0),"")</f>
        <v/>
      </c>
      <c r="T201" s="479"/>
      <c r="U201" s="482" t="str">
        <f>IFERROR(IF(VLOOKUP(E201,'Reference Records'!$F$159:$N$210,9,FALSE)=0,"",VLOOKUP(E201,'Reference Records'!$F$159:$N$210,9,FALSE)),"")</f>
        <v/>
      </c>
      <c r="V201" s="476" t="str">
        <f>IF(IF(Language="French",G201,F201)=0,"",IF(Language="French",G201,F201))</f>
        <v/>
      </c>
      <c r="W201" s="483" t="str">
        <f t="shared" si="8"/>
        <v/>
      </c>
      <c r="X201" s="484" t="str">
        <f t="shared" si="9"/>
        <v>a1P3p000007oOIJEA2</v>
      </c>
      <c r="Y201" s="484" t="b">
        <f t="shared" si="10"/>
        <v>0</v>
      </c>
      <c r="Z201" s="484" t="b">
        <f t="shared" si="11"/>
        <v>1</v>
      </c>
      <c r="AA201" s="484" t="str">
        <f>IF(R201="",IFERROR(VLOOKUP(AC201,'Reference Records'!G$413:J739,3,0),""),IFERROR(VLOOKUP(AC201,'Reference Records'!H$413:J739,2,0),""))</f>
        <v/>
      </c>
      <c r="AB201" s="484" t="s">
        <v>1303</v>
      </c>
      <c r="AC201" s="473" t="e">
        <f t="shared" si="12"/>
        <v>#N/A</v>
      </c>
      <c r="AD201" s="473" t="str">
        <f t="shared" si="13"/>
        <v/>
      </c>
      <c r="AE201" s="473" t="str">
        <f t="array" ref="AE201">IFERROR(IF(INDEX($W$155:$W$256, MATCH(0, IF(AD201=$E$155:$E$256, COUNTIF($AE$154:$AE200, $W$155:$W$256), ""), 0))=0,"",INDEX($W$155:$W$256, MATCH(0, IF(AD201=$E$155:$E$256, COUNTIF($AE$154:$AE200, $W$155:$W$256), ""), 0))),"")</f>
        <v/>
      </c>
      <c r="AF201" s="473" t="str">
        <f t="shared" si="14"/>
        <v>|empty|</v>
      </c>
      <c r="AG201" s="473" t="str">
        <f t="shared" si="15"/>
        <v>INT-211722</v>
      </c>
      <c r="AH201" s="473" t="e">
        <f t="shared" si="16"/>
        <v>#N/A</v>
      </c>
      <c r="AI201" s="473">
        <f>IF(COUNTIF($AH$155:AH302,"&lt;="&amp;AH201)=0,"",COUNTIF($AH$155:AH302,"&lt;="&amp;AH201))</f>
        <v>100</v>
      </c>
      <c r="AJ201" s="473">
        <f>RANK(AI201,AI$155:AI302,1)</f>
        <v>2</v>
      </c>
      <c r="AK201" s="473" t="e">
        <f>INDEX(E$155:E302,MATCH(ROWS(AJ$155:AJ201),AJ$155:AJ302,0))</f>
        <v>#N/A</v>
      </c>
      <c r="AL201" s="473" t="e">
        <f>INDEX(K$155:K302,MATCH(ROWS(AJ$155:AJ201),AJ$155:AJ302,0))</f>
        <v>#N/A</v>
      </c>
      <c r="AM201" s="473" t="e">
        <f>INDEX(V$155:V302,MATCH(ROWS(AJ$155:AJ201),AJ$155:AJ302,0))</f>
        <v>#N/A</v>
      </c>
      <c r="AN201" s="473" t="e">
        <f t="shared" si="17"/>
        <v>#N/A</v>
      </c>
      <c r="AO201" s="473" t="e">
        <f t="shared" si="18"/>
        <v>#N/A</v>
      </c>
      <c r="AP201" s="473"/>
      <c r="AQ201" s="485" t="s">
        <v>1304</v>
      </c>
      <c r="AR201" s="107"/>
    </row>
    <row r="202" spans="1:44" ht="47.15" customHeight="1" x14ac:dyDescent="0.35">
      <c r="A202" s="146">
        <v>47</v>
      </c>
      <c r="B202" s="475"/>
      <c r="C202" s="475"/>
      <c r="D202" s="148"/>
      <c r="E202" s="476" t="str">
        <f>IFERROR(IF(AND(K202="",T202=""),"",(VLOOKUP(Q202,'Reference records(soft deleted)'!$B$118:$D$162,3,FALSE))),"")</f>
        <v/>
      </c>
      <c r="F202" s="477"/>
      <c r="G202" s="477"/>
      <c r="H202" s="478" t="str">
        <f>IF(R202="",IFERROR(VLOOKUP(AC202,'Reference Records'!G$413:J740,4,0),""),IFERROR(VLOOKUP(AC202,'Reference Records'!H$413:J740,3,0),""))</f>
        <v/>
      </c>
      <c r="I202" s="478"/>
      <c r="J202" s="479"/>
      <c r="K202" s="476" t="str">
        <f>IFERROR(VLOOKUP(INDEX('Reference Records'!E$412:E741,MATCH(R202,'Reference Records'!F$412:F741,0),1),'Reference Records'!B$211:C704,2,0),"")</f>
        <v/>
      </c>
      <c r="L202" s="478" t="e">
        <f>VLOOKUP(U202&amp;K202,'Reference Records'!H$212:I705,2,0)</f>
        <v>#N/A</v>
      </c>
      <c r="M202" s="478" t="e">
        <f>MATCH($L202,'Reference Records'!$E$413:$E$618,0)+ROW(Population_by_intervention) -1</f>
        <v>#N/A</v>
      </c>
      <c r="N202" s="478" t="e">
        <f>MATCH($L202,'Reference Records'!$E$413:$E$618,1)+ROW(Population_by_intervention) -1</f>
        <v>#N/A</v>
      </c>
      <c r="O202" s="478" t="e">
        <f>INDEX('Reference Records'!K$212:K705,MATCH(L202,'Reference Records'!B$212:B705,0))</f>
        <v>#N/A</v>
      </c>
      <c r="P202" s="478"/>
      <c r="Q202" s="480"/>
      <c r="R202" s="481"/>
      <c r="S202" s="478" t="str">
        <f>IFERROR(VLOOKUP(INDEX('Reference Records'!J$412:J741,MATCH(R202,'Reference Records'!F$412:F741),1),'Reference Records'!B$211:C704,2,0),"")</f>
        <v/>
      </c>
      <c r="T202" s="479"/>
      <c r="U202" s="482" t="str">
        <f>IFERROR(IF(VLOOKUP(E202,'Reference Records'!$F$159:$N$210,9,FALSE)=0,"",VLOOKUP(E202,'Reference Records'!$F$159:$N$210,9,FALSE)),"")</f>
        <v/>
      </c>
      <c r="V202" s="476" t="str">
        <f>IF(IF(Language="French",G202,F202)=0,"",IF(Language="French",G202,F202))</f>
        <v/>
      </c>
      <c r="W202" s="483" t="str">
        <f t="shared" si="8"/>
        <v/>
      </c>
      <c r="X202" s="484" t="str">
        <f t="shared" si="9"/>
        <v>a1P3p000007oOIJEA2</v>
      </c>
      <c r="Y202" s="484" t="b">
        <f t="shared" si="10"/>
        <v>0</v>
      </c>
      <c r="Z202" s="484" t="b">
        <f t="shared" si="11"/>
        <v>1</v>
      </c>
      <c r="AA202" s="484" t="str">
        <f>IF(R202="",IFERROR(VLOOKUP(AC202,'Reference Records'!G$413:J740,3,0),""),IFERROR(VLOOKUP(AC202,'Reference Records'!H$413:J740,2,0),""))</f>
        <v/>
      </c>
      <c r="AB202" s="484" t="s">
        <v>1305</v>
      </c>
      <c r="AC202" s="473" t="e">
        <f t="shared" si="12"/>
        <v>#N/A</v>
      </c>
      <c r="AD202" s="473" t="str">
        <f t="shared" si="13"/>
        <v/>
      </c>
      <c r="AE202" s="473" t="str">
        <f t="array" ref="AE202">IFERROR(IF(INDEX($W$155:$W$256, MATCH(0, IF(AD202=$E$155:$E$256, COUNTIF($AE$154:$AE201, $W$155:$W$256), ""), 0))=0,"",INDEX($W$155:$W$256, MATCH(0, IF(AD202=$E$155:$E$256, COUNTIF($AE$154:$AE201, $W$155:$W$256), ""), 0))),"")</f>
        <v/>
      </c>
      <c r="AF202" s="473" t="str">
        <f t="shared" si="14"/>
        <v>|empty|</v>
      </c>
      <c r="AG202" s="473" t="str">
        <f t="shared" si="15"/>
        <v>INT-211676</v>
      </c>
      <c r="AH202" s="473" t="e">
        <f t="shared" si="16"/>
        <v>#N/A</v>
      </c>
      <c r="AI202" s="473">
        <f>IF(COUNTIF($AH$155:AH303,"&lt;="&amp;AH202)=0,"",COUNTIF($AH$155:AH303,"&lt;="&amp;AH202))</f>
        <v>100</v>
      </c>
      <c r="AJ202" s="473">
        <f>RANK(AI202,AI$155:AI303,1)</f>
        <v>2</v>
      </c>
      <c r="AK202" s="473" t="e">
        <f>INDEX(E$155:E303,MATCH(ROWS(AJ$155:AJ202),AJ$155:AJ303,0))</f>
        <v>#N/A</v>
      </c>
      <c r="AL202" s="473" t="e">
        <f>INDEX(K$155:K303,MATCH(ROWS(AJ$155:AJ202),AJ$155:AJ303,0))</f>
        <v>#N/A</v>
      </c>
      <c r="AM202" s="473" t="e">
        <f>INDEX(V$155:V303,MATCH(ROWS(AJ$155:AJ202),AJ$155:AJ303,0))</f>
        <v>#N/A</v>
      </c>
      <c r="AN202" s="473" t="e">
        <f t="shared" si="17"/>
        <v>#N/A</v>
      </c>
      <c r="AO202" s="473" t="e">
        <f t="shared" si="18"/>
        <v>#N/A</v>
      </c>
      <c r="AP202" s="473"/>
      <c r="AQ202" s="485" t="s">
        <v>1306</v>
      </c>
      <c r="AR202" s="107"/>
    </row>
    <row r="203" spans="1:44" ht="47.15" customHeight="1" x14ac:dyDescent="0.35">
      <c r="A203" s="146">
        <v>48</v>
      </c>
      <c r="B203" s="475"/>
      <c r="C203" s="475"/>
      <c r="D203" s="148"/>
      <c r="E203" s="476" t="str">
        <f>IFERROR(IF(AND(K203="",T203=""),"",(VLOOKUP(Q203,'Reference records(soft deleted)'!$B$118:$D$162,3,FALSE))),"")</f>
        <v/>
      </c>
      <c r="F203" s="477"/>
      <c r="G203" s="477"/>
      <c r="H203" s="478" t="str">
        <f>IF(R203="",IFERROR(VLOOKUP(AC203,'Reference Records'!G$413:J741,4,0),""),IFERROR(VLOOKUP(AC203,'Reference Records'!H$413:J741,3,0),""))</f>
        <v/>
      </c>
      <c r="I203" s="478"/>
      <c r="J203" s="479"/>
      <c r="K203" s="476" t="str">
        <f>IFERROR(VLOOKUP(INDEX('Reference Records'!E$412:E742,MATCH(R203,'Reference Records'!F$412:F742,0),1),'Reference Records'!B$211:C705,2,0),"")</f>
        <v/>
      </c>
      <c r="L203" s="478" t="e">
        <f>VLOOKUP(U203&amp;K203,'Reference Records'!H$212:I706,2,0)</f>
        <v>#N/A</v>
      </c>
      <c r="M203" s="478" t="e">
        <f>MATCH($L203,'Reference Records'!$E$413:$E$618,0)+ROW(Population_by_intervention) -1</f>
        <v>#N/A</v>
      </c>
      <c r="N203" s="478" t="e">
        <f>MATCH($L203,'Reference Records'!$E$413:$E$618,1)+ROW(Population_by_intervention) -1</f>
        <v>#N/A</v>
      </c>
      <c r="O203" s="478" t="e">
        <f>INDEX('Reference Records'!K$212:K706,MATCH(L203,'Reference Records'!B$212:B706,0))</f>
        <v>#N/A</v>
      </c>
      <c r="P203" s="478"/>
      <c r="Q203" s="480"/>
      <c r="R203" s="481"/>
      <c r="S203" s="478" t="str">
        <f>IFERROR(VLOOKUP(INDEX('Reference Records'!J$412:J742,MATCH(R203,'Reference Records'!F$412:F742),1),'Reference Records'!B$211:C705,2,0),"")</f>
        <v/>
      </c>
      <c r="T203" s="479"/>
      <c r="U203" s="482" t="str">
        <f>IFERROR(IF(VLOOKUP(E203,'Reference Records'!$F$159:$N$210,9,FALSE)=0,"",VLOOKUP(E203,'Reference Records'!$F$159:$N$210,9,FALSE)),"")</f>
        <v/>
      </c>
      <c r="V203" s="476" t="str">
        <f>IF(IF(Language="French",G203,F203)=0,"",IF(Language="French",G203,F203))</f>
        <v/>
      </c>
      <c r="W203" s="483" t="str">
        <f t="shared" si="8"/>
        <v/>
      </c>
      <c r="X203" s="484" t="str">
        <f t="shared" si="9"/>
        <v>a1P3p000007oOIJEA2</v>
      </c>
      <c r="Y203" s="484" t="b">
        <f t="shared" si="10"/>
        <v>0</v>
      </c>
      <c r="Z203" s="484" t="b">
        <f t="shared" si="11"/>
        <v>1</v>
      </c>
      <c r="AA203" s="484" t="str">
        <f>IF(R203="",IFERROR(VLOOKUP(AC203,'Reference Records'!G$413:J741,3,0),""),IFERROR(VLOOKUP(AC203,'Reference Records'!H$413:J741,2,0),""))</f>
        <v/>
      </c>
      <c r="AB203" s="484" t="s">
        <v>1307</v>
      </c>
      <c r="AC203" s="473" t="e">
        <f t="shared" si="12"/>
        <v>#N/A</v>
      </c>
      <c r="AD203" s="473" t="str">
        <f t="shared" si="13"/>
        <v/>
      </c>
      <c r="AE203" s="473" t="str">
        <f t="array" ref="AE203">IFERROR(IF(INDEX($W$155:$W$256, MATCH(0, IF(AD203=$E$155:$E$256, COUNTIF($AE$154:$AE202, $W$155:$W$256), ""), 0))=0,"",INDEX($W$155:$W$256, MATCH(0, IF(AD203=$E$155:$E$256, COUNTIF($AE$154:$AE202, $W$155:$W$256), ""), 0))),"")</f>
        <v/>
      </c>
      <c r="AF203" s="473" t="str">
        <f t="shared" si="14"/>
        <v>|empty|</v>
      </c>
      <c r="AG203" s="473" t="str">
        <f t="shared" si="15"/>
        <v>INT-211726</v>
      </c>
      <c r="AH203" s="473" t="e">
        <f t="shared" si="16"/>
        <v>#N/A</v>
      </c>
      <c r="AI203" s="473">
        <f>IF(COUNTIF($AH$155:AH304,"&lt;="&amp;AH203)=0,"",COUNTIF($AH$155:AH304,"&lt;="&amp;AH203))</f>
        <v>100</v>
      </c>
      <c r="AJ203" s="473">
        <f>RANK(AI203,AI$155:AI304,1)</f>
        <v>2</v>
      </c>
      <c r="AK203" s="473" t="e">
        <f>INDEX(E$155:E304,MATCH(ROWS(AJ$155:AJ203),AJ$155:AJ304,0))</f>
        <v>#N/A</v>
      </c>
      <c r="AL203" s="473" t="e">
        <f>INDEX(K$155:K304,MATCH(ROWS(AJ$155:AJ203),AJ$155:AJ304,0))</f>
        <v>#N/A</v>
      </c>
      <c r="AM203" s="473" t="e">
        <f>INDEX(V$155:V304,MATCH(ROWS(AJ$155:AJ203),AJ$155:AJ304,0))</f>
        <v>#N/A</v>
      </c>
      <c r="AN203" s="473" t="e">
        <f t="shared" si="17"/>
        <v>#N/A</v>
      </c>
      <c r="AO203" s="473" t="e">
        <f t="shared" si="18"/>
        <v>#N/A</v>
      </c>
      <c r="AP203" s="473"/>
      <c r="AQ203" s="485" t="s">
        <v>1308</v>
      </c>
      <c r="AR203" s="107"/>
    </row>
    <row r="204" spans="1:44" ht="47.15" customHeight="1" x14ac:dyDescent="0.35">
      <c r="A204" s="146">
        <v>49</v>
      </c>
      <c r="B204" s="475"/>
      <c r="C204" s="475"/>
      <c r="D204" s="148"/>
      <c r="E204" s="476" t="str">
        <f>IFERROR(IF(AND(K204="",T204=""),"",(VLOOKUP(Q204,'Reference records(soft deleted)'!$B$118:$D$162,3,FALSE))),"")</f>
        <v/>
      </c>
      <c r="F204" s="477"/>
      <c r="G204" s="477"/>
      <c r="H204" s="478" t="str">
        <f>IF(R204="",IFERROR(VLOOKUP(AC204,'Reference Records'!G$413:J742,4,0),""),IFERROR(VLOOKUP(AC204,'Reference Records'!H$413:J742,3,0),""))</f>
        <v/>
      </c>
      <c r="I204" s="478"/>
      <c r="J204" s="479"/>
      <c r="K204" s="476" t="str">
        <f>IFERROR(VLOOKUP(INDEX('Reference Records'!E$412:E743,MATCH(R204,'Reference Records'!F$412:F743,0),1),'Reference Records'!B$211:C706,2,0),"")</f>
        <v/>
      </c>
      <c r="L204" s="478" t="e">
        <f>VLOOKUP(U204&amp;K204,'Reference Records'!H$212:I707,2,0)</f>
        <v>#N/A</v>
      </c>
      <c r="M204" s="478" t="e">
        <f>MATCH($L204,'Reference Records'!$E$413:$E$618,0)+ROW(Population_by_intervention) -1</f>
        <v>#N/A</v>
      </c>
      <c r="N204" s="478" t="e">
        <f>MATCH($L204,'Reference Records'!$E$413:$E$618,1)+ROW(Population_by_intervention) -1</f>
        <v>#N/A</v>
      </c>
      <c r="O204" s="478" t="e">
        <f>INDEX('Reference Records'!K$212:K707,MATCH(L204,'Reference Records'!B$212:B707,0))</f>
        <v>#N/A</v>
      </c>
      <c r="P204" s="478"/>
      <c r="Q204" s="480"/>
      <c r="R204" s="481"/>
      <c r="S204" s="478" t="str">
        <f>IFERROR(VLOOKUP(INDEX('Reference Records'!J$412:J743,MATCH(R204,'Reference Records'!F$412:F743),1),'Reference Records'!B$211:C706,2,0),"")</f>
        <v/>
      </c>
      <c r="T204" s="479"/>
      <c r="U204" s="482" t="str">
        <f>IFERROR(IF(VLOOKUP(E204,'Reference Records'!$F$159:$N$210,9,FALSE)=0,"",VLOOKUP(E204,'Reference Records'!$F$159:$N$210,9,FALSE)),"")</f>
        <v/>
      </c>
      <c r="V204" s="476" t="str">
        <f>IF(IF(Language="French",G204,F204)=0,"",IF(Language="French",G204,F204))</f>
        <v/>
      </c>
      <c r="W204" s="483" t="str">
        <f t="shared" si="8"/>
        <v/>
      </c>
      <c r="X204" s="484" t="str">
        <f t="shared" si="9"/>
        <v>a1P3p000007oOIJEA2</v>
      </c>
      <c r="Y204" s="484" t="b">
        <f t="shared" si="10"/>
        <v>0</v>
      </c>
      <c r="Z204" s="484" t="b">
        <f t="shared" si="11"/>
        <v>1</v>
      </c>
      <c r="AA204" s="484" t="str">
        <f>IF(R204="",IFERROR(VLOOKUP(AC204,'Reference Records'!G$413:J742,3,0),""),IFERROR(VLOOKUP(AC204,'Reference Records'!H$413:J742,2,0),""))</f>
        <v/>
      </c>
      <c r="AB204" s="484" t="s">
        <v>1309</v>
      </c>
      <c r="AC204" s="473" t="e">
        <f t="shared" si="12"/>
        <v>#N/A</v>
      </c>
      <c r="AD204" s="473" t="str">
        <f t="shared" si="13"/>
        <v/>
      </c>
      <c r="AE204" s="473" t="str">
        <f t="array" ref="AE204">IFERROR(IF(INDEX($W$155:$W$256, MATCH(0, IF(AD204=$E$155:$E$256, COUNTIF($AE$154:$AE203, $W$155:$W$256), ""), 0))=0,"",INDEX($W$155:$W$256, MATCH(0, IF(AD204=$E$155:$E$256, COUNTIF($AE$154:$AE203, $W$155:$W$256), ""), 0))),"")</f>
        <v/>
      </c>
      <c r="AF204" s="473" t="str">
        <f t="shared" si="14"/>
        <v>|empty|</v>
      </c>
      <c r="AG204" s="473" t="str">
        <f t="shared" si="15"/>
        <v>INT-211677</v>
      </c>
      <c r="AH204" s="473" t="e">
        <f t="shared" si="16"/>
        <v>#N/A</v>
      </c>
      <c r="AI204" s="473">
        <f>IF(COUNTIF($AH$155:AH305,"&lt;="&amp;AH204)=0,"",COUNTIF($AH$155:AH305,"&lt;="&amp;AH204))</f>
        <v>100</v>
      </c>
      <c r="AJ204" s="473">
        <f>RANK(AI204,AI$155:AI305,1)</f>
        <v>2</v>
      </c>
      <c r="AK204" s="473" t="e">
        <f>INDEX(E$155:E305,MATCH(ROWS(AJ$155:AJ204),AJ$155:AJ305,0))</f>
        <v>#N/A</v>
      </c>
      <c r="AL204" s="473" t="e">
        <f>INDEX(K$155:K305,MATCH(ROWS(AJ$155:AJ204),AJ$155:AJ305,0))</f>
        <v>#N/A</v>
      </c>
      <c r="AM204" s="473" t="e">
        <f>INDEX(V$155:V305,MATCH(ROWS(AJ$155:AJ204),AJ$155:AJ305,0))</f>
        <v>#N/A</v>
      </c>
      <c r="AN204" s="473" t="e">
        <f t="shared" si="17"/>
        <v>#N/A</v>
      </c>
      <c r="AO204" s="473" t="e">
        <f t="shared" si="18"/>
        <v>#N/A</v>
      </c>
      <c r="AP204" s="473"/>
      <c r="AQ204" s="485" t="s">
        <v>1310</v>
      </c>
      <c r="AR204" s="107"/>
    </row>
    <row r="205" spans="1:44" ht="47.15" customHeight="1" x14ac:dyDescent="0.35">
      <c r="A205" s="146">
        <v>50</v>
      </c>
      <c r="B205" s="475"/>
      <c r="C205" s="475"/>
      <c r="D205" s="148"/>
      <c r="E205" s="476" t="str">
        <f>IFERROR(IF(AND(K205="",T205=""),"",(VLOOKUP(Q205,'Reference records(soft deleted)'!$B$118:$D$162,3,FALSE))),"")</f>
        <v/>
      </c>
      <c r="F205" s="477"/>
      <c r="G205" s="477"/>
      <c r="H205" s="478" t="str">
        <f>IF(R205="",IFERROR(VLOOKUP(AC205,'Reference Records'!G$413:J743,4,0),""),IFERROR(VLOOKUP(AC205,'Reference Records'!H$413:J743,3,0),""))</f>
        <v/>
      </c>
      <c r="I205" s="478"/>
      <c r="J205" s="479"/>
      <c r="K205" s="476" t="str">
        <f>IFERROR(VLOOKUP(INDEX('Reference Records'!E$412:E744,MATCH(R205,'Reference Records'!F$412:F744,0),1),'Reference Records'!B$211:C707,2,0),"")</f>
        <v/>
      </c>
      <c r="L205" s="478" t="e">
        <f>VLOOKUP(U205&amp;K205,'Reference Records'!H$212:I708,2,0)</f>
        <v>#N/A</v>
      </c>
      <c r="M205" s="478" t="e">
        <f>MATCH($L205,'Reference Records'!$E$413:$E$618,0)+ROW(Population_by_intervention) -1</f>
        <v>#N/A</v>
      </c>
      <c r="N205" s="478" t="e">
        <f>MATCH($L205,'Reference Records'!$E$413:$E$618,1)+ROW(Population_by_intervention) -1</f>
        <v>#N/A</v>
      </c>
      <c r="O205" s="478" t="e">
        <f>INDEX('Reference Records'!K$212:K708,MATCH(L205,'Reference Records'!B$212:B708,0))</f>
        <v>#N/A</v>
      </c>
      <c r="P205" s="478"/>
      <c r="Q205" s="480"/>
      <c r="R205" s="481"/>
      <c r="S205" s="478" t="str">
        <f>IFERROR(VLOOKUP(INDEX('Reference Records'!J$412:J744,MATCH(R205,'Reference Records'!F$412:F744),1),'Reference Records'!B$211:C707,2,0),"")</f>
        <v/>
      </c>
      <c r="T205" s="479"/>
      <c r="U205" s="482" t="str">
        <f>IFERROR(IF(VLOOKUP(E205,'Reference Records'!$F$159:$N$210,9,FALSE)=0,"",VLOOKUP(E205,'Reference Records'!$F$159:$N$210,9,FALSE)),"")</f>
        <v/>
      </c>
      <c r="V205" s="476" t="str">
        <f>IF(IF(Language="French",G205,F205)=0,"",IF(Language="French",G205,F205))</f>
        <v/>
      </c>
      <c r="W205" s="483" t="str">
        <f t="shared" si="8"/>
        <v/>
      </c>
      <c r="X205" s="484" t="str">
        <f t="shared" si="9"/>
        <v>a1P3p000007oOIJEA2</v>
      </c>
      <c r="Y205" s="484" t="b">
        <f t="shared" si="10"/>
        <v>0</v>
      </c>
      <c r="Z205" s="484" t="b">
        <f t="shared" si="11"/>
        <v>1</v>
      </c>
      <c r="AA205" s="484" t="str">
        <f>IF(R205="",IFERROR(VLOOKUP(AC205,'Reference Records'!G$413:J743,3,0),""),IFERROR(VLOOKUP(AC205,'Reference Records'!H$413:J743,2,0),""))</f>
        <v/>
      </c>
      <c r="AB205" s="484" t="s">
        <v>1311</v>
      </c>
      <c r="AC205" s="473" t="e">
        <f t="shared" si="12"/>
        <v>#N/A</v>
      </c>
      <c r="AD205" s="473" t="str">
        <f t="shared" si="13"/>
        <v/>
      </c>
      <c r="AE205" s="473" t="str">
        <f t="array" ref="AE205">IFERROR(IF(INDEX($W$155:$W$256, MATCH(0, IF(AD205=$E$155:$E$256, COUNTIF($AE$154:$AE204, $W$155:$W$256), ""), 0))=0,"",INDEX($W$155:$W$256, MATCH(0, IF(AD205=$E$155:$E$256, COUNTIF($AE$154:$AE204, $W$155:$W$256), ""), 0))),"")</f>
        <v/>
      </c>
      <c r="AF205" s="473" t="str">
        <f t="shared" si="14"/>
        <v>|empty|</v>
      </c>
      <c r="AG205" s="473" t="str">
        <f t="shared" si="15"/>
        <v>INT-211727</v>
      </c>
      <c r="AH205" s="473" t="e">
        <f t="shared" si="16"/>
        <v>#N/A</v>
      </c>
      <c r="AI205" s="473">
        <f>IF(COUNTIF($AH$155:AH306,"&lt;="&amp;AH205)=0,"",COUNTIF($AH$155:AH306,"&lt;="&amp;AH205))</f>
        <v>100</v>
      </c>
      <c r="AJ205" s="473">
        <f>RANK(AI205,AI$155:AI306,1)</f>
        <v>2</v>
      </c>
      <c r="AK205" s="473" t="e">
        <f>INDEX(E$155:E306,MATCH(ROWS(AJ$155:AJ205),AJ$155:AJ306,0))</f>
        <v>#N/A</v>
      </c>
      <c r="AL205" s="473" t="e">
        <f>INDEX(K$155:K306,MATCH(ROWS(AJ$155:AJ205),AJ$155:AJ306,0))</f>
        <v>#N/A</v>
      </c>
      <c r="AM205" s="473" t="e">
        <f>INDEX(V$155:V306,MATCH(ROWS(AJ$155:AJ205),AJ$155:AJ306,0))</f>
        <v>#N/A</v>
      </c>
      <c r="AN205" s="473" t="e">
        <f t="shared" si="17"/>
        <v>#N/A</v>
      </c>
      <c r="AO205" s="473" t="e">
        <f t="shared" si="18"/>
        <v>#N/A</v>
      </c>
      <c r="AP205" s="473"/>
      <c r="AQ205" s="485" t="s">
        <v>1312</v>
      </c>
      <c r="AR205" s="107"/>
    </row>
    <row r="206" spans="1:44" ht="47.15" customHeight="1" x14ac:dyDescent="0.35">
      <c r="A206" s="146">
        <v>51</v>
      </c>
      <c r="B206" s="475"/>
      <c r="C206" s="475"/>
      <c r="D206" s="148"/>
      <c r="E206" s="476" t="str">
        <f>IFERROR(IF(AND(K206="",T206=""),"",(VLOOKUP(Q206,'Reference records(soft deleted)'!$B$118:$D$162,3,FALSE))),"")</f>
        <v/>
      </c>
      <c r="F206" s="477"/>
      <c r="G206" s="477"/>
      <c r="H206" s="478" t="str">
        <f>IF(R206="",IFERROR(VLOOKUP(AC206,'Reference Records'!G$413:J744,4,0),""),IFERROR(VLOOKUP(AC206,'Reference Records'!H$413:J744,3,0),""))</f>
        <v/>
      </c>
      <c r="I206" s="478"/>
      <c r="J206" s="479"/>
      <c r="K206" s="476" t="str">
        <f>IFERROR(VLOOKUP(INDEX('Reference Records'!E$412:E745,MATCH(R206,'Reference Records'!F$412:F745,0),1),'Reference Records'!B$211:C708,2,0),"")</f>
        <v/>
      </c>
      <c r="L206" s="478" t="e">
        <f>VLOOKUP(U206&amp;K206,'Reference Records'!H$212:I709,2,0)</f>
        <v>#N/A</v>
      </c>
      <c r="M206" s="478" t="e">
        <f>MATCH($L206,'Reference Records'!$E$413:$E$618,0)+ROW(Population_by_intervention) -1</f>
        <v>#N/A</v>
      </c>
      <c r="N206" s="478" t="e">
        <f>MATCH($L206,'Reference Records'!$E$413:$E$618,1)+ROW(Population_by_intervention) -1</f>
        <v>#N/A</v>
      </c>
      <c r="O206" s="478" t="e">
        <f>INDEX('Reference Records'!K$212:K709,MATCH(L206,'Reference Records'!B$212:B709,0))</f>
        <v>#N/A</v>
      </c>
      <c r="P206" s="478"/>
      <c r="Q206" s="480"/>
      <c r="R206" s="481"/>
      <c r="S206" s="478" t="str">
        <f>IFERROR(VLOOKUP(INDEX('Reference Records'!J$412:J745,MATCH(R206,'Reference Records'!F$412:F745),1),'Reference Records'!B$211:C708,2,0),"")</f>
        <v/>
      </c>
      <c r="T206" s="479"/>
      <c r="U206" s="482" t="str">
        <f>IFERROR(IF(VLOOKUP(E206,'Reference Records'!$F$159:$N$210,9,FALSE)=0,"",VLOOKUP(E206,'Reference Records'!$F$159:$N$210,9,FALSE)),"")</f>
        <v/>
      </c>
      <c r="V206" s="476" t="str">
        <f>IF(IF(Language="French",G206,F206)=0,"",IF(Language="French",G206,F206))</f>
        <v/>
      </c>
      <c r="W206" s="483" t="str">
        <f t="shared" si="8"/>
        <v/>
      </c>
      <c r="X206" s="484" t="str">
        <f t="shared" si="9"/>
        <v>a1P3p000007oOIJEA2</v>
      </c>
      <c r="Y206" s="484" t="b">
        <f t="shared" si="10"/>
        <v>0</v>
      </c>
      <c r="Z206" s="484" t="b">
        <f t="shared" si="11"/>
        <v>1</v>
      </c>
      <c r="AA206" s="484" t="str">
        <f>IF(R206="",IFERROR(VLOOKUP(AC206,'Reference Records'!G$413:J744,3,0),""),IFERROR(VLOOKUP(AC206,'Reference Records'!H$413:J744,2,0),""))</f>
        <v/>
      </c>
      <c r="AB206" s="484" t="s">
        <v>1313</v>
      </c>
      <c r="AC206" s="473" t="e">
        <f t="shared" si="12"/>
        <v>#N/A</v>
      </c>
      <c r="AD206" s="473" t="str">
        <f t="shared" si="13"/>
        <v/>
      </c>
      <c r="AE206" s="473" t="str">
        <f t="array" ref="AE206">IFERROR(IF(INDEX($W$155:$W$256, MATCH(0, IF(AD206=$E$155:$E$256, COUNTIF($AE$154:$AE205, $W$155:$W$256), ""), 0))=0,"",INDEX($W$155:$W$256, MATCH(0, IF(AD206=$E$155:$E$256, COUNTIF($AE$154:$AE205, $W$155:$W$256), ""), 0))),"")</f>
        <v/>
      </c>
      <c r="AF206" s="473" t="str">
        <f t="shared" si="14"/>
        <v>|empty|</v>
      </c>
      <c r="AG206" s="473" t="str">
        <f t="shared" si="15"/>
        <v>INT-211678</v>
      </c>
      <c r="AH206" s="473" t="e">
        <f t="shared" si="16"/>
        <v>#N/A</v>
      </c>
      <c r="AI206" s="473">
        <f>IF(COUNTIF($AH$155:AH307,"&lt;="&amp;AH206)=0,"",COUNTIF($AH$155:AH307,"&lt;="&amp;AH206))</f>
        <v>100</v>
      </c>
      <c r="AJ206" s="473">
        <f>RANK(AI206,AI$155:AI307,1)</f>
        <v>2</v>
      </c>
      <c r="AK206" s="473" t="e">
        <f>INDEX(E$155:E307,MATCH(ROWS(AJ$155:AJ206),AJ$155:AJ307,0))</f>
        <v>#N/A</v>
      </c>
      <c r="AL206" s="473" t="e">
        <f>INDEX(K$155:K307,MATCH(ROWS(AJ$155:AJ206),AJ$155:AJ307,0))</f>
        <v>#N/A</v>
      </c>
      <c r="AM206" s="473" t="e">
        <f>INDEX(V$155:V307,MATCH(ROWS(AJ$155:AJ206),AJ$155:AJ307,0))</f>
        <v>#N/A</v>
      </c>
      <c r="AN206" s="473" t="e">
        <f t="shared" si="17"/>
        <v>#N/A</v>
      </c>
      <c r="AO206" s="473" t="e">
        <f t="shared" si="18"/>
        <v>#N/A</v>
      </c>
      <c r="AP206" s="473"/>
      <c r="AQ206" s="485" t="s">
        <v>1314</v>
      </c>
      <c r="AR206" s="107"/>
    </row>
    <row r="207" spans="1:44" ht="47.15" customHeight="1" x14ac:dyDescent="0.35">
      <c r="A207" s="146">
        <v>52</v>
      </c>
      <c r="B207" s="475"/>
      <c r="C207" s="475"/>
      <c r="D207" s="148"/>
      <c r="E207" s="476" t="str">
        <f>IFERROR(IF(AND(K207="",T207=""),"",(VLOOKUP(Q207,'Reference records(soft deleted)'!$B$118:$D$162,3,FALSE))),"")</f>
        <v/>
      </c>
      <c r="F207" s="477"/>
      <c r="G207" s="477"/>
      <c r="H207" s="478" t="str">
        <f>IF(R207="",IFERROR(VLOOKUP(AC207,'Reference Records'!G$413:J745,4,0),""),IFERROR(VLOOKUP(AC207,'Reference Records'!H$413:J745,3,0),""))</f>
        <v/>
      </c>
      <c r="I207" s="478"/>
      <c r="J207" s="479"/>
      <c r="K207" s="476" t="str">
        <f>IFERROR(VLOOKUP(INDEX('Reference Records'!E$412:E746,MATCH(R207,'Reference Records'!F$412:F746,0),1),'Reference Records'!B$211:C709,2,0),"")</f>
        <v/>
      </c>
      <c r="L207" s="478" t="e">
        <f>VLOOKUP(U207&amp;K207,'Reference Records'!H$212:I710,2,0)</f>
        <v>#N/A</v>
      </c>
      <c r="M207" s="478" t="e">
        <f>MATCH($L207,'Reference Records'!$E$413:$E$618,0)+ROW(Population_by_intervention) -1</f>
        <v>#N/A</v>
      </c>
      <c r="N207" s="478" t="e">
        <f>MATCH($L207,'Reference Records'!$E$413:$E$618,1)+ROW(Population_by_intervention) -1</f>
        <v>#N/A</v>
      </c>
      <c r="O207" s="478" t="e">
        <f>INDEX('Reference Records'!K$212:K710,MATCH(L207,'Reference Records'!B$212:B710,0))</f>
        <v>#N/A</v>
      </c>
      <c r="P207" s="478"/>
      <c r="Q207" s="480"/>
      <c r="R207" s="481"/>
      <c r="S207" s="478" t="str">
        <f>IFERROR(VLOOKUP(INDEX('Reference Records'!J$412:J746,MATCH(R207,'Reference Records'!F$412:F746),1),'Reference Records'!B$211:C709,2,0),"")</f>
        <v/>
      </c>
      <c r="T207" s="479"/>
      <c r="U207" s="482" t="str">
        <f>IFERROR(IF(VLOOKUP(E207,'Reference Records'!$F$159:$N$210,9,FALSE)=0,"",VLOOKUP(E207,'Reference Records'!$F$159:$N$210,9,FALSE)),"")</f>
        <v/>
      </c>
      <c r="V207" s="476" t="str">
        <f>IF(IF(Language="French",G207,F207)=0,"",IF(Language="French",G207,F207))</f>
        <v/>
      </c>
      <c r="W207" s="483" t="str">
        <f t="shared" si="8"/>
        <v/>
      </c>
      <c r="X207" s="484" t="str">
        <f t="shared" si="9"/>
        <v>a1P3p000007oOIJEA2</v>
      </c>
      <c r="Y207" s="484" t="b">
        <f t="shared" si="10"/>
        <v>0</v>
      </c>
      <c r="Z207" s="484" t="b">
        <f t="shared" si="11"/>
        <v>1</v>
      </c>
      <c r="AA207" s="484" t="str">
        <f>IF(R207="",IFERROR(VLOOKUP(AC207,'Reference Records'!G$413:J745,3,0),""),IFERROR(VLOOKUP(AC207,'Reference Records'!H$413:J745,2,0),""))</f>
        <v/>
      </c>
      <c r="AB207" s="484" t="s">
        <v>1315</v>
      </c>
      <c r="AC207" s="473" t="e">
        <f t="shared" si="12"/>
        <v>#N/A</v>
      </c>
      <c r="AD207" s="473" t="str">
        <f t="shared" si="13"/>
        <v/>
      </c>
      <c r="AE207" s="473" t="str">
        <f t="array" ref="AE207">IFERROR(IF(INDEX($W$155:$W$256, MATCH(0, IF(AD207=$E$155:$E$256, COUNTIF($AE$154:$AE206, $W$155:$W$256), ""), 0))=0,"",INDEX($W$155:$W$256, MATCH(0, IF(AD207=$E$155:$E$256, COUNTIF($AE$154:$AE206, $W$155:$W$256), ""), 0))),"")</f>
        <v/>
      </c>
      <c r="AF207" s="473" t="str">
        <f t="shared" si="14"/>
        <v>|empty|</v>
      </c>
      <c r="AG207" s="473" t="str">
        <f t="shared" si="15"/>
        <v>INT-211729</v>
      </c>
      <c r="AH207" s="473" t="e">
        <f t="shared" si="16"/>
        <v>#N/A</v>
      </c>
      <c r="AI207" s="473">
        <f>IF(COUNTIF($AH$155:AH308,"&lt;="&amp;AH207)=0,"",COUNTIF($AH$155:AH308,"&lt;="&amp;AH207))</f>
        <v>100</v>
      </c>
      <c r="AJ207" s="473">
        <f>RANK(AI207,AI$155:AI308,1)</f>
        <v>2</v>
      </c>
      <c r="AK207" s="473" t="e">
        <f>INDEX(E$155:E308,MATCH(ROWS(AJ$155:AJ207),AJ$155:AJ308,0))</f>
        <v>#N/A</v>
      </c>
      <c r="AL207" s="473" t="e">
        <f>INDEX(K$155:K308,MATCH(ROWS(AJ$155:AJ207),AJ$155:AJ308,0))</f>
        <v>#N/A</v>
      </c>
      <c r="AM207" s="473" t="e">
        <f>INDEX(V$155:V308,MATCH(ROWS(AJ$155:AJ207),AJ$155:AJ308,0))</f>
        <v>#N/A</v>
      </c>
      <c r="AN207" s="473" t="e">
        <f t="shared" si="17"/>
        <v>#N/A</v>
      </c>
      <c r="AO207" s="473" t="e">
        <f t="shared" si="18"/>
        <v>#N/A</v>
      </c>
      <c r="AP207" s="473"/>
      <c r="AQ207" s="485" t="s">
        <v>1316</v>
      </c>
      <c r="AR207" s="107"/>
    </row>
    <row r="208" spans="1:44" ht="47.15" customHeight="1" x14ac:dyDescent="0.35">
      <c r="A208" s="146">
        <v>53</v>
      </c>
      <c r="B208" s="475"/>
      <c r="C208" s="475"/>
      <c r="D208" s="148"/>
      <c r="E208" s="476" t="str">
        <f>IFERROR(IF(AND(K208="",T208=""),"",(VLOOKUP(Q208,'Reference records(soft deleted)'!$B$118:$D$162,3,FALSE))),"")</f>
        <v/>
      </c>
      <c r="F208" s="477"/>
      <c r="G208" s="477"/>
      <c r="H208" s="478" t="str">
        <f>IF(R208="",IFERROR(VLOOKUP(AC208,'Reference Records'!G$413:J746,4,0),""),IFERROR(VLOOKUP(AC208,'Reference Records'!H$413:J746,3,0),""))</f>
        <v/>
      </c>
      <c r="I208" s="478"/>
      <c r="J208" s="479"/>
      <c r="K208" s="476" t="str">
        <f>IFERROR(VLOOKUP(INDEX('Reference Records'!E$412:E747,MATCH(R208,'Reference Records'!F$412:F747,0),1),'Reference Records'!B$211:C710,2,0),"")</f>
        <v/>
      </c>
      <c r="L208" s="478" t="e">
        <f>VLOOKUP(U208&amp;K208,'Reference Records'!H$212:I711,2,0)</f>
        <v>#N/A</v>
      </c>
      <c r="M208" s="478" t="e">
        <f>MATCH($L208,'Reference Records'!$E$413:$E$618,0)+ROW(Population_by_intervention) -1</f>
        <v>#N/A</v>
      </c>
      <c r="N208" s="478" t="e">
        <f>MATCH($L208,'Reference Records'!$E$413:$E$618,1)+ROW(Population_by_intervention) -1</f>
        <v>#N/A</v>
      </c>
      <c r="O208" s="478" t="e">
        <f>INDEX('Reference Records'!K$212:K711,MATCH(L208,'Reference Records'!B$212:B711,0))</f>
        <v>#N/A</v>
      </c>
      <c r="P208" s="478"/>
      <c r="Q208" s="480"/>
      <c r="R208" s="481"/>
      <c r="S208" s="478" t="str">
        <f>IFERROR(VLOOKUP(INDEX('Reference Records'!J$412:J747,MATCH(R208,'Reference Records'!F$412:F747),1),'Reference Records'!B$211:C710,2,0),"")</f>
        <v/>
      </c>
      <c r="T208" s="479"/>
      <c r="U208" s="482" t="str">
        <f>IFERROR(IF(VLOOKUP(E208,'Reference Records'!$F$159:$N$210,9,FALSE)=0,"",VLOOKUP(E208,'Reference Records'!$F$159:$N$210,9,FALSE)),"")</f>
        <v/>
      </c>
      <c r="V208" s="476" t="str">
        <f>IF(IF(Language="French",G208,F208)=0,"",IF(Language="French",G208,F208))</f>
        <v/>
      </c>
      <c r="W208" s="483" t="str">
        <f t="shared" si="8"/>
        <v/>
      </c>
      <c r="X208" s="484" t="str">
        <f t="shared" si="9"/>
        <v>a1P3p000007oOIJEA2</v>
      </c>
      <c r="Y208" s="484" t="b">
        <f t="shared" si="10"/>
        <v>0</v>
      </c>
      <c r="Z208" s="484" t="b">
        <f t="shared" si="11"/>
        <v>1</v>
      </c>
      <c r="AA208" s="484" t="str">
        <f>IF(R208="",IFERROR(VLOOKUP(AC208,'Reference Records'!G$413:J746,3,0),""),IFERROR(VLOOKUP(AC208,'Reference Records'!H$413:J746,2,0),""))</f>
        <v/>
      </c>
      <c r="AB208" s="484" t="s">
        <v>1317</v>
      </c>
      <c r="AC208" s="473" t="e">
        <f t="shared" si="12"/>
        <v>#N/A</v>
      </c>
      <c r="AD208" s="473" t="str">
        <f t="shared" si="13"/>
        <v/>
      </c>
      <c r="AE208" s="473" t="str">
        <f t="array" ref="AE208">IFERROR(IF(INDEX($W$155:$W$256, MATCH(0, IF(AD208=$E$155:$E$256, COUNTIF($AE$154:$AE207, $W$155:$W$256), ""), 0))=0,"",INDEX($W$155:$W$256, MATCH(0, IF(AD208=$E$155:$E$256, COUNTIF($AE$154:$AE207, $W$155:$W$256), ""), 0))),"")</f>
        <v/>
      </c>
      <c r="AF208" s="473" t="str">
        <f t="shared" si="14"/>
        <v>|empty|</v>
      </c>
      <c r="AG208" s="473" t="str">
        <f t="shared" si="15"/>
        <v>INT-211679</v>
      </c>
      <c r="AH208" s="473" t="e">
        <f t="shared" si="16"/>
        <v>#N/A</v>
      </c>
      <c r="AI208" s="473">
        <f>IF(COUNTIF($AH$155:AH309,"&lt;="&amp;AH208)=0,"",COUNTIF($AH$155:AH309,"&lt;="&amp;AH208))</f>
        <v>100</v>
      </c>
      <c r="AJ208" s="473">
        <f>RANK(AI208,AI$155:AI309,1)</f>
        <v>2</v>
      </c>
      <c r="AK208" s="473" t="e">
        <f>INDEX(E$155:E309,MATCH(ROWS(AJ$155:AJ208),AJ$155:AJ309,0))</f>
        <v>#N/A</v>
      </c>
      <c r="AL208" s="473" t="e">
        <f>INDEX(K$155:K309,MATCH(ROWS(AJ$155:AJ208),AJ$155:AJ309,0))</f>
        <v>#N/A</v>
      </c>
      <c r="AM208" s="473" t="e">
        <f>INDEX(V$155:V309,MATCH(ROWS(AJ$155:AJ208),AJ$155:AJ309,0))</f>
        <v>#N/A</v>
      </c>
      <c r="AN208" s="473" t="e">
        <f t="shared" si="17"/>
        <v>#N/A</v>
      </c>
      <c r="AO208" s="473" t="e">
        <f t="shared" si="18"/>
        <v>#N/A</v>
      </c>
      <c r="AP208" s="473"/>
      <c r="AQ208" s="485" t="s">
        <v>1318</v>
      </c>
      <c r="AR208" s="107"/>
    </row>
    <row r="209" spans="1:44" ht="47.15" customHeight="1" x14ac:dyDescent="0.35">
      <c r="A209" s="146">
        <v>54</v>
      </c>
      <c r="B209" s="475"/>
      <c r="C209" s="475"/>
      <c r="D209" s="148"/>
      <c r="E209" s="476" t="str">
        <f>IFERROR(IF(AND(K209="",T209=""),"",(VLOOKUP(Q209,'Reference records(soft deleted)'!$B$118:$D$162,3,FALSE))),"")</f>
        <v/>
      </c>
      <c r="F209" s="477"/>
      <c r="G209" s="477"/>
      <c r="H209" s="478" t="str">
        <f>IF(R209="",IFERROR(VLOOKUP(AC209,'Reference Records'!G$413:J747,4,0),""),IFERROR(VLOOKUP(AC209,'Reference Records'!H$413:J747,3,0),""))</f>
        <v/>
      </c>
      <c r="I209" s="478"/>
      <c r="J209" s="479"/>
      <c r="K209" s="476" t="str">
        <f>IFERROR(VLOOKUP(INDEX('Reference Records'!E$412:E748,MATCH(R209,'Reference Records'!F$412:F748,0),1),'Reference Records'!B$211:C711,2,0),"")</f>
        <v/>
      </c>
      <c r="L209" s="478" t="e">
        <f>VLOOKUP(U209&amp;K209,'Reference Records'!H$212:I712,2,0)</f>
        <v>#N/A</v>
      </c>
      <c r="M209" s="478" t="e">
        <f>MATCH($L209,'Reference Records'!$E$413:$E$618,0)+ROW(Population_by_intervention) -1</f>
        <v>#N/A</v>
      </c>
      <c r="N209" s="478" t="e">
        <f>MATCH($L209,'Reference Records'!$E$413:$E$618,1)+ROW(Population_by_intervention) -1</f>
        <v>#N/A</v>
      </c>
      <c r="O209" s="478" t="e">
        <f>INDEX('Reference Records'!K$212:K712,MATCH(L209,'Reference Records'!B$212:B712,0))</f>
        <v>#N/A</v>
      </c>
      <c r="P209" s="478"/>
      <c r="Q209" s="480"/>
      <c r="R209" s="481"/>
      <c r="S209" s="478" t="str">
        <f>IFERROR(VLOOKUP(INDEX('Reference Records'!J$412:J748,MATCH(R209,'Reference Records'!F$412:F748),1),'Reference Records'!B$211:C711,2,0),"")</f>
        <v/>
      </c>
      <c r="T209" s="479"/>
      <c r="U209" s="482" t="str">
        <f>IFERROR(IF(VLOOKUP(E209,'Reference Records'!$F$159:$N$210,9,FALSE)=0,"",VLOOKUP(E209,'Reference Records'!$F$159:$N$210,9,FALSE)),"")</f>
        <v/>
      </c>
      <c r="V209" s="476" t="str">
        <f>IF(IF(Language="French",G209,F209)=0,"",IF(Language="French",G209,F209))</f>
        <v/>
      </c>
      <c r="W209" s="483" t="str">
        <f t="shared" si="8"/>
        <v/>
      </c>
      <c r="X209" s="484" t="str">
        <f t="shared" si="9"/>
        <v>a1P3p000007oOIJEA2</v>
      </c>
      <c r="Y209" s="484" t="b">
        <f t="shared" si="10"/>
        <v>0</v>
      </c>
      <c r="Z209" s="484" t="b">
        <f t="shared" si="11"/>
        <v>1</v>
      </c>
      <c r="AA209" s="484" t="str">
        <f>IF(R209="",IFERROR(VLOOKUP(AC209,'Reference Records'!G$413:J747,3,0),""),IFERROR(VLOOKUP(AC209,'Reference Records'!H$413:J747,2,0),""))</f>
        <v/>
      </c>
      <c r="AB209" s="484" t="s">
        <v>1319</v>
      </c>
      <c r="AC209" s="473" t="e">
        <f t="shared" si="12"/>
        <v>#N/A</v>
      </c>
      <c r="AD209" s="473" t="str">
        <f t="shared" si="13"/>
        <v/>
      </c>
      <c r="AE209" s="473" t="str">
        <f t="array" ref="AE209">IFERROR(IF(INDEX($W$155:$W$256, MATCH(0, IF(AD209=$E$155:$E$256, COUNTIF($AE$154:$AE208, $W$155:$W$256), ""), 0))=0,"",INDEX($W$155:$W$256, MATCH(0, IF(AD209=$E$155:$E$256, COUNTIF($AE$154:$AE208, $W$155:$W$256), ""), 0))),"")</f>
        <v/>
      </c>
      <c r="AF209" s="473" t="str">
        <f t="shared" si="14"/>
        <v>|empty|</v>
      </c>
      <c r="AG209" s="473" t="str">
        <f t="shared" si="15"/>
        <v>INT-211730</v>
      </c>
      <c r="AH209" s="473" t="e">
        <f t="shared" si="16"/>
        <v>#N/A</v>
      </c>
      <c r="AI209" s="473">
        <f>IF(COUNTIF($AH$155:AH310,"&lt;="&amp;AH209)=0,"",COUNTIF($AH$155:AH310,"&lt;="&amp;AH209))</f>
        <v>100</v>
      </c>
      <c r="AJ209" s="473">
        <f>RANK(AI209,AI$155:AI310,1)</f>
        <v>2</v>
      </c>
      <c r="AK209" s="473" t="e">
        <f>INDEX(E$155:E310,MATCH(ROWS(AJ$155:AJ209),AJ$155:AJ310,0))</f>
        <v>#N/A</v>
      </c>
      <c r="AL209" s="473" t="e">
        <f>INDEX(K$155:K310,MATCH(ROWS(AJ$155:AJ209),AJ$155:AJ310,0))</f>
        <v>#N/A</v>
      </c>
      <c r="AM209" s="473" t="e">
        <f>INDEX(V$155:V310,MATCH(ROWS(AJ$155:AJ209),AJ$155:AJ310,0))</f>
        <v>#N/A</v>
      </c>
      <c r="AN209" s="473" t="e">
        <f t="shared" si="17"/>
        <v>#N/A</v>
      </c>
      <c r="AO209" s="473" t="e">
        <f t="shared" si="18"/>
        <v>#N/A</v>
      </c>
      <c r="AP209" s="473"/>
      <c r="AQ209" s="485" t="s">
        <v>1320</v>
      </c>
      <c r="AR209" s="107"/>
    </row>
    <row r="210" spans="1:44" ht="47.15" customHeight="1" x14ac:dyDescent="0.35">
      <c r="A210" s="146">
        <v>55</v>
      </c>
      <c r="B210" s="475"/>
      <c r="C210" s="475"/>
      <c r="D210" s="148"/>
      <c r="E210" s="476" t="str">
        <f>IFERROR(IF(AND(K210="",T210=""),"",(VLOOKUP(Q210,'Reference records(soft deleted)'!$B$118:$D$162,3,FALSE))),"")</f>
        <v/>
      </c>
      <c r="F210" s="477"/>
      <c r="G210" s="477"/>
      <c r="H210" s="478" t="str">
        <f>IF(R210="",IFERROR(VLOOKUP(AC210,'Reference Records'!G$413:J748,4,0),""),IFERROR(VLOOKUP(AC210,'Reference Records'!H$413:J748,3,0),""))</f>
        <v/>
      </c>
      <c r="I210" s="478"/>
      <c r="J210" s="479"/>
      <c r="K210" s="476" t="str">
        <f>IFERROR(VLOOKUP(INDEX('Reference Records'!E$412:E749,MATCH(R210,'Reference Records'!F$412:F749,0),1),'Reference Records'!B$211:C712,2,0),"")</f>
        <v/>
      </c>
      <c r="L210" s="478" t="e">
        <f>VLOOKUP(U210&amp;K210,'Reference Records'!H$212:I713,2,0)</f>
        <v>#N/A</v>
      </c>
      <c r="M210" s="478" t="e">
        <f>MATCH($L210,'Reference Records'!$E$413:$E$618,0)+ROW(Population_by_intervention) -1</f>
        <v>#N/A</v>
      </c>
      <c r="N210" s="478" t="e">
        <f>MATCH($L210,'Reference Records'!$E$413:$E$618,1)+ROW(Population_by_intervention) -1</f>
        <v>#N/A</v>
      </c>
      <c r="O210" s="478" t="e">
        <f>INDEX('Reference Records'!K$212:K713,MATCH(L210,'Reference Records'!B$212:B713,0))</f>
        <v>#N/A</v>
      </c>
      <c r="P210" s="478"/>
      <c r="Q210" s="480"/>
      <c r="R210" s="481"/>
      <c r="S210" s="478" t="str">
        <f>IFERROR(VLOOKUP(INDEX('Reference Records'!J$412:J749,MATCH(R210,'Reference Records'!F$412:F749),1),'Reference Records'!B$211:C712,2,0),"")</f>
        <v/>
      </c>
      <c r="T210" s="479"/>
      <c r="U210" s="482" t="str">
        <f>IFERROR(IF(VLOOKUP(E210,'Reference Records'!$F$159:$N$210,9,FALSE)=0,"",VLOOKUP(E210,'Reference Records'!$F$159:$N$210,9,FALSE)),"")</f>
        <v/>
      </c>
      <c r="V210" s="476" t="str">
        <f>IF(IF(Language="French",G210,F210)=0,"",IF(Language="French",G210,F210))</f>
        <v/>
      </c>
      <c r="W210" s="483" t="str">
        <f t="shared" si="8"/>
        <v/>
      </c>
      <c r="X210" s="484" t="str">
        <f t="shared" si="9"/>
        <v>a1P3p000007oOIJEA2</v>
      </c>
      <c r="Y210" s="484" t="b">
        <f t="shared" si="10"/>
        <v>0</v>
      </c>
      <c r="Z210" s="484" t="b">
        <f t="shared" si="11"/>
        <v>1</v>
      </c>
      <c r="AA210" s="484" t="str">
        <f>IF(R210="",IFERROR(VLOOKUP(AC210,'Reference Records'!G$413:J748,3,0),""),IFERROR(VLOOKUP(AC210,'Reference Records'!H$413:J748,2,0),""))</f>
        <v/>
      </c>
      <c r="AB210" s="484" t="s">
        <v>1321</v>
      </c>
      <c r="AC210" s="473" t="e">
        <f t="shared" si="12"/>
        <v>#N/A</v>
      </c>
      <c r="AD210" s="473" t="str">
        <f t="shared" si="13"/>
        <v/>
      </c>
      <c r="AE210" s="473" t="str">
        <f t="array" ref="AE210">IFERROR(IF(INDEX($W$155:$W$256, MATCH(0, IF(AD210=$E$155:$E$256, COUNTIF($AE$154:$AE209, $W$155:$W$256), ""), 0))=0,"",INDEX($W$155:$W$256, MATCH(0, IF(AD210=$E$155:$E$256, COUNTIF($AE$154:$AE209, $W$155:$W$256), ""), 0))),"")</f>
        <v/>
      </c>
      <c r="AF210" s="473" t="str">
        <f t="shared" si="14"/>
        <v>|empty|</v>
      </c>
      <c r="AG210" s="473" t="str">
        <f t="shared" si="15"/>
        <v>INT-211680</v>
      </c>
      <c r="AH210" s="473" t="e">
        <f t="shared" si="16"/>
        <v>#N/A</v>
      </c>
      <c r="AI210" s="473">
        <f>IF(COUNTIF($AH$155:AH311,"&lt;="&amp;AH210)=0,"",COUNTIF($AH$155:AH311,"&lt;="&amp;AH210))</f>
        <v>100</v>
      </c>
      <c r="AJ210" s="473">
        <f>RANK(AI210,AI$155:AI311,1)</f>
        <v>2</v>
      </c>
      <c r="AK210" s="473" t="e">
        <f>INDEX(E$155:E311,MATCH(ROWS(AJ$155:AJ210),AJ$155:AJ311,0))</f>
        <v>#N/A</v>
      </c>
      <c r="AL210" s="473" t="e">
        <f>INDEX(K$155:K311,MATCH(ROWS(AJ$155:AJ210),AJ$155:AJ311,0))</f>
        <v>#N/A</v>
      </c>
      <c r="AM210" s="473" t="e">
        <f>INDEX(V$155:V311,MATCH(ROWS(AJ$155:AJ210),AJ$155:AJ311,0))</f>
        <v>#N/A</v>
      </c>
      <c r="AN210" s="473" t="e">
        <f t="shared" si="17"/>
        <v>#N/A</v>
      </c>
      <c r="AO210" s="473" t="e">
        <f t="shared" si="18"/>
        <v>#N/A</v>
      </c>
      <c r="AP210" s="473"/>
      <c r="AQ210" s="485" t="s">
        <v>1322</v>
      </c>
      <c r="AR210" s="107"/>
    </row>
    <row r="211" spans="1:44" ht="47.15" customHeight="1" x14ac:dyDescent="0.35">
      <c r="A211" s="146">
        <v>56</v>
      </c>
      <c r="B211" s="475"/>
      <c r="C211" s="475"/>
      <c r="D211" s="148"/>
      <c r="E211" s="476" t="str">
        <f>IFERROR(IF(AND(K211="",T211=""),"",(VLOOKUP(Q211,'Reference records(soft deleted)'!$B$118:$D$162,3,FALSE))),"")</f>
        <v/>
      </c>
      <c r="F211" s="477"/>
      <c r="G211" s="477"/>
      <c r="H211" s="478" t="str">
        <f>IF(R211="",IFERROR(VLOOKUP(AC211,'Reference Records'!G$413:J749,4,0),""),IFERROR(VLOOKUP(AC211,'Reference Records'!H$413:J749,3,0),""))</f>
        <v/>
      </c>
      <c r="I211" s="478"/>
      <c r="J211" s="479"/>
      <c r="K211" s="476" t="str">
        <f>IFERROR(VLOOKUP(INDEX('Reference Records'!E$412:E750,MATCH(R211,'Reference Records'!F$412:F750,0),1),'Reference Records'!B$211:C713,2,0),"")</f>
        <v/>
      </c>
      <c r="L211" s="478" t="e">
        <f>VLOOKUP(U211&amp;K211,'Reference Records'!H$212:I714,2,0)</f>
        <v>#N/A</v>
      </c>
      <c r="M211" s="478" t="e">
        <f>MATCH($L211,'Reference Records'!$E$413:$E$618,0)+ROW(Population_by_intervention) -1</f>
        <v>#N/A</v>
      </c>
      <c r="N211" s="478" t="e">
        <f>MATCH($L211,'Reference Records'!$E$413:$E$618,1)+ROW(Population_by_intervention) -1</f>
        <v>#N/A</v>
      </c>
      <c r="O211" s="478" t="e">
        <f>INDEX('Reference Records'!K$212:K714,MATCH(L211,'Reference Records'!B$212:B714,0))</f>
        <v>#N/A</v>
      </c>
      <c r="P211" s="478"/>
      <c r="Q211" s="480"/>
      <c r="R211" s="481"/>
      <c r="S211" s="478" t="str">
        <f>IFERROR(VLOOKUP(INDEX('Reference Records'!J$412:J750,MATCH(R211,'Reference Records'!F$412:F750),1),'Reference Records'!B$211:C713,2,0),"")</f>
        <v/>
      </c>
      <c r="T211" s="479"/>
      <c r="U211" s="482" t="str">
        <f>IFERROR(IF(VLOOKUP(E211,'Reference Records'!$F$159:$N$210,9,FALSE)=0,"",VLOOKUP(E211,'Reference Records'!$F$159:$N$210,9,FALSE)),"")</f>
        <v/>
      </c>
      <c r="V211" s="476" t="str">
        <f>IF(IF(Language="French",G211,F211)=0,"",IF(Language="French",G211,F211))</f>
        <v/>
      </c>
      <c r="W211" s="483" t="str">
        <f t="shared" si="8"/>
        <v/>
      </c>
      <c r="X211" s="484" t="str">
        <f t="shared" si="9"/>
        <v>a1P3p000007oOIJEA2</v>
      </c>
      <c r="Y211" s="484" t="b">
        <f t="shared" si="10"/>
        <v>0</v>
      </c>
      <c r="Z211" s="484" t="b">
        <f t="shared" si="11"/>
        <v>1</v>
      </c>
      <c r="AA211" s="484" t="str">
        <f>IF(R211="",IFERROR(VLOOKUP(AC211,'Reference Records'!G$413:J749,3,0),""),IFERROR(VLOOKUP(AC211,'Reference Records'!H$413:J749,2,0),""))</f>
        <v/>
      </c>
      <c r="AB211" s="484" t="s">
        <v>1323</v>
      </c>
      <c r="AC211" s="473" t="e">
        <f t="shared" si="12"/>
        <v>#N/A</v>
      </c>
      <c r="AD211" s="473" t="str">
        <f t="shared" si="13"/>
        <v/>
      </c>
      <c r="AE211" s="473" t="str">
        <f t="array" ref="AE211">IFERROR(IF(INDEX($W$155:$W$256, MATCH(0, IF(AD211=$E$155:$E$256, COUNTIF($AE$154:$AE210, $W$155:$W$256), ""), 0))=0,"",INDEX($W$155:$W$256, MATCH(0, IF(AD211=$E$155:$E$256, COUNTIF($AE$154:$AE210, $W$155:$W$256), ""), 0))),"")</f>
        <v/>
      </c>
      <c r="AF211" s="473" t="str">
        <f t="shared" si="14"/>
        <v>|empty|</v>
      </c>
      <c r="AG211" s="473" t="str">
        <f t="shared" si="15"/>
        <v>INT-211731</v>
      </c>
      <c r="AH211" s="473" t="e">
        <f t="shared" si="16"/>
        <v>#N/A</v>
      </c>
      <c r="AI211" s="473">
        <f>IF(COUNTIF($AH$155:AH312,"&lt;="&amp;AH211)=0,"",COUNTIF($AH$155:AH312,"&lt;="&amp;AH211))</f>
        <v>100</v>
      </c>
      <c r="AJ211" s="473">
        <f>RANK(AI211,AI$155:AI312,1)</f>
        <v>2</v>
      </c>
      <c r="AK211" s="473" t="e">
        <f>INDEX(E$155:E312,MATCH(ROWS(AJ$155:AJ211),AJ$155:AJ312,0))</f>
        <v>#N/A</v>
      </c>
      <c r="AL211" s="473" t="e">
        <f>INDEX(K$155:K312,MATCH(ROWS(AJ$155:AJ211),AJ$155:AJ312,0))</f>
        <v>#N/A</v>
      </c>
      <c r="AM211" s="473" t="e">
        <f>INDEX(V$155:V312,MATCH(ROWS(AJ$155:AJ211),AJ$155:AJ312,0))</f>
        <v>#N/A</v>
      </c>
      <c r="AN211" s="473" t="e">
        <f t="shared" si="17"/>
        <v>#N/A</v>
      </c>
      <c r="AO211" s="473" t="e">
        <f t="shared" si="18"/>
        <v>#N/A</v>
      </c>
      <c r="AP211" s="473"/>
      <c r="AQ211" s="485" t="s">
        <v>1324</v>
      </c>
      <c r="AR211" s="107"/>
    </row>
    <row r="212" spans="1:44" ht="47.15" customHeight="1" x14ac:dyDescent="0.35">
      <c r="A212" s="146">
        <v>57</v>
      </c>
      <c r="B212" s="475"/>
      <c r="C212" s="475"/>
      <c r="D212" s="148"/>
      <c r="E212" s="476" t="str">
        <f>IFERROR(IF(AND(K212="",T212=""),"",(VLOOKUP(Q212,'Reference records(soft deleted)'!$B$118:$D$162,3,FALSE))),"")</f>
        <v/>
      </c>
      <c r="F212" s="477"/>
      <c r="G212" s="477"/>
      <c r="H212" s="478" t="str">
        <f>IF(R212="",IFERROR(VLOOKUP(AC212,'Reference Records'!G$413:J750,4,0),""),IFERROR(VLOOKUP(AC212,'Reference Records'!H$413:J750,3,0),""))</f>
        <v/>
      </c>
      <c r="I212" s="478"/>
      <c r="J212" s="479"/>
      <c r="K212" s="476" t="str">
        <f>IFERROR(VLOOKUP(INDEX('Reference Records'!E$412:E751,MATCH(R212,'Reference Records'!F$412:F751,0),1),'Reference Records'!B$211:C714,2,0),"")</f>
        <v/>
      </c>
      <c r="L212" s="478" t="e">
        <f>VLOOKUP(U212&amp;K212,'Reference Records'!H$212:I715,2,0)</f>
        <v>#N/A</v>
      </c>
      <c r="M212" s="478" t="e">
        <f>MATCH($L212,'Reference Records'!$E$413:$E$618,0)+ROW(Population_by_intervention) -1</f>
        <v>#N/A</v>
      </c>
      <c r="N212" s="478" t="e">
        <f>MATCH($L212,'Reference Records'!$E$413:$E$618,1)+ROW(Population_by_intervention) -1</f>
        <v>#N/A</v>
      </c>
      <c r="O212" s="478" t="e">
        <f>INDEX('Reference Records'!K$212:K715,MATCH(L212,'Reference Records'!B$212:B715,0))</f>
        <v>#N/A</v>
      </c>
      <c r="P212" s="478"/>
      <c r="Q212" s="480"/>
      <c r="R212" s="481"/>
      <c r="S212" s="478" t="str">
        <f>IFERROR(VLOOKUP(INDEX('Reference Records'!J$412:J751,MATCH(R212,'Reference Records'!F$412:F751),1),'Reference Records'!B$211:C714,2,0),"")</f>
        <v/>
      </c>
      <c r="T212" s="479"/>
      <c r="U212" s="482" t="str">
        <f>IFERROR(IF(VLOOKUP(E212,'Reference Records'!$F$159:$N$210,9,FALSE)=0,"",VLOOKUP(E212,'Reference Records'!$F$159:$N$210,9,FALSE)),"")</f>
        <v/>
      </c>
      <c r="V212" s="476" t="str">
        <f>IF(IF(Language="French",G212,F212)=0,"",IF(Language="French",G212,F212))</f>
        <v/>
      </c>
      <c r="W212" s="483" t="str">
        <f t="shared" si="8"/>
        <v/>
      </c>
      <c r="X212" s="484" t="str">
        <f t="shared" si="9"/>
        <v>a1P3p000007oOIJEA2</v>
      </c>
      <c r="Y212" s="484" t="b">
        <f t="shared" si="10"/>
        <v>0</v>
      </c>
      <c r="Z212" s="484" t="b">
        <f t="shared" si="11"/>
        <v>1</v>
      </c>
      <c r="AA212" s="484" t="str">
        <f>IF(R212="",IFERROR(VLOOKUP(AC212,'Reference Records'!G$413:J750,3,0),""),IFERROR(VLOOKUP(AC212,'Reference Records'!H$413:J750,2,0),""))</f>
        <v/>
      </c>
      <c r="AB212" s="484" t="s">
        <v>1325</v>
      </c>
      <c r="AC212" s="473" t="e">
        <f t="shared" si="12"/>
        <v>#N/A</v>
      </c>
      <c r="AD212" s="473" t="str">
        <f t="shared" si="13"/>
        <v/>
      </c>
      <c r="AE212" s="473" t="str">
        <f t="array" ref="AE212">IFERROR(IF(INDEX($W$155:$W$256, MATCH(0, IF(AD212=$E$155:$E$256, COUNTIF($AE$154:$AE211, $W$155:$W$256), ""), 0))=0,"",INDEX($W$155:$W$256, MATCH(0, IF(AD212=$E$155:$E$256, COUNTIF($AE$154:$AE211, $W$155:$W$256), ""), 0))),"")</f>
        <v/>
      </c>
      <c r="AF212" s="473" t="str">
        <f t="shared" si="14"/>
        <v>|empty|</v>
      </c>
      <c r="AG212" s="473" t="str">
        <f t="shared" si="15"/>
        <v>INT-211681</v>
      </c>
      <c r="AH212" s="473" t="e">
        <f t="shared" si="16"/>
        <v>#N/A</v>
      </c>
      <c r="AI212" s="473">
        <f>IF(COUNTIF($AH$155:AH313,"&lt;="&amp;AH212)=0,"",COUNTIF($AH$155:AH313,"&lt;="&amp;AH212))</f>
        <v>100</v>
      </c>
      <c r="AJ212" s="473">
        <f>RANK(AI212,AI$155:AI313,1)</f>
        <v>2</v>
      </c>
      <c r="AK212" s="473" t="e">
        <f>INDEX(E$155:E313,MATCH(ROWS(AJ$155:AJ212),AJ$155:AJ313,0))</f>
        <v>#N/A</v>
      </c>
      <c r="AL212" s="473" t="e">
        <f>INDEX(K$155:K313,MATCH(ROWS(AJ$155:AJ212),AJ$155:AJ313,0))</f>
        <v>#N/A</v>
      </c>
      <c r="AM212" s="473" t="e">
        <f>INDEX(V$155:V313,MATCH(ROWS(AJ$155:AJ212),AJ$155:AJ313,0))</f>
        <v>#N/A</v>
      </c>
      <c r="AN212" s="473" t="e">
        <f t="shared" si="17"/>
        <v>#N/A</v>
      </c>
      <c r="AO212" s="473" t="e">
        <f t="shared" si="18"/>
        <v>#N/A</v>
      </c>
      <c r="AP212" s="473"/>
      <c r="AQ212" s="485" t="s">
        <v>1326</v>
      </c>
      <c r="AR212" s="107"/>
    </row>
    <row r="213" spans="1:44" ht="47.15" customHeight="1" x14ac:dyDescent="0.35">
      <c r="A213" s="146">
        <v>58</v>
      </c>
      <c r="B213" s="475"/>
      <c r="C213" s="475"/>
      <c r="D213" s="148"/>
      <c r="E213" s="476" t="str">
        <f>IFERROR(IF(AND(K213="",T213=""),"",(VLOOKUP(Q213,'Reference records(soft deleted)'!$B$118:$D$162,3,FALSE))),"")</f>
        <v/>
      </c>
      <c r="F213" s="477"/>
      <c r="G213" s="477"/>
      <c r="H213" s="478" t="str">
        <f>IF(R213="",IFERROR(VLOOKUP(AC213,'Reference Records'!G$413:J751,4,0),""),IFERROR(VLOOKUP(AC213,'Reference Records'!H$413:J751,3,0),""))</f>
        <v/>
      </c>
      <c r="I213" s="478"/>
      <c r="J213" s="479"/>
      <c r="K213" s="476" t="str">
        <f>IFERROR(VLOOKUP(INDEX('Reference Records'!E$412:E752,MATCH(R213,'Reference Records'!F$412:F752,0),1),'Reference Records'!B$211:C715,2,0),"")</f>
        <v/>
      </c>
      <c r="L213" s="478" t="e">
        <f>VLOOKUP(U213&amp;K213,'Reference Records'!H$212:I716,2,0)</f>
        <v>#N/A</v>
      </c>
      <c r="M213" s="478" t="e">
        <f>MATCH($L213,'Reference Records'!$E$413:$E$618,0)+ROW(Population_by_intervention) -1</f>
        <v>#N/A</v>
      </c>
      <c r="N213" s="478" t="e">
        <f>MATCH($L213,'Reference Records'!$E$413:$E$618,1)+ROW(Population_by_intervention) -1</f>
        <v>#N/A</v>
      </c>
      <c r="O213" s="478" t="e">
        <f>INDEX('Reference Records'!K$212:K716,MATCH(L213,'Reference Records'!B$212:B716,0))</f>
        <v>#N/A</v>
      </c>
      <c r="P213" s="478"/>
      <c r="Q213" s="480"/>
      <c r="R213" s="481"/>
      <c r="S213" s="478" t="str">
        <f>IFERROR(VLOOKUP(INDEX('Reference Records'!J$412:J752,MATCH(R213,'Reference Records'!F$412:F752),1),'Reference Records'!B$211:C715,2,0),"")</f>
        <v/>
      </c>
      <c r="T213" s="479"/>
      <c r="U213" s="482" t="str">
        <f>IFERROR(IF(VLOOKUP(E213,'Reference Records'!$F$159:$N$210,9,FALSE)=0,"",VLOOKUP(E213,'Reference Records'!$F$159:$N$210,9,FALSE)),"")</f>
        <v/>
      </c>
      <c r="V213" s="476" t="str">
        <f>IF(IF(Language="French",G213,F213)=0,"",IF(Language="French",G213,F213))</f>
        <v/>
      </c>
      <c r="W213" s="483" t="str">
        <f t="shared" si="8"/>
        <v/>
      </c>
      <c r="X213" s="484" t="str">
        <f t="shared" si="9"/>
        <v>a1P3p000007oOIJEA2</v>
      </c>
      <c r="Y213" s="484" t="b">
        <f t="shared" si="10"/>
        <v>0</v>
      </c>
      <c r="Z213" s="484" t="b">
        <f t="shared" si="11"/>
        <v>1</v>
      </c>
      <c r="AA213" s="484" t="str">
        <f>IF(R213="",IFERROR(VLOOKUP(AC213,'Reference Records'!G$413:J751,3,0),""),IFERROR(VLOOKUP(AC213,'Reference Records'!H$413:J751,2,0),""))</f>
        <v/>
      </c>
      <c r="AB213" s="484" t="s">
        <v>1327</v>
      </c>
      <c r="AC213" s="473" t="e">
        <f t="shared" si="12"/>
        <v>#N/A</v>
      </c>
      <c r="AD213" s="473" t="str">
        <f t="shared" si="13"/>
        <v/>
      </c>
      <c r="AE213" s="473" t="str">
        <f t="array" ref="AE213">IFERROR(IF(INDEX($W$155:$W$256, MATCH(0, IF(AD213=$E$155:$E$256, COUNTIF($AE$154:$AE212, $W$155:$W$256), ""), 0))=0,"",INDEX($W$155:$W$256, MATCH(0, IF(AD213=$E$155:$E$256, COUNTIF($AE$154:$AE212, $W$155:$W$256), ""), 0))),"")</f>
        <v/>
      </c>
      <c r="AF213" s="473" t="str">
        <f t="shared" si="14"/>
        <v>|empty|</v>
      </c>
      <c r="AG213" s="473" t="str">
        <f t="shared" si="15"/>
        <v>INT-211728</v>
      </c>
      <c r="AH213" s="473" t="e">
        <f t="shared" si="16"/>
        <v>#N/A</v>
      </c>
      <c r="AI213" s="473">
        <f>IF(COUNTIF($AH$155:AH314,"&lt;="&amp;AH213)=0,"",COUNTIF($AH$155:AH314,"&lt;="&amp;AH213))</f>
        <v>100</v>
      </c>
      <c r="AJ213" s="473">
        <f>RANK(AI213,AI$155:AI314,1)</f>
        <v>2</v>
      </c>
      <c r="AK213" s="473" t="e">
        <f>INDEX(E$155:E314,MATCH(ROWS(AJ$155:AJ213),AJ$155:AJ314,0))</f>
        <v>#N/A</v>
      </c>
      <c r="AL213" s="473" t="e">
        <f>INDEX(K$155:K314,MATCH(ROWS(AJ$155:AJ213),AJ$155:AJ314,0))</f>
        <v>#N/A</v>
      </c>
      <c r="AM213" s="473" t="e">
        <f>INDEX(V$155:V314,MATCH(ROWS(AJ$155:AJ213),AJ$155:AJ314,0))</f>
        <v>#N/A</v>
      </c>
      <c r="AN213" s="473" t="e">
        <f t="shared" si="17"/>
        <v>#N/A</v>
      </c>
      <c r="AO213" s="473" t="e">
        <f t="shared" si="18"/>
        <v>#N/A</v>
      </c>
      <c r="AP213" s="473"/>
      <c r="AQ213" s="485" t="s">
        <v>1328</v>
      </c>
      <c r="AR213" s="107"/>
    </row>
    <row r="214" spans="1:44" ht="47.15" customHeight="1" x14ac:dyDescent="0.35">
      <c r="A214" s="146">
        <v>59</v>
      </c>
      <c r="B214" s="475"/>
      <c r="C214" s="475"/>
      <c r="D214" s="148"/>
      <c r="E214" s="476" t="str">
        <f>IFERROR(IF(AND(K214="",T214=""),"",(VLOOKUP(Q214,'Reference records(soft deleted)'!$B$118:$D$162,3,FALSE))),"")</f>
        <v/>
      </c>
      <c r="F214" s="477"/>
      <c r="G214" s="477"/>
      <c r="H214" s="478" t="str">
        <f>IF(R214="",IFERROR(VLOOKUP(AC214,'Reference Records'!G$413:J752,4,0),""),IFERROR(VLOOKUP(AC214,'Reference Records'!H$413:J752,3,0),""))</f>
        <v/>
      </c>
      <c r="I214" s="478"/>
      <c r="J214" s="479"/>
      <c r="K214" s="476" t="str">
        <f>IFERROR(VLOOKUP(INDEX('Reference Records'!E$412:E753,MATCH(R214,'Reference Records'!F$412:F753,0),1),'Reference Records'!B$211:C716,2,0),"")</f>
        <v/>
      </c>
      <c r="L214" s="478" t="e">
        <f>VLOOKUP(U214&amp;K214,'Reference Records'!H$212:I717,2,0)</f>
        <v>#N/A</v>
      </c>
      <c r="M214" s="478" t="e">
        <f>MATCH($L214,'Reference Records'!$E$413:$E$618,0)+ROW(Population_by_intervention) -1</f>
        <v>#N/A</v>
      </c>
      <c r="N214" s="478" t="e">
        <f>MATCH($L214,'Reference Records'!$E$413:$E$618,1)+ROW(Population_by_intervention) -1</f>
        <v>#N/A</v>
      </c>
      <c r="O214" s="478" t="e">
        <f>INDEX('Reference Records'!K$212:K717,MATCH(L214,'Reference Records'!B$212:B717,0))</f>
        <v>#N/A</v>
      </c>
      <c r="P214" s="478"/>
      <c r="Q214" s="480"/>
      <c r="R214" s="481"/>
      <c r="S214" s="478" t="str">
        <f>IFERROR(VLOOKUP(INDEX('Reference Records'!J$412:J753,MATCH(R214,'Reference Records'!F$412:F753),1),'Reference Records'!B$211:C716,2,0),"")</f>
        <v/>
      </c>
      <c r="T214" s="479"/>
      <c r="U214" s="482" t="str">
        <f>IFERROR(IF(VLOOKUP(E214,'Reference Records'!$F$159:$N$210,9,FALSE)=0,"",VLOOKUP(E214,'Reference Records'!$F$159:$N$210,9,FALSE)),"")</f>
        <v/>
      </c>
      <c r="V214" s="476" t="str">
        <f>IF(IF(Language="French",G214,F214)=0,"",IF(Language="French",G214,F214))</f>
        <v/>
      </c>
      <c r="W214" s="483" t="str">
        <f t="shared" si="8"/>
        <v/>
      </c>
      <c r="X214" s="484" t="str">
        <f t="shared" si="9"/>
        <v>a1P3p000007oOIJEA2</v>
      </c>
      <c r="Y214" s="484" t="b">
        <f t="shared" si="10"/>
        <v>0</v>
      </c>
      <c r="Z214" s="484" t="b">
        <f t="shared" si="11"/>
        <v>1</v>
      </c>
      <c r="AA214" s="484" t="str">
        <f>IF(R214="",IFERROR(VLOOKUP(AC214,'Reference Records'!G$413:J752,3,0),""),IFERROR(VLOOKUP(AC214,'Reference Records'!H$413:J752,2,0),""))</f>
        <v/>
      </c>
      <c r="AB214" s="484" t="s">
        <v>1329</v>
      </c>
      <c r="AC214" s="473" t="e">
        <f t="shared" si="12"/>
        <v>#N/A</v>
      </c>
      <c r="AD214" s="473" t="str">
        <f t="shared" si="13"/>
        <v/>
      </c>
      <c r="AE214" s="473" t="str">
        <f t="array" ref="AE214">IFERROR(IF(INDEX($W$155:$W$256, MATCH(0, IF(AD214=$E$155:$E$256, COUNTIF($AE$154:$AE213, $W$155:$W$256), ""), 0))=0,"",INDEX($W$155:$W$256, MATCH(0, IF(AD214=$E$155:$E$256, COUNTIF($AE$154:$AE213, $W$155:$W$256), ""), 0))),"")</f>
        <v/>
      </c>
      <c r="AF214" s="473" t="str">
        <f t="shared" si="14"/>
        <v>|empty|</v>
      </c>
      <c r="AG214" s="473" t="str">
        <f t="shared" si="15"/>
        <v>INT-211682</v>
      </c>
      <c r="AH214" s="473" t="e">
        <f t="shared" si="16"/>
        <v>#N/A</v>
      </c>
      <c r="AI214" s="473">
        <f>IF(COUNTIF($AH$155:AH315,"&lt;="&amp;AH214)=0,"",COUNTIF($AH$155:AH315,"&lt;="&amp;AH214))</f>
        <v>100</v>
      </c>
      <c r="AJ214" s="473">
        <f>RANK(AI214,AI$155:AI315,1)</f>
        <v>2</v>
      </c>
      <c r="AK214" s="473" t="e">
        <f>INDEX(E$155:E315,MATCH(ROWS(AJ$155:AJ214),AJ$155:AJ315,0))</f>
        <v>#N/A</v>
      </c>
      <c r="AL214" s="473" t="e">
        <f>INDEX(K$155:K315,MATCH(ROWS(AJ$155:AJ214),AJ$155:AJ315,0))</f>
        <v>#N/A</v>
      </c>
      <c r="AM214" s="473" t="e">
        <f>INDEX(V$155:V315,MATCH(ROWS(AJ$155:AJ214),AJ$155:AJ315,0))</f>
        <v>#N/A</v>
      </c>
      <c r="AN214" s="473" t="e">
        <f t="shared" si="17"/>
        <v>#N/A</v>
      </c>
      <c r="AO214" s="473" t="e">
        <f t="shared" si="18"/>
        <v>#N/A</v>
      </c>
      <c r="AP214" s="473"/>
      <c r="AQ214" s="485" t="s">
        <v>1330</v>
      </c>
      <c r="AR214" s="107"/>
    </row>
    <row r="215" spans="1:44" ht="47.15" customHeight="1" x14ac:dyDescent="0.35">
      <c r="A215" s="146">
        <v>60</v>
      </c>
      <c r="B215" s="475"/>
      <c r="C215" s="475"/>
      <c r="D215" s="148"/>
      <c r="E215" s="476" t="str">
        <f>IFERROR(IF(AND(K215="",T215=""),"",(VLOOKUP(Q215,'Reference records(soft deleted)'!$B$118:$D$162,3,FALSE))),"")</f>
        <v/>
      </c>
      <c r="F215" s="477"/>
      <c r="G215" s="477"/>
      <c r="H215" s="478" t="str">
        <f>IF(R215="",IFERROR(VLOOKUP(AC215,'Reference Records'!G$413:J753,4,0),""),IFERROR(VLOOKUP(AC215,'Reference Records'!H$413:J753,3,0),""))</f>
        <v/>
      </c>
      <c r="I215" s="478"/>
      <c r="J215" s="479"/>
      <c r="K215" s="476" t="str">
        <f>IFERROR(VLOOKUP(INDEX('Reference Records'!E$412:E754,MATCH(R215,'Reference Records'!F$412:F754,0),1),'Reference Records'!B$211:C717,2,0),"")</f>
        <v/>
      </c>
      <c r="L215" s="478" t="e">
        <f>VLOOKUP(U215&amp;K215,'Reference Records'!H$212:I718,2,0)</f>
        <v>#N/A</v>
      </c>
      <c r="M215" s="478" t="e">
        <f>MATCH($L215,'Reference Records'!$E$413:$E$618,0)+ROW(Population_by_intervention) -1</f>
        <v>#N/A</v>
      </c>
      <c r="N215" s="478" t="e">
        <f>MATCH($L215,'Reference Records'!$E$413:$E$618,1)+ROW(Population_by_intervention) -1</f>
        <v>#N/A</v>
      </c>
      <c r="O215" s="478" t="e">
        <f>INDEX('Reference Records'!K$212:K718,MATCH(L215,'Reference Records'!B$212:B718,0))</f>
        <v>#N/A</v>
      </c>
      <c r="P215" s="478"/>
      <c r="Q215" s="480"/>
      <c r="R215" s="481"/>
      <c r="S215" s="478" t="str">
        <f>IFERROR(VLOOKUP(INDEX('Reference Records'!J$412:J754,MATCH(R215,'Reference Records'!F$412:F754),1),'Reference Records'!B$211:C717,2,0),"")</f>
        <v/>
      </c>
      <c r="T215" s="479"/>
      <c r="U215" s="482" t="str">
        <f>IFERROR(IF(VLOOKUP(E215,'Reference Records'!$F$159:$N$210,9,FALSE)=0,"",VLOOKUP(E215,'Reference Records'!$F$159:$N$210,9,FALSE)),"")</f>
        <v/>
      </c>
      <c r="V215" s="476" t="str">
        <f>IF(IF(Language="French",G215,F215)=0,"",IF(Language="French",G215,F215))</f>
        <v/>
      </c>
      <c r="W215" s="483" t="str">
        <f t="shared" si="8"/>
        <v/>
      </c>
      <c r="X215" s="484" t="str">
        <f t="shared" si="9"/>
        <v>a1P3p000007oOIJEA2</v>
      </c>
      <c r="Y215" s="484" t="b">
        <f t="shared" si="10"/>
        <v>0</v>
      </c>
      <c r="Z215" s="484" t="b">
        <f t="shared" si="11"/>
        <v>1</v>
      </c>
      <c r="AA215" s="484" t="str">
        <f>IF(R215="",IFERROR(VLOOKUP(AC215,'Reference Records'!G$413:J753,3,0),""),IFERROR(VLOOKUP(AC215,'Reference Records'!H$413:J753,2,0),""))</f>
        <v/>
      </c>
      <c r="AB215" s="484" t="s">
        <v>1331</v>
      </c>
      <c r="AC215" s="473" t="e">
        <f t="shared" si="12"/>
        <v>#N/A</v>
      </c>
      <c r="AD215" s="473" t="str">
        <f t="shared" si="13"/>
        <v/>
      </c>
      <c r="AE215" s="473" t="str">
        <f t="array" ref="AE215">IFERROR(IF(INDEX($W$155:$W$256, MATCH(0, IF(AD215=$E$155:$E$256, COUNTIF($AE$154:$AE214, $W$155:$W$256), ""), 0))=0,"",INDEX($W$155:$W$256, MATCH(0, IF(AD215=$E$155:$E$256, COUNTIF($AE$154:$AE214, $W$155:$W$256), ""), 0))),"")</f>
        <v/>
      </c>
      <c r="AF215" s="473" t="str">
        <f t="shared" si="14"/>
        <v>|empty|</v>
      </c>
      <c r="AG215" s="473" t="str">
        <f t="shared" si="15"/>
        <v>INT-211732</v>
      </c>
      <c r="AH215" s="473" t="e">
        <f t="shared" si="16"/>
        <v>#N/A</v>
      </c>
      <c r="AI215" s="473">
        <f>IF(COUNTIF($AH$155:AH316,"&lt;="&amp;AH215)=0,"",COUNTIF($AH$155:AH316,"&lt;="&amp;AH215))</f>
        <v>100</v>
      </c>
      <c r="AJ215" s="473">
        <f>RANK(AI215,AI$155:AI316,1)</f>
        <v>2</v>
      </c>
      <c r="AK215" s="473" t="e">
        <f>INDEX(E$155:E316,MATCH(ROWS(AJ$155:AJ215),AJ$155:AJ316,0))</f>
        <v>#N/A</v>
      </c>
      <c r="AL215" s="473" t="e">
        <f>INDEX(K$155:K316,MATCH(ROWS(AJ$155:AJ215),AJ$155:AJ316,0))</f>
        <v>#N/A</v>
      </c>
      <c r="AM215" s="473" t="e">
        <f>INDEX(V$155:V316,MATCH(ROWS(AJ$155:AJ215),AJ$155:AJ316,0))</f>
        <v>#N/A</v>
      </c>
      <c r="AN215" s="473" t="e">
        <f t="shared" si="17"/>
        <v>#N/A</v>
      </c>
      <c r="AO215" s="473" t="e">
        <f t="shared" si="18"/>
        <v>#N/A</v>
      </c>
      <c r="AP215" s="473"/>
      <c r="AQ215" s="485" t="s">
        <v>1332</v>
      </c>
      <c r="AR215" s="107"/>
    </row>
    <row r="216" spans="1:44" ht="47.15" customHeight="1" x14ac:dyDescent="0.35">
      <c r="A216" s="146">
        <v>61</v>
      </c>
      <c r="B216" s="475"/>
      <c r="C216" s="475"/>
      <c r="D216" s="148"/>
      <c r="E216" s="476" t="str">
        <f>IFERROR(IF(AND(K216="",T216=""),"",(VLOOKUP(Q216,'Reference records(soft deleted)'!$B$118:$D$162,3,FALSE))),"")</f>
        <v/>
      </c>
      <c r="F216" s="477"/>
      <c r="G216" s="477"/>
      <c r="H216" s="478" t="str">
        <f>IF(R216="",IFERROR(VLOOKUP(AC216,'Reference Records'!G$413:J754,4,0),""),IFERROR(VLOOKUP(AC216,'Reference Records'!H$413:J754,3,0),""))</f>
        <v/>
      </c>
      <c r="I216" s="478"/>
      <c r="J216" s="479"/>
      <c r="K216" s="476" t="str">
        <f>IFERROR(VLOOKUP(INDEX('Reference Records'!E$412:E755,MATCH(R216,'Reference Records'!F$412:F755,0),1),'Reference Records'!B$211:C718,2,0),"")</f>
        <v/>
      </c>
      <c r="L216" s="478" t="e">
        <f>VLOOKUP(U216&amp;K216,'Reference Records'!H$212:I719,2,0)</f>
        <v>#N/A</v>
      </c>
      <c r="M216" s="478" t="e">
        <f>MATCH($L216,'Reference Records'!$E$413:$E$618,0)+ROW(Population_by_intervention) -1</f>
        <v>#N/A</v>
      </c>
      <c r="N216" s="478" t="e">
        <f>MATCH($L216,'Reference Records'!$E$413:$E$618,1)+ROW(Population_by_intervention) -1</f>
        <v>#N/A</v>
      </c>
      <c r="O216" s="478" t="e">
        <f>INDEX('Reference Records'!K$212:K719,MATCH(L216,'Reference Records'!B$212:B719,0))</f>
        <v>#N/A</v>
      </c>
      <c r="P216" s="478"/>
      <c r="Q216" s="480"/>
      <c r="R216" s="481"/>
      <c r="S216" s="478" t="str">
        <f>IFERROR(VLOOKUP(INDEX('Reference Records'!J$412:J755,MATCH(R216,'Reference Records'!F$412:F755),1),'Reference Records'!B$211:C718,2,0),"")</f>
        <v/>
      </c>
      <c r="T216" s="479"/>
      <c r="U216" s="482" t="str">
        <f>IFERROR(IF(VLOOKUP(E216,'Reference Records'!$F$159:$N$210,9,FALSE)=0,"",VLOOKUP(E216,'Reference Records'!$F$159:$N$210,9,FALSE)),"")</f>
        <v/>
      </c>
      <c r="V216" s="476" t="str">
        <f>IF(IF(Language="French",G216,F216)=0,"",IF(Language="French",G216,F216))</f>
        <v/>
      </c>
      <c r="W216" s="483" t="str">
        <f t="shared" si="8"/>
        <v/>
      </c>
      <c r="X216" s="484" t="str">
        <f t="shared" si="9"/>
        <v>a1P3p000007oOIJEA2</v>
      </c>
      <c r="Y216" s="484" t="b">
        <f t="shared" si="10"/>
        <v>0</v>
      </c>
      <c r="Z216" s="484" t="b">
        <f t="shared" si="11"/>
        <v>1</v>
      </c>
      <c r="AA216" s="484" t="str">
        <f>IF(R216="",IFERROR(VLOOKUP(AC216,'Reference Records'!G$413:J754,3,0),""),IFERROR(VLOOKUP(AC216,'Reference Records'!H$413:J754,2,0),""))</f>
        <v/>
      </c>
      <c r="AB216" s="484" t="s">
        <v>1333</v>
      </c>
      <c r="AC216" s="473" t="e">
        <f t="shared" si="12"/>
        <v>#N/A</v>
      </c>
      <c r="AD216" s="473" t="str">
        <f t="shared" si="13"/>
        <v/>
      </c>
      <c r="AE216" s="473" t="str">
        <f t="array" ref="AE216">IFERROR(IF(INDEX($W$155:$W$256, MATCH(0, IF(AD216=$E$155:$E$256, COUNTIF($AE$154:$AE215, $W$155:$W$256), ""), 0))=0,"",INDEX($W$155:$W$256, MATCH(0, IF(AD216=$E$155:$E$256, COUNTIF($AE$154:$AE215, $W$155:$W$256), ""), 0))),"")</f>
        <v/>
      </c>
      <c r="AF216" s="473" t="str">
        <f t="shared" si="14"/>
        <v>|empty|</v>
      </c>
      <c r="AG216" s="473" t="str">
        <f t="shared" si="15"/>
        <v>INT-211683</v>
      </c>
      <c r="AH216" s="473" t="e">
        <f t="shared" si="16"/>
        <v>#N/A</v>
      </c>
      <c r="AI216" s="473">
        <f>IF(COUNTIF($AH$155:AH317,"&lt;="&amp;AH216)=0,"",COUNTIF($AH$155:AH317,"&lt;="&amp;AH216))</f>
        <v>100</v>
      </c>
      <c r="AJ216" s="473">
        <f>RANK(AI216,AI$155:AI317,1)</f>
        <v>2</v>
      </c>
      <c r="AK216" s="473" t="e">
        <f>INDEX(E$155:E317,MATCH(ROWS(AJ$155:AJ216),AJ$155:AJ317,0))</f>
        <v>#N/A</v>
      </c>
      <c r="AL216" s="473" t="e">
        <f>INDEX(K$155:K317,MATCH(ROWS(AJ$155:AJ216),AJ$155:AJ317,0))</f>
        <v>#N/A</v>
      </c>
      <c r="AM216" s="473" t="e">
        <f>INDEX(V$155:V317,MATCH(ROWS(AJ$155:AJ216),AJ$155:AJ317,0))</f>
        <v>#N/A</v>
      </c>
      <c r="AN216" s="473" t="e">
        <f t="shared" si="17"/>
        <v>#N/A</v>
      </c>
      <c r="AO216" s="473" t="e">
        <f t="shared" si="18"/>
        <v>#N/A</v>
      </c>
      <c r="AP216" s="473"/>
      <c r="AQ216" s="485" t="s">
        <v>1334</v>
      </c>
      <c r="AR216" s="107"/>
    </row>
    <row r="217" spans="1:44" ht="47.15" customHeight="1" x14ac:dyDescent="0.35">
      <c r="A217" s="146">
        <v>62</v>
      </c>
      <c r="B217" s="475"/>
      <c r="C217" s="475"/>
      <c r="D217" s="148"/>
      <c r="E217" s="476" t="str">
        <f>IFERROR(IF(AND(K217="",T217=""),"",(VLOOKUP(Q217,'Reference records(soft deleted)'!$B$118:$D$162,3,FALSE))),"")</f>
        <v/>
      </c>
      <c r="F217" s="477"/>
      <c r="G217" s="477"/>
      <c r="H217" s="478" t="str">
        <f>IF(R217="",IFERROR(VLOOKUP(AC217,'Reference Records'!G$413:J755,4,0),""),IFERROR(VLOOKUP(AC217,'Reference Records'!H$413:J755,3,0),""))</f>
        <v/>
      </c>
      <c r="I217" s="478"/>
      <c r="J217" s="479"/>
      <c r="K217" s="476" t="str">
        <f>IFERROR(VLOOKUP(INDEX('Reference Records'!E$412:E756,MATCH(R217,'Reference Records'!F$412:F756,0),1),'Reference Records'!B$211:C719,2,0),"")</f>
        <v/>
      </c>
      <c r="L217" s="478" t="e">
        <f>VLOOKUP(U217&amp;K217,'Reference Records'!H$212:I720,2,0)</f>
        <v>#N/A</v>
      </c>
      <c r="M217" s="478" t="e">
        <f>MATCH($L217,'Reference Records'!$E$413:$E$618,0)+ROW(Population_by_intervention) -1</f>
        <v>#N/A</v>
      </c>
      <c r="N217" s="478" t="e">
        <f>MATCH($L217,'Reference Records'!$E$413:$E$618,1)+ROW(Population_by_intervention) -1</f>
        <v>#N/A</v>
      </c>
      <c r="O217" s="478" t="e">
        <f>INDEX('Reference Records'!K$212:K720,MATCH(L217,'Reference Records'!B$212:B720,0))</f>
        <v>#N/A</v>
      </c>
      <c r="P217" s="478"/>
      <c r="Q217" s="480"/>
      <c r="R217" s="481"/>
      <c r="S217" s="478" t="str">
        <f>IFERROR(VLOOKUP(INDEX('Reference Records'!J$412:J756,MATCH(R217,'Reference Records'!F$412:F756),1),'Reference Records'!B$211:C719,2,0),"")</f>
        <v/>
      </c>
      <c r="T217" s="479"/>
      <c r="U217" s="482" t="str">
        <f>IFERROR(IF(VLOOKUP(E217,'Reference Records'!$F$159:$N$210,9,FALSE)=0,"",VLOOKUP(E217,'Reference Records'!$F$159:$N$210,9,FALSE)),"")</f>
        <v/>
      </c>
      <c r="V217" s="476" t="str">
        <f>IF(IF(Language="French",G217,F217)=0,"",IF(Language="French",G217,F217))</f>
        <v/>
      </c>
      <c r="W217" s="483" t="str">
        <f t="shared" si="8"/>
        <v/>
      </c>
      <c r="X217" s="484" t="str">
        <f t="shared" si="9"/>
        <v>a1P3p000007oOIJEA2</v>
      </c>
      <c r="Y217" s="484" t="b">
        <f t="shared" si="10"/>
        <v>0</v>
      </c>
      <c r="Z217" s="484" t="b">
        <f t="shared" si="11"/>
        <v>1</v>
      </c>
      <c r="AA217" s="484" t="str">
        <f>IF(R217="",IFERROR(VLOOKUP(AC217,'Reference Records'!G$413:J755,3,0),""),IFERROR(VLOOKUP(AC217,'Reference Records'!H$413:J755,2,0),""))</f>
        <v/>
      </c>
      <c r="AB217" s="484" t="s">
        <v>1335</v>
      </c>
      <c r="AC217" s="473" t="e">
        <f t="shared" si="12"/>
        <v>#N/A</v>
      </c>
      <c r="AD217" s="473" t="str">
        <f t="shared" si="13"/>
        <v/>
      </c>
      <c r="AE217" s="473" t="str">
        <f t="array" ref="AE217">IFERROR(IF(INDEX($W$155:$W$256, MATCH(0, IF(AD217=$E$155:$E$256, COUNTIF($AE$154:$AE216, $W$155:$W$256), ""), 0))=0,"",INDEX($W$155:$W$256, MATCH(0, IF(AD217=$E$155:$E$256, COUNTIF($AE$154:$AE216, $W$155:$W$256), ""), 0))),"")</f>
        <v/>
      </c>
      <c r="AF217" s="473" t="str">
        <f t="shared" si="14"/>
        <v>|empty|</v>
      </c>
      <c r="AG217" s="473" t="str">
        <f t="shared" si="15"/>
        <v>INT-211733</v>
      </c>
      <c r="AH217" s="473" t="e">
        <f t="shared" si="16"/>
        <v>#N/A</v>
      </c>
      <c r="AI217" s="473">
        <f>IF(COUNTIF($AH$155:AH318,"&lt;="&amp;AH217)=0,"",COUNTIF($AH$155:AH318,"&lt;="&amp;AH217))</f>
        <v>100</v>
      </c>
      <c r="AJ217" s="473">
        <f>RANK(AI217,AI$155:AI318,1)</f>
        <v>2</v>
      </c>
      <c r="AK217" s="473" t="e">
        <f>INDEX(E$155:E318,MATCH(ROWS(AJ$155:AJ217),AJ$155:AJ318,0))</f>
        <v>#N/A</v>
      </c>
      <c r="AL217" s="473" t="e">
        <f>INDEX(K$155:K318,MATCH(ROWS(AJ$155:AJ217),AJ$155:AJ318,0))</f>
        <v>#N/A</v>
      </c>
      <c r="AM217" s="473" t="e">
        <f>INDEX(V$155:V318,MATCH(ROWS(AJ$155:AJ217),AJ$155:AJ318,0))</f>
        <v>#N/A</v>
      </c>
      <c r="AN217" s="473" t="e">
        <f t="shared" si="17"/>
        <v>#N/A</v>
      </c>
      <c r="AO217" s="473" t="e">
        <f t="shared" si="18"/>
        <v>#N/A</v>
      </c>
      <c r="AP217" s="473"/>
      <c r="AQ217" s="485" t="s">
        <v>1336</v>
      </c>
      <c r="AR217" s="107"/>
    </row>
    <row r="218" spans="1:44" ht="47.15" customHeight="1" x14ac:dyDescent="0.35">
      <c r="A218" s="146">
        <v>63</v>
      </c>
      <c r="B218" s="475"/>
      <c r="C218" s="475"/>
      <c r="D218" s="148"/>
      <c r="E218" s="476" t="str">
        <f>IFERROR(IF(AND(K218="",T218=""),"",(VLOOKUP(Q218,'Reference records(soft deleted)'!$B$118:$D$162,3,FALSE))),"")</f>
        <v/>
      </c>
      <c r="F218" s="477"/>
      <c r="G218" s="477"/>
      <c r="H218" s="478" t="str">
        <f>IF(R218="",IFERROR(VLOOKUP(AC218,'Reference Records'!G$413:J756,4,0),""),IFERROR(VLOOKUP(AC218,'Reference Records'!H$413:J756,3,0),""))</f>
        <v/>
      </c>
      <c r="I218" s="478"/>
      <c r="J218" s="479"/>
      <c r="K218" s="476" t="str">
        <f>IFERROR(VLOOKUP(INDEX('Reference Records'!E$412:E757,MATCH(R218,'Reference Records'!F$412:F757,0),1),'Reference Records'!B$211:C720,2,0),"")</f>
        <v/>
      </c>
      <c r="L218" s="478" t="e">
        <f>VLOOKUP(U218&amp;K218,'Reference Records'!H$212:I721,2,0)</f>
        <v>#N/A</v>
      </c>
      <c r="M218" s="478" t="e">
        <f>MATCH($L218,'Reference Records'!$E$413:$E$618,0)+ROW(Population_by_intervention) -1</f>
        <v>#N/A</v>
      </c>
      <c r="N218" s="478" t="e">
        <f>MATCH($L218,'Reference Records'!$E$413:$E$618,1)+ROW(Population_by_intervention) -1</f>
        <v>#N/A</v>
      </c>
      <c r="O218" s="478" t="e">
        <f>INDEX('Reference Records'!K$212:K721,MATCH(L218,'Reference Records'!B$212:B721,0))</f>
        <v>#N/A</v>
      </c>
      <c r="P218" s="478"/>
      <c r="Q218" s="480"/>
      <c r="R218" s="481"/>
      <c r="S218" s="478" t="str">
        <f>IFERROR(VLOOKUP(INDEX('Reference Records'!J$412:J757,MATCH(R218,'Reference Records'!F$412:F757),1),'Reference Records'!B$211:C720,2,0),"")</f>
        <v/>
      </c>
      <c r="T218" s="479"/>
      <c r="U218" s="482" t="str">
        <f>IFERROR(IF(VLOOKUP(E218,'Reference Records'!$F$159:$N$210,9,FALSE)=0,"",VLOOKUP(E218,'Reference Records'!$F$159:$N$210,9,FALSE)),"")</f>
        <v/>
      </c>
      <c r="V218" s="476" t="str">
        <f>IF(IF(Language="French",G218,F218)=0,"",IF(Language="French",G218,F218))</f>
        <v/>
      </c>
      <c r="W218" s="483" t="str">
        <f t="shared" si="8"/>
        <v/>
      </c>
      <c r="X218" s="484" t="str">
        <f t="shared" si="9"/>
        <v>a1P3p000007oOIJEA2</v>
      </c>
      <c r="Y218" s="484" t="b">
        <f t="shared" si="10"/>
        <v>0</v>
      </c>
      <c r="Z218" s="484" t="b">
        <f t="shared" si="11"/>
        <v>1</v>
      </c>
      <c r="AA218" s="484" t="str">
        <f>IF(R218="",IFERROR(VLOOKUP(AC218,'Reference Records'!G$413:J756,3,0),""),IFERROR(VLOOKUP(AC218,'Reference Records'!H$413:J756,2,0),""))</f>
        <v/>
      </c>
      <c r="AB218" s="484" t="s">
        <v>1337</v>
      </c>
      <c r="AC218" s="473" t="e">
        <f t="shared" si="12"/>
        <v>#N/A</v>
      </c>
      <c r="AD218" s="473" t="str">
        <f t="shared" si="13"/>
        <v/>
      </c>
      <c r="AE218" s="473" t="str">
        <f t="array" ref="AE218">IFERROR(IF(INDEX($W$155:$W$256, MATCH(0, IF(AD218=$E$155:$E$256, COUNTIF($AE$154:$AE217, $W$155:$W$256), ""), 0))=0,"",INDEX($W$155:$W$256, MATCH(0, IF(AD218=$E$155:$E$256, COUNTIF($AE$154:$AE217, $W$155:$W$256), ""), 0))),"")</f>
        <v/>
      </c>
      <c r="AF218" s="473" t="str">
        <f t="shared" si="14"/>
        <v>|empty|</v>
      </c>
      <c r="AG218" s="473" t="str">
        <f t="shared" si="15"/>
        <v>INT-211684</v>
      </c>
      <c r="AH218" s="473" t="e">
        <f t="shared" si="16"/>
        <v>#N/A</v>
      </c>
      <c r="AI218" s="473">
        <f>IF(COUNTIF($AH$155:AH319,"&lt;="&amp;AH218)=0,"",COUNTIF($AH$155:AH319,"&lt;="&amp;AH218))</f>
        <v>100</v>
      </c>
      <c r="AJ218" s="473">
        <f>RANK(AI218,AI$155:AI319,1)</f>
        <v>2</v>
      </c>
      <c r="AK218" s="473" t="e">
        <f>INDEX(E$155:E319,MATCH(ROWS(AJ$155:AJ218),AJ$155:AJ319,0))</f>
        <v>#N/A</v>
      </c>
      <c r="AL218" s="473" t="e">
        <f>INDEX(K$155:K319,MATCH(ROWS(AJ$155:AJ218),AJ$155:AJ319,0))</f>
        <v>#N/A</v>
      </c>
      <c r="AM218" s="473" t="e">
        <f>INDEX(V$155:V319,MATCH(ROWS(AJ$155:AJ218),AJ$155:AJ319,0))</f>
        <v>#N/A</v>
      </c>
      <c r="AN218" s="473" t="e">
        <f t="shared" si="17"/>
        <v>#N/A</v>
      </c>
      <c r="AO218" s="473" t="e">
        <f t="shared" si="18"/>
        <v>#N/A</v>
      </c>
      <c r="AP218" s="473"/>
      <c r="AQ218" s="485" t="s">
        <v>1338</v>
      </c>
      <c r="AR218" s="107"/>
    </row>
    <row r="219" spans="1:44" ht="47.15" customHeight="1" x14ac:dyDescent="0.35">
      <c r="A219" s="146">
        <v>64</v>
      </c>
      <c r="B219" s="475"/>
      <c r="C219" s="475"/>
      <c r="D219" s="148"/>
      <c r="E219" s="476" t="str">
        <f>IFERROR(IF(AND(K219="",T219=""),"",(VLOOKUP(Q219,'Reference records(soft deleted)'!$B$118:$D$162,3,FALSE))),"")</f>
        <v/>
      </c>
      <c r="F219" s="477"/>
      <c r="G219" s="477"/>
      <c r="H219" s="478" t="str">
        <f>IF(R219="",IFERROR(VLOOKUP(AC219,'Reference Records'!G$413:J757,4,0),""),IFERROR(VLOOKUP(AC219,'Reference Records'!H$413:J757,3,0),""))</f>
        <v/>
      </c>
      <c r="I219" s="478"/>
      <c r="J219" s="479"/>
      <c r="K219" s="476" t="str">
        <f>IFERROR(VLOOKUP(INDEX('Reference Records'!E$412:E758,MATCH(R219,'Reference Records'!F$412:F758,0),1),'Reference Records'!B$211:C721,2,0),"")</f>
        <v/>
      </c>
      <c r="L219" s="478" t="e">
        <f>VLOOKUP(U219&amp;K219,'Reference Records'!H$212:I722,2,0)</f>
        <v>#N/A</v>
      </c>
      <c r="M219" s="478" t="e">
        <f>MATCH($L219,'Reference Records'!$E$413:$E$618,0)+ROW(Population_by_intervention) -1</f>
        <v>#N/A</v>
      </c>
      <c r="N219" s="478" t="e">
        <f>MATCH($L219,'Reference Records'!$E$413:$E$618,1)+ROW(Population_by_intervention) -1</f>
        <v>#N/A</v>
      </c>
      <c r="O219" s="478" t="e">
        <f>INDEX('Reference Records'!K$212:K722,MATCH(L219,'Reference Records'!B$212:B722,0))</f>
        <v>#N/A</v>
      </c>
      <c r="P219" s="478"/>
      <c r="Q219" s="480"/>
      <c r="R219" s="481"/>
      <c r="S219" s="478" t="str">
        <f>IFERROR(VLOOKUP(INDEX('Reference Records'!J$412:J758,MATCH(R219,'Reference Records'!F$412:F758),1),'Reference Records'!B$211:C721,2,0),"")</f>
        <v/>
      </c>
      <c r="T219" s="479"/>
      <c r="U219" s="482" t="str">
        <f>IFERROR(IF(VLOOKUP(E219,'Reference Records'!$F$159:$N$210,9,FALSE)=0,"",VLOOKUP(E219,'Reference Records'!$F$159:$N$210,9,FALSE)),"")</f>
        <v/>
      </c>
      <c r="V219" s="476" t="str">
        <f>IF(IF(Language="French",G219,F219)=0,"",IF(Language="French",G219,F219))</f>
        <v/>
      </c>
      <c r="W219" s="483" t="str">
        <f t="shared" si="8"/>
        <v/>
      </c>
      <c r="X219" s="484" t="str">
        <f t="shared" si="9"/>
        <v>a1P3p000007oOIJEA2</v>
      </c>
      <c r="Y219" s="484" t="b">
        <f t="shared" si="10"/>
        <v>0</v>
      </c>
      <c r="Z219" s="484" t="b">
        <f t="shared" si="11"/>
        <v>1</v>
      </c>
      <c r="AA219" s="484" t="str">
        <f>IF(R219="",IFERROR(VLOOKUP(AC219,'Reference Records'!G$413:J757,3,0),""),IFERROR(VLOOKUP(AC219,'Reference Records'!H$413:J757,2,0),""))</f>
        <v/>
      </c>
      <c r="AB219" s="484" t="s">
        <v>1339</v>
      </c>
      <c r="AC219" s="473" t="e">
        <f t="shared" si="12"/>
        <v>#N/A</v>
      </c>
      <c r="AD219" s="473" t="str">
        <f t="shared" si="13"/>
        <v/>
      </c>
      <c r="AE219" s="473" t="str">
        <f t="array" ref="AE219">IFERROR(IF(INDEX($W$155:$W$256, MATCH(0, IF(AD219=$E$155:$E$256, COUNTIF($AE$154:$AE218, $W$155:$W$256), ""), 0))=0,"",INDEX($W$155:$W$256, MATCH(0, IF(AD219=$E$155:$E$256, COUNTIF($AE$154:$AE218, $W$155:$W$256), ""), 0))),"")</f>
        <v/>
      </c>
      <c r="AF219" s="473" t="str">
        <f t="shared" si="14"/>
        <v>|empty|</v>
      </c>
      <c r="AG219" s="473" t="str">
        <f t="shared" si="15"/>
        <v>INT-211734</v>
      </c>
      <c r="AH219" s="473" t="e">
        <f t="shared" si="16"/>
        <v>#N/A</v>
      </c>
      <c r="AI219" s="473">
        <f>IF(COUNTIF($AH$155:AH320,"&lt;="&amp;AH219)=0,"",COUNTIF($AH$155:AH320,"&lt;="&amp;AH219))</f>
        <v>100</v>
      </c>
      <c r="AJ219" s="473">
        <f>RANK(AI219,AI$155:AI320,1)</f>
        <v>2</v>
      </c>
      <c r="AK219" s="473" t="e">
        <f>INDEX(E$155:E320,MATCH(ROWS(AJ$155:AJ219),AJ$155:AJ320,0))</f>
        <v>#N/A</v>
      </c>
      <c r="AL219" s="473" t="e">
        <f>INDEX(K$155:K320,MATCH(ROWS(AJ$155:AJ219),AJ$155:AJ320,0))</f>
        <v>#N/A</v>
      </c>
      <c r="AM219" s="473" t="e">
        <f>INDEX(V$155:V320,MATCH(ROWS(AJ$155:AJ219),AJ$155:AJ320,0))</f>
        <v>#N/A</v>
      </c>
      <c r="AN219" s="473" t="e">
        <f t="shared" si="17"/>
        <v>#N/A</v>
      </c>
      <c r="AO219" s="473" t="e">
        <f t="shared" si="18"/>
        <v>#N/A</v>
      </c>
      <c r="AP219" s="473"/>
      <c r="AQ219" s="485" t="s">
        <v>1340</v>
      </c>
      <c r="AR219" s="107"/>
    </row>
    <row r="220" spans="1:44" ht="47.15" customHeight="1" x14ac:dyDescent="0.35">
      <c r="A220" s="146">
        <v>65</v>
      </c>
      <c r="B220" s="475"/>
      <c r="C220" s="475"/>
      <c r="D220" s="148"/>
      <c r="E220" s="476" t="str">
        <f>IFERROR(IF(AND(K220="",T220=""),"",(VLOOKUP(Q220,'Reference records(soft deleted)'!$B$118:$D$162,3,FALSE))),"")</f>
        <v/>
      </c>
      <c r="F220" s="477"/>
      <c r="G220" s="477"/>
      <c r="H220" s="478" t="str">
        <f>IF(R220="",IFERROR(VLOOKUP(AC220,'Reference Records'!G$413:J758,4,0),""),IFERROR(VLOOKUP(AC220,'Reference Records'!H$413:J758,3,0),""))</f>
        <v/>
      </c>
      <c r="I220" s="478"/>
      <c r="J220" s="479"/>
      <c r="K220" s="476" t="str">
        <f>IFERROR(VLOOKUP(INDEX('Reference Records'!E$412:E759,MATCH(R220,'Reference Records'!F$412:F759,0),1),'Reference Records'!B$211:C722,2,0),"")</f>
        <v/>
      </c>
      <c r="L220" s="478" t="e">
        <f>VLOOKUP(U220&amp;K220,'Reference Records'!H$212:I723,2,0)</f>
        <v>#N/A</v>
      </c>
      <c r="M220" s="478" t="e">
        <f>MATCH($L220,'Reference Records'!$E$413:$E$618,0)+ROW(Population_by_intervention) -1</f>
        <v>#N/A</v>
      </c>
      <c r="N220" s="478" t="e">
        <f>MATCH($L220,'Reference Records'!$E$413:$E$618,1)+ROW(Population_by_intervention) -1</f>
        <v>#N/A</v>
      </c>
      <c r="O220" s="478" t="e">
        <f>INDEX('Reference Records'!K$212:K723,MATCH(L220,'Reference Records'!B$212:B723,0))</f>
        <v>#N/A</v>
      </c>
      <c r="P220" s="478"/>
      <c r="Q220" s="480"/>
      <c r="R220" s="481"/>
      <c r="S220" s="478" t="str">
        <f>IFERROR(VLOOKUP(INDEX('Reference Records'!J$412:J759,MATCH(R220,'Reference Records'!F$412:F759),1),'Reference Records'!B$211:C722,2,0),"")</f>
        <v/>
      </c>
      <c r="T220" s="479"/>
      <c r="U220" s="482" t="str">
        <f>IFERROR(IF(VLOOKUP(E220,'Reference Records'!$F$159:$N$210,9,FALSE)=0,"",VLOOKUP(E220,'Reference Records'!$F$159:$N$210,9,FALSE)),"")</f>
        <v/>
      </c>
      <c r="V220" s="476" t="str">
        <f>IF(IF(Language="French",G220,F220)=0,"",IF(Language="French",G220,F220))</f>
        <v/>
      </c>
      <c r="W220" s="483" t="str">
        <f t="shared" ref="W220:W255" si="19">K220&amp;T220</f>
        <v/>
      </c>
      <c r="X220" s="484" t="str">
        <f t="shared" ref="X220:X255" si="20">IFERROR(VLOOKUP(E220,$E$118:$H$150,4,FALSE),"")</f>
        <v>a1P3p000007oOIJEA2</v>
      </c>
      <c r="Y220" s="484" t="b">
        <f t="shared" ref="Y220:Y255" si="21">IFERROR(IF(OR(K220&lt;&gt;"",T220&lt;&gt;""),TRUE,FALSE),FALSE)</f>
        <v>0</v>
      </c>
      <c r="Z220" s="484" t="b">
        <f t="shared" ref="Z220:Z255" si="22">IFERROR(TRUE,FALSE)</f>
        <v>1</v>
      </c>
      <c r="AA220" s="484" t="str">
        <f>IF(R220="",IFERROR(VLOOKUP(AC220,'Reference Records'!G$413:J758,3,0),""),IFERROR(VLOOKUP(AC220,'Reference Records'!H$413:J758,2,0),""))</f>
        <v/>
      </c>
      <c r="AB220" s="484" t="s">
        <v>1341</v>
      </c>
      <c r="AC220" s="473" t="e">
        <f t="shared" ref="AC220:AC255" si="23">IF(R220="",L220&amp;"|"&amp;V220,L220&amp;"|"&amp;R220)</f>
        <v>#N/A</v>
      </c>
      <c r="AD220" s="473" t="str">
        <f t="shared" ref="AD220:AD255" si="24">E220</f>
        <v/>
      </c>
      <c r="AE220" s="473" t="str">
        <f t="array" ref="AE220">IFERROR(IF(INDEX($W$155:$W$256, MATCH(0, IF(AD220=$E$155:$E$256, COUNTIF($AE$154:$AE219, $W$155:$W$256), ""), 0))=0,"",INDEX($W$155:$W$256, MATCH(0, IF(AD220=$E$155:$E$256, COUNTIF($AE$154:$AE219, $W$155:$W$256), ""), 0))),"")</f>
        <v/>
      </c>
      <c r="AF220" s="473" t="str">
        <f t="shared" ref="AF220:AF255" si="25">IF(AND(E220&amp;J220="",AQ220&lt;&gt;""),"|empty|",E220&amp;V220&amp;K220&amp;T220)</f>
        <v>|empty|</v>
      </c>
      <c r="AG220" s="473" t="str">
        <f t="shared" ref="AG220:AG255" si="26">AQ220</f>
        <v>INT-211685</v>
      </c>
      <c r="AH220" s="473" t="e">
        <f t="shared" ref="AH220:AH255" si="27">X220&amp;AC220</f>
        <v>#N/A</v>
      </c>
      <c r="AI220" s="473">
        <f>IF(COUNTIF($AH$155:AH321,"&lt;="&amp;AH220)=0,"",COUNTIF($AH$155:AH321,"&lt;="&amp;AH220))</f>
        <v>100</v>
      </c>
      <c r="AJ220" s="473">
        <f>RANK(AI220,AI$155:AI321,1)</f>
        <v>2</v>
      </c>
      <c r="AK220" s="473" t="e">
        <f>INDEX(E$155:E321,MATCH(ROWS(AJ$155:AJ220),AJ$155:AJ321,0))</f>
        <v>#N/A</v>
      </c>
      <c r="AL220" s="473" t="e">
        <f>INDEX(K$155:K321,MATCH(ROWS(AJ$155:AJ220),AJ$155:AJ321,0))</f>
        <v>#N/A</v>
      </c>
      <c r="AM220" s="473" t="e">
        <f>INDEX(V$155:V321,MATCH(ROWS(AJ$155:AJ220),AJ$155:AJ321,0))</f>
        <v>#N/A</v>
      </c>
      <c r="AN220" s="473" t="e">
        <f t="shared" ref="AN220:AN255" si="28">AK220&amp;AL220</f>
        <v>#N/A</v>
      </c>
      <c r="AO220" s="473" t="e">
        <f t="shared" ref="AO220:AO255" si="29">L220</f>
        <v>#N/A</v>
      </c>
      <c r="AP220" s="473"/>
      <c r="AQ220" s="485" t="s">
        <v>1342</v>
      </c>
      <c r="AR220" s="107"/>
    </row>
    <row r="221" spans="1:44" ht="47.15" customHeight="1" x14ac:dyDescent="0.35">
      <c r="A221" s="146">
        <v>66</v>
      </c>
      <c r="B221" s="475"/>
      <c r="C221" s="475"/>
      <c r="D221" s="148"/>
      <c r="E221" s="476" t="str">
        <f>IFERROR(IF(AND(K221="",T221=""),"",(VLOOKUP(Q221,'Reference records(soft deleted)'!$B$118:$D$162,3,FALSE))),"")</f>
        <v/>
      </c>
      <c r="F221" s="477"/>
      <c r="G221" s="477"/>
      <c r="H221" s="478" t="str">
        <f>IF(R221="",IFERROR(VLOOKUP(AC221,'Reference Records'!G$413:J759,4,0),""),IFERROR(VLOOKUP(AC221,'Reference Records'!H$413:J759,3,0),""))</f>
        <v/>
      </c>
      <c r="I221" s="478"/>
      <c r="J221" s="479"/>
      <c r="K221" s="476" t="str">
        <f>IFERROR(VLOOKUP(INDEX('Reference Records'!E$412:E760,MATCH(R221,'Reference Records'!F$412:F760,0),1),'Reference Records'!B$211:C723,2,0),"")</f>
        <v/>
      </c>
      <c r="L221" s="478" t="e">
        <f>VLOOKUP(U221&amp;K221,'Reference Records'!H$212:I724,2,0)</f>
        <v>#N/A</v>
      </c>
      <c r="M221" s="478" t="e">
        <f>MATCH($L221,'Reference Records'!$E$413:$E$618,0)+ROW(Population_by_intervention) -1</f>
        <v>#N/A</v>
      </c>
      <c r="N221" s="478" t="e">
        <f>MATCH($L221,'Reference Records'!$E$413:$E$618,1)+ROW(Population_by_intervention) -1</f>
        <v>#N/A</v>
      </c>
      <c r="O221" s="478" t="e">
        <f>INDEX('Reference Records'!K$212:K724,MATCH(L221,'Reference Records'!B$212:B724,0))</f>
        <v>#N/A</v>
      </c>
      <c r="P221" s="478"/>
      <c r="Q221" s="480"/>
      <c r="R221" s="481"/>
      <c r="S221" s="478" t="str">
        <f>IFERROR(VLOOKUP(INDEX('Reference Records'!J$412:J760,MATCH(R221,'Reference Records'!F$412:F760),1),'Reference Records'!B$211:C723,2,0),"")</f>
        <v/>
      </c>
      <c r="T221" s="479"/>
      <c r="U221" s="482" t="str">
        <f>IFERROR(IF(VLOOKUP(E221,'Reference Records'!$F$159:$N$210,9,FALSE)=0,"",VLOOKUP(E221,'Reference Records'!$F$159:$N$210,9,FALSE)),"")</f>
        <v/>
      </c>
      <c r="V221" s="476" t="str">
        <f>IF(IF(Language="French",G221,F221)=0,"",IF(Language="French",G221,F221))</f>
        <v/>
      </c>
      <c r="W221" s="483" t="str">
        <f t="shared" si="19"/>
        <v/>
      </c>
      <c r="X221" s="484" t="str">
        <f t="shared" si="20"/>
        <v>a1P3p000007oOIJEA2</v>
      </c>
      <c r="Y221" s="484" t="b">
        <f t="shared" si="21"/>
        <v>0</v>
      </c>
      <c r="Z221" s="484" t="b">
        <f t="shared" si="22"/>
        <v>1</v>
      </c>
      <c r="AA221" s="484" t="str">
        <f>IF(R221="",IFERROR(VLOOKUP(AC221,'Reference Records'!G$413:J759,3,0),""),IFERROR(VLOOKUP(AC221,'Reference Records'!H$413:J759,2,0),""))</f>
        <v/>
      </c>
      <c r="AB221" s="484" t="s">
        <v>1343</v>
      </c>
      <c r="AC221" s="473" t="e">
        <f t="shared" si="23"/>
        <v>#N/A</v>
      </c>
      <c r="AD221" s="473" t="str">
        <f t="shared" si="24"/>
        <v/>
      </c>
      <c r="AE221" s="473" t="str">
        <f t="array" ref="AE221">IFERROR(IF(INDEX($W$155:$W$256, MATCH(0, IF(AD221=$E$155:$E$256, COUNTIF($AE$154:$AE220, $W$155:$W$256), ""), 0))=0,"",INDEX($W$155:$W$256, MATCH(0, IF(AD221=$E$155:$E$256, COUNTIF($AE$154:$AE220, $W$155:$W$256), ""), 0))),"")</f>
        <v/>
      </c>
      <c r="AF221" s="473" t="str">
        <f t="shared" si="25"/>
        <v>|empty|</v>
      </c>
      <c r="AG221" s="473" t="str">
        <f t="shared" si="26"/>
        <v>INT-211736</v>
      </c>
      <c r="AH221" s="473" t="e">
        <f t="shared" si="27"/>
        <v>#N/A</v>
      </c>
      <c r="AI221" s="473">
        <f>IF(COUNTIF($AH$155:AH322,"&lt;="&amp;AH221)=0,"",COUNTIF($AH$155:AH322,"&lt;="&amp;AH221))</f>
        <v>100</v>
      </c>
      <c r="AJ221" s="473">
        <f>RANK(AI221,AI$155:AI322,1)</f>
        <v>2</v>
      </c>
      <c r="AK221" s="473" t="e">
        <f>INDEX(E$155:E322,MATCH(ROWS(AJ$155:AJ221),AJ$155:AJ322,0))</f>
        <v>#N/A</v>
      </c>
      <c r="AL221" s="473" t="e">
        <f>INDEX(K$155:K322,MATCH(ROWS(AJ$155:AJ221),AJ$155:AJ322,0))</f>
        <v>#N/A</v>
      </c>
      <c r="AM221" s="473" t="e">
        <f>INDEX(V$155:V322,MATCH(ROWS(AJ$155:AJ221),AJ$155:AJ322,0))</f>
        <v>#N/A</v>
      </c>
      <c r="AN221" s="473" t="e">
        <f t="shared" si="28"/>
        <v>#N/A</v>
      </c>
      <c r="AO221" s="473" t="e">
        <f t="shared" si="29"/>
        <v>#N/A</v>
      </c>
      <c r="AP221" s="473"/>
      <c r="AQ221" s="485" t="s">
        <v>1344</v>
      </c>
      <c r="AR221" s="107"/>
    </row>
    <row r="222" spans="1:44" ht="47.15" customHeight="1" x14ac:dyDescent="0.35">
      <c r="A222" s="146">
        <v>67</v>
      </c>
      <c r="B222" s="475"/>
      <c r="C222" s="475"/>
      <c r="D222" s="148"/>
      <c r="E222" s="476" t="str">
        <f>IFERROR(IF(AND(K222="",T222=""),"",(VLOOKUP(Q222,'Reference records(soft deleted)'!$B$118:$D$162,3,FALSE))),"")</f>
        <v/>
      </c>
      <c r="F222" s="477"/>
      <c r="G222" s="477"/>
      <c r="H222" s="478" t="str">
        <f>IF(R222="",IFERROR(VLOOKUP(AC222,'Reference Records'!G$413:J760,4,0),""),IFERROR(VLOOKUP(AC222,'Reference Records'!H$413:J760,3,0),""))</f>
        <v/>
      </c>
      <c r="I222" s="478"/>
      <c r="J222" s="479"/>
      <c r="K222" s="476" t="str">
        <f>IFERROR(VLOOKUP(INDEX('Reference Records'!E$412:E761,MATCH(R222,'Reference Records'!F$412:F761,0),1),'Reference Records'!B$211:C724,2,0),"")</f>
        <v/>
      </c>
      <c r="L222" s="478" t="e">
        <f>VLOOKUP(U222&amp;K222,'Reference Records'!H$212:I725,2,0)</f>
        <v>#N/A</v>
      </c>
      <c r="M222" s="478" t="e">
        <f>MATCH($L222,'Reference Records'!$E$413:$E$618,0)+ROW(Population_by_intervention) -1</f>
        <v>#N/A</v>
      </c>
      <c r="N222" s="478" t="e">
        <f>MATCH($L222,'Reference Records'!$E$413:$E$618,1)+ROW(Population_by_intervention) -1</f>
        <v>#N/A</v>
      </c>
      <c r="O222" s="478" t="e">
        <f>INDEX('Reference Records'!K$212:K725,MATCH(L222,'Reference Records'!B$212:B725,0))</f>
        <v>#N/A</v>
      </c>
      <c r="P222" s="478"/>
      <c r="Q222" s="480"/>
      <c r="R222" s="481"/>
      <c r="S222" s="478" t="str">
        <f>IFERROR(VLOOKUP(INDEX('Reference Records'!J$412:J761,MATCH(R222,'Reference Records'!F$412:F761),1),'Reference Records'!B$211:C724,2,0),"")</f>
        <v/>
      </c>
      <c r="T222" s="479"/>
      <c r="U222" s="482" t="str">
        <f>IFERROR(IF(VLOOKUP(E222,'Reference Records'!$F$159:$N$210,9,FALSE)=0,"",VLOOKUP(E222,'Reference Records'!$F$159:$N$210,9,FALSE)),"")</f>
        <v/>
      </c>
      <c r="V222" s="476" t="str">
        <f>IF(IF(Language="French",G222,F222)=0,"",IF(Language="French",G222,F222))</f>
        <v/>
      </c>
      <c r="W222" s="483" t="str">
        <f t="shared" si="19"/>
        <v/>
      </c>
      <c r="X222" s="484" t="str">
        <f t="shared" si="20"/>
        <v>a1P3p000007oOIJEA2</v>
      </c>
      <c r="Y222" s="484" t="b">
        <f t="shared" si="21"/>
        <v>0</v>
      </c>
      <c r="Z222" s="484" t="b">
        <f t="shared" si="22"/>
        <v>1</v>
      </c>
      <c r="AA222" s="484" t="str">
        <f>IF(R222="",IFERROR(VLOOKUP(AC222,'Reference Records'!G$413:J760,3,0),""),IFERROR(VLOOKUP(AC222,'Reference Records'!H$413:J760,2,0),""))</f>
        <v/>
      </c>
      <c r="AB222" s="484" t="s">
        <v>1345</v>
      </c>
      <c r="AC222" s="473" t="e">
        <f t="shared" si="23"/>
        <v>#N/A</v>
      </c>
      <c r="AD222" s="473" t="str">
        <f t="shared" si="24"/>
        <v/>
      </c>
      <c r="AE222" s="473" t="str">
        <f t="array" ref="AE222">IFERROR(IF(INDEX($W$155:$W$256, MATCH(0, IF(AD222=$E$155:$E$256, COUNTIF($AE$154:$AE221, $W$155:$W$256), ""), 0))=0,"",INDEX($W$155:$W$256, MATCH(0, IF(AD222=$E$155:$E$256, COUNTIF($AE$154:$AE221, $W$155:$W$256), ""), 0))),"")</f>
        <v/>
      </c>
      <c r="AF222" s="473" t="str">
        <f t="shared" si="25"/>
        <v>|empty|</v>
      </c>
      <c r="AG222" s="473" t="str">
        <f t="shared" si="26"/>
        <v>INT-211686</v>
      </c>
      <c r="AH222" s="473" t="e">
        <f t="shared" si="27"/>
        <v>#N/A</v>
      </c>
      <c r="AI222" s="473">
        <f>IF(COUNTIF($AH$155:AH323,"&lt;="&amp;AH222)=0,"",COUNTIF($AH$155:AH323,"&lt;="&amp;AH222))</f>
        <v>100</v>
      </c>
      <c r="AJ222" s="473">
        <f>RANK(AI222,AI$155:AI323,1)</f>
        <v>2</v>
      </c>
      <c r="AK222" s="473" t="e">
        <f>INDEX(E$155:E323,MATCH(ROWS(AJ$155:AJ222),AJ$155:AJ323,0))</f>
        <v>#N/A</v>
      </c>
      <c r="AL222" s="473" t="e">
        <f>INDEX(K$155:K323,MATCH(ROWS(AJ$155:AJ222),AJ$155:AJ323,0))</f>
        <v>#N/A</v>
      </c>
      <c r="AM222" s="473" t="e">
        <f>INDEX(V$155:V323,MATCH(ROWS(AJ$155:AJ222),AJ$155:AJ323,0))</f>
        <v>#N/A</v>
      </c>
      <c r="AN222" s="473" t="e">
        <f t="shared" si="28"/>
        <v>#N/A</v>
      </c>
      <c r="AO222" s="473" t="e">
        <f t="shared" si="29"/>
        <v>#N/A</v>
      </c>
      <c r="AP222" s="473"/>
      <c r="AQ222" s="485" t="s">
        <v>1346</v>
      </c>
      <c r="AR222" s="107"/>
    </row>
    <row r="223" spans="1:44" ht="47.15" customHeight="1" x14ac:dyDescent="0.35">
      <c r="A223" s="146">
        <v>68</v>
      </c>
      <c r="B223" s="475"/>
      <c r="C223" s="475"/>
      <c r="D223" s="148"/>
      <c r="E223" s="476" t="str">
        <f>IFERROR(IF(AND(K223="",T223=""),"",(VLOOKUP(Q223,'Reference records(soft deleted)'!$B$118:$D$162,3,FALSE))),"")</f>
        <v/>
      </c>
      <c r="F223" s="477"/>
      <c r="G223" s="477"/>
      <c r="H223" s="478" t="str">
        <f>IF(R223="",IFERROR(VLOOKUP(AC223,'Reference Records'!G$413:J761,4,0),""),IFERROR(VLOOKUP(AC223,'Reference Records'!H$413:J761,3,0),""))</f>
        <v/>
      </c>
      <c r="I223" s="478"/>
      <c r="J223" s="479"/>
      <c r="K223" s="476" t="str">
        <f>IFERROR(VLOOKUP(INDEX('Reference Records'!E$412:E762,MATCH(R223,'Reference Records'!F$412:F762,0),1),'Reference Records'!B$211:C725,2,0),"")</f>
        <v/>
      </c>
      <c r="L223" s="478" t="e">
        <f>VLOOKUP(U223&amp;K223,'Reference Records'!H$212:I726,2,0)</f>
        <v>#N/A</v>
      </c>
      <c r="M223" s="478" t="e">
        <f>MATCH($L223,'Reference Records'!$E$413:$E$618,0)+ROW(Population_by_intervention) -1</f>
        <v>#N/A</v>
      </c>
      <c r="N223" s="478" t="e">
        <f>MATCH($L223,'Reference Records'!$E$413:$E$618,1)+ROW(Population_by_intervention) -1</f>
        <v>#N/A</v>
      </c>
      <c r="O223" s="478" t="e">
        <f>INDEX('Reference Records'!K$212:K726,MATCH(L223,'Reference Records'!B$212:B726,0))</f>
        <v>#N/A</v>
      </c>
      <c r="P223" s="478"/>
      <c r="Q223" s="480"/>
      <c r="R223" s="481"/>
      <c r="S223" s="478" t="str">
        <f>IFERROR(VLOOKUP(INDEX('Reference Records'!J$412:J762,MATCH(R223,'Reference Records'!F$412:F762),1),'Reference Records'!B$211:C725,2,0),"")</f>
        <v/>
      </c>
      <c r="T223" s="479"/>
      <c r="U223" s="482" t="str">
        <f>IFERROR(IF(VLOOKUP(E223,'Reference Records'!$F$159:$N$210,9,FALSE)=0,"",VLOOKUP(E223,'Reference Records'!$F$159:$N$210,9,FALSE)),"")</f>
        <v/>
      </c>
      <c r="V223" s="476" t="str">
        <f>IF(IF(Language="French",G223,F223)=0,"",IF(Language="French",G223,F223))</f>
        <v/>
      </c>
      <c r="W223" s="483" t="str">
        <f t="shared" si="19"/>
        <v/>
      </c>
      <c r="X223" s="484" t="str">
        <f t="shared" si="20"/>
        <v>a1P3p000007oOIJEA2</v>
      </c>
      <c r="Y223" s="484" t="b">
        <f t="shared" si="21"/>
        <v>0</v>
      </c>
      <c r="Z223" s="484" t="b">
        <f t="shared" si="22"/>
        <v>1</v>
      </c>
      <c r="AA223" s="484" t="str">
        <f>IF(R223="",IFERROR(VLOOKUP(AC223,'Reference Records'!G$413:J761,3,0),""),IFERROR(VLOOKUP(AC223,'Reference Records'!H$413:J761,2,0),""))</f>
        <v/>
      </c>
      <c r="AB223" s="484" t="s">
        <v>1347</v>
      </c>
      <c r="AC223" s="473" t="e">
        <f t="shared" si="23"/>
        <v>#N/A</v>
      </c>
      <c r="AD223" s="473" t="str">
        <f t="shared" si="24"/>
        <v/>
      </c>
      <c r="AE223" s="473" t="str">
        <f t="array" ref="AE223">IFERROR(IF(INDEX($W$155:$W$256, MATCH(0, IF(AD223=$E$155:$E$256, COUNTIF($AE$154:$AE222, $W$155:$W$256), ""), 0))=0,"",INDEX($W$155:$W$256, MATCH(0, IF(AD223=$E$155:$E$256, COUNTIF($AE$154:$AE222, $W$155:$W$256), ""), 0))),"")</f>
        <v/>
      </c>
      <c r="AF223" s="473" t="str">
        <f t="shared" si="25"/>
        <v>|empty|</v>
      </c>
      <c r="AG223" s="473" t="str">
        <f t="shared" si="26"/>
        <v>INT-211737</v>
      </c>
      <c r="AH223" s="473" t="e">
        <f t="shared" si="27"/>
        <v>#N/A</v>
      </c>
      <c r="AI223" s="473">
        <f>IF(COUNTIF($AH$155:AH324,"&lt;="&amp;AH223)=0,"",COUNTIF($AH$155:AH324,"&lt;="&amp;AH223))</f>
        <v>100</v>
      </c>
      <c r="AJ223" s="473">
        <f>RANK(AI223,AI$155:AI324,1)</f>
        <v>2</v>
      </c>
      <c r="AK223" s="473" t="e">
        <f>INDEX(E$155:E324,MATCH(ROWS(AJ$155:AJ223),AJ$155:AJ324,0))</f>
        <v>#N/A</v>
      </c>
      <c r="AL223" s="473" t="e">
        <f>INDEX(K$155:K324,MATCH(ROWS(AJ$155:AJ223),AJ$155:AJ324,0))</f>
        <v>#N/A</v>
      </c>
      <c r="AM223" s="473" t="e">
        <f>INDEX(V$155:V324,MATCH(ROWS(AJ$155:AJ223),AJ$155:AJ324,0))</f>
        <v>#N/A</v>
      </c>
      <c r="AN223" s="473" t="e">
        <f t="shared" si="28"/>
        <v>#N/A</v>
      </c>
      <c r="AO223" s="473" t="e">
        <f t="shared" si="29"/>
        <v>#N/A</v>
      </c>
      <c r="AP223" s="473"/>
      <c r="AQ223" s="485" t="s">
        <v>1348</v>
      </c>
      <c r="AR223" s="107"/>
    </row>
    <row r="224" spans="1:44" ht="47.15" customHeight="1" x14ac:dyDescent="0.35">
      <c r="A224" s="146">
        <v>69</v>
      </c>
      <c r="B224" s="475"/>
      <c r="C224" s="475"/>
      <c r="D224" s="148"/>
      <c r="E224" s="476" t="str">
        <f>IFERROR(IF(AND(K224="",T224=""),"",(VLOOKUP(Q224,'Reference records(soft deleted)'!$B$118:$D$162,3,FALSE))),"")</f>
        <v/>
      </c>
      <c r="F224" s="477"/>
      <c r="G224" s="477"/>
      <c r="H224" s="478" t="str">
        <f>IF(R224="",IFERROR(VLOOKUP(AC224,'Reference Records'!G$413:J762,4,0),""),IFERROR(VLOOKUP(AC224,'Reference Records'!H$413:J762,3,0),""))</f>
        <v/>
      </c>
      <c r="I224" s="478"/>
      <c r="J224" s="479"/>
      <c r="K224" s="476" t="str">
        <f>IFERROR(VLOOKUP(INDEX('Reference Records'!E$412:E763,MATCH(R224,'Reference Records'!F$412:F763,0),1),'Reference Records'!B$211:C726,2,0),"")</f>
        <v/>
      </c>
      <c r="L224" s="478" t="e">
        <f>VLOOKUP(U224&amp;K224,'Reference Records'!H$212:I727,2,0)</f>
        <v>#N/A</v>
      </c>
      <c r="M224" s="478" t="e">
        <f>MATCH($L224,'Reference Records'!$E$413:$E$618,0)+ROW(Population_by_intervention) -1</f>
        <v>#N/A</v>
      </c>
      <c r="N224" s="478" t="e">
        <f>MATCH($L224,'Reference Records'!$E$413:$E$618,1)+ROW(Population_by_intervention) -1</f>
        <v>#N/A</v>
      </c>
      <c r="O224" s="478" t="e">
        <f>INDEX('Reference Records'!K$212:K727,MATCH(L224,'Reference Records'!B$212:B727,0))</f>
        <v>#N/A</v>
      </c>
      <c r="P224" s="478"/>
      <c r="Q224" s="480"/>
      <c r="R224" s="481"/>
      <c r="S224" s="478" t="str">
        <f>IFERROR(VLOOKUP(INDEX('Reference Records'!J$412:J763,MATCH(R224,'Reference Records'!F$412:F763),1),'Reference Records'!B$211:C726,2,0),"")</f>
        <v/>
      </c>
      <c r="T224" s="479"/>
      <c r="U224" s="482" t="str">
        <f>IFERROR(IF(VLOOKUP(E224,'Reference Records'!$F$159:$N$210,9,FALSE)=0,"",VLOOKUP(E224,'Reference Records'!$F$159:$N$210,9,FALSE)),"")</f>
        <v/>
      </c>
      <c r="V224" s="476" t="str">
        <f>IF(IF(Language="French",G224,F224)=0,"",IF(Language="French",G224,F224))</f>
        <v/>
      </c>
      <c r="W224" s="483" t="str">
        <f t="shared" si="19"/>
        <v/>
      </c>
      <c r="X224" s="484" t="str">
        <f t="shared" si="20"/>
        <v>a1P3p000007oOIJEA2</v>
      </c>
      <c r="Y224" s="484" t="b">
        <f t="shared" si="21"/>
        <v>0</v>
      </c>
      <c r="Z224" s="484" t="b">
        <f t="shared" si="22"/>
        <v>1</v>
      </c>
      <c r="AA224" s="484" t="str">
        <f>IF(R224="",IFERROR(VLOOKUP(AC224,'Reference Records'!G$413:J762,3,0),""),IFERROR(VLOOKUP(AC224,'Reference Records'!H$413:J762,2,0),""))</f>
        <v/>
      </c>
      <c r="AB224" s="484" t="s">
        <v>1349</v>
      </c>
      <c r="AC224" s="473" t="e">
        <f t="shared" si="23"/>
        <v>#N/A</v>
      </c>
      <c r="AD224" s="473" t="str">
        <f t="shared" si="24"/>
        <v/>
      </c>
      <c r="AE224" s="473" t="str">
        <f t="array" ref="AE224">IFERROR(IF(INDEX($W$155:$W$256, MATCH(0, IF(AD224=$E$155:$E$256, COUNTIF($AE$154:$AE223, $W$155:$W$256), ""), 0))=0,"",INDEX($W$155:$W$256, MATCH(0, IF(AD224=$E$155:$E$256, COUNTIF($AE$154:$AE223, $W$155:$W$256), ""), 0))),"")</f>
        <v/>
      </c>
      <c r="AF224" s="473" t="str">
        <f t="shared" si="25"/>
        <v>|empty|</v>
      </c>
      <c r="AG224" s="473" t="str">
        <f t="shared" si="26"/>
        <v>INT-211687</v>
      </c>
      <c r="AH224" s="473" t="e">
        <f t="shared" si="27"/>
        <v>#N/A</v>
      </c>
      <c r="AI224" s="473">
        <f>IF(COUNTIF($AH$155:AH325,"&lt;="&amp;AH224)=0,"",COUNTIF($AH$155:AH325,"&lt;="&amp;AH224))</f>
        <v>100</v>
      </c>
      <c r="AJ224" s="473">
        <f>RANK(AI224,AI$155:AI325,1)</f>
        <v>2</v>
      </c>
      <c r="AK224" s="473" t="e">
        <f>INDEX(E$155:E325,MATCH(ROWS(AJ$155:AJ224),AJ$155:AJ325,0))</f>
        <v>#N/A</v>
      </c>
      <c r="AL224" s="473" t="e">
        <f>INDEX(K$155:K325,MATCH(ROWS(AJ$155:AJ224),AJ$155:AJ325,0))</f>
        <v>#N/A</v>
      </c>
      <c r="AM224" s="473" t="e">
        <f>INDEX(V$155:V325,MATCH(ROWS(AJ$155:AJ224),AJ$155:AJ325,0))</f>
        <v>#N/A</v>
      </c>
      <c r="AN224" s="473" t="e">
        <f t="shared" si="28"/>
        <v>#N/A</v>
      </c>
      <c r="AO224" s="473" t="e">
        <f t="shared" si="29"/>
        <v>#N/A</v>
      </c>
      <c r="AP224" s="473"/>
      <c r="AQ224" s="485" t="s">
        <v>1350</v>
      </c>
      <c r="AR224" s="107"/>
    </row>
    <row r="225" spans="1:44" ht="47.15" customHeight="1" x14ac:dyDescent="0.35">
      <c r="A225" s="146">
        <v>70</v>
      </c>
      <c r="B225" s="475"/>
      <c r="C225" s="475"/>
      <c r="D225" s="148"/>
      <c r="E225" s="476" t="str">
        <f>IFERROR(IF(AND(K225="",T225=""),"",(VLOOKUP(Q225,'Reference records(soft deleted)'!$B$118:$D$162,3,FALSE))),"")</f>
        <v/>
      </c>
      <c r="F225" s="477"/>
      <c r="G225" s="477"/>
      <c r="H225" s="478" t="str">
        <f>IF(R225="",IFERROR(VLOOKUP(AC225,'Reference Records'!G$413:J763,4,0),""),IFERROR(VLOOKUP(AC225,'Reference Records'!H$413:J763,3,0),""))</f>
        <v/>
      </c>
      <c r="I225" s="478"/>
      <c r="J225" s="479"/>
      <c r="K225" s="476" t="str">
        <f>IFERROR(VLOOKUP(INDEX('Reference Records'!E$412:E764,MATCH(R225,'Reference Records'!F$412:F764,0),1),'Reference Records'!B$211:C727,2,0),"")</f>
        <v/>
      </c>
      <c r="L225" s="478" t="e">
        <f>VLOOKUP(U225&amp;K225,'Reference Records'!H$212:I728,2,0)</f>
        <v>#N/A</v>
      </c>
      <c r="M225" s="478" t="e">
        <f>MATCH($L225,'Reference Records'!$E$413:$E$618,0)+ROW(Population_by_intervention) -1</f>
        <v>#N/A</v>
      </c>
      <c r="N225" s="478" t="e">
        <f>MATCH($L225,'Reference Records'!$E$413:$E$618,1)+ROW(Population_by_intervention) -1</f>
        <v>#N/A</v>
      </c>
      <c r="O225" s="478" t="e">
        <f>INDEX('Reference Records'!K$212:K728,MATCH(L225,'Reference Records'!B$212:B728,0))</f>
        <v>#N/A</v>
      </c>
      <c r="P225" s="478"/>
      <c r="Q225" s="480"/>
      <c r="R225" s="481"/>
      <c r="S225" s="478" t="str">
        <f>IFERROR(VLOOKUP(INDEX('Reference Records'!J$412:J764,MATCH(R225,'Reference Records'!F$412:F764),1),'Reference Records'!B$211:C727,2,0),"")</f>
        <v/>
      </c>
      <c r="T225" s="479"/>
      <c r="U225" s="482" t="str">
        <f>IFERROR(IF(VLOOKUP(E225,'Reference Records'!$F$159:$N$210,9,FALSE)=0,"",VLOOKUP(E225,'Reference Records'!$F$159:$N$210,9,FALSE)),"")</f>
        <v/>
      </c>
      <c r="V225" s="476" t="str">
        <f>IF(IF(Language="French",G225,F225)=0,"",IF(Language="French",G225,F225))</f>
        <v/>
      </c>
      <c r="W225" s="483" t="str">
        <f t="shared" si="19"/>
        <v/>
      </c>
      <c r="X225" s="484" t="str">
        <f t="shared" si="20"/>
        <v>a1P3p000007oOIJEA2</v>
      </c>
      <c r="Y225" s="484" t="b">
        <f t="shared" si="21"/>
        <v>0</v>
      </c>
      <c r="Z225" s="484" t="b">
        <f t="shared" si="22"/>
        <v>1</v>
      </c>
      <c r="AA225" s="484" t="str">
        <f>IF(R225="",IFERROR(VLOOKUP(AC225,'Reference Records'!G$413:J763,3,0),""),IFERROR(VLOOKUP(AC225,'Reference Records'!H$413:J763,2,0),""))</f>
        <v/>
      </c>
      <c r="AB225" s="484" t="s">
        <v>1351</v>
      </c>
      <c r="AC225" s="473" t="e">
        <f t="shared" si="23"/>
        <v>#N/A</v>
      </c>
      <c r="AD225" s="473" t="str">
        <f t="shared" si="24"/>
        <v/>
      </c>
      <c r="AE225" s="473" t="str">
        <f t="array" ref="AE225">IFERROR(IF(INDEX($W$155:$W$256, MATCH(0, IF(AD225=$E$155:$E$256, COUNTIF($AE$154:$AE224, $W$155:$W$256), ""), 0))=0,"",INDEX($W$155:$W$256, MATCH(0, IF(AD225=$E$155:$E$256, COUNTIF($AE$154:$AE224, $W$155:$W$256), ""), 0))),"")</f>
        <v/>
      </c>
      <c r="AF225" s="473" t="str">
        <f t="shared" si="25"/>
        <v>|empty|</v>
      </c>
      <c r="AG225" s="473" t="str">
        <f t="shared" si="26"/>
        <v>INT-211738</v>
      </c>
      <c r="AH225" s="473" t="e">
        <f t="shared" si="27"/>
        <v>#N/A</v>
      </c>
      <c r="AI225" s="473">
        <f>IF(COUNTIF($AH$155:AH326,"&lt;="&amp;AH225)=0,"",COUNTIF($AH$155:AH326,"&lt;="&amp;AH225))</f>
        <v>100</v>
      </c>
      <c r="AJ225" s="473">
        <f>RANK(AI225,AI$155:AI326,1)</f>
        <v>2</v>
      </c>
      <c r="AK225" s="473" t="e">
        <f>INDEX(E$155:E326,MATCH(ROWS(AJ$155:AJ225),AJ$155:AJ326,0))</f>
        <v>#N/A</v>
      </c>
      <c r="AL225" s="473" t="e">
        <f>INDEX(K$155:K326,MATCH(ROWS(AJ$155:AJ225),AJ$155:AJ326,0))</f>
        <v>#N/A</v>
      </c>
      <c r="AM225" s="473" t="e">
        <f>INDEX(V$155:V326,MATCH(ROWS(AJ$155:AJ225),AJ$155:AJ326,0))</f>
        <v>#N/A</v>
      </c>
      <c r="AN225" s="473" t="e">
        <f t="shared" si="28"/>
        <v>#N/A</v>
      </c>
      <c r="AO225" s="473" t="e">
        <f t="shared" si="29"/>
        <v>#N/A</v>
      </c>
      <c r="AP225" s="473"/>
      <c r="AQ225" s="485" t="s">
        <v>1352</v>
      </c>
      <c r="AR225" s="107"/>
    </row>
    <row r="226" spans="1:44" ht="47.15" customHeight="1" x14ac:dyDescent="0.35">
      <c r="A226" s="146">
        <v>71</v>
      </c>
      <c r="B226" s="475"/>
      <c r="C226" s="475"/>
      <c r="D226" s="148"/>
      <c r="E226" s="476" t="str">
        <f>IFERROR(IF(AND(K226="",T226=""),"",(VLOOKUP(Q226,'Reference records(soft deleted)'!$B$118:$D$162,3,FALSE))),"")</f>
        <v/>
      </c>
      <c r="F226" s="477"/>
      <c r="G226" s="477"/>
      <c r="H226" s="478" t="str">
        <f>IF(R226="",IFERROR(VLOOKUP(AC226,'Reference Records'!G$413:J764,4,0),""),IFERROR(VLOOKUP(AC226,'Reference Records'!H$413:J764,3,0),""))</f>
        <v/>
      </c>
      <c r="I226" s="478"/>
      <c r="J226" s="479"/>
      <c r="K226" s="476" t="str">
        <f>IFERROR(VLOOKUP(INDEX('Reference Records'!E$412:E765,MATCH(R226,'Reference Records'!F$412:F765,0),1),'Reference Records'!B$211:C728,2,0),"")</f>
        <v/>
      </c>
      <c r="L226" s="478" t="e">
        <f>VLOOKUP(U226&amp;K226,'Reference Records'!H$212:I729,2,0)</f>
        <v>#N/A</v>
      </c>
      <c r="M226" s="478" t="e">
        <f>MATCH($L226,'Reference Records'!$E$413:$E$618,0)+ROW(Population_by_intervention) -1</f>
        <v>#N/A</v>
      </c>
      <c r="N226" s="478" t="e">
        <f>MATCH($L226,'Reference Records'!$E$413:$E$618,1)+ROW(Population_by_intervention) -1</f>
        <v>#N/A</v>
      </c>
      <c r="O226" s="478" t="e">
        <f>INDEX('Reference Records'!K$212:K729,MATCH(L226,'Reference Records'!B$212:B729,0))</f>
        <v>#N/A</v>
      </c>
      <c r="P226" s="478"/>
      <c r="Q226" s="480"/>
      <c r="R226" s="481"/>
      <c r="S226" s="478" t="str">
        <f>IFERROR(VLOOKUP(INDEX('Reference Records'!J$412:J765,MATCH(R226,'Reference Records'!F$412:F765),1),'Reference Records'!B$211:C728,2,0),"")</f>
        <v/>
      </c>
      <c r="T226" s="479"/>
      <c r="U226" s="482" t="str">
        <f>IFERROR(IF(VLOOKUP(E226,'Reference Records'!$F$159:$N$210,9,FALSE)=0,"",VLOOKUP(E226,'Reference Records'!$F$159:$N$210,9,FALSE)),"")</f>
        <v/>
      </c>
      <c r="V226" s="476" t="str">
        <f>IF(IF(Language="French",G226,F226)=0,"",IF(Language="French",G226,F226))</f>
        <v/>
      </c>
      <c r="W226" s="483" t="str">
        <f t="shared" si="19"/>
        <v/>
      </c>
      <c r="X226" s="484" t="str">
        <f t="shared" si="20"/>
        <v>a1P3p000007oOIJEA2</v>
      </c>
      <c r="Y226" s="484" t="b">
        <f t="shared" si="21"/>
        <v>0</v>
      </c>
      <c r="Z226" s="484" t="b">
        <f t="shared" si="22"/>
        <v>1</v>
      </c>
      <c r="AA226" s="484" t="str">
        <f>IF(R226="",IFERROR(VLOOKUP(AC226,'Reference Records'!G$413:J764,3,0),""),IFERROR(VLOOKUP(AC226,'Reference Records'!H$413:J764,2,0),""))</f>
        <v/>
      </c>
      <c r="AB226" s="484" t="s">
        <v>1353</v>
      </c>
      <c r="AC226" s="473" t="e">
        <f t="shared" si="23"/>
        <v>#N/A</v>
      </c>
      <c r="AD226" s="473" t="str">
        <f t="shared" si="24"/>
        <v/>
      </c>
      <c r="AE226" s="473" t="str">
        <f t="array" ref="AE226">IFERROR(IF(INDEX($W$155:$W$256, MATCH(0, IF(AD226=$E$155:$E$256, COUNTIF($AE$154:$AE225, $W$155:$W$256), ""), 0))=0,"",INDEX($W$155:$W$256, MATCH(0, IF(AD226=$E$155:$E$256, COUNTIF($AE$154:$AE225, $W$155:$W$256), ""), 0))),"")</f>
        <v/>
      </c>
      <c r="AF226" s="473" t="str">
        <f t="shared" si="25"/>
        <v>|empty|</v>
      </c>
      <c r="AG226" s="473" t="str">
        <f t="shared" si="26"/>
        <v>INT-211688</v>
      </c>
      <c r="AH226" s="473" t="e">
        <f t="shared" si="27"/>
        <v>#N/A</v>
      </c>
      <c r="AI226" s="473">
        <f>IF(COUNTIF($AH$155:AH327,"&lt;="&amp;AH226)=0,"",COUNTIF($AH$155:AH327,"&lt;="&amp;AH226))</f>
        <v>100</v>
      </c>
      <c r="AJ226" s="473">
        <f>RANK(AI226,AI$155:AI327,1)</f>
        <v>2</v>
      </c>
      <c r="AK226" s="473" t="e">
        <f>INDEX(E$155:E327,MATCH(ROWS(AJ$155:AJ226),AJ$155:AJ327,0))</f>
        <v>#N/A</v>
      </c>
      <c r="AL226" s="473" t="e">
        <f>INDEX(K$155:K327,MATCH(ROWS(AJ$155:AJ226),AJ$155:AJ327,0))</f>
        <v>#N/A</v>
      </c>
      <c r="AM226" s="473" t="e">
        <f>INDEX(V$155:V327,MATCH(ROWS(AJ$155:AJ226),AJ$155:AJ327,0))</f>
        <v>#N/A</v>
      </c>
      <c r="AN226" s="473" t="e">
        <f t="shared" si="28"/>
        <v>#N/A</v>
      </c>
      <c r="AO226" s="473" t="e">
        <f t="shared" si="29"/>
        <v>#N/A</v>
      </c>
      <c r="AP226" s="473"/>
      <c r="AQ226" s="485" t="s">
        <v>1354</v>
      </c>
      <c r="AR226" s="107"/>
    </row>
    <row r="227" spans="1:44" ht="47.15" customHeight="1" x14ac:dyDescent="0.35">
      <c r="A227" s="146">
        <v>72</v>
      </c>
      <c r="B227" s="475"/>
      <c r="C227" s="475"/>
      <c r="D227" s="148"/>
      <c r="E227" s="476" t="str">
        <f>IFERROR(IF(AND(K227="",T227=""),"",(VLOOKUP(Q227,'Reference records(soft deleted)'!$B$118:$D$162,3,FALSE))),"")</f>
        <v/>
      </c>
      <c r="F227" s="477"/>
      <c r="G227" s="477"/>
      <c r="H227" s="478" t="str">
        <f>IF(R227="",IFERROR(VLOOKUP(AC227,'Reference Records'!G$413:J765,4,0),""),IFERROR(VLOOKUP(AC227,'Reference Records'!H$413:J765,3,0),""))</f>
        <v/>
      </c>
      <c r="I227" s="478"/>
      <c r="J227" s="479"/>
      <c r="K227" s="476" t="str">
        <f>IFERROR(VLOOKUP(INDEX('Reference Records'!E$412:E766,MATCH(R227,'Reference Records'!F$412:F766,0),1),'Reference Records'!B$211:C729,2,0),"")</f>
        <v/>
      </c>
      <c r="L227" s="478" t="e">
        <f>VLOOKUP(U227&amp;K227,'Reference Records'!H$212:I730,2,0)</f>
        <v>#N/A</v>
      </c>
      <c r="M227" s="478" t="e">
        <f>MATCH($L227,'Reference Records'!$E$413:$E$618,0)+ROW(Population_by_intervention) -1</f>
        <v>#N/A</v>
      </c>
      <c r="N227" s="478" t="e">
        <f>MATCH($L227,'Reference Records'!$E$413:$E$618,1)+ROW(Population_by_intervention) -1</f>
        <v>#N/A</v>
      </c>
      <c r="O227" s="478" t="e">
        <f>INDEX('Reference Records'!K$212:K730,MATCH(L227,'Reference Records'!B$212:B730,0))</f>
        <v>#N/A</v>
      </c>
      <c r="P227" s="478"/>
      <c r="Q227" s="480"/>
      <c r="R227" s="481"/>
      <c r="S227" s="478" t="str">
        <f>IFERROR(VLOOKUP(INDEX('Reference Records'!J$412:J766,MATCH(R227,'Reference Records'!F$412:F766),1),'Reference Records'!B$211:C729,2,0),"")</f>
        <v/>
      </c>
      <c r="T227" s="479"/>
      <c r="U227" s="482" t="str">
        <f>IFERROR(IF(VLOOKUP(E227,'Reference Records'!$F$159:$N$210,9,FALSE)=0,"",VLOOKUP(E227,'Reference Records'!$F$159:$N$210,9,FALSE)),"")</f>
        <v/>
      </c>
      <c r="V227" s="476" t="str">
        <f>IF(IF(Language="French",G227,F227)=0,"",IF(Language="French",G227,F227))</f>
        <v/>
      </c>
      <c r="W227" s="483" t="str">
        <f t="shared" si="19"/>
        <v/>
      </c>
      <c r="X227" s="484" t="str">
        <f t="shared" si="20"/>
        <v>a1P3p000007oOIJEA2</v>
      </c>
      <c r="Y227" s="484" t="b">
        <f t="shared" si="21"/>
        <v>0</v>
      </c>
      <c r="Z227" s="484" t="b">
        <f t="shared" si="22"/>
        <v>1</v>
      </c>
      <c r="AA227" s="484" t="str">
        <f>IF(R227="",IFERROR(VLOOKUP(AC227,'Reference Records'!G$413:J765,3,0),""),IFERROR(VLOOKUP(AC227,'Reference Records'!H$413:J765,2,0),""))</f>
        <v/>
      </c>
      <c r="AB227" s="484" t="s">
        <v>1355</v>
      </c>
      <c r="AC227" s="473" t="e">
        <f t="shared" si="23"/>
        <v>#N/A</v>
      </c>
      <c r="AD227" s="473" t="str">
        <f t="shared" si="24"/>
        <v/>
      </c>
      <c r="AE227" s="473" t="str">
        <f t="array" ref="AE227">IFERROR(IF(INDEX($W$155:$W$256, MATCH(0, IF(AD227=$E$155:$E$256, COUNTIF($AE$154:$AE226, $W$155:$W$256), ""), 0))=0,"",INDEX($W$155:$W$256, MATCH(0, IF(AD227=$E$155:$E$256, COUNTIF($AE$154:$AE226, $W$155:$W$256), ""), 0))),"")</f>
        <v/>
      </c>
      <c r="AF227" s="473" t="str">
        <f t="shared" si="25"/>
        <v>|empty|</v>
      </c>
      <c r="AG227" s="473" t="str">
        <f t="shared" si="26"/>
        <v>INT-211735</v>
      </c>
      <c r="AH227" s="473" t="e">
        <f t="shared" si="27"/>
        <v>#N/A</v>
      </c>
      <c r="AI227" s="473">
        <f>IF(COUNTIF($AH$155:AH328,"&lt;="&amp;AH227)=0,"",COUNTIF($AH$155:AH328,"&lt;="&amp;AH227))</f>
        <v>100</v>
      </c>
      <c r="AJ227" s="473">
        <f>RANK(AI227,AI$155:AI328,1)</f>
        <v>2</v>
      </c>
      <c r="AK227" s="473" t="e">
        <f>INDEX(E$155:E328,MATCH(ROWS(AJ$155:AJ227),AJ$155:AJ328,0))</f>
        <v>#N/A</v>
      </c>
      <c r="AL227" s="473" t="e">
        <f>INDEX(K$155:K328,MATCH(ROWS(AJ$155:AJ227),AJ$155:AJ328,0))</f>
        <v>#N/A</v>
      </c>
      <c r="AM227" s="473" t="e">
        <f>INDEX(V$155:V328,MATCH(ROWS(AJ$155:AJ227),AJ$155:AJ328,0))</f>
        <v>#N/A</v>
      </c>
      <c r="AN227" s="473" t="e">
        <f t="shared" si="28"/>
        <v>#N/A</v>
      </c>
      <c r="AO227" s="473" t="e">
        <f t="shared" si="29"/>
        <v>#N/A</v>
      </c>
      <c r="AP227" s="473"/>
      <c r="AQ227" s="485" t="s">
        <v>1356</v>
      </c>
      <c r="AR227" s="107"/>
    </row>
    <row r="228" spans="1:44" ht="47.15" customHeight="1" x14ac:dyDescent="0.35">
      <c r="A228" s="146">
        <v>73</v>
      </c>
      <c r="B228" s="475"/>
      <c r="C228" s="475"/>
      <c r="D228" s="148"/>
      <c r="E228" s="476" t="str">
        <f>IFERROR(IF(AND(K228="",T228=""),"",(VLOOKUP(Q228,'Reference records(soft deleted)'!$B$118:$D$162,3,FALSE))),"")</f>
        <v/>
      </c>
      <c r="F228" s="477"/>
      <c r="G228" s="477"/>
      <c r="H228" s="478" t="str">
        <f>IF(R228="",IFERROR(VLOOKUP(AC228,'Reference Records'!G$413:J766,4,0),""),IFERROR(VLOOKUP(AC228,'Reference Records'!H$413:J766,3,0),""))</f>
        <v/>
      </c>
      <c r="I228" s="478"/>
      <c r="J228" s="479"/>
      <c r="K228" s="476" t="str">
        <f>IFERROR(VLOOKUP(INDEX('Reference Records'!E$412:E767,MATCH(R228,'Reference Records'!F$412:F767,0),1),'Reference Records'!B$211:C730,2,0),"")</f>
        <v/>
      </c>
      <c r="L228" s="478" t="e">
        <f>VLOOKUP(U228&amp;K228,'Reference Records'!H$212:I731,2,0)</f>
        <v>#N/A</v>
      </c>
      <c r="M228" s="478" t="e">
        <f>MATCH($L228,'Reference Records'!$E$413:$E$618,0)+ROW(Population_by_intervention) -1</f>
        <v>#N/A</v>
      </c>
      <c r="N228" s="478" t="e">
        <f>MATCH($L228,'Reference Records'!$E$413:$E$618,1)+ROW(Population_by_intervention) -1</f>
        <v>#N/A</v>
      </c>
      <c r="O228" s="478" t="e">
        <f>INDEX('Reference Records'!K$212:K731,MATCH(L228,'Reference Records'!B$212:B731,0))</f>
        <v>#N/A</v>
      </c>
      <c r="P228" s="478"/>
      <c r="Q228" s="480"/>
      <c r="R228" s="481"/>
      <c r="S228" s="478" t="str">
        <f>IFERROR(VLOOKUP(INDEX('Reference Records'!J$412:J767,MATCH(R228,'Reference Records'!F$412:F767),1),'Reference Records'!B$211:C730,2,0),"")</f>
        <v/>
      </c>
      <c r="T228" s="479"/>
      <c r="U228" s="482" t="str">
        <f>IFERROR(IF(VLOOKUP(E228,'Reference Records'!$F$159:$N$210,9,FALSE)=0,"",VLOOKUP(E228,'Reference Records'!$F$159:$N$210,9,FALSE)),"")</f>
        <v/>
      </c>
      <c r="V228" s="476" t="str">
        <f>IF(IF(Language="French",G228,F228)=0,"",IF(Language="French",G228,F228))</f>
        <v/>
      </c>
      <c r="W228" s="483" t="str">
        <f t="shared" si="19"/>
        <v/>
      </c>
      <c r="X228" s="484" t="str">
        <f t="shared" si="20"/>
        <v>a1P3p000007oOIJEA2</v>
      </c>
      <c r="Y228" s="484" t="b">
        <f t="shared" si="21"/>
        <v>0</v>
      </c>
      <c r="Z228" s="484" t="b">
        <f t="shared" si="22"/>
        <v>1</v>
      </c>
      <c r="AA228" s="484" t="str">
        <f>IF(R228="",IFERROR(VLOOKUP(AC228,'Reference Records'!G$413:J766,3,0),""),IFERROR(VLOOKUP(AC228,'Reference Records'!H$413:J766,2,0),""))</f>
        <v/>
      </c>
      <c r="AB228" s="484" t="s">
        <v>1357</v>
      </c>
      <c r="AC228" s="473" t="e">
        <f t="shared" si="23"/>
        <v>#N/A</v>
      </c>
      <c r="AD228" s="473" t="str">
        <f t="shared" si="24"/>
        <v/>
      </c>
      <c r="AE228" s="473" t="str">
        <f t="array" ref="AE228">IFERROR(IF(INDEX($W$155:$W$256, MATCH(0, IF(AD228=$E$155:$E$256, COUNTIF($AE$154:$AE227, $W$155:$W$256), ""), 0))=0,"",INDEX($W$155:$W$256, MATCH(0, IF(AD228=$E$155:$E$256, COUNTIF($AE$154:$AE227, $W$155:$W$256), ""), 0))),"")</f>
        <v/>
      </c>
      <c r="AF228" s="473" t="str">
        <f t="shared" si="25"/>
        <v>|empty|</v>
      </c>
      <c r="AG228" s="473" t="str">
        <f t="shared" si="26"/>
        <v>INT-211689</v>
      </c>
      <c r="AH228" s="473" t="e">
        <f t="shared" si="27"/>
        <v>#N/A</v>
      </c>
      <c r="AI228" s="473">
        <f>IF(COUNTIF($AH$155:AH329,"&lt;="&amp;AH228)=0,"",COUNTIF($AH$155:AH329,"&lt;="&amp;AH228))</f>
        <v>100</v>
      </c>
      <c r="AJ228" s="473">
        <f>RANK(AI228,AI$155:AI329,1)</f>
        <v>2</v>
      </c>
      <c r="AK228" s="473" t="e">
        <f>INDEX(E$155:E329,MATCH(ROWS(AJ$155:AJ228),AJ$155:AJ329,0))</f>
        <v>#N/A</v>
      </c>
      <c r="AL228" s="473" t="e">
        <f>INDEX(K$155:K329,MATCH(ROWS(AJ$155:AJ228),AJ$155:AJ329,0))</f>
        <v>#N/A</v>
      </c>
      <c r="AM228" s="473" t="e">
        <f>INDEX(V$155:V329,MATCH(ROWS(AJ$155:AJ228),AJ$155:AJ329,0))</f>
        <v>#N/A</v>
      </c>
      <c r="AN228" s="473" t="e">
        <f t="shared" si="28"/>
        <v>#N/A</v>
      </c>
      <c r="AO228" s="473" t="e">
        <f t="shared" si="29"/>
        <v>#N/A</v>
      </c>
      <c r="AP228" s="473"/>
      <c r="AQ228" s="485" t="s">
        <v>1358</v>
      </c>
      <c r="AR228" s="107"/>
    </row>
    <row r="229" spans="1:44" ht="47.15" customHeight="1" x14ac:dyDescent="0.35">
      <c r="A229" s="146">
        <v>74</v>
      </c>
      <c r="B229" s="475"/>
      <c r="C229" s="475"/>
      <c r="D229" s="148"/>
      <c r="E229" s="476" t="str">
        <f>IFERROR(IF(AND(K229="",T229=""),"",(VLOOKUP(Q229,'Reference records(soft deleted)'!$B$118:$D$162,3,FALSE))),"")</f>
        <v/>
      </c>
      <c r="F229" s="477"/>
      <c r="G229" s="477"/>
      <c r="H229" s="478" t="str">
        <f>IF(R229="",IFERROR(VLOOKUP(AC229,'Reference Records'!G$413:J767,4,0),""),IFERROR(VLOOKUP(AC229,'Reference Records'!H$413:J767,3,0),""))</f>
        <v/>
      </c>
      <c r="I229" s="478"/>
      <c r="J229" s="479"/>
      <c r="K229" s="476" t="str">
        <f>IFERROR(VLOOKUP(INDEX('Reference Records'!E$412:E768,MATCH(R229,'Reference Records'!F$412:F768,0),1),'Reference Records'!B$211:C731,2,0),"")</f>
        <v/>
      </c>
      <c r="L229" s="478" t="e">
        <f>VLOOKUP(U229&amp;K229,'Reference Records'!H$212:I732,2,0)</f>
        <v>#N/A</v>
      </c>
      <c r="M229" s="478" t="e">
        <f>MATCH($L229,'Reference Records'!$E$413:$E$618,0)+ROW(Population_by_intervention) -1</f>
        <v>#N/A</v>
      </c>
      <c r="N229" s="478" t="e">
        <f>MATCH($L229,'Reference Records'!$E$413:$E$618,1)+ROW(Population_by_intervention) -1</f>
        <v>#N/A</v>
      </c>
      <c r="O229" s="478" t="e">
        <f>INDEX('Reference Records'!K$212:K732,MATCH(L229,'Reference Records'!B$212:B732,0))</f>
        <v>#N/A</v>
      </c>
      <c r="P229" s="478"/>
      <c r="Q229" s="480"/>
      <c r="R229" s="481"/>
      <c r="S229" s="478" t="str">
        <f>IFERROR(VLOOKUP(INDEX('Reference Records'!J$412:J768,MATCH(R229,'Reference Records'!F$412:F768),1),'Reference Records'!B$211:C731,2,0),"")</f>
        <v/>
      </c>
      <c r="T229" s="479"/>
      <c r="U229" s="482" t="str">
        <f>IFERROR(IF(VLOOKUP(E229,'Reference Records'!$F$159:$N$210,9,FALSE)=0,"",VLOOKUP(E229,'Reference Records'!$F$159:$N$210,9,FALSE)),"")</f>
        <v/>
      </c>
      <c r="V229" s="476" t="str">
        <f>IF(IF(Language="French",G229,F229)=0,"",IF(Language="French",G229,F229))</f>
        <v/>
      </c>
      <c r="W229" s="483" t="str">
        <f t="shared" si="19"/>
        <v/>
      </c>
      <c r="X229" s="484" t="str">
        <f t="shared" si="20"/>
        <v>a1P3p000007oOIJEA2</v>
      </c>
      <c r="Y229" s="484" t="b">
        <f t="shared" si="21"/>
        <v>0</v>
      </c>
      <c r="Z229" s="484" t="b">
        <f t="shared" si="22"/>
        <v>1</v>
      </c>
      <c r="AA229" s="484" t="str">
        <f>IF(R229="",IFERROR(VLOOKUP(AC229,'Reference Records'!G$413:J767,3,0),""),IFERROR(VLOOKUP(AC229,'Reference Records'!H$413:J767,2,0),""))</f>
        <v/>
      </c>
      <c r="AB229" s="484" t="s">
        <v>1359</v>
      </c>
      <c r="AC229" s="473" t="e">
        <f t="shared" si="23"/>
        <v>#N/A</v>
      </c>
      <c r="AD229" s="473" t="str">
        <f t="shared" si="24"/>
        <v/>
      </c>
      <c r="AE229" s="473" t="str">
        <f t="array" ref="AE229">IFERROR(IF(INDEX($W$155:$W$256, MATCH(0, IF(AD229=$E$155:$E$256, COUNTIF($AE$154:$AE228, $W$155:$W$256), ""), 0))=0,"",INDEX($W$155:$W$256, MATCH(0, IF(AD229=$E$155:$E$256, COUNTIF($AE$154:$AE228, $W$155:$W$256), ""), 0))),"")</f>
        <v/>
      </c>
      <c r="AF229" s="473" t="str">
        <f t="shared" si="25"/>
        <v>|empty|</v>
      </c>
      <c r="AG229" s="473" t="str">
        <f t="shared" si="26"/>
        <v>INT-211739</v>
      </c>
      <c r="AH229" s="473" t="e">
        <f t="shared" si="27"/>
        <v>#N/A</v>
      </c>
      <c r="AI229" s="473">
        <f>IF(COUNTIF($AH$155:AH330,"&lt;="&amp;AH229)=0,"",COUNTIF($AH$155:AH330,"&lt;="&amp;AH229))</f>
        <v>100</v>
      </c>
      <c r="AJ229" s="473">
        <f>RANK(AI229,AI$155:AI330,1)</f>
        <v>2</v>
      </c>
      <c r="AK229" s="473" t="e">
        <f>INDEX(E$155:E330,MATCH(ROWS(AJ$155:AJ229),AJ$155:AJ330,0))</f>
        <v>#N/A</v>
      </c>
      <c r="AL229" s="473" t="e">
        <f>INDEX(K$155:K330,MATCH(ROWS(AJ$155:AJ229),AJ$155:AJ330,0))</f>
        <v>#N/A</v>
      </c>
      <c r="AM229" s="473" t="e">
        <f>INDEX(V$155:V330,MATCH(ROWS(AJ$155:AJ229),AJ$155:AJ330,0))</f>
        <v>#N/A</v>
      </c>
      <c r="AN229" s="473" t="e">
        <f t="shared" si="28"/>
        <v>#N/A</v>
      </c>
      <c r="AO229" s="473" t="e">
        <f t="shared" si="29"/>
        <v>#N/A</v>
      </c>
      <c r="AP229" s="473"/>
      <c r="AQ229" s="485" t="s">
        <v>1360</v>
      </c>
      <c r="AR229" s="107"/>
    </row>
    <row r="230" spans="1:44" ht="47.15" customHeight="1" x14ac:dyDescent="0.35">
      <c r="A230" s="146">
        <v>75</v>
      </c>
      <c r="B230" s="475"/>
      <c r="C230" s="475"/>
      <c r="D230" s="148"/>
      <c r="E230" s="476" t="str">
        <f>IFERROR(IF(AND(K230="",T230=""),"",(VLOOKUP(Q230,'Reference records(soft deleted)'!$B$118:$D$162,3,FALSE))),"")</f>
        <v/>
      </c>
      <c r="F230" s="477"/>
      <c r="G230" s="477"/>
      <c r="H230" s="478" t="str">
        <f>IF(R230="",IFERROR(VLOOKUP(AC230,'Reference Records'!G$413:J768,4,0),""),IFERROR(VLOOKUP(AC230,'Reference Records'!H$413:J768,3,0),""))</f>
        <v/>
      </c>
      <c r="I230" s="478"/>
      <c r="J230" s="479"/>
      <c r="K230" s="476" t="str">
        <f>IFERROR(VLOOKUP(INDEX('Reference Records'!E$412:E769,MATCH(R230,'Reference Records'!F$412:F769,0),1),'Reference Records'!B$211:C732,2,0),"")</f>
        <v/>
      </c>
      <c r="L230" s="478" t="e">
        <f>VLOOKUP(U230&amp;K230,'Reference Records'!H$212:I733,2,0)</f>
        <v>#N/A</v>
      </c>
      <c r="M230" s="478" t="e">
        <f>MATCH($L230,'Reference Records'!$E$413:$E$618,0)+ROW(Population_by_intervention) -1</f>
        <v>#N/A</v>
      </c>
      <c r="N230" s="478" t="e">
        <f>MATCH($L230,'Reference Records'!$E$413:$E$618,1)+ROW(Population_by_intervention) -1</f>
        <v>#N/A</v>
      </c>
      <c r="O230" s="478" t="e">
        <f>INDEX('Reference Records'!K$212:K733,MATCH(L230,'Reference Records'!B$212:B733,0))</f>
        <v>#N/A</v>
      </c>
      <c r="P230" s="478"/>
      <c r="Q230" s="480"/>
      <c r="R230" s="481"/>
      <c r="S230" s="478" t="str">
        <f>IFERROR(VLOOKUP(INDEX('Reference Records'!J$412:J769,MATCH(R230,'Reference Records'!F$412:F769),1),'Reference Records'!B$211:C732,2,0),"")</f>
        <v/>
      </c>
      <c r="T230" s="479"/>
      <c r="U230" s="482" t="str">
        <f>IFERROR(IF(VLOOKUP(E230,'Reference Records'!$F$159:$N$210,9,FALSE)=0,"",VLOOKUP(E230,'Reference Records'!$F$159:$N$210,9,FALSE)),"")</f>
        <v/>
      </c>
      <c r="V230" s="476" t="str">
        <f>IF(IF(Language="French",G230,F230)=0,"",IF(Language="French",G230,F230))</f>
        <v/>
      </c>
      <c r="W230" s="483" t="str">
        <f t="shared" si="19"/>
        <v/>
      </c>
      <c r="X230" s="484" t="str">
        <f t="shared" si="20"/>
        <v>a1P3p000007oOIJEA2</v>
      </c>
      <c r="Y230" s="484" t="b">
        <f t="shared" si="21"/>
        <v>0</v>
      </c>
      <c r="Z230" s="484" t="b">
        <f t="shared" si="22"/>
        <v>1</v>
      </c>
      <c r="AA230" s="484" t="str">
        <f>IF(R230="",IFERROR(VLOOKUP(AC230,'Reference Records'!G$413:J768,3,0),""),IFERROR(VLOOKUP(AC230,'Reference Records'!H$413:J768,2,0),""))</f>
        <v/>
      </c>
      <c r="AB230" s="484" t="s">
        <v>1361</v>
      </c>
      <c r="AC230" s="473" t="e">
        <f t="shared" si="23"/>
        <v>#N/A</v>
      </c>
      <c r="AD230" s="473" t="str">
        <f t="shared" si="24"/>
        <v/>
      </c>
      <c r="AE230" s="473" t="str">
        <f t="array" ref="AE230">IFERROR(IF(INDEX($W$155:$W$256, MATCH(0, IF(AD230=$E$155:$E$256, COUNTIF($AE$154:$AE229, $W$155:$W$256), ""), 0))=0,"",INDEX($W$155:$W$256, MATCH(0, IF(AD230=$E$155:$E$256, COUNTIF($AE$154:$AE229, $W$155:$W$256), ""), 0))),"")</f>
        <v/>
      </c>
      <c r="AF230" s="473" t="str">
        <f t="shared" si="25"/>
        <v>|empty|</v>
      </c>
      <c r="AG230" s="473" t="str">
        <f t="shared" si="26"/>
        <v>INT-211690</v>
      </c>
      <c r="AH230" s="473" t="e">
        <f t="shared" si="27"/>
        <v>#N/A</v>
      </c>
      <c r="AI230" s="473">
        <f>IF(COUNTIF($AH$155:AH331,"&lt;="&amp;AH230)=0,"",COUNTIF($AH$155:AH331,"&lt;="&amp;AH230))</f>
        <v>100</v>
      </c>
      <c r="AJ230" s="473">
        <f>RANK(AI230,AI$155:AI331,1)</f>
        <v>2</v>
      </c>
      <c r="AK230" s="473" t="e">
        <f>INDEX(E$155:E331,MATCH(ROWS(AJ$155:AJ230),AJ$155:AJ331,0))</f>
        <v>#N/A</v>
      </c>
      <c r="AL230" s="473" t="e">
        <f>INDEX(K$155:K331,MATCH(ROWS(AJ$155:AJ230),AJ$155:AJ331,0))</f>
        <v>#N/A</v>
      </c>
      <c r="AM230" s="473" t="e">
        <f>INDEX(V$155:V331,MATCH(ROWS(AJ$155:AJ230),AJ$155:AJ331,0))</f>
        <v>#N/A</v>
      </c>
      <c r="AN230" s="473" t="e">
        <f t="shared" si="28"/>
        <v>#N/A</v>
      </c>
      <c r="AO230" s="473" t="e">
        <f t="shared" si="29"/>
        <v>#N/A</v>
      </c>
      <c r="AP230" s="473"/>
      <c r="AQ230" s="485" t="s">
        <v>1362</v>
      </c>
      <c r="AR230" s="107"/>
    </row>
    <row r="231" spans="1:44" ht="47.15" customHeight="1" x14ac:dyDescent="0.35">
      <c r="A231" s="146">
        <v>76</v>
      </c>
      <c r="B231" s="475"/>
      <c r="C231" s="475"/>
      <c r="D231" s="148"/>
      <c r="E231" s="476" t="str">
        <f>IFERROR(IF(AND(K231="",T231=""),"",(VLOOKUP(Q231,'Reference records(soft deleted)'!$B$118:$D$162,3,FALSE))),"")</f>
        <v/>
      </c>
      <c r="F231" s="477"/>
      <c r="G231" s="477"/>
      <c r="H231" s="478" t="str">
        <f>IF(R231="",IFERROR(VLOOKUP(AC231,'Reference Records'!G$413:J769,4,0),""),IFERROR(VLOOKUP(AC231,'Reference Records'!H$413:J769,3,0),""))</f>
        <v/>
      </c>
      <c r="I231" s="478"/>
      <c r="J231" s="479"/>
      <c r="K231" s="476" t="str">
        <f>IFERROR(VLOOKUP(INDEX('Reference Records'!E$412:E770,MATCH(R231,'Reference Records'!F$412:F770,0),1),'Reference Records'!B$211:C733,2,0),"")</f>
        <v/>
      </c>
      <c r="L231" s="478" t="e">
        <f>VLOOKUP(U231&amp;K231,'Reference Records'!H$212:I734,2,0)</f>
        <v>#N/A</v>
      </c>
      <c r="M231" s="478" t="e">
        <f>MATCH($L231,'Reference Records'!$E$413:$E$618,0)+ROW(Population_by_intervention) -1</f>
        <v>#N/A</v>
      </c>
      <c r="N231" s="478" t="e">
        <f>MATCH($L231,'Reference Records'!$E$413:$E$618,1)+ROW(Population_by_intervention) -1</f>
        <v>#N/A</v>
      </c>
      <c r="O231" s="478" t="e">
        <f>INDEX('Reference Records'!K$212:K734,MATCH(L231,'Reference Records'!B$212:B734,0))</f>
        <v>#N/A</v>
      </c>
      <c r="P231" s="478"/>
      <c r="Q231" s="480"/>
      <c r="R231" s="481"/>
      <c r="S231" s="478" t="str">
        <f>IFERROR(VLOOKUP(INDEX('Reference Records'!J$412:J770,MATCH(R231,'Reference Records'!F$412:F770),1),'Reference Records'!B$211:C733,2,0),"")</f>
        <v/>
      </c>
      <c r="T231" s="479"/>
      <c r="U231" s="482" t="str">
        <f>IFERROR(IF(VLOOKUP(E231,'Reference Records'!$F$159:$N$210,9,FALSE)=0,"",VLOOKUP(E231,'Reference Records'!$F$159:$N$210,9,FALSE)),"")</f>
        <v/>
      </c>
      <c r="V231" s="476" t="str">
        <f>IF(IF(Language="French",G231,F231)=0,"",IF(Language="French",G231,F231))</f>
        <v/>
      </c>
      <c r="W231" s="483" t="str">
        <f t="shared" si="19"/>
        <v/>
      </c>
      <c r="X231" s="484" t="str">
        <f t="shared" si="20"/>
        <v>a1P3p000007oOIJEA2</v>
      </c>
      <c r="Y231" s="484" t="b">
        <f t="shared" si="21"/>
        <v>0</v>
      </c>
      <c r="Z231" s="484" t="b">
        <f t="shared" si="22"/>
        <v>1</v>
      </c>
      <c r="AA231" s="484" t="str">
        <f>IF(R231="",IFERROR(VLOOKUP(AC231,'Reference Records'!G$413:J769,3,0),""),IFERROR(VLOOKUP(AC231,'Reference Records'!H$413:J769,2,0),""))</f>
        <v/>
      </c>
      <c r="AB231" s="484" t="s">
        <v>1363</v>
      </c>
      <c r="AC231" s="473" t="e">
        <f t="shared" si="23"/>
        <v>#N/A</v>
      </c>
      <c r="AD231" s="473" t="str">
        <f t="shared" si="24"/>
        <v/>
      </c>
      <c r="AE231" s="473" t="str">
        <f t="array" ref="AE231">IFERROR(IF(INDEX($W$155:$W$256, MATCH(0, IF(AD231=$E$155:$E$256, COUNTIF($AE$154:$AE230, $W$155:$W$256), ""), 0))=0,"",INDEX($W$155:$W$256, MATCH(0, IF(AD231=$E$155:$E$256, COUNTIF($AE$154:$AE230, $W$155:$W$256), ""), 0))),"")</f>
        <v/>
      </c>
      <c r="AF231" s="473" t="str">
        <f t="shared" si="25"/>
        <v>|empty|</v>
      </c>
      <c r="AG231" s="473" t="str">
        <f t="shared" si="26"/>
        <v>INT-211740</v>
      </c>
      <c r="AH231" s="473" t="e">
        <f t="shared" si="27"/>
        <v>#N/A</v>
      </c>
      <c r="AI231" s="473">
        <f>IF(COUNTIF($AH$155:AH332,"&lt;="&amp;AH231)=0,"",COUNTIF($AH$155:AH332,"&lt;="&amp;AH231))</f>
        <v>100</v>
      </c>
      <c r="AJ231" s="473">
        <f>RANK(AI231,AI$155:AI332,1)</f>
        <v>2</v>
      </c>
      <c r="AK231" s="473" t="e">
        <f>INDEX(E$155:E332,MATCH(ROWS(AJ$155:AJ231),AJ$155:AJ332,0))</f>
        <v>#N/A</v>
      </c>
      <c r="AL231" s="473" t="e">
        <f>INDEX(K$155:K332,MATCH(ROWS(AJ$155:AJ231),AJ$155:AJ332,0))</f>
        <v>#N/A</v>
      </c>
      <c r="AM231" s="473" t="e">
        <f>INDEX(V$155:V332,MATCH(ROWS(AJ$155:AJ231),AJ$155:AJ332,0))</f>
        <v>#N/A</v>
      </c>
      <c r="AN231" s="473" t="e">
        <f t="shared" si="28"/>
        <v>#N/A</v>
      </c>
      <c r="AO231" s="473" t="e">
        <f t="shared" si="29"/>
        <v>#N/A</v>
      </c>
      <c r="AP231" s="473"/>
      <c r="AQ231" s="485" t="s">
        <v>1364</v>
      </c>
      <c r="AR231" s="107"/>
    </row>
    <row r="232" spans="1:44" ht="47.15" customHeight="1" x14ac:dyDescent="0.35">
      <c r="A232" s="146">
        <v>77</v>
      </c>
      <c r="B232" s="475"/>
      <c r="C232" s="475"/>
      <c r="D232" s="148"/>
      <c r="E232" s="476" t="str">
        <f>IFERROR(IF(AND(K232="",T232=""),"",(VLOOKUP(Q232,'Reference records(soft deleted)'!$B$118:$D$162,3,FALSE))),"")</f>
        <v/>
      </c>
      <c r="F232" s="477"/>
      <c r="G232" s="477"/>
      <c r="H232" s="478" t="str">
        <f>IF(R232="",IFERROR(VLOOKUP(AC232,'Reference Records'!G$413:J770,4,0),""),IFERROR(VLOOKUP(AC232,'Reference Records'!H$413:J770,3,0),""))</f>
        <v/>
      </c>
      <c r="I232" s="478"/>
      <c r="J232" s="479"/>
      <c r="K232" s="476" t="str">
        <f>IFERROR(VLOOKUP(INDEX('Reference Records'!E$412:E771,MATCH(R232,'Reference Records'!F$412:F771,0),1),'Reference Records'!B$211:C734,2,0),"")</f>
        <v/>
      </c>
      <c r="L232" s="478" t="e">
        <f>VLOOKUP(U232&amp;K232,'Reference Records'!H$212:I735,2,0)</f>
        <v>#N/A</v>
      </c>
      <c r="M232" s="478" t="e">
        <f>MATCH($L232,'Reference Records'!$E$413:$E$618,0)+ROW(Population_by_intervention) -1</f>
        <v>#N/A</v>
      </c>
      <c r="N232" s="478" t="e">
        <f>MATCH($L232,'Reference Records'!$E$413:$E$618,1)+ROW(Population_by_intervention) -1</f>
        <v>#N/A</v>
      </c>
      <c r="O232" s="478" t="e">
        <f>INDEX('Reference Records'!K$212:K735,MATCH(L232,'Reference Records'!B$212:B735,0))</f>
        <v>#N/A</v>
      </c>
      <c r="P232" s="478"/>
      <c r="Q232" s="480"/>
      <c r="R232" s="481"/>
      <c r="S232" s="478" t="str">
        <f>IFERROR(VLOOKUP(INDEX('Reference Records'!J$412:J771,MATCH(R232,'Reference Records'!F$412:F771),1),'Reference Records'!B$211:C734,2,0),"")</f>
        <v/>
      </c>
      <c r="T232" s="479"/>
      <c r="U232" s="482" t="str">
        <f>IFERROR(IF(VLOOKUP(E232,'Reference Records'!$F$159:$N$210,9,FALSE)=0,"",VLOOKUP(E232,'Reference Records'!$F$159:$N$210,9,FALSE)),"")</f>
        <v/>
      </c>
      <c r="V232" s="476" t="str">
        <f>IF(IF(Language="French",G232,F232)=0,"",IF(Language="French",G232,F232))</f>
        <v/>
      </c>
      <c r="W232" s="483" t="str">
        <f t="shared" si="19"/>
        <v/>
      </c>
      <c r="X232" s="484" t="str">
        <f t="shared" si="20"/>
        <v>a1P3p000007oOIJEA2</v>
      </c>
      <c r="Y232" s="484" t="b">
        <f t="shared" si="21"/>
        <v>0</v>
      </c>
      <c r="Z232" s="484" t="b">
        <f t="shared" si="22"/>
        <v>1</v>
      </c>
      <c r="AA232" s="484" t="str">
        <f>IF(R232="",IFERROR(VLOOKUP(AC232,'Reference Records'!G$413:J770,3,0),""),IFERROR(VLOOKUP(AC232,'Reference Records'!H$413:J770,2,0),""))</f>
        <v/>
      </c>
      <c r="AB232" s="484" t="s">
        <v>1365</v>
      </c>
      <c r="AC232" s="473" t="e">
        <f t="shared" si="23"/>
        <v>#N/A</v>
      </c>
      <c r="AD232" s="473" t="str">
        <f t="shared" si="24"/>
        <v/>
      </c>
      <c r="AE232" s="473" t="str">
        <f t="array" ref="AE232">IFERROR(IF(INDEX($W$155:$W$256, MATCH(0, IF(AD232=$E$155:$E$256, COUNTIF($AE$154:$AE231, $W$155:$W$256), ""), 0))=0,"",INDEX($W$155:$W$256, MATCH(0, IF(AD232=$E$155:$E$256, COUNTIF($AE$154:$AE231, $W$155:$W$256), ""), 0))),"")</f>
        <v/>
      </c>
      <c r="AF232" s="473" t="str">
        <f t="shared" si="25"/>
        <v>|empty|</v>
      </c>
      <c r="AG232" s="473" t="str">
        <f t="shared" si="26"/>
        <v>INT-211691</v>
      </c>
      <c r="AH232" s="473" t="e">
        <f t="shared" si="27"/>
        <v>#N/A</v>
      </c>
      <c r="AI232" s="473">
        <f>IF(COUNTIF($AH$155:AH333,"&lt;="&amp;AH232)=0,"",COUNTIF($AH$155:AH333,"&lt;="&amp;AH232))</f>
        <v>100</v>
      </c>
      <c r="AJ232" s="473">
        <f>RANK(AI232,AI$155:AI333,1)</f>
        <v>2</v>
      </c>
      <c r="AK232" s="473" t="e">
        <f>INDEX(E$155:E333,MATCH(ROWS(AJ$155:AJ232),AJ$155:AJ333,0))</f>
        <v>#N/A</v>
      </c>
      <c r="AL232" s="473" t="e">
        <f>INDEX(K$155:K333,MATCH(ROWS(AJ$155:AJ232),AJ$155:AJ333,0))</f>
        <v>#N/A</v>
      </c>
      <c r="AM232" s="473" t="e">
        <f>INDEX(V$155:V333,MATCH(ROWS(AJ$155:AJ232),AJ$155:AJ333,0))</f>
        <v>#N/A</v>
      </c>
      <c r="AN232" s="473" t="e">
        <f t="shared" si="28"/>
        <v>#N/A</v>
      </c>
      <c r="AO232" s="473" t="e">
        <f t="shared" si="29"/>
        <v>#N/A</v>
      </c>
      <c r="AP232" s="473"/>
      <c r="AQ232" s="485" t="s">
        <v>1366</v>
      </c>
      <c r="AR232" s="107"/>
    </row>
    <row r="233" spans="1:44" ht="47.15" customHeight="1" x14ac:dyDescent="0.35">
      <c r="A233" s="146">
        <v>78</v>
      </c>
      <c r="B233" s="475"/>
      <c r="C233" s="475"/>
      <c r="D233" s="148"/>
      <c r="E233" s="476" t="str">
        <f>IFERROR(IF(AND(K233="",T233=""),"",(VLOOKUP(Q233,'Reference records(soft deleted)'!$B$118:$D$162,3,FALSE))),"")</f>
        <v/>
      </c>
      <c r="F233" s="477"/>
      <c r="G233" s="477"/>
      <c r="H233" s="478" t="str">
        <f>IF(R233="",IFERROR(VLOOKUP(AC233,'Reference Records'!G$413:J771,4,0),""),IFERROR(VLOOKUP(AC233,'Reference Records'!H$413:J771,3,0),""))</f>
        <v/>
      </c>
      <c r="I233" s="478"/>
      <c r="J233" s="479"/>
      <c r="K233" s="476" t="str">
        <f>IFERROR(VLOOKUP(INDEX('Reference Records'!E$412:E772,MATCH(R233,'Reference Records'!F$412:F772,0),1),'Reference Records'!B$211:C735,2,0),"")</f>
        <v/>
      </c>
      <c r="L233" s="478" t="e">
        <f>VLOOKUP(U233&amp;K233,'Reference Records'!H$212:I736,2,0)</f>
        <v>#N/A</v>
      </c>
      <c r="M233" s="478" t="e">
        <f>MATCH($L233,'Reference Records'!$E$413:$E$618,0)+ROW(Population_by_intervention) -1</f>
        <v>#N/A</v>
      </c>
      <c r="N233" s="478" t="e">
        <f>MATCH($L233,'Reference Records'!$E$413:$E$618,1)+ROW(Population_by_intervention) -1</f>
        <v>#N/A</v>
      </c>
      <c r="O233" s="478" t="e">
        <f>INDEX('Reference Records'!K$212:K736,MATCH(L233,'Reference Records'!B$212:B736,0))</f>
        <v>#N/A</v>
      </c>
      <c r="P233" s="478"/>
      <c r="Q233" s="480"/>
      <c r="R233" s="481"/>
      <c r="S233" s="478" t="str">
        <f>IFERROR(VLOOKUP(INDEX('Reference Records'!J$412:J772,MATCH(R233,'Reference Records'!F$412:F772),1),'Reference Records'!B$211:C735,2,0),"")</f>
        <v/>
      </c>
      <c r="T233" s="479"/>
      <c r="U233" s="482" t="str">
        <f>IFERROR(IF(VLOOKUP(E233,'Reference Records'!$F$159:$N$210,9,FALSE)=0,"",VLOOKUP(E233,'Reference Records'!$F$159:$N$210,9,FALSE)),"")</f>
        <v/>
      </c>
      <c r="V233" s="476" t="str">
        <f>IF(IF(Language="French",G233,F233)=0,"",IF(Language="French",G233,F233))</f>
        <v/>
      </c>
      <c r="W233" s="483" t="str">
        <f t="shared" si="19"/>
        <v/>
      </c>
      <c r="X233" s="484" t="str">
        <f t="shared" si="20"/>
        <v>a1P3p000007oOIJEA2</v>
      </c>
      <c r="Y233" s="484" t="b">
        <f t="shared" si="21"/>
        <v>0</v>
      </c>
      <c r="Z233" s="484" t="b">
        <f t="shared" si="22"/>
        <v>1</v>
      </c>
      <c r="AA233" s="484" t="str">
        <f>IF(R233="",IFERROR(VLOOKUP(AC233,'Reference Records'!G$413:J771,3,0),""),IFERROR(VLOOKUP(AC233,'Reference Records'!H$413:J771,2,0),""))</f>
        <v/>
      </c>
      <c r="AB233" s="484" t="s">
        <v>1367</v>
      </c>
      <c r="AC233" s="473" t="e">
        <f t="shared" si="23"/>
        <v>#N/A</v>
      </c>
      <c r="AD233" s="473" t="str">
        <f t="shared" si="24"/>
        <v/>
      </c>
      <c r="AE233" s="473" t="str">
        <f t="array" ref="AE233">IFERROR(IF(INDEX($W$155:$W$256, MATCH(0, IF(AD233=$E$155:$E$256, COUNTIF($AE$154:$AE232, $W$155:$W$256), ""), 0))=0,"",INDEX($W$155:$W$256, MATCH(0, IF(AD233=$E$155:$E$256, COUNTIF($AE$154:$AE232, $W$155:$W$256), ""), 0))),"")</f>
        <v/>
      </c>
      <c r="AF233" s="473" t="str">
        <f t="shared" si="25"/>
        <v>|empty|</v>
      </c>
      <c r="AG233" s="473" t="str">
        <f t="shared" si="26"/>
        <v>INT-211741</v>
      </c>
      <c r="AH233" s="473" t="e">
        <f t="shared" si="27"/>
        <v>#N/A</v>
      </c>
      <c r="AI233" s="473">
        <f>IF(COUNTIF($AH$155:AH334,"&lt;="&amp;AH233)=0,"",COUNTIF($AH$155:AH334,"&lt;="&amp;AH233))</f>
        <v>100</v>
      </c>
      <c r="AJ233" s="473">
        <f>RANK(AI233,AI$155:AI334,1)</f>
        <v>2</v>
      </c>
      <c r="AK233" s="473" t="e">
        <f>INDEX(E$155:E334,MATCH(ROWS(AJ$155:AJ233),AJ$155:AJ334,0))</f>
        <v>#N/A</v>
      </c>
      <c r="AL233" s="473" t="e">
        <f>INDEX(K$155:K334,MATCH(ROWS(AJ$155:AJ233),AJ$155:AJ334,0))</f>
        <v>#N/A</v>
      </c>
      <c r="AM233" s="473" t="e">
        <f>INDEX(V$155:V334,MATCH(ROWS(AJ$155:AJ233),AJ$155:AJ334,0))</f>
        <v>#N/A</v>
      </c>
      <c r="AN233" s="473" t="e">
        <f t="shared" si="28"/>
        <v>#N/A</v>
      </c>
      <c r="AO233" s="473" t="e">
        <f t="shared" si="29"/>
        <v>#N/A</v>
      </c>
      <c r="AP233" s="473"/>
      <c r="AQ233" s="485" t="s">
        <v>1368</v>
      </c>
      <c r="AR233" s="107"/>
    </row>
    <row r="234" spans="1:44" ht="47.15" customHeight="1" x14ac:dyDescent="0.35">
      <c r="A234" s="146">
        <v>79</v>
      </c>
      <c r="B234" s="475"/>
      <c r="C234" s="475"/>
      <c r="D234" s="148"/>
      <c r="E234" s="476" t="str">
        <f>IFERROR(IF(AND(K234="",T234=""),"",(VLOOKUP(Q234,'Reference records(soft deleted)'!$B$118:$D$162,3,FALSE))),"")</f>
        <v/>
      </c>
      <c r="F234" s="477"/>
      <c r="G234" s="477"/>
      <c r="H234" s="478" t="str">
        <f>IF(R234="",IFERROR(VLOOKUP(AC234,'Reference Records'!G$413:J772,4,0),""),IFERROR(VLOOKUP(AC234,'Reference Records'!H$413:J772,3,0),""))</f>
        <v/>
      </c>
      <c r="I234" s="478"/>
      <c r="J234" s="479"/>
      <c r="K234" s="476" t="str">
        <f>IFERROR(VLOOKUP(INDEX('Reference Records'!E$412:E773,MATCH(R234,'Reference Records'!F$412:F773,0),1),'Reference Records'!B$211:C736,2,0),"")</f>
        <v/>
      </c>
      <c r="L234" s="478" t="e">
        <f>VLOOKUP(U234&amp;K234,'Reference Records'!H$212:I737,2,0)</f>
        <v>#N/A</v>
      </c>
      <c r="M234" s="478" t="e">
        <f>MATCH($L234,'Reference Records'!$E$413:$E$618,0)+ROW(Population_by_intervention) -1</f>
        <v>#N/A</v>
      </c>
      <c r="N234" s="478" t="e">
        <f>MATCH($L234,'Reference Records'!$E$413:$E$618,1)+ROW(Population_by_intervention) -1</f>
        <v>#N/A</v>
      </c>
      <c r="O234" s="478" t="e">
        <f>INDEX('Reference Records'!K$212:K737,MATCH(L234,'Reference Records'!B$212:B737,0))</f>
        <v>#N/A</v>
      </c>
      <c r="P234" s="478"/>
      <c r="Q234" s="480"/>
      <c r="R234" s="481"/>
      <c r="S234" s="478" t="str">
        <f>IFERROR(VLOOKUP(INDEX('Reference Records'!J$412:J773,MATCH(R234,'Reference Records'!F$412:F773),1),'Reference Records'!B$211:C736,2,0),"")</f>
        <v/>
      </c>
      <c r="T234" s="479"/>
      <c r="U234" s="482" t="str">
        <f>IFERROR(IF(VLOOKUP(E234,'Reference Records'!$F$159:$N$210,9,FALSE)=0,"",VLOOKUP(E234,'Reference Records'!$F$159:$N$210,9,FALSE)),"")</f>
        <v/>
      </c>
      <c r="V234" s="476" t="str">
        <f>IF(IF(Language="French",G234,F234)=0,"",IF(Language="French",G234,F234))</f>
        <v/>
      </c>
      <c r="W234" s="483" t="str">
        <f t="shared" si="19"/>
        <v/>
      </c>
      <c r="X234" s="484" t="str">
        <f t="shared" si="20"/>
        <v>a1P3p000007oOIJEA2</v>
      </c>
      <c r="Y234" s="484" t="b">
        <f t="shared" si="21"/>
        <v>0</v>
      </c>
      <c r="Z234" s="484" t="b">
        <f t="shared" si="22"/>
        <v>1</v>
      </c>
      <c r="AA234" s="484" t="str">
        <f>IF(R234="",IFERROR(VLOOKUP(AC234,'Reference Records'!G$413:J772,3,0),""),IFERROR(VLOOKUP(AC234,'Reference Records'!H$413:J772,2,0),""))</f>
        <v/>
      </c>
      <c r="AB234" s="484" t="s">
        <v>1369</v>
      </c>
      <c r="AC234" s="473" t="e">
        <f t="shared" si="23"/>
        <v>#N/A</v>
      </c>
      <c r="AD234" s="473" t="str">
        <f t="shared" si="24"/>
        <v/>
      </c>
      <c r="AE234" s="473" t="str">
        <f t="array" ref="AE234">IFERROR(IF(INDEX($W$155:$W$256, MATCH(0, IF(AD234=$E$155:$E$256, COUNTIF($AE$154:$AE233, $W$155:$W$256), ""), 0))=0,"",INDEX($W$155:$W$256, MATCH(0, IF(AD234=$E$155:$E$256, COUNTIF($AE$154:$AE233, $W$155:$W$256), ""), 0))),"")</f>
        <v/>
      </c>
      <c r="AF234" s="473" t="str">
        <f t="shared" si="25"/>
        <v>|empty|</v>
      </c>
      <c r="AG234" s="473" t="str">
        <f t="shared" si="26"/>
        <v>INT-211692</v>
      </c>
      <c r="AH234" s="473" t="e">
        <f t="shared" si="27"/>
        <v>#N/A</v>
      </c>
      <c r="AI234" s="473">
        <f>IF(COUNTIF($AH$155:AH335,"&lt;="&amp;AH234)=0,"",COUNTIF($AH$155:AH335,"&lt;="&amp;AH234))</f>
        <v>100</v>
      </c>
      <c r="AJ234" s="473">
        <f>RANK(AI234,AI$155:AI335,1)</f>
        <v>2</v>
      </c>
      <c r="AK234" s="473" t="e">
        <f>INDEX(E$155:E335,MATCH(ROWS(AJ$155:AJ234),AJ$155:AJ335,0))</f>
        <v>#N/A</v>
      </c>
      <c r="AL234" s="473" t="e">
        <f>INDEX(K$155:K335,MATCH(ROWS(AJ$155:AJ234),AJ$155:AJ335,0))</f>
        <v>#N/A</v>
      </c>
      <c r="AM234" s="473" t="e">
        <f>INDEX(V$155:V335,MATCH(ROWS(AJ$155:AJ234),AJ$155:AJ335,0))</f>
        <v>#N/A</v>
      </c>
      <c r="AN234" s="473" t="e">
        <f t="shared" si="28"/>
        <v>#N/A</v>
      </c>
      <c r="AO234" s="473" t="e">
        <f t="shared" si="29"/>
        <v>#N/A</v>
      </c>
      <c r="AP234" s="473"/>
      <c r="AQ234" s="485" t="s">
        <v>1370</v>
      </c>
      <c r="AR234" s="107"/>
    </row>
    <row r="235" spans="1:44" ht="47.15" customHeight="1" x14ac:dyDescent="0.35">
      <c r="A235" s="146">
        <v>80</v>
      </c>
      <c r="B235" s="475"/>
      <c r="C235" s="475"/>
      <c r="D235" s="148"/>
      <c r="E235" s="476" t="str">
        <f>IFERROR(IF(AND(K235="",T235=""),"",(VLOOKUP(Q235,'Reference records(soft deleted)'!$B$118:$D$162,3,FALSE))),"")</f>
        <v/>
      </c>
      <c r="F235" s="477"/>
      <c r="G235" s="477"/>
      <c r="H235" s="478" t="str">
        <f>IF(R235="",IFERROR(VLOOKUP(AC235,'Reference Records'!G$413:J773,4,0),""),IFERROR(VLOOKUP(AC235,'Reference Records'!H$413:J773,3,0),""))</f>
        <v/>
      </c>
      <c r="I235" s="478"/>
      <c r="J235" s="479"/>
      <c r="K235" s="476" t="str">
        <f>IFERROR(VLOOKUP(INDEX('Reference Records'!E$412:E774,MATCH(R235,'Reference Records'!F$412:F774,0),1),'Reference Records'!B$211:C737,2,0),"")</f>
        <v/>
      </c>
      <c r="L235" s="478" t="e">
        <f>VLOOKUP(U235&amp;K235,'Reference Records'!H$212:I738,2,0)</f>
        <v>#N/A</v>
      </c>
      <c r="M235" s="478" t="e">
        <f>MATCH($L235,'Reference Records'!$E$413:$E$618,0)+ROW(Population_by_intervention) -1</f>
        <v>#N/A</v>
      </c>
      <c r="N235" s="478" t="e">
        <f>MATCH($L235,'Reference Records'!$E$413:$E$618,1)+ROW(Population_by_intervention) -1</f>
        <v>#N/A</v>
      </c>
      <c r="O235" s="478" t="e">
        <f>INDEX('Reference Records'!K$212:K738,MATCH(L235,'Reference Records'!B$212:B738,0))</f>
        <v>#N/A</v>
      </c>
      <c r="P235" s="478"/>
      <c r="Q235" s="480"/>
      <c r="R235" s="481"/>
      <c r="S235" s="478" t="str">
        <f>IFERROR(VLOOKUP(INDEX('Reference Records'!J$412:J774,MATCH(R235,'Reference Records'!F$412:F774),1),'Reference Records'!B$211:C737,2,0),"")</f>
        <v/>
      </c>
      <c r="T235" s="479"/>
      <c r="U235" s="482" t="str">
        <f>IFERROR(IF(VLOOKUP(E235,'Reference Records'!$F$159:$N$210,9,FALSE)=0,"",VLOOKUP(E235,'Reference Records'!$F$159:$N$210,9,FALSE)),"")</f>
        <v/>
      </c>
      <c r="V235" s="476" t="str">
        <f>IF(IF(Language="French",G235,F235)=0,"",IF(Language="French",G235,F235))</f>
        <v/>
      </c>
      <c r="W235" s="483" t="str">
        <f t="shared" si="19"/>
        <v/>
      </c>
      <c r="X235" s="484" t="str">
        <f t="shared" si="20"/>
        <v>a1P3p000007oOIJEA2</v>
      </c>
      <c r="Y235" s="484" t="b">
        <f t="shared" si="21"/>
        <v>0</v>
      </c>
      <c r="Z235" s="484" t="b">
        <f t="shared" si="22"/>
        <v>1</v>
      </c>
      <c r="AA235" s="484" t="str">
        <f>IF(R235="",IFERROR(VLOOKUP(AC235,'Reference Records'!G$413:J773,3,0),""),IFERROR(VLOOKUP(AC235,'Reference Records'!H$413:J773,2,0),""))</f>
        <v/>
      </c>
      <c r="AB235" s="484" t="s">
        <v>1371</v>
      </c>
      <c r="AC235" s="473" t="e">
        <f t="shared" si="23"/>
        <v>#N/A</v>
      </c>
      <c r="AD235" s="473" t="str">
        <f t="shared" si="24"/>
        <v/>
      </c>
      <c r="AE235" s="473" t="str">
        <f t="array" ref="AE235">IFERROR(IF(INDEX($W$155:$W$256, MATCH(0, IF(AD235=$E$155:$E$256, COUNTIF($AE$154:$AE234, $W$155:$W$256), ""), 0))=0,"",INDEX($W$155:$W$256, MATCH(0, IF(AD235=$E$155:$E$256, COUNTIF($AE$154:$AE234, $W$155:$W$256), ""), 0))),"")</f>
        <v/>
      </c>
      <c r="AF235" s="473" t="str">
        <f t="shared" si="25"/>
        <v>|empty|</v>
      </c>
      <c r="AG235" s="473" t="str">
        <f t="shared" si="26"/>
        <v>INT-211742</v>
      </c>
      <c r="AH235" s="473" t="e">
        <f t="shared" si="27"/>
        <v>#N/A</v>
      </c>
      <c r="AI235" s="473">
        <f>IF(COUNTIF($AH$155:AH336,"&lt;="&amp;AH235)=0,"",COUNTIF($AH$155:AH336,"&lt;="&amp;AH235))</f>
        <v>100</v>
      </c>
      <c r="AJ235" s="473">
        <f>RANK(AI235,AI$155:AI336,1)</f>
        <v>2</v>
      </c>
      <c r="AK235" s="473" t="e">
        <f>INDEX(E$155:E336,MATCH(ROWS(AJ$155:AJ235),AJ$155:AJ336,0))</f>
        <v>#N/A</v>
      </c>
      <c r="AL235" s="473" t="e">
        <f>INDEX(K$155:K336,MATCH(ROWS(AJ$155:AJ235),AJ$155:AJ336,0))</f>
        <v>#N/A</v>
      </c>
      <c r="AM235" s="473" t="e">
        <f>INDEX(V$155:V336,MATCH(ROWS(AJ$155:AJ235),AJ$155:AJ336,0))</f>
        <v>#N/A</v>
      </c>
      <c r="AN235" s="473" t="e">
        <f t="shared" si="28"/>
        <v>#N/A</v>
      </c>
      <c r="AO235" s="473" t="e">
        <f t="shared" si="29"/>
        <v>#N/A</v>
      </c>
      <c r="AP235" s="473"/>
      <c r="AQ235" s="485" t="s">
        <v>1372</v>
      </c>
      <c r="AR235" s="107"/>
    </row>
    <row r="236" spans="1:44" ht="47.15" customHeight="1" x14ac:dyDescent="0.35">
      <c r="A236" s="146">
        <v>81</v>
      </c>
      <c r="B236" s="475"/>
      <c r="C236" s="475"/>
      <c r="D236" s="148"/>
      <c r="E236" s="476" t="str">
        <f>IFERROR(IF(AND(K236="",T236=""),"",(VLOOKUP(Q236,'Reference records(soft deleted)'!$B$118:$D$162,3,FALSE))),"")</f>
        <v/>
      </c>
      <c r="F236" s="477"/>
      <c r="G236" s="477"/>
      <c r="H236" s="478" t="str">
        <f>IF(R236="",IFERROR(VLOOKUP(AC236,'Reference Records'!G$413:J774,4,0),""),IFERROR(VLOOKUP(AC236,'Reference Records'!H$413:J774,3,0),""))</f>
        <v/>
      </c>
      <c r="I236" s="478"/>
      <c r="J236" s="479"/>
      <c r="K236" s="476" t="str">
        <f>IFERROR(VLOOKUP(INDEX('Reference Records'!E$412:E775,MATCH(R236,'Reference Records'!F$412:F775,0),1),'Reference Records'!B$211:C738,2,0),"")</f>
        <v/>
      </c>
      <c r="L236" s="478" t="e">
        <f>VLOOKUP(U236&amp;K236,'Reference Records'!H$212:I739,2,0)</f>
        <v>#N/A</v>
      </c>
      <c r="M236" s="478" t="e">
        <f>MATCH($L236,'Reference Records'!$E$413:$E$618,0)+ROW(Population_by_intervention) -1</f>
        <v>#N/A</v>
      </c>
      <c r="N236" s="478" t="e">
        <f>MATCH($L236,'Reference Records'!$E$413:$E$618,1)+ROW(Population_by_intervention) -1</f>
        <v>#N/A</v>
      </c>
      <c r="O236" s="478" t="e">
        <f>INDEX('Reference Records'!K$212:K739,MATCH(L236,'Reference Records'!B$212:B739,0))</f>
        <v>#N/A</v>
      </c>
      <c r="P236" s="478"/>
      <c r="Q236" s="480"/>
      <c r="R236" s="481"/>
      <c r="S236" s="478" t="str">
        <f>IFERROR(VLOOKUP(INDEX('Reference Records'!J$412:J775,MATCH(R236,'Reference Records'!F$412:F775),1),'Reference Records'!B$211:C738,2,0),"")</f>
        <v/>
      </c>
      <c r="T236" s="479"/>
      <c r="U236" s="482" t="str">
        <f>IFERROR(IF(VLOOKUP(E236,'Reference Records'!$F$159:$N$210,9,FALSE)=0,"",VLOOKUP(E236,'Reference Records'!$F$159:$N$210,9,FALSE)),"")</f>
        <v/>
      </c>
      <c r="V236" s="476" t="str">
        <f>IF(IF(Language="French",G236,F236)=0,"",IF(Language="French",G236,F236))</f>
        <v/>
      </c>
      <c r="W236" s="483" t="str">
        <f t="shared" si="19"/>
        <v/>
      </c>
      <c r="X236" s="484" t="str">
        <f t="shared" si="20"/>
        <v>a1P3p000007oOIJEA2</v>
      </c>
      <c r="Y236" s="484" t="b">
        <f t="shared" si="21"/>
        <v>0</v>
      </c>
      <c r="Z236" s="484" t="b">
        <f t="shared" si="22"/>
        <v>1</v>
      </c>
      <c r="AA236" s="484" t="str">
        <f>IF(R236="",IFERROR(VLOOKUP(AC236,'Reference Records'!G$413:J774,3,0),""),IFERROR(VLOOKUP(AC236,'Reference Records'!H$413:J774,2,0),""))</f>
        <v/>
      </c>
      <c r="AB236" s="484" t="s">
        <v>1373</v>
      </c>
      <c r="AC236" s="473" t="e">
        <f t="shared" si="23"/>
        <v>#N/A</v>
      </c>
      <c r="AD236" s="473" t="str">
        <f t="shared" si="24"/>
        <v/>
      </c>
      <c r="AE236" s="473" t="str">
        <f t="array" ref="AE236">IFERROR(IF(INDEX($W$155:$W$256, MATCH(0, IF(AD236=$E$155:$E$256, COUNTIF($AE$154:$AE235, $W$155:$W$256), ""), 0))=0,"",INDEX($W$155:$W$256, MATCH(0, IF(AD236=$E$155:$E$256, COUNTIF($AE$154:$AE235, $W$155:$W$256), ""), 0))),"")</f>
        <v/>
      </c>
      <c r="AF236" s="473" t="str">
        <f t="shared" si="25"/>
        <v>|empty|</v>
      </c>
      <c r="AG236" s="473" t="str">
        <f t="shared" si="26"/>
        <v>INT-211693</v>
      </c>
      <c r="AH236" s="473" t="e">
        <f t="shared" si="27"/>
        <v>#N/A</v>
      </c>
      <c r="AI236" s="473">
        <f>IF(COUNTIF($AH$155:AH337,"&lt;="&amp;AH236)=0,"",COUNTIF($AH$155:AH337,"&lt;="&amp;AH236))</f>
        <v>100</v>
      </c>
      <c r="AJ236" s="473">
        <f>RANK(AI236,AI$155:AI337,1)</f>
        <v>2</v>
      </c>
      <c r="AK236" s="473" t="e">
        <f>INDEX(E$155:E337,MATCH(ROWS(AJ$155:AJ236),AJ$155:AJ337,0))</f>
        <v>#N/A</v>
      </c>
      <c r="AL236" s="473" t="e">
        <f>INDEX(K$155:K337,MATCH(ROWS(AJ$155:AJ236),AJ$155:AJ337,0))</f>
        <v>#N/A</v>
      </c>
      <c r="AM236" s="473" t="e">
        <f>INDEX(V$155:V337,MATCH(ROWS(AJ$155:AJ236),AJ$155:AJ337,0))</f>
        <v>#N/A</v>
      </c>
      <c r="AN236" s="473" t="e">
        <f t="shared" si="28"/>
        <v>#N/A</v>
      </c>
      <c r="AO236" s="473" t="e">
        <f t="shared" si="29"/>
        <v>#N/A</v>
      </c>
      <c r="AP236" s="473"/>
      <c r="AQ236" s="485" t="s">
        <v>1374</v>
      </c>
      <c r="AR236" s="107"/>
    </row>
    <row r="237" spans="1:44" ht="47.15" customHeight="1" x14ac:dyDescent="0.35">
      <c r="A237" s="146">
        <v>82</v>
      </c>
      <c r="B237" s="475"/>
      <c r="C237" s="475"/>
      <c r="D237" s="148"/>
      <c r="E237" s="476" t="str">
        <f>IFERROR(IF(AND(K237="",T237=""),"",(VLOOKUP(Q237,'Reference records(soft deleted)'!$B$118:$D$162,3,FALSE))),"")</f>
        <v/>
      </c>
      <c r="F237" s="477"/>
      <c r="G237" s="477"/>
      <c r="H237" s="478" t="str">
        <f>IF(R237="",IFERROR(VLOOKUP(AC237,'Reference Records'!G$413:J775,4,0),""),IFERROR(VLOOKUP(AC237,'Reference Records'!H$413:J775,3,0),""))</f>
        <v/>
      </c>
      <c r="I237" s="478"/>
      <c r="J237" s="479"/>
      <c r="K237" s="476" t="str">
        <f>IFERROR(VLOOKUP(INDEX('Reference Records'!E$412:E776,MATCH(R237,'Reference Records'!F$412:F776,0),1),'Reference Records'!B$211:C739,2,0),"")</f>
        <v/>
      </c>
      <c r="L237" s="478" t="e">
        <f>VLOOKUP(U237&amp;K237,'Reference Records'!H$212:I740,2,0)</f>
        <v>#N/A</v>
      </c>
      <c r="M237" s="478" t="e">
        <f>MATCH($L237,'Reference Records'!$E$413:$E$618,0)+ROW(Population_by_intervention) -1</f>
        <v>#N/A</v>
      </c>
      <c r="N237" s="478" t="e">
        <f>MATCH($L237,'Reference Records'!$E$413:$E$618,1)+ROW(Population_by_intervention) -1</f>
        <v>#N/A</v>
      </c>
      <c r="O237" s="478" t="e">
        <f>INDEX('Reference Records'!K$212:K740,MATCH(L237,'Reference Records'!B$212:B740,0))</f>
        <v>#N/A</v>
      </c>
      <c r="P237" s="478"/>
      <c r="Q237" s="480"/>
      <c r="R237" s="481"/>
      <c r="S237" s="478" t="str">
        <f>IFERROR(VLOOKUP(INDEX('Reference Records'!J$412:J776,MATCH(R237,'Reference Records'!F$412:F776),1),'Reference Records'!B$211:C739,2,0),"")</f>
        <v/>
      </c>
      <c r="T237" s="479"/>
      <c r="U237" s="482" t="str">
        <f>IFERROR(IF(VLOOKUP(E237,'Reference Records'!$F$159:$N$210,9,FALSE)=0,"",VLOOKUP(E237,'Reference Records'!$F$159:$N$210,9,FALSE)),"")</f>
        <v/>
      </c>
      <c r="V237" s="476" t="str">
        <f>IF(IF(Language="French",G237,F237)=0,"",IF(Language="French",G237,F237))</f>
        <v/>
      </c>
      <c r="W237" s="483" t="str">
        <f t="shared" si="19"/>
        <v/>
      </c>
      <c r="X237" s="484" t="str">
        <f t="shared" si="20"/>
        <v>a1P3p000007oOIJEA2</v>
      </c>
      <c r="Y237" s="484" t="b">
        <f t="shared" si="21"/>
        <v>0</v>
      </c>
      <c r="Z237" s="484" t="b">
        <f t="shared" si="22"/>
        <v>1</v>
      </c>
      <c r="AA237" s="484" t="str">
        <f>IF(R237="",IFERROR(VLOOKUP(AC237,'Reference Records'!G$413:J775,3,0),""),IFERROR(VLOOKUP(AC237,'Reference Records'!H$413:J775,2,0),""))</f>
        <v/>
      </c>
      <c r="AB237" s="484" t="s">
        <v>1375</v>
      </c>
      <c r="AC237" s="473" t="e">
        <f t="shared" si="23"/>
        <v>#N/A</v>
      </c>
      <c r="AD237" s="473" t="str">
        <f t="shared" si="24"/>
        <v/>
      </c>
      <c r="AE237" s="473" t="str">
        <f t="array" ref="AE237">IFERROR(IF(INDEX($W$155:$W$256, MATCH(0, IF(AD237=$E$155:$E$256, COUNTIF($AE$154:$AE236, $W$155:$W$256), ""), 0))=0,"",INDEX($W$155:$W$256, MATCH(0, IF(AD237=$E$155:$E$256, COUNTIF($AE$154:$AE236, $W$155:$W$256), ""), 0))),"")</f>
        <v/>
      </c>
      <c r="AF237" s="473" t="str">
        <f t="shared" si="25"/>
        <v>|empty|</v>
      </c>
      <c r="AG237" s="473" t="str">
        <f t="shared" si="26"/>
        <v>INT-211743</v>
      </c>
      <c r="AH237" s="473" t="e">
        <f t="shared" si="27"/>
        <v>#N/A</v>
      </c>
      <c r="AI237" s="473">
        <f>IF(COUNTIF($AH$155:AH338,"&lt;="&amp;AH237)=0,"",COUNTIF($AH$155:AH338,"&lt;="&amp;AH237))</f>
        <v>100</v>
      </c>
      <c r="AJ237" s="473">
        <f>RANK(AI237,AI$155:AI338,1)</f>
        <v>2</v>
      </c>
      <c r="AK237" s="473" t="e">
        <f>INDEX(E$155:E338,MATCH(ROWS(AJ$155:AJ237),AJ$155:AJ338,0))</f>
        <v>#N/A</v>
      </c>
      <c r="AL237" s="473" t="e">
        <f>INDEX(K$155:K338,MATCH(ROWS(AJ$155:AJ237),AJ$155:AJ338,0))</f>
        <v>#N/A</v>
      </c>
      <c r="AM237" s="473" t="e">
        <f>INDEX(V$155:V338,MATCH(ROWS(AJ$155:AJ237),AJ$155:AJ338,0))</f>
        <v>#N/A</v>
      </c>
      <c r="AN237" s="473" t="e">
        <f t="shared" si="28"/>
        <v>#N/A</v>
      </c>
      <c r="AO237" s="473" t="e">
        <f t="shared" si="29"/>
        <v>#N/A</v>
      </c>
      <c r="AP237" s="473"/>
      <c r="AQ237" s="485" t="s">
        <v>1376</v>
      </c>
      <c r="AR237" s="107"/>
    </row>
    <row r="238" spans="1:44" ht="47.15" customHeight="1" x14ac:dyDescent="0.35">
      <c r="A238" s="146">
        <v>83</v>
      </c>
      <c r="B238" s="475"/>
      <c r="C238" s="475"/>
      <c r="D238" s="148"/>
      <c r="E238" s="476" t="str">
        <f>IFERROR(IF(AND(K238="",T238=""),"",(VLOOKUP(Q238,'Reference records(soft deleted)'!$B$118:$D$162,3,FALSE))),"")</f>
        <v/>
      </c>
      <c r="F238" s="477"/>
      <c r="G238" s="477"/>
      <c r="H238" s="478" t="str">
        <f>IF(R238="",IFERROR(VLOOKUP(AC238,'Reference Records'!G$413:J776,4,0),""),IFERROR(VLOOKUP(AC238,'Reference Records'!H$413:J776,3,0),""))</f>
        <v/>
      </c>
      <c r="I238" s="478"/>
      <c r="J238" s="479"/>
      <c r="K238" s="476" t="str">
        <f>IFERROR(VLOOKUP(INDEX('Reference Records'!E$412:E777,MATCH(R238,'Reference Records'!F$412:F777,0),1),'Reference Records'!B$211:C740,2,0),"")</f>
        <v/>
      </c>
      <c r="L238" s="478" t="e">
        <f>VLOOKUP(U238&amp;K238,'Reference Records'!H$212:I741,2,0)</f>
        <v>#N/A</v>
      </c>
      <c r="M238" s="478" t="e">
        <f>MATCH($L238,'Reference Records'!$E$413:$E$618,0)+ROW(Population_by_intervention) -1</f>
        <v>#N/A</v>
      </c>
      <c r="N238" s="478" t="e">
        <f>MATCH($L238,'Reference Records'!$E$413:$E$618,1)+ROW(Population_by_intervention) -1</f>
        <v>#N/A</v>
      </c>
      <c r="O238" s="478" t="e">
        <f>INDEX('Reference Records'!K$212:K741,MATCH(L238,'Reference Records'!B$212:B741,0))</f>
        <v>#N/A</v>
      </c>
      <c r="P238" s="478"/>
      <c r="Q238" s="480"/>
      <c r="R238" s="481"/>
      <c r="S238" s="478" t="str">
        <f>IFERROR(VLOOKUP(INDEX('Reference Records'!J$412:J777,MATCH(R238,'Reference Records'!F$412:F777),1),'Reference Records'!B$211:C740,2,0),"")</f>
        <v/>
      </c>
      <c r="T238" s="479"/>
      <c r="U238" s="482" t="str">
        <f>IFERROR(IF(VLOOKUP(E238,'Reference Records'!$F$159:$N$210,9,FALSE)=0,"",VLOOKUP(E238,'Reference Records'!$F$159:$N$210,9,FALSE)),"")</f>
        <v/>
      </c>
      <c r="V238" s="476" t="str">
        <f>IF(IF(Language="French",G238,F238)=0,"",IF(Language="French",G238,F238))</f>
        <v/>
      </c>
      <c r="W238" s="483" t="str">
        <f t="shared" si="19"/>
        <v/>
      </c>
      <c r="X238" s="484" t="str">
        <f t="shared" si="20"/>
        <v>a1P3p000007oOIJEA2</v>
      </c>
      <c r="Y238" s="484" t="b">
        <f t="shared" si="21"/>
        <v>0</v>
      </c>
      <c r="Z238" s="484" t="b">
        <f t="shared" si="22"/>
        <v>1</v>
      </c>
      <c r="AA238" s="484" t="str">
        <f>IF(R238="",IFERROR(VLOOKUP(AC238,'Reference Records'!G$413:J776,3,0),""),IFERROR(VLOOKUP(AC238,'Reference Records'!H$413:J776,2,0),""))</f>
        <v/>
      </c>
      <c r="AB238" s="484" t="s">
        <v>1377</v>
      </c>
      <c r="AC238" s="473" t="e">
        <f t="shared" si="23"/>
        <v>#N/A</v>
      </c>
      <c r="AD238" s="473" t="str">
        <f t="shared" si="24"/>
        <v/>
      </c>
      <c r="AE238" s="473" t="str">
        <f t="array" ref="AE238">IFERROR(IF(INDEX($W$155:$W$256, MATCH(0, IF(AD238=$E$155:$E$256, COUNTIF($AE$154:$AE237, $W$155:$W$256), ""), 0))=0,"",INDEX($W$155:$W$256, MATCH(0, IF(AD238=$E$155:$E$256, COUNTIF($AE$154:$AE237, $W$155:$W$256), ""), 0))),"")</f>
        <v/>
      </c>
      <c r="AF238" s="473" t="str">
        <f t="shared" si="25"/>
        <v>|empty|</v>
      </c>
      <c r="AG238" s="473" t="str">
        <f t="shared" si="26"/>
        <v>INT-211694</v>
      </c>
      <c r="AH238" s="473" t="e">
        <f t="shared" si="27"/>
        <v>#N/A</v>
      </c>
      <c r="AI238" s="473">
        <f>IF(COUNTIF($AH$155:AH339,"&lt;="&amp;AH238)=0,"",COUNTIF($AH$155:AH339,"&lt;="&amp;AH238))</f>
        <v>100</v>
      </c>
      <c r="AJ238" s="473">
        <f>RANK(AI238,AI$155:AI339,1)</f>
        <v>2</v>
      </c>
      <c r="AK238" s="473" t="e">
        <f>INDEX(E$155:E339,MATCH(ROWS(AJ$155:AJ238),AJ$155:AJ339,0))</f>
        <v>#N/A</v>
      </c>
      <c r="AL238" s="473" t="e">
        <f>INDEX(K$155:K339,MATCH(ROWS(AJ$155:AJ238),AJ$155:AJ339,0))</f>
        <v>#N/A</v>
      </c>
      <c r="AM238" s="473" t="e">
        <f>INDEX(V$155:V339,MATCH(ROWS(AJ$155:AJ238),AJ$155:AJ339,0))</f>
        <v>#N/A</v>
      </c>
      <c r="AN238" s="473" t="e">
        <f t="shared" si="28"/>
        <v>#N/A</v>
      </c>
      <c r="AO238" s="473" t="e">
        <f t="shared" si="29"/>
        <v>#N/A</v>
      </c>
      <c r="AP238" s="473"/>
      <c r="AQ238" s="485" t="s">
        <v>1378</v>
      </c>
      <c r="AR238" s="107"/>
    </row>
    <row r="239" spans="1:44" ht="47.15" customHeight="1" x14ac:dyDescent="0.35">
      <c r="A239" s="146">
        <v>84</v>
      </c>
      <c r="B239" s="475"/>
      <c r="C239" s="475"/>
      <c r="D239" s="148"/>
      <c r="E239" s="476" t="str">
        <f>IFERROR(IF(AND(K239="",T239=""),"",(VLOOKUP(Q239,'Reference records(soft deleted)'!$B$118:$D$162,3,FALSE))),"")</f>
        <v/>
      </c>
      <c r="F239" s="477"/>
      <c r="G239" s="477"/>
      <c r="H239" s="478" t="str">
        <f>IF(R239="",IFERROR(VLOOKUP(AC239,'Reference Records'!G$413:J777,4,0),""),IFERROR(VLOOKUP(AC239,'Reference Records'!H$413:J777,3,0),""))</f>
        <v/>
      </c>
      <c r="I239" s="478"/>
      <c r="J239" s="479"/>
      <c r="K239" s="476" t="str">
        <f>IFERROR(VLOOKUP(INDEX('Reference Records'!E$412:E778,MATCH(R239,'Reference Records'!F$412:F778,0),1),'Reference Records'!B$211:C741,2,0),"")</f>
        <v/>
      </c>
      <c r="L239" s="478" t="e">
        <f>VLOOKUP(U239&amp;K239,'Reference Records'!H$212:I742,2,0)</f>
        <v>#N/A</v>
      </c>
      <c r="M239" s="478" t="e">
        <f>MATCH($L239,'Reference Records'!$E$413:$E$618,0)+ROW(Population_by_intervention) -1</f>
        <v>#N/A</v>
      </c>
      <c r="N239" s="478" t="e">
        <f>MATCH($L239,'Reference Records'!$E$413:$E$618,1)+ROW(Population_by_intervention) -1</f>
        <v>#N/A</v>
      </c>
      <c r="O239" s="478" t="e">
        <f>INDEX('Reference Records'!K$212:K742,MATCH(L239,'Reference Records'!B$212:B742,0))</f>
        <v>#N/A</v>
      </c>
      <c r="P239" s="478"/>
      <c r="Q239" s="480"/>
      <c r="R239" s="481"/>
      <c r="S239" s="478" t="str">
        <f>IFERROR(VLOOKUP(INDEX('Reference Records'!J$412:J778,MATCH(R239,'Reference Records'!F$412:F778),1),'Reference Records'!B$211:C741,2,0),"")</f>
        <v/>
      </c>
      <c r="T239" s="479"/>
      <c r="U239" s="482" t="str">
        <f>IFERROR(IF(VLOOKUP(E239,'Reference Records'!$F$159:$N$210,9,FALSE)=0,"",VLOOKUP(E239,'Reference Records'!$F$159:$N$210,9,FALSE)),"")</f>
        <v/>
      </c>
      <c r="V239" s="476" t="str">
        <f>IF(IF(Language="French",G239,F239)=0,"",IF(Language="French",G239,F239))</f>
        <v/>
      </c>
      <c r="W239" s="483" t="str">
        <f t="shared" si="19"/>
        <v/>
      </c>
      <c r="X239" s="484" t="str">
        <f t="shared" si="20"/>
        <v>a1P3p000007oOIJEA2</v>
      </c>
      <c r="Y239" s="484" t="b">
        <f t="shared" si="21"/>
        <v>0</v>
      </c>
      <c r="Z239" s="484" t="b">
        <f t="shared" si="22"/>
        <v>1</v>
      </c>
      <c r="AA239" s="484" t="str">
        <f>IF(R239="",IFERROR(VLOOKUP(AC239,'Reference Records'!G$413:J777,3,0),""),IFERROR(VLOOKUP(AC239,'Reference Records'!H$413:J777,2,0),""))</f>
        <v/>
      </c>
      <c r="AB239" s="484" t="s">
        <v>1379</v>
      </c>
      <c r="AC239" s="473" t="e">
        <f t="shared" si="23"/>
        <v>#N/A</v>
      </c>
      <c r="AD239" s="473" t="str">
        <f t="shared" si="24"/>
        <v/>
      </c>
      <c r="AE239" s="473" t="str">
        <f t="array" ref="AE239">IFERROR(IF(INDEX($W$155:$W$256, MATCH(0, IF(AD239=$E$155:$E$256, COUNTIF($AE$154:$AE238, $W$155:$W$256), ""), 0))=0,"",INDEX($W$155:$W$256, MATCH(0, IF(AD239=$E$155:$E$256, COUNTIF($AE$154:$AE238, $W$155:$W$256), ""), 0))),"")</f>
        <v/>
      </c>
      <c r="AF239" s="473" t="str">
        <f t="shared" si="25"/>
        <v>|empty|</v>
      </c>
      <c r="AG239" s="473" t="str">
        <f t="shared" si="26"/>
        <v>INT-211744</v>
      </c>
      <c r="AH239" s="473" t="e">
        <f t="shared" si="27"/>
        <v>#N/A</v>
      </c>
      <c r="AI239" s="473">
        <f>IF(COUNTIF($AH$155:AH340,"&lt;="&amp;AH239)=0,"",COUNTIF($AH$155:AH340,"&lt;="&amp;AH239))</f>
        <v>100</v>
      </c>
      <c r="AJ239" s="473">
        <f>RANK(AI239,AI$155:AI340,1)</f>
        <v>2</v>
      </c>
      <c r="AK239" s="473" t="e">
        <f>INDEX(E$155:E340,MATCH(ROWS(AJ$155:AJ239),AJ$155:AJ340,0))</f>
        <v>#N/A</v>
      </c>
      <c r="AL239" s="473" t="e">
        <f>INDEX(K$155:K340,MATCH(ROWS(AJ$155:AJ239),AJ$155:AJ340,0))</f>
        <v>#N/A</v>
      </c>
      <c r="AM239" s="473" t="e">
        <f>INDEX(V$155:V340,MATCH(ROWS(AJ$155:AJ239),AJ$155:AJ340,0))</f>
        <v>#N/A</v>
      </c>
      <c r="AN239" s="473" t="e">
        <f t="shared" si="28"/>
        <v>#N/A</v>
      </c>
      <c r="AO239" s="473" t="e">
        <f t="shared" si="29"/>
        <v>#N/A</v>
      </c>
      <c r="AP239" s="473"/>
      <c r="AQ239" s="485" t="s">
        <v>1380</v>
      </c>
      <c r="AR239" s="107"/>
    </row>
    <row r="240" spans="1:44" ht="47.15" customHeight="1" x14ac:dyDescent="0.35">
      <c r="A240" s="146">
        <v>85</v>
      </c>
      <c r="B240" s="475"/>
      <c r="C240" s="475"/>
      <c r="D240" s="148"/>
      <c r="E240" s="476" t="str">
        <f>IFERROR(IF(AND(K240="",T240=""),"",(VLOOKUP(Q240,'Reference records(soft deleted)'!$B$118:$D$162,3,FALSE))),"")</f>
        <v/>
      </c>
      <c r="F240" s="477"/>
      <c r="G240" s="477"/>
      <c r="H240" s="478" t="str">
        <f>IF(R240="",IFERROR(VLOOKUP(AC240,'Reference Records'!G$413:J778,4,0),""),IFERROR(VLOOKUP(AC240,'Reference Records'!H$413:J778,3,0),""))</f>
        <v/>
      </c>
      <c r="I240" s="478"/>
      <c r="J240" s="479"/>
      <c r="K240" s="476" t="str">
        <f>IFERROR(VLOOKUP(INDEX('Reference Records'!E$412:E779,MATCH(R240,'Reference Records'!F$412:F779,0),1),'Reference Records'!B$211:C742,2,0),"")</f>
        <v/>
      </c>
      <c r="L240" s="478" t="e">
        <f>VLOOKUP(U240&amp;K240,'Reference Records'!H$212:I743,2,0)</f>
        <v>#N/A</v>
      </c>
      <c r="M240" s="478" t="e">
        <f>MATCH($L240,'Reference Records'!$E$413:$E$618,0)+ROW(Population_by_intervention) -1</f>
        <v>#N/A</v>
      </c>
      <c r="N240" s="478" t="e">
        <f>MATCH($L240,'Reference Records'!$E$413:$E$618,1)+ROW(Population_by_intervention) -1</f>
        <v>#N/A</v>
      </c>
      <c r="O240" s="478" t="e">
        <f>INDEX('Reference Records'!K$212:K743,MATCH(L240,'Reference Records'!B$212:B743,0))</f>
        <v>#N/A</v>
      </c>
      <c r="P240" s="478"/>
      <c r="Q240" s="480"/>
      <c r="R240" s="481"/>
      <c r="S240" s="478" t="str">
        <f>IFERROR(VLOOKUP(INDEX('Reference Records'!J$412:J779,MATCH(R240,'Reference Records'!F$412:F779),1),'Reference Records'!B$211:C742,2,0),"")</f>
        <v/>
      </c>
      <c r="T240" s="479"/>
      <c r="U240" s="482" t="str">
        <f>IFERROR(IF(VLOOKUP(E240,'Reference Records'!$F$159:$N$210,9,FALSE)=0,"",VLOOKUP(E240,'Reference Records'!$F$159:$N$210,9,FALSE)),"")</f>
        <v/>
      </c>
      <c r="V240" s="476" t="str">
        <f>IF(IF(Language="French",G240,F240)=0,"",IF(Language="French",G240,F240))</f>
        <v/>
      </c>
      <c r="W240" s="483" t="str">
        <f t="shared" si="19"/>
        <v/>
      </c>
      <c r="X240" s="484" t="str">
        <f t="shared" si="20"/>
        <v>a1P3p000007oOIJEA2</v>
      </c>
      <c r="Y240" s="484" t="b">
        <f t="shared" si="21"/>
        <v>0</v>
      </c>
      <c r="Z240" s="484" t="b">
        <f t="shared" si="22"/>
        <v>1</v>
      </c>
      <c r="AA240" s="484" t="str">
        <f>IF(R240="",IFERROR(VLOOKUP(AC240,'Reference Records'!G$413:J778,3,0),""),IFERROR(VLOOKUP(AC240,'Reference Records'!H$413:J778,2,0),""))</f>
        <v/>
      </c>
      <c r="AB240" s="484" t="s">
        <v>1381</v>
      </c>
      <c r="AC240" s="473" t="e">
        <f t="shared" si="23"/>
        <v>#N/A</v>
      </c>
      <c r="AD240" s="473" t="str">
        <f t="shared" si="24"/>
        <v/>
      </c>
      <c r="AE240" s="473" t="str">
        <f t="array" ref="AE240">IFERROR(IF(INDEX($W$155:$W$256, MATCH(0, IF(AD240=$E$155:$E$256, COUNTIF($AE$154:$AE239, $W$155:$W$256), ""), 0))=0,"",INDEX($W$155:$W$256, MATCH(0, IF(AD240=$E$155:$E$256, COUNTIF($AE$154:$AE239, $W$155:$W$256), ""), 0))),"")</f>
        <v/>
      </c>
      <c r="AF240" s="473" t="str">
        <f t="shared" si="25"/>
        <v>|empty|</v>
      </c>
      <c r="AG240" s="473" t="str">
        <f t="shared" si="26"/>
        <v>INT-211695</v>
      </c>
      <c r="AH240" s="473" t="e">
        <f t="shared" si="27"/>
        <v>#N/A</v>
      </c>
      <c r="AI240" s="473">
        <f>IF(COUNTIF($AH$155:AH341,"&lt;="&amp;AH240)=0,"",COUNTIF($AH$155:AH341,"&lt;="&amp;AH240))</f>
        <v>100</v>
      </c>
      <c r="AJ240" s="473">
        <f>RANK(AI240,AI$155:AI341,1)</f>
        <v>2</v>
      </c>
      <c r="AK240" s="473" t="e">
        <f>INDEX(E$155:E341,MATCH(ROWS(AJ$155:AJ240),AJ$155:AJ341,0))</f>
        <v>#N/A</v>
      </c>
      <c r="AL240" s="473" t="e">
        <f>INDEX(K$155:K341,MATCH(ROWS(AJ$155:AJ240),AJ$155:AJ341,0))</f>
        <v>#N/A</v>
      </c>
      <c r="AM240" s="473" t="e">
        <f>INDEX(V$155:V341,MATCH(ROWS(AJ$155:AJ240),AJ$155:AJ341,0))</f>
        <v>#N/A</v>
      </c>
      <c r="AN240" s="473" t="e">
        <f t="shared" si="28"/>
        <v>#N/A</v>
      </c>
      <c r="AO240" s="473" t="e">
        <f t="shared" si="29"/>
        <v>#N/A</v>
      </c>
      <c r="AP240" s="473"/>
      <c r="AQ240" s="485" t="s">
        <v>1382</v>
      </c>
      <c r="AR240" s="107"/>
    </row>
    <row r="241" spans="1:44" ht="47.15" customHeight="1" x14ac:dyDescent="0.35">
      <c r="A241" s="146">
        <v>86</v>
      </c>
      <c r="B241" s="475"/>
      <c r="C241" s="475"/>
      <c r="D241" s="148"/>
      <c r="E241" s="476" t="str">
        <f>IFERROR(IF(AND(K241="",T241=""),"",(VLOOKUP(Q241,'Reference records(soft deleted)'!$B$118:$D$162,3,FALSE))),"")</f>
        <v/>
      </c>
      <c r="F241" s="477"/>
      <c r="G241" s="477"/>
      <c r="H241" s="478" t="str">
        <f>IF(R241="",IFERROR(VLOOKUP(AC241,'Reference Records'!G$413:J779,4,0),""),IFERROR(VLOOKUP(AC241,'Reference Records'!H$413:J779,3,0),""))</f>
        <v/>
      </c>
      <c r="I241" s="478"/>
      <c r="J241" s="479"/>
      <c r="K241" s="476" t="str">
        <f>IFERROR(VLOOKUP(INDEX('Reference Records'!E$412:E780,MATCH(R241,'Reference Records'!F$412:F780,0),1),'Reference Records'!B$211:C743,2,0),"")</f>
        <v/>
      </c>
      <c r="L241" s="478" t="e">
        <f>VLOOKUP(U241&amp;K241,'Reference Records'!H$212:I744,2,0)</f>
        <v>#N/A</v>
      </c>
      <c r="M241" s="478" t="e">
        <f>MATCH($L241,'Reference Records'!$E$413:$E$618,0)+ROW(Population_by_intervention) -1</f>
        <v>#N/A</v>
      </c>
      <c r="N241" s="478" t="e">
        <f>MATCH($L241,'Reference Records'!$E$413:$E$618,1)+ROW(Population_by_intervention) -1</f>
        <v>#N/A</v>
      </c>
      <c r="O241" s="478" t="e">
        <f>INDEX('Reference Records'!K$212:K744,MATCH(L241,'Reference Records'!B$212:B744,0))</f>
        <v>#N/A</v>
      </c>
      <c r="P241" s="478"/>
      <c r="Q241" s="480"/>
      <c r="R241" s="481"/>
      <c r="S241" s="478" t="str">
        <f>IFERROR(VLOOKUP(INDEX('Reference Records'!J$412:J780,MATCH(R241,'Reference Records'!F$412:F780),1),'Reference Records'!B$211:C743,2,0),"")</f>
        <v/>
      </c>
      <c r="T241" s="479"/>
      <c r="U241" s="482" t="str">
        <f>IFERROR(IF(VLOOKUP(E241,'Reference Records'!$F$159:$N$210,9,FALSE)=0,"",VLOOKUP(E241,'Reference Records'!$F$159:$N$210,9,FALSE)),"")</f>
        <v/>
      </c>
      <c r="V241" s="476" t="str">
        <f>IF(IF(Language="French",G241,F241)=0,"",IF(Language="French",G241,F241))</f>
        <v/>
      </c>
      <c r="W241" s="483" t="str">
        <f t="shared" si="19"/>
        <v/>
      </c>
      <c r="X241" s="484" t="str">
        <f t="shared" si="20"/>
        <v>a1P3p000007oOIJEA2</v>
      </c>
      <c r="Y241" s="484" t="b">
        <f t="shared" si="21"/>
        <v>0</v>
      </c>
      <c r="Z241" s="484" t="b">
        <f t="shared" si="22"/>
        <v>1</v>
      </c>
      <c r="AA241" s="484" t="str">
        <f>IF(R241="",IFERROR(VLOOKUP(AC241,'Reference Records'!G$413:J779,3,0),""),IFERROR(VLOOKUP(AC241,'Reference Records'!H$413:J779,2,0),""))</f>
        <v/>
      </c>
      <c r="AB241" s="484" t="s">
        <v>1383</v>
      </c>
      <c r="AC241" s="473" t="e">
        <f t="shared" si="23"/>
        <v>#N/A</v>
      </c>
      <c r="AD241" s="473" t="str">
        <f t="shared" si="24"/>
        <v/>
      </c>
      <c r="AE241" s="473" t="str">
        <f t="array" ref="AE241">IFERROR(IF(INDEX($W$155:$W$256, MATCH(0, IF(AD241=$E$155:$E$256, COUNTIF($AE$154:$AE240, $W$155:$W$256), ""), 0))=0,"",INDEX($W$155:$W$256, MATCH(0, IF(AD241=$E$155:$E$256, COUNTIF($AE$154:$AE240, $W$155:$W$256), ""), 0))),"")</f>
        <v/>
      </c>
      <c r="AF241" s="473" t="str">
        <f t="shared" si="25"/>
        <v>|empty|</v>
      </c>
      <c r="AG241" s="473" t="str">
        <f t="shared" si="26"/>
        <v>INT-211746</v>
      </c>
      <c r="AH241" s="473" t="e">
        <f t="shared" si="27"/>
        <v>#N/A</v>
      </c>
      <c r="AI241" s="473">
        <f>IF(COUNTIF($AH$155:AH342,"&lt;="&amp;AH241)=0,"",COUNTIF($AH$155:AH342,"&lt;="&amp;AH241))</f>
        <v>100</v>
      </c>
      <c r="AJ241" s="473">
        <f>RANK(AI241,AI$155:AI342,1)</f>
        <v>2</v>
      </c>
      <c r="AK241" s="473" t="e">
        <f>INDEX(E$155:E342,MATCH(ROWS(AJ$155:AJ241),AJ$155:AJ342,0))</f>
        <v>#N/A</v>
      </c>
      <c r="AL241" s="473" t="e">
        <f>INDEX(K$155:K342,MATCH(ROWS(AJ$155:AJ241),AJ$155:AJ342,0))</f>
        <v>#N/A</v>
      </c>
      <c r="AM241" s="473" t="e">
        <f>INDEX(V$155:V342,MATCH(ROWS(AJ$155:AJ241),AJ$155:AJ342,0))</f>
        <v>#N/A</v>
      </c>
      <c r="AN241" s="473" t="e">
        <f t="shared" si="28"/>
        <v>#N/A</v>
      </c>
      <c r="AO241" s="473" t="e">
        <f t="shared" si="29"/>
        <v>#N/A</v>
      </c>
      <c r="AP241" s="473"/>
      <c r="AQ241" s="485" t="s">
        <v>1384</v>
      </c>
      <c r="AR241" s="107"/>
    </row>
    <row r="242" spans="1:44" ht="47.15" customHeight="1" x14ac:dyDescent="0.35">
      <c r="A242" s="146">
        <v>87</v>
      </c>
      <c r="B242" s="475"/>
      <c r="C242" s="475"/>
      <c r="D242" s="148"/>
      <c r="E242" s="476" t="str">
        <f>IFERROR(IF(AND(K242="",T242=""),"",(VLOOKUP(Q242,'Reference records(soft deleted)'!$B$118:$D$162,3,FALSE))),"")</f>
        <v/>
      </c>
      <c r="F242" s="477"/>
      <c r="G242" s="477"/>
      <c r="H242" s="478" t="str">
        <f>IF(R242="",IFERROR(VLOOKUP(AC242,'Reference Records'!G$413:J780,4,0),""),IFERROR(VLOOKUP(AC242,'Reference Records'!H$413:J780,3,0),""))</f>
        <v/>
      </c>
      <c r="I242" s="478"/>
      <c r="J242" s="479"/>
      <c r="K242" s="476" t="str">
        <f>IFERROR(VLOOKUP(INDEX('Reference Records'!E$412:E781,MATCH(R242,'Reference Records'!F$412:F781,0),1),'Reference Records'!B$211:C744,2,0),"")</f>
        <v/>
      </c>
      <c r="L242" s="478" t="e">
        <f>VLOOKUP(U242&amp;K242,'Reference Records'!H$212:I745,2,0)</f>
        <v>#N/A</v>
      </c>
      <c r="M242" s="478" t="e">
        <f>MATCH($L242,'Reference Records'!$E$413:$E$618,0)+ROW(Population_by_intervention) -1</f>
        <v>#N/A</v>
      </c>
      <c r="N242" s="478" t="e">
        <f>MATCH($L242,'Reference Records'!$E$413:$E$618,1)+ROW(Population_by_intervention) -1</f>
        <v>#N/A</v>
      </c>
      <c r="O242" s="478" t="e">
        <f>INDEX('Reference Records'!K$212:K745,MATCH(L242,'Reference Records'!B$212:B745,0))</f>
        <v>#N/A</v>
      </c>
      <c r="P242" s="478"/>
      <c r="Q242" s="480"/>
      <c r="R242" s="481"/>
      <c r="S242" s="478" t="str">
        <f>IFERROR(VLOOKUP(INDEX('Reference Records'!J$412:J781,MATCH(R242,'Reference Records'!F$412:F781),1),'Reference Records'!B$211:C744,2,0),"")</f>
        <v/>
      </c>
      <c r="T242" s="479"/>
      <c r="U242" s="482" t="str">
        <f>IFERROR(IF(VLOOKUP(E242,'Reference Records'!$F$159:$N$210,9,FALSE)=0,"",VLOOKUP(E242,'Reference Records'!$F$159:$N$210,9,FALSE)),"")</f>
        <v/>
      </c>
      <c r="V242" s="476" t="str">
        <f>IF(IF(Language="French",G242,F242)=0,"",IF(Language="French",G242,F242))</f>
        <v/>
      </c>
      <c r="W242" s="483" t="str">
        <f t="shared" si="19"/>
        <v/>
      </c>
      <c r="X242" s="484" t="str">
        <f t="shared" si="20"/>
        <v>a1P3p000007oOIJEA2</v>
      </c>
      <c r="Y242" s="484" t="b">
        <f t="shared" si="21"/>
        <v>0</v>
      </c>
      <c r="Z242" s="484" t="b">
        <f t="shared" si="22"/>
        <v>1</v>
      </c>
      <c r="AA242" s="484" t="str">
        <f>IF(R242="",IFERROR(VLOOKUP(AC242,'Reference Records'!G$413:J780,3,0),""),IFERROR(VLOOKUP(AC242,'Reference Records'!H$413:J780,2,0),""))</f>
        <v/>
      </c>
      <c r="AB242" s="484" t="s">
        <v>1385</v>
      </c>
      <c r="AC242" s="473" t="e">
        <f t="shared" si="23"/>
        <v>#N/A</v>
      </c>
      <c r="AD242" s="473" t="str">
        <f t="shared" si="24"/>
        <v/>
      </c>
      <c r="AE242" s="473" t="str">
        <f t="array" ref="AE242">IFERROR(IF(INDEX($W$155:$W$256, MATCH(0, IF(AD242=$E$155:$E$256, COUNTIF($AE$154:$AE241, $W$155:$W$256), ""), 0))=0,"",INDEX($W$155:$W$256, MATCH(0, IF(AD242=$E$155:$E$256, COUNTIF($AE$154:$AE241, $W$155:$W$256), ""), 0))),"")</f>
        <v/>
      </c>
      <c r="AF242" s="473" t="str">
        <f t="shared" si="25"/>
        <v>|empty|</v>
      </c>
      <c r="AG242" s="473" t="str">
        <f t="shared" si="26"/>
        <v>INT-211696</v>
      </c>
      <c r="AH242" s="473" t="e">
        <f t="shared" si="27"/>
        <v>#N/A</v>
      </c>
      <c r="AI242" s="473">
        <f>IF(COUNTIF($AH$155:AH343,"&lt;="&amp;AH242)=0,"",COUNTIF($AH$155:AH343,"&lt;="&amp;AH242))</f>
        <v>100</v>
      </c>
      <c r="AJ242" s="473">
        <f>RANK(AI242,AI$155:AI343,1)</f>
        <v>2</v>
      </c>
      <c r="AK242" s="473" t="e">
        <f>INDEX(E$155:E343,MATCH(ROWS(AJ$155:AJ242),AJ$155:AJ343,0))</f>
        <v>#N/A</v>
      </c>
      <c r="AL242" s="473" t="e">
        <f>INDEX(K$155:K343,MATCH(ROWS(AJ$155:AJ242),AJ$155:AJ343,0))</f>
        <v>#N/A</v>
      </c>
      <c r="AM242" s="473" t="e">
        <f>INDEX(V$155:V343,MATCH(ROWS(AJ$155:AJ242),AJ$155:AJ343,0))</f>
        <v>#N/A</v>
      </c>
      <c r="AN242" s="473" t="e">
        <f t="shared" si="28"/>
        <v>#N/A</v>
      </c>
      <c r="AO242" s="473" t="e">
        <f t="shared" si="29"/>
        <v>#N/A</v>
      </c>
      <c r="AP242" s="473"/>
      <c r="AQ242" s="485" t="s">
        <v>1386</v>
      </c>
      <c r="AR242" s="107"/>
    </row>
    <row r="243" spans="1:44" ht="47.15" customHeight="1" x14ac:dyDescent="0.35">
      <c r="A243" s="146">
        <v>88</v>
      </c>
      <c r="B243" s="475"/>
      <c r="C243" s="475"/>
      <c r="D243" s="148"/>
      <c r="E243" s="476" t="str">
        <f>IFERROR(IF(AND(K243="",T243=""),"",(VLOOKUP(Q243,'Reference records(soft deleted)'!$B$118:$D$162,3,FALSE))),"")</f>
        <v/>
      </c>
      <c r="F243" s="477"/>
      <c r="G243" s="477"/>
      <c r="H243" s="478" t="str">
        <f>IF(R243="",IFERROR(VLOOKUP(AC243,'Reference Records'!G$413:J781,4,0),""),IFERROR(VLOOKUP(AC243,'Reference Records'!H$413:J781,3,0),""))</f>
        <v/>
      </c>
      <c r="I243" s="478"/>
      <c r="J243" s="479"/>
      <c r="K243" s="476" t="str">
        <f>IFERROR(VLOOKUP(INDEX('Reference Records'!E$412:E782,MATCH(R243,'Reference Records'!F$412:F782,0),1),'Reference Records'!B$211:C745,2,0),"")</f>
        <v/>
      </c>
      <c r="L243" s="478" t="e">
        <f>VLOOKUP(U243&amp;K243,'Reference Records'!H$212:I746,2,0)</f>
        <v>#N/A</v>
      </c>
      <c r="M243" s="478" t="e">
        <f>MATCH($L243,'Reference Records'!$E$413:$E$618,0)+ROW(Population_by_intervention) -1</f>
        <v>#N/A</v>
      </c>
      <c r="N243" s="478" t="e">
        <f>MATCH($L243,'Reference Records'!$E$413:$E$618,1)+ROW(Population_by_intervention) -1</f>
        <v>#N/A</v>
      </c>
      <c r="O243" s="478" t="e">
        <f>INDEX('Reference Records'!K$212:K746,MATCH(L243,'Reference Records'!B$212:B746,0))</f>
        <v>#N/A</v>
      </c>
      <c r="P243" s="478"/>
      <c r="Q243" s="480"/>
      <c r="R243" s="481"/>
      <c r="S243" s="478" t="str">
        <f>IFERROR(VLOOKUP(INDEX('Reference Records'!J$412:J782,MATCH(R243,'Reference Records'!F$412:F782),1),'Reference Records'!B$211:C745,2,0),"")</f>
        <v/>
      </c>
      <c r="T243" s="479"/>
      <c r="U243" s="482" t="str">
        <f>IFERROR(IF(VLOOKUP(E243,'Reference Records'!$F$159:$N$210,9,FALSE)=0,"",VLOOKUP(E243,'Reference Records'!$F$159:$N$210,9,FALSE)),"")</f>
        <v/>
      </c>
      <c r="V243" s="476" t="str">
        <f>IF(IF(Language="French",G243,F243)=0,"",IF(Language="French",G243,F243))</f>
        <v/>
      </c>
      <c r="W243" s="483" t="str">
        <f t="shared" si="19"/>
        <v/>
      </c>
      <c r="X243" s="484" t="str">
        <f t="shared" si="20"/>
        <v>a1P3p000007oOIJEA2</v>
      </c>
      <c r="Y243" s="484" t="b">
        <f t="shared" si="21"/>
        <v>0</v>
      </c>
      <c r="Z243" s="484" t="b">
        <f t="shared" si="22"/>
        <v>1</v>
      </c>
      <c r="AA243" s="484" t="str">
        <f>IF(R243="",IFERROR(VLOOKUP(AC243,'Reference Records'!G$413:J781,3,0),""),IFERROR(VLOOKUP(AC243,'Reference Records'!H$413:J781,2,0),""))</f>
        <v/>
      </c>
      <c r="AB243" s="484" t="s">
        <v>1387</v>
      </c>
      <c r="AC243" s="473" t="e">
        <f t="shared" si="23"/>
        <v>#N/A</v>
      </c>
      <c r="AD243" s="473" t="str">
        <f t="shared" si="24"/>
        <v/>
      </c>
      <c r="AE243" s="473" t="str">
        <f t="array" ref="AE243">IFERROR(IF(INDEX($W$155:$W$256, MATCH(0, IF(AD243=$E$155:$E$256, COUNTIF($AE$154:$AE242, $W$155:$W$256), ""), 0))=0,"",INDEX($W$155:$W$256, MATCH(0, IF(AD243=$E$155:$E$256, COUNTIF($AE$154:$AE242, $W$155:$W$256), ""), 0))),"")</f>
        <v/>
      </c>
      <c r="AF243" s="473" t="str">
        <f t="shared" si="25"/>
        <v>|empty|</v>
      </c>
      <c r="AG243" s="473" t="str">
        <f t="shared" si="26"/>
        <v>INT-211747</v>
      </c>
      <c r="AH243" s="473" t="e">
        <f t="shared" si="27"/>
        <v>#N/A</v>
      </c>
      <c r="AI243" s="473">
        <f>IF(COUNTIF($AH$155:AH344,"&lt;="&amp;AH243)=0,"",COUNTIF($AH$155:AH344,"&lt;="&amp;AH243))</f>
        <v>100</v>
      </c>
      <c r="AJ243" s="473">
        <f>RANK(AI243,AI$155:AI344,1)</f>
        <v>2</v>
      </c>
      <c r="AK243" s="473" t="e">
        <f>INDEX(E$155:E344,MATCH(ROWS(AJ$155:AJ243),AJ$155:AJ344,0))</f>
        <v>#N/A</v>
      </c>
      <c r="AL243" s="473" t="e">
        <f>INDEX(K$155:K344,MATCH(ROWS(AJ$155:AJ243),AJ$155:AJ344,0))</f>
        <v>#N/A</v>
      </c>
      <c r="AM243" s="473" t="e">
        <f>INDEX(V$155:V344,MATCH(ROWS(AJ$155:AJ243),AJ$155:AJ344,0))</f>
        <v>#N/A</v>
      </c>
      <c r="AN243" s="473" t="e">
        <f t="shared" si="28"/>
        <v>#N/A</v>
      </c>
      <c r="AO243" s="473" t="e">
        <f t="shared" si="29"/>
        <v>#N/A</v>
      </c>
      <c r="AP243" s="473"/>
      <c r="AQ243" s="485" t="s">
        <v>1388</v>
      </c>
      <c r="AR243" s="107"/>
    </row>
    <row r="244" spans="1:44" ht="47.15" customHeight="1" x14ac:dyDescent="0.35">
      <c r="A244" s="146">
        <v>89</v>
      </c>
      <c r="B244" s="475"/>
      <c r="C244" s="475"/>
      <c r="D244" s="148"/>
      <c r="E244" s="476" t="str">
        <f>IFERROR(IF(AND(K244="",T244=""),"",(VLOOKUP(Q244,'Reference records(soft deleted)'!$B$118:$D$162,3,FALSE))),"")</f>
        <v/>
      </c>
      <c r="F244" s="477"/>
      <c r="G244" s="477"/>
      <c r="H244" s="478" t="str">
        <f>IF(R244="",IFERROR(VLOOKUP(AC244,'Reference Records'!G$413:J782,4,0),""),IFERROR(VLOOKUP(AC244,'Reference Records'!H$413:J782,3,0),""))</f>
        <v/>
      </c>
      <c r="I244" s="478"/>
      <c r="J244" s="479"/>
      <c r="K244" s="476" t="str">
        <f>IFERROR(VLOOKUP(INDEX('Reference Records'!E$412:E783,MATCH(R244,'Reference Records'!F$412:F783,0),1),'Reference Records'!B$211:C746,2,0),"")</f>
        <v/>
      </c>
      <c r="L244" s="478" t="e">
        <f>VLOOKUP(U244&amp;K244,'Reference Records'!H$212:I747,2,0)</f>
        <v>#N/A</v>
      </c>
      <c r="M244" s="478" t="e">
        <f>MATCH($L244,'Reference Records'!$E$413:$E$618,0)+ROW(Population_by_intervention) -1</f>
        <v>#N/A</v>
      </c>
      <c r="N244" s="478" t="e">
        <f>MATCH($L244,'Reference Records'!$E$413:$E$618,1)+ROW(Population_by_intervention) -1</f>
        <v>#N/A</v>
      </c>
      <c r="O244" s="478" t="e">
        <f>INDEX('Reference Records'!K$212:K747,MATCH(L244,'Reference Records'!B$212:B747,0))</f>
        <v>#N/A</v>
      </c>
      <c r="P244" s="478"/>
      <c r="Q244" s="480"/>
      <c r="R244" s="481"/>
      <c r="S244" s="478" t="str">
        <f>IFERROR(VLOOKUP(INDEX('Reference Records'!J$412:J783,MATCH(R244,'Reference Records'!F$412:F783),1),'Reference Records'!B$211:C746,2,0),"")</f>
        <v/>
      </c>
      <c r="T244" s="479"/>
      <c r="U244" s="482" t="str">
        <f>IFERROR(IF(VLOOKUP(E244,'Reference Records'!$F$159:$N$210,9,FALSE)=0,"",VLOOKUP(E244,'Reference Records'!$F$159:$N$210,9,FALSE)),"")</f>
        <v/>
      </c>
      <c r="V244" s="476" t="str">
        <f>IF(IF(Language="French",G244,F244)=0,"",IF(Language="French",G244,F244))</f>
        <v/>
      </c>
      <c r="W244" s="483" t="str">
        <f t="shared" si="19"/>
        <v/>
      </c>
      <c r="X244" s="484" t="str">
        <f t="shared" si="20"/>
        <v>a1P3p000007oOIJEA2</v>
      </c>
      <c r="Y244" s="484" t="b">
        <f t="shared" si="21"/>
        <v>0</v>
      </c>
      <c r="Z244" s="484" t="b">
        <f t="shared" si="22"/>
        <v>1</v>
      </c>
      <c r="AA244" s="484" t="str">
        <f>IF(R244="",IFERROR(VLOOKUP(AC244,'Reference Records'!G$413:J782,3,0),""),IFERROR(VLOOKUP(AC244,'Reference Records'!H$413:J782,2,0),""))</f>
        <v/>
      </c>
      <c r="AB244" s="484" t="s">
        <v>1389</v>
      </c>
      <c r="AC244" s="473" t="e">
        <f t="shared" si="23"/>
        <v>#N/A</v>
      </c>
      <c r="AD244" s="473" t="str">
        <f t="shared" si="24"/>
        <v/>
      </c>
      <c r="AE244" s="473" t="str">
        <f t="array" ref="AE244">IFERROR(IF(INDEX($W$155:$W$256, MATCH(0, IF(AD244=$E$155:$E$256, COUNTIF($AE$154:$AE243, $W$155:$W$256), ""), 0))=0,"",INDEX($W$155:$W$256, MATCH(0, IF(AD244=$E$155:$E$256, COUNTIF($AE$154:$AE243, $W$155:$W$256), ""), 0))),"")</f>
        <v/>
      </c>
      <c r="AF244" s="473" t="str">
        <f t="shared" si="25"/>
        <v>|empty|</v>
      </c>
      <c r="AG244" s="473" t="str">
        <f t="shared" si="26"/>
        <v>INT-211697</v>
      </c>
      <c r="AH244" s="473" t="e">
        <f t="shared" si="27"/>
        <v>#N/A</v>
      </c>
      <c r="AI244" s="473">
        <f>IF(COUNTIF($AH$155:AH345,"&lt;="&amp;AH244)=0,"",COUNTIF($AH$155:AH345,"&lt;="&amp;AH244))</f>
        <v>100</v>
      </c>
      <c r="AJ244" s="473">
        <f>RANK(AI244,AI$155:AI345,1)</f>
        <v>2</v>
      </c>
      <c r="AK244" s="473" t="e">
        <f>INDEX(E$155:E345,MATCH(ROWS(AJ$155:AJ244),AJ$155:AJ345,0))</f>
        <v>#N/A</v>
      </c>
      <c r="AL244" s="473" t="e">
        <f>INDEX(K$155:K345,MATCH(ROWS(AJ$155:AJ244),AJ$155:AJ345,0))</f>
        <v>#N/A</v>
      </c>
      <c r="AM244" s="473" t="e">
        <f>INDEX(V$155:V345,MATCH(ROWS(AJ$155:AJ244),AJ$155:AJ345,0))</f>
        <v>#N/A</v>
      </c>
      <c r="AN244" s="473" t="e">
        <f t="shared" si="28"/>
        <v>#N/A</v>
      </c>
      <c r="AO244" s="473" t="e">
        <f t="shared" si="29"/>
        <v>#N/A</v>
      </c>
      <c r="AP244" s="473"/>
      <c r="AQ244" s="485" t="s">
        <v>1390</v>
      </c>
      <c r="AR244" s="107"/>
    </row>
    <row r="245" spans="1:44" ht="47.15" customHeight="1" x14ac:dyDescent="0.35">
      <c r="A245" s="146">
        <v>90</v>
      </c>
      <c r="B245" s="475"/>
      <c r="C245" s="475"/>
      <c r="D245" s="148"/>
      <c r="E245" s="476" t="str">
        <f>IFERROR(IF(AND(K245="",T245=""),"",(VLOOKUP(Q245,'Reference records(soft deleted)'!$B$118:$D$162,3,FALSE))),"")</f>
        <v/>
      </c>
      <c r="F245" s="477"/>
      <c r="G245" s="477"/>
      <c r="H245" s="478" t="str">
        <f>IF(R245="",IFERROR(VLOOKUP(AC245,'Reference Records'!G$413:J783,4,0),""),IFERROR(VLOOKUP(AC245,'Reference Records'!H$413:J783,3,0),""))</f>
        <v/>
      </c>
      <c r="I245" s="478"/>
      <c r="J245" s="479"/>
      <c r="K245" s="476" t="str">
        <f>IFERROR(VLOOKUP(INDEX('Reference Records'!E$412:E784,MATCH(R245,'Reference Records'!F$412:F784,0),1),'Reference Records'!B$211:C747,2,0),"")</f>
        <v/>
      </c>
      <c r="L245" s="478" t="e">
        <f>VLOOKUP(U245&amp;K245,'Reference Records'!H$212:I748,2,0)</f>
        <v>#N/A</v>
      </c>
      <c r="M245" s="478" t="e">
        <f>MATCH($L245,'Reference Records'!$E$413:$E$618,0)+ROW(Population_by_intervention) -1</f>
        <v>#N/A</v>
      </c>
      <c r="N245" s="478" t="e">
        <f>MATCH($L245,'Reference Records'!$E$413:$E$618,1)+ROW(Population_by_intervention) -1</f>
        <v>#N/A</v>
      </c>
      <c r="O245" s="478" t="e">
        <f>INDEX('Reference Records'!K$212:K748,MATCH(L245,'Reference Records'!B$212:B748,0))</f>
        <v>#N/A</v>
      </c>
      <c r="P245" s="478"/>
      <c r="Q245" s="480"/>
      <c r="R245" s="481"/>
      <c r="S245" s="478" t="str">
        <f>IFERROR(VLOOKUP(INDEX('Reference Records'!J$412:J784,MATCH(R245,'Reference Records'!F$412:F784),1),'Reference Records'!B$211:C747,2,0),"")</f>
        <v/>
      </c>
      <c r="T245" s="479"/>
      <c r="U245" s="482" t="str">
        <f>IFERROR(IF(VLOOKUP(E245,'Reference Records'!$F$159:$N$210,9,FALSE)=0,"",VLOOKUP(E245,'Reference Records'!$F$159:$N$210,9,FALSE)),"")</f>
        <v/>
      </c>
      <c r="V245" s="476" t="str">
        <f>IF(IF(Language="French",G245,F245)=0,"",IF(Language="French",G245,F245))</f>
        <v/>
      </c>
      <c r="W245" s="483" t="str">
        <f t="shared" si="19"/>
        <v/>
      </c>
      <c r="X245" s="484" t="str">
        <f t="shared" si="20"/>
        <v>a1P3p000007oOIJEA2</v>
      </c>
      <c r="Y245" s="484" t="b">
        <f t="shared" si="21"/>
        <v>0</v>
      </c>
      <c r="Z245" s="484" t="b">
        <f t="shared" si="22"/>
        <v>1</v>
      </c>
      <c r="AA245" s="484" t="str">
        <f>IF(R245="",IFERROR(VLOOKUP(AC245,'Reference Records'!G$413:J783,3,0),""),IFERROR(VLOOKUP(AC245,'Reference Records'!H$413:J783,2,0),""))</f>
        <v/>
      </c>
      <c r="AB245" s="484" t="s">
        <v>1391</v>
      </c>
      <c r="AC245" s="473" t="e">
        <f t="shared" si="23"/>
        <v>#N/A</v>
      </c>
      <c r="AD245" s="473" t="str">
        <f t="shared" si="24"/>
        <v/>
      </c>
      <c r="AE245" s="473" t="str">
        <f t="array" ref="AE245">IFERROR(IF(INDEX($W$155:$W$256, MATCH(0, IF(AD245=$E$155:$E$256, COUNTIF($AE$154:$AE244, $W$155:$W$256), ""), 0))=0,"",INDEX($W$155:$W$256, MATCH(0, IF(AD245=$E$155:$E$256, COUNTIF($AE$154:$AE244, $W$155:$W$256), ""), 0))),"")</f>
        <v/>
      </c>
      <c r="AF245" s="473" t="str">
        <f t="shared" si="25"/>
        <v>|empty|</v>
      </c>
      <c r="AG245" s="473" t="str">
        <f t="shared" si="26"/>
        <v>INT-211748</v>
      </c>
      <c r="AH245" s="473" t="e">
        <f t="shared" si="27"/>
        <v>#N/A</v>
      </c>
      <c r="AI245" s="473">
        <f>IF(COUNTIF($AH$155:AH346,"&lt;="&amp;AH245)=0,"",COUNTIF($AH$155:AH346,"&lt;="&amp;AH245))</f>
        <v>100</v>
      </c>
      <c r="AJ245" s="473">
        <f>RANK(AI245,AI$155:AI346,1)</f>
        <v>2</v>
      </c>
      <c r="AK245" s="473" t="e">
        <f>INDEX(E$155:E346,MATCH(ROWS(AJ$155:AJ245),AJ$155:AJ346,0))</f>
        <v>#N/A</v>
      </c>
      <c r="AL245" s="473" t="e">
        <f>INDEX(K$155:K346,MATCH(ROWS(AJ$155:AJ245),AJ$155:AJ346,0))</f>
        <v>#N/A</v>
      </c>
      <c r="AM245" s="473" t="e">
        <f>INDEX(V$155:V346,MATCH(ROWS(AJ$155:AJ245),AJ$155:AJ346,0))</f>
        <v>#N/A</v>
      </c>
      <c r="AN245" s="473" t="e">
        <f t="shared" si="28"/>
        <v>#N/A</v>
      </c>
      <c r="AO245" s="473" t="e">
        <f t="shared" si="29"/>
        <v>#N/A</v>
      </c>
      <c r="AP245" s="473"/>
      <c r="AQ245" s="485" t="s">
        <v>1392</v>
      </c>
      <c r="AR245" s="107"/>
    </row>
    <row r="246" spans="1:44" ht="47.15" customHeight="1" x14ac:dyDescent="0.35">
      <c r="A246" s="146">
        <v>91</v>
      </c>
      <c r="B246" s="475"/>
      <c r="C246" s="475"/>
      <c r="D246" s="148"/>
      <c r="E246" s="476" t="str">
        <f>IFERROR(IF(AND(K246="",T246=""),"",(VLOOKUP(Q246,'Reference records(soft deleted)'!$B$118:$D$162,3,FALSE))),"")</f>
        <v/>
      </c>
      <c r="F246" s="477"/>
      <c r="G246" s="477"/>
      <c r="H246" s="478" t="str">
        <f>IF(R246="",IFERROR(VLOOKUP(AC246,'Reference Records'!G$413:J784,4,0),""),IFERROR(VLOOKUP(AC246,'Reference Records'!H$413:J784,3,0),""))</f>
        <v/>
      </c>
      <c r="I246" s="478"/>
      <c r="J246" s="479"/>
      <c r="K246" s="476" t="str">
        <f>IFERROR(VLOOKUP(INDEX('Reference Records'!E$412:E785,MATCH(R246,'Reference Records'!F$412:F785,0),1),'Reference Records'!B$211:C748,2,0),"")</f>
        <v/>
      </c>
      <c r="L246" s="478" t="e">
        <f>VLOOKUP(U246&amp;K246,'Reference Records'!H$212:I749,2,0)</f>
        <v>#N/A</v>
      </c>
      <c r="M246" s="478" t="e">
        <f>MATCH($L246,'Reference Records'!$E$413:$E$618,0)+ROW(Population_by_intervention) -1</f>
        <v>#N/A</v>
      </c>
      <c r="N246" s="478" t="e">
        <f>MATCH($L246,'Reference Records'!$E$413:$E$618,1)+ROW(Population_by_intervention) -1</f>
        <v>#N/A</v>
      </c>
      <c r="O246" s="478" t="e">
        <f>INDEX('Reference Records'!K$212:K749,MATCH(L246,'Reference Records'!B$212:B749,0))</f>
        <v>#N/A</v>
      </c>
      <c r="P246" s="478"/>
      <c r="Q246" s="480"/>
      <c r="R246" s="481"/>
      <c r="S246" s="478" t="str">
        <f>IFERROR(VLOOKUP(INDEX('Reference Records'!J$412:J785,MATCH(R246,'Reference Records'!F$412:F785),1),'Reference Records'!B$211:C748,2,0),"")</f>
        <v/>
      </c>
      <c r="T246" s="479"/>
      <c r="U246" s="482" t="str">
        <f>IFERROR(IF(VLOOKUP(E246,'Reference Records'!$F$159:$N$210,9,FALSE)=0,"",VLOOKUP(E246,'Reference Records'!$F$159:$N$210,9,FALSE)),"")</f>
        <v/>
      </c>
      <c r="V246" s="476" t="str">
        <f>IF(IF(Language="French",G246,F246)=0,"",IF(Language="French",G246,F246))</f>
        <v/>
      </c>
      <c r="W246" s="483" t="str">
        <f t="shared" si="19"/>
        <v/>
      </c>
      <c r="X246" s="484" t="str">
        <f t="shared" si="20"/>
        <v>a1P3p000007oOIJEA2</v>
      </c>
      <c r="Y246" s="484" t="b">
        <f t="shared" si="21"/>
        <v>0</v>
      </c>
      <c r="Z246" s="484" t="b">
        <f t="shared" si="22"/>
        <v>1</v>
      </c>
      <c r="AA246" s="484" t="str">
        <f>IF(R246="",IFERROR(VLOOKUP(AC246,'Reference Records'!G$413:J784,3,0),""),IFERROR(VLOOKUP(AC246,'Reference Records'!H$413:J784,2,0),""))</f>
        <v/>
      </c>
      <c r="AB246" s="484" t="s">
        <v>1393</v>
      </c>
      <c r="AC246" s="473" t="e">
        <f t="shared" si="23"/>
        <v>#N/A</v>
      </c>
      <c r="AD246" s="473" t="str">
        <f t="shared" si="24"/>
        <v/>
      </c>
      <c r="AE246" s="473" t="str">
        <f t="array" ref="AE246">IFERROR(IF(INDEX($W$155:$W$256, MATCH(0, IF(AD246=$E$155:$E$256, COUNTIF($AE$154:$AE245, $W$155:$W$256), ""), 0))=0,"",INDEX($W$155:$W$256, MATCH(0, IF(AD246=$E$155:$E$256, COUNTIF($AE$154:$AE245, $W$155:$W$256), ""), 0))),"")</f>
        <v/>
      </c>
      <c r="AF246" s="473" t="str">
        <f t="shared" si="25"/>
        <v>|empty|</v>
      </c>
      <c r="AG246" s="473" t="str">
        <f t="shared" si="26"/>
        <v>INT-211698</v>
      </c>
      <c r="AH246" s="473" t="e">
        <f t="shared" si="27"/>
        <v>#N/A</v>
      </c>
      <c r="AI246" s="473">
        <f>IF(COUNTIF($AH$155:AH347,"&lt;="&amp;AH246)=0,"",COUNTIF($AH$155:AH347,"&lt;="&amp;AH246))</f>
        <v>100</v>
      </c>
      <c r="AJ246" s="473">
        <f>RANK(AI246,AI$155:AI347,1)</f>
        <v>2</v>
      </c>
      <c r="AK246" s="473" t="e">
        <f>INDEX(E$155:E347,MATCH(ROWS(AJ$155:AJ246),AJ$155:AJ347,0))</f>
        <v>#N/A</v>
      </c>
      <c r="AL246" s="473" t="e">
        <f>INDEX(K$155:K347,MATCH(ROWS(AJ$155:AJ246),AJ$155:AJ347,0))</f>
        <v>#N/A</v>
      </c>
      <c r="AM246" s="473" t="e">
        <f>INDEX(V$155:V347,MATCH(ROWS(AJ$155:AJ246),AJ$155:AJ347,0))</f>
        <v>#N/A</v>
      </c>
      <c r="AN246" s="473" t="e">
        <f t="shared" si="28"/>
        <v>#N/A</v>
      </c>
      <c r="AO246" s="473" t="e">
        <f t="shared" si="29"/>
        <v>#N/A</v>
      </c>
      <c r="AP246" s="473"/>
      <c r="AQ246" s="485" t="s">
        <v>1394</v>
      </c>
      <c r="AR246" s="107"/>
    </row>
    <row r="247" spans="1:44" ht="47.15" customHeight="1" x14ac:dyDescent="0.35">
      <c r="A247" s="146">
        <v>92</v>
      </c>
      <c r="B247" s="475"/>
      <c r="C247" s="475"/>
      <c r="D247" s="148"/>
      <c r="E247" s="476" t="str">
        <f>IFERROR(IF(AND(K247="",T247=""),"",(VLOOKUP(Q247,'Reference records(soft deleted)'!$B$118:$D$162,3,FALSE))),"")</f>
        <v/>
      </c>
      <c r="F247" s="477"/>
      <c r="G247" s="477"/>
      <c r="H247" s="478" t="str">
        <f>IF(R247="",IFERROR(VLOOKUP(AC247,'Reference Records'!G$413:J785,4,0),""),IFERROR(VLOOKUP(AC247,'Reference Records'!H$413:J785,3,0),""))</f>
        <v/>
      </c>
      <c r="I247" s="478"/>
      <c r="J247" s="479"/>
      <c r="K247" s="476" t="str">
        <f>IFERROR(VLOOKUP(INDEX('Reference Records'!E$412:E786,MATCH(R247,'Reference Records'!F$412:F786,0),1),'Reference Records'!B$211:C749,2,0),"")</f>
        <v/>
      </c>
      <c r="L247" s="478" t="e">
        <f>VLOOKUP(U247&amp;K247,'Reference Records'!H$212:I750,2,0)</f>
        <v>#N/A</v>
      </c>
      <c r="M247" s="478" t="e">
        <f>MATCH($L247,'Reference Records'!$E$413:$E$618,0)+ROW(Population_by_intervention) -1</f>
        <v>#N/A</v>
      </c>
      <c r="N247" s="478" t="e">
        <f>MATCH($L247,'Reference Records'!$E$413:$E$618,1)+ROW(Population_by_intervention) -1</f>
        <v>#N/A</v>
      </c>
      <c r="O247" s="478" t="e">
        <f>INDEX('Reference Records'!K$212:K750,MATCH(L247,'Reference Records'!B$212:B750,0))</f>
        <v>#N/A</v>
      </c>
      <c r="P247" s="478"/>
      <c r="Q247" s="480"/>
      <c r="R247" s="481"/>
      <c r="S247" s="478" t="str">
        <f>IFERROR(VLOOKUP(INDEX('Reference Records'!J$412:J786,MATCH(R247,'Reference Records'!F$412:F786),1),'Reference Records'!B$211:C749,2,0),"")</f>
        <v/>
      </c>
      <c r="T247" s="479"/>
      <c r="U247" s="482" t="str">
        <f>IFERROR(IF(VLOOKUP(E247,'Reference Records'!$F$159:$N$210,9,FALSE)=0,"",VLOOKUP(E247,'Reference Records'!$F$159:$N$210,9,FALSE)),"")</f>
        <v/>
      </c>
      <c r="V247" s="476" t="str">
        <f>IF(IF(Language="French",G247,F247)=0,"",IF(Language="French",G247,F247))</f>
        <v/>
      </c>
      <c r="W247" s="483" t="str">
        <f t="shared" si="19"/>
        <v/>
      </c>
      <c r="X247" s="484" t="str">
        <f t="shared" si="20"/>
        <v>a1P3p000007oOIJEA2</v>
      </c>
      <c r="Y247" s="484" t="b">
        <f t="shared" si="21"/>
        <v>0</v>
      </c>
      <c r="Z247" s="484" t="b">
        <f t="shared" si="22"/>
        <v>1</v>
      </c>
      <c r="AA247" s="484" t="str">
        <f>IF(R247="",IFERROR(VLOOKUP(AC247,'Reference Records'!G$413:J785,3,0),""),IFERROR(VLOOKUP(AC247,'Reference Records'!H$413:J785,2,0),""))</f>
        <v/>
      </c>
      <c r="AB247" s="484" t="s">
        <v>1395</v>
      </c>
      <c r="AC247" s="473" t="e">
        <f t="shared" si="23"/>
        <v>#N/A</v>
      </c>
      <c r="AD247" s="473" t="str">
        <f t="shared" si="24"/>
        <v/>
      </c>
      <c r="AE247" s="473" t="str">
        <f t="array" ref="AE247">IFERROR(IF(INDEX($W$155:$W$256, MATCH(0, IF(AD247=$E$155:$E$256, COUNTIF($AE$154:$AE246, $W$155:$W$256), ""), 0))=0,"",INDEX($W$155:$W$256, MATCH(0, IF(AD247=$E$155:$E$256, COUNTIF($AE$154:$AE246, $W$155:$W$256), ""), 0))),"")</f>
        <v/>
      </c>
      <c r="AF247" s="473" t="str">
        <f t="shared" si="25"/>
        <v>|empty|</v>
      </c>
      <c r="AG247" s="473" t="str">
        <f t="shared" si="26"/>
        <v>INT-211745</v>
      </c>
      <c r="AH247" s="473" t="e">
        <f t="shared" si="27"/>
        <v>#N/A</v>
      </c>
      <c r="AI247" s="473">
        <f>IF(COUNTIF($AH$155:AH348,"&lt;="&amp;AH247)=0,"",COUNTIF($AH$155:AH348,"&lt;="&amp;AH247))</f>
        <v>100</v>
      </c>
      <c r="AJ247" s="473">
        <f>RANK(AI247,AI$155:AI348,1)</f>
        <v>2</v>
      </c>
      <c r="AK247" s="473" t="e">
        <f>INDEX(E$155:E348,MATCH(ROWS(AJ$155:AJ247),AJ$155:AJ348,0))</f>
        <v>#N/A</v>
      </c>
      <c r="AL247" s="473" t="e">
        <f>INDEX(K$155:K348,MATCH(ROWS(AJ$155:AJ247),AJ$155:AJ348,0))</f>
        <v>#N/A</v>
      </c>
      <c r="AM247" s="473" t="e">
        <f>INDEX(V$155:V348,MATCH(ROWS(AJ$155:AJ247),AJ$155:AJ348,0))</f>
        <v>#N/A</v>
      </c>
      <c r="AN247" s="473" t="e">
        <f t="shared" si="28"/>
        <v>#N/A</v>
      </c>
      <c r="AO247" s="473" t="e">
        <f t="shared" si="29"/>
        <v>#N/A</v>
      </c>
      <c r="AP247" s="473"/>
      <c r="AQ247" s="485" t="s">
        <v>1396</v>
      </c>
      <c r="AR247" s="107"/>
    </row>
    <row r="248" spans="1:44" ht="47.15" customHeight="1" x14ac:dyDescent="0.35">
      <c r="A248" s="146">
        <v>93</v>
      </c>
      <c r="B248" s="475"/>
      <c r="C248" s="475"/>
      <c r="D248" s="148"/>
      <c r="E248" s="476" t="str">
        <f>IFERROR(IF(AND(K248="",T248=""),"",(VLOOKUP(Q248,'Reference records(soft deleted)'!$B$118:$D$162,3,FALSE))),"")</f>
        <v/>
      </c>
      <c r="F248" s="477"/>
      <c r="G248" s="477"/>
      <c r="H248" s="478" t="str">
        <f>IF(R248="",IFERROR(VLOOKUP(AC248,'Reference Records'!G$413:J786,4,0),""),IFERROR(VLOOKUP(AC248,'Reference Records'!H$413:J786,3,0),""))</f>
        <v/>
      </c>
      <c r="I248" s="478"/>
      <c r="J248" s="479"/>
      <c r="K248" s="476" t="str">
        <f>IFERROR(VLOOKUP(INDEX('Reference Records'!E$412:E787,MATCH(R248,'Reference Records'!F$412:F787,0),1),'Reference Records'!B$211:C750,2,0),"")</f>
        <v/>
      </c>
      <c r="L248" s="478" t="e">
        <f>VLOOKUP(U248&amp;K248,'Reference Records'!H$212:I751,2,0)</f>
        <v>#N/A</v>
      </c>
      <c r="M248" s="478" t="e">
        <f>MATCH($L248,'Reference Records'!$E$413:$E$618,0)+ROW(Population_by_intervention) -1</f>
        <v>#N/A</v>
      </c>
      <c r="N248" s="478" t="e">
        <f>MATCH($L248,'Reference Records'!$E$413:$E$618,1)+ROW(Population_by_intervention) -1</f>
        <v>#N/A</v>
      </c>
      <c r="O248" s="478" t="e">
        <f>INDEX('Reference Records'!K$212:K751,MATCH(L248,'Reference Records'!B$212:B751,0))</f>
        <v>#N/A</v>
      </c>
      <c r="P248" s="478"/>
      <c r="Q248" s="480"/>
      <c r="R248" s="481"/>
      <c r="S248" s="478" t="str">
        <f>IFERROR(VLOOKUP(INDEX('Reference Records'!J$412:J787,MATCH(R248,'Reference Records'!F$412:F787),1),'Reference Records'!B$211:C750,2,0),"")</f>
        <v/>
      </c>
      <c r="T248" s="479"/>
      <c r="U248" s="482" t="str">
        <f>IFERROR(IF(VLOOKUP(E248,'Reference Records'!$F$159:$N$210,9,FALSE)=0,"",VLOOKUP(E248,'Reference Records'!$F$159:$N$210,9,FALSE)),"")</f>
        <v/>
      </c>
      <c r="V248" s="476" t="str">
        <f>IF(IF(Language="French",G248,F248)=0,"",IF(Language="French",G248,F248))</f>
        <v/>
      </c>
      <c r="W248" s="483" t="str">
        <f t="shared" si="19"/>
        <v/>
      </c>
      <c r="X248" s="484" t="str">
        <f t="shared" si="20"/>
        <v>a1P3p000007oOIJEA2</v>
      </c>
      <c r="Y248" s="484" t="b">
        <f t="shared" si="21"/>
        <v>0</v>
      </c>
      <c r="Z248" s="484" t="b">
        <f t="shared" si="22"/>
        <v>1</v>
      </c>
      <c r="AA248" s="484" t="str">
        <f>IF(R248="",IFERROR(VLOOKUP(AC248,'Reference Records'!G$413:J786,3,0),""),IFERROR(VLOOKUP(AC248,'Reference Records'!H$413:J786,2,0),""))</f>
        <v/>
      </c>
      <c r="AB248" s="484" t="s">
        <v>1397</v>
      </c>
      <c r="AC248" s="473" t="e">
        <f t="shared" si="23"/>
        <v>#N/A</v>
      </c>
      <c r="AD248" s="473" t="str">
        <f t="shared" si="24"/>
        <v/>
      </c>
      <c r="AE248" s="473" t="str">
        <f t="array" ref="AE248">IFERROR(IF(INDEX($W$155:$W$256, MATCH(0, IF(AD248=$E$155:$E$256, COUNTIF($AE$154:$AE247, $W$155:$W$256), ""), 0))=0,"",INDEX($W$155:$W$256, MATCH(0, IF(AD248=$E$155:$E$256, COUNTIF($AE$154:$AE247, $W$155:$W$256), ""), 0))),"")</f>
        <v/>
      </c>
      <c r="AF248" s="473" t="str">
        <f t="shared" si="25"/>
        <v>|empty|</v>
      </c>
      <c r="AG248" s="473" t="str">
        <f t="shared" si="26"/>
        <v>INT-211699</v>
      </c>
      <c r="AH248" s="473" t="e">
        <f t="shared" si="27"/>
        <v>#N/A</v>
      </c>
      <c r="AI248" s="473">
        <f>IF(COUNTIF($AH$155:AH349,"&lt;="&amp;AH248)=0,"",COUNTIF($AH$155:AH349,"&lt;="&amp;AH248))</f>
        <v>100</v>
      </c>
      <c r="AJ248" s="473">
        <f>RANK(AI248,AI$155:AI349,1)</f>
        <v>2</v>
      </c>
      <c r="AK248" s="473" t="e">
        <f>INDEX(E$155:E349,MATCH(ROWS(AJ$155:AJ248),AJ$155:AJ349,0))</f>
        <v>#N/A</v>
      </c>
      <c r="AL248" s="473" t="e">
        <f>INDEX(K$155:K349,MATCH(ROWS(AJ$155:AJ248),AJ$155:AJ349,0))</f>
        <v>#N/A</v>
      </c>
      <c r="AM248" s="473" t="e">
        <f>INDEX(V$155:V349,MATCH(ROWS(AJ$155:AJ248),AJ$155:AJ349,0))</f>
        <v>#N/A</v>
      </c>
      <c r="AN248" s="473" t="e">
        <f t="shared" si="28"/>
        <v>#N/A</v>
      </c>
      <c r="AO248" s="473" t="e">
        <f t="shared" si="29"/>
        <v>#N/A</v>
      </c>
      <c r="AP248" s="473"/>
      <c r="AQ248" s="485" t="s">
        <v>1398</v>
      </c>
      <c r="AR248" s="107"/>
    </row>
    <row r="249" spans="1:44" ht="47.15" customHeight="1" x14ac:dyDescent="0.35">
      <c r="A249" s="146">
        <v>94</v>
      </c>
      <c r="B249" s="475"/>
      <c r="C249" s="475"/>
      <c r="D249" s="148"/>
      <c r="E249" s="476" t="str">
        <f>IFERROR(IF(AND(K249="",T249=""),"",(VLOOKUP(Q249,'Reference records(soft deleted)'!$B$118:$D$162,3,FALSE))),"")</f>
        <v/>
      </c>
      <c r="F249" s="477"/>
      <c r="G249" s="477"/>
      <c r="H249" s="478" t="str">
        <f>IF(R249="",IFERROR(VLOOKUP(AC249,'Reference Records'!G$413:J787,4,0),""),IFERROR(VLOOKUP(AC249,'Reference Records'!H$413:J787,3,0),""))</f>
        <v/>
      </c>
      <c r="I249" s="478"/>
      <c r="J249" s="479"/>
      <c r="K249" s="476" t="str">
        <f>IFERROR(VLOOKUP(INDEX('Reference Records'!E$412:E788,MATCH(R249,'Reference Records'!F$412:F788,0),1),'Reference Records'!B$211:C751,2,0),"")</f>
        <v/>
      </c>
      <c r="L249" s="478" t="e">
        <f>VLOOKUP(U249&amp;K249,'Reference Records'!H$212:I752,2,0)</f>
        <v>#N/A</v>
      </c>
      <c r="M249" s="478" t="e">
        <f>MATCH($L249,'Reference Records'!$E$413:$E$618,0)+ROW(Population_by_intervention) -1</f>
        <v>#N/A</v>
      </c>
      <c r="N249" s="478" t="e">
        <f>MATCH($L249,'Reference Records'!$E$413:$E$618,1)+ROW(Population_by_intervention) -1</f>
        <v>#N/A</v>
      </c>
      <c r="O249" s="478" t="e">
        <f>INDEX('Reference Records'!K$212:K752,MATCH(L249,'Reference Records'!B$212:B752,0))</f>
        <v>#N/A</v>
      </c>
      <c r="P249" s="478"/>
      <c r="Q249" s="480"/>
      <c r="R249" s="481"/>
      <c r="S249" s="478" t="str">
        <f>IFERROR(VLOOKUP(INDEX('Reference Records'!J$412:J788,MATCH(R249,'Reference Records'!F$412:F788),1),'Reference Records'!B$211:C751,2,0),"")</f>
        <v/>
      </c>
      <c r="T249" s="479"/>
      <c r="U249" s="482" t="str">
        <f>IFERROR(IF(VLOOKUP(E249,'Reference Records'!$F$159:$N$210,9,FALSE)=0,"",VLOOKUP(E249,'Reference Records'!$F$159:$N$210,9,FALSE)),"")</f>
        <v/>
      </c>
      <c r="V249" s="476" t="str">
        <f>IF(IF(Language="French",G249,F249)=0,"",IF(Language="French",G249,F249))</f>
        <v/>
      </c>
      <c r="W249" s="483" t="str">
        <f t="shared" si="19"/>
        <v/>
      </c>
      <c r="X249" s="484" t="str">
        <f t="shared" si="20"/>
        <v>a1P3p000007oOIJEA2</v>
      </c>
      <c r="Y249" s="484" t="b">
        <f t="shared" si="21"/>
        <v>0</v>
      </c>
      <c r="Z249" s="484" t="b">
        <f t="shared" si="22"/>
        <v>1</v>
      </c>
      <c r="AA249" s="484" t="str">
        <f>IF(R249="",IFERROR(VLOOKUP(AC249,'Reference Records'!G$413:J787,3,0),""),IFERROR(VLOOKUP(AC249,'Reference Records'!H$413:J787,2,0),""))</f>
        <v/>
      </c>
      <c r="AB249" s="484" t="s">
        <v>1399</v>
      </c>
      <c r="AC249" s="473" t="e">
        <f t="shared" si="23"/>
        <v>#N/A</v>
      </c>
      <c r="AD249" s="473" t="str">
        <f t="shared" si="24"/>
        <v/>
      </c>
      <c r="AE249" s="473" t="str">
        <f t="array" ref="AE249">IFERROR(IF(INDEX($W$155:$W$256, MATCH(0, IF(AD249=$E$155:$E$256, COUNTIF($AE$154:$AE248, $W$155:$W$256), ""), 0))=0,"",INDEX($W$155:$W$256, MATCH(0, IF(AD249=$E$155:$E$256, COUNTIF($AE$154:$AE248, $W$155:$W$256), ""), 0))),"")</f>
        <v/>
      </c>
      <c r="AF249" s="473" t="str">
        <f t="shared" si="25"/>
        <v>|empty|</v>
      </c>
      <c r="AG249" s="473" t="str">
        <f t="shared" si="26"/>
        <v>INT-211749</v>
      </c>
      <c r="AH249" s="473" t="e">
        <f t="shared" si="27"/>
        <v>#N/A</v>
      </c>
      <c r="AI249" s="473">
        <f>IF(COUNTIF($AH$155:AH350,"&lt;="&amp;AH249)=0,"",COUNTIF($AH$155:AH350,"&lt;="&amp;AH249))</f>
        <v>100</v>
      </c>
      <c r="AJ249" s="473">
        <f>RANK(AI249,AI$155:AI350,1)</f>
        <v>2</v>
      </c>
      <c r="AK249" s="473" t="e">
        <f>INDEX(E$155:E350,MATCH(ROWS(AJ$155:AJ249),AJ$155:AJ350,0))</f>
        <v>#N/A</v>
      </c>
      <c r="AL249" s="473" t="e">
        <f>INDEX(K$155:K350,MATCH(ROWS(AJ$155:AJ249),AJ$155:AJ350,0))</f>
        <v>#N/A</v>
      </c>
      <c r="AM249" s="473" t="e">
        <f>INDEX(V$155:V350,MATCH(ROWS(AJ$155:AJ249),AJ$155:AJ350,0))</f>
        <v>#N/A</v>
      </c>
      <c r="AN249" s="473" t="e">
        <f t="shared" si="28"/>
        <v>#N/A</v>
      </c>
      <c r="AO249" s="473" t="e">
        <f t="shared" si="29"/>
        <v>#N/A</v>
      </c>
      <c r="AP249" s="473"/>
      <c r="AQ249" s="485" t="s">
        <v>1400</v>
      </c>
      <c r="AR249" s="107"/>
    </row>
    <row r="250" spans="1:44" ht="47.15" customHeight="1" x14ac:dyDescent="0.35">
      <c r="A250" s="146">
        <v>95</v>
      </c>
      <c r="B250" s="475"/>
      <c r="C250" s="475"/>
      <c r="D250" s="148"/>
      <c r="E250" s="476" t="str">
        <f>IFERROR(IF(AND(K250="",T250=""),"",(VLOOKUP(Q250,'Reference records(soft deleted)'!$B$118:$D$162,3,FALSE))),"")</f>
        <v/>
      </c>
      <c r="F250" s="477"/>
      <c r="G250" s="477"/>
      <c r="H250" s="478" t="str">
        <f>IF(R250="",IFERROR(VLOOKUP(AC250,'Reference Records'!G$413:J788,4,0),""),IFERROR(VLOOKUP(AC250,'Reference Records'!H$413:J788,3,0),""))</f>
        <v/>
      </c>
      <c r="I250" s="478"/>
      <c r="J250" s="479"/>
      <c r="K250" s="476" t="str">
        <f>IFERROR(VLOOKUP(INDEX('Reference Records'!E$412:E789,MATCH(R250,'Reference Records'!F$412:F789,0),1),'Reference Records'!B$211:C752,2,0),"")</f>
        <v/>
      </c>
      <c r="L250" s="478" t="e">
        <f>VLOOKUP(U250&amp;K250,'Reference Records'!H$212:I753,2,0)</f>
        <v>#N/A</v>
      </c>
      <c r="M250" s="478" t="e">
        <f>MATCH($L250,'Reference Records'!$E$413:$E$618,0)+ROW(Population_by_intervention) -1</f>
        <v>#N/A</v>
      </c>
      <c r="N250" s="478" t="e">
        <f>MATCH($L250,'Reference Records'!$E$413:$E$618,1)+ROW(Population_by_intervention) -1</f>
        <v>#N/A</v>
      </c>
      <c r="O250" s="478" t="e">
        <f>INDEX('Reference Records'!K$212:K753,MATCH(L250,'Reference Records'!B$212:B753,0))</f>
        <v>#N/A</v>
      </c>
      <c r="P250" s="478"/>
      <c r="Q250" s="480"/>
      <c r="R250" s="481"/>
      <c r="S250" s="478" t="str">
        <f>IFERROR(VLOOKUP(INDEX('Reference Records'!J$412:J789,MATCH(R250,'Reference Records'!F$412:F789),1),'Reference Records'!B$211:C752,2,0),"")</f>
        <v/>
      </c>
      <c r="T250" s="479"/>
      <c r="U250" s="482" t="str">
        <f>IFERROR(IF(VLOOKUP(E250,'Reference Records'!$F$159:$N$210,9,FALSE)=0,"",VLOOKUP(E250,'Reference Records'!$F$159:$N$210,9,FALSE)),"")</f>
        <v/>
      </c>
      <c r="V250" s="476" t="str">
        <f>IF(IF(Language="French",G250,F250)=0,"",IF(Language="French",G250,F250))</f>
        <v/>
      </c>
      <c r="W250" s="483" t="str">
        <f t="shared" si="19"/>
        <v/>
      </c>
      <c r="X250" s="484" t="str">
        <f t="shared" si="20"/>
        <v>a1P3p000007oOIJEA2</v>
      </c>
      <c r="Y250" s="484" t="b">
        <f t="shared" si="21"/>
        <v>0</v>
      </c>
      <c r="Z250" s="484" t="b">
        <f t="shared" si="22"/>
        <v>1</v>
      </c>
      <c r="AA250" s="484" t="str">
        <f>IF(R250="",IFERROR(VLOOKUP(AC250,'Reference Records'!G$413:J788,3,0),""),IFERROR(VLOOKUP(AC250,'Reference Records'!H$413:J788,2,0),""))</f>
        <v/>
      </c>
      <c r="AB250" s="484" t="s">
        <v>1401</v>
      </c>
      <c r="AC250" s="473" t="e">
        <f t="shared" si="23"/>
        <v>#N/A</v>
      </c>
      <c r="AD250" s="473" t="str">
        <f t="shared" si="24"/>
        <v/>
      </c>
      <c r="AE250" s="473" t="str">
        <f t="array" ref="AE250">IFERROR(IF(INDEX($W$155:$W$256, MATCH(0, IF(AD250=$E$155:$E$256, COUNTIF($AE$154:$AE249, $W$155:$W$256), ""), 0))=0,"",INDEX($W$155:$W$256, MATCH(0, IF(AD250=$E$155:$E$256, COUNTIF($AE$154:$AE249, $W$155:$W$256), ""), 0))),"")</f>
        <v/>
      </c>
      <c r="AF250" s="473" t="str">
        <f t="shared" si="25"/>
        <v>|empty|</v>
      </c>
      <c r="AG250" s="473" t="str">
        <f t="shared" si="26"/>
        <v>INT-211700</v>
      </c>
      <c r="AH250" s="473" t="e">
        <f t="shared" si="27"/>
        <v>#N/A</v>
      </c>
      <c r="AI250" s="473">
        <f>IF(COUNTIF($AH$155:AH351,"&lt;="&amp;AH250)=0,"",COUNTIF($AH$155:AH351,"&lt;="&amp;AH250))</f>
        <v>100</v>
      </c>
      <c r="AJ250" s="473">
        <f>RANK(AI250,AI$155:AI351,1)</f>
        <v>2</v>
      </c>
      <c r="AK250" s="473" t="e">
        <f>INDEX(E$155:E351,MATCH(ROWS(AJ$155:AJ250),AJ$155:AJ351,0))</f>
        <v>#N/A</v>
      </c>
      <c r="AL250" s="473" t="e">
        <f>INDEX(K$155:K351,MATCH(ROWS(AJ$155:AJ250),AJ$155:AJ351,0))</f>
        <v>#N/A</v>
      </c>
      <c r="AM250" s="473" t="e">
        <f>INDEX(V$155:V351,MATCH(ROWS(AJ$155:AJ250),AJ$155:AJ351,0))</f>
        <v>#N/A</v>
      </c>
      <c r="AN250" s="473" t="e">
        <f t="shared" si="28"/>
        <v>#N/A</v>
      </c>
      <c r="AO250" s="473" t="e">
        <f t="shared" si="29"/>
        <v>#N/A</v>
      </c>
      <c r="AP250" s="473"/>
      <c r="AQ250" s="485" t="s">
        <v>1402</v>
      </c>
      <c r="AR250" s="107"/>
    </row>
    <row r="251" spans="1:44" ht="47.15" customHeight="1" x14ac:dyDescent="0.35">
      <c r="A251" s="146">
        <v>96</v>
      </c>
      <c r="B251" s="475"/>
      <c r="C251" s="475"/>
      <c r="D251" s="148"/>
      <c r="E251" s="476" t="str">
        <f>IFERROR(IF(AND(K251="",T251=""),"",(VLOOKUP(Q251,'Reference records(soft deleted)'!$B$118:$D$162,3,FALSE))),"")</f>
        <v/>
      </c>
      <c r="F251" s="477"/>
      <c r="G251" s="477"/>
      <c r="H251" s="478" t="str">
        <f>IF(R251="",IFERROR(VLOOKUP(AC251,'Reference Records'!G$413:J789,4,0),""),IFERROR(VLOOKUP(AC251,'Reference Records'!H$413:J789,3,0),""))</f>
        <v/>
      </c>
      <c r="I251" s="478"/>
      <c r="J251" s="479"/>
      <c r="K251" s="476" t="str">
        <f>IFERROR(VLOOKUP(INDEX('Reference Records'!E$412:E790,MATCH(R251,'Reference Records'!F$412:F790,0),1),'Reference Records'!B$211:C753,2,0),"")</f>
        <v/>
      </c>
      <c r="L251" s="478" t="e">
        <f>VLOOKUP(U251&amp;K251,'Reference Records'!H$212:I754,2,0)</f>
        <v>#N/A</v>
      </c>
      <c r="M251" s="478" t="e">
        <f>MATCH($L251,'Reference Records'!$E$413:$E$618,0)+ROW(Population_by_intervention) -1</f>
        <v>#N/A</v>
      </c>
      <c r="N251" s="478" t="e">
        <f>MATCH($L251,'Reference Records'!$E$413:$E$618,1)+ROW(Population_by_intervention) -1</f>
        <v>#N/A</v>
      </c>
      <c r="O251" s="478" t="e">
        <f>INDEX('Reference Records'!K$212:K754,MATCH(L251,'Reference Records'!B$212:B754,0))</f>
        <v>#N/A</v>
      </c>
      <c r="P251" s="478"/>
      <c r="Q251" s="480"/>
      <c r="R251" s="481"/>
      <c r="S251" s="478" t="str">
        <f>IFERROR(VLOOKUP(INDEX('Reference Records'!J$412:J790,MATCH(R251,'Reference Records'!F$412:F790),1),'Reference Records'!B$211:C753,2,0),"")</f>
        <v/>
      </c>
      <c r="T251" s="479"/>
      <c r="U251" s="482" t="str">
        <f>IFERROR(IF(VLOOKUP(E251,'Reference Records'!$F$159:$N$210,9,FALSE)=0,"",VLOOKUP(E251,'Reference Records'!$F$159:$N$210,9,FALSE)),"")</f>
        <v/>
      </c>
      <c r="V251" s="476" t="str">
        <f>IF(IF(Language="French",G251,F251)=0,"",IF(Language="French",G251,F251))</f>
        <v/>
      </c>
      <c r="W251" s="483" t="str">
        <f t="shared" si="19"/>
        <v/>
      </c>
      <c r="X251" s="484" t="str">
        <f t="shared" si="20"/>
        <v>a1P3p000007oOIJEA2</v>
      </c>
      <c r="Y251" s="484" t="b">
        <f t="shared" si="21"/>
        <v>0</v>
      </c>
      <c r="Z251" s="484" t="b">
        <f t="shared" si="22"/>
        <v>1</v>
      </c>
      <c r="AA251" s="484" t="str">
        <f>IF(R251="",IFERROR(VLOOKUP(AC251,'Reference Records'!G$413:J789,3,0),""),IFERROR(VLOOKUP(AC251,'Reference Records'!H$413:J789,2,0),""))</f>
        <v/>
      </c>
      <c r="AB251" s="484" t="s">
        <v>1403</v>
      </c>
      <c r="AC251" s="473" t="e">
        <f t="shared" si="23"/>
        <v>#N/A</v>
      </c>
      <c r="AD251" s="473" t="str">
        <f t="shared" si="24"/>
        <v/>
      </c>
      <c r="AE251" s="473" t="str">
        <f t="array" ref="AE251">IFERROR(IF(INDEX($W$155:$W$256, MATCH(0, IF(AD251=$E$155:$E$256, COUNTIF($AE$154:$AE250, $W$155:$W$256), ""), 0))=0,"",INDEX($W$155:$W$256, MATCH(0, IF(AD251=$E$155:$E$256, COUNTIF($AE$154:$AE250, $W$155:$W$256), ""), 0))),"")</f>
        <v/>
      </c>
      <c r="AF251" s="473" t="str">
        <f t="shared" si="25"/>
        <v>|empty|</v>
      </c>
      <c r="AG251" s="473" t="str">
        <f t="shared" si="26"/>
        <v>INT-211750</v>
      </c>
      <c r="AH251" s="473" t="e">
        <f t="shared" si="27"/>
        <v>#N/A</v>
      </c>
      <c r="AI251" s="473">
        <f>IF(COUNTIF($AH$155:AH352,"&lt;="&amp;AH251)=0,"",COUNTIF($AH$155:AH352,"&lt;="&amp;AH251))</f>
        <v>100</v>
      </c>
      <c r="AJ251" s="473">
        <f>RANK(AI251,AI$155:AI352,1)</f>
        <v>2</v>
      </c>
      <c r="AK251" s="473" t="e">
        <f>INDEX(E$155:E352,MATCH(ROWS(AJ$155:AJ251),AJ$155:AJ352,0))</f>
        <v>#N/A</v>
      </c>
      <c r="AL251" s="473" t="e">
        <f>INDEX(K$155:K352,MATCH(ROWS(AJ$155:AJ251),AJ$155:AJ352,0))</f>
        <v>#N/A</v>
      </c>
      <c r="AM251" s="473" t="e">
        <f>INDEX(V$155:V352,MATCH(ROWS(AJ$155:AJ251),AJ$155:AJ352,0))</f>
        <v>#N/A</v>
      </c>
      <c r="AN251" s="473" t="e">
        <f t="shared" si="28"/>
        <v>#N/A</v>
      </c>
      <c r="AO251" s="473" t="e">
        <f t="shared" si="29"/>
        <v>#N/A</v>
      </c>
      <c r="AP251" s="473"/>
      <c r="AQ251" s="485" t="s">
        <v>1404</v>
      </c>
      <c r="AR251" s="107"/>
    </row>
    <row r="252" spans="1:44" ht="47.15" customHeight="1" x14ac:dyDescent="0.35">
      <c r="A252" s="146">
        <v>97</v>
      </c>
      <c r="B252" s="475"/>
      <c r="C252" s="475"/>
      <c r="D252" s="148"/>
      <c r="E252" s="476" t="str">
        <f>IFERROR(IF(AND(K252="",T252=""),"",(VLOOKUP(Q252,'Reference records(soft deleted)'!$B$118:$D$162,3,FALSE))),"")</f>
        <v/>
      </c>
      <c r="F252" s="477"/>
      <c r="G252" s="477"/>
      <c r="H252" s="478" t="str">
        <f>IF(R252="",IFERROR(VLOOKUP(AC252,'Reference Records'!G$413:J790,4,0),""),IFERROR(VLOOKUP(AC252,'Reference Records'!H$413:J790,3,0),""))</f>
        <v/>
      </c>
      <c r="I252" s="478"/>
      <c r="J252" s="479"/>
      <c r="K252" s="476" t="str">
        <f>IFERROR(VLOOKUP(INDEX('Reference Records'!E$412:E791,MATCH(R252,'Reference Records'!F$412:F791,0),1),'Reference Records'!B$211:C754,2,0),"")</f>
        <v/>
      </c>
      <c r="L252" s="478" t="e">
        <f>VLOOKUP(U252&amp;K252,'Reference Records'!H$212:I755,2,0)</f>
        <v>#N/A</v>
      </c>
      <c r="M252" s="478" t="e">
        <f>MATCH($L252,'Reference Records'!$E$413:$E$618,0)+ROW(Population_by_intervention) -1</f>
        <v>#N/A</v>
      </c>
      <c r="N252" s="478" t="e">
        <f>MATCH($L252,'Reference Records'!$E$413:$E$618,1)+ROW(Population_by_intervention) -1</f>
        <v>#N/A</v>
      </c>
      <c r="O252" s="478" t="e">
        <f>INDEX('Reference Records'!K$212:K755,MATCH(L252,'Reference Records'!B$212:B755,0))</f>
        <v>#N/A</v>
      </c>
      <c r="P252" s="478"/>
      <c r="Q252" s="480"/>
      <c r="R252" s="481"/>
      <c r="S252" s="478" t="str">
        <f>IFERROR(VLOOKUP(INDEX('Reference Records'!J$412:J791,MATCH(R252,'Reference Records'!F$412:F791),1),'Reference Records'!B$211:C754,2,0),"")</f>
        <v/>
      </c>
      <c r="T252" s="479"/>
      <c r="U252" s="482" t="str">
        <f>IFERROR(IF(VLOOKUP(E252,'Reference Records'!$F$159:$N$210,9,FALSE)=0,"",VLOOKUP(E252,'Reference Records'!$F$159:$N$210,9,FALSE)),"")</f>
        <v/>
      </c>
      <c r="V252" s="476" t="str">
        <f>IF(IF(Language="French",G252,F252)=0,"",IF(Language="French",G252,F252))</f>
        <v/>
      </c>
      <c r="W252" s="483" t="str">
        <f t="shared" si="19"/>
        <v/>
      </c>
      <c r="X252" s="484" t="str">
        <f t="shared" si="20"/>
        <v>a1P3p000007oOIJEA2</v>
      </c>
      <c r="Y252" s="484" t="b">
        <f t="shared" si="21"/>
        <v>0</v>
      </c>
      <c r="Z252" s="484" t="b">
        <f t="shared" si="22"/>
        <v>1</v>
      </c>
      <c r="AA252" s="484" t="str">
        <f>IF(R252="",IFERROR(VLOOKUP(AC252,'Reference Records'!G$413:J790,3,0),""),IFERROR(VLOOKUP(AC252,'Reference Records'!H$413:J790,2,0),""))</f>
        <v/>
      </c>
      <c r="AB252" s="484" t="s">
        <v>1405</v>
      </c>
      <c r="AC252" s="473" t="e">
        <f t="shared" si="23"/>
        <v>#N/A</v>
      </c>
      <c r="AD252" s="473" t="str">
        <f t="shared" si="24"/>
        <v/>
      </c>
      <c r="AE252" s="473" t="str">
        <f t="array" ref="AE252">IFERROR(IF(INDEX($W$155:$W$256, MATCH(0, IF(AD252=$E$155:$E$256, COUNTIF($AE$154:$AE251, $W$155:$W$256), ""), 0))=0,"",INDEX($W$155:$W$256, MATCH(0, IF(AD252=$E$155:$E$256, COUNTIF($AE$154:$AE251, $W$155:$W$256), ""), 0))),"")</f>
        <v/>
      </c>
      <c r="AF252" s="473" t="str">
        <f t="shared" si="25"/>
        <v>|empty|</v>
      </c>
      <c r="AG252" s="473" t="str">
        <f t="shared" si="26"/>
        <v>INT-211701</v>
      </c>
      <c r="AH252" s="473" t="e">
        <f t="shared" si="27"/>
        <v>#N/A</v>
      </c>
      <c r="AI252" s="473">
        <f>IF(COUNTIF($AH$155:AH353,"&lt;="&amp;AH252)=0,"",COUNTIF($AH$155:AH353,"&lt;="&amp;AH252))</f>
        <v>100</v>
      </c>
      <c r="AJ252" s="473">
        <f>RANK(AI252,AI$155:AI353,1)</f>
        <v>2</v>
      </c>
      <c r="AK252" s="473" t="e">
        <f>INDEX(E$155:E353,MATCH(ROWS(AJ$155:AJ252),AJ$155:AJ353,0))</f>
        <v>#N/A</v>
      </c>
      <c r="AL252" s="473" t="e">
        <f>INDEX(K$155:K353,MATCH(ROWS(AJ$155:AJ252),AJ$155:AJ353,0))</f>
        <v>#N/A</v>
      </c>
      <c r="AM252" s="473" t="e">
        <f>INDEX(V$155:V353,MATCH(ROWS(AJ$155:AJ252),AJ$155:AJ353,0))</f>
        <v>#N/A</v>
      </c>
      <c r="AN252" s="473" t="e">
        <f t="shared" si="28"/>
        <v>#N/A</v>
      </c>
      <c r="AO252" s="473" t="e">
        <f t="shared" si="29"/>
        <v>#N/A</v>
      </c>
      <c r="AP252" s="473"/>
      <c r="AQ252" s="485" t="s">
        <v>1406</v>
      </c>
      <c r="AR252" s="107"/>
    </row>
    <row r="253" spans="1:44" ht="47.15" customHeight="1" x14ac:dyDescent="0.35">
      <c r="A253" s="146">
        <v>98</v>
      </c>
      <c r="B253" s="475"/>
      <c r="C253" s="475"/>
      <c r="D253" s="148"/>
      <c r="E253" s="476" t="str">
        <f>IFERROR(IF(AND(K253="",T253=""),"",(VLOOKUP(Q253,'Reference records(soft deleted)'!$B$118:$D$162,3,FALSE))),"")</f>
        <v/>
      </c>
      <c r="F253" s="477"/>
      <c r="G253" s="477"/>
      <c r="H253" s="478" t="str">
        <f>IF(R253="",IFERROR(VLOOKUP(AC253,'Reference Records'!G$413:J791,4,0),""),IFERROR(VLOOKUP(AC253,'Reference Records'!H$413:J791,3,0),""))</f>
        <v/>
      </c>
      <c r="I253" s="478"/>
      <c r="J253" s="479"/>
      <c r="K253" s="476" t="str">
        <f>IFERROR(VLOOKUP(INDEX('Reference Records'!E$412:E792,MATCH(R253,'Reference Records'!F$412:F792,0),1),'Reference Records'!B$211:C755,2,0),"")</f>
        <v/>
      </c>
      <c r="L253" s="478" t="e">
        <f>VLOOKUP(U253&amp;K253,'Reference Records'!H$212:I756,2,0)</f>
        <v>#N/A</v>
      </c>
      <c r="M253" s="478" t="e">
        <f>MATCH($L253,'Reference Records'!$E$413:$E$618,0)+ROW(Population_by_intervention) -1</f>
        <v>#N/A</v>
      </c>
      <c r="N253" s="478" t="e">
        <f>MATCH($L253,'Reference Records'!$E$413:$E$618,1)+ROW(Population_by_intervention) -1</f>
        <v>#N/A</v>
      </c>
      <c r="O253" s="478" t="e">
        <f>INDEX('Reference Records'!K$212:K756,MATCH(L253,'Reference Records'!B$212:B756,0))</f>
        <v>#N/A</v>
      </c>
      <c r="P253" s="478"/>
      <c r="Q253" s="480"/>
      <c r="R253" s="481"/>
      <c r="S253" s="478" t="str">
        <f>IFERROR(VLOOKUP(INDEX('Reference Records'!J$412:J792,MATCH(R253,'Reference Records'!F$412:F792),1),'Reference Records'!B$211:C755,2,0),"")</f>
        <v/>
      </c>
      <c r="T253" s="479"/>
      <c r="U253" s="482" t="str">
        <f>IFERROR(IF(VLOOKUP(E253,'Reference Records'!$F$159:$N$210,9,FALSE)=0,"",VLOOKUP(E253,'Reference Records'!$F$159:$N$210,9,FALSE)),"")</f>
        <v/>
      </c>
      <c r="V253" s="476" t="str">
        <f>IF(IF(Language="French",G253,F253)=0,"",IF(Language="French",G253,F253))</f>
        <v/>
      </c>
      <c r="W253" s="483" t="str">
        <f t="shared" si="19"/>
        <v/>
      </c>
      <c r="X253" s="484" t="str">
        <f t="shared" si="20"/>
        <v>a1P3p000007oOIJEA2</v>
      </c>
      <c r="Y253" s="484" t="b">
        <f t="shared" si="21"/>
        <v>0</v>
      </c>
      <c r="Z253" s="484" t="b">
        <f t="shared" si="22"/>
        <v>1</v>
      </c>
      <c r="AA253" s="484" t="str">
        <f>IF(R253="",IFERROR(VLOOKUP(AC253,'Reference Records'!G$413:J791,3,0),""),IFERROR(VLOOKUP(AC253,'Reference Records'!H$413:J791,2,0),""))</f>
        <v/>
      </c>
      <c r="AB253" s="484" t="s">
        <v>1407</v>
      </c>
      <c r="AC253" s="473" t="e">
        <f t="shared" si="23"/>
        <v>#N/A</v>
      </c>
      <c r="AD253" s="473" t="str">
        <f t="shared" si="24"/>
        <v/>
      </c>
      <c r="AE253" s="473" t="str">
        <f t="array" ref="AE253">IFERROR(IF(INDEX($W$155:$W$256, MATCH(0, IF(AD253=$E$155:$E$256, COUNTIF($AE$154:$AE252, $W$155:$W$256), ""), 0))=0,"",INDEX($W$155:$W$256, MATCH(0, IF(AD253=$E$155:$E$256, COUNTIF($AE$154:$AE252, $W$155:$W$256), ""), 0))),"")</f>
        <v/>
      </c>
      <c r="AF253" s="473" t="str">
        <f t="shared" si="25"/>
        <v>|empty|</v>
      </c>
      <c r="AG253" s="473" t="str">
        <f t="shared" si="26"/>
        <v>INT-211751</v>
      </c>
      <c r="AH253" s="473" t="e">
        <f t="shared" si="27"/>
        <v>#N/A</v>
      </c>
      <c r="AI253" s="473">
        <f>IF(COUNTIF($AH$155:AH354,"&lt;="&amp;AH253)=0,"",COUNTIF($AH$155:AH354,"&lt;="&amp;AH253))</f>
        <v>100</v>
      </c>
      <c r="AJ253" s="473">
        <f>RANK(AI253,AI$155:AI354,1)</f>
        <v>2</v>
      </c>
      <c r="AK253" s="473" t="e">
        <f>INDEX(E$155:E354,MATCH(ROWS(AJ$155:AJ253),AJ$155:AJ354,0))</f>
        <v>#N/A</v>
      </c>
      <c r="AL253" s="473" t="e">
        <f>INDEX(K$155:K354,MATCH(ROWS(AJ$155:AJ253),AJ$155:AJ354,0))</f>
        <v>#N/A</v>
      </c>
      <c r="AM253" s="473" t="e">
        <f>INDEX(V$155:V354,MATCH(ROWS(AJ$155:AJ253),AJ$155:AJ354,0))</f>
        <v>#N/A</v>
      </c>
      <c r="AN253" s="473" t="e">
        <f t="shared" si="28"/>
        <v>#N/A</v>
      </c>
      <c r="AO253" s="473" t="e">
        <f t="shared" si="29"/>
        <v>#N/A</v>
      </c>
      <c r="AP253" s="473"/>
      <c r="AQ253" s="485" t="s">
        <v>1408</v>
      </c>
      <c r="AR253" s="107"/>
    </row>
    <row r="254" spans="1:44" ht="47.15" customHeight="1" x14ac:dyDescent="0.35">
      <c r="A254" s="146">
        <v>99</v>
      </c>
      <c r="B254" s="475"/>
      <c r="C254" s="475"/>
      <c r="D254" s="148"/>
      <c r="E254" s="476" t="str">
        <f>IFERROR(IF(AND(K254="",T254=""),"",(VLOOKUP(Q254,'Reference records(soft deleted)'!$B$118:$D$162,3,FALSE))),"")</f>
        <v/>
      </c>
      <c r="F254" s="477"/>
      <c r="G254" s="477"/>
      <c r="H254" s="478" t="str">
        <f>IF(R254="",IFERROR(VLOOKUP(AC254,'Reference Records'!G$413:J792,4,0),""),IFERROR(VLOOKUP(AC254,'Reference Records'!H$413:J792,3,0),""))</f>
        <v/>
      </c>
      <c r="I254" s="478"/>
      <c r="J254" s="479"/>
      <c r="K254" s="476" t="str">
        <f>IFERROR(VLOOKUP(INDEX('Reference Records'!E$412:E793,MATCH(R254,'Reference Records'!F$412:F793,0),1),'Reference Records'!B$211:C756,2,0),"")</f>
        <v/>
      </c>
      <c r="L254" s="478" t="e">
        <f>VLOOKUP(U254&amp;K254,'Reference Records'!H$212:I757,2,0)</f>
        <v>#N/A</v>
      </c>
      <c r="M254" s="478" t="e">
        <f>MATCH($L254,'Reference Records'!$E$413:$E$618,0)+ROW(Population_by_intervention) -1</f>
        <v>#N/A</v>
      </c>
      <c r="N254" s="478" t="e">
        <f>MATCH($L254,'Reference Records'!$E$413:$E$618,1)+ROW(Population_by_intervention) -1</f>
        <v>#N/A</v>
      </c>
      <c r="O254" s="478" t="e">
        <f>INDEX('Reference Records'!K$212:K757,MATCH(L254,'Reference Records'!B$212:B757,0))</f>
        <v>#N/A</v>
      </c>
      <c r="P254" s="478"/>
      <c r="Q254" s="480"/>
      <c r="R254" s="481"/>
      <c r="S254" s="478" t="str">
        <f>IFERROR(VLOOKUP(INDEX('Reference Records'!J$412:J793,MATCH(R254,'Reference Records'!F$412:F793),1),'Reference Records'!B$211:C756,2,0),"")</f>
        <v/>
      </c>
      <c r="T254" s="479"/>
      <c r="U254" s="482" t="str">
        <f>IFERROR(IF(VLOOKUP(E254,'Reference Records'!$F$159:$N$210,9,FALSE)=0,"",VLOOKUP(E254,'Reference Records'!$F$159:$N$210,9,FALSE)),"")</f>
        <v/>
      </c>
      <c r="V254" s="476" t="str">
        <f>IF(IF(Language="French",G254,F254)=0,"",IF(Language="French",G254,F254))</f>
        <v/>
      </c>
      <c r="W254" s="483" t="str">
        <f t="shared" si="19"/>
        <v/>
      </c>
      <c r="X254" s="484" t="str">
        <f t="shared" si="20"/>
        <v>a1P3p000007oOIJEA2</v>
      </c>
      <c r="Y254" s="484" t="b">
        <f t="shared" si="21"/>
        <v>0</v>
      </c>
      <c r="Z254" s="484" t="b">
        <f t="shared" si="22"/>
        <v>1</v>
      </c>
      <c r="AA254" s="484" t="str">
        <f>IF(R254="",IFERROR(VLOOKUP(AC254,'Reference Records'!G$413:J792,3,0),""),IFERROR(VLOOKUP(AC254,'Reference Records'!H$413:J792,2,0),""))</f>
        <v/>
      </c>
      <c r="AB254" s="484" t="s">
        <v>1409</v>
      </c>
      <c r="AC254" s="473" t="e">
        <f t="shared" si="23"/>
        <v>#N/A</v>
      </c>
      <c r="AD254" s="473" t="str">
        <f t="shared" si="24"/>
        <v/>
      </c>
      <c r="AE254" s="473" t="str">
        <f t="array" ref="AE254">IFERROR(IF(INDEX($W$155:$W$256, MATCH(0, IF(AD254=$E$155:$E$256, COUNTIF($AE$154:$AE253, $W$155:$W$256), ""), 0))=0,"",INDEX($W$155:$W$256, MATCH(0, IF(AD254=$E$155:$E$256, COUNTIF($AE$154:$AE253, $W$155:$W$256), ""), 0))),"")</f>
        <v/>
      </c>
      <c r="AF254" s="473" t="str">
        <f t="shared" si="25"/>
        <v>|empty|</v>
      </c>
      <c r="AG254" s="473" t="str">
        <f t="shared" si="26"/>
        <v>INT-211702</v>
      </c>
      <c r="AH254" s="473" t="e">
        <f t="shared" si="27"/>
        <v>#N/A</v>
      </c>
      <c r="AI254" s="473">
        <f>IF(COUNTIF($AH$155:AH355,"&lt;="&amp;AH254)=0,"",COUNTIF($AH$155:AH355,"&lt;="&amp;AH254))</f>
        <v>100</v>
      </c>
      <c r="AJ254" s="473">
        <f>RANK(AI254,AI$155:AI355,1)</f>
        <v>2</v>
      </c>
      <c r="AK254" s="473" t="e">
        <f>INDEX(E$155:E355,MATCH(ROWS(AJ$155:AJ254),AJ$155:AJ355,0))</f>
        <v>#N/A</v>
      </c>
      <c r="AL254" s="473" t="e">
        <f>INDEX(K$155:K355,MATCH(ROWS(AJ$155:AJ254),AJ$155:AJ355,0))</f>
        <v>#N/A</v>
      </c>
      <c r="AM254" s="473" t="e">
        <f>INDEX(V$155:V355,MATCH(ROWS(AJ$155:AJ254),AJ$155:AJ355,0))</f>
        <v>#N/A</v>
      </c>
      <c r="AN254" s="473" t="e">
        <f t="shared" si="28"/>
        <v>#N/A</v>
      </c>
      <c r="AO254" s="473" t="e">
        <f t="shared" si="29"/>
        <v>#N/A</v>
      </c>
      <c r="AP254" s="473"/>
      <c r="AQ254" s="485" t="s">
        <v>1410</v>
      </c>
      <c r="AR254" s="107"/>
    </row>
    <row r="255" spans="1:44" ht="47.15" customHeight="1" x14ac:dyDescent="0.35">
      <c r="A255" s="146">
        <v>100</v>
      </c>
      <c r="B255" s="475"/>
      <c r="C255" s="475"/>
      <c r="D255" s="148"/>
      <c r="E255" s="476" t="str">
        <f>IFERROR(IF(AND(K255="",T255=""),"",(VLOOKUP(Q255,'Reference records(soft deleted)'!$B$118:$D$162,3,FALSE))),"")</f>
        <v/>
      </c>
      <c r="F255" s="477"/>
      <c r="G255" s="477"/>
      <c r="H255" s="478" t="str">
        <f>IF(R255="",IFERROR(VLOOKUP(AC255,'Reference Records'!G$413:J793,4,0),""),IFERROR(VLOOKUP(AC255,'Reference Records'!H$413:J793,3,0),""))</f>
        <v/>
      </c>
      <c r="I255" s="478"/>
      <c r="J255" s="479"/>
      <c r="K255" s="476" t="str">
        <f>IFERROR(VLOOKUP(INDEX('Reference Records'!E$412:E794,MATCH(R255,'Reference Records'!F$412:F794,0),1),'Reference Records'!B$211:C757,2,0),"")</f>
        <v/>
      </c>
      <c r="L255" s="478" t="e">
        <f>VLOOKUP(U255&amp;K255,'Reference Records'!H$212:I758,2,0)</f>
        <v>#N/A</v>
      </c>
      <c r="M255" s="478" t="e">
        <f>MATCH($L255,'Reference Records'!$E$413:$E$618,0)+ROW(Population_by_intervention) -1</f>
        <v>#N/A</v>
      </c>
      <c r="N255" s="478" t="e">
        <f>MATCH($L255,'Reference Records'!$E$413:$E$618,1)+ROW(Population_by_intervention) -1</f>
        <v>#N/A</v>
      </c>
      <c r="O255" s="478" t="e">
        <f>INDEX('Reference Records'!K$212:K758,MATCH(L255,'Reference Records'!B$212:B758,0))</f>
        <v>#N/A</v>
      </c>
      <c r="P255" s="478"/>
      <c r="Q255" s="480"/>
      <c r="R255" s="481"/>
      <c r="S255" s="478" t="str">
        <f>IFERROR(VLOOKUP(INDEX('Reference Records'!J$412:J794,MATCH(R255,'Reference Records'!F$412:F794),1),'Reference Records'!B$211:C757,2,0),"")</f>
        <v/>
      </c>
      <c r="T255" s="479"/>
      <c r="U255" s="482" t="str">
        <f>IFERROR(IF(VLOOKUP(E255,'Reference Records'!$F$159:$N$210,9,FALSE)=0,"",VLOOKUP(E255,'Reference Records'!$F$159:$N$210,9,FALSE)),"")</f>
        <v/>
      </c>
      <c r="V255" s="476" t="str">
        <f>IF(IF(Language="French",G255,F255)=0,"",IF(Language="French",G255,F255))</f>
        <v/>
      </c>
      <c r="W255" s="483" t="str">
        <f t="shared" si="19"/>
        <v/>
      </c>
      <c r="X255" s="484" t="str">
        <f t="shared" si="20"/>
        <v>a1P3p000007oOIJEA2</v>
      </c>
      <c r="Y255" s="484" t="b">
        <f t="shared" si="21"/>
        <v>0</v>
      </c>
      <c r="Z255" s="484" t="b">
        <f t="shared" si="22"/>
        <v>1</v>
      </c>
      <c r="AA255" s="484" t="str">
        <f>IF(R255="",IFERROR(VLOOKUP(AC255,'Reference Records'!G$413:J793,3,0),""),IFERROR(VLOOKUP(AC255,'Reference Records'!H$413:J793,2,0),""))</f>
        <v/>
      </c>
      <c r="AB255" s="484" t="s">
        <v>1411</v>
      </c>
      <c r="AC255" s="473" t="e">
        <f t="shared" si="23"/>
        <v>#N/A</v>
      </c>
      <c r="AD255" s="473" t="str">
        <f t="shared" si="24"/>
        <v/>
      </c>
      <c r="AE255" s="473" t="str">
        <f t="array" ref="AE255">IFERROR(IF(INDEX($W$155:$W$256, MATCH(0, IF(AD255=$E$155:$E$256, COUNTIF($AE$154:$AE254, $W$155:$W$256), ""), 0))=0,"",INDEX($W$155:$W$256, MATCH(0, IF(AD255=$E$155:$E$256, COUNTIF($AE$154:$AE254, $W$155:$W$256), ""), 0))),"")</f>
        <v/>
      </c>
      <c r="AF255" s="473" t="str">
        <f t="shared" si="25"/>
        <v>|empty|</v>
      </c>
      <c r="AG255" s="473" t="str">
        <f t="shared" si="26"/>
        <v>INT-211752</v>
      </c>
      <c r="AH255" s="473" t="e">
        <f t="shared" si="27"/>
        <v>#N/A</v>
      </c>
      <c r="AI255" s="473">
        <f>IF(COUNTIF($AH$155:AH356,"&lt;="&amp;AH255)=0,"",COUNTIF($AH$155:AH356,"&lt;="&amp;AH255))</f>
        <v>100</v>
      </c>
      <c r="AJ255" s="473">
        <f>RANK(AI255,AI$155:AI356,1)</f>
        <v>2</v>
      </c>
      <c r="AK255" s="473" t="e">
        <f>INDEX(E$155:E356,MATCH(ROWS(AJ$155:AJ255),AJ$155:AJ356,0))</f>
        <v>#N/A</v>
      </c>
      <c r="AL255" s="473" t="e">
        <f>INDEX(K$155:K356,MATCH(ROWS(AJ$155:AJ255),AJ$155:AJ356,0))</f>
        <v>#N/A</v>
      </c>
      <c r="AM255" s="473" t="e">
        <f>INDEX(V$155:V356,MATCH(ROWS(AJ$155:AJ255),AJ$155:AJ356,0))</f>
        <v>#N/A</v>
      </c>
      <c r="AN255" s="473" t="e">
        <f t="shared" si="28"/>
        <v>#N/A</v>
      </c>
      <c r="AO255" s="473" t="e">
        <f t="shared" si="29"/>
        <v>#N/A</v>
      </c>
      <c r="AP255" s="473"/>
      <c r="AQ255" s="485" t="s">
        <v>1412</v>
      </c>
      <c r="AR255" s="107"/>
    </row>
    <row r="256" spans="1:44" ht="21.65" customHeight="1" thickBot="1" x14ac:dyDescent="0.4">
      <c r="A256" s="64"/>
      <c r="B256" s="65"/>
      <c r="C256" s="65"/>
      <c r="D256" s="65"/>
      <c r="E256" s="116"/>
      <c r="F256" s="65"/>
      <c r="G256" s="65"/>
      <c r="H256" s="65"/>
      <c r="I256" s="65"/>
      <c r="J256" s="65"/>
      <c r="K256" s="116"/>
      <c r="L256" s="65"/>
      <c r="M256" s="65"/>
      <c r="N256" s="65"/>
      <c r="O256" s="65"/>
      <c r="P256" s="65"/>
      <c r="Q256" s="65"/>
      <c r="R256" s="65"/>
      <c r="S256" s="65"/>
      <c r="T256" s="116"/>
      <c r="U256" s="26"/>
      <c r="V256" s="66"/>
      <c r="W256" s="66"/>
      <c r="X256" s="66"/>
      <c r="Y256" s="66"/>
      <c r="Z256" s="66"/>
      <c r="AA256" s="26"/>
      <c r="AB256" s="26"/>
      <c r="AC256" s="23"/>
      <c r="AE256" s="89"/>
      <c r="AF256" s="89"/>
      <c r="AG256" s="89"/>
      <c r="AH256" s="89"/>
    </row>
    <row r="257" spans="1:34 16384:16384" x14ac:dyDescent="0.35">
      <c r="E257" s="69"/>
      <c r="K257" s="69"/>
      <c r="T257" s="69"/>
      <c r="AE257" s="89"/>
      <c r="AF257" s="89"/>
      <c r="AG257" s="89"/>
      <c r="AH257" s="89"/>
    </row>
    <row r="258" spans="1:34 16384:16384" x14ac:dyDescent="0.35">
      <c r="E258" s="69"/>
      <c r="K258" s="69"/>
      <c r="T258" s="69"/>
      <c r="AE258" s="89"/>
      <c r="AF258" s="89"/>
      <c r="AG258" s="89"/>
      <c r="AH258" s="89"/>
    </row>
    <row r="259" spans="1:34 16384:16384" x14ac:dyDescent="0.35">
      <c r="E259" s="69"/>
      <c r="K259" s="69"/>
      <c r="T259" s="69"/>
    </row>
    <row r="264" spans="1:34 16384:16384" x14ac:dyDescent="0.35">
      <c r="A264" s="27" t="str">
        <f ca="1">Translations!A44</f>
        <v>Marco de desempeño  - Descripción General - Sección A</v>
      </c>
      <c r="B264" s="27"/>
      <c r="C264" s="27"/>
      <c r="D264" s="27"/>
      <c r="XFD264" s="5" t="s">
        <v>367</v>
      </c>
    </row>
    <row r="268" spans="1:34 16384:16384" x14ac:dyDescent="0.35">
      <c r="AE268" s="89" t="s">
        <v>193</v>
      </c>
    </row>
    <row r="279" spans="44:45" x14ac:dyDescent="0.35">
      <c r="AS279" s="89"/>
    </row>
    <row r="280" spans="44:45" x14ac:dyDescent="0.35">
      <c r="AR280" s="89">
        <f>IF(C9="","",C9)</f>
        <v>12</v>
      </c>
      <c r="AS280" s="89">
        <v>3</v>
      </c>
    </row>
    <row r="281" spans="44:45" x14ac:dyDescent="0.35">
      <c r="AS281" s="89">
        <v>6</v>
      </c>
    </row>
    <row r="282" spans="44:45" x14ac:dyDescent="0.35">
      <c r="AS282" s="89">
        <v>12</v>
      </c>
    </row>
    <row r="283" spans="44:45" x14ac:dyDescent="0.35">
      <c r="AS283" s="89"/>
    </row>
  </sheetData>
  <sheetProtection password="FB8C" sheet="1" objects="1" scenarios="1" formatCells="0" formatRows="0" sort="0" autoFilter="0"/>
  <autoFilter ref="A38:U45" xr:uid="{52AF17DD-9591-45B0-A580-E0CDFBA8DDDF}"/>
  <mergeCells count="12">
    <mergeCell ref="A1:T2"/>
    <mergeCell ref="A37:T37"/>
    <mergeCell ref="K10:K11"/>
    <mergeCell ref="A153:V153"/>
    <mergeCell ref="A152:V152"/>
    <mergeCell ref="A13:A14"/>
    <mergeCell ref="A35:L35"/>
    <mergeCell ref="Y51:Y52"/>
    <mergeCell ref="A50:E50"/>
    <mergeCell ref="A116:E116"/>
    <mergeCell ref="A80:E80"/>
    <mergeCell ref="Y81:Y108"/>
  </mergeCells>
  <conditionalFormatting sqref="E118:E149">
    <cfRule type="expression" dxfId="676" priority="39">
      <formula>AND(COUNTIF($E$118:$E$149,$E118)&gt;1,E118&lt;&gt;"")</formula>
    </cfRule>
  </conditionalFormatting>
  <conditionalFormatting sqref="A31:I31 B32:I32 K31:K32 R31:R32">
    <cfRule type="expression" dxfId="675" priority="38">
      <formula>OR($AN$5="Grant Making", $AN$5="Grant Revision")</formula>
    </cfRule>
  </conditionalFormatting>
  <conditionalFormatting sqref="B9:E9">
    <cfRule type="expression" dxfId="674" priority="34">
      <formula>$AN$5="Funding Request_old"</formula>
    </cfRule>
  </conditionalFormatting>
  <conditionalFormatting sqref="A32">
    <cfRule type="expression" dxfId="673" priority="29">
      <formula>OR($AN$5="Grant Making", $AN$5="Grant Revision")</formula>
    </cfRule>
  </conditionalFormatting>
  <conditionalFormatting sqref="K8">
    <cfRule type="expression" dxfId="672" priority="28">
      <formula>OR($AN$9="Additional Funding", $AN$9="Other Revison")</formula>
    </cfRule>
  </conditionalFormatting>
  <conditionalFormatting sqref="K32 E32">
    <cfRule type="expression" dxfId="671" priority="45">
      <formula>AND($E32&lt;&gt;"",$K32&lt;&gt;"")</formula>
    </cfRule>
  </conditionalFormatting>
  <conditionalFormatting sqref="E11 E8">
    <cfRule type="expression" dxfId="670" priority="27">
      <formula>$E$8&gt;$E$11</formula>
    </cfRule>
  </conditionalFormatting>
  <conditionalFormatting sqref="A32:I32 K32 R32">
    <cfRule type="expression" dxfId="669" priority="26">
      <formula>$P32:$P33="[Record ID]"</formula>
    </cfRule>
  </conditionalFormatting>
  <conditionalFormatting sqref="A52:E57 A82:E90 A91:D93">
    <cfRule type="expression" dxfId="668" priority="24">
      <formula>$H52:$H77="[Record ID]"</formula>
    </cfRule>
  </conditionalFormatting>
  <conditionalFormatting sqref="A118:E124">
    <cfRule type="expression" dxfId="667" priority="19">
      <formula>$H118:$H149="[Record ID]"</formula>
    </cfRule>
  </conditionalFormatting>
  <conditionalFormatting sqref="A155:C255 E155:T255">
    <cfRule type="expression" dxfId="666" priority="18">
      <formula>$AB155:$AB256="[Record ID]"</formula>
    </cfRule>
  </conditionalFormatting>
  <conditionalFormatting sqref="J155:J255">
    <cfRule type="expression" dxfId="665" priority="17">
      <formula>$AB155:$AB256="[Record ID]"</formula>
    </cfRule>
  </conditionalFormatting>
  <conditionalFormatting sqref="A39:T45">
    <cfRule type="expression" dxfId="664" priority="16">
      <formula>$A39&gt;$E$8</formula>
    </cfRule>
  </conditionalFormatting>
  <conditionalFormatting sqref="E32:E33">
    <cfRule type="expression" dxfId="663" priority="12">
      <formula>AND(COUNTIF($E$32:$E$33,$E32)&gt;1,E32&lt;&gt;"")</formula>
    </cfRule>
  </conditionalFormatting>
  <conditionalFormatting sqref="E7 E10">
    <cfRule type="expression" dxfId="662" priority="11">
      <formula>$E$7&lt;$E$10</formula>
    </cfRule>
  </conditionalFormatting>
  <conditionalFormatting sqref="T155:T255">
    <cfRule type="expression" dxfId="661" priority="10">
      <formula>AND(IFERROR(FIND("Other",K155)&lt;&gt;1,TRUE),$T155&lt;&gt;"")</formula>
    </cfRule>
  </conditionalFormatting>
  <conditionalFormatting sqref="V155:V255">
    <cfRule type="expression" dxfId="660" priority="5">
      <formula>AND(OR($K155&lt;&gt;"",$T155&lt;&gt;""),$V155="")</formula>
    </cfRule>
    <cfRule type="expression" dxfId="659" priority="7">
      <formula>$AB155:$AB256="[Record ID]"</formula>
    </cfRule>
  </conditionalFormatting>
  <conditionalFormatting sqref="V155:V255">
    <cfRule type="expression" dxfId="658" priority="6">
      <formula>$AB155:$AB256="[Record ID]"</formula>
    </cfRule>
  </conditionalFormatting>
  <conditionalFormatting sqref="A58:E69">
    <cfRule type="expression" dxfId="657" priority="13414">
      <formula>$H58:$H107="[Record ID]"</formula>
    </cfRule>
  </conditionalFormatting>
  <conditionalFormatting sqref="A94:E94 A96:E100 A95:D95">
    <cfRule type="expression" dxfId="656" priority="13416">
      <formula>$H94:$H149="[Record ID]"</formula>
    </cfRule>
  </conditionalFormatting>
  <conditionalFormatting sqref="A70:E76">
    <cfRule type="expression" dxfId="655" priority="13418">
      <formula>$H70:$H149="[Record ID]"</formula>
    </cfRule>
  </conditionalFormatting>
  <conditionalFormatting sqref="A125:E148">
    <cfRule type="expression" dxfId="654" priority="13420">
      <formula>$H125:$H256="[Record ID]"</formula>
    </cfRule>
  </conditionalFormatting>
  <conditionalFormatting sqref="A101:E106">
    <cfRule type="expression" dxfId="653" priority="13423">
      <formula>$H101:$H256="[Record ID]"</formula>
    </cfRule>
  </conditionalFormatting>
  <conditionalFormatting sqref="E91">
    <cfRule type="expression" dxfId="652" priority="4">
      <formula>$H91:$H146="[Record ID]"</formula>
    </cfRule>
  </conditionalFormatting>
  <conditionalFormatting sqref="E92">
    <cfRule type="expression" dxfId="651" priority="3">
      <formula>$H92:$H147="[Record ID]"</formula>
    </cfRule>
  </conditionalFormatting>
  <conditionalFormatting sqref="E93">
    <cfRule type="expression" dxfId="650" priority="2">
      <formula>$H93:$H148="[Record ID]"</formula>
    </cfRule>
  </conditionalFormatting>
  <conditionalFormatting sqref="E95">
    <cfRule type="expression" dxfId="649" priority="1">
      <formula>$H95:$H250="[Record ID]"</formula>
    </cfRule>
  </conditionalFormatting>
  <dataValidations count="20">
    <dataValidation type="list" allowBlank="1" showInputMessage="1" showErrorMessage="1" sqref="E155:E255" xr:uid="{00000000-0002-0000-0100-000000000000}">
      <formula1>Modules</formula1>
    </dataValidation>
    <dataValidation type="custom" allowBlank="1" showInputMessage="1" showErrorMessage="1" errorTitle="Implementation Period Start Date" error="The Implementation Period Start should be the first day of the month" sqref="E7" xr:uid="{00000000-0002-0000-0100-000001000000}">
      <formula1>DAY(E7)=1</formula1>
    </dataValidation>
    <dataValidation type="list" allowBlank="1" showInputMessage="1" showErrorMessage="1" sqref="K155:K255" xr:uid="{00000000-0002-0000-0100-000002000000}">
      <formula1>OFFSET(ModuleStart,MATCH(U155,ModuleColumn,0)-1,2,COUNTIF(ModuleColumn,U155),1)</formula1>
    </dataValidation>
    <dataValidation type="list" allowBlank="1" showInputMessage="1" showErrorMessage="1" sqref="E32" xr:uid="{00000000-0002-0000-0100-000003000000}">
      <formula1>FundingRequestPR</formula1>
    </dataValidation>
    <dataValidation type="list" allowBlank="1" showInputMessage="1" showErrorMessage="1" sqref="E9" xr:uid="{00000000-0002-0000-0100-000004000000}">
      <formula1>$AS$281:$AS$282</formula1>
    </dataValidation>
    <dataValidation type="date" allowBlank="1" showInputMessage="1" showErrorMessage="1" sqref="E8" xr:uid="{00000000-0002-0000-0100-000005000000}">
      <formula1>1</formula1>
      <formula2>767376</formula2>
    </dataValidation>
    <dataValidation type="custom" allowBlank="1" showInputMessage="1" showErrorMessage="1" sqref="K32:K33" xr:uid="{00000000-0002-0000-0100-000006000000}">
      <formula1>E32=""</formula1>
    </dataValidation>
    <dataValidation type="list" allowBlank="1" showInputMessage="1" showErrorMessage="1" sqref="E118:E148" xr:uid="{00000000-0002-0000-0100-000007000000}">
      <formula1>Module_List</formula1>
    </dataValidation>
    <dataValidation type="list" allowBlank="1" showInputMessage="1" showErrorMessage="1" errorTitle="X-Author for Excel" error="Please select either TRUE or FALSE from the dropdown." promptTitle="X-Author for Excel" sqref="Y155:Z255 G52:G76 G82:G106 G118:G148 M39:N45" xr:uid="{00000000-0002-0000-0100-000008000000}">
      <formula1>"TRUE,FALSE"</formula1>
    </dataValidation>
    <dataValidation type="date" allowBlank="1" showInputMessage="1" showErrorMessage="1" errorTitle="X-Author for Excel" error="Please enter a valid date." promptTitle="X-Author for Excel" sqref="O39:P45 E10:E11" xr:uid="{00000000-0002-0000-0100-000009000000}">
      <formula1>1</formula1>
      <formula2>767376</formula2>
    </dataValidation>
    <dataValidation type="custom" allowBlank="1" showInputMessage="1" showErrorMessage="1" errorTitle="X-Author for Excel" error="Id and Lookup fields are not editable." promptTitle="X-Author for Excel" sqref="Q39:Q45 U39:U45 I27:I28 AN10 H52:H76 F52:F76 H82:H106 F82:F106 H118:J148 X155:X255 AA155:AB255" xr:uid="{00000000-0002-0000-0100-00000A000000}">
      <formula1>""</formula1>
    </dataValidation>
    <dataValidation type="custom" showInputMessage="1" showErrorMessage="1" sqref="T155:T255" xr:uid="{00000000-0002-0000-0100-00000B000000}">
      <formula1>FIND("Other",K155)=1</formula1>
    </dataValidation>
    <dataValidation type="list" allowBlank="1" showInputMessage="1" showErrorMessage="1" sqref="J155:J255" xr:uid="{00000000-0002-0000-0100-00000C000000}">
      <formula1>IF($T155&lt;&gt;"",$XFD$264,INDIRECT(CONCATENATE("'Reference Records'!C",M155,":C",N155)))</formula1>
    </dataValidation>
    <dataValidation type="list" allowBlank="1" showInputMessage="1" showErrorMessage="1" sqref="V155:V255" xr:uid="{00000000-0002-0000-0100-00000D000000}">
      <formula1>IF($T155&lt;&gt;"",$XFD$264,INDIRECT(CONCATENATE("'Reference Records'!C",M155,":C",N155)))</formula1>
    </dataValidation>
    <dataValidation type="decimal" allowBlank="1" showInputMessage="1" showErrorMessage="1" errorTitle="X-Author for Excel" error="Please enter a valid numeric value. Valid range for Programmatic Report Period Frequency is -1E+18 to 1E+18." promptTitle="X-Author for Excel" sqref="C9" xr:uid="{E64F5796-CF0E-47BB-929E-FC28700D9A24}">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27:A28" xr:uid="{89C753C9-64EA-4F64-ADF4-09D954E1339B}">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2:A76" xr:uid="{A446BAF6-F915-423D-8C12-3BAF09196C6A}">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82:A106" xr:uid="{6100A1FA-729A-4AF5-9433-1383F1B0B712}">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18:A148" xr:uid="{73284CFC-DBD8-4FD5-B92D-7FE52FFD9585}">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55:A255" xr:uid="{32F8B3E6-C85E-411B-812F-B6B30909227B}">
      <formula1>-1000000000000000000</formula1>
      <formula2>1000000000000000000</formula2>
    </dataValidation>
  </dataValidations>
  <hyperlinks>
    <hyperlink ref="E14" location="_4f36af19_06bf_4c59_990d_586822b3d259" display="=Translations!A25" xr:uid="{00000000-0004-0000-0100-000000000000}"/>
    <hyperlink ref="T14" location="_4ede0df7_bdae_485c_a6aa_cd381b32466f" display="Interventions" xr:uid="{00000000-0004-0000-0100-000001000000}"/>
    <hyperlink ref="E13" location="_8273a11c_a030_45ba_bf8f_2b577e1aa93b" display="=Translations!A14" xr:uid="{00000000-0004-0000-0100-000002000000}"/>
    <hyperlink ref="A264" location="'Overview - Section A'!A13" display="'Overview - Section A'!A13" xr:uid="{00000000-0004-0000-0100-000003000000}"/>
    <hyperlink ref="K13" location="_6a3dda26_b269_4afa_8b05_c602a881a167" display="=Translations!A17" xr:uid="{00000000-0004-0000-0100-000004000000}"/>
    <hyperlink ref="K14" location="_eabb6097_6646_49fe_9d42_cce1d696601b" display="Modules" xr:uid="{00000000-0004-0000-0100-000005000000}"/>
    <hyperlink ref="T13" location="_0215c642_4079_4a66_b33f_02948e5b161c" display="=Translations!A22" xr:uid="{00000000-0004-0000-0100-000006000000}"/>
    <hyperlink ref="V13" location="'Instructions-FR'!InstructionA" display="'Instructions-FR'!InstructionA" xr:uid="{00000000-0004-0000-0100-000007000000}"/>
  </hyperlinks>
  <pageMargins left="0.7" right="0.7" top="0.75" bottom="0.75" header="0.3" footer="0.3"/>
  <pageSetup paperSize="8" scale="9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E000000}">
          <x14:formula1>
            <xm:f>Translations!$A$101:$A$102</xm:f>
          </x14:formula1>
          <xm:sqref>K39:K45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E14"/>
  <sheetViews>
    <sheetView topLeftCell="A6" workbookViewId="0">
      <selection activeCell="C7" sqref="C7"/>
    </sheetView>
  </sheetViews>
  <sheetFormatPr defaultColWidth="9" defaultRowHeight="15.5" x14ac:dyDescent="0.35"/>
  <cols>
    <col min="1" max="2" width="16.58203125" customWidth="1"/>
    <col min="3" max="3" width="36.58203125" customWidth="1"/>
    <col min="4" max="4" width="17.08203125" customWidth="1"/>
    <col min="5" max="5" width="26.08203125" bestFit="1" customWidth="1"/>
  </cols>
  <sheetData>
    <row r="1" spans="1:5" x14ac:dyDescent="0.35">
      <c r="A1" s="133" t="s">
        <v>237</v>
      </c>
      <c r="B1" s="133" t="s">
        <v>243</v>
      </c>
      <c r="C1" s="133" t="s">
        <v>238</v>
      </c>
      <c r="D1" s="133" t="s">
        <v>239</v>
      </c>
      <c r="E1" s="133" t="s">
        <v>240</v>
      </c>
    </row>
    <row r="2" spans="1:5" ht="118.5" customHeight="1" x14ac:dyDescent="0.35">
      <c r="A2" s="135">
        <v>6</v>
      </c>
      <c r="B2" s="136">
        <v>43308</v>
      </c>
      <c r="C2" s="134" t="s">
        <v>244</v>
      </c>
      <c r="D2" s="133" t="s">
        <v>241</v>
      </c>
      <c r="E2" s="133" t="s">
        <v>242</v>
      </c>
    </row>
    <row r="3" spans="1:5" ht="29" x14ac:dyDescent="0.35">
      <c r="A3" s="133">
        <v>7</v>
      </c>
      <c r="B3" s="137">
        <v>43328</v>
      </c>
      <c r="C3" s="138" t="s">
        <v>245</v>
      </c>
      <c r="D3" s="133"/>
      <c r="E3" s="133"/>
    </row>
    <row r="4" spans="1:5" ht="232" x14ac:dyDescent="0.35">
      <c r="A4" s="409" t="s">
        <v>986</v>
      </c>
      <c r="B4" s="408" t="s">
        <v>987</v>
      </c>
      <c r="C4" s="415" t="s">
        <v>991</v>
      </c>
      <c r="D4" s="408" t="s">
        <v>988</v>
      </c>
      <c r="E4" s="408" t="s">
        <v>989</v>
      </c>
    </row>
    <row r="5" spans="1:5" ht="43.5" x14ac:dyDescent="0.35">
      <c r="A5" s="430" t="s">
        <v>995</v>
      </c>
      <c r="B5" s="137">
        <v>44012</v>
      </c>
      <c r="C5" s="431" t="s">
        <v>997</v>
      </c>
      <c r="D5" s="430" t="s">
        <v>996</v>
      </c>
      <c r="E5" s="430" t="s">
        <v>998</v>
      </c>
    </row>
    <row r="6" spans="1:5" ht="145" x14ac:dyDescent="0.35">
      <c r="A6" s="433" t="s">
        <v>1000</v>
      </c>
      <c r="B6" s="432">
        <v>44214</v>
      </c>
      <c r="C6" s="434" t="s">
        <v>1003</v>
      </c>
      <c r="D6" s="433" t="s">
        <v>1001</v>
      </c>
      <c r="E6" s="433" t="s">
        <v>1002</v>
      </c>
    </row>
    <row r="7" spans="1:5" x14ac:dyDescent="0.35">
      <c r="A7" s="133"/>
      <c r="B7" s="133"/>
      <c r="C7" s="133"/>
      <c r="D7" s="133"/>
      <c r="E7" s="133"/>
    </row>
    <row r="8" spans="1:5" x14ac:dyDescent="0.35">
      <c r="A8" s="133"/>
      <c r="B8" s="133"/>
      <c r="C8" s="133"/>
      <c r="D8" s="133"/>
      <c r="E8" s="133"/>
    </row>
    <row r="9" spans="1:5" x14ac:dyDescent="0.35">
      <c r="A9" s="133"/>
      <c r="B9" s="133"/>
      <c r="C9" s="133"/>
      <c r="D9" s="133"/>
      <c r="E9" s="133"/>
    </row>
    <row r="10" spans="1:5" x14ac:dyDescent="0.35">
      <c r="A10" s="133"/>
      <c r="B10" s="133"/>
      <c r="C10" s="133"/>
      <c r="D10" s="133"/>
      <c r="E10" s="133"/>
    </row>
    <row r="11" spans="1:5" x14ac:dyDescent="0.35">
      <c r="A11" s="133"/>
      <c r="B11" s="133"/>
      <c r="C11" s="133"/>
      <c r="D11" s="133"/>
      <c r="E11" s="133"/>
    </row>
    <row r="12" spans="1:5" x14ac:dyDescent="0.35">
      <c r="A12" s="133"/>
      <c r="B12" s="133"/>
      <c r="C12" s="133"/>
      <c r="D12" s="133"/>
      <c r="E12" s="133"/>
    </row>
    <row r="13" spans="1:5" x14ac:dyDescent="0.35">
      <c r="A13" s="133"/>
      <c r="B13" s="133"/>
      <c r="C13" s="133"/>
      <c r="D13" s="133"/>
      <c r="E13" s="133"/>
    </row>
    <row r="14" spans="1:5" x14ac:dyDescent="0.35">
      <c r="A14" s="133"/>
      <c r="B14" s="133"/>
      <c r="C14" s="133"/>
      <c r="D14" s="133"/>
      <c r="E14" s="13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U698"/>
  <sheetViews>
    <sheetView topLeftCell="A42" zoomScale="80" zoomScaleNormal="80" workbookViewId="0">
      <selection activeCell="E74" sqref="E74"/>
    </sheetView>
  </sheetViews>
  <sheetFormatPr defaultColWidth="8.58203125" defaultRowHeight="12.5" x14ac:dyDescent="0.25"/>
  <cols>
    <col min="1" max="1" width="25.58203125" style="1" customWidth="1"/>
    <col min="2" max="2" width="30.58203125" style="1" customWidth="1"/>
    <col min="3" max="3" width="52.08203125" style="1" customWidth="1"/>
    <col min="4" max="4" width="47.58203125" style="1" customWidth="1"/>
    <col min="5" max="5" width="19.58203125" style="1" customWidth="1"/>
    <col min="6" max="6" width="63.58203125" style="1" customWidth="1"/>
    <col min="7" max="7" width="37.1640625" style="1" customWidth="1"/>
    <col min="8" max="9" width="26" style="1" customWidth="1"/>
    <col min="10" max="10" width="39.58203125" style="1" customWidth="1"/>
    <col min="11" max="11" width="30.58203125" style="1" customWidth="1"/>
    <col min="12" max="12" width="50" style="1" customWidth="1"/>
    <col min="13" max="13" width="15" style="1" bestFit="1" customWidth="1"/>
    <col min="14" max="14" width="29.08203125" style="1" customWidth="1"/>
    <col min="15" max="15" width="24" style="1" customWidth="1"/>
    <col min="16" max="16" width="33.58203125" style="1" customWidth="1"/>
    <col min="17" max="17" width="21.6640625" style="1" customWidth="1"/>
    <col min="18" max="19" width="24.08203125" style="1" customWidth="1"/>
    <col min="20" max="16384" width="8.58203125" style="1"/>
  </cols>
  <sheetData>
    <row r="1" spans="1:20" x14ac:dyDescent="0.25">
      <c r="A1" s="1" t="s">
        <v>332</v>
      </c>
    </row>
    <row r="2" spans="1:20" ht="13" x14ac:dyDescent="0.3">
      <c r="B2" s="2" t="s">
        <v>92</v>
      </c>
    </row>
    <row r="3" spans="1:20" x14ac:dyDescent="0.25">
      <c r="B3" s="156" t="s">
        <v>89</v>
      </c>
      <c r="C3" s="156" t="s">
        <v>448</v>
      </c>
      <c r="D3" s="156" t="s">
        <v>450</v>
      </c>
      <c r="E3" s="156" t="s">
        <v>91</v>
      </c>
      <c r="F3" s="156" t="s">
        <v>224</v>
      </c>
      <c r="G3" s="156" t="s">
        <v>48</v>
      </c>
      <c r="H3" s="156" t="s">
        <v>222</v>
      </c>
      <c r="I3" s="156" t="s">
        <v>223</v>
      </c>
      <c r="J3" s="156" t="s">
        <v>972</v>
      </c>
      <c r="K3" s="156" t="s">
        <v>221</v>
      </c>
      <c r="L3" s="156"/>
      <c r="M3" s="156" t="s">
        <v>329</v>
      </c>
      <c r="N3" s="156" t="s">
        <v>285</v>
      </c>
      <c r="O3" s="156" t="s">
        <v>43</v>
      </c>
      <c r="P3" s="156" t="s">
        <v>446</v>
      </c>
      <c r="Q3" s="156" t="s">
        <v>444</v>
      </c>
      <c r="R3" s="156" t="s">
        <v>45</v>
      </c>
      <c r="S3" s="156" t="s">
        <v>452</v>
      </c>
      <c r="T3" s="156" t="s">
        <v>454</v>
      </c>
    </row>
    <row r="4" spans="1:20" hidden="1" x14ac:dyDescent="0.25">
      <c r="B4" s="156" t="s">
        <v>88</v>
      </c>
      <c r="C4" s="487" t="str">
        <f>CHOOSE(Translations!$C$1+1,O4,P4,Q4)</f>
        <v>--Select--</v>
      </c>
      <c r="D4" s="156" t="str">
        <f>CHOOSE(Translations!$C$1+1,R4,S4,T4)</f>
        <v>[Disaggregation Categories ES]</v>
      </c>
      <c r="E4" s="156" t="s">
        <v>90</v>
      </c>
      <c r="F4" s="156" t="str">
        <f t="array" ref="F4">IFERROR(INDEX($C$4:$C$22, MATCH(0, COUNTIF($F$3:F3, $C$4:$C$22&amp;"") + IF($C$4:$C$22="",1,0), 0)), "")</f>
        <v>--Select--</v>
      </c>
      <c r="G4" s="156" t="s">
        <v>47</v>
      </c>
      <c r="H4" s="156" t="str">
        <f t="array" ref="H4">IFERROR(INDEX($B$4:$B$22, MATCH(0, COUNTIF($H$3:H3, $B$4:$B$22&amp;"") + IF($B$4:$B$22="",1,0), 0)), "")</f>
        <v>[Impact Outcome Reference (Name)]</v>
      </c>
      <c r="I4" s="156" t="str">
        <f t="array" ref="I4">IFERROR(IF(INDEX($C$4:$C$22,MATCH(LEFT(H4,255),LEFT($B$4:$B$22,255),0))=0,"",INDEX($C$4:$C$22,MATCH(LEFT(H4,255),LEFT($B$4:$B$22,255),0))),"")</f>
        <v>--Select--</v>
      </c>
      <c r="J4" s="156" t="str">
        <f>LEFT(C4,255)</f>
        <v>--Select--</v>
      </c>
      <c r="K4" s="157" t="s">
        <v>220</v>
      </c>
      <c r="L4" s="156"/>
      <c r="M4" s="156" t="s">
        <v>328</v>
      </c>
      <c r="N4" s="156" t="s">
        <v>284</v>
      </c>
      <c r="O4" s="158" t="s">
        <v>52</v>
      </c>
      <c r="P4" s="158" t="s">
        <v>52</v>
      </c>
      <c r="Q4" s="158" t="s">
        <v>52</v>
      </c>
      <c r="R4" s="157" t="s">
        <v>44</v>
      </c>
      <c r="S4" s="157" t="s">
        <v>451</v>
      </c>
      <c r="T4" s="157" t="s">
        <v>453</v>
      </c>
    </row>
    <row r="5" spans="1:20" s="9" customFormat="1" x14ac:dyDescent="0.25">
      <c r="B5" s="156" t="s">
        <v>1421</v>
      </c>
      <c r="C5" s="487" t="str">
        <f>CHOOSE(Translations!$C$1+1,O5,P5,Q5)</f>
        <v>HIV I-13 Porcentaje de personas que viven con el VIH</v>
      </c>
      <c r="D5" s="156" t="str">
        <f>CHOOSE(Translations!$C$1+1,R5,S5,T5)</f>
        <v>Género,Edad</v>
      </c>
      <c r="E5" s="156" t="s">
        <v>1413</v>
      </c>
      <c r="F5" s="156" t="str">
        <f t="array" ref="F5">IFERROR(INDEX($C$4:$C$22, MATCH(0, COUNTIF($F$3:F4, $C$4:$C$22&amp;"") + IF($C$4:$C$22="",1,0), 0)), "")</f>
        <v>HIV I-13 Porcentaje de personas que viven con el VIH</v>
      </c>
      <c r="G5" s="156" t="s">
        <v>2776</v>
      </c>
      <c r="H5" s="156" t="str">
        <f t="array" ref="H5">IFERROR(INDEX($B$4:$B$22, MATCH(0, COUNTIF($H$3:H4, $B$4:$B$22&amp;"") + IF($B$4:$B$22="",1,0), 0)), "")</f>
        <v>IOR-00079</v>
      </c>
      <c r="I5" s="156" t="str">
        <f t="array" ref="I5">IFERROR(IF(INDEX($C$4:$C$22,MATCH(LEFT(H5,255),LEFT($B$4:$B$22,255),0))=0,"",INDEX($C$4:$C$22,MATCH(LEFT(H5,255),LEFT($B$4:$B$22,255),0))),"")</f>
        <v>HIV I-13 Porcentaje de personas que viven con el VIH</v>
      </c>
      <c r="J5" s="156" t="str">
        <f t="shared" ref="J5:J18" si="0">LEFT(C5,255)</f>
        <v>HIV I-13 Porcentaje de personas que viven con el VIH</v>
      </c>
      <c r="K5" s="157" t="s">
        <v>2777</v>
      </c>
      <c r="L5" s="156"/>
      <c r="M5" s="156" t="s">
        <v>267</v>
      </c>
      <c r="N5" s="156" t="s">
        <v>2778</v>
      </c>
      <c r="O5" s="158" t="s">
        <v>1430</v>
      </c>
      <c r="P5" s="158" t="s">
        <v>1431</v>
      </c>
      <c r="Q5" s="158" t="s">
        <v>1432</v>
      </c>
      <c r="R5" s="157" t="s">
        <v>2779</v>
      </c>
      <c r="S5" s="157" t="s">
        <v>2780</v>
      </c>
      <c r="T5" s="157" t="s">
        <v>2781</v>
      </c>
    </row>
    <row r="6" spans="1:20" s="9" customFormat="1" x14ac:dyDescent="0.25">
      <c r="B6" s="156" t="s">
        <v>1469</v>
      </c>
      <c r="C6" s="487" t="str">
        <f>CHOOSE(Translations!$C$1+1,O6,P6,Q6)</f>
        <v>HIV I-14 Número de infecciones nuevas de VIH por 1.000 habitantes no infectados</v>
      </c>
      <c r="D6" s="156" t="str">
        <f>CHOOSE(Translations!$C$1+1,R6,S6,T6)</f>
        <v>Género,Edad</v>
      </c>
      <c r="E6" s="156" t="s">
        <v>1413</v>
      </c>
      <c r="F6" s="156" t="str">
        <f t="array" ref="F6">IFERROR(INDEX($C$4:$C$22, MATCH(0, COUNTIF($F$3:F5, $C$4:$C$22&amp;"") + IF($C$4:$C$22="",1,0), 0)), "")</f>
        <v>HIV I-14 Número de infecciones nuevas de VIH por 1.000 habitantes no infectados</v>
      </c>
      <c r="G6" s="156" t="s">
        <v>2782</v>
      </c>
      <c r="H6" s="156" t="str">
        <f t="array" ref="H6">IFERROR(INDEX($B$4:$B$22, MATCH(0, COUNTIF($H$3:H5, $B$4:$B$22&amp;"") + IF($B$4:$B$22="",1,0), 0)), "")</f>
        <v>IOR-00080</v>
      </c>
      <c r="I6" s="156" t="str">
        <f t="array" ref="I6">IFERROR(IF(INDEX($C$4:$C$22,MATCH(LEFT(H6,255),LEFT($B$4:$B$22,255),0))=0,"",INDEX($C$4:$C$22,MATCH(LEFT(H6,255),LEFT($B$4:$B$22,255),0))),"")</f>
        <v>HIV I-14 Número de infecciones nuevas de VIH por 1.000 habitantes no infectados</v>
      </c>
      <c r="J6" s="156" t="str">
        <f t="shared" si="0"/>
        <v>HIV I-14 Número de infecciones nuevas de VIH por 1.000 habitantes no infectados</v>
      </c>
      <c r="K6" s="157" t="s">
        <v>2783</v>
      </c>
      <c r="L6" s="156"/>
      <c r="M6" s="156" t="s">
        <v>267</v>
      </c>
      <c r="N6" s="156" t="s">
        <v>2778</v>
      </c>
      <c r="O6" s="158" t="s">
        <v>1472</v>
      </c>
      <c r="P6" s="158" t="s">
        <v>1473</v>
      </c>
      <c r="Q6" s="158" t="s">
        <v>1474</v>
      </c>
      <c r="R6" s="157" t="s">
        <v>2779</v>
      </c>
      <c r="S6" s="157" t="s">
        <v>2780</v>
      </c>
      <c r="T6" s="157" t="s">
        <v>2781</v>
      </c>
    </row>
    <row r="7" spans="1:20" s="9" customFormat="1" x14ac:dyDescent="0.25">
      <c r="B7" s="156" t="s">
        <v>1489</v>
      </c>
      <c r="C7" s="487" t="str">
        <f>CHOOSE(Translations!$C$1+1,O7,P7,Q7)</f>
        <v>HIV I-4 Número de muertes relacionadas con el sida por cada 100.000 habitantes</v>
      </c>
      <c r="D7" s="156" t="str">
        <f>CHOOSE(Translations!$C$1+1,R7,S7,T7)</f>
        <v>Edad,Género</v>
      </c>
      <c r="E7" s="156" t="s">
        <v>1413</v>
      </c>
      <c r="F7" s="156" t="str">
        <f t="array" ref="F7">IFERROR(INDEX($C$4:$C$22, MATCH(0, COUNTIF($F$3:F6, $C$4:$C$22&amp;"") + IF($C$4:$C$22="",1,0), 0)), "")</f>
        <v>HIV I-4 Número de muertes relacionadas con el sida por cada 100.000 habitantes</v>
      </c>
      <c r="G7" s="156" t="s">
        <v>2784</v>
      </c>
      <c r="H7" s="156" t="str">
        <f t="array" ref="H7">IFERROR(INDEX($B$4:$B$22, MATCH(0, COUNTIF($H$3:H6, $B$4:$B$22&amp;"") + IF($B$4:$B$22="",1,0), 0)), "")</f>
        <v>IOR-00081</v>
      </c>
      <c r="I7" s="156" t="str">
        <f t="array" ref="I7">IFERROR(IF(INDEX($C$4:$C$22,MATCH(LEFT(H7,255),LEFT($B$4:$B$22,255),0))=0,"",INDEX($C$4:$C$22,MATCH(LEFT(H7,255),LEFT($B$4:$B$22,255),0))),"")</f>
        <v>HIV I-4 Número de muertes relacionadas con el sida por cada 100.000 habitantes</v>
      </c>
      <c r="J7" s="156" t="str">
        <f t="shared" si="0"/>
        <v>HIV I-4 Número de muertes relacionadas con el sida por cada 100.000 habitantes</v>
      </c>
      <c r="K7" s="157" t="s">
        <v>2785</v>
      </c>
      <c r="L7" s="156"/>
      <c r="M7" s="156" t="s">
        <v>267</v>
      </c>
      <c r="N7" s="156" t="s">
        <v>2778</v>
      </c>
      <c r="O7" s="158" t="s">
        <v>1492</v>
      </c>
      <c r="P7" s="158" t="s">
        <v>1493</v>
      </c>
      <c r="Q7" s="158" t="s">
        <v>1494</v>
      </c>
      <c r="R7" s="157" t="s">
        <v>2786</v>
      </c>
      <c r="S7" s="157" t="s">
        <v>2787</v>
      </c>
      <c r="T7" s="157" t="s">
        <v>2788</v>
      </c>
    </row>
    <row r="8" spans="1:20" s="9" customFormat="1" x14ac:dyDescent="0.25">
      <c r="B8" s="156" t="s">
        <v>2789</v>
      </c>
      <c r="C8" s="487" t="str">
        <f>CHOOSE(Translations!$C$1+1,O8,P8,Q8)</f>
        <v>HIV I-6 Porcentaje estimado de niños que contraen el VIH mediante transmisión maternoinfantil entre el número de mujeres que viven con el VIH que han dado a luz en los 12 meses anteriores</v>
      </c>
      <c r="D8" s="156">
        <f>CHOOSE(Translations!$C$1+1,R8,S8,T8)</f>
        <v>0</v>
      </c>
      <c r="E8" s="156" t="s">
        <v>1413</v>
      </c>
      <c r="F8" s="156" t="str">
        <f t="array" ref="F8">IFERROR(INDEX($C$4:$C$22, MATCH(0, COUNTIF($F$3:F7, $C$4:$C$22&amp;"") + IF($C$4:$C$22="",1,0), 0)), "")</f>
        <v>HIV I-6 Porcentaje estimado de niños que contraen el VIH mediante transmisión maternoinfantil entre el número de mujeres que viven con el VIH que han dado a luz en los 12 meses anteriores</v>
      </c>
      <c r="G8" s="156" t="s">
        <v>2790</v>
      </c>
      <c r="H8" s="156" t="str">
        <f t="array" ref="H8">IFERROR(INDEX($B$4:$B$22, MATCH(0, COUNTIF($H$3:H7, $B$4:$B$22&amp;"") + IF($B$4:$B$22="",1,0), 0)), "")</f>
        <v>IOR-00082</v>
      </c>
      <c r="I8" s="156" t="str">
        <f t="array" ref="I8">IFERROR(IF(INDEX($C$4:$C$22,MATCH(LEFT(H8,255),LEFT($B$4:$B$22,255),0))=0,"",INDEX($C$4:$C$22,MATCH(LEFT(H8,255),LEFT($B$4:$B$22,255),0))),"")</f>
        <v>HIV I-6 Porcentaje estimado de niños que contraen el VIH mediante transmisión maternoinfantil entre el número de mujeres que viven con el VIH que han dado a luz en los 12 meses anteriores</v>
      </c>
      <c r="J8" s="156" t="str">
        <f t="shared" si="0"/>
        <v>HIV I-6 Porcentaje estimado de niños que contraen el VIH mediante transmisión maternoinfantil entre el número de mujeres que viven con el VIH que han dado a luz en los 12 meses anteriores</v>
      </c>
      <c r="K8" s="157" t="s">
        <v>2791</v>
      </c>
      <c r="L8" s="156"/>
      <c r="M8" s="156" t="s">
        <v>267</v>
      </c>
      <c r="N8" s="156" t="s">
        <v>2778</v>
      </c>
      <c r="O8" s="158" t="s">
        <v>2792</v>
      </c>
      <c r="P8" s="158" t="s">
        <v>2793</v>
      </c>
      <c r="Q8" s="158" t="s">
        <v>2794</v>
      </c>
      <c r="R8" s="157"/>
      <c r="S8" s="157"/>
      <c r="T8" s="157"/>
    </row>
    <row r="9" spans="1:20" s="9" customFormat="1" x14ac:dyDescent="0.25">
      <c r="B9" s="156" t="s">
        <v>1513</v>
      </c>
      <c r="C9" s="487" t="str">
        <f>CHOOSE(Translations!$C$1+1,O9,P9,Q9)</f>
        <v>HIV I-9a⁽ᴹ⁾ Porcentaje de HSH y viven con el VIH</v>
      </c>
      <c r="D9" s="156" t="str">
        <f>CHOOSE(Translations!$C$1+1,R9,S9,T9)</f>
        <v>Edad</v>
      </c>
      <c r="E9" s="156" t="s">
        <v>1413</v>
      </c>
      <c r="F9" s="156" t="str">
        <f t="array" ref="F9">IFERROR(INDEX($C$4:$C$22, MATCH(0, COUNTIF($F$3:F8, $C$4:$C$22&amp;"") + IF($C$4:$C$22="",1,0), 0)), "")</f>
        <v>HIV I-9a⁽ᴹ⁾ Porcentaje de HSH y viven con el VIH</v>
      </c>
      <c r="G9" s="156" t="s">
        <v>2795</v>
      </c>
      <c r="H9" s="156" t="str">
        <f t="array" ref="H9">IFERROR(INDEX($B$4:$B$22, MATCH(0, COUNTIF($H$3:H8, $B$4:$B$22&amp;"") + IF($B$4:$B$22="",1,0), 0)), "")</f>
        <v>IOR-00083</v>
      </c>
      <c r="I9" s="156" t="str">
        <f t="array" ref="I9">IFERROR(IF(INDEX($C$4:$C$22,MATCH(LEFT(H9,255),LEFT($B$4:$B$22,255),0))=0,"",INDEX($C$4:$C$22,MATCH(LEFT(H9,255),LEFT($B$4:$B$22,255),0))),"")</f>
        <v>HIV I-9a⁽ᴹ⁾ Porcentaje de HSH y viven con el VIH</v>
      </c>
      <c r="J9" s="156" t="str">
        <f t="shared" si="0"/>
        <v>HIV I-9a⁽ᴹ⁾ Porcentaje de HSH y viven con el VIH</v>
      </c>
      <c r="K9" s="157" t="s">
        <v>2796</v>
      </c>
      <c r="L9" s="156"/>
      <c r="M9" s="156" t="s">
        <v>267</v>
      </c>
      <c r="N9" s="156" t="s">
        <v>2778</v>
      </c>
      <c r="O9" s="158" t="s">
        <v>1517</v>
      </c>
      <c r="P9" s="158" t="s">
        <v>1518</v>
      </c>
      <c r="Q9" s="158" t="s">
        <v>1519</v>
      </c>
      <c r="R9" s="157" t="s">
        <v>1463</v>
      </c>
      <c r="S9" s="157" t="s">
        <v>1463</v>
      </c>
      <c r="T9" s="157" t="s">
        <v>1464</v>
      </c>
    </row>
    <row r="10" spans="1:20" s="9" customFormat="1" x14ac:dyDescent="0.25">
      <c r="B10" s="156" t="s">
        <v>1523</v>
      </c>
      <c r="C10" s="487" t="str">
        <f>CHOOSE(Translations!$C$1+1,O10,P10,Q10)</f>
        <v>HIV I-9b⁽ᴹ⁾ Porcentaje de personas transgénero que viven con el VIH</v>
      </c>
      <c r="D10" s="156" t="str">
        <f>CHOOSE(Translations!$C$1+1,R10,S10,T10)</f>
        <v>Edad</v>
      </c>
      <c r="E10" s="156" t="s">
        <v>1413</v>
      </c>
      <c r="F10" s="156" t="str">
        <f t="array" ref="F10">IFERROR(INDEX($C$4:$C$22, MATCH(0, COUNTIF($F$3:F9, $C$4:$C$22&amp;"") + IF($C$4:$C$22="",1,0), 0)), "")</f>
        <v>HIV I-9b⁽ᴹ⁾ Porcentaje de personas transgénero que viven con el VIH</v>
      </c>
      <c r="G10" s="156" t="s">
        <v>2797</v>
      </c>
      <c r="H10" s="156" t="str">
        <f t="array" ref="H10">IFERROR(INDEX($B$4:$B$22, MATCH(0, COUNTIF($H$3:H9, $B$4:$B$22&amp;"") + IF($B$4:$B$22="",1,0), 0)), "")</f>
        <v>IOR-00084</v>
      </c>
      <c r="I10" s="156" t="str">
        <f t="array" ref="I10">IFERROR(IF(INDEX($C$4:$C$22,MATCH(LEFT(H10,255),LEFT($B$4:$B$22,255),0))=0,"",INDEX($C$4:$C$22,MATCH(LEFT(H10,255),LEFT($B$4:$B$22,255),0))),"")</f>
        <v>HIV I-9b⁽ᴹ⁾ Porcentaje de personas transgénero que viven con el VIH</v>
      </c>
      <c r="J10" s="156" t="str">
        <f t="shared" si="0"/>
        <v>HIV I-9b⁽ᴹ⁾ Porcentaje de personas transgénero que viven con el VIH</v>
      </c>
      <c r="K10" s="157" t="s">
        <v>2798</v>
      </c>
      <c r="L10" s="156"/>
      <c r="M10" s="156" t="s">
        <v>267</v>
      </c>
      <c r="N10" s="156" t="s">
        <v>2778</v>
      </c>
      <c r="O10" s="158" t="s">
        <v>1526</v>
      </c>
      <c r="P10" s="158" t="s">
        <v>1527</v>
      </c>
      <c r="Q10" s="158" t="s">
        <v>1528</v>
      </c>
      <c r="R10" s="157" t="s">
        <v>1463</v>
      </c>
      <c r="S10" s="157" t="s">
        <v>1463</v>
      </c>
      <c r="T10" s="157" t="s">
        <v>1464</v>
      </c>
    </row>
    <row r="11" spans="1:20" s="9" customFormat="1" x14ac:dyDescent="0.25">
      <c r="B11" s="156" t="s">
        <v>1531</v>
      </c>
      <c r="C11" s="487" t="str">
        <f>CHOOSE(Translations!$C$1+1,O11,P11,Q11)</f>
        <v>HIV I-10⁽ᴹ⁾ Porcentaje de trabajadores sexuales que viven con el VIH</v>
      </c>
      <c r="D11" s="156" t="str">
        <f>CHOOSE(Translations!$C$1+1,R11,S11,T11)</f>
        <v>Género,Edad</v>
      </c>
      <c r="E11" s="156" t="s">
        <v>1413</v>
      </c>
      <c r="F11" s="156" t="str">
        <f t="array" ref="F11">IFERROR(INDEX($C$4:$C$22, MATCH(0, COUNTIF($F$3:F10, $C$4:$C$22&amp;"") + IF($C$4:$C$22="",1,0), 0)), "")</f>
        <v>HIV I-10⁽ᴹ⁾ Porcentaje de trabajadores sexuales que viven con el VIH</v>
      </c>
      <c r="G11" s="156" t="s">
        <v>2799</v>
      </c>
      <c r="H11" s="156" t="str">
        <f t="array" ref="H11">IFERROR(INDEX($B$4:$B$22, MATCH(0, COUNTIF($H$3:H10, $B$4:$B$22&amp;"") + IF($B$4:$B$22="",1,0), 0)), "")</f>
        <v>IOR-00085</v>
      </c>
      <c r="I11" s="156" t="str">
        <f t="array" ref="I11">IFERROR(IF(INDEX($C$4:$C$22,MATCH(LEFT(H11,255),LEFT($B$4:$B$22,255),0))=0,"",INDEX($C$4:$C$22,MATCH(LEFT(H11,255),LEFT($B$4:$B$22,255),0))),"")</f>
        <v>HIV I-10⁽ᴹ⁾ Porcentaje de trabajadores sexuales que viven con el VIH</v>
      </c>
      <c r="J11" s="156" t="str">
        <f t="shared" si="0"/>
        <v>HIV I-10⁽ᴹ⁾ Porcentaje de trabajadores sexuales que viven con el VIH</v>
      </c>
      <c r="K11" s="157" t="s">
        <v>2800</v>
      </c>
      <c r="L11" s="156"/>
      <c r="M11" s="156" t="s">
        <v>267</v>
      </c>
      <c r="N11" s="156" t="s">
        <v>2778</v>
      </c>
      <c r="O11" s="158" t="s">
        <v>1537</v>
      </c>
      <c r="P11" s="158" t="s">
        <v>1538</v>
      </c>
      <c r="Q11" s="158" t="s">
        <v>1539</v>
      </c>
      <c r="R11" s="157" t="s">
        <v>2801</v>
      </c>
      <c r="S11" s="157" t="s">
        <v>2780</v>
      </c>
      <c r="T11" s="157" t="s">
        <v>2781</v>
      </c>
    </row>
    <row r="12" spans="1:20" s="9" customFormat="1" x14ac:dyDescent="0.25">
      <c r="B12" s="156" t="s">
        <v>1548</v>
      </c>
      <c r="C12" s="487" t="str">
        <f>CHOOSE(Translations!$C$1+1,O12,P12,Q12)</f>
        <v>HIV I-11⁽ᴹ⁾ Porcentaje de personas que consumen drogas inyectables y que viven con el VIH</v>
      </c>
      <c r="D12" s="156" t="str">
        <f>CHOOSE(Translations!$C$1+1,R12,S12,T12)</f>
        <v>Género,Edad</v>
      </c>
      <c r="E12" s="156" t="s">
        <v>1413</v>
      </c>
      <c r="F12" s="156" t="str">
        <f t="array" ref="F12">IFERROR(INDEX($C$4:$C$22, MATCH(0, COUNTIF($F$3:F11, $C$4:$C$22&amp;"") + IF($C$4:$C$22="",1,0), 0)), "")</f>
        <v>HIV I-11⁽ᴹ⁾ Porcentaje de personas que consumen drogas inyectables y que viven con el VIH</v>
      </c>
      <c r="G12" s="156" t="s">
        <v>2802</v>
      </c>
      <c r="H12" s="156" t="str">
        <f t="array" ref="H12">IFERROR(INDEX($B$4:$B$22, MATCH(0, COUNTIF($H$3:H11, $B$4:$B$22&amp;"") + IF($B$4:$B$22="",1,0), 0)), "")</f>
        <v>IOR-00086</v>
      </c>
      <c r="I12" s="156" t="str">
        <f t="array" ref="I12">IFERROR(IF(INDEX($C$4:$C$22,MATCH(LEFT(H12,255),LEFT($B$4:$B$22,255),0))=0,"",INDEX($C$4:$C$22,MATCH(LEFT(H12,255),LEFT($B$4:$B$22,255),0))),"")</f>
        <v>HIV I-11⁽ᴹ⁾ Porcentaje de personas que consumen drogas inyectables y que viven con el VIH</v>
      </c>
      <c r="J12" s="156" t="str">
        <f t="shared" si="0"/>
        <v>HIV I-11⁽ᴹ⁾ Porcentaje de personas que consumen drogas inyectables y que viven con el VIH</v>
      </c>
      <c r="K12" s="157" t="s">
        <v>2803</v>
      </c>
      <c r="L12" s="156"/>
      <c r="M12" s="156" t="s">
        <v>267</v>
      </c>
      <c r="N12" s="156" t="s">
        <v>2778</v>
      </c>
      <c r="O12" s="158" t="s">
        <v>1551</v>
      </c>
      <c r="P12" s="158" t="s">
        <v>1552</v>
      </c>
      <c r="Q12" s="158" t="s">
        <v>1553</v>
      </c>
      <c r="R12" s="157" t="s">
        <v>2801</v>
      </c>
      <c r="S12" s="157" t="s">
        <v>2780</v>
      </c>
      <c r="T12" s="157" t="s">
        <v>2781</v>
      </c>
    </row>
    <row r="13" spans="1:20" s="9" customFormat="1" x14ac:dyDescent="0.25">
      <c r="B13" s="156" t="s">
        <v>2804</v>
      </c>
      <c r="C13" s="487" t="str">
        <f>CHOOSE(Translations!$C$1+1,O13,P13,Q13)</f>
        <v>HIV I-12 Porcentaje de otras poblaciones vulnerables (especifíquense) que viven con el VIH</v>
      </c>
      <c r="D13" s="156">
        <f>CHOOSE(Translations!$C$1+1,R13,S13,T13)</f>
        <v>0</v>
      </c>
      <c r="E13" s="156" t="s">
        <v>1413</v>
      </c>
      <c r="F13" s="156" t="str">
        <f t="array" ref="F13">IFERROR(INDEX($C$4:$C$22, MATCH(0, COUNTIF($F$3:F12, $C$4:$C$22&amp;"") + IF($C$4:$C$22="",1,0), 0)), "")</f>
        <v>HIV I-12 Porcentaje de otras poblaciones vulnerables (especifíquense) que viven con el VIH</v>
      </c>
      <c r="G13" s="156" t="s">
        <v>2805</v>
      </c>
      <c r="H13" s="156" t="str">
        <f t="array" ref="H13">IFERROR(INDEX($B$4:$B$22, MATCH(0, COUNTIF($H$3:H12, $B$4:$B$22&amp;"") + IF($B$4:$B$22="",1,0), 0)), "")</f>
        <v>IOR-00087</v>
      </c>
      <c r="I13" s="156" t="str">
        <f t="array" ref="I13">IFERROR(IF(INDEX($C$4:$C$22,MATCH(LEFT(H13,255),LEFT($B$4:$B$22,255),0))=0,"",INDEX($C$4:$C$22,MATCH(LEFT(H13,255),LEFT($B$4:$B$22,255),0))),"")</f>
        <v>HIV I-12 Porcentaje de otras poblaciones vulnerables (especifíquense) que viven con el VIH</v>
      </c>
      <c r="J13" s="156" t="str">
        <f t="shared" si="0"/>
        <v>HIV I-12 Porcentaje de otras poblaciones vulnerables (especifíquense) que viven con el VIH</v>
      </c>
      <c r="K13" s="157" t="s">
        <v>2806</v>
      </c>
      <c r="L13" s="156"/>
      <c r="M13" s="156" t="s">
        <v>267</v>
      </c>
      <c r="N13" s="156" t="s">
        <v>2778</v>
      </c>
      <c r="O13" s="158" t="s">
        <v>2807</v>
      </c>
      <c r="P13" s="158" t="s">
        <v>2808</v>
      </c>
      <c r="Q13" s="158" t="s">
        <v>2809</v>
      </c>
      <c r="R13" s="157"/>
      <c r="S13" s="157"/>
      <c r="T13" s="157"/>
    </row>
    <row r="14" spans="1:20" s="9" customFormat="1" x14ac:dyDescent="0.25">
      <c r="B14" s="156" t="s">
        <v>2810</v>
      </c>
      <c r="C14" s="487" t="str">
        <f>CHOOSE(Translations!$C$1+1,O14,P14,Q14)</f>
        <v>TB I-2 Tasa de incidencia de la tuberculosis por 100.000 habitantes.</v>
      </c>
      <c r="D14" s="156">
        <f>CHOOSE(Translations!$C$1+1,R14,S14,T14)</f>
        <v>0</v>
      </c>
      <c r="E14" s="156" t="s">
        <v>1414</v>
      </c>
      <c r="F14" s="156" t="str">
        <f t="array" ref="F14">IFERROR(INDEX($C$4:$C$22, MATCH(0, COUNTIF($F$3:F13, $C$4:$C$22&amp;"") + IF($C$4:$C$22="",1,0), 0)), "")</f>
        <v>TB I-2 Tasa de incidencia de la tuberculosis por 100.000 habitantes.</v>
      </c>
      <c r="G14" s="156" t="s">
        <v>2811</v>
      </c>
      <c r="H14" s="156" t="str">
        <f t="array" ref="H14">IFERROR(INDEX($B$4:$B$22, MATCH(0, COUNTIF($H$3:H13, $B$4:$B$22&amp;"") + IF($B$4:$B$22="",1,0), 0)), "")</f>
        <v>IOR-00088</v>
      </c>
      <c r="I14" s="156" t="str">
        <f t="array" ref="I14">IFERROR(IF(INDEX($C$4:$C$22,MATCH(LEFT(H14,255),LEFT($B$4:$B$22,255),0))=0,"",INDEX($C$4:$C$22,MATCH(LEFT(H14,255),LEFT($B$4:$B$22,255),0))),"")</f>
        <v>TB I-2 Tasa de incidencia de la tuberculosis por 100.000 habitantes.</v>
      </c>
      <c r="J14" s="156" t="str">
        <f t="shared" si="0"/>
        <v>TB I-2 Tasa de incidencia de la tuberculosis por 100.000 habitantes.</v>
      </c>
      <c r="K14" s="157" t="s">
        <v>2812</v>
      </c>
      <c r="L14" s="156"/>
      <c r="M14" s="156" t="s">
        <v>267</v>
      </c>
      <c r="N14" s="156" t="s">
        <v>2778</v>
      </c>
      <c r="O14" s="158" t="s">
        <v>2813</v>
      </c>
      <c r="P14" s="158" t="s">
        <v>2814</v>
      </c>
      <c r="Q14" s="158" t="s">
        <v>2815</v>
      </c>
      <c r="R14" s="157"/>
      <c r="S14" s="157"/>
      <c r="T14" s="157"/>
    </row>
    <row r="15" spans="1:20" s="9" customFormat="1" x14ac:dyDescent="0.25">
      <c r="B15" s="156" t="s">
        <v>2816</v>
      </c>
      <c r="C15" s="487" t="str">
        <f>CHOOSE(Translations!$C$1+1,O15,P15,Q15)</f>
        <v>TB I-3⁽ᴹ⁾ Tasa de mortalidad de la tuberculosis por 100.000 habitantes</v>
      </c>
      <c r="D15" s="156">
        <f>CHOOSE(Translations!$C$1+1,R15,S15,T15)</f>
        <v>0</v>
      </c>
      <c r="E15" s="156" t="s">
        <v>1414</v>
      </c>
      <c r="F15" s="156" t="str">
        <f t="array" ref="F15">IFERROR(INDEX($C$4:$C$22, MATCH(0, COUNTIF($F$3:F14, $C$4:$C$22&amp;"") + IF($C$4:$C$22="",1,0), 0)), "")</f>
        <v>TB I-3⁽ᴹ⁾ Tasa de mortalidad de la tuberculosis por 100.000 habitantes</v>
      </c>
      <c r="G15" s="156" t="s">
        <v>2817</v>
      </c>
      <c r="H15" s="156" t="str">
        <f t="array" ref="H15">IFERROR(INDEX($B$4:$B$22, MATCH(0, COUNTIF($H$3:H14, $B$4:$B$22&amp;"") + IF($B$4:$B$22="",1,0), 0)), "")</f>
        <v>IOR-00089</v>
      </c>
      <c r="I15" s="156" t="str">
        <f t="array" ref="I15">IFERROR(IF(INDEX($C$4:$C$22,MATCH(LEFT(H15,255),LEFT($B$4:$B$22,255),0))=0,"",INDEX($C$4:$C$22,MATCH(LEFT(H15,255),LEFT($B$4:$B$22,255),0))),"")</f>
        <v>TB I-3⁽ᴹ⁾ Tasa de mortalidad de la tuberculosis por 100.000 habitantes</v>
      </c>
      <c r="J15" s="156" t="str">
        <f t="shared" si="0"/>
        <v>TB I-3⁽ᴹ⁾ Tasa de mortalidad de la tuberculosis por 100.000 habitantes</v>
      </c>
      <c r="K15" s="157" t="s">
        <v>2818</v>
      </c>
      <c r="L15" s="156"/>
      <c r="M15" s="156" t="s">
        <v>267</v>
      </c>
      <c r="N15" s="156" t="s">
        <v>2778</v>
      </c>
      <c r="O15" s="158" t="s">
        <v>2819</v>
      </c>
      <c r="P15" s="158" t="s">
        <v>2820</v>
      </c>
      <c r="Q15" s="158" t="s">
        <v>2821</v>
      </c>
      <c r="R15" s="157"/>
      <c r="S15" s="157"/>
      <c r="T15" s="157"/>
    </row>
    <row r="16" spans="1:20" s="9" customFormat="1" x14ac:dyDescent="0.25">
      <c r="B16" s="156" t="s">
        <v>2822</v>
      </c>
      <c r="C16" s="487" t="str">
        <f>CHOOSE(Translations!$C$1+1,O16,P16,Q16)</f>
        <v>TB I-4⁽ᴹ⁾ Prevalencia de la tuberculosis resistente a la rifampicina y/o la tuberculosis multirresistente en pacientes nuevos de la enfermedad: Proporción de nuevos casos de tuberculosis resistente a la rifampicina y/o tuberculosis multirresistente.</v>
      </c>
      <c r="D16" s="156">
        <f>CHOOSE(Translations!$C$1+1,R16,S16,T16)</f>
        <v>0</v>
      </c>
      <c r="E16" s="156" t="s">
        <v>1414</v>
      </c>
      <c r="F16" s="156" t="str">
        <f t="array" ref="F16">IFERROR(INDEX($C$4:$C$22, MATCH(0, COUNTIF($F$3:F15, $C$4:$C$22&amp;"") + IF($C$4:$C$22="",1,0), 0)), "")</f>
        <v>TB I-4⁽ᴹ⁾ Prevalencia de la tuberculosis resistente a la rifampicina y/o la tuberculosis multirresistente en pacientes nuevos de la enfermedad: Proporción de nuevos casos de tuberculosis resistente a la rifampicina y/o tuberculosis multirresistente.</v>
      </c>
      <c r="G16" s="156" t="s">
        <v>2823</v>
      </c>
      <c r="H16" s="156" t="str">
        <f t="array" ref="H16">IFERROR(INDEX($B$4:$B$22, MATCH(0, COUNTIF($H$3:H15, $B$4:$B$22&amp;"") + IF($B$4:$B$22="",1,0), 0)), "")</f>
        <v>IOR-00090</v>
      </c>
      <c r="I16" s="156" t="str">
        <f t="array" ref="I16">IFERROR(IF(INDEX($C$4:$C$22,MATCH(LEFT(H16,255),LEFT($B$4:$B$22,255),0))=0,"",INDEX($C$4:$C$22,MATCH(LEFT(H16,255),LEFT($B$4:$B$22,255),0))),"")</f>
        <v>TB I-4⁽ᴹ⁾ Prevalencia de la tuberculosis resistente a la rifampicina y/o la tuberculosis multirresistente en pacientes nuevos de la enfermedad: Proporción de nuevos casos de tuberculosis resistente a la rifampicina y/o tuberculosis multirresistente.</v>
      </c>
      <c r="J16" s="156" t="str">
        <f t="shared" si="0"/>
        <v>TB I-4⁽ᴹ⁾ Prevalencia de la tuberculosis resistente a la rifampicina y/o la tuberculosis multirresistente en pacientes nuevos de la enfermedad: Proporción de nuevos casos de tuberculosis resistente a la rifampicina y/o tuberculosis multirresistente.</v>
      </c>
      <c r="K16" s="157" t="s">
        <v>2824</v>
      </c>
      <c r="L16" s="156"/>
      <c r="M16" s="156" t="s">
        <v>267</v>
      </c>
      <c r="N16" s="156" t="s">
        <v>2778</v>
      </c>
      <c r="O16" s="158" t="s">
        <v>2825</v>
      </c>
      <c r="P16" s="158" t="s">
        <v>2826</v>
      </c>
      <c r="Q16" s="158" t="s">
        <v>2827</v>
      </c>
      <c r="R16" s="157"/>
      <c r="S16" s="157"/>
      <c r="T16" s="157"/>
    </row>
    <row r="17" spans="2:21" s="9" customFormat="1" x14ac:dyDescent="0.25">
      <c r="B17" s="156" t="s">
        <v>2828</v>
      </c>
      <c r="C17" s="487" t="str">
        <f>CHOOSE(Translations!$C$1+1,O17,P17,Q17)</f>
        <v>TB/HIV I-1 Tasa de mortalidad de la TB y el VIH por 100.000 habitantes</v>
      </c>
      <c r="D17" s="156">
        <f>CHOOSE(Translations!$C$1+1,R17,S17,T17)</f>
        <v>0</v>
      </c>
      <c r="E17" s="156" t="s">
        <v>1413</v>
      </c>
      <c r="F17" s="156" t="str">
        <f t="array" ref="F17">IFERROR(INDEX($C$4:$C$22, MATCH(0, COUNTIF($F$3:F16, $C$4:$C$22&amp;"") + IF($C$4:$C$22="",1,0), 0)), "")</f>
        <v>TB/HIV I-1 Tasa de mortalidad de la TB y el VIH por 100.000 habitantes</v>
      </c>
      <c r="G17" s="156" t="s">
        <v>2829</v>
      </c>
      <c r="H17" s="156" t="str">
        <f t="array" ref="H17">IFERROR(INDEX($B$4:$B$22, MATCH(0, COUNTIF($H$3:H16, $B$4:$B$22&amp;"") + IF($B$4:$B$22="",1,0), 0)), "")</f>
        <v>IOR-00091</v>
      </c>
      <c r="I17" s="156" t="str">
        <f t="array" ref="I17">IFERROR(IF(INDEX($C$4:$C$22,MATCH(LEFT(H17,255),LEFT($B$4:$B$22,255),0))=0,"",INDEX($C$4:$C$22,MATCH(LEFT(H17,255),LEFT($B$4:$B$22,255),0))),"")</f>
        <v>TB/HIV I-1 Tasa de mortalidad de la TB y el VIH por 100.000 habitantes</v>
      </c>
      <c r="J17" s="156" t="str">
        <f t="shared" si="0"/>
        <v>TB/HIV I-1 Tasa de mortalidad de la TB y el VIH por 100.000 habitantes</v>
      </c>
      <c r="K17" s="157" t="s">
        <v>2830</v>
      </c>
      <c r="L17" s="156"/>
      <c r="M17" s="156" t="s">
        <v>267</v>
      </c>
      <c r="N17" s="156" t="s">
        <v>2778</v>
      </c>
      <c r="O17" s="158" t="s">
        <v>2831</v>
      </c>
      <c r="P17" s="158" t="s">
        <v>2832</v>
      </c>
      <c r="Q17" s="158" t="s">
        <v>2833</v>
      </c>
      <c r="R17" s="157"/>
      <c r="S17" s="157"/>
      <c r="T17" s="157"/>
    </row>
    <row r="18" spans="2:21" s="9" customFormat="1" x14ac:dyDescent="0.25">
      <c r="B18" s="156" t="s">
        <v>2828</v>
      </c>
      <c r="C18" s="487" t="str">
        <f>CHOOSE(Translations!$C$1+1,O18,P18,Q18)</f>
        <v>TB/HIV I-1 Tasa de mortalidad de la TB y el VIH por 100.000 habitantes</v>
      </c>
      <c r="D18" s="156">
        <f>CHOOSE(Translations!$C$1+1,R18,S18,T18)</f>
        <v>0</v>
      </c>
      <c r="E18" s="156" t="s">
        <v>1414</v>
      </c>
      <c r="F18" s="156" t="str">
        <f t="array" ref="F18">IFERROR(INDEX($C$4:$C$22, MATCH(0, COUNTIF($F$3:F17, $C$4:$C$22&amp;"") + IF($C$4:$C$22="",1,0), 0)), "")</f>
        <v/>
      </c>
      <c r="G18" s="156" t="s">
        <v>2829</v>
      </c>
      <c r="H18" s="156" t="str">
        <f t="array" ref="H18">IFERROR(INDEX($B$4:$B$22, MATCH(0, COUNTIF($H$3:H17, $B$4:$B$22&amp;"") + IF($B$4:$B$22="",1,0), 0)), "")</f>
        <v/>
      </c>
      <c r="I18" s="156" t="str">
        <f t="array" ref="I18">IFERROR(IF(INDEX($C$4:$C$22,MATCH(LEFT(H18,255),LEFT($B$4:$B$22,255),0))=0,"",INDEX($C$4:$C$22,MATCH(LEFT(H18,255),LEFT($B$4:$B$22,255),0))),"")</f>
        <v/>
      </c>
      <c r="J18" s="156" t="str">
        <f t="shared" si="0"/>
        <v>TB/HIV I-1 Tasa de mortalidad de la TB y el VIH por 100.000 habitantes</v>
      </c>
      <c r="K18" s="157" t="s">
        <v>2834</v>
      </c>
      <c r="L18" s="156"/>
      <c r="M18" s="156" t="s">
        <v>267</v>
      </c>
      <c r="N18" s="156" t="s">
        <v>2778</v>
      </c>
      <c r="O18" s="158" t="s">
        <v>2831</v>
      </c>
      <c r="P18" s="158" t="s">
        <v>2832</v>
      </c>
      <c r="Q18" s="158" t="s">
        <v>2833</v>
      </c>
      <c r="R18" s="157"/>
      <c r="S18" s="157"/>
      <c r="T18" s="157"/>
    </row>
    <row r="19" spans="2:21" s="9" customFormat="1" x14ac:dyDescent="0.25">
      <c r="B19" s="156"/>
      <c r="C19" s="158"/>
      <c r="D19" s="157"/>
      <c r="E19" s="156"/>
      <c r="F19" s="156"/>
      <c r="G19" s="156"/>
      <c r="H19" s="156"/>
      <c r="I19" s="156"/>
      <c r="J19" s="156"/>
      <c r="K19" s="157"/>
    </row>
    <row r="20" spans="2:21" s="9" customFormat="1" x14ac:dyDescent="0.25">
      <c r="B20" s="156"/>
      <c r="C20" s="158"/>
      <c r="D20" s="157"/>
      <c r="E20" s="156"/>
      <c r="F20" s="156"/>
      <c r="G20" s="156"/>
      <c r="H20" s="156"/>
      <c r="I20" s="156"/>
      <c r="J20" s="156"/>
      <c r="K20" s="157"/>
    </row>
    <row r="21" spans="2:21" s="9" customFormat="1" x14ac:dyDescent="0.25">
      <c r="B21" s="156"/>
      <c r="C21" s="158"/>
      <c r="D21" s="157"/>
      <c r="E21" s="156"/>
      <c r="F21" s="156"/>
      <c r="G21" s="156"/>
      <c r="H21" s="156"/>
      <c r="I21" s="156"/>
      <c r="J21" s="156"/>
      <c r="K21" s="157"/>
    </row>
    <row r="23" spans="2:21" ht="13" x14ac:dyDescent="0.3">
      <c r="B23" s="2" t="s">
        <v>93</v>
      </c>
    </row>
    <row r="24" spans="2:21" x14ac:dyDescent="0.25">
      <c r="B24" s="156" t="s">
        <v>89</v>
      </c>
      <c r="C24" s="156" t="s">
        <v>449</v>
      </c>
      <c r="D24" s="156" t="s">
        <v>450</v>
      </c>
      <c r="E24" s="156" t="s">
        <v>91</v>
      </c>
      <c r="F24" s="156" t="s">
        <v>224</v>
      </c>
      <c r="G24" s="156" t="s">
        <v>48</v>
      </c>
      <c r="H24" s="156" t="s">
        <v>222</v>
      </c>
      <c r="I24" s="156" t="s">
        <v>223</v>
      </c>
      <c r="J24" s="156"/>
      <c r="K24" s="156" t="s">
        <v>221</v>
      </c>
      <c r="L24" s="156" t="str">
        <f>B24</f>
        <v>Impact Outcome Reference (Name)</v>
      </c>
      <c r="M24" s="156" t="s">
        <v>329</v>
      </c>
      <c r="N24" s="156" t="s">
        <v>285</v>
      </c>
      <c r="O24" s="156"/>
      <c r="P24" s="156" t="s">
        <v>43</v>
      </c>
      <c r="Q24" s="156" t="s">
        <v>446</v>
      </c>
      <c r="R24" s="156" t="s">
        <v>444</v>
      </c>
      <c r="S24" s="156" t="s">
        <v>45</v>
      </c>
      <c r="T24" s="156" t="s">
        <v>452</v>
      </c>
      <c r="U24" s="156" t="s">
        <v>454</v>
      </c>
    </row>
    <row r="25" spans="2:21" hidden="1" x14ac:dyDescent="0.25">
      <c r="B25" s="156" t="s">
        <v>88</v>
      </c>
      <c r="C25" s="156" t="str">
        <f>CHOOSE(Translations!$C$1+1,P25,Q25,R25)</f>
        <v>--Select--</v>
      </c>
      <c r="D25" s="156" t="str">
        <f>CHOOSE(Translations!$C$1+1,S25,T25,U25)</f>
        <v>[Disaggregation Categories ES]</v>
      </c>
      <c r="E25" s="156" t="s">
        <v>90</v>
      </c>
      <c r="F25" s="156" t="str">
        <f t="array" ref="F25">IFERROR(INDEX($C$25:$C$76, MATCH(0, COUNTIF($F$24:F24, $C$25:$C$76&amp;"") + IF($C$25:$C$76="",1,0), 0)), "")</f>
        <v>--Select--</v>
      </c>
      <c r="G25" s="156" t="s">
        <v>47</v>
      </c>
      <c r="H25" s="156" t="str">
        <f t="array" ref="H25">IFERROR(INDEX($B$25:$B$76, MATCH(0, COUNTIF($H$24:H24, $B$25:$B$76&amp;"") + IF($B$25:$B$76="",1,0), 0)), "")</f>
        <v>[Impact Outcome Reference (Name)]</v>
      </c>
      <c r="I25" s="156" t="str">
        <f t="array" ref="I25">IFERROR(IF(INDEX($C$25:$C$76,MATCH(LEFT(H25,255),LEFT($B$25:$B$76,255),0))=0,"",INDEX($C$25:$C$76,MATCH(LEFT(H25,255),LEFT($B$25:$B$76,255),0))),"")</f>
        <v>--Select--</v>
      </c>
      <c r="J25" s="156" t="str">
        <f>LEFT(C25,255)</f>
        <v>--Select--</v>
      </c>
      <c r="K25" s="157" t="s">
        <v>220</v>
      </c>
      <c r="L25" s="156" t="str">
        <f>B25</f>
        <v>[Impact Outcome Reference (Name)]</v>
      </c>
      <c r="M25" s="156" t="s">
        <v>328</v>
      </c>
      <c r="N25" s="156" t="s">
        <v>284</v>
      </c>
      <c r="O25" s="156"/>
      <c r="P25" s="158" t="s">
        <v>52</v>
      </c>
      <c r="Q25" s="158" t="s">
        <v>52</v>
      </c>
      <c r="R25" s="158" t="s">
        <v>52</v>
      </c>
      <c r="S25" s="157" t="s">
        <v>44</v>
      </c>
      <c r="T25" s="157" t="s">
        <v>451</v>
      </c>
      <c r="U25" s="157" t="s">
        <v>453</v>
      </c>
    </row>
    <row r="26" spans="2:21" s="9" customFormat="1" x14ac:dyDescent="0.25">
      <c r="B26" s="156" t="s">
        <v>1685</v>
      </c>
      <c r="C26" s="156" t="str">
        <f>CHOOSE(Translations!$C$1+1,P26,Q26,R26)</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D26" s="156" t="str">
        <f>CHOOSE(Translations!$C$1+1,S26,T26,U26)</f>
        <v>Género,Edad</v>
      </c>
      <c r="E26" s="156" t="s">
        <v>1413</v>
      </c>
      <c r="F26" s="156" t="str">
        <f t="array" ref="F26">IFERROR(INDEX($C$25:$C$76, MATCH(0, COUNTIF($F$24:F25, $C$25:$C$76&amp;"") + IF($C$25:$C$76="",1,0), 0)), "")</f>
        <v>HIV O-4a⁽ᴹ⁾ Porcentaje de hombres que afirman haber utilizado preservativo en su última relación de sexo anal con una pareja masculina no regular</v>
      </c>
      <c r="G26" s="156" t="s">
        <v>2835</v>
      </c>
      <c r="H26" s="156" t="str">
        <f t="array" ref="H26">IFERROR(INDEX($B$25:$B$76, MATCH(0, COUNTIF($H$24:H25, $B$25:$B$76&amp;"") + IF($B$25:$B$76="",1,0), 0)), "")</f>
        <v>IOR-00100</v>
      </c>
      <c r="I26" s="156" t="str">
        <f t="array" ref="I26">IFERROR(IF(INDEX($C$25:$C$76,MATCH(LEFT(H26,255),LEFT($B$25:$B$76,255),0))=0,"",INDEX($C$25:$C$76,MATCH(LEFT(H26,255),LEFT($B$25:$B$76,255),0))),"")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J26" s="156" t="str">
        <f t="shared" ref="J26:J72" si="1">LEFT(C26,255)</f>
        <v xml:space="preserve">HIV O-10 Porcentaje de encuestados que reportan haber utilizado un preservativo en la última ocasión en que mantuvieron relaciones sexuales con una pareja no conyugal, con la que no conviven, entre las personas que hayan mantenido relaciones sexuales con </v>
      </c>
      <c r="K26" s="157" t="s">
        <v>2836</v>
      </c>
      <c r="L26" s="156" t="str">
        <f t="shared" ref="L26:L72" si="2">B26</f>
        <v>IOR-00100</v>
      </c>
      <c r="M26" s="156" t="s">
        <v>268</v>
      </c>
      <c r="N26" s="156" t="s">
        <v>2778</v>
      </c>
      <c r="O26" s="156"/>
      <c r="P26" s="158" t="s">
        <v>1688</v>
      </c>
      <c r="Q26" s="158" t="s">
        <v>1689</v>
      </c>
      <c r="R26" s="158" t="s">
        <v>1690</v>
      </c>
      <c r="S26" s="157" t="s">
        <v>2801</v>
      </c>
      <c r="T26" s="157" t="s">
        <v>2780</v>
      </c>
      <c r="U26" s="157" t="s">
        <v>2781</v>
      </c>
    </row>
    <row r="27" spans="2:21" s="9" customFormat="1" x14ac:dyDescent="0.25">
      <c r="B27" s="156" t="s">
        <v>1701</v>
      </c>
      <c r="C27" s="156" t="str">
        <f>CHOOSE(Translations!$C$1+1,P27,Q27,R27)</f>
        <v>HIV O-4a⁽ᴹ⁾ Porcentaje de hombres que afirman haber utilizado preservativo en su última relación de sexo anal con una pareja masculina no regular</v>
      </c>
      <c r="D27" s="156" t="str">
        <f>CHOOSE(Translations!$C$1+1,S27,T27,U27)</f>
        <v>Edad</v>
      </c>
      <c r="E27" s="156" t="s">
        <v>1413</v>
      </c>
      <c r="F27" s="156" t="str">
        <f t="array" ref="F27">IFERROR(INDEX($C$25:$C$76, MATCH(0, COUNTIF($F$24:F26, $C$25:$C$76&amp;"") + IF($C$25:$C$76="",1,0), 0)), "")</f>
        <v>HIV O-4.1b⁽ᴹ⁾ Porcentaje de personas transgénero que afirman haber utilizado preservativo en su último encuentro sexual o relación de sexo anal con una pareja masculina no regular</v>
      </c>
      <c r="G27" s="156" t="s">
        <v>2837</v>
      </c>
      <c r="H27" s="156" t="str">
        <f t="array" ref="H27">IFERROR(INDEX($B$25:$B$76, MATCH(0, COUNTIF($H$24:H26, $B$25:$B$76&amp;"") + IF($B$25:$B$76="",1,0), 0)), "")</f>
        <v>IOR-00101</v>
      </c>
      <c r="I27" s="156" t="str">
        <f t="array" ref="I27">IFERROR(IF(INDEX($C$25:$C$76,MATCH(LEFT(H27,255),LEFT($B$25:$B$76,255),0))=0,"",INDEX($C$25:$C$76,MATCH(LEFT(H27,255),LEFT($B$25:$B$76,255),0))),"")</f>
        <v>HIV O-4a⁽ᴹ⁾ Porcentaje de hombres que afirman haber utilizado preservativo en su última relación de sexo anal con una pareja masculina no regular</v>
      </c>
      <c r="J27" s="156" t="str">
        <f t="shared" si="1"/>
        <v>HIV O-4a⁽ᴹ⁾ Porcentaje de hombres que afirman haber utilizado preservativo en su última relación de sexo anal con una pareja masculina no regular</v>
      </c>
      <c r="K27" s="157" t="s">
        <v>2838</v>
      </c>
      <c r="L27" s="156" t="str">
        <f t="shared" si="2"/>
        <v>IOR-00101</v>
      </c>
      <c r="M27" s="156" t="s">
        <v>268</v>
      </c>
      <c r="N27" s="156" t="s">
        <v>2778</v>
      </c>
      <c r="O27" s="156"/>
      <c r="P27" s="158" t="s">
        <v>1704</v>
      </c>
      <c r="Q27" s="158" t="s">
        <v>1705</v>
      </c>
      <c r="R27" s="158" t="s">
        <v>1706</v>
      </c>
      <c r="S27" s="157" t="s">
        <v>1463</v>
      </c>
      <c r="T27" s="157" t="s">
        <v>1463</v>
      </c>
      <c r="U27" s="157" t="s">
        <v>1464</v>
      </c>
    </row>
    <row r="28" spans="2:21" s="9" customFormat="1" x14ac:dyDescent="0.25">
      <c r="B28" s="156" t="s">
        <v>1709</v>
      </c>
      <c r="C28" s="156" t="str">
        <f>CHOOSE(Translations!$C$1+1,P28,Q28,R28)</f>
        <v>HIV O-4.1b⁽ᴹ⁾ Porcentaje de personas transgénero que afirman haber utilizado preservativo en su último encuentro sexual o relación de sexo anal con una pareja masculina no regular</v>
      </c>
      <c r="D28" s="156" t="str">
        <f>CHOOSE(Translations!$C$1+1,S28,T28,U28)</f>
        <v>Edad</v>
      </c>
      <c r="E28" s="156" t="s">
        <v>1413</v>
      </c>
      <c r="F28" s="156" t="str">
        <f t="array" ref="F28">IFERROR(INDEX($C$25:$C$76, MATCH(0, COUNTIF($F$24:F27, $C$25:$C$76&amp;"") + IF($C$25:$C$76="",1,0), 0)), "")</f>
        <v>HIV O-5⁽ᴹ⁾ Porcentaje de trabajadores sexuales que afirman haber utilizado preservativo con su último cliente</v>
      </c>
      <c r="G28" s="156" t="s">
        <v>2839</v>
      </c>
      <c r="H28" s="156" t="str">
        <f t="array" ref="H28">IFERROR(INDEX($B$25:$B$76, MATCH(0, COUNTIF($H$24:H27, $B$25:$B$76&amp;"") + IF($B$25:$B$76="",1,0), 0)), "")</f>
        <v>IOR-00102</v>
      </c>
      <c r="I28" s="156" t="str">
        <f t="array" ref="I28">IFERROR(IF(INDEX($C$25:$C$76,MATCH(LEFT(H28,255),LEFT($B$25:$B$76,255),0))=0,"",INDEX($C$25:$C$76,MATCH(LEFT(H28,255),LEFT($B$25:$B$76,255),0))),"")</f>
        <v>HIV O-4.1b⁽ᴹ⁾ Porcentaje de personas transgénero que afirman haber utilizado preservativo en su último encuentro sexual o relación de sexo anal con una pareja masculina no regular</v>
      </c>
      <c r="J28" s="156" t="str">
        <f t="shared" si="1"/>
        <v>HIV O-4.1b⁽ᴹ⁾ Porcentaje de personas transgénero que afirman haber utilizado preservativo en su último encuentro sexual o relación de sexo anal con una pareja masculina no regular</v>
      </c>
      <c r="K28" s="157" t="s">
        <v>2840</v>
      </c>
      <c r="L28" s="156" t="str">
        <f t="shared" si="2"/>
        <v>IOR-00102</v>
      </c>
      <c r="M28" s="156" t="s">
        <v>268</v>
      </c>
      <c r="N28" s="156" t="s">
        <v>2778</v>
      </c>
      <c r="O28" s="156"/>
      <c r="P28" s="158" t="s">
        <v>1712</v>
      </c>
      <c r="Q28" s="158" t="s">
        <v>1713</v>
      </c>
      <c r="R28" s="158" t="s">
        <v>1714</v>
      </c>
      <c r="S28" s="157" t="s">
        <v>1463</v>
      </c>
      <c r="T28" s="157" t="s">
        <v>1463</v>
      </c>
      <c r="U28" s="157" t="s">
        <v>1464</v>
      </c>
    </row>
    <row r="29" spans="2:21" s="9" customFormat="1" x14ac:dyDescent="0.25">
      <c r="B29" s="156" t="s">
        <v>1717</v>
      </c>
      <c r="C29" s="156" t="str">
        <f>CHOOSE(Translations!$C$1+1,P29,Q29,R29)</f>
        <v>HIV O-5⁽ᴹ⁾ Porcentaje de trabajadores sexuales que afirman haber utilizado preservativo con su último cliente</v>
      </c>
      <c r="D29" s="156" t="str">
        <f>CHOOSE(Translations!$C$1+1,S29,T29,U29)</f>
        <v>Género,Edad</v>
      </c>
      <c r="E29" s="156" t="s">
        <v>1413</v>
      </c>
      <c r="F29" s="156" t="str">
        <f t="array" ref="F29">IFERROR(INDEX($C$25:$C$76, MATCH(0, COUNTIF($F$24:F28, $C$25:$C$76&amp;"") + IF($C$25:$C$76="",1,0), 0)), "")</f>
        <v>HIV O-6⁽ᴹ⁾ Porcentaje de consumidores de drogas inyectables que afirman haber utilizado material de inyección esterilizado en su última inyección</v>
      </c>
      <c r="G29" s="156" t="s">
        <v>2841</v>
      </c>
      <c r="H29" s="156" t="str">
        <f t="array" ref="H29">IFERROR(INDEX($B$25:$B$76, MATCH(0, COUNTIF($H$24:H28, $B$25:$B$76&amp;"") + IF($B$25:$B$76="",1,0), 0)), "")</f>
        <v>IOR-00103</v>
      </c>
      <c r="I29" s="156" t="str">
        <f t="array" ref="I29">IFERROR(IF(INDEX($C$25:$C$76,MATCH(LEFT(H29,255),LEFT($B$25:$B$76,255),0))=0,"",INDEX($C$25:$C$76,MATCH(LEFT(H29,255),LEFT($B$25:$B$76,255),0))),"")</f>
        <v>HIV O-5⁽ᴹ⁾ Porcentaje de trabajadores sexuales que afirman haber utilizado preservativo con su último cliente</v>
      </c>
      <c r="J29" s="156" t="str">
        <f t="shared" si="1"/>
        <v>HIV O-5⁽ᴹ⁾ Porcentaje de trabajadores sexuales que afirman haber utilizado preservativo con su último cliente</v>
      </c>
      <c r="K29" s="157" t="s">
        <v>2842</v>
      </c>
      <c r="L29" s="156" t="str">
        <f t="shared" si="2"/>
        <v>IOR-00103</v>
      </c>
      <c r="M29" s="156" t="s">
        <v>268</v>
      </c>
      <c r="N29" s="156" t="s">
        <v>2778</v>
      </c>
      <c r="O29" s="156"/>
      <c r="P29" s="158" t="s">
        <v>1720</v>
      </c>
      <c r="Q29" s="158" t="s">
        <v>1721</v>
      </c>
      <c r="R29" s="158" t="s">
        <v>1722</v>
      </c>
      <c r="S29" s="157" t="s">
        <v>2801</v>
      </c>
      <c r="T29" s="157" t="s">
        <v>2780</v>
      </c>
      <c r="U29" s="157" t="s">
        <v>2781</v>
      </c>
    </row>
    <row r="30" spans="2:21" s="9" customFormat="1" x14ac:dyDescent="0.25">
      <c r="B30" s="156" t="s">
        <v>1731</v>
      </c>
      <c r="C30" s="156" t="str">
        <f>CHOOSE(Translations!$C$1+1,P30,Q30,R30)</f>
        <v>HIV O-6⁽ᴹ⁾ Porcentaje de consumidores de drogas inyectables que afirman haber utilizado material de inyección esterilizado en su última inyección</v>
      </c>
      <c r="D30" s="156" t="str">
        <f>CHOOSE(Translations!$C$1+1,S30,T30,U30)</f>
        <v>Género,Edad</v>
      </c>
      <c r="E30" s="156" t="s">
        <v>1413</v>
      </c>
      <c r="F30" s="156" t="str">
        <f t="array" ref="F30">IFERROR(INDEX($C$25:$C$76, MATCH(0, COUNTIF($F$24:F29, $C$25:$C$76&amp;"") + IF($C$25:$C$76="",1,0), 0)), "")</f>
        <v>HIV O-9 Porcentaje de consumidores de drogas inyectables que afirman haber utilizado preservativo en su última relación sexual</v>
      </c>
      <c r="G30" s="156" t="s">
        <v>2843</v>
      </c>
      <c r="H30" s="156" t="str">
        <f t="array" ref="H30">IFERROR(INDEX($B$25:$B$76, MATCH(0, COUNTIF($H$24:H29, $B$25:$B$76&amp;"") + IF($B$25:$B$76="",1,0), 0)), "")</f>
        <v>IOR-00104</v>
      </c>
      <c r="I30" s="156" t="str">
        <f t="array" ref="I30">IFERROR(IF(INDEX($C$25:$C$76,MATCH(LEFT(H30,255),LEFT($B$25:$B$76,255),0))=0,"",INDEX($C$25:$C$76,MATCH(LEFT(H30,255),LEFT($B$25:$B$76,255),0))),"")</f>
        <v>HIV O-6⁽ᴹ⁾ Porcentaje de consumidores de drogas inyectables que afirman haber utilizado material de inyección esterilizado en su última inyección</v>
      </c>
      <c r="J30" s="156" t="str">
        <f t="shared" si="1"/>
        <v>HIV O-6⁽ᴹ⁾ Porcentaje de consumidores de drogas inyectables que afirman haber utilizado material de inyección esterilizado en su última inyección</v>
      </c>
      <c r="K30" s="157" t="s">
        <v>2844</v>
      </c>
      <c r="L30" s="156" t="str">
        <f t="shared" si="2"/>
        <v>IOR-00104</v>
      </c>
      <c r="M30" s="156" t="s">
        <v>268</v>
      </c>
      <c r="N30" s="156" t="s">
        <v>2778</v>
      </c>
      <c r="O30" s="156"/>
      <c r="P30" s="158" t="s">
        <v>1734</v>
      </c>
      <c r="Q30" s="158" t="s">
        <v>1735</v>
      </c>
      <c r="R30" s="158" t="s">
        <v>1736</v>
      </c>
      <c r="S30" s="157" t="s">
        <v>2801</v>
      </c>
      <c r="T30" s="157" t="s">
        <v>2780</v>
      </c>
      <c r="U30" s="157" t="s">
        <v>2781</v>
      </c>
    </row>
    <row r="31" spans="2:21" s="9" customFormat="1" x14ac:dyDescent="0.25">
      <c r="B31" s="156" t="s">
        <v>1745</v>
      </c>
      <c r="C31" s="156" t="str">
        <f>CHOOSE(Translations!$C$1+1,P31,Q31,R31)</f>
        <v>HIV O-9 Porcentaje de consumidores de drogas inyectables que afirman haber utilizado preservativo en su última relación sexual</v>
      </c>
      <c r="D31" s="156" t="str">
        <f>CHOOSE(Translations!$C$1+1,S31,T31,U31)</f>
        <v>Género,Edad</v>
      </c>
      <c r="E31" s="156" t="s">
        <v>1413</v>
      </c>
      <c r="F31" s="156" t="str">
        <f t="array" ref="F31">IFERROR(INDEX($C$25:$C$76, MATCH(0, COUNTIF($F$24:F30, $C$25:$C$76&amp;"") + IF($C$25:$C$76="",1,0), 0)), "")</f>
        <v>HIV O-7 Porcentaje de otras poblaciones vulnerables que afirman haber utilizado preservativo en su última relación sexual</v>
      </c>
      <c r="G31" s="156" t="s">
        <v>2845</v>
      </c>
      <c r="H31" s="156" t="str">
        <f t="array" ref="H31">IFERROR(INDEX($B$25:$B$76, MATCH(0, COUNTIF($H$24:H30, $B$25:$B$76&amp;"") + IF($B$25:$B$76="",1,0), 0)), "")</f>
        <v>IOR-00105</v>
      </c>
      <c r="I31" s="156" t="str">
        <f t="array" ref="I31">IFERROR(IF(INDEX($C$25:$C$76,MATCH(LEFT(H31,255),LEFT($B$25:$B$76,255),0))=0,"",INDEX($C$25:$C$76,MATCH(LEFT(H31,255),LEFT($B$25:$B$76,255),0))),"")</f>
        <v>HIV O-9 Porcentaje de consumidores de drogas inyectables que afirman haber utilizado preservativo en su última relación sexual</v>
      </c>
      <c r="J31" s="156" t="str">
        <f t="shared" si="1"/>
        <v>HIV O-9 Porcentaje de consumidores de drogas inyectables que afirman haber utilizado preservativo en su última relación sexual</v>
      </c>
      <c r="K31" s="157" t="s">
        <v>2846</v>
      </c>
      <c r="L31" s="156" t="str">
        <f t="shared" si="2"/>
        <v>IOR-00105</v>
      </c>
      <c r="M31" s="156" t="s">
        <v>268</v>
      </c>
      <c r="N31" s="156" t="s">
        <v>2778</v>
      </c>
      <c r="O31" s="156"/>
      <c r="P31" s="158" t="s">
        <v>1748</v>
      </c>
      <c r="Q31" s="158" t="s">
        <v>1749</v>
      </c>
      <c r="R31" s="158" t="s">
        <v>1750</v>
      </c>
      <c r="S31" s="157" t="s">
        <v>2801</v>
      </c>
      <c r="T31" s="157" t="s">
        <v>2780</v>
      </c>
      <c r="U31" s="157" t="s">
        <v>2781</v>
      </c>
    </row>
    <row r="32" spans="2:21" s="9" customFormat="1" x14ac:dyDescent="0.25">
      <c r="B32" s="156" t="s">
        <v>2847</v>
      </c>
      <c r="C32" s="156" t="str">
        <f>CHOOSE(Translations!$C$1+1,P32,Q32,R32)</f>
        <v>HIV O-7 Porcentaje de otras poblaciones vulnerables que afirman haber utilizado preservativo en su última relación sexual</v>
      </c>
      <c r="D32" s="156">
        <f>CHOOSE(Translations!$C$1+1,S32,T32,U32)</f>
        <v>0</v>
      </c>
      <c r="E32" s="156" t="s">
        <v>1413</v>
      </c>
      <c r="F32" s="156" t="str">
        <f t="array" ref="F32">IFERROR(INDEX($C$25:$C$76, MATCH(0, COUNTIF($F$24:F31, $C$25:$C$76&amp;"") + IF($C$25:$C$76="",1,0), 0)), "")</f>
        <v>HIV O-11⁽ᴹ⁾ Porcentaje de personas que viven con el VIH que conocen su Estatus de VIH al final del período de reporte</v>
      </c>
      <c r="G32" s="156" t="s">
        <v>2848</v>
      </c>
      <c r="H32" s="156" t="str">
        <f t="array" ref="H32">IFERROR(INDEX($B$25:$B$76, MATCH(0, COUNTIF($H$24:H31, $B$25:$B$76&amp;"") + IF($B$25:$B$76="",1,0), 0)), "")</f>
        <v>IOR-00106</v>
      </c>
      <c r="I32" s="156" t="str">
        <f t="array" ref="I32">IFERROR(IF(INDEX($C$25:$C$76,MATCH(LEFT(H32,255),LEFT($B$25:$B$76,255),0))=0,"",INDEX($C$25:$C$76,MATCH(LEFT(H32,255),LEFT($B$25:$B$76,255),0))),"")</f>
        <v>HIV O-7 Porcentaje de otras poblaciones vulnerables que afirman haber utilizado preservativo en su última relación sexual</v>
      </c>
      <c r="J32" s="156" t="str">
        <f t="shared" si="1"/>
        <v>HIV O-7 Porcentaje de otras poblaciones vulnerables que afirman haber utilizado preservativo en su última relación sexual</v>
      </c>
      <c r="K32" s="157" t="s">
        <v>2849</v>
      </c>
      <c r="L32" s="156" t="str">
        <f t="shared" si="2"/>
        <v>IOR-00106</v>
      </c>
      <c r="M32" s="156" t="s">
        <v>268</v>
      </c>
      <c r="N32" s="156" t="s">
        <v>2778</v>
      </c>
      <c r="O32" s="156"/>
      <c r="P32" s="158" t="s">
        <v>2850</v>
      </c>
      <c r="Q32" s="158" t="s">
        <v>2851</v>
      </c>
      <c r="R32" s="158" t="s">
        <v>2852</v>
      </c>
      <c r="S32" s="157"/>
      <c r="T32" s="157"/>
      <c r="U32" s="157"/>
    </row>
    <row r="33" spans="2:21" s="9" customFormat="1" x14ac:dyDescent="0.25">
      <c r="B33" s="156" t="s">
        <v>1759</v>
      </c>
      <c r="C33" s="156" t="str">
        <f>CHOOSE(Translations!$C$1+1,P33,Q33,R33)</f>
        <v>HIV O-11⁽ᴹ⁾ Porcentaje de personas que viven con el VIH que conocen su Estatus de VIH al final del período de reporte</v>
      </c>
      <c r="D33" s="156" t="str">
        <f>CHOOSE(Translations!$C$1+1,S33,T33,U33)</f>
        <v>Género</v>
      </c>
      <c r="E33" s="156" t="s">
        <v>1413</v>
      </c>
      <c r="F33" s="156" t="str">
        <f t="array" ref="F33">IFERROR(INDEX($C$25:$C$76, MATCH(0, COUNTIF($F$24:F32, $C$25:$C$76&amp;"") + IF($C$25:$C$76="",1,0), 0)), "")</f>
        <v>HIV O-12 Porcentaje de personas que viven con VIH que reciben tratamiento antirretroviral y tienen carga viral suprimida</v>
      </c>
      <c r="G33" s="156" t="s">
        <v>2853</v>
      </c>
      <c r="H33" s="156" t="str">
        <f t="array" ref="H33">IFERROR(INDEX($B$25:$B$76, MATCH(0, COUNTIF($H$24:H32, $B$25:$B$76&amp;"") + IF($B$25:$B$76="",1,0), 0)), "")</f>
        <v>IOR-00107</v>
      </c>
      <c r="I33" s="156" t="str">
        <f t="array" ref="I33">IFERROR(IF(INDEX($C$25:$C$76,MATCH(LEFT(H33,255),LEFT($B$25:$B$76,255),0))=0,"",INDEX($C$25:$C$76,MATCH(LEFT(H33,255),LEFT($B$25:$B$76,255),0))),"")</f>
        <v>HIV O-11⁽ᴹ⁾ Porcentaje de personas que viven con el VIH que conocen su Estatus de VIH al final del período de reporte</v>
      </c>
      <c r="J33" s="156" t="str">
        <f t="shared" si="1"/>
        <v>HIV O-11⁽ᴹ⁾ Porcentaje de personas que viven con el VIH que conocen su Estatus de VIH al final del período de reporte</v>
      </c>
      <c r="K33" s="157" t="s">
        <v>2854</v>
      </c>
      <c r="L33" s="156" t="str">
        <f t="shared" si="2"/>
        <v>IOR-00107</v>
      </c>
      <c r="M33" s="156" t="s">
        <v>268</v>
      </c>
      <c r="N33" s="156" t="s">
        <v>2778</v>
      </c>
      <c r="O33" s="156"/>
      <c r="P33" s="158" t="s">
        <v>1762</v>
      </c>
      <c r="Q33" s="158" t="s">
        <v>1763</v>
      </c>
      <c r="R33" s="158" t="s">
        <v>1764</v>
      </c>
      <c r="S33" s="157" t="s">
        <v>1450</v>
      </c>
      <c r="T33" s="157" t="s">
        <v>1451</v>
      </c>
      <c r="U33" s="157" t="s">
        <v>1452</v>
      </c>
    </row>
    <row r="34" spans="2:21" s="9" customFormat="1" x14ac:dyDescent="0.25">
      <c r="B34" s="156" t="s">
        <v>1769</v>
      </c>
      <c r="C34" s="156" t="str">
        <f>CHOOSE(Translations!$C$1+1,P34,Q34,R34)</f>
        <v>HIV O-12 Porcentaje de personas que viven con VIH que reciben tratamiento antirretroviral y tienen carga viral suprimida</v>
      </c>
      <c r="D34" s="156" t="str">
        <f>CHOOSE(Translations!$C$1+1,S34,T34,U34)</f>
        <v>Género</v>
      </c>
      <c r="E34" s="156" t="s">
        <v>1413</v>
      </c>
      <c r="F34" s="156" t="str">
        <f t="array" ref="F34">IFERROR(INDEX($C$25:$C$76, MATCH(0, COUNTIF($F$24:F33, $C$25:$C$76&amp;"") + IF($C$25:$C$76="",1,0), 0)), "")</f>
        <v>HIV O-13 Porcentaje de mujeres de 15 a 49 años, no solteras o con pareja, que han sufrido violencia física o sexual de una pareja masculina en los últimos 12 meses</v>
      </c>
      <c r="G34" s="156" t="s">
        <v>2855</v>
      </c>
      <c r="H34" s="156" t="str">
        <f t="array" ref="H34">IFERROR(INDEX($B$25:$B$76, MATCH(0, COUNTIF($H$24:H33, $B$25:$B$76&amp;"") + IF($B$25:$B$76="",1,0), 0)), "")</f>
        <v>IOR-00108</v>
      </c>
      <c r="I34" s="156" t="str">
        <f t="array" ref="I34">IFERROR(IF(INDEX($C$25:$C$76,MATCH(LEFT(H34,255),LEFT($B$25:$B$76,255),0))=0,"",INDEX($C$25:$C$76,MATCH(LEFT(H34,255),LEFT($B$25:$B$76,255),0))),"")</f>
        <v>HIV O-12 Porcentaje de personas que viven con VIH que reciben tratamiento antirretroviral y tienen carga viral suprimida</v>
      </c>
      <c r="J34" s="156" t="str">
        <f t="shared" si="1"/>
        <v>HIV O-12 Porcentaje de personas que viven con VIH que reciben tratamiento antirretroviral y tienen carga viral suprimida</v>
      </c>
      <c r="K34" s="157" t="s">
        <v>2856</v>
      </c>
      <c r="L34" s="156" t="str">
        <f t="shared" si="2"/>
        <v>IOR-00108</v>
      </c>
      <c r="M34" s="156" t="s">
        <v>268</v>
      </c>
      <c r="N34" s="156" t="s">
        <v>2778</v>
      </c>
      <c r="O34" s="156"/>
      <c r="P34" s="158" t="s">
        <v>1772</v>
      </c>
      <c r="Q34" s="158" t="s">
        <v>1773</v>
      </c>
      <c r="R34" s="158" t="s">
        <v>1774</v>
      </c>
      <c r="S34" s="157" t="s">
        <v>1450</v>
      </c>
      <c r="T34" s="157" t="s">
        <v>1451</v>
      </c>
      <c r="U34" s="157" t="s">
        <v>1452</v>
      </c>
    </row>
    <row r="35" spans="2:21" s="9" customFormat="1" x14ac:dyDescent="0.25">
      <c r="B35" s="156" t="s">
        <v>1779</v>
      </c>
      <c r="C35" s="156" t="str">
        <f>CHOOSE(Translations!$C$1+1,P35,Q35,R35)</f>
        <v>HIV O-13 Porcentaje de mujeres de 15 a 49 años, no solteras o con pareja, que han sufrido violencia física o sexual de una pareja masculina en los últimos 12 meses</v>
      </c>
      <c r="D35" s="156" t="str">
        <f>CHOOSE(Translations!$C$1+1,S35,T35,U35)</f>
        <v>Edad</v>
      </c>
      <c r="E35" s="156" t="s">
        <v>1413</v>
      </c>
      <c r="F35" s="156" t="str">
        <f t="array" ref="F35">IFERROR(INDEX($C$25:$C$76, MATCH(0, COUNTIF($F$24:F34, $C$25:$C$76&amp;"") + IF($C$25:$C$76="",1,0), 0)), "")</f>
        <v>HIV O-14 Porcentaje de mujeres y hombres de 15 a 49 años que informan de actitudes discriminatorias hacia las personas que viven con el VIH</v>
      </c>
      <c r="G35" s="156" t="s">
        <v>2857</v>
      </c>
      <c r="H35" s="156" t="str">
        <f t="array" ref="H35">IFERROR(INDEX($B$25:$B$76, MATCH(0, COUNTIF($H$24:H34, $B$25:$B$76&amp;"") + IF($B$25:$B$76="",1,0), 0)), "")</f>
        <v>IOR-00109</v>
      </c>
      <c r="I35" s="156" t="str">
        <f t="array" ref="I35">IFERROR(IF(INDEX($C$25:$C$76,MATCH(LEFT(H35,255),LEFT($B$25:$B$76,255),0))=0,"",INDEX($C$25:$C$76,MATCH(LEFT(H35,255),LEFT($B$25:$B$76,255),0))),"")</f>
        <v>HIV O-13 Porcentaje de mujeres de 15 a 49 años, no solteras o con pareja, que han sufrido violencia física o sexual de una pareja masculina en los últimos 12 meses</v>
      </c>
      <c r="J35" s="156" t="str">
        <f t="shared" si="1"/>
        <v>HIV O-13 Porcentaje de mujeres de 15 a 49 años, no solteras o con pareja, que han sufrido violencia física o sexual de una pareja masculina en los últimos 12 meses</v>
      </c>
      <c r="K35" s="157" t="s">
        <v>2858</v>
      </c>
      <c r="L35" s="156" t="str">
        <f t="shared" si="2"/>
        <v>IOR-00109</v>
      </c>
      <c r="M35" s="156" t="s">
        <v>268</v>
      </c>
      <c r="N35" s="156" t="s">
        <v>2778</v>
      </c>
      <c r="O35" s="156"/>
      <c r="P35" s="158" t="s">
        <v>1782</v>
      </c>
      <c r="Q35" s="158" t="s">
        <v>1783</v>
      </c>
      <c r="R35" s="158" t="s">
        <v>1784</v>
      </c>
      <c r="S35" s="157" t="s">
        <v>1463</v>
      </c>
      <c r="T35" s="157" t="s">
        <v>1463</v>
      </c>
      <c r="U35" s="157" t="s">
        <v>1464</v>
      </c>
    </row>
    <row r="36" spans="2:21" s="9" customFormat="1" x14ac:dyDescent="0.25">
      <c r="B36" s="156" t="s">
        <v>2859</v>
      </c>
      <c r="C36" s="156" t="str">
        <f>CHOOSE(Translations!$C$1+1,P36,Q36,R36)</f>
        <v>HIV O-14 Porcentaje de mujeres y hombres de 15 a 49 años que informan de actitudes discriminatorias hacia las personas que viven con el VIH</v>
      </c>
      <c r="D36" s="156">
        <f>CHOOSE(Translations!$C$1+1,S36,T36,U36)</f>
        <v>0</v>
      </c>
      <c r="E36" s="156" t="s">
        <v>1413</v>
      </c>
      <c r="F36" s="156" t="str">
        <f t="array" ref="F36">IFERROR(INDEX($C$25:$C$76, MATCH(0, COUNTIF($F$24:F35, $C$25:$C$76&amp;"") + IF($C$25:$C$76="",1,0), 0)), "")</f>
        <v>HIV O-15 Porcentaje de personas que viven con el VIH que afirman haber experimentado discriminación relacionada con el VIH en el ámbito de servicios de salud</v>
      </c>
      <c r="G36" s="156" t="s">
        <v>2860</v>
      </c>
      <c r="H36" s="156" t="str">
        <f t="array" ref="H36">IFERROR(INDEX($B$25:$B$76, MATCH(0, COUNTIF($H$24:H35, $B$25:$B$76&amp;"") + IF($B$25:$B$76="",1,0), 0)), "")</f>
        <v>IOR-00110</v>
      </c>
      <c r="I36" s="156" t="str">
        <f t="array" ref="I36">IFERROR(IF(INDEX($C$25:$C$76,MATCH(LEFT(H36,255),LEFT($B$25:$B$76,255),0))=0,"",INDEX($C$25:$C$76,MATCH(LEFT(H36,255),LEFT($B$25:$B$76,255),0))),"")</f>
        <v>HIV O-14 Porcentaje de mujeres y hombres de 15 a 49 años que informan de actitudes discriminatorias hacia las personas que viven con el VIH</v>
      </c>
      <c r="J36" s="156" t="str">
        <f t="shared" si="1"/>
        <v>HIV O-14 Porcentaje de mujeres y hombres de 15 a 49 años que informan de actitudes discriminatorias hacia las personas que viven con el VIH</v>
      </c>
      <c r="K36" s="157" t="s">
        <v>2861</v>
      </c>
      <c r="L36" s="156" t="str">
        <f t="shared" si="2"/>
        <v>IOR-00110</v>
      </c>
      <c r="M36" s="156" t="s">
        <v>268</v>
      </c>
      <c r="N36" s="156" t="s">
        <v>2778</v>
      </c>
      <c r="O36" s="156"/>
      <c r="P36" s="158" t="s">
        <v>2862</v>
      </c>
      <c r="Q36" s="158" t="s">
        <v>2863</v>
      </c>
      <c r="R36" s="158" t="s">
        <v>2864</v>
      </c>
      <c r="S36" s="157"/>
      <c r="T36" s="157"/>
      <c r="U36" s="157"/>
    </row>
    <row r="37" spans="2:21" s="9" customFormat="1" x14ac:dyDescent="0.25">
      <c r="B37" s="156" t="s">
        <v>2865</v>
      </c>
      <c r="C37" s="156" t="str">
        <f>CHOOSE(Translations!$C$1+1,P37,Q37,R37)</f>
        <v>HIV O-15 Porcentaje de personas que viven con el VIH que afirman haber experimentado discriminación relacionada con el VIH en el ámbito de servicios de salud</v>
      </c>
      <c r="D37" s="156">
        <f>CHOOSE(Translations!$C$1+1,S37,T37,U37)</f>
        <v>0</v>
      </c>
      <c r="E37" s="156" t="s">
        <v>1413</v>
      </c>
      <c r="F37" s="156" t="str">
        <f t="array" ref="F37">IFERROR(INDEX($C$25:$C$76, MATCH(0, COUNTIF($F$24:F36, $C$25:$C$76&amp;"") + IF($C$25:$C$76="",1,0), 0)), "")</f>
        <v>HIV O-16a Porcentaje de HSH que evitan la atención sanitaria debido al estigma y la discriminación</v>
      </c>
      <c r="G37" s="156" t="s">
        <v>2866</v>
      </c>
      <c r="H37" s="156" t="str">
        <f t="array" ref="H37">IFERROR(INDEX($B$25:$B$76, MATCH(0, COUNTIF($H$24:H36, $B$25:$B$76&amp;"") + IF($B$25:$B$76="",1,0), 0)), "")</f>
        <v>IOR-00111</v>
      </c>
      <c r="I37" s="156" t="str">
        <f t="array" ref="I37">IFERROR(IF(INDEX($C$25:$C$76,MATCH(LEFT(H37,255),LEFT($B$25:$B$76,255),0))=0,"",INDEX($C$25:$C$76,MATCH(LEFT(H37,255),LEFT($B$25:$B$76,255),0))),"")</f>
        <v>HIV O-15 Porcentaje de personas que viven con el VIH que afirman haber experimentado discriminación relacionada con el VIH en el ámbito de servicios de salud</v>
      </c>
      <c r="J37" s="156" t="str">
        <f t="shared" si="1"/>
        <v>HIV O-15 Porcentaje de personas que viven con el VIH que afirman haber experimentado discriminación relacionada con el VIH en el ámbito de servicios de salud</v>
      </c>
      <c r="K37" s="157" t="s">
        <v>2867</v>
      </c>
      <c r="L37" s="156" t="str">
        <f t="shared" si="2"/>
        <v>IOR-00111</v>
      </c>
      <c r="M37" s="156" t="s">
        <v>268</v>
      </c>
      <c r="N37" s="156" t="s">
        <v>2778</v>
      </c>
      <c r="O37" s="156"/>
      <c r="P37" s="158" t="s">
        <v>2868</v>
      </c>
      <c r="Q37" s="158" t="s">
        <v>2869</v>
      </c>
      <c r="R37" s="158" t="s">
        <v>2870</v>
      </c>
      <c r="S37" s="157"/>
      <c r="T37" s="157"/>
      <c r="U37" s="157"/>
    </row>
    <row r="38" spans="2:21" s="9" customFormat="1" x14ac:dyDescent="0.25">
      <c r="B38" s="156" t="s">
        <v>1787</v>
      </c>
      <c r="C38" s="156" t="str">
        <f>CHOOSE(Translations!$C$1+1,P38,Q38,R38)</f>
        <v>HIV O-16a Porcentaje de HSH que evitan la atención sanitaria debido al estigma y la discriminación</v>
      </c>
      <c r="D38" s="156" t="str">
        <f>CHOOSE(Translations!$C$1+1,S38,T38,U38)</f>
        <v>Edad</v>
      </c>
      <c r="E38" s="156" t="s">
        <v>1413</v>
      </c>
      <c r="F38" s="156" t="str">
        <f t="array" ref="F38">IFERROR(INDEX($C$25:$C$76, MATCH(0, COUNTIF($F$24:F37, $C$25:$C$76&amp;"") + IF($C$25:$C$76="",1,0), 0)), "")</f>
        <v>HIV O-16b Porcentaje de grupos objetivo que evitan la atención sanitaria debido al estigma y la discriminación</v>
      </c>
      <c r="G38" s="156" t="s">
        <v>2871</v>
      </c>
      <c r="H38" s="156" t="str">
        <f t="array" ref="H38">IFERROR(INDEX($B$25:$B$76, MATCH(0, COUNTIF($H$24:H37, $B$25:$B$76&amp;"") + IF($B$25:$B$76="",1,0), 0)), "")</f>
        <v>IOR-00112</v>
      </c>
      <c r="I38" s="156" t="str">
        <f t="array" ref="I38">IFERROR(IF(INDEX($C$25:$C$76,MATCH(LEFT(H38,255),LEFT($B$25:$B$76,255),0))=0,"",INDEX($C$25:$C$76,MATCH(LEFT(H38,255),LEFT($B$25:$B$76,255),0))),"")</f>
        <v>HIV O-16a Porcentaje de HSH que evitan la atención sanitaria debido al estigma y la discriminación</v>
      </c>
      <c r="J38" s="156" t="str">
        <f t="shared" si="1"/>
        <v>HIV O-16a Porcentaje de HSH que evitan la atención sanitaria debido al estigma y la discriminación</v>
      </c>
      <c r="K38" s="157" t="s">
        <v>2872</v>
      </c>
      <c r="L38" s="156" t="str">
        <f t="shared" si="2"/>
        <v>IOR-00112</v>
      </c>
      <c r="M38" s="156" t="s">
        <v>268</v>
      </c>
      <c r="N38" s="156" t="s">
        <v>2778</v>
      </c>
      <c r="O38" s="156"/>
      <c r="P38" s="158" t="s">
        <v>1790</v>
      </c>
      <c r="Q38" s="158" t="s">
        <v>1791</v>
      </c>
      <c r="R38" s="158" t="s">
        <v>1792</v>
      </c>
      <c r="S38" s="157" t="s">
        <v>1463</v>
      </c>
      <c r="T38" s="157" t="s">
        <v>1463</v>
      </c>
      <c r="U38" s="157" t="s">
        <v>1464</v>
      </c>
    </row>
    <row r="39" spans="2:21" s="9" customFormat="1" x14ac:dyDescent="0.25">
      <c r="B39" s="156" t="s">
        <v>1795</v>
      </c>
      <c r="C39" s="156" t="str">
        <f>CHOOSE(Translations!$C$1+1,P39,Q39,R39)</f>
        <v>HIV O-16b Porcentaje de grupos objetivo que evitan la atención sanitaria debido al estigma y la discriminación</v>
      </c>
      <c r="D39" s="156" t="str">
        <f>CHOOSE(Translations!$C$1+1,S39,T39,U39)</f>
        <v>Edad</v>
      </c>
      <c r="E39" s="156" t="s">
        <v>1413</v>
      </c>
      <c r="F39" s="156" t="str">
        <f t="array" ref="F39">IFERROR(INDEX($C$25:$C$76, MATCH(0, COUNTIF($F$24:F38, $C$25:$C$76&amp;"") + IF($C$25:$C$76="",1,0), 0)), "")</f>
        <v>HIV O-16c Porcentaje de trabajadores sexuales que evitan la atención sanitaria debido al estigma y la discriminación</v>
      </c>
      <c r="G39" s="156" t="s">
        <v>2873</v>
      </c>
      <c r="H39" s="156" t="str">
        <f t="array" ref="H39">IFERROR(INDEX($B$25:$B$76, MATCH(0, COUNTIF($H$24:H38, $B$25:$B$76&amp;"") + IF($B$25:$B$76="",1,0), 0)), "")</f>
        <v>IOR-00113</v>
      </c>
      <c r="I39" s="156" t="str">
        <f t="array" ref="I39">IFERROR(IF(INDEX($C$25:$C$76,MATCH(LEFT(H39,255),LEFT($B$25:$B$76,255),0))=0,"",INDEX($C$25:$C$76,MATCH(LEFT(H39,255),LEFT($B$25:$B$76,255),0))),"")</f>
        <v>HIV O-16b Porcentaje de grupos objetivo que evitan la atención sanitaria debido al estigma y la discriminación</v>
      </c>
      <c r="J39" s="156" t="str">
        <f t="shared" si="1"/>
        <v>HIV O-16b Porcentaje de grupos objetivo que evitan la atención sanitaria debido al estigma y la discriminación</v>
      </c>
      <c r="K39" s="157" t="s">
        <v>2874</v>
      </c>
      <c r="L39" s="156" t="str">
        <f t="shared" si="2"/>
        <v>IOR-00113</v>
      </c>
      <c r="M39" s="156" t="s">
        <v>268</v>
      </c>
      <c r="N39" s="156" t="s">
        <v>2778</v>
      </c>
      <c r="O39" s="156"/>
      <c r="P39" s="158" t="s">
        <v>1798</v>
      </c>
      <c r="Q39" s="158" t="s">
        <v>1799</v>
      </c>
      <c r="R39" s="158" t="s">
        <v>1800</v>
      </c>
      <c r="S39" s="157" t="s">
        <v>1463</v>
      </c>
      <c r="T39" s="157" t="s">
        <v>1463</v>
      </c>
      <c r="U39" s="157" t="s">
        <v>1464</v>
      </c>
    </row>
    <row r="40" spans="2:21" s="9" customFormat="1" x14ac:dyDescent="0.25">
      <c r="B40" s="156" t="s">
        <v>1803</v>
      </c>
      <c r="C40" s="156" t="str">
        <f>CHOOSE(Translations!$C$1+1,P40,Q40,R40)</f>
        <v>HIV O-16c Porcentaje de trabajadores sexuales que evitan la atención sanitaria debido al estigma y la discriminación</v>
      </c>
      <c r="D40" s="156" t="str">
        <f>CHOOSE(Translations!$C$1+1,S40,T40,U40)</f>
        <v>Género,Edad</v>
      </c>
      <c r="E40" s="156" t="s">
        <v>1413</v>
      </c>
      <c r="F40" s="156" t="str">
        <f t="array" ref="F40">IFERROR(INDEX($C$25:$C$76, MATCH(0, COUNTIF($F$24:F39, $C$25:$C$76&amp;"") + IF($C$25:$C$76="",1,0), 0)), "")</f>
        <v>HIV O-16d Porcentaje de personas que consumen drogas inyectables que evitan la atención sanitaria debido al estigma y la discriminación</v>
      </c>
      <c r="G40" s="156" t="s">
        <v>2875</v>
      </c>
      <c r="H40" s="156" t="str">
        <f t="array" ref="H40">IFERROR(INDEX($B$25:$B$76, MATCH(0, COUNTIF($H$24:H39, $B$25:$B$76&amp;"") + IF($B$25:$B$76="",1,0), 0)), "")</f>
        <v>IOR-00114</v>
      </c>
      <c r="I40" s="156" t="str">
        <f t="array" ref="I40">IFERROR(IF(INDEX($C$25:$C$76,MATCH(LEFT(H40,255),LEFT($B$25:$B$76,255),0))=0,"",INDEX($C$25:$C$76,MATCH(LEFT(H40,255),LEFT($B$25:$B$76,255),0))),"")</f>
        <v>HIV O-16c Porcentaje de trabajadores sexuales que evitan la atención sanitaria debido al estigma y la discriminación</v>
      </c>
      <c r="J40" s="156" t="str">
        <f t="shared" si="1"/>
        <v>HIV O-16c Porcentaje de trabajadores sexuales que evitan la atención sanitaria debido al estigma y la discriminación</v>
      </c>
      <c r="K40" s="157" t="s">
        <v>2876</v>
      </c>
      <c r="L40" s="156" t="str">
        <f t="shared" si="2"/>
        <v>IOR-00114</v>
      </c>
      <c r="M40" s="156" t="s">
        <v>268</v>
      </c>
      <c r="N40" s="156" t="s">
        <v>2778</v>
      </c>
      <c r="O40" s="156"/>
      <c r="P40" s="158" t="s">
        <v>1806</v>
      </c>
      <c r="Q40" s="158" t="s">
        <v>1807</v>
      </c>
      <c r="R40" s="158" t="s">
        <v>1808</v>
      </c>
      <c r="S40" s="157" t="s">
        <v>2801</v>
      </c>
      <c r="T40" s="157" t="s">
        <v>2780</v>
      </c>
      <c r="U40" s="157" t="s">
        <v>2781</v>
      </c>
    </row>
    <row r="41" spans="2:21" s="9" customFormat="1" x14ac:dyDescent="0.25">
      <c r="B41" s="156" t="s">
        <v>1817</v>
      </c>
      <c r="C41" s="156" t="str">
        <f>CHOOSE(Translations!$C$1+1,P41,Q41,R41)</f>
        <v>HIV O-16d Porcentaje de personas que consumen drogas inyectables que evitan la atención sanitaria debido al estigma y la discriminación</v>
      </c>
      <c r="D41" s="156" t="str">
        <f>CHOOSE(Translations!$C$1+1,S41,T41,U41)</f>
        <v>Género,Edad</v>
      </c>
      <c r="E41" s="156" t="s">
        <v>1413</v>
      </c>
      <c r="F41" s="156" t="str">
        <f t="array" ref="F41">IFERROR(INDEX($C$25:$C$76, MATCH(0, COUNTIF($F$24:F40, $C$25:$C$76&amp;"") + IF($C$25:$C$76="",1,0), 0)), "")</f>
        <v>HIV O-17 Porcentaje de personas que viven con el VIH que, habiendo notificado la violación de sus derechos, buscaron compensación jurídica</v>
      </c>
      <c r="G41" s="156" t="s">
        <v>2877</v>
      </c>
      <c r="H41" s="156" t="str">
        <f t="array" ref="H41">IFERROR(INDEX($B$25:$B$76, MATCH(0, COUNTIF($H$24:H40, $B$25:$B$76&amp;"") + IF($B$25:$B$76="",1,0), 0)), "")</f>
        <v>IOR-00115</v>
      </c>
      <c r="I41" s="156" t="str">
        <f t="array" ref="I41">IFERROR(IF(INDEX($C$25:$C$76,MATCH(LEFT(H41,255),LEFT($B$25:$B$76,255),0))=0,"",INDEX($C$25:$C$76,MATCH(LEFT(H41,255),LEFT($B$25:$B$76,255),0))),"")</f>
        <v>HIV O-16d Porcentaje de personas que consumen drogas inyectables que evitan la atención sanitaria debido al estigma y la discriminación</v>
      </c>
      <c r="J41" s="156" t="str">
        <f t="shared" si="1"/>
        <v>HIV O-16d Porcentaje de personas que consumen drogas inyectables que evitan la atención sanitaria debido al estigma y la discriminación</v>
      </c>
      <c r="K41" s="157" t="s">
        <v>2878</v>
      </c>
      <c r="L41" s="156" t="str">
        <f t="shared" si="2"/>
        <v>IOR-00115</v>
      </c>
      <c r="M41" s="156" t="s">
        <v>268</v>
      </c>
      <c r="N41" s="156" t="s">
        <v>2778</v>
      </c>
      <c r="O41" s="156"/>
      <c r="P41" s="158" t="s">
        <v>1820</v>
      </c>
      <c r="Q41" s="158" t="s">
        <v>1821</v>
      </c>
      <c r="R41" s="158" t="s">
        <v>1822</v>
      </c>
      <c r="S41" s="157" t="s">
        <v>2801</v>
      </c>
      <c r="T41" s="157" t="s">
        <v>2780</v>
      </c>
      <c r="U41" s="157" t="s">
        <v>2781</v>
      </c>
    </row>
    <row r="42" spans="2:21" s="9" customFormat="1" x14ac:dyDescent="0.25">
      <c r="B42" s="156" t="s">
        <v>1831</v>
      </c>
      <c r="C42" s="156" t="str">
        <f>CHOOSE(Translations!$C$1+1,P42,Q42,R42)</f>
        <v>HIV O-17 Porcentaje de personas que viven con el VIH que, habiendo notificado la violación de sus derechos, buscaron compensación jurídica</v>
      </c>
      <c r="D42" s="156" t="str">
        <f>CHOOSE(Translations!$C$1+1,S42,T42,U42)</f>
        <v>Grupo de riesgo objetivo,Género,Edad</v>
      </c>
      <c r="E42" s="156" t="s">
        <v>1413</v>
      </c>
      <c r="F42" s="156" t="str">
        <f t="array" ref="F42">IFERROR(INDEX($C$25:$C$76, MATCH(0, COUNTIF($F$24:F41, $C$25:$C$76&amp;"") + IF($C$25:$C$76="",1,0), 0)), "")</f>
        <v>HIV O-18 Porcentajes de mujeres de 15 a 24 años de edad que han tenido dos o más parejas en los últimos 12 meses</v>
      </c>
      <c r="G42" s="156" t="s">
        <v>2879</v>
      </c>
      <c r="H42" s="156" t="str">
        <f t="array" ref="H42">IFERROR(INDEX($B$25:$B$76, MATCH(0, COUNTIF($H$24:H41, $B$25:$B$76&amp;"") + IF($B$25:$B$76="",1,0), 0)), "")</f>
        <v>IOR-00116</v>
      </c>
      <c r="I42" s="156" t="str">
        <f t="array" ref="I42">IFERROR(IF(INDEX($C$25:$C$76,MATCH(LEFT(H42,255),LEFT($B$25:$B$76,255),0))=0,"",INDEX($C$25:$C$76,MATCH(LEFT(H42,255),LEFT($B$25:$B$76,255),0))),"")</f>
        <v>HIV O-17 Porcentaje de personas que viven con el VIH que, habiendo notificado la violación de sus derechos, buscaron compensación jurídica</v>
      </c>
      <c r="J42" s="156" t="str">
        <f t="shared" si="1"/>
        <v>HIV O-17 Porcentaje de personas que viven con el VIH que, habiendo notificado la violación de sus derechos, buscaron compensación jurídica</v>
      </c>
      <c r="K42" s="157" t="s">
        <v>2880</v>
      </c>
      <c r="L42" s="156" t="str">
        <f t="shared" si="2"/>
        <v>IOR-00116</v>
      </c>
      <c r="M42" s="156" t="s">
        <v>268</v>
      </c>
      <c r="N42" s="156" t="s">
        <v>2778</v>
      </c>
      <c r="O42" s="156"/>
      <c r="P42" s="158" t="s">
        <v>1840</v>
      </c>
      <c r="Q42" s="158" t="s">
        <v>1841</v>
      </c>
      <c r="R42" s="158" t="s">
        <v>1842</v>
      </c>
      <c r="S42" s="157" t="s">
        <v>2881</v>
      </c>
      <c r="T42" s="157" t="s">
        <v>2882</v>
      </c>
      <c r="U42" s="157" t="s">
        <v>2883</v>
      </c>
    </row>
    <row r="43" spans="2:21" s="9" customFormat="1" x14ac:dyDescent="0.25">
      <c r="B43" s="156" t="s">
        <v>2884</v>
      </c>
      <c r="C43" s="156" t="str">
        <f>CHOOSE(Translations!$C$1+1,P43,Q43,R43)</f>
        <v>HIV O-18 Porcentajes de mujeres de 15 a 24 años de edad que han tenido dos o más parejas en los últimos 12 meses</v>
      </c>
      <c r="D43" s="156">
        <f>CHOOSE(Translations!$C$1+1,S43,T43,U43)</f>
        <v>0</v>
      </c>
      <c r="E43" s="156" t="s">
        <v>1413</v>
      </c>
      <c r="F43" s="156" t="str">
        <f t="array" ref="F43">IFERROR(INDEX($C$25:$C$76, MATCH(0, COUNTIF($F$24:F42, $C$25:$C$76&amp;"") + IF($C$25:$C$76="",1,0), 0)), "")</f>
        <v>HIV O-19 Porcentaje de mujeres de 15 a 19 años de edad que han tenido un niño nacido vivo o que están embarazadas actualmente</v>
      </c>
      <c r="G43" s="156" t="s">
        <v>2885</v>
      </c>
      <c r="H43" s="156" t="str">
        <f t="array" ref="H43">IFERROR(INDEX($B$25:$B$76, MATCH(0, COUNTIF($H$24:H42, $B$25:$B$76&amp;"") + IF($B$25:$B$76="",1,0), 0)), "")</f>
        <v>IOR-00117</v>
      </c>
      <c r="I43" s="156" t="str">
        <f t="array" ref="I43">IFERROR(IF(INDEX($C$25:$C$76,MATCH(LEFT(H43,255),LEFT($B$25:$B$76,255),0))=0,"",INDEX($C$25:$C$76,MATCH(LEFT(H43,255),LEFT($B$25:$B$76,255),0))),"")</f>
        <v>HIV O-18 Porcentajes de mujeres de 15 a 24 años de edad que han tenido dos o más parejas en los últimos 12 meses</v>
      </c>
      <c r="J43" s="156" t="str">
        <f t="shared" si="1"/>
        <v>HIV O-18 Porcentajes de mujeres de 15 a 24 años de edad que han tenido dos o más parejas en los últimos 12 meses</v>
      </c>
      <c r="K43" s="157" t="s">
        <v>2886</v>
      </c>
      <c r="L43" s="156" t="str">
        <f t="shared" si="2"/>
        <v>IOR-00117</v>
      </c>
      <c r="M43" s="156" t="s">
        <v>268</v>
      </c>
      <c r="N43" s="156" t="s">
        <v>2778</v>
      </c>
      <c r="O43" s="156"/>
      <c r="P43" s="158" t="s">
        <v>2887</v>
      </c>
      <c r="Q43" s="158" t="s">
        <v>2888</v>
      </c>
      <c r="R43" s="158" t="s">
        <v>2889</v>
      </c>
      <c r="S43" s="157"/>
      <c r="T43" s="157"/>
      <c r="U43" s="157"/>
    </row>
    <row r="44" spans="2:21" s="9" customFormat="1" x14ac:dyDescent="0.25">
      <c r="B44" s="156" t="s">
        <v>2890</v>
      </c>
      <c r="C44" s="156" t="str">
        <f>CHOOSE(Translations!$C$1+1,P44,Q44,R44)</f>
        <v>HIV O-19 Porcentaje de mujeres de 15 a 19 años de edad que han tenido un niño nacido vivo o que están embarazadas actualmente</v>
      </c>
      <c r="D44" s="156">
        <f>CHOOSE(Translations!$C$1+1,S44,T44,U44)</f>
        <v>0</v>
      </c>
      <c r="E44" s="156" t="s">
        <v>1413</v>
      </c>
      <c r="F44" s="156" t="str">
        <f t="array" ref="F44">IFERROR(INDEX($C$25:$C$76, MATCH(0, COUNTIF($F$24:F43, $C$25:$C$76&amp;"") + IF($C$25:$C$76="",1,0), 0)), "")</f>
        <v>HIV O-20 Porcentaje de mujeres de 15 a 24 años de edad que abandonaron los estudios en el último año</v>
      </c>
      <c r="G44" s="156" t="s">
        <v>2891</v>
      </c>
      <c r="H44" s="156" t="str">
        <f t="array" ref="H44">IFERROR(INDEX($B$25:$B$76, MATCH(0, COUNTIF($H$24:H43, $B$25:$B$76&amp;"") + IF($B$25:$B$76="",1,0), 0)), "")</f>
        <v>IOR-00118</v>
      </c>
      <c r="I44" s="156" t="str">
        <f t="array" ref="I44">IFERROR(IF(INDEX($C$25:$C$76,MATCH(LEFT(H44,255),LEFT($B$25:$B$76,255),0))=0,"",INDEX($C$25:$C$76,MATCH(LEFT(H44,255),LEFT($B$25:$B$76,255),0))),"")</f>
        <v>HIV O-19 Porcentaje de mujeres de 15 a 19 años de edad que han tenido un niño nacido vivo o que están embarazadas actualmente</v>
      </c>
      <c r="J44" s="156" t="str">
        <f t="shared" si="1"/>
        <v>HIV O-19 Porcentaje de mujeres de 15 a 19 años de edad que han tenido un niño nacido vivo o que están embarazadas actualmente</v>
      </c>
      <c r="K44" s="157" t="s">
        <v>2892</v>
      </c>
      <c r="L44" s="156" t="str">
        <f t="shared" si="2"/>
        <v>IOR-00118</v>
      </c>
      <c r="M44" s="156" t="s">
        <v>268</v>
      </c>
      <c r="N44" s="156" t="s">
        <v>2778</v>
      </c>
      <c r="O44" s="156"/>
      <c r="P44" s="158" t="s">
        <v>2893</v>
      </c>
      <c r="Q44" s="158" t="s">
        <v>2894</v>
      </c>
      <c r="R44" s="158" t="s">
        <v>2895</v>
      </c>
      <c r="S44" s="157"/>
      <c r="T44" s="157"/>
      <c r="U44" s="157"/>
    </row>
    <row r="45" spans="2:21" s="9" customFormat="1" x14ac:dyDescent="0.25">
      <c r="B45" s="156" t="s">
        <v>2896</v>
      </c>
      <c r="C45" s="156" t="str">
        <f>CHOOSE(Translations!$C$1+1,P45,Q45,R45)</f>
        <v>HIV O-20 Porcentaje de mujeres de 15 a 24 años de edad que abandonaron los estudios en el último año</v>
      </c>
      <c r="D45" s="156">
        <f>CHOOSE(Translations!$C$1+1,S45,T45,U45)</f>
        <v>0</v>
      </c>
      <c r="E45" s="156" t="s">
        <v>1413</v>
      </c>
      <c r="F45" s="156" t="str">
        <f t="array" ref="F45">IFERROR(INDEX($C$25:$C$76, MATCH(0, COUNTIF($F$24:F44, $C$25:$C$76&amp;"") + IF($C$25:$C$76="",1,0), 0)), "")</f>
        <v>HIV O-21 Porcentaje de personas que viven con el VIH que no reciben TARV al final del período de reporte entre el total de personas que viven con el VIH en TARV o que iniciaron TARV durante el período de reporte</v>
      </c>
      <c r="G45" s="156" t="s">
        <v>2897</v>
      </c>
      <c r="H45" s="156" t="str">
        <f t="array" ref="H45">IFERROR(INDEX($B$25:$B$76, MATCH(0, COUNTIF($H$24:H44, $B$25:$B$76&amp;"") + IF($B$25:$B$76="",1,0), 0)), "")</f>
        <v>IOR-00119</v>
      </c>
      <c r="I45" s="156" t="str">
        <f t="array" ref="I45">IFERROR(IF(INDEX($C$25:$C$76,MATCH(LEFT(H45,255),LEFT($B$25:$B$76,255),0))=0,"",INDEX($C$25:$C$76,MATCH(LEFT(H45,255),LEFT($B$25:$B$76,255),0))),"")</f>
        <v>HIV O-20 Porcentaje de mujeres de 15 a 24 años de edad que abandonaron los estudios en el último año</v>
      </c>
      <c r="J45" s="156" t="str">
        <f t="shared" si="1"/>
        <v>HIV O-20 Porcentaje de mujeres de 15 a 24 años de edad que abandonaron los estudios en el último año</v>
      </c>
      <c r="K45" s="157" t="s">
        <v>2898</v>
      </c>
      <c r="L45" s="156" t="str">
        <f t="shared" si="2"/>
        <v>IOR-00119</v>
      </c>
      <c r="M45" s="156" t="s">
        <v>268</v>
      </c>
      <c r="N45" s="156" t="s">
        <v>2778</v>
      </c>
      <c r="O45" s="156"/>
      <c r="P45" s="158" t="s">
        <v>2899</v>
      </c>
      <c r="Q45" s="158" t="s">
        <v>2900</v>
      </c>
      <c r="R45" s="158" t="s">
        <v>2901</v>
      </c>
      <c r="S45" s="157"/>
      <c r="T45" s="157"/>
      <c r="U45" s="157"/>
    </row>
    <row r="46" spans="2:21" s="9" customFormat="1" x14ac:dyDescent="0.25">
      <c r="B46" s="156" t="s">
        <v>1867</v>
      </c>
      <c r="C46" s="156" t="str">
        <f>CHOOSE(Translations!$C$1+1,P46,Q46,R46)</f>
        <v>HIV O-21 Porcentaje de personas que viven con el VIH que no reciben TARV al final del período de reporte entre el total de personas que viven con el VIH en TARV o que iniciaron TARV durante el período de reporte</v>
      </c>
      <c r="D46" s="156" t="str">
        <f>CHOOSE(Translations!$C$1+1,S46,T46,U46)</f>
        <v>Edad,Resultados de tratamiento,Género</v>
      </c>
      <c r="E46" s="156" t="s">
        <v>1413</v>
      </c>
      <c r="F46" s="156" t="str">
        <f t="array" ref="F46">IFERROR(INDEX($C$25:$C$76, MATCH(0, COUNTIF($F$24:F45, $C$25:$C$76&amp;"") + IF($C$25:$C$76="",1,0), 0)), "")</f>
        <v>TB O-1a Tasa de notificación de casos de todas las  forma de tuberculosis por cada 100.000 habitantes, confirmados bacteriológicamente y con diagnóstico clínico, casos nuevos y recaídas.</v>
      </c>
      <c r="G46" s="156" t="s">
        <v>2902</v>
      </c>
      <c r="H46" s="156" t="str">
        <f t="array" ref="H46">IFERROR(INDEX($B$25:$B$76, MATCH(0, COUNTIF($H$24:H45, $B$25:$B$76&amp;"") + IF($B$25:$B$76="",1,0), 0)), "")</f>
        <v>IOR-00120</v>
      </c>
      <c r="I46" s="156" t="str">
        <f t="array" ref="I46">IFERROR(IF(INDEX($C$25:$C$76,MATCH(LEFT(H46,255),LEFT($B$25:$B$76,255),0))=0,"",INDEX($C$25:$C$76,MATCH(LEFT(H46,255),LEFT($B$25:$B$76,255),0))),"")</f>
        <v>HIV O-21 Porcentaje de personas que viven con el VIH que no reciben TARV al final del período de reporte entre el total de personas que viven con el VIH en TARV o que iniciaron TARV durante el período de reporte</v>
      </c>
      <c r="J46" s="156" t="str">
        <f t="shared" si="1"/>
        <v>HIV O-21 Porcentaje de personas que viven con el VIH que no reciben TARV al final del período de reporte entre el total de personas que viven con el VIH en TARV o que iniciaron TARV durante el período de reporte</v>
      </c>
      <c r="K46" s="157" t="s">
        <v>2903</v>
      </c>
      <c r="L46" s="156" t="str">
        <f t="shared" si="2"/>
        <v>IOR-00120</v>
      </c>
      <c r="M46" s="156" t="s">
        <v>268</v>
      </c>
      <c r="N46" s="156" t="s">
        <v>2778</v>
      </c>
      <c r="O46" s="156"/>
      <c r="P46" s="158" t="s">
        <v>1876</v>
      </c>
      <c r="Q46" s="158" t="s">
        <v>1877</v>
      </c>
      <c r="R46" s="158" t="s">
        <v>1878</v>
      </c>
      <c r="S46" s="157" t="s">
        <v>2904</v>
      </c>
      <c r="T46" s="157" t="s">
        <v>2905</v>
      </c>
      <c r="U46" s="157" t="s">
        <v>2906</v>
      </c>
    </row>
    <row r="47" spans="2:21" s="9" customFormat="1" x14ac:dyDescent="0.25">
      <c r="B47" s="156" t="s">
        <v>2907</v>
      </c>
      <c r="C47" s="156" t="str">
        <f>CHOOSE(Translations!$C$1+1,P47,Q47,R47)</f>
        <v>TB O-1a Tasa de notificación de casos de todas las  forma de tuberculosis por cada 100.000 habitantes, confirmados bacteriológicamente y con diagnóstico clínico, casos nuevos y recaídas.</v>
      </c>
      <c r="D47" s="156">
        <f>CHOOSE(Translations!$C$1+1,S47,T47,U47)</f>
        <v>0</v>
      </c>
      <c r="E47" s="156" t="s">
        <v>1414</v>
      </c>
      <c r="F47" s="156" t="str">
        <f t="array" ref="F47">IFERROR(INDEX($C$25:$C$76, MATCH(0, COUNTIF($F$24:F46, $C$25:$C$76&amp;"") + IF($C$25:$C$76="",1,0), 0)), "")</f>
        <v>TB O-2a Tasa de éxito del tratamiento en todas las formas de tuberculosis, confirmada bacteriológicamente y con diagnóstico clínico, casos nuevos y recaídas.</v>
      </c>
      <c r="G47" s="156" t="s">
        <v>2908</v>
      </c>
      <c r="H47" s="156" t="str">
        <f t="array" ref="H47">IFERROR(INDEX($B$25:$B$76, MATCH(0, COUNTIF($H$24:H46, $B$25:$B$76&amp;"") + IF($B$25:$B$76="",1,0), 0)), "")</f>
        <v>IOR-00121</v>
      </c>
      <c r="I47" s="156" t="str">
        <f t="array" ref="I47">IFERROR(IF(INDEX($C$25:$C$76,MATCH(LEFT(H47,255),LEFT($B$25:$B$76,255),0))=0,"",INDEX($C$25:$C$76,MATCH(LEFT(H47,255),LEFT($B$25:$B$76,255),0))),"")</f>
        <v>TB O-1a Tasa de notificación de casos de todas las  forma de tuberculosis por cada 100.000 habitantes, confirmados bacteriológicamente y con diagnóstico clínico, casos nuevos y recaídas.</v>
      </c>
      <c r="J47" s="156" t="str">
        <f t="shared" si="1"/>
        <v>TB O-1a Tasa de notificación de casos de todas las  forma de tuberculosis por cada 100.000 habitantes, confirmados bacteriológicamente y con diagnóstico clínico, casos nuevos y recaídas.</v>
      </c>
      <c r="K47" s="157" t="s">
        <v>2909</v>
      </c>
      <c r="L47" s="156" t="str">
        <f t="shared" si="2"/>
        <v>IOR-00121</v>
      </c>
      <c r="M47" s="156" t="s">
        <v>268</v>
      </c>
      <c r="N47" s="156" t="s">
        <v>2778</v>
      </c>
      <c r="O47" s="156"/>
      <c r="P47" s="158" t="s">
        <v>2910</v>
      </c>
      <c r="Q47" s="158" t="s">
        <v>2911</v>
      </c>
      <c r="R47" s="158" t="s">
        <v>2912</v>
      </c>
      <c r="S47" s="157"/>
      <c r="T47" s="157"/>
      <c r="U47" s="157"/>
    </row>
    <row r="48" spans="2:21" s="9" customFormat="1" x14ac:dyDescent="0.25">
      <c r="B48" s="156" t="s">
        <v>2913</v>
      </c>
      <c r="C48" s="156" t="str">
        <f>CHOOSE(Translations!$C$1+1,P48,Q48,R48)</f>
        <v>TB O-2a Tasa de éxito del tratamiento en todas las formas de tuberculosis, confirmada bacteriológicamente y con diagnóstico clínico, casos nuevos y recaídas.</v>
      </c>
      <c r="D48" s="156">
        <f>CHOOSE(Translations!$C$1+1,S48,T48,U48)</f>
        <v>0</v>
      </c>
      <c r="E48" s="156" t="s">
        <v>1414</v>
      </c>
      <c r="F48" s="156" t="str">
        <f t="array" ref="F48">IFERROR(INDEX($C$25:$C$76, MATCH(0, COUNTIF($F$24:F47, $C$25:$C$76&amp;"") + IF($C$25:$C$76="",1,0), 0)), "")</f>
        <v>TB O-4⁽ᴹ⁾ Tasa de éxito del tratamiento de los casos de tuberculosis resistente a la rifampicina y/o tuberculosis multirresistente: Porcentaje de casos de tuberculosis resistente a la rifampicina y/o tuberculosis multirresistente tratados con éxito.</v>
      </c>
      <c r="G48" s="156" t="s">
        <v>2914</v>
      </c>
      <c r="H48" s="156" t="str">
        <f t="array" ref="H48">IFERROR(INDEX($B$25:$B$76, MATCH(0, COUNTIF($H$24:H47, $B$25:$B$76&amp;"") + IF($B$25:$B$76="",1,0), 0)), "")</f>
        <v>IOR-00122</v>
      </c>
      <c r="I48" s="156" t="str">
        <f t="array" ref="I48">IFERROR(IF(INDEX($C$25:$C$76,MATCH(LEFT(H48,255),LEFT($B$25:$B$76,255),0))=0,"",INDEX($C$25:$C$76,MATCH(LEFT(H48,255),LEFT($B$25:$B$76,255),0))),"")</f>
        <v>TB O-2a Tasa de éxito del tratamiento en todas las formas de tuberculosis, confirmada bacteriológicamente y con diagnóstico clínico, casos nuevos y recaídas.</v>
      </c>
      <c r="J48" s="156" t="str">
        <f t="shared" si="1"/>
        <v>TB O-2a Tasa de éxito del tratamiento en todas las formas de tuberculosis, confirmada bacteriológicamente y con diagnóstico clínico, casos nuevos y recaídas.</v>
      </c>
      <c r="K48" s="157" t="s">
        <v>2915</v>
      </c>
      <c r="L48" s="156" t="str">
        <f t="shared" si="2"/>
        <v>IOR-00122</v>
      </c>
      <c r="M48" s="156" t="s">
        <v>268</v>
      </c>
      <c r="N48" s="156" t="s">
        <v>2778</v>
      </c>
      <c r="O48" s="156"/>
      <c r="P48" s="158" t="s">
        <v>2916</v>
      </c>
      <c r="Q48" s="158" t="s">
        <v>2917</v>
      </c>
      <c r="R48" s="158" t="s">
        <v>2918</v>
      </c>
      <c r="S48" s="157"/>
      <c r="T48" s="157"/>
      <c r="U48" s="157"/>
    </row>
    <row r="49" spans="2:21" s="9" customFormat="1" x14ac:dyDescent="0.25">
      <c r="B49" s="156" t="s">
        <v>2919</v>
      </c>
      <c r="C49" s="156" t="str">
        <f>CHOOSE(Translations!$C$1+1,P49,Q49,R49)</f>
        <v>TB O-6 Notificación de casos de tuberculosis resistente a la rifampicina (TB-RR) y/o tuberculosis multirresistente (TB-MR): porcentaje de casos notificados de TB-RR y/o TB-MR confirmados bacteriológicamente como proporción de todos los casos estimados de TB-RR y/o TB-MR.</v>
      </c>
      <c r="D49" s="156">
        <f>CHOOSE(Translations!$C$1+1,S49,T49,U49)</f>
        <v>0</v>
      </c>
      <c r="E49" s="156" t="s">
        <v>1414</v>
      </c>
      <c r="F49" s="156" t="str">
        <f t="array" ref="F49">IFERROR(INDEX($C$25:$C$76, MATCH(0, COUNTIF($F$24:F48, $C$25:$C$76&amp;"") + IF($C$25:$C$76="",1,0), 0)), "")</f>
        <v>TB O-7 Porcentaje de personas con tuberculosis que han sufrido autoestigmatización a causa de su estado con respecto a la enfermedad que les ha impedido buscar servicios relacionados con la tuberculosis y acceder</v>
      </c>
      <c r="G49" s="156" t="s">
        <v>2920</v>
      </c>
      <c r="H49" s="156" t="str">
        <f t="array" ref="H49">IFERROR(INDEX($B$25:$B$76, MATCH(0, COUNTIF($H$24:H48, $B$25:$B$76&amp;"") + IF($B$25:$B$76="",1,0), 0)), "")</f>
        <v>IOR-00123</v>
      </c>
      <c r="I49" s="156" t="str">
        <f t="array" ref="I49">IFERROR(IF(INDEX($C$25:$C$76,MATCH(LEFT(H49,255),LEFT($B$25:$B$76,255),0))=0,"",INDEX($C$25:$C$76,MATCH(LEFT(H49,255),LEFT($B$25:$B$76,255),0))),"")</f>
        <v>TB O-6 Notificación de casos de tuberculosis resistente a la rifampicina (TB-RR) y/o tuberculosis multirresistente (TB-MR): porcentaje de casos notificados de TB-RR y/o TB-MR confirmados bacteriológicamente como proporción de todos los casos estimados de TB-RR y/o TB-MR.</v>
      </c>
      <c r="J49" s="156" t="str">
        <f t="shared" si="1"/>
        <v xml:space="preserve">TB O-6 Notificación de casos de tuberculosis resistente a la rifampicina (TB-RR) y/o tuberculosis multirresistente (TB-MR): porcentaje de casos notificados de TB-RR y/o TB-MR confirmados bacteriológicamente como proporción de todos los casos estimados de </v>
      </c>
      <c r="K49" s="157" t="s">
        <v>2921</v>
      </c>
      <c r="L49" s="156" t="str">
        <f t="shared" si="2"/>
        <v>IOR-00123</v>
      </c>
      <c r="M49" s="156" t="s">
        <v>268</v>
      </c>
      <c r="N49" s="156" t="s">
        <v>2778</v>
      </c>
      <c r="O49" s="156"/>
      <c r="P49" s="158" t="s">
        <v>2922</v>
      </c>
      <c r="Q49" s="158" t="s">
        <v>2923</v>
      </c>
      <c r="R49" s="158" t="s">
        <v>2924</v>
      </c>
      <c r="S49" s="157"/>
      <c r="T49" s="157"/>
      <c r="U49" s="157"/>
    </row>
    <row r="50" spans="2:21" s="9" customFormat="1" x14ac:dyDescent="0.25">
      <c r="B50" s="156" t="s">
        <v>2925</v>
      </c>
      <c r="C50" s="156" t="str">
        <f>CHOOSE(Translations!$C$1+1,P50,Q50,R50)</f>
        <v>TB O-4⁽ᴹ⁾ Tasa de éxito del tratamiento de los casos de tuberculosis resistente a la rifampicina y/o tuberculosis multirresistente: Porcentaje de casos de tuberculosis resistente a la rifampicina y/o tuberculosis multirresistente tratados con éxito.</v>
      </c>
      <c r="D50" s="156">
        <f>CHOOSE(Translations!$C$1+1,S50,T50,U50)</f>
        <v>0</v>
      </c>
      <c r="E50" s="156" t="s">
        <v>1414</v>
      </c>
      <c r="F50" s="156" t="str">
        <f t="array" ref="F50">IFERROR(INDEX($C$25:$C$76, MATCH(0, COUNTIF($F$24:F49, $C$25:$C$76&amp;"") + IF($C$25:$C$76="",1,0), 0)), "")</f>
        <v>TB O-8 Porcentaje de personas con tuberculosis que han sufrido estigmatización en centros de atención de la salud a causa de su estado con respecto a la enfermedad que les ha impedido buscar servicios relacionados con la tuberculosis y acceder</v>
      </c>
      <c r="G50" s="156" t="s">
        <v>2926</v>
      </c>
      <c r="H50" s="156" t="str">
        <f t="array" ref="H50">IFERROR(INDEX($B$25:$B$76, MATCH(0, COUNTIF($H$24:H49, $B$25:$B$76&amp;"") + IF($B$25:$B$76="",1,0), 0)), "")</f>
        <v>IOR-00124</v>
      </c>
      <c r="I50" s="156" t="str">
        <f t="array" ref="I50">IFERROR(IF(INDEX($C$25:$C$76,MATCH(LEFT(H50,255),LEFT($B$25:$B$76,255),0))=0,"",INDEX($C$25:$C$76,MATCH(LEFT(H50,255),LEFT($B$25:$B$76,255),0))),"")</f>
        <v>TB O-4⁽ᴹ⁾ Tasa de éxito del tratamiento de los casos de tuberculosis resistente a la rifampicina y/o tuberculosis multirresistente: Porcentaje de casos de tuberculosis resistente a la rifampicina y/o tuberculosis multirresistente tratados con éxito.</v>
      </c>
      <c r="J50" s="156" t="str">
        <f t="shared" si="1"/>
        <v>TB O-4⁽ᴹ⁾ Tasa de éxito del tratamiento de los casos de tuberculosis resistente a la rifampicina y/o tuberculosis multirresistente: Porcentaje de casos de tuberculosis resistente a la rifampicina y/o tuberculosis multirresistente tratados con éxito.</v>
      </c>
      <c r="K50" s="157" t="s">
        <v>2927</v>
      </c>
      <c r="L50" s="156" t="str">
        <f t="shared" si="2"/>
        <v>IOR-00124</v>
      </c>
      <c r="M50" s="156" t="s">
        <v>268</v>
      </c>
      <c r="N50" s="156" t="s">
        <v>2778</v>
      </c>
      <c r="O50" s="156"/>
      <c r="P50" s="158" t="s">
        <v>2928</v>
      </c>
      <c r="Q50" s="158" t="s">
        <v>2929</v>
      </c>
      <c r="R50" s="158" t="s">
        <v>2930</v>
      </c>
      <c r="S50" s="157"/>
      <c r="T50" s="157"/>
      <c r="U50" s="157"/>
    </row>
    <row r="51" spans="2:21" s="9" customFormat="1" x14ac:dyDescent="0.25">
      <c r="B51" s="156" t="s">
        <v>2931</v>
      </c>
      <c r="C51" s="156" t="str">
        <f>CHOOSE(Translations!$C$1+1,P51,Q51,R51)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51" s="156">
        <f>CHOOSE(Translations!$C$1+1,S51,T51,U51)</f>
        <v>0</v>
      </c>
      <c r="E51" s="156" t="s">
        <v>1414</v>
      </c>
      <c r="F51" s="156" t="str">
        <f t="array" ref="F51">IFERROR(INDEX($C$25:$C$76, MATCH(0, COUNTIF($F$24:F50, $C$25:$C$76&amp;"") + IF($C$25:$C$76="",1,0), 0)), "")</f>
        <v>TB O-9 Porcentajeo de personas con tuberculosis que han sufrido estigmatización en centros comunitarios a causa de su estado con respecto a la enfermedad que les ha impedido buscar servicios relacionados con la tuberculosis y acceder</v>
      </c>
      <c r="G51" s="156" t="s">
        <v>2932</v>
      </c>
      <c r="H51" s="156" t="str">
        <f t="array" ref="H51">IFERROR(INDEX($B$25:$B$76, MATCH(0, COUNTIF($H$24:H50, $B$25:$B$76&amp;"") + IF($B$25:$B$76="",1,0), 0)), "")</f>
        <v>IOR-00125</v>
      </c>
      <c r="I51" s="156" t="str">
        <f t="array" ref="I51">IFERROR(IF(INDEX($C$25:$C$76,MATCH(LEFT(H51,255),LEFT($B$25:$B$76,255),0))=0,"",INDEX($C$25:$C$76,MATCH(LEFT(H51,255),LEFT($B$25:$B$76,255),0))),"")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J51" s="156" t="str">
        <f t="shared" si="1"/>
        <v>TB O-5⁽ᴹ⁾ Cobertura del tratamiento de la tuberculosis: Porcentaje de casos nuevos y recaídas notificados y tratados entre el número estimado de casos incidentes de tuberculosis en el mismo año (en cualquier tipo de tuberculosis, confirmada bacteriológica</v>
      </c>
      <c r="K51" s="157" t="s">
        <v>2933</v>
      </c>
      <c r="L51" s="156" t="str">
        <f t="shared" si="2"/>
        <v>IOR-00125</v>
      </c>
      <c r="M51" s="156" t="s">
        <v>268</v>
      </c>
      <c r="N51" s="156" t="s">
        <v>2778</v>
      </c>
      <c r="O51" s="156"/>
      <c r="P51" s="158" t="s">
        <v>2934</v>
      </c>
      <c r="Q51" s="158" t="s">
        <v>2935</v>
      </c>
      <c r="R51" s="158" t="s">
        <v>2936</v>
      </c>
      <c r="S51" s="157"/>
      <c r="T51" s="157"/>
      <c r="U51" s="157"/>
    </row>
    <row r="52" spans="2:21" s="9" customFormat="1" x14ac:dyDescent="0.25">
      <c r="B52" s="156" t="s">
        <v>1899</v>
      </c>
      <c r="C52" s="156" t="str">
        <f>CHOOSE(Translations!$C$1+1,P52,Q52,R52)</f>
        <v>TB O-7 Porcentaje de personas con tuberculosis que han sufrido autoestigmatización a causa de su estado con respecto a la enfermedad que les ha impedido buscar servicios relacionados con la tuberculosis y acceder</v>
      </c>
      <c r="D52" s="156" t="str">
        <f>CHOOSE(Translations!$C$1+1,S52,T52,U52)</f>
        <v>Género</v>
      </c>
      <c r="E52" s="156" t="s">
        <v>1414</v>
      </c>
      <c r="F52" s="156" t="str">
        <f t="array" ref="F52">IFERROR(INDEX($C$25:$C$76, MATCH(0, COUNTIF($F$24:F51, $C$25:$C$76&amp;"") + IF($C$25:$C$76="",1,0), 0)), "")</f>
        <v>HSS O-5 Porcentaje de centros de establecimientos de salud con medicamentos marcadores para las tres enfermedades disponibles el día de la visita o el día de la notificación</v>
      </c>
      <c r="G52" s="156" t="s">
        <v>2937</v>
      </c>
      <c r="H52" s="156" t="str">
        <f t="array" ref="H52">IFERROR(INDEX($B$25:$B$76, MATCH(0, COUNTIF($H$24:H51, $B$25:$B$76&amp;"") + IF($B$25:$B$76="",1,0), 0)), "")</f>
        <v>IOR-00126</v>
      </c>
      <c r="I52" s="156" t="str">
        <f t="array" ref="I52">IFERROR(IF(INDEX($C$25:$C$76,MATCH(LEFT(H52,255),LEFT($B$25:$B$76,255),0))=0,"",INDEX($C$25:$C$76,MATCH(LEFT(H52,255),LEFT($B$25:$B$76,255),0))),"")</f>
        <v>TB O-7 Porcentaje de personas con tuberculosis que han sufrido autoestigmatización a causa de su estado con respecto a la enfermedad que les ha impedido buscar servicios relacionados con la tuberculosis y acceder</v>
      </c>
      <c r="J52" s="156" t="str">
        <f t="shared" si="1"/>
        <v>TB O-7 Porcentaje de personas con tuberculosis que han sufrido autoestigmatización a causa de su estado con respecto a la enfermedad que les ha impedido buscar servicios relacionados con la tuberculosis y acceder</v>
      </c>
      <c r="K52" s="157" t="s">
        <v>2938</v>
      </c>
      <c r="L52" s="156" t="str">
        <f t="shared" si="2"/>
        <v>IOR-00126</v>
      </c>
      <c r="M52" s="156" t="s">
        <v>268</v>
      </c>
      <c r="N52" s="156" t="s">
        <v>2778</v>
      </c>
      <c r="O52" s="156"/>
      <c r="P52" s="158" t="s">
        <v>1902</v>
      </c>
      <c r="Q52" s="158" t="s">
        <v>1903</v>
      </c>
      <c r="R52" s="158" t="s">
        <v>1904</v>
      </c>
      <c r="S52" s="157" t="s">
        <v>1450</v>
      </c>
      <c r="T52" s="157" t="s">
        <v>1451</v>
      </c>
      <c r="U52" s="157" t="s">
        <v>1452</v>
      </c>
    </row>
    <row r="53" spans="2:21" s="9" customFormat="1" x14ac:dyDescent="0.25">
      <c r="B53" s="156" t="s">
        <v>1907</v>
      </c>
      <c r="C53" s="156" t="str">
        <f>CHOOSE(Translations!$C$1+1,P53,Q53,R53)</f>
        <v>TB O-8 Porcentaje de personas con tuberculosis que han sufrido estigmatización en centros de atención de la salud a causa de su estado con respecto a la enfermedad que les ha impedido buscar servicios relacionados con la tuberculosis y acceder</v>
      </c>
      <c r="D53" s="156" t="str">
        <f>CHOOSE(Translations!$C$1+1,S53,T53,U53)</f>
        <v>Género</v>
      </c>
      <c r="E53" s="156" t="s">
        <v>1414</v>
      </c>
      <c r="F53" s="156" t="str">
        <f t="array" ref="F53">IFERROR(INDEX($C$25:$C$76, MATCH(0, COUNTIF($F$24:F52, $C$25:$C$76&amp;"") + IF($C$25:$C$76="",1,0), 0)), "")</f>
        <v>HSS O-6 Porcentaje de establecimientos  de salud que prestan servicios de diagnóstico el día de la evaluación</v>
      </c>
      <c r="G53" s="156" t="s">
        <v>2939</v>
      </c>
      <c r="H53" s="156" t="str">
        <f t="array" ref="H53">IFERROR(INDEX($B$25:$B$76, MATCH(0, COUNTIF($H$24:H52, $B$25:$B$76&amp;"") + IF($B$25:$B$76="",1,0), 0)), "")</f>
        <v>IOR-00127</v>
      </c>
      <c r="I53" s="156" t="str">
        <f t="array" ref="I53">IFERROR(IF(INDEX($C$25:$C$76,MATCH(LEFT(H53,255),LEFT($B$25:$B$76,255),0))=0,"",INDEX($C$25:$C$76,MATCH(LEFT(H53,255),LEFT($B$25:$B$76,255),0))),"")</f>
        <v>TB O-8 Porcentaje de personas con tuberculosis que han sufrido estigmatización en centros de atención de la salud a causa de su estado con respecto a la enfermedad que les ha impedido buscar servicios relacionados con la tuberculosis y acceder</v>
      </c>
      <c r="J53" s="156" t="str">
        <f t="shared" si="1"/>
        <v>TB O-8 Porcentaje de personas con tuberculosis que han sufrido estigmatización en centros de atención de la salud a causa de su estado con respecto a la enfermedad que les ha impedido buscar servicios relacionados con la tuberculosis y acceder</v>
      </c>
      <c r="K53" s="157" t="s">
        <v>2940</v>
      </c>
      <c r="L53" s="156" t="str">
        <f t="shared" si="2"/>
        <v>IOR-00127</v>
      </c>
      <c r="M53" s="156" t="s">
        <v>268</v>
      </c>
      <c r="N53" s="156" t="s">
        <v>2778</v>
      </c>
      <c r="O53" s="156"/>
      <c r="P53" s="158" t="s">
        <v>1910</v>
      </c>
      <c r="Q53" s="158" t="s">
        <v>1911</v>
      </c>
      <c r="R53" s="158" t="s">
        <v>1912</v>
      </c>
      <c r="S53" s="157" t="s">
        <v>1450</v>
      </c>
      <c r="T53" s="157" t="s">
        <v>1451</v>
      </c>
      <c r="U53" s="157" t="s">
        <v>1452</v>
      </c>
    </row>
    <row r="54" spans="2:21" s="9" customFormat="1" x14ac:dyDescent="0.25">
      <c r="B54" s="156" t="s">
        <v>1915</v>
      </c>
      <c r="C54" s="156" t="str">
        <f>CHOOSE(Translations!$C$1+1,P54,Q54,R54)</f>
        <v>TB O-9 Porcentajeo de personas con tuberculosis que han sufrido estigmatización en centros comunitarios a causa de su estado con respecto a la enfermedad que les ha impedido buscar servicios relacionados con la tuberculosis y acceder</v>
      </c>
      <c r="D54" s="156" t="str">
        <f>CHOOSE(Translations!$C$1+1,S54,T54,U54)</f>
        <v>Género</v>
      </c>
      <c r="E54" s="156" t="s">
        <v>1414</v>
      </c>
      <c r="F54" s="156" t="str">
        <f t="array" ref="F54">IFERROR(INDEX($C$25:$C$76, MATCH(0, COUNTIF($F$24:F53, $C$25:$C$76&amp;"") + IF($C$25:$C$76="",1,0), 0)), "")</f>
        <v>HSS O-8 Trabajadores de  salud activos por cada 10.000 habitantes</v>
      </c>
      <c r="G54" s="156" t="s">
        <v>2941</v>
      </c>
      <c r="H54" s="156" t="str">
        <f t="array" ref="H54">IFERROR(INDEX($B$25:$B$76, MATCH(0, COUNTIF($H$24:H53, $B$25:$B$76&amp;"") + IF($B$25:$B$76="",1,0), 0)), "")</f>
        <v>IOR-00128</v>
      </c>
      <c r="I54" s="156" t="str">
        <f t="array" ref="I54">IFERROR(IF(INDEX($C$25:$C$76,MATCH(LEFT(H54,255),LEFT($B$25:$B$76,255),0))=0,"",INDEX($C$25:$C$76,MATCH(LEFT(H54,255),LEFT($B$25:$B$76,255),0))),"")</f>
        <v>TB O-9 Porcentajeo de personas con tuberculosis que han sufrido estigmatización en centros comunitarios a causa de su estado con respecto a la enfermedad que les ha impedido buscar servicios relacionados con la tuberculosis y acceder</v>
      </c>
      <c r="J54" s="156" t="str">
        <f t="shared" si="1"/>
        <v>TB O-9 Porcentajeo de personas con tuberculosis que han sufrido estigmatización en centros comunitarios a causa de su estado con respecto a la enfermedad que les ha impedido buscar servicios relacionados con la tuberculosis y acceder</v>
      </c>
      <c r="K54" s="157" t="s">
        <v>2942</v>
      </c>
      <c r="L54" s="156" t="str">
        <f t="shared" si="2"/>
        <v>IOR-00128</v>
      </c>
      <c r="M54" s="156" t="s">
        <v>268</v>
      </c>
      <c r="N54" s="156" t="s">
        <v>2778</v>
      </c>
      <c r="O54" s="156"/>
      <c r="P54" s="158" t="s">
        <v>1918</v>
      </c>
      <c r="Q54" s="158" t="s">
        <v>1919</v>
      </c>
      <c r="R54" s="158" t="s">
        <v>1920</v>
      </c>
      <c r="S54" s="157" t="s">
        <v>1450</v>
      </c>
      <c r="T54" s="157" t="s">
        <v>1451</v>
      </c>
      <c r="U54" s="157" t="s">
        <v>1452</v>
      </c>
    </row>
    <row r="55" spans="2:21" s="9" customFormat="1" x14ac:dyDescent="0.25">
      <c r="B55" s="156" t="s">
        <v>2943</v>
      </c>
      <c r="C55" s="156" t="str">
        <f>CHOOSE(Translations!$C$1+1,P55,Q55,R55)</f>
        <v>HSS O-5 Porcentaje de centros de establecimientos de salud con medicamentos marcadores para las tres enfermedades disponibles el día de la visita o el día de la notificación</v>
      </c>
      <c r="D55" s="156">
        <f>CHOOSE(Translations!$C$1+1,S55,T55,U55)</f>
        <v>0</v>
      </c>
      <c r="E55" s="156" t="s">
        <v>1413</v>
      </c>
      <c r="F55" s="156" t="str">
        <f t="array" ref="F55">IFERROR(INDEX($C$25:$C$76, MATCH(0, COUNTIF($F$24:F54, $C$25:$C$76&amp;"") + IF($C$25:$C$76="",1,0), 0)), "")</f>
        <v>HSS O-9 Porcentaje de clientes prenatales con primera visita antes de las 12 semanas</v>
      </c>
      <c r="G55" s="156" t="s">
        <v>2944</v>
      </c>
      <c r="H55" s="156" t="str">
        <f t="array" ref="H55">IFERROR(INDEX($B$25:$B$76, MATCH(0, COUNTIF($H$24:H54, $B$25:$B$76&amp;"") + IF($B$25:$B$76="",1,0), 0)), "")</f>
        <v>IOR-00137</v>
      </c>
      <c r="I55" s="156" t="str">
        <f t="array" ref="I55">IFERROR(IF(INDEX($C$25:$C$76,MATCH(LEFT(H55,255),LEFT($B$25:$B$76,255),0))=0,"",INDEX($C$25:$C$76,MATCH(LEFT(H55,255),LEFT($B$25:$B$76,255),0))),"")</f>
        <v>HSS O-5 Porcentaje de centros de establecimientos de salud con medicamentos marcadores para las tres enfermedades disponibles el día de la visita o el día de la notificación</v>
      </c>
      <c r="J55" s="156" t="str">
        <f t="shared" si="1"/>
        <v>HSS O-5 Porcentaje de centros de establecimientos de salud con medicamentos marcadores para las tres enfermedades disponibles el día de la visita o el día de la notificación</v>
      </c>
      <c r="K55" s="157" t="s">
        <v>2945</v>
      </c>
      <c r="L55" s="156" t="str">
        <f t="shared" si="2"/>
        <v>IOR-00137</v>
      </c>
      <c r="M55" s="156" t="s">
        <v>268</v>
      </c>
      <c r="N55" s="156" t="s">
        <v>2778</v>
      </c>
      <c r="O55" s="156"/>
      <c r="P55" s="158" t="s">
        <v>2946</v>
      </c>
      <c r="Q55" s="158" t="s">
        <v>2947</v>
      </c>
      <c r="R55" s="158" t="s">
        <v>2948</v>
      </c>
      <c r="S55" s="157"/>
      <c r="T55" s="157"/>
      <c r="U55" s="157"/>
    </row>
    <row r="56" spans="2:21" s="9" customFormat="1" x14ac:dyDescent="0.25">
      <c r="B56" s="156" t="s">
        <v>2943</v>
      </c>
      <c r="C56" s="156" t="str">
        <f>CHOOSE(Translations!$C$1+1,P56,Q56,R56)</f>
        <v>HSS O-5 Porcentaje de centros de establecimientos de salud con medicamentos marcadores para las tres enfermedades disponibles el día de la visita o el día de la notificación</v>
      </c>
      <c r="D56" s="156">
        <f>CHOOSE(Translations!$C$1+1,S56,T56,U56)</f>
        <v>0</v>
      </c>
      <c r="E56" s="156" t="s">
        <v>1414</v>
      </c>
      <c r="F56" s="156" t="str">
        <f t="array" ref="F56">IFERROR(INDEX($C$25:$C$76, MATCH(0, COUNTIF($F$24:F55, $C$25:$C$76&amp;"") + IF($C$25:$C$76="",1,0), 0)), "")</f>
        <v>HSS O-10 Proporción de población con importantes gastos en salud en el hogar como parte de los gastos o ingresos totales del hogar (gastos catastróficos en salud)</v>
      </c>
      <c r="G56" s="156" t="s">
        <v>2944</v>
      </c>
      <c r="H56" s="156" t="str">
        <f t="array" ref="H56">IFERROR(INDEX($B$25:$B$76, MATCH(0, COUNTIF($H$24:H55, $B$25:$B$76&amp;"") + IF($B$25:$B$76="",1,0), 0)), "")</f>
        <v>IOR-00138</v>
      </c>
      <c r="I56" s="156" t="str">
        <f t="array" ref="I56">IFERROR(IF(INDEX($C$25:$C$76,MATCH(LEFT(H56,255),LEFT($B$25:$B$76,255),0))=0,"",INDEX($C$25:$C$76,MATCH(LEFT(H56,255),LEFT($B$25:$B$76,255),0))),"")</f>
        <v>HSS O-6 Porcentaje de establecimientos  de salud que prestan servicios de diagnóstico el día de la evaluación</v>
      </c>
      <c r="J56" s="156" t="str">
        <f t="shared" si="1"/>
        <v>HSS O-5 Porcentaje de centros de establecimientos de salud con medicamentos marcadores para las tres enfermedades disponibles el día de la visita o el día de la notificación</v>
      </c>
      <c r="K56" s="157" t="s">
        <v>2949</v>
      </c>
      <c r="L56" s="156" t="str">
        <f t="shared" si="2"/>
        <v>IOR-00137</v>
      </c>
      <c r="M56" s="156" t="s">
        <v>268</v>
      </c>
      <c r="N56" s="156" t="s">
        <v>2778</v>
      </c>
      <c r="O56" s="156"/>
      <c r="P56" s="158" t="s">
        <v>2946</v>
      </c>
      <c r="Q56" s="158" t="s">
        <v>2947</v>
      </c>
      <c r="R56" s="158" t="s">
        <v>2948</v>
      </c>
      <c r="S56" s="157"/>
      <c r="T56" s="157"/>
      <c r="U56" s="157"/>
    </row>
    <row r="57" spans="2:21" s="9" customFormat="1" x14ac:dyDescent="0.25">
      <c r="B57" s="156" t="s">
        <v>2943</v>
      </c>
      <c r="C57" s="156" t="str">
        <f>CHOOSE(Translations!$C$1+1,P57,Q57,R57)</f>
        <v>HSS O-5 Porcentaje de centros de establecimientos de salud con medicamentos marcadores para las tres enfermedades disponibles el día de la visita o el día de la notificación</v>
      </c>
      <c r="D57" s="156">
        <f>CHOOSE(Translations!$C$1+1,S57,T57,U57)</f>
        <v>0</v>
      </c>
      <c r="E57" s="156" t="s">
        <v>274</v>
      </c>
      <c r="F57" s="156" t="str">
        <f t="array" ref="F57">IFERROR(INDEX($C$25:$C$76, MATCH(0, COUNTIF($F$24:F56, $C$25:$C$76&amp;"") + IF($C$25:$C$76="",1,0), 0)), "")</f>
        <v/>
      </c>
      <c r="G57" s="156" t="s">
        <v>2944</v>
      </c>
      <c r="H57" s="156" t="str">
        <f t="array" ref="H57">IFERROR(INDEX($B$25:$B$76, MATCH(0, COUNTIF($H$24:H56, $B$25:$B$76&amp;"") + IF($B$25:$B$76="",1,0), 0)), "")</f>
        <v>IOR-00139</v>
      </c>
      <c r="I57" s="156" t="str">
        <f t="array" ref="I57">IFERROR(IF(INDEX($C$25:$C$76,MATCH(LEFT(H57,255),LEFT($B$25:$B$76,255),0))=0,"",INDEX($C$25:$C$76,MATCH(LEFT(H57,255),LEFT($B$25:$B$76,255),0))),"")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J57" s="156" t="str">
        <f t="shared" si="1"/>
        <v>HSS O-5 Porcentaje de centros de establecimientos de salud con medicamentos marcadores para las tres enfermedades disponibles el día de la visita o el día de la notificación</v>
      </c>
      <c r="K57" s="157" t="s">
        <v>2950</v>
      </c>
      <c r="L57" s="156" t="str">
        <f t="shared" si="2"/>
        <v>IOR-00137</v>
      </c>
      <c r="M57" s="156" t="s">
        <v>268</v>
      </c>
      <c r="N57" s="156" t="s">
        <v>2778</v>
      </c>
      <c r="O57" s="156"/>
      <c r="P57" s="158" t="s">
        <v>2946</v>
      </c>
      <c r="Q57" s="158" t="s">
        <v>2947</v>
      </c>
      <c r="R57" s="158" t="s">
        <v>2948</v>
      </c>
      <c r="S57" s="157"/>
      <c r="T57" s="157"/>
      <c r="U57" s="157"/>
    </row>
    <row r="58" spans="2:21" s="9" customFormat="1" x14ac:dyDescent="0.25">
      <c r="B58" s="156" t="s">
        <v>2951</v>
      </c>
      <c r="C58" s="156" t="str">
        <f>CHOOSE(Translations!$C$1+1,P58,Q58,R58)</f>
        <v>HSS O-6 Porcentaje de establecimientos  de salud que prestan servicios de diagnóstico el día de la evaluación</v>
      </c>
      <c r="D58" s="156">
        <f>CHOOSE(Translations!$C$1+1,S58,T58,U58)</f>
        <v>0</v>
      </c>
      <c r="E58" s="156" t="s">
        <v>1413</v>
      </c>
      <c r="F58" s="156" t="str">
        <f t="array" ref="F58">IFERROR(INDEX($C$25:$C$76, MATCH(0, COUNTIF($F$24:F57, $C$25:$C$76&amp;"") + IF($C$25:$C$76="",1,0), 0)), "")</f>
        <v/>
      </c>
      <c r="G58" s="156" t="s">
        <v>2952</v>
      </c>
      <c r="H58" s="156" t="str">
        <f t="array" ref="H58">IFERROR(INDEX($B$25:$B$76, MATCH(0, COUNTIF($H$24:H57, $B$25:$B$76&amp;"") + IF($B$25:$B$76="",1,0), 0)), "")</f>
        <v>IOR-00140</v>
      </c>
      <c r="I58" s="156" t="str">
        <f t="array" ref="I58">IFERROR(IF(INDEX($C$25:$C$76,MATCH(LEFT(H58,255),LEFT($B$25:$B$76,255),0))=0,"",INDEX($C$25:$C$76,MATCH(LEFT(H58,255),LEFT($B$25:$B$76,255),0))),"")</f>
        <v>HSS O-8 Trabajadores de  salud activos por cada 10.000 habitantes</v>
      </c>
      <c r="J58" s="156" t="str">
        <f t="shared" si="1"/>
        <v>HSS O-6 Porcentaje de establecimientos  de salud que prestan servicios de diagnóstico el día de la evaluación</v>
      </c>
      <c r="K58" s="157" t="s">
        <v>2953</v>
      </c>
      <c r="L58" s="156" t="str">
        <f t="shared" si="2"/>
        <v>IOR-00138</v>
      </c>
      <c r="M58" s="156" t="s">
        <v>268</v>
      </c>
      <c r="N58" s="156" t="s">
        <v>2778</v>
      </c>
      <c r="O58" s="156"/>
      <c r="P58" s="158" t="s">
        <v>2954</v>
      </c>
      <c r="Q58" s="158" t="s">
        <v>2955</v>
      </c>
      <c r="R58" s="158" t="s">
        <v>2956</v>
      </c>
      <c r="S58" s="157"/>
      <c r="T58" s="157"/>
      <c r="U58" s="157"/>
    </row>
    <row r="59" spans="2:21" s="9" customFormat="1" x14ac:dyDescent="0.25">
      <c r="B59" s="156" t="s">
        <v>2951</v>
      </c>
      <c r="C59" s="156" t="str">
        <f>CHOOSE(Translations!$C$1+1,P59,Q59,R59)</f>
        <v>HSS O-6 Porcentaje de establecimientos  de salud que prestan servicios de diagnóstico el día de la evaluación</v>
      </c>
      <c r="D59" s="156">
        <f>CHOOSE(Translations!$C$1+1,S59,T59,U59)</f>
        <v>0</v>
      </c>
      <c r="E59" s="156" t="s">
        <v>1414</v>
      </c>
      <c r="F59" s="156" t="str">
        <f t="array" ref="F59">IFERROR(INDEX($C$25:$C$76, MATCH(0, COUNTIF($F$24:F58, $C$25:$C$76&amp;"") + IF($C$25:$C$76="",1,0), 0)), "")</f>
        <v/>
      </c>
      <c r="G59" s="156" t="s">
        <v>2952</v>
      </c>
      <c r="H59" s="156" t="str">
        <f t="array" ref="H59">IFERROR(INDEX($B$25:$B$76, MATCH(0, COUNTIF($H$24:H58, $B$25:$B$76&amp;"") + IF($B$25:$B$76="",1,0), 0)), "")</f>
        <v>IOR-00141</v>
      </c>
      <c r="I59" s="156" t="str">
        <f t="array" ref="I59">IFERROR(IF(INDEX($C$25:$C$76,MATCH(LEFT(H59,255),LEFT($B$25:$B$76,255),0))=0,"",INDEX($C$25:$C$76,MATCH(LEFT(H59,255),LEFT($B$25:$B$76,255),0))),"")</f>
        <v>HSS O-9 Porcentaje de clientes prenatales con primera visita antes de las 12 semanas</v>
      </c>
      <c r="J59" s="156" t="str">
        <f t="shared" si="1"/>
        <v>HSS O-6 Porcentaje de establecimientos  de salud que prestan servicios de diagnóstico el día de la evaluación</v>
      </c>
      <c r="K59" s="157" t="s">
        <v>2957</v>
      </c>
      <c r="L59" s="156" t="str">
        <f t="shared" si="2"/>
        <v>IOR-00138</v>
      </c>
      <c r="M59" s="156" t="s">
        <v>268</v>
      </c>
      <c r="N59" s="156" t="s">
        <v>2778</v>
      </c>
      <c r="O59" s="156"/>
      <c r="P59" s="158" t="s">
        <v>2954</v>
      </c>
      <c r="Q59" s="158" t="s">
        <v>2955</v>
      </c>
      <c r="R59" s="158" t="s">
        <v>2956</v>
      </c>
      <c r="S59" s="157"/>
      <c r="T59" s="157"/>
      <c r="U59" s="157"/>
    </row>
    <row r="60" spans="2:21" s="9" customFormat="1" x14ac:dyDescent="0.25">
      <c r="B60" s="156" t="s">
        <v>2951</v>
      </c>
      <c r="C60" s="156" t="str">
        <f>CHOOSE(Translations!$C$1+1,P60,Q60,R60)</f>
        <v>HSS O-6 Porcentaje de establecimientos  de salud que prestan servicios de diagnóstico el día de la evaluación</v>
      </c>
      <c r="D60" s="156">
        <f>CHOOSE(Translations!$C$1+1,S60,T60,U60)</f>
        <v>0</v>
      </c>
      <c r="E60" s="156" t="s">
        <v>274</v>
      </c>
      <c r="F60" s="156" t="str">
        <f t="array" ref="F60">IFERROR(INDEX($C$25:$C$76, MATCH(0, COUNTIF($F$24:F59, $C$25:$C$76&amp;"") + IF($C$25:$C$76="",1,0), 0)), "")</f>
        <v/>
      </c>
      <c r="G60" s="156" t="s">
        <v>2952</v>
      </c>
      <c r="H60" s="156" t="str">
        <f t="array" ref="H60">IFERROR(INDEX($B$25:$B$76, MATCH(0, COUNTIF($H$24:H59, $B$25:$B$76&amp;"") + IF($B$25:$B$76="",1,0), 0)), "")</f>
        <v>IOR-00142</v>
      </c>
      <c r="I60" s="156" t="str">
        <f t="array" ref="I60">IFERROR(IF(INDEX($C$25:$C$76,MATCH(LEFT(H60,255),LEFT($B$25:$B$76,255),0))=0,"",INDEX($C$25:$C$76,MATCH(LEFT(H60,255),LEFT($B$25:$B$76,255),0))),"")</f>
        <v>HSS O-10 Proporción de población con importantes gastos en salud en el hogar como parte de los gastos o ingresos totales del hogar (gastos catastróficos en salud)</v>
      </c>
      <c r="J60" s="156" t="str">
        <f t="shared" si="1"/>
        <v>HSS O-6 Porcentaje de establecimientos  de salud que prestan servicios de diagnóstico el día de la evaluación</v>
      </c>
      <c r="K60" s="157" t="s">
        <v>2958</v>
      </c>
      <c r="L60" s="156" t="str">
        <f t="shared" si="2"/>
        <v>IOR-00138</v>
      </c>
      <c r="M60" s="156" t="s">
        <v>268</v>
      </c>
      <c r="N60" s="156" t="s">
        <v>2778</v>
      </c>
      <c r="O60" s="156"/>
      <c r="P60" s="158" t="s">
        <v>2954</v>
      </c>
      <c r="Q60" s="158" t="s">
        <v>2955</v>
      </c>
      <c r="R60" s="158" t="s">
        <v>2956</v>
      </c>
      <c r="S60" s="157"/>
      <c r="T60" s="157"/>
      <c r="U60" s="157"/>
    </row>
    <row r="61" spans="2:21" s="9" customFormat="1" x14ac:dyDescent="0.25">
      <c r="B61" s="156" t="s">
        <v>2959</v>
      </c>
      <c r="C61" s="156" t="str">
        <f>CHOOSE(Translations!$C$1+1,P61,Q61,R61)</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1" s="156">
        <f>CHOOSE(Translations!$C$1+1,S61,T61,U61)</f>
        <v>0</v>
      </c>
      <c r="E61" s="156" t="s">
        <v>1413</v>
      </c>
      <c r="F61" s="156" t="str">
        <f t="array" ref="F61">IFERROR(INDEX($C$25:$C$76, MATCH(0, COUNTIF($F$24:F60, $C$25:$C$76&amp;"") + IF($C$25:$C$76="",1,0), 0)), "")</f>
        <v/>
      </c>
      <c r="G61" s="156" t="s">
        <v>2960</v>
      </c>
      <c r="H61" s="156" t="str">
        <f t="array" ref="H61">IFERROR(INDEX($B$25:$B$76, MATCH(0, COUNTIF($H$24:H60, $B$25:$B$76&amp;"") + IF($B$25:$B$76="",1,0), 0)), "")</f>
        <v/>
      </c>
      <c r="I61" s="156" t="str">
        <f t="array" ref="I61">IFERROR(IF(INDEX($C$25:$C$76,MATCH(LEFT(H61,255),LEFT($B$25:$B$76,255),0))=0,"",INDEX($C$25:$C$76,MATCH(LEFT(H61,255),LEFT($B$25:$B$76,255),0))),"")</f>
        <v/>
      </c>
      <c r="J61"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61" s="157" t="s">
        <v>2961</v>
      </c>
      <c r="L61" s="156" t="str">
        <f t="shared" si="2"/>
        <v>IOR-00139</v>
      </c>
      <c r="M61" s="156" t="s">
        <v>268</v>
      </c>
      <c r="N61" s="156" t="s">
        <v>2778</v>
      </c>
      <c r="O61" s="156"/>
      <c r="P61" s="158" t="s">
        <v>2962</v>
      </c>
      <c r="Q61" s="158" t="s">
        <v>2963</v>
      </c>
      <c r="R61" s="158" t="s">
        <v>2964</v>
      </c>
      <c r="S61" s="157"/>
      <c r="T61" s="157"/>
      <c r="U61" s="157"/>
    </row>
    <row r="62" spans="2:21" s="9" customFormat="1" x14ac:dyDescent="0.25">
      <c r="B62" s="156" t="s">
        <v>2959</v>
      </c>
      <c r="C62" s="156" t="str">
        <f>CHOOSE(Translations!$C$1+1,P62,Q62,R62)</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2" s="156">
        <f>CHOOSE(Translations!$C$1+1,S62,T62,U62)</f>
        <v>0</v>
      </c>
      <c r="E62" s="156" t="s">
        <v>1414</v>
      </c>
      <c r="F62" s="156" t="str">
        <f t="array" ref="F62">IFERROR(INDEX($C$25:$C$76, MATCH(0, COUNTIF($F$24:F61, $C$25:$C$76&amp;"") + IF($C$25:$C$76="",1,0), 0)), "")</f>
        <v/>
      </c>
      <c r="G62" s="156" t="s">
        <v>2960</v>
      </c>
      <c r="H62" s="156" t="str">
        <f t="array" ref="H62">IFERROR(INDEX($B$25:$B$76, MATCH(0, COUNTIF($H$24:H61, $B$25:$B$76&amp;"") + IF($B$25:$B$76="",1,0), 0)), "")</f>
        <v/>
      </c>
      <c r="I62" s="156" t="str">
        <f t="array" ref="I62">IFERROR(IF(INDEX($C$25:$C$76,MATCH(LEFT(H62,255),LEFT($B$25:$B$76,255),0))=0,"",INDEX($C$25:$C$76,MATCH(LEFT(H62,255),LEFT($B$25:$B$76,255),0))),"")</f>
        <v/>
      </c>
      <c r="J62"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62" s="157" t="s">
        <v>2965</v>
      </c>
      <c r="L62" s="156" t="str">
        <f t="shared" si="2"/>
        <v>IOR-00139</v>
      </c>
      <c r="M62" s="156" t="s">
        <v>268</v>
      </c>
      <c r="N62" s="156" t="s">
        <v>2778</v>
      </c>
      <c r="O62" s="156"/>
      <c r="P62" s="158" t="s">
        <v>2962</v>
      </c>
      <c r="Q62" s="158" t="s">
        <v>2963</v>
      </c>
      <c r="R62" s="158" t="s">
        <v>2964</v>
      </c>
      <c r="S62" s="157"/>
      <c r="T62" s="157"/>
      <c r="U62" s="157"/>
    </row>
    <row r="63" spans="2:21" s="9" customFormat="1" x14ac:dyDescent="0.25">
      <c r="B63" s="156" t="s">
        <v>2959</v>
      </c>
      <c r="C63" s="156" t="str">
        <f>CHOOSE(Translations!$C$1+1,P63,Q63,R63)</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3" s="156">
        <f>CHOOSE(Translations!$C$1+1,S63,T63,U63)</f>
        <v>0</v>
      </c>
      <c r="E63" s="156" t="s">
        <v>274</v>
      </c>
      <c r="F63" s="156" t="str">
        <f t="array" ref="F63">IFERROR(INDEX($C$25:$C$76, MATCH(0, COUNTIF($F$24:F62, $C$25:$C$76&amp;"") + IF($C$25:$C$76="",1,0), 0)), "")</f>
        <v/>
      </c>
      <c r="G63" s="156" t="s">
        <v>2960</v>
      </c>
      <c r="H63" s="156" t="str">
        <f t="array" ref="H63">IFERROR(INDEX($B$25:$B$76, MATCH(0, COUNTIF($H$24:H62, $B$25:$B$76&amp;"") + IF($B$25:$B$76="",1,0), 0)), "")</f>
        <v/>
      </c>
      <c r="I63" s="156" t="str">
        <f t="array" ref="I63">IFERROR(IF(INDEX($C$25:$C$76,MATCH(LEFT(H63,255),LEFT($B$25:$B$76,255),0))=0,"",INDEX($C$25:$C$76,MATCH(LEFT(H63,255),LEFT($B$25:$B$76,255),0))),"")</f>
        <v/>
      </c>
      <c r="J63"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63" s="157" t="s">
        <v>2966</v>
      </c>
      <c r="L63" s="156" t="str">
        <f t="shared" si="2"/>
        <v>IOR-00139</v>
      </c>
      <c r="M63" s="156" t="s">
        <v>268</v>
      </c>
      <c r="N63" s="156" t="s">
        <v>2778</v>
      </c>
      <c r="O63" s="156"/>
      <c r="P63" s="158" t="s">
        <v>2962</v>
      </c>
      <c r="Q63" s="158" t="s">
        <v>2963</v>
      </c>
      <c r="R63" s="158" t="s">
        <v>2964</v>
      </c>
      <c r="S63" s="157"/>
      <c r="T63" s="157"/>
      <c r="U63" s="157"/>
    </row>
    <row r="64" spans="2:21" s="9" customFormat="1" x14ac:dyDescent="0.25">
      <c r="B64" s="156" t="s">
        <v>1954</v>
      </c>
      <c r="C64" s="156" t="str">
        <f>CHOOSE(Translations!$C$1+1,P64,Q64,R64)</f>
        <v>HSS O-8 Trabajadores de  salud activos por cada 10.000 habitantes</v>
      </c>
      <c r="D64" s="156" t="str">
        <f>CHOOSE(Translations!$C$1+1,S64,T64,U64)</f>
        <v>Grupo de ocupación</v>
      </c>
      <c r="E64" s="156" t="s">
        <v>1413</v>
      </c>
      <c r="F64" s="156" t="str">
        <f t="array" ref="F64">IFERROR(INDEX($C$25:$C$76, MATCH(0, COUNTIF($F$24:F63, $C$25:$C$76&amp;"") + IF($C$25:$C$76="",1,0), 0)), "")</f>
        <v/>
      </c>
      <c r="G64" s="156" t="s">
        <v>2967</v>
      </c>
      <c r="H64" s="156" t="str">
        <f t="array" ref="H64">IFERROR(INDEX($B$25:$B$76, MATCH(0, COUNTIF($H$24:H63, $B$25:$B$76&amp;"") + IF($B$25:$B$76="",1,0), 0)), "")</f>
        <v/>
      </c>
      <c r="I64" s="156" t="str">
        <f t="array" ref="I64">IFERROR(IF(INDEX($C$25:$C$76,MATCH(LEFT(H64,255),LEFT($B$25:$B$76,255),0))=0,"",INDEX($C$25:$C$76,MATCH(LEFT(H64,255),LEFT($B$25:$B$76,255),0))),"")</f>
        <v/>
      </c>
      <c r="J64" s="156" t="str">
        <f t="shared" si="1"/>
        <v>HSS O-8 Trabajadores de  salud activos por cada 10.000 habitantes</v>
      </c>
      <c r="K64" s="157" t="s">
        <v>2968</v>
      </c>
      <c r="L64" s="156" t="str">
        <f t="shared" si="2"/>
        <v>IOR-00140</v>
      </c>
      <c r="M64" s="156" t="s">
        <v>268</v>
      </c>
      <c r="N64" s="156" t="s">
        <v>2778</v>
      </c>
      <c r="O64" s="156"/>
      <c r="P64" s="158" t="s">
        <v>1963</v>
      </c>
      <c r="Q64" s="158" t="s">
        <v>1964</v>
      </c>
      <c r="R64" s="158" t="s">
        <v>1965</v>
      </c>
      <c r="S64" s="157" t="s">
        <v>1957</v>
      </c>
      <c r="T64" s="157" t="s">
        <v>1958</v>
      </c>
      <c r="U64" s="157" t="s">
        <v>1959</v>
      </c>
    </row>
    <row r="65" spans="1:21" s="9" customFormat="1" x14ac:dyDescent="0.25">
      <c r="B65" s="156" t="s">
        <v>1954</v>
      </c>
      <c r="C65" s="156" t="str">
        <f>CHOOSE(Translations!$C$1+1,P65,Q65,R65)</f>
        <v>HSS O-8 Trabajadores de  salud activos por cada 10.000 habitantes</v>
      </c>
      <c r="D65" s="156" t="str">
        <f>CHOOSE(Translations!$C$1+1,S65,T65,U65)</f>
        <v>Grupo de ocupación</v>
      </c>
      <c r="E65" s="156" t="s">
        <v>1414</v>
      </c>
      <c r="F65" s="156" t="str">
        <f t="array" ref="F65">IFERROR(INDEX($C$25:$C$76, MATCH(0, COUNTIF($F$24:F64, $C$25:$C$76&amp;"") + IF($C$25:$C$76="",1,0), 0)), "")</f>
        <v/>
      </c>
      <c r="G65" s="156" t="s">
        <v>2967</v>
      </c>
      <c r="H65" s="156" t="str">
        <f t="array" ref="H65">IFERROR(INDEX($B$25:$B$76, MATCH(0, COUNTIF($H$24:H64, $B$25:$B$76&amp;"") + IF($B$25:$B$76="",1,0), 0)), "")</f>
        <v/>
      </c>
      <c r="I65" s="156" t="str">
        <f t="array" ref="I65">IFERROR(IF(INDEX($C$25:$C$76,MATCH(LEFT(H65,255),LEFT($B$25:$B$76,255),0))=0,"",INDEX($C$25:$C$76,MATCH(LEFT(H65,255),LEFT($B$25:$B$76,255),0))),"")</f>
        <v/>
      </c>
      <c r="J65" s="156" t="str">
        <f t="shared" si="1"/>
        <v>HSS O-8 Trabajadores de  salud activos por cada 10.000 habitantes</v>
      </c>
      <c r="K65" s="157" t="s">
        <v>2969</v>
      </c>
      <c r="L65" s="156" t="str">
        <f t="shared" si="2"/>
        <v>IOR-00140</v>
      </c>
      <c r="M65" s="156" t="s">
        <v>268</v>
      </c>
      <c r="N65" s="156" t="s">
        <v>2778</v>
      </c>
      <c r="O65" s="156"/>
      <c r="P65" s="158" t="s">
        <v>1963</v>
      </c>
      <c r="Q65" s="158" t="s">
        <v>1964</v>
      </c>
      <c r="R65" s="158" t="s">
        <v>1965</v>
      </c>
      <c r="S65" s="157" t="s">
        <v>1957</v>
      </c>
      <c r="T65" s="157" t="s">
        <v>1958</v>
      </c>
      <c r="U65" s="157" t="s">
        <v>1959</v>
      </c>
    </row>
    <row r="66" spans="1:21" s="9" customFormat="1" x14ac:dyDescent="0.25">
      <c r="B66" s="156" t="s">
        <v>1954</v>
      </c>
      <c r="C66" s="156" t="str">
        <f>CHOOSE(Translations!$C$1+1,P66,Q66,R66)</f>
        <v>HSS O-8 Trabajadores de  salud activos por cada 10.000 habitantes</v>
      </c>
      <c r="D66" s="156" t="str">
        <f>CHOOSE(Translations!$C$1+1,S66,T66,U66)</f>
        <v>Grupo de ocupación</v>
      </c>
      <c r="E66" s="156" t="s">
        <v>274</v>
      </c>
      <c r="F66" s="156" t="str">
        <f t="array" ref="F66">IFERROR(INDEX($C$25:$C$76, MATCH(0, COUNTIF($F$24:F65, $C$25:$C$76&amp;"") + IF($C$25:$C$76="",1,0), 0)), "")</f>
        <v/>
      </c>
      <c r="G66" s="156" t="s">
        <v>2967</v>
      </c>
      <c r="H66" s="156" t="str">
        <f t="array" ref="H66">IFERROR(INDEX($B$25:$B$76, MATCH(0, COUNTIF($H$24:H65, $B$25:$B$76&amp;"") + IF($B$25:$B$76="",1,0), 0)), "")</f>
        <v/>
      </c>
      <c r="I66" s="156" t="str">
        <f t="array" ref="I66">IFERROR(IF(INDEX($C$25:$C$76,MATCH(LEFT(H66,255),LEFT($B$25:$B$76,255),0))=0,"",INDEX($C$25:$C$76,MATCH(LEFT(H66,255),LEFT($B$25:$B$76,255),0))),"")</f>
        <v/>
      </c>
      <c r="J66" s="156" t="str">
        <f t="shared" si="1"/>
        <v>HSS O-8 Trabajadores de  salud activos por cada 10.000 habitantes</v>
      </c>
      <c r="K66" s="157" t="s">
        <v>2970</v>
      </c>
      <c r="L66" s="156" t="str">
        <f t="shared" si="2"/>
        <v>IOR-00140</v>
      </c>
      <c r="M66" s="156" t="s">
        <v>268</v>
      </c>
      <c r="N66" s="156" t="s">
        <v>2778</v>
      </c>
      <c r="O66" s="156"/>
      <c r="P66" s="158" t="s">
        <v>1963</v>
      </c>
      <c r="Q66" s="158" t="s">
        <v>1964</v>
      </c>
      <c r="R66" s="158" t="s">
        <v>1965</v>
      </c>
      <c r="S66" s="157" t="s">
        <v>1957</v>
      </c>
      <c r="T66" s="157" t="s">
        <v>1958</v>
      </c>
      <c r="U66" s="157" t="s">
        <v>1959</v>
      </c>
    </row>
    <row r="67" spans="1:21" s="9" customFormat="1" x14ac:dyDescent="0.25">
      <c r="B67" s="156" t="s">
        <v>1986</v>
      </c>
      <c r="C67" s="156" t="str">
        <f>CHOOSE(Translations!$C$1+1,P67,Q67,R67)</f>
        <v>HSS O-9 Porcentaje de clientes prenatales con primera visita antes de las 12 semanas</v>
      </c>
      <c r="D67" s="156" t="str">
        <f>CHOOSE(Translations!$C$1+1,S67,T67,U67)</f>
        <v>Edad</v>
      </c>
      <c r="E67" s="156" t="s">
        <v>1413</v>
      </c>
      <c r="F67" s="156" t="str">
        <f t="array" ref="F67">IFERROR(INDEX($C$25:$C$76, MATCH(0, COUNTIF($F$24:F66, $C$25:$C$76&amp;"") + IF($C$25:$C$76="",1,0), 0)), "")</f>
        <v/>
      </c>
      <c r="G67" s="156" t="s">
        <v>2971</v>
      </c>
      <c r="H67" s="156" t="str">
        <f t="array" ref="H67">IFERROR(INDEX($B$25:$B$76, MATCH(0, COUNTIF($H$24:H66, $B$25:$B$76&amp;"") + IF($B$25:$B$76="",1,0), 0)), "")</f>
        <v/>
      </c>
      <c r="I67" s="156" t="str">
        <f t="array" ref="I67">IFERROR(IF(INDEX($C$25:$C$76,MATCH(LEFT(H67,255),LEFT($B$25:$B$76,255),0))=0,"",INDEX($C$25:$C$76,MATCH(LEFT(H67,255),LEFT($B$25:$B$76,255),0))),"")</f>
        <v/>
      </c>
      <c r="J67" s="156" t="str">
        <f t="shared" si="1"/>
        <v>HSS O-9 Porcentaje de clientes prenatales con primera visita antes de las 12 semanas</v>
      </c>
      <c r="K67" s="157" t="s">
        <v>2972</v>
      </c>
      <c r="L67" s="156" t="str">
        <f t="shared" si="2"/>
        <v>IOR-00141</v>
      </c>
      <c r="M67" s="156" t="s">
        <v>268</v>
      </c>
      <c r="N67" s="156" t="s">
        <v>2778</v>
      </c>
      <c r="O67" s="156"/>
      <c r="P67" s="158" t="s">
        <v>1989</v>
      </c>
      <c r="Q67" s="158" t="s">
        <v>1990</v>
      </c>
      <c r="R67" s="158" t="s">
        <v>1991</v>
      </c>
      <c r="S67" s="157" t="s">
        <v>1463</v>
      </c>
      <c r="T67" s="157" t="s">
        <v>1463</v>
      </c>
      <c r="U67" s="157" t="s">
        <v>1464</v>
      </c>
    </row>
    <row r="68" spans="1:21" s="9" customFormat="1" x14ac:dyDescent="0.25">
      <c r="B68" s="156" t="s">
        <v>1986</v>
      </c>
      <c r="C68" s="156" t="str">
        <f>CHOOSE(Translations!$C$1+1,P68,Q68,R68)</f>
        <v>HSS O-9 Porcentaje de clientes prenatales con primera visita antes de las 12 semanas</v>
      </c>
      <c r="D68" s="156" t="str">
        <f>CHOOSE(Translations!$C$1+1,S68,T68,U68)</f>
        <v>Edad</v>
      </c>
      <c r="E68" s="156" t="s">
        <v>1414</v>
      </c>
      <c r="F68" s="156" t="str">
        <f t="array" ref="F68">IFERROR(INDEX($C$25:$C$76, MATCH(0, COUNTIF($F$24:F67, $C$25:$C$76&amp;"") + IF($C$25:$C$76="",1,0), 0)), "")</f>
        <v/>
      </c>
      <c r="G68" s="156" t="s">
        <v>2971</v>
      </c>
      <c r="H68" s="156" t="str">
        <f t="array" ref="H68">IFERROR(INDEX($B$25:$B$76, MATCH(0, COUNTIF($H$24:H67, $B$25:$B$76&amp;"") + IF($B$25:$B$76="",1,0), 0)), "")</f>
        <v/>
      </c>
      <c r="I68" s="156" t="str">
        <f t="array" ref="I68">IFERROR(IF(INDEX($C$25:$C$76,MATCH(LEFT(H68,255),LEFT($B$25:$B$76,255),0))=0,"",INDEX($C$25:$C$76,MATCH(LEFT(H68,255),LEFT($B$25:$B$76,255),0))),"")</f>
        <v/>
      </c>
      <c r="J68" s="156" t="str">
        <f t="shared" si="1"/>
        <v>HSS O-9 Porcentaje de clientes prenatales con primera visita antes de las 12 semanas</v>
      </c>
      <c r="K68" s="157" t="s">
        <v>2973</v>
      </c>
      <c r="L68" s="156" t="str">
        <f t="shared" si="2"/>
        <v>IOR-00141</v>
      </c>
      <c r="M68" s="156" t="s">
        <v>268</v>
      </c>
      <c r="N68" s="156" t="s">
        <v>2778</v>
      </c>
      <c r="O68" s="156"/>
      <c r="P68" s="158" t="s">
        <v>1989</v>
      </c>
      <c r="Q68" s="158" t="s">
        <v>1990</v>
      </c>
      <c r="R68" s="158" t="s">
        <v>1991</v>
      </c>
      <c r="S68" s="157" t="s">
        <v>1463</v>
      </c>
      <c r="T68" s="157" t="s">
        <v>1463</v>
      </c>
      <c r="U68" s="157" t="s">
        <v>1464</v>
      </c>
    </row>
    <row r="69" spans="1:21" s="9" customFormat="1" x14ac:dyDescent="0.25">
      <c r="B69" s="156" t="s">
        <v>1986</v>
      </c>
      <c r="C69" s="156" t="str">
        <f>CHOOSE(Translations!$C$1+1,P69,Q69,R69)</f>
        <v>HSS O-9 Porcentaje de clientes prenatales con primera visita antes de las 12 semanas</v>
      </c>
      <c r="D69" s="156" t="str">
        <f>CHOOSE(Translations!$C$1+1,S69,T69,U69)</f>
        <v>Edad</v>
      </c>
      <c r="E69" s="156" t="s">
        <v>274</v>
      </c>
      <c r="F69" s="156" t="str">
        <f t="array" ref="F69">IFERROR(INDEX($C$25:$C$76, MATCH(0, COUNTIF($F$24:F68, $C$25:$C$76&amp;"") + IF($C$25:$C$76="",1,0), 0)), "")</f>
        <v/>
      </c>
      <c r="G69" s="156" t="s">
        <v>2971</v>
      </c>
      <c r="H69" s="156" t="str">
        <f t="array" ref="H69">IFERROR(INDEX($B$25:$B$76, MATCH(0, COUNTIF($H$24:H68, $B$25:$B$76&amp;"") + IF($B$25:$B$76="",1,0), 0)), "")</f>
        <v/>
      </c>
      <c r="I69" s="156" t="str">
        <f t="array" ref="I69">IFERROR(IF(INDEX($C$25:$C$76,MATCH(LEFT(H69,255),LEFT($B$25:$B$76,255),0))=0,"",INDEX($C$25:$C$76,MATCH(LEFT(H69,255),LEFT($B$25:$B$76,255),0))),"")</f>
        <v/>
      </c>
      <c r="J69" s="156" t="str">
        <f t="shared" si="1"/>
        <v>HSS O-9 Porcentaje de clientes prenatales con primera visita antes de las 12 semanas</v>
      </c>
      <c r="K69" s="157" t="s">
        <v>2974</v>
      </c>
      <c r="L69" s="156" t="str">
        <f t="shared" si="2"/>
        <v>IOR-00141</v>
      </c>
      <c r="M69" s="156" t="s">
        <v>268</v>
      </c>
      <c r="N69" s="156" t="s">
        <v>2778</v>
      </c>
      <c r="O69" s="156"/>
      <c r="P69" s="158" t="s">
        <v>1989</v>
      </c>
      <c r="Q69" s="158" t="s">
        <v>1990</v>
      </c>
      <c r="R69" s="158" t="s">
        <v>1991</v>
      </c>
      <c r="S69" s="157" t="s">
        <v>1463</v>
      </c>
      <c r="T69" s="157" t="s">
        <v>1463</v>
      </c>
      <c r="U69" s="157" t="s">
        <v>1464</v>
      </c>
    </row>
    <row r="70" spans="1:21" s="9" customFormat="1" x14ac:dyDescent="0.25">
      <c r="B70" s="156" t="s">
        <v>2975</v>
      </c>
      <c r="C70" s="156" t="str">
        <f>CHOOSE(Translations!$C$1+1,P70,Q70,R70)</f>
        <v>HSS O-10 Proporción de población con importantes gastos en salud en el hogar como parte de los gastos o ingresos totales del hogar (gastos catastróficos en salud)</v>
      </c>
      <c r="D70" s="156">
        <f>CHOOSE(Translations!$C$1+1,S70,T70,U70)</f>
        <v>0</v>
      </c>
      <c r="E70" s="156" t="s">
        <v>1413</v>
      </c>
      <c r="F70" s="156" t="str">
        <f t="array" ref="F70">IFERROR(INDEX($C$25:$C$76, MATCH(0, COUNTIF($F$24:F69, $C$25:$C$76&amp;"") + IF($C$25:$C$76="",1,0), 0)), "")</f>
        <v/>
      </c>
      <c r="G70" s="156" t="s">
        <v>2976</v>
      </c>
      <c r="H70" s="156" t="str">
        <f t="array" ref="H70">IFERROR(INDEX($B$25:$B$76, MATCH(0, COUNTIF($H$24:H69, $B$25:$B$76&amp;"") + IF($B$25:$B$76="",1,0), 0)), "")</f>
        <v/>
      </c>
      <c r="I70" s="156" t="str">
        <f t="array" ref="I70">IFERROR(IF(INDEX($C$25:$C$76,MATCH(LEFT(H70,255),LEFT($B$25:$B$76,255),0))=0,"",INDEX($C$25:$C$76,MATCH(LEFT(H70,255),LEFT($B$25:$B$76,255),0))),"")</f>
        <v/>
      </c>
      <c r="J70" s="156" t="str">
        <f t="shared" si="1"/>
        <v>HSS O-10 Proporción de población con importantes gastos en salud en el hogar como parte de los gastos o ingresos totales del hogar (gastos catastróficos en salud)</v>
      </c>
      <c r="K70" s="157" t="s">
        <v>2977</v>
      </c>
      <c r="L70" s="156" t="str">
        <f t="shared" si="2"/>
        <v>IOR-00142</v>
      </c>
      <c r="M70" s="156" t="s">
        <v>268</v>
      </c>
      <c r="N70" s="156" t="s">
        <v>2778</v>
      </c>
      <c r="O70" s="156"/>
      <c r="P70" s="158" t="s">
        <v>2978</v>
      </c>
      <c r="Q70" s="158" t="s">
        <v>2979</v>
      </c>
      <c r="R70" s="158" t="s">
        <v>2980</v>
      </c>
      <c r="S70" s="157"/>
      <c r="T70" s="157"/>
      <c r="U70" s="157"/>
    </row>
    <row r="71" spans="1:21" s="9" customFormat="1" x14ac:dyDescent="0.25">
      <c r="B71" s="156" t="s">
        <v>2975</v>
      </c>
      <c r="C71" s="156" t="str">
        <f>CHOOSE(Translations!$C$1+1,P71,Q71,R71)</f>
        <v>HSS O-10 Proporción de población con importantes gastos en salud en el hogar como parte de los gastos o ingresos totales del hogar (gastos catastróficos en salud)</v>
      </c>
      <c r="D71" s="156">
        <f>CHOOSE(Translations!$C$1+1,S71,T71,U71)</f>
        <v>0</v>
      </c>
      <c r="E71" s="156" t="s">
        <v>1414</v>
      </c>
      <c r="F71" s="156" t="str">
        <f t="array" ref="F71">IFERROR(INDEX($C$25:$C$76, MATCH(0, COUNTIF($F$24:F70, $C$25:$C$76&amp;"") + IF($C$25:$C$76="",1,0), 0)), "")</f>
        <v/>
      </c>
      <c r="G71" s="156" t="s">
        <v>2976</v>
      </c>
      <c r="H71" s="156" t="str">
        <f t="array" ref="H71">IFERROR(INDEX($B$25:$B$76, MATCH(0, COUNTIF($H$24:H70, $B$25:$B$76&amp;"") + IF($B$25:$B$76="",1,0), 0)), "")</f>
        <v/>
      </c>
      <c r="I71" s="156" t="str">
        <f t="array" ref="I71">IFERROR(IF(INDEX($C$25:$C$76,MATCH(LEFT(H71,255),LEFT($B$25:$B$76,255),0))=0,"",INDEX($C$25:$C$76,MATCH(LEFT(H71,255),LEFT($B$25:$B$76,255),0))),"")</f>
        <v/>
      </c>
      <c r="J71" s="156" t="str">
        <f t="shared" si="1"/>
        <v>HSS O-10 Proporción de población con importantes gastos en salud en el hogar como parte de los gastos o ingresos totales del hogar (gastos catastróficos en salud)</v>
      </c>
      <c r="K71" s="157" t="s">
        <v>2981</v>
      </c>
      <c r="L71" s="156" t="str">
        <f t="shared" si="2"/>
        <v>IOR-00142</v>
      </c>
      <c r="M71" s="156" t="s">
        <v>268</v>
      </c>
      <c r="N71" s="156" t="s">
        <v>2778</v>
      </c>
      <c r="O71" s="156"/>
      <c r="P71" s="158" t="s">
        <v>2978</v>
      </c>
      <c r="Q71" s="158" t="s">
        <v>2979</v>
      </c>
      <c r="R71" s="158" t="s">
        <v>2980</v>
      </c>
      <c r="S71" s="157"/>
      <c r="T71" s="157"/>
      <c r="U71" s="157"/>
    </row>
    <row r="72" spans="1:21" s="9" customFormat="1" x14ac:dyDescent="0.25">
      <c r="B72" s="156" t="s">
        <v>2975</v>
      </c>
      <c r="C72" s="156" t="str">
        <f>CHOOSE(Translations!$C$1+1,P72,Q72,R72)</f>
        <v>HSS O-10 Proporción de población con importantes gastos en salud en el hogar como parte de los gastos o ingresos totales del hogar (gastos catastróficos en salud)</v>
      </c>
      <c r="D72" s="156">
        <f>CHOOSE(Translations!$C$1+1,S72,T72,U72)</f>
        <v>0</v>
      </c>
      <c r="E72" s="156" t="s">
        <v>274</v>
      </c>
      <c r="F72" s="156" t="str">
        <f t="array" ref="F72">IFERROR(INDEX($C$25:$C$76, MATCH(0, COUNTIF($F$24:F71, $C$25:$C$76&amp;"") + IF($C$25:$C$76="",1,0), 0)), "")</f>
        <v/>
      </c>
      <c r="G72" s="156" t="s">
        <v>2976</v>
      </c>
      <c r="H72" s="156" t="str">
        <f t="array" ref="H72">IFERROR(INDEX($B$25:$B$76, MATCH(0, COUNTIF($H$24:H71, $B$25:$B$76&amp;"") + IF($B$25:$B$76="",1,0), 0)), "")</f>
        <v/>
      </c>
      <c r="I72" s="156" t="str">
        <f t="array" ref="I72">IFERROR(IF(INDEX($C$25:$C$76,MATCH(LEFT(H72,255),LEFT($B$25:$B$76,255),0))=0,"",INDEX($C$25:$C$76,MATCH(LEFT(H72,255),LEFT($B$25:$B$76,255),0))),"")</f>
        <v/>
      </c>
      <c r="J72" s="156" t="str">
        <f t="shared" si="1"/>
        <v>HSS O-10 Proporción de población con importantes gastos en salud en el hogar como parte de los gastos o ingresos totales del hogar (gastos catastróficos en salud)</v>
      </c>
      <c r="K72" s="157" t="s">
        <v>2982</v>
      </c>
      <c r="L72" s="156" t="str">
        <f t="shared" si="2"/>
        <v>IOR-00142</v>
      </c>
      <c r="M72" s="156" t="s">
        <v>268</v>
      </c>
      <c r="N72" s="156" t="s">
        <v>2778</v>
      </c>
      <c r="O72" s="156"/>
      <c r="P72" s="158" t="s">
        <v>2978</v>
      </c>
      <c r="Q72" s="158" t="s">
        <v>2979</v>
      </c>
      <c r="R72" s="158" t="s">
        <v>2980</v>
      </c>
      <c r="S72" s="157"/>
      <c r="T72" s="157"/>
      <c r="U72" s="157"/>
    </row>
    <row r="73" spans="1:21" s="9" customFormat="1" x14ac:dyDescent="0.25">
      <c r="B73" s="156"/>
      <c r="C73" s="158"/>
      <c r="D73" s="157"/>
      <c r="E73" s="156"/>
      <c r="F73" s="156"/>
      <c r="G73" s="156"/>
      <c r="H73" s="156"/>
      <c r="I73" s="156"/>
      <c r="J73" s="156"/>
      <c r="K73" s="157"/>
    </row>
    <row r="74" spans="1:21" s="9" customFormat="1" x14ac:dyDescent="0.25">
      <c r="B74" s="156"/>
      <c r="C74" s="158"/>
      <c r="D74" s="157"/>
      <c r="E74" s="156"/>
      <c r="F74" s="156"/>
      <c r="G74" s="156"/>
      <c r="H74" s="156"/>
      <c r="I74" s="156"/>
      <c r="J74" s="156"/>
      <c r="K74" s="157"/>
    </row>
    <row r="75" spans="1:21" s="9" customFormat="1" x14ac:dyDescent="0.25">
      <c r="B75" s="156"/>
      <c r="C75" s="158"/>
      <c r="D75" s="157"/>
      <c r="E75" s="156"/>
      <c r="F75" s="156"/>
      <c r="G75" s="156"/>
      <c r="H75" s="156"/>
      <c r="I75" s="156"/>
      <c r="J75" s="156"/>
      <c r="K75" s="157"/>
    </row>
    <row r="77" spans="1:21" ht="13" x14ac:dyDescent="0.3">
      <c r="B77" s="2" t="s">
        <v>124</v>
      </c>
    </row>
    <row r="78" spans="1:21" x14ac:dyDescent="0.25">
      <c r="A78" s="489" t="s">
        <v>1</v>
      </c>
      <c r="B78" s="490" t="s">
        <v>107</v>
      </c>
      <c r="C78" s="490" t="s">
        <v>448</v>
      </c>
      <c r="D78" s="490" t="s">
        <v>455</v>
      </c>
      <c r="E78" s="490" t="s">
        <v>103</v>
      </c>
      <c r="F78" s="490" t="s">
        <v>104</v>
      </c>
      <c r="G78" s="490" t="s">
        <v>48</v>
      </c>
      <c r="H78" s="490" t="s">
        <v>105</v>
      </c>
      <c r="I78" s="490" t="s">
        <v>285</v>
      </c>
      <c r="J78" s="490" t="s">
        <v>331</v>
      </c>
      <c r="K78" s="490" t="s">
        <v>351</v>
      </c>
      <c r="L78" s="490" t="s">
        <v>43</v>
      </c>
      <c r="M78" s="490" t="s">
        <v>446</v>
      </c>
      <c r="N78" s="490" t="s">
        <v>444</v>
      </c>
      <c r="O78" s="490" t="s">
        <v>45</v>
      </c>
      <c r="P78" s="490" t="s">
        <v>452</v>
      </c>
      <c r="Q78" s="490" t="s">
        <v>454</v>
      </c>
    </row>
    <row r="79" spans="1:21" hidden="1" x14ac:dyDescent="0.25">
      <c r="A79" s="490" t="s">
        <v>102</v>
      </c>
      <c r="B79" s="491" t="s">
        <v>79</v>
      </c>
      <c r="C79" s="492" t="str">
        <f>CHOOSE(Translations!$C$1+1,L79,M79,N79)</f>
        <v>--Select--</v>
      </c>
      <c r="D79" s="492" t="str">
        <f>CHOOSE(Translations!$C$1+1,O79,P79,Q79)</f>
        <v>[Disaggregation Categories ES]</v>
      </c>
      <c r="E79" s="490" t="str">
        <f>LEFT(C79,255)</f>
        <v>--Select--</v>
      </c>
      <c r="F79" s="491" t="str">
        <f t="shared" ref="F79:F142" si="3">B79</f>
        <v>[Name ID]</v>
      </c>
      <c r="G79" s="490" t="s">
        <v>47</v>
      </c>
      <c r="H79" s="491"/>
      <c r="I79" s="491" t="s">
        <v>284</v>
      </c>
      <c r="J79" s="491" t="s">
        <v>330</v>
      </c>
      <c r="K79" s="491" t="s">
        <v>350</v>
      </c>
      <c r="L79" s="493" t="s">
        <v>52</v>
      </c>
      <c r="M79" s="493" t="s">
        <v>52</v>
      </c>
      <c r="N79" s="493" t="s">
        <v>52</v>
      </c>
      <c r="O79" s="491" t="s">
        <v>44</v>
      </c>
      <c r="P79" s="491" t="s">
        <v>451</v>
      </c>
      <c r="Q79" s="491" t="s">
        <v>453</v>
      </c>
    </row>
    <row r="80" spans="1:21" s="9" customFormat="1" x14ac:dyDescent="0.25">
      <c r="A80" s="490" t="s">
        <v>1156</v>
      </c>
      <c r="B80" s="491" t="s">
        <v>1995</v>
      </c>
      <c r="C80" s="492" t="str">
        <f>CHOOSE(Translations!$C$1+1,L80,M80,N80)</f>
        <v>KP-1a⁽ᴹ⁾ Porcentaje de HSH alcanzados por programas de prevención del VIH - paquete definido de servicios</v>
      </c>
      <c r="D80" s="492" t="str">
        <f>CHOOSE(Translations!$C$1+1,O80,P80,Q80)</f>
        <v>Edad</v>
      </c>
      <c r="E80" s="490" t="str">
        <f t="shared" ref="E80:E143" si="4">LEFT(C80,255)</f>
        <v>KP-1a⁽ᴹ⁾ Porcentaje de HSH alcanzados por programas de prevención del VIH - paquete definido de servicios</v>
      </c>
      <c r="F80" s="491" t="str">
        <f t="shared" si="3"/>
        <v>MCI-01045</v>
      </c>
      <c r="G80" s="490" t="s">
        <v>3153</v>
      </c>
      <c r="H80" s="491"/>
      <c r="I80" s="491" t="s">
        <v>2778</v>
      </c>
      <c r="J80" s="491" t="s">
        <v>3154</v>
      </c>
      <c r="K80" s="491" t="s">
        <v>3155</v>
      </c>
      <c r="L80" s="493" t="s">
        <v>1998</v>
      </c>
      <c r="M80" s="493" t="s">
        <v>1999</v>
      </c>
      <c r="N80" s="493" t="s">
        <v>2000</v>
      </c>
      <c r="O80" s="491" t="s">
        <v>1463</v>
      </c>
      <c r="P80" s="491" t="s">
        <v>1463</v>
      </c>
      <c r="Q80" s="491" t="s">
        <v>1464</v>
      </c>
    </row>
    <row r="81" spans="1:17" s="9" customFormat="1" x14ac:dyDescent="0.25">
      <c r="A81" s="490" t="s">
        <v>1156</v>
      </c>
      <c r="B81" s="491" t="s">
        <v>2003</v>
      </c>
      <c r="C81" s="492" t="str">
        <f>CHOOSE(Translations!$C$1+1,L81,M81,N81)</f>
        <v>KP-1b⁽ᴹ⁾ Porcentaje de personas transgénero alcanzados por programas de prevención del VIH - paquete definido de servicios</v>
      </c>
      <c r="D81" s="492" t="str">
        <f>CHOOSE(Translations!$C$1+1,O81,P81,Q81)</f>
        <v>Edad</v>
      </c>
      <c r="E81" s="490" t="str">
        <f t="shared" si="4"/>
        <v>KP-1b⁽ᴹ⁾ Porcentaje de personas transgénero alcanzados por programas de prevención del VIH - paquete definido de servicios</v>
      </c>
      <c r="F81" s="491" t="str">
        <f t="shared" si="3"/>
        <v>MCI-01046</v>
      </c>
      <c r="G81" s="490" t="s">
        <v>3156</v>
      </c>
      <c r="H81" s="491"/>
      <c r="I81" s="491" t="s">
        <v>2778</v>
      </c>
      <c r="J81" s="491" t="s">
        <v>3154</v>
      </c>
      <c r="K81" s="491" t="s">
        <v>3155</v>
      </c>
      <c r="L81" s="493" t="s">
        <v>2006</v>
      </c>
      <c r="M81" s="493" t="s">
        <v>2007</v>
      </c>
      <c r="N81" s="493" t="s">
        <v>2008</v>
      </c>
      <c r="O81" s="491" t="s">
        <v>1463</v>
      </c>
      <c r="P81" s="491" t="s">
        <v>1463</v>
      </c>
      <c r="Q81" s="491" t="s">
        <v>1464</v>
      </c>
    </row>
    <row r="82" spans="1:17" s="9" customFormat="1" x14ac:dyDescent="0.25">
      <c r="A82" s="490" t="s">
        <v>1156</v>
      </c>
      <c r="B82" s="491" t="s">
        <v>2011</v>
      </c>
      <c r="C82" s="492" t="str">
        <f>CHOOSE(Translations!$C$1+1,L82,M82,N82)</f>
        <v>KP-1c⁽ᴹ⁾ Porcentaje de trabajadores sexuales alcanzados por programas de prevención del VIH - paquete definido de servicios</v>
      </c>
      <c r="D82" s="492" t="str">
        <f>CHOOSE(Translations!$C$1+1,O82,P82,Q82)</f>
        <v>Género,Edad</v>
      </c>
      <c r="E82" s="490" t="str">
        <f t="shared" si="4"/>
        <v>KP-1c⁽ᴹ⁾ Porcentaje de trabajadores sexuales alcanzados por programas de prevención del VIH - paquete definido de servicios</v>
      </c>
      <c r="F82" s="491" t="str">
        <f t="shared" si="3"/>
        <v>MCI-01047</v>
      </c>
      <c r="G82" s="490" t="s">
        <v>3157</v>
      </c>
      <c r="H82" s="491"/>
      <c r="I82" s="491" t="s">
        <v>2778</v>
      </c>
      <c r="J82" s="491" t="s">
        <v>3154</v>
      </c>
      <c r="K82" s="491" t="s">
        <v>3155</v>
      </c>
      <c r="L82" s="493" t="s">
        <v>2014</v>
      </c>
      <c r="M82" s="493" t="s">
        <v>2015</v>
      </c>
      <c r="N82" s="493" t="s">
        <v>2016</v>
      </c>
      <c r="O82" s="491" t="s">
        <v>2801</v>
      </c>
      <c r="P82" s="491" t="s">
        <v>2780</v>
      </c>
      <c r="Q82" s="491" t="s">
        <v>2781</v>
      </c>
    </row>
    <row r="83" spans="1:17" s="9" customFormat="1" x14ac:dyDescent="0.25">
      <c r="A83" s="490" t="s">
        <v>1156</v>
      </c>
      <c r="B83" s="491" t="s">
        <v>2025</v>
      </c>
      <c r="C83" s="492" t="str">
        <f>CHOOSE(Translations!$C$1+1,L83,M83,N83)</f>
        <v>KP-1d⁽ᴹ⁾ Porcentaje de personas que consumen drogas inyectables alcanzados por programas de prevención del VIH - paquete definido de servicios</v>
      </c>
      <c r="D83" s="492" t="str">
        <f>CHOOSE(Translations!$C$1+1,O83,P83,Q83)</f>
        <v>Edad,Género</v>
      </c>
      <c r="E83" s="490" t="str">
        <f t="shared" si="4"/>
        <v>KP-1d⁽ᴹ⁾ Porcentaje de personas que consumen drogas inyectables alcanzados por programas de prevención del VIH - paquete definido de servicios</v>
      </c>
      <c r="F83" s="491" t="str">
        <f t="shared" si="3"/>
        <v>MCI-01048</v>
      </c>
      <c r="G83" s="490" t="s">
        <v>3158</v>
      </c>
      <c r="H83" s="491"/>
      <c r="I83" s="491" t="s">
        <v>2778</v>
      </c>
      <c r="J83" s="491" t="s">
        <v>3154</v>
      </c>
      <c r="K83" s="491" t="s">
        <v>3155</v>
      </c>
      <c r="L83" s="493" t="s">
        <v>2028</v>
      </c>
      <c r="M83" s="493" t="s">
        <v>2029</v>
      </c>
      <c r="N83" s="493" t="s">
        <v>2030</v>
      </c>
      <c r="O83" s="491" t="s">
        <v>3159</v>
      </c>
      <c r="P83" s="491" t="s">
        <v>2787</v>
      </c>
      <c r="Q83" s="491" t="s">
        <v>2788</v>
      </c>
    </row>
    <row r="84" spans="1:17" s="9" customFormat="1" x14ac:dyDescent="0.25">
      <c r="A84" s="490" t="s">
        <v>1156</v>
      </c>
      <c r="B84" s="491" t="s">
        <v>3160</v>
      </c>
      <c r="C84" s="492" t="str">
        <f>CHOOSE(Translations!$C$1+1,L84,M84,N84)</f>
        <v>KP-1e Porcentaje de otras poblaciones vulnerables alcanzados por programas de prevención del VIH - paquete definido de servicios</v>
      </c>
      <c r="D84" s="492">
        <f>CHOOSE(Translations!$C$1+1,O84,P84,Q84)</f>
        <v>0</v>
      </c>
      <c r="E84" s="490" t="str">
        <f t="shared" si="4"/>
        <v>KP-1e Porcentaje de otras poblaciones vulnerables alcanzados por programas de prevención del VIH - paquete definido de servicios</v>
      </c>
      <c r="F84" s="491" t="str">
        <f t="shared" si="3"/>
        <v>MCI-01049</v>
      </c>
      <c r="G84" s="490" t="s">
        <v>3161</v>
      </c>
      <c r="H84" s="491"/>
      <c r="I84" s="491" t="s">
        <v>2778</v>
      </c>
      <c r="J84" s="491" t="s">
        <v>3154</v>
      </c>
      <c r="K84" s="491" t="s">
        <v>3155</v>
      </c>
      <c r="L84" s="493" t="s">
        <v>3162</v>
      </c>
      <c r="M84" s="493" t="s">
        <v>3163</v>
      </c>
      <c r="N84" s="493" t="s">
        <v>3164</v>
      </c>
      <c r="O84" s="491"/>
      <c r="P84" s="491"/>
      <c r="Q84" s="491"/>
    </row>
    <row r="85" spans="1:17" s="9" customFormat="1" x14ac:dyDescent="0.25">
      <c r="A85" s="490" t="s">
        <v>1156</v>
      </c>
      <c r="B85" s="491" t="s">
        <v>3165</v>
      </c>
      <c r="C85" s="492" t="str">
        <f>CHOOSE(Translations!$C$1+1,L85,M85,N85)</f>
        <v>KP-1f⁽ᴹ⁾ Número de personas privadas de libertad en centros penitenciarios y otros lugares de reclusión alcanzados por programas de prevención del VIH - paquete definido de servicios</v>
      </c>
      <c r="D85" s="492">
        <f>CHOOSE(Translations!$C$1+1,O85,P85,Q85)</f>
        <v>0</v>
      </c>
      <c r="E85" s="490" t="str">
        <f t="shared" si="4"/>
        <v>KP-1f⁽ᴹ⁾ Número de personas privadas de libertad en centros penitenciarios y otros lugares de reclusión alcanzados por programas de prevención del VIH - paquete definido de servicios</v>
      </c>
      <c r="F85" s="491" t="str">
        <f t="shared" si="3"/>
        <v>MCI-01050</v>
      </c>
      <c r="G85" s="490" t="s">
        <v>3166</v>
      </c>
      <c r="H85" s="491"/>
      <c r="I85" s="491" t="s">
        <v>2778</v>
      </c>
      <c r="J85" s="491" t="s">
        <v>3154</v>
      </c>
      <c r="K85" s="491" t="s">
        <v>3155</v>
      </c>
      <c r="L85" s="493" t="s">
        <v>3167</v>
      </c>
      <c r="M85" s="493" t="s">
        <v>3168</v>
      </c>
      <c r="N85" s="493" t="s">
        <v>3169</v>
      </c>
      <c r="O85" s="491"/>
      <c r="P85" s="491"/>
      <c r="Q85" s="491"/>
    </row>
    <row r="86" spans="1:17" s="9" customFormat="1" x14ac:dyDescent="0.25">
      <c r="A86" s="490" t="s">
        <v>1156</v>
      </c>
      <c r="B86" s="491" t="s">
        <v>3170</v>
      </c>
      <c r="C86" s="492" t="str">
        <f>CHOOSE(Translations!$C$1+1,L86,M86,N86)</f>
        <v>KP-4 Número de agujas y jeringuillas distribuidas al año por persona que consume drogas inyectables a través de programas de agujas y jeringuillas</v>
      </c>
      <c r="D86" s="492">
        <f>CHOOSE(Translations!$C$1+1,O86,P86,Q86)</f>
        <v>0</v>
      </c>
      <c r="E86" s="490" t="str">
        <f t="shared" si="4"/>
        <v>KP-4 Número de agujas y jeringuillas distribuidas al año por persona que consume drogas inyectables a través de programas de agujas y jeringuillas</v>
      </c>
      <c r="F86" s="491" t="str">
        <f t="shared" si="3"/>
        <v>MCI-01051</v>
      </c>
      <c r="G86" s="490" t="s">
        <v>3171</v>
      </c>
      <c r="H86" s="491"/>
      <c r="I86" s="491" t="s">
        <v>2778</v>
      </c>
      <c r="J86" s="491" t="s">
        <v>3154</v>
      </c>
      <c r="K86" s="491" t="s">
        <v>622</v>
      </c>
      <c r="L86" s="493" t="s">
        <v>3172</v>
      </c>
      <c r="M86" s="493" t="s">
        <v>3173</v>
      </c>
      <c r="N86" s="493" t="s">
        <v>3174</v>
      </c>
      <c r="O86" s="491"/>
      <c r="P86" s="491"/>
      <c r="Q86" s="491"/>
    </row>
    <row r="87" spans="1:17" s="9" customFormat="1" x14ac:dyDescent="0.25">
      <c r="A87" s="490" t="s">
        <v>1156</v>
      </c>
      <c r="B87" s="491" t="s">
        <v>3175</v>
      </c>
      <c r="C87" s="492" t="str">
        <f>CHOOSE(Translations!$C$1+1,L87,M87,N87)</f>
        <v>KP-5 Porcentaje de personas en terapia de sustitución de opiáceos que recibieron tratamiento durante al menos 6 meses</v>
      </c>
      <c r="D87" s="492">
        <f>CHOOSE(Translations!$C$1+1,O87,P87,Q87)</f>
        <v>0</v>
      </c>
      <c r="E87" s="490" t="str">
        <f t="shared" si="4"/>
        <v>KP-5 Porcentaje de personas en terapia de sustitución de opiáceos que recibieron tratamiento durante al menos 6 meses</v>
      </c>
      <c r="F87" s="491" t="str">
        <f t="shared" si="3"/>
        <v>MCI-01052</v>
      </c>
      <c r="G87" s="490" t="s">
        <v>3176</v>
      </c>
      <c r="H87" s="491"/>
      <c r="I87" s="491" t="s">
        <v>2778</v>
      </c>
      <c r="J87" s="491" t="s">
        <v>3154</v>
      </c>
      <c r="K87" s="491" t="s">
        <v>621</v>
      </c>
      <c r="L87" s="493" t="s">
        <v>3177</v>
      </c>
      <c r="M87" s="493" t="s">
        <v>3178</v>
      </c>
      <c r="N87" s="493" t="s">
        <v>3179</v>
      </c>
      <c r="O87" s="491"/>
      <c r="P87" s="491"/>
      <c r="Q87" s="491"/>
    </row>
    <row r="88" spans="1:17" s="9" customFormat="1" x14ac:dyDescent="0.25">
      <c r="A88" s="490" t="s">
        <v>1156</v>
      </c>
      <c r="B88" s="491" t="s">
        <v>3180</v>
      </c>
      <c r="C88" s="492" t="str">
        <f>CHOOSE(Translations!$C$1+1,L88,M88,N88)</f>
        <v>KP-6a Porcentaje de HSH elegibles que iniciaron PrEP durante el período de reporte</v>
      </c>
      <c r="D88" s="492">
        <f>CHOOSE(Translations!$C$1+1,O88,P88,Q88)</f>
        <v>0</v>
      </c>
      <c r="E88" s="490" t="str">
        <f t="shared" si="4"/>
        <v>KP-6a Porcentaje de HSH elegibles que iniciaron PrEP durante el período de reporte</v>
      </c>
      <c r="F88" s="491" t="str">
        <f t="shared" si="3"/>
        <v>MCI-01053</v>
      </c>
      <c r="G88" s="490" t="s">
        <v>3181</v>
      </c>
      <c r="H88" s="491"/>
      <c r="I88" s="491" t="s">
        <v>2778</v>
      </c>
      <c r="J88" s="491" t="s">
        <v>3154</v>
      </c>
      <c r="K88" s="491" t="s">
        <v>621</v>
      </c>
      <c r="L88" s="493" t="s">
        <v>3182</v>
      </c>
      <c r="M88" s="493" t="s">
        <v>3183</v>
      </c>
      <c r="N88" s="493" t="s">
        <v>3184</v>
      </c>
      <c r="O88" s="491"/>
      <c r="P88" s="491"/>
      <c r="Q88" s="491"/>
    </row>
    <row r="89" spans="1:17" s="9" customFormat="1" x14ac:dyDescent="0.25">
      <c r="A89" s="490" t="s">
        <v>1156</v>
      </c>
      <c r="B89" s="491" t="s">
        <v>3185</v>
      </c>
      <c r="C89" s="492" t="str">
        <f>CHOOSE(Translations!$C$1+1,L89,M89,N89)</f>
        <v>KP-6b Porcentaje de personas transgénero elegibles que iniciaron PrEP durante el período de reporte</v>
      </c>
      <c r="D89" s="492">
        <f>CHOOSE(Translations!$C$1+1,O89,P89,Q89)</f>
        <v>0</v>
      </c>
      <c r="E89" s="490" t="str">
        <f t="shared" si="4"/>
        <v>KP-6b Porcentaje de personas transgénero elegibles que iniciaron PrEP durante el período de reporte</v>
      </c>
      <c r="F89" s="491" t="str">
        <f t="shared" si="3"/>
        <v>MCI-01054</v>
      </c>
      <c r="G89" s="490" t="s">
        <v>3186</v>
      </c>
      <c r="H89" s="491"/>
      <c r="I89" s="491" t="s">
        <v>2778</v>
      </c>
      <c r="J89" s="491" t="s">
        <v>3154</v>
      </c>
      <c r="K89" s="491" t="s">
        <v>621</v>
      </c>
      <c r="L89" s="493" t="s">
        <v>3187</v>
      </c>
      <c r="M89" s="493" t="s">
        <v>3188</v>
      </c>
      <c r="N89" s="493" t="s">
        <v>3189</v>
      </c>
      <c r="O89" s="491"/>
      <c r="P89" s="491"/>
      <c r="Q89" s="491"/>
    </row>
    <row r="90" spans="1:17" s="9" customFormat="1" x14ac:dyDescent="0.25">
      <c r="A90" s="490" t="s">
        <v>1156</v>
      </c>
      <c r="B90" s="491" t="s">
        <v>3190</v>
      </c>
      <c r="C90" s="492" t="str">
        <f>CHOOSE(Translations!$C$1+1,L90,M90,N90)</f>
        <v>KP-6c Porcentaje de trabajadores sexuales elegibles que iniciaron PrEP durante el período de reporte</v>
      </c>
      <c r="D90" s="492">
        <f>CHOOSE(Translations!$C$1+1,O90,P90,Q90)</f>
        <v>0</v>
      </c>
      <c r="E90" s="490" t="str">
        <f t="shared" si="4"/>
        <v>KP-6c Porcentaje de trabajadores sexuales elegibles que iniciaron PrEP durante el período de reporte</v>
      </c>
      <c r="F90" s="491" t="str">
        <f t="shared" si="3"/>
        <v>MCI-01055</v>
      </c>
      <c r="G90" s="490" t="s">
        <v>3191</v>
      </c>
      <c r="H90" s="491"/>
      <c r="I90" s="491" t="s">
        <v>2778</v>
      </c>
      <c r="J90" s="491" t="s">
        <v>3154</v>
      </c>
      <c r="K90" s="491" t="s">
        <v>621</v>
      </c>
      <c r="L90" s="493" t="s">
        <v>3192</v>
      </c>
      <c r="M90" s="493" t="s">
        <v>3193</v>
      </c>
      <c r="N90" s="493" t="s">
        <v>3194</v>
      </c>
      <c r="O90" s="491"/>
      <c r="P90" s="491"/>
      <c r="Q90" s="491"/>
    </row>
    <row r="91" spans="1:17" s="9" customFormat="1" x14ac:dyDescent="0.25">
      <c r="A91" s="490" t="s">
        <v>1156</v>
      </c>
      <c r="B91" s="491" t="s">
        <v>3195</v>
      </c>
      <c r="C91" s="492" t="str">
        <f>CHOOSE(Translations!$C$1+1,L91,M91,N91)</f>
        <v>MEN-1 Número de circuncisiones masculinas médicas realizadas de conformidad con las normas nacionales</v>
      </c>
      <c r="D91" s="492">
        <f>CHOOSE(Translations!$C$1+1,O91,P91,Q91)</f>
        <v>0</v>
      </c>
      <c r="E91" s="490" t="str">
        <f t="shared" si="4"/>
        <v>MEN-1 Número de circuncisiones masculinas médicas realizadas de conformidad con las normas nacionales</v>
      </c>
      <c r="F91" s="491" t="str">
        <f t="shared" si="3"/>
        <v>MCI-01044</v>
      </c>
      <c r="G91" s="490" t="s">
        <v>3196</v>
      </c>
      <c r="H91" s="491"/>
      <c r="I91" s="491" t="s">
        <v>2778</v>
      </c>
      <c r="J91" s="491" t="s">
        <v>3154</v>
      </c>
      <c r="K91" s="491" t="s">
        <v>621</v>
      </c>
      <c r="L91" s="493" t="s">
        <v>3197</v>
      </c>
      <c r="M91" s="493" t="s">
        <v>3198</v>
      </c>
      <c r="N91" s="493" t="s">
        <v>3199</v>
      </c>
      <c r="O91" s="491"/>
      <c r="P91" s="491"/>
      <c r="Q91" s="491"/>
    </row>
    <row r="92" spans="1:17" s="9" customFormat="1" x14ac:dyDescent="0.25">
      <c r="A92" s="490" t="s">
        <v>1156</v>
      </c>
      <c r="B92" s="491" t="s">
        <v>2039</v>
      </c>
      <c r="C92" s="492" t="str">
        <f>CHOOSE(Translations!$C$1+1,L92,M92,N92)</f>
        <v>YP-1a Porcentaje de jóvenes de 10 a 24 años asistiendo a la escuela alcanzados con programas de educación sexual integral y/o educación basada en el desarrollo de habilidades para la vida y  VIH, en las escuelas</v>
      </c>
      <c r="D92" s="492" t="str">
        <f>CHOOSE(Translations!$C$1+1,O92,P92,Q92)</f>
        <v>Género</v>
      </c>
      <c r="E92" s="490" t="str">
        <f t="shared" si="4"/>
        <v>YP-1a Porcentaje de jóvenes de 10 a 24 años asistiendo a la escuela alcanzados con programas de educación sexual integral y/o educación basada en el desarrollo de habilidades para la vida y  VIH, en las escuelas</v>
      </c>
      <c r="F92" s="491" t="str">
        <f t="shared" si="3"/>
        <v>MCI-01056</v>
      </c>
      <c r="G92" s="490" t="s">
        <v>3200</v>
      </c>
      <c r="H92" s="491"/>
      <c r="I92" s="491" t="s">
        <v>2778</v>
      </c>
      <c r="J92" s="491" t="s">
        <v>3154</v>
      </c>
      <c r="K92" s="491" t="s">
        <v>622</v>
      </c>
      <c r="L92" s="493" t="s">
        <v>2042</v>
      </c>
      <c r="M92" s="493" t="s">
        <v>2043</v>
      </c>
      <c r="N92" s="493" t="s">
        <v>2044</v>
      </c>
      <c r="O92" s="491" t="s">
        <v>1450</v>
      </c>
      <c r="P92" s="491" t="s">
        <v>1451</v>
      </c>
      <c r="Q92" s="491" t="s">
        <v>1452</v>
      </c>
    </row>
    <row r="93" spans="1:17" s="9" customFormat="1" x14ac:dyDescent="0.25">
      <c r="A93" s="490" t="s">
        <v>1156</v>
      </c>
      <c r="B93" s="491" t="s">
        <v>2047</v>
      </c>
      <c r="C93" s="492" t="str">
        <f>CHOOSE(Translations!$C$1+1,L93,M93,N93)</f>
        <v>YP-1b Porcentaje de jóvenes de 10 a 24 años alcanzados por programas de educación sexual integral y/o educación basada en el desarrollo de habilidades para la vida y VIH, fuera de las escuelas</v>
      </c>
      <c r="D93" s="492" t="str">
        <f>CHOOSE(Translations!$C$1+1,O93,P93,Q93)</f>
        <v>Género</v>
      </c>
      <c r="E93" s="490" t="str">
        <f t="shared" si="4"/>
        <v>YP-1b Porcentaje de jóvenes de 10 a 24 años alcanzados por programas de educación sexual integral y/o educación basada en el desarrollo de habilidades para la vida y VIH, fuera de las escuelas</v>
      </c>
      <c r="F93" s="491" t="str">
        <f t="shared" si="3"/>
        <v>MCI-01057</v>
      </c>
      <c r="G93" s="490" t="s">
        <v>3201</v>
      </c>
      <c r="H93" s="491"/>
      <c r="I93" s="491" t="s">
        <v>2778</v>
      </c>
      <c r="J93" s="491" t="s">
        <v>3154</v>
      </c>
      <c r="K93" s="491" t="s">
        <v>622</v>
      </c>
      <c r="L93" s="493" t="s">
        <v>2050</v>
      </c>
      <c r="M93" s="493" t="s">
        <v>2051</v>
      </c>
      <c r="N93" s="493" t="s">
        <v>2052</v>
      </c>
      <c r="O93" s="491" t="s">
        <v>1450</v>
      </c>
      <c r="P93" s="491" t="s">
        <v>1451</v>
      </c>
      <c r="Q93" s="491" t="s">
        <v>1452</v>
      </c>
    </row>
    <row r="94" spans="1:17" s="9" customFormat="1" x14ac:dyDescent="0.25">
      <c r="A94" s="490" t="s">
        <v>1156</v>
      </c>
      <c r="B94" s="491" t="s">
        <v>2055</v>
      </c>
      <c r="C94" s="492" t="str">
        <f>CHOOSE(Translations!$C$1+1,L94,M94,N94)</f>
        <v>YP-2 Porcentaje de niñas adolescentes y mujeres jóvenes alcanzadas por programas de prevención del VIH - paquete definido de servicios</v>
      </c>
      <c r="D94" s="492" t="str">
        <f>CHOOSE(Translations!$C$1+1,O94,P94,Q94)</f>
        <v>Edad</v>
      </c>
      <c r="E94" s="490" t="str">
        <f t="shared" si="4"/>
        <v>YP-2 Porcentaje de niñas adolescentes y mujeres jóvenes alcanzadas por programas de prevención del VIH - paquete definido de servicios</v>
      </c>
      <c r="F94" s="491" t="str">
        <f t="shared" si="3"/>
        <v>MCI-01058</v>
      </c>
      <c r="G94" s="490" t="s">
        <v>3202</v>
      </c>
      <c r="H94" s="491"/>
      <c r="I94" s="491" t="s">
        <v>2778</v>
      </c>
      <c r="J94" s="491" t="s">
        <v>3154</v>
      </c>
      <c r="K94" s="491" t="s">
        <v>3155</v>
      </c>
      <c r="L94" s="493" t="s">
        <v>2058</v>
      </c>
      <c r="M94" s="493" t="s">
        <v>2059</v>
      </c>
      <c r="N94" s="493" t="s">
        <v>2060</v>
      </c>
      <c r="O94" s="491" t="s">
        <v>1463</v>
      </c>
      <c r="P94" s="491" t="s">
        <v>1463</v>
      </c>
      <c r="Q94" s="491" t="s">
        <v>1464</v>
      </c>
    </row>
    <row r="95" spans="1:17" s="9" customFormat="1" x14ac:dyDescent="0.25">
      <c r="A95" s="490" t="s">
        <v>1156</v>
      </c>
      <c r="B95" s="491" t="s">
        <v>3203</v>
      </c>
      <c r="C95" s="492" t="str">
        <f>CHOOSE(Translations!$C$1+1,L95,M95,N95)</f>
        <v>YP-4 Porcentaje de niñas adolescentes y mujeres jóvenes elegibles que iniciaron PrEP durante el período de reporte</v>
      </c>
      <c r="D95" s="492">
        <f>CHOOSE(Translations!$C$1+1,O95,P95,Q95)</f>
        <v>0</v>
      </c>
      <c r="E95" s="490" t="str">
        <f t="shared" si="4"/>
        <v>YP-4 Porcentaje de niñas adolescentes y mujeres jóvenes elegibles que iniciaron PrEP durante el período de reporte</v>
      </c>
      <c r="F95" s="491" t="str">
        <f t="shared" si="3"/>
        <v>MCI-01059</v>
      </c>
      <c r="G95" s="490" t="s">
        <v>3204</v>
      </c>
      <c r="H95" s="491"/>
      <c r="I95" s="491" t="s">
        <v>2778</v>
      </c>
      <c r="J95" s="491" t="s">
        <v>3154</v>
      </c>
      <c r="K95" s="491" t="s">
        <v>621</v>
      </c>
      <c r="L95" s="493" t="s">
        <v>3205</v>
      </c>
      <c r="M95" s="493" t="s">
        <v>3206</v>
      </c>
      <c r="N95" s="493" t="s">
        <v>3207</v>
      </c>
      <c r="O95" s="491"/>
      <c r="P95" s="491"/>
      <c r="Q95" s="491"/>
    </row>
    <row r="96" spans="1:17" s="9" customFormat="1" x14ac:dyDescent="0.25">
      <c r="A96" s="490" t="s">
        <v>1148</v>
      </c>
      <c r="B96" s="491" t="s">
        <v>2065</v>
      </c>
      <c r="C96" s="492" t="str">
        <f>CHOOSE(Translations!$C$1+1,L96,M96,N96)</f>
        <v>PMTCT-1 Porcentaje de mujeres embarazadas que conocen su Estatus de VIH</v>
      </c>
      <c r="D96" s="492" t="str">
        <f>CHOOSE(Translations!$C$1+1,O96,P96,Q96)</f>
        <v>Resultado de prueba del VIH</v>
      </c>
      <c r="E96" s="490" t="str">
        <f t="shared" si="4"/>
        <v>PMTCT-1 Porcentaje de mujeres embarazadas que conocen su Estatus de VIH</v>
      </c>
      <c r="F96" s="491" t="str">
        <f t="shared" si="3"/>
        <v>MCI-01060</v>
      </c>
      <c r="G96" s="490" t="s">
        <v>3208</v>
      </c>
      <c r="H96" s="491"/>
      <c r="I96" s="491" t="s">
        <v>2778</v>
      </c>
      <c r="J96" s="491" t="s">
        <v>3154</v>
      </c>
      <c r="K96" s="491" t="s">
        <v>623</v>
      </c>
      <c r="L96" s="493" t="s">
        <v>2074</v>
      </c>
      <c r="M96" s="493" t="s">
        <v>2075</v>
      </c>
      <c r="N96" s="493" t="s">
        <v>2076</v>
      </c>
      <c r="O96" s="491" t="s">
        <v>2068</v>
      </c>
      <c r="P96" s="491" t="s">
        <v>2069</v>
      </c>
      <c r="Q96" s="491" t="s">
        <v>2070</v>
      </c>
    </row>
    <row r="97" spans="1:17" s="9" customFormat="1" x14ac:dyDescent="0.25">
      <c r="A97" s="490" t="s">
        <v>1148</v>
      </c>
      <c r="B97" s="491" t="s">
        <v>3209</v>
      </c>
      <c r="C97" s="492" t="str">
        <f>CHOOSE(Translations!$C$1+1,L97,M97,N97)</f>
        <v>PMTCT-2.1 Porcentaje de mujeres seropositivas que recibieron TARV durante el embarazo y/o trabajo de parto y parto</v>
      </c>
      <c r="D97" s="492">
        <f>CHOOSE(Translations!$C$1+1,O97,P97,Q97)</f>
        <v>0</v>
      </c>
      <c r="E97" s="490" t="str">
        <f t="shared" si="4"/>
        <v>PMTCT-2.1 Porcentaje de mujeres seropositivas que recibieron TARV durante el embarazo y/o trabajo de parto y parto</v>
      </c>
      <c r="F97" s="491" t="str">
        <f t="shared" si="3"/>
        <v>MCI-01061</v>
      </c>
      <c r="G97" s="490" t="s">
        <v>3210</v>
      </c>
      <c r="H97" s="491"/>
      <c r="I97" s="491" t="s">
        <v>2778</v>
      </c>
      <c r="J97" s="491" t="s">
        <v>3154</v>
      </c>
      <c r="K97" s="491" t="s">
        <v>623</v>
      </c>
      <c r="L97" s="493" t="s">
        <v>3211</v>
      </c>
      <c r="M97" s="493" t="s">
        <v>3212</v>
      </c>
      <c r="N97" s="493" t="s">
        <v>3213</v>
      </c>
      <c r="O97" s="491" t="s">
        <v>3214</v>
      </c>
      <c r="P97" s="491"/>
      <c r="Q97" s="491"/>
    </row>
    <row r="98" spans="1:17" s="9" customFormat="1" x14ac:dyDescent="0.25">
      <c r="A98" s="490" t="s">
        <v>1148</v>
      </c>
      <c r="B98" s="491" t="s">
        <v>2082</v>
      </c>
      <c r="C98" s="492" t="str">
        <f>CHOOSE(Translations!$C$1+1,L98,M98,N98)</f>
        <v>PMTCT-3.1 Porcentaje de recién nacidos expuestos al VIH que se sometieron a una prueba virológica del VIH durante los 2 meses posteriores a su nacimiento</v>
      </c>
      <c r="D98" s="492" t="str">
        <f>CHOOSE(Translations!$C$1+1,O98,P98,Q98)</f>
        <v>Resultado de prueba del VIH</v>
      </c>
      <c r="E98" s="490" t="str">
        <f t="shared" si="4"/>
        <v>PMTCT-3.1 Porcentaje de recién nacidos expuestos al VIH que se sometieron a una prueba virológica del VIH durante los 2 meses posteriores a su nacimiento</v>
      </c>
      <c r="F98" s="491" t="str">
        <f t="shared" si="3"/>
        <v>MCI-01062</v>
      </c>
      <c r="G98" s="490" t="s">
        <v>3215</v>
      </c>
      <c r="H98" s="491"/>
      <c r="I98" s="491" t="s">
        <v>2778</v>
      </c>
      <c r="J98" s="491" t="s">
        <v>3154</v>
      </c>
      <c r="K98" s="491" t="s">
        <v>621</v>
      </c>
      <c r="L98" s="493" t="s">
        <v>2088</v>
      </c>
      <c r="M98" s="493" t="s">
        <v>2089</v>
      </c>
      <c r="N98" s="493" t="s">
        <v>2090</v>
      </c>
      <c r="O98" s="491" t="s">
        <v>2068</v>
      </c>
      <c r="P98" s="491" t="s">
        <v>2069</v>
      </c>
      <c r="Q98" s="491" t="s">
        <v>2070</v>
      </c>
    </row>
    <row r="99" spans="1:17" s="9" customFormat="1" x14ac:dyDescent="0.25">
      <c r="A99" s="490" t="s">
        <v>1148</v>
      </c>
      <c r="B99" s="491" t="s">
        <v>3216</v>
      </c>
      <c r="C99" s="492" t="str">
        <f>CHOOSE(Translations!$C$1+1,L99,M99,N99)</f>
        <v>PMTCT-4 Porcentaje de pacientes de atención prenatal que se sometieron a la prueba de la sífilis</v>
      </c>
      <c r="D99" s="492">
        <f>CHOOSE(Translations!$C$1+1,O99,P99,Q99)</f>
        <v>0</v>
      </c>
      <c r="E99" s="490" t="str">
        <f t="shared" si="4"/>
        <v>PMTCT-4 Porcentaje de pacientes de atención prenatal que se sometieron a la prueba de la sífilis</v>
      </c>
      <c r="F99" s="491" t="str">
        <f t="shared" si="3"/>
        <v>MCI-01063</v>
      </c>
      <c r="G99" s="490" t="s">
        <v>3217</v>
      </c>
      <c r="H99" s="491"/>
      <c r="I99" s="491" t="s">
        <v>2778</v>
      </c>
      <c r="J99" s="491" t="s">
        <v>3154</v>
      </c>
      <c r="K99" s="491" t="s">
        <v>621</v>
      </c>
      <c r="L99" s="493" t="s">
        <v>3218</v>
      </c>
      <c r="M99" s="493" t="s">
        <v>3219</v>
      </c>
      <c r="N99" s="493" t="s">
        <v>3220</v>
      </c>
      <c r="O99" s="491"/>
      <c r="P99" s="491"/>
      <c r="Q99" s="491"/>
    </row>
    <row r="100" spans="1:17" s="9" customFormat="1" x14ac:dyDescent="0.25">
      <c r="A100" s="490" t="s">
        <v>1140</v>
      </c>
      <c r="B100" s="491" t="s">
        <v>2095</v>
      </c>
      <c r="C100" s="492" t="str">
        <f>CHOOSE(Translations!$C$1+1,L100,M100,N100)</f>
        <v>HTS-2 Número de niñas adolescentes y mujeres jóvenes que se sometieron a la prueba del VIH y recibieron los resultados durante el período de reporte</v>
      </c>
      <c r="D100" s="492" t="str">
        <f>CHOOSE(Translations!$C$1+1,O100,P100,Q100)</f>
        <v>Edad,Resultado de prueba del VIH</v>
      </c>
      <c r="E100" s="490" t="str">
        <f t="shared" si="4"/>
        <v>HTS-2 Número de niñas adolescentes y mujeres jóvenes que se sometieron a la prueba del VIH y recibieron los resultados durante el período de reporte</v>
      </c>
      <c r="F100" s="491" t="str">
        <f t="shared" si="3"/>
        <v>MCI-01064</v>
      </c>
      <c r="G100" s="490" t="s">
        <v>3221</v>
      </c>
      <c r="H100" s="491"/>
      <c r="I100" s="491" t="s">
        <v>2778</v>
      </c>
      <c r="J100" s="491" t="s">
        <v>3154</v>
      </c>
      <c r="K100" s="491" t="s">
        <v>621</v>
      </c>
      <c r="L100" s="493" t="s">
        <v>2098</v>
      </c>
      <c r="M100" s="493" t="s">
        <v>2099</v>
      </c>
      <c r="N100" s="493" t="s">
        <v>2100</v>
      </c>
      <c r="O100" s="491" t="s">
        <v>3222</v>
      </c>
      <c r="P100" s="491" t="s">
        <v>3223</v>
      </c>
      <c r="Q100" s="491" t="s">
        <v>3224</v>
      </c>
    </row>
    <row r="101" spans="1:17" s="9" customFormat="1" x14ac:dyDescent="0.25">
      <c r="A101" s="490" t="s">
        <v>1140</v>
      </c>
      <c r="B101" s="491" t="s">
        <v>2110</v>
      </c>
      <c r="C101" s="492" t="str">
        <f>CHOOSE(Translations!$C$1+1,L101,M101,N101)</f>
        <v>HTS-3a⁽ᴹ⁾ Porcentaje de HSH a los que se les ha realizado una prueba de VIH durante el período de reporte y que conocen sus resultados</v>
      </c>
      <c r="D101" s="492" t="str">
        <f>CHOOSE(Translations!$C$1+1,O101,P101,Q101)</f>
        <v>Edad,Resultado de prueba del VIH</v>
      </c>
      <c r="E101" s="490" t="str">
        <f t="shared" si="4"/>
        <v>HTS-3a⁽ᴹ⁾ Porcentaje de HSH a los que se les ha realizado una prueba de VIH durante el período de reporte y que conocen sus resultados</v>
      </c>
      <c r="F101" s="491" t="str">
        <f t="shared" si="3"/>
        <v>MCI-01065</v>
      </c>
      <c r="G101" s="490" t="s">
        <v>3225</v>
      </c>
      <c r="H101" s="491"/>
      <c r="I101" s="491" t="s">
        <v>2778</v>
      </c>
      <c r="J101" s="491" t="s">
        <v>3154</v>
      </c>
      <c r="K101" s="491" t="s">
        <v>3155</v>
      </c>
      <c r="L101" s="493" t="s">
        <v>2113</v>
      </c>
      <c r="M101" s="493" t="s">
        <v>2114</v>
      </c>
      <c r="N101" s="493" t="s">
        <v>2115</v>
      </c>
      <c r="O101" s="491" t="s">
        <v>3222</v>
      </c>
      <c r="P101" s="491" t="s">
        <v>3223</v>
      </c>
      <c r="Q101" s="491" t="s">
        <v>3224</v>
      </c>
    </row>
    <row r="102" spans="1:17" s="9" customFormat="1" x14ac:dyDescent="0.25">
      <c r="A102" s="490" t="s">
        <v>1140</v>
      </c>
      <c r="B102" s="491" t="s">
        <v>2122</v>
      </c>
      <c r="C102" s="492" t="str">
        <f>CHOOSE(Translations!$C$1+1,L102,M102,N102)</f>
        <v>HTS-3b⁽ᴹ⁾ Porcentaje de personas transgénero a los que se les ha realizado una prueba de VIH durante el período de reporte y que conocen sus resultados</v>
      </c>
      <c r="D102" s="492" t="str">
        <f>CHOOSE(Translations!$C$1+1,O102,P102,Q102)</f>
        <v>Edad,Resultado de prueba del VIH</v>
      </c>
      <c r="E102" s="490" t="str">
        <f t="shared" si="4"/>
        <v>HTS-3b⁽ᴹ⁾ Porcentaje de personas transgénero a los que se les ha realizado una prueba de VIH durante el período de reporte y que conocen sus resultados</v>
      </c>
      <c r="F102" s="491" t="str">
        <f t="shared" si="3"/>
        <v>MCI-01066</v>
      </c>
      <c r="G102" s="490" t="s">
        <v>3226</v>
      </c>
      <c r="H102" s="491"/>
      <c r="I102" s="491" t="s">
        <v>2778</v>
      </c>
      <c r="J102" s="491" t="s">
        <v>3154</v>
      </c>
      <c r="K102" s="491" t="s">
        <v>3155</v>
      </c>
      <c r="L102" s="493" t="s">
        <v>2125</v>
      </c>
      <c r="M102" s="493" t="s">
        <v>2126</v>
      </c>
      <c r="N102" s="493" t="s">
        <v>2127</v>
      </c>
      <c r="O102" s="491" t="s">
        <v>3222</v>
      </c>
      <c r="P102" s="491" t="s">
        <v>3223</v>
      </c>
      <c r="Q102" s="491" t="s">
        <v>3224</v>
      </c>
    </row>
    <row r="103" spans="1:17" s="9" customFormat="1" x14ac:dyDescent="0.25">
      <c r="A103" s="490" t="s">
        <v>1140</v>
      </c>
      <c r="B103" s="491" t="s">
        <v>2134</v>
      </c>
      <c r="C103" s="492" t="str">
        <f>CHOOSE(Translations!$C$1+1,L103,M103,N103)</f>
        <v>HTS-3c⁽ᴹ⁾ Porcentaje de trabajadores sexuales a los que se les ha realizado una prueba de VIH durante el período de reporte y que conocen sus resultados</v>
      </c>
      <c r="D103" s="492" t="str">
        <f>CHOOSE(Translations!$C$1+1,O103,P103,Q103)</f>
        <v>Edad,Género,Resultado de prueba del VIH</v>
      </c>
      <c r="E103" s="490" t="str">
        <f t="shared" si="4"/>
        <v>HTS-3c⁽ᴹ⁾ Porcentaje de trabajadores sexuales a los que se les ha realizado una prueba de VIH durante el período de reporte y que conocen sus resultados</v>
      </c>
      <c r="F103" s="491" t="str">
        <f t="shared" si="3"/>
        <v>MCI-01067</v>
      </c>
      <c r="G103" s="490" t="s">
        <v>3227</v>
      </c>
      <c r="H103" s="491"/>
      <c r="I103" s="491" t="s">
        <v>2778</v>
      </c>
      <c r="J103" s="491" t="s">
        <v>3154</v>
      </c>
      <c r="K103" s="491" t="s">
        <v>3155</v>
      </c>
      <c r="L103" s="493" t="s">
        <v>2137</v>
      </c>
      <c r="M103" s="493" t="s">
        <v>2138</v>
      </c>
      <c r="N103" s="493" t="s">
        <v>2139</v>
      </c>
      <c r="O103" s="491" t="s">
        <v>3228</v>
      </c>
      <c r="P103" s="491" t="s">
        <v>3229</v>
      </c>
      <c r="Q103" s="491" t="s">
        <v>3230</v>
      </c>
    </row>
    <row r="104" spans="1:17" s="9" customFormat="1" x14ac:dyDescent="0.25">
      <c r="A104" s="490" t="s">
        <v>1140</v>
      </c>
      <c r="B104" s="491" t="s">
        <v>2152</v>
      </c>
      <c r="C104" s="492" t="str">
        <f>CHOOSE(Translations!$C$1+1,L104,M104,N104)</f>
        <v>HTS-3d⁽ᴹ⁾ Porcentaje de consumidores de drogas inyectables a los que se les ha realizado una prueba de VIH durante el período de reporte y que conocen sus resultados</v>
      </c>
      <c r="D104" s="492" t="str">
        <f>CHOOSE(Translations!$C$1+1,O104,P104,Q104)</f>
        <v>Edad,Género,Resultado de prueba del VIH</v>
      </c>
      <c r="E104" s="490" t="str">
        <f t="shared" si="4"/>
        <v>HTS-3d⁽ᴹ⁾ Porcentaje de consumidores de drogas inyectables a los que se les ha realizado una prueba de VIH durante el período de reporte y que conocen sus resultados</v>
      </c>
      <c r="F104" s="491" t="str">
        <f t="shared" si="3"/>
        <v>MCI-01068</v>
      </c>
      <c r="G104" s="490" t="s">
        <v>3231</v>
      </c>
      <c r="H104" s="491"/>
      <c r="I104" s="491" t="s">
        <v>2778</v>
      </c>
      <c r="J104" s="491" t="s">
        <v>3154</v>
      </c>
      <c r="K104" s="491" t="s">
        <v>3155</v>
      </c>
      <c r="L104" s="493" t="s">
        <v>2155</v>
      </c>
      <c r="M104" s="493" t="s">
        <v>2156</v>
      </c>
      <c r="N104" s="493" t="s">
        <v>2157</v>
      </c>
      <c r="O104" s="491" t="s">
        <v>3228</v>
      </c>
      <c r="P104" s="491" t="s">
        <v>3229</v>
      </c>
      <c r="Q104" s="491" t="s">
        <v>3230</v>
      </c>
    </row>
    <row r="105" spans="1:17" s="9" customFormat="1" x14ac:dyDescent="0.25">
      <c r="A105" s="490" t="s">
        <v>1140</v>
      </c>
      <c r="B105" s="491" t="s">
        <v>2170</v>
      </c>
      <c r="C105" s="492" t="str">
        <f>CHOOSE(Translations!$C$1+1,L105,M105,N105)</f>
        <v>HTS-3e Porcentaje de otras poblaciones vulnerables a los que se les ha realizado una prueba de VIH durante el período de reporte y que conocen sus resultados</v>
      </c>
      <c r="D105" s="492" t="str">
        <f>CHOOSE(Translations!$C$1+1,O105,P105,Q105)</f>
        <v>Resultado de prueba del VIH</v>
      </c>
      <c r="E105" s="490" t="str">
        <f t="shared" si="4"/>
        <v>HTS-3e Porcentaje de otras poblaciones vulnerables a los que se les ha realizado una prueba de VIH durante el período de reporte y que conocen sus resultados</v>
      </c>
      <c r="F105" s="491" t="str">
        <f t="shared" si="3"/>
        <v>MCI-01069</v>
      </c>
      <c r="G105" s="490" t="s">
        <v>3232</v>
      </c>
      <c r="H105" s="491"/>
      <c r="I105" s="491" t="s">
        <v>2778</v>
      </c>
      <c r="J105" s="491" t="s">
        <v>3154</v>
      </c>
      <c r="K105" s="491" t="s">
        <v>3155</v>
      </c>
      <c r="L105" s="493" t="s">
        <v>2173</v>
      </c>
      <c r="M105" s="493" t="s">
        <v>2174</v>
      </c>
      <c r="N105" s="493" t="s">
        <v>2175</v>
      </c>
      <c r="O105" s="491" t="s">
        <v>2068</v>
      </c>
      <c r="P105" s="491" t="s">
        <v>2069</v>
      </c>
      <c r="Q105" s="491" t="s">
        <v>2070</v>
      </c>
    </row>
    <row r="106" spans="1:17" s="9" customFormat="1" x14ac:dyDescent="0.25">
      <c r="A106" s="490" t="s">
        <v>1140</v>
      </c>
      <c r="B106" s="491" t="s">
        <v>2178</v>
      </c>
      <c r="C106" s="492" t="str">
        <f>CHOOSE(Translations!$C$1+1,L106,M106,N106)</f>
        <v>HTS-3f⁽ᴹ⁾ Número de personas privadas de libertad en centros penitenciarios y otros lugares de reclusión a los que se les ha realizado una prueba de VIH durante el período de reporte y que conocen sus resultados</v>
      </c>
      <c r="D106" s="492" t="str">
        <f>CHOOSE(Translations!$C$1+1,O106,P106,Q106)</f>
        <v>Resultado de prueba del VIH</v>
      </c>
      <c r="E106" s="490" t="str">
        <f t="shared" si="4"/>
        <v>HTS-3f⁽ᴹ⁾ Número de personas privadas de libertad en centros penitenciarios y otros lugares de reclusión a los que se les ha realizado una prueba de VIH durante el período de reporte y que conocen sus resultados</v>
      </c>
      <c r="F106" s="491" t="str">
        <f t="shared" si="3"/>
        <v>MCI-01070</v>
      </c>
      <c r="G106" s="490" t="s">
        <v>3233</v>
      </c>
      <c r="H106" s="491"/>
      <c r="I106" s="491" t="s">
        <v>2778</v>
      </c>
      <c r="J106" s="491" t="s">
        <v>3154</v>
      </c>
      <c r="K106" s="491" t="s">
        <v>3155</v>
      </c>
      <c r="L106" s="493" t="s">
        <v>2181</v>
      </c>
      <c r="M106" s="493" t="s">
        <v>2182</v>
      </c>
      <c r="N106" s="493" t="s">
        <v>2183</v>
      </c>
      <c r="O106" s="491" t="s">
        <v>2068</v>
      </c>
      <c r="P106" s="491" t="s">
        <v>2069</v>
      </c>
      <c r="Q106" s="491" t="s">
        <v>2070</v>
      </c>
    </row>
    <row r="107" spans="1:17" s="9" customFormat="1" x14ac:dyDescent="0.25">
      <c r="A107" s="490" t="s">
        <v>1140</v>
      </c>
      <c r="B107" s="491" t="s">
        <v>2186</v>
      </c>
      <c r="C107" s="492" t="str">
        <f>CHOOSE(Translations!$C$1+1,L107,M107,N107)</f>
        <v>HTS-4 Porcentaje de resultados de VIH positivos entre el total de pruebas de VIH realizadas durante el período de reporte.</v>
      </c>
      <c r="D107" s="492" t="str">
        <f>CHOOSE(Translations!$C$1+1,O107,P107,Q107)</f>
        <v>Edad,Género,Diagnóstico en la comunidad,Diagnóstico en establecimientos de salud</v>
      </c>
      <c r="E107" s="490" t="str">
        <f t="shared" si="4"/>
        <v>HTS-4 Porcentaje de resultados de VIH positivos entre el total de pruebas de VIH realizadas durante el período de reporte.</v>
      </c>
      <c r="F107" s="491" t="str">
        <f t="shared" si="3"/>
        <v>MCI-01071</v>
      </c>
      <c r="G107" s="490" t="s">
        <v>3234</v>
      </c>
      <c r="H107" s="491"/>
      <c r="I107" s="491" t="s">
        <v>2778</v>
      </c>
      <c r="J107" s="491" t="s">
        <v>3154</v>
      </c>
      <c r="K107" s="491" t="s">
        <v>621</v>
      </c>
      <c r="L107" s="493" t="s">
        <v>2195</v>
      </c>
      <c r="M107" s="493" t="s">
        <v>2196</v>
      </c>
      <c r="N107" s="493" t="s">
        <v>2197</v>
      </c>
      <c r="O107" s="491" t="s">
        <v>3235</v>
      </c>
      <c r="P107" s="491" t="s">
        <v>3236</v>
      </c>
      <c r="Q107" s="491" t="s">
        <v>3237</v>
      </c>
    </row>
    <row r="108" spans="1:17" s="9" customFormat="1" x14ac:dyDescent="0.25">
      <c r="A108" s="490" t="s">
        <v>1140</v>
      </c>
      <c r="B108" s="491" t="s">
        <v>2239</v>
      </c>
      <c r="C108" s="492" t="str">
        <f>CHOOSE(Translations!$C$1+1,L108,M108,N108)</f>
        <v>HTS-5 Porcentaje de personas con diagnóstico nuevo de VIH que han iniciado terapia antirretroviral</v>
      </c>
      <c r="D108" s="492" t="str">
        <f>CHOOSE(Translations!$C$1+1,O108,P108,Q108)</f>
        <v>Género,Grupo de riesgo objetivo</v>
      </c>
      <c r="E108" s="490" t="str">
        <f t="shared" si="4"/>
        <v>HTS-5 Porcentaje de personas con diagnóstico nuevo de VIH que han iniciado terapia antirretroviral</v>
      </c>
      <c r="F108" s="491" t="str">
        <f t="shared" si="3"/>
        <v>MCI-01072</v>
      </c>
      <c r="G108" s="490" t="s">
        <v>3238</v>
      </c>
      <c r="H108" s="491"/>
      <c r="I108" s="491" t="s">
        <v>2778</v>
      </c>
      <c r="J108" s="491" t="s">
        <v>3154</v>
      </c>
      <c r="K108" s="491" t="s">
        <v>621</v>
      </c>
      <c r="L108" s="493" t="s">
        <v>2242</v>
      </c>
      <c r="M108" s="493" t="s">
        <v>2243</v>
      </c>
      <c r="N108" s="493" t="s">
        <v>2244</v>
      </c>
      <c r="O108" s="491" t="s">
        <v>3239</v>
      </c>
      <c r="P108" s="491" t="s">
        <v>3240</v>
      </c>
      <c r="Q108" s="491" t="s">
        <v>3241</v>
      </c>
    </row>
    <row r="109" spans="1:17" s="9" customFormat="1" x14ac:dyDescent="0.25">
      <c r="A109" s="490" t="s">
        <v>1164</v>
      </c>
      <c r="B109" s="491" t="s">
        <v>2257</v>
      </c>
      <c r="C109" s="492" t="str">
        <f>CHOOSE(Translations!$C$1+1,L109,M109,N109)</f>
        <v>TCS-1.1⁽ᴹ⁾ Porcentaje de personas en TARV entre todas las personas viviendo con VIH al final del período de reporte</v>
      </c>
      <c r="D109" s="492" t="str">
        <f>CHOOSE(Translations!$C$1+1,O109,P109,Q109)</f>
        <v>Edad,Género,Duración del tratamiento,Grupo de riesgo objetivo</v>
      </c>
      <c r="E109" s="490" t="str">
        <f t="shared" si="4"/>
        <v>TCS-1.1⁽ᴹ⁾ Porcentaje de personas en TARV entre todas las personas viviendo con VIH al final del período de reporte</v>
      </c>
      <c r="F109" s="491" t="str">
        <f t="shared" si="3"/>
        <v>MCI-01073</v>
      </c>
      <c r="G109" s="490" t="s">
        <v>3242</v>
      </c>
      <c r="H109" s="491"/>
      <c r="I109" s="491" t="s">
        <v>2778</v>
      </c>
      <c r="J109" s="491" t="s">
        <v>3154</v>
      </c>
      <c r="K109" s="491" t="s">
        <v>622</v>
      </c>
      <c r="L109" s="493" t="s">
        <v>2260</v>
      </c>
      <c r="M109" s="493" t="s">
        <v>2261</v>
      </c>
      <c r="N109" s="493" t="s">
        <v>2262</v>
      </c>
      <c r="O109" s="491" t="s">
        <v>3243</v>
      </c>
      <c r="P109" s="491" t="s">
        <v>3244</v>
      </c>
      <c r="Q109" s="491" t="s">
        <v>3245</v>
      </c>
    </row>
    <row r="110" spans="1:17" s="9" customFormat="1" x14ac:dyDescent="0.25">
      <c r="A110" s="490" t="s">
        <v>1164</v>
      </c>
      <c r="B110" s="491" t="s">
        <v>2315</v>
      </c>
      <c r="C110" s="492" t="str">
        <f>CHOOSE(Translations!$C$1+1,L110,M110,N110)</f>
        <v>TCS-1b⁽ᴹ⁾ Porcentaje de adultos (15 años o más) en TARV entre el total de adultos viviendo con VIH al final del período de reporte</v>
      </c>
      <c r="D110" s="492" t="str">
        <f>CHOOSE(Translations!$C$1+1,O110,P110,Q110)</f>
        <v>Género,Duración del tratamiento,Grupo de riesgo objetivo</v>
      </c>
      <c r="E110" s="490" t="str">
        <f t="shared" si="4"/>
        <v>TCS-1b⁽ᴹ⁾ Porcentaje de adultos (15 años o más) en TARV entre el total de adultos viviendo con VIH al final del período de reporte</v>
      </c>
      <c r="F110" s="491" t="str">
        <f t="shared" si="3"/>
        <v>MCI-01074</v>
      </c>
      <c r="G110" s="490" t="s">
        <v>3246</v>
      </c>
      <c r="H110" s="491"/>
      <c r="I110" s="491" t="s">
        <v>2778</v>
      </c>
      <c r="J110" s="491" t="s">
        <v>3154</v>
      </c>
      <c r="K110" s="491" t="s">
        <v>622</v>
      </c>
      <c r="L110" s="493" t="s">
        <v>2318</v>
      </c>
      <c r="M110" s="493" t="s">
        <v>2319</v>
      </c>
      <c r="N110" s="493" t="s">
        <v>2320</v>
      </c>
      <c r="O110" s="491" t="s">
        <v>3247</v>
      </c>
      <c r="P110" s="491" t="s">
        <v>3248</v>
      </c>
      <c r="Q110" s="491" t="s">
        <v>3249</v>
      </c>
    </row>
    <row r="111" spans="1:17" s="9" customFormat="1" x14ac:dyDescent="0.25">
      <c r="A111" s="490" t="s">
        <v>1164</v>
      </c>
      <c r="B111" s="491" t="s">
        <v>2351</v>
      </c>
      <c r="C111" s="492" t="str">
        <f>CHOOSE(Translations!$C$1+1,L111,M111,N111)</f>
        <v>TCS-1c⁽ᴹ⁾ Porcentaje de niños (menores de 15 años) en TARV entre el total de niños viviendo con VIH al final del período de reporte</v>
      </c>
      <c r="D111" s="492" t="str">
        <f>CHOOSE(Translations!$C$1+1,O111,P111,Q111)</f>
        <v>Género,Duración del tratamiento</v>
      </c>
      <c r="E111" s="490" t="str">
        <f t="shared" si="4"/>
        <v>TCS-1c⁽ᴹ⁾ Porcentaje de niños (menores de 15 años) en TARV entre el total de niños viviendo con VIH al final del período de reporte</v>
      </c>
      <c r="F111" s="491" t="str">
        <f t="shared" si="3"/>
        <v>MCI-01075</v>
      </c>
      <c r="G111" s="490" t="s">
        <v>3250</v>
      </c>
      <c r="H111" s="491"/>
      <c r="I111" s="491" t="s">
        <v>2778</v>
      </c>
      <c r="J111" s="491" t="s">
        <v>3154</v>
      </c>
      <c r="K111" s="491" t="s">
        <v>622</v>
      </c>
      <c r="L111" s="493" t="s">
        <v>2354</v>
      </c>
      <c r="M111" s="493" t="s">
        <v>2355</v>
      </c>
      <c r="N111" s="493" t="s">
        <v>2356</v>
      </c>
      <c r="O111" s="491" t="s">
        <v>3251</v>
      </c>
      <c r="P111" s="491" t="s">
        <v>3252</v>
      </c>
      <c r="Q111" s="491" t="s">
        <v>3253</v>
      </c>
    </row>
    <row r="112" spans="1:17" s="9" customFormat="1" x14ac:dyDescent="0.25">
      <c r="A112" s="490" t="s">
        <v>1152</v>
      </c>
      <c r="B112" s="491" t="s">
        <v>2361</v>
      </c>
      <c r="C112" s="492" t="str">
        <f>CHOOSE(Translations!$C$1+1,L112,M112,N112)</f>
        <v>TCP-1⁽ᴹ⁾ Número de casos notificados de todas las formas de tuberculosis (esto es, confirmados bacteriológicamente y con diagnóstico clínico), casos nuevos y recaídas.</v>
      </c>
      <c r="D112" s="492" t="str">
        <f>CHOOSE(Translations!$C$1+1,O112,P112,Q112)</f>
        <v>Edad,Género,Resultado de prueba del VIH,Definición de caso</v>
      </c>
      <c r="E112" s="490" t="str">
        <f t="shared" si="4"/>
        <v>TCP-1⁽ᴹ⁾ Número de casos notificados de todas las formas de tuberculosis (esto es, confirmados bacteriológicamente y con diagnóstico clínico), casos nuevos y recaídas.</v>
      </c>
      <c r="F112" s="491" t="str">
        <f t="shared" si="3"/>
        <v>MCI-01076</v>
      </c>
      <c r="G112" s="490" t="s">
        <v>3254</v>
      </c>
      <c r="H112" s="491"/>
      <c r="I112" s="491" t="s">
        <v>2778</v>
      </c>
      <c r="J112" s="491" t="s">
        <v>3154</v>
      </c>
      <c r="K112" s="491" t="s">
        <v>621</v>
      </c>
      <c r="L112" s="493" t="s">
        <v>2368</v>
      </c>
      <c r="M112" s="493" t="s">
        <v>2369</v>
      </c>
      <c r="N112" s="493" t="s">
        <v>2370</v>
      </c>
      <c r="O112" s="491" t="s">
        <v>3255</v>
      </c>
      <c r="P112" s="491" t="s">
        <v>3256</v>
      </c>
      <c r="Q112" s="491" t="s">
        <v>3257</v>
      </c>
    </row>
    <row r="113" spans="1:17" s="9" customFormat="1" x14ac:dyDescent="0.25">
      <c r="A113" s="490" t="s">
        <v>1152</v>
      </c>
      <c r="B113" s="491" t="s">
        <v>2388</v>
      </c>
      <c r="C113" s="492" t="str">
        <f>CHOOSE(Translations!$C$1+1,L113,M113,N113)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113" s="492" t="str">
        <f>CHOOSE(Translations!$C$1+1,O113,P113,Q113)</f>
        <v>Edad,Género,Resultado de prueba del VIH</v>
      </c>
      <c r="E113" s="490" t="str">
        <f t="shared" si="4"/>
        <v>TCP-2⁽ᴹ⁾ Tasa de éxito del tratamiento en todas las formas de tuberculosis: Porcentaje de casos de tuberculosis, en todas sus formas, confirmados bacteriológicamente y con diagnóstico clínico que se han tratado con éxito (curados y tratamiento completado)</v>
      </c>
      <c r="F113" s="491" t="str">
        <f t="shared" si="3"/>
        <v>MCI-01077</v>
      </c>
      <c r="G113" s="490" t="s">
        <v>3258</v>
      </c>
      <c r="H113" s="491"/>
      <c r="I113" s="491" t="s">
        <v>2778</v>
      </c>
      <c r="J113" s="491" t="s">
        <v>3154</v>
      </c>
      <c r="K113" s="491" t="s">
        <v>621</v>
      </c>
      <c r="L113" s="493" t="s">
        <v>2391</v>
      </c>
      <c r="M113" s="493" t="s">
        <v>2392</v>
      </c>
      <c r="N113" s="493" t="s">
        <v>2393</v>
      </c>
      <c r="O113" s="491" t="s">
        <v>3228</v>
      </c>
      <c r="P113" s="491" t="s">
        <v>3229</v>
      </c>
      <c r="Q113" s="491" t="s">
        <v>3230</v>
      </c>
    </row>
    <row r="114" spans="1:17" s="9" customFormat="1" x14ac:dyDescent="0.25">
      <c r="A114" s="490" t="s">
        <v>1152</v>
      </c>
      <c r="B114" s="491" t="s">
        <v>3259</v>
      </c>
      <c r="C114" s="492" t="str">
        <f>CHOOSE(Translations!$C$1+1,L114,M114,N114)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D114" s="492">
        <f>CHOOSE(Translations!$C$1+1,O114,P114,Q114)</f>
        <v>0</v>
      </c>
      <c r="E114" s="490" t="str">
        <f t="shared" si="4"/>
        <v xml:space="preserve">TCP-3 Porcentaje de laboratorios que demuestran un desempeño adecuado en el aseguramiento externo de la calidad en lo que se refiere a la microscopía de frotis entre el número total de laboratorios que realizan microscopía de frotis durante el periodo de </v>
      </c>
      <c r="F114" s="491" t="str">
        <f t="shared" si="3"/>
        <v>MCI-01078</v>
      </c>
      <c r="G114" s="490" t="s">
        <v>3260</v>
      </c>
      <c r="H114" s="491"/>
      <c r="I114" s="491" t="s">
        <v>2778</v>
      </c>
      <c r="J114" s="491" t="s">
        <v>3154</v>
      </c>
      <c r="K114" s="491" t="s">
        <v>3261</v>
      </c>
      <c r="L114" s="493" t="s">
        <v>3262</v>
      </c>
      <c r="M114" s="493" t="s">
        <v>3263</v>
      </c>
      <c r="N114" s="493" t="s">
        <v>3264</v>
      </c>
      <c r="O114" s="491"/>
      <c r="P114" s="491"/>
      <c r="Q114" s="491"/>
    </row>
    <row r="115" spans="1:17" s="9" customFormat="1" x14ac:dyDescent="0.25">
      <c r="A115" s="490" t="s">
        <v>1152</v>
      </c>
      <c r="B115" s="491" t="s">
        <v>2406</v>
      </c>
      <c r="C115" s="492" t="str">
        <f>CHOOSE(Translations!$C$1+1,L115,M115,N115)</f>
        <v>TCP-5.1 Número de personas en contacto con pacientes de tuberculosis que empezaron a recibir terapia preventiva.</v>
      </c>
      <c r="D115" s="492" t="str">
        <f>CHOOSE(Translations!$C$1+1,O115,P115,Q115)</f>
        <v>Edad</v>
      </c>
      <c r="E115" s="490" t="str">
        <f t="shared" si="4"/>
        <v>TCP-5.1 Número de personas en contacto con pacientes de tuberculosis que empezaron a recibir terapia preventiva.</v>
      </c>
      <c r="F115" s="491" t="str">
        <f t="shared" si="3"/>
        <v>MCI-01079</v>
      </c>
      <c r="G115" s="490" t="s">
        <v>3265</v>
      </c>
      <c r="H115" s="491"/>
      <c r="I115" s="491" t="s">
        <v>2778</v>
      </c>
      <c r="J115" s="491" t="s">
        <v>3154</v>
      </c>
      <c r="K115" s="491" t="s">
        <v>621</v>
      </c>
      <c r="L115" s="493" t="s">
        <v>2409</v>
      </c>
      <c r="M115" s="493" t="s">
        <v>2410</v>
      </c>
      <c r="N115" s="493" t="s">
        <v>2411</v>
      </c>
      <c r="O115" s="491" t="s">
        <v>1463</v>
      </c>
      <c r="P115" s="491" t="s">
        <v>1463</v>
      </c>
      <c r="Q115" s="491" t="s">
        <v>1464</v>
      </c>
    </row>
    <row r="116" spans="1:17" s="9" customFormat="1" x14ac:dyDescent="0.25">
      <c r="A116" s="490" t="s">
        <v>1152</v>
      </c>
      <c r="B116" s="491" t="s">
        <v>3266</v>
      </c>
      <c r="C116" s="492" t="str">
        <f>CHOOSE(Translations!$C$1+1,L116,M116,N116)</f>
        <v>TCP-6a Número de casos de tuberculosis (en todas sus formas) notificados entre reclusos.</v>
      </c>
      <c r="D116" s="492">
        <f>CHOOSE(Translations!$C$1+1,O116,P116,Q116)</f>
        <v>0</v>
      </c>
      <c r="E116" s="490" t="str">
        <f t="shared" si="4"/>
        <v>TCP-6a Número de casos de tuberculosis (en todas sus formas) notificados entre reclusos.</v>
      </c>
      <c r="F116" s="491" t="str">
        <f t="shared" si="3"/>
        <v>MCI-01080</v>
      </c>
      <c r="G116" s="490" t="s">
        <v>3267</v>
      </c>
      <c r="H116" s="491"/>
      <c r="I116" s="491" t="s">
        <v>2778</v>
      </c>
      <c r="J116" s="491" t="s">
        <v>3154</v>
      </c>
      <c r="K116" s="491" t="s">
        <v>621</v>
      </c>
      <c r="L116" s="493" t="s">
        <v>3268</v>
      </c>
      <c r="M116" s="493" t="s">
        <v>3269</v>
      </c>
      <c r="N116" s="493" t="s">
        <v>3270</v>
      </c>
      <c r="O116" s="491"/>
      <c r="P116" s="491"/>
      <c r="Q116" s="491"/>
    </row>
    <row r="117" spans="1:17" s="9" customFormat="1" x14ac:dyDescent="0.25">
      <c r="A117" s="490" t="s">
        <v>1152</v>
      </c>
      <c r="B117" s="491" t="s">
        <v>2416</v>
      </c>
      <c r="C117" s="492" t="str">
        <f>CHOOSE(Translations!$C$1+1,L117,M117,N117)</f>
        <v>TCP-6b Número de casos de tuberculosis (en todas sus formas) notificados entre las poblaciones clave afectadas o los grupos de alto riesgo (distintos de los reclusos).</v>
      </c>
      <c r="D117" s="492" t="str">
        <f>CHOOSE(Translations!$C$1+1,O117,P117,Q117)</f>
        <v>Grupo de riesgo objetivo</v>
      </c>
      <c r="E117" s="490" t="str">
        <f t="shared" si="4"/>
        <v>TCP-6b Número de casos de tuberculosis (en todas sus formas) notificados entre las poblaciones clave afectadas o los grupos de alto riesgo (distintos de los reclusos).</v>
      </c>
      <c r="F117" s="491" t="str">
        <f t="shared" si="3"/>
        <v>MCI-01081</v>
      </c>
      <c r="G117" s="490" t="s">
        <v>3271</v>
      </c>
      <c r="H117" s="491"/>
      <c r="I117" s="491" t="s">
        <v>2778</v>
      </c>
      <c r="J117" s="491" t="s">
        <v>3154</v>
      </c>
      <c r="K117" s="491" t="s">
        <v>621</v>
      </c>
      <c r="L117" s="493" t="s">
        <v>2422</v>
      </c>
      <c r="M117" s="493" t="s">
        <v>2423</v>
      </c>
      <c r="N117" s="493" t="s">
        <v>2424</v>
      </c>
      <c r="O117" s="491" t="s">
        <v>1834</v>
      </c>
      <c r="P117" s="491" t="s">
        <v>1835</v>
      </c>
      <c r="Q117" s="491" t="s">
        <v>1836</v>
      </c>
    </row>
    <row r="118" spans="1:17" s="9" customFormat="1" x14ac:dyDescent="0.25">
      <c r="A118" s="490" t="s">
        <v>1152</v>
      </c>
      <c r="B118" s="491" t="s">
        <v>3272</v>
      </c>
      <c r="C118" s="492" t="str">
        <f>CHOOSE(Translations!$C$1+1,L118,M118,N118)</f>
        <v>TCP-7a Número de casos de tuberculosis notificados (en todas sus formas) aportados por proveedores que no pertenecen al programa nacional para el control de la tuberculosis: centros privados o no gubernamentales.</v>
      </c>
      <c r="D118" s="492">
        <f>CHOOSE(Translations!$C$1+1,O118,P118,Q118)</f>
        <v>0</v>
      </c>
      <c r="E118" s="490" t="str">
        <f t="shared" si="4"/>
        <v>TCP-7a Número de casos de tuberculosis notificados (en todas sus formas) aportados por proveedores que no pertenecen al programa nacional para el control de la tuberculosis: centros privados o no gubernamentales.</v>
      </c>
      <c r="F118" s="491" t="str">
        <f t="shared" si="3"/>
        <v>MCI-01082</v>
      </c>
      <c r="G118" s="490" t="s">
        <v>3273</v>
      </c>
      <c r="H118" s="491"/>
      <c r="I118" s="491" t="s">
        <v>2778</v>
      </c>
      <c r="J118" s="491" t="s">
        <v>3154</v>
      </c>
      <c r="K118" s="491" t="s">
        <v>621</v>
      </c>
      <c r="L118" s="493" t="s">
        <v>3274</v>
      </c>
      <c r="M118" s="493" t="s">
        <v>3275</v>
      </c>
      <c r="N118" s="493" t="s">
        <v>3276</v>
      </c>
      <c r="O118" s="491"/>
      <c r="P118" s="491"/>
      <c r="Q118" s="491"/>
    </row>
    <row r="119" spans="1:17" s="9" customFormat="1" x14ac:dyDescent="0.25">
      <c r="A119" s="490" t="s">
        <v>1152</v>
      </c>
      <c r="B119" s="491" t="s">
        <v>3277</v>
      </c>
      <c r="C119" s="492" t="str">
        <f>CHOOSE(Translations!$C$1+1,L119,M119,N119)</f>
        <v>TCP-7b Número de casos de tuberculosis notificados (en todas sus formas) aportados por proveedores que no pertenecen al programa nacional para el control de la tuberculosis: sector público.</v>
      </c>
      <c r="D119" s="492">
        <f>CHOOSE(Translations!$C$1+1,O119,P119,Q119)</f>
        <v>0</v>
      </c>
      <c r="E119" s="490" t="str">
        <f t="shared" si="4"/>
        <v>TCP-7b Número de casos de tuberculosis notificados (en todas sus formas) aportados por proveedores que no pertenecen al programa nacional para el control de la tuberculosis: sector público.</v>
      </c>
      <c r="F119" s="491" t="str">
        <f t="shared" si="3"/>
        <v>MCI-01083</v>
      </c>
      <c r="G119" s="490" t="s">
        <v>3278</v>
      </c>
      <c r="H119" s="491"/>
      <c r="I119" s="491" t="s">
        <v>2778</v>
      </c>
      <c r="J119" s="491" t="s">
        <v>3154</v>
      </c>
      <c r="K119" s="491" t="s">
        <v>621</v>
      </c>
      <c r="L119" s="493" t="s">
        <v>3279</v>
      </c>
      <c r="M119" s="493" t="s">
        <v>3280</v>
      </c>
      <c r="N119" s="493" t="s">
        <v>3281</v>
      </c>
      <c r="O119" s="491"/>
      <c r="P119" s="491"/>
      <c r="Q119" s="491"/>
    </row>
    <row r="120" spans="1:17" s="9" customFormat="1" x14ac:dyDescent="0.25">
      <c r="A120" s="490" t="s">
        <v>1152</v>
      </c>
      <c r="B120" s="491" t="s">
        <v>3282</v>
      </c>
      <c r="C120" s="492" t="str">
        <f>CHOOSE(Translations!$C$1+1,L120,M120,N120)</f>
        <v>TCP-7c Número de casos de tuberculosis notificados (en todas sus formas) aportados por proveedores que no pertenecen al programa nacional para el control de la tuberculosis: derivados desde las comunidades.</v>
      </c>
      <c r="D120" s="492">
        <f>CHOOSE(Translations!$C$1+1,O120,P120,Q120)</f>
        <v>0</v>
      </c>
      <c r="E120" s="490" t="str">
        <f t="shared" si="4"/>
        <v>TCP-7c Número de casos de tuberculosis notificados (en todas sus formas) aportados por proveedores que no pertenecen al programa nacional para el control de la tuberculosis: derivados desde las comunidades.</v>
      </c>
      <c r="F120" s="491" t="str">
        <f t="shared" si="3"/>
        <v>MCI-01084</v>
      </c>
      <c r="G120" s="490" t="s">
        <v>3283</v>
      </c>
      <c r="H120" s="491"/>
      <c r="I120" s="491" t="s">
        <v>2778</v>
      </c>
      <c r="J120" s="491" t="s">
        <v>3154</v>
      </c>
      <c r="K120" s="491" t="s">
        <v>621</v>
      </c>
      <c r="L120" s="493" t="s">
        <v>3284</v>
      </c>
      <c r="M120" s="493" t="s">
        <v>3285</v>
      </c>
      <c r="N120" s="493" t="s">
        <v>3286</v>
      </c>
      <c r="O120" s="491" t="s">
        <v>3214</v>
      </c>
      <c r="P120" s="491"/>
      <c r="Q120" s="491"/>
    </row>
    <row r="121" spans="1:17" s="9" customFormat="1" x14ac:dyDescent="0.25">
      <c r="A121" s="490" t="s">
        <v>1152</v>
      </c>
      <c r="B121" s="491" t="s">
        <v>3287</v>
      </c>
      <c r="C121" s="492" t="str">
        <f>CHOOSE(Translations!$C$1+1,L121,M121,N121)</f>
        <v>TCP-8 Porcentaje de pacientes de tuberculosis notificados como casos nuevos y recaídas analizados con las pruebas rápidas recomendadas por la OMS en el momento del diagnóstico.</v>
      </c>
      <c r="D121" s="492">
        <f>CHOOSE(Translations!$C$1+1,O121,P121,Q121)</f>
        <v>0</v>
      </c>
      <c r="E121" s="490" t="str">
        <f t="shared" si="4"/>
        <v>TCP-8 Porcentaje de pacientes de tuberculosis notificados como casos nuevos y recaídas analizados con las pruebas rápidas recomendadas por la OMS en el momento del diagnóstico.</v>
      </c>
      <c r="F121" s="491" t="str">
        <f t="shared" si="3"/>
        <v>MCI-01085</v>
      </c>
      <c r="G121" s="490" t="s">
        <v>3288</v>
      </c>
      <c r="H121" s="491"/>
      <c r="I121" s="491" t="s">
        <v>2778</v>
      </c>
      <c r="J121" s="491" t="s">
        <v>3154</v>
      </c>
      <c r="K121" s="491" t="s">
        <v>621</v>
      </c>
      <c r="L121" s="493" t="s">
        <v>3289</v>
      </c>
      <c r="M121" s="493" t="s">
        <v>3290</v>
      </c>
      <c r="N121" s="493" t="s">
        <v>3291</v>
      </c>
      <c r="O121" s="491"/>
      <c r="P121" s="491"/>
      <c r="Q121" s="491"/>
    </row>
    <row r="122" spans="1:17" s="9" customFormat="1" x14ac:dyDescent="0.25">
      <c r="A122" s="490" t="s">
        <v>1160</v>
      </c>
      <c r="B122" s="491" t="s">
        <v>2430</v>
      </c>
      <c r="C122" s="492" t="str">
        <f>CHOOSE(Translations!$C$1+1,L122,M122,N122)</f>
        <v>MDR TB-2⁽ᴹ⁾ Número de casos de tuberculosis resistente a la rifampicina y/o multirresistente notificados.</v>
      </c>
      <c r="D122" s="492" t="str">
        <f>CHOOSE(Translations!$C$1+1,O122,P122,Q122)</f>
        <v>Edad,Género</v>
      </c>
      <c r="E122" s="490" t="str">
        <f t="shared" si="4"/>
        <v>MDR TB-2⁽ᴹ⁾ Número de casos de tuberculosis resistente a la rifampicina y/o multirresistente notificados.</v>
      </c>
      <c r="F122" s="491" t="str">
        <f t="shared" si="3"/>
        <v>MCI-01086</v>
      </c>
      <c r="G122" s="490" t="s">
        <v>3292</v>
      </c>
      <c r="H122" s="491"/>
      <c r="I122" s="491" t="s">
        <v>2778</v>
      </c>
      <c r="J122" s="491" t="s">
        <v>3154</v>
      </c>
      <c r="K122" s="491" t="s">
        <v>621</v>
      </c>
      <c r="L122" s="493" t="s">
        <v>2433</v>
      </c>
      <c r="M122" s="493" t="s">
        <v>2434</v>
      </c>
      <c r="N122" s="493" t="s">
        <v>2435</v>
      </c>
      <c r="O122" s="491" t="s">
        <v>3159</v>
      </c>
      <c r="P122" s="491" t="s">
        <v>2787</v>
      </c>
      <c r="Q122" s="491" t="s">
        <v>2788</v>
      </c>
    </row>
    <row r="123" spans="1:17" s="9" customFormat="1" x14ac:dyDescent="0.25">
      <c r="A123" s="490" t="s">
        <v>1160</v>
      </c>
      <c r="B123" s="491" t="s">
        <v>2442</v>
      </c>
      <c r="C123" s="492" t="str">
        <f>CHOOSE(Translations!$C$1+1,L123,M123,N123)</f>
        <v>MDR TB-3⁽ᴹ⁾ Número de casos de tuberculosis resistente a la rifampicina y/o multirresistente que empezaron a recibir tratamiento de segunda línea.</v>
      </c>
      <c r="D123" s="492" t="str">
        <f>CHOOSE(Translations!$C$1+1,O123,P123,Q123)</f>
        <v>Edad,Género,Tipo de tratamiento</v>
      </c>
      <c r="E123" s="490" t="str">
        <f t="shared" si="4"/>
        <v>MDR TB-3⁽ᴹ⁾ Número de casos de tuberculosis resistente a la rifampicina y/o multirresistente que empezaron a recibir tratamiento de segunda línea.</v>
      </c>
      <c r="F123" s="491" t="str">
        <f t="shared" si="3"/>
        <v>MCI-01087</v>
      </c>
      <c r="G123" s="490" t="s">
        <v>3293</v>
      </c>
      <c r="H123" s="491"/>
      <c r="I123" s="491" t="s">
        <v>2778</v>
      </c>
      <c r="J123" s="491" t="s">
        <v>3154</v>
      </c>
      <c r="K123" s="491" t="s">
        <v>621</v>
      </c>
      <c r="L123" s="493" t="s">
        <v>2451</v>
      </c>
      <c r="M123" s="493" t="s">
        <v>2452</v>
      </c>
      <c r="N123" s="493" t="s">
        <v>2453</v>
      </c>
      <c r="O123" s="491" t="s">
        <v>3294</v>
      </c>
      <c r="P123" s="491" t="s">
        <v>3295</v>
      </c>
      <c r="Q123" s="491" t="s">
        <v>3296</v>
      </c>
    </row>
    <row r="124" spans="1:17" s="9" customFormat="1" x14ac:dyDescent="0.25">
      <c r="A124" s="490" t="s">
        <v>1160</v>
      </c>
      <c r="B124" s="491" t="s">
        <v>3297</v>
      </c>
      <c r="C124" s="492" t="str">
        <f>CHOOSE(Translations!$C$1+1,L124,M124,N124)</f>
        <v>MDR TB-4 Porcentaje de casos de tuberculosis resistente a la rifampicina y/o multirresistente que comenzaron a recibir tratamiento para la tuberculosis multirresistente y cuyo seguimiento se interrumpió a los seis meses.</v>
      </c>
      <c r="D124" s="492">
        <f>CHOOSE(Translations!$C$1+1,O124,P124,Q124)</f>
        <v>0</v>
      </c>
      <c r="E124" s="490" t="str">
        <f t="shared" si="4"/>
        <v>MDR TB-4 Porcentaje de casos de tuberculosis resistente a la rifampicina y/o multirresistente que comenzaron a recibir tratamiento para la tuberculosis multirresistente y cuyo seguimiento se interrumpió a los seis meses.</v>
      </c>
      <c r="F124" s="491" t="str">
        <f t="shared" si="3"/>
        <v>MCI-01088</v>
      </c>
      <c r="G124" s="490" t="s">
        <v>3298</v>
      </c>
      <c r="H124" s="491"/>
      <c r="I124" s="491" t="s">
        <v>2778</v>
      </c>
      <c r="J124" s="491" t="s">
        <v>3154</v>
      </c>
      <c r="K124" s="491" t="s">
        <v>621</v>
      </c>
      <c r="L124" s="493" t="s">
        <v>3299</v>
      </c>
      <c r="M124" s="493" t="s">
        <v>3300</v>
      </c>
      <c r="N124" s="493" t="s">
        <v>3301</v>
      </c>
      <c r="O124" s="491"/>
      <c r="P124" s="491"/>
      <c r="Q124" s="491"/>
    </row>
    <row r="125" spans="1:17" s="9" customFormat="1" x14ac:dyDescent="0.25">
      <c r="A125" s="490" t="s">
        <v>1160</v>
      </c>
      <c r="B125" s="491" t="s">
        <v>3302</v>
      </c>
      <c r="C125" s="492" t="str">
        <f>CHOOSE(Translations!$C$1+1,L125,M125,N125)</f>
        <v>MDR TB-5 Porcentaje de laboratorios de pruebas de sensibilidad a los medicamentos que muestran un desempeño adecuado en lo que se refiere al aseguramiento externo de la calidad.</v>
      </c>
      <c r="D125" s="492">
        <f>CHOOSE(Translations!$C$1+1,O125,P125,Q125)</f>
        <v>0</v>
      </c>
      <c r="E125" s="490" t="str">
        <f t="shared" si="4"/>
        <v>MDR TB-5 Porcentaje de laboratorios de pruebas de sensibilidad a los medicamentos que muestran un desempeño adecuado en lo que se refiere al aseguramiento externo de la calidad.</v>
      </c>
      <c r="F125" s="491" t="str">
        <f t="shared" si="3"/>
        <v>MCI-01089</v>
      </c>
      <c r="G125" s="490" t="s">
        <v>3303</v>
      </c>
      <c r="H125" s="491"/>
      <c r="I125" s="491" t="s">
        <v>2778</v>
      </c>
      <c r="J125" s="491" t="s">
        <v>3154</v>
      </c>
      <c r="K125" s="491" t="s">
        <v>3261</v>
      </c>
      <c r="L125" s="493" t="s">
        <v>3304</v>
      </c>
      <c r="M125" s="493" t="s">
        <v>3305</v>
      </c>
      <c r="N125" s="493" t="s">
        <v>3306</v>
      </c>
      <c r="O125" s="491"/>
      <c r="P125" s="491"/>
      <c r="Q125" s="491"/>
    </row>
    <row r="126" spans="1:17" s="9" customFormat="1" x14ac:dyDescent="0.25">
      <c r="A126" s="490" t="s">
        <v>1160</v>
      </c>
      <c r="B126" s="491" t="s">
        <v>3307</v>
      </c>
      <c r="C126" s="492" t="str">
        <f>CHOOSE(Translations!$C$1+1,L126,M126,N126)</f>
        <v>MDR TB-6 Porcentaje de pacientes con tuberculosis y resultados de sensibilidad a los fármacos al menos con respecto a la rifampicina entre el número total de casos notificados (nuevos y vueltos a tratar) en el mismo año.</v>
      </c>
      <c r="D126" s="492">
        <f>CHOOSE(Translations!$C$1+1,O126,P126,Q126)</f>
        <v>0</v>
      </c>
      <c r="E126" s="490" t="str">
        <f t="shared" si="4"/>
        <v>MDR TB-6 Porcentaje de pacientes con tuberculosis y resultados de sensibilidad a los fármacos al menos con respecto a la rifampicina entre el número total de casos notificados (nuevos y vueltos a tratar) en el mismo año.</v>
      </c>
      <c r="F126" s="491" t="str">
        <f t="shared" si="3"/>
        <v>MCI-01090</v>
      </c>
      <c r="G126" s="490" t="s">
        <v>3308</v>
      </c>
      <c r="H126" s="491"/>
      <c r="I126" s="491" t="s">
        <v>2778</v>
      </c>
      <c r="J126" s="491" t="s">
        <v>3154</v>
      </c>
      <c r="K126" s="491" t="s">
        <v>621</v>
      </c>
      <c r="L126" s="493" t="s">
        <v>3309</v>
      </c>
      <c r="M126" s="493" t="s">
        <v>3310</v>
      </c>
      <c r="N126" s="493" t="s">
        <v>3311</v>
      </c>
      <c r="O126" s="491"/>
      <c r="P126" s="491"/>
      <c r="Q126" s="491"/>
    </row>
    <row r="127" spans="1:17" s="9" customFormat="1" x14ac:dyDescent="0.25">
      <c r="A127" s="490" t="s">
        <v>1160</v>
      </c>
      <c r="B127" s="491" t="s">
        <v>3312</v>
      </c>
      <c r="C127" s="492" t="str">
        <f>CHOOSE(Translations!$C$1+1,L127,M127,N127)</f>
        <v>MDR TB-7.1 Porcentaje de casos confirmados de tuberculosis resistente a la rifampicina y/o multirresistente que se han sometido a pruebas para detectar la resistencia a medicamentos de segunda línea.</v>
      </c>
      <c r="D127" s="492">
        <f>CHOOSE(Translations!$C$1+1,O127,P127,Q127)</f>
        <v>0</v>
      </c>
      <c r="E127" s="490" t="str">
        <f t="shared" si="4"/>
        <v>MDR TB-7.1 Porcentaje de casos confirmados de tuberculosis resistente a la rifampicina y/o multirresistente que se han sometido a pruebas para detectar la resistencia a medicamentos de segunda línea.</v>
      </c>
      <c r="F127" s="491" t="str">
        <f t="shared" si="3"/>
        <v>MCI-01091</v>
      </c>
      <c r="G127" s="490" t="s">
        <v>3313</v>
      </c>
      <c r="H127" s="491"/>
      <c r="I127" s="491" t="s">
        <v>2778</v>
      </c>
      <c r="J127" s="491" t="s">
        <v>3154</v>
      </c>
      <c r="K127" s="491" t="s">
        <v>621</v>
      </c>
      <c r="L127" s="493" t="s">
        <v>3314</v>
      </c>
      <c r="M127" s="493" t="s">
        <v>3315</v>
      </c>
      <c r="N127" s="493" t="s">
        <v>3316</v>
      </c>
      <c r="O127" s="491"/>
      <c r="P127" s="491"/>
      <c r="Q127" s="491"/>
    </row>
    <row r="128" spans="1:17" s="9" customFormat="1" x14ac:dyDescent="0.25">
      <c r="A128" s="490" t="s">
        <v>1160</v>
      </c>
      <c r="B128" s="491" t="s">
        <v>3317</v>
      </c>
      <c r="C128" s="492" t="str">
        <f>CHOOSE(Translations!$C$1+1,L128,M128,N128)</f>
        <v>MDR TB-8 Número de casos de tuberculosis ultrarresistente (TB-XR) que reciben tratamiento.</v>
      </c>
      <c r="D128" s="492">
        <f>CHOOSE(Translations!$C$1+1,O128,P128,Q128)</f>
        <v>0</v>
      </c>
      <c r="E128" s="490" t="str">
        <f t="shared" si="4"/>
        <v>MDR TB-8 Número de casos de tuberculosis ultrarresistente (TB-XR) que reciben tratamiento.</v>
      </c>
      <c r="F128" s="491" t="str">
        <f t="shared" si="3"/>
        <v>MCI-01092</v>
      </c>
      <c r="G128" s="490" t="s">
        <v>3318</v>
      </c>
      <c r="H128" s="491"/>
      <c r="I128" s="491" t="s">
        <v>2778</v>
      </c>
      <c r="J128" s="491" t="s">
        <v>3154</v>
      </c>
      <c r="K128" s="491" t="s">
        <v>621</v>
      </c>
      <c r="L128" s="493" t="s">
        <v>3319</v>
      </c>
      <c r="M128" s="493" t="s">
        <v>3320</v>
      </c>
      <c r="N128" s="493" t="s">
        <v>3321</v>
      </c>
      <c r="O128" s="491"/>
      <c r="P128" s="491"/>
      <c r="Q128" s="491"/>
    </row>
    <row r="129" spans="1:17" s="9" customFormat="1" x14ac:dyDescent="0.25">
      <c r="A129" s="490" t="s">
        <v>1160</v>
      </c>
      <c r="B129" s="491" t="s">
        <v>2467</v>
      </c>
      <c r="C129" s="492" t="str">
        <f>CHOOSE(Translations!$C$1+1,L129,M129,N129)</f>
        <v>MDR TB-9 Índice de éxito del tratamiento de los casos de tuberculosis resistente a la rifampicina y/o tuberculosis multirresistente: Porcentaje de casos de tuberculosis resistente a la rifampicina y/o tuberculosis multirresistente tratados con éxito.</v>
      </c>
      <c r="D129" s="492" t="str">
        <f>CHOOSE(Translations!$C$1+1,O129,P129,Q129)</f>
        <v>Edad,Género,Resultado de prueba del VIH,Definición de caso</v>
      </c>
      <c r="E129" s="490" t="str">
        <f t="shared" si="4"/>
        <v>MDR TB-9 Índice de éxito del tratamiento de los casos de tuberculosis resistente a la rifampicina y/o tuberculosis multirresistente: Porcentaje de casos de tuberculosis resistente a la rifampicina y/o tuberculosis multirresistente tratados con éxito.</v>
      </c>
      <c r="F129" s="491" t="str">
        <f t="shared" si="3"/>
        <v>MCI-01093</v>
      </c>
      <c r="G129" s="490" t="s">
        <v>3322</v>
      </c>
      <c r="H129" s="491"/>
      <c r="I129" s="491" t="s">
        <v>2778</v>
      </c>
      <c r="J129" s="491" t="s">
        <v>3154</v>
      </c>
      <c r="K129" s="491" t="s">
        <v>621</v>
      </c>
      <c r="L129" s="493" t="s">
        <v>2472</v>
      </c>
      <c r="M129" s="493" t="s">
        <v>2473</v>
      </c>
      <c r="N129" s="493" t="s">
        <v>2474</v>
      </c>
      <c r="O129" s="491" t="s">
        <v>3255</v>
      </c>
      <c r="P129" s="491" t="s">
        <v>3256</v>
      </c>
      <c r="Q129" s="491" t="s">
        <v>3257</v>
      </c>
    </row>
    <row r="130" spans="1:17" s="9" customFormat="1" x14ac:dyDescent="0.25">
      <c r="A130" s="490" t="s">
        <v>3140</v>
      </c>
      <c r="B130" s="491" t="s">
        <v>2762</v>
      </c>
      <c r="C130" s="492" t="str">
        <f>CHOOSE(Translations!$C$1+1,L130,M130,N130)</f>
        <v>TB/HIV-3.1a Porcentaje de personas que viven con VIH que iniciaron TARV que se han sometido a un tamizaje de TB</v>
      </c>
      <c r="D130" s="492" t="str">
        <f>CHOOSE(Translations!$C$1+1,O130,P130,Q130)</f>
        <v>Género,Edad</v>
      </c>
      <c r="E130" s="490" t="str">
        <f t="shared" si="4"/>
        <v>TB/HIV-3.1a Porcentaje de personas que viven con VIH que iniciaron TARV que se han sometido a un tamizaje de TB</v>
      </c>
      <c r="F130" s="491" t="str">
        <f t="shared" si="3"/>
        <v>MCI-01230</v>
      </c>
      <c r="G130" s="490" t="s">
        <v>3323</v>
      </c>
      <c r="H130" s="491"/>
      <c r="I130" s="491" t="s">
        <v>2778</v>
      </c>
      <c r="J130" s="491" t="s">
        <v>3154</v>
      </c>
      <c r="K130" s="491" t="s">
        <v>621</v>
      </c>
      <c r="L130" s="493" t="s">
        <v>2765</v>
      </c>
      <c r="M130" s="493" t="s">
        <v>2766</v>
      </c>
      <c r="N130" s="493" t="s">
        <v>2767</v>
      </c>
      <c r="O130" s="491" t="s">
        <v>2801</v>
      </c>
      <c r="P130" s="491" t="s">
        <v>2780</v>
      </c>
      <c r="Q130" s="491" t="s">
        <v>2781</v>
      </c>
    </row>
    <row r="131" spans="1:17" s="9" customFormat="1" x14ac:dyDescent="0.25">
      <c r="A131" s="490" t="s">
        <v>3140</v>
      </c>
      <c r="B131" s="491" t="s">
        <v>2485</v>
      </c>
      <c r="C131" s="492" t="str">
        <f>CHOOSE(Translations!$C$1+1,L131,M131,N131)</f>
        <v>TB/HIV-5 Porcentaje de casos nuevos y recaídas de TB registrados, con estado serológico de VIH documentado</v>
      </c>
      <c r="D131" s="492" t="str">
        <f>CHOOSE(Translations!$C$1+1,O131,P131,Q131)</f>
        <v>Edad,Género,Resultado de prueba del VIH</v>
      </c>
      <c r="E131" s="490" t="str">
        <f t="shared" si="4"/>
        <v>TB/HIV-5 Porcentaje de casos nuevos y recaídas de TB registrados, con estado serológico de VIH documentado</v>
      </c>
      <c r="F131" s="491" t="str">
        <f t="shared" si="3"/>
        <v>MCI-01094</v>
      </c>
      <c r="G131" s="490" t="s">
        <v>3324</v>
      </c>
      <c r="H131" s="491"/>
      <c r="I131" s="491" t="s">
        <v>2778</v>
      </c>
      <c r="J131" s="491" t="s">
        <v>3154</v>
      </c>
      <c r="K131" s="491" t="s">
        <v>621</v>
      </c>
      <c r="L131" s="493" t="s">
        <v>2488</v>
      </c>
      <c r="M131" s="493" t="s">
        <v>2489</v>
      </c>
      <c r="N131" s="493" t="s">
        <v>2490</v>
      </c>
      <c r="O131" s="491" t="s">
        <v>3228</v>
      </c>
      <c r="P131" s="491" t="s">
        <v>3229</v>
      </c>
      <c r="Q131" s="491" t="s">
        <v>3230</v>
      </c>
    </row>
    <row r="132" spans="1:17" s="9" customFormat="1" x14ac:dyDescent="0.25">
      <c r="A132" s="490" t="s">
        <v>3140</v>
      </c>
      <c r="B132" s="491" t="s">
        <v>2501</v>
      </c>
      <c r="C132" s="492" t="str">
        <f>CHOOSE(Translations!$C$1+1,L132,M132,N132)</f>
        <v>TB/HIV-6⁽ᴹ⁾ Porcentaje de casos nuevos y recaídas de TB coinfectados con VIH que recibieron TARV durante el tratamiento de la TB</v>
      </c>
      <c r="D132" s="492" t="str">
        <f>CHOOSE(Translations!$C$1+1,O132,P132,Q132)</f>
        <v>Edad,Género</v>
      </c>
      <c r="E132" s="490" t="str">
        <f t="shared" si="4"/>
        <v>TB/HIV-6⁽ᴹ⁾ Porcentaje de casos nuevos y recaídas de TB coinfectados con VIH que recibieron TARV durante el tratamiento de la TB</v>
      </c>
      <c r="F132" s="491" t="str">
        <f t="shared" si="3"/>
        <v>MCI-01095</v>
      </c>
      <c r="G132" s="490" t="s">
        <v>3325</v>
      </c>
      <c r="H132" s="491"/>
      <c r="I132" s="491" t="s">
        <v>2778</v>
      </c>
      <c r="J132" s="491" t="s">
        <v>3154</v>
      </c>
      <c r="K132" s="491" t="s">
        <v>621</v>
      </c>
      <c r="L132" s="493" t="s">
        <v>2504</v>
      </c>
      <c r="M132" s="493" t="s">
        <v>2505</v>
      </c>
      <c r="N132" s="493" t="s">
        <v>2506</v>
      </c>
      <c r="O132" s="491" t="s">
        <v>3159</v>
      </c>
      <c r="P132" s="491" t="s">
        <v>2787</v>
      </c>
      <c r="Q132" s="491" t="s">
        <v>2788</v>
      </c>
    </row>
    <row r="133" spans="1:17" s="9" customFormat="1" x14ac:dyDescent="0.25">
      <c r="A133" s="490" t="s">
        <v>3140</v>
      </c>
      <c r="B133" s="491" t="s">
        <v>2515</v>
      </c>
      <c r="C133" s="492" t="str">
        <f>CHOOSE(Translations!$C$1+1,L133,M133,N133)</f>
        <v>TB/HIV-7 Porcentaje de personas que viven con el VIH recibiendo terapia antirretroviral que han iniciado la terapia preventiva de TB entre las personas que viven con el VIH elegibles durante el período de reporte</v>
      </c>
      <c r="D133" s="492" t="str">
        <f>CHOOSE(Translations!$C$1+1,O133,P133,Q133)</f>
        <v>Edad,Género,Régimen de TPT</v>
      </c>
      <c r="E133" s="490" t="str">
        <f t="shared" si="4"/>
        <v>TB/HIV-7 Porcentaje de personas que viven con el VIH recibiendo terapia antirretroviral que han iniciado la terapia preventiva de TB entre las personas que viven con el VIH elegibles durante el período de reporte</v>
      </c>
      <c r="F133" s="491" t="str">
        <f t="shared" si="3"/>
        <v>MCI-01097</v>
      </c>
      <c r="G133" s="490" t="s">
        <v>3326</v>
      </c>
      <c r="H133" s="491"/>
      <c r="I133" s="491" t="s">
        <v>2778</v>
      </c>
      <c r="J133" s="491" t="s">
        <v>3154</v>
      </c>
      <c r="K133" s="491" t="s">
        <v>621</v>
      </c>
      <c r="L133" s="493" t="s">
        <v>2522</v>
      </c>
      <c r="M133" s="493" t="s">
        <v>2523</v>
      </c>
      <c r="N133" s="493" t="s">
        <v>2524</v>
      </c>
      <c r="O133" s="491" t="s">
        <v>3327</v>
      </c>
      <c r="P133" s="491" t="s">
        <v>3328</v>
      </c>
      <c r="Q133" s="491" t="s">
        <v>3329</v>
      </c>
    </row>
    <row r="134" spans="1:17" s="9" customFormat="1" x14ac:dyDescent="0.25">
      <c r="A134" s="490" t="s">
        <v>3080</v>
      </c>
      <c r="B134" s="491" t="s">
        <v>3330</v>
      </c>
      <c r="C134" s="492" t="str">
        <f>CHOOSE(Translations!$C$1+1,L134,M134,N134)</f>
        <v>PSM-3 Porcentaje de establecimientos  de salud que prestan servicios de diagnóstico con productos marcadores disponibles el día de la visita o el día de la notificación</v>
      </c>
      <c r="D134" s="492">
        <f>CHOOSE(Translations!$C$1+1,O134,P134,Q134)</f>
        <v>0</v>
      </c>
      <c r="E134" s="490" t="str">
        <f t="shared" si="4"/>
        <v>PSM-3 Porcentaje de establecimientos  de salud que prestan servicios de diagnóstico con productos marcadores disponibles el día de la visita o el día de la notificación</v>
      </c>
      <c r="F134" s="491" t="str">
        <f t="shared" si="3"/>
        <v>MCI-01115</v>
      </c>
      <c r="G134" s="490" t="s">
        <v>3331</v>
      </c>
      <c r="H134" s="491"/>
      <c r="I134" s="491" t="s">
        <v>2778</v>
      </c>
      <c r="J134" s="491" t="s">
        <v>3154</v>
      </c>
      <c r="K134" s="491" t="s">
        <v>3261</v>
      </c>
      <c r="L134" s="493" t="s">
        <v>3332</v>
      </c>
      <c r="M134" s="493" t="s">
        <v>3333</v>
      </c>
      <c r="N134" s="493" t="s">
        <v>3334</v>
      </c>
      <c r="O134" s="491"/>
      <c r="P134" s="491"/>
      <c r="Q134" s="491"/>
    </row>
    <row r="135" spans="1:17" s="9" customFormat="1" x14ac:dyDescent="0.25">
      <c r="A135" s="490" t="s">
        <v>3080</v>
      </c>
      <c r="B135" s="491" t="s">
        <v>3335</v>
      </c>
      <c r="C135" s="492" t="str">
        <f>CHOOSE(Translations!$C$1+1,L135,M135,N135)</f>
        <v>PSM-4 Porcentaje de establecimientos de salud con medicamentos marcadores para las tres enfermedades disponibles el día de la visita o el día de la notificación</v>
      </c>
      <c r="D135" s="492">
        <f>CHOOSE(Translations!$C$1+1,O135,P135,Q135)</f>
        <v>0</v>
      </c>
      <c r="E135" s="490" t="str">
        <f t="shared" si="4"/>
        <v>PSM-4 Porcentaje de establecimientos de salud con medicamentos marcadores para las tres enfermedades disponibles el día de la visita o el día de la notificación</v>
      </c>
      <c r="F135" s="491" t="str">
        <f t="shared" si="3"/>
        <v>MCI-01116</v>
      </c>
      <c r="G135" s="490" t="s">
        <v>3336</v>
      </c>
      <c r="H135" s="491"/>
      <c r="I135" s="491" t="s">
        <v>2778</v>
      </c>
      <c r="J135" s="491" t="s">
        <v>3154</v>
      </c>
      <c r="K135" s="491" t="s">
        <v>3261</v>
      </c>
      <c r="L135" s="493" t="s">
        <v>3337</v>
      </c>
      <c r="M135" s="493" t="s">
        <v>3338</v>
      </c>
      <c r="N135" s="493" t="s">
        <v>3339</v>
      </c>
      <c r="O135" s="491"/>
      <c r="P135" s="491"/>
      <c r="Q135" s="491"/>
    </row>
    <row r="136" spans="1:17" s="9" customFormat="1" x14ac:dyDescent="0.25">
      <c r="A136" s="490" t="s">
        <v>3080</v>
      </c>
      <c r="B136" s="491" t="s">
        <v>3340</v>
      </c>
      <c r="C136" s="492" t="str">
        <f>CHOOSE(Translations!$C$1+1,L136,M136,N136)</f>
        <v>PSM-5 Porcentaje de envíos entregados a tiempo y completos en el número total de envíos que se espera que sean entregados para las tres enfermedades durante el período del informe</v>
      </c>
      <c r="D136" s="492">
        <f>CHOOSE(Translations!$C$1+1,O136,P136,Q136)</f>
        <v>0</v>
      </c>
      <c r="E136" s="490" t="str">
        <f t="shared" si="4"/>
        <v>PSM-5 Porcentaje de envíos entregados a tiempo y completos en el número total de envíos que se espera que sean entregados para las tres enfermedades durante el período del informe</v>
      </c>
      <c r="F136" s="491" t="str">
        <f t="shared" si="3"/>
        <v>MCI-01117</v>
      </c>
      <c r="G136" s="490" t="s">
        <v>3341</v>
      </c>
      <c r="H136" s="491"/>
      <c r="I136" s="491" t="s">
        <v>2778</v>
      </c>
      <c r="J136" s="491" t="s">
        <v>3154</v>
      </c>
      <c r="K136" s="491" t="s">
        <v>622</v>
      </c>
      <c r="L136" s="493" t="s">
        <v>3342</v>
      </c>
      <c r="M136" s="493" t="s">
        <v>3343</v>
      </c>
      <c r="N136" s="493" t="s">
        <v>3344</v>
      </c>
      <c r="O136" s="491"/>
      <c r="P136" s="491"/>
      <c r="Q136" s="491"/>
    </row>
    <row r="137" spans="1:17" s="9" customFormat="1" x14ac:dyDescent="0.25">
      <c r="A137" s="490" t="s">
        <v>3080</v>
      </c>
      <c r="B137" s="491" t="s">
        <v>3345</v>
      </c>
      <c r="C137" s="492" t="str">
        <f>CHOOSE(Translations!$C$1+1,L137,M137,N137)</f>
        <v>PSM-6 Porcentaje de productos sanitarios para órdenes de compra confirmadas con los proveedores en las cantidades previstas para las tres enfermedades durante el período del informe</v>
      </c>
      <c r="D137" s="492">
        <f>CHOOSE(Translations!$C$1+1,O137,P137,Q137)</f>
        <v>0</v>
      </c>
      <c r="E137" s="490" t="str">
        <f t="shared" si="4"/>
        <v>PSM-6 Porcentaje de productos sanitarios para órdenes de compra confirmadas con los proveedores en las cantidades previstas para las tres enfermedades durante el período del informe</v>
      </c>
      <c r="F137" s="491" t="str">
        <f t="shared" si="3"/>
        <v>MCI-01118</v>
      </c>
      <c r="G137" s="490" t="s">
        <v>3346</v>
      </c>
      <c r="H137" s="491"/>
      <c r="I137" s="491" t="s">
        <v>2778</v>
      </c>
      <c r="J137" s="491" t="s">
        <v>3154</v>
      </c>
      <c r="K137" s="491" t="s">
        <v>622</v>
      </c>
      <c r="L137" s="493" t="s">
        <v>3347</v>
      </c>
      <c r="M137" s="493" t="s">
        <v>3348</v>
      </c>
      <c r="N137" s="493" t="s">
        <v>3349</v>
      </c>
      <c r="O137" s="491"/>
      <c r="P137" s="491"/>
      <c r="Q137" s="491"/>
    </row>
    <row r="138" spans="1:17" s="9" customFormat="1" x14ac:dyDescent="0.25">
      <c r="A138" s="490" t="s">
        <v>3080</v>
      </c>
      <c r="B138" s="491" t="s">
        <v>3350</v>
      </c>
      <c r="C138" s="492" t="str">
        <f>CHOOSE(Translations!$C$1+1,L138,M138,N138)</f>
        <v>PSM-7 Porcentaje de lotes de productos sanitarios para las tres enfermedades sometidos a pruebas de calidad de acuerdo con la política de aseguramiento de la calidad del Fondo Mundial</v>
      </c>
      <c r="D138" s="492">
        <f>CHOOSE(Translations!$C$1+1,O138,P138,Q138)</f>
        <v>0</v>
      </c>
      <c r="E138" s="490" t="str">
        <f t="shared" si="4"/>
        <v>PSM-7 Porcentaje de lotes de productos sanitarios para las tres enfermedades sometidos a pruebas de calidad de acuerdo con la política de aseguramiento de la calidad del Fondo Mundial</v>
      </c>
      <c r="F138" s="491" t="str">
        <f t="shared" si="3"/>
        <v>MCI-01119</v>
      </c>
      <c r="G138" s="490" t="s">
        <v>3351</v>
      </c>
      <c r="H138" s="491"/>
      <c r="I138" s="491" t="s">
        <v>2778</v>
      </c>
      <c r="J138" s="491" t="s">
        <v>3154</v>
      </c>
      <c r="K138" s="491" t="s">
        <v>622</v>
      </c>
      <c r="L138" s="493" t="s">
        <v>3352</v>
      </c>
      <c r="M138" s="493" t="s">
        <v>3353</v>
      </c>
      <c r="N138" s="493" t="s">
        <v>3354</v>
      </c>
      <c r="O138" s="491"/>
      <c r="P138" s="491"/>
      <c r="Q138" s="491"/>
    </row>
    <row r="139" spans="1:17" s="9" customFormat="1" x14ac:dyDescent="0.25">
      <c r="A139" s="490" t="s">
        <v>3069</v>
      </c>
      <c r="B139" s="491" t="s">
        <v>2670</v>
      </c>
      <c r="C139" s="492" t="str">
        <f>CHOOSE(Translations!$C$1+1,L139,M139,N139)</f>
        <v>M&amp;E-2a Exhaustividad de los informes de los establecimientos de salud  : porcentaje de informes mensuales previstos  de los establecimientos de salud  (para el período de reporte) que se reciben realmente</v>
      </c>
      <c r="D139" s="492" t="str">
        <f>CHOOSE(Translations!$C$1+1,O139,P139,Q139)</f>
        <v>Tipo de informe</v>
      </c>
      <c r="E139" s="490" t="str">
        <f t="shared" si="4"/>
        <v>M&amp;E-2a Exhaustividad de los informes de los establecimientos de salud  : porcentaje de informes mensuales previstos  de los establecimientos de salud  (para el período de reporte) que se reciben realmente</v>
      </c>
      <c r="F139" s="491" t="str">
        <f t="shared" si="3"/>
        <v>MCI-01120</v>
      </c>
      <c r="G139" s="490" t="s">
        <v>3355</v>
      </c>
      <c r="H139" s="491"/>
      <c r="I139" s="491" t="s">
        <v>2778</v>
      </c>
      <c r="J139" s="491" t="s">
        <v>3154</v>
      </c>
      <c r="K139" s="491" t="s">
        <v>621</v>
      </c>
      <c r="L139" s="493" t="s">
        <v>2679</v>
      </c>
      <c r="M139" s="493" t="s">
        <v>2680</v>
      </c>
      <c r="N139" s="493" t="s">
        <v>2681</v>
      </c>
      <c r="O139" s="491" t="s">
        <v>2673</v>
      </c>
      <c r="P139" s="491" t="s">
        <v>2674</v>
      </c>
      <c r="Q139" s="491" t="s">
        <v>2675</v>
      </c>
    </row>
    <row r="140" spans="1:17" s="9" customFormat="1" x14ac:dyDescent="0.25">
      <c r="A140" s="490" t="s">
        <v>3069</v>
      </c>
      <c r="B140" s="491" t="s">
        <v>2697</v>
      </c>
      <c r="C140" s="492" t="str">
        <f>CHOOSE(Translations!$C$1+1,L140,M140,N140)</f>
        <v>M&amp;E-2b Puntualidad de los informes de los  establecimientos de salud : porcentaje de informes de los establecimientos de salud  enviados mensualmente ( para el período de reporte) que se reciben puntualmente de acuerdo con las directrices nacionales</v>
      </c>
      <c r="D140" s="492" t="str">
        <f>CHOOSE(Translations!$C$1+1,O140,P140,Q140)</f>
        <v>Tipo de informe</v>
      </c>
      <c r="E140" s="490" t="str">
        <f t="shared" si="4"/>
        <v>M&amp;E-2b Puntualidad de los informes de los  establecimientos de salud : porcentaje de informes de los establecimientos de salud  enviados mensualmente ( para el período de reporte) que se reciben puntualmente de acuerdo con las directrices nacionales</v>
      </c>
      <c r="F140" s="491" t="str">
        <f t="shared" si="3"/>
        <v>MCI-01121</v>
      </c>
      <c r="G140" s="490" t="s">
        <v>3356</v>
      </c>
      <c r="H140" s="491"/>
      <c r="I140" s="491" t="s">
        <v>2778</v>
      </c>
      <c r="J140" s="491" t="s">
        <v>3154</v>
      </c>
      <c r="K140" s="491" t="s">
        <v>621</v>
      </c>
      <c r="L140" s="493" t="s">
        <v>2700</v>
      </c>
      <c r="M140" s="493" t="s">
        <v>2701</v>
      </c>
      <c r="N140" s="493" t="s">
        <v>2702</v>
      </c>
      <c r="O140" s="491" t="s">
        <v>2673</v>
      </c>
      <c r="P140" s="491" t="s">
        <v>2674</v>
      </c>
      <c r="Q140" s="491" t="s">
        <v>2675</v>
      </c>
    </row>
    <row r="141" spans="1:17" s="9" customFormat="1" x14ac:dyDescent="0.25">
      <c r="A141" s="490" t="s">
        <v>3069</v>
      </c>
      <c r="B141" s="491" t="s">
        <v>3357</v>
      </c>
      <c r="C141" s="492" t="str">
        <f>CHOOSE(Translations!$C$1+1,L141,M141,N141)</f>
        <v>M&amp;E-4 Porcentaje de  informes sobre la prestación de servicios de los trabajadores de la salud comunitarios integrados en el Sistema de información de gestión de salud  nacional</v>
      </c>
      <c r="D141" s="492">
        <f>CHOOSE(Translations!$C$1+1,O141,P141,Q141)</f>
        <v>0</v>
      </c>
      <c r="E141" s="490" t="str">
        <f t="shared" si="4"/>
        <v>M&amp;E-4 Porcentaje de  informes sobre la prestación de servicios de los trabajadores de la salud comunitarios integrados en el Sistema de información de gestión de salud  nacional</v>
      </c>
      <c r="F141" s="491" t="str">
        <f t="shared" si="3"/>
        <v>MCI-01122</v>
      </c>
      <c r="G141" s="490" t="s">
        <v>3358</v>
      </c>
      <c r="H141" s="491"/>
      <c r="I141" s="491" t="s">
        <v>2778</v>
      </c>
      <c r="J141" s="491" t="s">
        <v>3154</v>
      </c>
      <c r="K141" s="491" t="s">
        <v>621</v>
      </c>
      <c r="L141" s="493" t="s">
        <v>3359</v>
      </c>
      <c r="M141" s="493" t="s">
        <v>3360</v>
      </c>
      <c r="N141" s="493" t="s">
        <v>3361</v>
      </c>
      <c r="O141" s="491"/>
      <c r="P141" s="491"/>
      <c r="Q141" s="491"/>
    </row>
    <row r="142" spans="1:17" s="9" customFormat="1" x14ac:dyDescent="0.25">
      <c r="A142" s="490" t="s">
        <v>3069</v>
      </c>
      <c r="B142" s="491" t="s">
        <v>3362</v>
      </c>
      <c r="C142" s="492" t="str">
        <f>CHOOSE(Translations!$C$1+1,L142,M142,N142)</f>
        <v>M&amp;E-5 Porcentaje de establecimientos de salud que registran y envían los datos mediante el sistema de comunicación electrónico</v>
      </c>
      <c r="D142" s="492">
        <f>CHOOSE(Translations!$C$1+1,O142,P142,Q142)</f>
        <v>0</v>
      </c>
      <c r="E142" s="490" t="str">
        <f t="shared" si="4"/>
        <v>M&amp;E-5 Porcentaje de establecimientos de salud que registran y envían los datos mediante el sistema de comunicación electrónico</v>
      </c>
      <c r="F142" s="491" t="str">
        <f t="shared" si="3"/>
        <v>MCI-01123</v>
      </c>
      <c r="G142" s="490" t="s">
        <v>3363</v>
      </c>
      <c r="H142" s="491"/>
      <c r="I142" s="491" t="s">
        <v>2778</v>
      </c>
      <c r="J142" s="491" t="s">
        <v>3154</v>
      </c>
      <c r="K142" s="491" t="s">
        <v>622</v>
      </c>
      <c r="L142" s="493" t="s">
        <v>3364</v>
      </c>
      <c r="M142" s="493" t="s">
        <v>3365</v>
      </c>
      <c r="N142" s="493" t="s">
        <v>3366</v>
      </c>
      <c r="O142" s="491"/>
      <c r="P142" s="491"/>
      <c r="Q142" s="491"/>
    </row>
    <row r="143" spans="1:17" s="9" customFormat="1" x14ac:dyDescent="0.25">
      <c r="A143" s="490" t="s">
        <v>3069</v>
      </c>
      <c r="B143" s="491" t="s">
        <v>3367</v>
      </c>
      <c r="C143" s="492" t="str">
        <f>CHOOSE(Translations!$C$1+1,L143,M143,N143)</f>
        <v>M&amp;E-6 Porcentaje de distritos que producen informe(s) analíticos periódicos de acuerdo con el plan y el formato de los informes acordados a nivel nacional durante el período de reporte</v>
      </c>
      <c r="D143" s="492">
        <f>CHOOSE(Translations!$C$1+1,O143,P143,Q143)</f>
        <v>0</v>
      </c>
      <c r="E143" s="490" t="str">
        <f t="shared" si="4"/>
        <v>M&amp;E-6 Porcentaje de distritos que producen informe(s) analíticos periódicos de acuerdo con el plan y el formato de los informes acordados a nivel nacional durante el período de reporte</v>
      </c>
      <c r="F143" s="491" t="str">
        <f t="shared" ref="F143:F155" si="5">B143</f>
        <v>MCI-01124</v>
      </c>
      <c r="G143" s="490" t="s">
        <v>3368</v>
      </c>
      <c r="H143" s="491"/>
      <c r="I143" s="491" t="s">
        <v>2778</v>
      </c>
      <c r="J143" s="491" t="s">
        <v>3154</v>
      </c>
      <c r="K143" s="491" t="s">
        <v>622</v>
      </c>
      <c r="L143" s="493" t="s">
        <v>3369</v>
      </c>
      <c r="M143" s="493" t="s">
        <v>3370</v>
      </c>
      <c r="N143" s="493" t="s">
        <v>3371</v>
      </c>
      <c r="O143" s="491"/>
      <c r="P143" s="491"/>
      <c r="Q143" s="491"/>
    </row>
    <row r="144" spans="1:17" s="9" customFormat="1" x14ac:dyDescent="0.25">
      <c r="A144" s="490" t="s">
        <v>3102</v>
      </c>
      <c r="B144" s="491" t="s">
        <v>2709</v>
      </c>
      <c r="C144" s="492" t="str">
        <f>CHOOSE(Translations!$C$1+1,L144,M144,N144)</f>
        <v>HRH-1 Tasa de puestos vacantes: número de puestos de salud a tiempo completo vacantes durante al menos 6 meses como porcentaje total del número de puestos financiados</v>
      </c>
      <c r="D144" s="492" t="str">
        <f>CHOOSE(Translations!$C$1+1,O144,P144,Q144)</f>
        <v>Grupo de ocupación</v>
      </c>
      <c r="E144" s="490" t="str">
        <f t="shared" ref="E144:E155" si="6">LEFT(C144,255)</f>
        <v>HRH-1 Tasa de puestos vacantes: número de puestos de salud a tiempo completo vacantes durante al menos 6 meses como porcentaje total del número de puestos financiados</v>
      </c>
      <c r="F144" s="491" t="str">
        <f t="shared" si="5"/>
        <v>MCI-01125</v>
      </c>
      <c r="G144" s="490" t="s">
        <v>3372</v>
      </c>
      <c r="H144" s="491"/>
      <c r="I144" s="491" t="s">
        <v>2778</v>
      </c>
      <c r="J144" s="491" t="s">
        <v>3154</v>
      </c>
      <c r="K144" s="491" t="s">
        <v>622</v>
      </c>
      <c r="L144" s="493" t="s">
        <v>2712</v>
      </c>
      <c r="M144" s="493" t="s">
        <v>2713</v>
      </c>
      <c r="N144" s="493" t="s">
        <v>2714</v>
      </c>
      <c r="O144" s="491" t="s">
        <v>1957</v>
      </c>
      <c r="P144" s="491" t="s">
        <v>1958</v>
      </c>
      <c r="Q144" s="491" t="s">
        <v>1959</v>
      </c>
    </row>
    <row r="145" spans="1:18" s="9" customFormat="1" x14ac:dyDescent="0.25">
      <c r="A145" s="490" t="s">
        <v>3102</v>
      </c>
      <c r="B145" s="491" t="s">
        <v>2723</v>
      </c>
      <c r="C145" s="492" t="str">
        <f>CHOOSE(Translations!$C$1+1,L145,M145,N145)</f>
        <v>HRH-2 Proporción de estudiantes graduados de un programa de educación y formación de personal sanitario respecto del número de estudiantes inscritos en primer año</v>
      </c>
      <c r="D145" s="492" t="str">
        <f>CHOOSE(Translations!$C$1+1,O145,P145,Q145)</f>
        <v>Grupo de ocupación</v>
      </c>
      <c r="E145" s="490" t="str">
        <f t="shared" si="6"/>
        <v>HRH-2 Proporción de estudiantes graduados de un programa de educación y formación de personal sanitario respecto del número de estudiantes inscritos en primer año</v>
      </c>
      <c r="F145" s="491" t="str">
        <f t="shared" si="5"/>
        <v>MCI-01126</v>
      </c>
      <c r="G145" s="490" t="s">
        <v>3373</v>
      </c>
      <c r="H145" s="491"/>
      <c r="I145" s="491" t="s">
        <v>2778</v>
      </c>
      <c r="J145" s="491" t="s">
        <v>3154</v>
      </c>
      <c r="K145" s="491" t="s">
        <v>622</v>
      </c>
      <c r="L145" s="493" t="s">
        <v>2726</v>
      </c>
      <c r="M145" s="493" t="s">
        <v>2727</v>
      </c>
      <c r="N145" s="493" t="s">
        <v>2728</v>
      </c>
      <c r="O145" s="491" t="s">
        <v>1957</v>
      </c>
      <c r="P145" s="491" t="s">
        <v>1958</v>
      </c>
      <c r="Q145" s="491" t="s">
        <v>1959</v>
      </c>
    </row>
    <row r="146" spans="1:18" s="9" customFormat="1" x14ac:dyDescent="0.25">
      <c r="A146" s="490" t="s">
        <v>3102</v>
      </c>
      <c r="B146" s="491" t="s">
        <v>3374</v>
      </c>
      <c r="C146" s="492" t="str">
        <f>CHOOSE(Translations!$C$1+1,L146,M146,N146)</f>
        <v>HRH-3 Proporción de trabajadores de  salud comunitarios que recibieron al menos una supervisión de apoyo  durante el período de reporte</v>
      </c>
      <c r="D146" s="492">
        <f>CHOOSE(Translations!$C$1+1,O146,P146,Q146)</f>
        <v>0</v>
      </c>
      <c r="E146" s="490" t="str">
        <f t="shared" si="6"/>
        <v>HRH-3 Proporción de trabajadores de  salud comunitarios que recibieron al menos una supervisión de apoyo  durante el período de reporte</v>
      </c>
      <c r="F146" s="491" t="str">
        <f t="shared" si="5"/>
        <v>MCI-01127</v>
      </c>
      <c r="G146" s="490" t="s">
        <v>3375</v>
      </c>
      <c r="H146" s="491"/>
      <c r="I146" s="491" t="s">
        <v>2778</v>
      </c>
      <c r="J146" s="491" t="s">
        <v>3154</v>
      </c>
      <c r="K146" s="491" t="s">
        <v>622</v>
      </c>
      <c r="L146" s="493" t="s">
        <v>3376</v>
      </c>
      <c r="M146" s="493" t="s">
        <v>3377</v>
      </c>
      <c r="N146" s="493" t="s">
        <v>3378</v>
      </c>
      <c r="O146" s="491"/>
      <c r="P146" s="491"/>
      <c r="Q146" s="491"/>
    </row>
    <row r="147" spans="1:18" s="9" customFormat="1" x14ac:dyDescent="0.25">
      <c r="A147" s="490" t="s">
        <v>3113</v>
      </c>
      <c r="B147" s="491" t="s">
        <v>3379</v>
      </c>
      <c r="C147" s="492" t="str">
        <f>CHOOSE(Translations!$C$1+1,L147,M147,N147)</f>
        <v>SD-3 Número de visitas al departamento de pacientes ambulatorios por persona y año</v>
      </c>
      <c r="D147" s="492">
        <f>CHOOSE(Translations!$C$1+1,O147,P147,Q147)</f>
        <v>0</v>
      </c>
      <c r="E147" s="490" t="str">
        <f t="shared" si="6"/>
        <v>SD-3 Número de visitas al departamento de pacientes ambulatorios por persona y año</v>
      </c>
      <c r="F147" s="491" t="str">
        <f t="shared" si="5"/>
        <v>MCI-01128</v>
      </c>
      <c r="G147" s="490" t="s">
        <v>3380</v>
      </c>
      <c r="H147" s="491"/>
      <c r="I147" s="491" t="s">
        <v>2778</v>
      </c>
      <c r="J147" s="491" t="s">
        <v>3154</v>
      </c>
      <c r="K147" s="491" t="s">
        <v>622</v>
      </c>
      <c r="L147" s="493" t="s">
        <v>3381</v>
      </c>
      <c r="M147" s="493" t="s">
        <v>3382</v>
      </c>
      <c r="N147" s="493" t="s">
        <v>3383</v>
      </c>
      <c r="O147" s="491"/>
      <c r="P147" s="491"/>
      <c r="Q147" s="491"/>
    </row>
    <row r="148" spans="1:18" s="9" customFormat="1" x14ac:dyDescent="0.25">
      <c r="A148" s="490" t="s">
        <v>3113</v>
      </c>
      <c r="B148" s="491" t="s">
        <v>3384</v>
      </c>
      <c r="C148" s="492" t="str">
        <f>CHOOSE(Translations!$C$1+1,L148,M148,N148)</f>
        <v>SD-4 Porcentaje de establecimientos de salud con comité de salud en funcionamiento (o similar) que incluya a los miembros comunitarios y se reúna al menos una vez por trimestre</v>
      </c>
      <c r="D148" s="492">
        <f>CHOOSE(Translations!$C$1+1,O148,P148,Q148)</f>
        <v>0</v>
      </c>
      <c r="E148" s="490" t="str">
        <f t="shared" si="6"/>
        <v>SD-4 Porcentaje de establecimientos de salud con comité de salud en funcionamiento (o similar) que incluya a los miembros comunitarios y se reúna al menos una vez por trimestre</v>
      </c>
      <c r="F148" s="491" t="str">
        <f t="shared" si="5"/>
        <v>MCI-01129</v>
      </c>
      <c r="G148" s="490" t="s">
        <v>3385</v>
      </c>
      <c r="H148" s="491"/>
      <c r="I148" s="491" t="s">
        <v>2778</v>
      </c>
      <c r="J148" s="491" t="s">
        <v>3154</v>
      </c>
      <c r="K148" s="491" t="s">
        <v>622</v>
      </c>
      <c r="L148" s="493" t="s">
        <v>3386</v>
      </c>
      <c r="M148" s="493" t="s">
        <v>3387</v>
      </c>
      <c r="N148" s="493" t="s">
        <v>3388</v>
      </c>
      <c r="O148" s="491"/>
      <c r="P148" s="491"/>
      <c r="Q148" s="491"/>
    </row>
    <row r="149" spans="1:18" s="9" customFormat="1" x14ac:dyDescent="0.25">
      <c r="A149" s="490" t="s">
        <v>3113</v>
      </c>
      <c r="B149" s="491" t="s">
        <v>3389</v>
      </c>
      <c r="C149" s="492" t="str">
        <f>CHOOSE(Translations!$C$1+1,L149,M149,N149)</f>
        <v>SD-5 Porcentaje de establecimientos de salud que reciben supervisión de apoyo al menos una vez por trimestre</v>
      </c>
      <c r="D149" s="492">
        <f>CHOOSE(Translations!$C$1+1,O149,P149,Q149)</f>
        <v>0</v>
      </c>
      <c r="E149" s="490" t="str">
        <f t="shared" si="6"/>
        <v>SD-5 Porcentaje de establecimientos de salud que reciben supervisión de apoyo al menos una vez por trimestre</v>
      </c>
      <c r="F149" s="491" t="str">
        <f t="shared" si="5"/>
        <v>MCI-01130</v>
      </c>
      <c r="G149" s="490" t="s">
        <v>3390</v>
      </c>
      <c r="H149" s="491"/>
      <c r="I149" s="491" t="s">
        <v>2778</v>
      </c>
      <c r="J149" s="491" t="s">
        <v>3154</v>
      </c>
      <c r="K149" s="491" t="s">
        <v>3261</v>
      </c>
      <c r="L149" s="493" t="s">
        <v>3391</v>
      </c>
      <c r="M149" s="493" t="s">
        <v>3392</v>
      </c>
      <c r="N149" s="493" t="s">
        <v>3393</v>
      </c>
      <c r="O149" s="491"/>
      <c r="P149" s="491"/>
      <c r="Q149" s="491"/>
    </row>
    <row r="150" spans="1:18" s="9" customFormat="1" x14ac:dyDescent="0.25">
      <c r="A150" s="490" t="s">
        <v>3113</v>
      </c>
      <c r="B150" s="491" t="s">
        <v>2737</v>
      </c>
      <c r="C150" s="492" t="str">
        <f>CHOOSE(Translations!$C$1+1,L150,M150,N150)</f>
        <v>SD-6 Número de  condiciones de la atención integrada en la comunidad de enfermedades infantiles tratadas en niños menores de 5 años en áreas objetivo durante el período de informes</v>
      </c>
      <c r="D150" s="492" t="str">
        <f>CHOOSE(Translations!$C$1+1,O150,P150,Q150)</f>
        <v>Condición GICC</v>
      </c>
      <c r="E150" s="490" t="str">
        <f t="shared" si="6"/>
        <v>SD-6 Número de  condiciones de la atención integrada en la comunidad de enfermedades infantiles tratadas en niños menores de 5 años en áreas objetivo durante el período de informes</v>
      </c>
      <c r="F150" s="491" t="str">
        <f t="shared" si="5"/>
        <v>MCI-01131</v>
      </c>
      <c r="G150" s="490" t="s">
        <v>3394</v>
      </c>
      <c r="H150" s="491"/>
      <c r="I150" s="491" t="s">
        <v>2778</v>
      </c>
      <c r="J150" s="491" t="s">
        <v>3154</v>
      </c>
      <c r="K150" s="491" t="s">
        <v>621</v>
      </c>
      <c r="L150" s="493" t="s">
        <v>2745</v>
      </c>
      <c r="M150" s="493" t="s">
        <v>2746</v>
      </c>
      <c r="N150" s="493" t="s">
        <v>2747</v>
      </c>
      <c r="O150" s="491" t="s">
        <v>2740</v>
      </c>
      <c r="P150" s="491" t="s">
        <v>2741</v>
      </c>
      <c r="Q150" s="491" t="s">
        <v>2742</v>
      </c>
    </row>
    <row r="151" spans="1:18" s="9" customFormat="1" x14ac:dyDescent="0.25">
      <c r="A151" s="490" t="s">
        <v>3058</v>
      </c>
      <c r="B151" s="491" t="s">
        <v>3395</v>
      </c>
      <c r="C151" s="492" t="str">
        <f>CHOOSE(Translations!$C$1+1,L151,M151,N151)</f>
        <v>FMS-1 Porcentaje de componentes del sistema de gestión de financiamiento público utilizado para la gestión de financiamiento de las subvenciones</v>
      </c>
      <c r="D151" s="492">
        <f>CHOOSE(Translations!$C$1+1,O151,P151,Q151)</f>
        <v>0</v>
      </c>
      <c r="E151" s="490" t="str">
        <f t="shared" si="6"/>
        <v>FMS-1 Porcentaje de componentes del sistema de gestión de financiamiento público utilizado para la gestión de financiamiento de las subvenciones</v>
      </c>
      <c r="F151" s="491" t="str">
        <f t="shared" si="5"/>
        <v>MCI-01132</v>
      </c>
      <c r="G151" s="490" t="s">
        <v>3396</v>
      </c>
      <c r="H151" s="491"/>
      <c r="I151" s="491" t="s">
        <v>2778</v>
      </c>
      <c r="J151" s="491" t="s">
        <v>3154</v>
      </c>
      <c r="K151" s="491" t="s">
        <v>622</v>
      </c>
      <c r="L151" s="493" t="s">
        <v>3397</v>
      </c>
      <c r="M151" s="493" t="s">
        <v>3398</v>
      </c>
      <c r="N151" s="493" t="s">
        <v>3399</v>
      </c>
      <c r="O151" s="491"/>
      <c r="P151" s="491"/>
      <c r="Q151" s="491"/>
    </row>
    <row r="152" spans="1:18" s="9" customFormat="1" x14ac:dyDescent="0.25">
      <c r="A152" s="490" t="s">
        <v>3091</v>
      </c>
      <c r="B152" s="491" t="s">
        <v>3400</v>
      </c>
      <c r="C152" s="492" t="str">
        <f>CHOOSE(Translations!$C$1+1,L152,M152,N152)</f>
        <v>HSG-1 Porcentaje de equipos de gestión sanitaria en los distritos u otras unidades administrativas que han elaborado un plan de monitoreo, incluidos objetivos de trabajo anuales y medidas de desempeño</v>
      </c>
      <c r="D152" s="492">
        <f>CHOOSE(Translations!$C$1+1,O152,P152,Q152)</f>
        <v>0</v>
      </c>
      <c r="E152" s="490" t="str">
        <f t="shared" si="6"/>
        <v>HSG-1 Porcentaje de equipos de gestión sanitaria en los distritos u otras unidades administrativas que han elaborado un plan de monitoreo, incluidos objetivos de trabajo anuales y medidas de desempeño</v>
      </c>
      <c r="F152" s="491" t="str">
        <f t="shared" si="5"/>
        <v>MCI-01133</v>
      </c>
      <c r="G152" s="490" t="s">
        <v>3401</v>
      </c>
      <c r="H152" s="491"/>
      <c r="I152" s="491" t="s">
        <v>2778</v>
      </c>
      <c r="J152" s="491" t="s">
        <v>3154</v>
      </c>
      <c r="K152" s="491" t="s">
        <v>622</v>
      </c>
      <c r="L152" s="493" t="s">
        <v>3402</v>
      </c>
      <c r="M152" s="493" t="s">
        <v>3403</v>
      </c>
      <c r="N152" s="493" t="s">
        <v>3404</v>
      </c>
      <c r="O152" s="491"/>
      <c r="P152" s="491"/>
      <c r="Q152" s="491"/>
    </row>
    <row r="153" spans="1:18" s="9" customFormat="1" x14ac:dyDescent="0.25">
      <c r="A153" s="490" t="s">
        <v>3047</v>
      </c>
      <c r="B153" s="491" t="s">
        <v>3405</v>
      </c>
      <c r="C153" s="492" t="str">
        <f>CHOOSE(Translations!$C$1+1,L153,M153,N153)</f>
        <v>CSS-1 Porcentaje de informes de monitoreo  comunitarios presentados a los mecanismos de supervisión pertinentes</v>
      </c>
      <c r="D153" s="492">
        <f>CHOOSE(Translations!$C$1+1,O153,P153,Q153)</f>
        <v>0</v>
      </c>
      <c r="E153" s="490" t="str">
        <f t="shared" si="6"/>
        <v>CSS-1 Porcentaje de informes de monitoreo  comunitarios presentados a los mecanismos de supervisión pertinentes</v>
      </c>
      <c r="F153" s="491" t="str">
        <f t="shared" si="5"/>
        <v>MCI-01134</v>
      </c>
      <c r="G153" s="490" t="s">
        <v>3406</v>
      </c>
      <c r="H153" s="491"/>
      <c r="I153" s="491" t="s">
        <v>2778</v>
      </c>
      <c r="J153" s="491" t="s">
        <v>3154</v>
      </c>
      <c r="K153" s="491" t="s">
        <v>621</v>
      </c>
      <c r="L153" s="493" t="s">
        <v>3407</v>
      </c>
      <c r="M153" s="493" t="s">
        <v>3408</v>
      </c>
      <c r="N153" s="493" t="s">
        <v>3409</v>
      </c>
      <c r="O153" s="491"/>
      <c r="P153" s="491"/>
      <c r="Q153" s="491"/>
    </row>
    <row r="154" spans="1:18" s="9" customFormat="1" x14ac:dyDescent="0.25">
      <c r="A154" s="490" t="s">
        <v>3047</v>
      </c>
      <c r="B154" s="491" t="s">
        <v>3410</v>
      </c>
      <c r="C154" s="492" t="str">
        <f>CHOOSE(Translations!$C$1+1,L154,M154,N154)</f>
        <v>CSS-2 Número de organizaciones comunitarias que recibieron un paquete de formación predefinido</v>
      </c>
      <c r="D154" s="492">
        <f>CHOOSE(Translations!$C$1+1,O154,P154,Q154)</f>
        <v>0</v>
      </c>
      <c r="E154" s="490" t="str">
        <f t="shared" si="6"/>
        <v>CSS-2 Número de organizaciones comunitarias que recibieron un paquete de formación predefinido</v>
      </c>
      <c r="F154" s="491" t="str">
        <f t="shared" si="5"/>
        <v>MCI-01135</v>
      </c>
      <c r="G154" s="490" t="s">
        <v>3411</v>
      </c>
      <c r="H154" s="491"/>
      <c r="I154" s="491" t="s">
        <v>2778</v>
      </c>
      <c r="J154" s="491" t="s">
        <v>3154</v>
      </c>
      <c r="K154" s="491" t="s">
        <v>622</v>
      </c>
      <c r="L154" s="493" t="s">
        <v>3412</v>
      </c>
      <c r="M154" s="493" t="s">
        <v>3413</v>
      </c>
      <c r="N154" s="493" t="s">
        <v>3414</v>
      </c>
      <c r="O154" s="491"/>
      <c r="P154" s="491"/>
      <c r="Q154" s="491"/>
    </row>
    <row r="155" spans="1:18" s="9" customFormat="1" x14ac:dyDescent="0.25">
      <c r="A155" s="490" t="s">
        <v>3124</v>
      </c>
      <c r="B155" s="491" t="s">
        <v>3415</v>
      </c>
      <c r="C155" s="492" t="str">
        <f>CHOOSE(Translations!$C$1+1,L155,M155,N155)</f>
        <v>LAB-1 Porcentaje de laboratorios nacionales de referencia acreditados de acuerdo con el estándar ISO15189 o que hayan conseguido al menos cuatro estrellas con vistas a obtener la acreditación</v>
      </c>
      <c r="D155" s="492">
        <f>CHOOSE(Translations!$C$1+1,O155,P155,Q155)</f>
        <v>0</v>
      </c>
      <c r="E155" s="490" t="str">
        <f t="shared" si="6"/>
        <v>LAB-1 Porcentaje de laboratorios nacionales de referencia acreditados de acuerdo con el estándar ISO15189 o que hayan conseguido al menos cuatro estrellas con vistas a obtener la acreditación</v>
      </c>
      <c r="F155" s="491" t="str">
        <f t="shared" si="5"/>
        <v>MCI-01136</v>
      </c>
      <c r="G155" s="490" t="s">
        <v>3416</v>
      </c>
      <c r="H155" s="491"/>
      <c r="I155" s="491" t="s">
        <v>2778</v>
      </c>
      <c r="J155" s="491" t="s">
        <v>3154</v>
      </c>
      <c r="K155" s="491" t="s">
        <v>622</v>
      </c>
      <c r="L155" s="493" t="s">
        <v>3417</v>
      </c>
      <c r="M155" s="493" t="s">
        <v>3418</v>
      </c>
      <c r="N155" s="493" t="s">
        <v>3419</v>
      </c>
      <c r="O155" s="491"/>
      <c r="P155" s="491"/>
      <c r="Q155" s="491"/>
    </row>
    <row r="157" spans="1:18" ht="13" x14ac:dyDescent="0.3">
      <c r="B157" s="2" t="s">
        <v>101</v>
      </c>
    </row>
    <row r="158" spans="1:18" x14ac:dyDescent="0.25">
      <c r="B158" s="9" t="s">
        <v>225</v>
      </c>
      <c r="C158" s="156" t="s">
        <v>60</v>
      </c>
      <c r="D158" s="156" t="s">
        <v>194</v>
      </c>
      <c r="E158" s="156" t="s">
        <v>91</v>
      </c>
      <c r="F158" s="156" t="s">
        <v>195</v>
      </c>
      <c r="G158" s="156" t="s">
        <v>48</v>
      </c>
      <c r="H158" s="156" t="s">
        <v>112</v>
      </c>
      <c r="I158" s="156" t="s">
        <v>226</v>
      </c>
      <c r="J158" s="156" t="s">
        <v>223</v>
      </c>
      <c r="K158" s="156" t="s">
        <v>285</v>
      </c>
      <c r="L158" s="156" t="s">
        <v>305</v>
      </c>
      <c r="M158" s="156" t="s">
        <v>221</v>
      </c>
      <c r="N158" s="156" t="s">
        <v>103</v>
      </c>
      <c r="O158" s="156" t="s">
        <v>104</v>
      </c>
      <c r="P158" s="156" t="s">
        <v>351</v>
      </c>
      <c r="Q158" s="156" t="s">
        <v>446</v>
      </c>
      <c r="R158" s="156" t="s">
        <v>444</v>
      </c>
    </row>
    <row r="159" spans="1:18" hidden="1" x14ac:dyDescent="0.25">
      <c r="B159" s="1" t="str">
        <f t="array" ref="B159">IFERROR(INDEX($C$159:$C$210, MATCH(0, COUNTIF($B$158:B158, $C$159:$C$210&amp;"") + IF($C$159:$C$210="",1,0), 0)), "")</f>
        <v>--Select--</v>
      </c>
      <c r="C159" s="158" t="s">
        <v>52</v>
      </c>
      <c r="D159" s="156" t="s">
        <v>94</v>
      </c>
      <c r="E159" s="156" t="s">
        <v>90</v>
      </c>
      <c r="F159" s="156" t="str">
        <f>CHOOSE(Translations!$C$1+1,'Reference Records'!C159,'Reference Records'!Q159,'Reference Records'!R159)</f>
        <v>[Name - ES]</v>
      </c>
      <c r="G159" s="156" t="s">
        <v>47</v>
      </c>
      <c r="H159" s="159" t="s">
        <v>111</v>
      </c>
      <c r="I159" s="156" t="str">
        <f t="array" ref="I159">IFERROR(INDEX($D$159:$D$210, MATCH(0, COUNTIF($I$158:I158, $D$159:$D$210&amp;"") + IF($D$159:$D$210="",1,0), 0)), "")</f>
        <v>[Module-Coverage-Intervention Reference (Name)]</v>
      </c>
      <c r="J159" s="156" t="str">
        <f t="array" ref="J159">IFERROR(IF(INDEX($F$159:$F$210,MATCH(LEFT(I159,255),LEFT($D$159:$D$210,255),0))=0,"",INDEX($F$159:$F$210,MATCH(LEFT(I159,255),LEFT($D$159:$D$210,255),0))),"")</f>
        <v>[Name - ES]</v>
      </c>
      <c r="K159" s="156" t="s">
        <v>284</v>
      </c>
      <c r="L159" s="157" t="s">
        <v>102</v>
      </c>
      <c r="M159" s="157" t="s">
        <v>220</v>
      </c>
      <c r="N159" s="156" t="str">
        <f>D159</f>
        <v>[Module-Coverage-Intervention Reference (Name)]</v>
      </c>
      <c r="O159" s="156"/>
      <c r="P159" s="157" t="s">
        <v>350</v>
      </c>
      <c r="Q159" s="157" t="s">
        <v>445</v>
      </c>
      <c r="R159" s="157" t="s">
        <v>443</v>
      </c>
    </row>
    <row r="160" spans="1:18" s="9" customFormat="1" x14ac:dyDescent="0.25">
      <c r="B160" s="488" t="str">
        <f t="array" ref="B160">IFERROR(INDEX($C$159:$C$210, MATCH(0, COUNTIF($B$158:B159, $C$159:$C$210&amp;"") + IF($C$159:$C$210="",1,0), 0)), "")</f>
        <v>COVID-19</v>
      </c>
      <c r="C160" s="158" t="s">
        <v>2983</v>
      </c>
      <c r="D160" s="156" t="s">
        <v>2984</v>
      </c>
      <c r="E160" s="156" t="s">
        <v>274</v>
      </c>
      <c r="F160" s="156" t="str">
        <f>CHOOSE(Translations!$C$1+1,'Reference Records'!C160,'Reference Records'!Q160,'Reference Records'!R160)</f>
        <v>COVID-19</v>
      </c>
      <c r="G160" s="156" t="s">
        <v>2985</v>
      </c>
      <c r="H160" s="161" t="s">
        <v>2986</v>
      </c>
      <c r="I160" s="156" t="str">
        <f t="array" ref="I160">IFERROR(INDEX($D$159:$D$210, MATCH(0, COUNTIF($I$158:I159, $D$159:$D$210&amp;"") + IF($D$159:$D$210="",1,0), 0)), "")</f>
        <v>MCI-01236</v>
      </c>
      <c r="J160" s="156" t="str">
        <f t="array" ref="J160">IFERROR(IF(INDEX($F$159:$F$210,MATCH(LEFT(I160,255),LEFT($D$159:$D$210,255),0))=0,"",INDEX($F$159:$F$210,MATCH(LEFT(I160,255),LEFT($D$159:$D$210,255),0))),"")</f>
        <v>COVID-19</v>
      </c>
      <c r="K160" s="156" t="s">
        <v>2778</v>
      </c>
      <c r="L160" s="157"/>
      <c r="M160" s="157" t="s">
        <v>2987</v>
      </c>
      <c r="N160" s="156" t="str">
        <f t="shared" ref="N160:N202" si="7">D160</f>
        <v>MCI-01236</v>
      </c>
      <c r="O160" s="156"/>
      <c r="P160" s="157"/>
      <c r="Q160" s="157" t="s">
        <v>2983</v>
      </c>
      <c r="R160" s="157" t="s">
        <v>2983</v>
      </c>
    </row>
    <row r="161" spans="2:18" s="9" customFormat="1" x14ac:dyDescent="0.25">
      <c r="B161" s="488" t="str">
        <f t="array" ref="B161">IFERROR(INDEX($C$159:$C$210, MATCH(0, COUNTIF($B$158:B160, $C$159:$C$210&amp;"") + IF($C$159:$C$210="",1,0), 0)), "")</f>
        <v>Differentiated HIV Testing Services</v>
      </c>
      <c r="C161" s="158" t="s">
        <v>2983</v>
      </c>
      <c r="D161" s="156" t="s">
        <v>2984</v>
      </c>
      <c r="E161" s="156" t="s">
        <v>1414</v>
      </c>
      <c r="F161" s="156" t="str">
        <f>CHOOSE(Translations!$C$1+1,'Reference Records'!C161,'Reference Records'!Q161,'Reference Records'!R161)</f>
        <v>COVID-19</v>
      </c>
      <c r="G161" s="156" t="s">
        <v>2988</v>
      </c>
      <c r="H161" s="161" t="s">
        <v>2986</v>
      </c>
      <c r="I161" s="156" t="str">
        <f t="array" ref="I161">IFERROR(INDEX($D$159:$D$210, MATCH(0, COUNTIF($I$158:I160, $D$159:$D$210&amp;"") + IF($D$159:$D$210="",1,0), 0)), "")</f>
        <v>MCI-00650</v>
      </c>
      <c r="J161" s="156" t="str">
        <f t="array" ref="J161">IFERROR(IF(INDEX($F$159:$F$210,MATCH(LEFT(I161,255),LEFT($D$159:$D$210,255),0))=0,"",INDEX($F$159:$F$210,MATCH(LEFT(I161,255),LEFT($D$159:$D$210,255),0))),"")</f>
        <v>Servicios diferenciados de diagnóstico del VIH</v>
      </c>
      <c r="K161" s="156" t="s">
        <v>2778</v>
      </c>
      <c r="L161" s="157"/>
      <c r="M161" s="157" t="s">
        <v>2989</v>
      </c>
      <c r="N161" s="156" t="str">
        <f t="shared" si="7"/>
        <v>MCI-01236</v>
      </c>
      <c r="O161" s="156"/>
      <c r="P161" s="157"/>
      <c r="Q161" s="157" t="s">
        <v>2983</v>
      </c>
      <c r="R161" s="157" t="s">
        <v>2983</v>
      </c>
    </row>
    <row r="162" spans="2:18" s="9" customFormat="1" x14ac:dyDescent="0.25">
      <c r="B162" s="488" t="str">
        <f t="array" ref="B162">IFERROR(INDEX($C$159:$C$210, MATCH(0, COUNTIF($B$158:B161, $C$159:$C$210&amp;"") + IF($C$159:$C$210="",1,0), 0)), "")</f>
        <v>MDR-TB</v>
      </c>
      <c r="C162" s="158" t="s">
        <v>2983</v>
      </c>
      <c r="D162" s="156" t="s">
        <v>2984</v>
      </c>
      <c r="E162" s="156" t="s">
        <v>1413</v>
      </c>
      <c r="F162" s="156" t="str">
        <f>CHOOSE(Translations!$C$1+1,'Reference Records'!C162,'Reference Records'!Q162,'Reference Records'!R162)</f>
        <v>COVID-19</v>
      </c>
      <c r="G162" s="156" t="s">
        <v>2990</v>
      </c>
      <c r="H162" s="161" t="s">
        <v>2986</v>
      </c>
      <c r="I162" s="156" t="str">
        <f t="array" ref="I162">IFERROR(INDEX($D$159:$D$210, MATCH(0, COUNTIF($I$158:I161, $D$159:$D$210&amp;"") + IF($D$159:$D$210="",1,0), 0)), "")</f>
        <v>MCI-00654</v>
      </c>
      <c r="J162" s="156" t="str">
        <f t="array" ref="J162">IFERROR(IF(INDEX($F$159:$F$210,MATCH(LEFT(I162,255),LEFT($D$159:$D$210,255),0))=0,"",INDEX($F$159:$F$210,MATCH(LEFT(I162,255),LEFT($D$159:$D$210,255),0))),"")</f>
        <v>Tuberculosis multirresistente</v>
      </c>
      <c r="K162" s="156" t="s">
        <v>2778</v>
      </c>
      <c r="L162" s="157"/>
      <c r="M162" s="157" t="s">
        <v>2991</v>
      </c>
      <c r="N162" s="156" t="str">
        <f t="shared" si="7"/>
        <v>MCI-01236</v>
      </c>
      <c r="O162" s="156"/>
      <c r="P162" s="157"/>
      <c r="Q162" s="157" t="s">
        <v>2983</v>
      </c>
      <c r="R162" s="157" t="s">
        <v>2983</v>
      </c>
    </row>
    <row r="163" spans="2:18" s="9" customFormat="1" x14ac:dyDescent="0.25">
      <c r="B163" s="488" t="str">
        <f t="array" ref="B163">IFERROR(INDEX($C$159:$C$210, MATCH(0, COUNTIF($B$158:B162, $C$159:$C$210&amp;"") + IF($C$159:$C$210="",1,0), 0)), "")</f>
        <v>Payment for results</v>
      </c>
      <c r="C163" s="158" t="s">
        <v>2992</v>
      </c>
      <c r="D163" s="156" t="s">
        <v>1140</v>
      </c>
      <c r="E163" s="156" t="s">
        <v>1413</v>
      </c>
      <c r="F163" s="156" t="str">
        <f>CHOOSE(Translations!$C$1+1,'Reference Records'!C163,'Reference Records'!Q163,'Reference Records'!R163)</f>
        <v>Servicios diferenciados de diagnóstico del VIH</v>
      </c>
      <c r="G163" s="156" t="s">
        <v>2993</v>
      </c>
      <c r="H163" s="161" t="s">
        <v>1142</v>
      </c>
      <c r="I163" s="156" t="str">
        <f t="array" ref="I163">IFERROR(INDEX($D$159:$D$210, MATCH(0, COUNTIF($I$158:I162, $D$159:$D$210&amp;"") + IF($D$159:$D$210="",1,0), 0)), "")</f>
        <v>MCI-00669</v>
      </c>
      <c r="J163" s="156" t="str">
        <f t="array" ref="J163">IFERROR(IF(INDEX($F$159:$F$210,MATCH(LEFT(I163,255),LEFT($D$159:$D$210,255),0))=0,"",INDEX($F$159:$F$210,MATCH(LEFT(I163,255),LEFT($D$159:$D$210,255),0))),"")</f>
        <v>Financiación basada en los resultados</v>
      </c>
      <c r="K163" s="156" t="s">
        <v>2778</v>
      </c>
      <c r="L163" s="157"/>
      <c r="M163" s="157" t="s">
        <v>2994</v>
      </c>
      <c r="N163" s="156" t="str">
        <f t="shared" si="7"/>
        <v>MCI-00650</v>
      </c>
      <c r="O163" s="156"/>
      <c r="P163" s="157"/>
      <c r="Q163" s="157" t="s">
        <v>2995</v>
      </c>
      <c r="R163" s="157" t="s">
        <v>2996</v>
      </c>
    </row>
    <row r="164" spans="2:18" s="9" customFormat="1" x14ac:dyDescent="0.25">
      <c r="B164" s="488" t="str">
        <f t="array" ref="B164">IFERROR(INDEX($C$159:$C$210, MATCH(0, COUNTIF($B$158:B163, $C$159:$C$210&amp;"") + IF($C$159:$C$210="",1,0), 0)), "")</f>
        <v>PMTCT</v>
      </c>
      <c r="C164" s="158" t="s">
        <v>2997</v>
      </c>
      <c r="D164" s="156" t="s">
        <v>1160</v>
      </c>
      <c r="E164" s="156" t="s">
        <v>1414</v>
      </c>
      <c r="F164" s="156" t="str">
        <f>CHOOSE(Translations!$C$1+1,'Reference Records'!C164,'Reference Records'!Q164,'Reference Records'!R164)</f>
        <v>Tuberculosis multirresistente</v>
      </c>
      <c r="G164" s="156" t="s">
        <v>2998</v>
      </c>
      <c r="H164" s="161" t="s">
        <v>1162</v>
      </c>
      <c r="I164" s="156" t="str">
        <f t="array" ref="I164">IFERROR(INDEX($D$159:$D$210, MATCH(0, COUNTIF($I$158:I163, $D$159:$D$210&amp;"") + IF($D$159:$D$210="",1,0), 0)), "")</f>
        <v>MCI-00649</v>
      </c>
      <c r="J164" s="156" t="str">
        <f t="array" ref="J164">IFERROR(IF(INDEX($F$159:$F$210,MATCH(LEFT(I164,255),LEFT($D$159:$D$210,255),0))=0,"",INDEX($F$159:$F$210,MATCH(LEFT(I164,255),LEFT($D$159:$D$210,255),0))),"")</f>
        <v>PTMI</v>
      </c>
      <c r="K164" s="156" t="s">
        <v>2778</v>
      </c>
      <c r="L164" s="157"/>
      <c r="M164" s="157" t="s">
        <v>2999</v>
      </c>
      <c r="N164" s="156" t="str">
        <f t="shared" si="7"/>
        <v>MCI-00654</v>
      </c>
      <c r="O164" s="156"/>
      <c r="P164" s="157"/>
      <c r="Q164" s="157" t="s">
        <v>3000</v>
      </c>
      <c r="R164" s="157" t="s">
        <v>3001</v>
      </c>
    </row>
    <row r="165" spans="2:18" s="9" customFormat="1" x14ac:dyDescent="0.25">
      <c r="B165" s="488" t="str">
        <f t="array" ref="B165">IFERROR(INDEX($C$159:$C$210, MATCH(0, COUNTIF($B$158:B164, $C$159:$C$210&amp;"") + IF($C$159:$C$210="",1,0), 0)), "")</f>
        <v>Prevention</v>
      </c>
      <c r="C165" s="158" t="s">
        <v>3002</v>
      </c>
      <c r="D165" s="156" t="s">
        <v>1144</v>
      </c>
      <c r="E165" s="156" t="s">
        <v>1413</v>
      </c>
      <c r="F165" s="156" t="str">
        <f>CHOOSE(Translations!$C$1+1,'Reference Records'!C165,'Reference Records'!Q165,'Reference Records'!R165)</f>
        <v>Financiación basada en los resultados</v>
      </c>
      <c r="G165" s="156" t="s">
        <v>3003</v>
      </c>
      <c r="H165" s="161" t="s">
        <v>1146</v>
      </c>
      <c r="I165" s="156" t="str">
        <f t="array" ref="I165">IFERROR(INDEX($D$159:$D$210, MATCH(0, COUNTIF($I$158:I164, $D$159:$D$210&amp;"") + IF($D$159:$D$210="",1,0), 0)), "")</f>
        <v>MCI-00648</v>
      </c>
      <c r="J165" s="156" t="str">
        <f t="array" ref="J165">IFERROR(IF(INDEX($F$159:$F$210,MATCH(LEFT(I165,255),LEFT($D$159:$D$210,255),0))=0,"",INDEX($F$159:$F$210,MATCH(LEFT(I165,255),LEFT($D$159:$D$210,255),0))),"")</f>
        <v>Prevención</v>
      </c>
      <c r="K165" s="156" t="s">
        <v>2778</v>
      </c>
      <c r="L165" s="157"/>
      <c r="M165" s="157" t="s">
        <v>3004</v>
      </c>
      <c r="N165" s="156" t="str">
        <f t="shared" si="7"/>
        <v>MCI-00669</v>
      </c>
      <c r="O165" s="156"/>
      <c r="P165" s="157"/>
      <c r="Q165" s="157" t="s">
        <v>3005</v>
      </c>
      <c r="R165" s="157" t="s">
        <v>3006</v>
      </c>
    </row>
    <row r="166" spans="2:18" s="9" customFormat="1" x14ac:dyDescent="0.25">
      <c r="B166" s="488" t="str">
        <f t="array" ref="B166">IFERROR(INDEX($C$159:$C$210, MATCH(0, COUNTIF($B$158:B165, $C$159:$C$210&amp;"") + IF($C$159:$C$210="",1,0), 0)), "")</f>
        <v>Program management</v>
      </c>
      <c r="C166" s="158" t="s">
        <v>3002</v>
      </c>
      <c r="D166" s="156" t="s">
        <v>1144</v>
      </c>
      <c r="E166" s="156" t="s">
        <v>1414</v>
      </c>
      <c r="F166" s="156" t="str">
        <f>CHOOSE(Translations!$C$1+1,'Reference Records'!C166,'Reference Records'!Q166,'Reference Records'!R166)</f>
        <v>Financiación basada en los resultados</v>
      </c>
      <c r="G166" s="156" t="s">
        <v>3007</v>
      </c>
      <c r="H166" s="161" t="s">
        <v>1146</v>
      </c>
      <c r="I166" s="156" t="str">
        <f t="array" ref="I166">IFERROR(INDEX($D$159:$D$210, MATCH(0, COUNTIF($I$158:I165, $D$159:$D$210&amp;"") + IF($D$159:$D$210="",1,0), 0)), "")</f>
        <v>MCI-00660</v>
      </c>
      <c r="J166" s="156" t="str">
        <f t="array" ref="J166">IFERROR(IF(INDEX($F$159:$F$210,MATCH(LEFT(I166,255),LEFT($D$159:$D$210,255),0))=0,"",INDEX($F$159:$F$210,MATCH(LEFT(I166,255),LEFT($D$159:$D$210,255),0))),"")</f>
        <v>Gestión de programas</v>
      </c>
      <c r="K166" s="156" t="s">
        <v>2778</v>
      </c>
      <c r="L166" s="157"/>
      <c r="M166" s="157" t="s">
        <v>3008</v>
      </c>
      <c r="N166" s="156" t="str">
        <f t="shared" si="7"/>
        <v>MCI-00669</v>
      </c>
      <c r="O166" s="156"/>
      <c r="P166" s="157"/>
      <c r="Q166" s="157" t="s">
        <v>3005</v>
      </c>
      <c r="R166" s="157" t="s">
        <v>3006</v>
      </c>
    </row>
    <row r="167" spans="2:18" s="9" customFormat="1" x14ac:dyDescent="0.25">
      <c r="B167" s="488" t="str">
        <f t="array" ref="B167">IFERROR(INDEX($C$159:$C$210, MATCH(0, COUNTIF($B$158:B166, $C$159:$C$210&amp;"") + IF($C$159:$C$210="",1,0), 0)), "")</f>
        <v>Reducing human rights-related barriers to HIV/TB services</v>
      </c>
      <c r="C167" s="158" t="s">
        <v>3002</v>
      </c>
      <c r="D167" s="156" t="s">
        <v>1144</v>
      </c>
      <c r="E167" s="156" t="s">
        <v>274</v>
      </c>
      <c r="F167" s="156" t="str">
        <f>CHOOSE(Translations!$C$1+1,'Reference Records'!C167,'Reference Records'!Q167,'Reference Records'!R167)</f>
        <v>Financiación basada en los resultados</v>
      </c>
      <c r="G167" s="156" t="s">
        <v>3009</v>
      </c>
      <c r="H167" s="161" t="s">
        <v>1146</v>
      </c>
      <c r="I167" s="156" t="str">
        <f t="array" ref="I167">IFERROR(INDEX($D$159:$D$210, MATCH(0, COUNTIF($I$158:I166, $D$159:$D$210&amp;"") + IF($D$159:$D$210="",1,0), 0)), "")</f>
        <v>MCI-00652</v>
      </c>
      <c r="J167" s="156" t="str">
        <f t="array" ref="J167">IFERROR(IF(INDEX($F$159:$F$210,MATCH(LEFT(I167,255),LEFT($D$159:$D$210,255),0))=0,"",INDEX($F$159:$F$210,MATCH(LEFT(I167,255),LEFT($D$159:$D$210,255),0))),"")</f>
        <v>Reducción de las barreras relacionadas con los derechos humanos para acceder a los servicios del VIH y la tuberculosis</v>
      </c>
      <c r="K167" s="156" t="s">
        <v>2778</v>
      </c>
      <c r="L167" s="157"/>
      <c r="M167" s="157" t="s">
        <v>3010</v>
      </c>
      <c r="N167" s="156" t="str">
        <f t="shared" si="7"/>
        <v>MCI-00669</v>
      </c>
      <c r="O167" s="156"/>
      <c r="P167" s="157"/>
      <c r="Q167" s="157" t="s">
        <v>3005</v>
      </c>
      <c r="R167" s="157" t="s">
        <v>3006</v>
      </c>
    </row>
    <row r="168" spans="2:18" s="9" customFormat="1" x14ac:dyDescent="0.25">
      <c r="B168" s="488" t="str">
        <f t="array" ref="B168">IFERROR(INDEX($C$159:$C$210, MATCH(0, COUNTIF($B$158:B167, $C$159:$C$210&amp;"") + IF($C$159:$C$210="",1,0), 0)), "")</f>
        <v>Removing human rights and gender related barriers to TB services</v>
      </c>
      <c r="C168" s="158" t="s">
        <v>3011</v>
      </c>
      <c r="D168" s="156" t="s">
        <v>1148</v>
      </c>
      <c r="E168" s="156" t="s">
        <v>1413</v>
      </c>
      <c r="F168" s="156" t="str">
        <f>CHOOSE(Translations!$C$1+1,'Reference Records'!C168,'Reference Records'!Q168,'Reference Records'!R168)</f>
        <v>PTMI</v>
      </c>
      <c r="G168" s="156" t="s">
        <v>3012</v>
      </c>
      <c r="H168" s="161" t="s">
        <v>1150</v>
      </c>
      <c r="I168" s="156" t="str">
        <f t="array" ref="I168">IFERROR(INDEX($D$159:$D$210, MATCH(0, COUNTIF($I$158:I167, $D$159:$D$210&amp;"") + IF($D$159:$D$210="",1,0), 0)), "")</f>
        <v>MCI-00655</v>
      </c>
      <c r="J168" s="156" t="str">
        <f t="array" ref="J168">IFERROR(IF(INDEX($F$159:$F$210,MATCH(LEFT(I168,255),LEFT($D$159:$D$210,255),0))=0,"",INDEX($F$159:$F$210,MATCH(LEFT(I168,255),LEFT($D$159:$D$210,255),0))),"")</f>
        <v>Eliminar las barreras relacionadas con los derechos humanos y el género que dificultan el acceso a los servicios de tuberculosis</v>
      </c>
      <c r="K168" s="156" t="s">
        <v>2778</v>
      </c>
      <c r="L168" s="157"/>
      <c r="M168" s="157" t="s">
        <v>3013</v>
      </c>
      <c r="N168" s="156" t="str">
        <f t="shared" si="7"/>
        <v>MCI-00649</v>
      </c>
      <c r="O168" s="156"/>
      <c r="P168" s="157"/>
      <c r="Q168" s="157" t="s">
        <v>3014</v>
      </c>
      <c r="R168" s="157" t="s">
        <v>3015</v>
      </c>
    </row>
    <row r="169" spans="2:18" s="9" customFormat="1" x14ac:dyDescent="0.25">
      <c r="B169" s="488" t="str">
        <f t="array" ref="B169">IFERROR(INDEX($C$159:$C$210, MATCH(0, COUNTIF($B$158:B168, $C$159:$C$210&amp;"") + IF($C$159:$C$210="",1,0), 0)), "")</f>
        <v>RSSH: Community systems strengthening</v>
      </c>
      <c r="C169" s="158" t="s">
        <v>3016</v>
      </c>
      <c r="D169" s="156" t="s">
        <v>1156</v>
      </c>
      <c r="E169" s="156" t="s">
        <v>1413</v>
      </c>
      <c r="F169" s="156" t="str">
        <f>CHOOSE(Translations!$C$1+1,'Reference Records'!C169,'Reference Records'!Q169,'Reference Records'!R169)</f>
        <v>Prevención</v>
      </c>
      <c r="G169" s="156" t="s">
        <v>3017</v>
      </c>
      <c r="H169" s="161" t="s">
        <v>1158</v>
      </c>
      <c r="I169" s="156" t="str">
        <f t="array" ref="I169">IFERROR(INDEX($D$159:$D$210, MATCH(0, COUNTIF($I$158:I168, $D$159:$D$210&amp;"") + IF($D$159:$D$210="",1,0), 0)), "")</f>
        <v>MCI-00667</v>
      </c>
      <c r="J169" s="156" t="str">
        <f t="array" ref="J169">IFERROR(IF(INDEX($F$159:$F$210,MATCH(LEFT(I169,255),LEFT($D$159:$D$210,255),0))=0,"",INDEX($F$159:$F$210,MATCH(LEFT(I169,255),LEFT($D$159:$D$210,255),0))),"")</f>
        <v>SSRS: fortalecimiento de los sistemas comunitarios</v>
      </c>
      <c r="K169" s="156" t="s">
        <v>2778</v>
      </c>
      <c r="L169" s="157"/>
      <c r="M169" s="157" t="s">
        <v>3018</v>
      </c>
      <c r="N169" s="156" t="str">
        <f t="shared" si="7"/>
        <v>MCI-00648</v>
      </c>
      <c r="O169" s="156"/>
      <c r="P169" s="157"/>
      <c r="Q169" s="157" t="s">
        <v>3019</v>
      </c>
      <c r="R169" s="157" t="s">
        <v>3020</v>
      </c>
    </row>
    <row r="170" spans="2:18" s="9" customFormat="1" x14ac:dyDescent="0.25">
      <c r="B170" s="488" t="str">
        <f t="array" ref="B170">IFERROR(INDEX($C$159:$C$210, MATCH(0, COUNTIF($B$158:B169, $C$159:$C$210&amp;"") + IF($C$159:$C$210="",1,0), 0)), "")</f>
        <v>RSSH: Financial management systems</v>
      </c>
      <c r="C170" s="158" t="s">
        <v>3021</v>
      </c>
      <c r="D170" s="156" t="s">
        <v>3022</v>
      </c>
      <c r="E170" s="156" t="s">
        <v>1413</v>
      </c>
      <c r="F170" s="156" t="str">
        <f>CHOOSE(Translations!$C$1+1,'Reference Records'!C170,'Reference Records'!Q170,'Reference Records'!R170)</f>
        <v>Gestión de programas</v>
      </c>
      <c r="G170" s="156" t="s">
        <v>3023</v>
      </c>
      <c r="H170" s="161" t="s">
        <v>3024</v>
      </c>
      <c r="I170" s="156" t="str">
        <f t="array" ref="I170">IFERROR(INDEX($D$159:$D$210, MATCH(0, COUNTIF($I$158:I169, $D$159:$D$210&amp;"") + IF($D$159:$D$210="",1,0), 0)), "")</f>
        <v>MCI-00665</v>
      </c>
      <c r="J170" s="156" t="str">
        <f t="array" ref="J170">IFERROR(IF(INDEX($F$159:$F$210,MATCH(LEFT(I170,255),LEFT($D$159:$D$210,255),0))=0,"",INDEX($F$159:$F$210,MATCH(LEFT(I170,255),LEFT($D$159:$D$210,255),0))),"")</f>
        <v>SSRS: Sistemas de gestión financiera</v>
      </c>
      <c r="K170" s="156" t="s">
        <v>2778</v>
      </c>
      <c r="L170" s="157"/>
      <c r="M170" s="157" t="s">
        <v>3025</v>
      </c>
      <c r="N170" s="156" t="str">
        <f t="shared" si="7"/>
        <v>MCI-00660</v>
      </c>
      <c r="O170" s="156"/>
      <c r="P170" s="157"/>
      <c r="Q170" s="157" t="s">
        <v>3026</v>
      </c>
      <c r="R170" s="157" t="s">
        <v>3027</v>
      </c>
    </row>
    <row r="171" spans="2:18" s="9" customFormat="1" x14ac:dyDescent="0.25">
      <c r="B171" s="488" t="str">
        <f t="array" ref="B171">IFERROR(INDEX($C$159:$C$210, MATCH(0, COUNTIF($B$158:B170, $C$159:$C$210&amp;"") + IF($C$159:$C$210="",1,0), 0)), "")</f>
        <v>RSSH: Health management information systems and M&amp;E</v>
      </c>
      <c r="C171" s="158" t="s">
        <v>3021</v>
      </c>
      <c r="D171" s="156" t="s">
        <v>3022</v>
      </c>
      <c r="E171" s="156" t="s">
        <v>1414</v>
      </c>
      <c r="F171" s="156" t="str">
        <f>CHOOSE(Translations!$C$1+1,'Reference Records'!C171,'Reference Records'!Q171,'Reference Records'!R171)</f>
        <v>Gestión de programas</v>
      </c>
      <c r="G171" s="156" t="s">
        <v>3028</v>
      </c>
      <c r="H171" s="161" t="s">
        <v>3024</v>
      </c>
      <c r="I171" s="156" t="str">
        <f t="array" ref="I171">IFERROR(INDEX($D$159:$D$210, MATCH(0, COUNTIF($I$158:I170, $D$159:$D$210&amp;"") + IF($D$159:$D$210="",1,0), 0)), "")</f>
        <v>MCI-00662</v>
      </c>
      <c r="J171" s="156" t="str">
        <f t="array" ref="J171">IFERROR(IF(INDEX($F$159:$F$210,MATCH(LEFT(I171,255),LEFT($D$159:$D$210,255),0))=0,"",INDEX($F$159:$F$210,MATCH(LEFT(I171,255),LEFT($D$159:$D$210,255),0))),"")</f>
        <v>SSRS: Sistemas de información de gestión de salud y M&amp;E (Monitoria y Evaluación)</v>
      </c>
      <c r="K171" s="156" t="s">
        <v>2778</v>
      </c>
      <c r="L171" s="157"/>
      <c r="M171" s="157" t="s">
        <v>3029</v>
      </c>
      <c r="N171" s="156" t="str">
        <f t="shared" si="7"/>
        <v>MCI-00660</v>
      </c>
      <c r="O171" s="156"/>
      <c r="P171" s="157"/>
      <c r="Q171" s="157" t="s">
        <v>3026</v>
      </c>
      <c r="R171" s="157" t="s">
        <v>3027</v>
      </c>
    </row>
    <row r="172" spans="2:18" s="9" customFormat="1" x14ac:dyDescent="0.25">
      <c r="B172" s="488" t="str">
        <f t="array" ref="B172">IFERROR(INDEX($C$159:$C$210, MATCH(0, COUNTIF($B$158:B171, $C$159:$C$210&amp;"") + IF($C$159:$C$210="",1,0), 0)), "")</f>
        <v>RSSH: Health products management systems</v>
      </c>
      <c r="C172" s="158" t="s">
        <v>3021</v>
      </c>
      <c r="D172" s="156" t="s">
        <v>3022</v>
      </c>
      <c r="E172" s="156" t="s">
        <v>274</v>
      </c>
      <c r="F172" s="156" t="str">
        <f>CHOOSE(Translations!$C$1+1,'Reference Records'!C172,'Reference Records'!Q172,'Reference Records'!R172)</f>
        <v>Gestión de programas</v>
      </c>
      <c r="G172" s="156" t="s">
        <v>3030</v>
      </c>
      <c r="H172" s="161" t="s">
        <v>3024</v>
      </c>
      <c r="I172" s="156" t="str">
        <f t="array" ref="I172">IFERROR(INDEX($D$159:$D$210, MATCH(0, COUNTIF($I$158:I171, $D$159:$D$210&amp;"") + IF($D$159:$D$210="",1,0), 0)), "")</f>
        <v>MCI-00661</v>
      </c>
      <c r="J172" s="156" t="str">
        <f t="array" ref="J172">IFERROR(IF(INDEX($F$159:$F$210,MATCH(LEFT(I172,255),LEFT($D$159:$D$210,255),0))=0,"",INDEX($F$159:$F$210,MATCH(LEFT(I172,255),LEFT($D$159:$D$210,255),0))),"")</f>
        <v>SSRS: sistemas de gestión de productos para la salud</v>
      </c>
      <c r="K172" s="156" t="s">
        <v>2778</v>
      </c>
      <c r="L172" s="157"/>
      <c r="M172" s="157" t="s">
        <v>3031</v>
      </c>
      <c r="N172" s="156" t="str">
        <f t="shared" si="7"/>
        <v>MCI-00660</v>
      </c>
      <c r="O172" s="156"/>
      <c r="P172" s="157"/>
      <c r="Q172" s="157" t="s">
        <v>3026</v>
      </c>
      <c r="R172" s="157" t="s">
        <v>3027</v>
      </c>
    </row>
    <row r="173" spans="2:18" s="9" customFormat="1" x14ac:dyDescent="0.25">
      <c r="B173" s="488" t="str">
        <f t="array" ref="B173">IFERROR(INDEX($C$159:$C$210, MATCH(0, COUNTIF($B$158:B172, $C$159:$C$210&amp;"") + IF($C$159:$C$210="",1,0), 0)), "")</f>
        <v>RSSH: Health sector governance and planning</v>
      </c>
      <c r="C173" s="158" t="s">
        <v>3032</v>
      </c>
      <c r="D173" s="156" t="s">
        <v>3033</v>
      </c>
      <c r="E173" s="156" t="s">
        <v>1413</v>
      </c>
      <c r="F173" s="156" t="str">
        <f>CHOOSE(Translations!$C$1+1,'Reference Records'!C173,'Reference Records'!Q173,'Reference Records'!R173)</f>
        <v>Reducción de las barreras relacionadas con los derechos humanos para acceder a los servicios del VIH y la tuberculosis</v>
      </c>
      <c r="G173" s="156" t="s">
        <v>3034</v>
      </c>
      <c r="H173" s="161" t="s">
        <v>3035</v>
      </c>
      <c r="I173" s="156" t="str">
        <f t="array" ref="I173">IFERROR(INDEX($D$159:$D$210, MATCH(0, COUNTIF($I$158:I172, $D$159:$D$210&amp;"") + IF($D$159:$D$210="",1,0), 0)), "")</f>
        <v>MCI-00666</v>
      </c>
      <c r="J173" s="156" t="str">
        <f t="array" ref="J173">IFERROR(IF(INDEX($F$159:$F$210,MATCH(LEFT(I173,255),LEFT($D$159:$D$210,255),0))=0,"",INDEX($F$159:$F$210,MATCH(LEFT(I173,255),LEFT($D$159:$D$210,255),0))),"")</f>
        <v>SSRS: gobernanza y planificación del sector de la salud</v>
      </c>
      <c r="K173" s="156" t="s">
        <v>2778</v>
      </c>
      <c r="L173" s="157"/>
      <c r="M173" s="157" t="s">
        <v>3036</v>
      </c>
      <c r="N173" s="156" t="str">
        <f t="shared" si="7"/>
        <v>MCI-00652</v>
      </c>
      <c r="O173" s="156"/>
      <c r="P173" s="157"/>
      <c r="Q173" s="157" t="s">
        <v>3037</v>
      </c>
      <c r="R173" s="157" t="s">
        <v>3038</v>
      </c>
    </row>
    <row r="174" spans="2:18" s="9" customFormat="1" x14ac:dyDescent="0.25">
      <c r="B174" s="488" t="str">
        <f t="array" ref="B174">IFERROR(INDEX($C$159:$C$210, MATCH(0, COUNTIF($B$158:B173, $C$159:$C$210&amp;"") + IF($C$159:$C$210="",1,0), 0)), "")</f>
        <v>RSSH: Human resources for health, including community health workers</v>
      </c>
      <c r="C174" s="158" t="s">
        <v>3039</v>
      </c>
      <c r="D174" s="156" t="s">
        <v>3040</v>
      </c>
      <c r="E174" s="156" t="s">
        <v>1414</v>
      </c>
      <c r="F174" s="156" t="str">
        <f>CHOOSE(Translations!$C$1+1,'Reference Records'!C174,'Reference Records'!Q174,'Reference Records'!R174)</f>
        <v>Eliminar las barreras relacionadas con los derechos humanos y el género que dificultan el acceso a los servicios de tuberculosis</v>
      </c>
      <c r="G174" s="156" t="s">
        <v>3041</v>
      </c>
      <c r="H174" s="161" t="s">
        <v>3042</v>
      </c>
      <c r="I174" s="156" t="str">
        <f t="array" ref="I174">IFERROR(INDEX($D$159:$D$210, MATCH(0, COUNTIF($I$158:I173, $D$159:$D$210&amp;"") + IF($D$159:$D$210="",1,0), 0)), "")</f>
        <v>MCI-00663</v>
      </c>
      <c r="J174" s="156" t="str">
        <f t="array" ref="J174">IFERROR(IF(INDEX($F$159:$F$210,MATCH(LEFT(I174,255),LEFT($D$159:$D$210,255),0))=0,"",INDEX($F$159:$F$210,MATCH(LEFT(I174,255),LEFT($D$159:$D$210,255),0))),"")</f>
        <v>SSRS: recursos humanos para la salud  incluidos los trabajadores de la salud comunitarios</v>
      </c>
      <c r="K174" s="156" t="s">
        <v>2778</v>
      </c>
      <c r="L174" s="157"/>
      <c r="M174" s="157" t="s">
        <v>3043</v>
      </c>
      <c r="N174" s="156" t="str">
        <f t="shared" si="7"/>
        <v>MCI-00655</v>
      </c>
      <c r="O174" s="156"/>
      <c r="P174" s="157"/>
      <c r="Q174" s="157" t="s">
        <v>3044</v>
      </c>
      <c r="R174" s="157" t="s">
        <v>3045</v>
      </c>
    </row>
    <row r="175" spans="2:18" s="9" customFormat="1" x14ac:dyDescent="0.25">
      <c r="B175" s="488" t="str">
        <f t="array" ref="B175">IFERROR(INDEX($C$159:$C$210, MATCH(0, COUNTIF($B$158:B174, $C$159:$C$210&amp;"") + IF($C$159:$C$210="",1,0), 0)), "")</f>
        <v>RSSH: Integrated service delivery and quality improvement</v>
      </c>
      <c r="C175" s="158" t="s">
        <v>3046</v>
      </c>
      <c r="D175" s="156" t="s">
        <v>3047</v>
      </c>
      <c r="E175" s="156" t="s">
        <v>1413</v>
      </c>
      <c r="F175" s="156" t="str">
        <f>CHOOSE(Translations!$C$1+1,'Reference Records'!C175,'Reference Records'!Q175,'Reference Records'!R175)</f>
        <v>SSRS: fortalecimiento de los sistemas comunitarios</v>
      </c>
      <c r="G175" s="156" t="s">
        <v>3048</v>
      </c>
      <c r="H175" s="161" t="s">
        <v>3049</v>
      </c>
      <c r="I175" s="156" t="str">
        <f t="array" ref="I175">IFERROR(INDEX($D$159:$D$210, MATCH(0, COUNTIF($I$158:I174, $D$159:$D$210&amp;"") + IF($D$159:$D$210="",1,0), 0)), "")</f>
        <v>MCI-00664</v>
      </c>
      <c r="J175" s="156" t="str">
        <f t="array" ref="J175">IFERROR(IF(INDEX($F$159:$F$210,MATCH(LEFT(I175,255),LEFT($D$159:$D$210,255),0))=0,"",INDEX($F$159:$F$210,MATCH(LEFT(I175,255),LEFT($D$159:$D$210,255),0))),"")</f>
        <v>SSRS: mejora de la calidad y la prestación de servicios integrados</v>
      </c>
      <c r="K175" s="156" t="s">
        <v>2778</v>
      </c>
      <c r="L175" s="157"/>
      <c r="M175" s="157" t="s">
        <v>3050</v>
      </c>
      <c r="N175" s="156" t="str">
        <f t="shared" si="7"/>
        <v>MCI-00667</v>
      </c>
      <c r="O175" s="156"/>
      <c r="P175" s="157"/>
      <c r="Q175" s="157" t="s">
        <v>3051</v>
      </c>
      <c r="R175" s="157" t="s">
        <v>3052</v>
      </c>
    </row>
    <row r="176" spans="2:18" s="9" customFormat="1" x14ac:dyDescent="0.25">
      <c r="B176" s="488" t="str">
        <f t="array" ref="B176">IFERROR(INDEX($C$159:$C$210, MATCH(0, COUNTIF($B$158:B175, $C$159:$C$210&amp;"") + IF($C$159:$C$210="",1,0), 0)), "")</f>
        <v>RSSH: Laboratory systems</v>
      </c>
      <c r="C176" s="158" t="s">
        <v>3046</v>
      </c>
      <c r="D176" s="156" t="s">
        <v>3047</v>
      </c>
      <c r="E176" s="156" t="s">
        <v>1414</v>
      </c>
      <c r="F176" s="156" t="str">
        <f>CHOOSE(Translations!$C$1+1,'Reference Records'!C176,'Reference Records'!Q176,'Reference Records'!R176)</f>
        <v>SSRS: fortalecimiento de los sistemas comunitarios</v>
      </c>
      <c r="G176" s="156" t="s">
        <v>3053</v>
      </c>
      <c r="H176" s="161" t="s">
        <v>3049</v>
      </c>
      <c r="I176" s="156" t="str">
        <f t="array" ref="I176">IFERROR(INDEX($D$159:$D$210, MATCH(0, COUNTIF($I$158:I175, $D$159:$D$210&amp;"") + IF($D$159:$D$210="",1,0), 0)), "")</f>
        <v>MCI-00668</v>
      </c>
      <c r="J176" s="156" t="str">
        <f t="array" ref="J176">IFERROR(IF(INDEX($F$159:$F$210,MATCH(LEFT(I176,255),LEFT($D$159:$D$210,255),0))=0,"",INDEX($F$159:$F$210,MATCH(LEFT(I176,255),LEFT($D$159:$D$210,255),0))),"")</f>
        <v>SSRS: sistemas de laboratorio</v>
      </c>
      <c r="K176" s="156" t="s">
        <v>2778</v>
      </c>
      <c r="L176" s="157"/>
      <c r="M176" s="157" t="s">
        <v>3054</v>
      </c>
      <c r="N176" s="156" t="str">
        <f t="shared" si="7"/>
        <v>MCI-00667</v>
      </c>
      <c r="O176" s="156"/>
      <c r="P176" s="157"/>
      <c r="Q176" s="157" t="s">
        <v>3051</v>
      </c>
      <c r="R176" s="157" t="s">
        <v>3052</v>
      </c>
    </row>
    <row r="177" spans="2:18" s="9" customFormat="1" x14ac:dyDescent="0.25">
      <c r="B177" s="488" t="str">
        <f t="array" ref="B177">IFERROR(INDEX($C$159:$C$210, MATCH(0, COUNTIF($B$158:B176, $C$159:$C$210&amp;"") + IF($C$159:$C$210="",1,0), 0)), "")</f>
        <v>TB care and prevention</v>
      </c>
      <c r="C177" s="158" t="s">
        <v>3046</v>
      </c>
      <c r="D177" s="156" t="s">
        <v>3047</v>
      </c>
      <c r="E177" s="156" t="s">
        <v>274</v>
      </c>
      <c r="F177" s="156" t="str">
        <f>CHOOSE(Translations!$C$1+1,'Reference Records'!C177,'Reference Records'!Q177,'Reference Records'!R177)</f>
        <v>SSRS: fortalecimiento de los sistemas comunitarios</v>
      </c>
      <c r="G177" s="156" t="s">
        <v>3055</v>
      </c>
      <c r="H177" s="161" t="s">
        <v>3049</v>
      </c>
      <c r="I177" s="156" t="str">
        <f t="array" ref="I177">IFERROR(INDEX($D$159:$D$210, MATCH(0, COUNTIF($I$158:I176, $D$159:$D$210&amp;"") + IF($D$159:$D$210="",1,0), 0)), "")</f>
        <v>MCI-00653</v>
      </c>
      <c r="J177" s="156" t="str">
        <f t="array" ref="J177">IFERROR(IF(INDEX($F$159:$F$210,MATCH(LEFT(I177,255),LEFT($D$159:$D$210,255),0))=0,"",INDEX($F$159:$F$210,MATCH(LEFT(I177,255),LEFT($D$159:$D$210,255),0))),"")</f>
        <v>Atención y prevención de la tuberculosis</v>
      </c>
      <c r="K177" s="156" t="s">
        <v>2778</v>
      </c>
      <c r="L177" s="157"/>
      <c r="M177" s="157" t="s">
        <v>3056</v>
      </c>
      <c r="N177" s="156" t="str">
        <f t="shared" si="7"/>
        <v>MCI-00667</v>
      </c>
      <c r="O177" s="156"/>
      <c r="P177" s="157"/>
      <c r="Q177" s="157" t="s">
        <v>3051</v>
      </c>
      <c r="R177" s="157" t="s">
        <v>3052</v>
      </c>
    </row>
    <row r="178" spans="2:18" s="9" customFormat="1" x14ac:dyDescent="0.25">
      <c r="B178" s="488" t="str">
        <f t="array" ref="B178">IFERROR(INDEX($C$159:$C$210, MATCH(0, COUNTIF($B$158:B177, $C$159:$C$210&amp;"") + IF($C$159:$C$210="",1,0), 0)), "")</f>
        <v>TB/HIV</v>
      </c>
      <c r="C178" s="158" t="s">
        <v>3057</v>
      </c>
      <c r="D178" s="156" t="s">
        <v>3058</v>
      </c>
      <c r="E178" s="156" t="s">
        <v>1413</v>
      </c>
      <c r="F178" s="156" t="str">
        <f>CHOOSE(Translations!$C$1+1,'Reference Records'!C178,'Reference Records'!Q178,'Reference Records'!R178)</f>
        <v>SSRS: Sistemas de gestión financiera</v>
      </c>
      <c r="G178" s="156" t="s">
        <v>3059</v>
      </c>
      <c r="H178" s="161" t="s">
        <v>3060</v>
      </c>
      <c r="I178" s="156" t="str">
        <f t="array" ref="I178">IFERROR(INDEX($D$159:$D$210, MATCH(0, COUNTIF($I$158:I177, $D$159:$D$210&amp;"") + IF($D$159:$D$210="",1,0), 0)), "")</f>
        <v>MCI-00656</v>
      </c>
      <c r="J178" s="156" t="str">
        <f t="array" ref="J178">IFERROR(IF(INDEX($F$159:$F$210,MATCH(LEFT(I178,255),LEFT($D$159:$D$210,255),0))=0,"",INDEX($F$159:$F$210,MATCH(LEFT(I178,255),LEFT($D$159:$D$210,255),0))),"")</f>
        <v>TB/VIH</v>
      </c>
      <c r="K178" s="156" t="s">
        <v>2778</v>
      </c>
      <c r="L178" s="157"/>
      <c r="M178" s="157" t="s">
        <v>3061</v>
      </c>
      <c r="N178" s="156" t="str">
        <f t="shared" si="7"/>
        <v>MCI-00665</v>
      </c>
      <c r="O178" s="156"/>
      <c r="P178" s="157"/>
      <c r="Q178" s="157" t="s">
        <v>3062</v>
      </c>
      <c r="R178" s="157" t="s">
        <v>3063</v>
      </c>
    </row>
    <row r="179" spans="2:18" s="9" customFormat="1" x14ac:dyDescent="0.25">
      <c r="B179" s="488" t="str">
        <f t="array" ref="B179">IFERROR(INDEX($C$159:$C$210, MATCH(0, COUNTIF($B$158:B178, $C$159:$C$210&amp;"") + IF($C$159:$C$210="",1,0), 0)), "")</f>
        <v>Treatment, care and support</v>
      </c>
      <c r="C179" s="158" t="s">
        <v>3057</v>
      </c>
      <c r="D179" s="156" t="s">
        <v>3058</v>
      </c>
      <c r="E179" s="156" t="s">
        <v>1414</v>
      </c>
      <c r="F179" s="156" t="str">
        <f>CHOOSE(Translations!$C$1+1,'Reference Records'!C179,'Reference Records'!Q179,'Reference Records'!R179)</f>
        <v>SSRS: Sistemas de gestión financiera</v>
      </c>
      <c r="G179" s="156" t="s">
        <v>3064</v>
      </c>
      <c r="H179" s="161" t="s">
        <v>3060</v>
      </c>
      <c r="I179" s="156" t="str">
        <f t="array" ref="I179">IFERROR(INDEX($D$159:$D$210, MATCH(0, COUNTIF($I$158:I178, $D$159:$D$210&amp;"") + IF($D$159:$D$210="",1,0), 0)), "")</f>
        <v>MCI-00651</v>
      </c>
      <c r="J179" s="156" t="str">
        <f t="array" ref="J179">IFERROR(IF(INDEX($F$159:$F$210,MATCH(LEFT(I179,255),LEFT($D$159:$D$210,255),0))=0,"",INDEX($F$159:$F$210,MATCH(LEFT(I179,255),LEFT($D$159:$D$210,255),0))),"")</f>
        <v>Tratamiento, atención y apoyo</v>
      </c>
      <c r="K179" s="156" t="s">
        <v>2778</v>
      </c>
      <c r="L179" s="157"/>
      <c r="M179" s="157" t="s">
        <v>3065</v>
      </c>
      <c r="N179" s="156" t="str">
        <f t="shared" si="7"/>
        <v>MCI-00665</v>
      </c>
      <c r="O179" s="156"/>
      <c r="P179" s="157"/>
      <c r="Q179" s="157" t="s">
        <v>3062</v>
      </c>
      <c r="R179" s="157" t="s">
        <v>3063</v>
      </c>
    </row>
    <row r="180" spans="2:18" s="9" customFormat="1" x14ac:dyDescent="0.25">
      <c r="B180" s="488" t="str">
        <f t="array" ref="B180">IFERROR(INDEX($C$159:$C$210, MATCH(0, COUNTIF($B$158:B179, $C$159:$C$210&amp;"") + IF($C$159:$C$210="",1,0), 0)), "")</f>
        <v/>
      </c>
      <c r="C180" s="158" t="s">
        <v>3057</v>
      </c>
      <c r="D180" s="156" t="s">
        <v>3058</v>
      </c>
      <c r="E180" s="156" t="s">
        <v>274</v>
      </c>
      <c r="F180" s="156" t="str">
        <f>CHOOSE(Translations!$C$1+1,'Reference Records'!C180,'Reference Records'!Q180,'Reference Records'!R180)</f>
        <v>SSRS: Sistemas de gestión financiera</v>
      </c>
      <c r="G180" s="156" t="s">
        <v>3066</v>
      </c>
      <c r="H180" s="161" t="s">
        <v>3060</v>
      </c>
      <c r="I180" s="156" t="str">
        <f t="array" ref="I180">IFERROR(INDEX($D$159:$D$210, MATCH(0, COUNTIF($I$158:I179, $D$159:$D$210&amp;"") + IF($D$159:$D$210="",1,0), 0)), "")</f>
        <v/>
      </c>
      <c r="J180" s="156" t="str">
        <f t="array" ref="J180">IFERROR(IF(INDEX($F$159:$F$210,MATCH(LEFT(I180,255),LEFT($D$159:$D$210,255),0))=0,"",INDEX($F$159:$F$210,MATCH(LEFT(I180,255),LEFT($D$159:$D$210,255),0))),"")</f>
        <v/>
      </c>
      <c r="K180" s="156" t="s">
        <v>2778</v>
      </c>
      <c r="L180" s="157"/>
      <c r="M180" s="157" t="s">
        <v>3067</v>
      </c>
      <c r="N180" s="156" t="str">
        <f t="shared" si="7"/>
        <v>MCI-00665</v>
      </c>
      <c r="O180" s="156"/>
      <c r="P180" s="157"/>
      <c r="Q180" s="157" t="s">
        <v>3062</v>
      </c>
      <c r="R180" s="157" t="s">
        <v>3063</v>
      </c>
    </row>
    <row r="181" spans="2:18" s="9" customFormat="1" x14ac:dyDescent="0.25">
      <c r="B181" s="488" t="str">
        <f t="array" ref="B181">IFERROR(INDEX($C$159:$C$210, MATCH(0, COUNTIF($B$158:B180, $C$159:$C$210&amp;"") + IF($C$159:$C$210="",1,0), 0)), "")</f>
        <v/>
      </c>
      <c r="C181" s="158" t="s">
        <v>3068</v>
      </c>
      <c r="D181" s="156" t="s">
        <v>3069</v>
      </c>
      <c r="E181" s="156" t="s">
        <v>1413</v>
      </c>
      <c r="F181" s="156" t="str">
        <f>CHOOSE(Translations!$C$1+1,'Reference Records'!C181,'Reference Records'!Q181,'Reference Records'!R181)</f>
        <v>SSRS: Sistemas de información de gestión de salud y M&amp;E (Monitoria y Evaluación)</v>
      </c>
      <c r="G181" s="156" t="s">
        <v>3070</v>
      </c>
      <c r="H181" s="161" t="s">
        <v>3071</v>
      </c>
      <c r="I181" s="156" t="str">
        <f t="array" ref="I181">IFERROR(INDEX($D$159:$D$210, MATCH(0, COUNTIF($I$158:I180, $D$159:$D$210&amp;"") + IF($D$159:$D$210="",1,0), 0)), "")</f>
        <v/>
      </c>
      <c r="J181" s="156" t="str">
        <f t="array" ref="J181">IFERROR(IF(INDEX($F$159:$F$210,MATCH(LEFT(I181,255),LEFT($D$159:$D$210,255),0))=0,"",INDEX($F$159:$F$210,MATCH(LEFT(I181,255),LEFT($D$159:$D$210,255),0))),"")</f>
        <v/>
      </c>
      <c r="K181" s="156" t="s">
        <v>2778</v>
      </c>
      <c r="L181" s="157"/>
      <c r="M181" s="157" t="s">
        <v>3072</v>
      </c>
      <c r="N181" s="156" t="str">
        <f t="shared" si="7"/>
        <v>MCI-00662</v>
      </c>
      <c r="O181" s="156"/>
      <c r="P181" s="157"/>
      <c r="Q181" s="157" t="s">
        <v>3073</v>
      </c>
      <c r="R181" s="157" t="s">
        <v>3074</v>
      </c>
    </row>
    <row r="182" spans="2:18" s="9" customFormat="1" x14ac:dyDescent="0.25">
      <c r="B182" s="488" t="str">
        <f t="array" ref="B182">IFERROR(INDEX($C$159:$C$210, MATCH(0, COUNTIF($B$158:B181, $C$159:$C$210&amp;"") + IF($C$159:$C$210="",1,0), 0)), "")</f>
        <v/>
      </c>
      <c r="C182" s="158" t="s">
        <v>3068</v>
      </c>
      <c r="D182" s="156" t="s">
        <v>3069</v>
      </c>
      <c r="E182" s="156" t="s">
        <v>1414</v>
      </c>
      <c r="F182" s="156" t="str">
        <f>CHOOSE(Translations!$C$1+1,'Reference Records'!C182,'Reference Records'!Q182,'Reference Records'!R182)</f>
        <v>SSRS: Sistemas de información de gestión de salud y M&amp;E (Monitoria y Evaluación)</v>
      </c>
      <c r="G182" s="156" t="s">
        <v>3075</v>
      </c>
      <c r="H182" s="161" t="s">
        <v>3071</v>
      </c>
      <c r="I182" s="156" t="str">
        <f t="array" ref="I182">IFERROR(INDEX($D$159:$D$210, MATCH(0, COUNTIF($I$158:I181, $D$159:$D$210&amp;"") + IF($D$159:$D$210="",1,0), 0)), "")</f>
        <v/>
      </c>
      <c r="J182" s="156" t="str">
        <f t="array" ref="J182">IFERROR(IF(INDEX($F$159:$F$210,MATCH(LEFT(I182,255),LEFT($D$159:$D$210,255),0))=0,"",INDEX($F$159:$F$210,MATCH(LEFT(I182,255),LEFT($D$159:$D$210,255),0))),"")</f>
        <v/>
      </c>
      <c r="K182" s="156" t="s">
        <v>2778</v>
      </c>
      <c r="L182" s="157"/>
      <c r="M182" s="157" t="s">
        <v>3076</v>
      </c>
      <c r="N182" s="156" t="str">
        <f t="shared" si="7"/>
        <v>MCI-00662</v>
      </c>
      <c r="O182" s="156"/>
      <c r="P182" s="157"/>
      <c r="Q182" s="157" t="s">
        <v>3073</v>
      </c>
      <c r="R182" s="157" t="s">
        <v>3074</v>
      </c>
    </row>
    <row r="183" spans="2:18" s="9" customFormat="1" x14ac:dyDescent="0.25">
      <c r="B183" s="488" t="str">
        <f t="array" ref="B183">IFERROR(INDEX($C$159:$C$210, MATCH(0, COUNTIF($B$158:B182, $C$159:$C$210&amp;"") + IF($C$159:$C$210="",1,0), 0)), "")</f>
        <v/>
      </c>
      <c r="C183" s="158" t="s">
        <v>3068</v>
      </c>
      <c r="D183" s="156" t="s">
        <v>3069</v>
      </c>
      <c r="E183" s="156" t="s">
        <v>274</v>
      </c>
      <c r="F183" s="156" t="str">
        <f>CHOOSE(Translations!$C$1+1,'Reference Records'!C183,'Reference Records'!Q183,'Reference Records'!R183)</f>
        <v>SSRS: Sistemas de información de gestión de salud y M&amp;E (Monitoria y Evaluación)</v>
      </c>
      <c r="G183" s="156" t="s">
        <v>3077</v>
      </c>
      <c r="H183" s="161" t="s">
        <v>3071</v>
      </c>
      <c r="I183" s="156" t="str">
        <f t="array" ref="I183">IFERROR(INDEX($D$159:$D$210, MATCH(0, COUNTIF($I$158:I182, $D$159:$D$210&amp;"") + IF($D$159:$D$210="",1,0), 0)), "")</f>
        <v/>
      </c>
      <c r="J183" s="156" t="str">
        <f t="array" ref="J183">IFERROR(IF(INDEX($F$159:$F$210,MATCH(LEFT(I183,255),LEFT($D$159:$D$210,255),0))=0,"",INDEX($F$159:$F$210,MATCH(LEFT(I183,255),LEFT($D$159:$D$210,255),0))),"")</f>
        <v/>
      </c>
      <c r="K183" s="156" t="s">
        <v>2778</v>
      </c>
      <c r="L183" s="157"/>
      <c r="M183" s="157" t="s">
        <v>3078</v>
      </c>
      <c r="N183" s="156" t="str">
        <f t="shared" si="7"/>
        <v>MCI-00662</v>
      </c>
      <c r="O183" s="156"/>
      <c r="P183" s="157"/>
      <c r="Q183" s="157" t="s">
        <v>3073</v>
      </c>
      <c r="R183" s="157" t="s">
        <v>3074</v>
      </c>
    </row>
    <row r="184" spans="2:18" s="9" customFormat="1" x14ac:dyDescent="0.25">
      <c r="B184" s="488" t="str">
        <f t="array" ref="B184">IFERROR(INDEX($C$159:$C$210, MATCH(0, COUNTIF($B$158:B183, $C$159:$C$210&amp;"") + IF($C$159:$C$210="",1,0), 0)), "")</f>
        <v/>
      </c>
      <c r="C184" s="158" t="s">
        <v>3079</v>
      </c>
      <c r="D184" s="156" t="s">
        <v>3080</v>
      </c>
      <c r="E184" s="156" t="s">
        <v>1413</v>
      </c>
      <c r="F184" s="156" t="str">
        <f>CHOOSE(Translations!$C$1+1,'Reference Records'!C184,'Reference Records'!Q184,'Reference Records'!R184)</f>
        <v>SSRS: sistemas de gestión de productos para la salud</v>
      </c>
      <c r="G184" s="156" t="s">
        <v>3081</v>
      </c>
      <c r="H184" s="161" t="s">
        <v>3082</v>
      </c>
      <c r="I184" s="156" t="str">
        <f t="array" ref="I184">IFERROR(INDEX($D$159:$D$210, MATCH(0, COUNTIF($I$158:I183, $D$159:$D$210&amp;"") + IF($D$159:$D$210="",1,0), 0)), "")</f>
        <v/>
      </c>
      <c r="J184" s="156" t="str">
        <f t="array" ref="J184">IFERROR(IF(INDEX($F$159:$F$210,MATCH(LEFT(I184,255),LEFT($D$159:$D$210,255),0))=0,"",INDEX($F$159:$F$210,MATCH(LEFT(I184,255),LEFT($D$159:$D$210,255),0))),"")</f>
        <v/>
      </c>
      <c r="K184" s="156" t="s">
        <v>2778</v>
      </c>
      <c r="L184" s="157"/>
      <c r="M184" s="157" t="s">
        <v>3083</v>
      </c>
      <c r="N184" s="156" t="str">
        <f t="shared" si="7"/>
        <v>MCI-00661</v>
      </c>
      <c r="O184" s="156"/>
      <c r="P184" s="157"/>
      <c r="Q184" s="157" t="s">
        <v>3084</v>
      </c>
      <c r="R184" s="157" t="s">
        <v>3085</v>
      </c>
    </row>
    <row r="185" spans="2:18" s="9" customFormat="1" x14ac:dyDescent="0.25">
      <c r="B185" s="488" t="str">
        <f t="array" ref="B185">IFERROR(INDEX($C$159:$C$210, MATCH(0, COUNTIF($B$158:B184, $C$159:$C$210&amp;"") + IF($C$159:$C$210="",1,0), 0)), "")</f>
        <v/>
      </c>
      <c r="C185" s="158" t="s">
        <v>3079</v>
      </c>
      <c r="D185" s="156" t="s">
        <v>3080</v>
      </c>
      <c r="E185" s="156" t="s">
        <v>1414</v>
      </c>
      <c r="F185" s="156" t="str">
        <f>CHOOSE(Translations!$C$1+1,'Reference Records'!C185,'Reference Records'!Q185,'Reference Records'!R185)</f>
        <v>SSRS: sistemas de gestión de productos para la salud</v>
      </c>
      <c r="G185" s="156" t="s">
        <v>3086</v>
      </c>
      <c r="H185" s="161" t="s">
        <v>3082</v>
      </c>
      <c r="I185" s="156" t="str">
        <f t="array" ref="I185">IFERROR(INDEX($D$159:$D$210, MATCH(0, COUNTIF($I$158:I184, $D$159:$D$210&amp;"") + IF($D$159:$D$210="",1,0), 0)), "")</f>
        <v/>
      </c>
      <c r="J185" s="156" t="str">
        <f t="array" ref="J185">IFERROR(IF(INDEX($F$159:$F$210,MATCH(LEFT(I185,255),LEFT($D$159:$D$210,255),0))=0,"",INDEX($F$159:$F$210,MATCH(LEFT(I185,255),LEFT($D$159:$D$210,255),0))),"")</f>
        <v/>
      </c>
      <c r="K185" s="156" t="s">
        <v>2778</v>
      </c>
      <c r="L185" s="157"/>
      <c r="M185" s="157" t="s">
        <v>3087</v>
      </c>
      <c r="N185" s="156" t="str">
        <f t="shared" si="7"/>
        <v>MCI-00661</v>
      </c>
      <c r="O185" s="156"/>
      <c r="P185" s="157"/>
      <c r="Q185" s="157" t="s">
        <v>3084</v>
      </c>
      <c r="R185" s="157" t="s">
        <v>3085</v>
      </c>
    </row>
    <row r="186" spans="2:18" s="9" customFormat="1" x14ac:dyDescent="0.25">
      <c r="B186" s="488" t="str">
        <f t="array" ref="B186">IFERROR(INDEX($C$159:$C$210, MATCH(0, COUNTIF($B$158:B185, $C$159:$C$210&amp;"") + IF($C$159:$C$210="",1,0), 0)), "")</f>
        <v/>
      </c>
      <c r="C186" s="158" t="s">
        <v>3079</v>
      </c>
      <c r="D186" s="156" t="s">
        <v>3080</v>
      </c>
      <c r="E186" s="156" t="s">
        <v>274</v>
      </c>
      <c r="F186" s="156" t="str">
        <f>CHOOSE(Translations!$C$1+1,'Reference Records'!C186,'Reference Records'!Q186,'Reference Records'!R186)</f>
        <v>SSRS: sistemas de gestión de productos para la salud</v>
      </c>
      <c r="G186" s="156" t="s">
        <v>3088</v>
      </c>
      <c r="H186" s="161" t="s">
        <v>3082</v>
      </c>
      <c r="I186" s="156" t="str">
        <f t="array" ref="I186">IFERROR(INDEX($D$159:$D$210, MATCH(0, COUNTIF($I$158:I185, $D$159:$D$210&amp;"") + IF($D$159:$D$210="",1,0), 0)), "")</f>
        <v/>
      </c>
      <c r="J186" s="156" t="str">
        <f t="array" ref="J186">IFERROR(IF(INDEX($F$159:$F$210,MATCH(LEFT(I186,255),LEFT($D$159:$D$210,255),0))=0,"",INDEX($F$159:$F$210,MATCH(LEFT(I186,255),LEFT($D$159:$D$210,255),0))),"")</f>
        <v/>
      </c>
      <c r="K186" s="156" t="s">
        <v>2778</v>
      </c>
      <c r="L186" s="157"/>
      <c r="M186" s="157" t="s">
        <v>3089</v>
      </c>
      <c r="N186" s="156" t="str">
        <f t="shared" si="7"/>
        <v>MCI-00661</v>
      </c>
      <c r="O186" s="156"/>
      <c r="P186" s="157"/>
      <c r="Q186" s="157" t="s">
        <v>3084</v>
      </c>
      <c r="R186" s="157" t="s">
        <v>3085</v>
      </c>
    </row>
    <row r="187" spans="2:18" s="9" customFormat="1" x14ac:dyDescent="0.25">
      <c r="B187" s="488" t="str">
        <f t="array" ref="B187">IFERROR(INDEX($C$159:$C$210, MATCH(0, COUNTIF($B$158:B186, $C$159:$C$210&amp;"") + IF($C$159:$C$210="",1,0), 0)), "")</f>
        <v/>
      </c>
      <c r="C187" s="158" t="s">
        <v>3090</v>
      </c>
      <c r="D187" s="156" t="s">
        <v>3091</v>
      </c>
      <c r="E187" s="156" t="s">
        <v>1413</v>
      </c>
      <c r="F187" s="156" t="str">
        <f>CHOOSE(Translations!$C$1+1,'Reference Records'!C187,'Reference Records'!Q187,'Reference Records'!R187)</f>
        <v>SSRS: gobernanza y planificación del sector de la salud</v>
      </c>
      <c r="G187" s="156" t="s">
        <v>3092</v>
      </c>
      <c r="H187" s="161" t="s">
        <v>3093</v>
      </c>
      <c r="I187" s="156" t="str">
        <f t="array" ref="I187">IFERROR(INDEX($D$159:$D$210, MATCH(0, COUNTIF($I$158:I186, $D$159:$D$210&amp;"") + IF($D$159:$D$210="",1,0), 0)), "")</f>
        <v/>
      </c>
      <c r="J187" s="156" t="str">
        <f t="array" ref="J187">IFERROR(IF(INDEX($F$159:$F$210,MATCH(LEFT(I187,255),LEFT($D$159:$D$210,255),0))=0,"",INDEX($F$159:$F$210,MATCH(LEFT(I187,255),LEFT($D$159:$D$210,255),0))),"")</f>
        <v/>
      </c>
      <c r="K187" s="156" t="s">
        <v>2778</v>
      </c>
      <c r="L187" s="157"/>
      <c r="M187" s="157" t="s">
        <v>3094</v>
      </c>
      <c r="N187" s="156" t="str">
        <f t="shared" si="7"/>
        <v>MCI-00666</v>
      </c>
      <c r="O187" s="156"/>
      <c r="P187" s="157"/>
      <c r="Q187" s="157" t="s">
        <v>3095</v>
      </c>
      <c r="R187" s="157" t="s">
        <v>3096</v>
      </c>
    </row>
    <row r="188" spans="2:18" s="9" customFormat="1" x14ac:dyDescent="0.25">
      <c r="B188" s="488" t="str">
        <f t="array" ref="B188">IFERROR(INDEX($C$159:$C$210, MATCH(0, COUNTIF($B$158:B187, $C$159:$C$210&amp;"") + IF($C$159:$C$210="",1,0), 0)), "")</f>
        <v/>
      </c>
      <c r="C188" s="158" t="s">
        <v>3090</v>
      </c>
      <c r="D188" s="156" t="s">
        <v>3091</v>
      </c>
      <c r="E188" s="156" t="s">
        <v>1414</v>
      </c>
      <c r="F188" s="156" t="str">
        <f>CHOOSE(Translations!$C$1+1,'Reference Records'!C188,'Reference Records'!Q188,'Reference Records'!R188)</f>
        <v>SSRS: gobernanza y planificación del sector de la salud</v>
      </c>
      <c r="G188" s="156" t="s">
        <v>3097</v>
      </c>
      <c r="H188" s="161" t="s">
        <v>3093</v>
      </c>
      <c r="I188" s="156" t="str">
        <f t="array" ref="I188">IFERROR(INDEX($D$159:$D$210, MATCH(0, COUNTIF($I$158:I187, $D$159:$D$210&amp;"") + IF($D$159:$D$210="",1,0), 0)), "")</f>
        <v/>
      </c>
      <c r="J188" s="156" t="str">
        <f t="array" ref="J188">IFERROR(IF(INDEX($F$159:$F$210,MATCH(LEFT(I188,255),LEFT($D$159:$D$210,255),0))=0,"",INDEX($F$159:$F$210,MATCH(LEFT(I188,255),LEFT($D$159:$D$210,255),0))),"")</f>
        <v/>
      </c>
      <c r="K188" s="156" t="s">
        <v>2778</v>
      </c>
      <c r="L188" s="157"/>
      <c r="M188" s="157" t="s">
        <v>3098</v>
      </c>
      <c r="N188" s="156" t="str">
        <f t="shared" si="7"/>
        <v>MCI-00666</v>
      </c>
      <c r="O188" s="156"/>
      <c r="P188" s="157"/>
      <c r="Q188" s="157" t="s">
        <v>3095</v>
      </c>
      <c r="R188" s="157" t="s">
        <v>3096</v>
      </c>
    </row>
    <row r="189" spans="2:18" s="9" customFormat="1" x14ac:dyDescent="0.25">
      <c r="B189" s="488" t="str">
        <f t="array" ref="B189">IFERROR(INDEX($C$159:$C$210, MATCH(0, COUNTIF($B$158:B188, $C$159:$C$210&amp;"") + IF($C$159:$C$210="",1,0), 0)), "")</f>
        <v/>
      </c>
      <c r="C189" s="158" t="s">
        <v>3090</v>
      </c>
      <c r="D189" s="156" t="s">
        <v>3091</v>
      </c>
      <c r="E189" s="156" t="s">
        <v>274</v>
      </c>
      <c r="F189" s="156" t="str">
        <f>CHOOSE(Translations!$C$1+1,'Reference Records'!C189,'Reference Records'!Q189,'Reference Records'!R189)</f>
        <v>SSRS: gobernanza y planificación del sector de la salud</v>
      </c>
      <c r="G189" s="156" t="s">
        <v>3099</v>
      </c>
      <c r="H189" s="161" t="s">
        <v>3093</v>
      </c>
      <c r="I189" s="156" t="str">
        <f t="array" ref="I189">IFERROR(INDEX($D$159:$D$210, MATCH(0, COUNTIF($I$158:I188, $D$159:$D$210&amp;"") + IF($D$159:$D$210="",1,0), 0)), "")</f>
        <v/>
      </c>
      <c r="J189" s="156" t="str">
        <f t="array" ref="J189">IFERROR(IF(INDEX($F$159:$F$210,MATCH(LEFT(I189,255),LEFT($D$159:$D$210,255),0))=0,"",INDEX($F$159:$F$210,MATCH(LEFT(I189,255),LEFT($D$159:$D$210,255),0))),"")</f>
        <v/>
      </c>
      <c r="K189" s="156" t="s">
        <v>2778</v>
      </c>
      <c r="L189" s="157"/>
      <c r="M189" s="157" t="s">
        <v>3100</v>
      </c>
      <c r="N189" s="156" t="str">
        <f t="shared" si="7"/>
        <v>MCI-00666</v>
      </c>
      <c r="O189" s="156"/>
      <c r="P189" s="157"/>
      <c r="Q189" s="157" t="s">
        <v>3095</v>
      </c>
      <c r="R189" s="157" t="s">
        <v>3096</v>
      </c>
    </row>
    <row r="190" spans="2:18" s="9" customFormat="1" x14ac:dyDescent="0.25">
      <c r="B190" s="488" t="str">
        <f t="array" ref="B190">IFERROR(INDEX($C$159:$C$210, MATCH(0, COUNTIF($B$158:B189, $C$159:$C$210&amp;"") + IF($C$159:$C$210="",1,0), 0)), "")</f>
        <v/>
      </c>
      <c r="C190" s="158" t="s">
        <v>3101</v>
      </c>
      <c r="D190" s="156" t="s">
        <v>3102</v>
      </c>
      <c r="E190" s="156" t="s">
        <v>1413</v>
      </c>
      <c r="F190" s="156" t="str">
        <f>CHOOSE(Translations!$C$1+1,'Reference Records'!C190,'Reference Records'!Q190,'Reference Records'!R190)</f>
        <v>SSRS: recursos humanos para la salud  incluidos los trabajadores de la salud comunitarios</v>
      </c>
      <c r="G190" s="156" t="s">
        <v>3103</v>
      </c>
      <c r="H190" s="161" t="s">
        <v>3104</v>
      </c>
      <c r="I190" s="156" t="str">
        <f t="array" ref="I190">IFERROR(INDEX($D$159:$D$210, MATCH(0, COUNTIF($I$158:I189, $D$159:$D$210&amp;"") + IF($D$159:$D$210="",1,0), 0)), "")</f>
        <v/>
      </c>
      <c r="J190" s="156" t="str">
        <f t="array" ref="J190">IFERROR(IF(INDEX($F$159:$F$210,MATCH(LEFT(I190,255),LEFT($D$159:$D$210,255),0))=0,"",INDEX($F$159:$F$210,MATCH(LEFT(I190,255),LEFT($D$159:$D$210,255),0))),"")</f>
        <v/>
      </c>
      <c r="K190" s="156" t="s">
        <v>2778</v>
      </c>
      <c r="L190" s="157"/>
      <c r="M190" s="157" t="s">
        <v>3105</v>
      </c>
      <c r="N190" s="156" t="str">
        <f t="shared" si="7"/>
        <v>MCI-00663</v>
      </c>
      <c r="O190" s="156"/>
      <c r="P190" s="157"/>
      <c r="Q190" s="157" t="s">
        <v>3106</v>
      </c>
      <c r="R190" s="157" t="s">
        <v>3107</v>
      </c>
    </row>
    <row r="191" spans="2:18" s="9" customFormat="1" x14ac:dyDescent="0.25">
      <c r="B191" s="488" t="str">
        <f t="array" ref="B191">IFERROR(INDEX($C$159:$C$210, MATCH(0, COUNTIF($B$158:B190, $C$159:$C$210&amp;"") + IF($C$159:$C$210="",1,0), 0)), "")</f>
        <v/>
      </c>
      <c r="C191" s="158" t="s">
        <v>3101</v>
      </c>
      <c r="D191" s="156" t="s">
        <v>3102</v>
      </c>
      <c r="E191" s="156" t="s">
        <v>1414</v>
      </c>
      <c r="F191" s="156" t="str">
        <f>CHOOSE(Translations!$C$1+1,'Reference Records'!C191,'Reference Records'!Q191,'Reference Records'!R191)</f>
        <v>SSRS: recursos humanos para la salud  incluidos los trabajadores de la salud comunitarios</v>
      </c>
      <c r="G191" s="156" t="s">
        <v>3108</v>
      </c>
      <c r="H191" s="161" t="s">
        <v>3104</v>
      </c>
      <c r="I191" s="156" t="str">
        <f t="array" ref="I191">IFERROR(INDEX($D$159:$D$210, MATCH(0, COUNTIF($I$158:I190, $D$159:$D$210&amp;"") + IF($D$159:$D$210="",1,0), 0)), "")</f>
        <v/>
      </c>
      <c r="J191" s="156" t="str">
        <f t="array" ref="J191">IFERROR(IF(INDEX($F$159:$F$210,MATCH(LEFT(I191,255),LEFT($D$159:$D$210,255),0))=0,"",INDEX($F$159:$F$210,MATCH(LEFT(I191,255),LEFT($D$159:$D$210,255),0))),"")</f>
        <v/>
      </c>
      <c r="K191" s="156" t="s">
        <v>2778</v>
      </c>
      <c r="L191" s="157"/>
      <c r="M191" s="157" t="s">
        <v>3109</v>
      </c>
      <c r="N191" s="156" t="str">
        <f t="shared" si="7"/>
        <v>MCI-00663</v>
      </c>
      <c r="O191" s="156"/>
      <c r="P191" s="157"/>
      <c r="Q191" s="157" t="s">
        <v>3106</v>
      </c>
      <c r="R191" s="157" t="s">
        <v>3107</v>
      </c>
    </row>
    <row r="192" spans="2:18" s="9" customFormat="1" x14ac:dyDescent="0.25">
      <c r="B192" s="488" t="str">
        <f t="array" ref="B192">IFERROR(INDEX($C$159:$C$210, MATCH(0, COUNTIF($B$158:B191, $C$159:$C$210&amp;"") + IF($C$159:$C$210="",1,0), 0)), "")</f>
        <v/>
      </c>
      <c r="C192" s="158" t="s">
        <v>3101</v>
      </c>
      <c r="D192" s="156" t="s">
        <v>3102</v>
      </c>
      <c r="E192" s="156" t="s">
        <v>274</v>
      </c>
      <c r="F192" s="156" t="str">
        <f>CHOOSE(Translations!$C$1+1,'Reference Records'!C192,'Reference Records'!Q192,'Reference Records'!R192)</f>
        <v>SSRS: recursos humanos para la salud  incluidos los trabajadores de la salud comunitarios</v>
      </c>
      <c r="G192" s="156" t="s">
        <v>3110</v>
      </c>
      <c r="H192" s="161" t="s">
        <v>3104</v>
      </c>
      <c r="I192" s="156" t="str">
        <f t="array" ref="I192">IFERROR(INDEX($D$159:$D$210, MATCH(0, COUNTIF($I$158:I191, $D$159:$D$210&amp;"") + IF($D$159:$D$210="",1,0), 0)), "")</f>
        <v/>
      </c>
      <c r="J192" s="156" t="str">
        <f t="array" ref="J192">IFERROR(IF(INDEX($F$159:$F$210,MATCH(LEFT(I192,255),LEFT($D$159:$D$210,255),0))=0,"",INDEX($F$159:$F$210,MATCH(LEFT(I192,255),LEFT($D$159:$D$210,255),0))),"")</f>
        <v/>
      </c>
      <c r="K192" s="156" t="s">
        <v>2778</v>
      </c>
      <c r="L192" s="157"/>
      <c r="M192" s="157" t="s">
        <v>3111</v>
      </c>
      <c r="N192" s="156" t="str">
        <f t="shared" si="7"/>
        <v>MCI-00663</v>
      </c>
      <c r="O192" s="156"/>
      <c r="P192" s="157"/>
      <c r="Q192" s="157" t="s">
        <v>3106</v>
      </c>
      <c r="R192" s="157" t="s">
        <v>3107</v>
      </c>
    </row>
    <row r="193" spans="2:18" s="9" customFormat="1" x14ac:dyDescent="0.25">
      <c r="B193" s="488" t="str">
        <f t="array" ref="B193">IFERROR(INDEX($C$159:$C$210, MATCH(0, COUNTIF($B$158:B192, $C$159:$C$210&amp;"") + IF($C$159:$C$210="",1,0), 0)), "")</f>
        <v/>
      </c>
      <c r="C193" s="158" t="s">
        <v>3112</v>
      </c>
      <c r="D193" s="156" t="s">
        <v>3113</v>
      </c>
      <c r="E193" s="156" t="s">
        <v>1413</v>
      </c>
      <c r="F193" s="156" t="str">
        <f>CHOOSE(Translations!$C$1+1,'Reference Records'!C193,'Reference Records'!Q193,'Reference Records'!R193)</f>
        <v>SSRS: mejora de la calidad y la prestación de servicios integrados</v>
      </c>
      <c r="G193" s="156" t="s">
        <v>3114</v>
      </c>
      <c r="H193" s="161" t="s">
        <v>3115</v>
      </c>
      <c r="I193" s="156" t="str">
        <f t="array" ref="I193">IFERROR(INDEX($D$159:$D$210, MATCH(0, COUNTIF($I$158:I192, $D$159:$D$210&amp;"") + IF($D$159:$D$210="",1,0), 0)), "")</f>
        <v/>
      </c>
      <c r="J193" s="156" t="str">
        <f t="array" ref="J193">IFERROR(IF(INDEX($F$159:$F$210,MATCH(LEFT(I193,255),LEFT($D$159:$D$210,255),0))=0,"",INDEX($F$159:$F$210,MATCH(LEFT(I193,255),LEFT($D$159:$D$210,255),0))),"")</f>
        <v/>
      </c>
      <c r="K193" s="156" t="s">
        <v>2778</v>
      </c>
      <c r="L193" s="157"/>
      <c r="M193" s="157" t="s">
        <v>3116</v>
      </c>
      <c r="N193" s="156" t="str">
        <f t="shared" si="7"/>
        <v>MCI-00664</v>
      </c>
      <c r="O193" s="156"/>
      <c r="P193" s="157"/>
      <c r="Q193" s="157" t="s">
        <v>3117</v>
      </c>
      <c r="R193" s="157" t="s">
        <v>3118</v>
      </c>
    </row>
    <row r="194" spans="2:18" s="9" customFormat="1" x14ac:dyDescent="0.25">
      <c r="B194" s="488" t="str">
        <f t="array" ref="B194">IFERROR(INDEX($C$159:$C$210, MATCH(0, COUNTIF($B$158:B193, $C$159:$C$210&amp;"") + IF($C$159:$C$210="",1,0), 0)), "")</f>
        <v/>
      </c>
      <c r="C194" s="158" t="s">
        <v>3112</v>
      </c>
      <c r="D194" s="156" t="s">
        <v>3113</v>
      </c>
      <c r="E194" s="156" t="s">
        <v>1414</v>
      </c>
      <c r="F194" s="156" t="str">
        <f>CHOOSE(Translations!$C$1+1,'Reference Records'!C194,'Reference Records'!Q194,'Reference Records'!R194)</f>
        <v>SSRS: mejora de la calidad y la prestación de servicios integrados</v>
      </c>
      <c r="G194" s="156" t="s">
        <v>3119</v>
      </c>
      <c r="H194" s="161" t="s">
        <v>3115</v>
      </c>
      <c r="I194" s="156" t="str">
        <f t="array" ref="I194">IFERROR(INDEX($D$159:$D$210, MATCH(0, COUNTIF($I$158:I193, $D$159:$D$210&amp;"") + IF($D$159:$D$210="",1,0), 0)), "")</f>
        <v/>
      </c>
      <c r="J194" s="156" t="str">
        <f t="array" ref="J194">IFERROR(IF(INDEX($F$159:$F$210,MATCH(LEFT(I194,255),LEFT($D$159:$D$210,255),0))=0,"",INDEX($F$159:$F$210,MATCH(LEFT(I194,255),LEFT($D$159:$D$210,255),0))),"")</f>
        <v/>
      </c>
      <c r="K194" s="156" t="s">
        <v>2778</v>
      </c>
      <c r="L194" s="157"/>
      <c r="M194" s="157" t="s">
        <v>3120</v>
      </c>
      <c r="N194" s="156" t="str">
        <f t="shared" si="7"/>
        <v>MCI-00664</v>
      </c>
      <c r="O194" s="156"/>
      <c r="P194" s="157"/>
      <c r="Q194" s="157" t="s">
        <v>3117</v>
      </c>
      <c r="R194" s="157" t="s">
        <v>3118</v>
      </c>
    </row>
    <row r="195" spans="2:18" s="9" customFormat="1" x14ac:dyDescent="0.25">
      <c r="B195" s="488" t="str">
        <f t="array" ref="B195">IFERROR(INDEX($C$159:$C$210, MATCH(0, COUNTIF($B$158:B194, $C$159:$C$210&amp;"") + IF($C$159:$C$210="",1,0), 0)), "")</f>
        <v/>
      </c>
      <c r="C195" s="158" t="s">
        <v>3112</v>
      </c>
      <c r="D195" s="156" t="s">
        <v>3113</v>
      </c>
      <c r="E195" s="156" t="s">
        <v>274</v>
      </c>
      <c r="F195" s="156" t="str">
        <f>CHOOSE(Translations!$C$1+1,'Reference Records'!C195,'Reference Records'!Q195,'Reference Records'!R195)</f>
        <v>SSRS: mejora de la calidad y la prestación de servicios integrados</v>
      </c>
      <c r="G195" s="156" t="s">
        <v>3121</v>
      </c>
      <c r="H195" s="161" t="s">
        <v>3115</v>
      </c>
      <c r="I195" s="156" t="str">
        <f t="array" ref="I195">IFERROR(INDEX($D$159:$D$210, MATCH(0, COUNTIF($I$158:I194, $D$159:$D$210&amp;"") + IF($D$159:$D$210="",1,0), 0)), "")</f>
        <v/>
      </c>
      <c r="J195" s="156" t="str">
        <f t="array" ref="J195">IFERROR(IF(INDEX($F$159:$F$210,MATCH(LEFT(I195,255),LEFT($D$159:$D$210,255),0))=0,"",INDEX($F$159:$F$210,MATCH(LEFT(I195,255),LEFT($D$159:$D$210,255),0))),"")</f>
        <v/>
      </c>
      <c r="K195" s="156" t="s">
        <v>2778</v>
      </c>
      <c r="L195" s="157"/>
      <c r="M195" s="157" t="s">
        <v>3122</v>
      </c>
      <c r="N195" s="156" t="str">
        <f t="shared" si="7"/>
        <v>MCI-00664</v>
      </c>
      <c r="O195" s="156"/>
      <c r="P195" s="157"/>
      <c r="Q195" s="157" t="s">
        <v>3117</v>
      </c>
      <c r="R195" s="157" t="s">
        <v>3118</v>
      </c>
    </row>
    <row r="196" spans="2:18" s="9" customFormat="1" x14ac:dyDescent="0.25">
      <c r="B196" s="488" t="str">
        <f t="array" ref="B196">IFERROR(INDEX($C$159:$C$210, MATCH(0, COUNTIF($B$158:B195, $C$159:$C$210&amp;"") + IF($C$159:$C$210="",1,0), 0)), "")</f>
        <v/>
      </c>
      <c r="C196" s="158" t="s">
        <v>3123</v>
      </c>
      <c r="D196" s="156" t="s">
        <v>3124</v>
      </c>
      <c r="E196" s="156" t="s">
        <v>1413</v>
      </c>
      <c r="F196" s="156" t="str">
        <f>CHOOSE(Translations!$C$1+1,'Reference Records'!C196,'Reference Records'!Q196,'Reference Records'!R196)</f>
        <v>SSRS: sistemas de laboratorio</v>
      </c>
      <c r="G196" s="156" t="s">
        <v>3125</v>
      </c>
      <c r="H196" s="161" t="s">
        <v>3126</v>
      </c>
      <c r="I196" s="156" t="str">
        <f t="array" ref="I196">IFERROR(INDEX($D$159:$D$210, MATCH(0, COUNTIF($I$158:I195, $D$159:$D$210&amp;"") + IF($D$159:$D$210="",1,0), 0)), "")</f>
        <v/>
      </c>
      <c r="J196" s="156" t="str">
        <f t="array" ref="J196">IFERROR(IF(INDEX($F$159:$F$210,MATCH(LEFT(I196,255),LEFT($D$159:$D$210,255),0))=0,"",INDEX($F$159:$F$210,MATCH(LEFT(I196,255),LEFT($D$159:$D$210,255),0))),"")</f>
        <v/>
      </c>
      <c r="K196" s="156" t="s">
        <v>2778</v>
      </c>
      <c r="L196" s="157"/>
      <c r="M196" s="157" t="s">
        <v>3127</v>
      </c>
      <c r="N196" s="156" t="str">
        <f t="shared" si="7"/>
        <v>MCI-00668</v>
      </c>
      <c r="O196" s="156"/>
      <c r="P196" s="157"/>
      <c r="Q196" s="157" t="s">
        <v>3128</v>
      </c>
      <c r="R196" s="157" t="s">
        <v>3129</v>
      </c>
    </row>
    <row r="197" spans="2:18" s="9" customFormat="1" x14ac:dyDescent="0.25">
      <c r="B197" s="488" t="str">
        <f t="array" ref="B197">IFERROR(INDEX($C$159:$C$210, MATCH(0, COUNTIF($B$158:B196, $C$159:$C$210&amp;"") + IF($C$159:$C$210="",1,0), 0)), "")</f>
        <v/>
      </c>
      <c r="C197" s="158" t="s">
        <v>3123</v>
      </c>
      <c r="D197" s="156" t="s">
        <v>3124</v>
      </c>
      <c r="E197" s="156" t="s">
        <v>1414</v>
      </c>
      <c r="F197" s="156" t="str">
        <f>CHOOSE(Translations!$C$1+1,'Reference Records'!C197,'Reference Records'!Q197,'Reference Records'!R197)</f>
        <v>SSRS: sistemas de laboratorio</v>
      </c>
      <c r="G197" s="156" t="s">
        <v>3130</v>
      </c>
      <c r="H197" s="161" t="s">
        <v>3126</v>
      </c>
      <c r="I197" s="156" t="str">
        <f t="array" ref="I197">IFERROR(INDEX($D$159:$D$210, MATCH(0, COUNTIF($I$158:I196, $D$159:$D$210&amp;"") + IF($D$159:$D$210="",1,0), 0)), "")</f>
        <v/>
      </c>
      <c r="J197" s="156" t="str">
        <f t="array" ref="J197">IFERROR(IF(INDEX($F$159:$F$210,MATCH(LEFT(I197,255),LEFT($D$159:$D$210,255),0))=0,"",INDEX($F$159:$F$210,MATCH(LEFT(I197,255),LEFT($D$159:$D$210,255),0))),"")</f>
        <v/>
      </c>
      <c r="K197" s="156" t="s">
        <v>2778</v>
      </c>
      <c r="L197" s="157"/>
      <c r="M197" s="157" t="s">
        <v>3131</v>
      </c>
      <c r="N197" s="156" t="str">
        <f t="shared" si="7"/>
        <v>MCI-00668</v>
      </c>
      <c r="O197" s="156"/>
      <c r="P197" s="157"/>
      <c r="Q197" s="157" t="s">
        <v>3128</v>
      </c>
      <c r="R197" s="157" t="s">
        <v>3129</v>
      </c>
    </row>
    <row r="198" spans="2:18" s="9" customFormat="1" x14ac:dyDescent="0.25">
      <c r="B198" s="488" t="str">
        <f t="array" ref="B198">IFERROR(INDEX($C$159:$C$210, MATCH(0, COUNTIF($B$158:B197, $C$159:$C$210&amp;"") + IF($C$159:$C$210="",1,0), 0)), "")</f>
        <v/>
      </c>
      <c r="C198" s="158" t="s">
        <v>3123</v>
      </c>
      <c r="D198" s="156" t="s">
        <v>3124</v>
      </c>
      <c r="E198" s="156" t="s">
        <v>274</v>
      </c>
      <c r="F198" s="156" t="str">
        <f>CHOOSE(Translations!$C$1+1,'Reference Records'!C198,'Reference Records'!Q198,'Reference Records'!R198)</f>
        <v>SSRS: sistemas de laboratorio</v>
      </c>
      <c r="G198" s="156" t="s">
        <v>3132</v>
      </c>
      <c r="H198" s="161" t="s">
        <v>3126</v>
      </c>
      <c r="I198" s="156" t="str">
        <f t="array" ref="I198">IFERROR(INDEX($D$159:$D$210, MATCH(0, COUNTIF($I$158:I197, $D$159:$D$210&amp;"") + IF($D$159:$D$210="",1,0), 0)), "")</f>
        <v/>
      </c>
      <c r="J198" s="156" t="str">
        <f t="array" ref="J198">IFERROR(IF(INDEX($F$159:$F$210,MATCH(LEFT(I198,255),LEFT($D$159:$D$210,255),0))=0,"",INDEX($F$159:$F$210,MATCH(LEFT(I198,255),LEFT($D$159:$D$210,255),0))),"")</f>
        <v/>
      </c>
      <c r="K198" s="156" t="s">
        <v>2778</v>
      </c>
      <c r="L198" s="157"/>
      <c r="M198" s="157" t="s">
        <v>3133</v>
      </c>
      <c r="N198" s="156" t="str">
        <f t="shared" si="7"/>
        <v>MCI-00668</v>
      </c>
      <c r="O198" s="156"/>
      <c r="P198" s="157"/>
      <c r="Q198" s="157" t="s">
        <v>3128</v>
      </c>
      <c r="R198" s="157" t="s">
        <v>3129</v>
      </c>
    </row>
    <row r="199" spans="2:18" s="9" customFormat="1" x14ac:dyDescent="0.25">
      <c r="B199" s="488" t="str">
        <f t="array" ref="B199">IFERROR(INDEX($C$159:$C$210, MATCH(0, COUNTIF($B$158:B198, $C$159:$C$210&amp;"") + IF($C$159:$C$210="",1,0), 0)), "")</f>
        <v/>
      </c>
      <c r="C199" s="158" t="s">
        <v>3134</v>
      </c>
      <c r="D199" s="156" t="s">
        <v>1152</v>
      </c>
      <c r="E199" s="156" t="s">
        <v>1414</v>
      </c>
      <c r="F199" s="156" t="str">
        <f>CHOOSE(Translations!$C$1+1,'Reference Records'!C199,'Reference Records'!Q199,'Reference Records'!R199)</f>
        <v>Atención y prevención de la tuberculosis</v>
      </c>
      <c r="G199" s="156" t="s">
        <v>3135</v>
      </c>
      <c r="H199" s="161" t="s">
        <v>1154</v>
      </c>
      <c r="I199" s="156" t="str">
        <f t="array" ref="I199">IFERROR(INDEX($D$159:$D$210, MATCH(0, COUNTIF($I$158:I198, $D$159:$D$210&amp;"") + IF($D$159:$D$210="",1,0), 0)), "")</f>
        <v/>
      </c>
      <c r="J199" s="156" t="str">
        <f t="array" ref="J199">IFERROR(IF(INDEX($F$159:$F$210,MATCH(LEFT(I199,255),LEFT($D$159:$D$210,255),0))=0,"",INDEX($F$159:$F$210,MATCH(LEFT(I199,255),LEFT($D$159:$D$210,255),0))),"")</f>
        <v/>
      </c>
      <c r="K199" s="156" t="s">
        <v>2778</v>
      </c>
      <c r="L199" s="157"/>
      <c r="M199" s="157" t="s">
        <v>3136</v>
      </c>
      <c r="N199" s="156" t="str">
        <f t="shared" si="7"/>
        <v>MCI-00653</v>
      </c>
      <c r="O199" s="156"/>
      <c r="P199" s="157"/>
      <c r="Q199" s="157" t="s">
        <v>3137</v>
      </c>
      <c r="R199" s="157" t="s">
        <v>3138</v>
      </c>
    </row>
    <row r="200" spans="2:18" s="9" customFormat="1" x14ac:dyDescent="0.25">
      <c r="B200" s="488" t="str">
        <f t="array" ref="B200">IFERROR(INDEX($C$159:$C$210, MATCH(0, COUNTIF($B$158:B199, $C$159:$C$210&amp;"") + IF($C$159:$C$210="",1,0), 0)), "")</f>
        <v/>
      </c>
      <c r="C200" s="158" t="s">
        <v>3139</v>
      </c>
      <c r="D200" s="156" t="s">
        <v>3140</v>
      </c>
      <c r="E200" s="156" t="s">
        <v>1413</v>
      </c>
      <c r="F200" s="156" t="str">
        <f>CHOOSE(Translations!$C$1+1,'Reference Records'!C200,'Reference Records'!Q200,'Reference Records'!R200)</f>
        <v>TB/VIH</v>
      </c>
      <c r="G200" s="156" t="s">
        <v>3141</v>
      </c>
      <c r="H200" s="161" t="s">
        <v>3142</v>
      </c>
      <c r="I200" s="156" t="str">
        <f t="array" ref="I200">IFERROR(INDEX($D$159:$D$210, MATCH(0, COUNTIF($I$158:I199, $D$159:$D$210&amp;"") + IF($D$159:$D$210="",1,0), 0)), "")</f>
        <v/>
      </c>
      <c r="J200" s="156" t="str">
        <f t="array" ref="J200">IFERROR(IF(INDEX($F$159:$F$210,MATCH(LEFT(I200,255),LEFT($D$159:$D$210,255),0))=0,"",INDEX($F$159:$F$210,MATCH(LEFT(I200,255),LEFT($D$159:$D$210,255),0))),"")</f>
        <v/>
      </c>
      <c r="K200" s="156" t="s">
        <v>2778</v>
      </c>
      <c r="L200" s="157"/>
      <c r="M200" s="157" t="s">
        <v>3143</v>
      </c>
      <c r="N200" s="156" t="str">
        <f t="shared" si="7"/>
        <v>MCI-00656</v>
      </c>
      <c r="O200" s="156"/>
      <c r="P200" s="157"/>
      <c r="Q200" s="157" t="s">
        <v>3144</v>
      </c>
      <c r="R200" s="157" t="s">
        <v>3145</v>
      </c>
    </row>
    <row r="201" spans="2:18" s="9" customFormat="1" x14ac:dyDescent="0.25">
      <c r="B201" s="488" t="str">
        <f t="array" ref="B201">IFERROR(INDEX($C$159:$C$210, MATCH(0, COUNTIF($B$158:B200, $C$159:$C$210&amp;"") + IF($C$159:$C$210="",1,0), 0)), "")</f>
        <v/>
      </c>
      <c r="C201" s="158" t="s">
        <v>3139</v>
      </c>
      <c r="D201" s="156" t="s">
        <v>3140</v>
      </c>
      <c r="E201" s="156" t="s">
        <v>1414</v>
      </c>
      <c r="F201" s="156" t="str">
        <f>CHOOSE(Translations!$C$1+1,'Reference Records'!C201,'Reference Records'!Q201,'Reference Records'!R201)</f>
        <v>TB/VIH</v>
      </c>
      <c r="G201" s="156" t="s">
        <v>3146</v>
      </c>
      <c r="H201" s="161" t="s">
        <v>3142</v>
      </c>
      <c r="I201" s="156" t="str">
        <f t="array" ref="I201">IFERROR(INDEX($D$159:$D$210, MATCH(0, COUNTIF($I$158:I200, $D$159:$D$210&amp;"") + IF($D$159:$D$210="",1,0), 0)), "")</f>
        <v/>
      </c>
      <c r="J201" s="156" t="str">
        <f t="array" ref="J201">IFERROR(IF(INDEX($F$159:$F$210,MATCH(LEFT(I201,255),LEFT($D$159:$D$210,255),0))=0,"",INDEX($F$159:$F$210,MATCH(LEFT(I201,255),LEFT($D$159:$D$210,255),0))),"")</f>
        <v/>
      </c>
      <c r="K201" s="156" t="s">
        <v>2778</v>
      </c>
      <c r="L201" s="157"/>
      <c r="M201" s="157" t="s">
        <v>3147</v>
      </c>
      <c r="N201" s="156" t="str">
        <f t="shared" si="7"/>
        <v>MCI-00656</v>
      </c>
      <c r="O201" s="156"/>
      <c r="P201" s="157"/>
      <c r="Q201" s="157" t="s">
        <v>3144</v>
      </c>
      <c r="R201" s="157" t="s">
        <v>3145</v>
      </c>
    </row>
    <row r="202" spans="2:18" s="9" customFormat="1" x14ac:dyDescent="0.25">
      <c r="B202" s="488" t="str">
        <f t="array" ref="B202">IFERROR(INDEX($C$159:$C$210, MATCH(0, COUNTIF($B$158:B201, $C$159:$C$210&amp;"") + IF($C$159:$C$210="",1,0), 0)), "")</f>
        <v/>
      </c>
      <c r="C202" s="158" t="s">
        <v>3148</v>
      </c>
      <c r="D202" s="156" t="s">
        <v>1164</v>
      </c>
      <c r="E202" s="156" t="s">
        <v>1413</v>
      </c>
      <c r="F202" s="156" t="str">
        <f>CHOOSE(Translations!$C$1+1,'Reference Records'!C202,'Reference Records'!Q202,'Reference Records'!R202)</f>
        <v>Tratamiento, atención y apoyo</v>
      </c>
      <c r="G202" s="156" t="s">
        <v>3149</v>
      </c>
      <c r="H202" s="161" t="s">
        <v>1166</v>
      </c>
      <c r="I202" s="156" t="str">
        <f t="array" ref="I202">IFERROR(INDEX($D$159:$D$210, MATCH(0, COUNTIF($I$158:I201, $D$159:$D$210&amp;"") + IF($D$159:$D$210="",1,0), 0)), "")</f>
        <v/>
      </c>
      <c r="J202" s="156" t="str">
        <f t="array" ref="J202">IFERROR(IF(INDEX($F$159:$F$210,MATCH(LEFT(I202,255),LEFT($D$159:$D$210,255),0))=0,"",INDEX($F$159:$F$210,MATCH(LEFT(I202,255),LEFT($D$159:$D$210,255),0))),"")</f>
        <v/>
      </c>
      <c r="K202" s="156" t="s">
        <v>2778</v>
      </c>
      <c r="L202" s="157"/>
      <c r="M202" s="157" t="s">
        <v>3150</v>
      </c>
      <c r="N202" s="156" t="str">
        <f t="shared" si="7"/>
        <v>MCI-00651</v>
      </c>
      <c r="O202" s="156"/>
      <c r="P202" s="157"/>
      <c r="Q202" s="157" t="s">
        <v>3151</v>
      </c>
      <c r="R202" s="157" t="s">
        <v>3152</v>
      </c>
    </row>
    <row r="203" spans="2:18" s="9" customFormat="1" x14ac:dyDescent="0.25">
      <c r="C203" s="158"/>
      <c r="D203" s="156"/>
      <c r="E203" s="156"/>
      <c r="F203" s="160"/>
      <c r="G203" s="156"/>
      <c r="H203" s="159"/>
      <c r="I203" s="156"/>
      <c r="J203" s="156"/>
      <c r="K203" s="156"/>
      <c r="L203" s="156"/>
      <c r="M203" s="157"/>
    </row>
    <row r="204" spans="2:18" s="9" customFormat="1" x14ac:dyDescent="0.25">
      <c r="C204" s="158"/>
      <c r="D204" s="156"/>
      <c r="E204" s="156"/>
      <c r="F204" s="160"/>
      <c r="G204" s="156"/>
      <c r="H204" s="159"/>
      <c r="I204" s="156"/>
      <c r="J204" s="156"/>
      <c r="K204" s="156"/>
      <c r="L204" s="156"/>
      <c r="M204" s="157"/>
    </row>
    <row r="205" spans="2:18" s="9" customFormat="1" x14ac:dyDescent="0.25">
      <c r="C205" s="158"/>
      <c r="D205" s="156"/>
      <c r="E205" s="156"/>
      <c r="F205" s="160"/>
      <c r="G205" s="156"/>
      <c r="H205" s="159"/>
      <c r="I205" s="156"/>
      <c r="J205" s="156"/>
      <c r="K205" s="156"/>
      <c r="L205" s="156"/>
      <c r="M205" s="157"/>
    </row>
    <row r="206" spans="2:18" s="9" customFormat="1" x14ac:dyDescent="0.25">
      <c r="C206" s="158"/>
      <c r="D206" s="156"/>
      <c r="E206" s="156"/>
      <c r="F206" s="160"/>
      <c r="G206" s="156"/>
      <c r="H206" s="159"/>
      <c r="I206" s="156"/>
      <c r="J206" s="156"/>
      <c r="K206" s="156"/>
      <c r="L206" s="156"/>
      <c r="M206" s="157"/>
    </row>
    <row r="207" spans="2:18" s="9" customFormat="1" x14ac:dyDescent="0.25">
      <c r="C207" s="158"/>
      <c r="D207" s="156"/>
      <c r="E207" s="156"/>
      <c r="F207" s="160"/>
      <c r="G207" s="156"/>
      <c r="H207" s="159"/>
      <c r="I207" s="156"/>
      <c r="J207" s="156"/>
      <c r="K207" s="156"/>
      <c r="L207" s="156"/>
      <c r="M207" s="157"/>
    </row>
    <row r="208" spans="2:18" s="9" customFormat="1" x14ac:dyDescent="0.25">
      <c r="C208" s="158"/>
      <c r="D208" s="156"/>
      <c r="E208" s="156"/>
      <c r="F208" s="160"/>
      <c r="G208" s="156"/>
      <c r="H208" s="159"/>
      <c r="I208" s="156"/>
      <c r="J208" s="156"/>
      <c r="K208" s="156"/>
      <c r="L208" s="156"/>
      <c r="M208" s="157"/>
    </row>
    <row r="209" spans="1:14" s="9" customFormat="1" x14ac:dyDescent="0.25">
      <c r="C209" s="158"/>
      <c r="D209" s="156"/>
      <c r="E209" s="156"/>
      <c r="F209" s="160"/>
      <c r="G209" s="156"/>
      <c r="H209" s="159"/>
      <c r="I209" s="156"/>
      <c r="J209" s="156"/>
      <c r="K209" s="156"/>
      <c r="L209" s="156"/>
      <c r="M209" s="157"/>
    </row>
    <row r="211" spans="1:14" ht="13" x14ac:dyDescent="0.3">
      <c r="A211" s="2" t="s">
        <v>59</v>
      </c>
    </row>
    <row r="212" spans="1:14" x14ac:dyDescent="0.25">
      <c r="A212" s="490" t="s">
        <v>1</v>
      </c>
      <c r="B212" s="490" t="s">
        <v>107</v>
      </c>
      <c r="C212" s="490" t="s">
        <v>447</v>
      </c>
      <c r="D212" s="490" t="s">
        <v>45</v>
      </c>
      <c r="E212" s="490" t="s">
        <v>48</v>
      </c>
      <c r="F212" s="490" t="s">
        <v>103</v>
      </c>
      <c r="G212" s="490" t="s">
        <v>104</v>
      </c>
      <c r="H212" s="490" t="s">
        <v>113</v>
      </c>
      <c r="I212" s="490" t="s">
        <v>106</v>
      </c>
      <c r="J212" s="490" t="s">
        <v>105</v>
      </c>
      <c r="K212" s="490" t="s">
        <v>67</v>
      </c>
      <c r="L212" s="490" t="s">
        <v>446</v>
      </c>
      <c r="M212" s="490" t="s">
        <v>444</v>
      </c>
      <c r="N212" s="490" t="s">
        <v>285</v>
      </c>
    </row>
    <row r="213" spans="1:14" hidden="1" x14ac:dyDescent="0.25">
      <c r="A213" s="490" t="s">
        <v>102</v>
      </c>
      <c r="B213" s="491" t="s">
        <v>79</v>
      </c>
      <c r="C213" s="490" t="str">
        <f>CHOOSE(Translations!$C$1+1,K213,L213,M213)</f>
        <v>[Name - ES]</v>
      </c>
      <c r="D213" s="491" t="s">
        <v>44</v>
      </c>
      <c r="E213" s="490" t="s">
        <v>47</v>
      </c>
      <c r="F213" s="491" t="str">
        <f>B213</f>
        <v>[Name ID]</v>
      </c>
      <c r="G213" s="490" t="str">
        <f>A213&amp;C213</f>
        <v>[Module (Name)][Name - ES]</v>
      </c>
      <c r="H213" s="490" t="str">
        <f>A213&amp;C213</f>
        <v>[Module (Name)][Name - ES]</v>
      </c>
      <c r="I213" s="491" t="str">
        <f>F213</f>
        <v>[Name ID]</v>
      </c>
      <c r="J213" s="490"/>
      <c r="K213" s="493" t="s">
        <v>52</v>
      </c>
      <c r="L213" s="491" t="s">
        <v>445</v>
      </c>
      <c r="M213" s="491" t="s">
        <v>443</v>
      </c>
      <c r="N213" s="490" t="s">
        <v>284</v>
      </c>
    </row>
    <row r="214" spans="1:14" s="9" customFormat="1" x14ac:dyDescent="0.25">
      <c r="A214" s="490" t="s">
        <v>1156</v>
      </c>
      <c r="B214" s="490" t="s">
        <v>3420</v>
      </c>
      <c r="C214" s="490" t="str">
        <f>CHOOSE(Translations!$C$1+1,K214,L214,M214)</f>
        <v>Abordaje del estigma, la discriminación y la violencia</v>
      </c>
      <c r="D214" s="490"/>
      <c r="E214" s="490" t="s">
        <v>3421</v>
      </c>
      <c r="F214" s="491" t="str">
        <f t="shared" ref="F214:F277" si="8">B214</f>
        <v>MCI-00676</v>
      </c>
      <c r="G214" s="490" t="str">
        <f t="shared" ref="G214:G277" si="9">A214&amp;C214</f>
        <v>MCI-00648Abordaje del estigma, la discriminación y la violencia</v>
      </c>
      <c r="H214" s="490" t="str">
        <f t="shared" ref="H214:H277" si="10">A214&amp;C214</f>
        <v>MCI-00648Abordaje del estigma, la discriminación y la violencia</v>
      </c>
      <c r="I214" s="491" t="str">
        <f t="shared" ref="I214:I277" si="11">F214</f>
        <v>MCI-00676</v>
      </c>
      <c r="J214" s="490"/>
      <c r="K214" s="493" t="s">
        <v>3422</v>
      </c>
      <c r="L214" s="491" t="s">
        <v>3423</v>
      </c>
      <c r="M214" s="491" t="s">
        <v>3424</v>
      </c>
      <c r="N214" s="490" t="s">
        <v>2778</v>
      </c>
    </row>
    <row r="215" spans="1:14" s="9" customFormat="1" x14ac:dyDescent="0.25">
      <c r="A215" s="490" t="s">
        <v>1156</v>
      </c>
      <c r="B215" s="490" t="s">
        <v>3425</v>
      </c>
      <c r="C215" s="490" t="str">
        <f>CHOOSE(Translations!$C$1+1,K215,L215,M215)</f>
        <v>Intervenciones para cambio de comportamiento</v>
      </c>
      <c r="D215" s="490"/>
      <c r="E215" s="490" t="s">
        <v>3426</v>
      </c>
      <c r="F215" s="491" t="str">
        <f t="shared" si="8"/>
        <v>MCI-00672</v>
      </c>
      <c r="G215" s="490" t="str">
        <f t="shared" si="9"/>
        <v>MCI-00648Intervenciones para cambio de comportamiento</v>
      </c>
      <c r="H215" s="490" t="str">
        <f t="shared" si="10"/>
        <v>MCI-00648Intervenciones para cambio de comportamiento</v>
      </c>
      <c r="I215" s="491" t="str">
        <f t="shared" si="11"/>
        <v>MCI-00672</v>
      </c>
      <c r="J215" s="490"/>
      <c r="K215" s="493" t="s">
        <v>3427</v>
      </c>
      <c r="L215" s="491" t="s">
        <v>3428</v>
      </c>
      <c r="M215" s="491" t="s">
        <v>3429</v>
      </c>
      <c r="N215" s="490" t="s">
        <v>2778</v>
      </c>
    </row>
    <row r="216" spans="1:14" s="9" customFormat="1" x14ac:dyDescent="0.25">
      <c r="A216" s="490" t="s">
        <v>1156</v>
      </c>
      <c r="B216" s="490" t="s">
        <v>3430</v>
      </c>
      <c r="C216" s="490" t="str">
        <f>CHOOSE(Translations!$C$1+1,K216,L216,M216)</f>
        <v>Empoderamiento comunitario</v>
      </c>
      <c r="D216" s="490"/>
      <c r="E216" s="490" t="s">
        <v>3431</v>
      </c>
      <c r="F216" s="491" t="str">
        <f t="shared" si="8"/>
        <v>MCI-00673</v>
      </c>
      <c r="G216" s="490" t="str">
        <f t="shared" si="9"/>
        <v>MCI-00648Empoderamiento comunitario</v>
      </c>
      <c r="H216" s="490" t="str">
        <f t="shared" si="10"/>
        <v>MCI-00648Empoderamiento comunitario</v>
      </c>
      <c r="I216" s="491" t="str">
        <f t="shared" si="11"/>
        <v>MCI-00673</v>
      </c>
      <c r="J216" s="490"/>
      <c r="K216" s="493" t="s">
        <v>3432</v>
      </c>
      <c r="L216" s="491" t="s">
        <v>3433</v>
      </c>
      <c r="M216" s="491" t="s">
        <v>3434</v>
      </c>
      <c r="N216" s="490" t="s">
        <v>2778</v>
      </c>
    </row>
    <row r="217" spans="1:14" s="9" customFormat="1" x14ac:dyDescent="0.25">
      <c r="A217" s="490" t="s">
        <v>1156</v>
      </c>
      <c r="B217" s="490" t="s">
        <v>3435</v>
      </c>
      <c r="C217" s="490" t="str">
        <f>CHOOSE(Translations!$C$1+1,K217,L217,M217)</f>
        <v>Educación sexual integral</v>
      </c>
      <c r="D217" s="490"/>
      <c r="E217" s="490" t="s">
        <v>3436</v>
      </c>
      <c r="F217" s="491" t="str">
        <f t="shared" si="8"/>
        <v>MCI-00682</v>
      </c>
      <c r="G217" s="490" t="str">
        <f t="shared" si="9"/>
        <v>MCI-00648Educación sexual integral</v>
      </c>
      <c r="H217" s="490" t="str">
        <f t="shared" si="10"/>
        <v>MCI-00648Educación sexual integral</v>
      </c>
      <c r="I217" s="491" t="str">
        <f t="shared" si="11"/>
        <v>MCI-00682</v>
      </c>
      <c r="J217" s="490"/>
      <c r="K217" s="493" t="s">
        <v>3437</v>
      </c>
      <c r="L217" s="491" t="s">
        <v>3438</v>
      </c>
      <c r="M217" s="491" t="s">
        <v>3439</v>
      </c>
      <c r="N217" s="490" t="s">
        <v>2778</v>
      </c>
    </row>
    <row r="218" spans="1:14" s="9" customFormat="1" x14ac:dyDescent="0.25">
      <c r="A218" s="490" t="s">
        <v>1156</v>
      </c>
      <c r="B218" s="490" t="s">
        <v>3440</v>
      </c>
      <c r="C218" s="490" t="str">
        <f>CHOOSE(Translations!$C$1+1,K218,L218,M218)</f>
        <v>Programas de preservativos y lubricantes</v>
      </c>
      <c r="D218" s="490"/>
      <c r="E218" s="490" t="s">
        <v>3441</v>
      </c>
      <c r="F218" s="491" t="str">
        <f t="shared" si="8"/>
        <v>MCI-00670</v>
      </c>
      <c r="G218" s="490" t="str">
        <f t="shared" si="9"/>
        <v>MCI-00648Programas de preservativos y lubricantes</v>
      </c>
      <c r="H218" s="490" t="str">
        <f t="shared" si="10"/>
        <v>MCI-00648Programas de preservativos y lubricantes</v>
      </c>
      <c r="I218" s="491" t="str">
        <f t="shared" si="11"/>
        <v>MCI-00670</v>
      </c>
      <c r="J218" s="490"/>
      <c r="K218" s="493" t="s">
        <v>3442</v>
      </c>
      <c r="L218" s="491" t="s">
        <v>3443</v>
      </c>
      <c r="M218" s="491" t="s">
        <v>3444</v>
      </c>
      <c r="N218" s="490" t="s">
        <v>2778</v>
      </c>
    </row>
    <row r="219" spans="1:14" s="9" customFormat="1" x14ac:dyDescent="0.25">
      <c r="A219" s="490" t="s">
        <v>1156</v>
      </c>
      <c r="B219" s="490" t="s">
        <v>3445</v>
      </c>
      <c r="C219" s="490" t="str">
        <f>CHOOSE(Translations!$C$1+1,K219,L219,M219)</f>
        <v>Prevención de la violencia de género y atención posterior a un episodio de violencia</v>
      </c>
      <c r="D219" s="490"/>
      <c r="E219" s="490" t="s">
        <v>3446</v>
      </c>
      <c r="F219" s="491" t="str">
        <f t="shared" si="8"/>
        <v>MCI-00683</v>
      </c>
      <c r="G219" s="490" t="str">
        <f t="shared" si="9"/>
        <v>MCI-00648Prevención de la violencia de género y atención posterior a un episodio de violencia</v>
      </c>
      <c r="H219" s="490" t="str">
        <f t="shared" si="10"/>
        <v>MCI-00648Prevención de la violencia de género y atención posterior a un episodio de violencia</v>
      </c>
      <c r="I219" s="491" t="str">
        <f t="shared" si="11"/>
        <v>MCI-00683</v>
      </c>
      <c r="J219" s="490"/>
      <c r="K219" s="493" t="s">
        <v>3447</v>
      </c>
      <c r="L219" s="491" t="s">
        <v>3448</v>
      </c>
      <c r="M219" s="491" t="s">
        <v>3449</v>
      </c>
      <c r="N219" s="490" t="s">
        <v>2778</v>
      </c>
    </row>
    <row r="220" spans="1:14" s="9" customFormat="1" x14ac:dyDescent="0.25">
      <c r="A220" s="490" t="s">
        <v>1156</v>
      </c>
      <c r="B220" s="490" t="s">
        <v>3450</v>
      </c>
      <c r="C220" s="490" t="str">
        <f>CHOOSE(Translations!$C$1+1,K220,L220,M220)</f>
        <v>Intervenciones de reducción de daño por consumo de drogas</v>
      </c>
      <c r="D220" s="490"/>
      <c r="E220" s="490" t="s">
        <v>3451</v>
      </c>
      <c r="F220" s="491" t="str">
        <f t="shared" si="8"/>
        <v>MCI-00675</v>
      </c>
      <c r="G220" s="490" t="str">
        <f t="shared" si="9"/>
        <v>MCI-00648Intervenciones de reducción de daño por consumo de drogas</v>
      </c>
      <c r="H220" s="490" t="str">
        <f t="shared" si="10"/>
        <v>MCI-00648Intervenciones de reducción de daño por consumo de drogas</v>
      </c>
      <c r="I220" s="491" t="str">
        <f t="shared" si="11"/>
        <v>MCI-00675</v>
      </c>
      <c r="J220" s="490"/>
      <c r="K220" s="493" t="s">
        <v>3452</v>
      </c>
      <c r="L220" s="491" t="s">
        <v>3453</v>
      </c>
      <c r="M220" s="491" t="s">
        <v>3454</v>
      </c>
      <c r="N220" s="490" t="s">
        <v>2778</v>
      </c>
    </row>
    <row r="221" spans="1:14" s="9" customFormat="1" x14ac:dyDescent="0.25">
      <c r="A221" s="490" t="s">
        <v>1156</v>
      </c>
      <c r="B221" s="490" t="s">
        <v>3455</v>
      </c>
      <c r="C221" s="490" t="str">
        <f>CHOOSE(Translations!$C$1+1,K221,L221,M221)</f>
        <v>Integración de los programas para niñas adolescentes y mujeres jóvenes en las respuestas nacionales multisectoriales</v>
      </c>
      <c r="D221" s="490"/>
      <c r="E221" s="490" t="s">
        <v>3456</v>
      </c>
      <c r="F221" s="491" t="str">
        <f t="shared" si="8"/>
        <v>MCI-00685</v>
      </c>
      <c r="G221" s="490" t="str">
        <f t="shared" si="9"/>
        <v>MCI-00648Integración de los programas para niñas adolescentes y mujeres jóvenes en las respuestas nacionales multisectoriales</v>
      </c>
      <c r="H221" s="490" t="str">
        <f t="shared" si="10"/>
        <v>MCI-00648Integración de los programas para niñas adolescentes y mujeres jóvenes en las respuestas nacionales multisectoriales</v>
      </c>
      <c r="I221" s="491" t="str">
        <f t="shared" si="11"/>
        <v>MCI-00685</v>
      </c>
      <c r="J221" s="490"/>
      <c r="K221" s="493" t="s">
        <v>3457</v>
      </c>
      <c r="L221" s="491" t="s">
        <v>3458</v>
      </c>
      <c r="M221" s="491" t="s">
        <v>3459</v>
      </c>
      <c r="N221" s="490" t="s">
        <v>2778</v>
      </c>
    </row>
    <row r="222" spans="1:14" s="9" customFormat="1" x14ac:dyDescent="0.25">
      <c r="A222" s="490" t="s">
        <v>1156</v>
      </c>
      <c r="B222" s="490" t="s">
        <v>3460</v>
      </c>
      <c r="C222" s="490" t="str">
        <f>CHOOSE(Translations!$C$1+1,K222,L222,M222)</f>
        <v>Intervenciones para poblaciones jóvenes clave</v>
      </c>
      <c r="D222" s="490"/>
      <c r="E222" s="490" t="s">
        <v>3461</v>
      </c>
      <c r="F222" s="491" t="str">
        <f t="shared" si="8"/>
        <v>MCI-00677</v>
      </c>
      <c r="G222" s="490" t="str">
        <f t="shared" si="9"/>
        <v>MCI-00648Intervenciones para poblaciones jóvenes clave</v>
      </c>
      <c r="H222" s="490" t="str">
        <f t="shared" si="10"/>
        <v>MCI-00648Intervenciones para poblaciones jóvenes clave</v>
      </c>
      <c r="I222" s="491" t="str">
        <f t="shared" si="11"/>
        <v>MCI-00677</v>
      </c>
      <c r="J222" s="490"/>
      <c r="K222" s="493" t="s">
        <v>3462</v>
      </c>
      <c r="L222" s="491" t="s">
        <v>3463</v>
      </c>
      <c r="M222" s="491" t="s">
        <v>3464</v>
      </c>
      <c r="N222" s="490" t="s">
        <v>2778</v>
      </c>
    </row>
    <row r="223" spans="1:14" s="9" customFormat="1" x14ac:dyDescent="0.25">
      <c r="A223" s="490" t="s">
        <v>1156</v>
      </c>
      <c r="B223" s="490" t="s">
        <v>3465</v>
      </c>
      <c r="C223" s="490" t="str">
        <f>CHOOSE(Translations!$C$1+1,K223,L223,M223)</f>
        <v>Integración de los programas de VIH y la salud reproductiva, materna, adolescente, infantil y neonatal</v>
      </c>
      <c r="D223" s="490"/>
      <c r="E223" s="490" t="s">
        <v>3466</v>
      </c>
      <c r="F223" s="491" t="str">
        <f t="shared" si="8"/>
        <v>MCI-00688</v>
      </c>
      <c r="G223" s="490" t="str">
        <f t="shared" si="9"/>
        <v>MCI-00648Integración de los programas de VIH y la salud reproductiva, materna, adolescente, infantil y neonatal</v>
      </c>
      <c r="H223" s="490" t="str">
        <f t="shared" si="10"/>
        <v>MCI-00648Integración de los programas de VIH y la salud reproductiva, materna, adolescente, infantil y neonatal</v>
      </c>
      <c r="I223" s="491" t="str">
        <f t="shared" si="11"/>
        <v>MCI-00688</v>
      </c>
      <c r="J223" s="490"/>
      <c r="K223" s="493" t="s">
        <v>3467</v>
      </c>
      <c r="L223" s="491" t="s">
        <v>3468</v>
      </c>
      <c r="M223" s="491" t="s">
        <v>3469</v>
      </c>
      <c r="N223" s="490" t="s">
        <v>2778</v>
      </c>
    </row>
    <row r="224" spans="1:14" s="9" customFormat="1" x14ac:dyDescent="0.25">
      <c r="A224" s="490" t="s">
        <v>1156</v>
      </c>
      <c r="B224" s="490" t="s">
        <v>3470</v>
      </c>
      <c r="C224" s="490" t="str">
        <f>CHOOSE(Translations!$C$1+1,K224,L224,M224)</f>
        <v>Gestión de programas nacionales para preservativos</v>
      </c>
      <c r="D224" s="490"/>
      <c r="E224" s="490" t="s">
        <v>3471</v>
      </c>
      <c r="F224" s="491" t="str">
        <f t="shared" si="8"/>
        <v>MCI-00687</v>
      </c>
      <c r="G224" s="490" t="str">
        <f t="shared" si="9"/>
        <v>MCI-00648Gestión de programas nacionales para preservativos</v>
      </c>
      <c r="H224" s="490" t="str">
        <f t="shared" si="10"/>
        <v>MCI-00648Gestión de programas nacionales para preservativos</v>
      </c>
      <c r="I224" s="491" t="str">
        <f t="shared" si="11"/>
        <v>MCI-00687</v>
      </c>
      <c r="J224" s="490"/>
      <c r="K224" s="493" t="s">
        <v>3472</v>
      </c>
      <c r="L224" s="491" t="s">
        <v>3473</v>
      </c>
      <c r="M224" s="491" t="s">
        <v>3474</v>
      </c>
      <c r="N224" s="490" t="s">
        <v>2778</v>
      </c>
    </row>
    <row r="225" spans="1:14" s="9" customFormat="1" x14ac:dyDescent="0.25">
      <c r="A225" s="490" t="s">
        <v>1156</v>
      </c>
      <c r="B225" s="490" t="s">
        <v>3475</v>
      </c>
      <c r="C225" s="490" t="str">
        <f>CHOOSE(Translations!$C$1+1,K225,L225,M225)</f>
        <v>Programas de agujas y jeringuillas</v>
      </c>
      <c r="D225" s="490"/>
      <c r="E225" s="490" t="s">
        <v>3476</v>
      </c>
      <c r="F225" s="491" t="str">
        <f t="shared" si="8"/>
        <v>MCI-00679</v>
      </c>
      <c r="G225" s="490" t="str">
        <f t="shared" si="9"/>
        <v>MCI-00648Programas de agujas y jeringuillas</v>
      </c>
      <c r="H225" s="490" t="str">
        <f t="shared" si="10"/>
        <v>MCI-00648Programas de agujas y jeringuillas</v>
      </c>
      <c r="I225" s="491" t="str">
        <f t="shared" si="11"/>
        <v>MCI-00679</v>
      </c>
      <c r="J225" s="490"/>
      <c r="K225" s="493" t="s">
        <v>3477</v>
      </c>
      <c r="L225" s="491" t="s">
        <v>3478</v>
      </c>
      <c r="M225" s="491" t="s">
        <v>3479</v>
      </c>
      <c r="N225" s="490" t="s">
        <v>2778</v>
      </c>
    </row>
    <row r="226" spans="1:14" s="9" customFormat="1" x14ac:dyDescent="0.25">
      <c r="A226" s="490" t="s">
        <v>1156</v>
      </c>
      <c r="B226" s="490" t="s">
        <v>3480</v>
      </c>
      <c r="C226" s="490" t="str">
        <f>CHOOSE(Translations!$C$1+1,K226,L226,M226)</f>
        <v>Tratamiento de sustitución de opiáceos y otros tratamientos de la drogodependencia que requieren atención médica</v>
      </c>
      <c r="D226" s="490"/>
      <c r="E226" s="490" t="s">
        <v>3481</v>
      </c>
      <c r="F226" s="491" t="str">
        <f t="shared" si="8"/>
        <v>MCI-00680</v>
      </c>
      <c r="G226" s="490" t="str">
        <f t="shared" si="9"/>
        <v>MCI-00648Tratamiento de sustitución de opiáceos y otros tratamientos de la drogodependencia que requieren atención médica</v>
      </c>
      <c r="H226" s="490" t="str">
        <f t="shared" si="10"/>
        <v>MCI-00648Tratamiento de sustitución de opiáceos y otros tratamientos de la drogodependencia que requieren atención médica</v>
      </c>
      <c r="I226" s="491" t="str">
        <f t="shared" si="11"/>
        <v>MCI-00680</v>
      </c>
      <c r="J226" s="490"/>
      <c r="K226" s="493" t="s">
        <v>3482</v>
      </c>
      <c r="L226" s="491" t="s">
        <v>3483</v>
      </c>
      <c r="M226" s="491" t="s">
        <v>3484</v>
      </c>
      <c r="N226" s="490" t="s">
        <v>2778</v>
      </c>
    </row>
    <row r="227" spans="1:14" s="9" customFormat="1" x14ac:dyDescent="0.25">
      <c r="A227" s="490" t="s">
        <v>1156</v>
      </c>
      <c r="B227" s="490" t="s">
        <v>3485</v>
      </c>
      <c r="C227" s="490" t="str">
        <f>CHOOSE(Translations!$C$1+1,K227,L227,M227)</f>
        <v>Prevención y tratamiento de la sobredosis</v>
      </c>
      <c r="D227" s="490"/>
      <c r="E227" s="490" t="s">
        <v>3486</v>
      </c>
      <c r="F227" s="491" t="str">
        <f t="shared" si="8"/>
        <v>MCI-00681</v>
      </c>
      <c r="G227" s="490" t="str">
        <f t="shared" si="9"/>
        <v>MCI-00648Prevención y tratamiento de la sobredosis</v>
      </c>
      <c r="H227" s="490" t="str">
        <f t="shared" si="10"/>
        <v>MCI-00648Prevención y tratamiento de la sobredosis</v>
      </c>
      <c r="I227" s="491" t="str">
        <f t="shared" si="11"/>
        <v>MCI-00681</v>
      </c>
      <c r="J227" s="490"/>
      <c r="K227" s="493" t="s">
        <v>3487</v>
      </c>
      <c r="L227" s="491" t="s">
        <v>3488</v>
      </c>
      <c r="M227" s="491" t="s">
        <v>3489</v>
      </c>
      <c r="N227" s="490" t="s">
        <v>2778</v>
      </c>
    </row>
    <row r="228" spans="1:14" s="9" customFormat="1" x14ac:dyDescent="0.25">
      <c r="A228" s="490" t="s">
        <v>1156</v>
      </c>
      <c r="B228" s="490" t="s">
        <v>3490</v>
      </c>
      <c r="C228" s="490" t="str">
        <f>CHOOSE(Translations!$C$1+1,K228,L228,M228)</f>
        <v>PrEP</v>
      </c>
      <c r="D228" s="490"/>
      <c r="E228" s="490" t="s">
        <v>3491</v>
      </c>
      <c r="F228" s="491" t="str">
        <f t="shared" si="8"/>
        <v>MCI-00671</v>
      </c>
      <c r="G228" s="490" t="str">
        <f t="shared" si="9"/>
        <v>MCI-00648PrEP</v>
      </c>
      <c r="H228" s="490" t="str">
        <f t="shared" si="10"/>
        <v>MCI-00648PrEP</v>
      </c>
      <c r="I228" s="491" t="str">
        <f t="shared" si="11"/>
        <v>MCI-00671</v>
      </c>
      <c r="J228" s="490"/>
      <c r="K228" s="493" t="s">
        <v>3492</v>
      </c>
      <c r="L228" s="491" t="s">
        <v>3493</v>
      </c>
      <c r="M228" s="491" t="s">
        <v>3494</v>
      </c>
      <c r="N228" s="490" t="s">
        <v>2778</v>
      </c>
    </row>
    <row r="229" spans="1:14" s="9" customFormat="1" x14ac:dyDescent="0.25">
      <c r="A229" s="490" t="s">
        <v>1156</v>
      </c>
      <c r="B229" s="490" t="s">
        <v>3495</v>
      </c>
      <c r="C229" s="490" t="str">
        <f>CHOOSE(Translations!$C$1+1,K229,L229,M229)</f>
        <v>Prevención y manejo de coinfecciones y comorbilidades (Prevención)</v>
      </c>
      <c r="D229" s="490"/>
      <c r="E229" s="490" t="s">
        <v>3496</v>
      </c>
      <c r="F229" s="491" t="str">
        <f t="shared" si="8"/>
        <v>MCI-00678</v>
      </c>
      <c r="G229" s="490" t="str">
        <f t="shared" si="9"/>
        <v>MCI-00648Prevención y manejo de coinfecciones y comorbilidades (Prevención)</v>
      </c>
      <c r="H229" s="490" t="str">
        <f t="shared" si="10"/>
        <v>MCI-00648Prevención y manejo de coinfecciones y comorbilidades (Prevención)</v>
      </c>
      <c r="I229" s="491" t="str">
        <f t="shared" si="11"/>
        <v>MCI-00678</v>
      </c>
      <c r="J229" s="490"/>
      <c r="K229" s="493" t="s">
        <v>3497</v>
      </c>
      <c r="L229" s="491" t="s">
        <v>3498</v>
      </c>
      <c r="M229" s="491" t="s">
        <v>3499</v>
      </c>
      <c r="N229" s="490" t="s">
        <v>2778</v>
      </c>
    </row>
    <row r="230" spans="1:14" s="9" customFormat="1" x14ac:dyDescent="0.25">
      <c r="A230" s="490" t="s">
        <v>1156</v>
      </c>
      <c r="B230" s="490" t="s">
        <v>3500</v>
      </c>
      <c r="C230" s="490" t="str">
        <f>CHOOSE(Translations!$C$1+1,K230,L230,M230)</f>
        <v>Servicios de salud sexual y reproductiva, incluyendo las ITS</v>
      </c>
      <c r="D230" s="490"/>
      <c r="E230" s="490" t="s">
        <v>3501</v>
      </c>
      <c r="F230" s="491" t="str">
        <f t="shared" si="8"/>
        <v>MCI-00674</v>
      </c>
      <c r="G230" s="490" t="str">
        <f t="shared" si="9"/>
        <v>MCI-00648Servicios de salud sexual y reproductiva, incluyendo las ITS</v>
      </c>
      <c r="H230" s="490" t="str">
        <f t="shared" si="10"/>
        <v>MCI-00648Servicios de salud sexual y reproductiva, incluyendo las ITS</v>
      </c>
      <c r="I230" s="491" t="str">
        <f t="shared" si="11"/>
        <v>MCI-00674</v>
      </c>
      <c r="J230" s="490"/>
      <c r="K230" s="493" t="s">
        <v>3502</v>
      </c>
      <c r="L230" s="491" t="s">
        <v>3503</v>
      </c>
      <c r="M230" s="491" t="s">
        <v>3504</v>
      </c>
      <c r="N230" s="490" t="s">
        <v>2778</v>
      </c>
    </row>
    <row r="231" spans="1:14" s="9" customFormat="1" x14ac:dyDescent="0.25">
      <c r="A231" s="490" t="s">
        <v>1156</v>
      </c>
      <c r="B231" s="490" t="s">
        <v>3505</v>
      </c>
      <c r="C231" s="490" t="str">
        <f>CHOOSE(Translations!$C$1+1,K231,L231,M231)</f>
        <v>Intervenciones de protección social</v>
      </c>
      <c r="D231" s="490"/>
      <c r="E231" s="490" t="s">
        <v>3506</v>
      </c>
      <c r="F231" s="491" t="str">
        <f t="shared" si="8"/>
        <v>MCI-00684</v>
      </c>
      <c r="G231" s="490" t="str">
        <f t="shared" si="9"/>
        <v>MCI-00648Intervenciones de protección social</v>
      </c>
      <c r="H231" s="490" t="str">
        <f t="shared" si="10"/>
        <v>MCI-00648Intervenciones de protección social</v>
      </c>
      <c r="I231" s="491" t="str">
        <f t="shared" si="11"/>
        <v>MCI-00684</v>
      </c>
      <c r="J231" s="490"/>
      <c r="K231" s="493" t="s">
        <v>3507</v>
      </c>
      <c r="L231" s="491" t="s">
        <v>3508</v>
      </c>
      <c r="M231" s="491" t="s">
        <v>3509</v>
      </c>
      <c r="N231" s="490" t="s">
        <v>2778</v>
      </c>
    </row>
    <row r="232" spans="1:14" s="9" customFormat="1" x14ac:dyDescent="0.25">
      <c r="A232" s="490" t="s">
        <v>1156</v>
      </c>
      <c r="B232" s="490" t="s">
        <v>3510</v>
      </c>
      <c r="C232" s="490" t="str">
        <f>CHOOSE(Translations!$C$1+1,K232,L232,M232)</f>
        <v>Circuncisión médica masculina voluntaria</v>
      </c>
      <c r="D232" s="490"/>
      <c r="E232" s="490" t="s">
        <v>3511</v>
      </c>
      <c r="F232" s="491" t="str">
        <f t="shared" si="8"/>
        <v>MCI-00686</v>
      </c>
      <c r="G232" s="490" t="str">
        <f t="shared" si="9"/>
        <v>MCI-00648Circuncisión médica masculina voluntaria</v>
      </c>
      <c r="H232" s="490" t="str">
        <f t="shared" si="10"/>
        <v>MCI-00648Circuncisión médica masculina voluntaria</v>
      </c>
      <c r="I232" s="491" t="str">
        <f t="shared" si="11"/>
        <v>MCI-00686</v>
      </c>
      <c r="J232" s="490"/>
      <c r="K232" s="493" t="s">
        <v>3512</v>
      </c>
      <c r="L232" s="491" t="s">
        <v>3513</v>
      </c>
      <c r="M232" s="491" t="s">
        <v>3514</v>
      </c>
      <c r="N232" s="490" t="s">
        <v>2778</v>
      </c>
    </row>
    <row r="233" spans="1:14" s="9" customFormat="1" x14ac:dyDescent="0.25">
      <c r="A233" s="490" t="s">
        <v>1148</v>
      </c>
      <c r="B233" s="490" t="s">
        <v>3515</v>
      </c>
      <c r="C233" s="490" t="str">
        <f>CHOOSE(Translations!$C$1+1,K233,L233,M233)</f>
        <v>Vertiente 1: Prevención primaria de la infección por el VIH en mujeres en edad fecunda</v>
      </c>
      <c r="D233" s="490"/>
      <c r="E233" s="490" t="s">
        <v>3516</v>
      </c>
      <c r="F233" s="491" t="str">
        <f t="shared" si="8"/>
        <v>MCI-00689</v>
      </c>
      <c r="G233" s="490" t="str">
        <f t="shared" si="9"/>
        <v>MCI-00649Vertiente 1: Prevención primaria de la infección por el VIH en mujeres en edad fecunda</v>
      </c>
      <c r="H233" s="490" t="str">
        <f t="shared" si="10"/>
        <v>MCI-00649Vertiente 1: Prevención primaria de la infección por el VIH en mujeres en edad fecunda</v>
      </c>
      <c r="I233" s="491" t="str">
        <f t="shared" si="11"/>
        <v>MCI-00689</v>
      </c>
      <c r="J233" s="490"/>
      <c r="K233" s="493" t="s">
        <v>3517</v>
      </c>
      <c r="L233" s="491" t="s">
        <v>3518</v>
      </c>
      <c r="M233" s="491" t="s">
        <v>3519</v>
      </c>
      <c r="N233" s="490" t="s">
        <v>2778</v>
      </c>
    </row>
    <row r="234" spans="1:14" s="9" customFormat="1" x14ac:dyDescent="0.25">
      <c r="A234" s="490" t="s">
        <v>1148</v>
      </c>
      <c r="B234" s="490" t="s">
        <v>3520</v>
      </c>
      <c r="C234" s="490" t="str">
        <f>CHOOSE(Translations!$C$1+1,K234,L234,M234)</f>
        <v>Vertiente 2: Prevención de embarazos no deseados en mujeres que viven con el VIH</v>
      </c>
      <c r="D234" s="490"/>
      <c r="E234" s="490" t="s">
        <v>3521</v>
      </c>
      <c r="F234" s="491" t="str">
        <f t="shared" si="8"/>
        <v>MCI-00690</v>
      </c>
      <c r="G234" s="490" t="str">
        <f t="shared" si="9"/>
        <v>MCI-00649Vertiente 2: Prevención de embarazos no deseados en mujeres que viven con el VIH</v>
      </c>
      <c r="H234" s="490" t="str">
        <f t="shared" si="10"/>
        <v>MCI-00649Vertiente 2: Prevención de embarazos no deseados en mujeres que viven con el VIH</v>
      </c>
      <c r="I234" s="491" t="str">
        <f t="shared" si="11"/>
        <v>MCI-00690</v>
      </c>
      <c r="J234" s="490"/>
      <c r="K234" s="493" t="s">
        <v>3522</v>
      </c>
      <c r="L234" s="491" t="s">
        <v>3523</v>
      </c>
      <c r="M234" s="491" t="s">
        <v>3524</v>
      </c>
      <c r="N234" s="490" t="s">
        <v>2778</v>
      </c>
    </row>
    <row r="235" spans="1:14" s="9" customFormat="1" x14ac:dyDescent="0.25">
      <c r="A235" s="490" t="s">
        <v>1148</v>
      </c>
      <c r="B235" s="490" t="s">
        <v>3525</v>
      </c>
      <c r="C235" s="490" t="str">
        <f>CHOOSE(Translations!$C$1+1,K235,L235,M235)</f>
        <v>Vertiente 3: Prevención de la transmisión vertical del VIH</v>
      </c>
      <c r="D235" s="490"/>
      <c r="E235" s="490" t="s">
        <v>3526</v>
      </c>
      <c r="F235" s="491" t="str">
        <f t="shared" si="8"/>
        <v>MCI-00691</v>
      </c>
      <c r="G235" s="490" t="str">
        <f t="shared" si="9"/>
        <v>MCI-00649Vertiente 3: Prevención de la transmisión vertical del VIH</v>
      </c>
      <c r="H235" s="490" t="str">
        <f t="shared" si="10"/>
        <v>MCI-00649Vertiente 3: Prevención de la transmisión vertical del VIH</v>
      </c>
      <c r="I235" s="491" t="str">
        <f t="shared" si="11"/>
        <v>MCI-00691</v>
      </c>
      <c r="J235" s="490"/>
      <c r="K235" s="493" t="s">
        <v>3527</v>
      </c>
      <c r="L235" s="491" t="s">
        <v>3528</v>
      </c>
      <c r="M235" s="491" t="s">
        <v>3529</v>
      </c>
      <c r="N235" s="490" t="s">
        <v>2778</v>
      </c>
    </row>
    <row r="236" spans="1:14" s="9" customFormat="1" x14ac:dyDescent="0.25">
      <c r="A236" s="490" t="s">
        <v>1148</v>
      </c>
      <c r="B236" s="490" t="s">
        <v>3530</v>
      </c>
      <c r="C236" s="490" t="str">
        <f>CHOOSE(Translations!$C$1+1,K236,L236,M236)</f>
        <v>Vertiente 4: Tratamiento, atención y apoyo para madres que viven con el VIH, así como para sus hijos y familias</v>
      </c>
      <c r="D236" s="490"/>
      <c r="E236" s="490" t="s">
        <v>3531</v>
      </c>
      <c r="F236" s="491" t="str">
        <f t="shared" si="8"/>
        <v>MCI-00692</v>
      </c>
      <c r="G236" s="490" t="str">
        <f t="shared" si="9"/>
        <v>MCI-00649Vertiente 4: Tratamiento, atención y apoyo para madres que viven con el VIH, así como para sus hijos y familias</v>
      </c>
      <c r="H236" s="490" t="str">
        <f t="shared" si="10"/>
        <v>MCI-00649Vertiente 4: Tratamiento, atención y apoyo para madres que viven con el VIH, así como para sus hijos y familias</v>
      </c>
      <c r="I236" s="491" t="str">
        <f t="shared" si="11"/>
        <v>MCI-00692</v>
      </c>
      <c r="J236" s="490"/>
      <c r="K236" s="493" t="s">
        <v>3532</v>
      </c>
      <c r="L236" s="491" t="s">
        <v>3533</v>
      </c>
      <c r="M236" s="491" t="s">
        <v>3534</v>
      </c>
      <c r="N236" s="490" t="s">
        <v>2778</v>
      </c>
    </row>
    <row r="237" spans="1:14" s="9" customFormat="1" x14ac:dyDescent="0.25">
      <c r="A237" s="490" t="s">
        <v>1140</v>
      </c>
      <c r="B237" s="490" t="s">
        <v>3535</v>
      </c>
      <c r="C237" s="490" t="str">
        <f>CHOOSE(Translations!$C$1+1,K237,L237,M237)</f>
        <v>Pruebas a nivel comunitario</v>
      </c>
      <c r="D237" s="490"/>
      <c r="E237" s="490" t="s">
        <v>3536</v>
      </c>
      <c r="F237" s="491" t="str">
        <f t="shared" si="8"/>
        <v>MCI-00694</v>
      </c>
      <c r="G237" s="490" t="str">
        <f t="shared" si="9"/>
        <v>MCI-00650Pruebas a nivel comunitario</v>
      </c>
      <c r="H237" s="490" t="str">
        <f t="shared" si="10"/>
        <v>MCI-00650Pruebas a nivel comunitario</v>
      </c>
      <c r="I237" s="491" t="str">
        <f t="shared" si="11"/>
        <v>MCI-00694</v>
      </c>
      <c r="J237" s="490"/>
      <c r="K237" s="493" t="s">
        <v>3537</v>
      </c>
      <c r="L237" s="491" t="s">
        <v>3538</v>
      </c>
      <c r="M237" s="491" t="s">
        <v>3539</v>
      </c>
      <c r="N237" s="490" t="s">
        <v>2778</v>
      </c>
    </row>
    <row r="238" spans="1:14" s="9" customFormat="1" x14ac:dyDescent="0.25">
      <c r="A238" s="490" t="s">
        <v>1140</v>
      </c>
      <c r="B238" s="490" t="s">
        <v>3540</v>
      </c>
      <c r="C238" s="490" t="str">
        <f>CHOOSE(Translations!$C$1+1,K238,L238,M238)</f>
        <v>Pruebas a nivel de establecimientos de salud</v>
      </c>
      <c r="D238" s="490"/>
      <c r="E238" s="490" t="s">
        <v>3541</v>
      </c>
      <c r="F238" s="491" t="str">
        <f t="shared" si="8"/>
        <v>MCI-00693</v>
      </c>
      <c r="G238" s="490" t="str">
        <f t="shared" si="9"/>
        <v>MCI-00650Pruebas a nivel de establecimientos de salud</v>
      </c>
      <c r="H238" s="490" t="str">
        <f t="shared" si="10"/>
        <v>MCI-00650Pruebas a nivel de establecimientos de salud</v>
      </c>
      <c r="I238" s="491" t="str">
        <f t="shared" si="11"/>
        <v>MCI-00693</v>
      </c>
      <c r="J238" s="490"/>
      <c r="K238" s="493" t="s">
        <v>3542</v>
      </c>
      <c r="L238" s="491" t="s">
        <v>3543</v>
      </c>
      <c r="M238" s="491" t="s">
        <v>3544</v>
      </c>
      <c r="N238" s="490" t="s">
        <v>2778</v>
      </c>
    </row>
    <row r="239" spans="1:14" s="9" customFormat="1" x14ac:dyDescent="0.25">
      <c r="A239" s="490" t="s">
        <v>1140</v>
      </c>
      <c r="B239" s="490" t="s">
        <v>3545</v>
      </c>
      <c r="C239" s="490" t="str">
        <f>CHOOSE(Translations!$C$1+1,K239,L239,M239)</f>
        <v>Autoprueba (self testing)</v>
      </c>
      <c r="D239" s="490"/>
      <c r="E239" s="490" t="s">
        <v>3546</v>
      </c>
      <c r="F239" s="491" t="str">
        <f t="shared" si="8"/>
        <v>MCI-00695</v>
      </c>
      <c r="G239" s="490" t="str">
        <f t="shared" si="9"/>
        <v>MCI-00650Autoprueba (self testing)</v>
      </c>
      <c r="H239" s="490" t="str">
        <f t="shared" si="10"/>
        <v>MCI-00650Autoprueba (self testing)</v>
      </c>
      <c r="I239" s="491" t="str">
        <f t="shared" si="11"/>
        <v>MCI-00695</v>
      </c>
      <c r="J239" s="490"/>
      <c r="K239" s="493" t="s">
        <v>3547</v>
      </c>
      <c r="L239" s="491" t="s">
        <v>3548</v>
      </c>
      <c r="M239" s="491" t="s">
        <v>3549</v>
      </c>
      <c r="N239" s="490" t="s">
        <v>2778</v>
      </c>
    </row>
    <row r="240" spans="1:14" s="9" customFormat="1" x14ac:dyDescent="0.25">
      <c r="A240" s="490" t="s">
        <v>1164</v>
      </c>
      <c r="B240" s="490" t="s">
        <v>3550</v>
      </c>
      <c r="C240" s="490" t="str">
        <f>CHOOSE(Translations!$C$1+1,K240,L240,M240)</f>
        <v>Consejería y apoyo psicosocial</v>
      </c>
      <c r="D240" s="490"/>
      <c r="E240" s="490" t="s">
        <v>3551</v>
      </c>
      <c r="F240" s="491" t="str">
        <f t="shared" si="8"/>
        <v>MCI-00701</v>
      </c>
      <c r="G240" s="490" t="str">
        <f t="shared" si="9"/>
        <v>MCI-00651Consejería y apoyo psicosocial</v>
      </c>
      <c r="H240" s="490" t="str">
        <f t="shared" si="10"/>
        <v>MCI-00651Consejería y apoyo psicosocial</v>
      </c>
      <c r="I240" s="491" t="str">
        <f t="shared" si="11"/>
        <v>MCI-00701</v>
      </c>
      <c r="J240" s="490"/>
      <c r="K240" s="493" t="s">
        <v>3552</v>
      </c>
      <c r="L240" s="491" t="s">
        <v>3553</v>
      </c>
      <c r="M240" s="491" t="s">
        <v>3554</v>
      </c>
      <c r="N240" s="490" t="s">
        <v>2778</v>
      </c>
    </row>
    <row r="241" spans="1:14" s="9" customFormat="1" x14ac:dyDescent="0.25">
      <c r="A241" s="490" t="s">
        <v>1164</v>
      </c>
      <c r="B241" s="490" t="s">
        <v>3555</v>
      </c>
      <c r="C241" s="490" t="str">
        <f>CHOOSE(Translations!$C$1+1,K241,L241,M241)</f>
        <v>Prestación de servicios diferenciados de tratamiento antirretroviral y atención para el VIH</v>
      </c>
      <c r="D241" s="490"/>
      <c r="E241" s="490" t="s">
        <v>3556</v>
      </c>
      <c r="F241" s="491" t="str">
        <f t="shared" si="8"/>
        <v>MCI-00696</v>
      </c>
      <c r="G241" s="490" t="str">
        <f t="shared" si="9"/>
        <v>MCI-00651Prestación de servicios diferenciados de tratamiento antirretroviral y atención para el VIH</v>
      </c>
      <c r="H241" s="490" t="str">
        <f t="shared" si="10"/>
        <v>MCI-00651Prestación de servicios diferenciados de tratamiento antirretroviral y atención para el VIH</v>
      </c>
      <c r="I241" s="491" t="str">
        <f t="shared" si="11"/>
        <v>MCI-00696</v>
      </c>
      <c r="J241" s="490"/>
      <c r="K241" s="493" t="s">
        <v>3557</v>
      </c>
      <c r="L241" s="491" t="s">
        <v>3558</v>
      </c>
      <c r="M241" s="491" t="s">
        <v>3559</v>
      </c>
      <c r="N241" s="490" t="s">
        <v>2778</v>
      </c>
    </row>
    <row r="242" spans="1:14" s="9" customFormat="1" x14ac:dyDescent="0.25">
      <c r="A242" s="490" t="s">
        <v>1164</v>
      </c>
      <c r="B242" s="490" t="s">
        <v>3560</v>
      </c>
      <c r="C242" s="490" t="str">
        <f>CHOOSE(Translations!$C$1+1,K242,L242,M242)</f>
        <v>Paquete para huérfanos y niños vulnerables</v>
      </c>
      <c r="D242" s="490"/>
      <c r="E242" s="490" t="s">
        <v>3561</v>
      </c>
      <c r="F242" s="491" t="str">
        <f t="shared" si="8"/>
        <v>MCI-00702</v>
      </c>
      <c r="G242" s="490" t="str">
        <f t="shared" si="9"/>
        <v>MCI-00651Paquete para huérfanos y niños vulnerables</v>
      </c>
      <c r="H242" s="490" t="str">
        <f t="shared" si="10"/>
        <v>MCI-00651Paquete para huérfanos y niños vulnerables</v>
      </c>
      <c r="I242" s="491" t="str">
        <f t="shared" si="11"/>
        <v>MCI-00702</v>
      </c>
      <c r="J242" s="490"/>
      <c r="K242" s="493" t="s">
        <v>3562</v>
      </c>
      <c r="L242" s="491" t="s">
        <v>3563</v>
      </c>
      <c r="M242" s="491" t="s">
        <v>3564</v>
      </c>
      <c r="N242" s="490" t="s">
        <v>2778</v>
      </c>
    </row>
    <row r="243" spans="1:14" s="9" customFormat="1" x14ac:dyDescent="0.25">
      <c r="A243" s="490" t="s">
        <v>1164</v>
      </c>
      <c r="B243" s="490" t="s">
        <v>3565</v>
      </c>
      <c r="C243" s="490" t="str">
        <f>CHOOSE(Translations!$C$1+1,K243,L243,M243)</f>
        <v>Prevención y manejo de coinfecciones y comorbilidades (Tratamiento, atención y apoyo)</v>
      </c>
      <c r="D243" s="490"/>
      <c r="E243" s="490" t="s">
        <v>3566</v>
      </c>
      <c r="F243" s="491" t="str">
        <f t="shared" si="8"/>
        <v>MCI-00700</v>
      </c>
      <c r="G243" s="490" t="str">
        <f t="shared" si="9"/>
        <v>MCI-00651Prevención y manejo de coinfecciones y comorbilidades (Tratamiento, atención y apoyo)</v>
      </c>
      <c r="H243" s="490" t="str">
        <f t="shared" si="10"/>
        <v>MCI-00651Prevención y manejo de coinfecciones y comorbilidades (Tratamiento, atención y apoyo)</v>
      </c>
      <c r="I243" s="491" t="str">
        <f t="shared" si="11"/>
        <v>MCI-00700</v>
      </c>
      <c r="J243" s="490"/>
      <c r="K243" s="493" t="s">
        <v>3567</v>
      </c>
      <c r="L243" s="491" t="s">
        <v>3568</v>
      </c>
      <c r="M243" s="491" t="s">
        <v>3569</v>
      </c>
      <c r="N243" s="490" t="s">
        <v>2778</v>
      </c>
    </row>
    <row r="244" spans="1:14" s="9" customFormat="1" x14ac:dyDescent="0.25">
      <c r="A244" s="490" t="s">
        <v>1164</v>
      </c>
      <c r="B244" s="490" t="s">
        <v>3570</v>
      </c>
      <c r="C244" s="490" t="str">
        <f>CHOOSE(Translations!$C$1+1,K244,L244,M244)</f>
        <v>Seguimiento del tratamiento: toxicidad de la terapia antirretroviral</v>
      </c>
      <c r="D244" s="490"/>
      <c r="E244" s="490" t="s">
        <v>3571</v>
      </c>
      <c r="F244" s="491" t="str">
        <f t="shared" si="8"/>
        <v>MCI-00698</v>
      </c>
      <c r="G244" s="490" t="str">
        <f t="shared" si="9"/>
        <v>MCI-00651Seguimiento del tratamiento: toxicidad de la terapia antirretroviral</v>
      </c>
      <c r="H244" s="490" t="str">
        <f t="shared" si="10"/>
        <v>MCI-00651Seguimiento del tratamiento: toxicidad de la terapia antirretroviral</v>
      </c>
      <c r="I244" s="491" t="str">
        <f t="shared" si="11"/>
        <v>MCI-00698</v>
      </c>
      <c r="J244" s="490"/>
      <c r="K244" s="493" t="s">
        <v>3572</v>
      </c>
      <c r="L244" s="491" t="s">
        <v>3573</v>
      </c>
      <c r="M244" s="491" t="s">
        <v>3574</v>
      </c>
      <c r="N244" s="490" t="s">
        <v>2778</v>
      </c>
    </row>
    <row r="245" spans="1:14" s="9" customFormat="1" x14ac:dyDescent="0.25">
      <c r="A245" s="490" t="s">
        <v>1164</v>
      </c>
      <c r="B245" s="490" t="s">
        <v>3575</v>
      </c>
      <c r="C245" s="490" t="str">
        <f>CHOOSE(Translations!$C$1+1,K245,L245,M245)</f>
        <v>Seguimiento del tratamiento: farmacorresistencia</v>
      </c>
      <c r="D245" s="490"/>
      <c r="E245" s="490" t="s">
        <v>3576</v>
      </c>
      <c r="F245" s="491" t="str">
        <f t="shared" si="8"/>
        <v>MCI-00697</v>
      </c>
      <c r="G245" s="490" t="str">
        <f t="shared" si="9"/>
        <v>MCI-00651Seguimiento del tratamiento: farmacorresistencia</v>
      </c>
      <c r="H245" s="490" t="str">
        <f t="shared" si="10"/>
        <v>MCI-00651Seguimiento del tratamiento: farmacorresistencia</v>
      </c>
      <c r="I245" s="491" t="str">
        <f t="shared" si="11"/>
        <v>MCI-00697</v>
      </c>
      <c r="J245" s="490"/>
      <c r="K245" s="493" t="s">
        <v>3577</v>
      </c>
      <c r="L245" s="491" t="s">
        <v>3578</v>
      </c>
      <c r="M245" s="491" t="s">
        <v>3579</v>
      </c>
      <c r="N245" s="490" t="s">
        <v>2778</v>
      </c>
    </row>
    <row r="246" spans="1:14" s="9" customFormat="1" x14ac:dyDescent="0.25">
      <c r="A246" s="490" t="s">
        <v>1164</v>
      </c>
      <c r="B246" s="490" t="s">
        <v>3580</v>
      </c>
      <c r="C246" s="490" t="str">
        <f>CHOOSE(Translations!$C$1+1,K246,L246,M246)</f>
        <v>Seguimiento del tratamiento: carga viral</v>
      </c>
      <c r="D246" s="490"/>
      <c r="E246" s="490" t="s">
        <v>3581</v>
      </c>
      <c r="F246" s="491" t="str">
        <f t="shared" si="8"/>
        <v>MCI-00699</v>
      </c>
      <c r="G246" s="490" t="str">
        <f t="shared" si="9"/>
        <v>MCI-00651Seguimiento del tratamiento: carga viral</v>
      </c>
      <c r="H246" s="490" t="str">
        <f t="shared" si="10"/>
        <v>MCI-00651Seguimiento del tratamiento: carga viral</v>
      </c>
      <c r="I246" s="491" t="str">
        <f t="shared" si="11"/>
        <v>MCI-00699</v>
      </c>
      <c r="J246" s="490"/>
      <c r="K246" s="493" t="s">
        <v>3582</v>
      </c>
      <c r="L246" s="491" t="s">
        <v>3583</v>
      </c>
      <c r="M246" s="491" t="s">
        <v>3584</v>
      </c>
      <c r="N246" s="490" t="s">
        <v>2778</v>
      </c>
    </row>
    <row r="247" spans="1:14" s="9" customFormat="1" x14ac:dyDescent="0.25">
      <c r="A247" s="490" t="s">
        <v>3033</v>
      </c>
      <c r="B247" s="490" t="s">
        <v>3585</v>
      </c>
      <c r="C247" s="490" t="str">
        <f>CHOOSE(Translations!$C$1+1,K247,L247,M247)</f>
        <v>Movilización y promoción comunitarias (VIH/TB)</v>
      </c>
      <c r="D247" s="490"/>
      <c r="E247" s="490" t="s">
        <v>3586</v>
      </c>
      <c r="F247" s="491" t="str">
        <f t="shared" si="8"/>
        <v>MCI-00710</v>
      </c>
      <c r="G247" s="490" t="str">
        <f t="shared" si="9"/>
        <v>MCI-00652Movilización y promoción comunitarias (VIH/TB)</v>
      </c>
      <c r="H247" s="490" t="str">
        <f t="shared" si="10"/>
        <v>MCI-00652Movilización y promoción comunitarias (VIH/TB)</v>
      </c>
      <c r="I247" s="491" t="str">
        <f t="shared" si="11"/>
        <v>MCI-00710</v>
      </c>
      <c r="J247" s="490"/>
      <c r="K247" s="493" t="s">
        <v>3587</v>
      </c>
      <c r="L247" s="491" t="s">
        <v>3588</v>
      </c>
      <c r="M247" s="491" t="s">
        <v>3589</v>
      </c>
      <c r="N247" s="490" t="s">
        <v>2778</v>
      </c>
    </row>
    <row r="248" spans="1:14" s="9" customFormat="1" x14ac:dyDescent="0.25">
      <c r="A248" s="490" t="s">
        <v>3033</v>
      </c>
      <c r="B248" s="490" t="s">
        <v>3590</v>
      </c>
      <c r="C248" s="490" t="str">
        <f>CHOOSE(Translations!$C$1+1,K248,L248,M248)</f>
        <v>Servicios jurídicos relacionados con el VIH y la TB/VIH</v>
      </c>
      <c r="D248" s="490"/>
      <c r="E248" s="490" t="s">
        <v>3591</v>
      </c>
      <c r="F248" s="491" t="str">
        <f t="shared" si="8"/>
        <v>MCI-00706</v>
      </c>
      <c r="G248" s="490" t="str">
        <f t="shared" si="9"/>
        <v>MCI-00652Servicios jurídicos relacionados con el VIH y la TB/VIH</v>
      </c>
      <c r="H248" s="490" t="str">
        <f t="shared" si="10"/>
        <v>MCI-00652Servicios jurídicos relacionados con el VIH y la TB/VIH</v>
      </c>
      <c r="I248" s="491" t="str">
        <f t="shared" si="11"/>
        <v>MCI-00706</v>
      </c>
      <c r="J248" s="490"/>
      <c r="K248" s="493" t="s">
        <v>3592</v>
      </c>
      <c r="L248" s="491" t="s">
        <v>3593</v>
      </c>
      <c r="M248" s="491" t="s">
        <v>3594</v>
      </c>
      <c r="N248" s="490" t="s">
        <v>2778</v>
      </c>
    </row>
    <row r="249" spans="1:14" s="9" customFormat="1" x14ac:dyDescent="0.25">
      <c r="A249" s="490" t="s">
        <v>3033</v>
      </c>
      <c r="B249" s="490" t="s">
        <v>3595</v>
      </c>
      <c r="C249" s="490" t="str">
        <f>CHOOSE(Translations!$C$1+1,K249,L249,M249)</f>
        <v>Derechos humanos y ética médica en relación con el VIH y la tuberculosis y el VIH para personal sanitario</v>
      </c>
      <c r="D249" s="490"/>
      <c r="E249" s="490" t="s">
        <v>3596</v>
      </c>
      <c r="F249" s="491" t="str">
        <f t="shared" si="8"/>
        <v>MCI-00705</v>
      </c>
      <c r="G249" s="490" t="str">
        <f t="shared" si="9"/>
        <v>MCI-00652Derechos humanos y ética médica en relación con el VIH y la tuberculosis y el VIH para personal sanitario</v>
      </c>
      <c r="H249" s="490" t="str">
        <f t="shared" si="10"/>
        <v>MCI-00652Derechos humanos y ética médica en relación con el VIH y la tuberculosis y el VIH para personal sanitario</v>
      </c>
      <c r="I249" s="491" t="str">
        <f t="shared" si="11"/>
        <v>MCI-00705</v>
      </c>
      <c r="J249" s="490"/>
      <c r="K249" s="493" t="s">
        <v>3597</v>
      </c>
      <c r="L249" s="491" t="s">
        <v>3598</v>
      </c>
      <c r="M249" s="491" t="s">
        <v>3599</v>
      </c>
      <c r="N249" s="490" t="s">
        <v>2778</v>
      </c>
    </row>
    <row r="250" spans="1:14" s="9" customFormat="1" x14ac:dyDescent="0.25">
      <c r="A250" s="490" t="s">
        <v>3033</v>
      </c>
      <c r="B250" s="490" t="s">
        <v>3600</v>
      </c>
      <c r="C250" s="490" t="str">
        <f>CHOOSE(Translations!$C$1+1,K250,L250,M250)</f>
        <v>Mejora de leyes, reglamentos y políticas relacionadas con el VIH y la TB/VIH</v>
      </c>
      <c r="D250" s="490"/>
      <c r="E250" s="490" t="s">
        <v>3601</v>
      </c>
      <c r="F250" s="491" t="str">
        <f t="shared" si="8"/>
        <v>MCI-00708</v>
      </c>
      <c r="G250" s="490" t="str">
        <f t="shared" si="9"/>
        <v>MCI-00652Mejora de leyes, reglamentos y políticas relacionadas con el VIH y la TB/VIH</v>
      </c>
      <c r="H250" s="490" t="str">
        <f t="shared" si="10"/>
        <v>MCI-00652Mejora de leyes, reglamentos y políticas relacionadas con el VIH y la TB/VIH</v>
      </c>
      <c r="I250" s="491" t="str">
        <f t="shared" si="11"/>
        <v>MCI-00708</v>
      </c>
      <c r="J250" s="490"/>
      <c r="K250" s="493" t="s">
        <v>3602</v>
      </c>
      <c r="L250" s="491" t="s">
        <v>3603</v>
      </c>
      <c r="M250" s="491" t="s">
        <v>3604</v>
      </c>
      <c r="N250" s="490" t="s">
        <v>2778</v>
      </c>
    </row>
    <row r="251" spans="1:14" s="9" customFormat="1" x14ac:dyDescent="0.25">
      <c r="A251" s="490" t="s">
        <v>3033</v>
      </c>
      <c r="B251" s="490" t="s">
        <v>3605</v>
      </c>
      <c r="C251" s="490" t="str">
        <f>CHOOSE(Translations!$C$1+1,K251,L251,M251)</f>
        <v>Conocimientos jurídicos («Conoce tus derechos»)</v>
      </c>
      <c r="D251" s="490"/>
      <c r="E251" s="490" t="s">
        <v>3606</v>
      </c>
      <c r="F251" s="491" t="str">
        <f t="shared" si="8"/>
        <v>MCI-00704</v>
      </c>
      <c r="G251" s="490" t="str">
        <f t="shared" si="9"/>
        <v>MCI-00652Conocimientos jurídicos («Conoce tus derechos»)</v>
      </c>
      <c r="H251" s="490" t="str">
        <f t="shared" si="10"/>
        <v>MCI-00652Conocimientos jurídicos («Conoce tus derechos»)</v>
      </c>
      <c r="I251" s="491" t="str">
        <f t="shared" si="11"/>
        <v>MCI-00704</v>
      </c>
      <c r="J251" s="490"/>
      <c r="K251" s="493" t="s">
        <v>3607</v>
      </c>
      <c r="L251" s="491" t="s">
        <v>3608</v>
      </c>
      <c r="M251" s="491" t="s">
        <v>3609</v>
      </c>
      <c r="N251" s="490" t="s">
        <v>2778</v>
      </c>
    </row>
    <row r="252" spans="1:14" s="9" customFormat="1" x14ac:dyDescent="0.25">
      <c r="A252" s="490" t="s">
        <v>3033</v>
      </c>
      <c r="B252" s="490" t="s">
        <v>3610</v>
      </c>
      <c r="C252" s="490" t="str">
        <f>CHOOSE(Translations!$C$1+1,K252,L252,M252)</f>
        <v>Reducción de la discriminación de género relacionada con el VIH, las normas de género perjudiciales y la violencia contra las mujeres y las niñas en toda su diversidad</v>
      </c>
      <c r="D252" s="490"/>
      <c r="E252" s="490" t="s">
        <v>3611</v>
      </c>
      <c r="F252" s="491" t="str">
        <f t="shared" si="8"/>
        <v>MCI-00709</v>
      </c>
      <c r="G252" s="490" t="str">
        <f t="shared" si="9"/>
        <v>MCI-00652Reducción de la discriminación de género relacionada con el VIH, las normas de género perjudiciales y la violencia contra las mujeres y las niñas en toda su diversidad</v>
      </c>
      <c r="H252" s="490" t="str">
        <f t="shared" si="10"/>
        <v>MCI-00652Reducción de la discriminación de género relacionada con el VIH, las normas de género perjudiciales y la violencia contra las mujeres y las niñas en toda su diversidad</v>
      </c>
      <c r="I252" s="491" t="str">
        <f t="shared" si="11"/>
        <v>MCI-00709</v>
      </c>
      <c r="J252" s="490"/>
      <c r="K252" s="493" t="s">
        <v>3612</v>
      </c>
      <c r="L252" s="491" t="s">
        <v>3613</v>
      </c>
      <c r="M252" s="491" t="s">
        <v>3614</v>
      </c>
      <c r="N252" s="490" t="s">
        <v>2778</v>
      </c>
    </row>
    <row r="253" spans="1:14" s="9" customFormat="1" x14ac:dyDescent="0.25">
      <c r="A253" s="490" t="s">
        <v>3033</v>
      </c>
      <c r="B253" s="490" t="s">
        <v>3615</v>
      </c>
      <c r="C253" s="490" t="str">
        <f>CHOOSE(Translations!$C$1+1,K253,L253,M253)</f>
        <v>Sensibilización de los cuerpos de seguridad y cuerpos de seguridad</v>
      </c>
      <c r="D253" s="490"/>
      <c r="E253" s="490" t="s">
        <v>3616</v>
      </c>
      <c r="F253" s="491" t="str">
        <f t="shared" si="8"/>
        <v>MCI-00707</v>
      </c>
      <c r="G253" s="490" t="str">
        <f t="shared" si="9"/>
        <v>MCI-00652Sensibilización de los cuerpos de seguridad y cuerpos de seguridad</v>
      </c>
      <c r="H253" s="490" t="str">
        <f t="shared" si="10"/>
        <v>MCI-00652Sensibilización de los cuerpos de seguridad y cuerpos de seguridad</v>
      </c>
      <c r="I253" s="491" t="str">
        <f t="shared" si="11"/>
        <v>MCI-00707</v>
      </c>
      <c r="J253" s="490"/>
      <c r="K253" s="493" t="s">
        <v>3617</v>
      </c>
      <c r="L253" s="491" t="s">
        <v>3618</v>
      </c>
      <c r="M253" s="491" t="s">
        <v>3619</v>
      </c>
      <c r="N253" s="490" t="s">
        <v>2778</v>
      </c>
    </row>
    <row r="254" spans="1:14" s="9" customFormat="1" x14ac:dyDescent="0.25">
      <c r="A254" s="490" t="s">
        <v>3033</v>
      </c>
      <c r="B254" s="490" t="s">
        <v>3620</v>
      </c>
      <c r="C254" s="490" t="str">
        <f>CHOOSE(Translations!$C$1+1,K254,L254,M254)</f>
        <v>Reducción del estigma y la discriminación (VIH/TB)</v>
      </c>
      <c r="D254" s="490"/>
      <c r="E254" s="490" t="s">
        <v>3621</v>
      </c>
      <c r="F254" s="491" t="str">
        <f t="shared" si="8"/>
        <v>MCI-00703</v>
      </c>
      <c r="G254" s="490" t="str">
        <f t="shared" si="9"/>
        <v>MCI-00652Reducción del estigma y la discriminación (VIH/TB)</v>
      </c>
      <c r="H254" s="490" t="str">
        <f t="shared" si="10"/>
        <v>MCI-00652Reducción del estigma y la discriminación (VIH/TB)</v>
      </c>
      <c r="I254" s="491" t="str">
        <f t="shared" si="11"/>
        <v>MCI-00703</v>
      </c>
      <c r="J254" s="490"/>
      <c r="K254" s="493" t="s">
        <v>3622</v>
      </c>
      <c r="L254" s="491" t="s">
        <v>3623</v>
      </c>
      <c r="M254" s="491" t="s">
        <v>3624</v>
      </c>
      <c r="N254" s="490" t="s">
        <v>2778</v>
      </c>
    </row>
    <row r="255" spans="1:14" s="9" customFormat="1" x14ac:dyDescent="0.25">
      <c r="A255" s="490" t="s">
        <v>1152</v>
      </c>
      <c r="B255" s="490" t="s">
        <v>3625</v>
      </c>
      <c r="C255" s="490" t="str">
        <f>CHOOSE(Translations!$C$1+1,K255,L255,M255)</f>
        <v>Detección y diagnóstico de casos (Atención y prevención de la tuberculosis)</v>
      </c>
      <c r="D255" s="490"/>
      <c r="E255" s="490" t="s">
        <v>3626</v>
      </c>
      <c r="F255" s="491" t="str">
        <f t="shared" si="8"/>
        <v>MCI-00711</v>
      </c>
      <c r="G255" s="490" t="str">
        <f t="shared" si="9"/>
        <v>MCI-00653Detección y diagnóstico de casos (Atención y prevención de la tuberculosis)</v>
      </c>
      <c r="H255" s="490" t="str">
        <f t="shared" si="10"/>
        <v>MCI-00653Detección y diagnóstico de casos (Atención y prevención de la tuberculosis)</v>
      </c>
      <c r="I255" s="491" t="str">
        <f t="shared" si="11"/>
        <v>MCI-00711</v>
      </c>
      <c r="J255" s="490"/>
      <c r="K255" s="493" t="s">
        <v>3627</v>
      </c>
      <c r="L255" s="491" t="s">
        <v>3628</v>
      </c>
      <c r="M255" s="491" t="s">
        <v>3629</v>
      </c>
      <c r="N255" s="490" t="s">
        <v>2778</v>
      </c>
    </row>
    <row r="256" spans="1:14" s="9" customFormat="1" x14ac:dyDescent="0.25">
      <c r="A256" s="490" t="s">
        <v>1152</v>
      </c>
      <c r="B256" s="490" t="s">
        <v>3630</v>
      </c>
      <c r="C256" s="490" t="str">
        <f>CHOOSE(Translations!$C$1+1,K256,L256,M256)</f>
        <v>Actividades de colaboración con otros programas y sectores (Atención y prevención de la tuberculosis)</v>
      </c>
      <c r="D256" s="490"/>
      <c r="E256" s="490" t="s">
        <v>3631</v>
      </c>
      <c r="F256" s="491" t="str">
        <f t="shared" si="8"/>
        <v>MCI-00721</v>
      </c>
      <c r="G256" s="490" t="str">
        <f t="shared" si="9"/>
        <v>MCI-00653Actividades de colaboración con otros programas y sectores (Atención y prevención de la tuberculosis)</v>
      </c>
      <c r="H256" s="490" t="str">
        <f t="shared" si="10"/>
        <v>MCI-00653Actividades de colaboración con otros programas y sectores (Atención y prevención de la tuberculosis)</v>
      </c>
      <c r="I256" s="491" t="str">
        <f t="shared" si="11"/>
        <v>MCI-00721</v>
      </c>
      <c r="J256" s="490"/>
      <c r="K256" s="493" t="s">
        <v>3632</v>
      </c>
      <c r="L256" s="491" t="s">
        <v>3633</v>
      </c>
      <c r="M256" s="491" t="s">
        <v>3634</v>
      </c>
      <c r="N256" s="490" t="s">
        <v>2778</v>
      </c>
    </row>
    <row r="257" spans="1:14" s="9" customFormat="1" x14ac:dyDescent="0.25">
      <c r="A257" s="490" t="s">
        <v>1152</v>
      </c>
      <c r="B257" s="490" t="s">
        <v>3635</v>
      </c>
      <c r="C257" s="490" t="str">
        <f>CHOOSE(Translations!$C$1+1,K257,L257,M257)</f>
        <v>Prestación de servicios de atención de la tuberculosis en la comunidad</v>
      </c>
      <c r="D257" s="490"/>
      <c r="E257" s="490" t="s">
        <v>3636</v>
      </c>
      <c r="F257" s="491" t="str">
        <f t="shared" si="8"/>
        <v>MCI-00715</v>
      </c>
      <c r="G257" s="490" t="str">
        <f t="shared" si="9"/>
        <v>MCI-00653Prestación de servicios de atención de la tuberculosis en la comunidad</v>
      </c>
      <c r="H257" s="490" t="str">
        <f t="shared" si="10"/>
        <v>MCI-00653Prestación de servicios de atención de la tuberculosis en la comunidad</v>
      </c>
      <c r="I257" s="491" t="str">
        <f t="shared" si="11"/>
        <v>MCI-00715</v>
      </c>
      <c r="J257" s="490"/>
      <c r="K257" s="493" t="s">
        <v>3637</v>
      </c>
      <c r="L257" s="491" t="s">
        <v>3638</v>
      </c>
      <c r="M257" s="491" t="s">
        <v>3639</v>
      </c>
      <c r="N257" s="490" t="s">
        <v>2778</v>
      </c>
    </row>
    <row r="258" spans="1:14" s="9" customFormat="1" x14ac:dyDescent="0.25">
      <c r="A258" s="490" t="s">
        <v>1152</v>
      </c>
      <c r="B258" s="490" t="s">
        <v>3640</v>
      </c>
      <c r="C258" s="490" t="str">
        <f>CHOOSE(Translations!$C$1+1,K258,L258,M258)</f>
        <v>Implicar a todos los proveedores de atención (Atención y prevención de la tuberculosis)</v>
      </c>
      <c r="D258" s="490"/>
      <c r="E258" s="490" t="s">
        <v>3641</v>
      </c>
      <c r="F258" s="491" t="str">
        <f t="shared" si="8"/>
        <v>MCI-00714</v>
      </c>
      <c r="G258" s="490" t="str">
        <f t="shared" si="9"/>
        <v>MCI-00653Implicar a todos los proveedores de atención (Atención y prevención de la tuberculosis)</v>
      </c>
      <c r="H258" s="490" t="str">
        <f t="shared" si="10"/>
        <v>MCI-00653Implicar a todos los proveedores de atención (Atención y prevención de la tuberculosis)</v>
      </c>
      <c r="I258" s="491" t="str">
        <f t="shared" si="11"/>
        <v>MCI-00714</v>
      </c>
      <c r="J258" s="490"/>
      <c r="K258" s="493" t="s">
        <v>3642</v>
      </c>
      <c r="L258" s="491" t="s">
        <v>3643</v>
      </c>
      <c r="M258" s="491" t="s">
        <v>3644</v>
      </c>
      <c r="N258" s="490" t="s">
        <v>2778</v>
      </c>
    </row>
    <row r="259" spans="1:14" s="9" customFormat="1" x14ac:dyDescent="0.25">
      <c r="A259" s="490" t="s">
        <v>1152</v>
      </c>
      <c r="B259" s="490" t="s">
        <v>3645</v>
      </c>
      <c r="C259" s="490" t="str">
        <f>CHOOSE(Translations!$C$1+1,K259,L259,M259)</f>
        <v>Poblaciones clave (Atención y prevención de la tuberculosis): niños</v>
      </c>
      <c r="D259" s="490"/>
      <c r="E259" s="490" t="s">
        <v>3646</v>
      </c>
      <c r="F259" s="491" t="str">
        <f t="shared" si="8"/>
        <v>MCI-00716</v>
      </c>
      <c r="G259" s="490" t="str">
        <f t="shared" si="9"/>
        <v>MCI-00653Poblaciones clave (Atención y prevención de la tuberculosis): niños</v>
      </c>
      <c r="H259" s="490" t="str">
        <f t="shared" si="10"/>
        <v>MCI-00653Poblaciones clave (Atención y prevención de la tuberculosis): niños</v>
      </c>
      <c r="I259" s="491" t="str">
        <f t="shared" si="11"/>
        <v>MCI-00716</v>
      </c>
      <c r="J259" s="490"/>
      <c r="K259" s="493" t="s">
        <v>3647</v>
      </c>
      <c r="L259" s="491" t="s">
        <v>3648</v>
      </c>
      <c r="M259" s="491" t="s">
        <v>3649</v>
      </c>
      <c r="N259" s="490" t="s">
        <v>2778</v>
      </c>
    </row>
    <row r="260" spans="1:14" s="9" customFormat="1" x14ac:dyDescent="0.25">
      <c r="A260" s="490" t="s">
        <v>1152</v>
      </c>
      <c r="B260" s="490" t="s">
        <v>3650</v>
      </c>
      <c r="C260" s="490" t="str">
        <f>CHOOSE(Translations!$C$1+1,K260,L260,M260)</f>
        <v>Poblaciones clave (Atención y prevención de la tuberculosis): mineros y comunidades mineras</v>
      </c>
      <c r="D260" s="490"/>
      <c r="E260" s="490" t="s">
        <v>3651</v>
      </c>
      <c r="F260" s="491" t="str">
        <f t="shared" si="8"/>
        <v>MCI-00719</v>
      </c>
      <c r="G260" s="490" t="str">
        <f t="shared" si="9"/>
        <v>MCI-00653Poblaciones clave (Atención y prevención de la tuberculosis): mineros y comunidades mineras</v>
      </c>
      <c r="H260" s="490" t="str">
        <f t="shared" si="10"/>
        <v>MCI-00653Poblaciones clave (Atención y prevención de la tuberculosis): mineros y comunidades mineras</v>
      </c>
      <c r="I260" s="491" t="str">
        <f t="shared" si="11"/>
        <v>MCI-00719</v>
      </c>
      <c r="J260" s="490"/>
      <c r="K260" s="493" t="s">
        <v>3652</v>
      </c>
      <c r="L260" s="491" t="s">
        <v>3653</v>
      </c>
      <c r="M260" s="491" t="s">
        <v>3654</v>
      </c>
      <c r="N260" s="490" t="s">
        <v>2778</v>
      </c>
    </row>
    <row r="261" spans="1:14" s="9" customFormat="1" x14ac:dyDescent="0.25">
      <c r="A261" s="490" t="s">
        <v>1152</v>
      </c>
      <c r="B261" s="490" t="s">
        <v>3655</v>
      </c>
      <c r="C261" s="490" t="str">
        <f>CHOOSE(Translations!$C$1+1,K261,L261,M261)</f>
        <v>Poblaciones clave (Atención y prevención de la tuberculosis): poblaciones móviles (refugiados, migrantes y personas desplazadas internamente)</v>
      </c>
      <c r="D261" s="490"/>
      <c r="E261" s="490" t="s">
        <v>3656</v>
      </c>
      <c r="F261" s="491" t="str">
        <f t="shared" si="8"/>
        <v>MCI-00718</v>
      </c>
      <c r="G261" s="490" t="str">
        <f t="shared" si="9"/>
        <v>MCI-00653Poblaciones clave (Atención y prevención de la tuberculosis): poblaciones móviles (refugiados, migrantes y personas desplazadas internamente)</v>
      </c>
      <c r="H261" s="490" t="str">
        <f t="shared" si="10"/>
        <v>MCI-00653Poblaciones clave (Atención y prevención de la tuberculosis): poblaciones móviles (refugiados, migrantes y personas desplazadas internamente)</v>
      </c>
      <c r="I261" s="491" t="str">
        <f t="shared" si="11"/>
        <v>MCI-00718</v>
      </c>
      <c r="J261" s="490"/>
      <c r="K261" s="493" t="s">
        <v>3657</v>
      </c>
      <c r="L261" s="491" t="s">
        <v>3658</v>
      </c>
      <c r="M261" s="491" t="s">
        <v>3659</v>
      </c>
      <c r="N261" s="490" t="s">
        <v>2778</v>
      </c>
    </row>
    <row r="262" spans="1:14" s="9" customFormat="1" x14ac:dyDescent="0.25">
      <c r="A262" s="490" t="s">
        <v>1152</v>
      </c>
      <c r="B262" s="490" t="s">
        <v>3660</v>
      </c>
      <c r="C262" s="490" t="str">
        <f>CHOOSE(Translations!$C$1+1,K262,L262,M262)</f>
        <v>Poblaciones clave (Atención y prevención de la tuberculosis): otros</v>
      </c>
      <c r="D262" s="490"/>
      <c r="E262" s="490" t="s">
        <v>3661</v>
      </c>
      <c r="F262" s="491" t="str">
        <f t="shared" si="8"/>
        <v>MCI-00720</v>
      </c>
      <c r="G262" s="490" t="str">
        <f t="shared" si="9"/>
        <v>MCI-00653Poblaciones clave (Atención y prevención de la tuberculosis): otros</v>
      </c>
      <c r="H262" s="490" t="str">
        <f t="shared" si="10"/>
        <v>MCI-00653Poblaciones clave (Atención y prevención de la tuberculosis): otros</v>
      </c>
      <c r="I262" s="491" t="str">
        <f t="shared" si="11"/>
        <v>MCI-00720</v>
      </c>
      <c r="J262" s="490"/>
      <c r="K262" s="493" t="s">
        <v>3662</v>
      </c>
      <c r="L262" s="491" t="s">
        <v>3663</v>
      </c>
      <c r="M262" s="491" t="s">
        <v>3664</v>
      </c>
      <c r="N262" s="490" t="s">
        <v>2778</v>
      </c>
    </row>
    <row r="263" spans="1:14" s="9" customFormat="1" x14ac:dyDescent="0.25">
      <c r="A263" s="490" t="s">
        <v>1152</v>
      </c>
      <c r="B263" s="490" t="s">
        <v>3665</v>
      </c>
      <c r="C263" s="490" t="str">
        <f>CHOOSE(Translations!$C$1+1,K263,L263,M263)</f>
        <v>Poblaciones clave (Atención y prevención de la tuberculosis): reclusos</v>
      </c>
      <c r="D263" s="490"/>
      <c r="E263" s="490" t="s">
        <v>3666</v>
      </c>
      <c r="F263" s="491" t="str">
        <f t="shared" si="8"/>
        <v>MCI-00717</v>
      </c>
      <c r="G263" s="490" t="str">
        <f t="shared" si="9"/>
        <v>MCI-00653Poblaciones clave (Atención y prevención de la tuberculosis): reclusos</v>
      </c>
      <c r="H263" s="490" t="str">
        <f t="shared" si="10"/>
        <v>MCI-00653Poblaciones clave (Atención y prevención de la tuberculosis): reclusos</v>
      </c>
      <c r="I263" s="491" t="str">
        <f t="shared" si="11"/>
        <v>MCI-00717</v>
      </c>
      <c r="J263" s="490"/>
      <c r="K263" s="493" t="s">
        <v>3667</v>
      </c>
      <c r="L263" s="491" t="s">
        <v>3668</v>
      </c>
      <c r="M263" s="491" t="s">
        <v>3669</v>
      </c>
      <c r="N263" s="490" t="s">
        <v>2778</v>
      </c>
    </row>
    <row r="264" spans="1:14" s="9" customFormat="1" x14ac:dyDescent="0.25">
      <c r="A264" s="490" t="s">
        <v>1152</v>
      </c>
      <c r="B264" s="490" t="s">
        <v>3670</v>
      </c>
      <c r="C264" s="490" t="str">
        <f>CHOOSE(Translations!$C$1+1,K264,L264,M264)</f>
        <v>Prevención (Atención y prevención de la tuberculosis)</v>
      </c>
      <c r="D264" s="490"/>
      <c r="E264" s="490" t="s">
        <v>3671</v>
      </c>
      <c r="F264" s="491" t="str">
        <f t="shared" si="8"/>
        <v>MCI-00713</v>
      </c>
      <c r="G264" s="490" t="str">
        <f t="shared" si="9"/>
        <v>MCI-00653Prevención (Atención y prevención de la tuberculosis)</v>
      </c>
      <c r="H264" s="490" t="str">
        <f t="shared" si="10"/>
        <v>MCI-00653Prevención (Atención y prevención de la tuberculosis)</v>
      </c>
      <c r="I264" s="491" t="str">
        <f t="shared" si="11"/>
        <v>MCI-00713</v>
      </c>
      <c r="J264" s="490"/>
      <c r="K264" s="493" t="s">
        <v>3672</v>
      </c>
      <c r="L264" s="491" t="s">
        <v>3673</v>
      </c>
      <c r="M264" s="491" t="s">
        <v>3674</v>
      </c>
      <c r="N264" s="490" t="s">
        <v>2778</v>
      </c>
    </row>
    <row r="265" spans="1:14" s="9" customFormat="1" x14ac:dyDescent="0.25">
      <c r="A265" s="490" t="s">
        <v>1152</v>
      </c>
      <c r="B265" s="490" t="s">
        <v>3675</v>
      </c>
      <c r="C265" s="490" t="str">
        <f>CHOOSE(Translations!$C$1+1,K265,L265,M265)</f>
        <v>Tratamiento (Atención y prevención de la tuberculosis)</v>
      </c>
      <c r="D265" s="490"/>
      <c r="E265" s="490" t="s">
        <v>3676</v>
      </c>
      <c r="F265" s="491" t="str">
        <f t="shared" si="8"/>
        <v>MCI-00712</v>
      </c>
      <c r="G265" s="490" t="str">
        <f t="shared" si="9"/>
        <v>MCI-00653Tratamiento (Atención y prevención de la tuberculosis)</v>
      </c>
      <c r="H265" s="490" t="str">
        <f t="shared" si="10"/>
        <v>MCI-00653Tratamiento (Atención y prevención de la tuberculosis)</v>
      </c>
      <c r="I265" s="491" t="str">
        <f t="shared" si="11"/>
        <v>MCI-00712</v>
      </c>
      <c r="J265" s="490"/>
      <c r="K265" s="493" t="s">
        <v>3677</v>
      </c>
      <c r="L265" s="491" t="s">
        <v>3678</v>
      </c>
      <c r="M265" s="491" t="s">
        <v>3679</v>
      </c>
      <c r="N265" s="490" t="s">
        <v>2778</v>
      </c>
    </row>
    <row r="266" spans="1:14" s="9" customFormat="1" x14ac:dyDescent="0.25">
      <c r="A266" s="490" t="s">
        <v>1160</v>
      </c>
      <c r="B266" s="490" t="s">
        <v>3680</v>
      </c>
      <c r="C266" s="490" t="str">
        <f>CHOOSE(Translations!$C$1+1,K266,L266,M266)</f>
        <v>Detección y diagnóstico de casos (Tuberculosis multirresistente)</v>
      </c>
      <c r="D266" s="490"/>
      <c r="E266" s="490" t="s">
        <v>3681</v>
      </c>
      <c r="F266" s="491" t="str">
        <f t="shared" si="8"/>
        <v>MCI-00722</v>
      </c>
      <c r="G266" s="490" t="str">
        <f t="shared" si="9"/>
        <v>MCI-00654Detección y diagnóstico de casos (Tuberculosis multirresistente)</v>
      </c>
      <c r="H266" s="490" t="str">
        <f t="shared" si="10"/>
        <v>MCI-00654Detección y diagnóstico de casos (Tuberculosis multirresistente)</v>
      </c>
      <c r="I266" s="491" t="str">
        <f t="shared" si="11"/>
        <v>MCI-00722</v>
      </c>
      <c r="J266" s="490"/>
      <c r="K266" s="493" t="s">
        <v>3682</v>
      </c>
      <c r="L266" s="491" t="s">
        <v>3683</v>
      </c>
      <c r="M266" s="491" t="s">
        <v>3684</v>
      </c>
      <c r="N266" s="490" t="s">
        <v>2778</v>
      </c>
    </row>
    <row r="267" spans="1:14" s="9" customFormat="1" x14ac:dyDescent="0.25">
      <c r="A267" s="490" t="s">
        <v>1160</v>
      </c>
      <c r="B267" s="490" t="s">
        <v>3685</v>
      </c>
      <c r="C267" s="490" t="str">
        <f>CHOOSE(Translations!$C$1+1,K267,L267,M267)</f>
        <v>Actividades de colaboración con otros programas y sectores (Tuberculosis multirresistente)</v>
      </c>
      <c r="D267" s="490"/>
      <c r="E267" s="490" t="s">
        <v>3686</v>
      </c>
      <c r="F267" s="491" t="str">
        <f t="shared" si="8"/>
        <v>MCI-00732</v>
      </c>
      <c r="G267" s="490" t="str">
        <f t="shared" si="9"/>
        <v>MCI-00654Actividades de colaboración con otros programas y sectores (Tuberculosis multirresistente)</v>
      </c>
      <c r="H267" s="490" t="str">
        <f t="shared" si="10"/>
        <v>MCI-00654Actividades de colaboración con otros programas y sectores (Tuberculosis multirresistente)</v>
      </c>
      <c r="I267" s="491" t="str">
        <f t="shared" si="11"/>
        <v>MCI-00732</v>
      </c>
      <c r="J267" s="490"/>
      <c r="K267" s="493" t="s">
        <v>3687</v>
      </c>
      <c r="L267" s="491" t="s">
        <v>3688</v>
      </c>
      <c r="M267" s="491" t="s">
        <v>3689</v>
      </c>
      <c r="N267" s="490" t="s">
        <v>2778</v>
      </c>
    </row>
    <row r="268" spans="1:14" s="9" customFormat="1" x14ac:dyDescent="0.25">
      <c r="A268" s="490" t="s">
        <v>1160</v>
      </c>
      <c r="B268" s="490" t="s">
        <v>3690</v>
      </c>
      <c r="C268" s="490" t="str">
        <f>CHOOSE(Translations!$C$1+1,K268,L268,M268)</f>
        <v>Prestación de servicios de atención de la tuberculosis multirresistente en la comunidad</v>
      </c>
      <c r="D268" s="490"/>
      <c r="E268" s="490" t="s">
        <v>3691</v>
      </c>
      <c r="F268" s="491" t="str">
        <f t="shared" si="8"/>
        <v>MCI-00726</v>
      </c>
      <c r="G268" s="490" t="str">
        <f t="shared" si="9"/>
        <v>MCI-00654Prestación de servicios de atención de la tuberculosis multirresistente en la comunidad</v>
      </c>
      <c r="H268" s="490" t="str">
        <f t="shared" si="10"/>
        <v>MCI-00654Prestación de servicios de atención de la tuberculosis multirresistente en la comunidad</v>
      </c>
      <c r="I268" s="491" t="str">
        <f t="shared" si="11"/>
        <v>MCI-00726</v>
      </c>
      <c r="J268" s="490"/>
      <c r="K268" s="493" t="s">
        <v>3692</v>
      </c>
      <c r="L268" s="491" t="s">
        <v>3693</v>
      </c>
      <c r="M268" s="491" t="s">
        <v>3694</v>
      </c>
      <c r="N268" s="490" t="s">
        <v>2778</v>
      </c>
    </row>
    <row r="269" spans="1:14" s="9" customFormat="1" x14ac:dyDescent="0.25">
      <c r="A269" s="490" t="s">
        <v>1160</v>
      </c>
      <c r="B269" s="490" t="s">
        <v>3695</v>
      </c>
      <c r="C269" s="490" t="str">
        <f>CHOOSE(Translations!$C$1+1,K269,L269,M269)</f>
        <v>Implicar a todos los proveedores de atención (Tuberculosis multirresistente)</v>
      </c>
      <c r="D269" s="490"/>
      <c r="E269" s="490" t="s">
        <v>3696</v>
      </c>
      <c r="F269" s="491" t="str">
        <f t="shared" si="8"/>
        <v>MCI-00725</v>
      </c>
      <c r="G269" s="490" t="str">
        <f t="shared" si="9"/>
        <v>MCI-00654Implicar a todos los proveedores de atención (Tuberculosis multirresistente)</v>
      </c>
      <c r="H269" s="490" t="str">
        <f t="shared" si="10"/>
        <v>MCI-00654Implicar a todos los proveedores de atención (Tuberculosis multirresistente)</v>
      </c>
      <c r="I269" s="491" t="str">
        <f t="shared" si="11"/>
        <v>MCI-00725</v>
      </c>
      <c r="J269" s="490"/>
      <c r="K269" s="493" t="s">
        <v>3697</v>
      </c>
      <c r="L269" s="491" t="s">
        <v>3698</v>
      </c>
      <c r="M269" s="491" t="s">
        <v>3699</v>
      </c>
      <c r="N269" s="490" t="s">
        <v>2778</v>
      </c>
    </row>
    <row r="270" spans="1:14" s="9" customFormat="1" x14ac:dyDescent="0.25">
      <c r="A270" s="490" t="s">
        <v>1160</v>
      </c>
      <c r="B270" s="490" t="s">
        <v>3700</v>
      </c>
      <c r="C270" s="490" t="str">
        <f>CHOOSE(Translations!$C$1+1,K270,L270,M270)</f>
        <v>Poblaciones clave (Tuberculosis multirresistente): niños</v>
      </c>
      <c r="D270" s="490"/>
      <c r="E270" s="490" t="s">
        <v>3701</v>
      </c>
      <c r="F270" s="491" t="str">
        <f t="shared" si="8"/>
        <v>MCI-00727</v>
      </c>
      <c r="G270" s="490" t="str">
        <f t="shared" si="9"/>
        <v>MCI-00654Poblaciones clave (Tuberculosis multirresistente): niños</v>
      </c>
      <c r="H270" s="490" t="str">
        <f t="shared" si="10"/>
        <v>MCI-00654Poblaciones clave (Tuberculosis multirresistente): niños</v>
      </c>
      <c r="I270" s="491" t="str">
        <f t="shared" si="11"/>
        <v>MCI-00727</v>
      </c>
      <c r="J270" s="490"/>
      <c r="K270" s="493" t="s">
        <v>3702</v>
      </c>
      <c r="L270" s="491" t="s">
        <v>3703</v>
      </c>
      <c r="M270" s="491" t="s">
        <v>3704</v>
      </c>
      <c r="N270" s="490" t="s">
        <v>2778</v>
      </c>
    </row>
    <row r="271" spans="1:14" s="9" customFormat="1" x14ac:dyDescent="0.25">
      <c r="A271" s="490" t="s">
        <v>1160</v>
      </c>
      <c r="B271" s="490" t="s">
        <v>3705</v>
      </c>
      <c r="C271" s="490" t="str">
        <f>CHOOSE(Translations!$C$1+1,K271,L271,M271)</f>
        <v>Poblaciones clave (Tuberculosis multirresistente): mineros y comunidades mineras</v>
      </c>
      <c r="D271" s="490"/>
      <c r="E271" s="490" t="s">
        <v>3706</v>
      </c>
      <c r="F271" s="491" t="str">
        <f t="shared" si="8"/>
        <v>MCI-00730</v>
      </c>
      <c r="G271" s="490" t="str">
        <f t="shared" si="9"/>
        <v>MCI-00654Poblaciones clave (Tuberculosis multirresistente): mineros y comunidades mineras</v>
      </c>
      <c r="H271" s="490" t="str">
        <f t="shared" si="10"/>
        <v>MCI-00654Poblaciones clave (Tuberculosis multirresistente): mineros y comunidades mineras</v>
      </c>
      <c r="I271" s="491" t="str">
        <f t="shared" si="11"/>
        <v>MCI-00730</v>
      </c>
      <c r="J271" s="490"/>
      <c r="K271" s="493" t="s">
        <v>3707</v>
      </c>
      <c r="L271" s="491" t="s">
        <v>3708</v>
      </c>
      <c r="M271" s="491" t="s">
        <v>3709</v>
      </c>
      <c r="N271" s="490" t="s">
        <v>2778</v>
      </c>
    </row>
    <row r="272" spans="1:14" s="9" customFormat="1" x14ac:dyDescent="0.25">
      <c r="A272" s="490" t="s">
        <v>1160</v>
      </c>
      <c r="B272" s="490" t="s">
        <v>3710</v>
      </c>
      <c r="C272" s="490" t="str">
        <f>CHOOSE(Translations!$C$1+1,K272,L272,M272)</f>
        <v>Poblaciones clave (Tuberculosis multirresistente): poblaciones móviles (refugiados, migrantes y personas desplazadas internamente)</v>
      </c>
      <c r="D272" s="490"/>
      <c r="E272" s="490" t="s">
        <v>3711</v>
      </c>
      <c r="F272" s="491" t="str">
        <f t="shared" si="8"/>
        <v>MCI-00729</v>
      </c>
      <c r="G272" s="490" t="str">
        <f t="shared" si="9"/>
        <v>MCI-00654Poblaciones clave (Tuberculosis multirresistente): poblaciones móviles (refugiados, migrantes y personas desplazadas internamente)</v>
      </c>
      <c r="H272" s="490" t="str">
        <f t="shared" si="10"/>
        <v>MCI-00654Poblaciones clave (Tuberculosis multirresistente): poblaciones móviles (refugiados, migrantes y personas desplazadas internamente)</v>
      </c>
      <c r="I272" s="491" t="str">
        <f t="shared" si="11"/>
        <v>MCI-00729</v>
      </c>
      <c r="J272" s="490"/>
      <c r="K272" s="493" t="s">
        <v>3712</v>
      </c>
      <c r="L272" s="491" t="s">
        <v>3713</v>
      </c>
      <c r="M272" s="491" t="s">
        <v>3714</v>
      </c>
      <c r="N272" s="490" t="s">
        <v>2778</v>
      </c>
    </row>
    <row r="273" spans="1:14" s="9" customFormat="1" x14ac:dyDescent="0.25">
      <c r="A273" s="490" t="s">
        <v>1160</v>
      </c>
      <c r="B273" s="490" t="s">
        <v>3715</v>
      </c>
      <c r="C273" s="490" t="str">
        <f>CHOOSE(Translations!$C$1+1,K273,L273,M273)</f>
        <v>Poblaciones clave (Tuberculosis multirresistente): otros</v>
      </c>
      <c r="D273" s="490"/>
      <c r="E273" s="490" t="s">
        <v>3716</v>
      </c>
      <c r="F273" s="491" t="str">
        <f t="shared" si="8"/>
        <v>MCI-00731</v>
      </c>
      <c r="G273" s="490" t="str">
        <f t="shared" si="9"/>
        <v>MCI-00654Poblaciones clave (Tuberculosis multirresistente): otros</v>
      </c>
      <c r="H273" s="490" t="str">
        <f t="shared" si="10"/>
        <v>MCI-00654Poblaciones clave (Tuberculosis multirresistente): otros</v>
      </c>
      <c r="I273" s="491" t="str">
        <f t="shared" si="11"/>
        <v>MCI-00731</v>
      </c>
      <c r="J273" s="490"/>
      <c r="K273" s="493" t="s">
        <v>3717</v>
      </c>
      <c r="L273" s="491" t="s">
        <v>3718</v>
      </c>
      <c r="M273" s="491" t="s">
        <v>3719</v>
      </c>
      <c r="N273" s="490" t="s">
        <v>2778</v>
      </c>
    </row>
    <row r="274" spans="1:14" s="9" customFormat="1" x14ac:dyDescent="0.25">
      <c r="A274" s="490" t="s">
        <v>1160</v>
      </c>
      <c r="B274" s="490" t="s">
        <v>3720</v>
      </c>
      <c r="C274" s="490" t="str">
        <f>CHOOSE(Translations!$C$1+1,K274,L274,M274)</f>
        <v>Poblaciones clave (Tuberculosis multirresistente): reclusos</v>
      </c>
      <c r="D274" s="490"/>
      <c r="E274" s="490" t="s">
        <v>3721</v>
      </c>
      <c r="F274" s="491" t="str">
        <f t="shared" si="8"/>
        <v>MCI-00728</v>
      </c>
      <c r="G274" s="490" t="str">
        <f t="shared" si="9"/>
        <v>MCI-00654Poblaciones clave (Tuberculosis multirresistente): reclusos</v>
      </c>
      <c r="H274" s="490" t="str">
        <f t="shared" si="10"/>
        <v>MCI-00654Poblaciones clave (Tuberculosis multirresistente): reclusos</v>
      </c>
      <c r="I274" s="491" t="str">
        <f t="shared" si="11"/>
        <v>MCI-00728</v>
      </c>
      <c r="J274" s="490"/>
      <c r="K274" s="493" t="s">
        <v>3722</v>
      </c>
      <c r="L274" s="491" t="s">
        <v>3723</v>
      </c>
      <c r="M274" s="491" t="s">
        <v>3724</v>
      </c>
      <c r="N274" s="490" t="s">
        <v>2778</v>
      </c>
    </row>
    <row r="275" spans="1:14" s="9" customFormat="1" x14ac:dyDescent="0.25">
      <c r="A275" s="490" t="s">
        <v>1160</v>
      </c>
      <c r="B275" s="490" t="s">
        <v>3725</v>
      </c>
      <c r="C275" s="490" t="str">
        <f>CHOOSE(Translations!$C$1+1,K275,L275,M275)</f>
        <v>Prevención (Tuberculosis multirresistente)</v>
      </c>
      <c r="D275" s="490"/>
      <c r="E275" s="490" t="s">
        <v>3726</v>
      </c>
      <c r="F275" s="491" t="str">
        <f t="shared" si="8"/>
        <v>MCI-00724</v>
      </c>
      <c r="G275" s="490" t="str">
        <f t="shared" si="9"/>
        <v>MCI-00654Prevención (Tuberculosis multirresistente)</v>
      </c>
      <c r="H275" s="490" t="str">
        <f t="shared" si="10"/>
        <v>MCI-00654Prevención (Tuberculosis multirresistente)</v>
      </c>
      <c r="I275" s="491" t="str">
        <f t="shared" si="11"/>
        <v>MCI-00724</v>
      </c>
      <c r="J275" s="490"/>
      <c r="K275" s="493" t="s">
        <v>3727</v>
      </c>
      <c r="L275" s="491" t="s">
        <v>3728</v>
      </c>
      <c r="M275" s="491" t="s">
        <v>3729</v>
      </c>
      <c r="N275" s="490" t="s">
        <v>2778</v>
      </c>
    </row>
    <row r="276" spans="1:14" s="9" customFormat="1" x14ac:dyDescent="0.25">
      <c r="A276" s="490" t="s">
        <v>1160</v>
      </c>
      <c r="B276" s="490" t="s">
        <v>3730</v>
      </c>
      <c r="C276" s="490" t="str">
        <f>CHOOSE(Translations!$C$1+1,K276,L276,M276)</f>
        <v>Tratamiento (Tuberculosis multirresistente)</v>
      </c>
      <c r="D276" s="490"/>
      <c r="E276" s="490" t="s">
        <v>3731</v>
      </c>
      <c r="F276" s="491" t="str">
        <f t="shared" si="8"/>
        <v>MCI-00723</v>
      </c>
      <c r="G276" s="490" t="str">
        <f t="shared" si="9"/>
        <v>MCI-00654Tratamiento (Tuberculosis multirresistente)</v>
      </c>
      <c r="H276" s="490" t="str">
        <f t="shared" si="10"/>
        <v>MCI-00654Tratamiento (Tuberculosis multirresistente)</v>
      </c>
      <c r="I276" s="491" t="str">
        <f t="shared" si="11"/>
        <v>MCI-00723</v>
      </c>
      <c r="J276" s="490"/>
      <c r="K276" s="493" t="s">
        <v>3732</v>
      </c>
      <c r="L276" s="491" t="s">
        <v>3733</v>
      </c>
      <c r="M276" s="491" t="s">
        <v>3734</v>
      </c>
      <c r="N276" s="490" t="s">
        <v>2778</v>
      </c>
    </row>
    <row r="277" spans="1:14" s="9" customFormat="1" x14ac:dyDescent="0.25">
      <c r="A277" s="490" t="s">
        <v>3040</v>
      </c>
      <c r="B277" s="490" t="s">
        <v>3735</v>
      </c>
      <c r="C277" s="490" t="str">
        <f>CHOOSE(Translations!$C$1+1,K277,L277,M277)</f>
        <v>Movilización y promoción comunitarias (TB)</v>
      </c>
      <c r="D277" s="490"/>
      <c r="E277" s="490" t="s">
        <v>3736</v>
      </c>
      <c r="F277" s="491" t="str">
        <f t="shared" si="8"/>
        <v>MCI-00737</v>
      </c>
      <c r="G277" s="490" t="str">
        <f t="shared" si="9"/>
        <v>MCI-00655Movilización y promoción comunitarias (TB)</v>
      </c>
      <c r="H277" s="490" t="str">
        <f t="shared" si="10"/>
        <v>MCI-00655Movilización y promoción comunitarias (TB)</v>
      </c>
      <c r="I277" s="491" t="str">
        <f t="shared" si="11"/>
        <v>MCI-00737</v>
      </c>
      <c r="J277" s="490"/>
      <c r="K277" s="493" t="s">
        <v>3737</v>
      </c>
      <c r="L277" s="491" t="s">
        <v>3738</v>
      </c>
      <c r="M277" s="491" t="s">
        <v>3739</v>
      </c>
      <c r="N277" s="490" t="s">
        <v>2778</v>
      </c>
    </row>
    <row r="278" spans="1:14" s="9" customFormat="1" x14ac:dyDescent="0.25">
      <c r="A278" s="490" t="s">
        <v>3040</v>
      </c>
      <c r="B278" s="490" t="s">
        <v>3740</v>
      </c>
      <c r="C278" s="490" t="str">
        <f>CHOOSE(Translations!$C$1+1,K278,L278,M278)</f>
        <v>Derechos humanos, ética médica y educación sobre cuestiones jurídicas</v>
      </c>
      <c r="D278" s="490"/>
      <c r="E278" s="490" t="s">
        <v>3741</v>
      </c>
      <c r="F278" s="491" t="str">
        <f t="shared" ref="F278:F332" si="12">B278</f>
        <v>MCI-00734</v>
      </c>
      <c r="G278" s="490" t="str">
        <f t="shared" ref="G278:G332" si="13">A278&amp;C278</f>
        <v>MCI-00655Derechos humanos, ética médica y educación sobre cuestiones jurídicas</v>
      </c>
      <c r="H278" s="490" t="str">
        <f t="shared" ref="H278:H332" si="14">A278&amp;C278</f>
        <v>MCI-00655Derechos humanos, ética médica y educación sobre cuestiones jurídicas</v>
      </c>
      <c r="I278" s="491" t="str">
        <f t="shared" ref="I278:I332" si="15">F278</f>
        <v>MCI-00734</v>
      </c>
      <c r="J278" s="490"/>
      <c r="K278" s="493" t="s">
        <v>3742</v>
      </c>
      <c r="L278" s="491" t="s">
        <v>3743</v>
      </c>
      <c r="M278" s="491" t="s">
        <v>3744</v>
      </c>
      <c r="N278" s="490" t="s">
        <v>2778</v>
      </c>
    </row>
    <row r="279" spans="1:14" s="9" customFormat="1" x14ac:dyDescent="0.25">
      <c r="A279" s="490" t="s">
        <v>3040</v>
      </c>
      <c r="B279" s="490" t="s">
        <v>3745</v>
      </c>
      <c r="C279" s="490" t="str">
        <f>CHOOSE(Translations!$C$1+1,K279,L279,M279)</f>
        <v>Asistencia y servicios jurídicos</v>
      </c>
      <c r="D279" s="490"/>
      <c r="E279" s="490" t="s">
        <v>3746</v>
      </c>
      <c r="F279" s="491" t="str">
        <f t="shared" si="12"/>
        <v>MCI-00735</v>
      </c>
      <c r="G279" s="490" t="str">
        <f t="shared" si="13"/>
        <v>MCI-00655Asistencia y servicios jurídicos</v>
      </c>
      <c r="H279" s="490" t="str">
        <f t="shared" si="14"/>
        <v>MCI-00655Asistencia y servicios jurídicos</v>
      </c>
      <c r="I279" s="491" t="str">
        <f t="shared" si="15"/>
        <v>MCI-00735</v>
      </c>
      <c r="J279" s="490"/>
      <c r="K279" s="493" t="s">
        <v>3747</v>
      </c>
      <c r="L279" s="491" t="s">
        <v>3748</v>
      </c>
      <c r="M279" s="491" t="s">
        <v>3749</v>
      </c>
      <c r="N279" s="490" t="s">
        <v>2778</v>
      </c>
    </row>
    <row r="280" spans="1:14" s="9" customFormat="1" x14ac:dyDescent="0.25">
      <c r="A280" s="490" t="s">
        <v>3040</v>
      </c>
      <c r="B280" s="490" t="s">
        <v>3750</v>
      </c>
      <c r="C280" s="490" t="str">
        <f>CHOOSE(Translations!$C$1+1,K280,L280,M280)</f>
        <v>Reforma de leyes y políticas</v>
      </c>
      <c r="D280" s="490"/>
      <c r="E280" s="490" t="s">
        <v>3751</v>
      </c>
      <c r="F280" s="491" t="str">
        <f t="shared" si="12"/>
        <v>MCI-00736</v>
      </c>
      <c r="G280" s="490" t="str">
        <f t="shared" si="13"/>
        <v>MCI-00655Reforma de leyes y políticas</v>
      </c>
      <c r="H280" s="490" t="str">
        <f t="shared" si="14"/>
        <v>MCI-00655Reforma de leyes y políticas</v>
      </c>
      <c r="I280" s="491" t="str">
        <f t="shared" si="15"/>
        <v>MCI-00736</v>
      </c>
      <c r="J280" s="490"/>
      <c r="K280" s="493" t="s">
        <v>3752</v>
      </c>
      <c r="L280" s="491" t="s">
        <v>3753</v>
      </c>
      <c r="M280" s="491" t="s">
        <v>3754</v>
      </c>
      <c r="N280" s="490" t="s">
        <v>2778</v>
      </c>
    </row>
    <row r="281" spans="1:14" s="9" customFormat="1" x14ac:dyDescent="0.25">
      <c r="A281" s="490" t="s">
        <v>3040</v>
      </c>
      <c r="B281" s="490" t="s">
        <v>3755</v>
      </c>
      <c r="C281" s="490" t="str">
        <f>CHOOSE(Translations!$C$1+1,K281,L281,M281)</f>
        <v>Reducción del estigma y la discriminación (TB)</v>
      </c>
      <c r="D281" s="490"/>
      <c r="E281" s="490" t="s">
        <v>3756</v>
      </c>
      <c r="F281" s="491" t="str">
        <f t="shared" si="12"/>
        <v>MCI-00733</v>
      </c>
      <c r="G281" s="490" t="str">
        <f t="shared" si="13"/>
        <v>MCI-00655Reducción del estigma y la discriminación (TB)</v>
      </c>
      <c r="H281" s="490" t="str">
        <f t="shared" si="14"/>
        <v>MCI-00655Reducción del estigma y la discriminación (TB)</v>
      </c>
      <c r="I281" s="491" t="str">
        <f t="shared" si="15"/>
        <v>MCI-00733</v>
      </c>
      <c r="J281" s="490"/>
      <c r="K281" s="493" t="s">
        <v>3757</v>
      </c>
      <c r="L281" s="491" t="s">
        <v>3758</v>
      </c>
      <c r="M281" s="491" t="s">
        <v>3759</v>
      </c>
      <c r="N281" s="490" t="s">
        <v>2778</v>
      </c>
    </row>
    <row r="282" spans="1:14" s="9" customFormat="1" x14ac:dyDescent="0.25">
      <c r="A282" s="490" t="s">
        <v>3140</v>
      </c>
      <c r="B282" s="490" t="s">
        <v>3760</v>
      </c>
      <c r="C282" s="490" t="str">
        <f>CHOOSE(Translations!$C$1+1,K282,L282,M282)</f>
        <v>Actividades de colaboración con otros programas y sectores (TB/VIH)</v>
      </c>
      <c r="D282" s="490"/>
      <c r="E282" s="490" t="s">
        <v>3761</v>
      </c>
      <c r="F282" s="491" t="str">
        <f t="shared" si="12"/>
        <v>MCI-00749</v>
      </c>
      <c r="G282" s="490" t="str">
        <f t="shared" si="13"/>
        <v>MCI-00656Actividades de colaboración con otros programas y sectores (TB/VIH)</v>
      </c>
      <c r="H282" s="490" t="str">
        <f t="shared" si="14"/>
        <v>MCI-00656Actividades de colaboración con otros programas y sectores (TB/VIH)</v>
      </c>
      <c r="I282" s="491" t="str">
        <f t="shared" si="15"/>
        <v>MCI-00749</v>
      </c>
      <c r="J282" s="490"/>
      <c r="K282" s="493" t="s">
        <v>3762</v>
      </c>
      <c r="L282" s="491" t="s">
        <v>3763</v>
      </c>
      <c r="M282" s="491" t="s">
        <v>3764</v>
      </c>
      <c r="N282" s="490" t="s">
        <v>2778</v>
      </c>
    </row>
    <row r="283" spans="1:14" s="9" customFormat="1" x14ac:dyDescent="0.25">
      <c r="A283" s="490" t="s">
        <v>3140</v>
      </c>
      <c r="B283" s="490" t="s">
        <v>3765</v>
      </c>
      <c r="C283" s="490" t="str">
        <f>CHOOSE(Translations!$C$1+1,K283,L283,M283)</f>
        <v>Prestación de servicios comunitarios de TB/VIH</v>
      </c>
      <c r="D283" s="490"/>
      <c r="E283" s="490" t="s">
        <v>3766</v>
      </c>
      <c r="F283" s="491" t="str">
        <f t="shared" si="12"/>
        <v>MCI-00743</v>
      </c>
      <c r="G283" s="490" t="str">
        <f t="shared" si="13"/>
        <v>MCI-00656Prestación de servicios comunitarios de TB/VIH</v>
      </c>
      <c r="H283" s="490" t="str">
        <f t="shared" si="14"/>
        <v>MCI-00656Prestación de servicios comunitarios de TB/VIH</v>
      </c>
      <c r="I283" s="491" t="str">
        <f t="shared" si="15"/>
        <v>MCI-00743</v>
      </c>
      <c r="J283" s="490"/>
      <c r="K283" s="493" t="s">
        <v>3767</v>
      </c>
      <c r="L283" s="491" t="s">
        <v>3768</v>
      </c>
      <c r="M283" s="491" t="s">
        <v>3769</v>
      </c>
      <c r="N283" s="490" t="s">
        <v>2778</v>
      </c>
    </row>
    <row r="284" spans="1:14" s="9" customFormat="1" x14ac:dyDescent="0.25">
      <c r="A284" s="490" t="s">
        <v>3140</v>
      </c>
      <c r="B284" s="490" t="s">
        <v>3770</v>
      </c>
      <c r="C284" s="490" t="str">
        <f>CHOOSE(Translations!$C$1+1,K284,L284,M284)</f>
        <v>Involucramiento de todos los proveedores de salud (TB/VIH)</v>
      </c>
      <c r="D284" s="490"/>
      <c r="E284" s="490" t="s">
        <v>3771</v>
      </c>
      <c r="F284" s="491" t="str">
        <f t="shared" si="12"/>
        <v>MCI-00742</v>
      </c>
      <c r="G284" s="490" t="str">
        <f t="shared" si="13"/>
        <v>MCI-00656Involucramiento de todos los proveedores de salud (TB/VIH)</v>
      </c>
      <c r="H284" s="490" t="str">
        <f t="shared" si="14"/>
        <v>MCI-00656Involucramiento de todos los proveedores de salud (TB/VIH)</v>
      </c>
      <c r="I284" s="491" t="str">
        <f t="shared" si="15"/>
        <v>MCI-00742</v>
      </c>
      <c r="J284" s="490"/>
      <c r="K284" s="493" t="s">
        <v>3772</v>
      </c>
      <c r="L284" s="491" t="s">
        <v>3773</v>
      </c>
      <c r="M284" s="491" t="s">
        <v>3774</v>
      </c>
      <c r="N284" s="490" t="s">
        <v>2778</v>
      </c>
    </row>
    <row r="285" spans="1:14" s="9" customFormat="1" x14ac:dyDescent="0.25">
      <c r="A285" s="490" t="s">
        <v>3140</v>
      </c>
      <c r="B285" s="490" t="s">
        <v>3775</v>
      </c>
      <c r="C285" s="490" t="str">
        <f>CHOOSE(Translations!$C$1+1,K285,L285,M285)</f>
        <v>Poblaciones clave (TB/VIH): niños</v>
      </c>
      <c r="D285" s="490"/>
      <c r="E285" s="490" t="s">
        <v>3776</v>
      </c>
      <c r="F285" s="491" t="str">
        <f t="shared" si="12"/>
        <v>MCI-00744</v>
      </c>
      <c r="G285" s="490" t="str">
        <f t="shared" si="13"/>
        <v>MCI-00656Poblaciones clave (TB/VIH): niños</v>
      </c>
      <c r="H285" s="490" t="str">
        <f t="shared" si="14"/>
        <v>MCI-00656Poblaciones clave (TB/VIH): niños</v>
      </c>
      <c r="I285" s="491" t="str">
        <f t="shared" si="15"/>
        <v>MCI-00744</v>
      </c>
      <c r="J285" s="490"/>
      <c r="K285" s="493" t="s">
        <v>3777</v>
      </c>
      <c r="L285" s="491" t="s">
        <v>3778</v>
      </c>
      <c r="M285" s="491" t="s">
        <v>3779</v>
      </c>
      <c r="N285" s="490" t="s">
        <v>2778</v>
      </c>
    </row>
    <row r="286" spans="1:14" s="9" customFormat="1" x14ac:dyDescent="0.25">
      <c r="A286" s="490" t="s">
        <v>3140</v>
      </c>
      <c r="B286" s="490" t="s">
        <v>3780</v>
      </c>
      <c r="C286" s="490" t="str">
        <f>CHOOSE(Translations!$C$1+1,K286,L286,M286)</f>
        <v>Poblaciones clave (TB/VIH): mineros y comunidades mineras</v>
      </c>
      <c r="D286" s="490"/>
      <c r="E286" s="490" t="s">
        <v>3781</v>
      </c>
      <c r="F286" s="491" t="str">
        <f t="shared" si="12"/>
        <v>MCI-00747</v>
      </c>
      <c r="G286" s="490" t="str">
        <f t="shared" si="13"/>
        <v>MCI-00656Poblaciones clave (TB/VIH): mineros y comunidades mineras</v>
      </c>
      <c r="H286" s="490" t="str">
        <f t="shared" si="14"/>
        <v>MCI-00656Poblaciones clave (TB/VIH): mineros y comunidades mineras</v>
      </c>
      <c r="I286" s="491" t="str">
        <f t="shared" si="15"/>
        <v>MCI-00747</v>
      </c>
      <c r="J286" s="490"/>
      <c r="K286" s="493" t="s">
        <v>3782</v>
      </c>
      <c r="L286" s="491" t="s">
        <v>3783</v>
      </c>
      <c r="M286" s="491" t="s">
        <v>3784</v>
      </c>
      <c r="N286" s="490" t="s">
        <v>2778</v>
      </c>
    </row>
    <row r="287" spans="1:14" s="9" customFormat="1" x14ac:dyDescent="0.25">
      <c r="A287" s="490" t="s">
        <v>3140</v>
      </c>
      <c r="B287" s="490" t="s">
        <v>3785</v>
      </c>
      <c r="C287" s="490" t="str">
        <f>CHOOSE(Translations!$C$1+1,K287,L287,M287)</f>
        <v>Poblaciones clave (TB/VIH): poblaciones móviles (refugiados, migrantes y personas desplazadas internamente)</v>
      </c>
      <c r="D287" s="490"/>
      <c r="E287" s="490" t="s">
        <v>3786</v>
      </c>
      <c r="F287" s="491" t="str">
        <f t="shared" si="12"/>
        <v>MCI-00746</v>
      </c>
      <c r="G287" s="490" t="str">
        <f t="shared" si="13"/>
        <v>MCI-00656Poblaciones clave (TB/VIH): poblaciones móviles (refugiados, migrantes y personas desplazadas internamente)</v>
      </c>
      <c r="H287" s="490" t="str">
        <f t="shared" si="14"/>
        <v>MCI-00656Poblaciones clave (TB/VIH): poblaciones móviles (refugiados, migrantes y personas desplazadas internamente)</v>
      </c>
      <c r="I287" s="491" t="str">
        <f t="shared" si="15"/>
        <v>MCI-00746</v>
      </c>
      <c r="J287" s="490"/>
      <c r="K287" s="493" t="s">
        <v>3787</v>
      </c>
      <c r="L287" s="491" t="s">
        <v>3788</v>
      </c>
      <c r="M287" s="491" t="s">
        <v>3789</v>
      </c>
      <c r="N287" s="490" t="s">
        <v>2778</v>
      </c>
    </row>
    <row r="288" spans="1:14" s="9" customFormat="1" x14ac:dyDescent="0.25">
      <c r="A288" s="490" t="s">
        <v>3140</v>
      </c>
      <c r="B288" s="490" t="s">
        <v>3790</v>
      </c>
      <c r="C288" s="490" t="str">
        <f>CHOOSE(Translations!$C$1+1,K288,L288,M288)</f>
        <v>Poblaciones clave (TB/VIH): otros</v>
      </c>
      <c r="D288" s="490"/>
      <c r="E288" s="490" t="s">
        <v>3791</v>
      </c>
      <c r="F288" s="491" t="str">
        <f t="shared" si="12"/>
        <v>MCI-00748</v>
      </c>
      <c r="G288" s="490" t="str">
        <f t="shared" si="13"/>
        <v>MCI-00656Poblaciones clave (TB/VIH): otros</v>
      </c>
      <c r="H288" s="490" t="str">
        <f t="shared" si="14"/>
        <v>MCI-00656Poblaciones clave (TB/VIH): otros</v>
      </c>
      <c r="I288" s="491" t="str">
        <f t="shared" si="15"/>
        <v>MCI-00748</v>
      </c>
      <c r="J288" s="490"/>
      <c r="K288" s="493" t="s">
        <v>3792</v>
      </c>
      <c r="L288" s="491" t="s">
        <v>3793</v>
      </c>
      <c r="M288" s="491" t="s">
        <v>3794</v>
      </c>
      <c r="N288" s="490" t="s">
        <v>2778</v>
      </c>
    </row>
    <row r="289" spans="1:14" s="9" customFormat="1" x14ac:dyDescent="0.25">
      <c r="A289" s="490" t="s">
        <v>3140</v>
      </c>
      <c r="B289" s="490" t="s">
        <v>3795</v>
      </c>
      <c r="C289" s="490" t="str">
        <f>CHOOSE(Translations!$C$1+1,K289,L289,M289)</f>
        <v>Poblaciones clave (TB/VIH): personas privadas de libertad</v>
      </c>
      <c r="D289" s="490"/>
      <c r="E289" s="490" t="s">
        <v>3796</v>
      </c>
      <c r="F289" s="491" t="str">
        <f t="shared" si="12"/>
        <v>MCI-00745</v>
      </c>
      <c r="G289" s="490" t="str">
        <f t="shared" si="13"/>
        <v>MCI-00656Poblaciones clave (TB/VIH): personas privadas de libertad</v>
      </c>
      <c r="H289" s="490" t="str">
        <f t="shared" si="14"/>
        <v>MCI-00656Poblaciones clave (TB/VIH): personas privadas de libertad</v>
      </c>
      <c r="I289" s="491" t="str">
        <f t="shared" si="15"/>
        <v>MCI-00745</v>
      </c>
      <c r="J289" s="490"/>
      <c r="K289" s="493" t="s">
        <v>3797</v>
      </c>
      <c r="L289" s="491" t="s">
        <v>3798</v>
      </c>
      <c r="M289" s="491" t="s">
        <v>3799</v>
      </c>
      <c r="N289" s="490" t="s">
        <v>2778</v>
      </c>
    </row>
    <row r="290" spans="1:14" s="9" customFormat="1" x14ac:dyDescent="0.25">
      <c r="A290" s="490" t="s">
        <v>3140</v>
      </c>
      <c r="B290" s="490" t="s">
        <v>3800</v>
      </c>
      <c r="C290" s="490" t="str">
        <f>CHOOSE(Translations!$C$1+1,K290,L290,M290)</f>
        <v>Prevención (TB/VIH)</v>
      </c>
      <c r="D290" s="490"/>
      <c r="E290" s="490" t="s">
        <v>3801</v>
      </c>
      <c r="F290" s="491" t="str">
        <f t="shared" si="12"/>
        <v>MCI-00741</v>
      </c>
      <c r="G290" s="490" t="str">
        <f t="shared" si="13"/>
        <v>MCI-00656Prevención (TB/VIH)</v>
      </c>
      <c r="H290" s="490" t="str">
        <f t="shared" si="14"/>
        <v>MCI-00656Prevención (TB/VIH)</v>
      </c>
      <c r="I290" s="491" t="str">
        <f t="shared" si="15"/>
        <v>MCI-00741</v>
      </c>
      <c r="J290" s="490"/>
      <c r="K290" s="493" t="s">
        <v>3802</v>
      </c>
      <c r="L290" s="491" t="s">
        <v>3803</v>
      </c>
      <c r="M290" s="491" t="s">
        <v>3804</v>
      </c>
      <c r="N290" s="490" t="s">
        <v>2778</v>
      </c>
    </row>
    <row r="291" spans="1:14" s="9" customFormat="1" x14ac:dyDescent="0.25">
      <c r="A291" s="490" t="s">
        <v>3140</v>
      </c>
      <c r="B291" s="490" t="s">
        <v>3805</v>
      </c>
      <c r="C291" s="490" t="str">
        <f>CHOOSE(Translations!$C$1+1,K291,L291,M291)</f>
        <v>Tamizaje, prueba y diagnóstico</v>
      </c>
      <c r="D291" s="490"/>
      <c r="E291" s="490" t="s">
        <v>3806</v>
      </c>
      <c r="F291" s="491" t="str">
        <f t="shared" si="12"/>
        <v>MCI-00739</v>
      </c>
      <c r="G291" s="490" t="str">
        <f t="shared" si="13"/>
        <v>MCI-00656Tamizaje, prueba y diagnóstico</v>
      </c>
      <c r="H291" s="490" t="str">
        <f t="shared" si="14"/>
        <v>MCI-00656Tamizaje, prueba y diagnóstico</v>
      </c>
      <c r="I291" s="491" t="str">
        <f t="shared" si="15"/>
        <v>MCI-00739</v>
      </c>
      <c r="J291" s="490"/>
      <c r="K291" s="493" t="s">
        <v>3807</v>
      </c>
      <c r="L291" s="491" t="s">
        <v>3808</v>
      </c>
      <c r="M291" s="491" t="s">
        <v>3809</v>
      </c>
      <c r="N291" s="490" t="s">
        <v>2778</v>
      </c>
    </row>
    <row r="292" spans="1:14" s="9" customFormat="1" x14ac:dyDescent="0.25">
      <c r="A292" s="490" t="s">
        <v>3140</v>
      </c>
      <c r="B292" s="490" t="s">
        <v>3810</v>
      </c>
      <c r="C292" s="490" t="str">
        <f>CHOOSE(Translations!$C$1+1,K292,L292,M292)</f>
        <v>Actividades de colaboración en materia de TB/VIH</v>
      </c>
      <c r="D292" s="490"/>
      <c r="E292" s="490" t="s">
        <v>3811</v>
      </c>
      <c r="F292" s="491" t="str">
        <f t="shared" si="12"/>
        <v>MCI-00738</v>
      </c>
      <c r="G292" s="490" t="str">
        <f t="shared" si="13"/>
        <v>MCI-00656Actividades de colaboración en materia de TB/VIH</v>
      </c>
      <c r="H292" s="490" t="str">
        <f t="shared" si="14"/>
        <v>MCI-00656Actividades de colaboración en materia de TB/VIH</v>
      </c>
      <c r="I292" s="491" t="str">
        <f t="shared" si="15"/>
        <v>MCI-00738</v>
      </c>
      <c r="J292" s="490"/>
      <c r="K292" s="493" t="s">
        <v>3812</v>
      </c>
      <c r="L292" s="491" t="s">
        <v>3813</v>
      </c>
      <c r="M292" s="491" t="s">
        <v>3814</v>
      </c>
      <c r="N292" s="490" t="s">
        <v>2778</v>
      </c>
    </row>
    <row r="293" spans="1:14" s="9" customFormat="1" x14ac:dyDescent="0.25">
      <c r="A293" s="490" t="s">
        <v>3140</v>
      </c>
      <c r="B293" s="490" t="s">
        <v>3815</v>
      </c>
      <c r="C293" s="490" t="str">
        <f>CHOOSE(Translations!$C$1+1,K293,L293,M293)</f>
        <v>Tratamiento (TB/VIH)</v>
      </c>
      <c r="D293" s="490"/>
      <c r="E293" s="490" t="s">
        <v>3816</v>
      </c>
      <c r="F293" s="491" t="str">
        <f t="shared" si="12"/>
        <v>MCI-00740</v>
      </c>
      <c r="G293" s="490" t="str">
        <f t="shared" si="13"/>
        <v>MCI-00656Tratamiento (TB/VIH)</v>
      </c>
      <c r="H293" s="490" t="str">
        <f t="shared" si="14"/>
        <v>MCI-00656Tratamiento (TB/VIH)</v>
      </c>
      <c r="I293" s="491" t="str">
        <f t="shared" si="15"/>
        <v>MCI-00740</v>
      </c>
      <c r="J293" s="490"/>
      <c r="K293" s="493" t="s">
        <v>3817</v>
      </c>
      <c r="L293" s="491" t="s">
        <v>3818</v>
      </c>
      <c r="M293" s="491" t="s">
        <v>3819</v>
      </c>
      <c r="N293" s="490" t="s">
        <v>2778</v>
      </c>
    </row>
    <row r="294" spans="1:14" s="9" customFormat="1" x14ac:dyDescent="0.25">
      <c r="A294" s="490" t="s">
        <v>3022</v>
      </c>
      <c r="B294" s="490" t="s">
        <v>3820</v>
      </c>
      <c r="C294" s="490" t="str">
        <f>CHOOSE(Translations!$C$1+1,K294,L294,M294)</f>
        <v>Coordinación y gestión de los programas nacionales de control de enfermedades</v>
      </c>
      <c r="D294" s="490"/>
      <c r="E294" s="490" t="s">
        <v>3821</v>
      </c>
      <c r="F294" s="491" t="str">
        <f t="shared" si="12"/>
        <v>MCI-00778</v>
      </c>
      <c r="G294" s="490" t="str">
        <f t="shared" si="13"/>
        <v>MCI-00660Coordinación y gestión de los programas nacionales de control de enfermedades</v>
      </c>
      <c r="H294" s="490" t="str">
        <f t="shared" si="14"/>
        <v>MCI-00660Coordinación y gestión de los programas nacionales de control de enfermedades</v>
      </c>
      <c r="I294" s="491" t="str">
        <f t="shared" si="15"/>
        <v>MCI-00778</v>
      </c>
      <c r="J294" s="490"/>
      <c r="K294" s="493" t="s">
        <v>3822</v>
      </c>
      <c r="L294" s="491" t="s">
        <v>3823</v>
      </c>
      <c r="M294" s="491" t="s">
        <v>3824</v>
      </c>
      <c r="N294" s="490" t="s">
        <v>2778</v>
      </c>
    </row>
    <row r="295" spans="1:14" s="9" customFormat="1" x14ac:dyDescent="0.25">
      <c r="A295" s="490" t="s">
        <v>3022</v>
      </c>
      <c r="B295" s="490" t="s">
        <v>3825</v>
      </c>
      <c r="C295" s="490" t="str">
        <f>CHOOSE(Translations!$C$1+1,K295,L295,M295)</f>
        <v>Gestión de subvenciones</v>
      </c>
      <c r="D295" s="490"/>
      <c r="E295" s="490" t="s">
        <v>3826</v>
      </c>
      <c r="F295" s="491" t="str">
        <f t="shared" si="12"/>
        <v>MCI-00779</v>
      </c>
      <c r="G295" s="490" t="str">
        <f t="shared" si="13"/>
        <v>MCI-00660Gestión de subvenciones</v>
      </c>
      <c r="H295" s="490" t="str">
        <f t="shared" si="14"/>
        <v>MCI-00660Gestión de subvenciones</v>
      </c>
      <c r="I295" s="491" t="str">
        <f t="shared" si="15"/>
        <v>MCI-00779</v>
      </c>
      <c r="J295" s="490"/>
      <c r="K295" s="493" t="s">
        <v>3827</v>
      </c>
      <c r="L295" s="491" t="s">
        <v>3828</v>
      </c>
      <c r="M295" s="491" t="s">
        <v>3829</v>
      </c>
      <c r="N295" s="490" t="s">
        <v>2778</v>
      </c>
    </row>
    <row r="296" spans="1:14" s="9" customFormat="1" x14ac:dyDescent="0.25">
      <c r="A296" s="490" t="s">
        <v>3080</v>
      </c>
      <c r="B296" s="490" t="s">
        <v>3830</v>
      </c>
      <c r="C296" s="490" t="str">
        <f>CHOOSE(Translations!$C$1+1,K296,L296,M296)</f>
        <v>Gestión de los residuos de la atención sanitaria</v>
      </c>
      <c r="D296" s="490"/>
      <c r="E296" s="490" t="s">
        <v>3831</v>
      </c>
      <c r="F296" s="491" t="str">
        <f t="shared" si="12"/>
        <v>MCI-00784</v>
      </c>
      <c r="G296" s="490" t="str">
        <f t="shared" si="13"/>
        <v>MCI-00661Gestión de los residuos de la atención sanitaria</v>
      </c>
      <c r="H296" s="490" t="str">
        <f t="shared" si="14"/>
        <v>MCI-00661Gestión de los residuos de la atención sanitaria</v>
      </c>
      <c r="I296" s="491" t="str">
        <f t="shared" si="15"/>
        <v>MCI-00784</v>
      </c>
      <c r="J296" s="490"/>
      <c r="K296" s="493" t="s">
        <v>3832</v>
      </c>
      <c r="L296" s="491" t="s">
        <v>3833</v>
      </c>
      <c r="M296" s="491" t="s">
        <v>3834</v>
      </c>
      <c r="N296" s="490" t="s">
        <v>2778</v>
      </c>
    </row>
    <row r="297" spans="1:14" s="9" customFormat="1" x14ac:dyDescent="0.25">
      <c r="A297" s="490" t="s">
        <v>3080</v>
      </c>
      <c r="B297" s="490" t="s">
        <v>3835</v>
      </c>
      <c r="C297" s="490" t="str">
        <f>CHOOSE(Translations!$C$1+1,K297,L297,M297)</f>
        <v>Política, estrategia, gobernanza</v>
      </c>
      <c r="D297" s="490"/>
      <c r="E297" s="490" t="s">
        <v>3836</v>
      </c>
      <c r="F297" s="491" t="str">
        <f t="shared" si="12"/>
        <v>MCI-00780</v>
      </c>
      <c r="G297" s="490" t="str">
        <f t="shared" si="13"/>
        <v>MCI-00661Política, estrategia, gobernanza</v>
      </c>
      <c r="H297" s="490" t="str">
        <f t="shared" si="14"/>
        <v>MCI-00661Política, estrategia, gobernanza</v>
      </c>
      <c r="I297" s="491" t="str">
        <f t="shared" si="15"/>
        <v>MCI-00780</v>
      </c>
      <c r="J297" s="490"/>
      <c r="K297" s="493" t="s">
        <v>3837</v>
      </c>
      <c r="L297" s="491" t="s">
        <v>3838</v>
      </c>
      <c r="M297" s="491" t="s">
        <v>3839</v>
      </c>
      <c r="N297" s="490" t="s">
        <v>2778</v>
      </c>
    </row>
    <row r="298" spans="1:14" s="9" customFormat="1" x14ac:dyDescent="0.25">
      <c r="A298" s="490" t="s">
        <v>3080</v>
      </c>
      <c r="B298" s="490" t="s">
        <v>3840</v>
      </c>
      <c r="C298" s="490" t="str">
        <f>CHOOSE(Translations!$C$1+1,K298,L298,M298)</f>
        <v>Capacidad de adquisición</v>
      </c>
      <c r="D298" s="490"/>
      <c r="E298" s="490" t="s">
        <v>3841</v>
      </c>
      <c r="F298" s="491" t="str">
        <f t="shared" si="12"/>
        <v>MCI-00782</v>
      </c>
      <c r="G298" s="490" t="str">
        <f t="shared" si="13"/>
        <v>MCI-00661Capacidad de adquisición</v>
      </c>
      <c r="H298" s="490" t="str">
        <f t="shared" si="14"/>
        <v>MCI-00661Capacidad de adquisición</v>
      </c>
      <c r="I298" s="491" t="str">
        <f t="shared" si="15"/>
        <v>MCI-00782</v>
      </c>
      <c r="J298" s="490"/>
      <c r="K298" s="493" t="s">
        <v>3842</v>
      </c>
      <c r="L298" s="491" t="s">
        <v>3843</v>
      </c>
      <c r="M298" s="491" t="s">
        <v>3844</v>
      </c>
      <c r="N298" s="490" t="s">
        <v>2778</v>
      </c>
    </row>
    <row r="299" spans="1:14" s="9" customFormat="1" x14ac:dyDescent="0.25">
      <c r="A299" s="490" t="s">
        <v>3080</v>
      </c>
      <c r="B299" s="490" t="s">
        <v>3845</v>
      </c>
      <c r="C299" s="490" t="str">
        <f>CHOOSE(Translations!$C$1+1,K299,L299,M299)</f>
        <v>Apoyo regulador/aseguramiento de la calidad</v>
      </c>
      <c r="D299" s="490"/>
      <c r="E299" s="490" t="s">
        <v>3846</v>
      </c>
      <c r="F299" s="491" t="str">
        <f t="shared" si="12"/>
        <v>MCI-00783</v>
      </c>
      <c r="G299" s="490" t="str">
        <f t="shared" si="13"/>
        <v>MCI-00661Apoyo regulador/aseguramiento de la calidad</v>
      </c>
      <c r="H299" s="490" t="str">
        <f t="shared" si="14"/>
        <v>MCI-00661Apoyo regulador/aseguramiento de la calidad</v>
      </c>
      <c r="I299" s="491" t="str">
        <f t="shared" si="15"/>
        <v>MCI-00783</v>
      </c>
      <c r="J299" s="490"/>
      <c r="K299" s="493" t="s">
        <v>3847</v>
      </c>
      <c r="L299" s="491" t="s">
        <v>3848</v>
      </c>
      <c r="M299" s="491" t="s">
        <v>3849</v>
      </c>
      <c r="N299" s="490" t="s">
        <v>2778</v>
      </c>
    </row>
    <row r="300" spans="1:14" s="9" customFormat="1" x14ac:dyDescent="0.25">
      <c r="A300" s="490" t="s">
        <v>3080</v>
      </c>
      <c r="B300" s="490" t="s">
        <v>3850</v>
      </c>
      <c r="C300" s="490" t="str">
        <f>CHOOSE(Translations!$C$1+1,K300,L300,M300)</f>
        <v>Capacidad de almacenamiento y distribución</v>
      </c>
      <c r="D300" s="490"/>
      <c r="E300" s="490" t="s">
        <v>3851</v>
      </c>
      <c r="F300" s="491" t="str">
        <f t="shared" si="12"/>
        <v>MCI-00781</v>
      </c>
      <c r="G300" s="490" t="str">
        <f t="shared" si="13"/>
        <v>MCI-00661Capacidad de almacenamiento y distribución</v>
      </c>
      <c r="H300" s="490" t="str">
        <f t="shared" si="14"/>
        <v>MCI-00661Capacidad de almacenamiento y distribución</v>
      </c>
      <c r="I300" s="491" t="str">
        <f t="shared" si="15"/>
        <v>MCI-00781</v>
      </c>
      <c r="J300" s="490"/>
      <c r="K300" s="493" t="s">
        <v>3852</v>
      </c>
      <c r="L300" s="491" t="s">
        <v>3853</v>
      </c>
      <c r="M300" s="491" t="s">
        <v>3854</v>
      </c>
      <c r="N300" s="490" t="s">
        <v>2778</v>
      </c>
    </row>
    <row r="301" spans="1:14" s="9" customFormat="1" x14ac:dyDescent="0.25">
      <c r="A301" s="490" t="s">
        <v>3069</v>
      </c>
      <c r="B301" s="490" t="s">
        <v>3855</v>
      </c>
      <c r="C301" s="490" t="str">
        <f>CHOOSE(Translations!$C$1+1,K301,L301,M301)</f>
        <v>Fuentes de los datos financieros y administrativos</v>
      </c>
      <c r="D301" s="490"/>
      <c r="E301" s="490" t="s">
        <v>3856</v>
      </c>
      <c r="F301" s="491" t="str">
        <f t="shared" si="12"/>
        <v>MCI-00789</v>
      </c>
      <c r="G301" s="490" t="str">
        <f t="shared" si="13"/>
        <v>MCI-00662Fuentes de los datos financieros y administrativos</v>
      </c>
      <c r="H301" s="490" t="str">
        <f t="shared" si="14"/>
        <v>MCI-00662Fuentes de los datos financieros y administrativos</v>
      </c>
      <c r="I301" s="491" t="str">
        <f t="shared" si="15"/>
        <v>MCI-00789</v>
      </c>
      <c r="J301" s="490"/>
      <c r="K301" s="493" t="s">
        <v>3857</v>
      </c>
      <c r="L301" s="491" t="s">
        <v>3858</v>
      </c>
      <c r="M301" s="491" t="s">
        <v>3859</v>
      </c>
      <c r="N301" s="490" t="s">
        <v>2778</v>
      </c>
    </row>
    <row r="302" spans="1:14" s="9" customFormat="1" x14ac:dyDescent="0.25">
      <c r="A302" s="490" t="s">
        <v>3069</v>
      </c>
      <c r="B302" s="490" t="s">
        <v>3860</v>
      </c>
      <c r="C302" s="490" t="str">
        <f>CHOOSE(Translations!$C$1+1,K302,L302,M302)</f>
        <v>Análisis, evaluaciones, revisión y transparencia</v>
      </c>
      <c r="D302" s="490"/>
      <c r="E302" s="490" t="s">
        <v>3861</v>
      </c>
      <c r="F302" s="491" t="str">
        <f t="shared" si="12"/>
        <v>MCI-00787</v>
      </c>
      <c r="G302" s="490" t="str">
        <f t="shared" si="13"/>
        <v>MCI-00662Análisis, evaluaciones, revisión y transparencia</v>
      </c>
      <c r="H302" s="490" t="str">
        <f t="shared" si="14"/>
        <v>MCI-00662Análisis, evaluaciones, revisión y transparencia</v>
      </c>
      <c r="I302" s="491" t="str">
        <f t="shared" si="15"/>
        <v>MCI-00787</v>
      </c>
      <c r="J302" s="490"/>
      <c r="K302" s="493" t="s">
        <v>3862</v>
      </c>
      <c r="L302" s="491" t="s">
        <v>3863</v>
      </c>
      <c r="M302" s="491" t="s">
        <v>3864</v>
      </c>
      <c r="N302" s="490" t="s">
        <v>2778</v>
      </c>
    </row>
    <row r="303" spans="1:14" s="9" customFormat="1" x14ac:dyDescent="0.25">
      <c r="A303" s="490" t="s">
        <v>3069</v>
      </c>
      <c r="B303" s="490" t="s">
        <v>3865</v>
      </c>
      <c r="C303" s="490" t="str">
        <f>CHOOSE(Translations!$C$1+1,K303,L303,M303)</f>
        <v>Registro civil y estadísticas vitales</v>
      </c>
      <c r="D303" s="490"/>
      <c r="E303" s="490" t="s">
        <v>3866</v>
      </c>
      <c r="F303" s="491" t="str">
        <f t="shared" si="12"/>
        <v>MCI-00790</v>
      </c>
      <c r="G303" s="490" t="str">
        <f t="shared" si="13"/>
        <v>MCI-00662Registro civil y estadísticas vitales</v>
      </c>
      <c r="H303" s="490" t="str">
        <f t="shared" si="14"/>
        <v>MCI-00662Registro civil y estadísticas vitales</v>
      </c>
      <c r="I303" s="491" t="str">
        <f t="shared" si="15"/>
        <v>MCI-00790</v>
      </c>
      <c r="J303" s="490"/>
      <c r="K303" s="493" t="s">
        <v>3867</v>
      </c>
      <c r="L303" s="491" t="s">
        <v>3868</v>
      </c>
      <c r="M303" s="491" t="s">
        <v>3869</v>
      </c>
      <c r="N303" s="490" t="s">
        <v>2778</v>
      </c>
    </row>
    <row r="304" spans="1:14" s="9" customFormat="1" x14ac:dyDescent="0.25">
      <c r="A304" s="490" t="s">
        <v>3069</v>
      </c>
      <c r="B304" s="490" t="s">
        <v>3870</v>
      </c>
      <c r="C304" s="490" t="str">
        <f>CHOOSE(Translations!$C$1+1,K304,L304,M304)</f>
        <v>Calidad del programa y los datos</v>
      </c>
      <c r="D304" s="490"/>
      <c r="E304" s="490" t="s">
        <v>3871</v>
      </c>
      <c r="F304" s="491" t="str">
        <f t="shared" si="12"/>
        <v>MCI-00786</v>
      </c>
      <c r="G304" s="490" t="str">
        <f t="shared" si="13"/>
        <v>MCI-00662Calidad del programa y los datos</v>
      </c>
      <c r="H304" s="490" t="str">
        <f t="shared" si="14"/>
        <v>MCI-00662Calidad del programa y los datos</v>
      </c>
      <c r="I304" s="491" t="str">
        <f t="shared" si="15"/>
        <v>MCI-00786</v>
      </c>
      <c r="J304" s="490"/>
      <c r="K304" s="493" t="s">
        <v>3872</v>
      </c>
      <c r="L304" s="491" t="s">
        <v>3873</v>
      </c>
      <c r="M304" s="491" t="s">
        <v>3874</v>
      </c>
      <c r="N304" s="490" t="s">
        <v>2778</v>
      </c>
    </row>
    <row r="305" spans="1:14" s="9" customFormat="1" x14ac:dyDescent="0.25">
      <c r="A305" s="490" t="s">
        <v>3069</v>
      </c>
      <c r="B305" s="490" t="s">
        <v>3875</v>
      </c>
      <c r="C305" s="490" t="str">
        <f>CHOOSE(Translations!$C$1+1,K305,L305,M305)</f>
        <v>Informes rutinarios</v>
      </c>
      <c r="D305" s="490"/>
      <c r="E305" s="490" t="s">
        <v>3876</v>
      </c>
      <c r="F305" s="491" t="str">
        <f t="shared" si="12"/>
        <v>MCI-00785</v>
      </c>
      <c r="G305" s="490" t="str">
        <f t="shared" si="13"/>
        <v>MCI-00662Informes rutinarios</v>
      </c>
      <c r="H305" s="490" t="str">
        <f t="shared" si="14"/>
        <v>MCI-00662Informes rutinarios</v>
      </c>
      <c r="I305" s="491" t="str">
        <f t="shared" si="15"/>
        <v>MCI-00785</v>
      </c>
      <c r="J305" s="490"/>
      <c r="K305" s="493" t="s">
        <v>3877</v>
      </c>
      <c r="L305" s="491" t="s">
        <v>3878</v>
      </c>
      <c r="M305" s="491" t="s">
        <v>3879</v>
      </c>
      <c r="N305" s="490" t="s">
        <v>2778</v>
      </c>
    </row>
    <row r="306" spans="1:14" s="9" customFormat="1" x14ac:dyDescent="0.25">
      <c r="A306" s="490" t="s">
        <v>3069</v>
      </c>
      <c r="B306" s="490" t="s">
        <v>3880</v>
      </c>
      <c r="C306" s="490" t="str">
        <f>CHOOSE(Translations!$C$1+1,K306,L306,M306)</f>
        <v>Encuestas</v>
      </c>
      <c r="D306" s="490"/>
      <c r="E306" s="490" t="s">
        <v>3881</v>
      </c>
      <c r="F306" s="491" t="str">
        <f t="shared" si="12"/>
        <v>MCI-00788</v>
      </c>
      <c r="G306" s="490" t="str">
        <f t="shared" si="13"/>
        <v>MCI-00662Encuestas</v>
      </c>
      <c r="H306" s="490" t="str">
        <f t="shared" si="14"/>
        <v>MCI-00662Encuestas</v>
      </c>
      <c r="I306" s="491" t="str">
        <f t="shared" si="15"/>
        <v>MCI-00788</v>
      </c>
      <c r="J306" s="490"/>
      <c r="K306" s="493" t="s">
        <v>3882</v>
      </c>
      <c r="L306" s="491" t="s">
        <v>3883</v>
      </c>
      <c r="M306" s="491" t="s">
        <v>3884</v>
      </c>
      <c r="N306" s="490" t="s">
        <v>2778</v>
      </c>
    </row>
    <row r="307" spans="1:14" s="9" customFormat="1" x14ac:dyDescent="0.25">
      <c r="A307" s="490" t="s">
        <v>3102</v>
      </c>
      <c r="B307" s="490" t="s">
        <v>3885</v>
      </c>
      <c r="C307" s="490" t="str">
        <f>CHOOSE(Translations!$C$1+1,K307,L307,M307)</f>
        <v>Trabajadores de salud comunitarios: educación y producción</v>
      </c>
      <c r="D307" s="490"/>
      <c r="E307" s="490" t="s">
        <v>3886</v>
      </c>
      <c r="F307" s="491" t="str">
        <f t="shared" si="12"/>
        <v>MCI-00795</v>
      </c>
      <c r="G307" s="490" t="str">
        <f t="shared" si="13"/>
        <v>MCI-00663Trabajadores de salud comunitarios: educación y producción</v>
      </c>
      <c r="H307" s="490" t="str">
        <f t="shared" si="14"/>
        <v>MCI-00663Trabajadores de salud comunitarios: educación y producción</v>
      </c>
      <c r="I307" s="491" t="str">
        <f t="shared" si="15"/>
        <v>MCI-00795</v>
      </c>
      <c r="J307" s="490"/>
      <c r="K307" s="493" t="s">
        <v>3887</v>
      </c>
      <c r="L307" s="491" t="s">
        <v>3888</v>
      </c>
      <c r="M307" s="491" t="s">
        <v>3889</v>
      </c>
      <c r="N307" s="490" t="s">
        <v>2778</v>
      </c>
    </row>
    <row r="308" spans="1:14" s="9" customFormat="1" x14ac:dyDescent="0.25">
      <c r="A308" s="490" t="s">
        <v>3102</v>
      </c>
      <c r="B308" s="490" t="s">
        <v>3890</v>
      </c>
      <c r="C308" s="490" t="str">
        <f>CHOOSE(Translations!$C$1+1,K308,L308,M308)</f>
        <v>Trabajadores de salud comunitarios: formación durante la prestación de los servicios</v>
      </c>
      <c r="D308" s="490"/>
      <c r="E308" s="490" t="s">
        <v>3891</v>
      </c>
      <c r="F308" s="491" t="str">
        <f t="shared" si="12"/>
        <v>MCI-00797</v>
      </c>
      <c r="G308" s="490" t="str">
        <f t="shared" si="13"/>
        <v>MCI-00663Trabajadores de salud comunitarios: formación durante la prestación de los servicios</v>
      </c>
      <c r="H308" s="490" t="str">
        <f t="shared" si="14"/>
        <v>MCI-00663Trabajadores de salud comunitarios: formación durante la prestación de los servicios</v>
      </c>
      <c r="I308" s="491" t="str">
        <f t="shared" si="15"/>
        <v>MCI-00797</v>
      </c>
      <c r="J308" s="490"/>
      <c r="K308" s="493" t="s">
        <v>3892</v>
      </c>
      <c r="L308" s="491" t="s">
        <v>3893</v>
      </c>
      <c r="M308" s="491" t="s">
        <v>3894</v>
      </c>
      <c r="N308" s="490" t="s">
        <v>2778</v>
      </c>
    </row>
    <row r="309" spans="1:14" s="9" customFormat="1" x14ac:dyDescent="0.25">
      <c r="A309" s="490" t="s">
        <v>3102</v>
      </c>
      <c r="B309" s="490" t="s">
        <v>3895</v>
      </c>
      <c r="C309" s="490" t="str">
        <f>CHOOSE(Translations!$C$1+1,K309,L309,M309)</f>
        <v>Trabajadores de salud comunitarios: remuneración y despliegue</v>
      </c>
      <c r="D309" s="490"/>
      <c r="E309" s="490" t="s">
        <v>3896</v>
      </c>
      <c r="F309" s="491" t="str">
        <f t="shared" si="12"/>
        <v>MCI-00796</v>
      </c>
      <c r="G309" s="490" t="str">
        <f t="shared" si="13"/>
        <v>MCI-00663Trabajadores de salud comunitarios: remuneración y despliegue</v>
      </c>
      <c r="H309" s="490" t="str">
        <f t="shared" si="14"/>
        <v>MCI-00663Trabajadores de salud comunitarios: remuneración y despliegue</v>
      </c>
      <c r="I309" s="491" t="str">
        <f t="shared" si="15"/>
        <v>MCI-00796</v>
      </c>
      <c r="J309" s="490"/>
      <c r="K309" s="493" t="s">
        <v>3897</v>
      </c>
      <c r="L309" s="491" t="s">
        <v>3898</v>
      </c>
      <c r="M309" s="491" t="s">
        <v>3899</v>
      </c>
      <c r="N309" s="490" t="s">
        <v>2778</v>
      </c>
    </row>
    <row r="310" spans="1:14" s="9" customFormat="1" x14ac:dyDescent="0.25">
      <c r="A310" s="490" t="s">
        <v>3102</v>
      </c>
      <c r="B310" s="490" t="s">
        <v>3900</v>
      </c>
      <c r="C310" s="490" t="str">
        <f>CHOOSE(Translations!$C$1+1,K310,L310,M310)</f>
        <v>Educación y producción de nuevos trabajadores de  salud (excepto los trabajadores de la salud comunitarios)</v>
      </c>
      <c r="D310" s="490"/>
      <c r="E310" s="490" t="s">
        <v>3901</v>
      </c>
      <c r="F310" s="491" t="str">
        <f t="shared" si="12"/>
        <v>MCI-00791</v>
      </c>
      <c r="G310" s="490" t="str">
        <f t="shared" si="13"/>
        <v>MCI-00663Educación y producción de nuevos trabajadores de  salud (excepto los trabajadores de la salud comunitarios)</v>
      </c>
      <c r="H310" s="490" t="str">
        <f t="shared" si="14"/>
        <v>MCI-00663Educación y producción de nuevos trabajadores de  salud (excepto los trabajadores de la salud comunitarios)</v>
      </c>
      <c r="I310" s="491" t="str">
        <f t="shared" si="15"/>
        <v>MCI-00791</v>
      </c>
      <c r="J310" s="490"/>
      <c r="K310" s="493" t="s">
        <v>3902</v>
      </c>
      <c r="L310" s="491" t="s">
        <v>3903</v>
      </c>
      <c r="M310" s="491" t="s">
        <v>3904</v>
      </c>
      <c r="N310" s="490" t="s">
        <v>2778</v>
      </c>
    </row>
    <row r="311" spans="1:14" s="9" customFormat="1" x14ac:dyDescent="0.25">
      <c r="A311" s="490" t="s">
        <v>3102</v>
      </c>
      <c r="B311" s="490" t="s">
        <v>3905</v>
      </c>
      <c r="C311" s="490" t="str">
        <f>CHOOSE(Translations!$C$1+1,K311,L311,M311)</f>
        <v>Política y gobernanza de Recursos Humanos de Salud</v>
      </c>
      <c r="D311" s="490"/>
      <c r="E311" s="490" t="s">
        <v>3906</v>
      </c>
      <c r="F311" s="491" t="str">
        <f t="shared" si="12"/>
        <v>MCI-00794</v>
      </c>
      <c r="G311" s="490" t="str">
        <f t="shared" si="13"/>
        <v>MCI-00663Política y gobernanza de Recursos Humanos de Salud</v>
      </c>
      <c r="H311" s="490" t="str">
        <f t="shared" si="14"/>
        <v>MCI-00663Política y gobernanza de Recursos Humanos de Salud</v>
      </c>
      <c r="I311" s="491" t="str">
        <f t="shared" si="15"/>
        <v>MCI-00794</v>
      </c>
      <c r="J311" s="490"/>
      <c r="K311" s="493" t="s">
        <v>3907</v>
      </c>
      <c r="L311" s="491" t="s">
        <v>3908</v>
      </c>
      <c r="M311" s="491" t="s">
        <v>3909</v>
      </c>
      <c r="N311" s="490" t="s">
        <v>2778</v>
      </c>
    </row>
    <row r="312" spans="1:14" s="9" customFormat="1" x14ac:dyDescent="0.25">
      <c r="A312" s="490" t="s">
        <v>3102</v>
      </c>
      <c r="B312" s="490" t="s">
        <v>3910</v>
      </c>
      <c r="C312" s="490" t="str">
        <f>CHOOSE(Translations!$C$1+1,K312,L312,M312)</f>
        <v>Formación durante la prestación de servicios (excepto los trabajadores de  salud comunitarios)</v>
      </c>
      <c r="D312" s="490"/>
      <c r="E312" s="490" t="s">
        <v>3911</v>
      </c>
      <c r="F312" s="491" t="str">
        <f t="shared" si="12"/>
        <v>MCI-00793</v>
      </c>
      <c r="G312" s="490" t="str">
        <f t="shared" si="13"/>
        <v>MCI-00663Formación durante la prestación de servicios (excepto los trabajadores de  salud comunitarios)</v>
      </c>
      <c r="H312" s="490" t="str">
        <f t="shared" si="14"/>
        <v>MCI-00663Formación durante la prestación de servicios (excepto los trabajadores de  salud comunitarios)</v>
      </c>
      <c r="I312" s="491" t="str">
        <f t="shared" si="15"/>
        <v>MCI-00793</v>
      </c>
      <c r="J312" s="490"/>
      <c r="K312" s="493" t="s">
        <v>3912</v>
      </c>
      <c r="L312" s="491" t="s">
        <v>3913</v>
      </c>
      <c r="M312" s="491" t="s">
        <v>3914</v>
      </c>
      <c r="N312" s="490" t="s">
        <v>2778</v>
      </c>
    </row>
    <row r="313" spans="1:14" s="9" customFormat="1" x14ac:dyDescent="0.25">
      <c r="A313" s="490" t="s">
        <v>3102</v>
      </c>
      <c r="B313" s="490" t="s">
        <v>3915</v>
      </c>
      <c r="C313" s="490" t="str">
        <f>CHOOSE(Translations!$C$1+1,K313,L313,M313)</f>
        <v>Remuneración y despliegue de personal nuevo/existente (excepto los trabajadores de la salud comunitarios)</v>
      </c>
      <c r="D313" s="490"/>
      <c r="E313" s="490" t="s">
        <v>3916</v>
      </c>
      <c r="F313" s="491" t="str">
        <f t="shared" si="12"/>
        <v>MCI-00792</v>
      </c>
      <c r="G313" s="490" t="str">
        <f t="shared" si="13"/>
        <v>MCI-00663Remuneración y despliegue de personal nuevo/existente (excepto los trabajadores de la salud comunitarios)</v>
      </c>
      <c r="H313" s="490" t="str">
        <f t="shared" si="14"/>
        <v>MCI-00663Remuneración y despliegue de personal nuevo/existente (excepto los trabajadores de la salud comunitarios)</v>
      </c>
      <c r="I313" s="491" t="str">
        <f t="shared" si="15"/>
        <v>MCI-00792</v>
      </c>
      <c r="J313" s="490"/>
      <c r="K313" s="493" t="s">
        <v>3917</v>
      </c>
      <c r="L313" s="491" t="s">
        <v>3918</v>
      </c>
      <c r="M313" s="491" t="s">
        <v>3919</v>
      </c>
      <c r="N313" s="490" t="s">
        <v>2778</v>
      </c>
    </row>
    <row r="314" spans="1:14" s="9" customFormat="1" x14ac:dyDescent="0.25">
      <c r="A314" s="490" t="s">
        <v>3113</v>
      </c>
      <c r="B314" s="490" t="s">
        <v>3920</v>
      </c>
      <c r="C314" s="490" t="str">
        <f>CHOOSE(Translations!$C$1+1,K314,L314,M314)</f>
        <v>Calidad de la atención</v>
      </c>
      <c r="D314" s="490"/>
      <c r="E314" s="490" t="s">
        <v>3921</v>
      </c>
      <c r="F314" s="491" t="str">
        <f t="shared" si="12"/>
        <v>MCI-00798</v>
      </c>
      <c r="G314" s="490" t="str">
        <f t="shared" si="13"/>
        <v>MCI-00664Calidad de la atención</v>
      </c>
      <c r="H314" s="490" t="str">
        <f t="shared" si="14"/>
        <v>MCI-00664Calidad de la atención</v>
      </c>
      <c r="I314" s="491" t="str">
        <f t="shared" si="15"/>
        <v>MCI-00798</v>
      </c>
      <c r="J314" s="490"/>
      <c r="K314" s="493" t="s">
        <v>3922</v>
      </c>
      <c r="L314" s="491" t="s">
        <v>3923</v>
      </c>
      <c r="M314" s="491" t="s">
        <v>3924</v>
      </c>
      <c r="N314" s="490" t="s">
        <v>2778</v>
      </c>
    </row>
    <row r="315" spans="1:14" s="9" customFormat="1" x14ac:dyDescent="0.25">
      <c r="A315" s="490" t="s">
        <v>3113</v>
      </c>
      <c r="B315" s="490" t="s">
        <v>3925</v>
      </c>
      <c r="C315" s="490" t="str">
        <f>CHOOSE(Translations!$C$1+1,K315,L315,M315)</f>
        <v>Infraestructura de la prestación de servicios</v>
      </c>
      <c r="D315" s="490"/>
      <c r="E315" s="490" t="s">
        <v>3926</v>
      </c>
      <c r="F315" s="491" t="str">
        <f t="shared" si="12"/>
        <v>MCI-00800</v>
      </c>
      <c r="G315" s="490" t="str">
        <f t="shared" si="13"/>
        <v>MCI-00664Infraestructura de la prestación de servicios</v>
      </c>
      <c r="H315" s="490" t="str">
        <f t="shared" si="14"/>
        <v>MCI-00664Infraestructura de la prestación de servicios</v>
      </c>
      <c r="I315" s="491" t="str">
        <f t="shared" si="15"/>
        <v>MCI-00800</v>
      </c>
      <c r="J315" s="490"/>
      <c r="K315" s="493" t="s">
        <v>3927</v>
      </c>
      <c r="L315" s="491" t="s">
        <v>3928</v>
      </c>
      <c r="M315" s="491" t="s">
        <v>3929</v>
      </c>
      <c r="N315" s="490" t="s">
        <v>2778</v>
      </c>
    </row>
    <row r="316" spans="1:14" s="9" customFormat="1" x14ac:dyDescent="0.25">
      <c r="A316" s="490" t="s">
        <v>3113</v>
      </c>
      <c r="B316" s="490" t="s">
        <v>3930</v>
      </c>
      <c r="C316" s="490" t="str">
        <f>CHOOSE(Translations!$C$1+1,K316,L316,M316)</f>
        <v>Organización de los servicios y gestión de establecimientos de salud</v>
      </c>
      <c r="D316" s="490"/>
      <c r="E316" s="490" t="s">
        <v>3931</v>
      </c>
      <c r="F316" s="491" t="str">
        <f t="shared" si="12"/>
        <v>MCI-00799</v>
      </c>
      <c r="G316" s="490" t="str">
        <f t="shared" si="13"/>
        <v>MCI-00664Organización de los servicios y gestión de establecimientos de salud</v>
      </c>
      <c r="H316" s="490" t="str">
        <f t="shared" si="14"/>
        <v>MCI-00664Organización de los servicios y gestión de establecimientos de salud</v>
      </c>
      <c r="I316" s="491" t="str">
        <f t="shared" si="15"/>
        <v>MCI-00799</v>
      </c>
      <c r="J316" s="490"/>
      <c r="K316" s="493" t="s">
        <v>3932</v>
      </c>
      <c r="L316" s="491" t="s">
        <v>3933</v>
      </c>
      <c r="M316" s="491" t="s">
        <v>3934</v>
      </c>
      <c r="N316" s="490" t="s">
        <v>2778</v>
      </c>
    </row>
    <row r="317" spans="1:14" s="9" customFormat="1" x14ac:dyDescent="0.25">
      <c r="A317" s="490" t="s">
        <v>3058</v>
      </c>
      <c r="B317" s="490" t="s">
        <v>3935</v>
      </c>
      <c r="C317" s="490" t="str">
        <f>CHOOSE(Translations!$C$1+1,K317,L317,M317)</f>
        <v>Sistemas de gestión financiera pública (nacionales o armonizados de donantes)</v>
      </c>
      <c r="D317" s="490"/>
      <c r="E317" s="490" t="s">
        <v>3936</v>
      </c>
      <c r="F317" s="491" t="str">
        <f t="shared" si="12"/>
        <v>MCI-00801</v>
      </c>
      <c r="G317" s="490" t="str">
        <f t="shared" si="13"/>
        <v>MCI-00665Sistemas de gestión financiera pública (nacionales o armonizados de donantes)</v>
      </c>
      <c r="H317" s="490" t="str">
        <f t="shared" si="14"/>
        <v>MCI-00665Sistemas de gestión financiera pública (nacionales o armonizados de donantes)</v>
      </c>
      <c r="I317" s="491" t="str">
        <f t="shared" si="15"/>
        <v>MCI-00801</v>
      </c>
      <c r="J317" s="490"/>
      <c r="K317" s="493" t="s">
        <v>3937</v>
      </c>
      <c r="L317" s="491" t="s">
        <v>3938</v>
      </c>
      <c r="M317" s="491" t="s">
        <v>3939</v>
      </c>
      <c r="N317" s="490" t="s">
        <v>2778</v>
      </c>
    </row>
    <row r="318" spans="1:14" s="9" customFormat="1" x14ac:dyDescent="0.25">
      <c r="A318" s="490" t="s">
        <v>3058</v>
      </c>
      <c r="B318" s="490" t="s">
        <v>3940</v>
      </c>
      <c r="C318" s="490" t="str">
        <f>CHOOSE(Translations!$C$1+1,K318,L318,M318)</f>
        <v>Gestión financiera ordinaria de las subvenciones</v>
      </c>
      <c r="D318" s="490"/>
      <c r="E318" s="490" t="s">
        <v>3941</v>
      </c>
      <c r="F318" s="491" t="str">
        <f t="shared" si="12"/>
        <v>MCI-00802</v>
      </c>
      <c r="G318" s="490" t="str">
        <f t="shared" si="13"/>
        <v>MCI-00665Gestión financiera ordinaria de las subvenciones</v>
      </c>
      <c r="H318" s="490" t="str">
        <f t="shared" si="14"/>
        <v>MCI-00665Gestión financiera ordinaria de las subvenciones</v>
      </c>
      <c r="I318" s="491" t="str">
        <f t="shared" si="15"/>
        <v>MCI-00802</v>
      </c>
      <c r="J318" s="490"/>
      <c r="K318" s="493" t="s">
        <v>3942</v>
      </c>
      <c r="L318" s="491" t="s">
        <v>3943</v>
      </c>
      <c r="M318" s="491" t="s">
        <v>3944</v>
      </c>
      <c r="N318" s="490" t="s">
        <v>2778</v>
      </c>
    </row>
    <row r="319" spans="1:14" s="9" customFormat="1" x14ac:dyDescent="0.25">
      <c r="A319" s="490" t="s">
        <v>3091</v>
      </c>
      <c r="B319" s="490" t="s">
        <v>3945</v>
      </c>
      <c r="C319" s="490" t="str">
        <f>CHOOSE(Translations!$C$1+1,K319,L319,M319)</f>
        <v>Estrategias y financiamiento del sector nacional de la salud</v>
      </c>
      <c r="D319" s="490"/>
      <c r="E319" s="490" t="s">
        <v>3946</v>
      </c>
      <c r="F319" s="491" t="str">
        <f t="shared" si="12"/>
        <v>MCI-00803</v>
      </c>
      <c r="G319" s="490" t="str">
        <f t="shared" si="13"/>
        <v>MCI-00666Estrategias y financiamiento del sector nacional de la salud</v>
      </c>
      <c r="H319" s="490" t="str">
        <f t="shared" si="14"/>
        <v>MCI-00666Estrategias y financiamiento del sector nacional de la salud</v>
      </c>
      <c r="I319" s="491" t="str">
        <f t="shared" si="15"/>
        <v>MCI-00803</v>
      </c>
      <c r="J319" s="490"/>
      <c r="K319" s="493" t="s">
        <v>3947</v>
      </c>
      <c r="L319" s="491" t="s">
        <v>3948</v>
      </c>
      <c r="M319" s="491" t="s">
        <v>3949</v>
      </c>
      <c r="N319" s="490" t="s">
        <v>2778</v>
      </c>
    </row>
    <row r="320" spans="1:14" s="9" customFormat="1" x14ac:dyDescent="0.25">
      <c r="A320" s="490" t="s">
        <v>3091</v>
      </c>
      <c r="B320" s="490" t="s">
        <v>3950</v>
      </c>
      <c r="C320" s="490" t="str">
        <f>CHOOSE(Translations!$C$1+1,K320,L320,M320)</f>
        <v>Política y planificación para los programas nacionales de control de enfermedades</v>
      </c>
      <c r="D320" s="490"/>
      <c r="E320" s="490" t="s">
        <v>3951</v>
      </c>
      <c r="F320" s="491" t="str">
        <f t="shared" si="12"/>
        <v>MCI-00804</v>
      </c>
      <c r="G320" s="490" t="str">
        <f t="shared" si="13"/>
        <v>MCI-00666Política y planificación para los programas nacionales de control de enfermedades</v>
      </c>
      <c r="H320" s="490" t="str">
        <f t="shared" si="14"/>
        <v>MCI-00666Política y planificación para los programas nacionales de control de enfermedades</v>
      </c>
      <c r="I320" s="491" t="str">
        <f t="shared" si="15"/>
        <v>MCI-00804</v>
      </c>
      <c r="J320" s="490"/>
      <c r="K320" s="493" t="s">
        <v>3952</v>
      </c>
      <c r="L320" s="491" t="s">
        <v>3953</v>
      </c>
      <c r="M320" s="491" t="s">
        <v>3954</v>
      </c>
      <c r="N320" s="490" t="s">
        <v>2778</v>
      </c>
    </row>
    <row r="321" spans="1:14" s="9" customFormat="1" x14ac:dyDescent="0.25">
      <c r="A321" s="490" t="s">
        <v>3047</v>
      </c>
      <c r="B321" s="490" t="s">
        <v>3955</v>
      </c>
      <c r="C321" s="490" t="str">
        <f>CHOOSE(Translations!$C$1+1,K321,L321,M321)</f>
        <v>Monitoreo a nivel comunitario</v>
      </c>
      <c r="D321" s="490"/>
      <c r="E321" s="490" t="s">
        <v>3956</v>
      </c>
      <c r="F321" s="491" t="str">
        <f t="shared" si="12"/>
        <v>MCI-00805</v>
      </c>
      <c r="G321" s="490" t="str">
        <f t="shared" si="13"/>
        <v>MCI-00667Monitoreo a nivel comunitario</v>
      </c>
      <c r="H321" s="490" t="str">
        <f t="shared" si="14"/>
        <v>MCI-00667Monitoreo a nivel comunitario</v>
      </c>
      <c r="I321" s="491" t="str">
        <f t="shared" si="15"/>
        <v>MCI-00805</v>
      </c>
      <c r="J321" s="490"/>
      <c r="K321" s="493" t="s">
        <v>3957</v>
      </c>
      <c r="L321" s="491" t="s">
        <v>3958</v>
      </c>
      <c r="M321" s="491" t="s">
        <v>3959</v>
      </c>
      <c r="N321" s="490" t="s">
        <v>2778</v>
      </c>
    </row>
    <row r="322" spans="1:14" s="9" customFormat="1" x14ac:dyDescent="0.25">
      <c r="A322" s="490" t="s">
        <v>3047</v>
      </c>
      <c r="B322" s="490" t="s">
        <v>3960</v>
      </c>
      <c r="C322" s="490" t="str">
        <f>CHOOSE(Translations!$C$1+1,K322,L322,M322)</f>
        <v>Sensibilización e investigación dirigidas por la comunidad</v>
      </c>
      <c r="D322" s="490"/>
      <c r="E322" s="490" t="s">
        <v>3961</v>
      </c>
      <c r="F322" s="491" t="str">
        <f t="shared" si="12"/>
        <v>MCI-00806</v>
      </c>
      <c r="G322" s="490" t="str">
        <f t="shared" si="13"/>
        <v>MCI-00667Sensibilización e investigación dirigidas por la comunidad</v>
      </c>
      <c r="H322" s="490" t="str">
        <f t="shared" si="14"/>
        <v>MCI-00667Sensibilización e investigación dirigidas por la comunidad</v>
      </c>
      <c r="I322" s="491" t="str">
        <f t="shared" si="15"/>
        <v>MCI-00806</v>
      </c>
      <c r="J322" s="490"/>
      <c r="K322" s="493" t="s">
        <v>3962</v>
      </c>
      <c r="L322" s="491" t="s">
        <v>3963</v>
      </c>
      <c r="M322" s="491" t="s">
        <v>3964</v>
      </c>
      <c r="N322" s="490" t="s">
        <v>2778</v>
      </c>
    </row>
    <row r="323" spans="1:14" s="9" customFormat="1" x14ac:dyDescent="0.25">
      <c r="A323" s="490" t="s">
        <v>3047</v>
      </c>
      <c r="B323" s="490" t="s">
        <v>3965</v>
      </c>
      <c r="C323" s="490" t="str">
        <f>CHOOSE(Translations!$C$1+1,K323,L323,M323)</f>
        <v>Creación de capacidad institucional, planificación y desarrollo del liderazgo</v>
      </c>
      <c r="D323" s="490"/>
      <c r="E323" s="490" t="s">
        <v>3966</v>
      </c>
      <c r="F323" s="491" t="str">
        <f t="shared" si="12"/>
        <v>MCI-00808</v>
      </c>
      <c r="G323" s="490" t="str">
        <f t="shared" si="13"/>
        <v>MCI-00667Creación de capacidad institucional, planificación y desarrollo del liderazgo</v>
      </c>
      <c r="H323" s="490" t="str">
        <f t="shared" si="14"/>
        <v>MCI-00667Creación de capacidad institucional, planificación y desarrollo del liderazgo</v>
      </c>
      <c r="I323" s="491" t="str">
        <f t="shared" si="15"/>
        <v>MCI-00808</v>
      </c>
      <c r="J323" s="490"/>
      <c r="K323" s="493" t="s">
        <v>3967</v>
      </c>
      <c r="L323" s="491" t="s">
        <v>3968</v>
      </c>
      <c r="M323" s="491" t="s">
        <v>3969</v>
      </c>
      <c r="N323" s="490" t="s">
        <v>2778</v>
      </c>
    </row>
    <row r="324" spans="1:14" s="9" customFormat="1" x14ac:dyDescent="0.25">
      <c r="A324" s="490" t="s">
        <v>3047</v>
      </c>
      <c r="B324" s="490" t="s">
        <v>3970</v>
      </c>
      <c r="C324" s="490" t="str">
        <f>CHOOSE(Translations!$C$1+1,K324,L324,M324)</f>
        <v>Movilización social, creación de vínculos comunitarios y coordinación</v>
      </c>
      <c r="D324" s="490"/>
      <c r="E324" s="490" t="s">
        <v>3971</v>
      </c>
      <c r="F324" s="491" t="str">
        <f t="shared" si="12"/>
        <v>MCI-00807</v>
      </c>
      <c r="G324" s="490" t="str">
        <f t="shared" si="13"/>
        <v>MCI-00667Movilización social, creación de vínculos comunitarios y coordinación</v>
      </c>
      <c r="H324" s="490" t="str">
        <f t="shared" si="14"/>
        <v>MCI-00667Movilización social, creación de vínculos comunitarios y coordinación</v>
      </c>
      <c r="I324" s="491" t="str">
        <f t="shared" si="15"/>
        <v>MCI-00807</v>
      </c>
      <c r="J324" s="490"/>
      <c r="K324" s="493" t="s">
        <v>3972</v>
      </c>
      <c r="L324" s="491" t="s">
        <v>3973</v>
      </c>
      <c r="M324" s="491" t="s">
        <v>3974</v>
      </c>
      <c r="N324" s="490" t="s">
        <v>2778</v>
      </c>
    </row>
    <row r="325" spans="1:14" s="9" customFormat="1" x14ac:dyDescent="0.25">
      <c r="A325" s="490" t="s">
        <v>3124</v>
      </c>
      <c r="B325" s="490" t="s">
        <v>3975</v>
      </c>
      <c r="C325" s="490" t="str">
        <f>CHOOSE(Translations!$C$1+1,K325,L325,M325)</f>
        <v>Sistemas de información y redes de transporte de muestras integradas</v>
      </c>
      <c r="D325" s="490"/>
      <c r="E325" s="490" t="s">
        <v>3976</v>
      </c>
      <c r="F325" s="491" t="str">
        <f t="shared" si="12"/>
        <v>MCI-00812</v>
      </c>
      <c r="G325" s="490" t="str">
        <f t="shared" si="13"/>
        <v>MCI-00668Sistemas de información y redes de transporte de muestras integradas</v>
      </c>
      <c r="H325" s="490" t="str">
        <f t="shared" si="14"/>
        <v>MCI-00668Sistemas de información y redes de transporte de muestras integradas</v>
      </c>
      <c r="I325" s="491" t="str">
        <f t="shared" si="15"/>
        <v>MCI-00812</v>
      </c>
      <c r="J325" s="490"/>
      <c r="K325" s="493" t="s">
        <v>3977</v>
      </c>
      <c r="L325" s="491" t="s">
        <v>3978</v>
      </c>
      <c r="M325" s="491" t="s">
        <v>3979</v>
      </c>
      <c r="N325" s="490" t="s">
        <v>2778</v>
      </c>
    </row>
    <row r="326" spans="1:14" s="9" customFormat="1" x14ac:dyDescent="0.25">
      <c r="A326" s="490" t="s">
        <v>3124</v>
      </c>
      <c r="B326" s="490" t="s">
        <v>3980</v>
      </c>
      <c r="C326" s="490" t="str">
        <f>CHOOSE(Translations!$C$1+1,K326,L326,M326)</f>
        <v>Sistemas de gestión de infraestructuras y equipos</v>
      </c>
      <c r="D326" s="490"/>
      <c r="E326" s="490" t="s">
        <v>3981</v>
      </c>
      <c r="F326" s="491" t="str">
        <f t="shared" si="12"/>
        <v>MCI-00810</v>
      </c>
      <c r="G326" s="490" t="str">
        <f t="shared" si="13"/>
        <v>MCI-00668Sistemas de gestión de infraestructuras y equipos</v>
      </c>
      <c r="H326" s="490" t="str">
        <f t="shared" si="14"/>
        <v>MCI-00668Sistemas de gestión de infraestructuras y equipos</v>
      </c>
      <c r="I326" s="491" t="str">
        <f t="shared" si="15"/>
        <v>MCI-00810</v>
      </c>
      <c r="J326" s="490"/>
      <c r="K326" s="493" t="s">
        <v>3982</v>
      </c>
      <c r="L326" s="491" t="s">
        <v>3983</v>
      </c>
      <c r="M326" s="491" t="s">
        <v>3984</v>
      </c>
      <c r="N326" s="490" t="s">
        <v>2778</v>
      </c>
    </row>
    <row r="327" spans="1:14" s="9" customFormat="1" x14ac:dyDescent="0.25">
      <c r="A327" s="490" t="s">
        <v>3124</v>
      </c>
      <c r="B327" s="490" t="s">
        <v>3985</v>
      </c>
      <c r="C327" s="490" t="str">
        <f>CHOOSE(Translations!$C$1+1,K327,L327,M327)</f>
        <v>Sistemas de cadena de suministros para los laboratorios</v>
      </c>
      <c r="D327" s="490"/>
      <c r="E327" s="490" t="s">
        <v>3986</v>
      </c>
      <c r="F327" s="491" t="str">
        <f t="shared" si="12"/>
        <v>MCI-00813</v>
      </c>
      <c r="G327" s="490" t="str">
        <f t="shared" si="13"/>
        <v>MCI-00668Sistemas de cadena de suministros para los laboratorios</v>
      </c>
      <c r="H327" s="490" t="str">
        <f t="shared" si="14"/>
        <v>MCI-00668Sistemas de cadena de suministros para los laboratorios</v>
      </c>
      <c r="I327" s="491" t="str">
        <f t="shared" si="15"/>
        <v>MCI-00813</v>
      </c>
      <c r="J327" s="490"/>
      <c r="K327" s="493" t="s">
        <v>3987</v>
      </c>
      <c r="L327" s="491" t="s">
        <v>3988</v>
      </c>
      <c r="M327" s="491" t="s">
        <v>3989</v>
      </c>
      <c r="N327" s="490" t="s">
        <v>2778</v>
      </c>
    </row>
    <row r="328" spans="1:14" s="9" customFormat="1" x14ac:dyDescent="0.25">
      <c r="A328" s="490" t="s">
        <v>3124</v>
      </c>
      <c r="B328" s="490" t="s">
        <v>3990</v>
      </c>
      <c r="C328" s="490" t="str">
        <f>CHOOSE(Translations!$C$1+1,K328,L328,M328)</f>
        <v>Estructuras de gestión y gobernanza de los laboratorios nacionales</v>
      </c>
      <c r="D328" s="490"/>
      <c r="E328" s="490" t="s">
        <v>3991</v>
      </c>
      <c r="F328" s="491" t="str">
        <f t="shared" si="12"/>
        <v>MCI-00809</v>
      </c>
      <c r="G328" s="490" t="str">
        <f t="shared" si="13"/>
        <v>MCI-00668Estructuras de gestión y gobernanza de los laboratorios nacionales</v>
      </c>
      <c r="H328" s="490" t="str">
        <f t="shared" si="14"/>
        <v>MCI-00668Estructuras de gestión y gobernanza de los laboratorios nacionales</v>
      </c>
      <c r="I328" s="491" t="str">
        <f t="shared" si="15"/>
        <v>MCI-00809</v>
      </c>
      <c r="J328" s="490"/>
      <c r="K328" s="493" t="s">
        <v>3992</v>
      </c>
      <c r="L328" s="491" t="s">
        <v>3993</v>
      </c>
      <c r="M328" s="491" t="s">
        <v>3994</v>
      </c>
      <c r="N328" s="490" t="s">
        <v>2778</v>
      </c>
    </row>
    <row r="329" spans="1:14" s="9" customFormat="1" x14ac:dyDescent="0.25">
      <c r="A329" s="490" t="s">
        <v>3124</v>
      </c>
      <c r="B329" s="490" t="s">
        <v>3995</v>
      </c>
      <c r="C329" s="490" t="str">
        <f>CHOOSE(Translations!$C$1+1,K329,L329,M329)</f>
        <v>Sistemas de gestión de la calidad y acreditación</v>
      </c>
      <c r="D329" s="490"/>
      <c r="E329" s="490" t="s">
        <v>3996</v>
      </c>
      <c r="F329" s="491" t="str">
        <f t="shared" si="12"/>
        <v>MCI-00811</v>
      </c>
      <c r="G329" s="490" t="str">
        <f t="shared" si="13"/>
        <v>MCI-00668Sistemas de gestión de la calidad y acreditación</v>
      </c>
      <c r="H329" s="490" t="str">
        <f t="shared" si="14"/>
        <v>MCI-00668Sistemas de gestión de la calidad y acreditación</v>
      </c>
      <c r="I329" s="491" t="str">
        <f t="shared" si="15"/>
        <v>MCI-00811</v>
      </c>
      <c r="J329" s="490"/>
      <c r="K329" s="493" t="s">
        <v>3997</v>
      </c>
      <c r="L329" s="491" t="s">
        <v>3998</v>
      </c>
      <c r="M329" s="491" t="s">
        <v>3999</v>
      </c>
      <c r="N329" s="490" t="s">
        <v>2778</v>
      </c>
    </row>
    <row r="330" spans="1:14" s="9" customFormat="1" x14ac:dyDescent="0.25">
      <c r="A330" s="490" t="s">
        <v>1144</v>
      </c>
      <c r="B330" s="490" t="s">
        <v>4000</v>
      </c>
      <c r="C330" s="490" t="str">
        <f>CHOOSE(Translations!$C$1+1,K330,L330,M330)</f>
        <v>Financiación basada en los resultados</v>
      </c>
      <c r="D330" s="490"/>
      <c r="E330" s="490" t="s">
        <v>4001</v>
      </c>
      <c r="F330" s="491" t="str">
        <f t="shared" si="12"/>
        <v>MCI-00814</v>
      </c>
      <c r="G330" s="490" t="str">
        <f t="shared" si="13"/>
        <v>MCI-00669Financiación basada en los resultados</v>
      </c>
      <c r="H330" s="490" t="str">
        <f t="shared" si="14"/>
        <v>MCI-00669Financiación basada en los resultados</v>
      </c>
      <c r="I330" s="491" t="str">
        <f t="shared" si="15"/>
        <v>MCI-00814</v>
      </c>
      <c r="J330" s="490"/>
      <c r="K330" s="493" t="s">
        <v>3002</v>
      </c>
      <c r="L330" s="491" t="s">
        <v>3005</v>
      </c>
      <c r="M330" s="491" t="s">
        <v>3006</v>
      </c>
      <c r="N330" s="490" t="s">
        <v>2778</v>
      </c>
    </row>
    <row r="331" spans="1:14" s="9" customFormat="1" x14ac:dyDescent="0.25">
      <c r="A331" s="490" t="s">
        <v>2984</v>
      </c>
      <c r="B331" s="490" t="s">
        <v>4002</v>
      </c>
      <c r="C331" s="490" t="str">
        <f>CHOOSE(Translations!$C$1+1,K331,L331,M331)</f>
        <v>Control y contención relacionada a COVID-19, incluyendo el fortalecimiento de los sistemas de salud</v>
      </c>
      <c r="D331" s="490"/>
      <c r="E331" s="490" t="s">
        <v>4003</v>
      </c>
      <c r="F331" s="491" t="str">
        <f t="shared" si="12"/>
        <v>MCI-01237</v>
      </c>
      <c r="G331" s="490" t="str">
        <f t="shared" si="13"/>
        <v>MCI-01236Control y contención relacionada a COVID-19, incluyendo el fortalecimiento de los sistemas de salud</v>
      </c>
      <c r="H331" s="490" t="str">
        <f t="shared" si="14"/>
        <v>MCI-01236Control y contención relacionada a COVID-19, incluyendo el fortalecimiento de los sistemas de salud</v>
      </c>
      <c r="I331" s="491" t="str">
        <f t="shared" si="15"/>
        <v>MCI-01237</v>
      </c>
      <c r="J331" s="490"/>
      <c r="K331" s="493" t="s">
        <v>4004</v>
      </c>
      <c r="L331" s="491" t="s">
        <v>4005</v>
      </c>
      <c r="M331" s="491" t="s">
        <v>4006</v>
      </c>
      <c r="N331" s="490" t="s">
        <v>2778</v>
      </c>
    </row>
    <row r="332" spans="1:14" s="9" customFormat="1" x14ac:dyDescent="0.25">
      <c r="A332" s="490" t="s">
        <v>2984</v>
      </c>
      <c r="B332" s="490" t="s">
        <v>4007</v>
      </c>
      <c r="C332" s="490" t="str">
        <f>CHOOSE(Translations!$C$1+1,K332,L332,M332)</f>
        <v>Mitigación de riesgos para los programas de las enfermedades</v>
      </c>
      <c r="D332" s="490"/>
      <c r="E332" s="490" t="s">
        <v>4008</v>
      </c>
      <c r="F332" s="491" t="str">
        <f t="shared" si="12"/>
        <v>MCI-01238</v>
      </c>
      <c r="G332" s="490" t="str">
        <f t="shared" si="13"/>
        <v>MCI-01236Mitigación de riesgos para los programas de las enfermedades</v>
      </c>
      <c r="H332" s="490" t="str">
        <f t="shared" si="14"/>
        <v>MCI-01236Mitigación de riesgos para los programas de las enfermedades</v>
      </c>
      <c r="I332" s="491" t="str">
        <f t="shared" si="15"/>
        <v>MCI-01238</v>
      </c>
      <c r="J332" s="490"/>
      <c r="K332" s="493" t="s">
        <v>4009</v>
      </c>
      <c r="L332" s="491" t="s">
        <v>4010</v>
      </c>
      <c r="M332" s="491" t="s">
        <v>4011</v>
      </c>
      <c r="N332" s="490" t="s">
        <v>2778</v>
      </c>
    </row>
    <row r="333" spans="1:14" ht="13" x14ac:dyDescent="0.3">
      <c r="B333" s="2"/>
    </row>
    <row r="334" spans="1:14" ht="13" hidden="1" x14ac:dyDescent="0.3">
      <c r="A334" s="6"/>
    </row>
    <row r="335" spans="1:14" hidden="1" x14ac:dyDescent="0.25"/>
    <row r="336" spans="1:14" hidden="1" x14ac:dyDescent="0.25"/>
    <row r="337" spans="1:3" hidden="1" x14ac:dyDescent="0.25"/>
    <row r="338" spans="1:3" hidden="1" x14ac:dyDescent="0.25"/>
    <row r="339" spans="1:3" ht="13" x14ac:dyDescent="0.3">
      <c r="A339" s="6" t="s">
        <v>177</v>
      </c>
    </row>
    <row r="340" spans="1:3" x14ac:dyDescent="0.25">
      <c r="A340" s="8" t="s">
        <v>178</v>
      </c>
      <c r="B340" s="192" t="s">
        <v>1069</v>
      </c>
    </row>
    <row r="341" spans="1:3" x14ac:dyDescent="0.25">
      <c r="A341" s="1" t="s">
        <v>39</v>
      </c>
      <c r="B341" s="192" t="s">
        <v>1070</v>
      </c>
      <c r="C341" s="1" t="s">
        <v>1071</v>
      </c>
    </row>
    <row r="342" spans="1:3" x14ac:dyDescent="0.25">
      <c r="A342" s="1" t="s">
        <v>179</v>
      </c>
      <c r="B342" s="192"/>
    </row>
    <row r="343" spans="1:3" x14ac:dyDescent="0.25">
      <c r="A343" s="1" t="s">
        <v>1068</v>
      </c>
    </row>
    <row r="344" spans="1:3" ht="13" x14ac:dyDescent="0.3">
      <c r="A344" s="6" t="s">
        <v>180</v>
      </c>
    </row>
    <row r="345" spans="1:3" x14ac:dyDescent="0.25">
      <c r="A345" s="1" t="s">
        <v>181</v>
      </c>
      <c r="B345" s="192" t="s">
        <v>1072</v>
      </c>
    </row>
    <row r="346" spans="1:3" x14ac:dyDescent="0.25">
      <c r="A346" s="1" t="s">
        <v>173</v>
      </c>
      <c r="B346" s="192" t="s">
        <v>1070</v>
      </c>
      <c r="C346" s="1" t="s">
        <v>1071</v>
      </c>
    </row>
    <row r="347" spans="1:3" s="9" customFormat="1" x14ac:dyDescent="0.25"/>
    <row r="348" spans="1:3" s="9" customFormat="1" hidden="1" x14ac:dyDescent="0.25"/>
    <row r="349" spans="1:3" s="9" customFormat="1" hidden="1" x14ac:dyDescent="0.25"/>
    <row r="350" spans="1:3" s="9" customFormat="1" hidden="1" x14ac:dyDescent="0.25"/>
    <row r="351" spans="1:3" hidden="1" x14ac:dyDescent="0.25"/>
    <row r="352" spans="1:3" ht="13" x14ac:dyDescent="0.3">
      <c r="A352" s="6" t="s">
        <v>183</v>
      </c>
    </row>
    <row r="353" spans="1:3" x14ac:dyDescent="0.25">
      <c r="A353" s="156" t="s">
        <v>173</v>
      </c>
      <c r="B353" s="156" t="s">
        <v>185</v>
      </c>
      <c r="C353" s="156" t="s">
        <v>186</v>
      </c>
    </row>
    <row r="354" spans="1:3" hidden="1" x14ac:dyDescent="0.25">
      <c r="A354" s="156" t="s">
        <v>172</v>
      </c>
      <c r="B354" s="156" t="s">
        <v>184</v>
      </c>
      <c r="C354" s="156" t="s">
        <v>47</v>
      </c>
    </row>
    <row r="355" spans="1:3" s="9" customFormat="1" x14ac:dyDescent="0.25">
      <c r="A355" s="156"/>
      <c r="B355" s="156"/>
      <c r="C355" s="156"/>
    </row>
    <row r="356" spans="1:3" s="9" customFormat="1" x14ac:dyDescent="0.25">
      <c r="A356" s="156"/>
      <c r="B356" s="156"/>
      <c r="C356" s="156"/>
    </row>
    <row r="357" spans="1:3" s="9" customFormat="1" x14ac:dyDescent="0.25">
      <c r="A357" s="156"/>
      <c r="B357" s="156"/>
      <c r="C357" s="156"/>
    </row>
    <row r="358" spans="1:3" s="9" customFormat="1" x14ac:dyDescent="0.25">
      <c r="A358" s="156" t="s">
        <v>7759</v>
      </c>
      <c r="B358" s="156"/>
      <c r="C358" s="156" t="s">
        <v>7760</v>
      </c>
    </row>
    <row r="359" spans="1:3" s="9" customFormat="1" x14ac:dyDescent="0.25">
      <c r="A359" s="156" t="s">
        <v>7761</v>
      </c>
      <c r="B359" s="156"/>
      <c r="C359" s="156" t="s">
        <v>7762</v>
      </c>
    </row>
    <row r="360" spans="1:3" s="9" customFormat="1" x14ac:dyDescent="0.25">
      <c r="A360" s="156" t="s">
        <v>7763</v>
      </c>
      <c r="B360" s="156"/>
      <c r="C360" s="156" t="s">
        <v>7764</v>
      </c>
    </row>
    <row r="361" spans="1:3" s="9" customFormat="1" x14ac:dyDescent="0.25">
      <c r="A361" s="156" t="s">
        <v>7765</v>
      </c>
      <c r="B361" s="156"/>
      <c r="C361" s="156" t="s">
        <v>7766</v>
      </c>
    </row>
    <row r="362" spans="1:3" s="9" customFormat="1" x14ac:dyDescent="0.25">
      <c r="A362" s="156" t="s">
        <v>7767</v>
      </c>
      <c r="B362" s="156"/>
      <c r="C362" s="156" t="s">
        <v>7768</v>
      </c>
    </row>
    <row r="363" spans="1:3" s="9" customFormat="1" x14ac:dyDescent="0.25">
      <c r="A363" s="156" t="s">
        <v>7769</v>
      </c>
      <c r="B363" s="156"/>
      <c r="C363" s="156" t="s">
        <v>7770</v>
      </c>
    </row>
    <row r="364" spans="1:3" s="9" customFormat="1" x14ac:dyDescent="0.25">
      <c r="A364" s="156" t="s">
        <v>7771</v>
      </c>
      <c r="B364" s="156"/>
      <c r="C364" s="156" t="s">
        <v>7772</v>
      </c>
    </row>
    <row r="365" spans="1:3" s="9" customFormat="1" x14ac:dyDescent="0.25">
      <c r="A365" s="156" t="s">
        <v>7773</v>
      </c>
      <c r="B365" s="156"/>
      <c r="C365" s="156" t="s">
        <v>7774</v>
      </c>
    </row>
    <row r="366" spans="1:3" s="9" customFormat="1" x14ac:dyDescent="0.25">
      <c r="A366" s="156" t="s">
        <v>7775</v>
      </c>
      <c r="B366" s="156"/>
      <c r="C366" s="156" t="s">
        <v>7776</v>
      </c>
    </row>
    <row r="367" spans="1:3" s="9" customFormat="1" x14ac:dyDescent="0.25">
      <c r="A367" s="156" t="s">
        <v>7777</v>
      </c>
      <c r="B367" s="156"/>
      <c r="C367" s="156" t="s">
        <v>7778</v>
      </c>
    </row>
    <row r="368" spans="1:3" s="9" customFormat="1" x14ac:dyDescent="0.25">
      <c r="A368" s="156" t="s">
        <v>7779</v>
      </c>
      <c r="B368" s="156"/>
      <c r="C368" s="156" t="s">
        <v>7780</v>
      </c>
    </row>
    <row r="369" spans="1:3" s="9" customFormat="1" x14ac:dyDescent="0.25">
      <c r="A369" s="156" t="s">
        <v>7781</v>
      </c>
      <c r="B369" s="156"/>
      <c r="C369" s="156" t="s">
        <v>7782</v>
      </c>
    </row>
    <row r="370" spans="1:3" s="9" customFormat="1" x14ac:dyDescent="0.25">
      <c r="A370" s="156" t="s">
        <v>7783</v>
      </c>
      <c r="B370" s="156"/>
      <c r="C370" s="156" t="s">
        <v>7784</v>
      </c>
    </row>
    <row r="371" spans="1:3" s="9" customFormat="1" x14ac:dyDescent="0.25">
      <c r="A371" s="156" t="s">
        <v>7785</v>
      </c>
      <c r="B371" s="156"/>
      <c r="C371" s="156" t="s">
        <v>7786</v>
      </c>
    </row>
    <row r="372" spans="1:3" s="9" customFormat="1" x14ac:dyDescent="0.25">
      <c r="A372" s="156" t="s">
        <v>7787</v>
      </c>
      <c r="B372" s="156"/>
      <c r="C372" s="156" t="s">
        <v>7788</v>
      </c>
    </row>
    <row r="373" spans="1:3" s="9" customFormat="1" x14ac:dyDescent="0.25">
      <c r="A373" s="156" t="s">
        <v>7789</v>
      </c>
      <c r="B373" s="156"/>
      <c r="C373" s="156" t="s">
        <v>7790</v>
      </c>
    </row>
    <row r="374" spans="1:3" s="9" customFormat="1" x14ac:dyDescent="0.25">
      <c r="A374" s="156" t="s">
        <v>7791</v>
      </c>
      <c r="B374" s="156"/>
      <c r="C374" s="156" t="s">
        <v>7792</v>
      </c>
    </row>
    <row r="375" spans="1:3" s="9" customFormat="1" x14ac:dyDescent="0.25">
      <c r="A375" s="156" t="s">
        <v>7793</v>
      </c>
      <c r="B375" s="156"/>
      <c r="C375" s="156" t="s">
        <v>7794</v>
      </c>
    </row>
    <row r="376" spans="1:3" s="9" customFormat="1" x14ac:dyDescent="0.25">
      <c r="A376" s="156" t="s">
        <v>7795</v>
      </c>
      <c r="B376" s="156"/>
      <c r="C376" s="156" t="s">
        <v>7796</v>
      </c>
    </row>
    <row r="377" spans="1:3" s="9" customFormat="1" x14ac:dyDescent="0.25">
      <c r="A377" s="156"/>
      <c r="B377" s="156"/>
      <c r="C377" s="156"/>
    </row>
    <row r="378" spans="1:3" s="9" customFormat="1" x14ac:dyDescent="0.25">
      <c r="A378" s="156" t="s">
        <v>7797</v>
      </c>
      <c r="B378" s="156"/>
      <c r="C378" s="156" t="s">
        <v>7798</v>
      </c>
    </row>
    <row r="379" spans="1:3" s="9" customFormat="1" x14ac:dyDescent="0.25">
      <c r="A379" s="156" t="s">
        <v>7799</v>
      </c>
      <c r="B379" s="156"/>
      <c r="C379" s="156" t="s">
        <v>7800</v>
      </c>
    </row>
    <row r="380" spans="1:3" s="9" customFormat="1" x14ac:dyDescent="0.25">
      <c r="A380" s="156" t="s">
        <v>7801</v>
      </c>
      <c r="B380" s="156"/>
      <c r="C380" s="156" t="s">
        <v>7802</v>
      </c>
    </row>
    <row r="381" spans="1:3" s="9" customFormat="1" x14ac:dyDescent="0.25">
      <c r="A381" s="156" t="s">
        <v>7803</v>
      </c>
      <c r="B381" s="156"/>
      <c r="C381" s="156" t="s">
        <v>7804</v>
      </c>
    </row>
    <row r="382" spans="1:3" s="9" customFormat="1" x14ac:dyDescent="0.25">
      <c r="A382" s="156" t="s">
        <v>7805</v>
      </c>
      <c r="B382" s="156"/>
      <c r="C382" s="156" t="s">
        <v>7806</v>
      </c>
    </row>
    <row r="383" spans="1:3" s="9" customFormat="1" x14ac:dyDescent="0.25">
      <c r="A383" s="156" t="s">
        <v>7807</v>
      </c>
      <c r="B383" s="156"/>
      <c r="C383" s="156" t="s">
        <v>7808</v>
      </c>
    </row>
    <row r="384" spans="1:3" s="9" customFormat="1" x14ac:dyDescent="0.25">
      <c r="A384" s="156" t="s">
        <v>7807</v>
      </c>
      <c r="B384" s="156"/>
      <c r="C384" s="156" t="s">
        <v>7808</v>
      </c>
    </row>
    <row r="385" spans="1:3" s="9" customFormat="1" x14ac:dyDescent="0.25">
      <c r="A385" s="156"/>
      <c r="B385" s="156"/>
      <c r="C385" s="156"/>
    </row>
    <row r="386" spans="1:3" s="9" customFormat="1" x14ac:dyDescent="0.25">
      <c r="A386" s="156"/>
      <c r="B386" s="156"/>
      <c r="C386" s="156"/>
    </row>
    <row r="387" spans="1:3" s="9" customFormat="1" x14ac:dyDescent="0.25">
      <c r="A387" s="156"/>
      <c r="B387" s="156"/>
      <c r="C387" s="156"/>
    </row>
    <row r="388" spans="1:3" s="9" customFormat="1" x14ac:dyDescent="0.25">
      <c r="A388" s="156"/>
      <c r="B388" s="156"/>
      <c r="C388" s="156"/>
    </row>
    <row r="389" spans="1:3" s="9" customFormat="1" x14ac:dyDescent="0.25">
      <c r="A389" s="156"/>
      <c r="B389" s="156"/>
      <c r="C389" s="156"/>
    </row>
    <row r="390" spans="1:3" s="9" customFormat="1" x14ac:dyDescent="0.25">
      <c r="A390" s="156"/>
      <c r="B390" s="156"/>
      <c r="C390" s="156"/>
    </row>
    <row r="391" spans="1:3" s="9" customFormat="1" x14ac:dyDescent="0.25">
      <c r="A391" s="156"/>
      <c r="B391" s="156"/>
      <c r="C391" s="156"/>
    </row>
    <row r="392" spans="1:3" s="9" customFormat="1" x14ac:dyDescent="0.25">
      <c r="A392" s="156"/>
      <c r="B392" s="156"/>
      <c r="C392" s="156"/>
    </row>
    <row r="393" spans="1:3" s="9" customFormat="1" x14ac:dyDescent="0.25">
      <c r="A393" s="156"/>
      <c r="B393" s="156"/>
      <c r="C393" s="156"/>
    </row>
    <row r="394" spans="1:3" s="9" customFormat="1" x14ac:dyDescent="0.25">
      <c r="A394" s="156"/>
      <c r="B394" s="156"/>
      <c r="C394" s="156"/>
    </row>
    <row r="395" spans="1:3" s="9" customFormat="1" x14ac:dyDescent="0.25">
      <c r="A395" s="156"/>
      <c r="B395" s="156"/>
      <c r="C395" s="156"/>
    </row>
    <row r="396" spans="1:3" s="9" customFormat="1" x14ac:dyDescent="0.25">
      <c r="A396" s="156"/>
      <c r="B396" s="156"/>
      <c r="C396" s="156"/>
    </row>
    <row r="397" spans="1:3" s="9" customFormat="1" x14ac:dyDescent="0.25">
      <c r="A397" s="156"/>
      <c r="B397" s="156"/>
      <c r="C397" s="156"/>
    </row>
    <row r="398" spans="1:3" s="9" customFormat="1" x14ac:dyDescent="0.25">
      <c r="A398" s="156"/>
      <c r="B398" s="156"/>
      <c r="C398" s="156"/>
    </row>
    <row r="399" spans="1:3" s="9" customFormat="1" x14ac:dyDescent="0.25">
      <c r="A399" s="156"/>
      <c r="B399" s="156"/>
      <c r="C399" s="156"/>
    </row>
    <row r="400" spans="1:3" x14ac:dyDescent="0.25">
      <c r="A400" s="1" t="s">
        <v>368</v>
      </c>
    </row>
    <row r="401" spans="1:13" ht="13" x14ac:dyDescent="0.3">
      <c r="A401" s="6" t="s">
        <v>182</v>
      </c>
    </row>
    <row r="402" spans="1:13" x14ac:dyDescent="0.25">
      <c r="A402" s="156" t="s">
        <v>39</v>
      </c>
      <c r="B402" s="156" t="s">
        <v>170</v>
      </c>
      <c r="C402" s="156" t="s">
        <v>186</v>
      </c>
    </row>
    <row r="403" spans="1:13" hidden="1" x14ac:dyDescent="0.25">
      <c r="A403" s="156" t="s">
        <v>143</v>
      </c>
      <c r="B403" s="156" t="s">
        <v>169</v>
      </c>
      <c r="C403" s="156" t="s">
        <v>47</v>
      </c>
    </row>
    <row r="404" spans="1:13" s="9" customFormat="1" x14ac:dyDescent="0.25">
      <c r="A404" s="156" t="s">
        <v>1070</v>
      </c>
      <c r="B404" s="156" t="s">
        <v>7809</v>
      </c>
      <c r="C404" s="156" t="s">
        <v>1071</v>
      </c>
    </row>
    <row r="406" spans="1:13" ht="13" x14ac:dyDescent="0.3">
      <c r="A406" s="6" t="s">
        <v>197</v>
      </c>
    </row>
    <row r="407" spans="1:13" x14ac:dyDescent="0.25">
      <c r="A407" s="1" t="s">
        <v>198</v>
      </c>
      <c r="B407" s="192"/>
    </row>
    <row r="409" spans="1:13" ht="13" x14ac:dyDescent="0.3">
      <c r="A409" s="6" t="s">
        <v>216</v>
      </c>
    </row>
    <row r="410" spans="1:13" x14ac:dyDescent="0.25">
      <c r="A410" s="1" t="s">
        <v>215</v>
      </c>
      <c r="B410" s="1" t="b">
        <f>IFERROR(TRUE,FALSE)</f>
        <v>1</v>
      </c>
    </row>
    <row r="412" spans="1:13" ht="13" x14ac:dyDescent="0.3">
      <c r="A412" s="190" t="s">
        <v>307</v>
      </c>
    </row>
    <row r="413" spans="1:13" x14ac:dyDescent="0.25">
      <c r="A413" s="156" t="s">
        <v>283</v>
      </c>
      <c r="B413" s="156" t="s">
        <v>48</v>
      </c>
      <c r="C413" s="156" t="s">
        <v>448</v>
      </c>
      <c r="D413" s="156"/>
      <c r="E413" s="156" t="s">
        <v>305</v>
      </c>
      <c r="F413" s="156" t="s">
        <v>107</v>
      </c>
      <c r="G413" s="156"/>
      <c r="H413" s="156"/>
      <c r="I413" s="156"/>
      <c r="J413" s="156" t="s">
        <v>43</v>
      </c>
      <c r="K413" s="156" t="s">
        <v>446</v>
      </c>
      <c r="L413" s="156" t="s">
        <v>444</v>
      </c>
      <c r="M413" s="156" t="s">
        <v>285</v>
      </c>
    </row>
    <row r="414" spans="1:13" hidden="1" x14ac:dyDescent="0.25">
      <c r="A414" s="156" t="s">
        <v>282</v>
      </c>
      <c r="B414" s="156" t="s">
        <v>47</v>
      </c>
      <c r="C414" s="156" t="str">
        <f>CHOOSE(Translations!$C$1+1,J414,K414,L414,)</f>
        <v>No  Applicate</v>
      </c>
      <c r="D414" s="156"/>
      <c r="E414" s="156" t="s">
        <v>102</v>
      </c>
      <c r="F414" s="157" t="s">
        <v>79</v>
      </c>
      <c r="G414" s="156" t="str">
        <f>E414&amp;"|"&amp;C414</f>
        <v>[Module (Name)]|No  Applicate</v>
      </c>
      <c r="H414" s="156" t="str">
        <f>E414&amp;"|"&amp;F414</f>
        <v>[Module (Name)]|[Name ID]</v>
      </c>
      <c r="I414" s="156" t="str">
        <f>B414</f>
        <v>[Record ID]</v>
      </c>
      <c r="J414" s="157" t="s">
        <v>362</v>
      </c>
      <c r="K414" s="157" t="s">
        <v>362</v>
      </c>
      <c r="L414" s="157" t="s">
        <v>362</v>
      </c>
      <c r="M414" s="156" t="s">
        <v>284</v>
      </c>
    </row>
    <row r="415" spans="1:13" s="9" customFormat="1" x14ac:dyDescent="0.25">
      <c r="A415" s="156" t="s">
        <v>8404</v>
      </c>
      <c r="B415" s="156" t="s">
        <v>8405</v>
      </c>
      <c r="C415" s="156" t="str">
        <f>CHOOSE(Translations!$C$1+1,J415,K415,L415,)</f>
        <v>Hombres en entornos de alta prevalencia</v>
      </c>
      <c r="D415" s="156"/>
      <c r="E415" s="156" t="s">
        <v>3440</v>
      </c>
      <c r="F415" s="157" t="s">
        <v>8406</v>
      </c>
      <c r="G415" s="156" t="str">
        <f t="shared" ref="G415:G478" si="16">E415&amp;"|"&amp;C415</f>
        <v>MCI-00670|Hombres en entornos de alta prevalencia</v>
      </c>
      <c r="H415" s="156" t="str">
        <f t="shared" ref="H415:H478" si="17">E415&amp;"|"&amp;F415</f>
        <v>MCI-00670|MCI-00874</v>
      </c>
      <c r="I415" s="156" t="str">
        <f t="shared" ref="I415:I478" si="18">B415</f>
        <v>a1O1R000006c5kmUAA</v>
      </c>
      <c r="J415" s="157" t="s">
        <v>8407</v>
      </c>
      <c r="K415" s="157" t="s">
        <v>8408</v>
      </c>
      <c r="L415" s="157" t="s">
        <v>8409</v>
      </c>
      <c r="M415" s="156" t="s">
        <v>2778</v>
      </c>
    </row>
    <row r="416" spans="1:13" s="9" customFormat="1" x14ac:dyDescent="0.25">
      <c r="A416" s="156" t="s">
        <v>8404</v>
      </c>
      <c r="B416" s="156" t="s">
        <v>8410</v>
      </c>
      <c r="C416" s="156" t="str">
        <f>CHOOSE(Translations!$C$1+1,J416,K416,L416,)</f>
        <v>HSH</v>
      </c>
      <c r="D416" s="156"/>
      <c r="E416" s="156" t="s">
        <v>3440</v>
      </c>
      <c r="F416" s="157" t="s">
        <v>8411</v>
      </c>
      <c r="G416" s="156" t="str">
        <f t="shared" si="16"/>
        <v>MCI-00670|HSH</v>
      </c>
      <c r="H416" s="156" t="str">
        <f t="shared" si="17"/>
        <v>MCI-00670|MCI-00815</v>
      </c>
      <c r="I416" s="156" t="str">
        <f t="shared" si="18"/>
        <v>a1O1R000006c5jpUAA</v>
      </c>
      <c r="J416" s="157" t="s">
        <v>8412</v>
      </c>
      <c r="K416" s="157" t="s">
        <v>8413</v>
      </c>
      <c r="L416" s="157" t="s">
        <v>1856</v>
      </c>
      <c r="M416" s="156" t="s">
        <v>2778</v>
      </c>
    </row>
    <row r="417" spans="1:13" s="9" customFormat="1" x14ac:dyDescent="0.25">
      <c r="A417" s="156" t="s">
        <v>8404</v>
      </c>
      <c r="B417" s="156" t="s">
        <v>8414</v>
      </c>
      <c r="C417" s="156" t="str">
        <f>CHOOSE(Translations!$C$1+1,J417,K417,L417,)</f>
        <v>Trabajadores sexuales y sus clientes</v>
      </c>
      <c r="D417" s="156"/>
      <c r="E417" s="156" t="s">
        <v>3440</v>
      </c>
      <c r="F417" s="157" t="s">
        <v>8415</v>
      </c>
      <c r="G417" s="156" t="str">
        <f t="shared" si="16"/>
        <v>MCI-00670|Trabajadores sexuales y sus clientes</v>
      </c>
      <c r="H417" s="156" t="str">
        <f t="shared" si="17"/>
        <v>MCI-00670|MCI-00824</v>
      </c>
      <c r="I417" s="156" t="str">
        <f t="shared" si="18"/>
        <v>a1O1R000006c5jyUAA</v>
      </c>
      <c r="J417" s="157" t="s">
        <v>8416</v>
      </c>
      <c r="K417" s="157" t="s">
        <v>8417</v>
      </c>
      <c r="L417" s="157" t="s">
        <v>8418</v>
      </c>
      <c r="M417" s="156" t="s">
        <v>2778</v>
      </c>
    </row>
    <row r="418" spans="1:13" s="9" customFormat="1" x14ac:dyDescent="0.25">
      <c r="A418" s="156" t="s">
        <v>8404</v>
      </c>
      <c r="B418" s="156" t="s">
        <v>8419</v>
      </c>
      <c r="C418" s="156" t="str">
        <f>CHOOSE(Translations!$C$1+1,J418,K418,L418,)</f>
        <v>Personas transgénero</v>
      </c>
      <c r="D418" s="156"/>
      <c r="E418" s="156" t="s">
        <v>3440</v>
      </c>
      <c r="F418" s="157" t="s">
        <v>8420</v>
      </c>
      <c r="G418" s="156" t="str">
        <f t="shared" si="16"/>
        <v>MCI-00670|Personas transgénero</v>
      </c>
      <c r="H418" s="156" t="str">
        <f t="shared" si="17"/>
        <v>MCI-00670|MCI-00833</v>
      </c>
      <c r="I418" s="156" t="str">
        <f t="shared" si="18"/>
        <v>a1O1R000006c5k7UAA</v>
      </c>
      <c r="J418" s="157" t="s">
        <v>8421</v>
      </c>
      <c r="K418" s="157" t="s">
        <v>8422</v>
      </c>
      <c r="L418" s="157" t="s">
        <v>8423</v>
      </c>
      <c r="M418" s="156" t="s">
        <v>2778</v>
      </c>
    </row>
    <row r="419" spans="1:13" s="9" customFormat="1" x14ac:dyDescent="0.25">
      <c r="A419" s="156" t="s">
        <v>8404</v>
      </c>
      <c r="B419" s="156" t="s">
        <v>8424</v>
      </c>
      <c r="C419" s="156" t="str">
        <f>CHOOSE(Translations!$C$1+1,J419,K419,L419,)</f>
        <v>Consumidores de drogas inyectables y sus parejas</v>
      </c>
      <c r="D419" s="156"/>
      <c r="E419" s="156" t="s">
        <v>3440</v>
      </c>
      <c r="F419" s="157" t="s">
        <v>8425</v>
      </c>
      <c r="G419" s="156" t="str">
        <f t="shared" si="16"/>
        <v>MCI-00670|Consumidores de drogas inyectables y sus parejas</v>
      </c>
      <c r="H419" s="156" t="str">
        <f t="shared" si="17"/>
        <v>MCI-00670|MCI-00845</v>
      </c>
      <c r="I419" s="156" t="str">
        <f t="shared" si="18"/>
        <v>a1O1R000006c5kJUAQ</v>
      </c>
      <c r="J419" s="157" t="s">
        <v>8426</v>
      </c>
      <c r="K419" s="157" t="s">
        <v>8427</v>
      </c>
      <c r="L419" s="157" t="s">
        <v>8428</v>
      </c>
      <c r="M419" s="156" t="s">
        <v>2778</v>
      </c>
    </row>
    <row r="420" spans="1:13" s="9" customFormat="1" x14ac:dyDescent="0.25">
      <c r="A420" s="156" t="s">
        <v>8404</v>
      </c>
      <c r="B420" s="156" t="s">
        <v>8429</v>
      </c>
      <c r="C420" s="156" t="str">
        <f>CHOOSE(Translations!$C$1+1,J420,K420,L420,)</f>
        <v>Personas privadas de libertad en centros penitenciarios y otros lugares de reclusión</v>
      </c>
      <c r="D420" s="156"/>
      <c r="E420" s="156" t="s">
        <v>3440</v>
      </c>
      <c r="F420" s="157" t="s">
        <v>8430</v>
      </c>
      <c r="G420" s="156" t="str">
        <f t="shared" si="16"/>
        <v>MCI-00670|Personas privadas de libertad en centros penitenciarios y otros lugares de reclusión</v>
      </c>
      <c r="H420" s="156" t="str">
        <f t="shared" si="17"/>
        <v>MCI-00670|MCI-00853</v>
      </c>
      <c r="I420" s="156" t="str">
        <f t="shared" si="18"/>
        <v>a1O1R000006c5kRUAQ</v>
      </c>
      <c r="J420" s="157" t="s">
        <v>8431</v>
      </c>
      <c r="K420" s="157" t="s">
        <v>8432</v>
      </c>
      <c r="L420" s="157" t="s">
        <v>8433</v>
      </c>
      <c r="M420" s="156" t="s">
        <v>2778</v>
      </c>
    </row>
    <row r="421" spans="1:13" s="9" customFormat="1" x14ac:dyDescent="0.25">
      <c r="A421" s="156" t="s">
        <v>8404</v>
      </c>
      <c r="B421" s="156" t="s">
        <v>8434</v>
      </c>
      <c r="C421" s="156" t="str">
        <f>CHOOSE(Translations!$C$1+1,J421,K421,L421,)</f>
        <v>Otras poblaciones vulnerables</v>
      </c>
      <c r="D421" s="156"/>
      <c r="E421" s="156" t="s">
        <v>3440</v>
      </c>
      <c r="F421" s="157" t="s">
        <v>8435</v>
      </c>
      <c r="G421" s="156" t="str">
        <f t="shared" si="16"/>
        <v>MCI-00670|Otras poblaciones vulnerables</v>
      </c>
      <c r="H421" s="156" t="str">
        <f t="shared" si="17"/>
        <v>MCI-00670|MCI-00861</v>
      </c>
      <c r="I421" s="156" t="str">
        <f t="shared" si="18"/>
        <v>a1O1R000006c5kZUAQ</v>
      </c>
      <c r="J421" s="157" t="s">
        <v>8436</v>
      </c>
      <c r="K421" s="157" t="s">
        <v>8437</v>
      </c>
      <c r="L421" s="157" t="s">
        <v>8438</v>
      </c>
      <c r="M421" s="156" t="s">
        <v>2778</v>
      </c>
    </row>
    <row r="422" spans="1:13" s="9" customFormat="1" x14ac:dyDescent="0.25">
      <c r="A422" s="156" t="s">
        <v>8404</v>
      </c>
      <c r="B422" s="156" t="s">
        <v>8439</v>
      </c>
      <c r="C422" s="156" t="str">
        <f>CHOOSE(Translations!$C$1+1,J422,K422,L422,)</f>
        <v>Niñas adolescentes y mujeres jóvenes en entornos de alta prevalencia</v>
      </c>
      <c r="D422" s="156"/>
      <c r="E422" s="156" t="s">
        <v>3440</v>
      </c>
      <c r="F422" s="157" t="s">
        <v>8440</v>
      </c>
      <c r="G422" s="156" t="str">
        <f t="shared" si="16"/>
        <v>MCI-00670|Niñas adolescentes y mujeres jóvenes en entornos de alta prevalencia</v>
      </c>
      <c r="H422" s="156" t="str">
        <f t="shared" si="17"/>
        <v>MCI-00670|MCI-00864</v>
      </c>
      <c r="I422" s="156" t="str">
        <f t="shared" si="18"/>
        <v>a1O1R000006c5kcUAA</v>
      </c>
      <c r="J422" s="157" t="s">
        <v>8441</v>
      </c>
      <c r="K422" s="157" t="s">
        <v>8442</v>
      </c>
      <c r="L422" s="157" t="s">
        <v>8443</v>
      </c>
      <c r="M422" s="156" t="s">
        <v>2778</v>
      </c>
    </row>
    <row r="423" spans="1:13" s="9" customFormat="1" x14ac:dyDescent="0.25">
      <c r="A423" s="156" t="s">
        <v>8404</v>
      </c>
      <c r="B423" s="156" t="s">
        <v>8444</v>
      </c>
      <c r="C423" s="156" t="str">
        <f>CHOOSE(Translations!$C$1+1,J423,K423,L423,)</f>
        <v>Hombres en entornos de alta prevalencia</v>
      </c>
      <c r="D423" s="156"/>
      <c r="E423" s="156" t="s">
        <v>3490</v>
      </c>
      <c r="F423" s="157" t="s">
        <v>8445</v>
      </c>
      <c r="G423" s="156" t="str">
        <f t="shared" si="16"/>
        <v>MCI-00671|Hombres en entornos de alta prevalencia</v>
      </c>
      <c r="H423" s="156" t="str">
        <f t="shared" si="17"/>
        <v>MCI-00671|MCI-00875</v>
      </c>
      <c r="I423" s="156" t="str">
        <f t="shared" si="18"/>
        <v>a1O1R000006c5knUAA</v>
      </c>
      <c r="J423" s="157" t="s">
        <v>8407</v>
      </c>
      <c r="K423" s="157" t="s">
        <v>8408</v>
      </c>
      <c r="L423" s="157" t="s">
        <v>8409</v>
      </c>
      <c r="M423" s="156" t="s">
        <v>2778</v>
      </c>
    </row>
    <row r="424" spans="1:13" s="9" customFormat="1" x14ac:dyDescent="0.25">
      <c r="A424" s="156" t="s">
        <v>8404</v>
      </c>
      <c r="B424" s="156" t="s">
        <v>8446</v>
      </c>
      <c r="C424" s="156" t="str">
        <f>CHOOSE(Translations!$C$1+1,J424,K424,L424,)</f>
        <v>HSH</v>
      </c>
      <c r="D424" s="156"/>
      <c r="E424" s="156" t="s">
        <v>3490</v>
      </c>
      <c r="F424" s="157" t="s">
        <v>8447</v>
      </c>
      <c r="G424" s="156" t="str">
        <f t="shared" si="16"/>
        <v>MCI-00671|HSH</v>
      </c>
      <c r="H424" s="156" t="str">
        <f t="shared" si="17"/>
        <v>MCI-00671|MCI-00816</v>
      </c>
      <c r="I424" s="156" t="str">
        <f t="shared" si="18"/>
        <v>a1O1R000006c5jqUAA</v>
      </c>
      <c r="J424" s="157" t="s">
        <v>8412</v>
      </c>
      <c r="K424" s="157" t="s">
        <v>8413</v>
      </c>
      <c r="L424" s="157" t="s">
        <v>1856</v>
      </c>
      <c r="M424" s="156" t="s">
        <v>2778</v>
      </c>
    </row>
    <row r="425" spans="1:13" s="9" customFormat="1" x14ac:dyDescent="0.25">
      <c r="A425" s="156" t="s">
        <v>8404</v>
      </c>
      <c r="B425" s="156" t="s">
        <v>8448</v>
      </c>
      <c r="C425" s="156" t="str">
        <f>CHOOSE(Translations!$C$1+1,J425,K425,L425,)</f>
        <v>Trabajadores sexuales y sus clientes</v>
      </c>
      <c r="D425" s="156"/>
      <c r="E425" s="156" t="s">
        <v>3490</v>
      </c>
      <c r="F425" s="157" t="s">
        <v>8449</v>
      </c>
      <c r="G425" s="156" t="str">
        <f t="shared" si="16"/>
        <v>MCI-00671|Trabajadores sexuales y sus clientes</v>
      </c>
      <c r="H425" s="156" t="str">
        <f t="shared" si="17"/>
        <v>MCI-00671|MCI-00825</v>
      </c>
      <c r="I425" s="156" t="str">
        <f t="shared" si="18"/>
        <v>a1O1R000006c5jzUAA</v>
      </c>
      <c r="J425" s="157" t="s">
        <v>8416</v>
      </c>
      <c r="K425" s="157" t="s">
        <v>8417</v>
      </c>
      <c r="L425" s="157" t="s">
        <v>8418</v>
      </c>
      <c r="M425" s="156" t="s">
        <v>2778</v>
      </c>
    </row>
    <row r="426" spans="1:13" s="9" customFormat="1" x14ac:dyDescent="0.25">
      <c r="A426" s="156" t="s">
        <v>8404</v>
      </c>
      <c r="B426" s="156" t="s">
        <v>8450</v>
      </c>
      <c r="C426" s="156" t="str">
        <f>CHOOSE(Translations!$C$1+1,J426,K426,L426,)</f>
        <v>Personas transgénero</v>
      </c>
      <c r="D426" s="156"/>
      <c r="E426" s="156" t="s">
        <v>3490</v>
      </c>
      <c r="F426" s="157" t="s">
        <v>8451</v>
      </c>
      <c r="G426" s="156" t="str">
        <f t="shared" si="16"/>
        <v>MCI-00671|Personas transgénero</v>
      </c>
      <c r="H426" s="156" t="str">
        <f t="shared" si="17"/>
        <v>MCI-00671|MCI-00834</v>
      </c>
      <c r="I426" s="156" t="str">
        <f t="shared" si="18"/>
        <v>a1O1R000006c5k8UAA</v>
      </c>
      <c r="J426" s="157" t="s">
        <v>8421</v>
      </c>
      <c r="K426" s="157" t="s">
        <v>8422</v>
      </c>
      <c r="L426" s="157" t="s">
        <v>8423</v>
      </c>
      <c r="M426" s="156" t="s">
        <v>2778</v>
      </c>
    </row>
    <row r="427" spans="1:13" s="9" customFormat="1" x14ac:dyDescent="0.25">
      <c r="A427" s="156" t="s">
        <v>8404</v>
      </c>
      <c r="B427" s="156" t="s">
        <v>8452</v>
      </c>
      <c r="C427" s="156" t="str">
        <f>CHOOSE(Translations!$C$1+1,J427,K427,L427,)</f>
        <v>Consumidores de drogas inyectables y sus parejas</v>
      </c>
      <c r="D427" s="156"/>
      <c r="E427" s="156" t="s">
        <v>3490</v>
      </c>
      <c r="F427" s="157" t="s">
        <v>8453</v>
      </c>
      <c r="G427" s="156" t="str">
        <f t="shared" si="16"/>
        <v>MCI-00671|Consumidores de drogas inyectables y sus parejas</v>
      </c>
      <c r="H427" s="156" t="str">
        <f t="shared" si="17"/>
        <v>MCI-00671|MCI-00846</v>
      </c>
      <c r="I427" s="156" t="str">
        <f t="shared" si="18"/>
        <v>a1O1R000006c5kKUAQ</v>
      </c>
      <c r="J427" s="157" t="s">
        <v>8426</v>
      </c>
      <c r="K427" s="157" t="s">
        <v>8427</v>
      </c>
      <c r="L427" s="157" t="s">
        <v>8428</v>
      </c>
      <c r="M427" s="156" t="s">
        <v>2778</v>
      </c>
    </row>
    <row r="428" spans="1:13" s="9" customFormat="1" x14ac:dyDescent="0.25">
      <c r="A428" s="156" t="s">
        <v>8404</v>
      </c>
      <c r="B428" s="156" t="s">
        <v>8454</v>
      </c>
      <c r="C428" s="156" t="str">
        <f>CHOOSE(Translations!$C$1+1,J428,K428,L428,)</f>
        <v>Personas privadas de libertad en centros penitenciarios y otros lugares de reclusión</v>
      </c>
      <c r="D428" s="156"/>
      <c r="E428" s="156" t="s">
        <v>3490</v>
      </c>
      <c r="F428" s="157" t="s">
        <v>8455</v>
      </c>
      <c r="G428" s="156" t="str">
        <f t="shared" si="16"/>
        <v>MCI-00671|Personas privadas de libertad en centros penitenciarios y otros lugares de reclusión</v>
      </c>
      <c r="H428" s="156" t="str">
        <f t="shared" si="17"/>
        <v>MCI-00671|MCI-00854</v>
      </c>
      <c r="I428" s="156" t="str">
        <f t="shared" si="18"/>
        <v>a1O1R000006c5kSUAQ</v>
      </c>
      <c r="J428" s="157" t="s">
        <v>8431</v>
      </c>
      <c r="K428" s="157" t="s">
        <v>8432</v>
      </c>
      <c r="L428" s="157" t="s">
        <v>8433</v>
      </c>
      <c r="M428" s="156" t="s">
        <v>2778</v>
      </c>
    </row>
    <row r="429" spans="1:13" s="9" customFormat="1" x14ac:dyDescent="0.25">
      <c r="A429" s="156" t="s">
        <v>8404</v>
      </c>
      <c r="B429" s="156" t="s">
        <v>8456</v>
      </c>
      <c r="C429" s="156" t="str">
        <f>CHOOSE(Translations!$C$1+1,J429,K429,L429,)</f>
        <v>Niñas adolescentes y mujeres jóvenes en entornos de alta prevalencia</v>
      </c>
      <c r="D429" s="156"/>
      <c r="E429" s="156" t="s">
        <v>3490</v>
      </c>
      <c r="F429" s="157" t="s">
        <v>8457</v>
      </c>
      <c r="G429" s="156" t="str">
        <f t="shared" si="16"/>
        <v>MCI-00671|Niñas adolescentes y mujeres jóvenes en entornos de alta prevalencia</v>
      </c>
      <c r="H429" s="156" t="str">
        <f t="shared" si="17"/>
        <v>MCI-00671|MCI-00865</v>
      </c>
      <c r="I429" s="156" t="str">
        <f t="shared" si="18"/>
        <v>a1O1R000006c5kdUAA</v>
      </c>
      <c r="J429" s="157" t="s">
        <v>8441</v>
      </c>
      <c r="K429" s="157" t="s">
        <v>8442</v>
      </c>
      <c r="L429" s="157" t="s">
        <v>8443</v>
      </c>
      <c r="M429" s="156" t="s">
        <v>2778</v>
      </c>
    </row>
    <row r="430" spans="1:13" s="9" customFormat="1" x14ac:dyDescent="0.25">
      <c r="A430" s="156" t="s">
        <v>8404</v>
      </c>
      <c r="B430" s="156" t="s">
        <v>8458</v>
      </c>
      <c r="C430" s="156" t="str">
        <f>CHOOSE(Translations!$C$1+1,J430,K430,L430,)</f>
        <v>Hombres en entornos de alta prevalencia</v>
      </c>
      <c r="D430" s="156"/>
      <c r="E430" s="156" t="s">
        <v>3425</v>
      </c>
      <c r="F430" s="157" t="s">
        <v>8459</v>
      </c>
      <c r="G430" s="156" t="str">
        <f t="shared" si="16"/>
        <v>MCI-00672|Hombres en entornos de alta prevalencia</v>
      </c>
      <c r="H430" s="156" t="str">
        <f t="shared" si="17"/>
        <v>MCI-00672|MCI-00876</v>
      </c>
      <c r="I430" s="156" t="str">
        <f t="shared" si="18"/>
        <v>a1O1R000006c5koUAA</v>
      </c>
      <c r="J430" s="157" t="s">
        <v>8407</v>
      </c>
      <c r="K430" s="157" t="s">
        <v>8408</v>
      </c>
      <c r="L430" s="157" t="s">
        <v>8409</v>
      </c>
      <c r="M430" s="156" t="s">
        <v>2778</v>
      </c>
    </row>
    <row r="431" spans="1:13" s="9" customFormat="1" x14ac:dyDescent="0.25">
      <c r="A431" s="156" t="s">
        <v>8404</v>
      </c>
      <c r="B431" s="156" t="s">
        <v>8460</v>
      </c>
      <c r="C431" s="156" t="str">
        <f>CHOOSE(Translations!$C$1+1,J431,K431,L431,)</f>
        <v>HSH</v>
      </c>
      <c r="D431" s="156"/>
      <c r="E431" s="156" t="s">
        <v>3425</v>
      </c>
      <c r="F431" s="157" t="s">
        <v>8461</v>
      </c>
      <c r="G431" s="156" t="str">
        <f t="shared" si="16"/>
        <v>MCI-00672|HSH</v>
      </c>
      <c r="H431" s="156" t="str">
        <f t="shared" si="17"/>
        <v>MCI-00672|MCI-00817</v>
      </c>
      <c r="I431" s="156" t="str">
        <f t="shared" si="18"/>
        <v>a1O1R000006c5jrUAA</v>
      </c>
      <c r="J431" s="157" t="s">
        <v>8412</v>
      </c>
      <c r="K431" s="157" t="s">
        <v>8413</v>
      </c>
      <c r="L431" s="157" t="s">
        <v>1856</v>
      </c>
      <c r="M431" s="156" t="s">
        <v>2778</v>
      </c>
    </row>
    <row r="432" spans="1:13" s="9" customFormat="1" x14ac:dyDescent="0.25">
      <c r="A432" s="156" t="s">
        <v>8404</v>
      </c>
      <c r="B432" s="156" t="s">
        <v>8462</v>
      </c>
      <c r="C432" s="156" t="str">
        <f>CHOOSE(Translations!$C$1+1,J432,K432,L432,)</f>
        <v>Trabajadores sexuales y sus clientes</v>
      </c>
      <c r="D432" s="156"/>
      <c r="E432" s="156" t="s">
        <v>3425</v>
      </c>
      <c r="F432" s="157" t="s">
        <v>8463</v>
      </c>
      <c r="G432" s="156" t="str">
        <f t="shared" si="16"/>
        <v>MCI-00672|Trabajadores sexuales y sus clientes</v>
      </c>
      <c r="H432" s="156" t="str">
        <f t="shared" si="17"/>
        <v>MCI-00672|MCI-00826</v>
      </c>
      <c r="I432" s="156" t="str">
        <f t="shared" si="18"/>
        <v>a1O1R000006c5k0UAA</v>
      </c>
      <c r="J432" s="157" t="s">
        <v>8416</v>
      </c>
      <c r="K432" s="157" t="s">
        <v>8417</v>
      </c>
      <c r="L432" s="157" t="s">
        <v>8418</v>
      </c>
      <c r="M432" s="156" t="s">
        <v>2778</v>
      </c>
    </row>
    <row r="433" spans="1:13" s="9" customFormat="1" x14ac:dyDescent="0.25">
      <c r="A433" s="156" t="s">
        <v>8404</v>
      </c>
      <c r="B433" s="156" t="s">
        <v>8464</v>
      </c>
      <c r="C433" s="156" t="str">
        <f>CHOOSE(Translations!$C$1+1,J433,K433,L433,)</f>
        <v>Personas transgénero</v>
      </c>
      <c r="D433" s="156"/>
      <c r="E433" s="156" t="s">
        <v>3425</v>
      </c>
      <c r="F433" s="157" t="s">
        <v>8465</v>
      </c>
      <c r="G433" s="156" t="str">
        <f t="shared" si="16"/>
        <v>MCI-00672|Personas transgénero</v>
      </c>
      <c r="H433" s="156" t="str">
        <f t="shared" si="17"/>
        <v>MCI-00672|MCI-00835</v>
      </c>
      <c r="I433" s="156" t="str">
        <f t="shared" si="18"/>
        <v>a1O1R000006c5k9UAA</v>
      </c>
      <c r="J433" s="157" t="s">
        <v>8421</v>
      </c>
      <c r="K433" s="157" t="s">
        <v>8422</v>
      </c>
      <c r="L433" s="157" t="s">
        <v>8423</v>
      </c>
      <c r="M433" s="156" t="s">
        <v>2778</v>
      </c>
    </row>
    <row r="434" spans="1:13" s="9" customFormat="1" x14ac:dyDescent="0.25">
      <c r="A434" s="156" t="s">
        <v>8404</v>
      </c>
      <c r="B434" s="156" t="s">
        <v>8466</v>
      </c>
      <c r="C434" s="156" t="str">
        <f>CHOOSE(Translations!$C$1+1,J434,K434,L434,)</f>
        <v>Consumidores de drogas inyectables y sus parejas</v>
      </c>
      <c r="D434" s="156"/>
      <c r="E434" s="156" t="s">
        <v>3425</v>
      </c>
      <c r="F434" s="157" t="s">
        <v>8467</v>
      </c>
      <c r="G434" s="156" t="str">
        <f t="shared" si="16"/>
        <v>MCI-00672|Consumidores de drogas inyectables y sus parejas</v>
      </c>
      <c r="H434" s="156" t="str">
        <f t="shared" si="17"/>
        <v>MCI-00672|MCI-00847</v>
      </c>
      <c r="I434" s="156" t="str">
        <f t="shared" si="18"/>
        <v>a1O1R000006c5kLUAQ</v>
      </c>
      <c r="J434" s="157" t="s">
        <v>8426</v>
      </c>
      <c r="K434" s="157" t="s">
        <v>8427</v>
      </c>
      <c r="L434" s="157" t="s">
        <v>8428</v>
      </c>
      <c r="M434" s="156" t="s">
        <v>2778</v>
      </c>
    </row>
    <row r="435" spans="1:13" s="9" customFormat="1" x14ac:dyDescent="0.25">
      <c r="A435" s="156" t="s">
        <v>8404</v>
      </c>
      <c r="B435" s="156" t="s">
        <v>8468</v>
      </c>
      <c r="C435" s="156" t="str">
        <f>CHOOSE(Translations!$C$1+1,J435,K435,L435,)</f>
        <v>Personas privadas de libertad en centros penitenciarios y otros lugares de reclusión</v>
      </c>
      <c r="D435" s="156"/>
      <c r="E435" s="156" t="s">
        <v>3425</v>
      </c>
      <c r="F435" s="157" t="s">
        <v>8469</v>
      </c>
      <c r="G435" s="156" t="str">
        <f t="shared" si="16"/>
        <v>MCI-00672|Personas privadas de libertad en centros penitenciarios y otros lugares de reclusión</v>
      </c>
      <c r="H435" s="156" t="str">
        <f t="shared" si="17"/>
        <v>MCI-00672|MCI-00855</v>
      </c>
      <c r="I435" s="156" t="str">
        <f t="shared" si="18"/>
        <v>a1O1R000006c5kTUAQ</v>
      </c>
      <c r="J435" s="157" t="s">
        <v>8431</v>
      </c>
      <c r="K435" s="157" t="s">
        <v>8432</v>
      </c>
      <c r="L435" s="157" t="s">
        <v>8433</v>
      </c>
      <c r="M435" s="156" t="s">
        <v>2778</v>
      </c>
    </row>
    <row r="436" spans="1:13" s="9" customFormat="1" x14ac:dyDescent="0.25">
      <c r="A436" s="156" t="s">
        <v>8404</v>
      </c>
      <c r="B436" s="156" t="s">
        <v>8470</v>
      </c>
      <c r="C436" s="156" t="str">
        <f>CHOOSE(Translations!$C$1+1,J436,K436,L436,)</f>
        <v>Otras poblaciones vulnerables</v>
      </c>
      <c r="D436" s="156"/>
      <c r="E436" s="156" t="s">
        <v>3425</v>
      </c>
      <c r="F436" s="157" t="s">
        <v>8471</v>
      </c>
      <c r="G436" s="156" t="str">
        <f t="shared" si="16"/>
        <v>MCI-00672|Otras poblaciones vulnerables</v>
      </c>
      <c r="H436" s="156" t="str">
        <f t="shared" si="17"/>
        <v>MCI-00672|MCI-00862</v>
      </c>
      <c r="I436" s="156" t="str">
        <f t="shared" si="18"/>
        <v>a1O1R000006c5kaUAA</v>
      </c>
      <c r="J436" s="157" t="s">
        <v>8436</v>
      </c>
      <c r="K436" s="157" t="s">
        <v>8437</v>
      </c>
      <c r="L436" s="157" t="s">
        <v>8438</v>
      </c>
      <c r="M436" s="156" t="s">
        <v>2778</v>
      </c>
    </row>
    <row r="437" spans="1:13" s="9" customFormat="1" x14ac:dyDescent="0.25">
      <c r="A437" s="156" t="s">
        <v>8404</v>
      </c>
      <c r="B437" s="156" t="s">
        <v>8472</v>
      </c>
      <c r="C437" s="156" t="str">
        <f>CHOOSE(Translations!$C$1+1,J437,K437,L437,)</f>
        <v>Niñas adolescentes y mujeres jóvenes en entornos de alta prevalencia</v>
      </c>
      <c r="D437" s="156"/>
      <c r="E437" s="156" t="s">
        <v>3425</v>
      </c>
      <c r="F437" s="157" t="s">
        <v>8473</v>
      </c>
      <c r="G437" s="156" t="str">
        <f t="shared" si="16"/>
        <v>MCI-00672|Niñas adolescentes y mujeres jóvenes en entornos de alta prevalencia</v>
      </c>
      <c r="H437" s="156" t="str">
        <f t="shared" si="17"/>
        <v>MCI-00672|MCI-00866</v>
      </c>
      <c r="I437" s="156" t="str">
        <f t="shared" si="18"/>
        <v>a1O1R000006c5keUAA</v>
      </c>
      <c r="J437" s="157" t="s">
        <v>8441</v>
      </c>
      <c r="K437" s="157" t="s">
        <v>8442</v>
      </c>
      <c r="L437" s="157" t="s">
        <v>8443</v>
      </c>
      <c r="M437" s="156" t="s">
        <v>2778</v>
      </c>
    </row>
    <row r="438" spans="1:13" s="9" customFormat="1" x14ac:dyDescent="0.25">
      <c r="A438" s="156" t="s">
        <v>8404</v>
      </c>
      <c r="B438" s="156" t="s">
        <v>8474</v>
      </c>
      <c r="C438" s="156" t="str">
        <f>CHOOSE(Translations!$C$1+1,J438,K438,L438,)</f>
        <v>HSH</v>
      </c>
      <c r="D438" s="156"/>
      <c r="E438" s="156" t="s">
        <v>3430</v>
      </c>
      <c r="F438" s="157" t="s">
        <v>8475</v>
      </c>
      <c r="G438" s="156" t="str">
        <f t="shared" si="16"/>
        <v>MCI-00673|HSH</v>
      </c>
      <c r="H438" s="156" t="str">
        <f t="shared" si="17"/>
        <v>MCI-00673|MCI-00818</v>
      </c>
      <c r="I438" s="156" t="str">
        <f t="shared" si="18"/>
        <v>a1O1R000006c5jsUAA</v>
      </c>
      <c r="J438" s="157" t="s">
        <v>8412</v>
      </c>
      <c r="K438" s="157" t="s">
        <v>8413</v>
      </c>
      <c r="L438" s="157" t="s">
        <v>1856</v>
      </c>
      <c r="M438" s="156" t="s">
        <v>2778</v>
      </c>
    </row>
    <row r="439" spans="1:13" s="9" customFormat="1" x14ac:dyDescent="0.25">
      <c r="A439" s="156" t="s">
        <v>8404</v>
      </c>
      <c r="B439" s="156" t="s">
        <v>8476</v>
      </c>
      <c r="C439" s="156" t="str">
        <f>CHOOSE(Translations!$C$1+1,J439,K439,L439,)</f>
        <v>Trabajadores sexuales y sus clientes</v>
      </c>
      <c r="D439" s="156"/>
      <c r="E439" s="156" t="s">
        <v>3430</v>
      </c>
      <c r="F439" s="157" t="s">
        <v>8477</v>
      </c>
      <c r="G439" s="156" t="str">
        <f t="shared" si="16"/>
        <v>MCI-00673|Trabajadores sexuales y sus clientes</v>
      </c>
      <c r="H439" s="156" t="str">
        <f t="shared" si="17"/>
        <v>MCI-00673|MCI-00827</v>
      </c>
      <c r="I439" s="156" t="str">
        <f t="shared" si="18"/>
        <v>a1O1R000006c5k1UAA</v>
      </c>
      <c r="J439" s="157" t="s">
        <v>8416</v>
      </c>
      <c r="K439" s="157" t="s">
        <v>8417</v>
      </c>
      <c r="L439" s="157" t="s">
        <v>8418</v>
      </c>
      <c r="M439" s="156" t="s">
        <v>2778</v>
      </c>
    </row>
    <row r="440" spans="1:13" s="9" customFormat="1" x14ac:dyDescent="0.25">
      <c r="A440" s="156" t="s">
        <v>8404</v>
      </c>
      <c r="B440" s="156" t="s">
        <v>8478</v>
      </c>
      <c r="C440" s="156" t="str">
        <f>CHOOSE(Translations!$C$1+1,J440,K440,L440,)</f>
        <v>Personas transgénero</v>
      </c>
      <c r="D440" s="156"/>
      <c r="E440" s="156" t="s">
        <v>3430</v>
      </c>
      <c r="F440" s="157" t="s">
        <v>8479</v>
      </c>
      <c r="G440" s="156" t="str">
        <f t="shared" si="16"/>
        <v>MCI-00673|Personas transgénero</v>
      </c>
      <c r="H440" s="156" t="str">
        <f t="shared" si="17"/>
        <v>MCI-00673|MCI-00836</v>
      </c>
      <c r="I440" s="156" t="str">
        <f t="shared" si="18"/>
        <v>a1O1R000006c5kAUAQ</v>
      </c>
      <c r="J440" s="157" t="s">
        <v>8421</v>
      </c>
      <c r="K440" s="157" t="s">
        <v>8422</v>
      </c>
      <c r="L440" s="157" t="s">
        <v>8423</v>
      </c>
      <c r="M440" s="156" t="s">
        <v>2778</v>
      </c>
    </row>
    <row r="441" spans="1:13" s="9" customFormat="1" x14ac:dyDescent="0.25">
      <c r="A441" s="156" t="s">
        <v>8404</v>
      </c>
      <c r="B441" s="156" t="s">
        <v>8480</v>
      </c>
      <c r="C441" s="156" t="str">
        <f>CHOOSE(Translations!$C$1+1,J441,K441,L441,)</f>
        <v>Consumidores de drogas inyectables y sus parejas</v>
      </c>
      <c r="D441" s="156"/>
      <c r="E441" s="156" t="s">
        <v>3430</v>
      </c>
      <c r="F441" s="157" t="s">
        <v>8481</v>
      </c>
      <c r="G441" s="156" t="str">
        <f t="shared" si="16"/>
        <v>MCI-00673|Consumidores de drogas inyectables y sus parejas</v>
      </c>
      <c r="H441" s="156" t="str">
        <f t="shared" si="17"/>
        <v>MCI-00673|MCI-00848</v>
      </c>
      <c r="I441" s="156" t="str">
        <f t="shared" si="18"/>
        <v>a1O1R000006c5kMUAQ</v>
      </c>
      <c r="J441" s="157" t="s">
        <v>8426</v>
      </c>
      <c r="K441" s="157" t="s">
        <v>8427</v>
      </c>
      <c r="L441" s="157" t="s">
        <v>8428</v>
      </c>
      <c r="M441" s="156" t="s">
        <v>2778</v>
      </c>
    </row>
    <row r="442" spans="1:13" s="9" customFormat="1" x14ac:dyDescent="0.25">
      <c r="A442" s="156" t="s">
        <v>8404</v>
      </c>
      <c r="B442" s="156" t="s">
        <v>8482</v>
      </c>
      <c r="C442" s="156" t="str">
        <f>CHOOSE(Translations!$C$1+1,J442,K442,L442,)</f>
        <v>Personas privadas de libertad en centros penitenciarios y otros lugares de reclusión</v>
      </c>
      <c r="D442" s="156"/>
      <c r="E442" s="156" t="s">
        <v>3430</v>
      </c>
      <c r="F442" s="157" t="s">
        <v>8483</v>
      </c>
      <c r="G442" s="156" t="str">
        <f t="shared" si="16"/>
        <v>MCI-00673|Personas privadas de libertad en centros penitenciarios y otros lugares de reclusión</v>
      </c>
      <c r="H442" s="156" t="str">
        <f t="shared" si="17"/>
        <v>MCI-00673|MCI-00856</v>
      </c>
      <c r="I442" s="156" t="str">
        <f t="shared" si="18"/>
        <v>a1O1R000006c5kUUAQ</v>
      </c>
      <c r="J442" s="157" t="s">
        <v>8431</v>
      </c>
      <c r="K442" s="157" t="s">
        <v>8432</v>
      </c>
      <c r="L442" s="157" t="s">
        <v>8433</v>
      </c>
      <c r="M442" s="156" t="s">
        <v>2778</v>
      </c>
    </row>
    <row r="443" spans="1:13" s="9" customFormat="1" x14ac:dyDescent="0.25">
      <c r="A443" s="156" t="s">
        <v>8404</v>
      </c>
      <c r="B443" s="156" t="s">
        <v>8484</v>
      </c>
      <c r="C443" s="156" t="str">
        <f>CHOOSE(Translations!$C$1+1,J443,K443,L443,)</f>
        <v>Hombres en entornos de alta prevalencia</v>
      </c>
      <c r="D443" s="156"/>
      <c r="E443" s="156" t="s">
        <v>3500</v>
      </c>
      <c r="F443" s="157" t="s">
        <v>8485</v>
      </c>
      <c r="G443" s="156" t="str">
        <f t="shared" si="16"/>
        <v>MCI-00674|Hombres en entornos de alta prevalencia</v>
      </c>
      <c r="H443" s="156" t="str">
        <f t="shared" si="17"/>
        <v>MCI-00674|MCI-00877</v>
      </c>
      <c r="I443" s="156" t="str">
        <f t="shared" si="18"/>
        <v>a1O1R000006c5kpUAA</v>
      </c>
      <c r="J443" s="157" t="s">
        <v>8407</v>
      </c>
      <c r="K443" s="157" t="s">
        <v>8408</v>
      </c>
      <c r="L443" s="157" t="s">
        <v>8409</v>
      </c>
      <c r="M443" s="156" t="s">
        <v>2778</v>
      </c>
    </row>
    <row r="444" spans="1:13" s="9" customFormat="1" x14ac:dyDescent="0.25">
      <c r="A444" s="156" t="s">
        <v>8404</v>
      </c>
      <c r="B444" s="156" t="s">
        <v>8486</v>
      </c>
      <c r="C444" s="156" t="str">
        <f>CHOOSE(Translations!$C$1+1,J444,K444,L444,)</f>
        <v>HSH</v>
      </c>
      <c r="D444" s="156"/>
      <c r="E444" s="156" t="s">
        <v>3500</v>
      </c>
      <c r="F444" s="157" t="s">
        <v>8487</v>
      </c>
      <c r="G444" s="156" t="str">
        <f t="shared" si="16"/>
        <v>MCI-00674|HSH</v>
      </c>
      <c r="H444" s="156" t="str">
        <f t="shared" si="17"/>
        <v>MCI-00674|MCI-00819</v>
      </c>
      <c r="I444" s="156" t="str">
        <f t="shared" si="18"/>
        <v>a1O1R000006c5jtUAA</v>
      </c>
      <c r="J444" s="157" t="s">
        <v>8412</v>
      </c>
      <c r="K444" s="157" t="s">
        <v>8413</v>
      </c>
      <c r="L444" s="157" t="s">
        <v>1856</v>
      </c>
      <c r="M444" s="156" t="s">
        <v>2778</v>
      </c>
    </row>
    <row r="445" spans="1:13" s="9" customFormat="1" x14ac:dyDescent="0.25">
      <c r="A445" s="156" t="s">
        <v>8404</v>
      </c>
      <c r="B445" s="156" t="s">
        <v>8488</v>
      </c>
      <c r="C445" s="156" t="str">
        <f>CHOOSE(Translations!$C$1+1,J445,K445,L445,)</f>
        <v>Trabajadores sexuales y sus clientes</v>
      </c>
      <c r="D445" s="156"/>
      <c r="E445" s="156" t="s">
        <v>3500</v>
      </c>
      <c r="F445" s="157" t="s">
        <v>8489</v>
      </c>
      <c r="G445" s="156" t="str">
        <f t="shared" si="16"/>
        <v>MCI-00674|Trabajadores sexuales y sus clientes</v>
      </c>
      <c r="H445" s="156" t="str">
        <f t="shared" si="17"/>
        <v>MCI-00674|MCI-00828</v>
      </c>
      <c r="I445" s="156" t="str">
        <f t="shared" si="18"/>
        <v>a1O1R000006c5k2UAA</v>
      </c>
      <c r="J445" s="157" t="s">
        <v>8416</v>
      </c>
      <c r="K445" s="157" t="s">
        <v>8417</v>
      </c>
      <c r="L445" s="157" t="s">
        <v>8418</v>
      </c>
      <c r="M445" s="156" t="s">
        <v>2778</v>
      </c>
    </row>
    <row r="446" spans="1:13" s="9" customFormat="1" x14ac:dyDescent="0.25">
      <c r="A446" s="156" t="s">
        <v>8404</v>
      </c>
      <c r="B446" s="156" t="s">
        <v>8490</v>
      </c>
      <c r="C446" s="156" t="str">
        <f>CHOOSE(Translations!$C$1+1,J446,K446,L446,)</f>
        <v>Personas transgénero</v>
      </c>
      <c r="D446" s="156"/>
      <c r="E446" s="156" t="s">
        <v>3500</v>
      </c>
      <c r="F446" s="157" t="s">
        <v>8491</v>
      </c>
      <c r="G446" s="156" t="str">
        <f t="shared" si="16"/>
        <v>MCI-00674|Personas transgénero</v>
      </c>
      <c r="H446" s="156" t="str">
        <f t="shared" si="17"/>
        <v>MCI-00674|MCI-00837</v>
      </c>
      <c r="I446" s="156" t="str">
        <f t="shared" si="18"/>
        <v>a1O1R000006c5kBUAQ</v>
      </c>
      <c r="J446" s="157" t="s">
        <v>8421</v>
      </c>
      <c r="K446" s="157" t="s">
        <v>8422</v>
      </c>
      <c r="L446" s="157" t="s">
        <v>8423</v>
      </c>
      <c r="M446" s="156" t="s">
        <v>2778</v>
      </c>
    </row>
    <row r="447" spans="1:13" s="9" customFormat="1" x14ac:dyDescent="0.25">
      <c r="A447" s="156" t="s">
        <v>8404</v>
      </c>
      <c r="B447" s="156" t="s">
        <v>8492</v>
      </c>
      <c r="C447" s="156" t="str">
        <f>CHOOSE(Translations!$C$1+1,J447,K447,L447,)</f>
        <v>Consumidores de drogas inyectables y sus parejas</v>
      </c>
      <c r="D447" s="156"/>
      <c r="E447" s="156" t="s">
        <v>3500</v>
      </c>
      <c r="F447" s="157" t="s">
        <v>8493</v>
      </c>
      <c r="G447" s="156" t="str">
        <f t="shared" si="16"/>
        <v>MCI-00674|Consumidores de drogas inyectables y sus parejas</v>
      </c>
      <c r="H447" s="156" t="str">
        <f t="shared" si="17"/>
        <v>MCI-00674|MCI-00849</v>
      </c>
      <c r="I447" s="156" t="str">
        <f t="shared" si="18"/>
        <v>a1O1R000006c5kNUAQ</v>
      </c>
      <c r="J447" s="157" t="s">
        <v>8426</v>
      </c>
      <c r="K447" s="157" t="s">
        <v>8427</v>
      </c>
      <c r="L447" s="157" t="s">
        <v>8428</v>
      </c>
      <c r="M447" s="156" t="s">
        <v>2778</v>
      </c>
    </row>
    <row r="448" spans="1:13" s="9" customFormat="1" x14ac:dyDescent="0.25">
      <c r="A448" s="156" t="s">
        <v>8404</v>
      </c>
      <c r="B448" s="156" t="s">
        <v>8494</v>
      </c>
      <c r="C448" s="156" t="str">
        <f>CHOOSE(Translations!$C$1+1,J448,K448,L448,)</f>
        <v>Otras poblaciones vulnerables</v>
      </c>
      <c r="D448" s="156"/>
      <c r="E448" s="156" t="s">
        <v>3500</v>
      </c>
      <c r="F448" s="157" t="s">
        <v>8495</v>
      </c>
      <c r="G448" s="156" t="str">
        <f t="shared" si="16"/>
        <v>MCI-00674|Otras poblaciones vulnerables</v>
      </c>
      <c r="H448" s="156" t="str">
        <f t="shared" si="17"/>
        <v>MCI-00674|MCI-00863</v>
      </c>
      <c r="I448" s="156" t="str">
        <f t="shared" si="18"/>
        <v>a1O1R000006c5kbUAA</v>
      </c>
      <c r="J448" s="157" t="s">
        <v>8436</v>
      </c>
      <c r="K448" s="157" t="s">
        <v>8437</v>
      </c>
      <c r="L448" s="157" t="s">
        <v>8438</v>
      </c>
      <c r="M448" s="156" t="s">
        <v>2778</v>
      </c>
    </row>
    <row r="449" spans="1:13" s="9" customFormat="1" x14ac:dyDescent="0.25">
      <c r="A449" s="156" t="s">
        <v>8404</v>
      </c>
      <c r="B449" s="156" t="s">
        <v>8496</v>
      </c>
      <c r="C449" s="156" t="str">
        <f>CHOOSE(Translations!$C$1+1,J449,K449,L449,)</f>
        <v>Niñas adolescentes y mujeres jóvenes en entornos de alta prevalencia</v>
      </c>
      <c r="D449" s="156"/>
      <c r="E449" s="156" t="s">
        <v>3500</v>
      </c>
      <c r="F449" s="157" t="s">
        <v>8497</v>
      </c>
      <c r="G449" s="156" t="str">
        <f t="shared" si="16"/>
        <v>MCI-00674|Niñas adolescentes y mujeres jóvenes en entornos de alta prevalencia</v>
      </c>
      <c r="H449" s="156" t="str">
        <f t="shared" si="17"/>
        <v>MCI-00674|MCI-00868</v>
      </c>
      <c r="I449" s="156" t="str">
        <f t="shared" si="18"/>
        <v>a1O1R000006c5kgUAA</v>
      </c>
      <c r="J449" s="157" t="s">
        <v>8441</v>
      </c>
      <c r="K449" s="157" t="s">
        <v>8442</v>
      </c>
      <c r="L449" s="157" t="s">
        <v>8443</v>
      </c>
      <c r="M449" s="156" t="s">
        <v>2778</v>
      </c>
    </row>
    <row r="450" spans="1:13" s="9" customFormat="1" x14ac:dyDescent="0.25">
      <c r="A450" s="156" t="s">
        <v>8404</v>
      </c>
      <c r="B450" s="156" t="s">
        <v>8498</v>
      </c>
      <c r="C450" s="156" t="str">
        <f>CHOOSE(Translations!$C$1+1,J450,K450,L450,)</f>
        <v>Personas privadas de libertad en centros penitenciarios y otros lugares de reclusión</v>
      </c>
      <c r="D450" s="156"/>
      <c r="E450" s="156" t="s">
        <v>3500</v>
      </c>
      <c r="F450" s="157" t="s">
        <v>8499</v>
      </c>
      <c r="G450" s="156" t="str">
        <f t="shared" si="16"/>
        <v>MCI-00674|Personas privadas de libertad en centros penitenciarios y otros lugares de reclusión</v>
      </c>
      <c r="H450" s="156" t="str">
        <f t="shared" si="17"/>
        <v>MCI-00674|MCI-00857</v>
      </c>
      <c r="I450" s="156" t="str">
        <f t="shared" si="18"/>
        <v>a1O1R000006c5kVUAQ</v>
      </c>
      <c r="J450" s="157" t="s">
        <v>8431</v>
      </c>
      <c r="K450" s="157" t="s">
        <v>8432</v>
      </c>
      <c r="L450" s="157" t="s">
        <v>8433</v>
      </c>
      <c r="M450" s="156" t="s">
        <v>2778</v>
      </c>
    </row>
    <row r="451" spans="1:13" s="9" customFormat="1" x14ac:dyDescent="0.25">
      <c r="A451" s="156" t="s">
        <v>8404</v>
      </c>
      <c r="B451" s="156" t="s">
        <v>8500</v>
      </c>
      <c r="C451" s="156" t="str">
        <f>CHOOSE(Translations!$C$1+1,J451,K451,L451,)</f>
        <v>HSH</v>
      </c>
      <c r="D451" s="156"/>
      <c r="E451" s="156" t="s">
        <v>3450</v>
      </c>
      <c r="F451" s="157" t="s">
        <v>8501</v>
      </c>
      <c r="G451" s="156" t="str">
        <f t="shared" si="16"/>
        <v>MCI-00675|HSH</v>
      </c>
      <c r="H451" s="156" t="str">
        <f t="shared" si="17"/>
        <v>MCI-00675|MCI-00820</v>
      </c>
      <c r="I451" s="156" t="str">
        <f t="shared" si="18"/>
        <v>a1O1R000006c5juUAA</v>
      </c>
      <c r="J451" s="157" t="s">
        <v>8412</v>
      </c>
      <c r="K451" s="157" t="s">
        <v>8413</v>
      </c>
      <c r="L451" s="157" t="s">
        <v>1856</v>
      </c>
      <c r="M451" s="156" t="s">
        <v>2778</v>
      </c>
    </row>
    <row r="452" spans="1:13" s="9" customFormat="1" x14ac:dyDescent="0.25">
      <c r="A452" s="156" t="s">
        <v>8404</v>
      </c>
      <c r="B452" s="156" t="s">
        <v>8502</v>
      </c>
      <c r="C452" s="156" t="str">
        <f>CHOOSE(Translations!$C$1+1,J452,K452,L452,)</f>
        <v>Trabajadores sexuales y sus clientes</v>
      </c>
      <c r="D452" s="156"/>
      <c r="E452" s="156" t="s">
        <v>3450</v>
      </c>
      <c r="F452" s="157" t="s">
        <v>8503</v>
      </c>
      <c r="G452" s="156" t="str">
        <f t="shared" si="16"/>
        <v>MCI-00675|Trabajadores sexuales y sus clientes</v>
      </c>
      <c r="H452" s="156" t="str">
        <f t="shared" si="17"/>
        <v>MCI-00675|MCI-00829</v>
      </c>
      <c r="I452" s="156" t="str">
        <f t="shared" si="18"/>
        <v>a1O1R000006c5k3UAA</v>
      </c>
      <c r="J452" s="157" t="s">
        <v>8416</v>
      </c>
      <c r="K452" s="157" t="s">
        <v>8417</v>
      </c>
      <c r="L452" s="157" t="s">
        <v>8418</v>
      </c>
      <c r="M452" s="156" t="s">
        <v>2778</v>
      </c>
    </row>
    <row r="453" spans="1:13" s="9" customFormat="1" x14ac:dyDescent="0.25">
      <c r="A453" s="156" t="s">
        <v>8404</v>
      </c>
      <c r="B453" s="156" t="s">
        <v>8504</v>
      </c>
      <c r="C453" s="156" t="str">
        <f>CHOOSE(Translations!$C$1+1,J453,K453,L453,)</f>
        <v>Personas transgénero</v>
      </c>
      <c r="D453" s="156"/>
      <c r="E453" s="156" t="s">
        <v>3450</v>
      </c>
      <c r="F453" s="157" t="s">
        <v>8505</v>
      </c>
      <c r="G453" s="156" t="str">
        <f t="shared" si="16"/>
        <v>MCI-00675|Personas transgénero</v>
      </c>
      <c r="H453" s="156" t="str">
        <f t="shared" si="17"/>
        <v>MCI-00675|MCI-00838</v>
      </c>
      <c r="I453" s="156" t="str">
        <f t="shared" si="18"/>
        <v>a1O1R000006c5kCUAQ</v>
      </c>
      <c r="J453" s="157" t="s">
        <v>8421</v>
      </c>
      <c r="K453" s="157" t="s">
        <v>8422</v>
      </c>
      <c r="L453" s="157" t="s">
        <v>8423</v>
      </c>
      <c r="M453" s="156" t="s">
        <v>2778</v>
      </c>
    </row>
    <row r="454" spans="1:13" s="9" customFormat="1" x14ac:dyDescent="0.25">
      <c r="A454" s="156" t="s">
        <v>8404</v>
      </c>
      <c r="B454" s="156" t="s">
        <v>8506</v>
      </c>
      <c r="C454" s="156" t="str">
        <f>CHOOSE(Translations!$C$1+1,J454,K454,L454,)</f>
        <v>Personas privadas de libertad en centros penitenciarios y otros lugares de reclusión</v>
      </c>
      <c r="D454" s="156"/>
      <c r="E454" s="156" t="s">
        <v>3450</v>
      </c>
      <c r="F454" s="157" t="s">
        <v>8507</v>
      </c>
      <c r="G454" s="156" t="str">
        <f t="shared" si="16"/>
        <v>MCI-00675|Personas privadas de libertad en centros penitenciarios y otros lugares de reclusión</v>
      </c>
      <c r="H454" s="156" t="str">
        <f t="shared" si="17"/>
        <v>MCI-00675|MCI-00858</v>
      </c>
      <c r="I454" s="156" t="str">
        <f t="shared" si="18"/>
        <v>a1O1R000006c5kWUAQ</v>
      </c>
      <c r="J454" s="157" t="s">
        <v>8431</v>
      </c>
      <c r="K454" s="157" t="s">
        <v>8432</v>
      </c>
      <c r="L454" s="157" t="s">
        <v>8433</v>
      </c>
      <c r="M454" s="156" t="s">
        <v>2778</v>
      </c>
    </row>
    <row r="455" spans="1:13" s="9" customFormat="1" x14ac:dyDescent="0.25">
      <c r="A455" s="156" t="s">
        <v>8404</v>
      </c>
      <c r="B455" s="156" t="s">
        <v>8508</v>
      </c>
      <c r="C455" s="156" t="str">
        <f>CHOOSE(Translations!$C$1+1,J455,K455,L455,)</f>
        <v>HSH</v>
      </c>
      <c r="D455" s="156"/>
      <c r="E455" s="156" t="s">
        <v>3420</v>
      </c>
      <c r="F455" s="157" t="s">
        <v>8509</v>
      </c>
      <c r="G455" s="156" t="str">
        <f t="shared" si="16"/>
        <v>MCI-00676|HSH</v>
      </c>
      <c r="H455" s="156" t="str">
        <f t="shared" si="17"/>
        <v>MCI-00676|MCI-00821</v>
      </c>
      <c r="I455" s="156" t="str">
        <f t="shared" si="18"/>
        <v>a1O1R000006c5jvUAA</v>
      </c>
      <c r="J455" s="157" t="s">
        <v>8412</v>
      </c>
      <c r="K455" s="157" t="s">
        <v>8413</v>
      </c>
      <c r="L455" s="157" t="s">
        <v>1856</v>
      </c>
      <c r="M455" s="156" t="s">
        <v>2778</v>
      </c>
    </row>
    <row r="456" spans="1:13" s="9" customFormat="1" x14ac:dyDescent="0.25">
      <c r="A456" s="156" t="s">
        <v>8404</v>
      </c>
      <c r="B456" s="156" t="s">
        <v>8510</v>
      </c>
      <c r="C456" s="156" t="str">
        <f>CHOOSE(Translations!$C$1+1,J456,K456,L456,)</f>
        <v>Trabajadores sexuales y sus clientes</v>
      </c>
      <c r="D456" s="156"/>
      <c r="E456" s="156" t="s">
        <v>3420</v>
      </c>
      <c r="F456" s="157" t="s">
        <v>8511</v>
      </c>
      <c r="G456" s="156" t="str">
        <f t="shared" si="16"/>
        <v>MCI-00676|Trabajadores sexuales y sus clientes</v>
      </c>
      <c r="H456" s="156" t="str">
        <f t="shared" si="17"/>
        <v>MCI-00676|MCI-00830</v>
      </c>
      <c r="I456" s="156" t="str">
        <f t="shared" si="18"/>
        <v>a1O1R000006c5k4UAA</v>
      </c>
      <c r="J456" s="157" t="s">
        <v>8416</v>
      </c>
      <c r="K456" s="157" t="s">
        <v>8417</v>
      </c>
      <c r="L456" s="157" t="s">
        <v>8418</v>
      </c>
      <c r="M456" s="156" t="s">
        <v>2778</v>
      </c>
    </row>
    <row r="457" spans="1:13" s="9" customFormat="1" x14ac:dyDescent="0.25">
      <c r="A457" s="156" t="s">
        <v>8404</v>
      </c>
      <c r="B457" s="156" t="s">
        <v>8512</v>
      </c>
      <c r="C457" s="156" t="str">
        <f>CHOOSE(Translations!$C$1+1,J457,K457,L457,)</f>
        <v>Personas transgénero</v>
      </c>
      <c r="D457" s="156"/>
      <c r="E457" s="156" t="s">
        <v>3420</v>
      </c>
      <c r="F457" s="157" t="s">
        <v>8513</v>
      </c>
      <c r="G457" s="156" t="str">
        <f t="shared" si="16"/>
        <v>MCI-00676|Personas transgénero</v>
      </c>
      <c r="H457" s="156" t="str">
        <f t="shared" si="17"/>
        <v>MCI-00676|MCI-00839</v>
      </c>
      <c r="I457" s="156" t="str">
        <f t="shared" si="18"/>
        <v>a1O1R000006c5kDUAQ</v>
      </c>
      <c r="J457" s="157" t="s">
        <v>8421</v>
      </c>
      <c r="K457" s="157" t="s">
        <v>8422</v>
      </c>
      <c r="L457" s="157" t="s">
        <v>8423</v>
      </c>
      <c r="M457" s="156" t="s">
        <v>2778</v>
      </c>
    </row>
    <row r="458" spans="1:13" s="9" customFormat="1" x14ac:dyDescent="0.25">
      <c r="A458" s="156" t="s">
        <v>8404</v>
      </c>
      <c r="B458" s="156" t="s">
        <v>8514</v>
      </c>
      <c r="C458" s="156" t="str">
        <f>CHOOSE(Translations!$C$1+1,J458,K458,L458,)</f>
        <v>Consumidores de drogas inyectables y sus parejas</v>
      </c>
      <c r="D458" s="156"/>
      <c r="E458" s="156" t="s">
        <v>3420</v>
      </c>
      <c r="F458" s="157" t="s">
        <v>8515</v>
      </c>
      <c r="G458" s="156" t="str">
        <f t="shared" si="16"/>
        <v>MCI-00676|Consumidores de drogas inyectables y sus parejas</v>
      </c>
      <c r="H458" s="156" t="str">
        <f t="shared" si="17"/>
        <v>MCI-00676|MCI-00850</v>
      </c>
      <c r="I458" s="156" t="str">
        <f t="shared" si="18"/>
        <v>a1O1R000006c5kOUAQ</v>
      </c>
      <c r="J458" s="157" t="s">
        <v>8426</v>
      </c>
      <c r="K458" s="157" t="s">
        <v>8427</v>
      </c>
      <c r="L458" s="157" t="s">
        <v>8428</v>
      </c>
      <c r="M458" s="156" t="s">
        <v>2778</v>
      </c>
    </row>
    <row r="459" spans="1:13" s="9" customFormat="1" x14ac:dyDescent="0.25">
      <c r="A459" s="156" t="s">
        <v>8404</v>
      </c>
      <c r="B459" s="156" t="s">
        <v>8516</v>
      </c>
      <c r="C459" s="156" t="str">
        <f>CHOOSE(Translations!$C$1+1,J459,K459,L459,)</f>
        <v>Personas privadas de libertad en centros penitenciarios y otros lugares de reclusión</v>
      </c>
      <c r="D459" s="156"/>
      <c r="E459" s="156" t="s">
        <v>3420</v>
      </c>
      <c r="F459" s="157" t="s">
        <v>8517</v>
      </c>
      <c r="G459" s="156" t="str">
        <f t="shared" si="16"/>
        <v>MCI-00676|Personas privadas de libertad en centros penitenciarios y otros lugares de reclusión</v>
      </c>
      <c r="H459" s="156" t="str">
        <f t="shared" si="17"/>
        <v>MCI-00676|MCI-00859</v>
      </c>
      <c r="I459" s="156" t="str">
        <f t="shared" si="18"/>
        <v>a1O1R000006c5kXUAQ</v>
      </c>
      <c r="J459" s="157" t="s">
        <v>8431</v>
      </c>
      <c r="K459" s="157" t="s">
        <v>8432</v>
      </c>
      <c r="L459" s="157" t="s">
        <v>8433</v>
      </c>
      <c r="M459" s="156" t="s">
        <v>2778</v>
      </c>
    </row>
    <row r="460" spans="1:13" s="9" customFormat="1" x14ac:dyDescent="0.25">
      <c r="A460" s="156" t="s">
        <v>8404</v>
      </c>
      <c r="B460" s="156" t="s">
        <v>8518</v>
      </c>
      <c r="C460" s="156" t="str">
        <f>CHOOSE(Translations!$C$1+1,J460,K460,L460,)</f>
        <v>Niñas adolescentes y mujeres jóvenes en entornos de alta prevalencia</v>
      </c>
      <c r="D460" s="156"/>
      <c r="E460" s="156" t="s">
        <v>3420</v>
      </c>
      <c r="F460" s="157" t="s">
        <v>8519</v>
      </c>
      <c r="G460" s="156" t="str">
        <f t="shared" si="16"/>
        <v>MCI-00676|Niñas adolescentes y mujeres jóvenes en entornos de alta prevalencia</v>
      </c>
      <c r="H460" s="156" t="str">
        <f t="shared" si="17"/>
        <v>MCI-00676|MCI-00870</v>
      </c>
      <c r="I460" s="156" t="str">
        <f t="shared" si="18"/>
        <v>a1O1R000006c5kiUAA</v>
      </c>
      <c r="J460" s="157" t="s">
        <v>8441</v>
      </c>
      <c r="K460" s="157" t="s">
        <v>8442</v>
      </c>
      <c r="L460" s="157" t="s">
        <v>8443</v>
      </c>
      <c r="M460" s="156" t="s">
        <v>2778</v>
      </c>
    </row>
    <row r="461" spans="1:13" s="9" customFormat="1" x14ac:dyDescent="0.25">
      <c r="A461" s="156" t="s">
        <v>8404</v>
      </c>
      <c r="B461" s="156" t="s">
        <v>8520</v>
      </c>
      <c r="C461" s="156" t="str">
        <f>CHOOSE(Translations!$C$1+1,J461,K461,L461,)</f>
        <v>HSH</v>
      </c>
      <c r="D461" s="156"/>
      <c r="E461" s="156" t="s">
        <v>3460</v>
      </c>
      <c r="F461" s="157" t="s">
        <v>8521</v>
      </c>
      <c r="G461" s="156" t="str">
        <f t="shared" si="16"/>
        <v>MCI-00677|HSH</v>
      </c>
      <c r="H461" s="156" t="str">
        <f t="shared" si="17"/>
        <v>MCI-00677|MCI-00822</v>
      </c>
      <c r="I461" s="156" t="str">
        <f t="shared" si="18"/>
        <v>a1O1R000006c5jwUAA</v>
      </c>
      <c r="J461" s="157" t="s">
        <v>8412</v>
      </c>
      <c r="K461" s="157" t="s">
        <v>8413</v>
      </c>
      <c r="L461" s="157" t="s">
        <v>1856</v>
      </c>
      <c r="M461" s="156" t="s">
        <v>2778</v>
      </c>
    </row>
    <row r="462" spans="1:13" s="9" customFormat="1" x14ac:dyDescent="0.25">
      <c r="A462" s="156" t="s">
        <v>8404</v>
      </c>
      <c r="B462" s="156" t="s">
        <v>8522</v>
      </c>
      <c r="C462" s="156" t="str">
        <f>CHOOSE(Translations!$C$1+1,J462,K462,L462,)</f>
        <v>Trabajadores sexuales y sus clientes</v>
      </c>
      <c r="D462" s="156"/>
      <c r="E462" s="156" t="s">
        <v>3460</v>
      </c>
      <c r="F462" s="157" t="s">
        <v>8523</v>
      </c>
      <c r="G462" s="156" t="str">
        <f t="shared" si="16"/>
        <v>MCI-00677|Trabajadores sexuales y sus clientes</v>
      </c>
      <c r="H462" s="156" t="str">
        <f t="shared" si="17"/>
        <v>MCI-00677|MCI-00831</v>
      </c>
      <c r="I462" s="156" t="str">
        <f t="shared" si="18"/>
        <v>a1O1R000006c5k5UAA</v>
      </c>
      <c r="J462" s="157" t="s">
        <v>8416</v>
      </c>
      <c r="K462" s="157" t="s">
        <v>8417</v>
      </c>
      <c r="L462" s="157" t="s">
        <v>8418</v>
      </c>
      <c r="M462" s="156" t="s">
        <v>2778</v>
      </c>
    </row>
    <row r="463" spans="1:13" s="9" customFormat="1" x14ac:dyDescent="0.25">
      <c r="A463" s="156" t="s">
        <v>8404</v>
      </c>
      <c r="B463" s="156" t="s">
        <v>8524</v>
      </c>
      <c r="C463" s="156" t="str">
        <f>CHOOSE(Translations!$C$1+1,J463,K463,L463,)</f>
        <v>Personas transgénero</v>
      </c>
      <c r="D463" s="156"/>
      <c r="E463" s="156" t="s">
        <v>3460</v>
      </c>
      <c r="F463" s="157" t="s">
        <v>8525</v>
      </c>
      <c r="G463" s="156" t="str">
        <f t="shared" si="16"/>
        <v>MCI-00677|Personas transgénero</v>
      </c>
      <c r="H463" s="156" t="str">
        <f t="shared" si="17"/>
        <v>MCI-00677|MCI-00840</v>
      </c>
      <c r="I463" s="156" t="str">
        <f t="shared" si="18"/>
        <v>a1O1R000006c5kEUAQ</v>
      </c>
      <c r="J463" s="157" t="s">
        <v>8421</v>
      </c>
      <c r="K463" s="157" t="s">
        <v>8422</v>
      </c>
      <c r="L463" s="157" t="s">
        <v>8423</v>
      </c>
      <c r="M463" s="156" t="s">
        <v>2778</v>
      </c>
    </row>
    <row r="464" spans="1:13" s="9" customFormat="1" x14ac:dyDescent="0.25">
      <c r="A464" s="156" t="s">
        <v>8404</v>
      </c>
      <c r="B464" s="156" t="s">
        <v>8526</v>
      </c>
      <c r="C464" s="156" t="str">
        <f>CHOOSE(Translations!$C$1+1,J464,K464,L464,)</f>
        <v>Consumidores de drogas inyectables y sus parejas</v>
      </c>
      <c r="D464" s="156"/>
      <c r="E464" s="156" t="s">
        <v>3460</v>
      </c>
      <c r="F464" s="157" t="s">
        <v>8527</v>
      </c>
      <c r="G464" s="156" t="str">
        <f t="shared" si="16"/>
        <v>MCI-00677|Consumidores de drogas inyectables y sus parejas</v>
      </c>
      <c r="H464" s="156" t="str">
        <f t="shared" si="17"/>
        <v>MCI-00677|MCI-00851</v>
      </c>
      <c r="I464" s="156" t="str">
        <f t="shared" si="18"/>
        <v>a1O1R000006c5kPUAQ</v>
      </c>
      <c r="J464" s="157" t="s">
        <v>8426</v>
      </c>
      <c r="K464" s="157" t="s">
        <v>8427</v>
      </c>
      <c r="L464" s="157" t="s">
        <v>8428</v>
      </c>
      <c r="M464" s="156" t="s">
        <v>2778</v>
      </c>
    </row>
    <row r="465" spans="1:13" s="9" customFormat="1" x14ac:dyDescent="0.25">
      <c r="A465" s="156" t="s">
        <v>8404</v>
      </c>
      <c r="B465" s="156" t="s">
        <v>8528</v>
      </c>
      <c r="C465" s="156" t="str">
        <f>CHOOSE(Translations!$C$1+1,J465,K465,L465,)</f>
        <v>HSH</v>
      </c>
      <c r="D465" s="156"/>
      <c r="E465" s="156" t="s">
        <v>3495</v>
      </c>
      <c r="F465" s="157" t="s">
        <v>8529</v>
      </c>
      <c r="G465" s="156" t="str">
        <f t="shared" si="16"/>
        <v>MCI-00678|HSH</v>
      </c>
      <c r="H465" s="156" t="str">
        <f t="shared" si="17"/>
        <v>MCI-00678|MCI-00823</v>
      </c>
      <c r="I465" s="156" t="str">
        <f t="shared" si="18"/>
        <v>a1O1R000006c5jxUAA</v>
      </c>
      <c r="J465" s="157" t="s">
        <v>8412</v>
      </c>
      <c r="K465" s="157" t="s">
        <v>8413</v>
      </c>
      <c r="L465" s="157" t="s">
        <v>1856</v>
      </c>
      <c r="M465" s="156" t="s">
        <v>2778</v>
      </c>
    </row>
    <row r="466" spans="1:13" s="9" customFormat="1" x14ac:dyDescent="0.25">
      <c r="A466" s="156" t="s">
        <v>8404</v>
      </c>
      <c r="B466" s="156" t="s">
        <v>8530</v>
      </c>
      <c r="C466" s="156" t="str">
        <f>CHOOSE(Translations!$C$1+1,J466,K466,L466,)</f>
        <v>Trabajadores sexuales y sus clientes</v>
      </c>
      <c r="D466" s="156"/>
      <c r="E466" s="156" t="s">
        <v>3495</v>
      </c>
      <c r="F466" s="157" t="s">
        <v>8531</v>
      </c>
      <c r="G466" s="156" t="str">
        <f t="shared" si="16"/>
        <v>MCI-00678|Trabajadores sexuales y sus clientes</v>
      </c>
      <c r="H466" s="156" t="str">
        <f t="shared" si="17"/>
        <v>MCI-00678|MCI-00832</v>
      </c>
      <c r="I466" s="156" t="str">
        <f t="shared" si="18"/>
        <v>a1O1R000006c5k6UAA</v>
      </c>
      <c r="J466" s="157" t="s">
        <v>8416</v>
      </c>
      <c r="K466" s="157" t="s">
        <v>8417</v>
      </c>
      <c r="L466" s="157" t="s">
        <v>8418</v>
      </c>
      <c r="M466" s="156" t="s">
        <v>2778</v>
      </c>
    </row>
    <row r="467" spans="1:13" s="9" customFormat="1" x14ac:dyDescent="0.25">
      <c r="A467" s="156" t="s">
        <v>8404</v>
      </c>
      <c r="B467" s="156" t="s">
        <v>8532</v>
      </c>
      <c r="C467" s="156" t="str">
        <f>CHOOSE(Translations!$C$1+1,J467,K467,L467,)</f>
        <v>Personas transgénero</v>
      </c>
      <c r="D467" s="156"/>
      <c r="E467" s="156" t="s">
        <v>3495</v>
      </c>
      <c r="F467" s="157" t="s">
        <v>8533</v>
      </c>
      <c r="G467" s="156" t="str">
        <f t="shared" si="16"/>
        <v>MCI-00678|Personas transgénero</v>
      </c>
      <c r="H467" s="156" t="str">
        <f t="shared" si="17"/>
        <v>MCI-00678|MCI-00841</v>
      </c>
      <c r="I467" s="156" t="str">
        <f t="shared" si="18"/>
        <v>a1O1R000006c5kFUAQ</v>
      </c>
      <c r="J467" s="157" t="s">
        <v>8421</v>
      </c>
      <c r="K467" s="157" t="s">
        <v>8422</v>
      </c>
      <c r="L467" s="157" t="s">
        <v>8423</v>
      </c>
      <c r="M467" s="156" t="s">
        <v>2778</v>
      </c>
    </row>
    <row r="468" spans="1:13" s="9" customFormat="1" x14ac:dyDescent="0.25">
      <c r="A468" s="156" t="s">
        <v>8404</v>
      </c>
      <c r="B468" s="156" t="s">
        <v>8534</v>
      </c>
      <c r="C468" s="156" t="str">
        <f>CHOOSE(Translations!$C$1+1,J468,K468,L468,)</f>
        <v>Consumidores de drogas inyectables y sus parejas</v>
      </c>
      <c r="D468" s="156"/>
      <c r="E468" s="156" t="s">
        <v>3495</v>
      </c>
      <c r="F468" s="157" t="s">
        <v>8535</v>
      </c>
      <c r="G468" s="156" t="str">
        <f t="shared" si="16"/>
        <v>MCI-00678|Consumidores de drogas inyectables y sus parejas</v>
      </c>
      <c r="H468" s="156" t="str">
        <f t="shared" si="17"/>
        <v>MCI-00678|MCI-00852</v>
      </c>
      <c r="I468" s="156" t="str">
        <f t="shared" si="18"/>
        <v>a1O1R000006c5kQUAQ</v>
      </c>
      <c r="J468" s="157" t="s">
        <v>8426</v>
      </c>
      <c r="K468" s="157" t="s">
        <v>8427</v>
      </c>
      <c r="L468" s="157" t="s">
        <v>8428</v>
      </c>
      <c r="M468" s="156" t="s">
        <v>2778</v>
      </c>
    </row>
    <row r="469" spans="1:13" s="9" customFormat="1" x14ac:dyDescent="0.25">
      <c r="A469" s="156" t="s">
        <v>8404</v>
      </c>
      <c r="B469" s="156" t="s">
        <v>8536</v>
      </c>
      <c r="C469" s="156" t="str">
        <f>CHOOSE(Translations!$C$1+1,J469,K469,L469,)</f>
        <v>Personas privadas de libertad en centros penitenciarios y otros lugares de reclusión</v>
      </c>
      <c r="D469" s="156"/>
      <c r="E469" s="156" t="s">
        <v>3495</v>
      </c>
      <c r="F469" s="157" t="s">
        <v>8537</v>
      </c>
      <c r="G469" s="156" t="str">
        <f t="shared" si="16"/>
        <v>MCI-00678|Personas privadas de libertad en centros penitenciarios y otros lugares de reclusión</v>
      </c>
      <c r="H469" s="156" t="str">
        <f t="shared" si="17"/>
        <v>MCI-00678|MCI-00860</v>
      </c>
      <c r="I469" s="156" t="str">
        <f t="shared" si="18"/>
        <v>a1O1R000006c5kYUAQ</v>
      </c>
      <c r="J469" s="157" t="s">
        <v>8431</v>
      </c>
      <c r="K469" s="157" t="s">
        <v>8432</v>
      </c>
      <c r="L469" s="157" t="s">
        <v>8433</v>
      </c>
      <c r="M469" s="156" t="s">
        <v>2778</v>
      </c>
    </row>
    <row r="470" spans="1:13" s="9" customFormat="1" x14ac:dyDescent="0.25">
      <c r="A470" s="156" t="s">
        <v>8404</v>
      </c>
      <c r="B470" s="156" t="s">
        <v>8538</v>
      </c>
      <c r="C470" s="156" t="str">
        <f>CHOOSE(Translations!$C$1+1,J470,K470,L470,)</f>
        <v>Consumidores de drogas inyectables y sus parejas</v>
      </c>
      <c r="D470" s="156"/>
      <c r="E470" s="156" t="s">
        <v>3475</v>
      </c>
      <c r="F470" s="157" t="s">
        <v>8539</v>
      </c>
      <c r="G470" s="156" t="str">
        <f t="shared" si="16"/>
        <v>MCI-00679|Consumidores de drogas inyectables y sus parejas</v>
      </c>
      <c r="H470" s="156" t="str">
        <f t="shared" si="17"/>
        <v>MCI-00679|MCI-00842</v>
      </c>
      <c r="I470" s="156" t="str">
        <f t="shared" si="18"/>
        <v>a1O1R000006c5kGUAQ</v>
      </c>
      <c r="J470" s="157" t="s">
        <v>8426</v>
      </c>
      <c r="K470" s="157" t="s">
        <v>8427</v>
      </c>
      <c r="L470" s="157" t="s">
        <v>8428</v>
      </c>
      <c r="M470" s="156" t="s">
        <v>2778</v>
      </c>
    </row>
    <row r="471" spans="1:13" s="9" customFormat="1" x14ac:dyDescent="0.25">
      <c r="A471" s="156" t="s">
        <v>8404</v>
      </c>
      <c r="B471" s="156" t="s">
        <v>8540</v>
      </c>
      <c r="C471" s="156" t="str">
        <f>CHOOSE(Translations!$C$1+1,J471,K471,L471,)</f>
        <v>Consumidores de drogas inyectables y sus parejas</v>
      </c>
      <c r="D471" s="156"/>
      <c r="E471" s="156" t="s">
        <v>3480</v>
      </c>
      <c r="F471" s="157" t="s">
        <v>8541</v>
      </c>
      <c r="G471" s="156" t="str">
        <f t="shared" si="16"/>
        <v>MCI-00680|Consumidores de drogas inyectables y sus parejas</v>
      </c>
      <c r="H471" s="156" t="str">
        <f t="shared" si="17"/>
        <v>MCI-00680|MCI-00843</v>
      </c>
      <c r="I471" s="156" t="str">
        <f t="shared" si="18"/>
        <v>a1O1R000006c5kHUAQ</v>
      </c>
      <c r="J471" s="157" t="s">
        <v>8426</v>
      </c>
      <c r="K471" s="157" t="s">
        <v>8427</v>
      </c>
      <c r="L471" s="157" t="s">
        <v>8428</v>
      </c>
      <c r="M471" s="156" t="s">
        <v>2778</v>
      </c>
    </row>
    <row r="472" spans="1:13" s="9" customFormat="1" x14ac:dyDescent="0.25">
      <c r="A472" s="156" t="s">
        <v>8404</v>
      </c>
      <c r="B472" s="156" t="s">
        <v>8542</v>
      </c>
      <c r="C472" s="156" t="str">
        <f>CHOOSE(Translations!$C$1+1,J472,K472,L472,)</f>
        <v>Consumidores de drogas inyectables y sus parejas</v>
      </c>
      <c r="D472" s="156"/>
      <c r="E472" s="156" t="s">
        <v>3485</v>
      </c>
      <c r="F472" s="157" t="s">
        <v>8543</v>
      </c>
      <c r="G472" s="156" t="str">
        <f t="shared" si="16"/>
        <v>MCI-00681|Consumidores de drogas inyectables y sus parejas</v>
      </c>
      <c r="H472" s="156" t="str">
        <f t="shared" si="17"/>
        <v>MCI-00681|MCI-00844</v>
      </c>
      <c r="I472" s="156" t="str">
        <f t="shared" si="18"/>
        <v>a1O1R000006c5kIUAQ</v>
      </c>
      <c r="J472" s="157" t="s">
        <v>8426</v>
      </c>
      <c r="K472" s="157" t="s">
        <v>8427</v>
      </c>
      <c r="L472" s="157" t="s">
        <v>8428</v>
      </c>
      <c r="M472" s="156" t="s">
        <v>2778</v>
      </c>
    </row>
    <row r="473" spans="1:13" s="9" customFormat="1" x14ac:dyDescent="0.25">
      <c r="A473" s="156" t="s">
        <v>8404</v>
      </c>
      <c r="B473" s="156" t="s">
        <v>8544</v>
      </c>
      <c r="C473" s="156" t="str">
        <f>CHOOSE(Translations!$C$1+1,J473,K473,L473,)</f>
        <v>Niñas adolescentes y mujeres jóvenes en entornos de alta prevalencia</v>
      </c>
      <c r="D473" s="156"/>
      <c r="E473" s="156" t="s">
        <v>3435</v>
      </c>
      <c r="F473" s="157" t="s">
        <v>8545</v>
      </c>
      <c r="G473" s="156" t="str">
        <f t="shared" si="16"/>
        <v>MCI-00682|Niñas adolescentes y mujeres jóvenes en entornos de alta prevalencia</v>
      </c>
      <c r="H473" s="156" t="str">
        <f t="shared" si="17"/>
        <v>MCI-00682|MCI-00867</v>
      </c>
      <c r="I473" s="156" t="str">
        <f t="shared" si="18"/>
        <v>a1O1R000006c5kfUAA</v>
      </c>
      <c r="J473" s="157" t="s">
        <v>8441</v>
      </c>
      <c r="K473" s="157" t="s">
        <v>8442</v>
      </c>
      <c r="L473" s="157" t="s">
        <v>8443</v>
      </c>
      <c r="M473" s="156" t="s">
        <v>2778</v>
      </c>
    </row>
    <row r="474" spans="1:13" s="9" customFormat="1" x14ac:dyDescent="0.25">
      <c r="A474" s="156" t="s">
        <v>8404</v>
      </c>
      <c r="B474" s="156" t="s">
        <v>8546</v>
      </c>
      <c r="C474" s="156" t="str">
        <f>CHOOSE(Translations!$C$1+1,J474,K474,L474,)</f>
        <v>Niñas adolescentes y mujeres jóvenes en entornos de alta prevalencia</v>
      </c>
      <c r="D474" s="156"/>
      <c r="E474" s="156" t="s">
        <v>3445</v>
      </c>
      <c r="F474" s="157" t="s">
        <v>8547</v>
      </c>
      <c r="G474" s="156" t="str">
        <f t="shared" si="16"/>
        <v>MCI-00683|Niñas adolescentes y mujeres jóvenes en entornos de alta prevalencia</v>
      </c>
      <c r="H474" s="156" t="str">
        <f t="shared" si="17"/>
        <v>MCI-00683|MCI-00869</v>
      </c>
      <c r="I474" s="156" t="str">
        <f t="shared" si="18"/>
        <v>a1O1R000006c5khUAA</v>
      </c>
      <c r="J474" s="157" t="s">
        <v>8441</v>
      </c>
      <c r="K474" s="157" t="s">
        <v>8442</v>
      </c>
      <c r="L474" s="157" t="s">
        <v>8443</v>
      </c>
      <c r="M474" s="156" t="s">
        <v>2778</v>
      </c>
    </row>
    <row r="475" spans="1:13" s="9" customFormat="1" x14ac:dyDescent="0.25">
      <c r="A475" s="156" t="s">
        <v>8404</v>
      </c>
      <c r="B475" s="156" t="s">
        <v>8548</v>
      </c>
      <c r="C475" s="156" t="str">
        <f>CHOOSE(Translations!$C$1+1,J475,K475,L475,)</f>
        <v>Niñas adolescentes y mujeres jóvenes en entornos de alta prevalencia</v>
      </c>
      <c r="D475" s="156"/>
      <c r="E475" s="156" t="s">
        <v>3505</v>
      </c>
      <c r="F475" s="157" t="s">
        <v>8549</v>
      </c>
      <c r="G475" s="156" t="str">
        <f t="shared" si="16"/>
        <v>MCI-00684|Niñas adolescentes y mujeres jóvenes en entornos de alta prevalencia</v>
      </c>
      <c r="H475" s="156" t="str">
        <f t="shared" si="17"/>
        <v>MCI-00684|MCI-00871</v>
      </c>
      <c r="I475" s="156" t="str">
        <f t="shared" si="18"/>
        <v>a1O1R000006c5kjUAA</v>
      </c>
      <c r="J475" s="157" t="s">
        <v>8441</v>
      </c>
      <c r="K475" s="157" t="s">
        <v>8442</v>
      </c>
      <c r="L475" s="157" t="s">
        <v>8443</v>
      </c>
      <c r="M475" s="156" t="s">
        <v>2778</v>
      </c>
    </row>
    <row r="476" spans="1:13" s="9" customFormat="1" x14ac:dyDescent="0.25">
      <c r="A476" s="156" t="s">
        <v>8404</v>
      </c>
      <c r="B476" s="156" t="s">
        <v>8550</v>
      </c>
      <c r="C476" s="156" t="str">
        <f>CHOOSE(Translations!$C$1+1,J476,K476,L476,)</f>
        <v>Niñas adolescentes y mujeres jóvenes en entornos de alta prevalencia</v>
      </c>
      <c r="D476" s="156"/>
      <c r="E476" s="156" t="s">
        <v>3455</v>
      </c>
      <c r="F476" s="157" t="s">
        <v>8551</v>
      </c>
      <c r="G476" s="156" t="str">
        <f t="shared" si="16"/>
        <v>MCI-00685|Niñas adolescentes y mujeres jóvenes en entornos de alta prevalencia</v>
      </c>
      <c r="H476" s="156" t="str">
        <f t="shared" si="17"/>
        <v>MCI-00685|MCI-00872</v>
      </c>
      <c r="I476" s="156" t="str">
        <f t="shared" si="18"/>
        <v>a1O1R000006c5kkUAA</v>
      </c>
      <c r="J476" s="157" t="s">
        <v>8441</v>
      </c>
      <c r="K476" s="157" t="s">
        <v>8442</v>
      </c>
      <c r="L476" s="157" t="s">
        <v>8443</v>
      </c>
      <c r="M476" s="156" t="s">
        <v>2778</v>
      </c>
    </row>
    <row r="477" spans="1:13" s="9" customFormat="1" x14ac:dyDescent="0.25">
      <c r="A477" s="156" t="s">
        <v>8404</v>
      </c>
      <c r="B477" s="156" t="s">
        <v>8552</v>
      </c>
      <c r="C477" s="156" t="str">
        <f>CHOOSE(Translations!$C$1+1,J477,K477,L477,)</f>
        <v>Hombres en entornos de alta prevalencia</v>
      </c>
      <c r="D477" s="156"/>
      <c r="E477" s="156" t="s">
        <v>3510</v>
      </c>
      <c r="F477" s="157" t="s">
        <v>8553</v>
      </c>
      <c r="G477" s="156" t="str">
        <f t="shared" si="16"/>
        <v>MCI-00686|Hombres en entornos de alta prevalencia</v>
      </c>
      <c r="H477" s="156" t="str">
        <f t="shared" si="17"/>
        <v>MCI-00686|MCI-00873</v>
      </c>
      <c r="I477" s="156" t="str">
        <f t="shared" si="18"/>
        <v>a1O1R000006c5klUAA</v>
      </c>
      <c r="J477" s="157" t="s">
        <v>8407</v>
      </c>
      <c r="K477" s="157" t="s">
        <v>8408</v>
      </c>
      <c r="L477" s="157" t="s">
        <v>8409</v>
      </c>
      <c r="M477" s="156" t="s">
        <v>2778</v>
      </c>
    </row>
    <row r="478" spans="1:13" s="9" customFormat="1" x14ac:dyDescent="0.25">
      <c r="A478" s="156" t="s">
        <v>8404</v>
      </c>
      <c r="B478" s="156" t="s">
        <v>8554</v>
      </c>
      <c r="C478" s="156" t="str">
        <f>CHOOSE(Translations!$C$1+1,J478,K478,L478,)</f>
        <v>Grupos de población no específicos</v>
      </c>
      <c r="D478" s="156"/>
      <c r="E478" s="156" t="s">
        <v>3470</v>
      </c>
      <c r="F478" s="157" t="s">
        <v>8555</v>
      </c>
      <c r="G478" s="156" t="str">
        <f t="shared" si="16"/>
        <v>MCI-00687|Grupos de población no específicos</v>
      </c>
      <c r="H478" s="156" t="str">
        <f t="shared" si="17"/>
        <v>MCI-00687|MCI-00878</v>
      </c>
      <c r="I478" s="156" t="str">
        <f t="shared" si="18"/>
        <v>a1O1R000006c5kqUAA</v>
      </c>
      <c r="J478" s="157" t="s">
        <v>8556</v>
      </c>
      <c r="K478" s="157" t="s">
        <v>8557</v>
      </c>
      <c r="L478" s="157" t="s">
        <v>8558</v>
      </c>
      <c r="M478" s="156" t="s">
        <v>2778</v>
      </c>
    </row>
    <row r="479" spans="1:13" s="9" customFormat="1" x14ac:dyDescent="0.25">
      <c r="A479" s="156" t="s">
        <v>8404</v>
      </c>
      <c r="B479" s="156" t="s">
        <v>8559</v>
      </c>
      <c r="C479" s="156" t="str">
        <f>CHOOSE(Translations!$C$1+1,J479,K479,L479,)</f>
        <v>Grupos de población no específicos</v>
      </c>
      <c r="D479" s="156"/>
      <c r="E479" s="156" t="s">
        <v>3465</v>
      </c>
      <c r="F479" s="157" t="s">
        <v>8560</v>
      </c>
      <c r="G479" s="156" t="str">
        <f t="shared" ref="G479:G542" si="19">E479&amp;"|"&amp;C479</f>
        <v>MCI-00688|Grupos de población no específicos</v>
      </c>
      <c r="H479" s="156" t="str">
        <f t="shared" ref="H479:H542" si="20">E479&amp;"|"&amp;F479</f>
        <v>MCI-00688|MCI-00879</v>
      </c>
      <c r="I479" s="156" t="str">
        <f t="shared" ref="I479:I542" si="21">B479</f>
        <v>a1O1R000006c5krUAA</v>
      </c>
      <c r="J479" s="157" t="s">
        <v>8556</v>
      </c>
      <c r="K479" s="157" t="s">
        <v>8557</v>
      </c>
      <c r="L479" s="157" t="s">
        <v>8558</v>
      </c>
      <c r="M479" s="156" t="s">
        <v>2778</v>
      </c>
    </row>
    <row r="480" spans="1:13" s="9" customFormat="1" x14ac:dyDescent="0.25">
      <c r="A480" s="156" t="s">
        <v>8404</v>
      </c>
      <c r="B480" s="156" t="s">
        <v>8561</v>
      </c>
      <c r="C480" s="156" t="str">
        <f>CHOOSE(Translations!$C$1+1,J480,K480,L480,)</f>
        <v>No aplicable</v>
      </c>
      <c r="D480" s="156"/>
      <c r="E480" s="156" t="s">
        <v>3515</v>
      </c>
      <c r="F480" s="157" t="s">
        <v>8562</v>
      </c>
      <c r="G480" s="156" t="str">
        <f t="shared" si="19"/>
        <v>MCI-00689|No aplicable</v>
      </c>
      <c r="H480" s="156" t="str">
        <f t="shared" si="20"/>
        <v>MCI-00689|MCI-00880</v>
      </c>
      <c r="I480" s="156" t="str">
        <f t="shared" si="21"/>
        <v>a1O1R000006c5ksUAA</v>
      </c>
      <c r="J480" s="157" t="s">
        <v>367</v>
      </c>
      <c r="K480" s="157" t="s">
        <v>498</v>
      </c>
      <c r="L480" s="157" t="s">
        <v>979</v>
      </c>
      <c r="M480" s="156" t="s">
        <v>2778</v>
      </c>
    </row>
    <row r="481" spans="1:13" s="9" customFormat="1" x14ac:dyDescent="0.25">
      <c r="A481" s="156" t="s">
        <v>8404</v>
      </c>
      <c r="B481" s="156" t="s">
        <v>8563</v>
      </c>
      <c r="C481" s="156" t="str">
        <f>CHOOSE(Translations!$C$1+1,J481,K481,L481,)</f>
        <v>No aplicable</v>
      </c>
      <c r="D481" s="156"/>
      <c r="E481" s="156" t="s">
        <v>3520</v>
      </c>
      <c r="F481" s="157" t="s">
        <v>8564</v>
      </c>
      <c r="G481" s="156" t="str">
        <f t="shared" si="19"/>
        <v>MCI-00690|No aplicable</v>
      </c>
      <c r="H481" s="156" t="str">
        <f t="shared" si="20"/>
        <v>MCI-00690|MCI-00881</v>
      </c>
      <c r="I481" s="156" t="str">
        <f t="shared" si="21"/>
        <v>a1O1R000006c5ktUAA</v>
      </c>
      <c r="J481" s="157" t="s">
        <v>367</v>
      </c>
      <c r="K481" s="157" t="s">
        <v>498</v>
      </c>
      <c r="L481" s="157" t="s">
        <v>979</v>
      </c>
      <c r="M481" s="156" t="s">
        <v>2778</v>
      </c>
    </row>
    <row r="482" spans="1:13" s="9" customFormat="1" x14ac:dyDescent="0.25">
      <c r="A482" s="156" t="s">
        <v>8404</v>
      </c>
      <c r="B482" s="156" t="s">
        <v>8565</v>
      </c>
      <c r="C482" s="156" t="str">
        <f>CHOOSE(Translations!$C$1+1,J482,K482,L482,)</f>
        <v>No aplicable</v>
      </c>
      <c r="D482" s="156"/>
      <c r="E482" s="156" t="s">
        <v>3525</v>
      </c>
      <c r="F482" s="157" t="s">
        <v>8566</v>
      </c>
      <c r="G482" s="156" t="str">
        <f t="shared" si="19"/>
        <v>MCI-00691|No aplicable</v>
      </c>
      <c r="H482" s="156" t="str">
        <f t="shared" si="20"/>
        <v>MCI-00691|MCI-00882</v>
      </c>
      <c r="I482" s="156" t="str">
        <f t="shared" si="21"/>
        <v>a1O1R000006c5kuUAA</v>
      </c>
      <c r="J482" s="157" t="s">
        <v>367</v>
      </c>
      <c r="K482" s="157" t="s">
        <v>498</v>
      </c>
      <c r="L482" s="157" t="s">
        <v>979</v>
      </c>
      <c r="M482" s="156" t="s">
        <v>2778</v>
      </c>
    </row>
    <row r="483" spans="1:13" s="9" customFormat="1" x14ac:dyDescent="0.25">
      <c r="A483" s="156" t="s">
        <v>8404</v>
      </c>
      <c r="B483" s="156" t="s">
        <v>8567</v>
      </c>
      <c r="C483" s="156" t="str">
        <f>CHOOSE(Translations!$C$1+1,J483,K483,L483,)</f>
        <v>No aplicable</v>
      </c>
      <c r="D483" s="156"/>
      <c r="E483" s="156" t="s">
        <v>3530</v>
      </c>
      <c r="F483" s="157" t="s">
        <v>8568</v>
      </c>
      <c r="G483" s="156" t="str">
        <f t="shared" si="19"/>
        <v>MCI-00692|No aplicable</v>
      </c>
      <c r="H483" s="156" t="str">
        <f t="shared" si="20"/>
        <v>MCI-00692|MCI-00883</v>
      </c>
      <c r="I483" s="156" t="str">
        <f t="shared" si="21"/>
        <v>a1O1R000006c5kvUAA</v>
      </c>
      <c r="J483" s="157" t="s">
        <v>367</v>
      </c>
      <c r="K483" s="157" t="s">
        <v>498</v>
      </c>
      <c r="L483" s="157" t="s">
        <v>979</v>
      </c>
      <c r="M483" s="156" t="s">
        <v>2778</v>
      </c>
    </row>
    <row r="484" spans="1:13" s="9" customFormat="1" x14ac:dyDescent="0.25">
      <c r="A484" s="156" t="s">
        <v>8404</v>
      </c>
      <c r="B484" s="156" t="s">
        <v>8569</v>
      </c>
      <c r="C484" s="156" t="str">
        <f>CHOOSE(Translations!$C$1+1,J484,K484,L484,)</f>
        <v>Trabajadores sexuales y sus clientes</v>
      </c>
      <c r="D484" s="156"/>
      <c r="E484" s="156" t="s">
        <v>3540</v>
      </c>
      <c r="F484" s="157" t="s">
        <v>8570</v>
      </c>
      <c r="G484" s="156" t="str">
        <f t="shared" si="19"/>
        <v>MCI-00693|Trabajadores sexuales y sus clientes</v>
      </c>
      <c r="H484" s="156" t="str">
        <f t="shared" si="20"/>
        <v>MCI-00693|MCI-00887</v>
      </c>
      <c r="I484" s="156" t="str">
        <f t="shared" si="21"/>
        <v>a1O1R000006c5kzUAA</v>
      </c>
      <c r="J484" s="157" t="s">
        <v>8416</v>
      </c>
      <c r="K484" s="157" t="s">
        <v>8417</v>
      </c>
      <c r="L484" s="157" t="s">
        <v>8418</v>
      </c>
      <c r="M484" s="156" t="s">
        <v>2778</v>
      </c>
    </row>
    <row r="485" spans="1:13" s="9" customFormat="1" x14ac:dyDescent="0.25">
      <c r="A485" s="156" t="s">
        <v>8404</v>
      </c>
      <c r="B485" s="156" t="s">
        <v>8571</v>
      </c>
      <c r="C485" s="156" t="str">
        <f>CHOOSE(Translations!$C$1+1,J485,K485,L485,)</f>
        <v>HSH</v>
      </c>
      <c r="D485" s="156"/>
      <c r="E485" s="156" t="s">
        <v>3540</v>
      </c>
      <c r="F485" s="157" t="s">
        <v>8572</v>
      </c>
      <c r="G485" s="156" t="str">
        <f t="shared" si="19"/>
        <v>MCI-00693|HSH</v>
      </c>
      <c r="H485" s="156" t="str">
        <f t="shared" si="20"/>
        <v>MCI-00693|MCI-00884</v>
      </c>
      <c r="I485" s="156" t="str">
        <f t="shared" si="21"/>
        <v>a1O1R000006c5kwUAA</v>
      </c>
      <c r="J485" s="157" t="s">
        <v>8412</v>
      </c>
      <c r="K485" s="157" t="s">
        <v>8413</v>
      </c>
      <c r="L485" s="157" t="s">
        <v>1856</v>
      </c>
      <c r="M485" s="156" t="s">
        <v>2778</v>
      </c>
    </row>
    <row r="486" spans="1:13" s="9" customFormat="1" x14ac:dyDescent="0.25">
      <c r="A486" s="156" t="s">
        <v>8404</v>
      </c>
      <c r="B486" s="156" t="s">
        <v>8573</v>
      </c>
      <c r="C486" s="156" t="str">
        <f>CHOOSE(Translations!$C$1+1,J486,K486,L486,)</f>
        <v>Personas transgénero</v>
      </c>
      <c r="D486" s="156"/>
      <c r="E486" s="156" t="s">
        <v>3540</v>
      </c>
      <c r="F486" s="157" t="s">
        <v>8574</v>
      </c>
      <c r="G486" s="156" t="str">
        <f t="shared" si="19"/>
        <v>MCI-00693|Personas transgénero</v>
      </c>
      <c r="H486" s="156" t="str">
        <f t="shared" si="20"/>
        <v>MCI-00693|MCI-00890</v>
      </c>
      <c r="I486" s="156" t="str">
        <f t="shared" si="21"/>
        <v>a1O1R000006c5l2UAA</v>
      </c>
      <c r="J486" s="157" t="s">
        <v>8421</v>
      </c>
      <c r="K486" s="157" t="s">
        <v>8422</v>
      </c>
      <c r="L486" s="157" t="s">
        <v>8423</v>
      </c>
      <c r="M486" s="156" t="s">
        <v>2778</v>
      </c>
    </row>
    <row r="487" spans="1:13" s="9" customFormat="1" x14ac:dyDescent="0.25">
      <c r="A487" s="156" t="s">
        <v>8404</v>
      </c>
      <c r="B487" s="156" t="s">
        <v>8575</v>
      </c>
      <c r="C487" s="156" t="str">
        <f>CHOOSE(Translations!$C$1+1,J487,K487,L487,)</f>
        <v>Consumidores de drogas inyectables y sus parejas</v>
      </c>
      <c r="D487" s="156"/>
      <c r="E487" s="156" t="s">
        <v>3540</v>
      </c>
      <c r="F487" s="157" t="s">
        <v>8576</v>
      </c>
      <c r="G487" s="156" t="str">
        <f t="shared" si="19"/>
        <v>MCI-00693|Consumidores de drogas inyectables y sus parejas</v>
      </c>
      <c r="H487" s="156" t="str">
        <f t="shared" si="20"/>
        <v>MCI-00693|MCI-00893</v>
      </c>
      <c r="I487" s="156" t="str">
        <f t="shared" si="21"/>
        <v>a1O1R000006c5l5UAA</v>
      </c>
      <c r="J487" s="157" t="s">
        <v>8426</v>
      </c>
      <c r="K487" s="157" t="s">
        <v>8427</v>
      </c>
      <c r="L487" s="157" t="s">
        <v>8428</v>
      </c>
      <c r="M487" s="156" t="s">
        <v>2778</v>
      </c>
    </row>
    <row r="488" spans="1:13" s="9" customFormat="1" x14ac:dyDescent="0.25">
      <c r="A488" s="156" t="s">
        <v>8404</v>
      </c>
      <c r="B488" s="156" t="s">
        <v>8577</v>
      </c>
      <c r="C488" s="156" t="str">
        <f>CHOOSE(Translations!$C$1+1,J488,K488,L488,)</f>
        <v>Otras poblaciones vulnerables</v>
      </c>
      <c r="D488" s="156"/>
      <c r="E488" s="156" t="s">
        <v>3540</v>
      </c>
      <c r="F488" s="157" t="s">
        <v>8578</v>
      </c>
      <c r="G488" s="156" t="str">
        <f t="shared" si="19"/>
        <v>MCI-00693|Otras poblaciones vulnerables</v>
      </c>
      <c r="H488" s="156" t="str">
        <f t="shared" si="20"/>
        <v>MCI-00693|MCI-00898</v>
      </c>
      <c r="I488" s="156" t="str">
        <f t="shared" si="21"/>
        <v>a1O1R000006c5lAUAQ</v>
      </c>
      <c r="J488" s="157" t="s">
        <v>8436</v>
      </c>
      <c r="K488" s="157" t="s">
        <v>8437</v>
      </c>
      <c r="L488" s="157" t="s">
        <v>8438</v>
      </c>
      <c r="M488" s="156" t="s">
        <v>2778</v>
      </c>
    </row>
    <row r="489" spans="1:13" s="9" customFormat="1" x14ac:dyDescent="0.25">
      <c r="A489" s="156" t="s">
        <v>8404</v>
      </c>
      <c r="B489" s="156" t="s">
        <v>8579</v>
      </c>
      <c r="C489" s="156" t="str">
        <f>CHOOSE(Translations!$C$1+1,J489,K489,L489,)</f>
        <v>Niñas adolescentes y mujeres jóvenes en entornos de alta prevalencia</v>
      </c>
      <c r="D489" s="156"/>
      <c r="E489" s="156" t="s">
        <v>3540</v>
      </c>
      <c r="F489" s="157" t="s">
        <v>8580</v>
      </c>
      <c r="G489" s="156" t="str">
        <f t="shared" si="19"/>
        <v>MCI-00693|Niñas adolescentes y mujeres jóvenes en entornos de alta prevalencia</v>
      </c>
      <c r="H489" s="156" t="str">
        <f t="shared" si="20"/>
        <v>MCI-00693|MCI-00901</v>
      </c>
      <c r="I489" s="156" t="str">
        <f t="shared" si="21"/>
        <v>a1O1R000006c5lDUAQ</v>
      </c>
      <c r="J489" s="157" t="s">
        <v>8441</v>
      </c>
      <c r="K489" s="157" t="s">
        <v>8442</v>
      </c>
      <c r="L489" s="157" t="s">
        <v>8443</v>
      </c>
      <c r="M489" s="156" t="s">
        <v>2778</v>
      </c>
    </row>
    <row r="490" spans="1:13" s="9" customFormat="1" x14ac:dyDescent="0.25">
      <c r="A490" s="156" t="s">
        <v>8404</v>
      </c>
      <c r="B490" s="156" t="s">
        <v>8581</v>
      </c>
      <c r="C490" s="156" t="str">
        <f>CHOOSE(Translations!$C$1+1,J490,K490,L490,)</f>
        <v>Hombres en entornos de alta prevalencia</v>
      </c>
      <c r="D490" s="156"/>
      <c r="E490" s="156" t="s">
        <v>3540</v>
      </c>
      <c r="F490" s="157" t="s">
        <v>8582</v>
      </c>
      <c r="G490" s="156" t="str">
        <f t="shared" si="19"/>
        <v>MCI-00693|Hombres en entornos de alta prevalencia</v>
      </c>
      <c r="H490" s="156" t="str">
        <f t="shared" si="20"/>
        <v>MCI-00693|MCI-00904</v>
      </c>
      <c r="I490" s="156" t="str">
        <f t="shared" si="21"/>
        <v>a1O1R000006c5lGUAQ</v>
      </c>
      <c r="J490" s="157" t="s">
        <v>8407</v>
      </c>
      <c r="K490" s="157" t="s">
        <v>8408</v>
      </c>
      <c r="L490" s="157" t="s">
        <v>8409</v>
      </c>
      <c r="M490" s="156" t="s">
        <v>2778</v>
      </c>
    </row>
    <row r="491" spans="1:13" s="9" customFormat="1" x14ac:dyDescent="0.25">
      <c r="A491" s="156" t="s">
        <v>8404</v>
      </c>
      <c r="B491" s="156" t="s">
        <v>8583</v>
      </c>
      <c r="C491" s="156" t="str">
        <f>CHOOSE(Translations!$C$1+1,J491,K491,L491,)</f>
        <v>Grupos de población no específicos</v>
      </c>
      <c r="D491" s="156"/>
      <c r="E491" s="156" t="s">
        <v>3540</v>
      </c>
      <c r="F491" s="157" t="s">
        <v>8584</v>
      </c>
      <c r="G491" s="156" t="str">
        <f t="shared" si="19"/>
        <v>MCI-00693|Grupos de población no específicos</v>
      </c>
      <c r="H491" s="156" t="str">
        <f t="shared" si="20"/>
        <v>MCI-00693|MCI-00907</v>
      </c>
      <c r="I491" s="156" t="str">
        <f t="shared" si="21"/>
        <v>a1O1R000006c5lJUAQ</v>
      </c>
      <c r="J491" s="157" t="s">
        <v>8556</v>
      </c>
      <c r="K491" s="157" t="s">
        <v>8557</v>
      </c>
      <c r="L491" s="157" t="s">
        <v>8558</v>
      </c>
      <c r="M491" s="156" t="s">
        <v>2778</v>
      </c>
    </row>
    <row r="492" spans="1:13" s="9" customFormat="1" x14ac:dyDescent="0.25">
      <c r="A492" s="156" t="s">
        <v>8404</v>
      </c>
      <c r="B492" s="156" t="s">
        <v>8585</v>
      </c>
      <c r="C492" s="156" t="str">
        <f>CHOOSE(Translations!$C$1+1,J492,K492,L492,)</f>
        <v>Parejas de personas que viven con el VIH</v>
      </c>
      <c r="D492" s="156"/>
      <c r="E492" s="156" t="s">
        <v>3540</v>
      </c>
      <c r="F492" s="157" t="s">
        <v>8586</v>
      </c>
      <c r="G492" s="156" t="str">
        <f t="shared" si="19"/>
        <v>MCI-00693|Parejas de personas que viven con el VIH</v>
      </c>
      <c r="H492" s="156" t="str">
        <f t="shared" si="20"/>
        <v>MCI-00693|MCI-00910</v>
      </c>
      <c r="I492" s="156" t="str">
        <f t="shared" si="21"/>
        <v>a1O1R000006c5lMUAQ</v>
      </c>
      <c r="J492" s="157" t="s">
        <v>8587</v>
      </c>
      <c r="K492" s="157" t="s">
        <v>8588</v>
      </c>
      <c r="L492" s="157" t="s">
        <v>8589</v>
      </c>
      <c r="M492" s="156" t="s">
        <v>2778</v>
      </c>
    </row>
    <row r="493" spans="1:13" s="9" customFormat="1" x14ac:dyDescent="0.25">
      <c r="A493" s="156" t="s">
        <v>8404</v>
      </c>
      <c r="B493" s="156" t="s">
        <v>8590</v>
      </c>
      <c r="C493" s="156" t="str">
        <f>CHOOSE(Translations!$C$1+1,J493,K493,L493,)</f>
        <v>HSH</v>
      </c>
      <c r="D493" s="156"/>
      <c r="E493" s="156" t="s">
        <v>3535</v>
      </c>
      <c r="F493" s="157" t="s">
        <v>8591</v>
      </c>
      <c r="G493" s="156" t="str">
        <f t="shared" si="19"/>
        <v>MCI-00694|HSH</v>
      </c>
      <c r="H493" s="156" t="str">
        <f t="shared" si="20"/>
        <v>MCI-00694|MCI-00885</v>
      </c>
      <c r="I493" s="156" t="str">
        <f t="shared" si="21"/>
        <v>a1O1R000006c5kxUAA</v>
      </c>
      <c r="J493" s="157" t="s">
        <v>8412</v>
      </c>
      <c r="K493" s="157" t="s">
        <v>8413</v>
      </c>
      <c r="L493" s="157" t="s">
        <v>1856</v>
      </c>
      <c r="M493" s="156" t="s">
        <v>2778</v>
      </c>
    </row>
    <row r="494" spans="1:13" s="9" customFormat="1" x14ac:dyDescent="0.25">
      <c r="A494" s="156" t="s">
        <v>8404</v>
      </c>
      <c r="B494" s="156" t="s">
        <v>8592</v>
      </c>
      <c r="C494" s="156" t="str">
        <f>CHOOSE(Translations!$C$1+1,J494,K494,L494,)</f>
        <v>Trabajadores sexuales y sus clientes</v>
      </c>
      <c r="D494" s="156"/>
      <c r="E494" s="156" t="s">
        <v>3535</v>
      </c>
      <c r="F494" s="157" t="s">
        <v>8593</v>
      </c>
      <c r="G494" s="156" t="str">
        <f t="shared" si="19"/>
        <v>MCI-00694|Trabajadores sexuales y sus clientes</v>
      </c>
      <c r="H494" s="156" t="str">
        <f t="shared" si="20"/>
        <v>MCI-00694|MCI-00888</v>
      </c>
      <c r="I494" s="156" t="str">
        <f t="shared" si="21"/>
        <v>a1O1R000006c5l0UAA</v>
      </c>
      <c r="J494" s="157" t="s">
        <v>8416</v>
      </c>
      <c r="K494" s="157" t="s">
        <v>8417</v>
      </c>
      <c r="L494" s="157" t="s">
        <v>8418</v>
      </c>
      <c r="M494" s="156" t="s">
        <v>2778</v>
      </c>
    </row>
    <row r="495" spans="1:13" s="9" customFormat="1" x14ac:dyDescent="0.25">
      <c r="A495" s="156" t="s">
        <v>8404</v>
      </c>
      <c r="B495" s="156" t="s">
        <v>8594</v>
      </c>
      <c r="C495" s="156" t="str">
        <f>CHOOSE(Translations!$C$1+1,J495,K495,L495,)</f>
        <v>Personas transgénero</v>
      </c>
      <c r="D495" s="156"/>
      <c r="E495" s="156" t="s">
        <v>3535</v>
      </c>
      <c r="F495" s="157" t="s">
        <v>8595</v>
      </c>
      <c r="G495" s="156" t="str">
        <f t="shared" si="19"/>
        <v>MCI-00694|Personas transgénero</v>
      </c>
      <c r="H495" s="156" t="str">
        <f t="shared" si="20"/>
        <v>MCI-00694|MCI-00891</v>
      </c>
      <c r="I495" s="156" t="str">
        <f t="shared" si="21"/>
        <v>a1O1R000006c5l3UAA</v>
      </c>
      <c r="J495" s="157" t="s">
        <v>8421</v>
      </c>
      <c r="K495" s="157" t="s">
        <v>8422</v>
      </c>
      <c r="L495" s="157" t="s">
        <v>8423</v>
      </c>
      <c r="M495" s="156" t="s">
        <v>2778</v>
      </c>
    </row>
    <row r="496" spans="1:13" s="9" customFormat="1" x14ac:dyDescent="0.25">
      <c r="A496" s="156" t="s">
        <v>8404</v>
      </c>
      <c r="B496" s="156" t="s">
        <v>8596</v>
      </c>
      <c r="C496" s="156" t="str">
        <f>CHOOSE(Translations!$C$1+1,J496,K496,L496,)</f>
        <v>Consumidores de drogas inyectables y sus parejas</v>
      </c>
      <c r="D496" s="156"/>
      <c r="E496" s="156" t="s">
        <v>3535</v>
      </c>
      <c r="F496" s="157" t="s">
        <v>8597</v>
      </c>
      <c r="G496" s="156" t="str">
        <f t="shared" si="19"/>
        <v>MCI-00694|Consumidores de drogas inyectables y sus parejas</v>
      </c>
      <c r="H496" s="156" t="str">
        <f t="shared" si="20"/>
        <v>MCI-00694|MCI-00894</v>
      </c>
      <c r="I496" s="156" t="str">
        <f t="shared" si="21"/>
        <v>a1O1R000006c5l6UAA</v>
      </c>
      <c r="J496" s="157" t="s">
        <v>8426</v>
      </c>
      <c r="K496" s="157" t="s">
        <v>8427</v>
      </c>
      <c r="L496" s="157" t="s">
        <v>8428</v>
      </c>
      <c r="M496" s="156" t="s">
        <v>2778</v>
      </c>
    </row>
    <row r="497" spans="1:13" s="9" customFormat="1" x14ac:dyDescent="0.25">
      <c r="A497" s="156" t="s">
        <v>8404</v>
      </c>
      <c r="B497" s="156" t="s">
        <v>8598</v>
      </c>
      <c r="C497" s="156" t="str">
        <f>CHOOSE(Translations!$C$1+1,J497,K497,L497,)</f>
        <v>Personas privadas de libertad en centros penitenciarios y otros lugares de reclusión</v>
      </c>
      <c r="D497" s="156"/>
      <c r="E497" s="156" t="s">
        <v>3535</v>
      </c>
      <c r="F497" s="157" t="s">
        <v>8599</v>
      </c>
      <c r="G497" s="156" t="str">
        <f t="shared" si="19"/>
        <v>MCI-00694|Personas privadas de libertad en centros penitenciarios y otros lugares de reclusión</v>
      </c>
      <c r="H497" s="156" t="str">
        <f t="shared" si="20"/>
        <v>MCI-00694|MCI-00896</v>
      </c>
      <c r="I497" s="156" t="str">
        <f t="shared" si="21"/>
        <v>a1O1R000006c5l8UAA</v>
      </c>
      <c r="J497" s="157" t="s">
        <v>8431</v>
      </c>
      <c r="K497" s="157" t="s">
        <v>8432</v>
      </c>
      <c r="L497" s="157" t="s">
        <v>8433</v>
      </c>
      <c r="M497" s="156" t="s">
        <v>2778</v>
      </c>
    </row>
    <row r="498" spans="1:13" s="9" customFormat="1" x14ac:dyDescent="0.25">
      <c r="A498" s="156" t="s">
        <v>8404</v>
      </c>
      <c r="B498" s="156" t="s">
        <v>8600</v>
      </c>
      <c r="C498" s="156" t="str">
        <f>CHOOSE(Translations!$C$1+1,J498,K498,L498,)</f>
        <v>Otras poblaciones vulnerables</v>
      </c>
      <c r="D498" s="156"/>
      <c r="E498" s="156" t="s">
        <v>3535</v>
      </c>
      <c r="F498" s="157" t="s">
        <v>8601</v>
      </c>
      <c r="G498" s="156" t="str">
        <f t="shared" si="19"/>
        <v>MCI-00694|Otras poblaciones vulnerables</v>
      </c>
      <c r="H498" s="156" t="str">
        <f t="shared" si="20"/>
        <v>MCI-00694|MCI-00899</v>
      </c>
      <c r="I498" s="156" t="str">
        <f t="shared" si="21"/>
        <v>a1O1R000006c5lBUAQ</v>
      </c>
      <c r="J498" s="157" t="s">
        <v>8436</v>
      </c>
      <c r="K498" s="157" t="s">
        <v>8437</v>
      </c>
      <c r="L498" s="157" t="s">
        <v>8438</v>
      </c>
      <c r="M498" s="156" t="s">
        <v>2778</v>
      </c>
    </row>
    <row r="499" spans="1:13" s="9" customFormat="1" x14ac:dyDescent="0.25">
      <c r="A499" s="156" t="s">
        <v>8404</v>
      </c>
      <c r="B499" s="156" t="s">
        <v>8602</v>
      </c>
      <c r="C499" s="156" t="str">
        <f>CHOOSE(Translations!$C$1+1,J499,K499,L499,)</f>
        <v>Niñas adolescentes y mujeres jóvenes en entornos de alta prevalencia</v>
      </c>
      <c r="D499" s="156"/>
      <c r="E499" s="156" t="s">
        <v>3535</v>
      </c>
      <c r="F499" s="157" t="s">
        <v>8603</v>
      </c>
      <c r="G499" s="156" t="str">
        <f t="shared" si="19"/>
        <v>MCI-00694|Niñas adolescentes y mujeres jóvenes en entornos de alta prevalencia</v>
      </c>
      <c r="H499" s="156" t="str">
        <f t="shared" si="20"/>
        <v>MCI-00694|MCI-00902</v>
      </c>
      <c r="I499" s="156" t="str">
        <f t="shared" si="21"/>
        <v>a1O1R000006c5lEUAQ</v>
      </c>
      <c r="J499" s="157" t="s">
        <v>8441</v>
      </c>
      <c r="K499" s="157" t="s">
        <v>8442</v>
      </c>
      <c r="L499" s="157" t="s">
        <v>8443</v>
      </c>
      <c r="M499" s="156" t="s">
        <v>2778</v>
      </c>
    </row>
    <row r="500" spans="1:13" s="9" customFormat="1" x14ac:dyDescent="0.25">
      <c r="A500" s="156" t="s">
        <v>8404</v>
      </c>
      <c r="B500" s="156" t="s">
        <v>8604</v>
      </c>
      <c r="C500" s="156" t="str">
        <f>CHOOSE(Translations!$C$1+1,J500,K500,L500,)</f>
        <v>Hombres en entornos de alta prevalencia</v>
      </c>
      <c r="D500" s="156"/>
      <c r="E500" s="156" t="s">
        <v>3535</v>
      </c>
      <c r="F500" s="157" t="s">
        <v>8605</v>
      </c>
      <c r="G500" s="156" t="str">
        <f t="shared" si="19"/>
        <v>MCI-00694|Hombres en entornos de alta prevalencia</v>
      </c>
      <c r="H500" s="156" t="str">
        <f t="shared" si="20"/>
        <v>MCI-00694|MCI-00905</v>
      </c>
      <c r="I500" s="156" t="str">
        <f t="shared" si="21"/>
        <v>a1O1R000006c5lHUAQ</v>
      </c>
      <c r="J500" s="157" t="s">
        <v>8407</v>
      </c>
      <c r="K500" s="157" t="s">
        <v>8408</v>
      </c>
      <c r="L500" s="157" t="s">
        <v>8409</v>
      </c>
      <c r="M500" s="156" t="s">
        <v>2778</v>
      </c>
    </row>
    <row r="501" spans="1:13" s="9" customFormat="1" x14ac:dyDescent="0.25">
      <c r="A501" s="156" t="s">
        <v>8404</v>
      </c>
      <c r="B501" s="156" t="s">
        <v>8606</v>
      </c>
      <c r="C501" s="156" t="str">
        <f>CHOOSE(Translations!$C$1+1,J501,K501,L501,)</f>
        <v>Grupos de población no específicos</v>
      </c>
      <c r="D501" s="156"/>
      <c r="E501" s="156" t="s">
        <v>3535</v>
      </c>
      <c r="F501" s="157" t="s">
        <v>8607</v>
      </c>
      <c r="G501" s="156" t="str">
        <f t="shared" si="19"/>
        <v>MCI-00694|Grupos de población no específicos</v>
      </c>
      <c r="H501" s="156" t="str">
        <f t="shared" si="20"/>
        <v>MCI-00694|MCI-00908</v>
      </c>
      <c r="I501" s="156" t="str">
        <f t="shared" si="21"/>
        <v>a1O1R000006c5lKUAQ</v>
      </c>
      <c r="J501" s="157" t="s">
        <v>8556</v>
      </c>
      <c r="K501" s="157" t="s">
        <v>8557</v>
      </c>
      <c r="L501" s="157" t="s">
        <v>8558</v>
      </c>
      <c r="M501" s="156" t="s">
        <v>2778</v>
      </c>
    </row>
    <row r="502" spans="1:13" s="9" customFormat="1" x14ac:dyDescent="0.25">
      <c r="A502" s="156" t="s">
        <v>8404</v>
      </c>
      <c r="B502" s="156" t="s">
        <v>8608</v>
      </c>
      <c r="C502" s="156" t="str">
        <f>CHOOSE(Translations!$C$1+1,J502,K502,L502,)</f>
        <v>Parejas de personas que viven con el VIH</v>
      </c>
      <c r="D502" s="156"/>
      <c r="E502" s="156" t="s">
        <v>3535</v>
      </c>
      <c r="F502" s="157" t="s">
        <v>8609</v>
      </c>
      <c r="G502" s="156" t="str">
        <f t="shared" si="19"/>
        <v>MCI-00694|Parejas de personas que viven con el VIH</v>
      </c>
      <c r="H502" s="156" t="str">
        <f t="shared" si="20"/>
        <v>MCI-00694|MCI-00911</v>
      </c>
      <c r="I502" s="156" t="str">
        <f t="shared" si="21"/>
        <v>a1O1R000006c5lNUAQ</v>
      </c>
      <c r="J502" s="157" t="s">
        <v>8587</v>
      </c>
      <c r="K502" s="157" t="s">
        <v>8588</v>
      </c>
      <c r="L502" s="157" t="s">
        <v>8589</v>
      </c>
      <c r="M502" s="156" t="s">
        <v>2778</v>
      </c>
    </row>
    <row r="503" spans="1:13" s="9" customFormat="1" x14ac:dyDescent="0.25">
      <c r="A503" s="156" t="s">
        <v>8404</v>
      </c>
      <c r="B503" s="156" t="s">
        <v>8610</v>
      </c>
      <c r="C503" s="156" t="str">
        <f>CHOOSE(Translations!$C$1+1,J503,K503,L503,)</f>
        <v>HSH</v>
      </c>
      <c r="D503" s="156"/>
      <c r="E503" s="156" t="s">
        <v>3545</v>
      </c>
      <c r="F503" s="157" t="s">
        <v>8611</v>
      </c>
      <c r="G503" s="156" t="str">
        <f t="shared" si="19"/>
        <v>MCI-00695|HSH</v>
      </c>
      <c r="H503" s="156" t="str">
        <f t="shared" si="20"/>
        <v>MCI-00695|MCI-00886</v>
      </c>
      <c r="I503" s="156" t="str">
        <f t="shared" si="21"/>
        <v>a1O1R000006c5kyUAA</v>
      </c>
      <c r="J503" s="157" t="s">
        <v>8412</v>
      </c>
      <c r="K503" s="157" t="s">
        <v>8413</v>
      </c>
      <c r="L503" s="157" t="s">
        <v>1856</v>
      </c>
      <c r="M503" s="156" t="s">
        <v>2778</v>
      </c>
    </row>
    <row r="504" spans="1:13" s="9" customFormat="1" x14ac:dyDescent="0.25">
      <c r="A504" s="156" t="s">
        <v>8404</v>
      </c>
      <c r="B504" s="156" t="s">
        <v>8612</v>
      </c>
      <c r="C504" s="156" t="str">
        <f>CHOOSE(Translations!$C$1+1,J504,K504,L504,)</f>
        <v>Trabajadores sexuales y sus clientes</v>
      </c>
      <c r="D504" s="156"/>
      <c r="E504" s="156" t="s">
        <v>3545</v>
      </c>
      <c r="F504" s="157" t="s">
        <v>8613</v>
      </c>
      <c r="G504" s="156" t="str">
        <f t="shared" si="19"/>
        <v>MCI-00695|Trabajadores sexuales y sus clientes</v>
      </c>
      <c r="H504" s="156" t="str">
        <f t="shared" si="20"/>
        <v>MCI-00695|MCI-00889</v>
      </c>
      <c r="I504" s="156" t="str">
        <f t="shared" si="21"/>
        <v>a1O1R000006c5l1UAA</v>
      </c>
      <c r="J504" s="157" t="s">
        <v>8416</v>
      </c>
      <c r="K504" s="157" t="s">
        <v>8417</v>
      </c>
      <c r="L504" s="157" t="s">
        <v>8418</v>
      </c>
      <c r="M504" s="156" t="s">
        <v>2778</v>
      </c>
    </row>
    <row r="505" spans="1:13" s="9" customFormat="1" x14ac:dyDescent="0.25">
      <c r="A505" s="156" t="s">
        <v>8404</v>
      </c>
      <c r="B505" s="156" t="s">
        <v>8614</v>
      </c>
      <c r="C505" s="156" t="str">
        <f>CHOOSE(Translations!$C$1+1,J505,K505,L505,)</f>
        <v>Personas transgénero</v>
      </c>
      <c r="D505" s="156"/>
      <c r="E505" s="156" t="s">
        <v>3545</v>
      </c>
      <c r="F505" s="157" t="s">
        <v>8615</v>
      </c>
      <c r="G505" s="156" t="str">
        <f t="shared" si="19"/>
        <v>MCI-00695|Personas transgénero</v>
      </c>
      <c r="H505" s="156" t="str">
        <f t="shared" si="20"/>
        <v>MCI-00695|MCI-00892</v>
      </c>
      <c r="I505" s="156" t="str">
        <f t="shared" si="21"/>
        <v>a1O1R000006c5l4UAA</v>
      </c>
      <c r="J505" s="157" t="s">
        <v>8421</v>
      </c>
      <c r="K505" s="157" t="s">
        <v>8422</v>
      </c>
      <c r="L505" s="157" t="s">
        <v>8423</v>
      </c>
      <c r="M505" s="156" t="s">
        <v>2778</v>
      </c>
    </row>
    <row r="506" spans="1:13" s="9" customFormat="1" x14ac:dyDescent="0.25">
      <c r="A506" s="156" t="s">
        <v>8404</v>
      </c>
      <c r="B506" s="156" t="s">
        <v>8616</v>
      </c>
      <c r="C506" s="156" t="str">
        <f>CHOOSE(Translations!$C$1+1,J506,K506,L506,)</f>
        <v>Consumidores de drogas inyectables y sus parejas</v>
      </c>
      <c r="D506" s="156"/>
      <c r="E506" s="156" t="s">
        <v>3545</v>
      </c>
      <c r="F506" s="157" t="s">
        <v>8617</v>
      </c>
      <c r="G506" s="156" t="str">
        <f t="shared" si="19"/>
        <v>MCI-00695|Consumidores de drogas inyectables y sus parejas</v>
      </c>
      <c r="H506" s="156" t="str">
        <f t="shared" si="20"/>
        <v>MCI-00695|MCI-00895</v>
      </c>
      <c r="I506" s="156" t="str">
        <f t="shared" si="21"/>
        <v>a1O1R000006c5l7UAA</v>
      </c>
      <c r="J506" s="157" t="s">
        <v>8426</v>
      </c>
      <c r="K506" s="157" t="s">
        <v>8427</v>
      </c>
      <c r="L506" s="157" t="s">
        <v>8428</v>
      </c>
      <c r="M506" s="156" t="s">
        <v>2778</v>
      </c>
    </row>
    <row r="507" spans="1:13" s="9" customFormat="1" x14ac:dyDescent="0.25">
      <c r="A507" s="156" t="s">
        <v>8404</v>
      </c>
      <c r="B507" s="156" t="s">
        <v>8618</v>
      </c>
      <c r="C507" s="156" t="str">
        <f>CHOOSE(Translations!$C$1+1,J507,K507,L507,)</f>
        <v>Personas privadas de libertad en centros penitenciarios y otros lugares de reclusión</v>
      </c>
      <c r="D507" s="156"/>
      <c r="E507" s="156" t="s">
        <v>3545</v>
      </c>
      <c r="F507" s="157" t="s">
        <v>8619</v>
      </c>
      <c r="G507" s="156" t="str">
        <f t="shared" si="19"/>
        <v>MCI-00695|Personas privadas de libertad en centros penitenciarios y otros lugares de reclusión</v>
      </c>
      <c r="H507" s="156" t="str">
        <f t="shared" si="20"/>
        <v>MCI-00695|MCI-00897</v>
      </c>
      <c r="I507" s="156" t="str">
        <f t="shared" si="21"/>
        <v>a1O1R000006c5l9UAA</v>
      </c>
      <c r="J507" s="157" t="s">
        <v>8431</v>
      </c>
      <c r="K507" s="157" t="s">
        <v>8432</v>
      </c>
      <c r="L507" s="157" t="s">
        <v>8433</v>
      </c>
      <c r="M507" s="156" t="s">
        <v>2778</v>
      </c>
    </row>
    <row r="508" spans="1:13" s="9" customFormat="1" x14ac:dyDescent="0.25">
      <c r="A508" s="156" t="s">
        <v>8404</v>
      </c>
      <c r="B508" s="156" t="s">
        <v>8620</v>
      </c>
      <c r="C508" s="156" t="str">
        <f>CHOOSE(Translations!$C$1+1,J508,K508,L508,)</f>
        <v>Otras poblaciones vulnerables</v>
      </c>
      <c r="D508" s="156"/>
      <c r="E508" s="156" t="s">
        <v>3545</v>
      </c>
      <c r="F508" s="157" t="s">
        <v>8621</v>
      </c>
      <c r="G508" s="156" t="str">
        <f t="shared" si="19"/>
        <v>MCI-00695|Otras poblaciones vulnerables</v>
      </c>
      <c r="H508" s="156" t="str">
        <f t="shared" si="20"/>
        <v>MCI-00695|MCI-00900</v>
      </c>
      <c r="I508" s="156" t="str">
        <f t="shared" si="21"/>
        <v>a1O1R000006c5lCUAQ</v>
      </c>
      <c r="J508" s="157" t="s">
        <v>8436</v>
      </c>
      <c r="K508" s="157" t="s">
        <v>8437</v>
      </c>
      <c r="L508" s="157" t="s">
        <v>8438</v>
      </c>
      <c r="M508" s="156" t="s">
        <v>2778</v>
      </c>
    </row>
    <row r="509" spans="1:13" s="9" customFormat="1" x14ac:dyDescent="0.25">
      <c r="A509" s="156" t="s">
        <v>8404</v>
      </c>
      <c r="B509" s="156" t="s">
        <v>8622</v>
      </c>
      <c r="C509" s="156" t="str">
        <f>CHOOSE(Translations!$C$1+1,J509,K509,L509,)</f>
        <v>Niñas adolescentes y mujeres jóvenes en entornos de alta prevalencia</v>
      </c>
      <c r="D509" s="156"/>
      <c r="E509" s="156" t="s">
        <v>3545</v>
      </c>
      <c r="F509" s="157" t="s">
        <v>8623</v>
      </c>
      <c r="G509" s="156" t="str">
        <f t="shared" si="19"/>
        <v>MCI-00695|Niñas adolescentes y mujeres jóvenes en entornos de alta prevalencia</v>
      </c>
      <c r="H509" s="156" t="str">
        <f t="shared" si="20"/>
        <v>MCI-00695|MCI-00903</v>
      </c>
      <c r="I509" s="156" t="str">
        <f t="shared" si="21"/>
        <v>a1O1R000006c5lFUAQ</v>
      </c>
      <c r="J509" s="157" t="s">
        <v>8441</v>
      </c>
      <c r="K509" s="157" t="s">
        <v>8442</v>
      </c>
      <c r="L509" s="157" t="s">
        <v>8443</v>
      </c>
      <c r="M509" s="156" t="s">
        <v>2778</v>
      </c>
    </row>
    <row r="510" spans="1:13" s="9" customFormat="1" x14ac:dyDescent="0.25">
      <c r="A510" s="156" t="s">
        <v>8404</v>
      </c>
      <c r="B510" s="156" t="s">
        <v>8624</v>
      </c>
      <c r="C510" s="156" t="str">
        <f>CHOOSE(Translations!$C$1+1,J510,K510,L510,)</f>
        <v>Hombres en entornos de alta prevalencia</v>
      </c>
      <c r="D510" s="156"/>
      <c r="E510" s="156" t="s">
        <v>3545</v>
      </c>
      <c r="F510" s="157" t="s">
        <v>8625</v>
      </c>
      <c r="G510" s="156" t="str">
        <f t="shared" si="19"/>
        <v>MCI-00695|Hombres en entornos de alta prevalencia</v>
      </c>
      <c r="H510" s="156" t="str">
        <f t="shared" si="20"/>
        <v>MCI-00695|MCI-00906</v>
      </c>
      <c r="I510" s="156" t="str">
        <f t="shared" si="21"/>
        <v>a1O1R000006c5lIUAQ</v>
      </c>
      <c r="J510" s="157" t="s">
        <v>8407</v>
      </c>
      <c r="K510" s="157" t="s">
        <v>8408</v>
      </c>
      <c r="L510" s="157" t="s">
        <v>8409</v>
      </c>
      <c r="M510" s="156" t="s">
        <v>2778</v>
      </c>
    </row>
    <row r="511" spans="1:13" s="9" customFormat="1" x14ac:dyDescent="0.25">
      <c r="A511" s="156" t="s">
        <v>8404</v>
      </c>
      <c r="B511" s="156" t="s">
        <v>8626</v>
      </c>
      <c r="C511" s="156" t="str">
        <f>CHOOSE(Translations!$C$1+1,J511,K511,L511,)</f>
        <v>Grupos de población no específicos</v>
      </c>
      <c r="D511" s="156"/>
      <c r="E511" s="156" t="s">
        <v>3545</v>
      </c>
      <c r="F511" s="157" t="s">
        <v>8627</v>
      </c>
      <c r="G511" s="156" t="str">
        <f t="shared" si="19"/>
        <v>MCI-00695|Grupos de población no específicos</v>
      </c>
      <c r="H511" s="156" t="str">
        <f t="shared" si="20"/>
        <v>MCI-00695|MCI-00909</v>
      </c>
      <c r="I511" s="156" t="str">
        <f t="shared" si="21"/>
        <v>a1O1R000006c5lLUAQ</v>
      </c>
      <c r="J511" s="157" t="s">
        <v>8556</v>
      </c>
      <c r="K511" s="157" t="s">
        <v>8557</v>
      </c>
      <c r="L511" s="157" t="s">
        <v>8558</v>
      </c>
      <c r="M511" s="156" t="s">
        <v>2778</v>
      </c>
    </row>
    <row r="512" spans="1:13" s="9" customFormat="1" x14ac:dyDescent="0.25">
      <c r="A512" s="156" t="s">
        <v>8404</v>
      </c>
      <c r="B512" s="156" t="s">
        <v>8628</v>
      </c>
      <c r="C512" s="156" t="str">
        <f>CHOOSE(Translations!$C$1+1,J512,K512,L512,)</f>
        <v>Parejas de personas que viven con el VIH</v>
      </c>
      <c r="D512" s="156"/>
      <c r="E512" s="156" t="s">
        <v>3545</v>
      </c>
      <c r="F512" s="157" t="s">
        <v>8629</v>
      </c>
      <c r="G512" s="156" t="str">
        <f t="shared" si="19"/>
        <v>MCI-00695|Parejas de personas que viven con el VIH</v>
      </c>
      <c r="H512" s="156" t="str">
        <f t="shared" si="20"/>
        <v>MCI-00695|MCI-00912</v>
      </c>
      <c r="I512" s="156" t="str">
        <f t="shared" si="21"/>
        <v>a1O1R000006c5lOUAQ</v>
      </c>
      <c r="J512" s="157" t="s">
        <v>8587</v>
      </c>
      <c r="K512" s="157" t="s">
        <v>8588</v>
      </c>
      <c r="L512" s="157" t="s">
        <v>8589</v>
      </c>
      <c r="M512" s="156" t="s">
        <v>2778</v>
      </c>
    </row>
    <row r="513" spans="1:13" s="9" customFormat="1" x14ac:dyDescent="0.25">
      <c r="A513" s="156" t="s">
        <v>8404</v>
      </c>
      <c r="B513" s="156" t="s">
        <v>8630</v>
      </c>
      <c r="C513" s="156" t="str">
        <f>CHOOSE(Translations!$C$1+1,J513,K513,L513,)</f>
        <v>Todas las personas que viven con el VIH</v>
      </c>
      <c r="D513" s="156"/>
      <c r="E513" s="156" t="s">
        <v>3555</v>
      </c>
      <c r="F513" s="157" t="s">
        <v>8631</v>
      </c>
      <c r="G513" s="156" t="str">
        <f t="shared" si="19"/>
        <v>MCI-00696|Todas las personas que viven con el VIH</v>
      </c>
      <c r="H513" s="156" t="str">
        <f t="shared" si="20"/>
        <v>MCI-00696|MCI-00913</v>
      </c>
      <c r="I513" s="156" t="str">
        <f t="shared" si="21"/>
        <v>a1O1R000006c5lPUAQ</v>
      </c>
      <c r="J513" s="157" t="s">
        <v>8632</v>
      </c>
      <c r="K513" s="157" t="s">
        <v>8633</v>
      </c>
      <c r="L513" s="157" t="s">
        <v>8634</v>
      </c>
      <c r="M513" s="156" t="s">
        <v>2778</v>
      </c>
    </row>
    <row r="514" spans="1:13" s="9" customFormat="1" x14ac:dyDescent="0.25">
      <c r="A514" s="156" t="s">
        <v>8404</v>
      </c>
      <c r="B514" s="156" t="s">
        <v>8635</v>
      </c>
      <c r="C514" s="156" t="str">
        <f>CHOOSE(Translations!$C$1+1,J514,K514,L514,)</f>
        <v>Personas adultas que viven con el VIH (15 años o más)</v>
      </c>
      <c r="D514" s="156"/>
      <c r="E514" s="156" t="s">
        <v>3555</v>
      </c>
      <c r="F514" s="157" t="s">
        <v>8636</v>
      </c>
      <c r="G514" s="156" t="str">
        <f t="shared" si="19"/>
        <v>MCI-00696|Personas adultas que viven con el VIH (15 años o más)</v>
      </c>
      <c r="H514" s="156" t="str">
        <f t="shared" si="20"/>
        <v>MCI-00696|MCI-00920</v>
      </c>
      <c r="I514" s="156" t="str">
        <f t="shared" si="21"/>
        <v>a1O1R000006c5lWUAQ</v>
      </c>
      <c r="J514" s="157" t="s">
        <v>8637</v>
      </c>
      <c r="K514" s="157" t="s">
        <v>8638</v>
      </c>
      <c r="L514" s="157" t="s">
        <v>8639</v>
      </c>
      <c r="M514" s="156" t="s">
        <v>2778</v>
      </c>
    </row>
    <row r="515" spans="1:13" s="9" customFormat="1" x14ac:dyDescent="0.25">
      <c r="A515" s="156" t="s">
        <v>8404</v>
      </c>
      <c r="B515" s="156" t="s">
        <v>8640</v>
      </c>
      <c r="C515" s="156" t="str">
        <f>CHOOSE(Translations!$C$1+1,J515,K515,L515,)</f>
        <v>Niños y niñas que viven con el VIH (menores de 15 años)</v>
      </c>
      <c r="D515" s="156"/>
      <c r="E515" s="156" t="s">
        <v>3555</v>
      </c>
      <c r="F515" s="157" t="s">
        <v>8641</v>
      </c>
      <c r="G515" s="156" t="str">
        <f t="shared" si="19"/>
        <v>MCI-00696|Niños y niñas que viven con el VIH (menores de 15 años)</v>
      </c>
      <c r="H515" s="156" t="str">
        <f t="shared" si="20"/>
        <v>MCI-00696|MCI-00926</v>
      </c>
      <c r="I515" s="156" t="str">
        <f t="shared" si="21"/>
        <v>a1O1R000006c5lcUAA</v>
      </c>
      <c r="J515" s="157" t="s">
        <v>8642</v>
      </c>
      <c r="K515" s="157" t="s">
        <v>8643</v>
      </c>
      <c r="L515" s="157" t="s">
        <v>8644</v>
      </c>
      <c r="M515" s="156" t="s">
        <v>2778</v>
      </c>
    </row>
    <row r="516" spans="1:13" s="9" customFormat="1" x14ac:dyDescent="0.25">
      <c r="A516" s="156" t="s">
        <v>8404</v>
      </c>
      <c r="B516" s="156" t="s">
        <v>8645</v>
      </c>
      <c r="C516" s="156" t="str">
        <f>CHOOSE(Translations!$C$1+1,J516,K516,L516,)</f>
        <v>Todas las personas que viven con el VIH</v>
      </c>
      <c r="D516" s="156"/>
      <c r="E516" s="156" t="s">
        <v>3575</v>
      </c>
      <c r="F516" s="157" t="s">
        <v>8646</v>
      </c>
      <c r="G516" s="156" t="str">
        <f t="shared" si="19"/>
        <v>MCI-00697|Todas las personas que viven con el VIH</v>
      </c>
      <c r="H516" s="156" t="str">
        <f t="shared" si="20"/>
        <v>MCI-00697|MCI-00914</v>
      </c>
      <c r="I516" s="156" t="str">
        <f t="shared" si="21"/>
        <v>a1O1R000006c5lQUAQ</v>
      </c>
      <c r="J516" s="157" t="s">
        <v>8632</v>
      </c>
      <c r="K516" s="157" t="s">
        <v>8633</v>
      </c>
      <c r="L516" s="157" t="s">
        <v>8634</v>
      </c>
      <c r="M516" s="156" t="s">
        <v>2778</v>
      </c>
    </row>
    <row r="517" spans="1:13" s="9" customFormat="1" x14ac:dyDescent="0.25">
      <c r="A517" s="156" t="s">
        <v>8404</v>
      </c>
      <c r="B517" s="156" t="s">
        <v>8647</v>
      </c>
      <c r="C517" s="156" t="str">
        <f>CHOOSE(Translations!$C$1+1,J517,K517,L517,)</f>
        <v>Personas adultas que viven con el VIH (15 años o más)</v>
      </c>
      <c r="D517" s="156"/>
      <c r="E517" s="156" t="s">
        <v>3575</v>
      </c>
      <c r="F517" s="157" t="s">
        <v>8648</v>
      </c>
      <c r="G517" s="156" t="str">
        <f t="shared" si="19"/>
        <v>MCI-00697|Personas adultas que viven con el VIH (15 años o más)</v>
      </c>
      <c r="H517" s="156" t="str">
        <f t="shared" si="20"/>
        <v>MCI-00697|MCI-00921</v>
      </c>
      <c r="I517" s="156" t="str">
        <f t="shared" si="21"/>
        <v>a1O1R000006c5lXUAQ</v>
      </c>
      <c r="J517" s="157" t="s">
        <v>8637</v>
      </c>
      <c r="K517" s="157" t="s">
        <v>8638</v>
      </c>
      <c r="L517" s="157" t="s">
        <v>8639</v>
      </c>
      <c r="M517" s="156" t="s">
        <v>2778</v>
      </c>
    </row>
    <row r="518" spans="1:13" s="9" customFormat="1" x14ac:dyDescent="0.25">
      <c r="A518" s="156" t="s">
        <v>8404</v>
      </c>
      <c r="B518" s="156" t="s">
        <v>8649</v>
      </c>
      <c r="C518" s="156" t="str">
        <f>CHOOSE(Translations!$C$1+1,J518,K518,L518,)</f>
        <v>Niños y niñas que viven con el VIH (menores de 15 años)</v>
      </c>
      <c r="D518" s="156"/>
      <c r="E518" s="156" t="s">
        <v>3575</v>
      </c>
      <c r="F518" s="157" t="s">
        <v>8650</v>
      </c>
      <c r="G518" s="156" t="str">
        <f t="shared" si="19"/>
        <v>MCI-00697|Niños y niñas que viven con el VIH (menores de 15 años)</v>
      </c>
      <c r="H518" s="156" t="str">
        <f t="shared" si="20"/>
        <v>MCI-00697|MCI-00927</v>
      </c>
      <c r="I518" s="156" t="str">
        <f t="shared" si="21"/>
        <v>a1O1R000006c5ldUAA</v>
      </c>
      <c r="J518" s="157" t="s">
        <v>8642</v>
      </c>
      <c r="K518" s="157" t="s">
        <v>8643</v>
      </c>
      <c r="L518" s="157" t="s">
        <v>8644</v>
      </c>
      <c r="M518" s="156" t="s">
        <v>2778</v>
      </c>
    </row>
    <row r="519" spans="1:13" s="9" customFormat="1" x14ac:dyDescent="0.25">
      <c r="A519" s="156" t="s">
        <v>8404</v>
      </c>
      <c r="B519" s="156" t="s">
        <v>8651</v>
      </c>
      <c r="C519" s="156" t="str">
        <f>CHOOSE(Translations!$C$1+1,J519,K519,L519,)</f>
        <v>Todas las personas que viven con el VIH</v>
      </c>
      <c r="D519" s="156"/>
      <c r="E519" s="156" t="s">
        <v>3570</v>
      </c>
      <c r="F519" s="157" t="s">
        <v>8652</v>
      </c>
      <c r="G519" s="156" t="str">
        <f t="shared" si="19"/>
        <v>MCI-00698|Todas las personas que viven con el VIH</v>
      </c>
      <c r="H519" s="156" t="str">
        <f t="shared" si="20"/>
        <v>MCI-00698|MCI-00915</v>
      </c>
      <c r="I519" s="156" t="str">
        <f t="shared" si="21"/>
        <v>a1O1R000006c5lRUAQ</v>
      </c>
      <c r="J519" s="157" t="s">
        <v>8632</v>
      </c>
      <c r="K519" s="157" t="s">
        <v>8633</v>
      </c>
      <c r="L519" s="157" t="s">
        <v>8634</v>
      </c>
      <c r="M519" s="156" t="s">
        <v>2778</v>
      </c>
    </row>
    <row r="520" spans="1:13" s="9" customFormat="1" x14ac:dyDescent="0.25">
      <c r="A520" s="156" t="s">
        <v>8404</v>
      </c>
      <c r="B520" s="156" t="s">
        <v>8653</v>
      </c>
      <c r="C520" s="156" t="str">
        <f>CHOOSE(Translations!$C$1+1,J520,K520,L520,)</f>
        <v>Personas adultas que viven con el VIH (15 años o más)</v>
      </c>
      <c r="D520" s="156"/>
      <c r="E520" s="156" t="s">
        <v>3570</v>
      </c>
      <c r="F520" s="157" t="s">
        <v>8654</v>
      </c>
      <c r="G520" s="156" t="str">
        <f t="shared" si="19"/>
        <v>MCI-00698|Personas adultas que viven con el VIH (15 años o más)</v>
      </c>
      <c r="H520" s="156" t="str">
        <f t="shared" si="20"/>
        <v>MCI-00698|MCI-00922</v>
      </c>
      <c r="I520" s="156" t="str">
        <f t="shared" si="21"/>
        <v>a1O1R000006c5lYUAQ</v>
      </c>
      <c r="J520" s="157" t="s">
        <v>8637</v>
      </c>
      <c r="K520" s="157" t="s">
        <v>8638</v>
      </c>
      <c r="L520" s="157" t="s">
        <v>8639</v>
      </c>
      <c r="M520" s="156" t="s">
        <v>2778</v>
      </c>
    </row>
    <row r="521" spans="1:13" s="9" customFormat="1" x14ac:dyDescent="0.25">
      <c r="A521" s="156" t="s">
        <v>8404</v>
      </c>
      <c r="B521" s="156" t="s">
        <v>8655</v>
      </c>
      <c r="C521" s="156" t="str">
        <f>CHOOSE(Translations!$C$1+1,J521,K521,L521,)</f>
        <v>Niños y niñas que viven con el VIH (menores de 15 años)</v>
      </c>
      <c r="D521" s="156"/>
      <c r="E521" s="156" t="s">
        <v>3570</v>
      </c>
      <c r="F521" s="157" t="s">
        <v>8656</v>
      </c>
      <c r="G521" s="156" t="str">
        <f t="shared" si="19"/>
        <v>MCI-00698|Niños y niñas que viven con el VIH (menores de 15 años)</v>
      </c>
      <c r="H521" s="156" t="str">
        <f t="shared" si="20"/>
        <v>MCI-00698|MCI-00928</v>
      </c>
      <c r="I521" s="156" t="str">
        <f t="shared" si="21"/>
        <v>a1O1R000006c5leUAA</v>
      </c>
      <c r="J521" s="157" t="s">
        <v>8642</v>
      </c>
      <c r="K521" s="157" t="s">
        <v>8643</v>
      </c>
      <c r="L521" s="157" t="s">
        <v>8644</v>
      </c>
      <c r="M521" s="156" t="s">
        <v>2778</v>
      </c>
    </row>
    <row r="522" spans="1:13" s="9" customFormat="1" x14ac:dyDescent="0.25">
      <c r="A522" s="156" t="s">
        <v>8404</v>
      </c>
      <c r="B522" s="156" t="s">
        <v>8657</v>
      </c>
      <c r="C522" s="156" t="str">
        <f>CHOOSE(Translations!$C$1+1,J522,K522,L522,)</f>
        <v>Todas las personas que viven con el VIH</v>
      </c>
      <c r="D522" s="156"/>
      <c r="E522" s="156" t="s">
        <v>3580</v>
      </c>
      <c r="F522" s="157" t="s">
        <v>8658</v>
      </c>
      <c r="G522" s="156" t="str">
        <f t="shared" si="19"/>
        <v>MCI-00699|Todas las personas que viven con el VIH</v>
      </c>
      <c r="H522" s="156" t="str">
        <f t="shared" si="20"/>
        <v>MCI-00699|MCI-00916</v>
      </c>
      <c r="I522" s="156" t="str">
        <f t="shared" si="21"/>
        <v>a1O1R000006c5lSUAQ</v>
      </c>
      <c r="J522" s="157" t="s">
        <v>8632</v>
      </c>
      <c r="K522" s="157" t="s">
        <v>8633</v>
      </c>
      <c r="L522" s="157" t="s">
        <v>8634</v>
      </c>
      <c r="M522" s="156" t="s">
        <v>2778</v>
      </c>
    </row>
    <row r="523" spans="1:13" s="9" customFormat="1" x14ac:dyDescent="0.25">
      <c r="A523" s="156" t="s">
        <v>8404</v>
      </c>
      <c r="B523" s="156" t="s">
        <v>8659</v>
      </c>
      <c r="C523" s="156" t="str">
        <f>CHOOSE(Translations!$C$1+1,J523,K523,L523,)</f>
        <v>Personas adultas que viven con el VIH (15 años o más)</v>
      </c>
      <c r="D523" s="156"/>
      <c r="E523" s="156" t="s">
        <v>3580</v>
      </c>
      <c r="F523" s="157" t="s">
        <v>8660</v>
      </c>
      <c r="G523" s="156" t="str">
        <f t="shared" si="19"/>
        <v>MCI-00699|Personas adultas que viven con el VIH (15 años o más)</v>
      </c>
      <c r="H523" s="156" t="str">
        <f t="shared" si="20"/>
        <v>MCI-00699|MCI-00923</v>
      </c>
      <c r="I523" s="156" t="str">
        <f t="shared" si="21"/>
        <v>a1O1R000006c5lZUAQ</v>
      </c>
      <c r="J523" s="157" t="s">
        <v>8637</v>
      </c>
      <c r="K523" s="157" t="s">
        <v>8638</v>
      </c>
      <c r="L523" s="157" t="s">
        <v>8639</v>
      </c>
      <c r="M523" s="156" t="s">
        <v>2778</v>
      </c>
    </row>
    <row r="524" spans="1:13" s="9" customFormat="1" x14ac:dyDescent="0.25">
      <c r="A524" s="156" t="s">
        <v>8404</v>
      </c>
      <c r="B524" s="156" t="s">
        <v>8661</v>
      </c>
      <c r="C524" s="156" t="str">
        <f>CHOOSE(Translations!$C$1+1,J524,K524,L524,)</f>
        <v>Niños y niñas que viven con el VIH (menores de 15 años)</v>
      </c>
      <c r="D524" s="156"/>
      <c r="E524" s="156" t="s">
        <v>3580</v>
      </c>
      <c r="F524" s="157" t="s">
        <v>8662</v>
      </c>
      <c r="G524" s="156" t="str">
        <f t="shared" si="19"/>
        <v>MCI-00699|Niños y niñas que viven con el VIH (menores de 15 años)</v>
      </c>
      <c r="H524" s="156" t="str">
        <f t="shared" si="20"/>
        <v>MCI-00699|MCI-00929</v>
      </c>
      <c r="I524" s="156" t="str">
        <f t="shared" si="21"/>
        <v>a1O1R000006c5lfUAA</v>
      </c>
      <c r="J524" s="157" t="s">
        <v>8642</v>
      </c>
      <c r="K524" s="157" t="s">
        <v>8643</v>
      </c>
      <c r="L524" s="157" t="s">
        <v>8644</v>
      </c>
      <c r="M524" s="156" t="s">
        <v>2778</v>
      </c>
    </row>
    <row r="525" spans="1:13" s="9" customFormat="1" x14ac:dyDescent="0.25">
      <c r="A525" s="156" t="s">
        <v>8404</v>
      </c>
      <c r="B525" s="156" t="s">
        <v>8663</v>
      </c>
      <c r="C525" s="156" t="str">
        <f>CHOOSE(Translations!$C$1+1,J525,K525,L525,)</f>
        <v>Todas las personas que viven con el VIH</v>
      </c>
      <c r="D525" s="156"/>
      <c r="E525" s="156" t="s">
        <v>3565</v>
      </c>
      <c r="F525" s="157" t="s">
        <v>8664</v>
      </c>
      <c r="G525" s="156" t="str">
        <f t="shared" si="19"/>
        <v>MCI-00700|Todas las personas que viven con el VIH</v>
      </c>
      <c r="H525" s="156" t="str">
        <f t="shared" si="20"/>
        <v>MCI-00700|MCI-00917</v>
      </c>
      <c r="I525" s="156" t="str">
        <f t="shared" si="21"/>
        <v>a1O1R000006c5lTUAQ</v>
      </c>
      <c r="J525" s="157" t="s">
        <v>8632</v>
      </c>
      <c r="K525" s="157" t="s">
        <v>8633</v>
      </c>
      <c r="L525" s="157" t="s">
        <v>8634</v>
      </c>
      <c r="M525" s="156" t="s">
        <v>2778</v>
      </c>
    </row>
    <row r="526" spans="1:13" s="9" customFormat="1" x14ac:dyDescent="0.25">
      <c r="A526" s="156" t="s">
        <v>8404</v>
      </c>
      <c r="B526" s="156" t="s">
        <v>8665</v>
      </c>
      <c r="C526" s="156" t="str">
        <f>CHOOSE(Translations!$C$1+1,J526,K526,L526,)</f>
        <v>Personas adultas que viven con el VIH (15 años o más)</v>
      </c>
      <c r="D526" s="156"/>
      <c r="E526" s="156" t="s">
        <v>3565</v>
      </c>
      <c r="F526" s="157" t="s">
        <v>8666</v>
      </c>
      <c r="G526" s="156" t="str">
        <f t="shared" si="19"/>
        <v>MCI-00700|Personas adultas que viven con el VIH (15 años o más)</v>
      </c>
      <c r="H526" s="156" t="str">
        <f t="shared" si="20"/>
        <v>MCI-00700|MCI-00924</v>
      </c>
      <c r="I526" s="156" t="str">
        <f t="shared" si="21"/>
        <v>a1O1R000006c5laUAA</v>
      </c>
      <c r="J526" s="157" t="s">
        <v>8637</v>
      </c>
      <c r="K526" s="157" t="s">
        <v>8638</v>
      </c>
      <c r="L526" s="157" t="s">
        <v>8639</v>
      </c>
      <c r="M526" s="156" t="s">
        <v>2778</v>
      </c>
    </row>
    <row r="527" spans="1:13" s="9" customFormat="1" x14ac:dyDescent="0.25">
      <c r="A527" s="156" t="s">
        <v>8404</v>
      </c>
      <c r="B527" s="156" t="s">
        <v>8667</v>
      </c>
      <c r="C527" s="156" t="str">
        <f>CHOOSE(Translations!$C$1+1,J527,K527,L527,)</f>
        <v>Niños y niñas que viven con el VIH (menores de 15 años)</v>
      </c>
      <c r="D527" s="156"/>
      <c r="E527" s="156" t="s">
        <v>3565</v>
      </c>
      <c r="F527" s="157" t="s">
        <v>8668</v>
      </c>
      <c r="G527" s="156" t="str">
        <f t="shared" si="19"/>
        <v>MCI-00700|Niños y niñas que viven con el VIH (menores de 15 años)</v>
      </c>
      <c r="H527" s="156" t="str">
        <f t="shared" si="20"/>
        <v>MCI-00700|MCI-00930</v>
      </c>
      <c r="I527" s="156" t="str">
        <f t="shared" si="21"/>
        <v>a1O1R000006c5lgUAA</v>
      </c>
      <c r="J527" s="157" t="s">
        <v>8642</v>
      </c>
      <c r="K527" s="157" t="s">
        <v>8643</v>
      </c>
      <c r="L527" s="157" t="s">
        <v>8644</v>
      </c>
      <c r="M527" s="156" t="s">
        <v>2778</v>
      </c>
    </row>
    <row r="528" spans="1:13" s="9" customFormat="1" x14ac:dyDescent="0.25">
      <c r="A528" s="156" t="s">
        <v>8404</v>
      </c>
      <c r="B528" s="156" t="s">
        <v>8669</v>
      </c>
      <c r="C528" s="156" t="str">
        <f>CHOOSE(Translations!$C$1+1,J528,K528,L528,)</f>
        <v>Personas adultas que viven con el VIH (15 años o más)</v>
      </c>
      <c r="D528" s="156"/>
      <c r="E528" s="156" t="s">
        <v>3550</v>
      </c>
      <c r="F528" s="157" t="s">
        <v>8670</v>
      </c>
      <c r="G528" s="156" t="str">
        <f t="shared" si="19"/>
        <v>MCI-00701|Personas adultas que viven con el VIH (15 años o más)</v>
      </c>
      <c r="H528" s="156" t="str">
        <f t="shared" si="20"/>
        <v>MCI-00701|MCI-00925</v>
      </c>
      <c r="I528" s="156" t="str">
        <f t="shared" si="21"/>
        <v>a1O1R000006c5lbUAA</v>
      </c>
      <c r="J528" s="157" t="s">
        <v>8637</v>
      </c>
      <c r="K528" s="157" t="s">
        <v>8638</v>
      </c>
      <c r="L528" s="157" t="s">
        <v>8639</v>
      </c>
      <c r="M528" s="156" t="s">
        <v>2778</v>
      </c>
    </row>
    <row r="529" spans="1:13" s="9" customFormat="1" x14ac:dyDescent="0.25">
      <c r="A529" s="156" t="s">
        <v>8404</v>
      </c>
      <c r="B529" s="156" t="s">
        <v>8671</v>
      </c>
      <c r="C529" s="156" t="str">
        <f>CHOOSE(Translations!$C$1+1,J529,K529,L529,)</f>
        <v>Todas las personas que viven con el VIH</v>
      </c>
      <c r="D529" s="156"/>
      <c r="E529" s="156" t="s">
        <v>3550</v>
      </c>
      <c r="F529" s="157" t="s">
        <v>8672</v>
      </c>
      <c r="G529" s="156" t="str">
        <f t="shared" si="19"/>
        <v>MCI-00701|Todas las personas que viven con el VIH</v>
      </c>
      <c r="H529" s="156" t="str">
        <f t="shared" si="20"/>
        <v>MCI-00701|MCI-00918</v>
      </c>
      <c r="I529" s="156" t="str">
        <f t="shared" si="21"/>
        <v>a1O1R000006c5lUUAQ</v>
      </c>
      <c r="J529" s="157" t="s">
        <v>8632</v>
      </c>
      <c r="K529" s="157" t="s">
        <v>8633</v>
      </c>
      <c r="L529" s="157" t="s">
        <v>8634</v>
      </c>
      <c r="M529" s="156" t="s">
        <v>2778</v>
      </c>
    </row>
    <row r="530" spans="1:13" s="9" customFormat="1" x14ac:dyDescent="0.25">
      <c r="A530" s="156" t="s">
        <v>8404</v>
      </c>
      <c r="B530" s="156" t="s">
        <v>8673</v>
      </c>
      <c r="C530" s="156" t="str">
        <f>CHOOSE(Translations!$C$1+1,J530,K530,L530,)</f>
        <v>Niños y niñas que viven con el VIH (menores de 15 años)</v>
      </c>
      <c r="D530" s="156"/>
      <c r="E530" s="156" t="s">
        <v>3550</v>
      </c>
      <c r="F530" s="157" t="s">
        <v>8674</v>
      </c>
      <c r="G530" s="156" t="str">
        <f t="shared" si="19"/>
        <v>MCI-00701|Niños y niñas que viven con el VIH (menores de 15 años)</v>
      </c>
      <c r="H530" s="156" t="str">
        <f t="shared" si="20"/>
        <v>MCI-00701|MCI-00931</v>
      </c>
      <c r="I530" s="156" t="str">
        <f t="shared" si="21"/>
        <v>a1O1R000006c5lhUAA</v>
      </c>
      <c r="J530" s="157" t="s">
        <v>8642</v>
      </c>
      <c r="K530" s="157" t="s">
        <v>8643</v>
      </c>
      <c r="L530" s="157" t="s">
        <v>8644</v>
      </c>
      <c r="M530" s="156" t="s">
        <v>2778</v>
      </c>
    </row>
    <row r="531" spans="1:13" s="9" customFormat="1" x14ac:dyDescent="0.25">
      <c r="A531" s="156" t="s">
        <v>8404</v>
      </c>
      <c r="B531" s="156" t="s">
        <v>8675</v>
      </c>
      <c r="C531" s="156" t="str">
        <f>CHOOSE(Translations!$C$1+1,J531,K531,L531,)</f>
        <v>Todas las personas que viven con el VIH</v>
      </c>
      <c r="D531" s="156"/>
      <c r="E531" s="156" t="s">
        <v>3560</v>
      </c>
      <c r="F531" s="157" t="s">
        <v>8676</v>
      </c>
      <c r="G531" s="156" t="str">
        <f t="shared" si="19"/>
        <v>MCI-00702|Todas las personas que viven con el VIH</v>
      </c>
      <c r="H531" s="156" t="str">
        <f t="shared" si="20"/>
        <v>MCI-00702|MCI-00919</v>
      </c>
      <c r="I531" s="156" t="str">
        <f t="shared" si="21"/>
        <v>a1O1R000006c5lVUAQ</v>
      </c>
      <c r="J531" s="157" t="s">
        <v>8632</v>
      </c>
      <c r="K531" s="157" t="s">
        <v>8633</v>
      </c>
      <c r="L531" s="157" t="s">
        <v>8634</v>
      </c>
      <c r="M531" s="156" t="s">
        <v>2778</v>
      </c>
    </row>
    <row r="532" spans="1:13" s="9" customFormat="1" x14ac:dyDescent="0.25">
      <c r="A532" s="156" t="s">
        <v>8404</v>
      </c>
      <c r="B532" s="156" t="s">
        <v>8677</v>
      </c>
      <c r="C532" s="156" t="str">
        <f>CHOOSE(Translations!$C$1+1,J532,K532,L532,)</f>
        <v>No aplicable</v>
      </c>
      <c r="D532" s="156"/>
      <c r="E532" s="156" t="s">
        <v>3620</v>
      </c>
      <c r="F532" s="157" t="s">
        <v>8678</v>
      </c>
      <c r="G532" s="156" t="str">
        <f t="shared" si="19"/>
        <v>MCI-00703|No aplicable</v>
      </c>
      <c r="H532" s="156" t="str">
        <f t="shared" si="20"/>
        <v>MCI-00703|MCI-00932</v>
      </c>
      <c r="I532" s="156" t="str">
        <f t="shared" si="21"/>
        <v>a1O1R000006c5liUAA</v>
      </c>
      <c r="J532" s="157" t="s">
        <v>367</v>
      </c>
      <c r="K532" s="157" t="s">
        <v>498</v>
      </c>
      <c r="L532" s="157" t="s">
        <v>979</v>
      </c>
      <c r="M532" s="156" t="s">
        <v>2778</v>
      </c>
    </row>
    <row r="533" spans="1:13" s="9" customFormat="1" x14ac:dyDescent="0.25">
      <c r="A533" s="156" t="s">
        <v>8404</v>
      </c>
      <c r="B533" s="156" t="s">
        <v>8679</v>
      </c>
      <c r="C533" s="156" t="str">
        <f>CHOOSE(Translations!$C$1+1,J533,K533,L533,)</f>
        <v>No aplicable</v>
      </c>
      <c r="D533" s="156"/>
      <c r="E533" s="156" t="s">
        <v>3605</v>
      </c>
      <c r="F533" s="157" t="s">
        <v>8680</v>
      </c>
      <c r="G533" s="156" t="str">
        <f t="shared" si="19"/>
        <v>MCI-00704|No aplicable</v>
      </c>
      <c r="H533" s="156" t="str">
        <f t="shared" si="20"/>
        <v>MCI-00704|MCI-00933</v>
      </c>
      <c r="I533" s="156" t="str">
        <f t="shared" si="21"/>
        <v>a1O1R000006c5ljUAA</v>
      </c>
      <c r="J533" s="157" t="s">
        <v>367</v>
      </c>
      <c r="K533" s="157" t="s">
        <v>498</v>
      </c>
      <c r="L533" s="157" t="s">
        <v>979</v>
      </c>
      <c r="M533" s="156" t="s">
        <v>2778</v>
      </c>
    </row>
    <row r="534" spans="1:13" s="9" customFormat="1" x14ac:dyDescent="0.25">
      <c r="A534" s="156" t="s">
        <v>8404</v>
      </c>
      <c r="B534" s="156" t="s">
        <v>8681</v>
      </c>
      <c r="C534" s="156" t="str">
        <f>CHOOSE(Translations!$C$1+1,J534,K534,L534,)</f>
        <v>No aplicable</v>
      </c>
      <c r="D534" s="156"/>
      <c r="E534" s="156" t="s">
        <v>3595</v>
      </c>
      <c r="F534" s="157" t="s">
        <v>8682</v>
      </c>
      <c r="G534" s="156" t="str">
        <f t="shared" si="19"/>
        <v>MCI-00705|No aplicable</v>
      </c>
      <c r="H534" s="156" t="str">
        <f t="shared" si="20"/>
        <v>MCI-00705|MCI-00934</v>
      </c>
      <c r="I534" s="156" t="str">
        <f t="shared" si="21"/>
        <v>a1O1R000006c5lkUAA</v>
      </c>
      <c r="J534" s="157" t="s">
        <v>367</v>
      </c>
      <c r="K534" s="157" t="s">
        <v>498</v>
      </c>
      <c r="L534" s="157" t="s">
        <v>979</v>
      </c>
      <c r="M534" s="156" t="s">
        <v>2778</v>
      </c>
    </row>
    <row r="535" spans="1:13" s="9" customFormat="1" x14ac:dyDescent="0.25">
      <c r="A535" s="156" t="s">
        <v>8404</v>
      </c>
      <c r="B535" s="156" t="s">
        <v>8683</v>
      </c>
      <c r="C535" s="156" t="str">
        <f>CHOOSE(Translations!$C$1+1,J535,K535,L535,)</f>
        <v>No aplicable</v>
      </c>
      <c r="D535" s="156"/>
      <c r="E535" s="156" t="s">
        <v>3590</v>
      </c>
      <c r="F535" s="157" t="s">
        <v>8684</v>
      </c>
      <c r="G535" s="156" t="str">
        <f t="shared" si="19"/>
        <v>MCI-00706|No aplicable</v>
      </c>
      <c r="H535" s="156" t="str">
        <f t="shared" si="20"/>
        <v>MCI-00706|MCI-00935</v>
      </c>
      <c r="I535" s="156" t="str">
        <f t="shared" si="21"/>
        <v>a1O1R000006c5llUAA</v>
      </c>
      <c r="J535" s="157" t="s">
        <v>367</v>
      </c>
      <c r="K535" s="157" t="s">
        <v>498</v>
      </c>
      <c r="L535" s="157" t="s">
        <v>979</v>
      </c>
      <c r="M535" s="156" t="s">
        <v>2778</v>
      </c>
    </row>
    <row r="536" spans="1:13" s="9" customFormat="1" x14ac:dyDescent="0.25">
      <c r="A536" s="156" t="s">
        <v>8404</v>
      </c>
      <c r="B536" s="156" t="s">
        <v>8685</v>
      </c>
      <c r="C536" s="156" t="str">
        <f>CHOOSE(Translations!$C$1+1,J536,K536,L536,)</f>
        <v>No aplicable</v>
      </c>
      <c r="D536" s="156"/>
      <c r="E536" s="156" t="s">
        <v>3615</v>
      </c>
      <c r="F536" s="157" t="s">
        <v>8686</v>
      </c>
      <c r="G536" s="156" t="str">
        <f t="shared" si="19"/>
        <v>MCI-00707|No aplicable</v>
      </c>
      <c r="H536" s="156" t="str">
        <f t="shared" si="20"/>
        <v>MCI-00707|MCI-00936</v>
      </c>
      <c r="I536" s="156" t="str">
        <f t="shared" si="21"/>
        <v>a1O1R000006c5lmUAA</v>
      </c>
      <c r="J536" s="157" t="s">
        <v>367</v>
      </c>
      <c r="K536" s="157" t="s">
        <v>498</v>
      </c>
      <c r="L536" s="157" t="s">
        <v>979</v>
      </c>
      <c r="M536" s="156" t="s">
        <v>2778</v>
      </c>
    </row>
    <row r="537" spans="1:13" s="9" customFormat="1" x14ac:dyDescent="0.25">
      <c r="A537" s="156" t="s">
        <v>8404</v>
      </c>
      <c r="B537" s="156" t="s">
        <v>8687</v>
      </c>
      <c r="C537" s="156" t="str">
        <f>CHOOSE(Translations!$C$1+1,J537,K537,L537,)</f>
        <v>No aplicable</v>
      </c>
      <c r="D537" s="156"/>
      <c r="E537" s="156" t="s">
        <v>3600</v>
      </c>
      <c r="F537" s="157" t="s">
        <v>8688</v>
      </c>
      <c r="G537" s="156" t="str">
        <f t="shared" si="19"/>
        <v>MCI-00708|No aplicable</v>
      </c>
      <c r="H537" s="156" t="str">
        <f t="shared" si="20"/>
        <v>MCI-00708|MCI-00937</v>
      </c>
      <c r="I537" s="156" t="str">
        <f t="shared" si="21"/>
        <v>a1O1R000006c5lnUAA</v>
      </c>
      <c r="J537" s="157" t="s">
        <v>367</v>
      </c>
      <c r="K537" s="157" t="s">
        <v>498</v>
      </c>
      <c r="L537" s="157" t="s">
        <v>979</v>
      </c>
      <c r="M537" s="156" t="s">
        <v>2778</v>
      </c>
    </row>
    <row r="538" spans="1:13" s="9" customFormat="1" x14ac:dyDescent="0.25">
      <c r="A538" s="156" t="s">
        <v>8404</v>
      </c>
      <c r="B538" s="156" t="s">
        <v>8689</v>
      </c>
      <c r="C538" s="156" t="str">
        <f>CHOOSE(Translations!$C$1+1,J538,K538,L538,)</f>
        <v>No aplicable</v>
      </c>
      <c r="D538" s="156"/>
      <c r="E538" s="156" t="s">
        <v>3610</v>
      </c>
      <c r="F538" s="157" t="s">
        <v>8690</v>
      </c>
      <c r="G538" s="156" t="str">
        <f t="shared" si="19"/>
        <v>MCI-00709|No aplicable</v>
      </c>
      <c r="H538" s="156" t="str">
        <f t="shared" si="20"/>
        <v>MCI-00709|MCI-00938</v>
      </c>
      <c r="I538" s="156" t="str">
        <f t="shared" si="21"/>
        <v>a1O1R000006c5loUAA</v>
      </c>
      <c r="J538" s="157" t="s">
        <v>367</v>
      </c>
      <c r="K538" s="157" t="s">
        <v>498</v>
      </c>
      <c r="L538" s="157" t="s">
        <v>979</v>
      </c>
      <c r="M538" s="156" t="s">
        <v>2778</v>
      </c>
    </row>
    <row r="539" spans="1:13" s="9" customFormat="1" x14ac:dyDescent="0.25">
      <c r="A539" s="156" t="s">
        <v>8404</v>
      </c>
      <c r="B539" s="156" t="s">
        <v>8691</v>
      </c>
      <c r="C539" s="156" t="str">
        <f>CHOOSE(Translations!$C$1+1,J539,K539,L539,)</f>
        <v>No aplicable</v>
      </c>
      <c r="D539" s="156"/>
      <c r="E539" s="156" t="s">
        <v>3585</v>
      </c>
      <c r="F539" s="157" t="s">
        <v>8692</v>
      </c>
      <c r="G539" s="156" t="str">
        <f t="shared" si="19"/>
        <v>MCI-00710|No aplicable</v>
      </c>
      <c r="H539" s="156" t="str">
        <f t="shared" si="20"/>
        <v>MCI-00710|MCI-00939</v>
      </c>
      <c r="I539" s="156" t="str">
        <f t="shared" si="21"/>
        <v>a1O1R000006c5lpUAA</v>
      </c>
      <c r="J539" s="157" t="s">
        <v>367</v>
      </c>
      <c r="K539" s="157" t="s">
        <v>498</v>
      </c>
      <c r="L539" s="157" t="s">
        <v>979</v>
      </c>
      <c r="M539" s="156" t="s">
        <v>2778</v>
      </c>
    </row>
    <row r="540" spans="1:13" s="9" customFormat="1" x14ac:dyDescent="0.25">
      <c r="A540" s="156" t="s">
        <v>8404</v>
      </c>
      <c r="B540" s="156" t="s">
        <v>8693</v>
      </c>
      <c r="C540" s="156" t="str">
        <f>CHOOSE(Translations!$C$1+1,J540,K540,L540,)</f>
        <v>No aplicable</v>
      </c>
      <c r="D540" s="156"/>
      <c r="E540" s="156" t="s">
        <v>3625</v>
      </c>
      <c r="F540" s="157" t="s">
        <v>8694</v>
      </c>
      <c r="G540" s="156" t="str">
        <f t="shared" si="19"/>
        <v>MCI-00711|No aplicable</v>
      </c>
      <c r="H540" s="156" t="str">
        <f t="shared" si="20"/>
        <v>MCI-00711|MCI-00940</v>
      </c>
      <c r="I540" s="156" t="str">
        <f t="shared" si="21"/>
        <v>a1O1R000006c5lqUAA</v>
      </c>
      <c r="J540" s="157" t="s">
        <v>367</v>
      </c>
      <c r="K540" s="157" t="s">
        <v>498</v>
      </c>
      <c r="L540" s="157" t="s">
        <v>979</v>
      </c>
      <c r="M540" s="156" t="s">
        <v>2778</v>
      </c>
    </row>
    <row r="541" spans="1:13" s="9" customFormat="1" x14ac:dyDescent="0.25">
      <c r="A541" s="156" t="s">
        <v>8404</v>
      </c>
      <c r="B541" s="156" t="s">
        <v>8695</v>
      </c>
      <c r="C541" s="156" t="str">
        <f>CHOOSE(Translations!$C$1+1,J541,K541,L541,)</f>
        <v>No aplicable</v>
      </c>
      <c r="D541" s="156"/>
      <c r="E541" s="156" t="s">
        <v>3675</v>
      </c>
      <c r="F541" s="157" t="s">
        <v>8696</v>
      </c>
      <c r="G541" s="156" t="str">
        <f t="shared" si="19"/>
        <v>MCI-00712|No aplicable</v>
      </c>
      <c r="H541" s="156" t="str">
        <f t="shared" si="20"/>
        <v>MCI-00712|MCI-00941</v>
      </c>
      <c r="I541" s="156" t="str">
        <f t="shared" si="21"/>
        <v>a1O1R000006c5lrUAA</v>
      </c>
      <c r="J541" s="157" t="s">
        <v>367</v>
      </c>
      <c r="K541" s="157" t="s">
        <v>498</v>
      </c>
      <c r="L541" s="157" t="s">
        <v>979</v>
      </c>
      <c r="M541" s="156" t="s">
        <v>2778</v>
      </c>
    </row>
    <row r="542" spans="1:13" s="9" customFormat="1" x14ac:dyDescent="0.25">
      <c r="A542" s="156" t="s">
        <v>8404</v>
      </c>
      <c r="B542" s="156" t="s">
        <v>8697</v>
      </c>
      <c r="C542" s="156" t="str">
        <f>CHOOSE(Translations!$C$1+1,J542,K542,L542,)</f>
        <v>No aplicable</v>
      </c>
      <c r="D542" s="156"/>
      <c r="E542" s="156" t="s">
        <v>3670</v>
      </c>
      <c r="F542" s="157" t="s">
        <v>8698</v>
      </c>
      <c r="G542" s="156" t="str">
        <f t="shared" si="19"/>
        <v>MCI-00713|No aplicable</v>
      </c>
      <c r="H542" s="156" t="str">
        <f t="shared" si="20"/>
        <v>MCI-00713|MCI-00942</v>
      </c>
      <c r="I542" s="156" t="str">
        <f t="shared" si="21"/>
        <v>a1O1R000006c5lsUAA</v>
      </c>
      <c r="J542" s="157" t="s">
        <v>367</v>
      </c>
      <c r="K542" s="157" t="s">
        <v>498</v>
      </c>
      <c r="L542" s="157" t="s">
        <v>979</v>
      </c>
      <c r="M542" s="156" t="s">
        <v>2778</v>
      </c>
    </row>
    <row r="543" spans="1:13" s="9" customFormat="1" x14ac:dyDescent="0.25">
      <c r="A543" s="156" t="s">
        <v>8404</v>
      </c>
      <c r="B543" s="156" t="s">
        <v>8699</v>
      </c>
      <c r="C543" s="156" t="str">
        <f>CHOOSE(Translations!$C$1+1,J543,K543,L543,)</f>
        <v>No aplicable</v>
      </c>
      <c r="D543" s="156"/>
      <c r="E543" s="156" t="s">
        <v>3640</v>
      </c>
      <c r="F543" s="157" t="s">
        <v>8700</v>
      </c>
      <c r="G543" s="156" t="str">
        <f t="shared" ref="G543:G606" si="22">E543&amp;"|"&amp;C543</f>
        <v>MCI-00714|No aplicable</v>
      </c>
      <c r="H543" s="156" t="str">
        <f t="shared" ref="H543:H606" si="23">E543&amp;"|"&amp;F543</f>
        <v>MCI-00714|MCI-00943</v>
      </c>
      <c r="I543" s="156" t="str">
        <f t="shared" ref="I543:I606" si="24">B543</f>
        <v>a1O1R000006c5ltUAA</v>
      </c>
      <c r="J543" s="157" t="s">
        <v>367</v>
      </c>
      <c r="K543" s="157" t="s">
        <v>498</v>
      </c>
      <c r="L543" s="157" t="s">
        <v>979</v>
      </c>
      <c r="M543" s="156" t="s">
        <v>2778</v>
      </c>
    </row>
    <row r="544" spans="1:13" s="9" customFormat="1" x14ac:dyDescent="0.25">
      <c r="A544" s="156" t="s">
        <v>8404</v>
      </c>
      <c r="B544" s="156" t="s">
        <v>8701</v>
      </c>
      <c r="C544" s="156" t="str">
        <f>CHOOSE(Translations!$C$1+1,J544,K544,L544,)</f>
        <v>No aplicable</v>
      </c>
      <c r="D544" s="156"/>
      <c r="E544" s="156" t="s">
        <v>3635</v>
      </c>
      <c r="F544" s="157" t="s">
        <v>8702</v>
      </c>
      <c r="G544" s="156" t="str">
        <f t="shared" si="22"/>
        <v>MCI-00715|No aplicable</v>
      </c>
      <c r="H544" s="156" t="str">
        <f t="shared" si="23"/>
        <v>MCI-00715|MCI-00944</v>
      </c>
      <c r="I544" s="156" t="str">
        <f t="shared" si="24"/>
        <v>a1O1R000006c5luUAA</v>
      </c>
      <c r="J544" s="157" t="s">
        <v>367</v>
      </c>
      <c r="K544" s="157" t="s">
        <v>498</v>
      </c>
      <c r="L544" s="157" t="s">
        <v>979</v>
      </c>
      <c r="M544" s="156" t="s">
        <v>2778</v>
      </c>
    </row>
    <row r="545" spans="1:13" s="9" customFormat="1" x14ac:dyDescent="0.25">
      <c r="A545" s="156" t="s">
        <v>8404</v>
      </c>
      <c r="B545" s="156" t="s">
        <v>8703</v>
      </c>
      <c r="C545" s="156" t="str">
        <f>CHOOSE(Translations!$C$1+1,J545,K545,L545,)</f>
        <v>No aplicable</v>
      </c>
      <c r="D545" s="156"/>
      <c r="E545" s="156" t="s">
        <v>3645</v>
      </c>
      <c r="F545" s="157" t="s">
        <v>8704</v>
      </c>
      <c r="G545" s="156" t="str">
        <f t="shared" si="22"/>
        <v>MCI-00716|No aplicable</v>
      </c>
      <c r="H545" s="156" t="str">
        <f t="shared" si="23"/>
        <v>MCI-00716|MCI-00945</v>
      </c>
      <c r="I545" s="156" t="str">
        <f t="shared" si="24"/>
        <v>a1O1R000006c5lvUAA</v>
      </c>
      <c r="J545" s="157" t="s">
        <v>367</v>
      </c>
      <c r="K545" s="157" t="s">
        <v>498</v>
      </c>
      <c r="L545" s="157" t="s">
        <v>979</v>
      </c>
      <c r="M545" s="156" t="s">
        <v>2778</v>
      </c>
    </row>
    <row r="546" spans="1:13" s="9" customFormat="1" x14ac:dyDescent="0.25">
      <c r="A546" s="156" t="s">
        <v>8404</v>
      </c>
      <c r="B546" s="156" t="s">
        <v>8705</v>
      </c>
      <c r="C546" s="156" t="str">
        <f>CHOOSE(Translations!$C$1+1,J546,K546,L546,)</f>
        <v>No aplicable</v>
      </c>
      <c r="D546" s="156"/>
      <c r="E546" s="156" t="s">
        <v>3665</v>
      </c>
      <c r="F546" s="157" t="s">
        <v>8706</v>
      </c>
      <c r="G546" s="156" t="str">
        <f t="shared" si="22"/>
        <v>MCI-00717|No aplicable</v>
      </c>
      <c r="H546" s="156" t="str">
        <f t="shared" si="23"/>
        <v>MCI-00717|MCI-00946</v>
      </c>
      <c r="I546" s="156" t="str">
        <f t="shared" si="24"/>
        <v>a1O1R000006c5lwUAA</v>
      </c>
      <c r="J546" s="157" t="s">
        <v>367</v>
      </c>
      <c r="K546" s="157" t="s">
        <v>498</v>
      </c>
      <c r="L546" s="157" t="s">
        <v>979</v>
      </c>
      <c r="M546" s="156" t="s">
        <v>2778</v>
      </c>
    </row>
    <row r="547" spans="1:13" s="9" customFormat="1" x14ac:dyDescent="0.25">
      <c r="A547" s="156" t="s">
        <v>8404</v>
      </c>
      <c r="B547" s="156" t="s">
        <v>8707</v>
      </c>
      <c r="C547" s="156" t="str">
        <f>CHOOSE(Translations!$C$1+1,J547,K547,L547,)</f>
        <v>No aplicable</v>
      </c>
      <c r="D547" s="156"/>
      <c r="E547" s="156" t="s">
        <v>3655</v>
      </c>
      <c r="F547" s="157" t="s">
        <v>8708</v>
      </c>
      <c r="G547" s="156" t="str">
        <f t="shared" si="22"/>
        <v>MCI-00718|No aplicable</v>
      </c>
      <c r="H547" s="156" t="str">
        <f t="shared" si="23"/>
        <v>MCI-00718|MCI-00947</v>
      </c>
      <c r="I547" s="156" t="str">
        <f t="shared" si="24"/>
        <v>a1O1R000006c5lxUAA</v>
      </c>
      <c r="J547" s="157" t="s">
        <v>367</v>
      </c>
      <c r="K547" s="157" t="s">
        <v>498</v>
      </c>
      <c r="L547" s="157" t="s">
        <v>979</v>
      </c>
      <c r="M547" s="156" t="s">
        <v>2778</v>
      </c>
    </row>
    <row r="548" spans="1:13" s="9" customFormat="1" x14ac:dyDescent="0.25">
      <c r="A548" s="156" t="s">
        <v>8404</v>
      </c>
      <c r="B548" s="156" t="s">
        <v>8709</v>
      </c>
      <c r="C548" s="156" t="str">
        <f>CHOOSE(Translations!$C$1+1,J548,K548,L548,)</f>
        <v>No aplicable</v>
      </c>
      <c r="D548" s="156"/>
      <c r="E548" s="156" t="s">
        <v>3650</v>
      </c>
      <c r="F548" s="157" t="s">
        <v>8710</v>
      </c>
      <c r="G548" s="156" t="str">
        <f t="shared" si="22"/>
        <v>MCI-00719|No aplicable</v>
      </c>
      <c r="H548" s="156" t="str">
        <f t="shared" si="23"/>
        <v>MCI-00719|MCI-00948</v>
      </c>
      <c r="I548" s="156" t="str">
        <f t="shared" si="24"/>
        <v>a1O1R000006c5lyUAA</v>
      </c>
      <c r="J548" s="157" t="s">
        <v>367</v>
      </c>
      <c r="K548" s="157" t="s">
        <v>498</v>
      </c>
      <c r="L548" s="157" t="s">
        <v>979</v>
      </c>
      <c r="M548" s="156" t="s">
        <v>2778</v>
      </c>
    </row>
    <row r="549" spans="1:13" s="9" customFormat="1" x14ac:dyDescent="0.25">
      <c r="A549" s="156" t="s">
        <v>8404</v>
      </c>
      <c r="B549" s="156" t="s">
        <v>8711</v>
      </c>
      <c r="C549" s="156" t="str">
        <f>CHOOSE(Translations!$C$1+1,J549,K549,L549,)</f>
        <v>No aplicable</v>
      </c>
      <c r="D549" s="156"/>
      <c r="E549" s="156" t="s">
        <v>3660</v>
      </c>
      <c r="F549" s="157" t="s">
        <v>8712</v>
      </c>
      <c r="G549" s="156" t="str">
        <f t="shared" si="22"/>
        <v>MCI-00720|No aplicable</v>
      </c>
      <c r="H549" s="156" t="str">
        <f t="shared" si="23"/>
        <v>MCI-00720|MCI-00949</v>
      </c>
      <c r="I549" s="156" t="str">
        <f t="shared" si="24"/>
        <v>a1O1R000006c5lzUAA</v>
      </c>
      <c r="J549" s="157" t="s">
        <v>367</v>
      </c>
      <c r="K549" s="157" t="s">
        <v>498</v>
      </c>
      <c r="L549" s="157" t="s">
        <v>979</v>
      </c>
      <c r="M549" s="156" t="s">
        <v>2778</v>
      </c>
    </row>
    <row r="550" spans="1:13" s="9" customFormat="1" x14ac:dyDescent="0.25">
      <c r="A550" s="156" t="s">
        <v>8404</v>
      </c>
      <c r="B550" s="156" t="s">
        <v>8713</v>
      </c>
      <c r="C550" s="156" t="str">
        <f>CHOOSE(Translations!$C$1+1,J550,K550,L550,)</f>
        <v>No aplicable</v>
      </c>
      <c r="D550" s="156"/>
      <c r="E550" s="156" t="s">
        <v>3630</v>
      </c>
      <c r="F550" s="157" t="s">
        <v>8714</v>
      </c>
      <c r="G550" s="156" t="str">
        <f t="shared" si="22"/>
        <v>MCI-00721|No aplicable</v>
      </c>
      <c r="H550" s="156" t="str">
        <f t="shared" si="23"/>
        <v>MCI-00721|MCI-00950</v>
      </c>
      <c r="I550" s="156" t="str">
        <f t="shared" si="24"/>
        <v>a1O1R000006c5m0UAA</v>
      </c>
      <c r="J550" s="157" t="s">
        <v>367</v>
      </c>
      <c r="K550" s="157" t="s">
        <v>498</v>
      </c>
      <c r="L550" s="157" t="s">
        <v>979</v>
      </c>
      <c r="M550" s="156" t="s">
        <v>2778</v>
      </c>
    </row>
    <row r="551" spans="1:13" s="9" customFormat="1" x14ac:dyDescent="0.25">
      <c r="A551" s="156" t="s">
        <v>8404</v>
      </c>
      <c r="B551" s="156" t="s">
        <v>8715</v>
      </c>
      <c r="C551" s="156" t="str">
        <f>CHOOSE(Translations!$C$1+1,J551,K551,L551,)</f>
        <v>No aplicable</v>
      </c>
      <c r="D551" s="156"/>
      <c r="E551" s="156" t="s">
        <v>3680</v>
      </c>
      <c r="F551" s="157" t="s">
        <v>8716</v>
      </c>
      <c r="G551" s="156" t="str">
        <f t="shared" si="22"/>
        <v>MCI-00722|No aplicable</v>
      </c>
      <c r="H551" s="156" t="str">
        <f t="shared" si="23"/>
        <v>MCI-00722|MCI-00951</v>
      </c>
      <c r="I551" s="156" t="str">
        <f t="shared" si="24"/>
        <v>a1O1R000006c5m1UAA</v>
      </c>
      <c r="J551" s="157" t="s">
        <v>367</v>
      </c>
      <c r="K551" s="157" t="s">
        <v>498</v>
      </c>
      <c r="L551" s="157" t="s">
        <v>979</v>
      </c>
      <c r="M551" s="156" t="s">
        <v>2778</v>
      </c>
    </row>
    <row r="552" spans="1:13" s="9" customFormat="1" x14ac:dyDescent="0.25">
      <c r="A552" s="156" t="s">
        <v>8404</v>
      </c>
      <c r="B552" s="156" t="s">
        <v>8717</v>
      </c>
      <c r="C552" s="156" t="str">
        <f>CHOOSE(Translations!$C$1+1,J552,K552,L552,)</f>
        <v>No aplicable</v>
      </c>
      <c r="D552" s="156"/>
      <c r="E552" s="156" t="s">
        <v>3730</v>
      </c>
      <c r="F552" s="157" t="s">
        <v>8718</v>
      </c>
      <c r="G552" s="156" t="str">
        <f t="shared" si="22"/>
        <v>MCI-00723|No aplicable</v>
      </c>
      <c r="H552" s="156" t="str">
        <f t="shared" si="23"/>
        <v>MCI-00723|MCI-00952</v>
      </c>
      <c r="I552" s="156" t="str">
        <f t="shared" si="24"/>
        <v>a1O1R000006c5m2UAA</v>
      </c>
      <c r="J552" s="157" t="s">
        <v>367</v>
      </c>
      <c r="K552" s="157" t="s">
        <v>498</v>
      </c>
      <c r="L552" s="157" t="s">
        <v>979</v>
      </c>
      <c r="M552" s="156" t="s">
        <v>2778</v>
      </c>
    </row>
    <row r="553" spans="1:13" s="9" customFormat="1" x14ac:dyDescent="0.25">
      <c r="A553" s="156" t="s">
        <v>8404</v>
      </c>
      <c r="B553" s="156" t="s">
        <v>8719</v>
      </c>
      <c r="C553" s="156" t="str">
        <f>CHOOSE(Translations!$C$1+1,J553,K553,L553,)</f>
        <v>No aplicable</v>
      </c>
      <c r="D553" s="156"/>
      <c r="E553" s="156" t="s">
        <v>3725</v>
      </c>
      <c r="F553" s="157" t="s">
        <v>8720</v>
      </c>
      <c r="G553" s="156" t="str">
        <f t="shared" si="22"/>
        <v>MCI-00724|No aplicable</v>
      </c>
      <c r="H553" s="156" t="str">
        <f t="shared" si="23"/>
        <v>MCI-00724|MCI-00953</v>
      </c>
      <c r="I553" s="156" t="str">
        <f t="shared" si="24"/>
        <v>a1O1R000006c5m3UAA</v>
      </c>
      <c r="J553" s="157" t="s">
        <v>367</v>
      </c>
      <c r="K553" s="157" t="s">
        <v>498</v>
      </c>
      <c r="L553" s="157" t="s">
        <v>979</v>
      </c>
      <c r="M553" s="156" t="s">
        <v>2778</v>
      </c>
    </row>
    <row r="554" spans="1:13" s="9" customFormat="1" x14ac:dyDescent="0.25">
      <c r="A554" s="156" t="s">
        <v>8404</v>
      </c>
      <c r="B554" s="156" t="s">
        <v>8721</v>
      </c>
      <c r="C554" s="156" t="str">
        <f>CHOOSE(Translations!$C$1+1,J554,K554,L554,)</f>
        <v>No aplicable</v>
      </c>
      <c r="D554" s="156"/>
      <c r="E554" s="156" t="s">
        <v>3695</v>
      </c>
      <c r="F554" s="157" t="s">
        <v>8722</v>
      </c>
      <c r="G554" s="156" t="str">
        <f t="shared" si="22"/>
        <v>MCI-00725|No aplicable</v>
      </c>
      <c r="H554" s="156" t="str">
        <f t="shared" si="23"/>
        <v>MCI-00725|MCI-00954</v>
      </c>
      <c r="I554" s="156" t="str">
        <f t="shared" si="24"/>
        <v>a1O1R000006c5m4UAA</v>
      </c>
      <c r="J554" s="157" t="s">
        <v>367</v>
      </c>
      <c r="K554" s="157" t="s">
        <v>498</v>
      </c>
      <c r="L554" s="157" t="s">
        <v>979</v>
      </c>
      <c r="M554" s="156" t="s">
        <v>2778</v>
      </c>
    </row>
    <row r="555" spans="1:13" s="9" customFormat="1" x14ac:dyDescent="0.25">
      <c r="A555" s="156" t="s">
        <v>8404</v>
      </c>
      <c r="B555" s="156" t="s">
        <v>8723</v>
      </c>
      <c r="C555" s="156" t="str">
        <f>CHOOSE(Translations!$C$1+1,J555,K555,L555,)</f>
        <v>No aplicable</v>
      </c>
      <c r="D555" s="156"/>
      <c r="E555" s="156" t="s">
        <v>3690</v>
      </c>
      <c r="F555" s="157" t="s">
        <v>8724</v>
      </c>
      <c r="G555" s="156" t="str">
        <f t="shared" si="22"/>
        <v>MCI-00726|No aplicable</v>
      </c>
      <c r="H555" s="156" t="str">
        <f t="shared" si="23"/>
        <v>MCI-00726|MCI-00955</v>
      </c>
      <c r="I555" s="156" t="str">
        <f t="shared" si="24"/>
        <v>a1O1R000006c5m5UAA</v>
      </c>
      <c r="J555" s="157" t="s">
        <v>367</v>
      </c>
      <c r="K555" s="157" t="s">
        <v>498</v>
      </c>
      <c r="L555" s="157" t="s">
        <v>979</v>
      </c>
      <c r="M555" s="156" t="s">
        <v>2778</v>
      </c>
    </row>
    <row r="556" spans="1:13" s="9" customFormat="1" x14ac:dyDescent="0.25">
      <c r="A556" s="156" t="s">
        <v>8404</v>
      </c>
      <c r="B556" s="156" t="s">
        <v>8725</v>
      </c>
      <c r="C556" s="156" t="str">
        <f>CHOOSE(Translations!$C$1+1,J556,K556,L556,)</f>
        <v>No aplicable</v>
      </c>
      <c r="D556" s="156"/>
      <c r="E556" s="156" t="s">
        <v>3700</v>
      </c>
      <c r="F556" s="157" t="s">
        <v>8726</v>
      </c>
      <c r="G556" s="156" t="str">
        <f t="shared" si="22"/>
        <v>MCI-00727|No aplicable</v>
      </c>
      <c r="H556" s="156" t="str">
        <f t="shared" si="23"/>
        <v>MCI-00727|MCI-00956</v>
      </c>
      <c r="I556" s="156" t="str">
        <f t="shared" si="24"/>
        <v>a1O1R000006c5m6UAA</v>
      </c>
      <c r="J556" s="157" t="s">
        <v>367</v>
      </c>
      <c r="K556" s="157" t="s">
        <v>498</v>
      </c>
      <c r="L556" s="157" t="s">
        <v>979</v>
      </c>
      <c r="M556" s="156" t="s">
        <v>2778</v>
      </c>
    </row>
    <row r="557" spans="1:13" s="9" customFormat="1" x14ac:dyDescent="0.25">
      <c r="A557" s="156" t="s">
        <v>8404</v>
      </c>
      <c r="B557" s="156" t="s">
        <v>8727</v>
      </c>
      <c r="C557" s="156" t="str">
        <f>CHOOSE(Translations!$C$1+1,J557,K557,L557,)</f>
        <v>No aplicable</v>
      </c>
      <c r="D557" s="156"/>
      <c r="E557" s="156" t="s">
        <v>3720</v>
      </c>
      <c r="F557" s="157" t="s">
        <v>8728</v>
      </c>
      <c r="G557" s="156" t="str">
        <f t="shared" si="22"/>
        <v>MCI-00728|No aplicable</v>
      </c>
      <c r="H557" s="156" t="str">
        <f t="shared" si="23"/>
        <v>MCI-00728|MCI-00957</v>
      </c>
      <c r="I557" s="156" t="str">
        <f t="shared" si="24"/>
        <v>a1O1R000006c5m7UAA</v>
      </c>
      <c r="J557" s="157" t="s">
        <v>367</v>
      </c>
      <c r="K557" s="157" t="s">
        <v>498</v>
      </c>
      <c r="L557" s="157" t="s">
        <v>979</v>
      </c>
      <c r="M557" s="156" t="s">
        <v>2778</v>
      </c>
    </row>
    <row r="558" spans="1:13" s="9" customFormat="1" x14ac:dyDescent="0.25">
      <c r="A558" s="156" t="s">
        <v>8404</v>
      </c>
      <c r="B558" s="156" t="s">
        <v>8729</v>
      </c>
      <c r="C558" s="156" t="str">
        <f>CHOOSE(Translations!$C$1+1,J558,K558,L558,)</f>
        <v>No aplicable</v>
      </c>
      <c r="D558" s="156"/>
      <c r="E558" s="156" t="s">
        <v>3710</v>
      </c>
      <c r="F558" s="157" t="s">
        <v>8730</v>
      </c>
      <c r="G558" s="156" t="str">
        <f t="shared" si="22"/>
        <v>MCI-00729|No aplicable</v>
      </c>
      <c r="H558" s="156" t="str">
        <f t="shared" si="23"/>
        <v>MCI-00729|MCI-00958</v>
      </c>
      <c r="I558" s="156" t="str">
        <f t="shared" si="24"/>
        <v>a1O1R000006c5m8UAA</v>
      </c>
      <c r="J558" s="157" t="s">
        <v>367</v>
      </c>
      <c r="K558" s="157" t="s">
        <v>498</v>
      </c>
      <c r="L558" s="157" t="s">
        <v>979</v>
      </c>
      <c r="M558" s="156" t="s">
        <v>2778</v>
      </c>
    </row>
    <row r="559" spans="1:13" s="9" customFormat="1" x14ac:dyDescent="0.25">
      <c r="A559" s="156" t="s">
        <v>8404</v>
      </c>
      <c r="B559" s="156" t="s">
        <v>8731</v>
      </c>
      <c r="C559" s="156" t="str">
        <f>CHOOSE(Translations!$C$1+1,J559,K559,L559,)</f>
        <v>No aplicable</v>
      </c>
      <c r="D559" s="156"/>
      <c r="E559" s="156" t="s">
        <v>3705</v>
      </c>
      <c r="F559" s="157" t="s">
        <v>8732</v>
      </c>
      <c r="G559" s="156" t="str">
        <f t="shared" si="22"/>
        <v>MCI-00730|No aplicable</v>
      </c>
      <c r="H559" s="156" t="str">
        <f t="shared" si="23"/>
        <v>MCI-00730|MCI-00959</v>
      </c>
      <c r="I559" s="156" t="str">
        <f t="shared" si="24"/>
        <v>a1O1R000006c5m9UAA</v>
      </c>
      <c r="J559" s="157" t="s">
        <v>367</v>
      </c>
      <c r="K559" s="157" t="s">
        <v>498</v>
      </c>
      <c r="L559" s="157" t="s">
        <v>979</v>
      </c>
      <c r="M559" s="156" t="s">
        <v>2778</v>
      </c>
    </row>
    <row r="560" spans="1:13" s="9" customFormat="1" x14ac:dyDescent="0.25">
      <c r="A560" s="156" t="s">
        <v>8404</v>
      </c>
      <c r="B560" s="156" t="s">
        <v>8733</v>
      </c>
      <c r="C560" s="156" t="str">
        <f>CHOOSE(Translations!$C$1+1,J560,K560,L560,)</f>
        <v>No aplicable</v>
      </c>
      <c r="D560" s="156"/>
      <c r="E560" s="156" t="s">
        <v>3715</v>
      </c>
      <c r="F560" s="157" t="s">
        <v>8734</v>
      </c>
      <c r="G560" s="156" t="str">
        <f t="shared" si="22"/>
        <v>MCI-00731|No aplicable</v>
      </c>
      <c r="H560" s="156" t="str">
        <f t="shared" si="23"/>
        <v>MCI-00731|MCI-00960</v>
      </c>
      <c r="I560" s="156" t="str">
        <f t="shared" si="24"/>
        <v>a1O1R000006c5mAUAQ</v>
      </c>
      <c r="J560" s="157" t="s">
        <v>367</v>
      </c>
      <c r="K560" s="157" t="s">
        <v>498</v>
      </c>
      <c r="L560" s="157" t="s">
        <v>979</v>
      </c>
      <c r="M560" s="156" t="s">
        <v>2778</v>
      </c>
    </row>
    <row r="561" spans="1:13" s="9" customFormat="1" x14ac:dyDescent="0.25">
      <c r="A561" s="156" t="s">
        <v>8404</v>
      </c>
      <c r="B561" s="156" t="s">
        <v>8735</v>
      </c>
      <c r="C561" s="156" t="str">
        <f>CHOOSE(Translations!$C$1+1,J561,K561,L561,)</f>
        <v>No aplicable</v>
      </c>
      <c r="D561" s="156"/>
      <c r="E561" s="156" t="s">
        <v>3685</v>
      </c>
      <c r="F561" s="157" t="s">
        <v>8736</v>
      </c>
      <c r="G561" s="156" t="str">
        <f t="shared" si="22"/>
        <v>MCI-00732|No aplicable</v>
      </c>
      <c r="H561" s="156" t="str">
        <f t="shared" si="23"/>
        <v>MCI-00732|MCI-00961</v>
      </c>
      <c r="I561" s="156" t="str">
        <f t="shared" si="24"/>
        <v>a1O1R000006c5mBUAQ</v>
      </c>
      <c r="J561" s="157" t="s">
        <v>367</v>
      </c>
      <c r="K561" s="157" t="s">
        <v>498</v>
      </c>
      <c r="L561" s="157" t="s">
        <v>979</v>
      </c>
      <c r="M561" s="156" t="s">
        <v>2778</v>
      </c>
    </row>
    <row r="562" spans="1:13" s="9" customFormat="1" x14ac:dyDescent="0.25">
      <c r="A562" s="156" t="s">
        <v>8404</v>
      </c>
      <c r="B562" s="156" t="s">
        <v>8737</v>
      </c>
      <c r="C562" s="156" t="str">
        <f>CHOOSE(Translations!$C$1+1,J562,K562,L562,)</f>
        <v>No aplicable</v>
      </c>
      <c r="D562" s="156"/>
      <c r="E562" s="156" t="s">
        <v>3755</v>
      </c>
      <c r="F562" s="157" t="s">
        <v>8738</v>
      </c>
      <c r="G562" s="156" t="str">
        <f t="shared" si="22"/>
        <v>MCI-00733|No aplicable</v>
      </c>
      <c r="H562" s="156" t="str">
        <f t="shared" si="23"/>
        <v>MCI-00733|MCI-00962</v>
      </c>
      <c r="I562" s="156" t="str">
        <f t="shared" si="24"/>
        <v>a1O1R000006c5mCUAQ</v>
      </c>
      <c r="J562" s="157" t="s">
        <v>367</v>
      </c>
      <c r="K562" s="157" t="s">
        <v>498</v>
      </c>
      <c r="L562" s="157" t="s">
        <v>979</v>
      </c>
      <c r="M562" s="156" t="s">
        <v>2778</v>
      </c>
    </row>
    <row r="563" spans="1:13" s="9" customFormat="1" x14ac:dyDescent="0.25">
      <c r="A563" s="156" t="s">
        <v>8404</v>
      </c>
      <c r="B563" s="156" t="s">
        <v>8739</v>
      </c>
      <c r="C563" s="156" t="str">
        <f>CHOOSE(Translations!$C$1+1,J563,K563,L563,)</f>
        <v>No aplicable</v>
      </c>
      <c r="D563" s="156"/>
      <c r="E563" s="156" t="s">
        <v>3740</v>
      </c>
      <c r="F563" s="157" t="s">
        <v>8740</v>
      </c>
      <c r="G563" s="156" t="str">
        <f t="shared" si="22"/>
        <v>MCI-00734|No aplicable</v>
      </c>
      <c r="H563" s="156" t="str">
        <f t="shared" si="23"/>
        <v>MCI-00734|MCI-00963</v>
      </c>
      <c r="I563" s="156" t="str">
        <f t="shared" si="24"/>
        <v>a1O1R000006c5mDUAQ</v>
      </c>
      <c r="J563" s="157" t="s">
        <v>367</v>
      </c>
      <c r="K563" s="157" t="s">
        <v>498</v>
      </c>
      <c r="L563" s="157" t="s">
        <v>979</v>
      </c>
      <c r="M563" s="156" t="s">
        <v>2778</v>
      </c>
    </row>
    <row r="564" spans="1:13" s="9" customFormat="1" x14ac:dyDescent="0.25">
      <c r="A564" s="156" t="s">
        <v>8404</v>
      </c>
      <c r="B564" s="156" t="s">
        <v>8741</v>
      </c>
      <c r="C564" s="156" t="str">
        <f>CHOOSE(Translations!$C$1+1,J564,K564,L564,)</f>
        <v>No aplicable</v>
      </c>
      <c r="D564" s="156"/>
      <c r="E564" s="156" t="s">
        <v>3745</v>
      </c>
      <c r="F564" s="157" t="s">
        <v>8742</v>
      </c>
      <c r="G564" s="156" t="str">
        <f t="shared" si="22"/>
        <v>MCI-00735|No aplicable</v>
      </c>
      <c r="H564" s="156" t="str">
        <f t="shared" si="23"/>
        <v>MCI-00735|MCI-00964</v>
      </c>
      <c r="I564" s="156" t="str">
        <f t="shared" si="24"/>
        <v>a1O1R000006c5mEUAQ</v>
      </c>
      <c r="J564" s="157" t="s">
        <v>367</v>
      </c>
      <c r="K564" s="157" t="s">
        <v>498</v>
      </c>
      <c r="L564" s="157" t="s">
        <v>979</v>
      </c>
      <c r="M564" s="156" t="s">
        <v>2778</v>
      </c>
    </row>
    <row r="565" spans="1:13" s="9" customFormat="1" x14ac:dyDescent="0.25">
      <c r="A565" s="156" t="s">
        <v>8404</v>
      </c>
      <c r="B565" s="156" t="s">
        <v>8743</v>
      </c>
      <c r="C565" s="156" t="str">
        <f>CHOOSE(Translations!$C$1+1,J565,K565,L565,)</f>
        <v>No aplicable</v>
      </c>
      <c r="D565" s="156"/>
      <c r="E565" s="156" t="s">
        <v>3750</v>
      </c>
      <c r="F565" s="157" t="s">
        <v>8744</v>
      </c>
      <c r="G565" s="156" t="str">
        <f t="shared" si="22"/>
        <v>MCI-00736|No aplicable</v>
      </c>
      <c r="H565" s="156" t="str">
        <f t="shared" si="23"/>
        <v>MCI-00736|MCI-00965</v>
      </c>
      <c r="I565" s="156" t="str">
        <f t="shared" si="24"/>
        <v>a1O1R000006c5mFUAQ</v>
      </c>
      <c r="J565" s="157" t="s">
        <v>367</v>
      </c>
      <c r="K565" s="157" t="s">
        <v>498</v>
      </c>
      <c r="L565" s="157" t="s">
        <v>979</v>
      </c>
      <c r="M565" s="156" t="s">
        <v>2778</v>
      </c>
    </row>
    <row r="566" spans="1:13" s="9" customFormat="1" x14ac:dyDescent="0.25">
      <c r="A566" s="156" t="s">
        <v>8404</v>
      </c>
      <c r="B566" s="156" t="s">
        <v>8745</v>
      </c>
      <c r="C566" s="156" t="str">
        <f>CHOOSE(Translations!$C$1+1,J566,K566,L566,)</f>
        <v>No aplicable</v>
      </c>
      <c r="D566" s="156"/>
      <c r="E566" s="156" t="s">
        <v>3735</v>
      </c>
      <c r="F566" s="157" t="s">
        <v>8746</v>
      </c>
      <c r="G566" s="156" t="str">
        <f t="shared" si="22"/>
        <v>MCI-00737|No aplicable</v>
      </c>
      <c r="H566" s="156" t="str">
        <f t="shared" si="23"/>
        <v>MCI-00737|MCI-00966</v>
      </c>
      <c r="I566" s="156" t="str">
        <f t="shared" si="24"/>
        <v>a1O1R000006c5mGUAQ</v>
      </c>
      <c r="J566" s="157" t="s">
        <v>367</v>
      </c>
      <c r="K566" s="157" t="s">
        <v>498</v>
      </c>
      <c r="L566" s="157" t="s">
        <v>979</v>
      </c>
      <c r="M566" s="156" t="s">
        <v>2778</v>
      </c>
    </row>
    <row r="567" spans="1:13" s="9" customFormat="1" x14ac:dyDescent="0.25">
      <c r="A567" s="156" t="s">
        <v>8404</v>
      </c>
      <c r="B567" s="156" t="s">
        <v>8747</v>
      </c>
      <c r="C567" s="156" t="str">
        <f>CHOOSE(Translations!$C$1+1,J567,K567,L567,)</f>
        <v>No aplicable</v>
      </c>
      <c r="D567" s="156"/>
      <c r="E567" s="156" t="s">
        <v>3810</v>
      </c>
      <c r="F567" s="157" t="s">
        <v>8748</v>
      </c>
      <c r="G567" s="156" t="str">
        <f t="shared" si="22"/>
        <v>MCI-00738|No aplicable</v>
      </c>
      <c r="H567" s="156" t="str">
        <f t="shared" si="23"/>
        <v>MCI-00738|MCI-00967</v>
      </c>
      <c r="I567" s="156" t="str">
        <f t="shared" si="24"/>
        <v>a1O1R000006c5mHUAQ</v>
      </c>
      <c r="J567" s="157" t="s">
        <v>367</v>
      </c>
      <c r="K567" s="157" t="s">
        <v>498</v>
      </c>
      <c r="L567" s="157" t="s">
        <v>979</v>
      </c>
      <c r="M567" s="156" t="s">
        <v>2778</v>
      </c>
    </row>
    <row r="568" spans="1:13" s="9" customFormat="1" x14ac:dyDescent="0.25">
      <c r="A568" s="156" t="s">
        <v>8404</v>
      </c>
      <c r="B568" s="156" t="s">
        <v>8749</v>
      </c>
      <c r="C568" s="156" t="str">
        <f>CHOOSE(Translations!$C$1+1,J568,K568,L568,)</f>
        <v>No aplicable</v>
      </c>
      <c r="D568" s="156"/>
      <c r="E568" s="156" t="s">
        <v>3805</v>
      </c>
      <c r="F568" s="157" t="s">
        <v>8750</v>
      </c>
      <c r="G568" s="156" t="str">
        <f t="shared" si="22"/>
        <v>MCI-00739|No aplicable</v>
      </c>
      <c r="H568" s="156" t="str">
        <f t="shared" si="23"/>
        <v>MCI-00739|MCI-00968</v>
      </c>
      <c r="I568" s="156" t="str">
        <f t="shared" si="24"/>
        <v>a1O1R000006c5mIUAQ</v>
      </c>
      <c r="J568" s="157" t="s">
        <v>367</v>
      </c>
      <c r="K568" s="157" t="s">
        <v>498</v>
      </c>
      <c r="L568" s="157" t="s">
        <v>979</v>
      </c>
      <c r="M568" s="156" t="s">
        <v>2778</v>
      </c>
    </row>
    <row r="569" spans="1:13" s="9" customFormat="1" x14ac:dyDescent="0.25">
      <c r="A569" s="156" t="s">
        <v>8404</v>
      </c>
      <c r="B569" s="156" t="s">
        <v>8751</v>
      </c>
      <c r="C569" s="156" t="str">
        <f>CHOOSE(Translations!$C$1+1,J569,K569,L569,)</f>
        <v>No aplicable</v>
      </c>
      <c r="D569" s="156"/>
      <c r="E569" s="156" t="s">
        <v>3815</v>
      </c>
      <c r="F569" s="157" t="s">
        <v>8752</v>
      </c>
      <c r="G569" s="156" t="str">
        <f t="shared" si="22"/>
        <v>MCI-00740|No aplicable</v>
      </c>
      <c r="H569" s="156" t="str">
        <f t="shared" si="23"/>
        <v>MCI-00740|MCI-00969</v>
      </c>
      <c r="I569" s="156" t="str">
        <f t="shared" si="24"/>
        <v>a1O1R000006c5mJUAQ</v>
      </c>
      <c r="J569" s="157" t="s">
        <v>367</v>
      </c>
      <c r="K569" s="157" t="s">
        <v>498</v>
      </c>
      <c r="L569" s="157" t="s">
        <v>979</v>
      </c>
      <c r="M569" s="156" t="s">
        <v>2778</v>
      </c>
    </row>
    <row r="570" spans="1:13" s="9" customFormat="1" x14ac:dyDescent="0.25">
      <c r="A570" s="156" t="s">
        <v>8404</v>
      </c>
      <c r="B570" s="156" t="s">
        <v>8753</v>
      </c>
      <c r="C570" s="156" t="str">
        <f>CHOOSE(Translations!$C$1+1,J570,K570,L570,)</f>
        <v>No aplicable</v>
      </c>
      <c r="D570" s="156"/>
      <c r="E570" s="156" t="s">
        <v>3800</v>
      </c>
      <c r="F570" s="157" t="s">
        <v>8754</v>
      </c>
      <c r="G570" s="156" t="str">
        <f t="shared" si="22"/>
        <v>MCI-00741|No aplicable</v>
      </c>
      <c r="H570" s="156" t="str">
        <f t="shared" si="23"/>
        <v>MCI-00741|MCI-00970</v>
      </c>
      <c r="I570" s="156" t="str">
        <f t="shared" si="24"/>
        <v>a1O1R000006c5mKUAQ</v>
      </c>
      <c r="J570" s="157" t="s">
        <v>367</v>
      </c>
      <c r="K570" s="157" t="s">
        <v>498</v>
      </c>
      <c r="L570" s="157" t="s">
        <v>979</v>
      </c>
      <c r="M570" s="156" t="s">
        <v>2778</v>
      </c>
    </row>
    <row r="571" spans="1:13" s="9" customFormat="1" x14ac:dyDescent="0.25">
      <c r="A571" s="156" t="s">
        <v>8404</v>
      </c>
      <c r="B571" s="156" t="s">
        <v>8755</v>
      </c>
      <c r="C571" s="156" t="str">
        <f>CHOOSE(Translations!$C$1+1,J571,K571,L571,)</f>
        <v>No aplicable</v>
      </c>
      <c r="D571" s="156"/>
      <c r="E571" s="156" t="s">
        <v>3770</v>
      </c>
      <c r="F571" s="157" t="s">
        <v>8756</v>
      </c>
      <c r="G571" s="156" t="str">
        <f t="shared" si="22"/>
        <v>MCI-00742|No aplicable</v>
      </c>
      <c r="H571" s="156" t="str">
        <f t="shared" si="23"/>
        <v>MCI-00742|MCI-00971</v>
      </c>
      <c r="I571" s="156" t="str">
        <f t="shared" si="24"/>
        <v>a1O1R000006c5mLUAQ</v>
      </c>
      <c r="J571" s="157" t="s">
        <v>367</v>
      </c>
      <c r="K571" s="157" t="s">
        <v>498</v>
      </c>
      <c r="L571" s="157" t="s">
        <v>979</v>
      </c>
      <c r="M571" s="156" t="s">
        <v>2778</v>
      </c>
    </row>
    <row r="572" spans="1:13" s="9" customFormat="1" x14ac:dyDescent="0.25">
      <c r="A572" s="156" t="s">
        <v>8404</v>
      </c>
      <c r="B572" s="156" t="s">
        <v>8757</v>
      </c>
      <c r="C572" s="156" t="str">
        <f>CHOOSE(Translations!$C$1+1,J572,K572,L572,)</f>
        <v>No aplicable</v>
      </c>
      <c r="D572" s="156"/>
      <c r="E572" s="156" t="s">
        <v>3765</v>
      </c>
      <c r="F572" s="157" t="s">
        <v>8758</v>
      </c>
      <c r="G572" s="156" t="str">
        <f t="shared" si="22"/>
        <v>MCI-00743|No aplicable</v>
      </c>
      <c r="H572" s="156" t="str">
        <f t="shared" si="23"/>
        <v>MCI-00743|MCI-00972</v>
      </c>
      <c r="I572" s="156" t="str">
        <f t="shared" si="24"/>
        <v>a1O1R000006c5mMUAQ</v>
      </c>
      <c r="J572" s="157" t="s">
        <v>367</v>
      </c>
      <c r="K572" s="157" t="s">
        <v>498</v>
      </c>
      <c r="L572" s="157" t="s">
        <v>979</v>
      </c>
      <c r="M572" s="156" t="s">
        <v>2778</v>
      </c>
    </row>
    <row r="573" spans="1:13" s="9" customFormat="1" x14ac:dyDescent="0.25">
      <c r="A573" s="156" t="s">
        <v>8404</v>
      </c>
      <c r="B573" s="156" t="s">
        <v>8759</v>
      </c>
      <c r="C573" s="156" t="str">
        <f>CHOOSE(Translations!$C$1+1,J573,K573,L573,)</f>
        <v>No aplicable</v>
      </c>
      <c r="D573" s="156"/>
      <c r="E573" s="156" t="s">
        <v>3775</v>
      </c>
      <c r="F573" s="157" t="s">
        <v>8760</v>
      </c>
      <c r="G573" s="156" t="str">
        <f t="shared" si="22"/>
        <v>MCI-00744|No aplicable</v>
      </c>
      <c r="H573" s="156" t="str">
        <f t="shared" si="23"/>
        <v>MCI-00744|MCI-00973</v>
      </c>
      <c r="I573" s="156" t="str">
        <f t="shared" si="24"/>
        <v>a1O1R000006c5mNUAQ</v>
      </c>
      <c r="J573" s="157" t="s">
        <v>367</v>
      </c>
      <c r="K573" s="157" t="s">
        <v>498</v>
      </c>
      <c r="L573" s="157" t="s">
        <v>979</v>
      </c>
      <c r="M573" s="156" t="s">
        <v>2778</v>
      </c>
    </row>
    <row r="574" spans="1:13" s="9" customFormat="1" x14ac:dyDescent="0.25">
      <c r="A574" s="156" t="s">
        <v>8404</v>
      </c>
      <c r="B574" s="156" t="s">
        <v>8761</v>
      </c>
      <c r="C574" s="156" t="str">
        <f>CHOOSE(Translations!$C$1+1,J574,K574,L574,)</f>
        <v>No aplicable</v>
      </c>
      <c r="D574" s="156"/>
      <c r="E574" s="156" t="s">
        <v>3795</v>
      </c>
      <c r="F574" s="157" t="s">
        <v>8762</v>
      </c>
      <c r="G574" s="156" t="str">
        <f t="shared" si="22"/>
        <v>MCI-00745|No aplicable</v>
      </c>
      <c r="H574" s="156" t="str">
        <f t="shared" si="23"/>
        <v>MCI-00745|MCI-00974</v>
      </c>
      <c r="I574" s="156" t="str">
        <f t="shared" si="24"/>
        <v>a1O1R000006c5mOUAQ</v>
      </c>
      <c r="J574" s="157" t="s">
        <v>367</v>
      </c>
      <c r="K574" s="157" t="s">
        <v>498</v>
      </c>
      <c r="L574" s="157" t="s">
        <v>979</v>
      </c>
      <c r="M574" s="156" t="s">
        <v>2778</v>
      </c>
    </row>
    <row r="575" spans="1:13" s="9" customFormat="1" x14ac:dyDescent="0.25">
      <c r="A575" s="156" t="s">
        <v>8404</v>
      </c>
      <c r="B575" s="156" t="s">
        <v>8763</v>
      </c>
      <c r="C575" s="156" t="str">
        <f>CHOOSE(Translations!$C$1+1,J575,K575,L575,)</f>
        <v>No aplicable</v>
      </c>
      <c r="D575" s="156"/>
      <c r="E575" s="156" t="s">
        <v>3785</v>
      </c>
      <c r="F575" s="157" t="s">
        <v>8764</v>
      </c>
      <c r="G575" s="156" t="str">
        <f t="shared" si="22"/>
        <v>MCI-00746|No aplicable</v>
      </c>
      <c r="H575" s="156" t="str">
        <f t="shared" si="23"/>
        <v>MCI-00746|MCI-00975</v>
      </c>
      <c r="I575" s="156" t="str">
        <f t="shared" si="24"/>
        <v>a1O1R000006c5mPUAQ</v>
      </c>
      <c r="J575" s="157" t="s">
        <v>367</v>
      </c>
      <c r="K575" s="157" t="s">
        <v>498</v>
      </c>
      <c r="L575" s="157" t="s">
        <v>979</v>
      </c>
      <c r="M575" s="156" t="s">
        <v>2778</v>
      </c>
    </row>
    <row r="576" spans="1:13" s="9" customFormat="1" x14ac:dyDescent="0.25">
      <c r="A576" s="156" t="s">
        <v>8404</v>
      </c>
      <c r="B576" s="156" t="s">
        <v>8765</v>
      </c>
      <c r="C576" s="156" t="str">
        <f>CHOOSE(Translations!$C$1+1,J576,K576,L576,)</f>
        <v>No aplicable</v>
      </c>
      <c r="D576" s="156"/>
      <c r="E576" s="156" t="s">
        <v>3780</v>
      </c>
      <c r="F576" s="157" t="s">
        <v>8766</v>
      </c>
      <c r="G576" s="156" t="str">
        <f t="shared" si="22"/>
        <v>MCI-00747|No aplicable</v>
      </c>
      <c r="H576" s="156" t="str">
        <f t="shared" si="23"/>
        <v>MCI-00747|MCI-00976</v>
      </c>
      <c r="I576" s="156" t="str">
        <f t="shared" si="24"/>
        <v>a1O1R000006c5mQUAQ</v>
      </c>
      <c r="J576" s="157" t="s">
        <v>367</v>
      </c>
      <c r="K576" s="157" t="s">
        <v>498</v>
      </c>
      <c r="L576" s="157" t="s">
        <v>979</v>
      </c>
      <c r="M576" s="156" t="s">
        <v>2778</v>
      </c>
    </row>
    <row r="577" spans="1:13" s="9" customFormat="1" x14ac:dyDescent="0.25">
      <c r="A577" s="156" t="s">
        <v>8404</v>
      </c>
      <c r="B577" s="156" t="s">
        <v>8767</v>
      </c>
      <c r="C577" s="156" t="str">
        <f>CHOOSE(Translations!$C$1+1,J577,K577,L577,)</f>
        <v>No aplicable</v>
      </c>
      <c r="D577" s="156"/>
      <c r="E577" s="156" t="s">
        <v>3790</v>
      </c>
      <c r="F577" s="157" t="s">
        <v>8768</v>
      </c>
      <c r="G577" s="156" t="str">
        <f t="shared" si="22"/>
        <v>MCI-00748|No aplicable</v>
      </c>
      <c r="H577" s="156" t="str">
        <f t="shared" si="23"/>
        <v>MCI-00748|MCI-00977</v>
      </c>
      <c r="I577" s="156" t="str">
        <f t="shared" si="24"/>
        <v>a1O1R000006c5mRUAQ</v>
      </c>
      <c r="J577" s="157" t="s">
        <v>367</v>
      </c>
      <c r="K577" s="157" t="s">
        <v>498</v>
      </c>
      <c r="L577" s="157" t="s">
        <v>979</v>
      </c>
      <c r="M577" s="156" t="s">
        <v>2778</v>
      </c>
    </row>
    <row r="578" spans="1:13" s="9" customFormat="1" x14ac:dyDescent="0.25">
      <c r="A578" s="156" t="s">
        <v>8404</v>
      </c>
      <c r="B578" s="156" t="s">
        <v>8769</v>
      </c>
      <c r="C578" s="156" t="str">
        <f>CHOOSE(Translations!$C$1+1,J578,K578,L578,)</f>
        <v>No aplicable</v>
      </c>
      <c r="D578" s="156"/>
      <c r="E578" s="156" t="s">
        <v>3760</v>
      </c>
      <c r="F578" s="157" t="s">
        <v>8770</v>
      </c>
      <c r="G578" s="156" t="str">
        <f t="shared" si="22"/>
        <v>MCI-00749|No aplicable</v>
      </c>
      <c r="H578" s="156" t="str">
        <f t="shared" si="23"/>
        <v>MCI-00749|MCI-00978</v>
      </c>
      <c r="I578" s="156" t="str">
        <f t="shared" si="24"/>
        <v>a1O1R000006c5mSUAQ</v>
      </c>
      <c r="J578" s="157" t="s">
        <v>367</v>
      </c>
      <c r="K578" s="157" t="s">
        <v>498</v>
      </c>
      <c r="L578" s="157" t="s">
        <v>979</v>
      </c>
      <c r="M578" s="156" t="s">
        <v>2778</v>
      </c>
    </row>
    <row r="579" spans="1:13" s="9" customFormat="1" x14ac:dyDescent="0.25">
      <c r="A579" s="156" t="s">
        <v>8404</v>
      </c>
      <c r="B579" s="156" t="s">
        <v>8771</v>
      </c>
      <c r="C579" s="156" t="str">
        <f>CHOOSE(Translations!$C$1+1,J579,K579,L579,)</f>
        <v>No aplicable</v>
      </c>
      <c r="D579" s="156"/>
      <c r="E579" s="156" t="s">
        <v>3820</v>
      </c>
      <c r="F579" s="157" t="s">
        <v>8772</v>
      </c>
      <c r="G579" s="156" t="str">
        <f t="shared" si="22"/>
        <v>MCI-00778|No aplicable</v>
      </c>
      <c r="H579" s="156" t="str">
        <f t="shared" si="23"/>
        <v>MCI-00778|MCI-01007</v>
      </c>
      <c r="I579" s="156" t="str">
        <f t="shared" si="24"/>
        <v>a1O1R000006c5mvUAA</v>
      </c>
      <c r="J579" s="157" t="s">
        <v>367</v>
      </c>
      <c r="K579" s="157" t="s">
        <v>498</v>
      </c>
      <c r="L579" s="157" t="s">
        <v>979</v>
      </c>
      <c r="M579" s="156" t="s">
        <v>2778</v>
      </c>
    </row>
    <row r="580" spans="1:13" s="9" customFormat="1" x14ac:dyDescent="0.25">
      <c r="A580" s="156" t="s">
        <v>8404</v>
      </c>
      <c r="B580" s="156" t="s">
        <v>8773</v>
      </c>
      <c r="C580" s="156" t="str">
        <f>CHOOSE(Translations!$C$1+1,J580,K580,L580,)</f>
        <v>No aplicable</v>
      </c>
      <c r="D580" s="156"/>
      <c r="E580" s="156" t="s">
        <v>3825</v>
      </c>
      <c r="F580" s="157" t="s">
        <v>8774</v>
      </c>
      <c r="G580" s="156" t="str">
        <f t="shared" si="22"/>
        <v>MCI-00779|No aplicable</v>
      </c>
      <c r="H580" s="156" t="str">
        <f t="shared" si="23"/>
        <v>MCI-00779|MCI-01008</v>
      </c>
      <c r="I580" s="156" t="str">
        <f t="shared" si="24"/>
        <v>a1O1R000006c5mwUAA</v>
      </c>
      <c r="J580" s="157" t="s">
        <v>367</v>
      </c>
      <c r="K580" s="157" t="s">
        <v>498</v>
      </c>
      <c r="L580" s="157" t="s">
        <v>979</v>
      </c>
      <c r="M580" s="156" t="s">
        <v>2778</v>
      </c>
    </row>
    <row r="581" spans="1:13" s="9" customFormat="1" x14ac:dyDescent="0.25">
      <c r="A581" s="156" t="s">
        <v>8404</v>
      </c>
      <c r="B581" s="156" t="s">
        <v>8775</v>
      </c>
      <c r="C581" s="156" t="str">
        <f>CHOOSE(Translations!$C$1+1,J581,K581,L581,)</f>
        <v>No aplicable</v>
      </c>
      <c r="D581" s="156"/>
      <c r="E581" s="156" t="s">
        <v>3835</v>
      </c>
      <c r="F581" s="157" t="s">
        <v>8776</v>
      </c>
      <c r="G581" s="156" t="str">
        <f t="shared" si="22"/>
        <v>MCI-00780|No aplicable</v>
      </c>
      <c r="H581" s="156" t="str">
        <f t="shared" si="23"/>
        <v>MCI-00780|MCI-01009</v>
      </c>
      <c r="I581" s="156" t="str">
        <f t="shared" si="24"/>
        <v>a1O1R000006c5mxUAA</v>
      </c>
      <c r="J581" s="157" t="s">
        <v>367</v>
      </c>
      <c r="K581" s="157" t="s">
        <v>498</v>
      </c>
      <c r="L581" s="157" t="s">
        <v>979</v>
      </c>
      <c r="M581" s="156" t="s">
        <v>2778</v>
      </c>
    </row>
    <row r="582" spans="1:13" s="9" customFormat="1" x14ac:dyDescent="0.25">
      <c r="A582" s="156" t="s">
        <v>8404</v>
      </c>
      <c r="B582" s="156" t="s">
        <v>8777</v>
      </c>
      <c r="C582" s="156" t="str">
        <f>CHOOSE(Translations!$C$1+1,J582,K582,L582,)</f>
        <v>No aplicable</v>
      </c>
      <c r="D582" s="156"/>
      <c r="E582" s="156" t="s">
        <v>3850</v>
      </c>
      <c r="F582" s="157" t="s">
        <v>8778</v>
      </c>
      <c r="G582" s="156" t="str">
        <f t="shared" si="22"/>
        <v>MCI-00781|No aplicable</v>
      </c>
      <c r="H582" s="156" t="str">
        <f t="shared" si="23"/>
        <v>MCI-00781|MCI-01010</v>
      </c>
      <c r="I582" s="156" t="str">
        <f t="shared" si="24"/>
        <v>a1O1R000006c5myUAA</v>
      </c>
      <c r="J582" s="157" t="s">
        <v>367</v>
      </c>
      <c r="K582" s="157" t="s">
        <v>498</v>
      </c>
      <c r="L582" s="157" t="s">
        <v>979</v>
      </c>
      <c r="M582" s="156" t="s">
        <v>2778</v>
      </c>
    </row>
    <row r="583" spans="1:13" s="9" customFormat="1" x14ac:dyDescent="0.25">
      <c r="A583" s="156" t="s">
        <v>8404</v>
      </c>
      <c r="B583" s="156" t="s">
        <v>8779</v>
      </c>
      <c r="C583" s="156" t="str">
        <f>CHOOSE(Translations!$C$1+1,J583,K583,L583,)</f>
        <v>No aplicable</v>
      </c>
      <c r="D583" s="156"/>
      <c r="E583" s="156" t="s">
        <v>3840</v>
      </c>
      <c r="F583" s="157" t="s">
        <v>8780</v>
      </c>
      <c r="G583" s="156" t="str">
        <f t="shared" si="22"/>
        <v>MCI-00782|No aplicable</v>
      </c>
      <c r="H583" s="156" t="str">
        <f t="shared" si="23"/>
        <v>MCI-00782|MCI-01011</v>
      </c>
      <c r="I583" s="156" t="str">
        <f t="shared" si="24"/>
        <v>a1O1R000006c5mzUAA</v>
      </c>
      <c r="J583" s="157" t="s">
        <v>367</v>
      </c>
      <c r="K583" s="157" t="s">
        <v>498</v>
      </c>
      <c r="L583" s="157" t="s">
        <v>979</v>
      </c>
      <c r="M583" s="156" t="s">
        <v>2778</v>
      </c>
    </row>
    <row r="584" spans="1:13" s="9" customFormat="1" x14ac:dyDescent="0.25">
      <c r="A584" s="156" t="s">
        <v>8404</v>
      </c>
      <c r="B584" s="156" t="s">
        <v>8781</v>
      </c>
      <c r="C584" s="156" t="str">
        <f>CHOOSE(Translations!$C$1+1,J584,K584,L584,)</f>
        <v>No aplicable</v>
      </c>
      <c r="D584" s="156"/>
      <c r="E584" s="156" t="s">
        <v>3845</v>
      </c>
      <c r="F584" s="157" t="s">
        <v>8782</v>
      </c>
      <c r="G584" s="156" t="str">
        <f t="shared" si="22"/>
        <v>MCI-00783|No aplicable</v>
      </c>
      <c r="H584" s="156" t="str">
        <f t="shared" si="23"/>
        <v>MCI-00783|MCI-01012</v>
      </c>
      <c r="I584" s="156" t="str">
        <f t="shared" si="24"/>
        <v>a1O1R000006c5n0UAA</v>
      </c>
      <c r="J584" s="157" t="s">
        <v>367</v>
      </c>
      <c r="K584" s="157" t="s">
        <v>498</v>
      </c>
      <c r="L584" s="157" t="s">
        <v>979</v>
      </c>
      <c r="M584" s="156" t="s">
        <v>2778</v>
      </c>
    </row>
    <row r="585" spans="1:13" s="9" customFormat="1" x14ac:dyDescent="0.25">
      <c r="A585" s="156" t="s">
        <v>8404</v>
      </c>
      <c r="B585" s="156" t="s">
        <v>8783</v>
      </c>
      <c r="C585" s="156" t="str">
        <f>CHOOSE(Translations!$C$1+1,J585,K585,L585,)</f>
        <v>No aplicable</v>
      </c>
      <c r="D585" s="156"/>
      <c r="E585" s="156" t="s">
        <v>3830</v>
      </c>
      <c r="F585" s="157" t="s">
        <v>8784</v>
      </c>
      <c r="G585" s="156" t="str">
        <f t="shared" si="22"/>
        <v>MCI-00784|No aplicable</v>
      </c>
      <c r="H585" s="156" t="str">
        <f t="shared" si="23"/>
        <v>MCI-00784|MCI-01013</v>
      </c>
      <c r="I585" s="156" t="str">
        <f t="shared" si="24"/>
        <v>a1O1R000006c5n1UAA</v>
      </c>
      <c r="J585" s="157" t="s">
        <v>367</v>
      </c>
      <c r="K585" s="157" t="s">
        <v>498</v>
      </c>
      <c r="L585" s="157" t="s">
        <v>979</v>
      </c>
      <c r="M585" s="156" t="s">
        <v>2778</v>
      </c>
    </row>
    <row r="586" spans="1:13" s="9" customFormat="1" x14ac:dyDescent="0.25">
      <c r="A586" s="156" t="s">
        <v>8404</v>
      </c>
      <c r="B586" s="156" t="s">
        <v>8785</v>
      </c>
      <c r="C586" s="156" t="str">
        <f>CHOOSE(Translations!$C$1+1,J586,K586,L586,)</f>
        <v>No aplicable</v>
      </c>
      <c r="D586" s="156"/>
      <c r="E586" s="156" t="s">
        <v>3875</v>
      </c>
      <c r="F586" s="157" t="s">
        <v>8786</v>
      </c>
      <c r="G586" s="156" t="str">
        <f t="shared" si="22"/>
        <v>MCI-00785|No aplicable</v>
      </c>
      <c r="H586" s="156" t="str">
        <f t="shared" si="23"/>
        <v>MCI-00785|MCI-01014</v>
      </c>
      <c r="I586" s="156" t="str">
        <f t="shared" si="24"/>
        <v>a1O1R000006c5n2UAA</v>
      </c>
      <c r="J586" s="157" t="s">
        <v>367</v>
      </c>
      <c r="K586" s="157" t="s">
        <v>498</v>
      </c>
      <c r="L586" s="157" t="s">
        <v>979</v>
      </c>
      <c r="M586" s="156" t="s">
        <v>2778</v>
      </c>
    </row>
    <row r="587" spans="1:13" s="9" customFormat="1" x14ac:dyDescent="0.25">
      <c r="A587" s="156" t="s">
        <v>8404</v>
      </c>
      <c r="B587" s="156" t="s">
        <v>8787</v>
      </c>
      <c r="C587" s="156" t="str">
        <f>CHOOSE(Translations!$C$1+1,J587,K587,L587,)</f>
        <v>No aplicable</v>
      </c>
      <c r="D587" s="156"/>
      <c r="E587" s="156" t="s">
        <v>3870</v>
      </c>
      <c r="F587" s="157" t="s">
        <v>8788</v>
      </c>
      <c r="G587" s="156" t="str">
        <f t="shared" si="22"/>
        <v>MCI-00786|No aplicable</v>
      </c>
      <c r="H587" s="156" t="str">
        <f t="shared" si="23"/>
        <v>MCI-00786|MCI-01015</v>
      </c>
      <c r="I587" s="156" t="str">
        <f t="shared" si="24"/>
        <v>a1O1R000006c5n3UAA</v>
      </c>
      <c r="J587" s="157" t="s">
        <v>367</v>
      </c>
      <c r="K587" s="157" t="s">
        <v>498</v>
      </c>
      <c r="L587" s="157" t="s">
        <v>979</v>
      </c>
      <c r="M587" s="156" t="s">
        <v>2778</v>
      </c>
    </row>
    <row r="588" spans="1:13" s="9" customFormat="1" x14ac:dyDescent="0.25">
      <c r="A588" s="156" t="s">
        <v>8404</v>
      </c>
      <c r="B588" s="156" t="s">
        <v>8789</v>
      </c>
      <c r="C588" s="156" t="str">
        <f>CHOOSE(Translations!$C$1+1,J588,K588,L588,)</f>
        <v>No aplicable</v>
      </c>
      <c r="D588" s="156"/>
      <c r="E588" s="156" t="s">
        <v>3860</v>
      </c>
      <c r="F588" s="157" t="s">
        <v>8790</v>
      </c>
      <c r="G588" s="156" t="str">
        <f t="shared" si="22"/>
        <v>MCI-00787|No aplicable</v>
      </c>
      <c r="H588" s="156" t="str">
        <f t="shared" si="23"/>
        <v>MCI-00787|MCI-01016</v>
      </c>
      <c r="I588" s="156" t="str">
        <f t="shared" si="24"/>
        <v>a1O1R000006c5n4UAA</v>
      </c>
      <c r="J588" s="157" t="s">
        <v>367</v>
      </c>
      <c r="K588" s="157" t="s">
        <v>498</v>
      </c>
      <c r="L588" s="157" t="s">
        <v>979</v>
      </c>
      <c r="M588" s="156" t="s">
        <v>2778</v>
      </c>
    </row>
    <row r="589" spans="1:13" s="9" customFormat="1" x14ac:dyDescent="0.25">
      <c r="A589" s="156" t="s">
        <v>8404</v>
      </c>
      <c r="B589" s="156" t="s">
        <v>8791</v>
      </c>
      <c r="C589" s="156" t="str">
        <f>CHOOSE(Translations!$C$1+1,J589,K589,L589,)</f>
        <v>No aplicable</v>
      </c>
      <c r="D589" s="156"/>
      <c r="E589" s="156" t="s">
        <v>3880</v>
      </c>
      <c r="F589" s="157" t="s">
        <v>8792</v>
      </c>
      <c r="G589" s="156" t="str">
        <f t="shared" si="22"/>
        <v>MCI-00788|No aplicable</v>
      </c>
      <c r="H589" s="156" t="str">
        <f t="shared" si="23"/>
        <v>MCI-00788|MCI-01017</v>
      </c>
      <c r="I589" s="156" t="str">
        <f t="shared" si="24"/>
        <v>a1O1R000006c5n5UAA</v>
      </c>
      <c r="J589" s="157" t="s">
        <v>367</v>
      </c>
      <c r="K589" s="157" t="s">
        <v>498</v>
      </c>
      <c r="L589" s="157" t="s">
        <v>979</v>
      </c>
      <c r="M589" s="156" t="s">
        <v>2778</v>
      </c>
    </row>
    <row r="590" spans="1:13" s="9" customFormat="1" x14ac:dyDescent="0.25">
      <c r="A590" s="156" t="s">
        <v>8404</v>
      </c>
      <c r="B590" s="156" t="s">
        <v>8793</v>
      </c>
      <c r="C590" s="156" t="str">
        <f>CHOOSE(Translations!$C$1+1,J590,K590,L590,)</f>
        <v>No aplicable</v>
      </c>
      <c r="D590" s="156"/>
      <c r="E590" s="156" t="s">
        <v>3855</v>
      </c>
      <c r="F590" s="157" t="s">
        <v>8794</v>
      </c>
      <c r="G590" s="156" t="str">
        <f t="shared" si="22"/>
        <v>MCI-00789|No aplicable</v>
      </c>
      <c r="H590" s="156" t="str">
        <f t="shared" si="23"/>
        <v>MCI-00789|MCI-01018</v>
      </c>
      <c r="I590" s="156" t="str">
        <f t="shared" si="24"/>
        <v>a1O1R000006c5n6UAA</v>
      </c>
      <c r="J590" s="157" t="s">
        <v>367</v>
      </c>
      <c r="K590" s="157" t="s">
        <v>498</v>
      </c>
      <c r="L590" s="157" t="s">
        <v>979</v>
      </c>
      <c r="M590" s="156" t="s">
        <v>2778</v>
      </c>
    </row>
    <row r="591" spans="1:13" s="9" customFormat="1" x14ac:dyDescent="0.25">
      <c r="A591" s="156" t="s">
        <v>8404</v>
      </c>
      <c r="B591" s="156" t="s">
        <v>8795</v>
      </c>
      <c r="C591" s="156" t="str">
        <f>CHOOSE(Translations!$C$1+1,J591,K591,L591,)</f>
        <v>No aplicable</v>
      </c>
      <c r="D591" s="156"/>
      <c r="E591" s="156" t="s">
        <v>3865</v>
      </c>
      <c r="F591" s="157" t="s">
        <v>8796</v>
      </c>
      <c r="G591" s="156" t="str">
        <f t="shared" si="22"/>
        <v>MCI-00790|No aplicable</v>
      </c>
      <c r="H591" s="156" t="str">
        <f t="shared" si="23"/>
        <v>MCI-00790|MCI-01019</v>
      </c>
      <c r="I591" s="156" t="str">
        <f t="shared" si="24"/>
        <v>a1O1R000006c5n7UAA</v>
      </c>
      <c r="J591" s="157" t="s">
        <v>367</v>
      </c>
      <c r="K591" s="157" t="s">
        <v>498</v>
      </c>
      <c r="L591" s="157" t="s">
        <v>979</v>
      </c>
      <c r="M591" s="156" t="s">
        <v>2778</v>
      </c>
    </row>
    <row r="592" spans="1:13" s="9" customFormat="1" x14ac:dyDescent="0.25">
      <c r="A592" s="156" t="s">
        <v>8404</v>
      </c>
      <c r="B592" s="156" t="s">
        <v>8797</v>
      </c>
      <c r="C592" s="156" t="str">
        <f>CHOOSE(Translations!$C$1+1,J592,K592,L592,)</f>
        <v>No aplicable</v>
      </c>
      <c r="D592" s="156"/>
      <c r="E592" s="156" t="s">
        <v>3900</v>
      </c>
      <c r="F592" s="157" t="s">
        <v>8798</v>
      </c>
      <c r="G592" s="156" t="str">
        <f t="shared" si="22"/>
        <v>MCI-00791|No aplicable</v>
      </c>
      <c r="H592" s="156" t="str">
        <f t="shared" si="23"/>
        <v>MCI-00791|MCI-01020</v>
      </c>
      <c r="I592" s="156" t="str">
        <f t="shared" si="24"/>
        <v>a1O1R000006c5n8UAA</v>
      </c>
      <c r="J592" s="157" t="s">
        <v>367</v>
      </c>
      <c r="K592" s="157" t="s">
        <v>498</v>
      </c>
      <c r="L592" s="157" t="s">
        <v>979</v>
      </c>
      <c r="M592" s="156" t="s">
        <v>2778</v>
      </c>
    </row>
    <row r="593" spans="1:13" s="9" customFormat="1" x14ac:dyDescent="0.25">
      <c r="A593" s="156" t="s">
        <v>8404</v>
      </c>
      <c r="B593" s="156" t="s">
        <v>8799</v>
      </c>
      <c r="C593" s="156" t="str">
        <f>CHOOSE(Translations!$C$1+1,J593,K593,L593,)</f>
        <v>No aplicable</v>
      </c>
      <c r="D593" s="156"/>
      <c r="E593" s="156" t="s">
        <v>3915</v>
      </c>
      <c r="F593" s="157" t="s">
        <v>8800</v>
      </c>
      <c r="G593" s="156" t="str">
        <f t="shared" si="22"/>
        <v>MCI-00792|No aplicable</v>
      </c>
      <c r="H593" s="156" t="str">
        <f t="shared" si="23"/>
        <v>MCI-00792|MCI-01021</v>
      </c>
      <c r="I593" s="156" t="str">
        <f t="shared" si="24"/>
        <v>a1O1R000006c5n9UAA</v>
      </c>
      <c r="J593" s="157" t="s">
        <v>367</v>
      </c>
      <c r="K593" s="157" t="s">
        <v>498</v>
      </c>
      <c r="L593" s="157" t="s">
        <v>979</v>
      </c>
      <c r="M593" s="156" t="s">
        <v>2778</v>
      </c>
    </row>
    <row r="594" spans="1:13" s="9" customFormat="1" x14ac:dyDescent="0.25">
      <c r="A594" s="156" t="s">
        <v>8404</v>
      </c>
      <c r="B594" s="156" t="s">
        <v>8801</v>
      </c>
      <c r="C594" s="156" t="str">
        <f>CHOOSE(Translations!$C$1+1,J594,K594,L594,)</f>
        <v>No aplicable</v>
      </c>
      <c r="D594" s="156"/>
      <c r="E594" s="156" t="s">
        <v>3910</v>
      </c>
      <c r="F594" s="157" t="s">
        <v>8802</v>
      </c>
      <c r="G594" s="156" t="str">
        <f t="shared" si="22"/>
        <v>MCI-00793|No aplicable</v>
      </c>
      <c r="H594" s="156" t="str">
        <f t="shared" si="23"/>
        <v>MCI-00793|MCI-01022</v>
      </c>
      <c r="I594" s="156" t="str">
        <f t="shared" si="24"/>
        <v>a1O1R000006c5nAUAQ</v>
      </c>
      <c r="J594" s="157" t="s">
        <v>367</v>
      </c>
      <c r="K594" s="157" t="s">
        <v>498</v>
      </c>
      <c r="L594" s="157" t="s">
        <v>979</v>
      </c>
      <c r="M594" s="156" t="s">
        <v>2778</v>
      </c>
    </row>
    <row r="595" spans="1:13" s="9" customFormat="1" x14ac:dyDescent="0.25">
      <c r="A595" s="156" t="s">
        <v>8404</v>
      </c>
      <c r="B595" s="156" t="s">
        <v>8803</v>
      </c>
      <c r="C595" s="156" t="str">
        <f>CHOOSE(Translations!$C$1+1,J595,K595,L595,)</f>
        <v>No aplicable</v>
      </c>
      <c r="D595" s="156"/>
      <c r="E595" s="156" t="s">
        <v>3905</v>
      </c>
      <c r="F595" s="157" t="s">
        <v>8804</v>
      </c>
      <c r="G595" s="156" t="str">
        <f t="shared" si="22"/>
        <v>MCI-00794|No aplicable</v>
      </c>
      <c r="H595" s="156" t="str">
        <f t="shared" si="23"/>
        <v>MCI-00794|MCI-01023</v>
      </c>
      <c r="I595" s="156" t="str">
        <f t="shared" si="24"/>
        <v>a1O1R000006c5nBUAQ</v>
      </c>
      <c r="J595" s="157" t="s">
        <v>367</v>
      </c>
      <c r="K595" s="157" t="s">
        <v>498</v>
      </c>
      <c r="L595" s="157" t="s">
        <v>979</v>
      </c>
      <c r="M595" s="156" t="s">
        <v>2778</v>
      </c>
    </row>
    <row r="596" spans="1:13" s="9" customFormat="1" x14ac:dyDescent="0.25">
      <c r="A596" s="156" t="s">
        <v>8404</v>
      </c>
      <c r="B596" s="156" t="s">
        <v>8805</v>
      </c>
      <c r="C596" s="156" t="str">
        <f>CHOOSE(Translations!$C$1+1,J596,K596,L596,)</f>
        <v>No aplicable</v>
      </c>
      <c r="D596" s="156"/>
      <c r="E596" s="156" t="s">
        <v>3885</v>
      </c>
      <c r="F596" s="157" t="s">
        <v>8806</v>
      </c>
      <c r="G596" s="156" t="str">
        <f t="shared" si="22"/>
        <v>MCI-00795|No aplicable</v>
      </c>
      <c r="H596" s="156" t="str">
        <f t="shared" si="23"/>
        <v>MCI-00795|MCI-01024</v>
      </c>
      <c r="I596" s="156" t="str">
        <f t="shared" si="24"/>
        <v>a1O1R000006c5nCUAQ</v>
      </c>
      <c r="J596" s="157" t="s">
        <v>367</v>
      </c>
      <c r="K596" s="157" t="s">
        <v>498</v>
      </c>
      <c r="L596" s="157" t="s">
        <v>979</v>
      </c>
      <c r="M596" s="156" t="s">
        <v>2778</v>
      </c>
    </row>
    <row r="597" spans="1:13" s="9" customFormat="1" x14ac:dyDescent="0.25">
      <c r="A597" s="156" t="s">
        <v>8404</v>
      </c>
      <c r="B597" s="156" t="s">
        <v>8807</v>
      </c>
      <c r="C597" s="156" t="str">
        <f>CHOOSE(Translations!$C$1+1,J597,K597,L597,)</f>
        <v>No aplicable</v>
      </c>
      <c r="D597" s="156"/>
      <c r="E597" s="156" t="s">
        <v>3895</v>
      </c>
      <c r="F597" s="157" t="s">
        <v>8808</v>
      </c>
      <c r="G597" s="156" t="str">
        <f t="shared" si="22"/>
        <v>MCI-00796|No aplicable</v>
      </c>
      <c r="H597" s="156" t="str">
        <f t="shared" si="23"/>
        <v>MCI-00796|MCI-01025</v>
      </c>
      <c r="I597" s="156" t="str">
        <f t="shared" si="24"/>
        <v>a1O1R000006c5nDUAQ</v>
      </c>
      <c r="J597" s="157" t="s">
        <v>367</v>
      </c>
      <c r="K597" s="157" t="s">
        <v>498</v>
      </c>
      <c r="L597" s="157" t="s">
        <v>979</v>
      </c>
      <c r="M597" s="156" t="s">
        <v>2778</v>
      </c>
    </row>
    <row r="598" spans="1:13" s="9" customFormat="1" x14ac:dyDescent="0.25">
      <c r="A598" s="156" t="s">
        <v>8404</v>
      </c>
      <c r="B598" s="156" t="s">
        <v>8809</v>
      </c>
      <c r="C598" s="156" t="str">
        <f>CHOOSE(Translations!$C$1+1,J598,K598,L598,)</f>
        <v>No aplicable</v>
      </c>
      <c r="D598" s="156"/>
      <c r="E598" s="156" t="s">
        <v>3890</v>
      </c>
      <c r="F598" s="157" t="s">
        <v>8810</v>
      </c>
      <c r="G598" s="156" t="str">
        <f t="shared" si="22"/>
        <v>MCI-00797|No aplicable</v>
      </c>
      <c r="H598" s="156" t="str">
        <f t="shared" si="23"/>
        <v>MCI-00797|MCI-01026</v>
      </c>
      <c r="I598" s="156" t="str">
        <f t="shared" si="24"/>
        <v>a1O1R000006c5nEUAQ</v>
      </c>
      <c r="J598" s="157" t="s">
        <v>367</v>
      </c>
      <c r="K598" s="157" t="s">
        <v>498</v>
      </c>
      <c r="L598" s="157" t="s">
        <v>979</v>
      </c>
      <c r="M598" s="156" t="s">
        <v>2778</v>
      </c>
    </row>
    <row r="599" spans="1:13" s="9" customFormat="1" x14ac:dyDescent="0.25">
      <c r="A599" s="156" t="s">
        <v>8404</v>
      </c>
      <c r="B599" s="156" t="s">
        <v>8811</v>
      </c>
      <c r="C599" s="156" t="str">
        <f>CHOOSE(Translations!$C$1+1,J599,K599,L599,)</f>
        <v>No aplicable</v>
      </c>
      <c r="D599" s="156"/>
      <c r="E599" s="156" t="s">
        <v>3920</v>
      </c>
      <c r="F599" s="157" t="s">
        <v>8812</v>
      </c>
      <c r="G599" s="156" t="str">
        <f t="shared" si="22"/>
        <v>MCI-00798|No aplicable</v>
      </c>
      <c r="H599" s="156" t="str">
        <f t="shared" si="23"/>
        <v>MCI-00798|MCI-01027</v>
      </c>
      <c r="I599" s="156" t="str">
        <f t="shared" si="24"/>
        <v>a1O1R000006c5nFUAQ</v>
      </c>
      <c r="J599" s="157" t="s">
        <v>367</v>
      </c>
      <c r="K599" s="157" t="s">
        <v>498</v>
      </c>
      <c r="L599" s="157" t="s">
        <v>979</v>
      </c>
      <c r="M599" s="156" t="s">
        <v>2778</v>
      </c>
    </row>
    <row r="600" spans="1:13" s="9" customFormat="1" x14ac:dyDescent="0.25">
      <c r="A600" s="156" t="s">
        <v>8404</v>
      </c>
      <c r="B600" s="156" t="s">
        <v>8813</v>
      </c>
      <c r="C600" s="156" t="str">
        <f>CHOOSE(Translations!$C$1+1,J600,K600,L600,)</f>
        <v>No aplicable</v>
      </c>
      <c r="D600" s="156"/>
      <c r="E600" s="156" t="s">
        <v>3930</v>
      </c>
      <c r="F600" s="157" t="s">
        <v>8814</v>
      </c>
      <c r="G600" s="156" t="str">
        <f t="shared" si="22"/>
        <v>MCI-00799|No aplicable</v>
      </c>
      <c r="H600" s="156" t="str">
        <f t="shared" si="23"/>
        <v>MCI-00799|MCI-01028</v>
      </c>
      <c r="I600" s="156" t="str">
        <f t="shared" si="24"/>
        <v>a1O1R000006c5nGUAQ</v>
      </c>
      <c r="J600" s="157" t="s">
        <v>367</v>
      </c>
      <c r="K600" s="157" t="s">
        <v>498</v>
      </c>
      <c r="L600" s="157" t="s">
        <v>979</v>
      </c>
      <c r="M600" s="156" t="s">
        <v>2778</v>
      </c>
    </row>
    <row r="601" spans="1:13" s="9" customFormat="1" x14ac:dyDescent="0.25">
      <c r="A601" s="156" t="s">
        <v>8404</v>
      </c>
      <c r="B601" s="156" t="s">
        <v>8815</v>
      </c>
      <c r="C601" s="156" t="str">
        <f>CHOOSE(Translations!$C$1+1,J601,K601,L601,)</f>
        <v>No aplicable</v>
      </c>
      <c r="D601" s="156"/>
      <c r="E601" s="156" t="s">
        <v>3925</v>
      </c>
      <c r="F601" s="157" t="s">
        <v>8816</v>
      </c>
      <c r="G601" s="156" t="str">
        <f t="shared" si="22"/>
        <v>MCI-00800|No aplicable</v>
      </c>
      <c r="H601" s="156" t="str">
        <f t="shared" si="23"/>
        <v>MCI-00800|MCI-01029</v>
      </c>
      <c r="I601" s="156" t="str">
        <f t="shared" si="24"/>
        <v>a1O1R000006c5nHUAQ</v>
      </c>
      <c r="J601" s="157" t="s">
        <v>367</v>
      </c>
      <c r="K601" s="157" t="s">
        <v>498</v>
      </c>
      <c r="L601" s="157" t="s">
        <v>979</v>
      </c>
      <c r="M601" s="156" t="s">
        <v>2778</v>
      </c>
    </row>
    <row r="602" spans="1:13" s="9" customFormat="1" x14ac:dyDescent="0.25">
      <c r="A602" s="156" t="s">
        <v>8404</v>
      </c>
      <c r="B602" s="156" t="s">
        <v>8817</v>
      </c>
      <c r="C602" s="156" t="str">
        <f>CHOOSE(Translations!$C$1+1,J602,K602,L602,)</f>
        <v>No aplicable</v>
      </c>
      <c r="D602" s="156"/>
      <c r="E602" s="156" t="s">
        <v>3935</v>
      </c>
      <c r="F602" s="157" t="s">
        <v>8818</v>
      </c>
      <c r="G602" s="156" t="str">
        <f t="shared" si="22"/>
        <v>MCI-00801|No aplicable</v>
      </c>
      <c r="H602" s="156" t="str">
        <f t="shared" si="23"/>
        <v>MCI-00801|MCI-01030</v>
      </c>
      <c r="I602" s="156" t="str">
        <f t="shared" si="24"/>
        <v>a1O1R000006c5nIUAQ</v>
      </c>
      <c r="J602" s="157" t="s">
        <v>367</v>
      </c>
      <c r="K602" s="157" t="s">
        <v>498</v>
      </c>
      <c r="L602" s="157" t="s">
        <v>979</v>
      </c>
      <c r="M602" s="156" t="s">
        <v>2778</v>
      </c>
    </row>
    <row r="603" spans="1:13" s="9" customFormat="1" x14ac:dyDescent="0.25">
      <c r="A603" s="156" t="s">
        <v>8404</v>
      </c>
      <c r="B603" s="156" t="s">
        <v>8819</v>
      </c>
      <c r="C603" s="156" t="str">
        <f>CHOOSE(Translations!$C$1+1,J603,K603,L603,)</f>
        <v>No aplicable</v>
      </c>
      <c r="D603" s="156"/>
      <c r="E603" s="156" t="s">
        <v>3940</v>
      </c>
      <c r="F603" s="157" t="s">
        <v>8820</v>
      </c>
      <c r="G603" s="156" t="str">
        <f t="shared" si="22"/>
        <v>MCI-00802|No aplicable</v>
      </c>
      <c r="H603" s="156" t="str">
        <f t="shared" si="23"/>
        <v>MCI-00802|MCI-01031</v>
      </c>
      <c r="I603" s="156" t="str">
        <f t="shared" si="24"/>
        <v>a1O1R000006c5nJUAQ</v>
      </c>
      <c r="J603" s="157" t="s">
        <v>367</v>
      </c>
      <c r="K603" s="157" t="s">
        <v>498</v>
      </c>
      <c r="L603" s="157" t="s">
        <v>979</v>
      </c>
      <c r="M603" s="156" t="s">
        <v>2778</v>
      </c>
    </row>
    <row r="604" spans="1:13" s="9" customFormat="1" x14ac:dyDescent="0.25">
      <c r="A604" s="156" t="s">
        <v>8404</v>
      </c>
      <c r="B604" s="156" t="s">
        <v>8821</v>
      </c>
      <c r="C604" s="156" t="str">
        <f>CHOOSE(Translations!$C$1+1,J604,K604,L604,)</f>
        <v>No aplicable</v>
      </c>
      <c r="D604" s="156"/>
      <c r="E604" s="156" t="s">
        <v>3945</v>
      </c>
      <c r="F604" s="157" t="s">
        <v>8822</v>
      </c>
      <c r="G604" s="156" t="str">
        <f t="shared" si="22"/>
        <v>MCI-00803|No aplicable</v>
      </c>
      <c r="H604" s="156" t="str">
        <f t="shared" si="23"/>
        <v>MCI-00803|MCI-01032</v>
      </c>
      <c r="I604" s="156" t="str">
        <f t="shared" si="24"/>
        <v>a1O1R000006c5nKUAQ</v>
      </c>
      <c r="J604" s="157" t="s">
        <v>367</v>
      </c>
      <c r="K604" s="157" t="s">
        <v>498</v>
      </c>
      <c r="L604" s="157" t="s">
        <v>979</v>
      </c>
      <c r="M604" s="156" t="s">
        <v>2778</v>
      </c>
    </row>
    <row r="605" spans="1:13" s="9" customFormat="1" x14ac:dyDescent="0.25">
      <c r="A605" s="156" t="s">
        <v>8404</v>
      </c>
      <c r="B605" s="156" t="s">
        <v>8823</v>
      </c>
      <c r="C605" s="156" t="str">
        <f>CHOOSE(Translations!$C$1+1,J605,K605,L605,)</f>
        <v>No aplicable</v>
      </c>
      <c r="D605" s="156"/>
      <c r="E605" s="156" t="s">
        <v>3950</v>
      </c>
      <c r="F605" s="157" t="s">
        <v>8824</v>
      </c>
      <c r="G605" s="156" t="str">
        <f t="shared" si="22"/>
        <v>MCI-00804|No aplicable</v>
      </c>
      <c r="H605" s="156" t="str">
        <f t="shared" si="23"/>
        <v>MCI-00804|MCI-01033</v>
      </c>
      <c r="I605" s="156" t="str">
        <f t="shared" si="24"/>
        <v>a1O1R000006c5nLUAQ</v>
      </c>
      <c r="J605" s="157" t="s">
        <v>367</v>
      </c>
      <c r="K605" s="157" t="s">
        <v>498</v>
      </c>
      <c r="L605" s="157" t="s">
        <v>979</v>
      </c>
      <c r="M605" s="156" t="s">
        <v>2778</v>
      </c>
    </row>
    <row r="606" spans="1:13" s="9" customFormat="1" x14ac:dyDescent="0.25">
      <c r="A606" s="156" t="s">
        <v>8404</v>
      </c>
      <c r="B606" s="156" t="s">
        <v>8825</v>
      </c>
      <c r="C606" s="156" t="str">
        <f>CHOOSE(Translations!$C$1+1,J606,K606,L606,)</f>
        <v>No aplicable</v>
      </c>
      <c r="D606" s="156"/>
      <c r="E606" s="156" t="s">
        <v>3955</v>
      </c>
      <c r="F606" s="157" t="s">
        <v>8826</v>
      </c>
      <c r="G606" s="156" t="str">
        <f t="shared" si="22"/>
        <v>MCI-00805|No aplicable</v>
      </c>
      <c r="H606" s="156" t="str">
        <f t="shared" si="23"/>
        <v>MCI-00805|MCI-01034</v>
      </c>
      <c r="I606" s="156" t="str">
        <f t="shared" si="24"/>
        <v>a1O1R000006c5nMUAQ</v>
      </c>
      <c r="J606" s="157" t="s">
        <v>367</v>
      </c>
      <c r="K606" s="157" t="s">
        <v>498</v>
      </c>
      <c r="L606" s="157" t="s">
        <v>979</v>
      </c>
      <c r="M606" s="156" t="s">
        <v>2778</v>
      </c>
    </row>
    <row r="607" spans="1:13" s="9" customFormat="1" x14ac:dyDescent="0.25">
      <c r="A607" s="156" t="s">
        <v>8404</v>
      </c>
      <c r="B607" s="156" t="s">
        <v>8827</v>
      </c>
      <c r="C607" s="156" t="str">
        <f>CHOOSE(Translations!$C$1+1,J607,K607,L607,)</f>
        <v>No aplicable</v>
      </c>
      <c r="D607" s="156"/>
      <c r="E607" s="156" t="s">
        <v>3960</v>
      </c>
      <c r="F607" s="157" t="s">
        <v>8828</v>
      </c>
      <c r="G607" s="156" t="str">
        <f t="shared" ref="G607:G617" si="25">E607&amp;"|"&amp;C607</f>
        <v>MCI-00806|No aplicable</v>
      </c>
      <c r="H607" s="156" t="str">
        <f t="shared" ref="H607:H617" si="26">E607&amp;"|"&amp;F607</f>
        <v>MCI-00806|MCI-01035</v>
      </c>
      <c r="I607" s="156" t="str">
        <f t="shared" ref="I607:I617" si="27">B607</f>
        <v>a1O1R000006c5nNUAQ</v>
      </c>
      <c r="J607" s="157" t="s">
        <v>367</v>
      </c>
      <c r="K607" s="157" t="s">
        <v>498</v>
      </c>
      <c r="L607" s="157" t="s">
        <v>979</v>
      </c>
      <c r="M607" s="156" t="s">
        <v>2778</v>
      </c>
    </row>
    <row r="608" spans="1:13" s="9" customFormat="1" x14ac:dyDescent="0.25">
      <c r="A608" s="156" t="s">
        <v>8404</v>
      </c>
      <c r="B608" s="156" t="s">
        <v>8829</v>
      </c>
      <c r="C608" s="156" t="str">
        <f>CHOOSE(Translations!$C$1+1,J608,K608,L608,)</f>
        <v>No aplicable</v>
      </c>
      <c r="D608" s="156"/>
      <c r="E608" s="156" t="s">
        <v>3970</v>
      </c>
      <c r="F608" s="157" t="s">
        <v>8830</v>
      </c>
      <c r="G608" s="156" t="str">
        <f t="shared" si="25"/>
        <v>MCI-00807|No aplicable</v>
      </c>
      <c r="H608" s="156" t="str">
        <f t="shared" si="26"/>
        <v>MCI-00807|MCI-01036</v>
      </c>
      <c r="I608" s="156" t="str">
        <f t="shared" si="27"/>
        <v>a1O1R000006c5nOUAQ</v>
      </c>
      <c r="J608" s="157" t="s">
        <v>367</v>
      </c>
      <c r="K608" s="157" t="s">
        <v>498</v>
      </c>
      <c r="L608" s="157" t="s">
        <v>979</v>
      </c>
      <c r="M608" s="156" t="s">
        <v>2778</v>
      </c>
    </row>
    <row r="609" spans="1:13" s="9" customFormat="1" x14ac:dyDescent="0.25">
      <c r="A609" s="156" t="s">
        <v>8404</v>
      </c>
      <c r="B609" s="156" t="s">
        <v>8831</v>
      </c>
      <c r="C609" s="156" t="str">
        <f>CHOOSE(Translations!$C$1+1,J609,K609,L609,)</f>
        <v>No aplicable</v>
      </c>
      <c r="D609" s="156"/>
      <c r="E609" s="156" t="s">
        <v>3965</v>
      </c>
      <c r="F609" s="157" t="s">
        <v>8832</v>
      </c>
      <c r="G609" s="156" t="str">
        <f t="shared" si="25"/>
        <v>MCI-00808|No aplicable</v>
      </c>
      <c r="H609" s="156" t="str">
        <f t="shared" si="26"/>
        <v>MCI-00808|MCI-01037</v>
      </c>
      <c r="I609" s="156" t="str">
        <f t="shared" si="27"/>
        <v>a1O1R000006c5nPUAQ</v>
      </c>
      <c r="J609" s="157" t="s">
        <v>367</v>
      </c>
      <c r="K609" s="157" t="s">
        <v>498</v>
      </c>
      <c r="L609" s="157" t="s">
        <v>979</v>
      </c>
      <c r="M609" s="156" t="s">
        <v>2778</v>
      </c>
    </row>
    <row r="610" spans="1:13" s="9" customFormat="1" x14ac:dyDescent="0.25">
      <c r="A610" s="156" t="s">
        <v>8404</v>
      </c>
      <c r="B610" s="156" t="s">
        <v>8833</v>
      </c>
      <c r="C610" s="156" t="str">
        <f>CHOOSE(Translations!$C$1+1,J610,K610,L610,)</f>
        <v>No aplicable</v>
      </c>
      <c r="D610" s="156"/>
      <c r="E610" s="156" t="s">
        <v>3990</v>
      </c>
      <c r="F610" s="157" t="s">
        <v>8834</v>
      </c>
      <c r="G610" s="156" t="str">
        <f t="shared" si="25"/>
        <v>MCI-00809|No aplicable</v>
      </c>
      <c r="H610" s="156" t="str">
        <f t="shared" si="26"/>
        <v>MCI-00809|MCI-01038</v>
      </c>
      <c r="I610" s="156" t="str">
        <f t="shared" si="27"/>
        <v>a1O1R000006c5nQUAQ</v>
      </c>
      <c r="J610" s="157" t="s">
        <v>367</v>
      </c>
      <c r="K610" s="157" t="s">
        <v>498</v>
      </c>
      <c r="L610" s="157" t="s">
        <v>979</v>
      </c>
      <c r="M610" s="156" t="s">
        <v>2778</v>
      </c>
    </row>
    <row r="611" spans="1:13" s="9" customFormat="1" x14ac:dyDescent="0.25">
      <c r="A611" s="156" t="s">
        <v>8404</v>
      </c>
      <c r="B611" s="156" t="s">
        <v>8835</v>
      </c>
      <c r="C611" s="156" t="str">
        <f>CHOOSE(Translations!$C$1+1,J611,K611,L611,)</f>
        <v>No aplicable</v>
      </c>
      <c r="D611" s="156"/>
      <c r="E611" s="156" t="s">
        <v>3980</v>
      </c>
      <c r="F611" s="157" t="s">
        <v>8836</v>
      </c>
      <c r="G611" s="156" t="str">
        <f t="shared" si="25"/>
        <v>MCI-00810|No aplicable</v>
      </c>
      <c r="H611" s="156" t="str">
        <f t="shared" si="26"/>
        <v>MCI-00810|MCI-01039</v>
      </c>
      <c r="I611" s="156" t="str">
        <f t="shared" si="27"/>
        <v>a1O1R000006c5nRUAQ</v>
      </c>
      <c r="J611" s="157" t="s">
        <v>367</v>
      </c>
      <c r="K611" s="157" t="s">
        <v>498</v>
      </c>
      <c r="L611" s="157" t="s">
        <v>979</v>
      </c>
      <c r="M611" s="156" t="s">
        <v>2778</v>
      </c>
    </row>
    <row r="612" spans="1:13" s="9" customFormat="1" x14ac:dyDescent="0.25">
      <c r="A612" s="156" t="s">
        <v>8404</v>
      </c>
      <c r="B612" s="156" t="s">
        <v>8837</v>
      </c>
      <c r="C612" s="156" t="str">
        <f>CHOOSE(Translations!$C$1+1,J612,K612,L612,)</f>
        <v>No aplicable</v>
      </c>
      <c r="D612" s="156"/>
      <c r="E612" s="156" t="s">
        <v>3995</v>
      </c>
      <c r="F612" s="157" t="s">
        <v>8838</v>
      </c>
      <c r="G612" s="156" t="str">
        <f t="shared" si="25"/>
        <v>MCI-00811|No aplicable</v>
      </c>
      <c r="H612" s="156" t="str">
        <f t="shared" si="26"/>
        <v>MCI-00811|MCI-01040</v>
      </c>
      <c r="I612" s="156" t="str">
        <f t="shared" si="27"/>
        <v>a1O1R000006c5nSUAQ</v>
      </c>
      <c r="J612" s="157" t="s">
        <v>367</v>
      </c>
      <c r="K612" s="157" t="s">
        <v>498</v>
      </c>
      <c r="L612" s="157" t="s">
        <v>979</v>
      </c>
      <c r="M612" s="156" t="s">
        <v>2778</v>
      </c>
    </row>
    <row r="613" spans="1:13" s="9" customFormat="1" x14ac:dyDescent="0.25">
      <c r="A613" s="156" t="s">
        <v>8404</v>
      </c>
      <c r="B613" s="156" t="s">
        <v>8839</v>
      </c>
      <c r="C613" s="156" t="str">
        <f>CHOOSE(Translations!$C$1+1,J613,K613,L613,)</f>
        <v>No aplicable</v>
      </c>
      <c r="D613" s="156"/>
      <c r="E613" s="156" t="s">
        <v>3975</v>
      </c>
      <c r="F613" s="157" t="s">
        <v>8840</v>
      </c>
      <c r="G613" s="156" t="str">
        <f t="shared" si="25"/>
        <v>MCI-00812|No aplicable</v>
      </c>
      <c r="H613" s="156" t="str">
        <f t="shared" si="26"/>
        <v>MCI-00812|MCI-01041</v>
      </c>
      <c r="I613" s="156" t="str">
        <f t="shared" si="27"/>
        <v>a1O1R000006c5nTUAQ</v>
      </c>
      <c r="J613" s="157" t="s">
        <v>367</v>
      </c>
      <c r="K613" s="157" t="s">
        <v>498</v>
      </c>
      <c r="L613" s="157" t="s">
        <v>979</v>
      </c>
      <c r="M613" s="156" t="s">
        <v>2778</v>
      </c>
    </row>
    <row r="614" spans="1:13" s="9" customFormat="1" x14ac:dyDescent="0.25">
      <c r="A614" s="156" t="s">
        <v>8404</v>
      </c>
      <c r="B614" s="156" t="s">
        <v>8841</v>
      </c>
      <c r="C614" s="156" t="str">
        <f>CHOOSE(Translations!$C$1+1,J614,K614,L614,)</f>
        <v>No aplicable</v>
      </c>
      <c r="D614" s="156"/>
      <c r="E614" s="156" t="s">
        <v>3985</v>
      </c>
      <c r="F614" s="157" t="s">
        <v>8842</v>
      </c>
      <c r="G614" s="156" t="str">
        <f t="shared" si="25"/>
        <v>MCI-00813|No aplicable</v>
      </c>
      <c r="H614" s="156" t="str">
        <f t="shared" si="26"/>
        <v>MCI-00813|MCI-01042</v>
      </c>
      <c r="I614" s="156" t="str">
        <f t="shared" si="27"/>
        <v>a1O1R000006c5nUUAQ</v>
      </c>
      <c r="J614" s="157" t="s">
        <v>367</v>
      </c>
      <c r="K614" s="157" t="s">
        <v>498</v>
      </c>
      <c r="L614" s="157" t="s">
        <v>979</v>
      </c>
      <c r="M614" s="156" t="s">
        <v>2778</v>
      </c>
    </row>
    <row r="615" spans="1:13" s="9" customFormat="1" x14ac:dyDescent="0.25">
      <c r="A615" s="156" t="s">
        <v>8404</v>
      </c>
      <c r="B615" s="156" t="s">
        <v>8843</v>
      </c>
      <c r="C615" s="156" t="str">
        <f>CHOOSE(Translations!$C$1+1,J615,K615,L615,)</f>
        <v>No aplicable</v>
      </c>
      <c r="D615" s="156"/>
      <c r="E615" s="156" t="s">
        <v>4000</v>
      </c>
      <c r="F615" s="157" t="s">
        <v>8844</v>
      </c>
      <c r="G615" s="156" t="str">
        <f t="shared" si="25"/>
        <v>MCI-00814|No aplicable</v>
      </c>
      <c r="H615" s="156" t="str">
        <f t="shared" si="26"/>
        <v>MCI-00814|MCI-01043</v>
      </c>
      <c r="I615" s="156" t="str">
        <f t="shared" si="27"/>
        <v>a1O1R000006c5nVUAQ</v>
      </c>
      <c r="J615" s="157" t="s">
        <v>367</v>
      </c>
      <c r="K615" s="157" t="s">
        <v>498</v>
      </c>
      <c r="L615" s="157" t="s">
        <v>979</v>
      </c>
      <c r="M615" s="156" t="s">
        <v>2778</v>
      </c>
    </row>
    <row r="616" spans="1:13" s="9" customFormat="1" x14ac:dyDescent="0.25">
      <c r="A616" s="156" t="s">
        <v>8404</v>
      </c>
      <c r="B616" s="156" t="s">
        <v>8845</v>
      </c>
      <c r="C616" s="156" t="str">
        <f>CHOOSE(Translations!$C$1+1,J616,K616,L616,)</f>
        <v>No aplicable</v>
      </c>
      <c r="D616" s="156"/>
      <c r="E616" s="156" t="s">
        <v>4002</v>
      </c>
      <c r="F616" s="157" t="s">
        <v>8846</v>
      </c>
      <c r="G616" s="156" t="str">
        <f t="shared" si="25"/>
        <v>MCI-01237|No aplicable</v>
      </c>
      <c r="H616" s="156" t="str">
        <f t="shared" si="26"/>
        <v>MCI-01237|MCI-01240</v>
      </c>
      <c r="I616" s="156" t="str">
        <f t="shared" si="27"/>
        <v>a1O3p000003OASxEAO</v>
      </c>
      <c r="J616" s="157" t="s">
        <v>367</v>
      </c>
      <c r="K616" s="157" t="s">
        <v>498</v>
      </c>
      <c r="L616" s="157" t="s">
        <v>979</v>
      </c>
      <c r="M616" s="156" t="s">
        <v>2778</v>
      </c>
    </row>
    <row r="617" spans="1:13" s="9" customFormat="1" x14ac:dyDescent="0.25">
      <c r="A617" s="156" t="s">
        <v>8404</v>
      </c>
      <c r="B617" s="156" t="s">
        <v>8847</v>
      </c>
      <c r="C617" s="156" t="str">
        <f>CHOOSE(Translations!$C$1+1,J617,K617,L617,)</f>
        <v>No aplicable</v>
      </c>
      <c r="D617" s="156"/>
      <c r="E617" s="156" t="s">
        <v>4007</v>
      </c>
      <c r="F617" s="157" t="s">
        <v>8848</v>
      </c>
      <c r="G617" s="156" t="str">
        <f t="shared" si="25"/>
        <v>MCI-01238|No aplicable</v>
      </c>
      <c r="H617" s="156" t="str">
        <f t="shared" si="26"/>
        <v>MCI-01238|MCI-01239</v>
      </c>
      <c r="I617" s="156" t="str">
        <f t="shared" si="27"/>
        <v>a1O3p000003OASsEAO</v>
      </c>
      <c r="J617" s="157" t="s">
        <v>367</v>
      </c>
      <c r="K617" s="157" t="s">
        <v>498</v>
      </c>
      <c r="L617" s="157" t="s">
        <v>979</v>
      </c>
      <c r="M617" s="156" t="s">
        <v>2778</v>
      </c>
    </row>
    <row r="620" spans="1:13" ht="13" x14ac:dyDescent="0.3">
      <c r="A620" s="190" t="s">
        <v>311</v>
      </c>
    </row>
    <row r="621" spans="1:13" x14ac:dyDescent="0.25">
      <c r="A621" s="156" t="s">
        <v>283</v>
      </c>
      <c r="B621" s="156" t="s">
        <v>48</v>
      </c>
      <c r="C621" s="156" t="s">
        <v>448</v>
      </c>
      <c r="D621" s="156" t="s">
        <v>285</v>
      </c>
      <c r="E621" s="156" t="s">
        <v>107</v>
      </c>
      <c r="F621" s="156" t="s">
        <v>305</v>
      </c>
      <c r="G621" s="156" t="s">
        <v>43</v>
      </c>
      <c r="H621" s="156" t="s">
        <v>446</v>
      </c>
      <c r="I621" s="156" t="s">
        <v>444</v>
      </c>
    </row>
    <row r="622" spans="1:13" hidden="1" x14ac:dyDescent="0.25">
      <c r="A622" s="156" t="s">
        <v>282</v>
      </c>
      <c r="B622" s="156" t="s">
        <v>47</v>
      </c>
      <c r="C622" s="156" t="str">
        <f>CHOOSE(Translations!$C$1+1,G622,H622,I622)</f>
        <v>[Name - ES]</v>
      </c>
      <c r="D622" s="156" t="s">
        <v>284</v>
      </c>
      <c r="E622" s="157" t="s">
        <v>79</v>
      </c>
      <c r="F622" s="156" t="s">
        <v>102</v>
      </c>
      <c r="G622" s="157" t="s">
        <v>66</v>
      </c>
      <c r="H622" s="157" t="s">
        <v>445</v>
      </c>
      <c r="I622" s="157" t="s">
        <v>443</v>
      </c>
    </row>
    <row r="623" spans="1:13" s="9" customFormat="1" x14ac:dyDescent="0.25">
      <c r="A623" s="156" t="s">
        <v>8404</v>
      </c>
      <c r="B623" s="156" t="s">
        <v>8849</v>
      </c>
      <c r="C623" s="156" t="str">
        <f>CHOOSE(Translations!$C$1+1,G623,H623,I623)</f>
        <v>Hombres en entornos de alta prevalencia</v>
      </c>
      <c r="D623" s="156" t="s">
        <v>2778</v>
      </c>
      <c r="E623" s="157" t="s">
        <v>8850</v>
      </c>
      <c r="F623" s="156" t="s">
        <v>3195</v>
      </c>
      <c r="G623" s="157" t="s">
        <v>8407</v>
      </c>
      <c r="H623" s="157" t="s">
        <v>8408</v>
      </c>
      <c r="I623" s="157" t="s">
        <v>8409</v>
      </c>
    </row>
    <row r="624" spans="1:13" s="9" customFormat="1" x14ac:dyDescent="0.25">
      <c r="A624" s="156" t="s">
        <v>8404</v>
      </c>
      <c r="B624" s="156" t="s">
        <v>8851</v>
      </c>
      <c r="C624" s="156" t="str">
        <f>CHOOSE(Translations!$C$1+1,G624,H624,I624)</f>
        <v>HSH</v>
      </c>
      <c r="D624" s="156" t="s">
        <v>2778</v>
      </c>
      <c r="E624" s="157" t="s">
        <v>8852</v>
      </c>
      <c r="F624" s="156" t="s">
        <v>1995</v>
      </c>
      <c r="G624" s="157" t="s">
        <v>8412</v>
      </c>
      <c r="H624" s="157" t="s">
        <v>8413</v>
      </c>
      <c r="I624" s="157" t="s">
        <v>1856</v>
      </c>
    </row>
    <row r="625" spans="1:9" s="9" customFormat="1" x14ac:dyDescent="0.25">
      <c r="A625" s="156" t="s">
        <v>8404</v>
      </c>
      <c r="B625" s="156" t="s">
        <v>8853</v>
      </c>
      <c r="C625" s="156" t="str">
        <f>CHOOSE(Translations!$C$1+1,G625,H625,I625)</f>
        <v>Personas transgénero</v>
      </c>
      <c r="D625" s="156" t="s">
        <v>2778</v>
      </c>
      <c r="E625" s="157" t="s">
        <v>8854</v>
      </c>
      <c r="F625" s="156" t="s">
        <v>2003</v>
      </c>
      <c r="G625" s="157" t="s">
        <v>8421</v>
      </c>
      <c r="H625" s="157" t="s">
        <v>8422</v>
      </c>
      <c r="I625" s="157" t="s">
        <v>8423</v>
      </c>
    </row>
    <row r="626" spans="1:9" s="9" customFormat="1" x14ac:dyDescent="0.25">
      <c r="A626" s="156" t="s">
        <v>8404</v>
      </c>
      <c r="B626" s="156" t="s">
        <v>8855</v>
      </c>
      <c r="C626" s="156" t="str">
        <f>CHOOSE(Translations!$C$1+1,G626,H626,I626)</f>
        <v>Trabajadores sexuales y sus clientes</v>
      </c>
      <c r="D626" s="156" t="s">
        <v>2778</v>
      </c>
      <c r="E626" s="157" t="s">
        <v>8856</v>
      </c>
      <c r="F626" s="156" t="s">
        <v>2011</v>
      </c>
      <c r="G626" s="157" t="s">
        <v>8416</v>
      </c>
      <c r="H626" s="157" t="s">
        <v>8417</v>
      </c>
      <c r="I626" s="157" t="s">
        <v>8418</v>
      </c>
    </row>
    <row r="627" spans="1:9" s="9" customFormat="1" x14ac:dyDescent="0.25">
      <c r="A627" s="156" t="s">
        <v>8404</v>
      </c>
      <c r="B627" s="156" t="s">
        <v>8857</v>
      </c>
      <c r="C627" s="156" t="str">
        <f>CHOOSE(Translations!$C$1+1,G627,H627,I627)</f>
        <v>Consumidores de drogas inyectables y sus parejas</v>
      </c>
      <c r="D627" s="156" t="s">
        <v>2778</v>
      </c>
      <c r="E627" s="157" t="s">
        <v>8858</v>
      </c>
      <c r="F627" s="156" t="s">
        <v>2025</v>
      </c>
      <c r="G627" s="157" t="s">
        <v>8426</v>
      </c>
      <c r="H627" s="157" t="s">
        <v>8427</v>
      </c>
      <c r="I627" s="157" t="s">
        <v>8428</v>
      </c>
    </row>
    <row r="628" spans="1:9" s="9" customFormat="1" x14ac:dyDescent="0.25">
      <c r="A628" s="156" t="s">
        <v>8404</v>
      </c>
      <c r="B628" s="156" t="s">
        <v>8859</v>
      </c>
      <c r="C628" s="156" t="str">
        <f>CHOOSE(Translations!$C$1+1,G628,H628,I628)</f>
        <v>Otras poblaciones vulnerables</v>
      </c>
      <c r="D628" s="156" t="s">
        <v>2778</v>
      </c>
      <c r="E628" s="157" t="s">
        <v>8860</v>
      </c>
      <c r="F628" s="156" t="s">
        <v>3160</v>
      </c>
      <c r="G628" s="157" t="s">
        <v>8436</v>
      </c>
      <c r="H628" s="157" t="s">
        <v>8437</v>
      </c>
      <c r="I628" s="157" t="s">
        <v>8438</v>
      </c>
    </row>
    <row r="629" spans="1:9" s="9" customFormat="1" x14ac:dyDescent="0.25">
      <c r="A629" s="156" t="s">
        <v>8404</v>
      </c>
      <c r="B629" s="156" t="s">
        <v>8861</v>
      </c>
      <c r="C629" s="156" t="str">
        <f>CHOOSE(Translations!$C$1+1,G629,H629,I629)</f>
        <v>Personas privadas de libertad en centros penitenciarios y otros lugares de reclusión</v>
      </c>
      <c r="D629" s="156" t="s">
        <v>2778</v>
      </c>
      <c r="E629" s="157" t="s">
        <v>8862</v>
      </c>
      <c r="F629" s="156" t="s">
        <v>3165</v>
      </c>
      <c r="G629" s="157" t="s">
        <v>8431</v>
      </c>
      <c r="H629" s="157" t="s">
        <v>8432</v>
      </c>
      <c r="I629" s="157" t="s">
        <v>8433</v>
      </c>
    </row>
    <row r="630" spans="1:9" s="9" customFormat="1" x14ac:dyDescent="0.25">
      <c r="A630" s="156" t="s">
        <v>8404</v>
      </c>
      <c r="B630" s="156" t="s">
        <v>8863</v>
      </c>
      <c r="C630" s="156" t="str">
        <f>CHOOSE(Translations!$C$1+1,G630,H630,I630)</f>
        <v>Consumidores de drogas inyectables y sus parejas</v>
      </c>
      <c r="D630" s="156" t="s">
        <v>2778</v>
      </c>
      <c r="E630" s="157" t="s">
        <v>8864</v>
      </c>
      <c r="F630" s="156" t="s">
        <v>3170</v>
      </c>
      <c r="G630" s="157" t="s">
        <v>8426</v>
      </c>
      <c r="H630" s="157" t="s">
        <v>8427</v>
      </c>
      <c r="I630" s="157" t="s">
        <v>8428</v>
      </c>
    </row>
    <row r="631" spans="1:9" s="9" customFormat="1" x14ac:dyDescent="0.25">
      <c r="A631" s="156" t="s">
        <v>8404</v>
      </c>
      <c r="B631" s="156" t="s">
        <v>8865</v>
      </c>
      <c r="C631" s="156" t="str">
        <f>CHOOSE(Translations!$C$1+1,G631,H631,I631)</f>
        <v>Consumidores de drogas inyectables y sus parejas</v>
      </c>
      <c r="D631" s="156" t="s">
        <v>2778</v>
      </c>
      <c r="E631" s="157" t="s">
        <v>8866</v>
      </c>
      <c r="F631" s="156" t="s">
        <v>3175</v>
      </c>
      <c r="G631" s="157" t="s">
        <v>8426</v>
      </c>
      <c r="H631" s="157" t="s">
        <v>8427</v>
      </c>
      <c r="I631" s="157" t="s">
        <v>8428</v>
      </c>
    </row>
    <row r="632" spans="1:9" s="9" customFormat="1" x14ac:dyDescent="0.25">
      <c r="A632" s="156" t="s">
        <v>8404</v>
      </c>
      <c r="B632" s="156" t="s">
        <v>8867</v>
      </c>
      <c r="C632" s="156" t="str">
        <f>CHOOSE(Translations!$C$1+1,G632,H632,I632)</f>
        <v>HSH</v>
      </c>
      <c r="D632" s="156" t="s">
        <v>2778</v>
      </c>
      <c r="E632" s="157" t="s">
        <v>8868</v>
      </c>
      <c r="F632" s="156" t="s">
        <v>3180</v>
      </c>
      <c r="G632" s="157" t="s">
        <v>8412</v>
      </c>
      <c r="H632" s="157" t="s">
        <v>8413</v>
      </c>
      <c r="I632" s="157" t="s">
        <v>1856</v>
      </c>
    </row>
    <row r="633" spans="1:9" s="9" customFormat="1" x14ac:dyDescent="0.25">
      <c r="A633" s="156" t="s">
        <v>8404</v>
      </c>
      <c r="B633" s="156" t="s">
        <v>8869</v>
      </c>
      <c r="C633" s="156" t="str">
        <f>CHOOSE(Translations!$C$1+1,G633,H633,I633)</f>
        <v>Personas transgénero</v>
      </c>
      <c r="D633" s="156" t="s">
        <v>2778</v>
      </c>
      <c r="E633" s="157" t="s">
        <v>8870</v>
      </c>
      <c r="F633" s="156" t="s">
        <v>3185</v>
      </c>
      <c r="G633" s="157" t="s">
        <v>8421</v>
      </c>
      <c r="H633" s="157" t="s">
        <v>8422</v>
      </c>
      <c r="I633" s="157" t="s">
        <v>8423</v>
      </c>
    </row>
    <row r="634" spans="1:9" s="9" customFormat="1" x14ac:dyDescent="0.25">
      <c r="A634" s="156" t="s">
        <v>8404</v>
      </c>
      <c r="B634" s="156" t="s">
        <v>8871</v>
      </c>
      <c r="C634" s="156" t="str">
        <f>CHOOSE(Translations!$C$1+1,G634,H634,I634)</f>
        <v>Trabajadores sexuales y sus clientes</v>
      </c>
      <c r="D634" s="156" t="s">
        <v>2778</v>
      </c>
      <c r="E634" s="157" t="s">
        <v>8872</v>
      </c>
      <c r="F634" s="156" t="s">
        <v>3190</v>
      </c>
      <c r="G634" s="157" t="s">
        <v>8416</v>
      </c>
      <c r="H634" s="157" t="s">
        <v>8417</v>
      </c>
      <c r="I634" s="157" t="s">
        <v>8418</v>
      </c>
    </row>
    <row r="635" spans="1:9" s="9" customFormat="1" x14ac:dyDescent="0.25">
      <c r="A635" s="156" t="s">
        <v>8404</v>
      </c>
      <c r="B635" s="156" t="s">
        <v>8873</v>
      </c>
      <c r="C635" s="156" t="str">
        <f>CHOOSE(Translations!$C$1+1,G635,H635,I635)</f>
        <v>Niñas adolescentes y mujeres jóvenes en entornos de alta prevalencia</v>
      </c>
      <c r="D635" s="156" t="s">
        <v>2778</v>
      </c>
      <c r="E635" s="157" t="s">
        <v>8874</v>
      </c>
      <c r="F635" s="156" t="s">
        <v>2039</v>
      </c>
      <c r="G635" s="157" t="s">
        <v>8441</v>
      </c>
      <c r="H635" s="157" t="s">
        <v>8442</v>
      </c>
      <c r="I635" s="157" t="s">
        <v>8443</v>
      </c>
    </row>
    <row r="636" spans="1:9" s="9" customFormat="1" x14ac:dyDescent="0.25">
      <c r="A636" s="156" t="s">
        <v>8404</v>
      </c>
      <c r="B636" s="156" t="s">
        <v>8875</v>
      </c>
      <c r="C636" s="156" t="str">
        <f>CHOOSE(Translations!$C$1+1,G636,H636,I636)</f>
        <v>Niñas adolescentes y mujeres jóvenes en entornos de alta prevalencia</v>
      </c>
      <c r="D636" s="156" t="s">
        <v>2778</v>
      </c>
      <c r="E636" s="157" t="s">
        <v>8876</v>
      </c>
      <c r="F636" s="156" t="s">
        <v>2047</v>
      </c>
      <c r="G636" s="157" t="s">
        <v>8441</v>
      </c>
      <c r="H636" s="157" t="s">
        <v>8442</v>
      </c>
      <c r="I636" s="157" t="s">
        <v>8443</v>
      </c>
    </row>
    <row r="637" spans="1:9" s="9" customFormat="1" x14ac:dyDescent="0.25">
      <c r="A637" s="156" t="s">
        <v>8404</v>
      </c>
      <c r="B637" s="156" t="s">
        <v>8877</v>
      </c>
      <c r="C637" s="156" t="str">
        <f>CHOOSE(Translations!$C$1+1,G637,H637,I637)</f>
        <v>Niñas adolescentes y mujeres jóvenes en entornos de alta prevalencia</v>
      </c>
      <c r="D637" s="156" t="s">
        <v>2778</v>
      </c>
      <c r="E637" s="157" t="s">
        <v>8878</v>
      </c>
      <c r="F637" s="156" t="s">
        <v>2055</v>
      </c>
      <c r="G637" s="157" t="s">
        <v>8441</v>
      </c>
      <c r="H637" s="157" t="s">
        <v>8442</v>
      </c>
      <c r="I637" s="157" t="s">
        <v>8443</v>
      </c>
    </row>
    <row r="638" spans="1:9" s="9" customFormat="1" x14ac:dyDescent="0.25">
      <c r="A638" s="156" t="s">
        <v>8404</v>
      </c>
      <c r="B638" s="156" t="s">
        <v>8879</v>
      </c>
      <c r="C638" s="156" t="str">
        <f>CHOOSE(Translations!$C$1+1,G638,H638,I638)</f>
        <v>Niñas adolescentes y mujeres jóvenes en entornos de alta prevalencia</v>
      </c>
      <c r="D638" s="156" t="s">
        <v>2778</v>
      </c>
      <c r="E638" s="157" t="s">
        <v>8880</v>
      </c>
      <c r="F638" s="156" t="s">
        <v>3203</v>
      </c>
      <c r="G638" s="157" t="s">
        <v>8441</v>
      </c>
      <c r="H638" s="157" t="s">
        <v>8442</v>
      </c>
      <c r="I638" s="157" t="s">
        <v>8443</v>
      </c>
    </row>
    <row r="639" spans="1:9" s="9" customFormat="1" x14ac:dyDescent="0.25">
      <c r="A639" s="156" t="s">
        <v>8404</v>
      </c>
      <c r="B639" s="156" t="s">
        <v>8881</v>
      </c>
      <c r="C639" s="156" t="str">
        <f>CHOOSE(Translations!$C$1+1,G639,H639,I639)</f>
        <v>No aplicable</v>
      </c>
      <c r="D639" s="156" t="s">
        <v>2778</v>
      </c>
      <c r="E639" s="157" t="s">
        <v>8882</v>
      </c>
      <c r="F639" s="156" t="s">
        <v>2065</v>
      </c>
      <c r="G639" s="157" t="s">
        <v>367</v>
      </c>
      <c r="H639" s="157" t="s">
        <v>498</v>
      </c>
      <c r="I639" s="157" t="s">
        <v>979</v>
      </c>
    </row>
    <row r="640" spans="1:9" s="9" customFormat="1" x14ac:dyDescent="0.25">
      <c r="A640" s="156" t="s">
        <v>8404</v>
      </c>
      <c r="B640" s="156" t="s">
        <v>8883</v>
      </c>
      <c r="C640" s="156" t="str">
        <f>CHOOSE(Translations!$C$1+1,G640,H640,I640)</f>
        <v>No aplicable</v>
      </c>
      <c r="D640" s="156" t="s">
        <v>2778</v>
      </c>
      <c r="E640" s="157" t="s">
        <v>8884</v>
      </c>
      <c r="F640" s="156" t="s">
        <v>3209</v>
      </c>
      <c r="G640" s="157" t="s">
        <v>367</v>
      </c>
      <c r="H640" s="157" t="s">
        <v>498</v>
      </c>
      <c r="I640" s="157" t="s">
        <v>979</v>
      </c>
    </row>
    <row r="641" spans="1:9" s="9" customFormat="1" x14ac:dyDescent="0.25">
      <c r="A641" s="156" t="s">
        <v>8404</v>
      </c>
      <c r="B641" s="156" t="s">
        <v>8885</v>
      </c>
      <c r="C641" s="156" t="str">
        <f>CHOOSE(Translations!$C$1+1,G641,H641,I641)</f>
        <v>No aplicable</v>
      </c>
      <c r="D641" s="156" t="s">
        <v>2778</v>
      </c>
      <c r="E641" s="157" t="s">
        <v>8886</v>
      </c>
      <c r="F641" s="156" t="s">
        <v>2082</v>
      </c>
      <c r="G641" s="157" t="s">
        <v>367</v>
      </c>
      <c r="H641" s="157" t="s">
        <v>498</v>
      </c>
      <c r="I641" s="157" t="s">
        <v>979</v>
      </c>
    </row>
    <row r="642" spans="1:9" s="9" customFormat="1" x14ac:dyDescent="0.25">
      <c r="A642" s="156" t="s">
        <v>8404</v>
      </c>
      <c r="B642" s="156" t="s">
        <v>8887</v>
      </c>
      <c r="C642" s="156" t="str">
        <f>CHOOSE(Translations!$C$1+1,G642,H642,I642)</f>
        <v>No aplicable</v>
      </c>
      <c r="D642" s="156" t="s">
        <v>2778</v>
      </c>
      <c r="E642" s="157" t="s">
        <v>8888</v>
      </c>
      <c r="F642" s="156" t="s">
        <v>3216</v>
      </c>
      <c r="G642" s="157" t="s">
        <v>367</v>
      </c>
      <c r="H642" s="157" t="s">
        <v>498</v>
      </c>
      <c r="I642" s="157" t="s">
        <v>979</v>
      </c>
    </row>
    <row r="643" spans="1:9" s="9" customFormat="1" x14ac:dyDescent="0.25">
      <c r="A643" s="156" t="s">
        <v>8404</v>
      </c>
      <c r="B643" s="156" t="s">
        <v>8889</v>
      </c>
      <c r="C643" s="156" t="str">
        <f>CHOOSE(Translations!$C$1+1,G643,H643,I643)</f>
        <v>Niñas adolescentes y mujeres jóvenes en entornos de alta prevalencia</v>
      </c>
      <c r="D643" s="156" t="s">
        <v>2778</v>
      </c>
      <c r="E643" s="157" t="s">
        <v>8890</v>
      </c>
      <c r="F643" s="156" t="s">
        <v>2095</v>
      </c>
      <c r="G643" s="157" t="s">
        <v>8441</v>
      </c>
      <c r="H643" s="157" t="s">
        <v>8442</v>
      </c>
      <c r="I643" s="157" t="s">
        <v>8443</v>
      </c>
    </row>
    <row r="644" spans="1:9" s="9" customFormat="1" x14ac:dyDescent="0.25">
      <c r="A644" s="156" t="s">
        <v>8404</v>
      </c>
      <c r="B644" s="156" t="s">
        <v>8891</v>
      </c>
      <c r="C644" s="156" t="str">
        <f>CHOOSE(Translations!$C$1+1,G644,H644,I644)</f>
        <v>HSH</v>
      </c>
      <c r="D644" s="156" t="s">
        <v>2778</v>
      </c>
      <c r="E644" s="157" t="s">
        <v>8892</v>
      </c>
      <c r="F644" s="156" t="s">
        <v>2110</v>
      </c>
      <c r="G644" s="157" t="s">
        <v>8412</v>
      </c>
      <c r="H644" s="157" t="s">
        <v>8413</v>
      </c>
      <c r="I644" s="157" t="s">
        <v>1856</v>
      </c>
    </row>
    <row r="645" spans="1:9" s="9" customFormat="1" x14ac:dyDescent="0.25">
      <c r="A645" s="156" t="s">
        <v>8404</v>
      </c>
      <c r="B645" s="156" t="s">
        <v>8893</v>
      </c>
      <c r="C645" s="156" t="str">
        <f>CHOOSE(Translations!$C$1+1,G645,H645,I645)</f>
        <v>Personas transgénero</v>
      </c>
      <c r="D645" s="156" t="s">
        <v>2778</v>
      </c>
      <c r="E645" s="157" t="s">
        <v>8894</v>
      </c>
      <c r="F645" s="156" t="s">
        <v>2122</v>
      </c>
      <c r="G645" s="157" t="s">
        <v>8421</v>
      </c>
      <c r="H645" s="157" t="s">
        <v>8422</v>
      </c>
      <c r="I645" s="157" t="s">
        <v>8423</v>
      </c>
    </row>
    <row r="646" spans="1:9" s="9" customFormat="1" x14ac:dyDescent="0.25">
      <c r="A646" s="156" t="s">
        <v>8404</v>
      </c>
      <c r="B646" s="156" t="s">
        <v>8895</v>
      </c>
      <c r="C646" s="156" t="str">
        <f>CHOOSE(Translations!$C$1+1,G646,H646,I646)</f>
        <v>Trabajadores sexuales y sus clientes</v>
      </c>
      <c r="D646" s="156" t="s">
        <v>2778</v>
      </c>
      <c r="E646" s="157" t="s">
        <v>8896</v>
      </c>
      <c r="F646" s="156" t="s">
        <v>2134</v>
      </c>
      <c r="G646" s="157" t="s">
        <v>8416</v>
      </c>
      <c r="H646" s="157" t="s">
        <v>8417</v>
      </c>
      <c r="I646" s="157" t="s">
        <v>8418</v>
      </c>
    </row>
    <row r="647" spans="1:9" s="9" customFormat="1" x14ac:dyDescent="0.25">
      <c r="A647" s="156" t="s">
        <v>8404</v>
      </c>
      <c r="B647" s="156" t="s">
        <v>8897</v>
      </c>
      <c r="C647" s="156" t="str">
        <f>CHOOSE(Translations!$C$1+1,G647,H647,I647)</f>
        <v>Consumidores de drogas inyectables y sus parejas</v>
      </c>
      <c r="D647" s="156" t="s">
        <v>2778</v>
      </c>
      <c r="E647" s="157" t="s">
        <v>8898</v>
      </c>
      <c r="F647" s="156" t="s">
        <v>2152</v>
      </c>
      <c r="G647" s="157" t="s">
        <v>8426</v>
      </c>
      <c r="H647" s="157" t="s">
        <v>8427</v>
      </c>
      <c r="I647" s="157" t="s">
        <v>8428</v>
      </c>
    </row>
    <row r="648" spans="1:9" s="9" customFormat="1" x14ac:dyDescent="0.25">
      <c r="A648" s="156" t="s">
        <v>8404</v>
      </c>
      <c r="B648" s="156" t="s">
        <v>8899</v>
      </c>
      <c r="C648" s="156" t="str">
        <f>CHOOSE(Translations!$C$1+1,G648,H648,I648)</f>
        <v>Otras poblaciones vulnerables</v>
      </c>
      <c r="D648" s="156" t="s">
        <v>2778</v>
      </c>
      <c r="E648" s="157" t="s">
        <v>8900</v>
      </c>
      <c r="F648" s="156" t="s">
        <v>2170</v>
      </c>
      <c r="G648" s="157" t="s">
        <v>8436</v>
      </c>
      <c r="H648" s="157" t="s">
        <v>8437</v>
      </c>
      <c r="I648" s="157" t="s">
        <v>8438</v>
      </c>
    </row>
    <row r="649" spans="1:9" s="9" customFormat="1" x14ac:dyDescent="0.25">
      <c r="A649" s="156" t="s">
        <v>8404</v>
      </c>
      <c r="B649" s="156" t="s">
        <v>8901</v>
      </c>
      <c r="C649" s="156" t="str">
        <f>CHOOSE(Translations!$C$1+1,G649,H649,I649)</f>
        <v>Personas privadas de libertad en centros penitenciarios y otros lugares de reclusión</v>
      </c>
      <c r="D649" s="156" t="s">
        <v>2778</v>
      </c>
      <c r="E649" s="157" t="s">
        <v>8902</v>
      </c>
      <c r="F649" s="156" t="s">
        <v>2178</v>
      </c>
      <c r="G649" s="157" t="s">
        <v>8431</v>
      </c>
      <c r="H649" s="157" t="s">
        <v>8432</v>
      </c>
      <c r="I649" s="157" t="s">
        <v>8433</v>
      </c>
    </row>
    <row r="650" spans="1:9" s="9" customFormat="1" x14ac:dyDescent="0.25">
      <c r="A650" s="156" t="s">
        <v>8404</v>
      </c>
      <c r="B650" s="156" t="s">
        <v>8903</v>
      </c>
      <c r="C650" s="156" t="str">
        <f>CHOOSE(Translations!$C$1+1,G650,H650,I650)</f>
        <v>Grupos de población no específicos</v>
      </c>
      <c r="D650" s="156" t="s">
        <v>2778</v>
      </c>
      <c r="E650" s="157" t="s">
        <v>8904</v>
      </c>
      <c r="F650" s="156" t="s">
        <v>2186</v>
      </c>
      <c r="G650" s="157" t="s">
        <v>8556</v>
      </c>
      <c r="H650" s="157" t="s">
        <v>8557</v>
      </c>
      <c r="I650" s="157" t="s">
        <v>8558</v>
      </c>
    </row>
    <row r="651" spans="1:9" s="9" customFormat="1" x14ac:dyDescent="0.25">
      <c r="A651" s="156" t="s">
        <v>8404</v>
      </c>
      <c r="B651" s="156" t="s">
        <v>8905</v>
      </c>
      <c r="C651" s="156" t="str">
        <f>CHOOSE(Translations!$C$1+1,G651,H651,I651)</f>
        <v>Grupos de población no específicos</v>
      </c>
      <c r="D651" s="156" t="s">
        <v>2778</v>
      </c>
      <c r="E651" s="157" t="s">
        <v>8906</v>
      </c>
      <c r="F651" s="156" t="s">
        <v>2239</v>
      </c>
      <c r="G651" s="157" t="s">
        <v>8556</v>
      </c>
      <c r="H651" s="157" t="s">
        <v>8557</v>
      </c>
      <c r="I651" s="157" t="s">
        <v>8558</v>
      </c>
    </row>
    <row r="652" spans="1:9" s="9" customFormat="1" x14ac:dyDescent="0.25">
      <c r="A652" s="156" t="s">
        <v>8404</v>
      </c>
      <c r="B652" s="156" t="s">
        <v>8907</v>
      </c>
      <c r="C652" s="156" t="str">
        <f>CHOOSE(Translations!$C$1+1,G652,H652,I652)</f>
        <v>Todas las personas que viven con el VIH</v>
      </c>
      <c r="D652" s="156" t="s">
        <v>2778</v>
      </c>
      <c r="E652" s="157" t="s">
        <v>8908</v>
      </c>
      <c r="F652" s="156" t="s">
        <v>2257</v>
      </c>
      <c r="G652" s="157" t="s">
        <v>8632</v>
      </c>
      <c r="H652" s="157" t="s">
        <v>8633</v>
      </c>
      <c r="I652" s="157" t="s">
        <v>8634</v>
      </c>
    </row>
    <row r="653" spans="1:9" s="9" customFormat="1" x14ac:dyDescent="0.25">
      <c r="A653" s="156" t="s">
        <v>8404</v>
      </c>
      <c r="B653" s="156" t="s">
        <v>8909</v>
      </c>
      <c r="C653" s="156" t="str">
        <f>CHOOSE(Translations!$C$1+1,G653,H653,I653)</f>
        <v>Personas adultas que viven con el VIH (15 años o más)</v>
      </c>
      <c r="D653" s="156" t="s">
        <v>2778</v>
      </c>
      <c r="E653" s="157" t="s">
        <v>8910</v>
      </c>
      <c r="F653" s="156" t="s">
        <v>2315</v>
      </c>
      <c r="G653" s="157" t="s">
        <v>8637</v>
      </c>
      <c r="H653" s="157" t="s">
        <v>8638</v>
      </c>
      <c r="I653" s="157" t="s">
        <v>8639</v>
      </c>
    </row>
    <row r="654" spans="1:9" s="9" customFormat="1" x14ac:dyDescent="0.25">
      <c r="A654" s="156" t="s">
        <v>8404</v>
      </c>
      <c r="B654" s="156" t="s">
        <v>8911</v>
      </c>
      <c r="C654" s="156" t="str">
        <f>CHOOSE(Translations!$C$1+1,G654,H654,I654)</f>
        <v>Niños y niñas que viven con el VIH (menores de 15 años)</v>
      </c>
      <c r="D654" s="156" t="s">
        <v>2778</v>
      </c>
      <c r="E654" s="157" t="s">
        <v>8912</v>
      </c>
      <c r="F654" s="156" t="s">
        <v>2351</v>
      </c>
      <c r="G654" s="157" t="s">
        <v>8642</v>
      </c>
      <c r="H654" s="157" t="s">
        <v>8643</v>
      </c>
      <c r="I654" s="157" t="s">
        <v>8644</v>
      </c>
    </row>
    <row r="655" spans="1:9" s="9" customFormat="1" x14ac:dyDescent="0.25">
      <c r="A655" s="156" t="s">
        <v>8404</v>
      </c>
      <c r="B655" s="156" t="s">
        <v>8913</v>
      </c>
      <c r="C655" s="156" t="str">
        <f>CHOOSE(Translations!$C$1+1,G655,H655,I655)</f>
        <v>No aplicable</v>
      </c>
      <c r="D655" s="156" t="s">
        <v>2778</v>
      </c>
      <c r="E655" s="157" t="s">
        <v>8914</v>
      </c>
      <c r="F655" s="156" t="s">
        <v>2361</v>
      </c>
      <c r="G655" s="157" t="s">
        <v>367</v>
      </c>
      <c r="H655" s="157" t="s">
        <v>498</v>
      </c>
      <c r="I655" s="157" t="s">
        <v>979</v>
      </c>
    </row>
    <row r="656" spans="1:9" s="9" customFormat="1" x14ac:dyDescent="0.25">
      <c r="A656" s="156" t="s">
        <v>8404</v>
      </c>
      <c r="B656" s="156" t="s">
        <v>8915</v>
      </c>
      <c r="C656" s="156" t="str">
        <f>CHOOSE(Translations!$C$1+1,G656,H656,I656)</f>
        <v>No aplicable</v>
      </c>
      <c r="D656" s="156" t="s">
        <v>2778</v>
      </c>
      <c r="E656" s="157" t="s">
        <v>8916</v>
      </c>
      <c r="F656" s="156" t="s">
        <v>2388</v>
      </c>
      <c r="G656" s="157" t="s">
        <v>367</v>
      </c>
      <c r="H656" s="157" t="s">
        <v>498</v>
      </c>
      <c r="I656" s="157" t="s">
        <v>979</v>
      </c>
    </row>
    <row r="657" spans="1:9" s="9" customFormat="1" x14ac:dyDescent="0.25">
      <c r="A657" s="156" t="s">
        <v>8404</v>
      </c>
      <c r="B657" s="156" t="s">
        <v>8917</v>
      </c>
      <c r="C657" s="156" t="str">
        <f>CHOOSE(Translations!$C$1+1,G657,H657,I657)</f>
        <v>No aplicable</v>
      </c>
      <c r="D657" s="156" t="s">
        <v>2778</v>
      </c>
      <c r="E657" s="157" t="s">
        <v>8918</v>
      </c>
      <c r="F657" s="156" t="s">
        <v>3259</v>
      </c>
      <c r="G657" s="157" t="s">
        <v>367</v>
      </c>
      <c r="H657" s="157" t="s">
        <v>498</v>
      </c>
      <c r="I657" s="157" t="s">
        <v>979</v>
      </c>
    </row>
    <row r="658" spans="1:9" s="9" customFormat="1" x14ac:dyDescent="0.25">
      <c r="A658" s="156" t="s">
        <v>8404</v>
      </c>
      <c r="B658" s="156" t="s">
        <v>8919</v>
      </c>
      <c r="C658" s="156" t="str">
        <f>CHOOSE(Translations!$C$1+1,G658,H658,I658)</f>
        <v>No aplicable</v>
      </c>
      <c r="D658" s="156" t="s">
        <v>2778</v>
      </c>
      <c r="E658" s="157" t="s">
        <v>8920</v>
      </c>
      <c r="F658" s="156" t="s">
        <v>2406</v>
      </c>
      <c r="G658" s="157" t="s">
        <v>367</v>
      </c>
      <c r="H658" s="157" t="s">
        <v>498</v>
      </c>
      <c r="I658" s="157" t="s">
        <v>979</v>
      </c>
    </row>
    <row r="659" spans="1:9" s="9" customFormat="1" x14ac:dyDescent="0.25">
      <c r="A659" s="156" t="s">
        <v>8404</v>
      </c>
      <c r="B659" s="156" t="s">
        <v>8921</v>
      </c>
      <c r="C659" s="156" t="str">
        <f>CHOOSE(Translations!$C$1+1,G659,H659,I659)</f>
        <v>No aplicable</v>
      </c>
      <c r="D659" s="156" t="s">
        <v>2778</v>
      </c>
      <c r="E659" s="157" t="s">
        <v>8922</v>
      </c>
      <c r="F659" s="156" t="s">
        <v>3266</v>
      </c>
      <c r="G659" s="157" t="s">
        <v>367</v>
      </c>
      <c r="H659" s="157" t="s">
        <v>498</v>
      </c>
      <c r="I659" s="157" t="s">
        <v>979</v>
      </c>
    </row>
    <row r="660" spans="1:9" s="9" customFormat="1" x14ac:dyDescent="0.25">
      <c r="A660" s="156" t="s">
        <v>8404</v>
      </c>
      <c r="B660" s="156" t="s">
        <v>8923</v>
      </c>
      <c r="C660" s="156" t="str">
        <f>CHOOSE(Translations!$C$1+1,G660,H660,I660)</f>
        <v>No aplicable</v>
      </c>
      <c r="D660" s="156" t="s">
        <v>2778</v>
      </c>
      <c r="E660" s="157" t="s">
        <v>8924</v>
      </c>
      <c r="F660" s="156" t="s">
        <v>2416</v>
      </c>
      <c r="G660" s="157" t="s">
        <v>367</v>
      </c>
      <c r="H660" s="157" t="s">
        <v>498</v>
      </c>
      <c r="I660" s="157" t="s">
        <v>979</v>
      </c>
    </row>
    <row r="661" spans="1:9" s="9" customFormat="1" x14ac:dyDescent="0.25">
      <c r="A661" s="156" t="s">
        <v>8404</v>
      </c>
      <c r="B661" s="156" t="s">
        <v>8925</v>
      </c>
      <c r="C661" s="156" t="str">
        <f>CHOOSE(Translations!$C$1+1,G661,H661,I661)</f>
        <v>No aplicable</v>
      </c>
      <c r="D661" s="156" t="s">
        <v>2778</v>
      </c>
      <c r="E661" s="157" t="s">
        <v>8926</v>
      </c>
      <c r="F661" s="156" t="s">
        <v>3272</v>
      </c>
      <c r="G661" s="157" t="s">
        <v>367</v>
      </c>
      <c r="H661" s="157" t="s">
        <v>498</v>
      </c>
      <c r="I661" s="157" t="s">
        <v>979</v>
      </c>
    </row>
    <row r="662" spans="1:9" s="9" customFormat="1" x14ac:dyDescent="0.25">
      <c r="A662" s="156" t="s">
        <v>8404</v>
      </c>
      <c r="B662" s="156" t="s">
        <v>8927</v>
      </c>
      <c r="C662" s="156" t="str">
        <f>CHOOSE(Translations!$C$1+1,G662,H662,I662)</f>
        <v>No aplicable</v>
      </c>
      <c r="D662" s="156" t="s">
        <v>2778</v>
      </c>
      <c r="E662" s="157" t="s">
        <v>8928</v>
      </c>
      <c r="F662" s="156" t="s">
        <v>3277</v>
      </c>
      <c r="G662" s="157" t="s">
        <v>367</v>
      </c>
      <c r="H662" s="157" t="s">
        <v>498</v>
      </c>
      <c r="I662" s="157" t="s">
        <v>979</v>
      </c>
    </row>
    <row r="663" spans="1:9" s="9" customFormat="1" x14ac:dyDescent="0.25">
      <c r="A663" s="156" t="s">
        <v>8404</v>
      </c>
      <c r="B663" s="156" t="s">
        <v>8929</v>
      </c>
      <c r="C663" s="156" t="str">
        <f>CHOOSE(Translations!$C$1+1,G663,H663,I663)</f>
        <v>No aplicable</v>
      </c>
      <c r="D663" s="156" t="s">
        <v>2778</v>
      </c>
      <c r="E663" s="157" t="s">
        <v>8930</v>
      </c>
      <c r="F663" s="156" t="s">
        <v>3282</v>
      </c>
      <c r="G663" s="157" t="s">
        <v>367</v>
      </c>
      <c r="H663" s="157" t="s">
        <v>498</v>
      </c>
      <c r="I663" s="157" t="s">
        <v>979</v>
      </c>
    </row>
    <row r="664" spans="1:9" s="9" customFormat="1" x14ac:dyDescent="0.25">
      <c r="A664" s="156" t="s">
        <v>8404</v>
      </c>
      <c r="B664" s="156" t="s">
        <v>8931</v>
      </c>
      <c r="C664" s="156" t="str">
        <f>CHOOSE(Translations!$C$1+1,G664,H664,I664)</f>
        <v>No aplicable</v>
      </c>
      <c r="D664" s="156" t="s">
        <v>2778</v>
      </c>
      <c r="E664" s="157" t="s">
        <v>8932</v>
      </c>
      <c r="F664" s="156" t="s">
        <v>3287</v>
      </c>
      <c r="G664" s="157" t="s">
        <v>367</v>
      </c>
      <c r="H664" s="157" t="s">
        <v>498</v>
      </c>
      <c r="I664" s="157" t="s">
        <v>979</v>
      </c>
    </row>
    <row r="665" spans="1:9" s="9" customFormat="1" x14ac:dyDescent="0.25">
      <c r="A665" s="156" t="s">
        <v>8404</v>
      </c>
      <c r="B665" s="156" t="s">
        <v>8933</v>
      </c>
      <c r="C665" s="156" t="str">
        <f>CHOOSE(Translations!$C$1+1,G665,H665,I665)</f>
        <v>No aplicable</v>
      </c>
      <c r="D665" s="156" t="s">
        <v>2778</v>
      </c>
      <c r="E665" s="157" t="s">
        <v>8934</v>
      </c>
      <c r="F665" s="156" t="s">
        <v>2430</v>
      </c>
      <c r="G665" s="157" t="s">
        <v>367</v>
      </c>
      <c r="H665" s="157" t="s">
        <v>498</v>
      </c>
      <c r="I665" s="157" t="s">
        <v>979</v>
      </c>
    </row>
    <row r="666" spans="1:9" s="9" customFormat="1" x14ac:dyDescent="0.25">
      <c r="A666" s="156" t="s">
        <v>8404</v>
      </c>
      <c r="B666" s="156" t="s">
        <v>8935</v>
      </c>
      <c r="C666" s="156" t="str">
        <f>CHOOSE(Translations!$C$1+1,G666,H666,I666)</f>
        <v>No aplicable</v>
      </c>
      <c r="D666" s="156" t="s">
        <v>2778</v>
      </c>
      <c r="E666" s="157" t="s">
        <v>8936</v>
      </c>
      <c r="F666" s="156" t="s">
        <v>2442</v>
      </c>
      <c r="G666" s="157" t="s">
        <v>367</v>
      </c>
      <c r="H666" s="157" t="s">
        <v>498</v>
      </c>
      <c r="I666" s="157" t="s">
        <v>979</v>
      </c>
    </row>
    <row r="667" spans="1:9" s="9" customFormat="1" x14ac:dyDescent="0.25">
      <c r="A667" s="156" t="s">
        <v>8404</v>
      </c>
      <c r="B667" s="156" t="s">
        <v>8937</v>
      </c>
      <c r="C667" s="156" t="str">
        <f>CHOOSE(Translations!$C$1+1,G667,H667,I667)</f>
        <v>No aplicable</v>
      </c>
      <c r="D667" s="156" t="s">
        <v>2778</v>
      </c>
      <c r="E667" s="157" t="s">
        <v>8938</v>
      </c>
      <c r="F667" s="156" t="s">
        <v>3297</v>
      </c>
      <c r="G667" s="157" t="s">
        <v>367</v>
      </c>
      <c r="H667" s="157" t="s">
        <v>498</v>
      </c>
      <c r="I667" s="157" t="s">
        <v>979</v>
      </c>
    </row>
    <row r="668" spans="1:9" s="9" customFormat="1" x14ac:dyDescent="0.25">
      <c r="A668" s="156" t="s">
        <v>8404</v>
      </c>
      <c r="B668" s="156" t="s">
        <v>8939</v>
      </c>
      <c r="C668" s="156" t="str">
        <f>CHOOSE(Translations!$C$1+1,G668,H668,I668)</f>
        <v>No aplicable</v>
      </c>
      <c r="D668" s="156" t="s">
        <v>2778</v>
      </c>
      <c r="E668" s="157" t="s">
        <v>8940</v>
      </c>
      <c r="F668" s="156" t="s">
        <v>3302</v>
      </c>
      <c r="G668" s="157" t="s">
        <v>367</v>
      </c>
      <c r="H668" s="157" t="s">
        <v>498</v>
      </c>
      <c r="I668" s="157" t="s">
        <v>979</v>
      </c>
    </row>
    <row r="669" spans="1:9" s="9" customFormat="1" x14ac:dyDescent="0.25">
      <c r="A669" s="156" t="s">
        <v>8404</v>
      </c>
      <c r="B669" s="156" t="s">
        <v>8941</v>
      </c>
      <c r="C669" s="156" t="str">
        <f>CHOOSE(Translations!$C$1+1,G669,H669,I669)</f>
        <v>No aplicable</v>
      </c>
      <c r="D669" s="156" t="s">
        <v>2778</v>
      </c>
      <c r="E669" s="157" t="s">
        <v>8942</v>
      </c>
      <c r="F669" s="156" t="s">
        <v>3307</v>
      </c>
      <c r="G669" s="157" t="s">
        <v>367</v>
      </c>
      <c r="H669" s="157" t="s">
        <v>498</v>
      </c>
      <c r="I669" s="157" t="s">
        <v>979</v>
      </c>
    </row>
    <row r="670" spans="1:9" s="9" customFormat="1" x14ac:dyDescent="0.25">
      <c r="A670" s="156" t="s">
        <v>8404</v>
      </c>
      <c r="B670" s="156" t="s">
        <v>8943</v>
      </c>
      <c r="C670" s="156" t="str">
        <f>CHOOSE(Translations!$C$1+1,G670,H670,I670)</f>
        <v>No aplicable</v>
      </c>
      <c r="D670" s="156" t="s">
        <v>2778</v>
      </c>
      <c r="E670" s="157" t="s">
        <v>8944</v>
      </c>
      <c r="F670" s="156" t="s">
        <v>3312</v>
      </c>
      <c r="G670" s="157" t="s">
        <v>367</v>
      </c>
      <c r="H670" s="157" t="s">
        <v>498</v>
      </c>
      <c r="I670" s="157" t="s">
        <v>979</v>
      </c>
    </row>
    <row r="671" spans="1:9" s="9" customFormat="1" x14ac:dyDescent="0.25">
      <c r="A671" s="156" t="s">
        <v>8404</v>
      </c>
      <c r="B671" s="156" t="s">
        <v>8945</v>
      </c>
      <c r="C671" s="156" t="str">
        <f>CHOOSE(Translations!$C$1+1,G671,H671,I671)</f>
        <v>No aplicable</v>
      </c>
      <c r="D671" s="156" t="s">
        <v>2778</v>
      </c>
      <c r="E671" s="157" t="s">
        <v>8946</v>
      </c>
      <c r="F671" s="156" t="s">
        <v>3317</v>
      </c>
      <c r="G671" s="157" t="s">
        <v>367</v>
      </c>
      <c r="H671" s="157" t="s">
        <v>498</v>
      </c>
      <c r="I671" s="157" t="s">
        <v>979</v>
      </c>
    </row>
    <row r="672" spans="1:9" s="9" customFormat="1" x14ac:dyDescent="0.25">
      <c r="A672" s="156" t="s">
        <v>8404</v>
      </c>
      <c r="B672" s="156" t="s">
        <v>8947</v>
      </c>
      <c r="C672" s="156" t="str">
        <f>CHOOSE(Translations!$C$1+1,G672,H672,I672)</f>
        <v>No aplicable</v>
      </c>
      <c r="D672" s="156" t="s">
        <v>2778</v>
      </c>
      <c r="E672" s="157" t="s">
        <v>8948</v>
      </c>
      <c r="F672" s="156" t="s">
        <v>2467</v>
      </c>
      <c r="G672" s="157" t="s">
        <v>367</v>
      </c>
      <c r="H672" s="157" t="s">
        <v>498</v>
      </c>
      <c r="I672" s="157" t="s">
        <v>979</v>
      </c>
    </row>
    <row r="673" spans="1:9" s="9" customFormat="1" x14ac:dyDescent="0.25">
      <c r="A673" s="156" t="s">
        <v>8404</v>
      </c>
      <c r="B673" s="156" t="s">
        <v>8949</v>
      </c>
      <c r="C673" s="156" t="str">
        <f>CHOOSE(Translations!$C$1+1,G673,H673,I673)</f>
        <v>No aplicable</v>
      </c>
      <c r="D673" s="156" t="s">
        <v>2778</v>
      </c>
      <c r="E673" s="157" t="s">
        <v>8950</v>
      </c>
      <c r="F673" s="156" t="s">
        <v>2485</v>
      </c>
      <c r="G673" s="157" t="s">
        <v>367</v>
      </c>
      <c r="H673" s="157" t="s">
        <v>498</v>
      </c>
      <c r="I673" s="157" t="s">
        <v>979</v>
      </c>
    </row>
    <row r="674" spans="1:9" s="9" customFormat="1" x14ac:dyDescent="0.25">
      <c r="A674" s="156" t="s">
        <v>8404</v>
      </c>
      <c r="B674" s="156" t="s">
        <v>8951</v>
      </c>
      <c r="C674" s="156" t="str">
        <f>CHOOSE(Translations!$C$1+1,G674,H674,I674)</f>
        <v>No aplicable</v>
      </c>
      <c r="D674" s="156" t="s">
        <v>2778</v>
      </c>
      <c r="E674" s="157" t="s">
        <v>8952</v>
      </c>
      <c r="F674" s="156" t="s">
        <v>2501</v>
      </c>
      <c r="G674" s="157" t="s">
        <v>367</v>
      </c>
      <c r="H674" s="157" t="s">
        <v>498</v>
      </c>
      <c r="I674" s="157" t="s">
        <v>979</v>
      </c>
    </row>
    <row r="675" spans="1:9" s="9" customFormat="1" x14ac:dyDescent="0.25">
      <c r="A675" s="156" t="s">
        <v>8404</v>
      </c>
      <c r="B675" s="156" t="s">
        <v>8953</v>
      </c>
      <c r="C675" s="156" t="str">
        <f>CHOOSE(Translations!$C$1+1,G675,H675,I675)</f>
        <v>No aplicable</v>
      </c>
      <c r="D675" s="156" t="s">
        <v>2778</v>
      </c>
      <c r="E675" s="157" t="s">
        <v>8954</v>
      </c>
      <c r="F675" s="156" t="s">
        <v>2515</v>
      </c>
      <c r="G675" s="157" t="s">
        <v>367</v>
      </c>
      <c r="H675" s="157" t="s">
        <v>498</v>
      </c>
      <c r="I675" s="157" t="s">
        <v>979</v>
      </c>
    </row>
    <row r="676" spans="1:9" s="9" customFormat="1" x14ac:dyDescent="0.25">
      <c r="A676" s="156" t="s">
        <v>8404</v>
      </c>
      <c r="B676" s="156" t="s">
        <v>8955</v>
      </c>
      <c r="C676" s="156" t="str">
        <f>CHOOSE(Translations!$C$1+1,G676,H676,I676)</f>
        <v>No aplicable</v>
      </c>
      <c r="D676" s="156" t="s">
        <v>2778</v>
      </c>
      <c r="E676" s="157" t="s">
        <v>8956</v>
      </c>
      <c r="F676" s="156" t="s">
        <v>3330</v>
      </c>
      <c r="G676" s="157" t="s">
        <v>367</v>
      </c>
      <c r="H676" s="157" t="s">
        <v>498</v>
      </c>
      <c r="I676" s="157" t="s">
        <v>979</v>
      </c>
    </row>
    <row r="677" spans="1:9" s="9" customFormat="1" x14ac:dyDescent="0.25">
      <c r="A677" s="156" t="s">
        <v>8404</v>
      </c>
      <c r="B677" s="156" t="s">
        <v>8957</v>
      </c>
      <c r="C677" s="156" t="str">
        <f>CHOOSE(Translations!$C$1+1,G677,H677,I677)</f>
        <v>No aplicable</v>
      </c>
      <c r="D677" s="156" t="s">
        <v>2778</v>
      </c>
      <c r="E677" s="157" t="s">
        <v>8958</v>
      </c>
      <c r="F677" s="156" t="s">
        <v>3335</v>
      </c>
      <c r="G677" s="157" t="s">
        <v>367</v>
      </c>
      <c r="H677" s="157" t="s">
        <v>498</v>
      </c>
      <c r="I677" s="157" t="s">
        <v>979</v>
      </c>
    </row>
    <row r="678" spans="1:9" s="9" customFormat="1" x14ac:dyDescent="0.25">
      <c r="A678" s="156" t="s">
        <v>8404</v>
      </c>
      <c r="B678" s="156" t="s">
        <v>8959</v>
      </c>
      <c r="C678" s="156" t="str">
        <f>CHOOSE(Translations!$C$1+1,G678,H678,I678)</f>
        <v>No aplicable</v>
      </c>
      <c r="D678" s="156" t="s">
        <v>2778</v>
      </c>
      <c r="E678" s="157" t="s">
        <v>8960</v>
      </c>
      <c r="F678" s="156" t="s">
        <v>3340</v>
      </c>
      <c r="G678" s="157" t="s">
        <v>367</v>
      </c>
      <c r="H678" s="157" t="s">
        <v>498</v>
      </c>
      <c r="I678" s="157" t="s">
        <v>979</v>
      </c>
    </row>
    <row r="679" spans="1:9" s="9" customFormat="1" x14ac:dyDescent="0.25">
      <c r="A679" s="156" t="s">
        <v>8404</v>
      </c>
      <c r="B679" s="156" t="s">
        <v>8961</v>
      </c>
      <c r="C679" s="156" t="str">
        <f>CHOOSE(Translations!$C$1+1,G679,H679,I679)</f>
        <v>No aplicable</v>
      </c>
      <c r="D679" s="156" t="s">
        <v>2778</v>
      </c>
      <c r="E679" s="157" t="s">
        <v>8962</v>
      </c>
      <c r="F679" s="156" t="s">
        <v>3345</v>
      </c>
      <c r="G679" s="157" t="s">
        <v>367</v>
      </c>
      <c r="H679" s="157" t="s">
        <v>498</v>
      </c>
      <c r="I679" s="157" t="s">
        <v>979</v>
      </c>
    </row>
    <row r="680" spans="1:9" s="9" customFormat="1" x14ac:dyDescent="0.25">
      <c r="A680" s="156" t="s">
        <v>8404</v>
      </c>
      <c r="B680" s="156" t="s">
        <v>8963</v>
      </c>
      <c r="C680" s="156" t="str">
        <f>CHOOSE(Translations!$C$1+1,G680,H680,I680)</f>
        <v>No aplicable</v>
      </c>
      <c r="D680" s="156" t="s">
        <v>2778</v>
      </c>
      <c r="E680" s="157" t="s">
        <v>8964</v>
      </c>
      <c r="F680" s="156" t="s">
        <v>3350</v>
      </c>
      <c r="G680" s="157" t="s">
        <v>367</v>
      </c>
      <c r="H680" s="157" t="s">
        <v>498</v>
      </c>
      <c r="I680" s="157" t="s">
        <v>979</v>
      </c>
    </row>
    <row r="681" spans="1:9" s="9" customFormat="1" x14ac:dyDescent="0.25">
      <c r="A681" s="156" t="s">
        <v>8404</v>
      </c>
      <c r="B681" s="156" t="s">
        <v>8965</v>
      </c>
      <c r="C681" s="156" t="str">
        <f>CHOOSE(Translations!$C$1+1,G681,H681,I681)</f>
        <v>No aplicable</v>
      </c>
      <c r="D681" s="156" t="s">
        <v>2778</v>
      </c>
      <c r="E681" s="157" t="s">
        <v>8966</v>
      </c>
      <c r="F681" s="156" t="s">
        <v>2670</v>
      </c>
      <c r="G681" s="157" t="s">
        <v>367</v>
      </c>
      <c r="H681" s="157" t="s">
        <v>498</v>
      </c>
      <c r="I681" s="157" t="s">
        <v>979</v>
      </c>
    </row>
    <row r="682" spans="1:9" s="9" customFormat="1" x14ac:dyDescent="0.25">
      <c r="A682" s="156" t="s">
        <v>8404</v>
      </c>
      <c r="B682" s="156" t="s">
        <v>8967</v>
      </c>
      <c r="C682" s="156" t="str">
        <f>CHOOSE(Translations!$C$1+1,G682,H682,I682)</f>
        <v>No aplicable</v>
      </c>
      <c r="D682" s="156" t="s">
        <v>2778</v>
      </c>
      <c r="E682" s="157" t="s">
        <v>8968</v>
      </c>
      <c r="F682" s="156" t="s">
        <v>2697</v>
      </c>
      <c r="G682" s="157" t="s">
        <v>367</v>
      </c>
      <c r="H682" s="157" t="s">
        <v>498</v>
      </c>
      <c r="I682" s="157" t="s">
        <v>979</v>
      </c>
    </row>
    <row r="683" spans="1:9" s="9" customFormat="1" x14ac:dyDescent="0.25">
      <c r="A683" s="156" t="s">
        <v>8404</v>
      </c>
      <c r="B683" s="156" t="s">
        <v>8969</v>
      </c>
      <c r="C683" s="156" t="str">
        <f>CHOOSE(Translations!$C$1+1,G683,H683,I683)</f>
        <v>No aplicable</v>
      </c>
      <c r="D683" s="156" t="s">
        <v>2778</v>
      </c>
      <c r="E683" s="157" t="s">
        <v>8970</v>
      </c>
      <c r="F683" s="156" t="s">
        <v>3357</v>
      </c>
      <c r="G683" s="157" t="s">
        <v>367</v>
      </c>
      <c r="H683" s="157" t="s">
        <v>498</v>
      </c>
      <c r="I683" s="157" t="s">
        <v>979</v>
      </c>
    </row>
    <row r="684" spans="1:9" s="9" customFormat="1" x14ac:dyDescent="0.25">
      <c r="A684" s="156" t="s">
        <v>8404</v>
      </c>
      <c r="B684" s="156" t="s">
        <v>8971</v>
      </c>
      <c r="C684" s="156" t="str">
        <f>CHOOSE(Translations!$C$1+1,G684,H684,I684)</f>
        <v>No aplicable</v>
      </c>
      <c r="D684" s="156" t="s">
        <v>2778</v>
      </c>
      <c r="E684" s="157" t="s">
        <v>8972</v>
      </c>
      <c r="F684" s="156" t="s">
        <v>3362</v>
      </c>
      <c r="G684" s="157" t="s">
        <v>367</v>
      </c>
      <c r="H684" s="157" t="s">
        <v>498</v>
      </c>
      <c r="I684" s="157" t="s">
        <v>979</v>
      </c>
    </row>
    <row r="685" spans="1:9" s="9" customFormat="1" x14ac:dyDescent="0.25">
      <c r="A685" s="156" t="s">
        <v>8404</v>
      </c>
      <c r="B685" s="156" t="s">
        <v>8973</v>
      </c>
      <c r="C685" s="156" t="str">
        <f>CHOOSE(Translations!$C$1+1,G685,H685,I685)</f>
        <v>No aplicable</v>
      </c>
      <c r="D685" s="156" t="s">
        <v>2778</v>
      </c>
      <c r="E685" s="157" t="s">
        <v>8974</v>
      </c>
      <c r="F685" s="156" t="s">
        <v>3367</v>
      </c>
      <c r="G685" s="157" t="s">
        <v>367</v>
      </c>
      <c r="H685" s="157" t="s">
        <v>498</v>
      </c>
      <c r="I685" s="157" t="s">
        <v>979</v>
      </c>
    </row>
    <row r="686" spans="1:9" s="9" customFormat="1" x14ac:dyDescent="0.25">
      <c r="A686" s="156" t="s">
        <v>8404</v>
      </c>
      <c r="B686" s="156" t="s">
        <v>8975</v>
      </c>
      <c r="C686" s="156" t="str">
        <f>CHOOSE(Translations!$C$1+1,G686,H686,I686)</f>
        <v>No aplicable</v>
      </c>
      <c r="D686" s="156" t="s">
        <v>2778</v>
      </c>
      <c r="E686" s="157" t="s">
        <v>8976</v>
      </c>
      <c r="F686" s="156" t="s">
        <v>2709</v>
      </c>
      <c r="G686" s="157" t="s">
        <v>367</v>
      </c>
      <c r="H686" s="157" t="s">
        <v>498</v>
      </c>
      <c r="I686" s="157" t="s">
        <v>979</v>
      </c>
    </row>
    <row r="687" spans="1:9" s="9" customFormat="1" x14ac:dyDescent="0.25">
      <c r="A687" s="156" t="s">
        <v>8404</v>
      </c>
      <c r="B687" s="156" t="s">
        <v>8977</v>
      </c>
      <c r="C687" s="156" t="str">
        <f>CHOOSE(Translations!$C$1+1,G687,H687,I687)</f>
        <v>No aplicable</v>
      </c>
      <c r="D687" s="156" t="s">
        <v>2778</v>
      </c>
      <c r="E687" s="157" t="s">
        <v>8978</v>
      </c>
      <c r="F687" s="156" t="s">
        <v>2723</v>
      </c>
      <c r="G687" s="157" t="s">
        <v>367</v>
      </c>
      <c r="H687" s="157" t="s">
        <v>498</v>
      </c>
      <c r="I687" s="157" t="s">
        <v>979</v>
      </c>
    </row>
    <row r="688" spans="1:9" s="9" customFormat="1" x14ac:dyDescent="0.25">
      <c r="A688" s="156" t="s">
        <v>8404</v>
      </c>
      <c r="B688" s="156" t="s">
        <v>8979</v>
      </c>
      <c r="C688" s="156" t="str">
        <f>CHOOSE(Translations!$C$1+1,G688,H688,I688)</f>
        <v>No aplicable</v>
      </c>
      <c r="D688" s="156" t="s">
        <v>2778</v>
      </c>
      <c r="E688" s="157" t="s">
        <v>8980</v>
      </c>
      <c r="F688" s="156" t="s">
        <v>3374</v>
      </c>
      <c r="G688" s="157" t="s">
        <v>367</v>
      </c>
      <c r="H688" s="157" t="s">
        <v>498</v>
      </c>
      <c r="I688" s="157" t="s">
        <v>979</v>
      </c>
    </row>
    <row r="689" spans="1:9" s="9" customFormat="1" x14ac:dyDescent="0.25">
      <c r="A689" s="156" t="s">
        <v>8404</v>
      </c>
      <c r="B689" s="156" t="s">
        <v>8981</v>
      </c>
      <c r="C689" s="156" t="str">
        <f>CHOOSE(Translations!$C$1+1,G689,H689,I689)</f>
        <v>No aplicable</v>
      </c>
      <c r="D689" s="156" t="s">
        <v>2778</v>
      </c>
      <c r="E689" s="157" t="s">
        <v>8982</v>
      </c>
      <c r="F689" s="156" t="s">
        <v>3379</v>
      </c>
      <c r="G689" s="157" t="s">
        <v>367</v>
      </c>
      <c r="H689" s="157" t="s">
        <v>498</v>
      </c>
      <c r="I689" s="157" t="s">
        <v>979</v>
      </c>
    </row>
    <row r="690" spans="1:9" s="9" customFormat="1" x14ac:dyDescent="0.25">
      <c r="A690" s="156" t="s">
        <v>8404</v>
      </c>
      <c r="B690" s="156" t="s">
        <v>8983</v>
      </c>
      <c r="C690" s="156" t="str">
        <f>CHOOSE(Translations!$C$1+1,G690,H690,I690)</f>
        <v>No aplicable</v>
      </c>
      <c r="D690" s="156" t="s">
        <v>2778</v>
      </c>
      <c r="E690" s="157" t="s">
        <v>8984</v>
      </c>
      <c r="F690" s="156" t="s">
        <v>3384</v>
      </c>
      <c r="G690" s="157" t="s">
        <v>367</v>
      </c>
      <c r="H690" s="157" t="s">
        <v>498</v>
      </c>
      <c r="I690" s="157" t="s">
        <v>979</v>
      </c>
    </row>
    <row r="691" spans="1:9" s="9" customFormat="1" x14ac:dyDescent="0.25">
      <c r="A691" s="156" t="s">
        <v>8404</v>
      </c>
      <c r="B691" s="156" t="s">
        <v>8985</v>
      </c>
      <c r="C691" s="156" t="str">
        <f>CHOOSE(Translations!$C$1+1,G691,H691,I691)</f>
        <v>No aplicable</v>
      </c>
      <c r="D691" s="156" t="s">
        <v>2778</v>
      </c>
      <c r="E691" s="157" t="s">
        <v>8986</v>
      </c>
      <c r="F691" s="156" t="s">
        <v>3389</v>
      </c>
      <c r="G691" s="157" t="s">
        <v>367</v>
      </c>
      <c r="H691" s="157" t="s">
        <v>498</v>
      </c>
      <c r="I691" s="157" t="s">
        <v>979</v>
      </c>
    </row>
    <row r="692" spans="1:9" s="9" customFormat="1" x14ac:dyDescent="0.25">
      <c r="A692" s="156" t="s">
        <v>8404</v>
      </c>
      <c r="B692" s="156" t="s">
        <v>8987</v>
      </c>
      <c r="C692" s="156" t="str">
        <f>CHOOSE(Translations!$C$1+1,G692,H692,I692)</f>
        <v>No aplicable</v>
      </c>
      <c r="D692" s="156" t="s">
        <v>2778</v>
      </c>
      <c r="E692" s="157" t="s">
        <v>8988</v>
      </c>
      <c r="F692" s="156" t="s">
        <v>2737</v>
      </c>
      <c r="G692" s="157" t="s">
        <v>367</v>
      </c>
      <c r="H692" s="157" t="s">
        <v>498</v>
      </c>
      <c r="I692" s="157" t="s">
        <v>979</v>
      </c>
    </row>
    <row r="693" spans="1:9" s="9" customFormat="1" x14ac:dyDescent="0.25">
      <c r="A693" s="156" t="s">
        <v>8404</v>
      </c>
      <c r="B693" s="156" t="s">
        <v>8989</v>
      </c>
      <c r="C693" s="156" t="str">
        <f>CHOOSE(Translations!$C$1+1,G693,H693,I693)</f>
        <v>No aplicable</v>
      </c>
      <c r="D693" s="156" t="s">
        <v>2778</v>
      </c>
      <c r="E693" s="157" t="s">
        <v>8990</v>
      </c>
      <c r="F693" s="156" t="s">
        <v>3395</v>
      </c>
      <c r="G693" s="157" t="s">
        <v>367</v>
      </c>
      <c r="H693" s="157" t="s">
        <v>498</v>
      </c>
      <c r="I693" s="157" t="s">
        <v>979</v>
      </c>
    </row>
    <row r="694" spans="1:9" s="9" customFormat="1" x14ac:dyDescent="0.25">
      <c r="A694" s="156" t="s">
        <v>8404</v>
      </c>
      <c r="B694" s="156" t="s">
        <v>8991</v>
      </c>
      <c r="C694" s="156" t="str">
        <f>CHOOSE(Translations!$C$1+1,G694,H694,I694)</f>
        <v>No aplicable</v>
      </c>
      <c r="D694" s="156" t="s">
        <v>2778</v>
      </c>
      <c r="E694" s="157" t="s">
        <v>8992</v>
      </c>
      <c r="F694" s="156" t="s">
        <v>3400</v>
      </c>
      <c r="G694" s="157" t="s">
        <v>367</v>
      </c>
      <c r="H694" s="157" t="s">
        <v>498</v>
      </c>
      <c r="I694" s="157" t="s">
        <v>979</v>
      </c>
    </row>
    <row r="695" spans="1:9" s="9" customFormat="1" x14ac:dyDescent="0.25">
      <c r="A695" s="156" t="s">
        <v>8404</v>
      </c>
      <c r="B695" s="156" t="s">
        <v>8993</v>
      </c>
      <c r="C695" s="156" t="str">
        <f>CHOOSE(Translations!$C$1+1,G695,H695,I695)</f>
        <v>No aplicable</v>
      </c>
      <c r="D695" s="156" t="s">
        <v>2778</v>
      </c>
      <c r="E695" s="157" t="s">
        <v>8994</v>
      </c>
      <c r="F695" s="156" t="s">
        <v>3405</v>
      </c>
      <c r="G695" s="157" t="s">
        <v>367</v>
      </c>
      <c r="H695" s="157" t="s">
        <v>498</v>
      </c>
      <c r="I695" s="157" t="s">
        <v>979</v>
      </c>
    </row>
    <row r="696" spans="1:9" s="9" customFormat="1" x14ac:dyDescent="0.25">
      <c r="A696" s="156" t="s">
        <v>8404</v>
      </c>
      <c r="B696" s="156" t="s">
        <v>8995</v>
      </c>
      <c r="C696" s="156" t="str">
        <f>CHOOSE(Translations!$C$1+1,G696,H696,I696)</f>
        <v>No aplicable</v>
      </c>
      <c r="D696" s="156" t="s">
        <v>2778</v>
      </c>
      <c r="E696" s="157" t="s">
        <v>8996</v>
      </c>
      <c r="F696" s="156" t="s">
        <v>3410</v>
      </c>
      <c r="G696" s="157" t="s">
        <v>367</v>
      </c>
      <c r="H696" s="157" t="s">
        <v>498</v>
      </c>
      <c r="I696" s="157" t="s">
        <v>979</v>
      </c>
    </row>
    <row r="697" spans="1:9" s="9" customFormat="1" x14ac:dyDescent="0.25">
      <c r="A697" s="156" t="s">
        <v>8404</v>
      </c>
      <c r="B697" s="156" t="s">
        <v>8997</v>
      </c>
      <c r="C697" s="156" t="str">
        <f>CHOOSE(Translations!$C$1+1,G697,H697,I697)</f>
        <v>No aplicable</v>
      </c>
      <c r="D697" s="156" t="s">
        <v>2778</v>
      </c>
      <c r="E697" s="157" t="s">
        <v>8998</v>
      </c>
      <c r="F697" s="156" t="s">
        <v>3415</v>
      </c>
      <c r="G697" s="157" t="s">
        <v>367</v>
      </c>
      <c r="H697" s="157" t="s">
        <v>498</v>
      </c>
      <c r="I697" s="157" t="s">
        <v>979</v>
      </c>
    </row>
    <row r="698" spans="1:9" s="9" customFormat="1" x14ac:dyDescent="0.25">
      <c r="A698" s="156" t="s">
        <v>8404</v>
      </c>
      <c r="B698" s="156" t="s">
        <v>8999</v>
      </c>
      <c r="C698" s="156" t="str">
        <f>CHOOSE(Translations!$C$1+1,G698,H698,I698)</f>
        <v>No aplicable</v>
      </c>
      <c r="D698" s="156" t="s">
        <v>2778</v>
      </c>
      <c r="E698" s="157" t="s">
        <v>9000</v>
      </c>
      <c r="F698" s="156" t="s">
        <v>2762</v>
      </c>
      <c r="G698" s="157" t="s">
        <v>367</v>
      </c>
      <c r="H698" s="157" t="s">
        <v>498</v>
      </c>
      <c r="I698" s="157" t="s">
        <v>979</v>
      </c>
    </row>
  </sheetData>
  <dataValidations count="4">
    <dataValidation type="custom" allowBlank="1" showInputMessage="1" showErrorMessage="1" errorTitle="X-Author for Excel" error="Id and Lookup fields are not editable." promptTitle="X-Author for Excel" sqref="G4:G21 G25:G75 G159:H209 G79:G155 E213:E332 A622:B698 A414:B617 C403:C404 C354:C399 A343 C346 C341:C342" xr:uid="{00000000-0002-0000-0300-000000000000}">
      <formula1>""</formula1>
    </dataValidation>
    <dataValidation type="list" allowBlank="1" showInputMessage="1" showErrorMessage="1" errorTitle="X-Author for Excel" error="Please select either TRUE or FALSE from the dropdown." promptTitle="X-Author for Excel" sqref="B410 J79:J155" xr:uid="{0C6CCF30-6A2E-4314-918B-094F88BA23EA}">
      <formula1>"TRUE,FALSE"</formula1>
    </dataValidation>
    <dataValidation type="list" allowBlank="1" showInputMessage="1" showErrorMessage="1" errorTitle="X-Author for Excel" error="Please select a value from the drop-down." promptTitle="X-Author for Excel" sqref="B407" xr:uid="{35DEBC25-45FA-4890-B04A-CBC1F4DC8067}">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159:P202 K79:K155" xr:uid="{D3D757B8-096C-43A0-923E-33C0D42A5310}">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AQ307"/>
  <sheetViews>
    <sheetView showGridLines="0" topLeftCell="J3" zoomScale="67" zoomScaleNormal="90" workbookViewId="0">
      <selection activeCell="AD7" sqref="AD7"/>
    </sheetView>
  </sheetViews>
  <sheetFormatPr defaultColWidth="9" defaultRowHeight="15.5" x14ac:dyDescent="0.35"/>
  <cols>
    <col min="1" max="1" width="18.58203125" customWidth="1"/>
    <col min="2" max="2" width="56.6640625" customWidth="1"/>
    <col min="3" max="3" width="30.58203125" style="187" customWidth="1"/>
    <col min="4" max="4" width="16.58203125" customWidth="1"/>
    <col min="5" max="5" width="20.08203125" customWidth="1"/>
    <col min="6" max="6" width="16.08203125" customWidth="1"/>
    <col min="7" max="7" width="30.58203125" style="187" customWidth="1"/>
    <col min="8" max="8" width="40.58203125" customWidth="1"/>
    <col min="9" max="9" width="30.58203125" hidden="1" customWidth="1"/>
    <col min="10" max="10" width="20.58203125" customWidth="1"/>
    <col min="11" max="11" width="16.08203125" customWidth="1"/>
    <col min="12" max="12" width="20.08203125" customWidth="1"/>
    <col min="13" max="13" width="21.5" customWidth="1"/>
    <col min="14" max="14" width="16.08203125" customWidth="1"/>
    <col min="15" max="15" width="15.58203125" customWidth="1"/>
    <col min="16" max="16" width="19.58203125" customWidth="1"/>
    <col min="17" max="17" width="20.58203125" customWidth="1"/>
    <col min="18" max="18" width="15.08203125" customWidth="1"/>
    <col min="19" max="19" width="14.5" customWidth="1"/>
    <col min="20" max="20" width="13" customWidth="1"/>
    <col min="21" max="21" width="18.08203125" customWidth="1"/>
    <col min="22" max="22" width="16.08203125" customWidth="1"/>
    <col min="23" max="23" width="11.58203125" customWidth="1"/>
    <col min="24" max="25" width="13.08203125" customWidth="1"/>
    <col min="26" max="26" width="15.08203125" customWidth="1"/>
    <col min="27" max="27" width="58.08203125" customWidth="1"/>
    <col min="28" max="29" width="30.58203125" customWidth="1"/>
    <col min="30" max="30" width="50.58203125" customWidth="1"/>
    <col min="31" max="31" width="14.58203125" hidden="1" customWidth="1"/>
    <col min="32" max="32" width="12.58203125" hidden="1" customWidth="1"/>
    <col min="33" max="33" width="12.6640625" hidden="1" customWidth="1"/>
    <col min="34" max="34" width="31.1640625" hidden="1" customWidth="1"/>
    <col min="35" max="35" width="28" hidden="1" customWidth="1"/>
    <col min="36" max="36" width="25.58203125" hidden="1" customWidth="1"/>
    <col min="37" max="37" width="12.5" hidden="1" customWidth="1"/>
    <col min="38" max="38" width="12.1640625" hidden="1" customWidth="1"/>
  </cols>
  <sheetData>
    <row r="1" spans="1:43" ht="15.65" customHeight="1" x14ac:dyDescent="0.35">
      <c r="A1" s="643" t="str">
        <f ca="1">Translations!A36</f>
        <v>Marco de desempeño - Indicadores de Impacto- Sección B</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row>
    <row r="2" spans="1:43" ht="15.65" customHeight="1" x14ac:dyDescent="0.35">
      <c r="A2" s="645"/>
      <c r="B2" s="646"/>
      <c r="C2" s="646"/>
      <c r="D2" s="646"/>
      <c r="E2" s="646"/>
      <c r="F2" s="646"/>
      <c r="G2" s="646"/>
      <c r="H2" s="646"/>
      <c r="I2" s="646"/>
      <c r="J2" s="646"/>
      <c r="K2" s="646"/>
      <c r="L2" s="646"/>
      <c r="M2" s="646"/>
      <c r="N2" s="646"/>
      <c r="O2" s="646"/>
      <c r="P2" s="646"/>
      <c r="Q2" s="646"/>
      <c r="R2" s="646"/>
      <c r="S2" s="646"/>
      <c r="T2" s="646"/>
      <c r="U2" s="646"/>
      <c r="V2" s="646"/>
      <c r="W2" s="646"/>
      <c r="X2" s="646"/>
      <c r="Y2" s="646"/>
      <c r="Z2" s="646"/>
      <c r="AA2" s="646"/>
    </row>
    <row r="3" spans="1:43" s="166" customFormat="1" x14ac:dyDescent="0.35">
      <c r="A3" s="170"/>
      <c r="B3" s="170"/>
      <c r="C3" s="170"/>
      <c r="D3" s="170"/>
      <c r="E3" s="170"/>
      <c r="F3" s="170"/>
      <c r="G3" s="170"/>
      <c r="H3" s="171"/>
      <c r="I3" s="169"/>
      <c r="J3" s="169"/>
      <c r="K3" s="169"/>
      <c r="L3" s="169"/>
      <c r="M3" s="169"/>
      <c r="N3" s="169"/>
      <c r="O3" s="169"/>
      <c r="P3" s="169"/>
      <c r="Q3" s="169"/>
      <c r="R3" s="169"/>
      <c r="S3" s="169"/>
      <c r="T3" s="169"/>
      <c r="U3" s="169"/>
      <c r="V3" s="169"/>
      <c r="W3" s="169"/>
      <c r="X3" s="169"/>
      <c r="Y3" s="169"/>
      <c r="Z3" s="169"/>
      <c r="AA3" s="172"/>
    </row>
    <row r="4" spans="1:43" s="167" customFormat="1" ht="16" thickBot="1" x14ac:dyDescent="0.4">
      <c r="A4" s="170"/>
      <c r="B4" s="170"/>
      <c r="C4" s="170"/>
      <c r="D4" s="170"/>
      <c r="E4" s="170"/>
      <c r="F4" s="170"/>
      <c r="G4" s="216" t="s">
        <v>254</v>
      </c>
      <c r="H4" s="171"/>
      <c r="I4" s="169"/>
      <c r="J4" s="169"/>
      <c r="K4" s="169"/>
      <c r="L4" s="169"/>
      <c r="M4" s="169"/>
      <c r="N4" s="169"/>
      <c r="O4" s="169"/>
      <c r="P4" s="169"/>
      <c r="Q4" s="169"/>
      <c r="R4" s="169"/>
      <c r="S4" s="169"/>
      <c r="T4" s="169"/>
      <c r="U4" s="169"/>
      <c r="V4" s="169"/>
      <c r="W4" s="169"/>
      <c r="X4" s="169"/>
      <c r="Y4" s="169"/>
      <c r="Z4" s="169"/>
      <c r="AA4" s="172"/>
    </row>
    <row r="5" spans="1:43" s="167" customFormat="1" ht="16" thickBot="1" x14ac:dyDescent="0.4">
      <c r="A5" s="244" t="str">
        <f ca="1">Translations!A12</f>
        <v>Navegación de la página</v>
      </c>
      <c r="B5" s="188" t="str">
        <f ca="1">Translations!A48</f>
        <v>Instrucciones</v>
      </c>
      <c r="C5" s="170"/>
      <c r="D5" s="170"/>
      <c r="E5" s="170"/>
      <c r="F5" s="170"/>
      <c r="G5" s="170"/>
      <c r="H5" s="171"/>
      <c r="I5" s="169"/>
      <c r="J5" s="169"/>
      <c r="K5" s="169"/>
      <c r="L5" s="169"/>
      <c r="M5" s="169"/>
      <c r="N5" s="169"/>
      <c r="O5" s="169"/>
      <c r="P5" s="169"/>
      <c r="Q5" s="169"/>
      <c r="R5" s="169"/>
      <c r="S5" s="169"/>
      <c r="T5" s="169"/>
      <c r="U5" s="169"/>
      <c r="V5" s="169"/>
      <c r="W5" s="169"/>
      <c r="X5" s="169"/>
      <c r="Y5" s="169"/>
      <c r="Z5" s="169"/>
      <c r="AA5" s="172"/>
    </row>
    <row r="6" spans="1:43" s="168" customFormat="1" x14ac:dyDescent="0.35">
      <c r="A6" s="170"/>
      <c r="B6" s="170"/>
      <c r="C6" s="363"/>
      <c r="D6" s="170"/>
      <c r="E6" s="170"/>
      <c r="F6" s="170"/>
      <c r="G6" s="170"/>
      <c r="H6" s="171"/>
      <c r="I6" s="169"/>
      <c r="J6" s="169"/>
      <c r="K6" s="209">
        <v>2</v>
      </c>
      <c r="L6" s="169"/>
      <c r="M6" s="169"/>
      <c r="N6" s="169"/>
      <c r="O6" s="209">
        <v>3</v>
      </c>
      <c r="P6" s="169"/>
      <c r="Q6" s="169"/>
      <c r="R6" s="169"/>
      <c r="S6" s="209">
        <v>4</v>
      </c>
      <c r="T6" s="169"/>
      <c r="U6" s="169"/>
      <c r="V6" s="169"/>
      <c r="W6" s="209">
        <v>5</v>
      </c>
      <c r="X6" s="169"/>
      <c r="Y6" s="169"/>
      <c r="Z6" s="169"/>
      <c r="AA6" s="172"/>
    </row>
    <row r="7" spans="1:43" x14ac:dyDescent="0.35">
      <c r="A7" s="647"/>
      <c r="B7" s="648"/>
      <c r="C7" s="648"/>
      <c r="D7" s="648"/>
      <c r="E7" s="648"/>
      <c r="F7" s="648"/>
      <c r="G7" s="648"/>
      <c r="H7" s="648"/>
      <c r="I7" s="648"/>
      <c r="J7" s="649"/>
      <c r="K7" s="650">
        <f ca="1">IFERROR(IF(YEAR(INDEX('Overview - Section A'!$A$39:$A$46,MATCH(K6,'Overview - Section A'!$B$39:$B$46,0)))&lt;=YEAR('Overview - Section A'!$E$11),YEAR(INDEX('Overview - Section A'!$A$39:$A$46,MATCH($K$6,'Overview - Section A'!$B$39:$B$46,0))),""),"")</f>
        <v>2022</v>
      </c>
      <c r="L7" s="651"/>
      <c r="M7" s="651"/>
      <c r="N7" s="652"/>
      <c r="O7" s="647">
        <f ca="1">IFERROR(IF(K7+1&lt;=YEAR('Overview - Section A'!$E$11),K7+1,""),"")</f>
        <v>2023</v>
      </c>
      <c r="P7" s="648"/>
      <c r="Q7" s="648"/>
      <c r="R7" s="649"/>
      <c r="S7" s="647">
        <f ca="1">IFERROR(IF(O7+1&lt;=YEAR('Overview - Section A'!$E$11),O7+1,""),"")</f>
        <v>2024</v>
      </c>
      <c r="T7" s="648"/>
      <c r="U7" s="648"/>
      <c r="V7" s="649"/>
      <c r="W7" s="647" t="str">
        <f ca="1">IFERROR(IF(S7+1&lt;=YEAR('Overview - Section A'!$E$11),S7+1,""),"")</f>
        <v/>
      </c>
      <c r="X7" s="648"/>
      <c r="Y7" s="648"/>
      <c r="Z7" s="649"/>
      <c r="AA7" s="165"/>
      <c r="AB7" s="165"/>
      <c r="AC7" s="165"/>
      <c r="AD7" s="165"/>
      <c r="AK7" s="211"/>
      <c r="AL7" s="211">
        <v>2021</v>
      </c>
      <c r="AM7" s="211">
        <v>2022</v>
      </c>
      <c r="AN7" s="211">
        <v>2023</v>
      </c>
      <c r="AO7" s="211">
        <v>2024</v>
      </c>
      <c r="AP7" s="211">
        <v>2025</v>
      </c>
      <c r="AQ7" s="211">
        <v>2026</v>
      </c>
    </row>
    <row r="8" spans="1:43" ht="59.15" customHeight="1" x14ac:dyDescent="0.35">
      <c r="A8" s="269" t="str">
        <f ca="1">Translations!A37</f>
        <v xml:space="preserve">Indicador de impacto número </v>
      </c>
      <c r="B8" s="269" t="str">
        <f ca="1">Translations!A38</f>
        <v xml:space="preserve">Indicador estándar </v>
      </c>
      <c r="C8" s="269" t="str">
        <f ca="1">Translations!A39</f>
        <v>Indicador personalizado</v>
      </c>
      <c r="D8" s="270" t="str">
        <f ca="1">Translations!A40</f>
        <v>Línea de base #N
Línea de base #D</v>
      </c>
      <c r="E8" s="269" t="str">
        <f ca="1">Translations!A41</f>
        <v>Línea de base %</v>
      </c>
      <c r="F8" s="269" t="s">
        <v>436</v>
      </c>
      <c r="G8" s="269" t="s">
        <v>438</v>
      </c>
      <c r="H8" s="269" t="str">
        <f ca="1">Translations!A51</f>
        <v>Desagregación requerida</v>
      </c>
      <c r="I8" s="269" t="s">
        <v>554</v>
      </c>
      <c r="J8" s="269" t="s">
        <v>404</v>
      </c>
      <c r="K8" s="269" t="s">
        <v>11195</v>
      </c>
      <c r="L8" s="269" t="str">
        <f ca="1">Translations!$A$63</f>
        <v>Meta %</v>
      </c>
      <c r="M8" s="269" t="str">
        <f ca="1">Translations!$A$56</f>
        <v>Fecha de envío del reporte</v>
      </c>
      <c r="N8" s="269" t="str">
        <f ca="1">Translations!$A$57</f>
        <v>Marque si la meta es "TBD"</v>
      </c>
      <c r="O8" s="269" t="str">
        <f ca="1">Translations!$A$54&amp;CHAR(10)&amp;Translations!$A$55</f>
        <v>Meta N#
Meta D#</v>
      </c>
      <c r="P8" s="269" t="str">
        <f ca="1">Translations!$A$63</f>
        <v>Meta %</v>
      </c>
      <c r="Q8" s="269" t="s">
        <v>555</v>
      </c>
      <c r="R8" s="269" t="s">
        <v>556</v>
      </c>
      <c r="S8" s="269" t="s">
        <v>11195</v>
      </c>
      <c r="T8" s="269" t="str">
        <f ca="1">Translations!$A$63</f>
        <v>Meta %</v>
      </c>
      <c r="U8" s="269" t="str">
        <f ca="1">Translations!$A$56</f>
        <v>Fecha de envío del reporte</v>
      </c>
      <c r="V8" s="269" t="str">
        <f ca="1">Translations!$A$57</f>
        <v>Marque si la meta es "TBD"</v>
      </c>
      <c r="W8" s="269" t="str">
        <f ca="1">Translations!$A$54&amp;CHAR(10)&amp;Translations!$A$55</f>
        <v>Meta N#
Meta D#</v>
      </c>
      <c r="X8" s="269" t="str">
        <f ca="1">Translations!$A$63</f>
        <v>Meta %</v>
      </c>
      <c r="Y8" s="269" t="str">
        <f ca="1">Translations!$A$56</f>
        <v>Fecha de envío del reporte</v>
      </c>
      <c r="Z8" s="269" t="str">
        <f ca="1">Translations!$A$57</f>
        <v>Marque si la meta es "TBD"</v>
      </c>
      <c r="AA8" s="269" t="str">
        <f ca="1">Translations!$A$58</f>
        <v>Comentarios</v>
      </c>
      <c r="AB8" s="269" t="str">
        <f ca="1">Translations!A39 &amp; " (EN)"</f>
        <v>Indicador personalizado (EN)</v>
      </c>
      <c r="AC8" s="269" t="str">
        <f ca="1">Translations!A43 &amp; " (EN)"</f>
        <v>Línea de base año fuente (EN)</v>
      </c>
      <c r="AD8" s="269" t="str">
        <f ca="1">Translations!$A$58 &amp; " (EN)"</f>
        <v>Comentarios (EN)</v>
      </c>
      <c r="AH8" t="s">
        <v>335</v>
      </c>
      <c r="AI8" s="253" t="s">
        <v>935</v>
      </c>
      <c r="AJ8" s="253" t="s">
        <v>936</v>
      </c>
    </row>
    <row r="9" spans="1:43" ht="30" customHeight="1" x14ac:dyDescent="0.35">
      <c r="A9" s="627">
        <v>1</v>
      </c>
      <c r="B9" s="623" t="s">
        <v>1519</v>
      </c>
      <c r="C9" s="623"/>
      <c r="D9" s="528">
        <v>483</v>
      </c>
      <c r="E9" s="629">
        <f ca="1">IF(OR(INDIRECT("'update Helper'!D"&amp;AJ9)="",D9&lt;&gt;0,D10&lt;&gt;0),IF(IFERROR((D9/D10),"")="","",(D9/D10)),INDIRECT("'update Helper'!D"&amp;AJ9)/100)</f>
        <v>0.20544449170565718</v>
      </c>
      <c r="F9" s="625">
        <v>2019</v>
      </c>
      <c r="G9" s="623" t="s">
        <v>9002</v>
      </c>
      <c r="H9" s="630" t="str">
        <f>AE9</f>
        <v>Edad</v>
      </c>
      <c r="I9" s="625">
        <v>0</v>
      </c>
      <c r="J9" s="625" t="s">
        <v>1070</v>
      </c>
      <c r="K9" s="524"/>
      <c r="L9" s="641">
        <v>0.21540000000000001</v>
      </c>
      <c r="M9" s="639">
        <v>44986</v>
      </c>
      <c r="N9" s="634"/>
      <c r="O9" s="524"/>
      <c r="P9" s="641">
        <v>0.22539999999999999</v>
      </c>
      <c r="Q9" s="639">
        <v>45351</v>
      </c>
      <c r="R9" s="634"/>
      <c r="S9" s="524"/>
      <c r="T9" s="641">
        <v>0.2354</v>
      </c>
      <c r="U9" s="637">
        <v>45716</v>
      </c>
      <c r="V9" s="634"/>
      <c r="W9" s="410"/>
      <c r="X9" s="619" t="str">
        <f ca="1">IF(OR(INDIRECT("'update Helper'!K"&amp;AI9+3)="",W9&lt;&gt;0,W10&lt;&gt;0),IF(IFERROR((W9/W10),"")="","",(W9/W10)),INDIRECT("'update Helper'!K"&amp;AI9+3)/100)</f>
        <v/>
      </c>
      <c r="Y9" s="621"/>
      <c r="Z9" s="623"/>
      <c r="AA9" s="623" t="s">
        <v>11211</v>
      </c>
      <c r="AB9" s="625"/>
      <c r="AC9" s="625" t="s">
        <v>9002</v>
      </c>
      <c r="AD9" s="623" t="s">
        <v>11207</v>
      </c>
      <c r="AE9" t="str">
        <f t="array" ref="AE9">IFERROR(IF(INDEX('Reference Records'!$D$4:$D$22,MATCH(LEFT(B9,255),LEFT('Reference Records'!$C$4:$C$22,255),0))=0,"",INDEX('Reference Records'!$D$4:$D$22,MATCH(LEFT(B9,255),LEFT('Reference Records'!$C$4:$C$22,255),0))),"")</f>
        <v>Edad</v>
      </c>
      <c r="AF9" s="618" t="str">
        <f>IF(H9&lt;&gt;"",B9&amp;C9,"")</f>
        <v>HIV I-9a⁽ᴹ⁾ Porcentaje de HSH y viven con el VIH</v>
      </c>
      <c r="AG9" s="618" t="b">
        <f>IF(OR(B9&lt;&gt;"",C9&lt;&gt;""),TRUE,FALSE)</f>
        <v>1</v>
      </c>
      <c r="AH9" s="212" t="str">
        <f t="array" ref="AH9">IFERROR(IF(INDEX('Reference Records'!$G$4:$G$22,MATCH(LEFT(B9,255),LEFT('Reference Records'!$C$4:$C$22,255),0))=0,"",INDEX('Reference Records'!$G$4:$G$22,MATCH(LEFT(B9,255),LEFT('Reference Records'!$C$4:$C$22,255),0))),"")</f>
        <v>a1J1R000008lToOUAU</v>
      </c>
      <c r="AI9">
        <f>ROW(Impact_indicator_targets___section_B)+3</f>
        <v>59</v>
      </c>
      <c r="AJ9">
        <f>ROW(Impact_indicator___section_B)+3</f>
        <v>4</v>
      </c>
      <c r="AK9" t="str">
        <f ca="1">IF(INDIRECT("'update Helper'!O"&amp;AJ9)=0,"",IFERROR(VLOOKUP(INDIRECT("'update Helper'!O"&amp;AJ9),'Account Role'!A$1:B$15,2,0),IFERROR(VLOOKUP(INDIRECT("'update Helper'!N"&amp;AJ9),'Overview - Section A'!J$26:K107,3,0),"")))</f>
        <v/>
      </c>
      <c r="AL9" t="str">
        <f ca="1">IFERROR(IF(INDIRECT("'update Helper'!O"&amp;AJ9)=0,"",IFERROR(VLOOKUP(INDIRECT("'update Helper'!O"&amp;AJ9),'Account Role'!A$1:B$15,2,0),IFERROR(VLOOKUP(INDIRECT("'update Helper'!N"&amp;AJ9),'Overview - Section A'!J$26:P107,7,0),""))),"")</f>
        <v/>
      </c>
    </row>
    <row r="10" spans="1:43" ht="49.5" customHeight="1" x14ac:dyDescent="0.35">
      <c r="A10" s="628"/>
      <c r="B10" s="624"/>
      <c r="C10" s="624"/>
      <c r="D10" s="528">
        <v>2351</v>
      </c>
      <c r="E10" s="620"/>
      <c r="F10" s="626"/>
      <c r="G10" s="624"/>
      <c r="H10" s="631"/>
      <c r="I10" s="626"/>
      <c r="J10" s="626"/>
      <c r="K10" s="521"/>
      <c r="L10" s="642"/>
      <c r="M10" s="640"/>
      <c r="N10" s="635"/>
      <c r="O10" s="521"/>
      <c r="P10" s="642"/>
      <c r="Q10" s="640"/>
      <c r="R10" s="635"/>
      <c r="S10" s="521"/>
      <c r="T10" s="642"/>
      <c r="U10" s="638"/>
      <c r="V10" s="635"/>
      <c r="W10" s="199"/>
      <c r="X10" s="620"/>
      <c r="Y10" s="622"/>
      <c r="Z10" s="624"/>
      <c r="AA10" s="624"/>
      <c r="AB10" s="626"/>
      <c r="AC10" s="626"/>
      <c r="AD10" s="624"/>
      <c r="AF10" s="618"/>
      <c r="AG10" s="618"/>
      <c r="AH10" s="212"/>
    </row>
    <row r="11" spans="1:43" s="253" customFormat="1" ht="30" customHeight="1" x14ac:dyDescent="0.35">
      <c r="A11" s="627">
        <v>2</v>
      </c>
      <c r="B11" s="623" t="s">
        <v>1528</v>
      </c>
      <c r="C11" s="623"/>
      <c r="D11" s="528">
        <v>90</v>
      </c>
      <c r="E11" s="629">
        <f ca="1">IF(OR(INDIRECT("'update Helper'!D"&amp;AJ11)="",D11&lt;&gt;0,D12&lt;&gt;0),IF(IFERROR((D11/D12),"")="","",(D11/D12)),INDIRECT("'update Helper'!D"&amp;AJ11)/100)</f>
        <v>0.27190332326283989</v>
      </c>
      <c r="F11" s="625">
        <v>2019</v>
      </c>
      <c r="G11" s="623" t="s">
        <v>9002</v>
      </c>
      <c r="H11" s="630" t="str">
        <f>AE11</f>
        <v>Edad</v>
      </c>
      <c r="I11" s="625">
        <v>0</v>
      </c>
      <c r="J11" s="625" t="s">
        <v>1070</v>
      </c>
      <c r="K11" s="524"/>
      <c r="L11" s="641">
        <v>0.28189999999999998</v>
      </c>
      <c r="M11" s="639">
        <v>44986</v>
      </c>
      <c r="N11" s="634"/>
      <c r="O11" s="524"/>
      <c r="P11" s="641">
        <v>0.2969</v>
      </c>
      <c r="Q11" s="639">
        <v>45351</v>
      </c>
      <c r="R11" s="634"/>
      <c r="S11" s="524"/>
      <c r="T11" s="641">
        <v>0.3019</v>
      </c>
      <c r="U11" s="637">
        <v>45716</v>
      </c>
      <c r="V11" s="634"/>
      <c r="W11" s="410"/>
      <c r="X11" s="619" t="str">
        <f ca="1">IF(OR(INDIRECT("'update Helper'!K"&amp;AI11+3)="",W11&lt;&gt;0,W12&lt;&gt;0),IF(IFERROR((W11/W12),"")="","",(W11/W12)),INDIRECT("'update Helper'!K"&amp;AI11+3)/100)</f>
        <v/>
      </c>
      <c r="Y11" s="621"/>
      <c r="Z11" s="623"/>
      <c r="AA11" s="623" t="s">
        <v>11223</v>
      </c>
      <c r="AB11" s="625"/>
      <c r="AC11" s="625" t="s">
        <v>9002</v>
      </c>
      <c r="AD11" s="623" t="s">
        <v>11208</v>
      </c>
      <c r="AE11" s="253" t="str">
        <f t="array" ref="AE11">IFERROR(IF(INDEX('Reference Records'!$D$4:$D$22,MATCH(LEFT(B11,255),LEFT('Reference Records'!$C$4:$C$22,255),0))=0,"",INDEX('Reference Records'!$D$4:$D$22,MATCH(LEFT(B11,255),LEFT('Reference Records'!$C$4:$C$22,255),0))),"")</f>
        <v>Edad</v>
      </c>
      <c r="AF11" s="618" t="str">
        <f>IF(H11&lt;&gt;"",B11&amp;C11,"")</f>
        <v>HIV I-9b⁽ᴹ⁾ Porcentaje de personas transgénero que viven con el VIH</v>
      </c>
      <c r="AG11" s="618" t="b">
        <f>IF(OR(B11&lt;&gt;"",C11&lt;&gt;""),TRUE,FALSE)</f>
        <v>1</v>
      </c>
      <c r="AH11" s="212" t="str">
        <f t="array" ref="AH11">IFERROR(IF(INDEX('Reference Records'!$G$4:$G$22,MATCH(LEFT(B11,255),LEFT('Reference Records'!$C$4:$C$22,255),0))=0,"",INDEX('Reference Records'!$G$4:$G$22,MATCH(LEFT(B11,255),LEFT('Reference Records'!$C$4:$C$22,255),0))),"")</f>
        <v>a1J1R000008lToPUAU</v>
      </c>
      <c r="AI11" s="174">
        <f>AI9+'update Helper'!$U$2</f>
        <v>65</v>
      </c>
      <c r="AJ11" s="253">
        <f>AJ9+1</f>
        <v>5</v>
      </c>
      <c r="AL11" s="253" t="str">
        <f ca="1">IFERROR(IF(INDIRECT("'update Helper'!O"&amp;AJ11)=0,"",IFERROR(VLOOKUP(INDIRECT("'update Helper'!O"&amp;AJ11),'Account Role'!A$1:B$15,2,0),IFERROR(VLOOKUP(INDIRECT("'update Helper'!N"&amp;AJ11),'Overview - Section A'!J$26:P109,7,0),""))),"")</f>
        <v/>
      </c>
    </row>
    <row r="12" spans="1:43" s="253" customFormat="1" ht="30" customHeight="1" x14ac:dyDescent="0.35">
      <c r="A12" s="628"/>
      <c r="B12" s="624"/>
      <c r="C12" s="624"/>
      <c r="D12" s="528">
        <v>331</v>
      </c>
      <c r="E12" s="620"/>
      <c r="F12" s="626"/>
      <c r="G12" s="624"/>
      <c r="H12" s="631"/>
      <c r="I12" s="626"/>
      <c r="J12" s="626"/>
      <c r="K12" s="521"/>
      <c r="L12" s="642"/>
      <c r="M12" s="640"/>
      <c r="N12" s="635"/>
      <c r="O12" s="521"/>
      <c r="P12" s="642"/>
      <c r="Q12" s="640"/>
      <c r="R12" s="635"/>
      <c r="S12" s="521"/>
      <c r="T12" s="642"/>
      <c r="U12" s="638"/>
      <c r="V12" s="635"/>
      <c r="W12" s="199"/>
      <c r="X12" s="620"/>
      <c r="Y12" s="622"/>
      <c r="Z12" s="624"/>
      <c r="AA12" s="624"/>
      <c r="AB12" s="626"/>
      <c r="AC12" s="626"/>
      <c r="AD12" s="624"/>
      <c r="AF12" s="618"/>
      <c r="AG12" s="618"/>
      <c r="AH12" s="212"/>
    </row>
    <row r="13" spans="1:43" s="253" customFormat="1" ht="30" customHeight="1" x14ac:dyDescent="0.35">
      <c r="A13" s="627">
        <v>3</v>
      </c>
      <c r="B13" s="623" t="s">
        <v>2821</v>
      </c>
      <c r="C13" s="623"/>
      <c r="D13" s="521">
        <v>0.93</v>
      </c>
      <c r="E13" s="629" t="str">
        <f ca="1">IF(OR(INDIRECT("'update Helper'!D"&amp;AJ13)="",D13&lt;&gt;0,D14&lt;&gt;0),IF(IFERROR((D13/D14),"")="","",(D13/D14)),INDIRECT("'update Helper'!D"&amp;AJ13)/100)</f>
        <v/>
      </c>
      <c r="F13" s="625">
        <v>2019</v>
      </c>
      <c r="G13" s="634" t="s">
        <v>9022</v>
      </c>
      <c r="H13" s="630" t="str">
        <f>AE13</f>
        <v/>
      </c>
      <c r="I13" s="625"/>
      <c r="J13" s="625" t="s">
        <v>1070</v>
      </c>
      <c r="K13" s="521">
        <v>0.93</v>
      </c>
      <c r="L13" s="619" t="str">
        <f ca="1">IF(OR(INDIRECT("'update Helper'!K"&amp;AI13)="",K13&lt;&gt;0,K14&lt;&gt;0),IF(IFERROR((K13/K14),"")="","",(K13/K14)),INDIRECT("'update Helper'!K"&amp;AI13)/100)</f>
        <v/>
      </c>
      <c r="M13" s="639">
        <v>45015</v>
      </c>
      <c r="N13" s="623"/>
      <c r="O13" s="199">
        <v>0.9</v>
      </c>
      <c r="P13" s="619" t="str">
        <f ca="1">IF(OR(INDIRECT("'update Helper'!K"&amp;AI13+1)="",O13&lt;&gt;0,O14&lt;&gt;0),IF(IFERROR((O13/O14),"")="","",(O13/O14)),INDIRECT("'update Helper'!K"&amp;AI13+1)/100)</f>
        <v/>
      </c>
      <c r="Q13" s="639">
        <v>45381</v>
      </c>
      <c r="R13" s="623"/>
      <c r="S13" s="521">
        <v>0.85</v>
      </c>
      <c r="T13" s="641" t="str">
        <f ca="1">IF(OR(INDIRECT("'update Helper'!K"&amp;AI13+2)="",S13&lt;&gt;0,S14&lt;&gt;0),IF(IFERROR((S13/S14),"")="","",(S13/S14)),INDIRECT("'update Helper'!K"&amp;AI13+2)/100)</f>
        <v/>
      </c>
      <c r="U13" s="637">
        <v>45746</v>
      </c>
      <c r="V13" s="623"/>
      <c r="W13" s="410"/>
      <c r="X13" s="619" t="str">
        <f ca="1">IF(OR(INDIRECT("'update Helper'!K"&amp;AI13+3)="",W13&lt;&gt;0,W14&lt;&gt;0),IF(IFERROR((W13/W14),"")="","",(W13/W14)),INDIRECT("'update Helper'!K"&amp;AI13+3)/100)</f>
        <v/>
      </c>
      <c r="Y13" s="621"/>
      <c r="Z13" s="623"/>
      <c r="AA13" s="636" t="s">
        <v>11212</v>
      </c>
      <c r="AB13" s="632"/>
      <c r="AC13" s="632" t="s">
        <v>9022</v>
      </c>
      <c r="AD13" s="634" t="s">
        <v>11213</v>
      </c>
      <c r="AE13" s="253" t="str">
        <f t="array" ref="AE13">IFERROR(IF(INDEX('Reference Records'!$D$4:$D$22,MATCH(LEFT(B13,255),LEFT('Reference Records'!$C$4:$C$22,255),0))=0,"",INDEX('Reference Records'!$D$4:$D$22,MATCH(LEFT(B13,255),LEFT('Reference Records'!$C$4:$C$22,255),0))),"")</f>
        <v/>
      </c>
      <c r="AF13" s="618" t="str">
        <f>IF(H13&lt;&gt;"",B13&amp;C13,"")</f>
        <v/>
      </c>
      <c r="AG13" s="618" t="b">
        <f>IF(OR(B13&lt;&gt;"",C13&lt;&gt;""),TRUE,FALSE)</f>
        <v>1</v>
      </c>
      <c r="AH13" s="212" t="str">
        <f t="array" ref="AH13">IFERROR(IF(INDEX('Reference Records'!$G$4:$G$22,MATCH(LEFT(B13,255),LEFT('Reference Records'!$C$4:$C$22,255),0))=0,"",INDEX('Reference Records'!$G$4:$G$22,MATCH(LEFT(B13,255),LEFT('Reference Records'!$C$4:$C$22,255),0))),"")</f>
        <v>a1J1R000008lToUUAU</v>
      </c>
      <c r="AI13" s="174">
        <f>AI11+'update Helper'!$U$2</f>
        <v>71</v>
      </c>
      <c r="AJ13" s="253">
        <f>AJ11+1</f>
        <v>6</v>
      </c>
      <c r="AL13" s="253" t="str">
        <f ca="1">IFERROR(IF(INDIRECT("'update Helper'!O"&amp;AJ13)=0,"",IFERROR(VLOOKUP(INDIRECT("'update Helper'!O"&amp;AJ13),'Account Role'!A$1:B$15,2,0),IFERROR(VLOOKUP(INDIRECT("'update Helper'!N"&amp;AJ13),'Overview - Section A'!J$26:P111,7,0),""))),"")</f>
        <v/>
      </c>
    </row>
    <row r="14" spans="1:43" s="253" customFormat="1" ht="30" customHeight="1" x14ac:dyDescent="0.35">
      <c r="A14" s="628"/>
      <c r="B14" s="624"/>
      <c r="C14" s="624"/>
      <c r="D14" s="521"/>
      <c r="E14" s="620"/>
      <c r="F14" s="626"/>
      <c r="G14" s="635"/>
      <c r="H14" s="631"/>
      <c r="I14" s="626"/>
      <c r="J14" s="626"/>
      <c r="K14" s="521"/>
      <c r="L14" s="620"/>
      <c r="M14" s="640"/>
      <c r="N14" s="624"/>
      <c r="O14" s="199"/>
      <c r="P14" s="620"/>
      <c r="Q14" s="640"/>
      <c r="R14" s="624"/>
      <c r="S14" s="521"/>
      <c r="T14" s="642"/>
      <c r="U14" s="638"/>
      <c r="V14" s="624"/>
      <c r="W14" s="199"/>
      <c r="X14" s="620"/>
      <c r="Y14" s="622"/>
      <c r="Z14" s="624"/>
      <c r="AA14" s="635"/>
      <c r="AB14" s="633"/>
      <c r="AC14" s="633"/>
      <c r="AD14" s="635"/>
      <c r="AF14" s="618"/>
      <c r="AG14" s="618"/>
      <c r="AH14" s="212"/>
    </row>
    <row r="15" spans="1:43" s="253" customFormat="1" ht="30" customHeight="1" x14ac:dyDescent="0.35">
      <c r="A15" s="627">
        <v>4</v>
      </c>
      <c r="B15" s="623"/>
      <c r="C15" s="623"/>
      <c r="D15" s="410"/>
      <c r="E15" s="629" t="str">
        <f ca="1">IF(OR(INDIRECT("'update Helper'!D"&amp;AJ15)="",D15&lt;&gt;0,D16&lt;&gt;0),IF(IFERROR((D15/D16),"")="","",(D15/D16)),INDIRECT("'update Helper'!D"&amp;AJ15)/100)</f>
        <v/>
      </c>
      <c r="F15" s="625"/>
      <c r="G15" s="623"/>
      <c r="H15" s="630" t="str">
        <f>AE15</f>
        <v/>
      </c>
      <c r="I15" s="625"/>
      <c r="J15" s="625"/>
      <c r="K15" s="410"/>
      <c r="L15" s="619" t="str">
        <f ca="1">IF(OR(INDIRECT("'update Helper'!K"&amp;AI15)="",K15&lt;&gt;0,K16&lt;&gt;0),IF(IFERROR((K15/K16),"")="","",(K15/K16)),INDIRECT("'update Helper'!K"&amp;AI15)/100)</f>
        <v/>
      </c>
      <c r="M15" s="621"/>
      <c r="N15" s="623"/>
      <c r="O15" s="410"/>
      <c r="P15" s="619" t="str">
        <f ca="1">IF(OR(INDIRECT("'update Helper'!K"&amp;AI15+1)="",O15&lt;&gt;0,O16&lt;&gt;0),IF(IFERROR((O15/O16),"")="","",(O15/O16)),INDIRECT("'update Helper'!K"&amp;AI15+1)/100)</f>
        <v/>
      </c>
      <c r="Q15" s="621"/>
      <c r="R15" s="623"/>
      <c r="S15" s="410"/>
      <c r="T15" s="619" t="str">
        <f ca="1">IF(OR(INDIRECT("'update Helper'!K"&amp;AI15+2)="",S15&lt;&gt;0,S16&lt;&gt;0),IF(IFERROR((S15/S16),"")="","",(S15/S16)),INDIRECT("'update Helper'!K"&amp;AI15+2)/100)</f>
        <v/>
      </c>
      <c r="U15" s="621"/>
      <c r="V15" s="623"/>
      <c r="W15" s="410"/>
      <c r="X15" s="619" t="str">
        <f ca="1">IF(OR(INDIRECT("'update Helper'!K"&amp;AI15+3)="",W15&lt;&gt;0,W16&lt;&gt;0),IF(IFERROR((W15/W16),"")="","",(W15/W16)),INDIRECT("'update Helper'!K"&amp;AI15+3)/100)</f>
        <v/>
      </c>
      <c r="Y15" s="621"/>
      <c r="Z15" s="623"/>
      <c r="AA15" s="623"/>
      <c r="AB15" s="625"/>
      <c r="AC15" s="625"/>
      <c r="AD15" s="625"/>
      <c r="AE15" s="253" t="str">
        <f t="array" ref="AE15">IFERROR(IF(INDEX('Reference Records'!$D$4:$D$22,MATCH(LEFT(B15,255),LEFT('Reference Records'!$C$4:$C$22,255),0))=0,"",INDEX('Reference Records'!$D$4:$D$22,MATCH(LEFT(B15,255),LEFT('Reference Records'!$C$4:$C$22,255),0))),"")</f>
        <v/>
      </c>
      <c r="AF15" s="618" t="str">
        <f>IF(H15&lt;&gt;"",B15&amp;C15,"")</f>
        <v/>
      </c>
      <c r="AG15" s="618" t="b">
        <f>IF(OR(B15&lt;&gt;"",C15&lt;&gt;""),TRUE,FALSE)</f>
        <v>0</v>
      </c>
      <c r="AH15" s="212" t="str">
        <f t="array" ref="AH15">IFERROR(IF(INDEX('Reference Records'!$G$4:$G$22,MATCH(LEFT(B15,255),LEFT('Reference Records'!$C$4:$C$22,255),0))=0,"",INDEX('Reference Records'!$G$4:$G$22,MATCH(LEFT(B15,255),LEFT('Reference Records'!$C$4:$C$22,255),0))),"")</f>
        <v/>
      </c>
      <c r="AI15" s="174">
        <f>AI13+'update Helper'!$U$2</f>
        <v>77</v>
      </c>
      <c r="AJ15" s="253">
        <f>AJ13+1</f>
        <v>7</v>
      </c>
      <c r="AL15" s="253" t="str">
        <f ca="1">IFERROR(IF(INDIRECT("'update Helper'!O"&amp;AJ15)=0,"",IFERROR(VLOOKUP(INDIRECT("'update Helper'!O"&amp;AJ15),'Account Role'!A$1:B$15,2,0),IFERROR(VLOOKUP(INDIRECT("'update Helper'!N"&amp;AJ15),'Overview - Section A'!J$26:P113,7,0),""))),"")</f>
        <v/>
      </c>
    </row>
    <row r="16" spans="1:43" s="253" customFormat="1" ht="30" customHeight="1" x14ac:dyDescent="0.35">
      <c r="A16" s="628"/>
      <c r="B16" s="624"/>
      <c r="C16" s="624"/>
      <c r="D16" s="199"/>
      <c r="E16" s="620"/>
      <c r="F16" s="626"/>
      <c r="G16" s="624"/>
      <c r="H16" s="631"/>
      <c r="I16" s="626"/>
      <c r="J16" s="626"/>
      <c r="K16" s="199"/>
      <c r="L16" s="620"/>
      <c r="M16" s="622"/>
      <c r="N16" s="624"/>
      <c r="O16" s="199"/>
      <c r="P16" s="620"/>
      <c r="Q16" s="622"/>
      <c r="R16" s="624"/>
      <c r="S16" s="199"/>
      <c r="T16" s="620"/>
      <c r="U16" s="622"/>
      <c r="V16" s="624"/>
      <c r="W16" s="199"/>
      <c r="X16" s="620"/>
      <c r="Y16" s="622"/>
      <c r="Z16" s="624"/>
      <c r="AA16" s="624"/>
      <c r="AB16" s="626"/>
      <c r="AC16" s="626"/>
      <c r="AD16" s="626"/>
      <c r="AF16" s="618"/>
      <c r="AG16" s="618"/>
      <c r="AH16" s="212"/>
    </row>
    <row r="17" spans="1:38" s="253" customFormat="1" ht="30" customHeight="1" x14ac:dyDescent="0.35">
      <c r="A17" s="627">
        <v>5</v>
      </c>
      <c r="B17" s="623"/>
      <c r="C17" s="623"/>
      <c r="D17" s="410"/>
      <c r="E17" s="629" t="str">
        <f ca="1">IF(OR(INDIRECT("'update Helper'!D"&amp;AJ17)="",D17&lt;&gt;0,D18&lt;&gt;0),IF(IFERROR((D17/D18),"")="","",(D17/D18)),INDIRECT("'update Helper'!D"&amp;AJ17)/100)</f>
        <v/>
      </c>
      <c r="F17" s="625"/>
      <c r="G17" s="623"/>
      <c r="H17" s="630" t="str">
        <f>AE17</f>
        <v/>
      </c>
      <c r="I17" s="625"/>
      <c r="J17" s="625"/>
      <c r="K17" s="410"/>
      <c r="L17" s="619" t="str">
        <f ca="1">IF(OR(INDIRECT("'update Helper'!K"&amp;AI17)="",K17&lt;&gt;0,K18&lt;&gt;0),IF(IFERROR((K17/K18),"")="","",(K17/K18)),INDIRECT("'update Helper'!K"&amp;AI17)/100)</f>
        <v/>
      </c>
      <c r="M17" s="621"/>
      <c r="N17" s="623"/>
      <c r="O17" s="410"/>
      <c r="P17" s="619" t="str">
        <f ca="1">IF(OR(INDIRECT("'update Helper'!K"&amp;AI17+1)="",O17&lt;&gt;0,O18&lt;&gt;0),IF(IFERROR((O17/O18),"")="","",(O17/O18)),INDIRECT("'update Helper'!K"&amp;AI17+1)/100)</f>
        <v/>
      </c>
      <c r="Q17" s="621"/>
      <c r="R17" s="623"/>
      <c r="S17" s="410"/>
      <c r="T17" s="619" t="str">
        <f ca="1">IF(OR(INDIRECT("'update Helper'!K"&amp;AI17+2)="",S17&lt;&gt;0,S18&lt;&gt;0),IF(IFERROR((S17/S18),"")="","",(S17/S18)),INDIRECT("'update Helper'!K"&amp;AI17+2)/100)</f>
        <v/>
      </c>
      <c r="U17" s="621"/>
      <c r="V17" s="623"/>
      <c r="W17" s="410"/>
      <c r="X17" s="619" t="str">
        <f ca="1">IF(OR(INDIRECT("'update Helper'!K"&amp;AI17+3)="",W17&lt;&gt;0,W18&lt;&gt;0),IF(IFERROR((W17/W18),"")="","",(W17/W18)),INDIRECT("'update Helper'!K"&amp;AI17+3)/100)</f>
        <v/>
      </c>
      <c r="Y17" s="621"/>
      <c r="Z17" s="623"/>
      <c r="AA17" s="623"/>
      <c r="AB17" s="625"/>
      <c r="AC17" s="625"/>
      <c r="AD17" s="625"/>
      <c r="AE17" s="253" t="str">
        <f t="array" ref="AE17">IFERROR(IF(INDEX('Reference Records'!$D$4:$D$22,MATCH(LEFT(B17,255),LEFT('Reference Records'!$C$4:$C$22,255),0))=0,"",INDEX('Reference Records'!$D$4:$D$22,MATCH(LEFT(B17,255),LEFT('Reference Records'!$C$4:$C$22,255),0))),"")</f>
        <v/>
      </c>
      <c r="AF17" s="618" t="str">
        <f>IF(H17&lt;&gt;"",B17&amp;C17,"")</f>
        <v/>
      </c>
      <c r="AG17" s="618" t="b">
        <f>IF(OR(B17&lt;&gt;"",C17&lt;&gt;""),TRUE,FALSE)</f>
        <v>0</v>
      </c>
      <c r="AH17" s="212" t="str">
        <f t="array" ref="AH17">IFERROR(IF(INDEX('Reference Records'!$G$4:$G$22,MATCH(LEFT(B17,255),LEFT('Reference Records'!$C$4:$C$22,255),0))=0,"",INDEX('Reference Records'!$G$4:$G$22,MATCH(LEFT(B17,255),LEFT('Reference Records'!$C$4:$C$22,255),0))),"")</f>
        <v/>
      </c>
      <c r="AI17" s="174">
        <f>AI15+'update Helper'!$U$2</f>
        <v>83</v>
      </c>
      <c r="AJ17" s="253">
        <f>AJ15+1</f>
        <v>8</v>
      </c>
      <c r="AL17" s="253" t="str">
        <f ca="1">IFERROR(IF(INDIRECT("'update Helper'!O"&amp;AJ17)=0,"",IFERROR(VLOOKUP(INDIRECT("'update Helper'!O"&amp;AJ17),'Account Role'!A$1:B$15,2,0),IFERROR(VLOOKUP(INDIRECT("'update Helper'!N"&amp;AJ17),'Overview - Section A'!J$26:P115,7,0),""))),"")</f>
        <v/>
      </c>
    </row>
    <row r="18" spans="1:38" s="253" customFormat="1" ht="30" customHeight="1" x14ac:dyDescent="0.35">
      <c r="A18" s="628"/>
      <c r="B18" s="624"/>
      <c r="C18" s="624"/>
      <c r="D18" s="199"/>
      <c r="E18" s="620"/>
      <c r="F18" s="626"/>
      <c r="G18" s="624"/>
      <c r="H18" s="631"/>
      <c r="I18" s="626"/>
      <c r="J18" s="626"/>
      <c r="K18" s="199"/>
      <c r="L18" s="620"/>
      <c r="M18" s="622"/>
      <c r="N18" s="624"/>
      <c r="O18" s="199"/>
      <c r="P18" s="620"/>
      <c r="Q18" s="622"/>
      <c r="R18" s="624"/>
      <c r="S18" s="199"/>
      <c r="T18" s="620"/>
      <c r="U18" s="622"/>
      <c r="V18" s="624"/>
      <c r="W18" s="199"/>
      <c r="X18" s="620"/>
      <c r="Y18" s="622"/>
      <c r="Z18" s="624"/>
      <c r="AA18" s="624"/>
      <c r="AB18" s="626"/>
      <c r="AC18" s="626"/>
      <c r="AD18" s="626"/>
      <c r="AF18" s="618"/>
      <c r="AG18" s="618"/>
      <c r="AH18" s="212"/>
    </row>
    <row r="19" spans="1:38" s="253" customFormat="1" ht="30" customHeight="1" x14ac:dyDescent="0.35">
      <c r="A19" s="627">
        <v>6</v>
      </c>
      <c r="B19" s="623"/>
      <c r="C19" s="623"/>
      <c r="D19" s="410"/>
      <c r="E19" s="629" t="str">
        <f ca="1">IF(OR(INDIRECT("'update Helper'!D"&amp;AJ19)="",D19&lt;&gt;0,D20&lt;&gt;0),IF(IFERROR((D19/D20),"")="","",(D19/D20)),INDIRECT("'update Helper'!D"&amp;AJ19)/100)</f>
        <v/>
      </c>
      <c r="F19" s="625"/>
      <c r="G19" s="623"/>
      <c r="H19" s="630" t="str">
        <f>AE19</f>
        <v/>
      </c>
      <c r="I19" s="625"/>
      <c r="J19" s="625"/>
      <c r="K19" s="410"/>
      <c r="L19" s="619" t="str">
        <f ca="1">IF(OR(INDIRECT("'update Helper'!K"&amp;AI19)="",K19&lt;&gt;0,K20&lt;&gt;0),IF(IFERROR((K19/K20),"")="","",(K19/K20)),INDIRECT("'update Helper'!K"&amp;AI19)/100)</f>
        <v/>
      </c>
      <c r="M19" s="621"/>
      <c r="N19" s="623"/>
      <c r="O19" s="410"/>
      <c r="P19" s="619" t="str">
        <f ca="1">IF(OR(INDIRECT("'update Helper'!K"&amp;AI19+1)="",O19&lt;&gt;0,O20&lt;&gt;0),IF(IFERROR((O19/O20),"")="","",(O19/O20)),INDIRECT("'update Helper'!K"&amp;AI19+1)/100)</f>
        <v/>
      </c>
      <c r="Q19" s="621"/>
      <c r="R19" s="623"/>
      <c r="S19" s="410"/>
      <c r="T19" s="619" t="str">
        <f ca="1">IF(OR(INDIRECT("'update Helper'!K"&amp;AI19+2)="",S19&lt;&gt;0,S20&lt;&gt;0),IF(IFERROR((S19/S20),"")="","",(S19/S20)),INDIRECT("'update Helper'!K"&amp;AI19+2)/100)</f>
        <v/>
      </c>
      <c r="U19" s="621"/>
      <c r="V19" s="623"/>
      <c r="W19" s="410"/>
      <c r="X19" s="619" t="str">
        <f ca="1">IF(OR(INDIRECT("'update Helper'!K"&amp;AI19+3)="",W19&lt;&gt;0,W20&lt;&gt;0),IF(IFERROR((W19/W20),"")="","",(W19/W20)),INDIRECT("'update Helper'!K"&amp;AI19+3)/100)</f>
        <v/>
      </c>
      <c r="Y19" s="621"/>
      <c r="Z19" s="623"/>
      <c r="AA19" s="623"/>
      <c r="AB19" s="625"/>
      <c r="AC19" s="625"/>
      <c r="AD19" s="625"/>
      <c r="AE19" s="253" t="str">
        <f t="array" ref="AE19">IFERROR(IF(INDEX('Reference Records'!$D$4:$D$22,MATCH(LEFT(B19,255),LEFT('Reference Records'!$C$4:$C$22,255),0))=0,"",INDEX('Reference Records'!$D$4:$D$22,MATCH(LEFT(B19,255),LEFT('Reference Records'!$C$4:$C$22,255),0))),"")</f>
        <v/>
      </c>
      <c r="AF19" s="618" t="str">
        <f>IF(H19&lt;&gt;"",B19&amp;C19,"")</f>
        <v/>
      </c>
      <c r="AG19" s="618" t="b">
        <f>IF(OR(B19&lt;&gt;"",C19&lt;&gt;""),TRUE,FALSE)</f>
        <v>0</v>
      </c>
      <c r="AH19" s="212" t="str">
        <f t="array" ref="AH19">IFERROR(IF(INDEX('Reference Records'!$G$4:$G$22,MATCH(LEFT(B19,255),LEFT('Reference Records'!$C$4:$C$22,255),0))=0,"",INDEX('Reference Records'!$G$4:$G$22,MATCH(LEFT(B19,255),LEFT('Reference Records'!$C$4:$C$22,255),0))),"")</f>
        <v/>
      </c>
      <c r="AI19" s="174">
        <f>AI17+'update Helper'!$U$2</f>
        <v>89</v>
      </c>
      <c r="AJ19" s="253">
        <f>AJ17+1</f>
        <v>9</v>
      </c>
      <c r="AL19" s="253" t="str">
        <f ca="1">IFERROR(IF(INDIRECT("'update Helper'!O"&amp;AJ19)=0,"",IFERROR(VLOOKUP(INDIRECT("'update Helper'!O"&amp;AJ19),'Account Role'!A$1:B$15,2,0),IFERROR(VLOOKUP(INDIRECT("'update Helper'!N"&amp;AJ19),'Overview - Section A'!J$26:P117,7,0),""))),"")</f>
        <v/>
      </c>
    </row>
    <row r="20" spans="1:38" s="253" customFormat="1" ht="30" customHeight="1" x14ac:dyDescent="0.35">
      <c r="A20" s="628"/>
      <c r="B20" s="624"/>
      <c r="C20" s="624"/>
      <c r="D20" s="199"/>
      <c r="E20" s="620"/>
      <c r="F20" s="626"/>
      <c r="G20" s="624"/>
      <c r="H20" s="631"/>
      <c r="I20" s="626"/>
      <c r="J20" s="626"/>
      <c r="K20" s="199"/>
      <c r="L20" s="620"/>
      <c r="M20" s="622"/>
      <c r="N20" s="624"/>
      <c r="O20" s="199"/>
      <c r="P20" s="620"/>
      <c r="Q20" s="622"/>
      <c r="R20" s="624"/>
      <c r="S20" s="199"/>
      <c r="T20" s="620"/>
      <c r="U20" s="622"/>
      <c r="V20" s="624"/>
      <c r="W20" s="199"/>
      <c r="X20" s="620"/>
      <c r="Y20" s="622"/>
      <c r="Z20" s="624"/>
      <c r="AA20" s="624"/>
      <c r="AB20" s="626"/>
      <c r="AC20" s="626"/>
      <c r="AD20" s="626"/>
      <c r="AF20" s="618"/>
      <c r="AG20" s="618"/>
      <c r="AH20" s="212"/>
    </row>
    <row r="21" spans="1:38" s="253" customFormat="1" ht="30" customHeight="1" x14ac:dyDescent="0.35">
      <c r="A21" s="627">
        <v>7</v>
      </c>
      <c r="B21" s="623"/>
      <c r="C21" s="623"/>
      <c r="D21" s="410"/>
      <c r="E21" s="629" t="str">
        <f ca="1">IF(OR(INDIRECT("'update Helper'!D"&amp;AJ21)="",D21&lt;&gt;0,D22&lt;&gt;0),IF(IFERROR((D21/D22),"")="","",(D21/D22)),INDIRECT("'update Helper'!D"&amp;AJ21)/100)</f>
        <v/>
      </c>
      <c r="F21" s="625"/>
      <c r="G21" s="623"/>
      <c r="H21" s="630" t="str">
        <f>AE21</f>
        <v/>
      </c>
      <c r="I21" s="625"/>
      <c r="J21" s="625"/>
      <c r="K21" s="410"/>
      <c r="L21" s="619" t="str">
        <f ca="1">IF(OR(INDIRECT("'update Helper'!K"&amp;AI21)="",K21&lt;&gt;0,K22&lt;&gt;0),IF(IFERROR((K21/K22),"")="","",(K21/K22)),INDIRECT("'update Helper'!K"&amp;AI21)/100)</f>
        <v/>
      </c>
      <c r="M21" s="621"/>
      <c r="N21" s="623"/>
      <c r="O21" s="410"/>
      <c r="P21" s="619" t="str">
        <f ca="1">IF(OR(INDIRECT("'update Helper'!K"&amp;AI21+1)="",O21&lt;&gt;0,O22&lt;&gt;0),IF(IFERROR((O21/O22),"")="","",(O21/O22)),INDIRECT("'update Helper'!K"&amp;AI21+1)/100)</f>
        <v/>
      </c>
      <c r="Q21" s="621"/>
      <c r="R21" s="623"/>
      <c r="S21" s="410"/>
      <c r="T21" s="619" t="str">
        <f ca="1">IF(OR(INDIRECT("'update Helper'!K"&amp;AI21+2)="",S21&lt;&gt;0,S22&lt;&gt;0),IF(IFERROR((S21/S22),"")="","",(S21/S22)),INDIRECT("'update Helper'!K"&amp;AI21+2)/100)</f>
        <v/>
      </c>
      <c r="U21" s="621"/>
      <c r="V21" s="623"/>
      <c r="W21" s="410"/>
      <c r="X21" s="619" t="str">
        <f ca="1">IF(OR(INDIRECT("'update Helper'!K"&amp;AI21+3)="",W21&lt;&gt;0,W22&lt;&gt;0),IF(IFERROR((W21/W22),"")="","",(W21/W22)),INDIRECT("'update Helper'!K"&amp;AI21+3)/100)</f>
        <v/>
      </c>
      <c r="Y21" s="621"/>
      <c r="Z21" s="623"/>
      <c r="AA21" s="623"/>
      <c r="AB21" s="625"/>
      <c r="AC21" s="625"/>
      <c r="AD21" s="625"/>
      <c r="AE21" s="253" t="str">
        <f t="array" ref="AE21">IFERROR(IF(INDEX('Reference Records'!$D$4:$D$22,MATCH(LEFT(B21,255),LEFT('Reference Records'!$C$4:$C$22,255),0))=0,"",INDEX('Reference Records'!$D$4:$D$22,MATCH(LEFT(B21,255),LEFT('Reference Records'!$C$4:$C$22,255),0))),"")</f>
        <v/>
      </c>
      <c r="AF21" s="618" t="str">
        <f>IF(H21&lt;&gt;"",B21&amp;C21,"")</f>
        <v/>
      </c>
      <c r="AG21" s="618" t="b">
        <f>IF(OR(B21&lt;&gt;"",C21&lt;&gt;""),TRUE,FALSE)</f>
        <v>0</v>
      </c>
      <c r="AH21" s="212" t="str">
        <f t="array" ref="AH21">IFERROR(IF(INDEX('Reference Records'!$G$4:$G$22,MATCH(LEFT(B21,255),LEFT('Reference Records'!$C$4:$C$22,255),0))=0,"",INDEX('Reference Records'!$G$4:$G$22,MATCH(LEFT(B21,255),LEFT('Reference Records'!$C$4:$C$22,255),0))),"")</f>
        <v/>
      </c>
      <c r="AI21" s="174">
        <f>AI19+'update Helper'!$U$2</f>
        <v>95</v>
      </c>
      <c r="AJ21" s="253">
        <f>AJ19+1</f>
        <v>10</v>
      </c>
      <c r="AL21" s="253" t="str">
        <f ca="1">IFERROR(IF(INDIRECT("'update Helper'!O"&amp;AJ21)=0,"",IFERROR(VLOOKUP(INDIRECT("'update Helper'!O"&amp;AJ21),'Account Role'!A$1:B$15,2,0),IFERROR(VLOOKUP(INDIRECT("'update Helper'!N"&amp;AJ21),'Overview - Section A'!J$26:P149,7,0),""))),"")</f>
        <v/>
      </c>
    </row>
    <row r="22" spans="1:38" s="253" customFormat="1" ht="30" customHeight="1" x14ac:dyDescent="0.35">
      <c r="A22" s="628"/>
      <c r="B22" s="624"/>
      <c r="C22" s="624"/>
      <c r="D22" s="199"/>
      <c r="E22" s="620"/>
      <c r="F22" s="626"/>
      <c r="G22" s="624"/>
      <c r="H22" s="631"/>
      <c r="I22" s="626"/>
      <c r="J22" s="626"/>
      <c r="K22" s="199"/>
      <c r="L22" s="620"/>
      <c r="M22" s="622"/>
      <c r="N22" s="624"/>
      <c r="O22" s="199"/>
      <c r="P22" s="620"/>
      <c r="Q22" s="622"/>
      <c r="R22" s="624"/>
      <c r="S22" s="199"/>
      <c r="T22" s="620"/>
      <c r="U22" s="622"/>
      <c r="V22" s="624"/>
      <c r="W22" s="199"/>
      <c r="X22" s="620"/>
      <c r="Y22" s="622"/>
      <c r="Z22" s="624"/>
      <c r="AA22" s="624"/>
      <c r="AB22" s="626"/>
      <c r="AC22" s="626"/>
      <c r="AD22" s="626"/>
      <c r="AF22" s="618"/>
      <c r="AG22" s="618"/>
      <c r="AH22" s="212"/>
    </row>
    <row r="23" spans="1:38" s="253" customFormat="1" ht="30" customHeight="1" x14ac:dyDescent="0.35">
      <c r="A23" s="627">
        <v>8</v>
      </c>
      <c r="B23" s="623"/>
      <c r="C23" s="623"/>
      <c r="D23" s="410"/>
      <c r="E23" s="629" t="str">
        <f ca="1">IF(OR(INDIRECT("'update Helper'!D"&amp;AJ23)="",D23&lt;&gt;0,D24&lt;&gt;0),IF(IFERROR((D23/D24),"")="","",(D23/D24)),INDIRECT("'update Helper'!D"&amp;AJ23)/100)</f>
        <v/>
      </c>
      <c r="F23" s="625"/>
      <c r="G23" s="623"/>
      <c r="H23" s="630" t="str">
        <f>AE23</f>
        <v/>
      </c>
      <c r="I23" s="625"/>
      <c r="J23" s="625"/>
      <c r="K23" s="410"/>
      <c r="L23" s="619" t="str">
        <f ca="1">IF(OR(INDIRECT("'update Helper'!K"&amp;AI23)="",K23&lt;&gt;0,K24&lt;&gt;0),IF(IFERROR((K23/K24),"")="","",(K23/K24)),INDIRECT("'update Helper'!K"&amp;AI23)/100)</f>
        <v/>
      </c>
      <c r="M23" s="621"/>
      <c r="N23" s="623"/>
      <c r="O23" s="410"/>
      <c r="P23" s="619" t="str">
        <f ca="1">IF(OR(INDIRECT("'update Helper'!K"&amp;AI23+1)="",O23&lt;&gt;0,O24&lt;&gt;0),IF(IFERROR((O23/O24),"")="","",(O23/O24)),INDIRECT("'update Helper'!K"&amp;AI23+1)/100)</f>
        <v/>
      </c>
      <c r="Q23" s="621"/>
      <c r="R23" s="623"/>
      <c r="S23" s="410"/>
      <c r="T23" s="619" t="str">
        <f ca="1">IF(OR(INDIRECT("'update Helper'!K"&amp;AI23+2)="",S23&lt;&gt;0,S24&lt;&gt;0),IF(IFERROR((S23/S24),"")="","",(S23/S24)),INDIRECT("'update Helper'!K"&amp;AI23+2)/100)</f>
        <v/>
      </c>
      <c r="U23" s="621"/>
      <c r="V23" s="623"/>
      <c r="W23" s="410"/>
      <c r="X23" s="619" t="str">
        <f ca="1">IF(OR(INDIRECT("'update Helper'!K"&amp;AI23+3)="",W23&lt;&gt;0,W24&lt;&gt;0),IF(IFERROR((W23/W24),"")="","",(W23/W24)),INDIRECT("'update Helper'!K"&amp;AI23+3)/100)</f>
        <v/>
      </c>
      <c r="Y23" s="621"/>
      <c r="Z23" s="623"/>
      <c r="AA23" s="623"/>
      <c r="AB23" s="625"/>
      <c r="AC23" s="625"/>
      <c r="AD23" s="625"/>
      <c r="AE23" s="253" t="str">
        <f t="array" ref="AE23">IFERROR(IF(INDEX('Reference Records'!$D$4:$D$22,MATCH(LEFT(B23,255),LEFT('Reference Records'!$C$4:$C$22,255),0))=0,"",INDEX('Reference Records'!$D$4:$D$22,MATCH(LEFT(B23,255),LEFT('Reference Records'!$C$4:$C$22,255),0))),"")</f>
        <v/>
      </c>
      <c r="AF23" s="618" t="str">
        <f>IF(H23&lt;&gt;"",B23&amp;C23,"")</f>
        <v/>
      </c>
      <c r="AG23" s="618" t="b">
        <f>IF(OR(B23&lt;&gt;"",C23&lt;&gt;""),TRUE,FALSE)</f>
        <v>0</v>
      </c>
      <c r="AH23" s="212" t="str">
        <f t="array" ref="AH23">IFERROR(IF(INDEX('Reference Records'!$G$4:$G$22,MATCH(LEFT(B23,255),LEFT('Reference Records'!$C$4:$C$22,255),0))=0,"",INDEX('Reference Records'!$G$4:$G$22,MATCH(LEFT(B23,255),LEFT('Reference Records'!$C$4:$C$22,255),0))),"")</f>
        <v/>
      </c>
      <c r="AI23" s="174">
        <f>AI21+'update Helper'!$U$2</f>
        <v>101</v>
      </c>
      <c r="AJ23" s="253">
        <f>AJ21+1</f>
        <v>11</v>
      </c>
      <c r="AL23" s="253" t="str">
        <f ca="1">IFERROR(IF(INDIRECT("'update Helper'!O"&amp;AJ23)=0,"",IFERROR(VLOOKUP(INDIRECT("'update Helper'!O"&amp;AJ23),'Account Role'!A$1:B$15,2,0),IFERROR(VLOOKUP(INDIRECT("'update Helper'!N"&amp;AJ23),'Overview - Section A'!J$26:P151,7,0),""))),"")</f>
        <v/>
      </c>
    </row>
    <row r="24" spans="1:38" s="253" customFormat="1" ht="30" customHeight="1" x14ac:dyDescent="0.35">
      <c r="A24" s="628"/>
      <c r="B24" s="624"/>
      <c r="C24" s="624"/>
      <c r="D24" s="199"/>
      <c r="E24" s="620"/>
      <c r="F24" s="626"/>
      <c r="G24" s="624"/>
      <c r="H24" s="631"/>
      <c r="I24" s="626"/>
      <c r="J24" s="626"/>
      <c r="K24" s="199"/>
      <c r="L24" s="620"/>
      <c r="M24" s="622"/>
      <c r="N24" s="624"/>
      <c r="O24" s="199"/>
      <c r="P24" s="620"/>
      <c r="Q24" s="622"/>
      <c r="R24" s="624"/>
      <c r="S24" s="199"/>
      <c r="T24" s="620"/>
      <c r="U24" s="622"/>
      <c r="V24" s="624"/>
      <c r="W24" s="199"/>
      <c r="X24" s="620"/>
      <c r="Y24" s="622"/>
      <c r="Z24" s="624"/>
      <c r="AA24" s="624"/>
      <c r="AB24" s="626"/>
      <c r="AC24" s="626"/>
      <c r="AD24" s="626"/>
      <c r="AF24" s="618"/>
      <c r="AG24" s="618"/>
      <c r="AH24" s="212"/>
    </row>
    <row r="25" spans="1:38" s="253" customFormat="1" ht="30" customHeight="1" x14ac:dyDescent="0.35">
      <c r="A25" s="627">
        <v>9</v>
      </c>
      <c r="B25" s="623"/>
      <c r="C25" s="623"/>
      <c r="D25" s="410"/>
      <c r="E25" s="629" t="str">
        <f ca="1">IF(OR(INDIRECT("'update Helper'!D"&amp;AJ25)="",D25&lt;&gt;0,D26&lt;&gt;0),IF(IFERROR((D25/D26),"")="","",(D25/D26)),INDIRECT("'update Helper'!D"&amp;AJ25)/100)</f>
        <v/>
      </c>
      <c r="F25" s="625"/>
      <c r="G25" s="623"/>
      <c r="H25" s="630" t="str">
        <f>AE25</f>
        <v/>
      </c>
      <c r="I25" s="625"/>
      <c r="J25" s="625"/>
      <c r="K25" s="410"/>
      <c r="L25" s="619" t="str">
        <f ca="1">IF(OR(INDIRECT("'update Helper'!K"&amp;AI25)="",K25&lt;&gt;0,K26&lt;&gt;0),IF(IFERROR((K25/K26),"")="","",(K25/K26)),INDIRECT("'update Helper'!K"&amp;AI25)/100)</f>
        <v/>
      </c>
      <c r="M25" s="621"/>
      <c r="N25" s="623"/>
      <c r="O25" s="410"/>
      <c r="P25" s="619" t="str">
        <f ca="1">IF(OR(INDIRECT("'update Helper'!K"&amp;AI25+1)="",O25&lt;&gt;0,O26&lt;&gt;0),IF(IFERROR((O25/O26),"")="","",(O25/O26)),INDIRECT("'update Helper'!K"&amp;AI25+1)/100)</f>
        <v/>
      </c>
      <c r="Q25" s="621"/>
      <c r="R25" s="623"/>
      <c r="S25" s="410"/>
      <c r="T25" s="619" t="str">
        <f ca="1">IF(OR(INDIRECT("'update Helper'!K"&amp;AI25+2)="",S25&lt;&gt;0,S26&lt;&gt;0),IF(IFERROR((S25/S26),"")="","",(S25/S26)),INDIRECT("'update Helper'!K"&amp;AI25+2)/100)</f>
        <v/>
      </c>
      <c r="U25" s="621"/>
      <c r="V25" s="623"/>
      <c r="W25" s="410"/>
      <c r="X25" s="619" t="str">
        <f ca="1">IF(OR(INDIRECT("'update Helper'!K"&amp;AI25+3)="",W25&lt;&gt;0,W26&lt;&gt;0),IF(IFERROR((W25/W26),"")="","",(W25/W26)),INDIRECT("'update Helper'!K"&amp;AI25+3)/100)</f>
        <v/>
      </c>
      <c r="Y25" s="621"/>
      <c r="Z25" s="623"/>
      <c r="AA25" s="623"/>
      <c r="AB25" s="625"/>
      <c r="AC25" s="625"/>
      <c r="AD25" s="625"/>
      <c r="AE25" s="253" t="str">
        <f t="array" ref="AE25">IFERROR(IF(INDEX('Reference Records'!$D$4:$D$22,MATCH(LEFT(B25,255),LEFT('Reference Records'!$C$4:$C$22,255),0))=0,"",INDEX('Reference Records'!$D$4:$D$22,MATCH(LEFT(B25,255),LEFT('Reference Records'!$C$4:$C$22,255),0))),"")</f>
        <v/>
      </c>
      <c r="AF25" s="618" t="str">
        <f>IF(H25&lt;&gt;"",B25&amp;C25,"")</f>
        <v/>
      </c>
      <c r="AG25" s="618" t="b">
        <f>IF(OR(B25&lt;&gt;"",C25&lt;&gt;""),TRUE,FALSE)</f>
        <v>0</v>
      </c>
      <c r="AH25" s="212" t="str">
        <f t="array" ref="AH25">IFERROR(IF(INDEX('Reference Records'!$G$4:$G$22,MATCH(LEFT(B25,255),LEFT('Reference Records'!$C$4:$C$22,255),0))=0,"",INDEX('Reference Records'!$G$4:$G$22,MATCH(LEFT(B25,255),LEFT('Reference Records'!$C$4:$C$22,255),0))),"")</f>
        <v/>
      </c>
      <c r="AI25" s="174">
        <f>AI23+'update Helper'!$U$2</f>
        <v>107</v>
      </c>
      <c r="AJ25" s="253">
        <f>AJ23+1</f>
        <v>12</v>
      </c>
      <c r="AL25" s="253" t="str">
        <f ca="1">IFERROR(IF(INDIRECT("'update Helper'!O"&amp;AJ25)=0,"",IFERROR(VLOOKUP(INDIRECT("'update Helper'!O"&amp;AJ25),'Account Role'!A$1:B$15,2,0),IFERROR(VLOOKUP(INDIRECT("'update Helper'!N"&amp;AJ25),'Overview - Section A'!J$26:P153,7,0),""))),"")</f>
        <v/>
      </c>
    </row>
    <row r="26" spans="1:38" s="253" customFormat="1" ht="30" customHeight="1" x14ac:dyDescent="0.35">
      <c r="A26" s="628"/>
      <c r="B26" s="624"/>
      <c r="C26" s="624"/>
      <c r="D26" s="199"/>
      <c r="E26" s="620"/>
      <c r="F26" s="626"/>
      <c r="G26" s="624"/>
      <c r="H26" s="631"/>
      <c r="I26" s="626"/>
      <c r="J26" s="626"/>
      <c r="K26" s="199"/>
      <c r="L26" s="620"/>
      <c r="M26" s="622"/>
      <c r="N26" s="624"/>
      <c r="O26" s="199"/>
      <c r="P26" s="620"/>
      <c r="Q26" s="622"/>
      <c r="R26" s="624"/>
      <c r="S26" s="199"/>
      <c r="T26" s="620"/>
      <c r="U26" s="622"/>
      <c r="V26" s="624"/>
      <c r="W26" s="199"/>
      <c r="X26" s="620"/>
      <c r="Y26" s="622"/>
      <c r="Z26" s="624"/>
      <c r="AA26" s="624"/>
      <c r="AB26" s="626"/>
      <c r="AC26" s="626"/>
      <c r="AD26" s="626"/>
      <c r="AF26" s="618"/>
      <c r="AG26" s="618"/>
      <c r="AH26" s="212"/>
    </row>
    <row r="27" spans="1:38" s="253" customFormat="1" ht="30" customHeight="1" x14ac:dyDescent="0.35">
      <c r="A27" s="627">
        <v>10</v>
      </c>
      <c r="B27" s="623"/>
      <c r="C27" s="623"/>
      <c r="D27" s="410"/>
      <c r="E27" s="629" t="str">
        <f ca="1">IF(OR(INDIRECT("'update Helper'!D"&amp;AJ27)="",D27&lt;&gt;0,D28&lt;&gt;0),IF(IFERROR((D27/D28),"")="","",(D27/D28)),INDIRECT("'update Helper'!D"&amp;AJ27)/100)</f>
        <v/>
      </c>
      <c r="F27" s="625"/>
      <c r="G27" s="623"/>
      <c r="H27" s="630" t="str">
        <f>AE27</f>
        <v/>
      </c>
      <c r="I27" s="625"/>
      <c r="J27" s="625"/>
      <c r="K27" s="410"/>
      <c r="L27" s="619" t="str">
        <f ca="1">IF(OR(INDIRECT("'update Helper'!K"&amp;AI27)="",K27&lt;&gt;0,K28&lt;&gt;0),IF(IFERROR((K27/K28),"")="","",(K27/K28)),INDIRECT("'update Helper'!K"&amp;AI27)/100)</f>
        <v/>
      </c>
      <c r="M27" s="621"/>
      <c r="N27" s="623"/>
      <c r="O27" s="410"/>
      <c r="P27" s="619" t="str">
        <f ca="1">IF(OR(INDIRECT("'update Helper'!K"&amp;AI27+1)="",O27&lt;&gt;0,O28&lt;&gt;0),IF(IFERROR((O27/O28),"")="","",(O27/O28)),INDIRECT("'update Helper'!K"&amp;AI27+1)/100)</f>
        <v/>
      </c>
      <c r="Q27" s="621"/>
      <c r="R27" s="623"/>
      <c r="S27" s="410"/>
      <c r="T27" s="619" t="str">
        <f ca="1">IF(OR(INDIRECT("'update Helper'!K"&amp;AI27+2)="",S27&lt;&gt;0,S28&lt;&gt;0),IF(IFERROR((S27/S28),"")="","",(S27/S28)),INDIRECT("'update Helper'!K"&amp;AI27+2)/100)</f>
        <v/>
      </c>
      <c r="U27" s="621"/>
      <c r="V27" s="623"/>
      <c r="W27" s="410"/>
      <c r="X27" s="619" t="str">
        <f ca="1">IF(OR(INDIRECT("'update Helper'!K"&amp;AI27+3)="",W27&lt;&gt;0,W28&lt;&gt;0),IF(IFERROR((W27/W28),"")="","",(W27/W28)),INDIRECT("'update Helper'!K"&amp;AI27+3)/100)</f>
        <v/>
      </c>
      <c r="Y27" s="621"/>
      <c r="Z27" s="623"/>
      <c r="AA27" s="623"/>
      <c r="AB27" s="625"/>
      <c r="AC27" s="625"/>
      <c r="AD27" s="625"/>
      <c r="AE27" s="253" t="str">
        <f t="array" ref="AE27">IFERROR(IF(INDEX('Reference Records'!$D$4:$D$22,MATCH(LEFT(B27,255),LEFT('Reference Records'!$C$4:$C$22,255),0))=0,"",INDEX('Reference Records'!$D$4:$D$22,MATCH(LEFT(B27,255),LEFT('Reference Records'!$C$4:$C$22,255),0))),"")</f>
        <v/>
      </c>
      <c r="AF27" s="618" t="str">
        <f>IF(H27&lt;&gt;"",B27&amp;C27,"")</f>
        <v/>
      </c>
      <c r="AG27" s="618" t="b">
        <f>IF(OR(B27&lt;&gt;"",C27&lt;&gt;""),TRUE,FALSE)</f>
        <v>0</v>
      </c>
      <c r="AH27" s="212" t="str">
        <f t="array" ref="AH27">IFERROR(IF(INDEX('Reference Records'!$G$4:$G$22,MATCH(LEFT(B27,255),LEFT('Reference Records'!$C$4:$C$22,255),0))=0,"",INDEX('Reference Records'!$G$4:$G$22,MATCH(LEFT(B27,255),LEFT('Reference Records'!$C$4:$C$22,255),0))),"")</f>
        <v/>
      </c>
      <c r="AI27" s="174">
        <f>AI25+'update Helper'!$U$2</f>
        <v>113</v>
      </c>
      <c r="AJ27" s="253">
        <f>AJ25+1</f>
        <v>13</v>
      </c>
      <c r="AL27" s="253" t="str">
        <f ca="1">IFERROR(IF(INDIRECT("'update Helper'!O"&amp;AJ27)=0,"",IFERROR(VLOOKUP(INDIRECT("'update Helper'!O"&amp;AJ27),'Account Role'!A$1:B$15,2,0),IFERROR(VLOOKUP(INDIRECT("'update Helper'!N"&amp;AJ27),'Overview - Section A'!J$26:P155,7,0),""))),"")</f>
        <v/>
      </c>
    </row>
    <row r="28" spans="1:38" s="253" customFormat="1" ht="30" customHeight="1" x14ac:dyDescent="0.35">
      <c r="A28" s="628"/>
      <c r="B28" s="624"/>
      <c r="C28" s="624"/>
      <c r="D28" s="199"/>
      <c r="E28" s="620"/>
      <c r="F28" s="626"/>
      <c r="G28" s="624"/>
      <c r="H28" s="631"/>
      <c r="I28" s="626"/>
      <c r="J28" s="626"/>
      <c r="K28" s="199"/>
      <c r="L28" s="620"/>
      <c r="M28" s="622"/>
      <c r="N28" s="624"/>
      <c r="O28" s="199"/>
      <c r="P28" s="620"/>
      <c r="Q28" s="622"/>
      <c r="R28" s="624"/>
      <c r="S28" s="199"/>
      <c r="T28" s="620"/>
      <c r="U28" s="622"/>
      <c r="V28" s="624"/>
      <c r="W28" s="199"/>
      <c r="X28" s="620"/>
      <c r="Y28" s="622"/>
      <c r="Z28" s="624"/>
      <c r="AA28" s="624"/>
      <c r="AB28" s="626"/>
      <c r="AC28" s="626"/>
      <c r="AD28" s="626"/>
      <c r="AF28" s="618"/>
      <c r="AG28" s="618"/>
      <c r="AH28" s="212"/>
    </row>
    <row r="29" spans="1:38" s="253" customFormat="1" ht="30" customHeight="1" x14ac:dyDescent="0.35">
      <c r="A29" s="627">
        <v>11</v>
      </c>
      <c r="B29" s="623"/>
      <c r="C29" s="623"/>
      <c r="D29" s="410"/>
      <c r="E29" s="629" t="str">
        <f ca="1">IF(OR(INDIRECT("'update Helper'!D"&amp;AJ29)="",D29&lt;&gt;0,D30&lt;&gt;0),IF(IFERROR((D29/D30),"")="","",(D29/D30)),INDIRECT("'update Helper'!D"&amp;AJ29)/100)</f>
        <v/>
      </c>
      <c r="F29" s="625"/>
      <c r="G29" s="623"/>
      <c r="H29" s="630" t="str">
        <f>AE29</f>
        <v/>
      </c>
      <c r="I29" s="625"/>
      <c r="J29" s="625"/>
      <c r="K29" s="410"/>
      <c r="L29" s="619" t="str">
        <f ca="1">IF(OR(INDIRECT("'update Helper'!K"&amp;AI29)="",K29&lt;&gt;0,K30&lt;&gt;0),IF(IFERROR((K29/K30),"")="","",(K29/K30)),INDIRECT("'update Helper'!K"&amp;AI29)/100)</f>
        <v/>
      </c>
      <c r="M29" s="621"/>
      <c r="N29" s="623"/>
      <c r="O29" s="410"/>
      <c r="P29" s="619" t="str">
        <f ca="1">IF(OR(INDIRECT("'update Helper'!K"&amp;AI29+1)="",O29&lt;&gt;0,O30&lt;&gt;0),IF(IFERROR((O29/O30),"")="","",(O29/O30)),INDIRECT("'update Helper'!K"&amp;AI29+1)/100)</f>
        <v/>
      </c>
      <c r="Q29" s="621"/>
      <c r="R29" s="623"/>
      <c r="S29" s="410"/>
      <c r="T29" s="619" t="str">
        <f ca="1">IF(OR(INDIRECT("'update Helper'!K"&amp;AI29+2)="",S29&lt;&gt;0,S30&lt;&gt;0),IF(IFERROR((S29/S30),"")="","",(S29/S30)),INDIRECT("'update Helper'!K"&amp;AI29+2)/100)</f>
        <v/>
      </c>
      <c r="U29" s="621"/>
      <c r="V29" s="623"/>
      <c r="W29" s="410"/>
      <c r="X29" s="619" t="str">
        <f ca="1">IF(OR(INDIRECT("'update Helper'!K"&amp;AI29+3)="",W29&lt;&gt;0,W30&lt;&gt;0),IF(IFERROR((W29/W30),"")="","",(W29/W30)),INDIRECT("'update Helper'!K"&amp;AI29+3)/100)</f>
        <v/>
      </c>
      <c r="Y29" s="621"/>
      <c r="Z29" s="623"/>
      <c r="AA29" s="623"/>
      <c r="AB29" s="625"/>
      <c r="AC29" s="625"/>
      <c r="AD29" s="625"/>
      <c r="AE29" s="253" t="str">
        <f t="array" ref="AE29">IFERROR(IF(INDEX('Reference Records'!$D$4:$D$22,MATCH(LEFT(B29,255),LEFT('Reference Records'!$C$4:$C$22,255),0))=0,"",INDEX('Reference Records'!$D$4:$D$22,MATCH(LEFT(B29,255),LEFT('Reference Records'!$C$4:$C$22,255),0))),"")</f>
        <v/>
      </c>
      <c r="AF29" s="618" t="str">
        <f>IF(H29&lt;&gt;"",B29&amp;C29,"")</f>
        <v/>
      </c>
      <c r="AG29" s="618" t="b">
        <f>IF(OR(B29&lt;&gt;"",C29&lt;&gt;""),TRUE,FALSE)</f>
        <v>0</v>
      </c>
      <c r="AH29" s="212" t="str">
        <f t="array" ref="AH29">IFERROR(IF(INDEX('Reference Records'!$G$4:$G$22,MATCH(LEFT(B29,255),LEFT('Reference Records'!$C$4:$C$22,255),0))=0,"",INDEX('Reference Records'!$G$4:$G$22,MATCH(LEFT(B29,255),LEFT('Reference Records'!$C$4:$C$22,255),0))),"")</f>
        <v/>
      </c>
      <c r="AI29" s="174">
        <f>AI27+'update Helper'!$U$2</f>
        <v>119</v>
      </c>
      <c r="AJ29" s="253">
        <f>AJ27+1</f>
        <v>14</v>
      </c>
      <c r="AL29" s="253" t="str">
        <f ca="1">IFERROR(IF(INDIRECT("'update Helper'!O"&amp;AJ29)=0,"",IFERROR(VLOOKUP(INDIRECT("'update Helper'!O"&amp;AJ29),'Account Role'!A$1:B$15,2,0),IFERROR(VLOOKUP(INDIRECT("'update Helper'!N"&amp;AJ29),'Overview - Section A'!J$26:P257,7,0),""))),"")</f>
        <v/>
      </c>
    </row>
    <row r="30" spans="1:38" s="253" customFormat="1" ht="30" customHeight="1" x14ac:dyDescent="0.35">
      <c r="A30" s="628"/>
      <c r="B30" s="624"/>
      <c r="C30" s="624"/>
      <c r="D30" s="199"/>
      <c r="E30" s="620"/>
      <c r="F30" s="626"/>
      <c r="G30" s="624"/>
      <c r="H30" s="631"/>
      <c r="I30" s="626"/>
      <c r="J30" s="626"/>
      <c r="K30" s="199"/>
      <c r="L30" s="620"/>
      <c r="M30" s="622"/>
      <c r="N30" s="624"/>
      <c r="O30" s="199"/>
      <c r="P30" s="620"/>
      <c r="Q30" s="622"/>
      <c r="R30" s="624"/>
      <c r="S30" s="199"/>
      <c r="T30" s="620"/>
      <c r="U30" s="622"/>
      <c r="V30" s="624"/>
      <c r="W30" s="199"/>
      <c r="X30" s="620"/>
      <c r="Y30" s="622"/>
      <c r="Z30" s="624"/>
      <c r="AA30" s="624"/>
      <c r="AB30" s="626"/>
      <c r="AC30" s="626"/>
      <c r="AD30" s="626"/>
      <c r="AF30" s="618"/>
      <c r="AG30" s="618"/>
      <c r="AH30" s="212"/>
    </row>
    <row r="31" spans="1:38" s="253" customFormat="1" ht="30" customHeight="1" x14ac:dyDescent="0.35">
      <c r="A31" s="627">
        <v>12</v>
      </c>
      <c r="B31" s="623"/>
      <c r="C31" s="623"/>
      <c r="D31" s="410"/>
      <c r="E31" s="629" t="str">
        <f ca="1">IF(OR(INDIRECT("'update Helper'!D"&amp;AJ31)="",D31&lt;&gt;0,D32&lt;&gt;0),IF(IFERROR((D31/D32),"")="","",(D31/D32)),INDIRECT("'update Helper'!D"&amp;AJ31)/100)</f>
        <v/>
      </c>
      <c r="F31" s="625"/>
      <c r="G31" s="623"/>
      <c r="H31" s="630" t="str">
        <f>AE31</f>
        <v/>
      </c>
      <c r="I31" s="625"/>
      <c r="J31" s="625"/>
      <c r="K31" s="410"/>
      <c r="L31" s="619" t="str">
        <f ca="1">IF(OR(INDIRECT("'update Helper'!K"&amp;AI31)="",K31&lt;&gt;0,K32&lt;&gt;0),IF(IFERROR((K31/K32),"")="","",(K31/K32)),INDIRECT("'update Helper'!K"&amp;AI31)/100)</f>
        <v/>
      </c>
      <c r="M31" s="621"/>
      <c r="N31" s="623"/>
      <c r="O31" s="410"/>
      <c r="P31" s="619" t="str">
        <f ca="1">IF(OR(INDIRECT("'update Helper'!K"&amp;AI31+1)="",O31&lt;&gt;0,O32&lt;&gt;0),IF(IFERROR((O31/O32),"")="","",(O31/O32)),INDIRECT("'update Helper'!K"&amp;AI31+1)/100)</f>
        <v/>
      </c>
      <c r="Q31" s="621"/>
      <c r="R31" s="623"/>
      <c r="S31" s="410"/>
      <c r="T31" s="619" t="str">
        <f ca="1">IF(OR(INDIRECT("'update Helper'!K"&amp;AI31+2)="",S31&lt;&gt;0,S32&lt;&gt;0),IF(IFERROR((S31/S32),"")="","",(S31/S32)),INDIRECT("'update Helper'!K"&amp;AI31+2)/100)</f>
        <v/>
      </c>
      <c r="U31" s="621"/>
      <c r="V31" s="623"/>
      <c r="W31" s="410"/>
      <c r="X31" s="619" t="str">
        <f ca="1">IF(OR(INDIRECT("'update Helper'!K"&amp;AI31+3)="",W31&lt;&gt;0,W32&lt;&gt;0),IF(IFERROR((W31/W32),"")="","",(W31/W32)),INDIRECT("'update Helper'!K"&amp;AI31+3)/100)</f>
        <v/>
      </c>
      <c r="Y31" s="621"/>
      <c r="Z31" s="623"/>
      <c r="AA31" s="623"/>
      <c r="AB31" s="625"/>
      <c r="AC31" s="625"/>
      <c r="AD31" s="625"/>
      <c r="AE31" s="253" t="str">
        <f t="array" ref="AE31">IFERROR(IF(INDEX('Reference Records'!$D$4:$D$22,MATCH(LEFT(B31,255),LEFT('Reference Records'!$C$4:$C$22,255),0))=0,"",INDEX('Reference Records'!$D$4:$D$22,MATCH(LEFT(B31,255),LEFT('Reference Records'!$C$4:$C$22,255),0))),"")</f>
        <v/>
      </c>
      <c r="AF31" s="618" t="str">
        <f>IF(H31&lt;&gt;"",B31&amp;C31,"")</f>
        <v/>
      </c>
      <c r="AG31" s="618" t="b">
        <f>IF(OR(B31&lt;&gt;"",C31&lt;&gt;""),TRUE,FALSE)</f>
        <v>0</v>
      </c>
      <c r="AH31" s="212" t="str">
        <f t="array" ref="AH31">IFERROR(IF(INDEX('Reference Records'!$G$4:$G$22,MATCH(LEFT(B31,255),LEFT('Reference Records'!$C$4:$C$22,255),0))=0,"",INDEX('Reference Records'!$G$4:$G$22,MATCH(LEFT(B31,255),LEFT('Reference Records'!$C$4:$C$22,255),0))),"")</f>
        <v/>
      </c>
      <c r="AI31" s="174">
        <f>AI29+'update Helper'!$U$2</f>
        <v>125</v>
      </c>
      <c r="AJ31" s="253">
        <f>AJ29+1</f>
        <v>15</v>
      </c>
      <c r="AL31" s="253" t="str">
        <f ca="1">IFERROR(IF(INDIRECT("'update Helper'!O"&amp;AJ31)=0,"",IFERROR(VLOOKUP(INDIRECT("'update Helper'!O"&amp;AJ31),'Account Role'!A$1:B$15,2,0),IFERROR(VLOOKUP(INDIRECT("'update Helper'!N"&amp;AJ31),'Overview - Section A'!J$26:P259,7,0),""))),"")</f>
        <v/>
      </c>
    </row>
    <row r="32" spans="1:38" s="253" customFormat="1" ht="30" customHeight="1" x14ac:dyDescent="0.35">
      <c r="A32" s="628"/>
      <c r="B32" s="624"/>
      <c r="C32" s="624"/>
      <c r="D32" s="199"/>
      <c r="E32" s="620"/>
      <c r="F32" s="626"/>
      <c r="G32" s="624"/>
      <c r="H32" s="631"/>
      <c r="I32" s="626"/>
      <c r="J32" s="626"/>
      <c r="K32" s="199"/>
      <c r="L32" s="620"/>
      <c r="M32" s="622"/>
      <c r="N32" s="624"/>
      <c r="O32" s="199"/>
      <c r="P32" s="620"/>
      <c r="Q32" s="622"/>
      <c r="R32" s="624"/>
      <c r="S32" s="199"/>
      <c r="T32" s="620"/>
      <c r="U32" s="622"/>
      <c r="V32" s="624"/>
      <c r="W32" s="199"/>
      <c r="X32" s="620"/>
      <c r="Y32" s="622"/>
      <c r="Z32" s="624"/>
      <c r="AA32" s="624"/>
      <c r="AB32" s="626"/>
      <c r="AC32" s="626"/>
      <c r="AD32" s="626"/>
      <c r="AF32" s="618"/>
      <c r="AG32" s="618"/>
      <c r="AH32" s="212"/>
    </row>
    <row r="33" spans="1:43" s="253" customFormat="1" ht="30" customHeight="1" x14ac:dyDescent="0.35">
      <c r="A33" s="627">
        <v>13</v>
      </c>
      <c r="B33" s="623"/>
      <c r="C33" s="623"/>
      <c r="D33" s="410"/>
      <c r="E33" s="629" t="str">
        <f ca="1">IF(OR(INDIRECT("'update Helper'!D"&amp;AJ33)="",D33&lt;&gt;0,D34&lt;&gt;0),IF(IFERROR((D33/D34),"")="","",(D33/D34)),INDIRECT("'update Helper'!D"&amp;AJ33)/100)</f>
        <v/>
      </c>
      <c r="F33" s="625"/>
      <c r="G33" s="623"/>
      <c r="H33" s="630" t="str">
        <f>AE33</f>
        <v/>
      </c>
      <c r="I33" s="625"/>
      <c r="J33" s="625"/>
      <c r="K33" s="410"/>
      <c r="L33" s="619" t="str">
        <f ca="1">IF(OR(INDIRECT("'update Helper'!K"&amp;AI33)="",K33&lt;&gt;0,K34&lt;&gt;0),IF(IFERROR((K33/K34),"")="","",(K33/K34)),INDIRECT("'update Helper'!K"&amp;AI33)/100)</f>
        <v/>
      </c>
      <c r="M33" s="621"/>
      <c r="N33" s="623"/>
      <c r="O33" s="410"/>
      <c r="P33" s="619" t="str">
        <f ca="1">IF(OR(INDIRECT("'update Helper'!K"&amp;AI33+1)="",O33&lt;&gt;0,O34&lt;&gt;0),IF(IFERROR((O33/O34),"")="","",(O33/O34)),INDIRECT("'update Helper'!K"&amp;AI33+1)/100)</f>
        <v/>
      </c>
      <c r="Q33" s="621"/>
      <c r="R33" s="623"/>
      <c r="S33" s="410"/>
      <c r="T33" s="619" t="str">
        <f ca="1">IF(OR(INDIRECT("'update Helper'!K"&amp;AI33+2)="",S33&lt;&gt;0,S34&lt;&gt;0),IF(IFERROR((S33/S34),"")="","",(S33/S34)),INDIRECT("'update Helper'!K"&amp;AI33+2)/100)</f>
        <v/>
      </c>
      <c r="U33" s="621"/>
      <c r="V33" s="623"/>
      <c r="W33" s="410"/>
      <c r="X33" s="619" t="str">
        <f ca="1">IF(OR(INDIRECT("'update Helper'!K"&amp;AI33+3)="",W33&lt;&gt;0,W34&lt;&gt;0),IF(IFERROR((W33/W34),"")="","",(W33/W34)),INDIRECT("'update Helper'!K"&amp;AI33+3)/100)</f>
        <v/>
      </c>
      <c r="Y33" s="621"/>
      <c r="Z33" s="623"/>
      <c r="AA33" s="623"/>
      <c r="AB33" s="625"/>
      <c r="AC33" s="625"/>
      <c r="AD33" s="625"/>
      <c r="AE33" s="253" t="str">
        <f t="array" ref="AE33">IFERROR(IF(INDEX('Reference Records'!$D$4:$D$22,MATCH(LEFT(B33,255),LEFT('Reference Records'!$C$4:$C$22,255),0))=0,"",INDEX('Reference Records'!$D$4:$D$22,MATCH(LEFT(B33,255),LEFT('Reference Records'!$C$4:$C$22,255),0))),"")</f>
        <v/>
      </c>
      <c r="AF33" s="618" t="str">
        <f>IF(H33&lt;&gt;"",B33&amp;C33,"")</f>
        <v/>
      </c>
      <c r="AG33" s="618" t="b">
        <f>IF(OR(B33&lt;&gt;"",C33&lt;&gt;""),TRUE,FALSE)</f>
        <v>0</v>
      </c>
      <c r="AH33" s="212" t="str">
        <f t="array" ref="AH33">IFERROR(IF(INDEX('Reference Records'!$G$4:$G$22,MATCH(LEFT(B33,255),LEFT('Reference Records'!$C$4:$C$22,255),0))=0,"",INDEX('Reference Records'!$G$4:$G$22,MATCH(LEFT(B33,255),LEFT('Reference Records'!$C$4:$C$22,255),0))),"")</f>
        <v/>
      </c>
      <c r="AI33" s="174">
        <f>AI31+'update Helper'!$U$2</f>
        <v>131</v>
      </c>
      <c r="AJ33" s="253">
        <f>AJ31+1</f>
        <v>16</v>
      </c>
      <c r="AL33" s="253" t="str">
        <f ca="1">IFERROR(IF(INDIRECT("'update Helper'!O"&amp;AJ33)=0,"",IFERROR(VLOOKUP(INDIRECT("'update Helper'!O"&amp;AJ33),'Account Role'!A$1:B$15,2,0),IFERROR(VLOOKUP(INDIRECT("'update Helper'!N"&amp;AJ33),'Overview - Section A'!J$26:P261,7,0),""))),"")</f>
        <v/>
      </c>
    </row>
    <row r="34" spans="1:43" s="253" customFormat="1" ht="30" customHeight="1" x14ac:dyDescent="0.35">
      <c r="A34" s="628"/>
      <c r="B34" s="624"/>
      <c r="C34" s="624"/>
      <c r="D34" s="199"/>
      <c r="E34" s="620"/>
      <c r="F34" s="626"/>
      <c r="G34" s="624"/>
      <c r="H34" s="631"/>
      <c r="I34" s="626"/>
      <c r="J34" s="626"/>
      <c r="K34" s="199"/>
      <c r="L34" s="620"/>
      <c r="M34" s="622"/>
      <c r="N34" s="624"/>
      <c r="O34" s="199"/>
      <c r="P34" s="620"/>
      <c r="Q34" s="622"/>
      <c r="R34" s="624"/>
      <c r="S34" s="199"/>
      <c r="T34" s="620"/>
      <c r="U34" s="622"/>
      <c r="V34" s="624"/>
      <c r="W34" s="199"/>
      <c r="X34" s="620"/>
      <c r="Y34" s="622"/>
      <c r="Z34" s="624"/>
      <c r="AA34" s="624"/>
      <c r="AB34" s="626"/>
      <c r="AC34" s="626"/>
      <c r="AD34" s="626"/>
      <c r="AF34" s="618"/>
      <c r="AG34" s="618"/>
      <c r="AH34" s="212"/>
    </row>
    <row r="35" spans="1:43" s="253" customFormat="1" ht="30" customHeight="1" x14ac:dyDescent="0.35">
      <c r="A35" s="627">
        <v>14</v>
      </c>
      <c r="B35" s="623"/>
      <c r="C35" s="623"/>
      <c r="D35" s="410"/>
      <c r="E35" s="629" t="str">
        <f ca="1">IF(OR(INDIRECT("'update Helper'!D"&amp;AJ35)="",D35&lt;&gt;0,D36&lt;&gt;0),IF(IFERROR((D35/D36),"")="","",(D35/D36)),INDIRECT("'update Helper'!D"&amp;AJ35)/100)</f>
        <v/>
      </c>
      <c r="F35" s="625"/>
      <c r="G35" s="623"/>
      <c r="H35" s="630" t="str">
        <f>AE35</f>
        <v/>
      </c>
      <c r="I35" s="625"/>
      <c r="J35" s="625"/>
      <c r="K35" s="410"/>
      <c r="L35" s="619" t="str">
        <f ca="1">IF(OR(INDIRECT("'update Helper'!K"&amp;AI35)="",K35&lt;&gt;0,K36&lt;&gt;0),IF(IFERROR((K35/K36),"")="","",(K35/K36)),INDIRECT("'update Helper'!K"&amp;AI35)/100)</f>
        <v/>
      </c>
      <c r="M35" s="621"/>
      <c r="N35" s="623"/>
      <c r="O35" s="410"/>
      <c r="P35" s="619" t="str">
        <f ca="1">IF(OR(INDIRECT("'update Helper'!K"&amp;AI35+1)="",O35&lt;&gt;0,O36&lt;&gt;0),IF(IFERROR((O35/O36),"")="","",(O35/O36)),INDIRECT("'update Helper'!K"&amp;AI35+1)/100)</f>
        <v/>
      </c>
      <c r="Q35" s="621"/>
      <c r="R35" s="623"/>
      <c r="S35" s="410"/>
      <c r="T35" s="619" t="str">
        <f ca="1">IF(OR(INDIRECT("'update Helper'!K"&amp;AI35+2)="",S35&lt;&gt;0,S36&lt;&gt;0),IF(IFERROR((S35/S36),"")="","",(S35/S36)),INDIRECT("'update Helper'!K"&amp;AI35+2)/100)</f>
        <v/>
      </c>
      <c r="U35" s="621"/>
      <c r="V35" s="623"/>
      <c r="W35" s="410"/>
      <c r="X35" s="619" t="str">
        <f ca="1">IF(OR(INDIRECT("'update Helper'!K"&amp;AI35+3)="",W35&lt;&gt;0,W36&lt;&gt;0),IF(IFERROR((W35/W36),"")="","",(W35/W36)),INDIRECT("'update Helper'!K"&amp;AI35+3)/100)</f>
        <v/>
      </c>
      <c r="Y35" s="621"/>
      <c r="Z35" s="623"/>
      <c r="AA35" s="623"/>
      <c r="AB35" s="625"/>
      <c r="AC35" s="625"/>
      <c r="AD35" s="625"/>
      <c r="AE35" s="253" t="str">
        <f t="array" ref="AE35">IFERROR(IF(INDEX('Reference Records'!$D$4:$D$22,MATCH(LEFT(B35,255),LEFT('Reference Records'!$C$4:$C$22,255),0))=0,"",INDEX('Reference Records'!$D$4:$D$22,MATCH(LEFT(B35,255),LEFT('Reference Records'!$C$4:$C$22,255),0))),"")</f>
        <v/>
      </c>
      <c r="AF35" s="618" t="str">
        <f>IF(H35&lt;&gt;"",B35&amp;C35,"")</f>
        <v/>
      </c>
      <c r="AG35" s="618" t="b">
        <f>IF(OR(B35&lt;&gt;"",C35&lt;&gt;""),TRUE,FALSE)</f>
        <v>0</v>
      </c>
      <c r="AH35" s="212" t="str">
        <f t="array" ref="AH35">IFERROR(IF(INDEX('Reference Records'!$G$4:$G$22,MATCH(LEFT(B35,255),LEFT('Reference Records'!$C$4:$C$22,255),0))=0,"",INDEX('Reference Records'!$G$4:$G$22,MATCH(LEFT(B35,255),LEFT('Reference Records'!$C$4:$C$22,255),0))),"")</f>
        <v/>
      </c>
      <c r="AI35" s="174">
        <f>AI33+'update Helper'!$U$2</f>
        <v>137</v>
      </c>
      <c r="AJ35" s="253">
        <f>AJ33+1</f>
        <v>17</v>
      </c>
      <c r="AL35" s="253" t="str">
        <f ca="1">IFERROR(IF(INDIRECT("'update Helper'!O"&amp;AJ35)=0,"",IFERROR(VLOOKUP(INDIRECT("'update Helper'!O"&amp;AJ35),'Account Role'!A$1:B$15,2,0),IFERROR(VLOOKUP(INDIRECT("'update Helper'!N"&amp;AJ35),'Overview - Section A'!J$26:P263,7,0),""))),"")</f>
        <v/>
      </c>
    </row>
    <row r="36" spans="1:43" s="253" customFormat="1" ht="30" customHeight="1" x14ac:dyDescent="0.35">
      <c r="A36" s="628"/>
      <c r="B36" s="624"/>
      <c r="C36" s="624"/>
      <c r="D36" s="199"/>
      <c r="E36" s="620"/>
      <c r="F36" s="626"/>
      <c r="G36" s="624"/>
      <c r="H36" s="631"/>
      <c r="I36" s="626"/>
      <c r="J36" s="626"/>
      <c r="K36" s="199"/>
      <c r="L36" s="620"/>
      <c r="M36" s="622"/>
      <c r="N36" s="624"/>
      <c r="O36" s="199"/>
      <c r="P36" s="620"/>
      <c r="Q36" s="622"/>
      <c r="R36" s="624"/>
      <c r="S36" s="199"/>
      <c r="T36" s="620"/>
      <c r="U36" s="622"/>
      <c r="V36" s="624"/>
      <c r="W36" s="199"/>
      <c r="X36" s="620"/>
      <c r="Y36" s="622"/>
      <c r="Z36" s="624"/>
      <c r="AA36" s="624"/>
      <c r="AB36" s="626"/>
      <c r="AC36" s="626"/>
      <c r="AD36" s="626"/>
      <c r="AF36" s="618"/>
      <c r="AG36" s="618"/>
      <c r="AH36" s="212"/>
    </row>
    <row r="37" spans="1:43" s="253" customFormat="1" ht="30" customHeight="1" x14ac:dyDescent="0.35">
      <c r="A37" s="627">
        <v>15</v>
      </c>
      <c r="B37" s="623"/>
      <c r="C37" s="623"/>
      <c r="D37" s="410"/>
      <c r="E37" s="629" t="str">
        <f ca="1">IF(OR(INDIRECT("'update Helper'!D"&amp;AJ37)="",D37&lt;&gt;0,D38&lt;&gt;0),IF(IFERROR((D37/D38),"")="","",(D37/D38)),INDIRECT("'update Helper'!D"&amp;AJ37)/100)</f>
        <v/>
      </c>
      <c r="F37" s="625"/>
      <c r="G37" s="623"/>
      <c r="H37" s="630" t="str">
        <f>AE37</f>
        <v/>
      </c>
      <c r="I37" s="625"/>
      <c r="J37" s="625"/>
      <c r="K37" s="410"/>
      <c r="L37" s="619" t="str">
        <f ca="1">IF(OR(INDIRECT("'update Helper'!K"&amp;AI37)="",K37&lt;&gt;0,K38&lt;&gt;0),IF(IFERROR((K37/K38),"")="","",(K37/K38)),INDIRECT("'update Helper'!K"&amp;AI37)/100)</f>
        <v/>
      </c>
      <c r="M37" s="621"/>
      <c r="N37" s="623"/>
      <c r="O37" s="410"/>
      <c r="P37" s="619" t="str">
        <f ca="1">IF(OR(INDIRECT("'update Helper'!K"&amp;AI37+1)="",O37&lt;&gt;0,O38&lt;&gt;0),IF(IFERROR((O37/O38),"")="","",(O37/O38)),INDIRECT("'update Helper'!K"&amp;AI37+1)/100)</f>
        <v/>
      </c>
      <c r="Q37" s="621"/>
      <c r="R37" s="623"/>
      <c r="S37" s="410"/>
      <c r="T37" s="619" t="str">
        <f ca="1">IF(OR(INDIRECT("'update Helper'!K"&amp;AI37+2)="",S37&lt;&gt;0,S38&lt;&gt;0),IF(IFERROR((S37/S38),"")="","",(S37/S38)),INDIRECT("'update Helper'!K"&amp;AI37+2)/100)</f>
        <v/>
      </c>
      <c r="U37" s="621"/>
      <c r="V37" s="623"/>
      <c r="W37" s="410"/>
      <c r="X37" s="619" t="str">
        <f ca="1">IF(OR(INDIRECT("'update Helper'!K"&amp;AI37+3)="",W37&lt;&gt;0,W38&lt;&gt;0),IF(IFERROR((W37/W38),"")="","",(W37/W38)),INDIRECT("'update Helper'!K"&amp;AI37+3)/100)</f>
        <v/>
      </c>
      <c r="Y37" s="621"/>
      <c r="Z37" s="623"/>
      <c r="AA37" s="623"/>
      <c r="AB37" s="625"/>
      <c r="AC37" s="625"/>
      <c r="AD37" s="625"/>
      <c r="AE37" s="253" t="str">
        <f t="array" ref="AE37">IFERROR(IF(INDEX('Reference Records'!$D$4:$D$22,MATCH(LEFT(B37,255),LEFT('Reference Records'!$C$4:$C$22,255),0))=0,"",INDEX('Reference Records'!$D$4:$D$22,MATCH(LEFT(B37,255),LEFT('Reference Records'!$C$4:$C$22,255),0))),"")</f>
        <v/>
      </c>
      <c r="AF37" s="618" t="str">
        <f>IF(H37&lt;&gt;"",B37&amp;C37,"")</f>
        <v/>
      </c>
      <c r="AG37" s="618" t="b">
        <f>IF(OR(B37&lt;&gt;"",C37&lt;&gt;""),TRUE,FALSE)</f>
        <v>0</v>
      </c>
      <c r="AH37" s="212" t="str">
        <f t="array" ref="AH37">IFERROR(IF(INDEX('Reference Records'!$G$4:$G$22,MATCH(LEFT(B37,255),LEFT('Reference Records'!$C$4:$C$22,255),0))=0,"",INDEX('Reference Records'!$G$4:$G$22,MATCH(LEFT(B37,255),LEFT('Reference Records'!$C$4:$C$22,255),0))),"")</f>
        <v/>
      </c>
      <c r="AI37" s="174">
        <f>AI35+'update Helper'!$U$2</f>
        <v>143</v>
      </c>
      <c r="AJ37" s="253">
        <f>AJ35+1</f>
        <v>18</v>
      </c>
      <c r="AL37" s="253" t="str">
        <f ca="1">IFERROR(IF(INDIRECT("'update Helper'!O"&amp;AJ37)=0,"",IFERROR(VLOOKUP(INDIRECT("'update Helper'!O"&amp;AJ37),'Account Role'!A$1:B$15,2,0),IFERROR(VLOOKUP(INDIRECT("'update Helper'!N"&amp;AJ37),'Overview - Section A'!J$26:P265,7,0),""))),"")</f>
        <v/>
      </c>
    </row>
    <row r="38" spans="1:43" s="253" customFormat="1" ht="30" customHeight="1" x14ac:dyDescent="0.35">
      <c r="A38" s="628"/>
      <c r="B38" s="624"/>
      <c r="C38" s="624"/>
      <c r="D38" s="199"/>
      <c r="E38" s="620"/>
      <c r="F38" s="626"/>
      <c r="G38" s="624"/>
      <c r="H38" s="631"/>
      <c r="I38" s="626"/>
      <c r="J38" s="626"/>
      <c r="K38" s="199"/>
      <c r="L38" s="620"/>
      <c r="M38" s="622"/>
      <c r="N38" s="624"/>
      <c r="O38" s="199"/>
      <c r="P38" s="620"/>
      <c r="Q38" s="622"/>
      <c r="R38" s="624"/>
      <c r="S38" s="199"/>
      <c r="T38" s="620"/>
      <c r="U38" s="622"/>
      <c r="V38" s="624"/>
      <c r="W38" s="199"/>
      <c r="X38" s="620"/>
      <c r="Y38" s="622"/>
      <c r="Z38" s="624"/>
      <c r="AA38" s="624"/>
      <c r="AB38" s="626"/>
      <c r="AC38" s="626"/>
      <c r="AD38" s="626"/>
      <c r="AF38" s="618"/>
      <c r="AG38" s="618"/>
      <c r="AH38" s="212"/>
    </row>
    <row r="39" spans="1:43" s="253" customFormat="1" ht="30" customHeight="1" x14ac:dyDescent="0.35">
      <c r="D39" s="174"/>
    </row>
    <row r="40" spans="1:43" s="253" customFormat="1" ht="30" customHeight="1" x14ac:dyDescent="0.35">
      <c r="D40" s="174"/>
    </row>
    <row r="41" spans="1:43" s="253" customFormat="1" ht="30" customHeight="1" x14ac:dyDescent="0.35">
      <c r="D41" s="174"/>
    </row>
    <row r="42" spans="1:43" s="253" customFormat="1" ht="30" customHeight="1" x14ac:dyDescent="0.35">
      <c r="D42" s="174"/>
    </row>
    <row r="43" spans="1:43" s="253" customFormat="1" ht="30" customHeight="1" x14ac:dyDescent="0.35">
      <c r="D43" s="174"/>
    </row>
    <row r="44" spans="1:43" s="253" customFormat="1" ht="30" customHeight="1" x14ac:dyDescent="0.35">
      <c r="D44" s="174"/>
    </row>
    <row r="45" spans="1:43" s="253" customFormat="1" ht="30" customHeight="1" x14ac:dyDescent="0.35">
      <c r="D45" s="174"/>
    </row>
    <row r="46" spans="1:43" s="253" customFormat="1" ht="30" customHeight="1" x14ac:dyDescent="0.35">
      <c r="D46" s="174"/>
    </row>
    <row r="47" spans="1:43" s="253" customFormat="1" ht="30" customHeight="1" x14ac:dyDescent="0.35">
      <c r="A47"/>
      <c r="B47"/>
      <c r="C47" s="187"/>
      <c r="D47" s="174"/>
      <c r="AB47"/>
      <c r="AC47"/>
      <c r="AD47"/>
      <c r="AE47"/>
      <c r="AF47"/>
      <c r="AG47"/>
      <c r="AH47"/>
      <c r="AI47"/>
      <c r="AJ47"/>
      <c r="AK47"/>
      <c r="AL47"/>
      <c r="AM47"/>
      <c r="AN47"/>
      <c r="AO47"/>
      <c r="AP47"/>
      <c r="AQ47"/>
    </row>
    <row r="48" spans="1:43" s="253" customFormat="1" ht="30" customHeight="1" x14ac:dyDescent="0.35">
      <c r="A48"/>
      <c r="B48"/>
      <c r="C48" s="187"/>
      <c r="D48" s="174"/>
      <c r="AB48"/>
      <c r="AC48"/>
      <c r="AD48"/>
      <c r="AE48"/>
      <c r="AF48"/>
      <c r="AG48"/>
      <c r="AH48"/>
      <c r="AI48"/>
      <c r="AJ48"/>
      <c r="AK48"/>
      <c r="AL48"/>
      <c r="AM48"/>
      <c r="AN48"/>
      <c r="AO48"/>
      <c r="AP48"/>
      <c r="AQ48"/>
    </row>
    <row r="49" spans="1:43" s="253" customFormat="1" ht="30" customHeight="1" x14ac:dyDescent="0.35">
      <c r="A49"/>
      <c r="B49"/>
      <c r="C49" s="187"/>
      <c r="D49" s="174"/>
      <c r="AB49"/>
      <c r="AC49"/>
      <c r="AD49"/>
      <c r="AE49"/>
      <c r="AF49"/>
      <c r="AG49"/>
      <c r="AH49"/>
      <c r="AI49"/>
      <c r="AJ49"/>
      <c r="AK49"/>
      <c r="AL49"/>
      <c r="AM49"/>
      <c r="AN49"/>
      <c r="AO49"/>
      <c r="AP49"/>
      <c r="AQ49"/>
    </row>
    <row r="50" spans="1:43" s="253" customFormat="1" ht="30" customHeight="1" x14ac:dyDescent="0.35">
      <c r="A50"/>
      <c r="B50"/>
      <c r="C50" s="187"/>
      <c r="D50" s="174"/>
      <c r="AB50"/>
      <c r="AC50"/>
      <c r="AD50"/>
      <c r="AE50"/>
      <c r="AF50"/>
      <c r="AG50"/>
      <c r="AH50"/>
      <c r="AI50"/>
      <c r="AJ50"/>
      <c r="AK50"/>
      <c r="AL50"/>
      <c r="AM50"/>
      <c r="AN50"/>
      <c r="AO50"/>
      <c r="AP50"/>
      <c r="AQ50"/>
    </row>
    <row r="51" spans="1:43" ht="30" customHeight="1" x14ac:dyDescent="0.35">
      <c r="D51" s="174"/>
    </row>
    <row r="52" spans="1:43" ht="30" customHeight="1" x14ac:dyDescent="0.35">
      <c r="D52" s="174"/>
    </row>
    <row r="53" spans="1:43" ht="30" customHeight="1" x14ac:dyDescent="0.35">
      <c r="D53" s="174"/>
    </row>
    <row r="54" spans="1:43" ht="30" customHeight="1" x14ac:dyDescent="0.35">
      <c r="D54" s="174"/>
    </row>
    <row r="55" spans="1:43" ht="30" customHeight="1" x14ac:dyDescent="0.35">
      <c r="D55" s="174"/>
    </row>
    <row r="56" spans="1:43" ht="30" customHeight="1" x14ac:dyDescent="0.35">
      <c r="D56" s="174"/>
    </row>
    <row r="57" spans="1:43" ht="30" customHeight="1" x14ac:dyDescent="0.35">
      <c r="D57" s="174"/>
    </row>
    <row r="58" spans="1:43" ht="30" customHeight="1" x14ac:dyDescent="0.35">
      <c r="D58" s="174"/>
    </row>
    <row r="59" spans="1:43" ht="30" customHeight="1" x14ac:dyDescent="0.35">
      <c r="D59" s="174"/>
    </row>
    <row r="60" spans="1:43" ht="30" customHeight="1" x14ac:dyDescent="0.35">
      <c r="D60" s="174"/>
    </row>
    <row r="61" spans="1:43" ht="30" customHeight="1" x14ac:dyDescent="0.35">
      <c r="D61" s="174"/>
    </row>
    <row r="62" spans="1:43" ht="30" customHeight="1" x14ac:dyDescent="0.35">
      <c r="D62" s="174"/>
    </row>
    <row r="63" spans="1:43" ht="30" customHeight="1" x14ac:dyDescent="0.35">
      <c r="D63" s="174"/>
    </row>
    <row r="64" spans="1:43" ht="30" customHeight="1" x14ac:dyDescent="0.35">
      <c r="D64" s="174"/>
    </row>
    <row r="65" spans="4:4" ht="30" customHeight="1" x14ac:dyDescent="0.35">
      <c r="D65" s="174"/>
    </row>
    <row r="66" spans="4:4" ht="30" customHeight="1" x14ac:dyDescent="0.35">
      <c r="D66" s="174"/>
    </row>
    <row r="67" spans="4:4" ht="30" customHeight="1" x14ac:dyDescent="0.35">
      <c r="D67" s="174"/>
    </row>
    <row r="68" spans="4:4" ht="30" customHeight="1" x14ac:dyDescent="0.35">
      <c r="D68" s="174"/>
    </row>
    <row r="69" spans="4:4" ht="30" customHeight="1" x14ac:dyDescent="0.35">
      <c r="D69" s="174"/>
    </row>
    <row r="70" spans="4:4" ht="30" customHeight="1" x14ac:dyDescent="0.35">
      <c r="D70" s="174"/>
    </row>
    <row r="71" spans="4:4" ht="30" customHeight="1" x14ac:dyDescent="0.35">
      <c r="D71" s="174"/>
    </row>
    <row r="72" spans="4:4" ht="30" customHeight="1" x14ac:dyDescent="0.35">
      <c r="D72" s="174"/>
    </row>
    <row r="73" spans="4:4" ht="30" customHeight="1" x14ac:dyDescent="0.35">
      <c r="D73" s="174"/>
    </row>
    <row r="74" spans="4:4" ht="30" customHeight="1" x14ac:dyDescent="0.35">
      <c r="D74" s="174"/>
    </row>
    <row r="75" spans="4:4" ht="30" customHeight="1" x14ac:dyDescent="0.35">
      <c r="D75" s="174"/>
    </row>
    <row r="76" spans="4:4" ht="30" customHeight="1" x14ac:dyDescent="0.35">
      <c r="D76" s="174"/>
    </row>
    <row r="77" spans="4:4" ht="30" customHeight="1" x14ac:dyDescent="0.35">
      <c r="D77" s="174"/>
    </row>
    <row r="78" spans="4:4" ht="30" customHeight="1" x14ac:dyDescent="0.35">
      <c r="D78" s="174"/>
    </row>
    <row r="79" spans="4:4" ht="30" customHeight="1" x14ac:dyDescent="0.35">
      <c r="D79" s="174"/>
    </row>
    <row r="80" spans="4:4" ht="30" customHeight="1" x14ac:dyDescent="0.35">
      <c r="D80" s="174"/>
    </row>
    <row r="81" spans="4:4" ht="30" customHeight="1" x14ac:dyDescent="0.35">
      <c r="D81" s="174"/>
    </row>
    <row r="82" spans="4:4" ht="30" customHeight="1" x14ac:dyDescent="0.35">
      <c r="D82" s="174"/>
    </row>
    <row r="83" spans="4:4" ht="30" customHeight="1" x14ac:dyDescent="0.35">
      <c r="D83" s="174"/>
    </row>
    <row r="84" spans="4:4" ht="30" customHeight="1" x14ac:dyDescent="0.35">
      <c r="D84" s="174"/>
    </row>
    <row r="85" spans="4:4" ht="30" customHeight="1" x14ac:dyDescent="0.35">
      <c r="D85" s="174"/>
    </row>
    <row r="86" spans="4:4" ht="30" customHeight="1" x14ac:dyDescent="0.35">
      <c r="D86" s="174"/>
    </row>
    <row r="87" spans="4:4" ht="30" customHeight="1" x14ac:dyDescent="0.35">
      <c r="D87" s="174"/>
    </row>
    <row r="88" spans="4:4" ht="30" customHeight="1" x14ac:dyDescent="0.35">
      <c r="D88" s="174"/>
    </row>
    <row r="89" spans="4:4" ht="30" customHeight="1" x14ac:dyDescent="0.35">
      <c r="D89" s="174"/>
    </row>
    <row r="90" spans="4:4" ht="30" customHeight="1" x14ac:dyDescent="0.35">
      <c r="D90" s="174"/>
    </row>
    <row r="91" spans="4:4" ht="30" customHeight="1" x14ac:dyDescent="0.35">
      <c r="D91" s="174"/>
    </row>
    <row r="92" spans="4:4" ht="30" customHeight="1" x14ac:dyDescent="0.35">
      <c r="D92" s="174"/>
    </row>
    <row r="93" spans="4:4" ht="30" customHeight="1" x14ac:dyDescent="0.35">
      <c r="D93" s="174"/>
    </row>
    <row r="94" spans="4:4" ht="30" customHeight="1" x14ac:dyDescent="0.35">
      <c r="D94" s="174"/>
    </row>
    <row r="95" spans="4:4" ht="30" customHeight="1" x14ac:dyDescent="0.35">
      <c r="D95" s="174"/>
    </row>
    <row r="96" spans="4:4" ht="30" customHeight="1" x14ac:dyDescent="0.35">
      <c r="D96" s="174"/>
    </row>
    <row r="97" spans="4:4" ht="30" customHeight="1" x14ac:dyDescent="0.35">
      <c r="D97" s="174"/>
    </row>
    <row r="98" spans="4:4" ht="30" customHeight="1" x14ac:dyDescent="0.35">
      <c r="D98" s="174"/>
    </row>
    <row r="99" spans="4:4" ht="30" customHeight="1" x14ac:dyDescent="0.35">
      <c r="D99" s="174"/>
    </row>
    <row r="100" spans="4:4" ht="30" customHeight="1" x14ac:dyDescent="0.35">
      <c r="D100" s="174"/>
    </row>
    <row r="101" spans="4:4" x14ac:dyDescent="0.35">
      <c r="D101" s="174"/>
    </row>
    <row r="102" spans="4:4" x14ac:dyDescent="0.35">
      <c r="D102" s="174"/>
    </row>
    <row r="103" spans="4:4" x14ac:dyDescent="0.35">
      <c r="D103" s="174"/>
    </row>
    <row r="104" spans="4:4" x14ac:dyDescent="0.35">
      <c r="D104" s="174"/>
    </row>
    <row r="105" spans="4:4" x14ac:dyDescent="0.35">
      <c r="D105" s="174"/>
    </row>
    <row r="106" spans="4:4" x14ac:dyDescent="0.35">
      <c r="D106" s="174"/>
    </row>
    <row r="107" spans="4:4" x14ac:dyDescent="0.35">
      <c r="D107" s="174"/>
    </row>
    <row r="108" spans="4:4" x14ac:dyDescent="0.35">
      <c r="D108" s="174"/>
    </row>
    <row r="109" spans="4:4" x14ac:dyDescent="0.35">
      <c r="D109" s="174"/>
    </row>
    <row r="110" spans="4:4" x14ac:dyDescent="0.35">
      <c r="D110" s="174"/>
    </row>
    <row r="111" spans="4:4" x14ac:dyDescent="0.35">
      <c r="D111" s="174"/>
    </row>
    <row r="112" spans="4:4" x14ac:dyDescent="0.35">
      <c r="D112" s="174"/>
    </row>
    <row r="113" spans="4:4" x14ac:dyDescent="0.35">
      <c r="D113" s="174"/>
    </row>
    <row r="114" spans="4:4" x14ac:dyDescent="0.35">
      <c r="D114" s="174"/>
    </row>
    <row r="115" spans="4:4" x14ac:dyDescent="0.35">
      <c r="D115" s="174"/>
    </row>
    <row r="116" spans="4:4" x14ac:dyDescent="0.35">
      <c r="D116" s="174"/>
    </row>
    <row r="117" spans="4:4" x14ac:dyDescent="0.35">
      <c r="D117" s="174"/>
    </row>
    <row r="118" spans="4:4" x14ac:dyDescent="0.35">
      <c r="D118" s="174"/>
    </row>
    <row r="119" spans="4:4" x14ac:dyDescent="0.35">
      <c r="D119" s="174"/>
    </row>
    <row r="120" spans="4:4" x14ac:dyDescent="0.35">
      <c r="D120" s="174"/>
    </row>
    <row r="121" spans="4:4" x14ac:dyDescent="0.35">
      <c r="D121" s="174"/>
    </row>
    <row r="122" spans="4:4" x14ac:dyDescent="0.35">
      <c r="D122" s="174"/>
    </row>
    <row r="123" spans="4:4" x14ac:dyDescent="0.35">
      <c r="D123" s="174"/>
    </row>
    <row r="124" spans="4:4" x14ac:dyDescent="0.35">
      <c r="D124" s="174"/>
    </row>
    <row r="125" spans="4:4" x14ac:dyDescent="0.35">
      <c r="D125" s="174"/>
    </row>
    <row r="126" spans="4:4" x14ac:dyDescent="0.35">
      <c r="D126" s="174"/>
    </row>
    <row r="127" spans="4:4" x14ac:dyDescent="0.35">
      <c r="D127" s="174"/>
    </row>
    <row r="128" spans="4:4" x14ac:dyDescent="0.35">
      <c r="D128" s="174"/>
    </row>
    <row r="129" spans="4:4" x14ac:dyDescent="0.35">
      <c r="D129" s="174"/>
    </row>
    <row r="130" spans="4:4" x14ac:dyDescent="0.35">
      <c r="D130" s="174"/>
    </row>
    <row r="131" spans="4:4" x14ac:dyDescent="0.35">
      <c r="D131" s="174"/>
    </row>
    <row r="132" spans="4:4" x14ac:dyDescent="0.35">
      <c r="D132" s="174"/>
    </row>
    <row r="133" spans="4:4" x14ac:dyDescent="0.35">
      <c r="D133" s="174"/>
    </row>
    <row r="134" spans="4:4" x14ac:dyDescent="0.35">
      <c r="D134" s="174"/>
    </row>
    <row r="135" spans="4:4" x14ac:dyDescent="0.35">
      <c r="D135" s="174"/>
    </row>
    <row r="136" spans="4:4" x14ac:dyDescent="0.35">
      <c r="D136" s="174"/>
    </row>
    <row r="137" spans="4:4" x14ac:dyDescent="0.35">
      <c r="D137" s="174"/>
    </row>
    <row r="138" spans="4:4" x14ac:dyDescent="0.35">
      <c r="D138" s="174"/>
    </row>
    <row r="139" spans="4:4" x14ac:dyDescent="0.35">
      <c r="D139" s="174"/>
    </row>
    <row r="140" spans="4:4" x14ac:dyDescent="0.35">
      <c r="D140" s="174"/>
    </row>
    <row r="141" spans="4:4" x14ac:dyDescent="0.35">
      <c r="D141" s="174"/>
    </row>
    <row r="142" spans="4:4" x14ac:dyDescent="0.35">
      <c r="D142" s="174"/>
    </row>
    <row r="143" spans="4:4" x14ac:dyDescent="0.35">
      <c r="D143" s="174"/>
    </row>
    <row r="144" spans="4:4" x14ac:dyDescent="0.35">
      <c r="D144" s="174"/>
    </row>
    <row r="145" spans="4:4" x14ac:dyDescent="0.35">
      <c r="D145" s="174"/>
    </row>
    <row r="146" spans="4:4" x14ac:dyDescent="0.35">
      <c r="D146" s="174"/>
    </row>
    <row r="147" spans="4:4" x14ac:dyDescent="0.35">
      <c r="D147" s="174"/>
    </row>
    <row r="148" spans="4:4" x14ac:dyDescent="0.35">
      <c r="D148" s="174"/>
    </row>
    <row r="149" spans="4:4" x14ac:dyDescent="0.35">
      <c r="D149" s="174"/>
    </row>
    <row r="150" spans="4:4" x14ac:dyDescent="0.35">
      <c r="D150" s="174"/>
    </row>
    <row r="151" spans="4:4" x14ac:dyDescent="0.35">
      <c r="D151" s="174"/>
    </row>
    <row r="152" spans="4:4" x14ac:dyDescent="0.35">
      <c r="D152" s="174"/>
    </row>
    <row r="153" spans="4:4" x14ac:dyDescent="0.35">
      <c r="D153" s="174"/>
    </row>
    <row r="154" spans="4:4" x14ac:dyDescent="0.35">
      <c r="D154" s="174"/>
    </row>
    <row r="155" spans="4:4" x14ac:dyDescent="0.35">
      <c r="D155" s="174"/>
    </row>
    <row r="156" spans="4:4" x14ac:dyDescent="0.35">
      <c r="D156" s="174"/>
    </row>
    <row r="157" spans="4:4" x14ac:dyDescent="0.35">
      <c r="D157" s="174"/>
    </row>
    <row r="158" spans="4:4" x14ac:dyDescent="0.35">
      <c r="D158" s="174"/>
    </row>
    <row r="159" spans="4:4" x14ac:dyDescent="0.35">
      <c r="D159" s="174"/>
    </row>
    <row r="160" spans="4:4" x14ac:dyDescent="0.35">
      <c r="D160" s="174"/>
    </row>
    <row r="161" spans="4:4" x14ac:dyDescent="0.35">
      <c r="D161" s="174"/>
    </row>
    <row r="162" spans="4:4" x14ac:dyDescent="0.35">
      <c r="D162" s="174"/>
    </row>
    <row r="163" spans="4:4" x14ac:dyDescent="0.35">
      <c r="D163" s="174"/>
    </row>
    <row r="164" spans="4:4" x14ac:dyDescent="0.35">
      <c r="D164" s="174"/>
    </row>
    <row r="165" spans="4:4" x14ac:dyDescent="0.35">
      <c r="D165" s="174"/>
    </row>
    <row r="166" spans="4:4" x14ac:dyDescent="0.35">
      <c r="D166" s="174"/>
    </row>
    <row r="167" spans="4:4" x14ac:dyDescent="0.35">
      <c r="D167" s="174"/>
    </row>
    <row r="168" spans="4:4" x14ac:dyDescent="0.35">
      <c r="D168" s="174"/>
    </row>
    <row r="169" spans="4:4" x14ac:dyDescent="0.35">
      <c r="D169" s="174"/>
    </row>
    <row r="170" spans="4:4" x14ac:dyDescent="0.35">
      <c r="D170" s="174"/>
    </row>
    <row r="171" spans="4:4" x14ac:dyDescent="0.35">
      <c r="D171" s="174"/>
    </row>
    <row r="172" spans="4:4" x14ac:dyDescent="0.35">
      <c r="D172" s="174"/>
    </row>
    <row r="173" spans="4:4" x14ac:dyDescent="0.35">
      <c r="D173" s="174"/>
    </row>
    <row r="174" spans="4:4" x14ac:dyDescent="0.35">
      <c r="D174" s="174"/>
    </row>
    <row r="175" spans="4:4" x14ac:dyDescent="0.35">
      <c r="D175" s="174"/>
    </row>
    <row r="176" spans="4:4" x14ac:dyDescent="0.35">
      <c r="D176" s="174"/>
    </row>
    <row r="177" spans="4:4" x14ac:dyDescent="0.35">
      <c r="D177" s="174"/>
    </row>
    <row r="178" spans="4:4" x14ac:dyDescent="0.35">
      <c r="D178" s="174"/>
    </row>
    <row r="179" spans="4:4" x14ac:dyDescent="0.35">
      <c r="D179" s="174"/>
    </row>
    <row r="180" spans="4:4" x14ac:dyDescent="0.35">
      <c r="D180" s="174"/>
    </row>
    <row r="181" spans="4:4" x14ac:dyDescent="0.35">
      <c r="D181" s="174"/>
    </row>
    <row r="182" spans="4:4" x14ac:dyDescent="0.35">
      <c r="D182" s="174"/>
    </row>
    <row r="183" spans="4:4" x14ac:dyDescent="0.35">
      <c r="D183" s="174"/>
    </row>
    <row r="184" spans="4:4" x14ac:dyDescent="0.35">
      <c r="D184" s="174"/>
    </row>
    <row r="185" spans="4:4" x14ac:dyDescent="0.35">
      <c r="D185" s="174"/>
    </row>
    <row r="186" spans="4:4" x14ac:dyDescent="0.35">
      <c r="D186" s="174"/>
    </row>
    <row r="187" spans="4:4" x14ac:dyDescent="0.35">
      <c r="D187" s="174"/>
    </row>
    <row r="188" spans="4:4" x14ac:dyDescent="0.35">
      <c r="D188" s="174"/>
    </row>
    <row r="189" spans="4:4" x14ac:dyDescent="0.35">
      <c r="D189" s="174"/>
    </row>
    <row r="190" spans="4:4" x14ac:dyDescent="0.35">
      <c r="D190" s="174"/>
    </row>
    <row r="191" spans="4:4" x14ac:dyDescent="0.35">
      <c r="D191" s="174"/>
    </row>
    <row r="192" spans="4:4" x14ac:dyDescent="0.35">
      <c r="D192" s="174"/>
    </row>
    <row r="193" spans="4:4" x14ac:dyDescent="0.35">
      <c r="D193" s="174"/>
    </row>
    <row r="194" spans="4:4" x14ac:dyDescent="0.35">
      <c r="D194" s="174"/>
    </row>
    <row r="195" spans="4:4" x14ac:dyDescent="0.35">
      <c r="D195" s="174"/>
    </row>
    <row r="196" spans="4:4" x14ac:dyDescent="0.35">
      <c r="D196" s="174"/>
    </row>
    <row r="197" spans="4:4" x14ac:dyDescent="0.35">
      <c r="D197" s="174"/>
    </row>
    <row r="198" spans="4:4" x14ac:dyDescent="0.35">
      <c r="D198" s="174"/>
    </row>
    <row r="199" spans="4:4" x14ac:dyDescent="0.35">
      <c r="D199" s="174"/>
    </row>
    <row r="200" spans="4:4" x14ac:dyDescent="0.35">
      <c r="D200" s="174"/>
    </row>
    <row r="201" spans="4:4" x14ac:dyDescent="0.35">
      <c r="D201" s="174"/>
    </row>
    <row r="202" spans="4:4" x14ac:dyDescent="0.35">
      <c r="D202" s="174"/>
    </row>
    <row r="203" spans="4:4" x14ac:dyDescent="0.35">
      <c r="D203" s="174"/>
    </row>
    <row r="204" spans="4:4" x14ac:dyDescent="0.35">
      <c r="D204" s="174"/>
    </row>
    <row r="205" spans="4:4" x14ac:dyDescent="0.35">
      <c r="D205" s="174"/>
    </row>
    <row r="206" spans="4:4" x14ac:dyDescent="0.35">
      <c r="D206" s="174"/>
    </row>
    <row r="207" spans="4:4" x14ac:dyDescent="0.35">
      <c r="D207" s="174"/>
    </row>
    <row r="208" spans="4:4" x14ac:dyDescent="0.35">
      <c r="D208" s="174"/>
    </row>
    <row r="209" spans="4:4" x14ac:dyDescent="0.35">
      <c r="D209" s="174"/>
    </row>
    <row r="210" spans="4:4" x14ac:dyDescent="0.35">
      <c r="D210" s="174"/>
    </row>
    <row r="211" spans="4:4" x14ac:dyDescent="0.35">
      <c r="D211" s="174"/>
    </row>
    <row r="212" spans="4:4" x14ac:dyDescent="0.35">
      <c r="D212" s="174"/>
    </row>
    <row r="213" spans="4:4" x14ac:dyDescent="0.35">
      <c r="D213" s="174"/>
    </row>
    <row r="214" spans="4:4" x14ac:dyDescent="0.35">
      <c r="D214" s="174"/>
    </row>
    <row r="215" spans="4:4" x14ac:dyDescent="0.35">
      <c r="D215" s="174"/>
    </row>
    <row r="216" spans="4:4" x14ac:dyDescent="0.35">
      <c r="D216" s="174"/>
    </row>
    <row r="217" spans="4:4" x14ac:dyDescent="0.35">
      <c r="D217" s="174"/>
    </row>
    <row r="218" spans="4:4" x14ac:dyDescent="0.35">
      <c r="D218" s="174"/>
    </row>
    <row r="219" spans="4:4" x14ac:dyDescent="0.35">
      <c r="D219" s="174"/>
    </row>
    <row r="220" spans="4:4" x14ac:dyDescent="0.35">
      <c r="D220" s="174"/>
    </row>
    <row r="221" spans="4:4" x14ac:dyDescent="0.35">
      <c r="D221" s="174"/>
    </row>
    <row r="222" spans="4:4" x14ac:dyDescent="0.35">
      <c r="D222" s="174"/>
    </row>
    <row r="223" spans="4:4" x14ac:dyDescent="0.35">
      <c r="D223" s="174"/>
    </row>
    <row r="224" spans="4:4" x14ac:dyDescent="0.35">
      <c r="D224" s="174"/>
    </row>
    <row r="225" spans="4:4" x14ac:dyDescent="0.35">
      <c r="D225" s="174"/>
    </row>
    <row r="226" spans="4:4" x14ac:dyDescent="0.35">
      <c r="D226" s="174"/>
    </row>
    <row r="227" spans="4:4" x14ac:dyDescent="0.35">
      <c r="D227" s="174"/>
    </row>
    <row r="228" spans="4:4" x14ac:dyDescent="0.35">
      <c r="D228" s="174"/>
    </row>
    <row r="229" spans="4:4" x14ac:dyDescent="0.35">
      <c r="D229" s="174"/>
    </row>
    <row r="230" spans="4:4" x14ac:dyDescent="0.35">
      <c r="D230" s="174"/>
    </row>
    <row r="231" spans="4:4" x14ac:dyDescent="0.35">
      <c r="D231" s="174"/>
    </row>
    <row r="232" spans="4:4" x14ac:dyDescent="0.35">
      <c r="D232" s="174"/>
    </row>
    <row r="233" spans="4:4" x14ac:dyDescent="0.35">
      <c r="D233" s="174"/>
    </row>
    <row r="234" spans="4:4" x14ac:dyDescent="0.35">
      <c r="D234" s="174"/>
    </row>
    <row r="235" spans="4:4" x14ac:dyDescent="0.35">
      <c r="D235" s="174"/>
    </row>
    <row r="236" spans="4:4" x14ac:dyDescent="0.35">
      <c r="D236" s="174"/>
    </row>
    <row r="237" spans="4:4" x14ac:dyDescent="0.35">
      <c r="D237" s="174"/>
    </row>
    <row r="238" spans="4:4" x14ac:dyDescent="0.35">
      <c r="D238" s="174"/>
    </row>
    <row r="239" spans="4:4" x14ac:dyDescent="0.35">
      <c r="D239" s="174"/>
    </row>
    <row r="240" spans="4:4" x14ac:dyDescent="0.35">
      <c r="D240" s="174"/>
    </row>
    <row r="241" spans="4:4" x14ac:dyDescent="0.35">
      <c r="D241" s="174"/>
    </row>
    <row r="242" spans="4:4" x14ac:dyDescent="0.35">
      <c r="D242" s="174"/>
    </row>
    <row r="243" spans="4:4" x14ac:dyDescent="0.35">
      <c r="D243" s="174"/>
    </row>
    <row r="244" spans="4:4" x14ac:dyDescent="0.35">
      <c r="D244" s="174"/>
    </row>
    <row r="245" spans="4:4" x14ac:dyDescent="0.35">
      <c r="D245" s="174"/>
    </row>
    <row r="246" spans="4:4" x14ac:dyDescent="0.35">
      <c r="D246" s="174"/>
    </row>
    <row r="247" spans="4:4" x14ac:dyDescent="0.35">
      <c r="D247" s="174"/>
    </row>
    <row r="248" spans="4:4" x14ac:dyDescent="0.35">
      <c r="D248" s="174"/>
    </row>
    <row r="249" spans="4:4" x14ac:dyDescent="0.35">
      <c r="D249" s="174"/>
    </row>
    <row r="250" spans="4:4" x14ac:dyDescent="0.35">
      <c r="D250" s="174"/>
    </row>
    <row r="251" spans="4:4" x14ac:dyDescent="0.35">
      <c r="D251" s="174"/>
    </row>
    <row r="252" spans="4:4" x14ac:dyDescent="0.35">
      <c r="D252" s="174"/>
    </row>
    <row r="253" spans="4:4" x14ac:dyDescent="0.35">
      <c r="D253" s="174"/>
    </row>
    <row r="254" spans="4:4" x14ac:dyDescent="0.35">
      <c r="D254" s="174"/>
    </row>
    <row r="255" spans="4:4" x14ac:dyDescent="0.35">
      <c r="D255" s="174"/>
    </row>
    <row r="256" spans="4:4" x14ac:dyDescent="0.35">
      <c r="D256" s="174"/>
    </row>
    <row r="257" spans="4:4" x14ac:dyDescent="0.35">
      <c r="D257" s="174"/>
    </row>
    <row r="258" spans="4:4" x14ac:dyDescent="0.35">
      <c r="D258" s="174"/>
    </row>
    <row r="259" spans="4:4" x14ac:dyDescent="0.35">
      <c r="D259" s="174"/>
    </row>
    <row r="260" spans="4:4" x14ac:dyDescent="0.35">
      <c r="D260" s="174"/>
    </row>
    <row r="261" spans="4:4" x14ac:dyDescent="0.35">
      <c r="D261" s="174"/>
    </row>
    <row r="262" spans="4:4" x14ac:dyDescent="0.35">
      <c r="D262" s="174"/>
    </row>
    <row r="263" spans="4:4" x14ac:dyDescent="0.35">
      <c r="D263" s="174"/>
    </row>
    <row r="264" spans="4:4" x14ac:dyDescent="0.35">
      <c r="D264" s="174"/>
    </row>
    <row r="265" spans="4:4" x14ac:dyDescent="0.35">
      <c r="D265" s="174"/>
    </row>
    <row r="266" spans="4:4" x14ac:dyDescent="0.35">
      <c r="D266" s="174"/>
    </row>
    <row r="267" spans="4:4" x14ac:dyDescent="0.35">
      <c r="D267" s="174"/>
    </row>
    <row r="268" spans="4:4" x14ac:dyDescent="0.35">
      <c r="D268" s="174"/>
    </row>
    <row r="269" spans="4:4" x14ac:dyDescent="0.35">
      <c r="D269" s="174"/>
    </row>
    <row r="270" spans="4:4" x14ac:dyDescent="0.35">
      <c r="D270" s="174"/>
    </row>
    <row r="271" spans="4:4" x14ac:dyDescent="0.35">
      <c r="D271" s="174"/>
    </row>
    <row r="272" spans="4:4" x14ac:dyDescent="0.35">
      <c r="D272" s="174"/>
    </row>
    <row r="273" spans="4:4" x14ac:dyDescent="0.35">
      <c r="D273" s="174"/>
    </row>
    <row r="274" spans="4:4" x14ac:dyDescent="0.35">
      <c r="D274" s="174"/>
    </row>
    <row r="275" spans="4:4" x14ac:dyDescent="0.35">
      <c r="D275" s="174"/>
    </row>
    <row r="276" spans="4:4" x14ac:dyDescent="0.35">
      <c r="D276" s="174"/>
    </row>
    <row r="277" spans="4:4" x14ac:dyDescent="0.35">
      <c r="D277" s="174"/>
    </row>
    <row r="278" spans="4:4" x14ac:dyDescent="0.35">
      <c r="D278" s="174"/>
    </row>
    <row r="279" spans="4:4" x14ac:dyDescent="0.35">
      <c r="D279" s="174"/>
    </row>
    <row r="280" spans="4:4" x14ac:dyDescent="0.35">
      <c r="D280" s="174"/>
    </row>
    <row r="281" spans="4:4" x14ac:dyDescent="0.35">
      <c r="D281" s="174"/>
    </row>
    <row r="282" spans="4:4" x14ac:dyDescent="0.35">
      <c r="D282" s="174"/>
    </row>
    <row r="283" spans="4:4" x14ac:dyDescent="0.35">
      <c r="D283" s="174"/>
    </row>
    <row r="284" spans="4:4" x14ac:dyDescent="0.35">
      <c r="D284" s="174"/>
    </row>
    <row r="285" spans="4:4" x14ac:dyDescent="0.35">
      <c r="D285" s="174"/>
    </row>
    <row r="286" spans="4:4" x14ac:dyDescent="0.35">
      <c r="D286" s="174"/>
    </row>
    <row r="287" spans="4:4" x14ac:dyDescent="0.35">
      <c r="D287" s="174"/>
    </row>
    <row r="288" spans="4:4" x14ac:dyDescent="0.35">
      <c r="D288" s="174"/>
    </row>
    <row r="289" spans="4:4" x14ac:dyDescent="0.35">
      <c r="D289" s="174"/>
    </row>
    <row r="290" spans="4:4" x14ac:dyDescent="0.35">
      <c r="D290" s="174"/>
    </row>
    <row r="291" spans="4:4" x14ac:dyDescent="0.35">
      <c r="D291" s="174"/>
    </row>
    <row r="292" spans="4:4" x14ac:dyDescent="0.35">
      <c r="D292" s="174"/>
    </row>
    <row r="293" spans="4:4" x14ac:dyDescent="0.35">
      <c r="D293" s="174"/>
    </row>
    <row r="294" spans="4:4" x14ac:dyDescent="0.35">
      <c r="D294" s="174"/>
    </row>
    <row r="295" spans="4:4" x14ac:dyDescent="0.35">
      <c r="D295" s="174"/>
    </row>
    <row r="296" spans="4:4" x14ac:dyDescent="0.35">
      <c r="D296" s="174"/>
    </row>
    <row r="297" spans="4:4" x14ac:dyDescent="0.35">
      <c r="D297" s="174"/>
    </row>
    <row r="298" spans="4:4" x14ac:dyDescent="0.35">
      <c r="D298" s="174"/>
    </row>
    <row r="299" spans="4:4" x14ac:dyDescent="0.35">
      <c r="D299" s="174"/>
    </row>
    <row r="300" spans="4:4" x14ac:dyDescent="0.35">
      <c r="D300" s="174"/>
    </row>
    <row r="301" spans="4:4" x14ac:dyDescent="0.35">
      <c r="D301" s="174"/>
    </row>
    <row r="302" spans="4:4" x14ac:dyDescent="0.35">
      <c r="D302" s="174"/>
    </row>
    <row r="303" spans="4:4" x14ac:dyDescent="0.35">
      <c r="D303" s="174"/>
    </row>
    <row r="304" spans="4:4" x14ac:dyDescent="0.35">
      <c r="D304" s="174"/>
    </row>
    <row r="305" spans="4:4" x14ac:dyDescent="0.35">
      <c r="D305" s="174"/>
    </row>
    <row r="306" spans="4:4" x14ac:dyDescent="0.35">
      <c r="D306" s="174"/>
    </row>
    <row r="307" spans="4:4" x14ac:dyDescent="0.35">
      <c r="D307" s="174"/>
    </row>
  </sheetData>
  <sheetProtection password="FB8C" sheet="1" objects="1" scenarios="1" formatCells="0" formatColumns="0" formatRows="0"/>
  <dataConsolidate/>
  <mergeCells count="412">
    <mergeCell ref="A1:I2"/>
    <mergeCell ref="J1:AA2"/>
    <mergeCell ref="AG9:AG10"/>
    <mergeCell ref="AB9:AB10"/>
    <mergeCell ref="AC9:AC10"/>
    <mergeCell ref="AD9:AD10"/>
    <mergeCell ref="Z9:Z10"/>
    <mergeCell ref="J9:J10"/>
    <mergeCell ref="G9:G10"/>
    <mergeCell ref="F9:F10"/>
    <mergeCell ref="AF9:AF10"/>
    <mergeCell ref="E9:E10"/>
    <mergeCell ref="A7:J7"/>
    <mergeCell ref="A9:A10"/>
    <mergeCell ref="B9:B10"/>
    <mergeCell ref="C9:C10"/>
    <mergeCell ref="I9:I10"/>
    <mergeCell ref="K7:N7"/>
    <mergeCell ref="O7:R7"/>
    <mergeCell ref="Q9:Q10"/>
    <mergeCell ref="S7:V7"/>
    <mergeCell ref="W7:Z7"/>
    <mergeCell ref="AA9:AA10"/>
    <mergeCell ref="P9:P10"/>
    <mergeCell ref="A11:A12"/>
    <mergeCell ref="B11:B12"/>
    <mergeCell ref="C11:C12"/>
    <mergeCell ref="E11:E12"/>
    <mergeCell ref="F11:F12"/>
    <mergeCell ref="G11:G12"/>
    <mergeCell ref="H11:H12"/>
    <mergeCell ref="I11:I12"/>
    <mergeCell ref="J11:J12"/>
    <mergeCell ref="U11:U12"/>
    <mergeCell ref="V11:V12"/>
    <mergeCell ref="X11:X12"/>
    <mergeCell ref="Y11:Y12"/>
    <mergeCell ref="Z11:Z12"/>
    <mergeCell ref="AB11:AB12"/>
    <mergeCell ref="AC11:AC12"/>
    <mergeCell ref="H9:H10"/>
    <mergeCell ref="L11:L12"/>
    <mergeCell ref="M11:M12"/>
    <mergeCell ref="N11:N12"/>
    <mergeCell ref="P11:P12"/>
    <mergeCell ref="Q11:Q12"/>
    <mergeCell ref="R11:R12"/>
    <mergeCell ref="AA11:AA12"/>
    <mergeCell ref="N9:N10"/>
    <mergeCell ref="M9:M10"/>
    <mergeCell ref="L9:L10"/>
    <mergeCell ref="X9:X10"/>
    <mergeCell ref="Y9:Y10"/>
    <mergeCell ref="V9:V10"/>
    <mergeCell ref="U9:U10"/>
    <mergeCell ref="R9:R10"/>
    <mergeCell ref="T9:T10"/>
    <mergeCell ref="V13:V14"/>
    <mergeCell ref="X15:X16"/>
    <mergeCell ref="Y15:Y16"/>
    <mergeCell ref="AD11:AD12"/>
    <mergeCell ref="AF11:AF12"/>
    <mergeCell ref="AG11:AG12"/>
    <mergeCell ref="A13:A14"/>
    <mergeCell ref="B13:B14"/>
    <mergeCell ref="C13:C14"/>
    <mergeCell ref="E13:E14"/>
    <mergeCell ref="F13:F14"/>
    <mergeCell ref="G13:G14"/>
    <mergeCell ref="H13:H14"/>
    <mergeCell ref="I13:I14"/>
    <mergeCell ref="J13:J14"/>
    <mergeCell ref="L13:L14"/>
    <mergeCell ref="M13:M14"/>
    <mergeCell ref="N13:N14"/>
    <mergeCell ref="P13:P14"/>
    <mergeCell ref="Q13:Q14"/>
    <mergeCell ref="R13:R14"/>
    <mergeCell ref="T13:T14"/>
    <mergeCell ref="T11:T12"/>
    <mergeCell ref="AG13:AG14"/>
    <mergeCell ref="L15:L16"/>
    <mergeCell ref="M15:M16"/>
    <mergeCell ref="N15:N16"/>
    <mergeCell ref="P15:P16"/>
    <mergeCell ref="Q15:Q16"/>
    <mergeCell ref="R15:R16"/>
    <mergeCell ref="T15:T16"/>
    <mergeCell ref="U15:U16"/>
    <mergeCell ref="U13:U14"/>
    <mergeCell ref="A15:A16"/>
    <mergeCell ref="B15:B16"/>
    <mergeCell ref="C15:C16"/>
    <mergeCell ref="E15:E16"/>
    <mergeCell ref="F15:F16"/>
    <mergeCell ref="G15:G16"/>
    <mergeCell ref="H15:H16"/>
    <mergeCell ref="I15:I16"/>
    <mergeCell ref="J15:J16"/>
    <mergeCell ref="Z15:Z16"/>
    <mergeCell ref="AB15:AB16"/>
    <mergeCell ref="AC15:AC16"/>
    <mergeCell ref="AD15:AD16"/>
    <mergeCell ref="AF15:AF16"/>
    <mergeCell ref="AF13:AF14"/>
    <mergeCell ref="X13:X14"/>
    <mergeCell ref="Y13:Y14"/>
    <mergeCell ref="Z13:Z14"/>
    <mergeCell ref="AB13:AB14"/>
    <mergeCell ref="AC13:AC14"/>
    <mergeCell ref="AD13:AD14"/>
    <mergeCell ref="AA15:AA16"/>
    <mergeCell ref="AA13:AA14"/>
    <mergeCell ref="Z17:Z18"/>
    <mergeCell ref="X19:X20"/>
    <mergeCell ref="Y19:Y20"/>
    <mergeCell ref="AG15:AG16"/>
    <mergeCell ref="A17:A18"/>
    <mergeCell ref="B17:B18"/>
    <mergeCell ref="C17:C18"/>
    <mergeCell ref="E17:E18"/>
    <mergeCell ref="F17:F18"/>
    <mergeCell ref="G17:G18"/>
    <mergeCell ref="H17:H18"/>
    <mergeCell ref="I17:I18"/>
    <mergeCell ref="J17:J18"/>
    <mergeCell ref="L17:L18"/>
    <mergeCell ref="M17:M18"/>
    <mergeCell ref="N17:N18"/>
    <mergeCell ref="P17:P18"/>
    <mergeCell ref="Q17:Q18"/>
    <mergeCell ref="R17:R18"/>
    <mergeCell ref="T17:T18"/>
    <mergeCell ref="U17:U18"/>
    <mergeCell ref="V17:V18"/>
    <mergeCell ref="V15:V16"/>
    <mergeCell ref="AG17:AG18"/>
    <mergeCell ref="L19:L20"/>
    <mergeCell ref="M19:M20"/>
    <mergeCell ref="N19:N20"/>
    <mergeCell ref="P19:P20"/>
    <mergeCell ref="Q19:Q20"/>
    <mergeCell ref="R19:R20"/>
    <mergeCell ref="T19:T20"/>
    <mergeCell ref="X17:X18"/>
    <mergeCell ref="Y17:Y18"/>
    <mergeCell ref="A19:A20"/>
    <mergeCell ref="B19:B20"/>
    <mergeCell ref="C19:C20"/>
    <mergeCell ref="E19:E20"/>
    <mergeCell ref="F19:F20"/>
    <mergeCell ref="G19:G20"/>
    <mergeCell ref="H19:H20"/>
    <mergeCell ref="I19:I20"/>
    <mergeCell ref="J19:J20"/>
    <mergeCell ref="AD17:AD18"/>
    <mergeCell ref="AF17:AF18"/>
    <mergeCell ref="AA17:AA18"/>
    <mergeCell ref="AB17:AB18"/>
    <mergeCell ref="AC17:AC18"/>
    <mergeCell ref="AA19:AA20"/>
    <mergeCell ref="AB19:AB20"/>
    <mergeCell ref="AC19:AC20"/>
    <mergeCell ref="AD19:AD20"/>
    <mergeCell ref="AF19:AF20"/>
    <mergeCell ref="AG19:AG20"/>
    <mergeCell ref="A21:A22"/>
    <mergeCell ref="B21:B22"/>
    <mergeCell ref="C21:C22"/>
    <mergeCell ref="E21:E22"/>
    <mergeCell ref="F21:F22"/>
    <mergeCell ref="G21:G22"/>
    <mergeCell ref="H21:H22"/>
    <mergeCell ref="I21:I22"/>
    <mergeCell ref="J21:J22"/>
    <mergeCell ref="L21:L22"/>
    <mergeCell ref="M21:M22"/>
    <mergeCell ref="N21:N22"/>
    <mergeCell ref="P21:P22"/>
    <mergeCell ref="U19:U20"/>
    <mergeCell ref="V19:V20"/>
    <mergeCell ref="Q21:Q22"/>
    <mergeCell ref="R21:R22"/>
    <mergeCell ref="T21:T22"/>
    <mergeCell ref="U21:U22"/>
    <mergeCell ref="V21:V22"/>
    <mergeCell ref="Z19:Z20"/>
    <mergeCell ref="AG21:AG22"/>
    <mergeCell ref="AA21:AA22"/>
    <mergeCell ref="A23:A24"/>
    <mergeCell ref="B23:B24"/>
    <mergeCell ref="C23:C24"/>
    <mergeCell ref="E23:E24"/>
    <mergeCell ref="F23:F24"/>
    <mergeCell ref="G23:G24"/>
    <mergeCell ref="H23:H24"/>
    <mergeCell ref="I23:I24"/>
    <mergeCell ref="J23:J24"/>
    <mergeCell ref="AG23:AG24"/>
    <mergeCell ref="V23:V24"/>
    <mergeCell ref="X23:X24"/>
    <mergeCell ref="X21:X22"/>
    <mergeCell ref="L23:L24"/>
    <mergeCell ref="M23:M24"/>
    <mergeCell ref="N23:N24"/>
    <mergeCell ref="P23:P24"/>
    <mergeCell ref="Q23:Q24"/>
    <mergeCell ref="R23:R24"/>
    <mergeCell ref="T23:T24"/>
    <mergeCell ref="U23:U24"/>
    <mergeCell ref="Y23:Y24"/>
    <mergeCell ref="Z23:Z24"/>
    <mergeCell ref="AA23:AA24"/>
    <mergeCell ref="AF21:AF22"/>
    <mergeCell ref="Y21:Y22"/>
    <mergeCell ref="Z21:Z22"/>
    <mergeCell ref="AB21:AB22"/>
    <mergeCell ref="AC21:AC22"/>
    <mergeCell ref="AD21:AD22"/>
    <mergeCell ref="AB23:AB24"/>
    <mergeCell ref="AC23:AC24"/>
    <mergeCell ref="AD23:AD24"/>
    <mergeCell ref="AF23:AF24"/>
    <mergeCell ref="L25:L26"/>
    <mergeCell ref="M25:M26"/>
    <mergeCell ref="N25:N26"/>
    <mergeCell ref="P25:P26"/>
    <mergeCell ref="Q25:Q26"/>
    <mergeCell ref="A27:A28"/>
    <mergeCell ref="B27:B28"/>
    <mergeCell ref="C27:C28"/>
    <mergeCell ref="E27:E28"/>
    <mergeCell ref="F27:F28"/>
    <mergeCell ref="G27:G28"/>
    <mergeCell ref="H27:H28"/>
    <mergeCell ref="I27:I28"/>
    <mergeCell ref="A25:A26"/>
    <mergeCell ref="B25:B26"/>
    <mergeCell ref="C25:C26"/>
    <mergeCell ref="E25:E26"/>
    <mergeCell ref="F25:F26"/>
    <mergeCell ref="G25:G26"/>
    <mergeCell ref="H25:H26"/>
    <mergeCell ref="I25:I26"/>
    <mergeCell ref="J25:J26"/>
    <mergeCell ref="J27:J28"/>
    <mergeCell ref="L27:L28"/>
    <mergeCell ref="AF27:AF28"/>
    <mergeCell ref="AG27:AG28"/>
    <mergeCell ref="AG25:AG26"/>
    <mergeCell ref="R25:R26"/>
    <mergeCell ref="T25:T26"/>
    <mergeCell ref="U25:U26"/>
    <mergeCell ref="V25:V26"/>
    <mergeCell ref="X25:X26"/>
    <mergeCell ref="Y25:Y26"/>
    <mergeCell ref="Z25:Z26"/>
    <mergeCell ref="R27:R28"/>
    <mergeCell ref="T27:T28"/>
    <mergeCell ref="U27:U28"/>
    <mergeCell ref="V27:V28"/>
    <mergeCell ref="X27:X28"/>
    <mergeCell ref="Z27:Z28"/>
    <mergeCell ref="Y27:Y28"/>
    <mergeCell ref="AA27:AA28"/>
    <mergeCell ref="AB27:AB28"/>
    <mergeCell ref="AA25:AA26"/>
    <mergeCell ref="AB25:AB26"/>
    <mergeCell ref="AC25:AC26"/>
    <mergeCell ref="AD25:AD26"/>
    <mergeCell ref="AF25:AF26"/>
    <mergeCell ref="A29:A30"/>
    <mergeCell ref="B29:B30"/>
    <mergeCell ref="C29:C30"/>
    <mergeCell ref="E29:E30"/>
    <mergeCell ref="F29:F30"/>
    <mergeCell ref="G29:G30"/>
    <mergeCell ref="H29:H30"/>
    <mergeCell ref="I29:I30"/>
    <mergeCell ref="J29:J30"/>
    <mergeCell ref="M27:M28"/>
    <mergeCell ref="N27:N28"/>
    <mergeCell ref="P27:P28"/>
    <mergeCell ref="Q27:Q28"/>
    <mergeCell ref="AA29:AA30"/>
    <mergeCell ref="AB29:AB30"/>
    <mergeCell ref="AC29:AC30"/>
    <mergeCell ref="AC27:AC28"/>
    <mergeCell ref="AD29:AD30"/>
    <mergeCell ref="AD27:AD28"/>
    <mergeCell ref="AF29:AF30"/>
    <mergeCell ref="M29:M30"/>
    <mergeCell ref="N29:N30"/>
    <mergeCell ref="P29:P30"/>
    <mergeCell ref="AG29:AG30"/>
    <mergeCell ref="T29:T30"/>
    <mergeCell ref="U29:U30"/>
    <mergeCell ref="V29:V30"/>
    <mergeCell ref="X29:X30"/>
    <mergeCell ref="Y29:Y30"/>
    <mergeCell ref="Z29:Z30"/>
    <mergeCell ref="A31:A32"/>
    <mergeCell ref="B31:B32"/>
    <mergeCell ref="C31:C32"/>
    <mergeCell ref="E31:E32"/>
    <mergeCell ref="F31:F32"/>
    <mergeCell ref="G31:G32"/>
    <mergeCell ref="H31:H32"/>
    <mergeCell ref="I31:I32"/>
    <mergeCell ref="J31:J32"/>
    <mergeCell ref="AA31:AA32"/>
    <mergeCell ref="L31:L32"/>
    <mergeCell ref="M31:M32"/>
    <mergeCell ref="N31:N32"/>
    <mergeCell ref="P31:P32"/>
    <mergeCell ref="Q31:Q32"/>
    <mergeCell ref="R31:R32"/>
    <mergeCell ref="L29:L30"/>
    <mergeCell ref="Q29:Q30"/>
    <mergeCell ref="R29:R30"/>
    <mergeCell ref="Z33:Z34"/>
    <mergeCell ref="AA33:AA34"/>
    <mergeCell ref="AB31:AB32"/>
    <mergeCell ref="L33:L34"/>
    <mergeCell ref="M33:M34"/>
    <mergeCell ref="N33:N34"/>
    <mergeCell ref="P33:P34"/>
    <mergeCell ref="Q33:Q34"/>
    <mergeCell ref="AC33:AC34"/>
    <mergeCell ref="AD33:AD34"/>
    <mergeCell ref="AF33:AF34"/>
    <mergeCell ref="AG33:AG34"/>
    <mergeCell ref="R33:R34"/>
    <mergeCell ref="T33:T34"/>
    <mergeCell ref="U33:U34"/>
    <mergeCell ref="V33:V34"/>
    <mergeCell ref="X33:X34"/>
    <mergeCell ref="AB33:AB34"/>
    <mergeCell ref="Y33:Y34"/>
    <mergeCell ref="AC31:AC32"/>
    <mergeCell ref="AD31:AD32"/>
    <mergeCell ref="AF31:AF32"/>
    <mergeCell ref="AG31:AG32"/>
    <mergeCell ref="T31:T32"/>
    <mergeCell ref="U31:U32"/>
    <mergeCell ref="V31:V32"/>
    <mergeCell ref="X31:X32"/>
    <mergeCell ref="Y31:Y32"/>
    <mergeCell ref="Z31:Z32"/>
    <mergeCell ref="A33:A34"/>
    <mergeCell ref="B33:B34"/>
    <mergeCell ref="C33:C34"/>
    <mergeCell ref="E33:E34"/>
    <mergeCell ref="F33:F34"/>
    <mergeCell ref="G33:G34"/>
    <mergeCell ref="H33:H34"/>
    <mergeCell ref="I33:I34"/>
    <mergeCell ref="J33:J34"/>
    <mergeCell ref="N35:N36"/>
    <mergeCell ref="P35:P36"/>
    <mergeCell ref="Q35:Q36"/>
    <mergeCell ref="R35:R36"/>
    <mergeCell ref="AF35:AF36"/>
    <mergeCell ref="AG35:AG36"/>
    <mergeCell ref="T35:T36"/>
    <mergeCell ref="U35:U36"/>
    <mergeCell ref="V35:V36"/>
    <mergeCell ref="X35:X36"/>
    <mergeCell ref="Y35:Y36"/>
    <mergeCell ref="Z35:Z36"/>
    <mergeCell ref="A35:A36"/>
    <mergeCell ref="B35:B36"/>
    <mergeCell ref="C35:C36"/>
    <mergeCell ref="E35:E36"/>
    <mergeCell ref="F35:F36"/>
    <mergeCell ref="G35:G36"/>
    <mergeCell ref="H35:H36"/>
    <mergeCell ref="I35:I36"/>
    <mergeCell ref="J35:J36"/>
    <mergeCell ref="A37:A38"/>
    <mergeCell ref="B37:B38"/>
    <mergeCell ref="C37:C38"/>
    <mergeCell ref="E37:E38"/>
    <mergeCell ref="F37:F38"/>
    <mergeCell ref="G37:G38"/>
    <mergeCell ref="H37:H38"/>
    <mergeCell ref="I37:I38"/>
    <mergeCell ref="J37:J38"/>
    <mergeCell ref="AF37:AF38"/>
    <mergeCell ref="AG37:AG38"/>
    <mergeCell ref="X37:X38"/>
    <mergeCell ref="Y37:Y38"/>
    <mergeCell ref="Z37:Z38"/>
    <mergeCell ref="L35:L36"/>
    <mergeCell ref="M35:M36"/>
    <mergeCell ref="AA37:AA38"/>
    <mergeCell ref="AB37:AB38"/>
    <mergeCell ref="AC37:AC38"/>
    <mergeCell ref="AD37:AD38"/>
    <mergeCell ref="L37:L38"/>
    <mergeCell ref="M37:M38"/>
    <mergeCell ref="N37:N38"/>
    <mergeCell ref="P37:P38"/>
    <mergeCell ref="Q37:Q38"/>
    <mergeCell ref="R37:R38"/>
    <mergeCell ref="T37:T38"/>
    <mergeCell ref="U37:U38"/>
    <mergeCell ref="V37:V38"/>
    <mergeCell ref="AA35:AA36"/>
    <mergeCell ref="AB35:AB36"/>
    <mergeCell ref="AC35:AC36"/>
    <mergeCell ref="AD35:AD36"/>
  </mergeCells>
  <conditionalFormatting sqref="H9 A9 A7 O7 S7 W7 A11 A13 A15 A17 A19 A21 A23 A25 A27 A29 A31 A33 A35 A37">
    <cfRule type="expression" dxfId="608" priority="1003">
      <formula>#REF!="Yes"</formula>
    </cfRule>
  </conditionalFormatting>
  <conditionalFormatting sqref="A7 O7 S7 W7">
    <cfRule type="expression" dxfId="607" priority="1002">
      <formula>$AE7:$AE9="[Record ID]"</formula>
    </cfRule>
  </conditionalFormatting>
  <conditionalFormatting sqref="K7">
    <cfRule type="expression" dxfId="606" priority="1000">
      <formula>$AE7:$AE9="[Record ID]"</formula>
    </cfRule>
  </conditionalFormatting>
  <conditionalFormatting sqref="K7">
    <cfRule type="expression" dxfId="605" priority="999">
      <formula>#REF!="Yes"</formula>
    </cfRule>
  </conditionalFormatting>
  <conditionalFormatting sqref="AA7">
    <cfRule type="expression" dxfId="604" priority="990">
      <formula>$AE7:$AE9="[Record ID]"</formula>
    </cfRule>
  </conditionalFormatting>
  <conditionalFormatting sqref="AA7">
    <cfRule type="expression" dxfId="603" priority="989">
      <formula>#REF!="Yes"</formula>
    </cfRule>
  </conditionalFormatting>
  <conditionalFormatting sqref="A9 H9 H11 H13 H15 H17 H19 H21 H23 H25 H27 H29 H31 H33 H35 H37">
    <cfRule type="expression" dxfId="602" priority="1147">
      <formula>$AE9:$AE10="[Record ID]"</formula>
    </cfRule>
  </conditionalFormatting>
  <conditionalFormatting sqref="AB7">
    <cfRule type="expression" dxfId="601" priority="324">
      <formula>$AE7:$AE9="[Record ID]"</formula>
    </cfRule>
  </conditionalFormatting>
  <conditionalFormatting sqref="AB7">
    <cfRule type="expression" dxfId="600" priority="323">
      <formula>#REF!="Yes"</formula>
    </cfRule>
  </conditionalFormatting>
  <conditionalFormatting sqref="AC7">
    <cfRule type="expression" dxfId="599" priority="322">
      <formula>$AE7:$AE9="[Record ID]"</formula>
    </cfRule>
  </conditionalFormatting>
  <conditionalFormatting sqref="AC7">
    <cfRule type="expression" dxfId="598" priority="321">
      <formula>#REF!="Yes"</formula>
    </cfRule>
  </conditionalFormatting>
  <conditionalFormatting sqref="AD7">
    <cfRule type="expression" dxfId="597" priority="320">
      <formula>$AE7:$AE9="[Record ID]"</formula>
    </cfRule>
  </conditionalFormatting>
  <conditionalFormatting sqref="AD7">
    <cfRule type="expression" dxfId="596" priority="319">
      <formula>#REF!="Yes"</formula>
    </cfRule>
  </conditionalFormatting>
  <conditionalFormatting sqref="B8:C8">
    <cfRule type="expression" dxfId="595" priority="318">
      <formula>AND($B1048539&lt;&gt;"",$C1048539&lt;&gt;"")</formula>
    </cfRule>
  </conditionalFormatting>
  <conditionalFormatting sqref="B9:C38">
    <cfRule type="expression" dxfId="594" priority="317">
      <formula>AND($B9&lt;&gt;"",$C9&lt;&gt;"")</formula>
    </cfRule>
  </conditionalFormatting>
  <conditionalFormatting sqref="K15:N38 L13:L14 N13:N14">
    <cfRule type="expression" dxfId="593" priority="298">
      <formula>AND(OR($K13&lt;&gt;"",$K14&lt;&gt;"",$L13&lt;&gt;""),$N13="TBD")</formula>
    </cfRule>
  </conditionalFormatting>
  <conditionalFormatting sqref="K16 K18 K20 K22 K24 K26 K28 K30 K32 K34 K36 K38">
    <cfRule type="expression" dxfId="592" priority="299">
      <formula>AND(OR($K16&lt;&gt;"",$K17&lt;&gt;"",$L16&lt;&gt;""),$N16="TBD")</formula>
    </cfRule>
  </conditionalFormatting>
  <conditionalFormatting sqref="O15:R38 O13:P14 R13:R14">
    <cfRule type="expression" dxfId="591" priority="296">
      <formula>AND(OR($O13&lt;&gt;"",$O14&lt;&gt;"",$P13&lt;&gt;""),$R13="TBD")</formula>
    </cfRule>
  </conditionalFormatting>
  <conditionalFormatting sqref="O14 O16 O18 O20 O22 O24 O26 O28 O30 O32 O34 O36 O38">
    <cfRule type="expression" dxfId="590" priority="297">
      <formula>AND(OR($O13&lt;&gt;"",$O14&lt;&gt;"",$P13&lt;&gt;""),$R13="TBD")</formula>
    </cfRule>
  </conditionalFormatting>
  <conditionalFormatting sqref="S15:V38 V13:V14">
    <cfRule type="expression" dxfId="589" priority="294">
      <formula>AND(OR($S13&lt;&gt;"",$S14&lt;&gt;"",$T13&lt;&gt;""),$V13="TBD")</formula>
    </cfRule>
  </conditionalFormatting>
  <conditionalFormatting sqref="S16 S18 S20 S22 S24 S26 S28 S30 S32 S34 S36 S38">
    <cfRule type="expression" dxfId="588" priority="295">
      <formula>AND(OR($S15&lt;&gt;"",$S16&lt;&gt;"",$T15&lt;&gt;""),$V15="TBD")</formula>
    </cfRule>
  </conditionalFormatting>
  <conditionalFormatting sqref="W9:Z38">
    <cfRule type="expression" dxfId="587" priority="292">
      <formula>AND(OR($W9&lt;&gt;"",$W10&lt;&gt;"",$X9&lt;&gt;""),$Z9="TBD")</formula>
    </cfRule>
  </conditionalFormatting>
  <conditionalFormatting sqref="W10 W12 W14 W16 W18 W20 W22 W24 W26 W28 W30 W32 W34 W36 W38">
    <cfRule type="expression" dxfId="586" priority="293">
      <formula>AND(OR($W9&lt;&gt;"",$W10&lt;&gt;"",$X9&lt;&gt;""),$Z9="TBD")</formula>
    </cfRule>
  </conditionalFormatting>
  <conditionalFormatting sqref="H11">
    <cfRule type="expression" dxfId="585" priority="289">
      <formula>#REF!="Yes"</formula>
    </cfRule>
  </conditionalFormatting>
  <conditionalFormatting sqref="A11">
    <cfRule type="expression" dxfId="584" priority="291">
      <formula>$AE11:$AE12="[Record ID]"</formula>
    </cfRule>
  </conditionalFormatting>
  <conditionalFormatting sqref="H13">
    <cfRule type="expression" dxfId="583" priority="277">
      <formula>#REF!="Yes"</formula>
    </cfRule>
  </conditionalFormatting>
  <conditionalFormatting sqref="A13">
    <cfRule type="expression" dxfId="582" priority="279">
      <formula>$AE13:$AE14="[Record ID]"</formula>
    </cfRule>
  </conditionalFormatting>
  <conditionalFormatting sqref="H15">
    <cfRule type="expression" dxfId="581" priority="265">
      <formula>#REF!="Yes"</formula>
    </cfRule>
  </conditionalFormatting>
  <conditionalFormatting sqref="A15">
    <cfRule type="expression" dxfId="580" priority="267">
      <formula>$AE15:$AE16="[Record ID]"</formula>
    </cfRule>
  </conditionalFormatting>
  <conditionalFormatting sqref="H17">
    <cfRule type="expression" dxfId="579" priority="253">
      <formula>#REF!="Yes"</formula>
    </cfRule>
  </conditionalFormatting>
  <conditionalFormatting sqref="A17">
    <cfRule type="expression" dxfId="578" priority="255">
      <formula>$AE17:$AE18="[Record ID]"</formula>
    </cfRule>
  </conditionalFormatting>
  <conditionalFormatting sqref="H19">
    <cfRule type="expression" dxfId="577" priority="241">
      <formula>#REF!="Yes"</formula>
    </cfRule>
  </conditionalFormatting>
  <conditionalFormatting sqref="A19">
    <cfRule type="expression" dxfId="576" priority="243">
      <formula>$AE19:$AE20="[Record ID]"</formula>
    </cfRule>
  </conditionalFormatting>
  <conditionalFormatting sqref="H21">
    <cfRule type="expression" dxfId="575" priority="229">
      <formula>#REF!="Yes"</formula>
    </cfRule>
  </conditionalFormatting>
  <conditionalFormatting sqref="A21">
    <cfRule type="expression" dxfId="574" priority="231">
      <formula>$AE21:$AE22="[Record ID]"</formula>
    </cfRule>
  </conditionalFormatting>
  <conditionalFormatting sqref="H23">
    <cfRule type="expression" dxfId="573" priority="217">
      <formula>#REF!="Yes"</formula>
    </cfRule>
  </conditionalFormatting>
  <conditionalFormatting sqref="A23">
    <cfRule type="expression" dxfId="572" priority="219">
      <formula>$AE23:$AE24="[Record ID]"</formula>
    </cfRule>
  </conditionalFormatting>
  <conditionalFormatting sqref="H25">
    <cfRule type="expression" dxfId="571" priority="205">
      <formula>#REF!="Yes"</formula>
    </cfRule>
  </conditionalFormatting>
  <conditionalFormatting sqref="A25">
    <cfRule type="expression" dxfId="570" priority="207">
      <formula>$AE25:$AE26="[Record ID]"</formula>
    </cfRule>
  </conditionalFormatting>
  <conditionalFormatting sqref="H27">
    <cfRule type="expression" dxfId="569" priority="193">
      <formula>#REF!="Yes"</formula>
    </cfRule>
  </conditionalFormatting>
  <conditionalFormatting sqref="A27">
    <cfRule type="expression" dxfId="568" priority="195">
      <formula>$AE27:$AE28="[Record ID]"</formula>
    </cfRule>
  </conditionalFormatting>
  <conditionalFormatting sqref="H29">
    <cfRule type="expression" dxfId="567" priority="181">
      <formula>#REF!="Yes"</formula>
    </cfRule>
  </conditionalFormatting>
  <conditionalFormatting sqref="A29">
    <cfRule type="expression" dxfId="566" priority="183">
      <formula>$AE29:$AE30="[Record ID]"</formula>
    </cfRule>
  </conditionalFormatting>
  <conditionalFormatting sqref="H31">
    <cfRule type="expression" dxfId="565" priority="169">
      <formula>#REF!="Yes"</formula>
    </cfRule>
  </conditionalFormatting>
  <conditionalFormatting sqref="A31">
    <cfRule type="expression" dxfId="564" priority="171">
      <formula>$AE31:$AE32="[Record ID]"</formula>
    </cfRule>
  </conditionalFormatting>
  <conditionalFormatting sqref="H33">
    <cfRule type="expression" dxfId="563" priority="157">
      <formula>#REF!="Yes"</formula>
    </cfRule>
  </conditionalFormatting>
  <conditionalFormatting sqref="A33">
    <cfRule type="expression" dxfId="562" priority="159">
      <formula>$AE33:$AE34="[Record ID]"</formula>
    </cfRule>
  </conditionalFormatting>
  <conditionalFormatting sqref="H35">
    <cfRule type="expression" dxfId="561" priority="145">
      <formula>#REF!="Yes"</formula>
    </cfRule>
  </conditionalFormatting>
  <conditionalFormatting sqref="A35">
    <cfRule type="expression" dxfId="560" priority="147">
      <formula>$AE35:$AE36="[Record ID]"</formula>
    </cfRule>
  </conditionalFormatting>
  <conditionalFormatting sqref="H37">
    <cfRule type="expression" dxfId="559" priority="133">
      <formula>#REF!="Yes"</formula>
    </cfRule>
  </conditionalFormatting>
  <conditionalFormatting sqref="A37">
    <cfRule type="expression" dxfId="558" priority="135">
      <formula>$AE37:$AE38="[Record ID]"</formula>
    </cfRule>
  </conditionalFormatting>
  <conditionalFormatting sqref="K13:K14">
    <cfRule type="expression" dxfId="557" priority="12">
      <formula>AND(OR($K13&lt;&gt;"",$K14&lt;&gt;"",$L13&lt;&gt;""),$N13="TBD")</formula>
    </cfRule>
  </conditionalFormatting>
  <conditionalFormatting sqref="K14">
    <cfRule type="expression" dxfId="556" priority="13">
      <formula>AND(OR($K14&lt;&gt;"",$K15&lt;&gt;"",$L14&lt;&gt;""),$N14="TBD")</formula>
    </cfRule>
  </conditionalFormatting>
  <conditionalFormatting sqref="M13:M14">
    <cfRule type="expression" dxfId="555" priority="11">
      <formula>AND(OR($K13&lt;&gt;"",$K14&lt;&gt;"",$L13&lt;&gt;""),$N13="TBD")</formula>
    </cfRule>
  </conditionalFormatting>
  <conditionalFormatting sqref="Q13:Q14">
    <cfRule type="expression" dxfId="554" priority="10">
      <formula>AND(OR($O13&lt;&gt;"",$O14&lt;&gt;"",$P13&lt;&gt;""),$R13="TBD")</formula>
    </cfRule>
  </conditionalFormatting>
  <conditionalFormatting sqref="T13:U13 S14:U14">
    <cfRule type="expression" dxfId="553" priority="8">
      <formula>AND(OR($S13&lt;&gt;"",$S14&lt;&gt;"",$T13&lt;&gt;""),$V13="TBD")</formula>
    </cfRule>
  </conditionalFormatting>
  <conditionalFormatting sqref="S14">
    <cfRule type="expression" dxfId="552" priority="9">
      <formula>AND(OR($S13&lt;&gt;"",$S14&lt;&gt;"",$T13&lt;&gt;""),$V13="TBD")</formula>
    </cfRule>
  </conditionalFormatting>
  <conditionalFormatting sqref="S13">
    <cfRule type="expression" dxfId="551" priority="7">
      <formula>AND(OR($K13&lt;&gt;"",$K14&lt;&gt;"",$L13&lt;&gt;""),$N13="TBD")</formula>
    </cfRule>
  </conditionalFormatting>
  <conditionalFormatting sqref="K9:N12">
    <cfRule type="expression" dxfId="550" priority="5">
      <formula>AND(OR($K9&lt;&gt;"",$K10&lt;&gt;"",$L9&lt;&gt;""),$N9="TBD")</formula>
    </cfRule>
  </conditionalFormatting>
  <conditionalFormatting sqref="K10 K12">
    <cfRule type="expression" dxfId="549" priority="6">
      <formula>AND(OR($K10&lt;&gt;"",$K11&lt;&gt;"",$L10&lt;&gt;""),$N10="TBD")</formula>
    </cfRule>
  </conditionalFormatting>
  <conditionalFormatting sqref="O9:R12">
    <cfRule type="expression" dxfId="548" priority="3">
      <formula>AND(OR($O9&lt;&gt;"",$O10&lt;&gt;"",$P9&lt;&gt;""),$R9="TBD")</formula>
    </cfRule>
  </conditionalFormatting>
  <conditionalFormatting sqref="O10 O12">
    <cfRule type="expression" dxfId="547" priority="4">
      <formula>AND(OR($O9&lt;&gt;"",$O10&lt;&gt;"",$P9&lt;&gt;""),$R9="TBD")</formula>
    </cfRule>
  </conditionalFormatting>
  <conditionalFormatting sqref="S9:V12">
    <cfRule type="expression" dxfId="546" priority="1">
      <formula>AND(OR($S9&lt;&gt;"",$S10&lt;&gt;"",$T9&lt;&gt;""),$V9="TBD")</formula>
    </cfRule>
  </conditionalFormatting>
  <conditionalFormatting sqref="S10 S12">
    <cfRule type="expression" dxfId="545" priority="2">
      <formula>AND(OR($S9&lt;&gt;"",$S10&lt;&gt;"",$T9&lt;&gt;""),$V9="TBD")</formula>
    </cfRule>
  </conditionalFormatting>
  <dataValidations count="11">
    <dataValidation type="list" allowBlank="1" showInputMessage="1" showErrorMessage="1" sqref="B9:B38" xr:uid="{00000000-0002-0000-0400-000000000000}">
      <formula1>ImpactIndicator</formula1>
    </dataValidation>
    <dataValidation type="list" allowBlank="1" showInputMessage="1" showErrorMessage="1" sqref="J9:J38" xr:uid="{00000000-0002-0000-0400-000001000000}">
      <formula1>Country</formula1>
    </dataValidation>
    <dataValidation type="decimal" operator="greaterThanOrEqual" allowBlank="1" showInputMessage="1" showErrorMessage="1" sqref="D9:D307 E9:E38 O9:P38 S9:T38 K9:L38 W9:X38" xr:uid="{00000000-0002-0000-0400-000002000000}">
      <formula1>0</formula1>
    </dataValidation>
    <dataValidation type="textLength" allowBlank="1" showInputMessage="1" showErrorMessage="1" sqref="G9:G38" xr:uid="{00000000-0002-0000-0400-000003000000}">
      <formula1>0</formula1>
      <formula2>4000</formula2>
    </dataValidation>
    <dataValidation type="textLength" allowBlank="1" showInputMessage="1" showErrorMessage="1" sqref="AA9:AA38 AC9:AD38" xr:uid="{00000000-0002-0000-0400-000004000000}">
      <formula1>0</formula1>
      <formula2>32768</formula2>
    </dataValidation>
    <dataValidation type="list" allowBlank="1" showInputMessage="1" showErrorMessage="1" sqref="F9:F38" xr:uid="{00000000-0002-0000-0400-000005000000}">
      <formula1>baseline_validation</formula1>
    </dataValidation>
    <dataValidation type="custom" allowBlank="1" showErrorMessage="1" errorTitle="Indicator" error="Cannot enter both Standard and Custom indicators on the same line" sqref="C9:C38" xr:uid="{00000000-0002-0000-0400-000006000000}">
      <formula1>B9=""</formula1>
    </dataValidation>
    <dataValidation type="date" operator="greaterThan" allowBlank="1" showInputMessage="1" showErrorMessage="1" sqref="Y9:Y38 Q9:Q38 M9:M38" xr:uid="{00000000-0002-0000-0400-000007000000}">
      <formula1>36526</formula1>
    </dataValidation>
    <dataValidation type="date" errorStyle="information" operator="greaterThan" allowBlank="1" showInputMessage="1" showErrorMessage="1" sqref="U9:U38" xr:uid="{00000000-0002-0000-0400-000008000000}">
      <formula1>36526</formula1>
    </dataValidation>
    <dataValidation type="list" allowBlank="1" showInputMessage="1" showErrorMessage="1" sqref="I9:I38" xr:uid="{00000000-0002-0000-0400-000009000000}">
      <formula1>MergedAndDistinctPR</formula1>
    </dataValidation>
    <dataValidation type="custom" allowBlank="1" showInputMessage="1" showErrorMessage="1" errorTitle="Indicator" error="Cannot enter both Standard and Custom indicators on the same line" sqref="AB9:AB38" xr:uid="{00000000-0002-0000-0400-00000A000000}">
      <formula1>B9=""</formula1>
    </dataValidation>
  </dataValidations>
  <hyperlinks>
    <hyperlink ref="B5" location="'Instructions-FR'!InstructionB" display="'Instructions-FR'!InstructionB" xr:uid="{00000000-0004-0000-04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365" id="{87669369-EAA4-4B0D-933B-BF190EED13FF}">
            <xm:f>'Overview - Section A'!$T$3="English"</xm:f>
            <x14:dxf>
              <font>
                <color theme="1"/>
              </font>
              <fill>
                <patternFill>
                  <bgColor rgb="FF8DB4E2"/>
                </patternFill>
              </fill>
            </x14:dxf>
          </x14:cfRule>
          <xm:sqref>C8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B000000}">
          <x14:formula1>
            <xm:f>IF(OR($K9&lt;&gt;"",$K10&lt;&gt;"",$L9&lt;&gt;""),INDIRECT("FakeRange"),Setup!A$29)</xm:f>
          </x14:formula1>
          <xm:sqref>N9:N38</xm:sqref>
        </x14:dataValidation>
        <x14:dataValidation type="list" allowBlank="1" showInputMessage="1" showErrorMessage="1" xr:uid="{00000000-0002-0000-0400-00000C000000}">
          <x14:formula1>
            <xm:f>IF(OR($O9&lt;&gt;"",$O10&lt;&gt;"",$P9&lt;&gt;""),INDIRECT("FakeRange"),Setup!A$29)</xm:f>
          </x14:formula1>
          <xm:sqref>R9:R38</xm:sqref>
        </x14:dataValidation>
        <x14:dataValidation type="list" operator="greaterThan" allowBlank="1" showInputMessage="1" showErrorMessage="1" xr:uid="{00000000-0002-0000-0400-00000D000000}">
          <x14:formula1>
            <xm:f>IF(OR($S9&lt;&gt;"",$S10&lt;&gt;"",$T9&lt;&gt;""),INDIRECT("FakeRange"),Setup!A$29)</xm:f>
          </x14:formula1>
          <xm:sqref>V9:V38</xm:sqref>
        </x14:dataValidation>
        <x14:dataValidation type="list" allowBlank="1" showInputMessage="1" showErrorMessage="1" xr:uid="{00000000-0002-0000-0400-00000E000000}">
          <x14:formula1>
            <xm:f>IF(OR($W9&lt;&gt;"",$W10&lt;&gt;"",$X9&lt;&gt;""),INDIRECT("FakeRange"),Setup!A$29)</xm:f>
          </x14:formula1>
          <xm:sqref>Z9:Z38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AG6340"/>
  <sheetViews>
    <sheetView topLeftCell="V1" zoomScale="71" zoomScaleNormal="71" workbookViewId="0">
      <selection activeCell="A5270" sqref="A5270"/>
    </sheetView>
  </sheetViews>
  <sheetFormatPr defaultColWidth="8.58203125" defaultRowHeight="15.5" x14ac:dyDescent="0.35"/>
  <cols>
    <col min="1" max="1" width="33.1640625" style="496" customWidth="1"/>
    <col min="2" max="2" width="14.5" style="496" customWidth="1"/>
    <col min="3" max="3" width="27" style="496" customWidth="1"/>
    <col min="4" max="4" width="42" style="496" customWidth="1"/>
    <col min="5" max="5" width="27.6640625" style="496" customWidth="1"/>
    <col min="6" max="6" width="23.58203125" style="496" customWidth="1"/>
    <col min="7" max="7" width="33.58203125" style="496" customWidth="1"/>
    <col min="8" max="8" width="24.5" style="496" customWidth="1"/>
    <col min="9" max="9" width="42.58203125" style="496" customWidth="1"/>
    <col min="10" max="10" width="47.6640625" style="496" customWidth="1"/>
    <col min="11" max="11" width="31.08203125" style="496" customWidth="1"/>
    <col min="12" max="12" width="26.58203125" style="496" customWidth="1"/>
    <col min="13" max="13" width="33.6640625" style="496" customWidth="1"/>
    <col min="14" max="14" width="35" style="496" customWidth="1"/>
    <col min="15" max="15" width="21.08203125" style="496" customWidth="1"/>
    <col min="16" max="16" width="47.1640625" style="496" customWidth="1"/>
    <col min="17" max="17" width="29" style="496" customWidth="1"/>
    <col min="18" max="18" width="32.58203125" style="496" customWidth="1"/>
    <col min="19" max="19" width="33.1640625" style="496" customWidth="1"/>
    <col min="20" max="20" width="37.58203125" style="496" customWidth="1"/>
    <col min="21" max="21" width="30.58203125" style="496" bestFit="1" customWidth="1"/>
    <col min="22" max="22" width="34.08203125" style="496" bestFit="1" customWidth="1"/>
    <col min="23" max="23" width="35.58203125" style="496" bestFit="1" customWidth="1"/>
    <col min="24" max="26" width="8.58203125" style="496"/>
    <col min="27" max="27" width="34.1640625" style="496" customWidth="1"/>
    <col min="28" max="28" width="31.1640625" style="496" customWidth="1"/>
    <col min="29" max="16384" width="8.58203125" style="496"/>
  </cols>
  <sheetData>
    <row r="1" spans="1:29" x14ac:dyDescent="0.35">
      <c r="A1" s="495" t="s">
        <v>326</v>
      </c>
      <c r="U1" s="496" t="s">
        <v>937</v>
      </c>
      <c r="V1" s="496" t="s">
        <v>938</v>
      </c>
      <c r="W1" s="496" t="s">
        <v>939</v>
      </c>
      <c r="X1" s="496" t="s">
        <v>940</v>
      </c>
      <c r="AA1" s="496" t="s">
        <v>968</v>
      </c>
      <c r="AB1" s="496" t="s">
        <v>984</v>
      </c>
      <c r="AC1" s="496" t="s">
        <v>985</v>
      </c>
    </row>
    <row r="2" spans="1:29" x14ac:dyDescent="0.35">
      <c r="A2" s="497"/>
      <c r="B2" s="498">
        <v>-14</v>
      </c>
      <c r="C2" s="497" t="s">
        <v>48</v>
      </c>
      <c r="D2" s="497" t="s">
        <v>4</v>
      </c>
      <c r="E2" s="497" t="s">
        <v>3</v>
      </c>
      <c r="F2" s="497" t="s">
        <v>2</v>
      </c>
      <c r="G2" s="497" t="s">
        <v>18</v>
      </c>
      <c r="H2" s="497" t="s">
        <v>29</v>
      </c>
      <c r="I2" s="497">
        <v>-25</v>
      </c>
      <c r="J2" s="498" t="s">
        <v>327</v>
      </c>
      <c r="K2" s="497" t="s">
        <v>11</v>
      </c>
      <c r="L2" s="497" t="s">
        <v>10</v>
      </c>
      <c r="M2" s="497" t="s">
        <v>142</v>
      </c>
      <c r="N2" s="497" t="s">
        <v>349</v>
      </c>
      <c r="O2" s="497" t="s">
        <v>188</v>
      </c>
      <c r="P2" s="497" t="s">
        <v>467</v>
      </c>
      <c r="Q2" s="497" t="s">
        <v>468</v>
      </c>
      <c r="R2" s="497" t="s">
        <v>469</v>
      </c>
      <c r="S2" s="497" t="s">
        <v>946</v>
      </c>
      <c r="T2" s="497" t="s">
        <v>948</v>
      </c>
      <c r="U2" s="499">
        <f>MAX('Overview - Section A'!B$39:B47)-1</f>
        <v>6</v>
      </c>
      <c r="V2" s="499">
        <f>MAX('Overview - Section A'!B$39:B47)-1</f>
        <v>6</v>
      </c>
      <c r="W2" s="499">
        <f ca="1">MAX(P$939:P1660)/MAX(F$939:F1660)</f>
        <v>6</v>
      </c>
      <c r="X2" s="496">
        <f ca="1">MAX(P$4310:P5751)/MAX(C$4310:C5751)</f>
        <v>6</v>
      </c>
      <c r="AA2" s="496">
        <f>COUNTA(D476:D838)-1</f>
        <v>180</v>
      </c>
      <c r="AB2" s="496">
        <f>IFERROR((MAX(P$938:P1660))/AC2,0)</f>
        <v>8</v>
      </c>
      <c r="AC2" s="496">
        <f>(COUNTA(C842:C934)-2)/2</f>
        <v>45</v>
      </c>
    </row>
    <row r="3" spans="1:29" hidden="1" x14ac:dyDescent="0.35">
      <c r="A3" s="497" t="b">
        <f ca="1">IF(OR(P3&lt;&gt;"",M3&lt;&gt;""),TRUE,FALSE)</f>
        <v>0</v>
      </c>
      <c r="B3" s="498">
        <f>B2+1</f>
        <v>-13</v>
      </c>
      <c r="C3" s="497" t="str">
        <f>IFERROR(INDEX(C$2:C3,B3,1),"")</f>
        <v/>
      </c>
      <c r="D3" s="500" t="str">
        <f ca="1">IFERROR(IF(INDIRECT("'Impact Indicators - Section B '!E"&amp;$I3)="","",INDIRECT("'Impact Indicators - Section B '!E"&amp;$I3)*100),"")</f>
        <v/>
      </c>
      <c r="E3" s="501" t="str">
        <f ca="1">IFERROR(IF(INDIRECT("'Impact Indicators - Section B '!D"&amp;$I3+1)="","",INDIRECT("'Impact Indicators - Section B '!D"&amp;$I3+1)),"")</f>
        <v/>
      </c>
      <c r="F3" s="502" t="str">
        <f ca="1">IFERROR(IF(INDIRECT("'Impact Indicators - Section B '!D"&amp;$I3)="","",INDIRECT("'Impact Indicators - Section B '!D"&amp;$I3)),"")</f>
        <v/>
      </c>
      <c r="G3" s="503" t="str">
        <f ca="1">IFERROR(IF(INDIRECT("'Impact Indicators - Section B '!AC"&amp;$I3)=0,"",INDIRECT("'Impact Indicators - Section B '!AC"&amp;$I3)),"")</f>
        <v/>
      </c>
      <c r="H3" s="503" t="str">
        <f ca="1">IFERROR(IF(INDIRECT("'Impact Indicators - Section B '!F"&amp;$I3)=0,"",INDIRECT("'Impact Indicators - Section B '!F"&amp;$I3)),"")</f>
        <v/>
      </c>
      <c r="I3" s="498">
        <f>I2+2</f>
        <v>-23</v>
      </c>
      <c r="J3" s="503" t="str">
        <f ca="1">IFERROR(IF(INDIRECT("'Impact Indicators - Section B '!AD"&amp;$I3)=0,"",INDIRECT("'Impact Indicators - Section B '!AD"&amp;$I3)),"")</f>
        <v/>
      </c>
      <c r="K3" s="497" t="str">
        <f ca="1">IFERROR(IF(INDIRECT("'Impact Indicators - Section B '!J"&amp;$I3)=0,"",INDIRECT("'Impact Indicators - Section B '!J"&amp;$I3)),"")</f>
        <v/>
      </c>
      <c r="L3" s="503" t="str">
        <f ca="1">IFERROR(IF(INDIRECT("'Impact Indicators - Section B '!AB"&amp;$I3)=0,"",INDIRECT("'Impact Indicators - Section B '!AB"&amp;$I3)),"")</f>
        <v/>
      </c>
      <c r="M3" s="497" t="str">
        <f t="array" aca="1" ref="M3" ca="1">IFERROR(VLOOKUP(LEFT(INDIRECT("'Impact Indicators - Section B '!AH"&amp;$I3),255),LEFT('Reference Records'!$G$4:$H$20,255),2,0),"")</f>
        <v/>
      </c>
      <c r="N3" s="497" t="s">
        <v>348</v>
      </c>
      <c r="O3" s="503" t="str">
        <f ca="1">IFERROR(VLOOKUP(INDIRECT("'Impact Indicators - Section B '!I"&amp;$I3),'Overview - Section A'!M$31:P33,4,0),IFERROR(VLOOKUP(INDIRECT("'Impact Indicators - Section B '!I"&amp;$I3),'Overview - Section A'!E$27:I30,5,0),""))</f>
        <v/>
      </c>
      <c r="P3" s="503" t="str">
        <f ca="1">IFERROR(IF(INDIRECT("'Impact Indicators - Section B '!C"&amp;$I3)=0,"",INDIRECT("'Impact Indicators - Section B '!C"&amp;$I3)),"")</f>
        <v/>
      </c>
      <c r="Q3" s="503" t="str">
        <f ca="1">IFERROR(IF(INDIRECT("'Impact Indicators - Section B '!G"&amp;$I3)=0,"",INDIRECT("'Impact Indicators - Section B '!G"&amp;$I3)),"")</f>
        <v/>
      </c>
      <c r="R3" s="504" t="str">
        <f ca="1">IFERROR(IF(INDIRECT("'Impact Indicators - Section B '!AA"&amp;$I3)=0,"",INDIRECT("'Impact Indicators - Section B '!AA"&amp;$I3)),"")</f>
        <v/>
      </c>
      <c r="S3" s="503" t="s">
        <v>945</v>
      </c>
      <c r="T3" s="503" t="s">
        <v>947</v>
      </c>
    </row>
    <row r="4" spans="1:29" ht="409.5" x14ac:dyDescent="0.35">
      <c r="A4" s="497" t="b">
        <v>1</v>
      </c>
      <c r="B4" s="498">
        <f t="shared" ref="B4:B48" si="0">B3+1</f>
        <v>-12</v>
      </c>
      <c r="C4" s="497" t="s">
        <v>9001</v>
      </c>
      <c r="D4" s="500">
        <v>20.544449170565699</v>
      </c>
      <c r="E4" s="501">
        <v>2351</v>
      </c>
      <c r="F4" s="502">
        <v>483</v>
      </c>
      <c r="G4" s="503" t="s">
        <v>9002</v>
      </c>
      <c r="H4" s="503" t="s">
        <v>1032</v>
      </c>
      <c r="I4" s="498">
        <f t="shared" ref="I4:I48" si="1">I3+2</f>
        <v>-21</v>
      </c>
      <c r="J4" s="504" t="s">
        <v>9003</v>
      </c>
      <c r="K4" s="497" t="s">
        <v>1070</v>
      </c>
      <c r="L4" s="503"/>
      <c r="M4" s="497" t="s">
        <v>1513</v>
      </c>
      <c r="N4" s="497" t="s">
        <v>4029</v>
      </c>
      <c r="O4" s="503" t="s">
        <v>4030</v>
      </c>
      <c r="P4" s="503"/>
      <c r="Q4" s="503" t="s">
        <v>9002</v>
      </c>
      <c r="R4" s="504" t="s">
        <v>9004</v>
      </c>
      <c r="S4" s="503" t="s">
        <v>1518</v>
      </c>
      <c r="T4" s="503" t="s">
        <v>1519</v>
      </c>
    </row>
    <row r="5" spans="1:29" ht="409.5" x14ac:dyDescent="0.35">
      <c r="A5" s="497" t="b">
        <v>1</v>
      </c>
      <c r="B5" s="498">
        <f t="shared" si="0"/>
        <v>-11</v>
      </c>
      <c r="C5" s="497" t="s">
        <v>9005</v>
      </c>
      <c r="D5" s="500">
        <v>27.190332326284</v>
      </c>
      <c r="E5" s="501">
        <v>331</v>
      </c>
      <c r="F5" s="502">
        <v>90</v>
      </c>
      <c r="G5" s="503" t="s">
        <v>9002</v>
      </c>
      <c r="H5" s="503" t="s">
        <v>1032</v>
      </c>
      <c r="I5" s="498">
        <f t="shared" si="1"/>
        <v>-19</v>
      </c>
      <c r="J5" s="504" t="s">
        <v>9006</v>
      </c>
      <c r="K5" s="497" t="s">
        <v>1070</v>
      </c>
      <c r="L5" s="503"/>
      <c r="M5" s="497" t="s">
        <v>1523</v>
      </c>
      <c r="N5" s="497" t="s">
        <v>4029</v>
      </c>
      <c r="O5" s="503" t="s">
        <v>4030</v>
      </c>
      <c r="P5" s="503"/>
      <c r="Q5" s="503" t="s">
        <v>9002</v>
      </c>
      <c r="R5" s="504" t="s">
        <v>9007</v>
      </c>
      <c r="S5" s="503" t="s">
        <v>1527</v>
      </c>
      <c r="T5" s="503" t="s">
        <v>1528</v>
      </c>
    </row>
    <row r="6" spans="1:29" x14ac:dyDescent="0.35">
      <c r="A6" s="497" t="b">
        <v>0</v>
      </c>
      <c r="B6" s="498">
        <f t="shared" si="0"/>
        <v>-10</v>
      </c>
      <c r="C6" s="497" t="s">
        <v>9008</v>
      </c>
      <c r="D6" s="500"/>
      <c r="E6" s="501"/>
      <c r="F6" s="502"/>
      <c r="G6" s="503"/>
      <c r="H6" s="503"/>
      <c r="I6" s="498">
        <f t="shared" si="1"/>
        <v>-17</v>
      </c>
      <c r="J6" s="503"/>
      <c r="K6" s="497"/>
      <c r="L6" s="503"/>
      <c r="M6" s="497"/>
      <c r="N6" s="497"/>
      <c r="O6" s="503"/>
      <c r="P6" s="503"/>
      <c r="Q6" s="503"/>
      <c r="R6" s="504"/>
      <c r="S6" s="503"/>
      <c r="T6" s="503"/>
    </row>
    <row r="7" spans="1:29" x14ac:dyDescent="0.35">
      <c r="A7" s="497" t="b">
        <v>0</v>
      </c>
      <c r="B7" s="498">
        <f t="shared" si="0"/>
        <v>-9</v>
      </c>
      <c r="C7" s="497" t="s">
        <v>9009</v>
      </c>
      <c r="D7" s="500"/>
      <c r="E7" s="501"/>
      <c r="F7" s="502"/>
      <c r="G7" s="503"/>
      <c r="H7" s="503"/>
      <c r="I7" s="498">
        <f t="shared" si="1"/>
        <v>-15</v>
      </c>
      <c r="J7" s="503"/>
      <c r="K7" s="497"/>
      <c r="L7" s="503"/>
      <c r="M7" s="497"/>
      <c r="N7" s="497"/>
      <c r="O7" s="503"/>
      <c r="P7" s="503"/>
      <c r="Q7" s="503"/>
      <c r="R7" s="504"/>
      <c r="S7" s="503"/>
      <c r="T7" s="503"/>
    </row>
    <row r="8" spans="1:29" x14ac:dyDescent="0.35">
      <c r="A8" s="497" t="b">
        <v>0</v>
      </c>
      <c r="B8" s="498">
        <f t="shared" si="0"/>
        <v>-8</v>
      </c>
      <c r="C8" s="497" t="s">
        <v>9010</v>
      </c>
      <c r="D8" s="500"/>
      <c r="E8" s="501"/>
      <c r="F8" s="502"/>
      <c r="G8" s="503"/>
      <c r="H8" s="503"/>
      <c r="I8" s="498">
        <f t="shared" si="1"/>
        <v>-13</v>
      </c>
      <c r="J8" s="503"/>
      <c r="K8" s="497"/>
      <c r="L8" s="503"/>
      <c r="M8" s="497"/>
      <c r="N8" s="497"/>
      <c r="O8" s="503"/>
      <c r="P8" s="503"/>
      <c r="Q8" s="503"/>
      <c r="R8" s="504"/>
      <c r="S8" s="503"/>
      <c r="T8" s="503"/>
    </row>
    <row r="9" spans="1:29" x14ac:dyDescent="0.35">
      <c r="A9" s="497" t="b">
        <v>0</v>
      </c>
      <c r="B9" s="498">
        <f t="shared" si="0"/>
        <v>-7</v>
      </c>
      <c r="C9" s="497" t="s">
        <v>9011</v>
      </c>
      <c r="D9" s="500"/>
      <c r="E9" s="501"/>
      <c r="F9" s="502"/>
      <c r="G9" s="503"/>
      <c r="H9" s="503"/>
      <c r="I9" s="498">
        <f t="shared" si="1"/>
        <v>-11</v>
      </c>
      <c r="J9" s="503"/>
      <c r="K9" s="497"/>
      <c r="L9" s="503"/>
      <c r="M9" s="497"/>
      <c r="N9" s="497"/>
      <c r="O9" s="503"/>
      <c r="P9" s="503"/>
      <c r="Q9" s="503"/>
      <c r="R9" s="504"/>
      <c r="S9" s="503"/>
      <c r="T9" s="503"/>
    </row>
    <row r="10" spans="1:29" x14ac:dyDescent="0.35">
      <c r="A10" s="497" t="b">
        <v>0</v>
      </c>
      <c r="B10" s="498">
        <f t="shared" si="0"/>
        <v>-6</v>
      </c>
      <c r="C10" s="497" t="s">
        <v>9012</v>
      </c>
      <c r="D10" s="500"/>
      <c r="E10" s="501"/>
      <c r="F10" s="502"/>
      <c r="G10" s="503"/>
      <c r="H10" s="503"/>
      <c r="I10" s="498">
        <f t="shared" si="1"/>
        <v>-9</v>
      </c>
      <c r="J10" s="503"/>
      <c r="K10" s="497"/>
      <c r="L10" s="503"/>
      <c r="M10" s="497"/>
      <c r="N10" s="497"/>
      <c r="O10" s="503"/>
      <c r="P10" s="503"/>
      <c r="Q10" s="503"/>
      <c r="R10" s="504"/>
      <c r="S10" s="503"/>
      <c r="T10" s="503"/>
    </row>
    <row r="11" spans="1:29" x14ac:dyDescent="0.35">
      <c r="A11" s="497" t="b">
        <v>0</v>
      </c>
      <c r="B11" s="498">
        <f t="shared" si="0"/>
        <v>-5</v>
      </c>
      <c r="C11" s="497" t="s">
        <v>9013</v>
      </c>
      <c r="D11" s="500"/>
      <c r="E11" s="501"/>
      <c r="F11" s="502"/>
      <c r="G11" s="503"/>
      <c r="H11" s="503"/>
      <c r="I11" s="498">
        <f t="shared" si="1"/>
        <v>-7</v>
      </c>
      <c r="J11" s="503"/>
      <c r="K11" s="497"/>
      <c r="L11" s="503"/>
      <c r="M11" s="497"/>
      <c r="N11" s="497"/>
      <c r="O11" s="503"/>
      <c r="P11" s="503"/>
      <c r="Q11" s="503"/>
      <c r="R11" s="504"/>
      <c r="S11" s="503"/>
      <c r="T11" s="503"/>
    </row>
    <row r="12" spans="1:29" x14ac:dyDescent="0.35">
      <c r="A12" s="497" t="b">
        <v>0</v>
      </c>
      <c r="B12" s="498">
        <f t="shared" si="0"/>
        <v>-4</v>
      </c>
      <c r="C12" s="497" t="s">
        <v>9014</v>
      </c>
      <c r="D12" s="500"/>
      <c r="E12" s="501"/>
      <c r="F12" s="502"/>
      <c r="G12" s="503"/>
      <c r="H12" s="503"/>
      <c r="I12" s="498">
        <f t="shared" si="1"/>
        <v>-5</v>
      </c>
      <c r="J12" s="503"/>
      <c r="K12" s="497"/>
      <c r="L12" s="503"/>
      <c r="M12" s="497"/>
      <c r="N12" s="497"/>
      <c r="O12" s="503"/>
      <c r="P12" s="503"/>
      <c r="Q12" s="503"/>
      <c r="R12" s="504"/>
      <c r="S12" s="503"/>
      <c r="T12" s="503"/>
    </row>
    <row r="13" spans="1:29" x14ac:dyDescent="0.35">
      <c r="A13" s="497" t="b">
        <v>0</v>
      </c>
      <c r="B13" s="498">
        <f t="shared" si="0"/>
        <v>-3</v>
      </c>
      <c r="C13" s="497" t="s">
        <v>9015</v>
      </c>
      <c r="D13" s="500"/>
      <c r="E13" s="501"/>
      <c r="F13" s="502"/>
      <c r="G13" s="503"/>
      <c r="H13" s="503"/>
      <c r="I13" s="498">
        <f t="shared" si="1"/>
        <v>-3</v>
      </c>
      <c r="J13" s="503"/>
      <c r="K13" s="497"/>
      <c r="L13" s="503"/>
      <c r="M13" s="497"/>
      <c r="N13" s="497"/>
      <c r="O13" s="503"/>
      <c r="P13" s="503"/>
      <c r="Q13" s="503"/>
      <c r="R13" s="504"/>
      <c r="S13" s="503"/>
      <c r="T13" s="503"/>
    </row>
    <row r="14" spans="1:29" x14ac:dyDescent="0.35">
      <c r="A14" s="497" t="b">
        <v>0</v>
      </c>
      <c r="B14" s="498">
        <f t="shared" si="0"/>
        <v>-2</v>
      </c>
      <c r="C14" s="497" t="s">
        <v>9016</v>
      </c>
      <c r="D14" s="500"/>
      <c r="E14" s="501"/>
      <c r="F14" s="502"/>
      <c r="G14" s="503"/>
      <c r="H14" s="503"/>
      <c r="I14" s="498">
        <f t="shared" si="1"/>
        <v>-1</v>
      </c>
      <c r="J14" s="503"/>
      <c r="K14" s="497"/>
      <c r="L14" s="503"/>
      <c r="M14" s="497"/>
      <c r="N14" s="497"/>
      <c r="O14" s="503"/>
      <c r="P14" s="503"/>
      <c r="Q14" s="503"/>
      <c r="R14" s="504"/>
      <c r="S14" s="503"/>
      <c r="T14" s="503"/>
    </row>
    <row r="15" spans="1:29" x14ac:dyDescent="0.35">
      <c r="A15" s="497" t="b">
        <v>0</v>
      </c>
      <c r="B15" s="498">
        <f t="shared" si="0"/>
        <v>-1</v>
      </c>
      <c r="C15" s="497" t="s">
        <v>9017</v>
      </c>
      <c r="D15" s="500"/>
      <c r="E15" s="501"/>
      <c r="F15" s="502"/>
      <c r="G15" s="503"/>
      <c r="H15" s="503"/>
      <c r="I15" s="498">
        <f t="shared" si="1"/>
        <v>1</v>
      </c>
      <c r="J15" s="503"/>
      <c r="K15" s="497"/>
      <c r="L15" s="503"/>
      <c r="M15" s="497"/>
      <c r="N15" s="497"/>
      <c r="O15" s="503"/>
      <c r="P15" s="503"/>
      <c r="Q15" s="503"/>
      <c r="R15" s="504"/>
      <c r="S15" s="503"/>
      <c r="T15" s="503"/>
    </row>
    <row r="16" spans="1:29" x14ac:dyDescent="0.35">
      <c r="A16" s="497" t="b">
        <v>0</v>
      </c>
      <c r="B16" s="498">
        <f t="shared" si="0"/>
        <v>0</v>
      </c>
      <c r="C16" s="497" t="s">
        <v>9018</v>
      </c>
      <c r="D16" s="500"/>
      <c r="E16" s="501"/>
      <c r="F16" s="502"/>
      <c r="G16" s="503"/>
      <c r="H16" s="503"/>
      <c r="I16" s="498">
        <f t="shared" si="1"/>
        <v>3</v>
      </c>
      <c r="J16" s="503"/>
      <c r="K16" s="497"/>
      <c r="L16" s="503"/>
      <c r="M16" s="497"/>
      <c r="N16" s="497"/>
      <c r="O16" s="503"/>
      <c r="P16" s="503"/>
      <c r="Q16" s="503"/>
      <c r="R16" s="504"/>
      <c r="S16" s="503"/>
      <c r="T16" s="503"/>
    </row>
    <row r="17" spans="1:20" x14ac:dyDescent="0.35">
      <c r="A17" s="497" t="b">
        <v>0</v>
      </c>
      <c r="B17" s="498">
        <f t="shared" si="0"/>
        <v>1</v>
      </c>
      <c r="C17" s="497" t="s">
        <v>9019</v>
      </c>
      <c r="D17" s="500"/>
      <c r="E17" s="501"/>
      <c r="F17" s="502"/>
      <c r="G17" s="503"/>
      <c r="H17" s="503"/>
      <c r="I17" s="498">
        <f t="shared" si="1"/>
        <v>5</v>
      </c>
      <c r="J17" s="503"/>
      <c r="K17" s="497"/>
      <c r="L17" s="503"/>
      <c r="M17" s="497"/>
      <c r="N17" s="497"/>
      <c r="O17" s="503"/>
      <c r="P17" s="503"/>
      <c r="Q17" s="503"/>
      <c r="R17" s="504"/>
      <c r="S17" s="503"/>
      <c r="T17" s="503"/>
    </row>
    <row r="18" spans="1:20" x14ac:dyDescent="0.35">
      <c r="A18" s="497" t="b">
        <v>0</v>
      </c>
      <c r="B18" s="498">
        <f t="shared" si="0"/>
        <v>2</v>
      </c>
      <c r="C18" s="497" t="s">
        <v>9020</v>
      </c>
      <c r="D18" s="500"/>
      <c r="E18" s="501"/>
      <c r="F18" s="502"/>
      <c r="G18" s="503"/>
      <c r="H18" s="503"/>
      <c r="I18" s="498">
        <f t="shared" si="1"/>
        <v>7</v>
      </c>
      <c r="J18" s="503"/>
      <c r="K18" s="497"/>
      <c r="L18" s="503"/>
      <c r="M18" s="497"/>
      <c r="N18" s="497"/>
      <c r="O18" s="503"/>
      <c r="P18" s="503"/>
      <c r="Q18" s="503"/>
      <c r="R18" s="504"/>
      <c r="S18" s="503"/>
      <c r="T18" s="503"/>
    </row>
    <row r="19" spans="1:20" ht="409.5" x14ac:dyDescent="0.35">
      <c r="A19" s="497" t="b">
        <v>1</v>
      </c>
      <c r="B19" s="498">
        <f t="shared" si="0"/>
        <v>3</v>
      </c>
      <c r="C19" s="497" t="s">
        <v>9021</v>
      </c>
      <c r="D19" s="500"/>
      <c r="E19" s="501"/>
      <c r="F19" s="502">
        <v>0.93</v>
      </c>
      <c r="G19" s="503" t="s">
        <v>9022</v>
      </c>
      <c r="H19" s="503" t="s">
        <v>1032</v>
      </c>
      <c r="I19" s="498">
        <f t="shared" si="1"/>
        <v>9</v>
      </c>
      <c r="J19" s="504" t="s">
        <v>9023</v>
      </c>
      <c r="K19" s="497" t="s">
        <v>1070</v>
      </c>
      <c r="L19" s="503"/>
      <c r="M19" s="497" t="s">
        <v>2816</v>
      </c>
      <c r="N19" s="497" t="s">
        <v>4033</v>
      </c>
      <c r="O19" s="503" t="s">
        <v>4034</v>
      </c>
      <c r="P19" s="503"/>
      <c r="Q19" s="503" t="s">
        <v>9022</v>
      </c>
      <c r="R19" s="504" t="s">
        <v>9024</v>
      </c>
      <c r="S19" s="503" t="s">
        <v>2820</v>
      </c>
      <c r="T19" s="503" t="s">
        <v>2821</v>
      </c>
    </row>
    <row r="20" spans="1:20" x14ac:dyDescent="0.35">
      <c r="A20" s="497" t="b">
        <v>0</v>
      </c>
      <c r="B20" s="498">
        <f t="shared" si="0"/>
        <v>4</v>
      </c>
      <c r="C20" s="497" t="s">
        <v>9025</v>
      </c>
      <c r="D20" s="500"/>
      <c r="E20" s="501"/>
      <c r="F20" s="502"/>
      <c r="G20" s="503"/>
      <c r="H20" s="503"/>
      <c r="I20" s="498">
        <f t="shared" si="1"/>
        <v>11</v>
      </c>
      <c r="J20" s="503"/>
      <c r="K20" s="497"/>
      <c r="L20" s="503"/>
      <c r="M20" s="497"/>
      <c r="N20" s="497"/>
      <c r="O20" s="503"/>
      <c r="P20" s="503"/>
      <c r="Q20" s="503"/>
      <c r="R20" s="504"/>
      <c r="S20" s="503"/>
      <c r="T20" s="503"/>
    </row>
    <row r="21" spans="1:20" x14ac:dyDescent="0.35">
      <c r="A21" s="497" t="b">
        <v>0</v>
      </c>
      <c r="B21" s="498">
        <f t="shared" si="0"/>
        <v>5</v>
      </c>
      <c r="C21" s="497" t="s">
        <v>9026</v>
      </c>
      <c r="D21" s="500"/>
      <c r="E21" s="501"/>
      <c r="F21" s="502"/>
      <c r="G21" s="503"/>
      <c r="H21" s="503"/>
      <c r="I21" s="498">
        <f t="shared" si="1"/>
        <v>13</v>
      </c>
      <c r="J21" s="503"/>
      <c r="K21" s="497"/>
      <c r="L21" s="503"/>
      <c r="M21" s="497"/>
      <c r="N21" s="497"/>
      <c r="O21" s="503"/>
      <c r="P21" s="503"/>
      <c r="Q21" s="503"/>
      <c r="R21" s="504"/>
      <c r="S21" s="503"/>
      <c r="T21" s="503"/>
    </row>
    <row r="22" spans="1:20" x14ac:dyDescent="0.35">
      <c r="A22" s="497" t="b">
        <v>0</v>
      </c>
      <c r="B22" s="498">
        <f t="shared" si="0"/>
        <v>6</v>
      </c>
      <c r="C22" s="497" t="s">
        <v>9027</v>
      </c>
      <c r="D22" s="500"/>
      <c r="E22" s="501"/>
      <c r="F22" s="502"/>
      <c r="G22" s="503"/>
      <c r="H22" s="503"/>
      <c r="I22" s="498">
        <f t="shared" si="1"/>
        <v>15</v>
      </c>
      <c r="J22" s="503"/>
      <c r="K22" s="497"/>
      <c r="L22" s="503"/>
      <c r="M22" s="497"/>
      <c r="N22" s="497"/>
      <c r="O22" s="503"/>
      <c r="P22" s="503"/>
      <c r="Q22" s="503"/>
      <c r="R22" s="504"/>
      <c r="S22" s="503"/>
      <c r="T22" s="503"/>
    </row>
    <row r="23" spans="1:20" x14ac:dyDescent="0.35">
      <c r="A23" s="497" t="b">
        <v>0</v>
      </c>
      <c r="B23" s="498">
        <f t="shared" si="0"/>
        <v>7</v>
      </c>
      <c r="C23" s="497" t="s">
        <v>9028</v>
      </c>
      <c r="D23" s="500"/>
      <c r="E23" s="501"/>
      <c r="F23" s="502"/>
      <c r="G23" s="503"/>
      <c r="H23" s="503"/>
      <c r="I23" s="498">
        <f t="shared" si="1"/>
        <v>17</v>
      </c>
      <c r="J23" s="503"/>
      <c r="K23" s="497"/>
      <c r="L23" s="503"/>
      <c r="M23" s="497"/>
      <c r="N23" s="497"/>
      <c r="O23" s="503"/>
      <c r="P23" s="503"/>
      <c r="Q23" s="503"/>
      <c r="R23" s="504"/>
      <c r="S23" s="503"/>
      <c r="T23" s="503"/>
    </row>
    <row r="24" spans="1:20" x14ac:dyDescent="0.35">
      <c r="A24" s="497" t="b">
        <v>0</v>
      </c>
      <c r="B24" s="498">
        <f t="shared" si="0"/>
        <v>8</v>
      </c>
      <c r="C24" s="497" t="s">
        <v>9029</v>
      </c>
      <c r="D24" s="500"/>
      <c r="E24" s="501"/>
      <c r="F24" s="502"/>
      <c r="G24" s="503"/>
      <c r="H24" s="503"/>
      <c r="I24" s="498">
        <f t="shared" si="1"/>
        <v>19</v>
      </c>
      <c r="J24" s="503"/>
      <c r="K24" s="497"/>
      <c r="L24" s="503"/>
      <c r="M24" s="497"/>
      <c r="N24" s="497"/>
      <c r="O24" s="503"/>
      <c r="P24" s="503"/>
      <c r="Q24" s="503"/>
      <c r="R24" s="504"/>
      <c r="S24" s="503"/>
      <c r="T24" s="503"/>
    </row>
    <row r="25" spans="1:20" x14ac:dyDescent="0.35">
      <c r="A25" s="497" t="b">
        <v>0</v>
      </c>
      <c r="B25" s="498">
        <f t="shared" si="0"/>
        <v>9</v>
      </c>
      <c r="C25" s="497" t="s">
        <v>9030</v>
      </c>
      <c r="D25" s="500"/>
      <c r="E25" s="501"/>
      <c r="F25" s="502"/>
      <c r="G25" s="503"/>
      <c r="H25" s="503"/>
      <c r="I25" s="498">
        <f t="shared" si="1"/>
        <v>21</v>
      </c>
      <c r="J25" s="503"/>
      <c r="K25" s="497"/>
      <c r="L25" s="503"/>
      <c r="M25" s="497"/>
      <c r="N25" s="497"/>
      <c r="O25" s="503"/>
      <c r="P25" s="503"/>
      <c r="Q25" s="503"/>
      <c r="R25" s="504"/>
      <c r="S25" s="503"/>
      <c r="T25" s="503"/>
    </row>
    <row r="26" spans="1:20" x14ac:dyDescent="0.35">
      <c r="A26" s="497" t="b">
        <v>0</v>
      </c>
      <c r="B26" s="498">
        <f t="shared" si="0"/>
        <v>10</v>
      </c>
      <c r="C26" s="497" t="s">
        <v>9031</v>
      </c>
      <c r="D26" s="500"/>
      <c r="E26" s="501"/>
      <c r="F26" s="502"/>
      <c r="G26" s="503"/>
      <c r="H26" s="503"/>
      <c r="I26" s="498">
        <f t="shared" si="1"/>
        <v>23</v>
      </c>
      <c r="J26" s="503"/>
      <c r="K26" s="497"/>
      <c r="L26" s="503"/>
      <c r="M26" s="497"/>
      <c r="N26" s="497"/>
      <c r="O26" s="503"/>
      <c r="P26" s="503"/>
      <c r="Q26" s="503"/>
      <c r="R26" s="504"/>
      <c r="S26" s="503"/>
      <c r="T26" s="503"/>
    </row>
    <row r="27" spans="1:20" x14ac:dyDescent="0.35">
      <c r="A27" s="497" t="b">
        <v>0</v>
      </c>
      <c r="B27" s="498">
        <f t="shared" si="0"/>
        <v>11</v>
      </c>
      <c r="C27" s="497" t="s">
        <v>9032</v>
      </c>
      <c r="D27" s="500"/>
      <c r="E27" s="501"/>
      <c r="F27" s="502"/>
      <c r="G27" s="503"/>
      <c r="H27" s="503"/>
      <c r="I27" s="498">
        <f t="shared" si="1"/>
        <v>25</v>
      </c>
      <c r="J27" s="503"/>
      <c r="K27" s="497"/>
      <c r="L27" s="503"/>
      <c r="M27" s="497"/>
      <c r="N27" s="497"/>
      <c r="O27" s="503"/>
      <c r="P27" s="503"/>
      <c r="Q27" s="503"/>
      <c r="R27" s="504"/>
      <c r="S27" s="503"/>
      <c r="T27" s="503"/>
    </row>
    <row r="28" spans="1:20" x14ac:dyDescent="0.35">
      <c r="A28" s="497" t="b">
        <v>0</v>
      </c>
      <c r="B28" s="498">
        <f t="shared" si="0"/>
        <v>12</v>
      </c>
      <c r="C28" s="497" t="s">
        <v>9033</v>
      </c>
      <c r="D28" s="500"/>
      <c r="E28" s="501"/>
      <c r="F28" s="502"/>
      <c r="G28" s="503"/>
      <c r="H28" s="503"/>
      <c r="I28" s="498">
        <f t="shared" si="1"/>
        <v>27</v>
      </c>
      <c r="J28" s="503"/>
      <c r="K28" s="497"/>
      <c r="L28" s="503"/>
      <c r="M28" s="497"/>
      <c r="N28" s="497"/>
      <c r="O28" s="503"/>
      <c r="P28" s="503"/>
      <c r="Q28" s="503"/>
      <c r="R28" s="504"/>
      <c r="S28" s="503"/>
      <c r="T28" s="503"/>
    </row>
    <row r="29" spans="1:20" x14ac:dyDescent="0.35">
      <c r="A29" s="497" t="b">
        <v>0</v>
      </c>
      <c r="B29" s="498">
        <f t="shared" si="0"/>
        <v>13</v>
      </c>
      <c r="C29" s="497" t="s">
        <v>9034</v>
      </c>
      <c r="D29" s="500"/>
      <c r="E29" s="501"/>
      <c r="F29" s="502"/>
      <c r="G29" s="503"/>
      <c r="H29" s="503"/>
      <c r="I29" s="498">
        <f t="shared" si="1"/>
        <v>29</v>
      </c>
      <c r="J29" s="503"/>
      <c r="K29" s="497"/>
      <c r="L29" s="503"/>
      <c r="M29" s="497"/>
      <c r="N29" s="497"/>
      <c r="O29" s="503"/>
      <c r="P29" s="503"/>
      <c r="Q29" s="503"/>
      <c r="R29" s="504"/>
      <c r="S29" s="503"/>
      <c r="T29" s="503"/>
    </row>
    <row r="30" spans="1:20" x14ac:dyDescent="0.35">
      <c r="A30" s="497" t="b">
        <v>0</v>
      </c>
      <c r="B30" s="498">
        <f t="shared" si="0"/>
        <v>14</v>
      </c>
      <c r="C30" s="497" t="s">
        <v>9035</v>
      </c>
      <c r="D30" s="500"/>
      <c r="E30" s="501"/>
      <c r="F30" s="502"/>
      <c r="G30" s="503"/>
      <c r="H30" s="503"/>
      <c r="I30" s="498">
        <f t="shared" si="1"/>
        <v>31</v>
      </c>
      <c r="J30" s="503"/>
      <c r="K30" s="497"/>
      <c r="L30" s="503"/>
      <c r="M30" s="497"/>
      <c r="N30" s="497"/>
      <c r="O30" s="503"/>
      <c r="P30" s="503"/>
      <c r="Q30" s="503"/>
      <c r="R30" s="504"/>
      <c r="S30" s="503"/>
      <c r="T30" s="503"/>
    </row>
    <row r="31" spans="1:20" x14ac:dyDescent="0.35">
      <c r="A31" s="497" t="b">
        <v>0</v>
      </c>
      <c r="B31" s="498">
        <f t="shared" si="0"/>
        <v>15</v>
      </c>
      <c r="C31" s="497" t="s">
        <v>9036</v>
      </c>
      <c r="D31" s="500"/>
      <c r="E31" s="501"/>
      <c r="F31" s="502"/>
      <c r="G31" s="503"/>
      <c r="H31" s="503"/>
      <c r="I31" s="498">
        <f t="shared" si="1"/>
        <v>33</v>
      </c>
      <c r="J31" s="503"/>
      <c r="K31" s="497"/>
      <c r="L31" s="503"/>
      <c r="M31" s="497"/>
      <c r="N31" s="497"/>
      <c r="O31" s="503"/>
      <c r="P31" s="503"/>
      <c r="Q31" s="503"/>
      <c r="R31" s="504"/>
      <c r="S31" s="503"/>
      <c r="T31" s="503"/>
    </row>
    <row r="32" spans="1:20" x14ac:dyDescent="0.35">
      <c r="A32" s="497" t="b">
        <v>0</v>
      </c>
      <c r="B32" s="498">
        <f t="shared" si="0"/>
        <v>16</v>
      </c>
      <c r="C32" s="497" t="s">
        <v>9037</v>
      </c>
      <c r="D32" s="500"/>
      <c r="E32" s="501"/>
      <c r="F32" s="502"/>
      <c r="G32" s="503"/>
      <c r="H32" s="503"/>
      <c r="I32" s="498">
        <f t="shared" si="1"/>
        <v>35</v>
      </c>
      <c r="J32" s="503"/>
      <c r="K32" s="497"/>
      <c r="L32" s="503"/>
      <c r="M32" s="497"/>
      <c r="N32" s="497"/>
      <c r="O32" s="503"/>
      <c r="P32" s="503"/>
      <c r="Q32" s="503"/>
      <c r="R32" s="504"/>
      <c r="S32" s="503"/>
      <c r="T32" s="503"/>
    </row>
    <row r="33" spans="1:20" x14ac:dyDescent="0.35">
      <c r="A33" s="497" t="b">
        <v>0</v>
      </c>
      <c r="B33" s="498">
        <f t="shared" si="0"/>
        <v>17</v>
      </c>
      <c r="C33" s="497" t="s">
        <v>9038</v>
      </c>
      <c r="D33" s="500"/>
      <c r="E33" s="501"/>
      <c r="F33" s="502"/>
      <c r="G33" s="503"/>
      <c r="H33" s="503"/>
      <c r="I33" s="498">
        <f t="shared" si="1"/>
        <v>37</v>
      </c>
      <c r="J33" s="503"/>
      <c r="K33" s="497"/>
      <c r="L33" s="503"/>
      <c r="M33" s="497"/>
      <c r="N33" s="497"/>
      <c r="O33" s="503"/>
      <c r="P33" s="503"/>
      <c r="Q33" s="503"/>
      <c r="R33" s="504"/>
      <c r="S33" s="503"/>
      <c r="T33" s="503"/>
    </row>
    <row r="34" spans="1:20" x14ac:dyDescent="0.35">
      <c r="A34" s="497" t="b">
        <f t="shared" ref="A34:A48" ca="1" si="2">IF(OR(P34&lt;&gt;"",M34&lt;&gt;""),TRUE,FALSE)</f>
        <v>0</v>
      </c>
      <c r="B34" s="498">
        <f t="shared" si="0"/>
        <v>18</v>
      </c>
      <c r="C34" s="510" t="str">
        <f>IFERROR(INDEX(C$2:C34,B34,1),"")</f>
        <v>a1I3p00000KRIQAEA5</v>
      </c>
      <c r="D34" s="500" t="str">
        <f t="shared" ref="D34:D48" ca="1" si="3">IFERROR(IF(INDIRECT("'Impact Indicators - Section B '!E"&amp;$I34)="","",INDIRECT("'Impact Indicators - Section B '!E"&amp;$I34)*100),"")</f>
        <v/>
      </c>
      <c r="E34" s="501" t="str">
        <f t="shared" ref="E34:E48" ca="1" si="4">IFERROR(IF(INDIRECT("'Impact Indicators - Section B '!D"&amp;$I34+1)="","",INDIRECT("'Impact Indicators - Section B '!D"&amp;$I34+1)),"")</f>
        <v/>
      </c>
      <c r="F34" s="502" t="str">
        <f t="shared" ref="F34:F48" ca="1" si="5">IFERROR(IF(INDIRECT("'Impact Indicators - Section B '!D"&amp;$I34)="","",INDIRECT("'Impact Indicators - Section B '!D"&amp;$I34)),"")</f>
        <v/>
      </c>
      <c r="G34" s="503" t="str">
        <f t="shared" ref="G34:G48" ca="1" si="6">IFERROR(IF(INDIRECT("'Impact Indicators - Section B '!AC"&amp;$I34)=0,"",INDIRECT("'Impact Indicators - Section B '!AC"&amp;$I34)),"")</f>
        <v/>
      </c>
      <c r="H34" s="503" t="str">
        <f t="shared" ref="H34:H48" ca="1" si="7">IFERROR(IF(INDIRECT("'Impact Indicators - Section B '!F"&amp;$I34)=0,"",INDIRECT("'Impact Indicators - Section B '!F"&amp;$I34)),"")</f>
        <v/>
      </c>
      <c r="I34" s="498">
        <f t="shared" si="1"/>
        <v>39</v>
      </c>
      <c r="J34" s="503" t="str">
        <f t="shared" ref="J34:J48" ca="1" si="8">IFERROR(IF(INDIRECT("'Impact Indicators - Section B '!AD"&amp;$I34)=0,"",INDIRECT("'Impact Indicators - Section B '!AD"&amp;$I34)),"")</f>
        <v/>
      </c>
      <c r="K34" s="497" t="str">
        <f t="shared" ref="K34:K48" ca="1" si="9">IFERROR(IF(INDIRECT("'Impact Indicators - Section B '!J"&amp;$I34)=0,"",INDIRECT("'Impact Indicators - Section B '!J"&amp;$I34)),"")</f>
        <v/>
      </c>
      <c r="L34" s="503" t="str">
        <f t="shared" ref="L34:L48" ca="1" si="10">IFERROR(IF(INDIRECT("'Impact Indicators - Section B '!AB"&amp;$I34)=0,"",INDIRECT("'Impact Indicators - Section B '!AB"&amp;$I34)),"")</f>
        <v/>
      </c>
      <c r="M34" s="497" t="str">
        <f t="array" aca="1" ref="M34" ca="1">IFERROR(VLOOKUP(LEFT(INDIRECT("'Impact Indicators - Section B '!AH"&amp;$I34),255),LEFT('Reference Records'!$G$4:$H$20,255),2,0),"")</f>
        <v/>
      </c>
      <c r="N34" s="497"/>
      <c r="O34" s="503" t="str">
        <f ca="1">IFERROR(VLOOKUP(INDIRECT("'Impact Indicators - Section B '!I"&amp;$I34),'Overview - Section A'!M$31:P64,4,0),IFERROR(VLOOKUP(INDIRECT("'Impact Indicators - Section B '!I"&amp;$I34),'Overview - Section A'!E$27:I61,5,0),""))</f>
        <v/>
      </c>
      <c r="P34" s="503" t="str">
        <f t="shared" ref="P34:P48" ca="1" si="11">IFERROR(IF(INDIRECT("'Impact Indicators - Section B '!C"&amp;$I34)=0,"",INDIRECT("'Impact Indicators - Section B '!C"&amp;$I34)),"")</f>
        <v/>
      </c>
      <c r="Q34" s="503" t="str">
        <f t="shared" ref="Q34:Q48" ca="1" si="12">IFERROR(IF(INDIRECT("'Impact Indicators - Section B '!G"&amp;$I34)=0,"",INDIRECT("'Impact Indicators - Section B '!G"&amp;$I34)),"")</f>
        <v/>
      </c>
      <c r="R34" s="504" t="str">
        <f t="shared" ref="R34:R48" ca="1" si="13">IFERROR(IF(INDIRECT("'Impact Indicators - Section B '!AA"&amp;$I34)=0,"",INDIRECT("'Impact Indicators - Section B '!AA"&amp;$I34)),"")</f>
        <v/>
      </c>
      <c r="S34" s="503"/>
      <c r="T34" s="503"/>
    </row>
    <row r="35" spans="1:20" x14ac:dyDescent="0.35">
      <c r="A35" s="497" t="b">
        <f t="shared" ca="1" si="2"/>
        <v>0</v>
      </c>
      <c r="B35" s="498">
        <f t="shared" si="0"/>
        <v>19</v>
      </c>
      <c r="C35" s="510" t="str">
        <f>IFERROR(INDEX(C$2:C35,B35,1),"")</f>
        <v>a1I3p00000KRIQBEA5</v>
      </c>
      <c r="D35" s="500" t="str">
        <f t="shared" ca="1" si="3"/>
        <v/>
      </c>
      <c r="E35" s="501" t="str">
        <f t="shared" ca="1" si="4"/>
        <v/>
      </c>
      <c r="F35" s="502" t="str">
        <f t="shared" ca="1" si="5"/>
        <v/>
      </c>
      <c r="G35" s="503" t="str">
        <f t="shared" ca="1" si="6"/>
        <v/>
      </c>
      <c r="H35" s="503" t="str">
        <f t="shared" ca="1" si="7"/>
        <v/>
      </c>
      <c r="I35" s="498">
        <f t="shared" si="1"/>
        <v>41</v>
      </c>
      <c r="J35" s="503" t="str">
        <f t="shared" ca="1" si="8"/>
        <v/>
      </c>
      <c r="K35" s="497" t="str">
        <f t="shared" ca="1" si="9"/>
        <v/>
      </c>
      <c r="L35" s="503" t="str">
        <f t="shared" ca="1" si="10"/>
        <v/>
      </c>
      <c r="M35" s="497" t="str">
        <f t="array" aca="1" ref="M35" ca="1">IFERROR(VLOOKUP(LEFT(INDIRECT("'Impact Indicators - Section B '!AH"&amp;$I35),255),LEFT('Reference Records'!$G$4:$H$20,255),2,0),"")</f>
        <v/>
      </c>
      <c r="N35" s="497"/>
      <c r="O35" s="503" t="str">
        <f ca="1">IFERROR(VLOOKUP(INDIRECT("'Impact Indicators - Section B '!I"&amp;$I35),'Overview - Section A'!M$31:P65,4,0),IFERROR(VLOOKUP(INDIRECT("'Impact Indicators - Section B '!I"&amp;$I35),'Overview - Section A'!E$27:I62,5,0),""))</f>
        <v/>
      </c>
      <c r="P35" s="503" t="str">
        <f t="shared" ca="1" si="11"/>
        <v/>
      </c>
      <c r="Q35" s="503" t="str">
        <f t="shared" ca="1" si="12"/>
        <v/>
      </c>
      <c r="R35" s="504" t="str">
        <f t="shared" ca="1" si="13"/>
        <v/>
      </c>
      <c r="S35" s="503"/>
      <c r="T35" s="503"/>
    </row>
    <row r="36" spans="1:20" x14ac:dyDescent="0.35">
      <c r="A36" s="497" t="b">
        <f t="shared" ca="1" si="2"/>
        <v>0</v>
      </c>
      <c r="B36" s="498">
        <f t="shared" si="0"/>
        <v>20</v>
      </c>
      <c r="C36" s="510" t="str">
        <f>IFERROR(INDEX(C$2:C36,B36,1),"")</f>
        <v>a1I3p00000KRIQCEA5</v>
      </c>
      <c r="D36" s="500" t="str">
        <f t="shared" ca="1" si="3"/>
        <v/>
      </c>
      <c r="E36" s="501" t="str">
        <f t="shared" ca="1" si="4"/>
        <v/>
      </c>
      <c r="F36" s="502" t="str">
        <f t="shared" ca="1" si="5"/>
        <v/>
      </c>
      <c r="G36" s="503" t="str">
        <f t="shared" ca="1" si="6"/>
        <v/>
      </c>
      <c r="H36" s="503" t="str">
        <f t="shared" ca="1" si="7"/>
        <v/>
      </c>
      <c r="I36" s="498">
        <f t="shared" si="1"/>
        <v>43</v>
      </c>
      <c r="J36" s="503" t="str">
        <f t="shared" ca="1" si="8"/>
        <v/>
      </c>
      <c r="K36" s="497" t="str">
        <f t="shared" ca="1" si="9"/>
        <v/>
      </c>
      <c r="L36" s="503" t="str">
        <f t="shared" ca="1" si="10"/>
        <v/>
      </c>
      <c r="M36" s="497" t="str">
        <f t="array" aca="1" ref="M36" ca="1">IFERROR(VLOOKUP(LEFT(INDIRECT("'Impact Indicators - Section B '!AH"&amp;$I36),255),LEFT('Reference Records'!$G$4:$H$20,255),2,0),"")</f>
        <v/>
      </c>
      <c r="N36" s="497"/>
      <c r="O36" s="503" t="str">
        <f ca="1">IFERROR(VLOOKUP(INDIRECT("'Impact Indicators - Section B '!I"&amp;$I36),'Overview - Section A'!M$31:P66,4,0),IFERROR(VLOOKUP(INDIRECT("'Impact Indicators - Section B '!I"&amp;$I36),'Overview - Section A'!E$27:I63,5,0),""))</f>
        <v/>
      </c>
      <c r="P36" s="503" t="str">
        <f t="shared" ca="1" si="11"/>
        <v/>
      </c>
      <c r="Q36" s="503" t="str">
        <f t="shared" ca="1" si="12"/>
        <v/>
      </c>
      <c r="R36" s="504" t="str">
        <f t="shared" ca="1" si="13"/>
        <v/>
      </c>
      <c r="S36" s="503"/>
      <c r="T36" s="503"/>
    </row>
    <row r="37" spans="1:20" x14ac:dyDescent="0.35">
      <c r="A37" s="497" t="b">
        <f t="shared" ca="1" si="2"/>
        <v>0</v>
      </c>
      <c r="B37" s="498">
        <f t="shared" si="0"/>
        <v>21</v>
      </c>
      <c r="C37" s="510" t="str">
        <f>IFERROR(INDEX(C$2:C37,B37,1),"")</f>
        <v>a1I3p00000KRIQDEA5</v>
      </c>
      <c r="D37" s="500" t="str">
        <f t="shared" ca="1" si="3"/>
        <v/>
      </c>
      <c r="E37" s="501" t="str">
        <f t="shared" ca="1" si="4"/>
        <v/>
      </c>
      <c r="F37" s="502" t="str">
        <f t="shared" ca="1" si="5"/>
        <v/>
      </c>
      <c r="G37" s="503" t="str">
        <f t="shared" ca="1" si="6"/>
        <v/>
      </c>
      <c r="H37" s="503" t="str">
        <f t="shared" ca="1" si="7"/>
        <v/>
      </c>
      <c r="I37" s="498">
        <f t="shared" si="1"/>
        <v>45</v>
      </c>
      <c r="J37" s="503" t="str">
        <f t="shared" ca="1" si="8"/>
        <v/>
      </c>
      <c r="K37" s="497" t="str">
        <f t="shared" ca="1" si="9"/>
        <v/>
      </c>
      <c r="L37" s="503" t="str">
        <f t="shared" ca="1" si="10"/>
        <v/>
      </c>
      <c r="M37" s="497" t="str">
        <f t="array" aca="1" ref="M37" ca="1">IFERROR(VLOOKUP(LEFT(INDIRECT("'Impact Indicators - Section B '!AH"&amp;$I37),255),LEFT('Reference Records'!$G$4:$H$20,255),2,0),"")</f>
        <v/>
      </c>
      <c r="N37" s="497"/>
      <c r="O37" s="503" t="str">
        <f ca="1">IFERROR(VLOOKUP(INDIRECT("'Impact Indicators - Section B '!I"&amp;$I37),'Overview - Section A'!M$31:P67,4,0),IFERROR(VLOOKUP(INDIRECT("'Impact Indicators - Section B '!I"&amp;$I37),'Overview - Section A'!E$27:I64,5,0),""))</f>
        <v/>
      </c>
      <c r="P37" s="503" t="str">
        <f t="shared" ca="1" si="11"/>
        <v/>
      </c>
      <c r="Q37" s="503" t="str">
        <f t="shared" ca="1" si="12"/>
        <v/>
      </c>
      <c r="R37" s="504" t="str">
        <f t="shared" ca="1" si="13"/>
        <v/>
      </c>
      <c r="S37" s="503"/>
      <c r="T37" s="503"/>
    </row>
    <row r="38" spans="1:20" x14ac:dyDescent="0.35">
      <c r="A38" s="497" t="b">
        <f t="shared" ca="1" si="2"/>
        <v>0</v>
      </c>
      <c r="B38" s="498">
        <f t="shared" si="0"/>
        <v>22</v>
      </c>
      <c r="C38" s="510" t="str">
        <f>IFERROR(INDEX(C$2:C38,B38,1),"")</f>
        <v>a1I3p00000KRIQEEA5</v>
      </c>
      <c r="D38" s="500" t="str">
        <f t="shared" ca="1" si="3"/>
        <v/>
      </c>
      <c r="E38" s="501" t="str">
        <f t="shared" ca="1" si="4"/>
        <v/>
      </c>
      <c r="F38" s="502" t="str">
        <f t="shared" ca="1" si="5"/>
        <v/>
      </c>
      <c r="G38" s="503" t="str">
        <f t="shared" ca="1" si="6"/>
        <v/>
      </c>
      <c r="H38" s="503" t="str">
        <f t="shared" ca="1" si="7"/>
        <v/>
      </c>
      <c r="I38" s="498">
        <f t="shared" si="1"/>
        <v>47</v>
      </c>
      <c r="J38" s="503" t="str">
        <f t="shared" ca="1" si="8"/>
        <v/>
      </c>
      <c r="K38" s="497" t="str">
        <f t="shared" ca="1" si="9"/>
        <v/>
      </c>
      <c r="L38" s="503" t="str">
        <f t="shared" ca="1" si="10"/>
        <v/>
      </c>
      <c r="M38" s="497" t="str">
        <f t="array" aca="1" ref="M38" ca="1">IFERROR(VLOOKUP(LEFT(INDIRECT("'Impact Indicators - Section B '!AH"&amp;$I38),255),LEFT('Reference Records'!$G$4:$H$20,255),2,0),"")</f>
        <v/>
      </c>
      <c r="N38" s="497"/>
      <c r="O38" s="503" t="str">
        <f ca="1">IFERROR(VLOOKUP(INDIRECT("'Impact Indicators - Section B '!I"&amp;$I38),'Overview - Section A'!M$31:P68,4,0),IFERROR(VLOOKUP(INDIRECT("'Impact Indicators - Section B '!I"&amp;$I38),'Overview - Section A'!E$27:I65,5,0),""))</f>
        <v/>
      </c>
      <c r="P38" s="503" t="str">
        <f t="shared" ca="1" si="11"/>
        <v/>
      </c>
      <c r="Q38" s="503" t="str">
        <f t="shared" ca="1" si="12"/>
        <v/>
      </c>
      <c r="R38" s="504" t="str">
        <f t="shared" ca="1" si="13"/>
        <v/>
      </c>
      <c r="S38" s="503"/>
      <c r="T38" s="503"/>
    </row>
    <row r="39" spans="1:20" x14ac:dyDescent="0.35">
      <c r="A39" s="497" t="b">
        <f t="shared" ca="1" si="2"/>
        <v>0</v>
      </c>
      <c r="B39" s="498">
        <f t="shared" si="0"/>
        <v>23</v>
      </c>
      <c r="C39" s="510" t="str">
        <f>IFERROR(INDEX(C$2:C39,B39,1),"")</f>
        <v>a1I3p00000KRIQFEA5</v>
      </c>
      <c r="D39" s="500" t="str">
        <f t="shared" ca="1" si="3"/>
        <v/>
      </c>
      <c r="E39" s="501" t="str">
        <f t="shared" ca="1" si="4"/>
        <v/>
      </c>
      <c r="F39" s="502" t="str">
        <f t="shared" ca="1" si="5"/>
        <v/>
      </c>
      <c r="G39" s="503" t="str">
        <f t="shared" ca="1" si="6"/>
        <v/>
      </c>
      <c r="H39" s="503" t="str">
        <f t="shared" ca="1" si="7"/>
        <v/>
      </c>
      <c r="I39" s="498">
        <f t="shared" si="1"/>
        <v>49</v>
      </c>
      <c r="J39" s="503" t="str">
        <f t="shared" ca="1" si="8"/>
        <v/>
      </c>
      <c r="K39" s="497" t="str">
        <f t="shared" ca="1" si="9"/>
        <v/>
      </c>
      <c r="L39" s="503" t="str">
        <f t="shared" ca="1" si="10"/>
        <v/>
      </c>
      <c r="M39" s="497" t="str">
        <f t="array" aca="1" ref="M39" ca="1">IFERROR(VLOOKUP(LEFT(INDIRECT("'Impact Indicators - Section B '!AH"&amp;$I39),255),LEFT('Reference Records'!$G$4:$H$20,255),2,0),"")</f>
        <v/>
      </c>
      <c r="N39" s="497"/>
      <c r="O39" s="503" t="str">
        <f ca="1">IFERROR(VLOOKUP(INDIRECT("'Impact Indicators - Section B '!I"&amp;$I39),'Overview - Section A'!M$31:P69,4,0),IFERROR(VLOOKUP(INDIRECT("'Impact Indicators - Section B '!I"&amp;$I39),'Overview - Section A'!E$27:I66,5,0),""))</f>
        <v/>
      </c>
      <c r="P39" s="503" t="str">
        <f t="shared" ca="1" si="11"/>
        <v/>
      </c>
      <c r="Q39" s="503" t="str">
        <f t="shared" ca="1" si="12"/>
        <v/>
      </c>
      <c r="R39" s="504" t="str">
        <f t="shared" ca="1" si="13"/>
        <v/>
      </c>
      <c r="S39" s="503"/>
      <c r="T39" s="503"/>
    </row>
    <row r="40" spans="1:20" x14ac:dyDescent="0.35">
      <c r="A40" s="497" t="b">
        <f t="shared" ca="1" si="2"/>
        <v>0</v>
      </c>
      <c r="B40" s="498">
        <f t="shared" si="0"/>
        <v>24</v>
      </c>
      <c r="C40" s="510" t="str">
        <f>IFERROR(INDEX(C$2:C40,B40,1),"")</f>
        <v>a1I3p00000KRIQGEA5</v>
      </c>
      <c r="D40" s="500" t="str">
        <f t="shared" ca="1" si="3"/>
        <v/>
      </c>
      <c r="E40" s="501" t="str">
        <f t="shared" ca="1" si="4"/>
        <v/>
      </c>
      <c r="F40" s="502" t="str">
        <f t="shared" ca="1" si="5"/>
        <v/>
      </c>
      <c r="G40" s="503" t="str">
        <f t="shared" ca="1" si="6"/>
        <v/>
      </c>
      <c r="H40" s="503" t="str">
        <f t="shared" ca="1" si="7"/>
        <v/>
      </c>
      <c r="I40" s="498">
        <f t="shared" si="1"/>
        <v>51</v>
      </c>
      <c r="J40" s="503" t="str">
        <f t="shared" ca="1" si="8"/>
        <v/>
      </c>
      <c r="K40" s="497" t="str">
        <f t="shared" ca="1" si="9"/>
        <v/>
      </c>
      <c r="L40" s="503" t="str">
        <f t="shared" ca="1" si="10"/>
        <v/>
      </c>
      <c r="M40" s="497" t="str">
        <f t="array" aca="1" ref="M40" ca="1">IFERROR(VLOOKUP(LEFT(INDIRECT("'Impact Indicators - Section B '!AH"&amp;$I40),255),LEFT('Reference Records'!$G$4:$H$20,255),2,0),"")</f>
        <v/>
      </c>
      <c r="N40" s="497"/>
      <c r="O40" s="503" t="str">
        <f ca="1">IFERROR(VLOOKUP(INDIRECT("'Impact Indicators - Section B '!I"&amp;$I40),'Overview - Section A'!M$31:P70,4,0),IFERROR(VLOOKUP(INDIRECT("'Impact Indicators - Section B '!I"&amp;$I40),'Overview - Section A'!E$27:I67,5,0),""))</f>
        <v/>
      </c>
      <c r="P40" s="503" t="str">
        <f t="shared" ca="1" si="11"/>
        <v/>
      </c>
      <c r="Q40" s="503" t="str">
        <f t="shared" ca="1" si="12"/>
        <v/>
      </c>
      <c r="R40" s="504" t="str">
        <f t="shared" ca="1" si="13"/>
        <v/>
      </c>
      <c r="S40" s="503"/>
      <c r="T40" s="503"/>
    </row>
    <row r="41" spans="1:20" x14ac:dyDescent="0.35">
      <c r="A41" s="497" t="b">
        <f t="shared" ca="1" si="2"/>
        <v>0</v>
      </c>
      <c r="B41" s="498">
        <f t="shared" si="0"/>
        <v>25</v>
      </c>
      <c r="C41" s="510" t="str">
        <f>IFERROR(INDEX(C$2:C41,B41,1),"")</f>
        <v>a1I3p00000KRIQHEA5</v>
      </c>
      <c r="D41" s="500" t="str">
        <f t="shared" ca="1" si="3"/>
        <v/>
      </c>
      <c r="E41" s="501" t="str">
        <f t="shared" ca="1" si="4"/>
        <v/>
      </c>
      <c r="F41" s="502" t="str">
        <f t="shared" ca="1" si="5"/>
        <v/>
      </c>
      <c r="G41" s="503" t="str">
        <f t="shared" ca="1" si="6"/>
        <v/>
      </c>
      <c r="H41" s="503" t="str">
        <f t="shared" ca="1" si="7"/>
        <v/>
      </c>
      <c r="I41" s="498">
        <f t="shared" si="1"/>
        <v>53</v>
      </c>
      <c r="J41" s="503" t="str">
        <f t="shared" ca="1" si="8"/>
        <v/>
      </c>
      <c r="K41" s="497" t="str">
        <f t="shared" ca="1" si="9"/>
        <v/>
      </c>
      <c r="L41" s="503" t="str">
        <f t="shared" ca="1" si="10"/>
        <v/>
      </c>
      <c r="M41" s="497" t="str">
        <f t="array" aca="1" ref="M41" ca="1">IFERROR(VLOOKUP(LEFT(INDIRECT("'Impact Indicators - Section B '!AH"&amp;$I41),255),LEFT('Reference Records'!$G$4:$H$20,255),2,0),"")</f>
        <v/>
      </c>
      <c r="N41" s="497"/>
      <c r="O41" s="503" t="str">
        <f ca="1">IFERROR(VLOOKUP(INDIRECT("'Impact Indicators - Section B '!I"&amp;$I41),'Overview - Section A'!M$31:P71,4,0),IFERROR(VLOOKUP(INDIRECT("'Impact Indicators - Section B '!I"&amp;$I41),'Overview - Section A'!E$27:I68,5,0),""))</f>
        <v/>
      </c>
      <c r="P41" s="503" t="str">
        <f t="shared" ca="1" si="11"/>
        <v/>
      </c>
      <c r="Q41" s="503" t="str">
        <f t="shared" ca="1" si="12"/>
        <v/>
      </c>
      <c r="R41" s="504" t="str">
        <f t="shared" ca="1" si="13"/>
        <v/>
      </c>
      <c r="S41" s="503"/>
      <c r="T41" s="503"/>
    </row>
    <row r="42" spans="1:20" x14ac:dyDescent="0.35">
      <c r="A42" s="497" t="b">
        <f t="shared" ca="1" si="2"/>
        <v>0</v>
      </c>
      <c r="B42" s="498">
        <f t="shared" si="0"/>
        <v>26</v>
      </c>
      <c r="C42" s="510" t="str">
        <f>IFERROR(INDEX(C$2:C42,B42,1),"")</f>
        <v>a1I3p00000KRIQIEA5</v>
      </c>
      <c r="D42" s="500" t="str">
        <f t="shared" ca="1" si="3"/>
        <v/>
      </c>
      <c r="E42" s="501" t="str">
        <f t="shared" ca="1" si="4"/>
        <v/>
      </c>
      <c r="F42" s="502" t="str">
        <f t="shared" ca="1" si="5"/>
        <v/>
      </c>
      <c r="G42" s="503" t="str">
        <f t="shared" ca="1" si="6"/>
        <v/>
      </c>
      <c r="H42" s="503" t="str">
        <f t="shared" ca="1" si="7"/>
        <v/>
      </c>
      <c r="I42" s="498">
        <f t="shared" si="1"/>
        <v>55</v>
      </c>
      <c r="J42" s="503" t="str">
        <f t="shared" ca="1" si="8"/>
        <v/>
      </c>
      <c r="K42" s="497" t="str">
        <f t="shared" ca="1" si="9"/>
        <v/>
      </c>
      <c r="L42" s="503" t="str">
        <f t="shared" ca="1" si="10"/>
        <v/>
      </c>
      <c r="M42" s="497" t="str">
        <f t="array" aca="1" ref="M42" ca="1">IFERROR(VLOOKUP(LEFT(INDIRECT("'Impact Indicators - Section B '!AH"&amp;$I42),255),LEFT('Reference Records'!$G$4:$H$20,255),2,0),"")</f>
        <v/>
      </c>
      <c r="N42" s="497"/>
      <c r="O42" s="503" t="str">
        <f ca="1">IFERROR(VLOOKUP(INDIRECT("'Impact Indicators - Section B '!I"&amp;$I42),'Overview - Section A'!M$31:P72,4,0),IFERROR(VLOOKUP(INDIRECT("'Impact Indicators - Section B '!I"&amp;$I42),'Overview - Section A'!E$27:I69,5,0),""))</f>
        <v/>
      </c>
      <c r="P42" s="503" t="str">
        <f t="shared" ca="1" si="11"/>
        <v/>
      </c>
      <c r="Q42" s="503" t="str">
        <f t="shared" ca="1" si="12"/>
        <v/>
      </c>
      <c r="R42" s="504" t="str">
        <f t="shared" ca="1" si="13"/>
        <v/>
      </c>
      <c r="S42" s="503"/>
      <c r="T42" s="503"/>
    </row>
    <row r="43" spans="1:20" x14ac:dyDescent="0.35">
      <c r="A43" s="497" t="b">
        <f t="shared" ca="1" si="2"/>
        <v>0</v>
      </c>
      <c r="B43" s="498">
        <f t="shared" si="0"/>
        <v>27</v>
      </c>
      <c r="C43" s="510" t="str">
        <f>IFERROR(INDEX(C$2:C43,B43,1),"")</f>
        <v>a1I3p00000KRIQJEA5</v>
      </c>
      <c r="D43" s="500" t="str">
        <f t="shared" ca="1" si="3"/>
        <v/>
      </c>
      <c r="E43" s="501" t="str">
        <f t="shared" ca="1" si="4"/>
        <v/>
      </c>
      <c r="F43" s="502" t="str">
        <f t="shared" ca="1" si="5"/>
        <v/>
      </c>
      <c r="G43" s="503" t="str">
        <f t="shared" ca="1" si="6"/>
        <v/>
      </c>
      <c r="H43" s="503" t="str">
        <f t="shared" ca="1" si="7"/>
        <v/>
      </c>
      <c r="I43" s="498">
        <f t="shared" si="1"/>
        <v>57</v>
      </c>
      <c r="J43" s="503" t="str">
        <f t="shared" ca="1" si="8"/>
        <v/>
      </c>
      <c r="K43" s="497" t="str">
        <f t="shared" ca="1" si="9"/>
        <v/>
      </c>
      <c r="L43" s="503" t="str">
        <f t="shared" ca="1" si="10"/>
        <v/>
      </c>
      <c r="M43" s="497" t="str">
        <f t="array" aca="1" ref="M43" ca="1">IFERROR(VLOOKUP(LEFT(INDIRECT("'Impact Indicators - Section B '!AH"&amp;$I43),255),LEFT('Reference Records'!$G$4:$H$20,255),2,0),"")</f>
        <v/>
      </c>
      <c r="N43" s="497"/>
      <c r="O43" s="503" t="str">
        <f ca="1">IFERROR(VLOOKUP(INDIRECT("'Impact Indicators - Section B '!I"&amp;$I43),'Overview - Section A'!M$31:P73,4,0),IFERROR(VLOOKUP(INDIRECT("'Impact Indicators - Section B '!I"&amp;$I43),'Overview - Section A'!E$27:I70,5,0),""))</f>
        <v/>
      </c>
      <c r="P43" s="503" t="str">
        <f t="shared" ca="1" si="11"/>
        <v/>
      </c>
      <c r="Q43" s="503" t="str">
        <f t="shared" ca="1" si="12"/>
        <v/>
      </c>
      <c r="R43" s="504" t="str">
        <f t="shared" ca="1" si="13"/>
        <v/>
      </c>
      <c r="S43" s="503"/>
      <c r="T43" s="503"/>
    </row>
    <row r="44" spans="1:20" x14ac:dyDescent="0.35">
      <c r="A44" s="497" t="b">
        <f t="shared" ca="1" si="2"/>
        <v>0</v>
      </c>
      <c r="B44" s="498">
        <f t="shared" si="0"/>
        <v>28</v>
      </c>
      <c r="C44" s="510" t="str">
        <f>IFERROR(INDEX(C$2:C44,B44,1),"")</f>
        <v>a1I3p00000KRIQKEA5</v>
      </c>
      <c r="D44" s="500" t="str">
        <f t="shared" ca="1" si="3"/>
        <v/>
      </c>
      <c r="E44" s="501" t="str">
        <f t="shared" ca="1" si="4"/>
        <v/>
      </c>
      <c r="F44" s="502" t="str">
        <f t="shared" ca="1" si="5"/>
        <v/>
      </c>
      <c r="G44" s="503" t="str">
        <f t="shared" ca="1" si="6"/>
        <v/>
      </c>
      <c r="H44" s="503" t="str">
        <f t="shared" ca="1" si="7"/>
        <v/>
      </c>
      <c r="I44" s="498">
        <f t="shared" si="1"/>
        <v>59</v>
      </c>
      <c r="J44" s="503" t="str">
        <f t="shared" ca="1" si="8"/>
        <v/>
      </c>
      <c r="K44" s="497" t="str">
        <f t="shared" ca="1" si="9"/>
        <v/>
      </c>
      <c r="L44" s="503" t="str">
        <f t="shared" ca="1" si="10"/>
        <v/>
      </c>
      <c r="M44" s="497" t="str">
        <f t="array" aca="1" ref="M44" ca="1">IFERROR(VLOOKUP(LEFT(INDIRECT("'Impact Indicators - Section B '!AH"&amp;$I44),255),LEFT('Reference Records'!$G$4:$H$20,255),2,0),"")</f>
        <v/>
      </c>
      <c r="N44" s="497"/>
      <c r="O44" s="503" t="str">
        <f ca="1">IFERROR(VLOOKUP(INDIRECT("'Impact Indicators - Section B '!I"&amp;$I44),'Overview - Section A'!M$31:P74,4,0),IFERROR(VLOOKUP(INDIRECT("'Impact Indicators - Section B '!I"&amp;$I44),'Overview - Section A'!E$27:I71,5,0),""))</f>
        <v/>
      </c>
      <c r="P44" s="503" t="str">
        <f t="shared" ca="1" si="11"/>
        <v/>
      </c>
      <c r="Q44" s="503" t="str">
        <f t="shared" ca="1" si="12"/>
        <v/>
      </c>
      <c r="R44" s="504" t="str">
        <f t="shared" ca="1" si="13"/>
        <v/>
      </c>
      <c r="S44" s="503"/>
      <c r="T44" s="503"/>
    </row>
    <row r="45" spans="1:20" x14ac:dyDescent="0.35">
      <c r="A45" s="497" t="b">
        <f t="shared" ca="1" si="2"/>
        <v>0</v>
      </c>
      <c r="B45" s="498">
        <f t="shared" si="0"/>
        <v>29</v>
      </c>
      <c r="C45" s="510" t="str">
        <f>IFERROR(INDEX(C$2:C45,B45,1),"")</f>
        <v>a1I3p00000KRIQLEA5</v>
      </c>
      <c r="D45" s="500" t="str">
        <f t="shared" ca="1" si="3"/>
        <v/>
      </c>
      <c r="E45" s="501" t="str">
        <f t="shared" ca="1" si="4"/>
        <v/>
      </c>
      <c r="F45" s="502" t="str">
        <f t="shared" ca="1" si="5"/>
        <v/>
      </c>
      <c r="G45" s="503" t="str">
        <f t="shared" ca="1" si="6"/>
        <v/>
      </c>
      <c r="H45" s="503" t="str">
        <f t="shared" ca="1" si="7"/>
        <v/>
      </c>
      <c r="I45" s="498">
        <f t="shared" si="1"/>
        <v>61</v>
      </c>
      <c r="J45" s="503" t="str">
        <f t="shared" ca="1" si="8"/>
        <v/>
      </c>
      <c r="K45" s="497" t="str">
        <f t="shared" ca="1" si="9"/>
        <v/>
      </c>
      <c r="L45" s="503" t="str">
        <f t="shared" ca="1" si="10"/>
        <v/>
      </c>
      <c r="M45" s="497" t="str">
        <f t="array" aca="1" ref="M45" ca="1">IFERROR(VLOOKUP(LEFT(INDIRECT("'Impact Indicators - Section B '!AH"&amp;$I45),255),LEFT('Reference Records'!$G$4:$H$20,255),2,0),"")</f>
        <v/>
      </c>
      <c r="N45" s="497"/>
      <c r="O45" s="503" t="str">
        <f ca="1">IFERROR(VLOOKUP(INDIRECT("'Impact Indicators - Section B '!I"&amp;$I45),'Overview - Section A'!M$31:P75,4,0),IFERROR(VLOOKUP(INDIRECT("'Impact Indicators - Section B '!I"&amp;$I45),'Overview - Section A'!E$27:I72,5,0),""))</f>
        <v/>
      </c>
      <c r="P45" s="503" t="str">
        <f t="shared" ca="1" si="11"/>
        <v/>
      </c>
      <c r="Q45" s="503" t="str">
        <f t="shared" ca="1" si="12"/>
        <v/>
      </c>
      <c r="R45" s="504" t="str">
        <f t="shared" ca="1" si="13"/>
        <v/>
      </c>
      <c r="S45" s="503"/>
      <c r="T45" s="503"/>
    </row>
    <row r="46" spans="1:20" x14ac:dyDescent="0.35">
      <c r="A46" s="497" t="b">
        <f t="shared" ca="1" si="2"/>
        <v>0</v>
      </c>
      <c r="B46" s="498">
        <f t="shared" si="0"/>
        <v>30</v>
      </c>
      <c r="C46" s="510" t="str">
        <f>IFERROR(INDEX(C$2:C46,B46,1),"")</f>
        <v>a1I3p00000KRIQMEA5</v>
      </c>
      <c r="D46" s="500" t="str">
        <f t="shared" ca="1" si="3"/>
        <v/>
      </c>
      <c r="E46" s="501" t="str">
        <f t="shared" ca="1" si="4"/>
        <v/>
      </c>
      <c r="F46" s="502" t="str">
        <f t="shared" ca="1" si="5"/>
        <v/>
      </c>
      <c r="G46" s="503" t="str">
        <f t="shared" ca="1" si="6"/>
        <v/>
      </c>
      <c r="H46" s="503" t="str">
        <f t="shared" ca="1" si="7"/>
        <v/>
      </c>
      <c r="I46" s="498">
        <f t="shared" si="1"/>
        <v>63</v>
      </c>
      <c r="J46" s="503" t="str">
        <f t="shared" ca="1" si="8"/>
        <v/>
      </c>
      <c r="K46" s="497" t="str">
        <f t="shared" ca="1" si="9"/>
        <v/>
      </c>
      <c r="L46" s="503" t="str">
        <f t="shared" ca="1" si="10"/>
        <v/>
      </c>
      <c r="M46" s="497" t="str">
        <f t="array" aca="1" ref="M46" ca="1">IFERROR(VLOOKUP(LEFT(INDIRECT("'Impact Indicators - Section B '!AH"&amp;$I46),255),LEFT('Reference Records'!$G$4:$H$20,255),2,0),"")</f>
        <v/>
      </c>
      <c r="N46" s="497"/>
      <c r="O46" s="503" t="str">
        <f ca="1">IFERROR(VLOOKUP(INDIRECT("'Impact Indicators - Section B '!I"&amp;$I46),'Overview - Section A'!M$31:P76,4,0),IFERROR(VLOOKUP(INDIRECT("'Impact Indicators - Section B '!I"&amp;$I46),'Overview - Section A'!E$27:I73,5,0),""))</f>
        <v/>
      </c>
      <c r="P46" s="503" t="str">
        <f t="shared" ca="1" si="11"/>
        <v/>
      </c>
      <c r="Q46" s="503" t="str">
        <f t="shared" ca="1" si="12"/>
        <v/>
      </c>
      <c r="R46" s="504" t="str">
        <f t="shared" ca="1" si="13"/>
        <v/>
      </c>
      <c r="S46" s="503"/>
      <c r="T46" s="503"/>
    </row>
    <row r="47" spans="1:20" x14ac:dyDescent="0.35">
      <c r="A47" s="497" t="b">
        <f t="shared" ca="1" si="2"/>
        <v>0</v>
      </c>
      <c r="B47" s="498">
        <f t="shared" si="0"/>
        <v>31</v>
      </c>
      <c r="C47" s="510" t="str">
        <f>IFERROR(INDEX(C$2:C47,B47,1),"")</f>
        <v>a1I3p00000KRIQNEA5</v>
      </c>
      <c r="D47" s="500" t="str">
        <f t="shared" ca="1" si="3"/>
        <v/>
      </c>
      <c r="E47" s="501" t="str">
        <f t="shared" ca="1" si="4"/>
        <v/>
      </c>
      <c r="F47" s="502" t="str">
        <f t="shared" ca="1" si="5"/>
        <v/>
      </c>
      <c r="G47" s="503" t="str">
        <f t="shared" ca="1" si="6"/>
        <v/>
      </c>
      <c r="H47" s="503" t="str">
        <f t="shared" ca="1" si="7"/>
        <v/>
      </c>
      <c r="I47" s="498">
        <f t="shared" si="1"/>
        <v>65</v>
      </c>
      <c r="J47" s="503" t="str">
        <f t="shared" ca="1" si="8"/>
        <v/>
      </c>
      <c r="K47" s="497" t="str">
        <f t="shared" ca="1" si="9"/>
        <v/>
      </c>
      <c r="L47" s="503" t="str">
        <f t="shared" ca="1" si="10"/>
        <v/>
      </c>
      <c r="M47" s="497" t="str">
        <f t="array" aca="1" ref="M47" ca="1">IFERROR(VLOOKUP(LEFT(INDIRECT("'Impact Indicators - Section B '!AH"&amp;$I47),255),LEFT('Reference Records'!$G$4:$H$20,255),2,0),"")</f>
        <v/>
      </c>
      <c r="N47" s="497"/>
      <c r="O47" s="503" t="str">
        <f ca="1">IFERROR(VLOOKUP(INDIRECT("'Impact Indicators - Section B '!I"&amp;$I47),'Overview - Section A'!M$31:P77,4,0),IFERROR(VLOOKUP(INDIRECT("'Impact Indicators - Section B '!I"&amp;$I47),'Overview - Section A'!E$27:I74,5,0),""))</f>
        <v/>
      </c>
      <c r="P47" s="503" t="str">
        <f t="shared" ca="1" si="11"/>
        <v/>
      </c>
      <c r="Q47" s="503" t="str">
        <f t="shared" ca="1" si="12"/>
        <v/>
      </c>
      <c r="R47" s="504" t="str">
        <f t="shared" ca="1" si="13"/>
        <v/>
      </c>
      <c r="S47" s="503"/>
      <c r="T47" s="503"/>
    </row>
    <row r="48" spans="1:20" x14ac:dyDescent="0.35">
      <c r="A48" s="497" t="b">
        <f t="shared" ca="1" si="2"/>
        <v>0</v>
      </c>
      <c r="B48" s="498">
        <f t="shared" si="0"/>
        <v>32</v>
      </c>
      <c r="C48" s="510" t="str">
        <f>IFERROR(INDEX(C$2:C48,B48,1),"")</f>
        <v>a1I3p00000KRIQOEA5</v>
      </c>
      <c r="D48" s="500" t="str">
        <f t="shared" ca="1" si="3"/>
        <v/>
      </c>
      <c r="E48" s="501" t="str">
        <f t="shared" ca="1" si="4"/>
        <v/>
      </c>
      <c r="F48" s="502" t="str">
        <f t="shared" ca="1" si="5"/>
        <v/>
      </c>
      <c r="G48" s="503" t="str">
        <f t="shared" ca="1" si="6"/>
        <v/>
      </c>
      <c r="H48" s="503" t="str">
        <f t="shared" ca="1" si="7"/>
        <v/>
      </c>
      <c r="I48" s="498">
        <f t="shared" si="1"/>
        <v>67</v>
      </c>
      <c r="J48" s="503" t="str">
        <f t="shared" ca="1" si="8"/>
        <v/>
      </c>
      <c r="K48" s="497" t="str">
        <f t="shared" ca="1" si="9"/>
        <v/>
      </c>
      <c r="L48" s="503" t="str">
        <f t="shared" ca="1" si="10"/>
        <v/>
      </c>
      <c r="M48" s="497" t="str">
        <f t="array" aca="1" ref="M48" ca="1">IFERROR(VLOOKUP(LEFT(INDIRECT("'Impact Indicators - Section B '!AH"&amp;$I48),255),LEFT('Reference Records'!$G$4:$H$20,255),2,0),"")</f>
        <v/>
      </c>
      <c r="N48" s="497"/>
      <c r="O48" s="503" t="str">
        <f ca="1">IFERROR(VLOOKUP(INDIRECT("'Impact Indicators - Section B '!I"&amp;$I48),'Overview - Section A'!M$31:P78,4,0),IFERROR(VLOOKUP(INDIRECT("'Impact Indicators - Section B '!I"&amp;$I48),'Overview - Section A'!E$27:I75,5,0),""))</f>
        <v/>
      </c>
      <c r="P48" s="503" t="str">
        <f t="shared" ca="1" si="11"/>
        <v/>
      </c>
      <c r="Q48" s="503" t="str">
        <f t="shared" ca="1" si="12"/>
        <v/>
      </c>
      <c r="R48" s="504" t="str">
        <f t="shared" ca="1" si="13"/>
        <v/>
      </c>
      <c r="S48" s="503"/>
      <c r="T48" s="503"/>
    </row>
    <row r="49" spans="1:20" x14ac:dyDescent="0.35">
      <c r="A49" s="505"/>
      <c r="B49" s="506"/>
      <c r="C49" s="499"/>
      <c r="D49" s="499"/>
      <c r="E49" s="499"/>
      <c r="R49" s="505"/>
    </row>
    <row r="50" spans="1:20" x14ac:dyDescent="0.35">
      <c r="A50" s="505"/>
      <c r="B50" s="506"/>
      <c r="C50" s="499"/>
      <c r="D50" s="499"/>
      <c r="E50" s="499"/>
      <c r="R50" s="505"/>
    </row>
    <row r="51" spans="1:20" x14ac:dyDescent="0.35">
      <c r="A51" s="505"/>
      <c r="B51" s="506"/>
      <c r="C51" s="499"/>
      <c r="D51" s="499"/>
      <c r="E51" s="499"/>
      <c r="R51" s="505"/>
    </row>
    <row r="52" spans="1:20" x14ac:dyDescent="0.35">
      <c r="A52" s="505"/>
      <c r="B52" s="506"/>
      <c r="C52" s="499"/>
      <c r="D52" s="499"/>
      <c r="E52" s="499"/>
      <c r="R52" s="505"/>
    </row>
    <row r="53" spans="1:20" x14ac:dyDescent="0.35">
      <c r="A53" s="505"/>
      <c r="B53" s="506"/>
      <c r="C53" s="499"/>
      <c r="D53" s="499"/>
      <c r="E53" s="499"/>
      <c r="R53" s="505"/>
    </row>
    <row r="56" spans="1:20" x14ac:dyDescent="0.35">
      <c r="A56" s="507" t="s">
        <v>325</v>
      </c>
      <c r="D56" s="508"/>
    </row>
    <row r="57" spans="1:20" x14ac:dyDescent="0.35">
      <c r="A57" s="497" t="s">
        <v>46</v>
      </c>
      <c r="B57" s="511"/>
      <c r="C57" s="497" t="s">
        <v>48</v>
      </c>
      <c r="D57" s="497" t="s">
        <v>338</v>
      </c>
      <c r="E57" s="497" t="s">
        <v>339</v>
      </c>
      <c r="F57" s="497" t="s">
        <v>20</v>
      </c>
      <c r="G57" s="497"/>
      <c r="H57" s="497" t="s">
        <v>249</v>
      </c>
      <c r="I57" s="497" t="s">
        <v>7</v>
      </c>
      <c r="J57" s="497" t="s">
        <v>6</v>
      </c>
      <c r="K57" s="497" t="s">
        <v>8</v>
      </c>
      <c r="L57" s="497" t="s">
        <v>149</v>
      </c>
      <c r="M57" s="497" t="s">
        <v>26</v>
      </c>
      <c r="N57" s="497" t="s">
        <v>109</v>
      </c>
      <c r="O57" s="497" t="s">
        <v>381</v>
      </c>
      <c r="P57" s="497">
        <v>-1</v>
      </c>
      <c r="Q57" s="497"/>
      <c r="R57" s="497"/>
      <c r="S57" s="497"/>
      <c r="T57" s="497" t="s">
        <v>71</v>
      </c>
    </row>
    <row r="58" spans="1:20" hidden="1" x14ac:dyDescent="0.35">
      <c r="A58" s="497" t="b">
        <f ca="1">IF(OR(I58&lt;&gt;"",J58&lt;&gt;"",K58&lt;&gt;"",M58&lt;&gt;"",N58&lt;&gt;""),TRUE,FALSE)</f>
        <v>0</v>
      </c>
      <c r="B58" s="511"/>
      <c r="C58" s="497" t="str">
        <f ca="1">O58</f>
        <v/>
      </c>
      <c r="D58" s="497"/>
      <c r="E58" s="497">
        <f ca="1">COUNTIF(F49:F58,F58)</f>
        <v>9</v>
      </c>
      <c r="F58" s="512" t="str">
        <f ca="1">IFERROR(IF(COUNTA($D$56:$D58)=1,"",OFFSET($F56,-COUNTA($D$56:$D58)+3,0)),"")</f>
        <v/>
      </c>
      <c r="G58" s="497"/>
      <c r="H58" s="497" t="str">
        <f ca="1">IF(F58=1,9,IF(E57=MAX(E56:E58),H56+2,H57))</f>
        <v>row number</v>
      </c>
      <c r="I58" s="513" t="str">
        <f ca="1">IFERROR(CHOOSE(E58,IFERROR(IF(INDIRECT("'Impact Indicators - Section B '!K"&amp;H58+1)="","",INDIRECT("'Impact Indicators - Section B '!K"&amp;H58+1)),""),IFERROR(IF(INDIRECT("'Impact Indicators - Section B '!O"&amp;H58+1)="","",INDIRECT("'Impact Indicators - Section B '!O"&amp;H58+1)),""),IFERROR(IF(INDIRECT("'Impact Indicators - Section B '!S"&amp;H58+1)="","",INDIRECT("'Impact Indicators - Section B '!S"&amp;H58+1)),""),IFERROR(IF(INDIRECT("'Impact Indicators - Section B '!W"&amp;H58+1)="","",INDIRECT("'Impact Indicators - Section B '!W"&amp;H58+1)),"")),"")</f>
        <v/>
      </c>
      <c r="J58" s="513" t="str">
        <f ca="1">IFERROR(CHOOSE(E58,IFERROR(IF(INDIRECT("'Impact Indicators - Section B '!K"&amp;H58)="","",INDIRECT("'Impact Indicators - Section B '!K"&amp;H58)),""),IFERROR(IF(INDIRECT("'Impact Indicators - Section B '!O"&amp;H58)="","",INDIRECT("'Impact Indicators - Section B '!O"&amp;H58)),""),IFERROR(IF(INDIRECT("'Impact Indicators - Section B '!S"&amp;H58)="","",INDIRECT("'Impact Indicators - Section B '!S"&amp;H58)),""),IFERROR(IF(INDIRECT("'Impact Indicators - Section B '!W"&amp;H58)="","",INDIRECT("'Impact Indicators - Section B '!W"&amp;H58)),"")),"")</f>
        <v/>
      </c>
      <c r="K58" s="500" t="str">
        <f ca="1">IFERROR(CHOOSE(E58,IFERROR(IF(INDIRECT("'Impact Indicators - Section B '!L"&amp;H58)="","",INDIRECT("'Impact Indicators - Section B '!L"&amp;H58)*100),""),IFERROR(IF(INDIRECT("'Impact Indicators - Section B '!P"&amp;H58)="","",INDIRECT("'Impact Indicators - Section B '!P"&amp;H58)*100),""),IFERROR(IF(INDIRECT("'Impact Indicators - Section B '!T"&amp;H58)="","",INDIRECT("'Impact Indicators - Section B '!T"&amp;H58)*100),""),IFERROR(IF(INDIRECT("'Impact Indicators - Section B '!X"&amp;H58)="","",INDIRECT("'Impact Indicators - Section B '!X"&amp;H58)*100),"")),"")</f>
        <v/>
      </c>
      <c r="L58" s="503" t="str">
        <f ca="1">IFERROR(CHOOSE(E58,'Impact Indicators - Section B '!$K$7,'Impact Indicators - Section B '!$O$7,'Impact Indicators - Section B '!$S$7,'Impact Indicators - Section B '!$W$7),"")</f>
        <v/>
      </c>
      <c r="M58" s="514" t="str">
        <f ca="1">IFERROR(CHOOSE(E58,IFERROR(IF(INDIRECT("'Impact Indicators - Section B '!M"&amp;H58)="","",INDIRECT("'Impact Indicators - Section B '!M"&amp;H58)),""),IFERROR(IF(INDIRECT("'Impact Indicators - Section B '!Q"&amp;H58)="","",INDIRECT("'Impact Indicators - Section B '!Q"&amp;H58)),""),IFERROR(IF(INDIRECT("'Impact Indicators - Section B '!U"&amp;H58)="","",INDIRECT("'Impact Indicators - Section B '!U"&amp;H58)),""),IFERROR(IF(INDIRECT("'Impact Indicators - Section B '!Y"&amp;H58)="","",INDIRECT("'Impact Indicators - Section B '!Y"&amp;H58)),"")),"")</f>
        <v/>
      </c>
      <c r="N58" s="503" t="str">
        <f ca="1">IFERROR(CHOOSE(E58,IFERROR(IF(INDIRECT("'Impact Indicators - Section B '!N"&amp;H58)=0,"",INDIRECT("'Impact Indicators - Section B '!N"&amp;H58)),""),IFERROR(IF(INDIRECT("'Impact Indicators - Section B '!R"&amp;H58)=0,"",INDIRECT("'Impact Indicators - Section B '!R"&amp;H58)),""),IFERROR(IF(INDIRECT("'Impact Indicators - Section B '!V"&amp;H58)=0,"",INDIRECT("'Impact Indicators - Section B '!V"&amp;H58)),""),IFERROR(IF(INDIRECT("'Impact Indicators - Section B '!Z"&amp;H58)=0,"",INDIRECT("'Impact Indicators - Section B '!Z"&amp;H58)),"")),"")</f>
        <v/>
      </c>
      <c r="O58" s="497" t="str">
        <f ca="1">IFERROR(IF(COUNTA($D$56:$D58)=1,"",OFFSET($C56,-COUNTA($D$56:$D58)+3,0)),"")</f>
        <v/>
      </c>
      <c r="P58" s="497">
        <f>IF(NOT(_xlfn.ISFORMULA(I58)),P57+1,0)</f>
        <v>0</v>
      </c>
      <c r="Q58" s="497"/>
      <c r="R58" s="497"/>
      <c r="S58" s="497"/>
      <c r="T58" s="497" t="b">
        <f ca="1">IF(A58=TRUE,TRUE,FALSE)</f>
        <v>0</v>
      </c>
    </row>
    <row r="59" spans="1:20" x14ac:dyDescent="0.35">
      <c r="A59" s="497" t="b">
        <v>0</v>
      </c>
      <c r="B59" s="511"/>
      <c r="C59" s="497" t="s">
        <v>9039</v>
      </c>
      <c r="D59" s="497" t="s">
        <v>4036</v>
      </c>
      <c r="E59" s="497">
        <f t="shared" ref="E59:E122" ca="1" si="14">COUNTIF(F50:F59,F59)</f>
        <v>1</v>
      </c>
      <c r="F59" s="512">
        <v>1</v>
      </c>
      <c r="G59" s="497"/>
      <c r="H59" s="497">
        <f t="shared" ref="H59:H122" si="15">IF(F59=1,9,IF(E58=MAX(E57:E59),H57+2,H58))</f>
        <v>9</v>
      </c>
      <c r="I59" s="513"/>
      <c r="J59" s="513"/>
      <c r="K59" s="500"/>
      <c r="L59" s="503"/>
      <c r="M59" s="514"/>
      <c r="N59" s="503"/>
      <c r="O59" s="497" t="str">
        <f ca="1">IFERROR(IF(COUNTA($D$56:$D59)=1,"",OFFSET($C57,-COUNTA($D$56:$D59)+3,0)),"")</f>
        <v/>
      </c>
      <c r="P59" s="497">
        <f t="shared" ref="P59:P122" si="16">IF(NOT(_xlfn.ISFORMULA(I59)),P58+1,0)</f>
        <v>1</v>
      </c>
      <c r="Q59" s="497"/>
      <c r="R59" s="497"/>
      <c r="S59" s="497"/>
      <c r="T59" s="497" t="b">
        <v>0</v>
      </c>
    </row>
    <row r="60" spans="1:20" x14ac:dyDescent="0.35">
      <c r="A60" s="497" t="b">
        <v>0</v>
      </c>
      <c r="B60" s="511"/>
      <c r="C60" s="497" t="s">
        <v>9040</v>
      </c>
      <c r="D60" s="497" t="s">
        <v>4036</v>
      </c>
      <c r="E60" s="497">
        <f t="shared" ca="1" si="14"/>
        <v>2</v>
      </c>
      <c r="F60" s="512">
        <v>1</v>
      </c>
      <c r="G60" s="497"/>
      <c r="H60" s="497">
        <f t="shared" si="15"/>
        <v>9</v>
      </c>
      <c r="I60" s="513"/>
      <c r="J60" s="513"/>
      <c r="K60" s="500"/>
      <c r="L60" s="503"/>
      <c r="M60" s="514"/>
      <c r="N60" s="503"/>
      <c r="O60" s="497" t="str">
        <f ca="1">IFERROR(IF(COUNTA($D$56:$D60)=1,"",OFFSET($C58,-COUNTA($D$56:$D60)+3,0)),"")</f>
        <v/>
      </c>
      <c r="P60" s="497">
        <f t="shared" si="16"/>
        <v>2</v>
      </c>
      <c r="Q60" s="497"/>
      <c r="R60" s="497"/>
      <c r="S60" s="497"/>
      <c r="T60" s="497" t="b">
        <v>0</v>
      </c>
    </row>
    <row r="61" spans="1:20" x14ac:dyDescent="0.35">
      <c r="A61" s="497" t="b">
        <v>0</v>
      </c>
      <c r="B61" s="511"/>
      <c r="C61" s="497" t="s">
        <v>9041</v>
      </c>
      <c r="D61" s="497" t="s">
        <v>4036</v>
      </c>
      <c r="E61" s="497">
        <f t="shared" ca="1" si="14"/>
        <v>3</v>
      </c>
      <c r="F61" s="512">
        <v>1</v>
      </c>
      <c r="G61" s="497"/>
      <c r="H61" s="497">
        <f t="shared" si="15"/>
        <v>9</v>
      </c>
      <c r="I61" s="513"/>
      <c r="J61" s="513"/>
      <c r="K61" s="500"/>
      <c r="L61" s="503"/>
      <c r="M61" s="514"/>
      <c r="N61" s="503"/>
      <c r="O61" s="497" t="str">
        <f ca="1">IFERROR(IF(COUNTA($D$56:$D61)=1,"",OFFSET($C59,-COUNTA($D$56:$D61)+3,0)),"")</f>
        <v/>
      </c>
      <c r="P61" s="497">
        <f t="shared" si="16"/>
        <v>3</v>
      </c>
      <c r="Q61" s="497"/>
      <c r="R61" s="497"/>
      <c r="S61" s="497"/>
      <c r="T61" s="497" t="b">
        <v>0</v>
      </c>
    </row>
    <row r="62" spans="1:20" x14ac:dyDescent="0.35">
      <c r="A62" s="497" t="b">
        <v>0</v>
      </c>
      <c r="B62" s="511"/>
      <c r="C62" s="497" t="s">
        <v>9042</v>
      </c>
      <c r="D62" s="497" t="s">
        <v>4036</v>
      </c>
      <c r="E62" s="497">
        <f t="shared" ca="1" si="14"/>
        <v>4</v>
      </c>
      <c r="F62" s="512">
        <v>1</v>
      </c>
      <c r="G62" s="497"/>
      <c r="H62" s="497">
        <f t="shared" si="15"/>
        <v>9</v>
      </c>
      <c r="I62" s="513"/>
      <c r="J62" s="513"/>
      <c r="K62" s="500"/>
      <c r="L62" s="503"/>
      <c r="M62" s="514"/>
      <c r="N62" s="503"/>
      <c r="O62" s="497" t="str">
        <f ca="1">IFERROR(IF(COUNTA($D$56:$D62)=1,"",OFFSET($C60,-COUNTA($D$56:$D62)+3,0)),"")</f>
        <v/>
      </c>
      <c r="P62" s="497">
        <f t="shared" si="16"/>
        <v>4</v>
      </c>
      <c r="Q62" s="497"/>
      <c r="R62" s="497"/>
      <c r="S62" s="497"/>
      <c r="T62" s="497" t="b">
        <v>0</v>
      </c>
    </row>
    <row r="63" spans="1:20" x14ac:dyDescent="0.35">
      <c r="A63" s="497" t="b">
        <v>0</v>
      </c>
      <c r="B63" s="511"/>
      <c r="C63" s="497" t="s">
        <v>9043</v>
      </c>
      <c r="D63" s="497" t="s">
        <v>4036</v>
      </c>
      <c r="E63" s="497">
        <f t="shared" ca="1" si="14"/>
        <v>5</v>
      </c>
      <c r="F63" s="512">
        <v>1</v>
      </c>
      <c r="G63" s="497"/>
      <c r="H63" s="497">
        <f t="shared" si="15"/>
        <v>9</v>
      </c>
      <c r="I63" s="513"/>
      <c r="J63" s="513"/>
      <c r="K63" s="500"/>
      <c r="L63" s="503"/>
      <c r="M63" s="514"/>
      <c r="N63" s="503"/>
      <c r="O63" s="497" t="str">
        <f ca="1">IFERROR(IF(COUNTA($D$56:$D63)=1,"",OFFSET($C61,-COUNTA($D$56:$D63)+3,0)),"")</f>
        <v/>
      </c>
      <c r="P63" s="497">
        <f t="shared" si="16"/>
        <v>5</v>
      </c>
      <c r="Q63" s="497"/>
      <c r="R63" s="497"/>
      <c r="S63" s="497"/>
      <c r="T63" s="497" t="b">
        <v>0</v>
      </c>
    </row>
    <row r="64" spans="1:20" x14ac:dyDescent="0.35">
      <c r="A64" s="497" t="b">
        <v>0</v>
      </c>
      <c r="B64" s="511"/>
      <c r="C64" s="497" t="s">
        <v>9044</v>
      </c>
      <c r="D64" s="497" t="s">
        <v>4036</v>
      </c>
      <c r="E64" s="497">
        <f t="shared" ca="1" si="14"/>
        <v>6</v>
      </c>
      <c r="F64" s="512">
        <v>1</v>
      </c>
      <c r="G64" s="497"/>
      <c r="H64" s="497">
        <f t="shared" si="15"/>
        <v>9</v>
      </c>
      <c r="I64" s="513"/>
      <c r="J64" s="513"/>
      <c r="K64" s="500"/>
      <c r="L64" s="503"/>
      <c r="M64" s="514"/>
      <c r="N64" s="503"/>
      <c r="O64" s="497" t="str">
        <f ca="1">IFERROR(IF(COUNTA($D$56:$D64)=1,"",OFFSET($C62,-COUNTA($D$56:$D64)+3,0)),"")</f>
        <v/>
      </c>
      <c r="P64" s="497">
        <f t="shared" si="16"/>
        <v>6</v>
      </c>
      <c r="Q64" s="497"/>
      <c r="R64" s="497"/>
      <c r="S64" s="497"/>
      <c r="T64" s="497" t="b">
        <v>0</v>
      </c>
    </row>
    <row r="65" spans="1:20" x14ac:dyDescent="0.35">
      <c r="A65" s="497" t="b">
        <v>0</v>
      </c>
      <c r="B65" s="511"/>
      <c r="C65" s="497" t="s">
        <v>9045</v>
      </c>
      <c r="D65" s="497" t="s">
        <v>4353</v>
      </c>
      <c r="E65" s="497">
        <f t="shared" ca="1" si="14"/>
        <v>1</v>
      </c>
      <c r="F65" s="512">
        <v>2</v>
      </c>
      <c r="G65" s="497"/>
      <c r="H65" s="497">
        <f t="shared" ca="1" si="15"/>
        <v>11</v>
      </c>
      <c r="I65" s="513"/>
      <c r="J65" s="513"/>
      <c r="K65" s="500"/>
      <c r="L65" s="503"/>
      <c r="M65" s="514"/>
      <c r="N65" s="503"/>
      <c r="O65" s="497" t="str">
        <f ca="1">IFERROR(IF(COUNTA($D$56:$D65)=1,"",OFFSET($C63,-COUNTA($D$56:$D65)+3,0)),"")</f>
        <v/>
      </c>
      <c r="P65" s="497">
        <f t="shared" si="16"/>
        <v>7</v>
      </c>
      <c r="Q65" s="497"/>
      <c r="R65" s="497"/>
      <c r="S65" s="497"/>
      <c r="T65" s="497" t="b">
        <v>0</v>
      </c>
    </row>
    <row r="66" spans="1:20" x14ac:dyDescent="0.35">
      <c r="A66" s="497" t="b">
        <v>0</v>
      </c>
      <c r="B66" s="511"/>
      <c r="C66" s="497" t="s">
        <v>9046</v>
      </c>
      <c r="D66" s="497" t="s">
        <v>4353</v>
      </c>
      <c r="E66" s="497">
        <f t="shared" ca="1" si="14"/>
        <v>2</v>
      </c>
      <c r="F66" s="512">
        <v>2</v>
      </c>
      <c r="G66" s="497"/>
      <c r="H66" s="497">
        <f t="shared" ca="1" si="15"/>
        <v>11</v>
      </c>
      <c r="I66" s="513"/>
      <c r="J66" s="513"/>
      <c r="K66" s="500"/>
      <c r="L66" s="503"/>
      <c r="M66" s="514"/>
      <c r="N66" s="503"/>
      <c r="O66" s="497" t="str">
        <f ca="1">IFERROR(IF(COUNTA($D$56:$D66)=1,"",OFFSET($C64,-COUNTA($D$56:$D66)+3,0)),"")</f>
        <v/>
      </c>
      <c r="P66" s="497">
        <f t="shared" si="16"/>
        <v>8</v>
      </c>
      <c r="Q66" s="497"/>
      <c r="R66" s="497"/>
      <c r="S66" s="497"/>
      <c r="T66" s="497" t="b">
        <v>0</v>
      </c>
    </row>
    <row r="67" spans="1:20" x14ac:dyDescent="0.35">
      <c r="A67" s="497" t="b">
        <v>0</v>
      </c>
      <c r="B67" s="511"/>
      <c r="C67" s="497" t="s">
        <v>9047</v>
      </c>
      <c r="D67" s="497" t="s">
        <v>4353</v>
      </c>
      <c r="E67" s="497">
        <f t="shared" ca="1" si="14"/>
        <v>3</v>
      </c>
      <c r="F67" s="512">
        <v>2</v>
      </c>
      <c r="G67" s="497"/>
      <c r="H67" s="497">
        <f t="shared" ca="1" si="15"/>
        <v>11</v>
      </c>
      <c r="I67" s="513"/>
      <c r="J67" s="513"/>
      <c r="K67" s="500"/>
      <c r="L67" s="503"/>
      <c r="M67" s="514"/>
      <c r="N67" s="503"/>
      <c r="O67" s="497" t="str">
        <f ca="1">IFERROR(IF(COUNTA($D$56:$D67)=1,"",OFFSET($C65,-COUNTA($D$56:$D67)+3,0)),"")</f>
        <v/>
      </c>
      <c r="P67" s="497">
        <f t="shared" si="16"/>
        <v>9</v>
      </c>
      <c r="Q67" s="497"/>
      <c r="R67" s="497"/>
      <c r="S67" s="497"/>
      <c r="T67" s="497" t="b">
        <v>0</v>
      </c>
    </row>
    <row r="68" spans="1:20" x14ac:dyDescent="0.35">
      <c r="A68" s="497" t="b">
        <v>0</v>
      </c>
      <c r="B68" s="511"/>
      <c r="C68" s="497" t="s">
        <v>9048</v>
      </c>
      <c r="D68" s="497" t="s">
        <v>4353</v>
      </c>
      <c r="E68" s="497">
        <f t="shared" si="14"/>
        <v>4</v>
      </c>
      <c r="F68" s="512">
        <v>2</v>
      </c>
      <c r="G68" s="497"/>
      <c r="H68" s="497">
        <f t="shared" ca="1" si="15"/>
        <v>11</v>
      </c>
      <c r="I68" s="513"/>
      <c r="J68" s="513"/>
      <c r="K68" s="500"/>
      <c r="L68" s="503"/>
      <c r="M68" s="514"/>
      <c r="N68" s="503"/>
      <c r="O68" s="497" t="str">
        <f ca="1">IFERROR(IF(COUNTA($D$56:$D68)=1,"",OFFSET($C66,-COUNTA($D$56:$D68)+3,0)),"")</f>
        <v/>
      </c>
      <c r="P68" s="497">
        <f t="shared" si="16"/>
        <v>10</v>
      </c>
      <c r="Q68" s="497"/>
      <c r="R68" s="497"/>
      <c r="S68" s="497"/>
      <c r="T68" s="497" t="b">
        <v>0</v>
      </c>
    </row>
    <row r="69" spans="1:20" x14ac:dyDescent="0.35">
      <c r="A69" s="497" t="b">
        <v>0</v>
      </c>
      <c r="B69" s="511"/>
      <c r="C69" s="497" t="s">
        <v>9049</v>
      </c>
      <c r="D69" s="497" t="s">
        <v>4353</v>
      </c>
      <c r="E69" s="497">
        <f t="shared" si="14"/>
        <v>5</v>
      </c>
      <c r="F69" s="512">
        <v>2</v>
      </c>
      <c r="G69" s="497"/>
      <c r="H69" s="497">
        <f t="shared" ca="1" si="15"/>
        <v>11</v>
      </c>
      <c r="I69" s="513"/>
      <c r="J69" s="513"/>
      <c r="K69" s="500"/>
      <c r="L69" s="503"/>
      <c r="M69" s="514"/>
      <c r="N69" s="503"/>
      <c r="O69" s="497" t="str">
        <f ca="1">IFERROR(IF(COUNTA($D$56:$D69)=1,"",OFFSET($C67,-COUNTA($D$56:$D69)+3,0)),"")</f>
        <v/>
      </c>
      <c r="P69" s="497">
        <f t="shared" si="16"/>
        <v>11</v>
      </c>
      <c r="Q69" s="497"/>
      <c r="R69" s="497"/>
      <c r="S69" s="497"/>
      <c r="T69" s="497" t="b">
        <v>0</v>
      </c>
    </row>
    <row r="70" spans="1:20" x14ac:dyDescent="0.35">
      <c r="A70" s="497" t="b">
        <v>0</v>
      </c>
      <c r="B70" s="511"/>
      <c r="C70" s="497" t="s">
        <v>9050</v>
      </c>
      <c r="D70" s="497" t="s">
        <v>4353</v>
      </c>
      <c r="E70" s="497">
        <f t="shared" si="14"/>
        <v>6</v>
      </c>
      <c r="F70" s="512">
        <v>2</v>
      </c>
      <c r="G70" s="497"/>
      <c r="H70" s="497">
        <f t="shared" ca="1" si="15"/>
        <v>11</v>
      </c>
      <c r="I70" s="513"/>
      <c r="J70" s="513"/>
      <c r="K70" s="500"/>
      <c r="L70" s="503"/>
      <c r="M70" s="514"/>
      <c r="N70" s="503"/>
      <c r="O70" s="497" t="str">
        <f ca="1">IFERROR(IF(COUNTA($D$56:$D70)=1,"",OFFSET($C68,-COUNTA($D$56:$D70)+3,0)),"")</f>
        <v/>
      </c>
      <c r="P70" s="497">
        <f t="shared" si="16"/>
        <v>12</v>
      </c>
      <c r="Q70" s="497"/>
      <c r="R70" s="497"/>
      <c r="S70" s="497"/>
      <c r="T70" s="497" t="b">
        <v>0</v>
      </c>
    </row>
    <row r="71" spans="1:20" x14ac:dyDescent="0.35">
      <c r="A71" s="497" t="b">
        <v>0</v>
      </c>
      <c r="B71" s="511"/>
      <c r="C71" s="497" t="s">
        <v>9051</v>
      </c>
      <c r="D71" s="497" t="s">
        <v>4058</v>
      </c>
      <c r="E71" s="497">
        <f t="shared" si="14"/>
        <v>1</v>
      </c>
      <c r="F71" s="512">
        <v>3</v>
      </c>
      <c r="G71" s="497"/>
      <c r="H71" s="497">
        <f t="shared" ca="1" si="15"/>
        <v>13</v>
      </c>
      <c r="I71" s="513"/>
      <c r="J71" s="513"/>
      <c r="K71" s="500"/>
      <c r="L71" s="503"/>
      <c r="M71" s="514"/>
      <c r="N71" s="503"/>
      <c r="O71" s="497" t="str">
        <f ca="1">IFERROR(IF(COUNTA($D$56:$D71)=1,"",OFFSET($C69,-COUNTA($D$56:$D71)+3,0)),"")</f>
        <v/>
      </c>
      <c r="P71" s="497">
        <f t="shared" si="16"/>
        <v>13</v>
      </c>
      <c r="Q71" s="497"/>
      <c r="R71" s="497"/>
      <c r="S71" s="497"/>
      <c r="T71" s="497" t="b">
        <v>0</v>
      </c>
    </row>
    <row r="72" spans="1:20" x14ac:dyDescent="0.35">
      <c r="A72" s="497" t="b">
        <v>0</v>
      </c>
      <c r="B72" s="511"/>
      <c r="C72" s="497" t="s">
        <v>9052</v>
      </c>
      <c r="D72" s="497" t="s">
        <v>4058</v>
      </c>
      <c r="E72" s="497">
        <f t="shared" si="14"/>
        <v>2</v>
      </c>
      <c r="F72" s="512">
        <v>3</v>
      </c>
      <c r="G72" s="497"/>
      <c r="H72" s="497">
        <f t="shared" ca="1" si="15"/>
        <v>13</v>
      </c>
      <c r="I72" s="513"/>
      <c r="J72" s="513"/>
      <c r="K72" s="500"/>
      <c r="L72" s="503"/>
      <c r="M72" s="514"/>
      <c r="N72" s="503"/>
      <c r="O72" s="497" t="str">
        <f ca="1">IFERROR(IF(COUNTA($D$56:$D72)=1,"",OFFSET($C70,-COUNTA($D$56:$D72)+3,0)),"")</f>
        <v/>
      </c>
      <c r="P72" s="497">
        <f t="shared" si="16"/>
        <v>14</v>
      </c>
      <c r="Q72" s="497"/>
      <c r="R72" s="497"/>
      <c r="S72" s="497"/>
      <c r="T72" s="497" t="b">
        <v>0</v>
      </c>
    </row>
    <row r="73" spans="1:20" x14ac:dyDescent="0.35">
      <c r="A73" s="497" t="b">
        <v>0</v>
      </c>
      <c r="B73" s="511"/>
      <c r="C73" s="497" t="s">
        <v>9053</v>
      </c>
      <c r="D73" s="497" t="s">
        <v>4058</v>
      </c>
      <c r="E73" s="497">
        <f t="shared" si="14"/>
        <v>3</v>
      </c>
      <c r="F73" s="512">
        <v>3</v>
      </c>
      <c r="G73" s="497"/>
      <c r="H73" s="497">
        <f t="shared" ca="1" si="15"/>
        <v>13</v>
      </c>
      <c r="I73" s="513"/>
      <c r="J73" s="513"/>
      <c r="K73" s="500"/>
      <c r="L73" s="503"/>
      <c r="M73" s="514"/>
      <c r="N73" s="503"/>
      <c r="O73" s="497" t="str">
        <f ca="1">IFERROR(IF(COUNTA($D$56:$D73)=1,"",OFFSET($C71,-COUNTA($D$56:$D73)+3,0)),"")</f>
        <v/>
      </c>
      <c r="P73" s="497">
        <f t="shared" si="16"/>
        <v>15</v>
      </c>
      <c r="Q73" s="497"/>
      <c r="R73" s="497"/>
      <c r="S73" s="497"/>
      <c r="T73" s="497" t="b">
        <v>0</v>
      </c>
    </row>
    <row r="74" spans="1:20" x14ac:dyDescent="0.35">
      <c r="A74" s="497" t="b">
        <v>0</v>
      </c>
      <c r="B74" s="511"/>
      <c r="C74" s="497" t="s">
        <v>9054</v>
      </c>
      <c r="D74" s="497" t="s">
        <v>4058</v>
      </c>
      <c r="E74" s="497">
        <f t="shared" si="14"/>
        <v>4</v>
      </c>
      <c r="F74" s="512">
        <v>3</v>
      </c>
      <c r="G74" s="497"/>
      <c r="H74" s="497">
        <f t="shared" ca="1" si="15"/>
        <v>13</v>
      </c>
      <c r="I74" s="513"/>
      <c r="J74" s="513"/>
      <c r="K74" s="500"/>
      <c r="L74" s="503"/>
      <c r="M74" s="514"/>
      <c r="N74" s="503"/>
      <c r="O74" s="497" t="str">
        <f ca="1">IFERROR(IF(COUNTA($D$56:$D74)=1,"",OFFSET($C72,-COUNTA($D$56:$D74)+3,0)),"")</f>
        <v/>
      </c>
      <c r="P74" s="497">
        <f t="shared" si="16"/>
        <v>16</v>
      </c>
      <c r="Q74" s="497"/>
      <c r="R74" s="497"/>
      <c r="S74" s="497"/>
      <c r="T74" s="497" t="b">
        <v>0</v>
      </c>
    </row>
    <row r="75" spans="1:20" x14ac:dyDescent="0.35">
      <c r="A75" s="497" t="b">
        <v>0</v>
      </c>
      <c r="B75" s="511"/>
      <c r="C75" s="497" t="s">
        <v>9055</v>
      </c>
      <c r="D75" s="497" t="s">
        <v>4058</v>
      </c>
      <c r="E75" s="497">
        <f t="shared" si="14"/>
        <v>5</v>
      </c>
      <c r="F75" s="512">
        <v>3</v>
      </c>
      <c r="G75" s="497"/>
      <c r="H75" s="497">
        <f t="shared" ca="1" si="15"/>
        <v>13</v>
      </c>
      <c r="I75" s="513"/>
      <c r="J75" s="513"/>
      <c r="K75" s="500"/>
      <c r="L75" s="503"/>
      <c r="M75" s="514"/>
      <c r="N75" s="503"/>
      <c r="O75" s="497" t="str">
        <f ca="1">IFERROR(IF(COUNTA($D$56:$D75)=1,"",OFFSET($C73,-COUNTA($D$56:$D75)+3,0)),"")</f>
        <v/>
      </c>
      <c r="P75" s="497">
        <f t="shared" si="16"/>
        <v>17</v>
      </c>
      <c r="Q75" s="497"/>
      <c r="R75" s="497"/>
      <c r="S75" s="497"/>
      <c r="T75" s="497" t="b">
        <v>0</v>
      </c>
    </row>
    <row r="76" spans="1:20" x14ac:dyDescent="0.35">
      <c r="A76" s="497" t="b">
        <v>0</v>
      </c>
      <c r="B76" s="511"/>
      <c r="C76" s="497" t="s">
        <v>9056</v>
      </c>
      <c r="D76" s="497" t="s">
        <v>4058</v>
      </c>
      <c r="E76" s="497">
        <f t="shared" si="14"/>
        <v>6</v>
      </c>
      <c r="F76" s="512">
        <v>3</v>
      </c>
      <c r="G76" s="497"/>
      <c r="H76" s="497">
        <f t="shared" ca="1" si="15"/>
        <v>13</v>
      </c>
      <c r="I76" s="513"/>
      <c r="J76" s="513"/>
      <c r="K76" s="500"/>
      <c r="L76" s="503"/>
      <c r="M76" s="514"/>
      <c r="N76" s="503"/>
      <c r="O76" s="497" t="str">
        <f ca="1">IFERROR(IF(COUNTA($D$56:$D76)=1,"",OFFSET($C74,-COUNTA($D$56:$D76)+3,0)),"")</f>
        <v/>
      </c>
      <c r="P76" s="497">
        <f t="shared" si="16"/>
        <v>18</v>
      </c>
      <c r="Q76" s="497"/>
      <c r="R76" s="497"/>
      <c r="S76" s="497"/>
      <c r="T76" s="497" t="b">
        <v>0</v>
      </c>
    </row>
    <row r="77" spans="1:20" x14ac:dyDescent="0.35">
      <c r="A77" s="497" t="b">
        <v>0</v>
      </c>
      <c r="B77" s="511"/>
      <c r="C77" s="497" t="s">
        <v>9057</v>
      </c>
      <c r="D77" s="497" t="s">
        <v>4374</v>
      </c>
      <c r="E77" s="497">
        <f t="shared" si="14"/>
        <v>1</v>
      </c>
      <c r="F77" s="512">
        <v>4</v>
      </c>
      <c r="G77" s="497"/>
      <c r="H77" s="497">
        <f t="shared" ca="1" si="15"/>
        <v>15</v>
      </c>
      <c r="I77" s="513"/>
      <c r="J77" s="513"/>
      <c r="K77" s="500"/>
      <c r="L77" s="503"/>
      <c r="M77" s="514"/>
      <c r="N77" s="503"/>
      <c r="O77" s="497" t="str">
        <f ca="1">IFERROR(IF(COUNTA($D$56:$D77)=1,"",OFFSET($C75,-COUNTA($D$56:$D77)+3,0)),"")</f>
        <v/>
      </c>
      <c r="P77" s="497">
        <f t="shared" si="16"/>
        <v>19</v>
      </c>
      <c r="Q77" s="497"/>
      <c r="R77" s="497"/>
      <c r="S77" s="497"/>
      <c r="T77" s="497" t="b">
        <v>0</v>
      </c>
    </row>
    <row r="78" spans="1:20" x14ac:dyDescent="0.35">
      <c r="A78" s="497" t="b">
        <v>0</v>
      </c>
      <c r="B78" s="511"/>
      <c r="C78" s="497" t="s">
        <v>9058</v>
      </c>
      <c r="D78" s="497" t="s">
        <v>4374</v>
      </c>
      <c r="E78" s="497">
        <f t="shared" si="14"/>
        <v>2</v>
      </c>
      <c r="F78" s="512">
        <v>4</v>
      </c>
      <c r="G78" s="497"/>
      <c r="H78" s="497">
        <f t="shared" ca="1" si="15"/>
        <v>15</v>
      </c>
      <c r="I78" s="513"/>
      <c r="J78" s="513"/>
      <c r="K78" s="500"/>
      <c r="L78" s="503"/>
      <c r="M78" s="514"/>
      <c r="N78" s="503"/>
      <c r="O78" s="497" t="str">
        <f ca="1">IFERROR(IF(COUNTA($D$56:$D78)=1,"",OFFSET($C76,-COUNTA($D$56:$D78)+3,0)),"")</f>
        <v/>
      </c>
      <c r="P78" s="497">
        <f t="shared" si="16"/>
        <v>20</v>
      </c>
      <c r="Q78" s="497"/>
      <c r="R78" s="497"/>
      <c r="S78" s="497"/>
      <c r="T78" s="497" t="b">
        <v>0</v>
      </c>
    </row>
    <row r="79" spans="1:20" x14ac:dyDescent="0.35">
      <c r="A79" s="497" t="b">
        <v>0</v>
      </c>
      <c r="B79" s="511"/>
      <c r="C79" s="497" t="s">
        <v>9059</v>
      </c>
      <c r="D79" s="497" t="s">
        <v>4374</v>
      </c>
      <c r="E79" s="497">
        <f t="shared" si="14"/>
        <v>3</v>
      </c>
      <c r="F79" s="512">
        <v>4</v>
      </c>
      <c r="G79" s="497"/>
      <c r="H79" s="497">
        <f t="shared" ca="1" si="15"/>
        <v>15</v>
      </c>
      <c r="I79" s="513"/>
      <c r="J79" s="513"/>
      <c r="K79" s="500"/>
      <c r="L79" s="503"/>
      <c r="M79" s="514"/>
      <c r="N79" s="503"/>
      <c r="O79" s="497" t="str">
        <f ca="1">IFERROR(IF(COUNTA($D$56:$D79)=1,"",OFFSET($C77,-COUNTA($D$56:$D79)+3,0)),"")</f>
        <v/>
      </c>
      <c r="P79" s="497">
        <f t="shared" si="16"/>
        <v>21</v>
      </c>
      <c r="Q79" s="497"/>
      <c r="R79" s="497"/>
      <c r="S79" s="497"/>
      <c r="T79" s="497" t="b">
        <v>0</v>
      </c>
    </row>
    <row r="80" spans="1:20" x14ac:dyDescent="0.35">
      <c r="A80" s="497" t="b">
        <v>0</v>
      </c>
      <c r="B80" s="511"/>
      <c r="C80" s="497" t="s">
        <v>9060</v>
      </c>
      <c r="D80" s="497" t="s">
        <v>4374</v>
      </c>
      <c r="E80" s="497">
        <f t="shared" si="14"/>
        <v>4</v>
      </c>
      <c r="F80" s="512">
        <v>4</v>
      </c>
      <c r="G80" s="497"/>
      <c r="H80" s="497">
        <f t="shared" ca="1" si="15"/>
        <v>15</v>
      </c>
      <c r="I80" s="513"/>
      <c r="J80" s="513"/>
      <c r="K80" s="500"/>
      <c r="L80" s="503"/>
      <c r="M80" s="514"/>
      <c r="N80" s="503"/>
      <c r="O80" s="497" t="str">
        <f ca="1">IFERROR(IF(COUNTA($D$56:$D80)=1,"",OFFSET($C78,-COUNTA($D$56:$D80)+3,0)),"")</f>
        <v/>
      </c>
      <c r="P80" s="497">
        <f t="shared" si="16"/>
        <v>22</v>
      </c>
      <c r="Q80" s="497"/>
      <c r="R80" s="497"/>
      <c r="S80" s="497"/>
      <c r="T80" s="497" t="b">
        <v>0</v>
      </c>
    </row>
    <row r="81" spans="1:20" x14ac:dyDescent="0.35">
      <c r="A81" s="497" t="b">
        <v>0</v>
      </c>
      <c r="B81" s="511"/>
      <c r="C81" s="497" t="s">
        <v>9061</v>
      </c>
      <c r="D81" s="497" t="s">
        <v>4374</v>
      </c>
      <c r="E81" s="497">
        <f t="shared" si="14"/>
        <v>5</v>
      </c>
      <c r="F81" s="512">
        <v>4</v>
      </c>
      <c r="G81" s="497"/>
      <c r="H81" s="497">
        <f t="shared" ca="1" si="15"/>
        <v>15</v>
      </c>
      <c r="I81" s="513"/>
      <c r="J81" s="513"/>
      <c r="K81" s="500"/>
      <c r="L81" s="503"/>
      <c r="M81" s="514"/>
      <c r="N81" s="503"/>
      <c r="O81" s="497" t="str">
        <f ca="1">IFERROR(IF(COUNTA($D$56:$D81)=1,"",OFFSET($C79,-COUNTA($D$56:$D81)+3,0)),"")</f>
        <v/>
      </c>
      <c r="P81" s="497">
        <f t="shared" si="16"/>
        <v>23</v>
      </c>
      <c r="Q81" s="497"/>
      <c r="R81" s="497"/>
      <c r="S81" s="497"/>
      <c r="T81" s="497" t="b">
        <v>0</v>
      </c>
    </row>
    <row r="82" spans="1:20" x14ac:dyDescent="0.35">
      <c r="A82" s="497" t="b">
        <v>0</v>
      </c>
      <c r="B82" s="511"/>
      <c r="C82" s="497" t="s">
        <v>9062</v>
      </c>
      <c r="D82" s="497" t="s">
        <v>4374</v>
      </c>
      <c r="E82" s="497">
        <f t="shared" si="14"/>
        <v>6</v>
      </c>
      <c r="F82" s="512">
        <v>4</v>
      </c>
      <c r="G82" s="497"/>
      <c r="H82" s="497">
        <f t="shared" ca="1" si="15"/>
        <v>15</v>
      </c>
      <c r="I82" s="513"/>
      <c r="J82" s="513"/>
      <c r="K82" s="500"/>
      <c r="L82" s="503"/>
      <c r="M82" s="514"/>
      <c r="N82" s="503"/>
      <c r="O82" s="497" t="str">
        <f ca="1">IFERROR(IF(COUNTA($D$56:$D82)=1,"",OFFSET($C80,-COUNTA($D$56:$D82)+3,0)),"")</f>
        <v/>
      </c>
      <c r="P82" s="497">
        <f t="shared" si="16"/>
        <v>24</v>
      </c>
      <c r="Q82" s="497"/>
      <c r="R82" s="497"/>
      <c r="S82" s="497"/>
      <c r="T82" s="497" t="b">
        <v>0</v>
      </c>
    </row>
    <row r="83" spans="1:20" x14ac:dyDescent="0.35">
      <c r="A83" s="497" t="b">
        <v>0</v>
      </c>
      <c r="B83" s="511"/>
      <c r="C83" s="497" t="s">
        <v>9063</v>
      </c>
      <c r="D83" s="497" t="s">
        <v>4080</v>
      </c>
      <c r="E83" s="497">
        <f t="shared" si="14"/>
        <v>1</v>
      </c>
      <c r="F83" s="512">
        <v>5</v>
      </c>
      <c r="G83" s="497"/>
      <c r="H83" s="497">
        <f t="shared" ca="1" si="15"/>
        <v>17</v>
      </c>
      <c r="I83" s="513"/>
      <c r="J83" s="513"/>
      <c r="K83" s="500"/>
      <c r="L83" s="503"/>
      <c r="M83" s="514"/>
      <c r="N83" s="503"/>
      <c r="O83" s="497" t="str">
        <f ca="1">IFERROR(IF(COUNTA($D$56:$D83)=1,"",OFFSET($C81,-COUNTA($D$56:$D83)+3,0)),"")</f>
        <v/>
      </c>
      <c r="P83" s="497">
        <f t="shared" si="16"/>
        <v>25</v>
      </c>
      <c r="Q83" s="497"/>
      <c r="R83" s="497"/>
      <c r="S83" s="497"/>
      <c r="T83" s="497" t="b">
        <v>0</v>
      </c>
    </row>
    <row r="84" spans="1:20" x14ac:dyDescent="0.35">
      <c r="A84" s="497" t="b">
        <v>0</v>
      </c>
      <c r="B84" s="511"/>
      <c r="C84" s="497" t="s">
        <v>9064</v>
      </c>
      <c r="D84" s="497" t="s">
        <v>4080</v>
      </c>
      <c r="E84" s="497">
        <f t="shared" si="14"/>
        <v>2</v>
      </c>
      <c r="F84" s="512">
        <v>5</v>
      </c>
      <c r="G84" s="497"/>
      <c r="H84" s="497">
        <f t="shared" ca="1" si="15"/>
        <v>17</v>
      </c>
      <c r="I84" s="513"/>
      <c r="J84" s="513"/>
      <c r="K84" s="500"/>
      <c r="L84" s="503"/>
      <c r="M84" s="514"/>
      <c r="N84" s="503"/>
      <c r="O84" s="497" t="str">
        <f ca="1">IFERROR(IF(COUNTA($D$56:$D84)=1,"",OFFSET($C82,-COUNTA($D$56:$D84)+3,0)),"")</f>
        <v/>
      </c>
      <c r="P84" s="497">
        <f t="shared" si="16"/>
        <v>26</v>
      </c>
      <c r="Q84" s="497"/>
      <c r="R84" s="497"/>
      <c r="S84" s="497"/>
      <c r="T84" s="497" t="b">
        <v>0</v>
      </c>
    </row>
    <row r="85" spans="1:20" x14ac:dyDescent="0.35">
      <c r="A85" s="497" t="b">
        <v>0</v>
      </c>
      <c r="B85" s="511"/>
      <c r="C85" s="497" t="s">
        <v>9065</v>
      </c>
      <c r="D85" s="497" t="s">
        <v>4080</v>
      </c>
      <c r="E85" s="497">
        <f t="shared" si="14"/>
        <v>3</v>
      </c>
      <c r="F85" s="512">
        <v>5</v>
      </c>
      <c r="G85" s="497"/>
      <c r="H85" s="497">
        <f t="shared" ca="1" si="15"/>
        <v>17</v>
      </c>
      <c r="I85" s="513"/>
      <c r="J85" s="513"/>
      <c r="K85" s="500"/>
      <c r="L85" s="503"/>
      <c r="M85" s="514"/>
      <c r="N85" s="503"/>
      <c r="O85" s="497" t="str">
        <f ca="1">IFERROR(IF(COUNTA($D$56:$D85)=1,"",OFFSET($C83,-COUNTA($D$56:$D85)+3,0)),"")</f>
        <v/>
      </c>
      <c r="P85" s="497">
        <f t="shared" si="16"/>
        <v>27</v>
      </c>
      <c r="Q85" s="497"/>
      <c r="R85" s="497"/>
      <c r="S85" s="497"/>
      <c r="T85" s="497" t="b">
        <v>0</v>
      </c>
    </row>
    <row r="86" spans="1:20" x14ac:dyDescent="0.35">
      <c r="A86" s="497" t="b">
        <v>0</v>
      </c>
      <c r="B86" s="511"/>
      <c r="C86" s="497" t="s">
        <v>9066</v>
      </c>
      <c r="D86" s="497" t="s">
        <v>4080</v>
      </c>
      <c r="E86" s="497">
        <f t="shared" si="14"/>
        <v>4</v>
      </c>
      <c r="F86" s="512">
        <v>5</v>
      </c>
      <c r="G86" s="497"/>
      <c r="H86" s="497">
        <f t="shared" ca="1" si="15"/>
        <v>17</v>
      </c>
      <c r="I86" s="513"/>
      <c r="J86" s="513"/>
      <c r="K86" s="500"/>
      <c r="L86" s="503"/>
      <c r="M86" s="514"/>
      <c r="N86" s="503"/>
      <c r="O86" s="497" t="str">
        <f ca="1">IFERROR(IF(COUNTA($D$56:$D86)=1,"",OFFSET($C84,-COUNTA($D$56:$D86)+3,0)),"")</f>
        <v/>
      </c>
      <c r="P86" s="497">
        <f t="shared" si="16"/>
        <v>28</v>
      </c>
      <c r="Q86" s="497"/>
      <c r="R86" s="497"/>
      <c r="S86" s="497"/>
      <c r="T86" s="497" t="b">
        <v>0</v>
      </c>
    </row>
    <row r="87" spans="1:20" x14ac:dyDescent="0.35">
      <c r="A87" s="497" t="b">
        <v>0</v>
      </c>
      <c r="B87" s="511"/>
      <c r="C87" s="497" t="s">
        <v>9067</v>
      </c>
      <c r="D87" s="497" t="s">
        <v>4080</v>
      </c>
      <c r="E87" s="497">
        <f t="shared" si="14"/>
        <v>5</v>
      </c>
      <c r="F87" s="512">
        <v>5</v>
      </c>
      <c r="G87" s="497"/>
      <c r="H87" s="497">
        <f t="shared" ca="1" si="15"/>
        <v>17</v>
      </c>
      <c r="I87" s="513"/>
      <c r="J87" s="513"/>
      <c r="K87" s="500"/>
      <c r="L87" s="503"/>
      <c r="M87" s="514"/>
      <c r="N87" s="503"/>
      <c r="O87" s="497" t="str">
        <f ca="1">IFERROR(IF(COUNTA($D$56:$D87)=1,"",OFFSET($C85,-COUNTA($D$56:$D87)+3,0)),"")</f>
        <v/>
      </c>
      <c r="P87" s="497">
        <f t="shared" si="16"/>
        <v>29</v>
      </c>
      <c r="Q87" s="497"/>
      <c r="R87" s="497"/>
      <c r="S87" s="497"/>
      <c r="T87" s="497" t="b">
        <v>0</v>
      </c>
    </row>
    <row r="88" spans="1:20" x14ac:dyDescent="0.35">
      <c r="A88" s="497" t="b">
        <v>0</v>
      </c>
      <c r="B88" s="511"/>
      <c r="C88" s="497" t="s">
        <v>9068</v>
      </c>
      <c r="D88" s="497" t="s">
        <v>4080</v>
      </c>
      <c r="E88" s="497">
        <f t="shared" si="14"/>
        <v>6</v>
      </c>
      <c r="F88" s="512">
        <v>5</v>
      </c>
      <c r="G88" s="497"/>
      <c r="H88" s="497">
        <f t="shared" ca="1" si="15"/>
        <v>17</v>
      </c>
      <c r="I88" s="513"/>
      <c r="J88" s="513"/>
      <c r="K88" s="500"/>
      <c r="L88" s="503"/>
      <c r="M88" s="514"/>
      <c r="N88" s="503"/>
      <c r="O88" s="497" t="str">
        <f ca="1">IFERROR(IF(COUNTA($D$56:$D88)=1,"",OFFSET($C86,-COUNTA($D$56:$D88)+3,0)),"")</f>
        <v/>
      </c>
      <c r="P88" s="497">
        <f t="shared" si="16"/>
        <v>30</v>
      </c>
      <c r="Q88" s="497"/>
      <c r="R88" s="497"/>
      <c r="S88" s="497"/>
      <c r="T88" s="497" t="b">
        <v>0</v>
      </c>
    </row>
    <row r="89" spans="1:20" x14ac:dyDescent="0.35">
      <c r="A89" s="497" t="b">
        <v>0</v>
      </c>
      <c r="B89" s="511"/>
      <c r="C89" s="497" t="s">
        <v>9069</v>
      </c>
      <c r="D89" s="497" t="s">
        <v>4395</v>
      </c>
      <c r="E89" s="497">
        <f t="shared" si="14"/>
        <v>1</v>
      </c>
      <c r="F89" s="512">
        <v>6</v>
      </c>
      <c r="G89" s="497"/>
      <c r="H89" s="497">
        <f t="shared" ca="1" si="15"/>
        <v>19</v>
      </c>
      <c r="I89" s="513"/>
      <c r="J89" s="513"/>
      <c r="K89" s="500"/>
      <c r="L89" s="503"/>
      <c r="M89" s="514"/>
      <c r="N89" s="503"/>
      <c r="O89" s="497" t="str">
        <f ca="1">IFERROR(IF(COUNTA($D$56:$D89)=1,"",OFFSET($C87,-COUNTA($D$56:$D89)+3,0)),"")</f>
        <v/>
      </c>
      <c r="P89" s="497">
        <f t="shared" si="16"/>
        <v>31</v>
      </c>
      <c r="Q89" s="497"/>
      <c r="R89" s="497"/>
      <c r="S89" s="497"/>
      <c r="T89" s="497" t="b">
        <v>0</v>
      </c>
    </row>
    <row r="90" spans="1:20" x14ac:dyDescent="0.35">
      <c r="A90" s="497" t="b">
        <v>0</v>
      </c>
      <c r="B90" s="511"/>
      <c r="C90" s="497" t="s">
        <v>9070</v>
      </c>
      <c r="D90" s="497" t="s">
        <v>4395</v>
      </c>
      <c r="E90" s="497">
        <f t="shared" si="14"/>
        <v>2</v>
      </c>
      <c r="F90" s="512">
        <v>6</v>
      </c>
      <c r="G90" s="497"/>
      <c r="H90" s="497">
        <f t="shared" ca="1" si="15"/>
        <v>19</v>
      </c>
      <c r="I90" s="513"/>
      <c r="J90" s="513"/>
      <c r="K90" s="500"/>
      <c r="L90" s="503"/>
      <c r="M90" s="514"/>
      <c r="N90" s="503"/>
      <c r="O90" s="497" t="str">
        <f ca="1">IFERROR(IF(COUNTA($D$56:$D90)=1,"",OFFSET($C88,-COUNTA($D$56:$D90)+3,0)),"")</f>
        <v/>
      </c>
      <c r="P90" s="497">
        <f t="shared" si="16"/>
        <v>32</v>
      </c>
      <c r="Q90" s="497"/>
      <c r="R90" s="497"/>
      <c r="S90" s="497"/>
      <c r="T90" s="497" t="b">
        <v>0</v>
      </c>
    </row>
    <row r="91" spans="1:20" x14ac:dyDescent="0.35">
      <c r="A91" s="497" t="b">
        <v>0</v>
      </c>
      <c r="B91" s="511"/>
      <c r="C91" s="497" t="s">
        <v>9071</v>
      </c>
      <c r="D91" s="497" t="s">
        <v>4395</v>
      </c>
      <c r="E91" s="497">
        <f t="shared" si="14"/>
        <v>3</v>
      </c>
      <c r="F91" s="512">
        <v>6</v>
      </c>
      <c r="G91" s="497"/>
      <c r="H91" s="497">
        <f t="shared" ca="1" si="15"/>
        <v>19</v>
      </c>
      <c r="I91" s="513"/>
      <c r="J91" s="513"/>
      <c r="K91" s="500"/>
      <c r="L91" s="503"/>
      <c r="M91" s="514"/>
      <c r="N91" s="503"/>
      <c r="O91" s="497" t="str">
        <f ca="1">IFERROR(IF(COUNTA($D$56:$D91)=1,"",OFFSET($C89,-COUNTA($D$56:$D91)+3,0)),"")</f>
        <v/>
      </c>
      <c r="P91" s="497">
        <f t="shared" si="16"/>
        <v>33</v>
      </c>
      <c r="Q91" s="497"/>
      <c r="R91" s="497"/>
      <c r="S91" s="497"/>
      <c r="T91" s="497" t="b">
        <v>0</v>
      </c>
    </row>
    <row r="92" spans="1:20" x14ac:dyDescent="0.35">
      <c r="A92" s="497" t="b">
        <v>0</v>
      </c>
      <c r="B92" s="511"/>
      <c r="C92" s="497" t="s">
        <v>9072</v>
      </c>
      <c r="D92" s="497" t="s">
        <v>4395</v>
      </c>
      <c r="E92" s="497">
        <f t="shared" si="14"/>
        <v>4</v>
      </c>
      <c r="F92" s="512">
        <v>6</v>
      </c>
      <c r="G92" s="497"/>
      <c r="H92" s="497">
        <f t="shared" ca="1" si="15"/>
        <v>19</v>
      </c>
      <c r="I92" s="513"/>
      <c r="J92" s="513"/>
      <c r="K92" s="500"/>
      <c r="L92" s="503"/>
      <c r="M92" s="514"/>
      <c r="N92" s="503"/>
      <c r="O92" s="497" t="str">
        <f ca="1">IFERROR(IF(COUNTA($D$56:$D92)=1,"",OFFSET($C90,-COUNTA($D$56:$D92)+3,0)),"")</f>
        <v/>
      </c>
      <c r="P92" s="497">
        <f t="shared" si="16"/>
        <v>34</v>
      </c>
      <c r="Q92" s="497"/>
      <c r="R92" s="497"/>
      <c r="S92" s="497"/>
      <c r="T92" s="497" t="b">
        <v>0</v>
      </c>
    </row>
    <row r="93" spans="1:20" x14ac:dyDescent="0.35">
      <c r="A93" s="497" t="b">
        <v>0</v>
      </c>
      <c r="B93" s="511"/>
      <c r="C93" s="497" t="s">
        <v>9073</v>
      </c>
      <c r="D93" s="497" t="s">
        <v>4395</v>
      </c>
      <c r="E93" s="497">
        <f t="shared" si="14"/>
        <v>5</v>
      </c>
      <c r="F93" s="512">
        <v>6</v>
      </c>
      <c r="G93" s="497"/>
      <c r="H93" s="497">
        <f t="shared" ca="1" si="15"/>
        <v>19</v>
      </c>
      <c r="I93" s="513"/>
      <c r="J93" s="513"/>
      <c r="K93" s="500"/>
      <c r="L93" s="503"/>
      <c r="M93" s="514"/>
      <c r="N93" s="503"/>
      <c r="O93" s="497" t="str">
        <f ca="1">IFERROR(IF(COUNTA($D$56:$D93)=1,"",OFFSET($C91,-COUNTA($D$56:$D93)+3,0)),"")</f>
        <v/>
      </c>
      <c r="P93" s="497">
        <f t="shared" si="16"/>
        <v>35</v>
      </c>
      <c r="Q93" s="497"/>
      <c r="R93" s="497"/>
      <c r="S93" s="497"/>
      <c r="T93" s="497" t="b">
        <v>0</v>
      </c>
    </row>
    <row r="94" spans="1:20" x14ac:dyDescent="0.35">
      <c r="A94" s="497" t="b">
        <v>0</v>
      </c>
      <c r="B94" s="511"/>
      <c r="C94" s="497" t="s">
        <v>9074</v>
      </c>
      <c r="D94" s="497" t="s">
        <v>4395</v>
      </c>
      <c r="E94" s="497">
        <f t="shared" si="14"/>
        <v>6</v>
      </c>
      <c r="F94" s="512">
        <v>6</v>
      </c>
      <c r="G94" s="497"/>
      <c r="H94" s="497">
        <f t="shared" ca="1" si="15"/>
        <v>19</v>
      </c>
      <c r="I94" s="513"/>
      <c r="J94" s="513"/>
      <c r="K94" s="500"/>
      <c r="L94" s="503"/>
      <c r="M94" s="514"/>
      <c r="N94" s="503"/>
      <c r="O94" s="497" t="str">
        <f ca="1">IFERROR(IF(COUNTA($D$56:$D94)=1,"",OFFSET($C92,-COUNTA($D$56:$D94)+3,0)),"")</f>
        <v/>
      </c>
      <c r="P94" s="497">
        <f t="shared" si="16"/>
        <v>36</v>
      </c>
      <c r="Q94" s="497"/>
      <c r="R94" s="497"/>
      <c r="S94" s="497"/>
      <c r="T94" s="497" t="b">
        <v>0</v>
      </c>
    </row>
    <row r="95" spans="1:20" x14ac:dyDescent="0.35">
      <c r="A95" s="497" t="b">
        <v>0</v>
      </c>
      <c r="B95" s="511"/>
      <c r="C95" s="497" t="s">
        <v>9075</v>
      </c>
      <c r="D95" s="497" t="s">
        <v>4101</v>
      </c>
      <c r="E95" s="497">
        <f t="shared" si="14"/>
        <v>1</v>
      </c>
      <c r="F95" s="512">
        <v>7</v>
      </c>
      <c r="G95" s="497"/>
      <c r="H95" s="497">
        <f t="shared" ca="1" si="15"/>
        <v>21</v>
      </c>
      <c r="I95" s="513"/>
      <c r="J95" s="513"/>
      <c r="K95" s="500"/>
      <c r="L95" s="503"/>
      <c r="M95" s="514"/>
      <c r="N95" s="503"/>
      <c r="O95" s="497" t="str">
        <f ca="1">IFERROR(IF(COUNTA($D$56:$D95)=1,"",OFFSET($C93,-COUNTA($D$56:$D95)+3,0)),"")</f>
        <v/>
      </c>
      <c r="P95" s="497">
        <f t="shared" si="16"/>
        <v>37</v>
      </c>
      <c r="Q95" s="497"/>
      <c r="R95" s="497"/>
      <c r="S95" s="497"/>
      <c r="T95" s="497" t="b">
        <v>0</v>
      </c>
    </row>
    <row r="96" spans="1:20" x14ac:dyDescent="0.35">
      <c r="A96" s="497" t="b">
        <v>0</v>
      </c>
      <c r="B96" s="511"/>
      <c r="C96" s="497" t="s">
        <v>9076</v>
      </c>
      <c r="D96" s="497" t="s">
        <v>4101</v>
      </c>
      <c r="E96" s="497">
        <f t="shared" si="14"/>
        <v>2</v>
      </c>
      <c r="F96" s="512">
        <v>7</v>
      </c>
      <c r="G96" s="497"/>
      <c r="H96" s="497">
        <f t="shared" ca="1" si="15"/>
        <v>21</v>
      </c>
      <c r="I96" s="513"/>
      <c r="J96" s="513"/>
      <c r="K96" s="500"/>
      <c r="L96" s="503"/>
      <c r="M96" s="514"/>
      <c r="N96" s="503"/>
      <c r="O96" s="497" t="str">
        <f ca="1">IFERROR(IF(COUNTA($D$56:$D96)=1,"",OFFSET($C94,-COUNTA($D$56:$D96)+3,0)),"")</f>
        <v/>
      </c>
      <c r="P96" s="497">
        <f t="shared" si="16"/>
        <v>38</v>
      </c>
      <c r="Q96" s="497"/>
      <c r="R96" s="497"/>
      <c r="S96" s="497"/>
      <c r="T96" s="497" t="b">
        <v>0</v>
      </c>
    </row>
    <row r="97" spans="1:20" x14ac:dyDescent="0.35">
      <c r="A97" s="497" t="b">
        <v>0</v>
      </c>
      <c r="B97" s="511"/>
      <c r="C97" s="497" t="s">
        <v>9077</v>
      </c>
      <c r="D97" s="497" t="s">
        <v>4101</v>
      </c>
      <c r="E97" s="497">
        <f t="shared" si="14"/>
        <v>3</v>
      </c>
      <c r="F97" s="512">
        <v>7</v>
      </c>
      <c r="G97" s="497"/>
      <c r="H97" s="497">
        <f t="shared" ca="1" si="15"/>
        <v>21</v>
      </c>
      <c r="I97" s="513"/>
      <c r="J97" s="513"/>
      <c r="K97" s="500"/>
      <c r="L97" s="503"/>
      <c r="M97" s="514"/>
      <c r="N97" s="503"/>
      <c r="O97" s="497" t="str">
        <f ca="1">IFERROR(IF(COUNTA($D$56:$D97)=1,"",OFFSET($C95,-COUNTA($D$56:$D97)+3,0)),"")</f>
        <v/>
      </c>
      <c r="P97" s="497">
        <f t="shared" si="16"/>
        <v>39</v>
      </c>
      <c r="Q97" s="497"/>
      <c r="R97" s="497"/>
      <c r="S97" s="497"/>
      <c r="T97" s="497" t="b">
        <v>0</v>
      </c>
    </row>
    <row r="98" spans="1:20" x14ac:dyDescent="0.35">
      <c r="A98" s="497" t="b">
        <v>0</v>
      </c>
      <c r="B98" s="511"/>
      <c r="C98" s="497" t="s">
        <v>9078</v>
      </c>
      <c r="D98" s="497" t="s">
        <v>4101</v>
      </c>
      <c r="E98" s="497">
        <f t="shared" si="14"/>
        <v>4</v>
      </c>
      <c r="F98" s="512">
        <v>7</v>
      </c>
      <c r="G98" s="497"/>
      <c r="H98" s="497">
        <f t="shared" ca="1" si="15"/>
        <v>21</v>
      </c>
      <c r="I98" s="513"/>
      <c r="J98" s="513"/>
      <c r="K98" s="500"/>
      <c r="L98" s="503"/>
      <c r="M98" s="514"/>
      <c r="N98" s="503"/>
      <c r="O98" s="497" t="str">
        <f ca="1">IFERROR(IF(COUNTA($D$56:$D98)=1,"",OFFSET($C96,-COUNTA($D$56:$D98)+3,0)),"")</f>
        <v/>
      </c>
      <c r="P98" s="497">
        <f t="shared" si="16"/>
        <v>40</v>
      </c>
      <c r="Q98" s="497"/>
      <c r="R98" s="497"/>
      <c r="S98" s="497"/>
      <c r="T98" s="497" t="b">
        <v>0</v>
      </c>
    </row>
    <row r="99" spans="1:20" x14ac:dyDescent="0.35">
      <c r="A99" s="497" t="b">
        <v>0</v>
      </c>
      <c r="B99" s="511"/>
      <c r="C99" s="497" t="s">
        <v>9079</v>
      </c>
      <c r="D99" s="497" t="s">
        <v>4101</v>
      </c>
      <c r="E99" s="497">
        <f t="shared" si="14"/>
        <v>5</v>
      </c>
      <c r="F99" s="512">
        <v>7</v>
      </c>
      <c r="G99" s="497"/>
      <c r="H99" s="497">
        <f t="shared" ca="1" si="15"/>
        <v>21</v>
      </c>
      <c r="I99" s="513"/>
      <c r="J99" s="513"/>
      <c r="K99" s="500"/>
      <c r="L99" s="503"/>
      <c r="M99" s="514"/>
      <c r="N99" s="503"/>
      <c r="O99" s="497" t="str">
        <f ca="1">IFERROR(IF(COUNTA($D$56:$D99)=1,"",OFFSET($C97,-COUNTA($D$56:$D99)+3,0)),"")</f>
        <v/>
      </c>
      <c r="P99" s="497">
        <f t="shared" si="16"/>
        <v>41</v>
      </c>
      <c r="Q99" s="497"/>
      <c r="R99" s="497"/>
      <c r="S99" s="497"/>
      <c r="T99" s="497" t="b">
        <v>0</v>
      </c>
    </row>
    <row r="100" spans="1:20" x14ac:dyDescent="0.35">
      <c r="A100" s="497" t="b">
        <v>0</v>
      </c>
      <c r="B100" s="511"/>
      <c r="C100" s="497" t="s">
        <v>9080</v>
      </c>
      <c r="D100" s="497" t="s">
        <v>4101</v>
      </c>
      <c r="E100" s="497">
        <f t="shared" si="14"/>
        <v>6</v>
      </c>
      <c r="F100" s="512">
        <v>7</v>
      </c>
      <c r="G100" s="497"/>
      <c r="H100" s="497">
        <f t="shared" ca="1" si="15"/>
        <v>21</v>
      </c>
      <c r="I100" s="513"/>
      <c r="J100" s="513"/>
      <c r="K100" s="500"/>
      <c r="L100" s="503"/>
      <c r="M100" s="514"/>
      <c r="N100" s="503"/>
      <c r="O100" s="497" t="str">
        <f ca="1">IFERROR(IF(COUNTA($D$56:$D100)=1,"",OFFSET($C98,-COUNTA($D$56:$D100)+3,0)),"")</f>
        <v/>
      </c>
      <c r="P100" s="497">
        <f t="shared" si="16"/>
        <v>42</v>
      </c>
      <c r="Q100" s="497"/>
      <c r="R100" s="497"/>
      <c r="S100" s="497"/>
      <c r="T100" s="497" t="b">
        <v>0</v>
      </c>
    </row>
    <row r="101" spans="1:20" x14ac:dyDescent="0.35">
      <c r="A101" s="497" t="b">
        <v>0</v>
      </c>
      <c r="B101" s="511"/>
      <c r="C101" s="497" t="s">
        <v>9081</v>
      </c>
      <c r="D101" s="497" t="s">
        <v>4416</v>
      </c>
      <c r="E101" s="497">
        <f t="shared" si="14"/>
        <v>1</v>
      </c>
      <c r="F101" s="512">
        <v>8</v>
      </c>
      <c r="G101" s="497"/>
      <c r="H101" s="497">
        <f t="shared" ca="1" si="15"/>
        <v>23</v>
      </c>
      <c r="I101" s="513"/>
      <c r="J101" s="513"/>
      <c r="K101" s="500"/>
      <c r="L101" s="503"/>
      <c r="M101" s="514"/>
      <c r="N101" s="503"/>
      <c r="O101" s="497" t="str">
        <f ca="1">IFERROR(IF(COUNTA($D$56:$D101)=1,"",OFFSET($C99,-COUNTA($D$56:$D101)+3,0)),"")</f>
        <v/>
      </c>
      <c r="P101" s="497">
        <f t="shared" si="16"/>
        <v>43</v>
      </c>
      <c r="Q101" s="497"/>
      <c r="R101" s="497"/>
      <c r="S101" s="497"/>
      <c r="T101" s="497" t="b">
        <v>0</v>
      </c>
    </row>
    <row r="102" spans="1:20" x14ac:dyDescent="0.35">
      <c r="A102" s="497" t="b">
        <v>0</v>
      </c>
      <c r="B102" s="511"/>
      <c r="C102" s="497" t="s">
        <v>9082</v>
      </c>
      <c r="D102" s="497" t="s">
        <v>4416</v>
      </c>
      <c r="E102" s="497">
        <f t="shared" si="14"/>
        <v>2</v>
      </c>
      <c r="F102" s="512">
        <v>8</v>
      </c>
      <c r="G102" s="497"/>
      <c r="H102" s="497">
        <f t="shared" ca="1" si="15"/>
        <v>23</v>
      </c>
      <c r="I102" s="513"/>
      <c r="J102" s="513"/>
      <c r="K102" s="500"/>
      <c r="L102" s="503"/>
      <c r="M102" s="514"/>
      <c r="N102" s="503"/>
      <c r="O102" s="497" t="str">
        <f ca="1">IFERROR(IF(COUNTA($D$56:$D102)=1,"",OFFSET($C100,-COUNTA($D$56:$D102)+3,0)),"")</f>
        <v/>
      </c>
      <c r="P102" s="497">
        <f t="shared" si="16"/>
        <v>44</v>
      </c>
      <c r="Q102" s="497"/>
      <c r="R102" s="497"/>
      <c r="S102" s="497"/>
      <c r="T102" s="497" t="b">
        <v>0</v>
      </c>
    </row>
    <row r="103" spans="1:20" x14ac:dyDescent="0.35">
      <c r="A103" s="497" t="b">
        <v>0</v>
      </c>
      <c r="B103" s="511"/>
      <c r="C103" s="497" t="s">
        <v>9083</v>
      </c>
      <c r="D103" s="497" t="s">
        <v>4416</v>
      </c>
      <c r="E103" s="497">
        <f t="shared" si="14"/>
        <v>3</v>
      </c>
      <c r="F103" s="512">
        <v>8</v>
      </c>
      <c r="G103" s="497"/>
      <c r="H103" s="497">
        <f t="shared" ca="1" si="15"/>
        <v>23</v>
      </c>
      <c r="I103" s="513"/>
      <c r="J103" s="513"/>
      <c r="K103" s="500"/>
      <c r="L103" s="503"/>
      <c r="M103" s="514"/>
      <c r="N103" s="503"/>
      <c r="O103" s="497" t="str">
        <f ca="1">IFERROR(IF(COUNTA($D$56:$D103)=1,"",OFFSET($C101,-COUNTA($D$56:$D103)+3,0)),"")</f>
        <v/>
      </c>
      <c r="P103" s="497">
        <f t="shared" si="16"/>
        <v>45</v>
      </c>
      <c r="Q103" s="497"/>
      <c r="R103" s="497"/>
      <c r="S103" s="497"/>
      <c r="T103" s="497" t="b">
        <v>0</v>
      </c>
    </row>
    <row r="104" spans="1:20" x14ac:dyDescent="0.35">
      <c r="A104" s="497" t="b">
        <v>0</v>
      </c>
      <c r="B104" s="511"/>
      <c r="C104" s="497" t="s">
        <v>9084</v>
      </c>
      <c r="D104" s="497" t="s">
        <v>4416</v>
      </c>
      <c r="E104" s="497">
        <f t="shared" si="14"/>
        <v>4</v>
      </c>
      <c r="F104" s="512">
        <v>8</v>
      </c>
      <c r="G104" s="497"/>
      <c r="H104" s="497">
        <f t="shared" ca="1" si="15"/>
        <v>23</v>
      </c>
      <c r="I104" s="513"/>
      <c r="J104" s="513"/>
      <c r="K104" s="500"/>
      <c r="L104" s="503"/>
      <c r="M104" s="514"/>
      <c r="N104" s="503"/>
      <c r="O104" s="497" t="str">
        <f ca="1">IFERROR(IF(COUNTA($D$56:$D104)=1,"",OFFSET($C102,-COUNTA($D$56:$D104)+3,0)),"")</f>
        <v/>
      </c>
      <c r="P104" s="497">
        <f t="shared" si="16"/>
        <v>46</v>
      </c>
      <c r="Q104" s="497"/>
      <c r="R104" s="497"/>
      <c r="S104" s="497"/>
      <c r="T104" s="497" t="b">
        <v>0</v>
      </c>
    </row>
    <row r="105" spans="1:20" x14ac:dyDescent="0.35">
      <c r="A105" s="497" t="b">
        <v>0</v>
      </c>
      <c r="B105" s="511"/>
      <c r="C105" s="497" t="s">
        <v>9085</v>
      </c>
      <c r="D105" s="497" t="s">
        <v>4416</v>
      </c>
      <c r="E105" s="497">
        <f t="shared" si="14"/>
        <v>5</v>
      </c>
      <c r="F105" s="512">
        <v>8</v>
      </c>
      <c r="G105" s="497"/>
      <c r="H105" s="497">
        <f t="shared" ca="1" si="15"/>
        <v>23</v>
      </c>
      <c r="I105" s="513"/>
      <c r="J105" s="513"/>
      <c r="K105" s="500"/>
      <c r="L105" s="503"/>
      <c r="M105" s="514"/>
      <c r="N105" s="503"/>
      <c r="O105" s="497" t="str">
        <f ca="1">IFERROR(IF(COUNTA($D$56:$D105)=1,"",OFFSET($C103,-COUNTA($D$56:$D105)+3,0)),"")</f>
        <v/>
      </c>
      <c r="P105" s="497">
        <f t="shared" si="16"/>
        <v>47</v>
      </c>
      <c r="Q105" s="497"/>
      <c r="R105" s="497"/>
      <c r="S105" s="497"/>
      <c r="T105" s="497" t="b">
        <v>0</v>
      </c>
    </row>
    <row r="106" spans="1:20" x14ac:dyDescent="0.35">
      <c r="A106" s="497" t="b">
        <v>0</v>
      </c>
      <c r="B106" s="511"/>
      <c r="C106" s="497" t="s">
        <v>9086</v>
      </c>
      <c r="D106" s="497" t="s">
        <v>4416</v>
      </c>
      <c r="E106" s="497">
        <f t="shared" si="14"/>
        <v>6</v>
      </c>
      <c r="F106" s="512">
        <v>8</v>
      </c>
      <c r="G106" s="497"/>
      <c r="H106" s="497">
        <f t="shared" ca="1" si="15"/>
        <v>23</v>
      </c>
      <c r="I106" s="513"/>
      <c r="J106" s="513"/>
      <c r="K106" s="500"/>
      <c r="L106" s="503"/>
      <c r="M106" s="514"/>
      <c r="N106" s="503"/>
      <c r="O106" s="497" t="str">
        <f ca="1">IFERROR(IF(COUNTA($D$56:$D106)=1,"",OFFSET($C104,-COUNTA($D$56:$D106)+3,0)),"")</f>
        <v/>
      </c>
      <c r="P106" s="497">
        <f t="shared" si="16"/>
        <v>48</v>
      </c>
      <c r="Q106" s="497"/>
      <c r="R106" s="497"/>
      <c r="S106" s="497"/>
      <c r="T106" s="497" t="b">
        <v>0</v>
      </c>
    </row>
    <row r="107" spans="1:20" x14ac:dyDescent="0.35">
      <c r="A107" s="497" t="b">
        <v>0</v>
      </c>
      <c r="B107" s="511"/>
      <c r="C107" s="497" t="s">
        <v>9087</v>
      </c>
      <c r="D107" s="497" t="s">
        <v>4122</v>
      </c>
      <c r="E107" s="497">
        <f t="shared" si="14"/>
        <v>1</v>
      </c>
      <c r="F107" s="512">
        <v>9</v>
      </c>
      <c r="G107" s="497"/>
      <c r="H107" s="497">
        <f t="shared" ca="1" si="15"/>
        <v>25</v>
      </c>
      <c r="I107" s="513"/>
      <c r="J107" s="513"/>
      <c r="K107" s="500"/>
      <c r="L107" s="503"/>
      <c r="M107" s="514"/>
      <c r="N107" s="503"/>
      <c r="O107" s="497" t="str">
        <f ca="1">IFERROR(IF(COUNTA($D$56:$D107)=1,"",OFFSET($C105,-COUNTA($D$56:$D107)+3,0)),"")</f>
        <v/>
      </c>
      <c r="P107" s="497">
        <f t="shared" si="16"/>
        <v>49</v>
      </c>
      <c r="Q107" s="497"/>
      <c r="R107" s="497"/>
      <c r="S107" s="497"/>
      <c r="T107" s="497" t="b">
        <v>0</v>
      </c>
    </row>
    <row r="108" spans="1:20" x14ac:dyDescent="0.35">
      <c r="A108" s="497" t="b">
        <v>0</v>
      </c>
      <c r="B108" s="511"/>
      <c r="C108" s="497" t="s">
        <v>9088</v>
      </c>
      <c r="D108" s="497" t="s">
        <v>4122</v>
      </c>
      <c r="E108" s="497">
        <f t="shared" si="14"/>
        <v>2</v>
      </c>
      <c r="F108" s="512">
        <v>9</v>
      </c>
      <c r="G108" s="497"/>
      <c r="H108" s="497">
        <f t="shared" ca="1" si="15"/>
        <v>25</v>
      </c>
      <c r="I108" s="513"/>
      <c r="J108" s="513"/>
      <c r="K108" s="500"/>
      <c r="L108" s="503"/>
      <c r="M108" s="514"/>
      <c r="N108" s="503"/>
      <c r="O108" s="497" t="str">
        <f ca="1">IFERROR(IF(COUNTA($D$56:$D108)=1,"",OFFSET($C106,-COUNTA($D$56:$D108)+3,0)),"")</f>
        <v/>
      </c>
      <c r="P108" s="497">
        <f t="shared" si="16"/>
        <v>50</v>
      </c>
      <c r="Q108" s="497"/>
      <c r="R108" s="497"/>
      <c r="S108" s="497"/>
      <c r="T108" s="497" t="b">
        <v>0</v>
      </c>
    </row>
    <row r="109" spans="1:20" x14ac:dyDescent="0.35">
      <c r="A109" s="497" t="b">
        <v>0</v>
      </c>
      <c r="B109" s="511"/>
      <c r="C109" s="497" t="s">
        <v>9089</v>
      </c>
      <c r="D109" s="497" t="s">
        <v>4122</v>
      </c>
      <c r="E109" s="497">
        <f t="shared" si="14"/>
        <v>3</v>
      </c>
      <c r="F109" s="512">
        <v>9</v>
      </c>
      <c r="G109" s="497"/>
      <c r="H109" s="497">
        <f t="shared" ca="1" si="15"/>
        <v>25</v>
      </c>
      <c r="I109" s="513"/>
      <c r="J109" s="513"/>
      <c r="K109" s="500"/>
      <c r="L109" s="503"/>
      <c r="M109" s="514"/>
      <c r="N109" s="503"/>
      <c r="O109" s="497" t="str">
        <f ca="1">IFERROR(IF(COUNTA($D$56:$D109)=1,"",OFFSET($C107,-COUNTA($D$56:$D109)+3,0)),"")</f>
        <v/>
      </c>
      <c r="P109" s="497">
        <f t="shared" si="16"/>
        <v>51</v>
      </c>
      <c r="Q109" s="497"/>
      <c r="R109" s="497"/>
      <c r="S109" s="497"/>
      <c r="T109" s="497" t="b">
        <v>0</v>
      </c>
    </row>
    <row r="110" spans="1:20" x14ac:dyDescent="0.35">
      <c r="A110" s="497" t="b">
        <v>0</v>
      </c>
      <c r="B110" s="511"/>
      <c r="C110" s="497" t="s">
        <v>9090</v>
      </c>
      <c r="D110" s="497" t="s">
        <v>4122</v>
      </c>
      <c r="E110" s="497">
        <f t="shared" si="14"/>
        <v>4</v>
      </c>
      <c r="F110" s="512">
        <v>9</v>
      </c>
      <c r="G110" s="497"/>
      <c r="H110" s="497">
        <f t="shared" ca="1" si="15"/>
        <v>25</v>
      </c>
      <c r="I110" s="513"/>
      <c r="J110" s="513"/>
      <c r="K110" s="500"/>
      <c r="L110" s="503"/>
      <c r="M110" s="514"/>
      <c r="N110" s="503"/>
      <c r="O110" s="497" t="str">
        <f ca="1">IFERROR(IF(COUNTA($D$56:$D110)=1,"",OFFSET($C108,-COUNTA($D$56:$D110)+3,0)),"")</f>
        <v/>
      </c>
      <c r="P110" s="497">
        <f t="shared" si="16"/>
        <v>52</v>
      </c>
      <c r="Q110" s="497"/>
      <c r="R110" s="497"/>
      <c r="S110" s="497"/>
      <c r="T110" s="497" t="b">
        <v>0</v>
      </c>
    </row>
    <row r="111" spans="1:20" x14ac:dyDescent="0.35">
      <c r="A111" s="497" t="b">
        <v>0</v>
      </c>
      <c r="B111" s="511"/>
      <c r="C111" s="497" t="s">
        <v>9091</v>
      </c>
      <c r="D111" s="497" t="s">
        <v>4122</v>
      </c>
      <c r="E111" s="497">
        <f t="shared" si="14"/>
        <v>5</v>
      </c>
      <c r="F111" s="512">
        <v>9</v>
      </c>
      <c r="G111" s="497"/>
      <c r="H111" s="497">
        <f t="shared" ca="1" si="15"/>
        <v>25</v>
      </c>
      <c r="I111" s="513"/>
      <c r="J111" s="513"/>
      <c r="K111" s="500"/>
      <c r="L111" s="503"/>
      <c r="M111" s="514"/>
      <c r="N111" s="503"/>
      <c r="O111" s="497" t="str">
        <f ca="1">IFERROR(IF(COUNTA($D$56:$D111)=1,"",OFFSET($C109,-COUNTA($D$56:$D111)+3,0)),"")</f>
        <v/>
      </c>
      <c r="P111" s="497">
        <f t="shared" si="16"/>
        <v>53</v>
      </c>
      <c r="Q111" s="497"/>
      <c r="R111" s="497"/>
      <c r="S111" s="497"/>
      <c r="T111" s="497" t="b">
        <v>0</v>
      </c>
    </row>
    <row r="112" spans="1:20" x14ac:dyDescent="0.35">
      <c r="A112" s="497" t="b">
        <v>0</v>
      </c>
      <c r="B112" s="511"/>
      <c r="C112" s="497" t="s">
        <v>9092</v>
      </c>
      <c r="D112" s="497" t="s">
        <v>4122</v>
      </c>
      <c r="E112" s="497">
        <f t="shared" si="14"/>
        <v>6</v>
      </c>
      <c r="F112" s="512">
        <v>9</v>
      </c>
      <c r="G112" s="497"/>
      <c r="H112" s="497">
        <f t="shared" ca="1" si="15"/>
        <v>25</v>
      </c>
      <c r="I112" s="513"/>
      <c r="J112" s="513"/>
      <c r="K112" s="500"/>
      <c r="L112" s="503"/>
      <c r="M112" s="514"/>
      <c r="N112" s="503"/>
      <c r="O112" s="497" t="str">
        <f ca="1">IFERROR(IF(COUNTA($D$56:$D112)=1,"",OFFSET($C110,-COUNTA($D$56:$D112)+3,0)),"")</f>
        <v/>
      </c>
      <c r="P112" s="497">
        <f t="shared" si="16"/>
        <v>54</v>
      </c>
      <c r="Q112" s="497"/>
      <c r="R112" s="497"/>
      <c r="S112" s="497"/>
      <c r="T112" s="497" t="b">
        <v>0</v>
      </c>
    </row>
    <row r="113" spans="1:20" x14ac:dyDescent="0.35">
      <c r="A113" s="497" t="b">
        <v>0</v>
      </c>
      <c r="B113" s="511"/>
      <c r="C113" s="497" t="s">
        <v>9093</v>
      </c>
      <c r="D113" s="497" t="s">
        <v>4437</v>
      </c>
      <c r="E113" s="497">
        <f t="shared" si="14"/>
        <v>1</v>
      </c>
      <c r="F113" s="512">
        <v>10</v>
      </c>
      <c r="G113" s="497"/>
      <c r="H113" s="497">
        <f t="shared" ca="1" si="15"/>
        <v>27</v>
      </c>
      <c r="I113" s="513"/>
      <c r="J113" s="513"/>
      <c r="K113" s="500"/>
      <c r="L113" s="503"/>
      <c r="M113" s="514"/>
      <c r="N113" s="503"/>
      <c r="O113" s="497" t="str">
        <f ca="1">IFERROR(IF(COUNTA($D$56:$D113)=1,"",OFFSET($C111,-COUNTA($D$56:$D113)+3,0)),"")</f>
        <v/>
      </c>
      <c r="P113" s="497">
        <f t="shared" si="16"/>
        <v>55</v>
      </c>
      <c r="Q113" s="497"/>
      <c r="R113" s="497"/>
      <c r="S113" s="497"/>
      <c r="T113" s="497" t="b">
        <v>0</v>
      </c>
    </row>
    <row r="114" spans="1:20" x14ac:dyDescent="0.35">
      <c r="A114" s="497" t="b">
        <v>0</v>
      </c>
      <c r="B114" s="511"/>
      <c r="C114" s="497" t="s">
        <v>9094</v>
      </c>
      <c r="D114" s="497" t="s">
        <v>4437</v>
      </c>
      <c r="E114" s="497">
        <f t="shared" si="14"/>
        <v>2</v>
      </c>
      <c r="F114" s="512">
        <v>10</v>
      </c>
      <c r="G114" s="497"/>
      <c r="H114" s="497">
        <f t="shared" ca="1" si="15"/>
        <v>27</v>
      </c>
      <c r="I114" s="513"/>
      <c r="J114" s="513"/>
      <c r="K114" s="500"/>
      <c r="L114" s="503"/>
      <c r="M114" s="514"/>
      <c r="N114" s="503"/>
      <c r="O114" s="497" t="str">
        <f ca="1">IFERROR(IF(COUNTA($D$56:$D114)=1,"",OFFSET($C112,-COUNTA($D$56:$D114)+3,0)),"")</f>
        <v/>
      </c>
      <c r="P114" s="497">
        <f t="shared" si="16"/>
        <v>56</v>
      </c>
      <c r="Q114" s="497"/>
      <c r="R114" s="497"/>
      <c r="S114" s="497"/>
      <c r="T114" s="497" t="b">
        <v>0</v>
      </c>
    </row>
    <row r="115" spans="1:20" x14ac:dyDescent="0.35">
      <c r="A115" s="497" t="b">
        <v>0</v>
      </c>
      <c r="B115" s="511"/>
      <c r="C115" s="497" t="s">
        <v>9095</v>
      </c>
      <c r="D115" s="497" t="s">
        <v>4437</v>
      </c>
      <c r="E115" s="497">
        <f t="shared" si="14"/>
        <v>3</v>
      </c>
      <c r="F115" s="512">
        <v>10</v>
      </c>
      <c r="G115" s="497"/>
      <c r="H115" s="497">
        <f t="shared" ca="1" si="15"/>
        <v>27</v>
      </c>
      <c r="I115" s="513"/>
      <c r="J115" s="513"/>
      <c r="K115" s="500"/>
      <c r="L115" s="503"/>
      <c r="M115" s="514"/>
      <c r="N115" s="503"/>
      <c r="O115" s="497" t="str">
        <f ca="1">IFERROR(IF(COUNTA($D$56:$D115)=1,"",OFFSET($C113,-COUNTA($D$56:$D115)+3,0)),"")</f>
        <v/>
      </c>
      <c r="P115" s="497">
        <f t="shared" si="16"/>
        <v>57</v>
      </c>
      <c r="Q115" s="497"/>
      <c r="R115" s="497"/>
      <c r="S115" s="497"/>
      <c r="T115" s="497" t="b">
        <v>0</v>
      </c>
    </row>
    <row r="116" spans="1:20" x14ac:dyDescent="0.35">
      <c r="A116" s="497" t="b">
        <v>0</v>
      </c>
      <c r="B116" s="511"/>
      <c r="C116" s="497" t="s">
        <v>9096</v>
      </c>
      <c r="D116" s="497" t="s">
        <v>4437</v>
      </c>
      <c r="E116" s="497">
        <f t="shared" si="14"/>
        <v>4</v>
      </c>
      <c r="F116" s="512">
        <v>10</v>
      </c>
      <c r="G116" s="497"/>
      <c r="H116" s="497">
        <f t="shared" ca="1" si="15"/>
        <v>27</v>
      </c>
      <c r="I116" s="513"/>
      <c r="J116" s="513"/>
      <c r="K116" s="500"/>
      <c r="L116" s="503"/>
      <c r="M116" s="514"/>
      <c r="N116" s="503"/>
      <c r="O116" s="497" t="str">
        <f ca="1">IFERROR(IF(COUNTA($D$56:$D116)=1,"",OFFSET($C114,-COUNTA($D$56:$D116)+3,0)),"")</f>
        <v/>
      </c>
      <c r="P116" s="497">
        <f t="shared" si="16"/>
        <v>58</v>
      </c>
      <c r="Q116" s="497"/>
      <c r="R116" s="497"/>
      <c r="S116" s="497"/>
      <c r="T116" s="497" t="b">
        <v>0</v>
      </c>
    </row>
    <row r="117" spans="1:20" x14ac:dyDescent="0.35">
      <c r="A117" s="497" t="b">
        <v>0</v>
      </c>
      <c r="B117" s="511"/>
      <c r="C117" s="497" t="s">
        <v>9097</v>
      </c>
      <c r="D117" s="497" t="s">
        <v>4437</v>
      </c>
      <c r="E117" s="497">
        <f t="shared" si="14"/>
        <v>5</v>
      </c>
      <c r="F117" s="512">
        <v>10</v>
      </c>
      <c r="G117" s="497"/>
      <c r="H117" s="497">
        <f t="shared" ca="1" si="15"/>
        <v>27</v>
      </c>
      <c r="I117" s="513"/>
      <c r="J117" s="513"/>
      <c r="K117" s="500"/>
      <c r="L117" s="503"/>
      <c r="M117" s="514"/>
      <c r="N117" s="503"/>
      <c r="O117" s="497" t="str">
        <f ca="1">IFERROR(IF(COUNTA($D$56:$D117)=1,"",OFFSET($C115,-COUNTA($D$56:$D117)+3,0)),"")</f>
        <v/>
      </c>
      <c r="P117" s="497">
        <f t="shared" si="16"/>
        <v>59</v>
      </c>
      <c r="Q117" s="497"/>
      <c r="R117" s="497"/>
      <c r="S117" s="497"/>
      <c r="T117" s="497" t="b">
        <v>0</v>
      </c>
    </row>
    <row r="118" spans="1:20" x14ac:dyDescent="0.35">
      <c r="A118" s="497" t="b">
        <v>0</v>
      </c>
      <c r="B118" s="511"/>
      <c r="C118" s="497" t="s">
        <v>9098</v>
      </c>
      <c r="D118" s="497" t="s">
        <v>4437</v>
      </c>
      <c r="E118" s="497">
        <f t="shared" si="14"/>
        <v>6</v>
      </c>
      <c r="F118" s="512">
        <v>10</v>
      </c>
      <c r="G118" s="497"/>
      <c r="H118" s="497">
        <f t="shared" ca="1" si="15"/>
        <v>27</v>
      </c>
      <c r="I118" s="513"/>
      <c r="J118" s="513"/>
      <c r="K118" s="500"/>
      <c r="L118" s="503"/>
      <c r="M118" s="514"/>
      <c r="N118" s="503"/>
      <c r="O118" s="497" t="str">
        <f ca="1">IFERROR(IF(COUNTA($D$56:$D118)=1,"",OFFSET($C116,-COUNTA($D$56:$D118)+3,0)),"")</f>
        <v/>
      </c>
      <c r="P118" s="497">
        <f t="shared" si="16"/>
        <v>60</v>
      </c>
      <c r="Q118" s="497"/>
      <c r="R118" s="497"/>
      <c r="S118" s="497"/>
      <c r="T118" s="497" t="b">
        <v>0</v>
      </c>
    </row>
    <row r="119" spans="1:20" x14ac:dyDescent="0.35">
      <c r="A119" s="497" t="b">
        <v>0</v>
      </c>
      <c r="B119" s="511"/>
      <c r="C119" s="497" t="s">
        <v>9099</v>
      </c>
      <c r="D119" s="497" t="s">
        <v>4143</v>
      </c>
      <c r="E119" s="497">
        <f t="shared" si="14"/>
        <v>1</v>
      </c>
      <c r="F119" s="512">
        <v>11</v>
      </c>
      <c r="G119" s="497"/>
      <c r="H119" s="497">
        <f t="shared" ca="1" si="15"/>
        <v>29</v>
      </c>
      <c r="I119" s="513"/>
      <c r="J119" s="513"/>
      <c r="K119" s="500"/>
      <c r="L119" s="503"/>
      <c r="M119" s="514"/>
      <c r="N119" s="503"/>
      <c r="O119" s="497" t="str">
        <f ca="1">IFERROR(IF(COUNTA($D$56:$D119)=1,"",OFFSET($C117,-COUNTA($D$56:$D119)+3,0)),"")</f>
        <v/>
      </c>
      <c r="P119" s="497">
        <f t="shared" si="16"/>
        <v>61</v>
      </c>
      <c r="Q119" s="497"/>
      <c r="R119" s="497"/>
      <c r="S119" s="497"/>
      <c r="T119" s="497" t="b">
        <v>0</v>
      </c>
    </row>
    <row r="120" spans="1:20" x14ac:dyDescent="0.35">
      <c r="A120" s="497" t="b">
        <v>0</v>
      </c>
      <c r="B120" s="511"/>
      <c r="C120" s="497" t="s">
        <v>9100</v>
      </c>
      <c r="D120" s="497" t="s">
        <v>4143</v>
      </c>
      <c r="E120" s="497">
        <f t="shared" si="14"/>
        <v>2</v>
      </c>
      <c r="F120" s="512">
        <v>11</v>
      </c>
      <c r="G120" s="497"/>
      <c r="H120" s="497">
        <f t="shared" ca="1" si="15"/>
        <v>29</v>
      </c>
      <c r="I120" s="513"/>
      <c r="J120" s="513"/>
      <c r="K120" s="500"/>
      <c r="L120" s="503"/>
      <c r="M120" s="514"/>
      <c r="N120" s="503"/>
      <c r="O120" s="497" t="str">
        <f ca="1">IFERROR(IF(COUNTA($D$56:$D120)=1,"",OFFSET($C118,-COUNTA($D$56:$D120)+3,0)),"")</f>
        <v/>
      </c>
      <c r="P120" s="497">
        <f t="shared" si="16"/>
        <v>62</v>
      </c>
      <c r="Q120" s="497"/>
      <c r="R120" s="497"/>
      <c r="S120" s="497"/>
      <c r="T120" s="497" t="b">
        <v>0</v>
      </c>
    </row>
    <row r="121" spans="1:20" x14ac:dyDescent="0.35">
      <c r="A121" s="497" t="b">
        <v>0</v>
      </c>
      <c r="B121" s="511"/>
      <c r="C121" s="497" t="s">
        <v>9101</v>
      </c>
      <c r="D121" s="497" t="s">
        <v>4143</v>
      </c>
      <c r="E121" s="497">
        <f t="shared" si="14"/>
        <v>3</v>
      </c>
      <c r="F121" s="512">
        <v>11</v>
      </c>
      <c r="G121" s="497"/>
      <c r="H121" s="497">
        <f t="shared" ca="1" si="15"/>
        <v>29</v>
      </c>
      <c r="I121" s="513"/>
      <c r="J121" s="513"/>
      <c r="K121" s="500"/>
      <c r="L121" s="503"/>
      <c r="M121" s="514"/>
      <c r="N121" s="503"/>
      <c r="O121" s="497" t="str">
        <f ca="1">IFERROR(IF(COUNTA($D$56:$D121)=1,"",OFFSET($C119,-COUNTA($D$56:$D121)+3,0)),"")</f>
        <v/>
      </c>
      <c r="P121" s="497">
        <f t="shared" si="16"/>
        <v>63</v>
      </c>
      <c r="Q121" s="497"/>
      <c r="R121" s="497"/>
      <c r="S121" s="497"/>
      <c r="T121" s="497" t="b">
        <v>0</v>
      </c>
    </row>
    <row r="122" spans="1:20" x14ac:dyDescent="0.35">
      <c r="A122" s="497" t="b">
        <v>0</v>
      </c>
      <c r="B122" s="511"/>
      <c r="C122" s="497" t="s">
        <v>9102</v>
      </c>
      <c r="D122" s="497" t="s">
        <v>4143</v>
      </c>
      <c r="E122" s="497">
        <f t="shared" si="14"/>
        <v>4</v>
      </c>
      <c r="F122" s="512">
        <v>11</v>
      </c>
      <c r="G122" s="497"/>
      <c r="H122" s="497">
        <f t="shared" ca="1" si="15"/>
        <v>29</v>
      </c>
      <c r="I122" s="513"/>
      <c r="J122" s="513"/>
      <c r="K122" s="500"/>
      <c r="L122" s="503"/>
      <c r="M122" s="514"/>
      <c r="N122" s="503"/>
      <c r="O122" s="497" t="str">
        <f ca="1">IFERROR(IF(COUNTA($D$56:$D122)=1,"",OFFSET($C120,-COUNTA($D$56:$D122)+3,0)),"")</f>
        <v/>
      </c>
      <c r="P122" s="497">
        <f t="shared" si="16"/>
        <v>64</v>
      </c>
      <c r="Q122" s="497"/>
      <c r="R122" s="497"/>
      <c r="S122" s="497"/>
      <c r="T122" s="497" t="b">
        <v>0</v>
      </c>
    </row>
    <row r="123" spans="1:20" x14ac:dyDescent="0.35">
      <c r="A123" s="497" t="b">
        <v>0</v>
      </c>
      <c r="B123" s="511"/>
      <c r="C123" s="497" t="s">
        <v>9103</v>
      </c>
      <c r="D123" s="497" t="s">
        <v>4143</v>
      </c>
      <c r="E123" s="497">
        <f t="shared" ref="E123:E186" si="17">COUNTIF(F114:F123,F123)</f>
        <v>5</v>
      </c>
      <c r="F123" s="512">
        <v>11</v>
      </c>
      <c r="G123" s="497"/>
      <c r="H123" s="497">
        <f t="shared" ref="H123:H186" ca="1" si="18">IF(F123=1,9,IF(E122=MAX(E121:E123),H121+2,H122))</f>
        <v>29</v>
      </c>
      <c r="I123" s="513"/>
      <c r="J123" s="513"/>
      <c r="K123" s="500"/>
      <c r="L123" s="503"/>
      <c r="M123" s="514"/>
      <c r="N123" s="503"/>
      <c r="O123" s="497" t="str">
        <f ca="1">IFERROR(IF(COUNTA($D$56:$D123)=1,"",OFFSET($C121,-COUNTA($D$56:$D123)+3,0)),"")</f>
        <v/>
      </c>
      <c r="P123" s="497">
        <f t="shared" ref="P123:P186" si="19">IF(NOT(_xlfn.ISFORMULA(I123)),P122+1,0)</f>
        <v>65</v>
      </c>
      <c r="Q123" s="497"/>
      <c r="R123" s="497"/>
      <c r="S123" s="497"/>
      <c r="T123" s="497" t="b">
        <v>0</v>
      </c>
    </row>
    <row r="124" spans="1:20" x14ac:dyDescent="0.35">
      <c r="A124" s="497" t="b">
        <v>0</v>
      </c>
      <c r="B124" s="511"/>
      <c r="C124" s="497" t="s">
        <v>9104</v>
      </c>
      <c r="D124" s="497" t="s">
        <v>4143</v>
      </c>
      <c r="E124" s="497">
        <f t="shared" si="17"/>
        <v>6</v>
      </c>
      <c r="F124" s="512">
        <v>11</v>
      </c>
      <c r="G124" s="497"/>
      <c r="H124" s="497">
        <f t="shared" ca="1" si="18"/>
        <v>29</v>
      </c>
      <c r="I124" s="513"/>
      <c r="J124" s="513"/>
      <c r="K124" s="500"/>
      <c r="L124" s="503"/>
      <c r="M124" s="514"/>
      <c r="N124" s="503"/>
      <c r="O124" s="497" t="str">
        <f ca="1">IFERROR(IF(COUNTA($D$56:$D124)=1,"",OFFSET($C122,-COUNTA($D$56:$D124)+3,0)),"")</f>
        <v/>
      </c>
      <c r="P124" s="497">
        <f t="shared" si="19"/>
        <v>66</v>
      </c>
      <c r="Q124" s="497"/>
      <c r="R124" s="497"/>
      <c r="S124" s="497"/>
      <c r="T124" s="497" t="b">
        <v>0</v>
      </c>
    </row>
    <row r="125" spans="1:20" x14ac:dyDescent="0.35">
      <c r="A125" s="497" t="b">
        <v>0</v>
      </c>
      <c r="B125" s="511"/>
      <c r="C125" s="497" t="s">
        <v>9105</v>
      </c>
      <c r="D125" s="497" t="s">
        <v>4479</v>
      </c>
      <c r="E125" s="497">
        <f t="shared" si="17"/>
        <v>1</v>
      </c>
      <c r="F125" s="512">
        <v>12</v>
      </c>
      <c r="G125" s="497"/>
      <c r="H125" s="497">
        <f t="shared" ca="1" si="18"/>
        <v>31</v>
      </c>
      <c r="I125" s="513"/>
      <c r="J125" s="513"/>
      <c r="K125" s="500"/>
      <c r="L125" s="503"/>
      <c r="M125" s="514"/>
      <c r="N125" s="503"/>
      <c r="O125" s="497" t="str">
        <f ca="1">IFERROR(IF(COUNTA($D$56:$D125)=1,"",OFFSET($C123,-COUNTA($D$56:$D125)+3,0)),"")</f>
        <v/>
      </c>
      <c r="P125" s="497">
        <f t="shared" si="19"/>
        <v>67</v>
      </c>
      <c r="Q125" s="497"/>
      <c r="R125" s="497"/>
      <c r="S125" s="497"/>
      <c r="T125" s="497" t="b">
        <v>0</v>
      </c>
    </row>
    <row r="126" spans="1:20" x14ac:dyDescent="0.35">
      <c r="A126" s="497" t="b">
        <v>0</v>
      </c>
      <c r="B126" s="511"/>
      <c r="C126" s="497" t="s">
        <v>9106</v>
      </c>
      <c r="D126" s="497" t="s">
        <v>4479</v>
      </c>
      <c r="E126" s="497">
        <f t="shared" si="17"/>
        <v>2</v>
      </c>
      <c r="F126" s="512">
        <v>12</v>
      </c>
      <c r="G126" s="497"/>
      <c r="H126" s="497">
        <f t="shared" ca="1" si="18"/>
        <v>31</v>
      </c>
      <c r="I126" s="513"/>
      <c r="J126" s="513"/>
      <c r="K126" s="500"/>
      <c r="L126" s="503"/>
      <c r="M126" s="514"/>
      <c r="N126" s="503"/>
      <c r="O126" s="497" t="str">
        <f ca="1">IFERROR(IF(COUNTA($D$56:$D126)=1,"",OFFSET($C124,-COUNTA($D$56:$D126)+3,0)),"")</f>
        <v/>
      </c>
      <c r="P126" s="497">
        <f t="shared" si="19"/>
        <v>68</v>
      </c>
      <c r="Q126" s="497"/>
      <c r="R126" s="497"/>
      <c r="S126" s="497"/>
      <c r="T126" s="497" t="b">
        <v>0</v>
      </c>
    </row>
    <row r="127" spans="1:20" x14ac:dyDescent="0.35">
      <c r="A127" s="497" t="b">
        <v>0</v>
      </c>
      <c r="B127" s="511"/>
      <c r="C127" s="497" t="s">
        <v>9107</v>
      </c>
      <c r="D127" s="497" t="s">
        <v>4479</v>
      </c>
      <c r="E127" s="497">
        <f t="shared" si="17"/>
        <v>3</v>
      </c>
      <c r="F127" s="512">
        <v>12</v>
      </c>
      <c r="G127" s="497"/>
      <c r="H127" s="497">
        <f t="shared" ca="1" si="18"/>
        <v>31</v>
      </c>
      <c r="I127" s="513"/>
      <c r="J127" s="513"/>
      <c r="K127" s="500"/>
      <c r="L127" s="503"/>
      <c r="M127" s="514"/>
      <c r="N127" s="503"/>
      <c r="O127" s="497" t="str">
        <f ca="1">IFERROR(IF(COUNTA($D$56:$D127)=1,"",OFFSET($C125,-COUNTA($D$56:$D127)+3,0)),"")</f>
        <v/>
      </c>
      <c r="P127" s="497">
        <f t="shared" si="19"/>
        <v>69</v>
      </c>
      <c r="Q127" s="497"/>
      <c r="R127" s="497"/>
      <c r="S127" s="497"/>
      <c r="T127" s="497" t="b">
        <v>0</v>
      </c>
    </row>
    <row r="128" spans="1:20" x14ac:dyDescent="0.35">
      <c r="A128" s="497" t="b">
        <v>0</v>
      </c>
      <c r="B128" s="511"/>
      <c r="C128" s="497" t="s">
        <v>9108</v>
      </c>
      <c r="D128" s="497" t="s">
        <v>4479</v>
      </c>
      <c r="E128" s="497">
        <f t="shared" si="17"/>
        <v>4</v>
      </c>
      <c r="F128" s="512">
        <v>12</v>
      </c>
      <c r="G128" s="497"/>
      <c r="H128" s="497">
        <f t="shared" ca="1" si="18"/>
        <v>31</v>
      </c>
      <c r="I128" s="513"/>
      <c r="J128" s="513"/>
      <c r="K128" s="500"/>
      <c r="L128" s="503"/>
      <c r="M128" s="514"/>
      <c r="N128" s="503"/>
      <c r="O128" s="497" t="str">
        <f ca="1">IFERROR(IF(COUNTA($D$56:$D128)=1,"",OFFSET($C126,-COUNTA($D$56:$D128)+3,0)),"")</f>
        <v/>
      </c>
      <c r="P128" s="497">
        <f t="shared" si="19"/>
        <v>70</v>
      </c>
      <c r="Q128" s="497"/>
      <c r="R128" s="497"/>
      <c r="S128" s="497"/>
      <c r="T128" s="497" t="b">
        <v>0</v>
      </c>
    </row>
    <row r="129" spans="1:20" x14ac:dyDescent="0.35">
      <c r="A129" s="497" t="b">
        <v>0</v>
      </c>
      <c r="B129" s="511"/>
      <c r="C129" s="497" t="s">
        <v>9109</v>
      </c>
      <c r="D129" s="497" t="s">
        <v>4479</v>
      </c>
      <c r="E129" s="497">
        <f t="shared" si="17"/>
        <v>5</v>
      </c>
      <c r="F129" s="512">
        <v>12</v>
      </c>
      <c r="G129" s="497"/>
      <c r="H129" s="497">
        <f t="shared" ca="1" si="18"/>
        <v>31</v>
      </c>
      <c r="I129" s="513"/>
      <c r="J129" s="513"/>
      <c r="K129" s="500"/>
      <c r="L129" s="503"/>
      <c r="M129" s="514"/>
      <c r="N129" s="503"/>
      <c r="O129" s="497" t="str">
        <f ca="1">IFERROR(IF(COUNTA($D$56:$D129)=1,"",OFFSET($C127,-COUNTA($D$56:$D129)+3,0)),"")</f>
        <v/>
      </c>
      <c r="P129" s="497">
        <f t="shared" si="19"/>
        <v>71</v>
      </c>
      <c r="Q129" s="497"/>
      <c r="R129" s="497"/>
      <c r="S129" s="497"/>
      <c r="T129" s="497" t="b">
        <v>0</v>
      </c>
    </row>
    <row r="130" spans="1:20" x14ac:dyDescent="0.35">
      <c r="A130" s="497" t="b">
        <v>0</v>
      </c>
      <c r="B130" s="511"/>
      <c r="C130" s="497" t="s">
        <v>9110</v>
      </c>
      <c r="D130" s="497" t="s">
        <v>4479</v>
      </c>
      <c r="E130" s="497">
        <f t="shared" si="17"/>
        <v>6</v>
      </c>
      <c r="F130" s="512">
        <v>12</v>
      </c>
      <c r="G130" s="497"/>
      <c r="H130" s="497">
        <f t="shared" ca="1" si="18"/>
        <v>31</v>
      </c>
      <c r="I130" s="513"/>
      <c r="J130" s="513"/>
      <c r="K130" s="500"/>
      <c r="L130" s="503"/>
      <c r="M130" s="514"/>
      <c r="N130" s="503"/>
      <c r="O130" s="497" t="str">
        <f ca="1">IFERROR(IF(COUNTA($D$56:$D130)=1,"",OFFSET($C128,-COUNTA($D$56:$D130)+3,0)),"")</f>
        <v/>
      </c>
      <c r="P130" s="497">
        <f t="shared" si="19"/>
        <v>72</v>
      </c>
      <c r="Q130" s="497"/>
      <c r="R130" s="497"/>
      <c r="S130" s="497"/>
      <c r="T130" s="497" t="b">
        <v>0</v>
      </c>
    </row>
    <row r="131" spans="1:20" x14ac:dyDescent="0.35">
      <c r="A131" s="497" t="b">
        <v>0</v>
      </c>
      <c r="B131" s="511"/>
      <c r="C131" s="497" t="s">
        <v>9111</v>
      </c>
      <c r="D131" s="497" t="s">
        <v>4164</v>
      </c>
      <c r="E131" s="497">
        <f t="shared" si="17"/>
        <v>1</v>
      </c>
      <c r="F131" s="512">
        <v>13</v>
      </c>
      <c r="G131" s="497"/>
      <c r="H131" s="497">
        <f t="shared" ca="1" si="18"/>
        <v>33</v>
      </c>
      <c r="I131" s="513"/>
      <c r="J131" s="513"/>
      <c r="K131" s="500"/>
      <c r="L131" s="503"/>
      <c r="M131" s="514"/>
      <c r="N131" s="503"/>
      <c r="O131" s="497" t="str">
        <f ca="1">IFERROR(IF(COUNTA($D$56:$D131)=1,"",OFFSET($C129,-COUNTA($D$56:$D131)+3,0)),"")</f>
        <v/>
      </c>
      <c r="P131" s="497">
        <f t="shared" si="19"/>
        <v>73</v>
      </c>
      <c r="Q131" s="497"/>
      <c r="R131" s="497"/>
      <c r="S131" s="497"/>
      <c r="T131" s="497" t="b">
        <v>0</v>
      </c>
    </row>
    <row r="132" spans="1:20" x14ac:dyDescent="0.35">
      <c r="A132" s="497" t="b">
        <v>0</v>
      </c>
      <c r="B132" s="511"/>
      <c r="C132" s="497" t="s">
        <v>9112</v>
      </c>
      <c r="D132" s="497" t="s">
        <v>4164</v>
      </c>
      <c r="E132" s="497">
        <f t="shared" si="17"/>
        <v>2</v>
      </c>
      <c r="F132" s="512">
        <v>13</v>
      </c>
      <c r="G132" s="497"/>
      <c r="H132" s="497">
        <f t="shared" ca="1" si="18"/>
        <v>33</v>
      </c>
      <c r="I132" s="513"/>
      <c r="J132" s="513"/>
      <c r="K132" s="500"/>
      <c r="L132" s="503"/>
      <c r="M132" s="514"/>
      <c r="N132" s="503"/>
      <c r="O132" s="497" t="str">
        <f ca="1">IFERROR(IF(COUNTA($D$56:$D132)=1,"",OFFSET($C130,-COUNTA($D$56:$D132)+3,0)),"")</f>
        <v/>
      </c>
      <c r="P132" s="497">
        <f t="shared" si="19"/>
        <v>74</v>
      </c>
      <c r="Q132" s="497"/>
      <c r="R132" s="497"/>
      <c r="S132" s="497"/>
      <c r="T132" s="497" t="b">
        <v>0</v>
      </c>
    </row>
    <row r="133" spans="1:20" x14ac:dyDescent="0.35">
      <c r="A133" s="497" t="b">
        <v>0</v>
      </c>
      <c r="B133" s="511"/>
      <c r="C133" s="497" t="s">
        <v>9113</v>
      </c>
      <c r="D133" s="497" t="s">
        <v>4164</v>
      </c>
      <c r="E133" s="497">
        <f t="shared" si="17"/>
        <v>3</v>
      </c>
      <c r="F133" s="512">
        <v>13</v>
      </c>
      <c r="G133" s="497"/>
      <c r="H133" s="497">
        <f t="shared" ca="1" si="18"/>
        <v>33</v>
      </c>
      <c r="I133" s="513"/>
      <c r="J133" s="513"/>
      <c r="K133" s="500"/>
      <c r="L133" s="503"/>
      <c r="M133" s="514"/>
      <c r="N133" s="503"/>
      <c r="O133" s="497" t="str">
        <f ca="1">IFERROR(IF(COUNTA($D$56:$D133)=1,"",OFFSET($C131,-COUNTA($D$56:$D133)+3,0)),"")</f>
        <v/>
      </c>
      <c r="P133" s="497">
        <f t="shared" si="19"/>
        <v>75</v>
      </c>
      <c r="Q133" s="497"/>
      <c r="R133" s="497"/>
      <c r="S133" s="497"/>
      <c r="T133" s="497" t="b">
        <v>0</v>
      </c>
    </row>
    <row r="134" spans="1:20" x14ac:dyDescent="0.35">
      <c r="A134" s="497" t="b">
        <v>0</v>
      </c>
      <c r="B134" s="511"/>
      <c r="C134" s="497" t="s">
        <v>9114</v>
      </c>
      <c r="D134" s="497" t="s">
        <v>4164</v>
      </c>
      <c r="E134" s="497">
        <f t="shared" si="17"/>
        <v>4</v>
      </c>
      <c r="F134" s="512">
        <v>13</v>
      </c>
      <c r="G134" s="497"/>
      <c r="H134" s="497">
        <f t="shared" ca="1" si="18"/>
        <v>33</v>
      </c>
      <c r="I134" s="513"/>
      <c r="J134" s="513"/>
      <c r="K134" s="500"/>
      <c r="L134" s="503"/>
      <c r="M134" s="514"/>
      <c r="N134" s="503"/>
      <c r="O134" s="497" t="str">
        <f ca="1">IFERROR(IF(COUNTA($D$56:$D134)=1,"",OFFSET($C132,-COUNTA($D$56:$D134)+3,0)),"")</f>
        <v/>
      </c>
      <c r="P134" s="497">
        <f t="shared" si="19"/>
        <v>76</v>
      </c>
      <c r="Q134" s="497"/>
      <c r="R134" s="497"/>
      <c r="S134" s="497"/>
      <c r="T134" s="497" t="b">
        <v>0</v>
      </c>
    </row>
    <row r="135" spans="1:20" x14ac:dyDescent="0.35">
      <c r="A135" s="497" t="b">
        <v>0</v>
      </c>
      <c r="B135" s="511"/>
      <c r="C135" s="497" t="s">
        <v>9115</v>
      </c>
      <c r="D135" s="497" t="s">
        <v>4164</v>
      </c>
      <c r="E135" s="497">
        <f t="shared" si="17"/>
        <v>5</v>
      </c>
      <c r="F135" s="512">
        <v>13</v>
      </c>
      <c r="G135" s="497"/>
      <c r="H135" s="497">
        <f t="shared" ca="1" si="18"/>
        <v>33</v>
      </c>
      <c r="I135" s="513"/>
      <c r="J135" s="513"/>
      <c r="K135" s="500"/>
      <c r="L135" s="503"/>
      <c r="M135" s="514"/>
      <c r="N135" s="503"/>
      <c r="O135" s="497" t="str">
        <f ca="1">IFERROR(IF(COUNTA($D$56:$D135)=1,"",OFFSET($C133,-COUNTA($D$56:$D135)+3,0)),"")</f>
        <v/>
      </c>
      <c r="P135" s="497">
        <f t="shared" si="19"/>
        <v>77</v>
      </c>
      <c r="Q135" s="497"/>
      <c r="R135" s="497"/>
      <c r="S135" s="497"/>
      <c r="T135" s="497" t="b">
        <v>0</v>
      </c>
    </row>
    <row r="136" spans="1:20" x14ac:dyDescent="0.35">
      <c r="A136" s="497" t="b">
        <v>0</v>
      </c>
      <c r="B136" s="511"/>
      <c r="C136" s="497" t="s">
        <v>9116</v>
      </c>
      <c r="D136" s="497" t="s">
        <v>4164</v>
      </c>
      <c r="E136" s="497">
        <f t="shared" si="17"/>
        <v>6</v>
      </c>
      <c r="F136" s="512">
        <v>13</v>
      </c>
      <c r="G136" s="497"/>
      <c r="H136" s="497">
        <f t="shared" ca="1" si="18"/>
        <v>33</v>
      </c>
      <c r="I136" s="513"/>
      <c r="J136" s="513"/>
      <c r="K136" s="500"/>
      <c r="L136" s="503"/>
      <c r="M136" s="514"/>
      <c r="N136" s="503"/>
      <c r="O136" s="497" t="str">
        <f ca="1">IFERROR(IF(COUNTA($D$56:$D136)=1,"",OFFSET($C134,-COUNTA($D$56:$D136)+3,0)),"")</f>
        <v/>
      </c>
      <c r="P136" s="497">
        <f t="shared" si="19"/>
        <v>78</v>
      </c>
      <c r="Q136" s="497"/>
      <c r="R136" s="497"/>
      <c r="S136" s="497"/>
      <c r="T136" s="497" t="b">
        <v>0</v>
      </c>
    </row>
    <row r="137" spans="1:20" x14ac:dyDescent="0.35">
      <c r="A137" s="497" t="b">
        <v>0</v>
      </c>
      <c r="B137" s="511"/>
      <c r="C137" s="497" t="s">
        <v>9117</v>
      </c>
      <c r="D137" s="497" t="s">
        <v>4500</v>
      </c>
      <c r="E137" s="497">
        <f t="shared" si="17"/>
        <v>1</v>
      </c>
      <c r="F137" s="512">
        <v>14</v>
      </c>
      <c r="G137" s="497"/>
      <c r="H137" s="497">
        <f t="shared" ca="1" si="18"/>
        <v>35</v>
      </c>
      <c r="I137" s="513"/>
      <c r="J137" s="513"/>
      <c r="K137" s="500"/>
      <c r="L137" s="503"/>
      <c r="M137" s="514"/>
      <c r="N137" s="503"/>
      <c r="O137" s="497" t="str">
        <f ca="1">IFERROR(IF(COUNTA($D$56:$D137)=1,"",OFFSET($C135,-COUNTA($D$56:$D137)+3,0)),"")</f>
        <v/>
      </c>
      <c r="P137" s="497">
        <f t="shared" si="19"/>
        <v>79</v>
      </c>
      <c r="Q137" s="497"/>
      <c r="R137" s="497"/>
      <c r="S137" s="497"/>
      <c r="T137" s="497" t="b">
        <v>0</v>
      </c>
    </row>
    <row r="138" spans="1:20" x14ac:dyDescent="0.35">
      <c r="A138" s="497" t="b">
        <v>0</v>
      </c>
      <c r="B138" s="511"/>
      <c r="C138" s="497" t="s">
        <v>9118</v>
      </c>
      <c r="D138" s="497" t="s">
        <v>4500</v>
      </c>
      <c r="E138" s="497">
        <f t="shared" si="17"/>
        <v>2</v>
      </c>
      <c r="F138" s="512">
        <v>14</v>
      </c>
      <c r="G138" s="497"/>
      <c r="H138" s="497">
        <f t="shared" ca="1" si="18"/>
        <v>35</v>
      </c>
      <c r="I138" s="513"/>
      <c r="J138" s="513"/>
      <c r="K138" s="500"/>
      <c r="L138" s="503"/>
      <c r="M138" s="514"/>
      <c r="N138" s="503"/>
      <c r="O138" s="497" t="str">
        <f ca="1">IFERROR(IF(COUNTA($D$56:$D138)=1,"",OFFSET($C136,-COUNTA($D$56:$D138)+3,0)),"")</f>
        <v/>
      </c>
      <c r="P138" s="497">
        <f t="shared" si="19"/>
        <v>80</v>
      </c>
      <c r="Q138" s="497"/>
      <c r="R138" s="497"/>
      <c r="S138" s="497"/>
      <c r="T138" s="497" t="b">
        <v>0</v>
      </c>
    </row>
    <row r="139" spans="1:20" x14ac:dyDescent="0.35">
      <c r="A139" s="497" t="b">
        <v>0</v>
      </c>
      <c r="B139" s="511"/>
      <c r="C139" s="497" t="s">
        <v>9119</v>
      </c>
      <c r="D139" s="497" t="s">
        <v>4500</v>
      </c>
      <c r="E139" s="497">
        <f t="shared" si="17"/>
        <v>3</v>
      </c>
      <c r="F139" s="512">
        <v>14</v>
      </c>
      <c r="G139" s="497"/>
      <c r="H139" s="497">
        <f t="shared" ca="1" si="18"/>
        <v>35</v>
      </c>
      <c r="I139" s="513"/>
      <c r="J139" s="513"/>
      <c r="K139" s="500"/>
      <c r="L139" s="503"/>
      <c r="M139" s="514"/>
      <c r="N139" s="503"/>
      <c r="O139" s="497" t="str">
        <f ca="1">IFERROR(IF(COUNTA($D$56:$D139)=1,"",OFFSET($C137,-COUNTA($D$56:$D139)+3,0)),"")</f>
        <v/>
      </c>
      <c r="P139" s="497">
        <f t="shared" si="19"/>
        <v>81</v>
      </c>
      <c r="Q139" s="497"/>
      <c r="R139" s="497"/>
      <c r="S139" s="497"/>
      <c r="T139" s="497" t="b">
        <v>0</v>
      </c>
    </row>
    <row r="140" spans="1:20" x14ac:dyDescent="0.35">
      <c r="A140" s="497" t="b">
        <v>0</v>
      </c>
      <c r="B140" s="511"/>
      <c r="C140" s="497" t="s">
        <v>9120</v>
      </c>
      <c r="D140" s="497" t="s">
        <v>4500</v>
      </c>
      <c r="E140" s="497">
        <f t="shared" si="17"/>
        <v>4</v>
      </c>
      <c r="F140" s="512">
        <v>14</v>
      </c>
      <c r="G140" s="497"/>
      <c r="H140" s="497">
        <f t="shared" ca="1" si="18"/>
        <v>35</v>
      </c>
      <c r="I140" s="513"/>
      <c r="J140" s="513"/>
      <c r="K140" s="500"/>
      <c r="L140" s="503"/>
      <c r="M140" s="514"/>
      <c r="N140" s="503"/>
      <c r="O140" s="497" t="str">
        <f ca="1">IFERROR(IF(COUNTA($D$56:$D140)=1,"",OFFSET($C138,-COUNTA($D$56:$D140)+3,0)),"")</f>
        <v/>
      </c>
      <c r="P140" s="497">
        <f t="shared" si="19"/>
        <v>82</v>
      </c>
      <c r="Q140" s="497"/>
      <c r="R140" s="497"/>
      <c r="S140" s="497"/>
      <c r="T140" s="497" t="b">
        <v>0</v>
      </c>
    </row>
    <row r="141" spans="1:20" x14ac:dyDescent="0.35">
      <c r="A141" s="497" t="b">
        <v>0</v>
      </c>
      <c r="B141" s="511"/>
      <c r="C141" s="497" t="s">
        <v>9121</v>
      </c>
      <c r="D141" s="497" t="s">
        <v>4500</v>
      </c>
      <c r="E141" s="497">
        <f t="shared" si="17"/>
        <v>5</v>
      </c>
      <c r="F141" s="512">
        <v>14</v>
      </c>
      <c r="G141" s="497"/>
      <c r="H141" s="497">
        <f t="shared" ca="1" si="18"/>
        <v>35</v>
      </c>
      <c r="I141" s="513"/>
      <c r="J141" s="513"/>
      <c r="K141" s="500"/>
      <c r="L141" s="503"/>
      <c r="M141" s="514"/>
      <c r="N141" s="503"/>
      <c r="O141" s="497" t="str">
        <f ca="1">IFERROR(IF(COUNTA($D$56:$D141)=1,"",OFFSET($C139,-COUNTA($D$56:$D141)+3,0)),"")</f>
        <v/>
      </c>
      <c r="P141" s="497">
        <f t="shared" si="19"/>
        <v>83</v>
      </c>
      <c r="Q141" s="497"/>
      <c r="R141" s="497"/>
      <c r="S141" s="497"/>
      <c r="T141" s="497" t="b">
        <v>0</v>
      </c>
    </row>
    <row r="142" spans="1:20" x14ac:dyDescent="0.35">
      <c r="A142" s="497" t="b">
        <v>0</v>
      </c>
      <c r="B142" s="511"/>
      <c r="C142" s="497" t="s">
        <v>9122</v>
      </c>
      <c r="D142" s="497" t="s">
        <v>4500</v>
      </c>
      <c r="E142" s="497">
        <f t="shared" si="17"/>
        <v>6</v>
      </c>
      <c r="F142" s="512">
        <v>14</v>
      </c>
      <c r="G142" s="497"/>
      <c r="H142" s="497">
        <f t="shared" ca="1" si="18"/>
        <v>35</v>
      </c>
      <c r="I142" s="513"/>
      <c r="J142" s="513"/>
      <c r="K142" s="500"/>
      <c r="L142" s="503"/>
      <c r="M142" s="514"/>
      <c r="N142" s="503"/>
      <c r="O142" s="497" t="str">
        <f ca="1">IFERROR(IF(COUNTA($D$56:$D142)=1,"",OFFSET($C140,-COUNTA($D$56:$D142)+3,0)),"")</f>
        <v/>
      </c>
      <c r="P142" s="497">
        <f t="shared" si="19"/>
        <v>84</v>
      </c>
      <c r="Q142" s="497"/>
      <c r="R142" s="497"/>
      <c r="S142" s="497"/>
      <c r="T142" s="497" t="b">
        <v>0</v>
      </c>
    </row>
    <row r="143" spans="1:20" x14ac:dyDescent="0.35">
      <c r="A143" s="497" t="b">
        <v>0</v>
      </c>
      <c r="B143" s="511"/>
      <c r="C143" s="497" t="s">
        <v>9123</v>
      </c>
      <c r="D143" s="497" t="s">
        <v>4185</v>
      </c>
      <c r="E143" s="497">
        <f t="shared" si="17"/>
        <v>1</v>
      </c>
      <c r="F143" s="512">
        <v>15</v>
      </c>
      <c r="G143" s="497"/>
      <c r="H143" s="497">
        <f t="shared" ca="1" si="18"/>
        <v>37</v>
      </c>
      <c r="I143" s="513"/>
      <c r="J143" s="513"/>
      <c r="K143" s="500"/>
      <c r="L143" s="503"/>
      <c r="M143" s="514"/>
      <c r="N143" s="503"/>
      <c r="O143" s="497" t="str">
        <f ca="1">IFERROR(IF(COUNTA($D$56:$D143)=1,"",OFFSET($C141,-COUNTA($D$56:$D143)+3,0)),"")</f>
        <v/>
      </c>
      <c r="P143" s="497">
        <f t="shared" si="19"/>
        <v>85</v>
      </c>
      <c r="Q143" s="497"/>
      <c r="R143" s="497"/>
      <c r="S143" s="497"/>
      <c r="T143" s="497" t="b">
        <v>0</v>
      </c>
    </row>
    <row r="144" spans="1:20" x14ac:dyDescent="0.35">
      <c r="A144" s="497" t="b">
        <v>0</v>
      </c>
      <c r="B144" s="511"/>
      <c r="C144" s="497" t="s">
        <v>9124</v>
      </c>
      <c r="D144" s="497" t="s">
        <v>4185</v>
      </c>
      <c r="E144" s="497">
        <f t="shared" si="17"/>
        <v>2</v>
      </c>
      <c r="F144" s="512">
        <v>15</v>
      </c>
      <c r="G144" s="497"/>
      <c r="H144" s="497">
        <f t="shared" ca="1" si="18"/>
        <v>37</v>
      </c>
      <c r="I144" s="513"/>
      <c r="J144" s="513"/>
      <c r="K144" s="500"/>
      <c r="L144" s="503"/>
      <c r="M144" s="514"/>
      <c r="N144" s="503"/>
      <c r="O144" s="497" t="str">
        <f ca="1">IFERROR(IF(COUNTA($D$56:$D144)=1,"",OFFSET($C142,-COUNTA($D$56:$D144)+3,0)),"")</f>
        <v/>
      </c>
      <c r="P144" s="497">
        <f t="shared" si="19"/>
        <v>86</v>
      </c>
      <c r="Q144" s="497"/>
      <c r="R144" s="497"/>
      <c r="S144" s="497"/>
      <c r="T144" s="497" t="b">
        <v>0</v>
      </c>
    </row>
    <row r="145" spans="1:20" x14ac:dyDescent="0.35">
      <c r="A145" s="497" t="b">
        <v>0</v>
      </c>
      <c r="B145" s="511"/>
      <c r="C145" s="497" t="s">
        <v>9125</v>
      </c>
      <c r="D145" s="497" t="s">
        <v>4185</v>
      </c>
      <c r="E145" s="497">
        <f t="shared" si="17"/>
        <v>3</v>
      </c>
      <c r="F145" s="512">
        <v>15</v>
      </c>
      <c r="G145" s="497"/>
      <c r="H145" s="497">
        <f t="shared" ca="1" si="18"/>
        <v>37</v>
      </c>
      <c r="I145" s="513"/>
      <c r="J145" s="513"/>
      <c r="K145" s="500"/>
      <c r="L145" s="503"/>
      <c r="M145" s="514"/>
      <c r="N145" s="503"/>
      <c r="O145" s="497" t="str">
        <f ca="1">IFERROR(IF(COUNTA($D$56:$D145)=1,"",OFFSET($C143,-COUNTA($D$56:$D145)+3,0)),"")</f>
        <v/>
      </c>
      <c r="P145" s="497">
        <f t="shared" si="19"/>
        <v>87</v>
      </c>
      <c r="Q145" s="497"/>
      <c r="R145" s="497"/>
      <c r="S145" s="497"/>
      <c r="T145" s="497" t="b">
        <v>0</v>
      </c>
    </row>
    <row r="146" spans="1:20" x14ac:dyDescent="0.35">
      <c r="A146" s="497" t="b">
        <v>0</v>
      </c>
      <c r="B146" s="511"/>
      <c r="C146" s="497" t="s">
        <v>9126</v>
      </c>
      <c r="D146" s="497" t="s">
        <v>4185</v>
      </c>
      <c r="E146" s="497">
        <f t="shared" si="17"/>
        <v>4</v>
      </c>
      <c r="F146" s="512">
        <v>15</v>
      </c>
      <c r="G146" s="497"/>
      <c r="H146" s="497">
        <f t="shared" ca="1" si="18"/>
        <v>37</v>
      </c>
      <c r="I146" s="513"/>
      <c r="J146" s="513"/>
      <c r="K146" s="500"/>
      <c r="L146" s="503"/>
      <c r="M146" s="514"/>
      <c r="N146" s="503"/>
      <c r="O146" s="497" t="str">
        <f ca="1">IFERROR(IF(COUNTA($D$56:$D146)=1,"",OFFSET($C144,-COUNTA($D$56:$D146)+3,0)),"")</f>
        <v/>
      </c>
      <c r="P146" s="497">
        <f t="shared" si="19"/>
        <v>88</v>
      </c>
      <c r="Q146" s="497"/>
      <c r="R146" s="497"/>
      <c r="S146" s="497"/>
      <c r="T146" s="497" t="b">
        <v>0</v>
      </c>
    </row>
    <row r="147" spans="1:20" x14ac:dyDescent="0.35">
      <c r="A147" s="497" t="b">
        <v>0</v>
      </c>
      <c r="B147" s="511"/>
      <c r="C147" s="497" t="s">
        <v>9127</v>
      </c>
      <c r="D147" s="497" t="s">
        <v>4185</v>
      </c>
      <c r="E147" s="497">
        <f t="shared" si="17"/>
        <v>5</v>
      </c>
      <c r="F147" s="512">
        <v>15</v>
      </c>
      <c r="G147" s="497"/>
      <c r="H147" s="497">
        <f t="shared" ca="1" si="18"/>
        <v>37</v>
      </c>
      <c r="I147" s="513"/>
      <c r="J147" s="513"/>
      <c r="K147" s="500"/>
      <c r="L147" s="503"/>
      <c r="M147" s="514"/>
      <c r="N147" s="503"/>
      <c r="O147" s="497" t="str">
        <f ca="1">IFERROR(IF(COUNTA($D$56:$D147)=1,"",OFFSET($C145,-COUNTA($D$56:$D147)+3,0)),"")</f>
        <v/>
      </c>
      <c r="P147" s="497">
        <f t="shared" si="19"/>
        <v>89</v>
      </c>
      <c r="Q147" s="497"/>
      <c r="R147" s="497"/>
      <c r="S147" s="497"/>
      <c r="T147" s="497" t="b">
        <v>0</v>
      </c>
    </row>
    <row r="148" spans="1:20" x14ac:dyDescent="0.35">
      <c r="A148" s="497" t="b">
        <v>0</v>
      </c>
      <c r="B148" s="511"/>
      <c r="C148" s="497" t="s">
        <v>9128</v>
      </c>
      <c r="D148" s="497" t="s">
        <v>4185</v>
      </c>
      <c r="E148" s="497">
        <f t="shared" si="17"/>
        <v>6</v>
      </c>
      <c r="F148" s="512">
        <v>15</v>
      </c>
      <c r="G148" s="497"/>
      <c r="H148" s="497">
        <f t="shared" ca="1" si="18"/>
        <v>37</v>
      </c>
      <c r="I148" s="513"/>
      <c r="J148" s="513"/>
      <c r="K148" s="500"/>
      <c r="L148" s="503"/>
      <c r="M148" s="514"/>
      <c r="N148" s="503"/>
      <c r="O148" s="497" t="str">
        <f ca="1">IFERROR(IF(COUNTA($D$56:$D148)=1,"",OFFSET($C146,-COUNTA($D$56:$D148)+3,0)),"")</f>
        <v/>
      </c>
      <c r="P148" s="497">
        <f t="shared" si="19"/>
        <v>90</v>
      </c>
      <c r="Q148" s="497"/>
      <c r="R148" s="497"/>
      <c r="S148" s="497"/>
      <c r="T148" s="497" t="b">
        <v>0</v>
      </c>
    </row>
    <row r="149" spans="1:20" x14ac:dyDescent="0.35">
      <c r="A149" s="497" t="b">
        <v>0</v>
      </c>
      <c r="B149" s="511"/>
      <c r="C149" s="497" t="s">
        <v>9129</v>
      </c>
      <c r="D149" s="497" t="s">
        <v>4521</v>
      </c>
      <c r="E149" s="497">
        <f t="shared" si="17"/>
        <v>1</v>
      </c>
      <c r="F149" s="512">
        <v>16</v>
      </c>
      <c r="G149" s="497"/>
      <c r="H149" s="497">
        <f t="shared" ca="1" si="18"/>
        <v>39</v>
      </c>
      <c r="I149" s="513"/>
      <c r="J149" s="513"/>
      <c r="K149" s="500"/>
      <c r="L149" s="503"/>
      <c r="M149" s="514"/>
      <c r="N149" s="503"/>
      <c r="O149" s="497" t="str">
        <f ca="1">IFERROR(IF(COUNTA($D$56:$D149)=1,"",OFFSET($C147,-COUNTA($D$56:$D149)+3,0)),"")</f>
        <v/>
      </c>
      <c r="P149" s="497">
        <f t="shared" si="19"/>
        <v>91</v>
      </c>
      <c r="Q149" s="497"/>
      <c r="R149" s="497"/>
      <c r="S149" s="497"/>
      <c r="T149" s="497" t="b">
        <v>0</v>
      </c>
    </row>
    <row r="150" spans="1:20" x14ac:dyDescent="0.35">
      <c r="A150" s="497" t="b">
        <v>0</v>
      </c>
      <c r="B150" s="511"/>
      <c r="C150" s="497" t="s">
        <v>9130</v>
      </c>
      <c r="D150" s="497" t="s">
        <v>4521</v>
      </c>
      <c r="E150" s="497">
        <f t="shared" si="17"/>
        <v>2</v>
      </c>
      <c r="F150" s="512">
        <v>16</v>
      </c>
      <c r="G150" s="497"/>
      <c r="H150" s="497">
        <f t="shared" ca="1" si="18"/>
        <v>39</v>
      </c>
      <c r="I150" s="513"/>
      <c r="J150" s="513"/>
      <c r="K150" s="500"/>
      <c r="L150" s="503"/>
      <c r="M150" s="514"/>
      <c r="N150" s="503"/>
      <c r="O150" s="497" t="str">
        <f ca="1">IFERROR(IF(COUNTA($D$56:$D150)=1,"",OFFSET($C148,-COUNTA($D$56:$D150)+3,0)),"")</f>
        <v/>
      </c>
      <c r="P150" s="497">
        <f t="shared" si="19"/>
        <v>92</v>
      </c>
      <c r="Q150" s="497"/>
      <c r="R150" s="497"/>
      <c r="S150" s="497"/>
      <c r="T150" s="497" t="b">
        <v>0</v>
      </c>
    </row>
    <row r="151" spans="1:20" x14ac:dyDescent="0.35">
      <c r="A151" s="497" t="b">
        <v>0</v>
      </c>
      <c r="B151" s="511"/>
      <c r="C151" s="497" t="s">
        <v>9131</v>
      </c>
      <c r="D151" s="497" t="s">
        <v>4521</v>
      </c>
      <c r="E151" s="497">
        <f t="shared" si="17"/>
        <v>3</v>
      </c>
      <c r="F151" s="512">
        <v>16</v>
      </c>
      <c r="G151" s="497"/>
      <c r="H151" s="497">
        <f t="shared" ca="1" si="18"/>
        <v>39</v>
      </c>
      <c r="I151" s="513"/>
      <c r="J151" s="513"/>
      <c r="K151" s="500"/>
      <c r="L151" s="503"/>
      <c r="M151" s="514"/>
      <c r="N151" s="503"/>
      <c r="O151" s="497" t="str">
        <f ca="1">IFERROR(IF(COUNTA($D$56:$D151)=1,"",OFFSET($C149,-COUNTA($D$56:$D151)+3,0)),"")</f>
        <v/>
      </c>
      <c r="P151" s="497">
        <f t="shared" si="19"/>
        <v>93</v>
      </c>
      <c r="Q151" s="497"/>
      <c r="R151" s="497"/>
      <c r="S151" s="497"/>
      <c r="T151" s="497" t="b">
        <v>0</v>
      </c>
    </row>
    <row r="152" spans="1:20" x14ac:dyDescent="0.35">
      <c r="A152" s="497" t="b">
        <v>0</v>
      </c>
      <c r="B152" s="511"/>
      <c r="C152" s="497" t="s">
        <v>9132</v>
      </c>
      <c r="D152" s="497" t="s">
        <v>4521</v>
      </c>
      <c r="E152" s="497">
        <f t="shared" si="17"/>
        <v>4</v>
      </c>
      <c r="F152" s="512">
        <v>16</v>
      </c>
      <c r="G152" s="497"/>
      <c r="H152" s="497">
        <f t="shared" ca="1" si="18"/>
        <v>39</v>
      </c>
      <c r="I152" s="513"/>
      <c r="J152" s="513"/>
      <c r="K152" s="500"/>
      <c r="L152" s="503"/>
      <c r="M152" s="514"/>
      <c r="N152" s="503"/>
      <c r="O152" s="497" t="str">
        <f ca="1">IFERROR(IF(COUNTA($D$56:$D152)=1,"",OFFSET($C150,-COUNTA($D$56:$D152)+3,0)),"")</f>
        <v/>
      </c>
      <c r="P152" s="497">
        <f t="shared" si="19"/>
        <v>94</v>
      </c>
      <c r="Q152" s="497"/>
      <c r="R152" s="497"/>
      <c r="S152" s="497"/>
      <c r="T152" s="497" t="b">
        <v>0</v>
      </c>
    </row>
    <row r="153" spans="1:20" x14ac:dyDescent="0.35">
      <c r="A153" s="497" t="b">
        <v>0</v>
      </c>
      <c r="B153" s="511"/>
      <c r="C153" s="497" t="s">
        <v>9133</v>
      </c>
      <c r="D153" s="497" t="s">
        <v>4521</v>
      </c>
      <c r="E153" s="497">
        <f t="shared" si="17"/>
        <v>5</v>
      </c>
      <c r="F153" s="512">
        <v>16</v>
      </c>
      <c r="G153" s="497"/>
      <c r="H153" s="497">
        <f t="shared" ca="1" si="18"/>
        <v>39</v>
      </c>
      <c r="I153" s="513"/>
      <c r="J153" s="513"/>
      <c r="K153" s="500"/>
      <c r="L153" s="503"/>
      <c r="M153" s="514"/>
      <c r="N153" s="503"/>
      <c r="O153" s="497" t="str">
        <f ca="1">IFERROR(IF(COUNTA($D$56:$D153)=1,"",OFFSET($C151,-COUNTA($D$56:$D153)+3,0)),"")</f>
        <v/>
      </c>
      <c r="P153" s="497">
        <f t="shared" si="19"/>
        <v>95</v>
      </c>
      <c r="Q153" s="497"/>
      <c r="R153" s="497"/>
      <c r="S153" s="497"/>
      <c r="T153" s="497" t="b">
        <v>0</v>
      </c>
    </row>
    <row r="154" spans="1:20" x14ac:dyDescent="0.35">
      <c r="A154" s="497" t="b">
        <v>0</v>
      </c>
      <c r="B154" s="511"/>
      <c r="C154" s="497" t="s">
        <v>9134</v>
      </c>
      <c r="D154" s="497" t="s">
        <v>4521</v>
      </c>
      <c r="E154" s="497">
        <f t="shared" si="17"/>
        <v>6</v>
      </c>
      <c r="F154" s="512">
        <v>16</v>
      </c>
      <c r="G154" s="497"/>
      <c r="H154" s="497">
        <f t="shared" ca="1" si="18"/>
        <v>39</v>
      </c>
      <c r="I154" s="513"/>
      <c r="J154" s="513"/>
      <c r="K154" s="500"/>
      <c r="L154" s="503"/>
      <c r="M154" s="514"/>
      <c r="N154" s="503"/>
      <c r="O154" s="497" t="str">
        <f ca="1">IFERROR(IF(COUNTA($D$56:$D154)=1,"",OFFSET($C152,-COUNTA($D$56:$D154)+3,0)),"")</f>
        <v/>
      </c>
      <c r="P154" s="497">
        <f t="shared" si="19"/>
        <v>96</v>
      </c>
      <c r="Q154" s="497"/>
      <c r="R154" s="497"/>
      <c r="S154" s="497"/>
      <c r="T154" s="497" t="b">
        <v>0</v>
      </c>
    </row>
    <row r="155" spans="1:20" x14ac:dyDescent="0.35">
      <c r="A155" s="497" t="b">
        <v>0</v>
      </c>
      <c r="B155" s="511"/>
      <c r="C155" s="497" t="s">
        <v>9135</v>
      </c>
      <c r="D155" s="497" t="s">
        <v>4206</v>
      </c>
      <c r="E155" s="497">
        <f t="shared" si="17"/>
        <v>1</v>
      </c>
      <c r="F155" s="512">
        <v>17</v>
      </c>
      <c r="G155" s="497"/>
      <c r="H155" s="497">
        <f t="shared" ca="1" si="18"/>
        <v>41</v>
      </c>
      <c r="I155" s="513"/>
      <c r="J155" s="513"/>
      <c r="K155" s="500"/>
      <c r="L155" s="503"/>
      <c r="M155" s="514"/>
      <c r="N155" s="503"/>
      <c r="O155" s="497" t="str">
        <f ca="1">IFERROR(IF(COUNTA($D$56:$D155)=1,"",OFFSET($C153,-COUNTA($D$56:$D155)+3,0)),"")</f>
        <v/>
      </c>
      <c r="P155" s="497">
        <f t="shared" si="19"/>
        <v>97</v>
      </c>
      <c r="Q155" s="497"/>
      <c r="R155" s="497"/>
      <c r="S155" s="497"/>
      <c r="T155" s="497" t="b">
        <v>0</v>
      </c>
    </row>
    <row r="156" spans="1:20" x14ac:dyDescent="0.35">
      <c r="A156" s="497" t="b">
        <v>0</v>
      </c>
      <c r="B156" s="511"/>
      <c r="C156" s="497" t="s">
        <v>9136</v>
      </c>
      <c r="D156" s="497" t="s">
        <v>4206</v>
      </c>
      <c r="E156" s="497">
        <f t="shared" si="17"/>
        <v>2</v>
      </c>
      <c r="F156" s="512">
        <v>17</v>
      </c>
      <c r="G156" s="497"/>
      <c r="H156" s="497">
        <f t="shared" ca="1" si="18"/>
        <v>41</v>
      </c>
      <c r="I156" s="513"/>
      <c r="J156" s="513"/>
      <c r="K156" s="500"/>
      <c r="L156" s="503"/>
      <c r="M156" s="514"/>
      <c r="N156" s="503"/>
      <c r="O156" s="497" t="str">
        <f ca="1">IFERROR(IF(COUNTA($D$56:$D156)=1,"",OFFSET($C154,-COUNTA($D$56:$D156)+3,0)),"")</f>
        <v/>
      </c>
      <c r="P156" s="497">
        <f t="shared" si="19"/>
        <v>98</v>
      </c>
      <c r="Q156" s="497"/>
      <c r="R156" s="497"/>
      <c r="S156" s="497"/>
      <c r="T156" s="497" t="b">
        <v>0</v>
      </c>
    </row>
    <row r="157" spans="1:20" x14ac:dyDescent="0.35">
      <c r="A157" s="497" t="b">
        <v>0</v>
      </c>
      <c r="B157" s="511"/>
      <c r="C157" s="497" t="s">
        <v>9137</v>
      </c>
      <c r="D157" s="497" t="s">
        <v>4206</v>
      </c>
      <c r="E157" s="497">
        <f t="shared" si="17"/>
        <v>3</v>
      </c>
      <c r="F157" s="512">
        <v>17</v>
      </c>
      <c r="G157" s="497"/>
      <c r="H157" s="497">
        <f t="shared" ca="1" si="18"/>
        <v>41</v>
      </c>
      <c r="I157" s="513"/>
      <c r="J157" s="513"/>
      <c r="K157" s="500"/>
      <c r="L157" s="503"/>
      <c r="M157" s="514"/>
      <c r="N157" s="503"/>
      <c r="O157" s="497" t="str">
        <f ca="1">IFERROR(IF(COUNTA($D$56:$D157)=1,"",OFFSET($C155,-COUNTA($D$56:$D157)+3,0)),"")</f>
        <v/>
      </c>
      <c r="P157" s="497">
        <f t="shared" si="19"/>
        <v>99</v>
      </c>
      <c r="Q157" s="497"/>
      <c r="R157" s="497"/>
      <c r="S157" s="497"/>
      <c r="T157" s="497" t="b">
        <v>0</v>
      </c>
    </row>
    <row r="158" spans="1:20" x14ac:dyDescent="0.35">
      <c r="A158" s="497" t="b">
        <v>0</v>
      </c>
      <c r="B158" s="511"/>
      <c r="C158" s="497" t="s">
        <v>9138</v>
      </c>
      <c r="D158" s="497" t="s">
        <v>4206</v>
      </c>
      <c r="E158" s="497">
        <f t="shared" si="17"/>
        <v>4</v>
      </c>
      <c r="F158" s="512">
        <v>17</v>
      </c>
      <c r="G158" s="497"/>
      <c r="H158" s="497">
        <f t="shared" ca="1" si="18"/>
        <v>41</v>
      </c>
      <c r="I158" s="513"/>
      <c r="J158" s="513"/>
      <c r="K158" s="500"/>
      <c r="L158" s="503"/>
      <c r="M158" s="514"/>
      <c r="N158" s="503"/>
      <c r="O158" s="497" t="str">
        <f ca="1">IFERROR(IF(COUNTA($D$56:$D158)=1,"",OFFSET($C156,-COUNTA($D$56:$D158)+3,0)),"")</f>
        <v/>
      </c>
      <c r="P158" s="497">
        <f t="shared" si="19"/>
        <v>100</v>
      </c>
      <c r="Q158" s="497"/>
      <c r="R158" s="497"/>
      <c r="S158" s="497"/>
      <c r="T158" s="497" t="b">
        <v>0</v>
      </c>
    </row>
    <row r="159" spans="1:20" x14ac:dyDescent="0.35">
      <c r="A159" s="497" t="b">
        <v>0</v>
      </c>
      <c r="B159" s="511"/>
      <c r="C159" s="497" t="s">
        <v>9139</v>
      </c>
      <c r="D159" s="497" t="s">
        <v>4206</v>
      </c>
      <c r="E159" s="497">
        <f t="shared" si="17"/>
        <v>5</v>
      </c>
      <c r="F159" s="512">
        <v>17</v>
      </c>
      <c r="G159" s="497"/>
      <c r="H159" s="497">
        <f t="shared" ca="1" si="18"/>
        <v>41</v>
      </c>
      <c r="I159" s="513"/>
      <c r="J159" s="513"/>
      <c r="K159" s="500"/>
      <c r="L159" s="503"/>
      <c r="M159" s="514"/>
      <c r="N159" s="503"/>
      <c r="O159" s="497" t="str">
        <f ca="1">IFERROR(IF(COUNTA($D$56:$D159)=1,"",OFFSET($C157,-COUNTA($D$56:$D159)+3,0)),"")</f>
        <v/>
      </c>
      <c r="P159" s="497">
        <f t="shared" si="19"/>
        <v>101</v>
      </c>
      <c r="Q159" s="497"/>
      <c r="R159" s="497"/>
      <c r="S159" s="497"/>
      <c r="T159" s="497" t="b">
        <v>0</v>
      </c>
    </row>
    <row r="160" spans="1:20" x14ac:dyDescent="0.35">
      <c r="A160" s="497" t="b">
        <v>0</v>
      </c>
      <c r="B160" s="511"/>
      <c r="C160" s="497" t="s">
        <v>9140</v>
      </c>
      <c r="D160" s="497" t="s">
        <v>4206</v>
      </c>
      <c r="E160" s="497">
        <f t="shared" si="17"/>
        <v>6</v>
      </c>
      <c r="F160" s="512">
        <v>17</v>
      </c>
      <c r="G160" s="497"/>
      <c r="H160" s="497">
        <f t="shared" ca="1" si="18"/>
        <v>41</v>
      </c>
      <c r="I160" s="513"/>
      <c r="J160" s="513"/>
      <c r="K160" s="500"/>
      <c r="L160" s="503"/>
      <c r="M160" s="514"/>
      <c r="N160" s="503"/>
      <c r="O160" s="497" t="str">
        <f ca="1">IFERROR(IF(COUNTA($D$56:$D160)=1,"",OFFSET($C158,-COUNTA($D$56:$D160)+3,0)),"")</f>
        <v/>
      </c>
      <c r="P160" s="497">
        <f t="shared" si="19"/>
        <v>102</v>
      </c>
      <c r="Q160" s="497"/>
      <c r="R160" s="497"/>
      <c r="S160" s="497"/>
      <c r="T160" s="497" t="b">
        <v>0</v>
      </c>
    </row>
    <row r="161" spans="1:20" x14ac:dyDescent="0.35">
      <c r="A161" s="497" t="b">
        <v>0</v>
      </c>
      <c r="B161" s="511"/>
      <c r="C161" s="497" t="s">
        <v>9141</v>
      </c>
      <c r="D161" s="497" t="s">
        <v>4458</v>
      </c>
      <c r="E161" s="497">
        <f t="shared" si="17"/>
        <v>1</v>
      </c>
      <c r="F161" s="512">
        <v>18</v>
      </c>
      <c r="G161" s="497"/>
      <c r="H161" s="497">
        <f t="shared" ca="1" si="18"/>
        <v>43</v>
      </c>
      <c r="I161" s="513"/>
      <c r="J161" s="513"/>
      <c r="K161" s="500"/>
      <c r="L161" s="503"/>
      <c r="M161" s="514"/>
      <c r="N161" s="503"/>
      <c r="O161" s="497" t="str">
        <f ca="1">IFERROR(IF(COUNTA($D$56:$D161)=1,"",OFFSET($C159,-COUNTA($D$56:$D161)+3,0)),"")</f>
        <v/>
      </c>
      <c r="P161" s="497">
        <f t="shared" si="19"/>
        <v>103</v>
      </c>
      <c r="Q161" s="497"/>
      <c r="R161" s="497"/>
      <c r="S161" s="497"/>
      <c r="T161" s="497" t="b">
        <v>0</v>
      </c>
    </row>
    <row r="162" spans="1:20" x14ac:dyDescent="0.35">
      <c r="A162" s="497" t="b">
        <v>0</v>
      </c>
      <c r="B162" s="511"/>
      <c r="C162" s="497" t="s">
        <v>9142</v>
      </c>
      <c r="D162" s="497" t="s">
        <v>4458</v>
      </c>
      <c r="E162" s="497">
        <f t="shared" si="17"/>
        <v>2</v>
      </c>
      <c r="F162" s="512">
        <v>18</v>
      </c>
      <c r="G162" s="497"/>
      <c r="H162" s="497">
        <f t="shared" ca="1" si="18"/>
        <v>43</v>
      </c>
      <c r="I162" s="513"/>
      <c r="J162" s="513"/>
      <c r="K162" s="500"/>
      <c r="L162" s="503"/>
      <c r="M162" s="514"/>
      <c r="N162" s="503"/>
      <c r="O162" s="497" t="str">
        <f ca="1">IFERROR(IF(COUNTA($D$56:$D162)=1,"",OFFSET($C160,-COUNTA($D$56:$D162)+3,0)),"")</f>
        <v/>
      </c>
      <c r="P162" s="497">
        <f t="shared" si="19"/>
        <v>104</v>
      </c>
      <c r="Q162" s="497"/>
      <c r="R162" s="497"/>
      <c r="S162" s="497"/>
      <c r="T162" s="497" t="b">
        <v>0</v>
      </c>
    </row>
    <row r="163" spans="1:20" x14ac:dyDescent="0.35">
      <c r="A163" s="497" t="b">
        <v>0</v>
      </c>
      <c r="B163" s="511"/>
      <c r="C163" s="497" t="s">
        <v>9143</v>
      </c>
      <c r="D163" s="497" t="s">
        <v>4458</v>
      </c>
      <c r="E163" s="497">
        <f t="shared" si="17"/>
        <v>3</v>
      </c>
      <c r="F163" s="512">
        <v>18</v>
      </c>
      <c r="G163" s="497"/>
      <c r="H163" s="497">
        <f t="shared" ca="1" si="18"/>
        <v>43</v>
      </c>
      <c r="I163" s="513"/>
      <c r="J163" s="513"/>
      <c r="K163" s="500"/>
      <c r="L163" s="503"/>
      <c r="M163" s="514"/>
      <c r="N163" s="503"/>
      <c r="O163" s="497" t="str">
        <f ca="1">IFERROR(IF(COUNTA($D$56:$D163)=1,"",OFFSET($C161,-COUNTA($D$56:$D163)+3,0)),"")</f>
        <v/>
      </c>
      <c r="P163" s="497">
        <f t="shared" si="19"/>
        <v>105</v>
      </c>
      <c r="Q163" s="497"/>
      <c r="R163" s="497"/>
      <c r="S163" s="497"/>
      <c r="T163" s="497" t="b">
        <v>0</v>
      </c>
    </row>
    <row r="164" spans="1:20" x14ac:dyDescent="0.35">
      <c r="A164" s="497" t="b">
        <v>0</v>
      </c>
      <c r="B164" s="511"/>
      <c r="C164" s="497" t="s">
        <v>9144</v>
      </c>
      <c r="D164" s="497" t="s">
        <v>4458</v>
      </c>
      <c r="E164" s="497">
        <f t="shared" si="17"/>
        <v>4</v>
      </c>
      <c r="F164" s="512">
        <v>18</v>
      </c>
      <c r="G164" s="497"/>
      <c r="H164" s="497">
        <f t="shared" ca="1" si="18"/>
        <v>43</v>
      </c>
      <c r="I164" s="513"/>
      <c r="J164" s="513"/>
      <c r="K164" s="500"/>
      <c r="L164" s="503"/>
      <c r="M164" s="514"/>
      <c r="N164" s="503"/>
      <c r="O164" s="497" t="str">
        <f ca="1">IFERROR(IF(COUNTA($D$56:$D164)=1,"",OFFSET($C162,-COUNTA($D$56:$D164)+3,0)),"")</f>
        <v/>
      </c>
      <c r="P164" s="497">
        <f t="shared" si="19"/>
        <v>106</v>
      </c>
      <c r="Q164" s="497"/>
      <c r="R164" s="497"/>
      <c r="S164" s="497"/>
      <c r="T164" s="497" t="b">
        <v>0</v>
      </c>
    </row>
    <row r="165" spans="1:20" x14ac:dyDescent="0.35">
      <c r="A165" s="497" t="b">
        <v>0</v>
      </c>
      <c r="B165" s="511"/>
      <c r="C165" s="497" t="s">
        <v>9145</v>
      </c>
      <c r="D165" s="497" t="s">
        <v>4458</v>
      </c>
      <c r="E165" s="497">
        <f t="shared" si="17"/>
        <v>5</v>
      </c>
      <c r="F165" s="512">
        <v>18</v>
      </c>
      <c r="G165" s="497"/>
      <c r="H165" s="497">
        <f t="shared" ca="1" si="18"/>
        <v>43</v>
      </c>
      <c r="I165" s="513"/>
      <c r="J165" s="513"/>
      <c r="K165" s="500"/>
      <c r="L165" s="503"/>
      <c r="M165" s="514"/>
      <c r="N165" s="503"/>
      <c r="O165" s="497" t="str">
        <f ca="1">IFERROR(IF(COUNTA($D$56:$D165)=1,"",OFFSET($C163,-COUNTA($D$56:$D165)+3,0)),"")</f>
        <v/>
      </c>
      <c r="P165" s="497">
        <f t="shared" si="19"/>
        <v>107</v>
      </c>
      <c r="Q165" s="497"/>
      <c r="R165" s="497"/>
      <c r="S165" s="497"/>
      <c r="T165" s="497" t="b">
        <v>0</v>
      </c>
    </row>
    <row r="166" spans="1:20" x14ac:dyDescent="0.35">
      <c r="A166" s="497" t="b">
        <v>0</v>
      </c>
      <c r="B166" s="511"/>
      <c r="C166" s="497" t="s">
        <v>9146</v>
      </c>
      <c r="D166" s="497" t="s">
        <v>4458</v>
      </c>
      <c r="E166" s="497">
        <f t="shared" si="17"/>
        <v>6</v>
      </c>
      <c r="F166" s="512">
        <v>18</v>
      </c>
      <c r="G166" s="497"/>
      <c r="H166" s="497">
        <f t="shared" ca="1" si="18"/>
        <v>43</v>
      </c>
      <c r="I166" s="513"/>
      <c r="J166" s="513"/>
      <c r="K166" s="500"/>
      <c r="L166" s="503"/>
      <c r="M166" s="514"/>
      <c r="N166" s="503"/>
      <c r="O166" s="497" t="str">
        <f ca="1">IFERROR(IF(COUNTA($D$56:$D166)=1,"",OFFSET($C164,-COUNTA($D$56:$D166)+3,0)),"")</f>
        <v/>
      </c>
      <c r="P166" s="497">
        <f t="shared" si="19"/>
        <v>108</v>
      </c>
      <c r="Q166" s="497"/>
      <c r="R166" s="497"/>
      <c r="S166" s="497"/>
      <c r="T166" s="497" t="b">
        <v>0</v>
      </c>
    </row>
    <row r="167" spans="1:20" x14ac:dyDescent="0.35">
      <c r="A167" s="497" t="b">
        <v>0</v>
      </c>
      <c r="B167" s="511"/>
      <c r="C167" s="497" t="s">
        <v>9147</v>
      </c>
      <c r="D167" s="497" t="s">
        <v>4227</v>
      </c>
      <c r="E167" s="497">
        <f t="shared" si="17"/>
        <v>1</v>
      </c>
      <c r="F167" s="512">
        <v>19</v>
      </c>
      <c r="G167" s="497"/>
      <c r="H167" s="497">
        <f t="shared" ca="1" si="18"/>
        <v>45</v>
      </c>
      <c r="I167" s="513"/>
      <c r="J167" s="513"/>
      <c r="K167" s="500"/>
      <c r="L167" s="503"/>
      <c r="M167" s="514"/>
      <c r="N167" s="503"/>
      <c r="O167" s="497" t="str">
        <f ca="1">IFERROR(IF(COUNTA($D$56:$D167)=1,"",OFFSET($C165,-COUNTA($D$56:$D167)+3,0)),"")</f>
        <v/>
      </c>
      <c r="P167" s="497">
        <f t="shared" si="19"/>
        <v>109</v>
      </c>
      <c r="Q167" s="497"/>
      <c r="R167" s="497"/>
      <c r="S167" s="497"/>
      <c r="T167" s="497" t="b">
        <v>0</v>
      </c>
    </row>
    <row r="168" spans="1:20" x14ac:dyDescent="0.35">
      <c r="A168" s="497" t="b">
        <v>0</v>
      </c>
      <c r="B168" s="511"/>
      <c r="C168" s="497" t="s">
        <v>9148</v>
      </c>
      <c r="D168" s="497" t="s">
        <v>4227</v>
      </c>
      <c r="E168" s="497">
        <f t="shared" si="17"/>
        <v>2</v>
      </c>
      <c r="F168" s="512">
        <v>19</v>
      </c>
      <c r="G168" s="497"/>
      <c r="H168" s="497">
        <f t="shared" ca="1" si="18"/>
        <v>45</v>
      </c>
      <c r="I168" s="513"/>
      <c r="J168" s="513"/>
      <c r="K168" s="500"/>
      <c r="L168" s="503"/>
      <c r="M168" s="514"/>
      <c r="N168" s="503"/>
      <c r="O168" s="497" t="str">
        <f ca="1">IFERROR(IF(COUNTA($D$56:$D168)=1,"",OFFSET($C166,-COUNTA($D$56:$D168)+3,0)),"")</f>
        <v/>
      </c>
      <c r="P168" s="497">
        <f t="shared" si="19"/>
        <v>110</v>
      </c>
      <c r="Q168" s="497"/>
      <c r="R168" s="497"/>
      <c r="S168" s="497"/>
      <c r="T168" s="497" t="b">
        <v>0</v>
      </c>
    </row>
    <row r="169" spans="1:20" x14ac:dyDescent="0.35">
      <c r="A169" s="497" t="b">
        <v>0</v>
      </c>
      <c r="B169" s="511"/>
      <c r="C169" s="497" t="s">
        <v>9149</v>
      </c>
      <c r="D169" s="497" t="s">
        <v>4227</v>
      </c>
      <c r="E169" s="497">
        <f t="shared" si="17"/>
        <v>3</v>
      </c>
      <c r="F169" s="512">
        <v>19</v>
      </c>
      <c r="G169" s="497"/>
      <c r="H169" s="497">
        <f t="shared" ca="1" si="18"/>
        <v>45</v>
      </c>
      <c r="I169" s="513"/>
      <c r="J169" s="513"/>
      <c r="K169" s="500"/>
      <c r="L169" s="503"/>
      <c r="M169" s="514"/>
      <c r="N169" s="503"/>
      <c r="O169" s="497" t="str">
        <f ca="1">IFERROR(IF(COUNTA($D$56:$D169)=1,"",OFFSET($C167,-COUNTA($D$56:$D169)+3,0)),"")</f>
        <v/>
      </c>
      <c r="P169" s="497">
        <f t="shared" si="19"/>
        <v>111</v>
      </c>
      <c r="Q169" s="497"/>
      <c r="R169" s="497"/>
      <c r="S169" s="497"/>
      <c r="T169" s="497" t="b">
        <v>0</v>
      </c>
    </row>
    <row r="170" spans="1:20" x14ac:dyDescent="0.35">
      <c r="A170" s="497" t="b">
        <v>0</v>
      </c>
      <c r="B170" s="511"/>
      <c r="C170" s="497" t="s">
        <v>9150</v>
      </c>
      <c r="D170" s="497" t="s">
        <v>4227</v>
      </c>
      <c r="E170" s="497">
        <f t="shared" si="17"/>
        <v>4</v>
      </c>
      <c r="F170" s="512">
        <v>19</v>
      </c>
      <c r="G170" s="497"/>
      <c r="H170" s="497">
        <f t="shared" ca="1" si="18"/>
        <v>45</v>
      </c>
      <c r="I170" s="513"/>
      <c r="J170" s="513"/>
      <c r="K170" s="500"/>
      <c r="L170" s="503"/>
      <c r="M170" s="514"/>
      <c r="N170" s="503"/>
      <c r="O170" s="497" t="str">
        <f ca="1">IFERROR(IF(COUNTA($D$56:$D170)=1,"",OFFSET($C168,-COUNTA($D$56:$D170)+3,0)),"")</f>
        <v/>
      </c>
      <c r="P170" s="497">
        <f t="shared" si="19"/>
        <v>112</v>
      </c>
      <c r="Q170" s="497"/>
      <c r="R170" s="497"/>
      <c r="S170" s="497"/>
      <c r="T170" s="497" t="b">
        <v>0</v>
      </c>
    </row>
    <row r="171" spans="1:20" x14ac:dyDescent="0.35">
      <c r="A171" s="497" t="b">
        <v>0</v>
      </c>
      <c r="B171" s="511"/>
      <c r="C171" s="497" t="s">
        <v>9151</v>
      </c>
      <c r="D171" s="497" t="s">
        <v>4227</v>
      </c>
      <c r="E171" s="497">
        <f t="shared" si="17"/>
        <v>5</v>
      </c>
      <c r="F171" s="512">
        <v>19</v>
      </c>
      <c r="G171" s="497"/>
      <c r="H171" s="497">
        <f t="shared" ca="1" si="18"/>
        <v>45</v>
      </c>
      <c r="I171" s="513"/>
      <c r="J171" s="513"/>
      <c r="K171" s="500"/>
      <c r="L171" s="503"/>
      <c r="M171" s="514"/>
      <c r="N171" s="503"/>
      <c r="O171" s="497" t="str">
        <f ca="1">IFERROR(IF(COUNTA($D$56:$D171)=1,"",OFFSET($C169,-COUNTA($D$56:$D171)+3,0)),"")</f>
        <v/>
      </c>
      <c r="P171" s="497">
        <f t="shared" si="19"/>
        <v>113</v>
      </c>
      <c r="Q171" s="497"/>
      <c r="R171" s="497"/>
      <c r="S171" s="497"/>
      <c r="T171" s="497" t="b">
        <v>0</v>
      </c>
    </row>
    <row r="172" spans="1:20" x14ac:dyDescent="0.35">
      <c r="A172" s="497" t="b">
        <v>0</v>
      </c>
      <c r="B172" s="511"/>
      <c r="C172" s="497" t="s">
        <v>9152</v>
      </c>
      <c r="D172" s="497" t="s">
        <v>4227</v>
      </c>
      <c r="E172" s="497">
        <f t="shared" si="17"/>
        <v>6</v>
      </c>
      <c r="F172" s="512">
        <v>19</v>
      </c>
      <c r="G172" s="497"/>
      <c r="H172" s="497">
        <f t="shared" ca="1" si="18"/>
        <v>45</v>
      </c>
      <c r="I172" s="513"/>
      <c r="J172" s="513"/>
      <c r="K172" s="500"/>
      <c r="L172" s="503"/>
      <c r="M172" s="514"/>
      <c r="N172" s="503"/>
      <c r="O172" s="497" t="str">
        <f ca="1">IFERROR(IF(COUNTA($D$56:$D172)=1,"",OFFSET($C170,-COUNTA($D$56:$D172)+3,0)),"")</f>
        <v/>
      </c>
      <c r="P172" s="497">
        <f t="shared" si="19"/>
        <v>114</v>
      </c>
      <c r="Q172" s="497"/>
      <c r="R172" s="497"/>
      <c r="S172" s="497"/>
      <c r="T172" s="497" t="b">
        <v>0</v>
      </c>
    </row>
    <row r="173" spans="1:20" x14ac:dyDescent="0.35">
      <c r="A173" s="497" t="b">
        <v>0</v>
      </c>
      <c r="B173" s="511"/>
      <c r="C173" s="497" t="s">
        <v>9153</v>
      </c>
      <c r="D173" s="497" t="s">
        <v>4542</v>
      </c>
      <c r="E173" s="497">
        <f t="shared" si="17"/>
        <v>1</v>
      </c>
      <c r="F173" s="512">
        <v>20</v>
      </c>
      <c r="G173" s="497"/>
      <c r="H173" s="497">
        <f t="shared" ca="1" si="18"/>
        <v>47</v>
      </c>
      <c r="I173" s="513"/>
      <c r="J173" s="513"/>
      <c r="K173" s="500"/>
      <c r="L173" s="503"/>
      <c r="M173" s="514"/>
      <c r="N173" s="503"/>
      <c r="O173" s="497" t="str">
        <f ca="1">IFERROR(IF(COUNTA($D$56:$D173)=1,"",OFFSET($C171,-COUNTA($D$56:$D173)+3,0)),"")</f>
        <v/>
      </c>
      <c r="P173" s="497">
        <f t="shared" si="19"/>
        <v>115</v>
      </c>
      <c r="Q173" s="497"/>
      <c r="R173" s="497"/>
      <c r="S173" s="497"/>
      <c r="T173" s="497" t="b">
        <v>0</v>
      </c>
    </row>
    <row r="174" spans="1:20" x14ac:dyDescent="0.35">
      <c r="A174" s="497" t="b">
        <v>0</v>
      </c>
      <c r="B174" s="511"/>
      <c r="C174" s="497" t="s">
        <v>9154</v>
      </c>
      <c r="D174" s="497" t="s">
        <v>4542</v>
      </c>
      <c r="E174" s="497">
        <f t="shared" si="17"/>
        <v>2</v>
      </c>
      <c r="F174" s="512">
        <v>20</v>
      </c>
      <c r="G174" s="497"/>
      <c r="H174" s="497">
        <f t="shared" ca="1" si="18"/>
        <v>47</v>
      </c>
      <c r="I174" s="513"/>
      <c r="J174" s="513"/>
      <c r="K174" s="500"/>
      <c r="L174" s="503"/>
      <c r="M174" s="514"/>
      <c r="N174" s="503"/>
      <c r="O174" s="497" t="str">
        <f ca="1">IFERROR(IF(COUNTA($D$56:$D174)=1,"",OFFSET($C172,-COUNTA($D$56:$D174)+3,0)),"")</f>
        <v/>
      </c>
      <c r="P174" s="497">
        <f t="shared" si="19"/>
        <v>116</v>
      </c>
      <c r="Q174" s="497"/>
      <c r="R174" s="497"/>
      <c r="S174" s="497"/>
      <c r="T174" s="497" t="b">
        <v>0</v>
      </c>
    </row>
    <row r="175" spans="1:20" x14ac:dyDescent="0.35">
      <c r="A175" s="497" t="b">
        <v>0</v>
      </c>
      <c r="B175" s="511"/>
      <c r="C175" s="497" t="s">
        <v>9155</v>
      </c>
      <c r="D175" s="497" t="s">
        <v>4542</v>
      </c>
      <c r="E175" s="497">
        <f t="shared" si="17"/>
        <v>3</v>
      </c>
      <c r="F175" s="512">
        <v>20</v>
      </c>
      <c r="G175" s="497"/>
      <c r="H175" s="497">
        <f t="shared" ca="1" si="18"/>
        <v>47</v>
      </c>
      <c r="I175" s="513"/>
      <c r="J175" s="513"/>
      <c r="K175" s="500"/>
      <c r="L175" s="503"/>
      <c r="M175" s="514"/>
      <c r="N175" s="503"/>
      <c r="O175" s="497" t="str">
        <f ca="1">IFERROR(IF(COUNTA($D$56:$D175)=1,"",OFFSET($C173,-COUNTA($D$56:$D175)+3,0)),"")</f>
        <v/>
      </c>
      <c r="P175" s="497">
        <f t="shared" si="19"/>
        <v>117</v>
      </c>
      <c r="Q175" s="497"/>
      <c r="R175" s="497"/>
      <c r="S175" s="497"/>
      <c r="T175" s="497" t="b">
        <v>0</v>
      </c>
    </row>
    <row r="176" spans="1:20" x14ac:dyDescent="0.35">
      <c r="A176" s="497" t="b">
        <v>0</v>
      </c>
      <c r="B176" s="511"/>
      <c r="C176" s="497" t="s">
        <v>9156</v>
      </c>
      <c r="D176" s="497" t="s">
        <v>4542</v>
      </c>
      <c r="E176" s="497">
        <f t="shared" si="17"/>
        <v>4</v>
      </c>
      <c r="F176" s="512">
        <v>20</v>
      </c>
      <c r="G176" s="497"/>
      <c r="H176" s="497">
        <f t="shared" ca="1" si="18"/>
        <v>47</v>
      </c>
      <c r="I176" s="513"/>
      <c r="J176" s="513"/>
      <c r="K176" s="500"/>
      <c r="L176" s="503"/>
      <c r="M176" s="514"/>
      <c r="N176" s="503"/>
      <c r="O176" s="497" t="str">
        <f ca="1">IFERROR(IF(COUNTA($D$56:$D176)=1,"",OFFSET($C174,-COUNTA($D$56:$D176)+3,0)),"")</f>
        <v/>
      </c>
      <c r="P176" s="497">
        <f t="shared" si="19"/>
        <v>118</v>
      </c>
      <c r="Q176" s="497"/>
      <c r="R176" s="497"/>
      <c r="S176" s="497"/>
      <c r="T176" s="497" t="b">
        <v>0</v>
      </c>
    </row>
    <row r="177" spans="1:20" x14ac:dyDescent="0.35">
      <c r="A177" s="497" t="b">
        <v>0</v>
      </c>
      <c r="B177" s="511"/>
      <c r="C177" s="497" t="s">
        <v>9157</v>
      </c>
      <c r="D177" s="497" t="s">
        <v>4542</v>
      </c>
      <c r="E177" s="497">
        <f t="shared" si="17"/>
        <v>5</v>
      </c>
      <c r="F177" s="512">
        <v>20</v>
      </c>
      <c r="G177" s="497"/>
      <c r="H177" s="497">
        <f t="shared" ca="1" si="18"/>
        <v>47</v>
      </c>
      <c r="I177" s="513"/>
      <c r="J177" s="513"/>
      <c r="K177" s="500"/>
      <c r="L177" s="503"/>
      <c r="M177" s="514"/>
      <c r="N177" s="503"/>
      <c r="O177" s="497" t="str">
        <f ca="1">IFERROR(IF(COUNTA($D$56:$D177)=1,"",OFFSET($C175,-COUNTA($D$56:$D177)+3,0)),"")</f>
        <v/>
      </c>
      <c r="P177" s="497">
        <f t="shared" si="19"/>
        <v>119</v>
      </c>
      <c r="Q177" s="497"/>
      <c r="R177" s="497"/>
      <c r="S177" s="497"/>
      <c r="T177" s="497" t="b">
        <v>0</v>
      </c>
    </row>
    <row r="178" spans="1:20" x14ac:dyDescent="0.35">
      <c r="A178" s="497" t="b">
        <v>0</v>
      </c>
      <c r="B178" s="511"/>
      <c r="C178" s="497" t="s">
        <v>9158</v>
      </c>
      <c r="D178" s="497" t="s">
        <v>4542</v>
      </c>
      <c r="E178" s="497">
        <f t="shared" si="17"/>
        <v>6</v>
      </c>
      <c r="F178" s="512">
        <v>20</v>
      </c>
      <c r="G178" s="497"/>
      <c r="H178" s="497">
        <f t="shared" ca="1" si="18"/>
        <v>47</v>
      </c>
      <c r="I178" s="513"/>
      <c r="J178" s="513"/>
      <c r="K178" s="500"/>
      <c r="L178" s="503"/>
      <c r="M178" s="514"/>
      <c r="N178" s="503"/>
      <c r="O178" s="497" t="str">
        <f ca="1">IFERROR(IF(COUNTA($D$56:$D178)=1,"",OFFSET($C176,-COUNTA($D$56:$D178)+3,0)),"")</f>
        <v/>
      </c>
      <c r="P178" s="497">
        <f t="shared" si="19"/>
        <v>120</v>
      </c>
      <c r="Q178" s="497"/>
      <c r="R178" s="497"/>
      <c r="S178" s="497"/>
      <c r="T178" s="497" t="b">
        <v>0</v>
      </c>
    </row>
    <row r="179" spans="1:20" x14ac:dyDescent="0.35">
      <c r="A179" s="497" t="b">
        <v>0</v>
      </c>
      <c r="B179" s="511"/>
      <c r="C179" s="497" t="s">
        <v>9159</v>
      </c>
      <c r="D179" s="497" t="s">
        <v>4248</v>
      </c>
      <c r="E179" s="497">
        <f t="shared" si="17"/>
        <v>1</v>
      </c>
      <c r="F179" s="512">
        <v>21</v>
      </c>
      <c r="G179" s="497"/>
      <c r="H179" s="497">
        <f t="shared" ca="1" si="18"/>
        <v>49</v>
      </c>
      <c r="I179" s="513"/>
      <c r="J179" s="513"/>
      <c r="K179" s="500"/>
      <c r="L179" s="503"/>
      <c r="M179" s="514"/>
      <c r="N179" s="503"/>
      <c r="O179" s="497" t="str">
        <f ca="1">IFERROR(IF(COUNTA($D$56:$D179)=1,"",OFFSET($C177,-COUNTA($D$56:$D179)+3,0)),"")</f>
        <v/>
      </c>
      <c r="P179" s="497">
        <f t="shared" si="19"/>
        <v>121</v>
      </c>
      <c r="Q179" s="497"/>
      <c r="R179" s="497"/>
      <c r="S179" s="497"/>
      <c r="T179" s="497" t="b">
        <v>0</v>
      </c>
    </row>
    <row r="180" spans="1:20" x14ac:dyDescent="0.35">
      <c r="A180" s="497" t="b">
        <v>0</v>
      </c>
      <c r="B180" s="511"/>
      <c r="C180" s="497" t="s">
        <v>9160</v>
      </c>
      <c r="D180" s="497" t="s">
        <v>4248</v>
      </c>
      <c r="E180" s="497">
        <f t="shared" si="17"/>
        <v>2</v>
      </c>
      <c r="F180" s="512">
        <v>21</v>
      </c>
      <c r="G180" s="497"/>
      <c r="H180" s="497">
        <f t="shared" ca="1" si="18"/>
        <v>49</v>
      </c>
      <c r="I180" s="513"/>
      <c r="J180" s="513"/>
      <c r="K180" s="500"/>
      <c r="L180" s="503"/>
      <c r="M180" s="514"/>
      <c r="N180" s="503"/>
      <c r="O180" s="497" t="str">
        <f ca="1">IFERROR(IF(COUNTA($D$56:$D180)=1,"",OFFSET($C178,-COUNTA($D$56:$D180)+3,0)),"")</f>
        <v/>
      </c>
      <c r="P180" s="497">
        <f t="shared" si="19"/>
        <v>122</v>
      </c>
      <c r="Q180" s="497"/>
      <c r="R180" s="497"/>
      <c r="S180" s="497"/>
      <c r="T180" s="497" t="b">
        <v>0</v>
      </c>
    </row>
    <row r="181" spans="1:20" x14ac:dyDescent="0.35">
      <c r="A181" s="497" t="b">
        <v>0</v>
      </c>
      <c r="B181" s="511"/>
      <c r="C181" s="497" t="s">
        <v>9161</v>
      </c>
      <c r="D181" s="497" t="s">
        <v>4248</v>
      </c>
      <c r="E181" s="497">
        <f t="shared" si="17"/>
        <v>3</v>
      </c>
      <c r="F181" s="512">
        <v>21</v>
      </c>
      <c r="G181" s="497"/>
      <c r="H181" s="497">
        <f t="shared" ca="1" si="18"/>
        <v>49</v>
      </c>
      <c r="I181" s="513"/>
      <c r="J181" s="513"/>
      <c r="K181" s="500"/>
      <c r="L181" s="503"/>
      <c r="M181" s="514"/>
      <c r="N181" s="503"/>
      <c r="O181" s="497" t="str">
        <f ca="1">IFERROR(IF(COUNTA($D$56:$D181)=1,"",OFFSET($C179,-COUNTA($D$56:$D181)+3,0)),"")</f>
        <v/>
      </c>
      <c r="P181" s="497">
        <f t="shared" si="19"/>
        <v>123</v>
      </c>
      <c r="Q181" s="497"/>
      <c r="R181" s="497"/>
      <c r="S181" s="497"/>
      <c r="T181" s="497" t="b">
        <v>0</v>
      </c>
    </row>
    <row r="182" spans="1:20" x14ac:dyDescent="0.35">
      <c r="A182" s="497" t="b">
        <v>0</v>
      </c>
      <c r="B182" s="511"/>
      <c r="C182" s="497" t="s">
        <v>9162</v>
      </c>
      <c r="D182" s="497" t="s">
        <v>4248</v>
      </c>
      <c r="E182" s="497">
        <f t="shared" si="17"/>
        <v>4</v>
      </c>
      <c r="F182" s="512">
        <v>21</v>
      </c>
      <c r="G182" s="497"/>
      <c r="H182" s="497">
        <f t="shared" ca="1" si="18"/>
        <v>49</v>
      </c>
      <c r="I182" s="513"/>
      <c r="J182" s="513"/>
      <c r="K182" s="500"/>
      <c r="L182" s="503"/>
      <c r="M182" s="514"/>
      <c r="N182" s="503"/>
      <c r="O182" s="497" t="str">
        <f ca="1">IFERROR(IF(COUNTA($D$56:$D182)=1,"",OFFSET($C180,-COUNTA($D$56:$D182)+3,0)),"")</f>
        <v/>
      </c>
      <c r="P182" s="497">
        <f t="shared" si="19"/>
        <v>124</v>
      </c>
      <c r="Q182" s="497"/>
      <c r="R182" s="497"/>
      <c r="S182" s="497"/>
      <c r="T182" s="497" t="b">
        <v>0</v>
      </c>
    </row>
    <row r="183" spans="1:20" x14ac:dyDescent="0.35">
      <c r="A183" s="497" t="b">
        <v>0</v>
      </c>
      <c r="B183" s="511"/>
      <c r="C183" s="497" t="s">
        <v>9163</v>
      </c>
      <c r="D183" s="497" t="s">
        <v>4248</v>
      </c>
      <c r="E183" s="497">
        <f t="shared" si="17"/>
        <v>5</v>
      </c>
      <c r="F183" s="512">
        <v>21</v>
      </c>
      <c r="G183" s="497"/>
      <c r="H183" s="497">
        <f t="shared" ca="1" si="18"/>
        <v>49</v>
      </c>
      <c r="I183" s="513"/>
      <c r="J183" s="513"/>
      <c r="K183" s="500"/>
      <c r="L183" s="503"/>
      <c r="M183" s="514"/>
      <c r="N183" s="503"/>
      <c r="O183" s="497" t="str">
        <f ca="1">IFERROR(IF(COUNTA($D$56:$D183)=1,"",OFFSET($C181,-COUNTA($D$56:$D183)+3,0)),"")</f>
        <v/>
      </c>
      <c r="P183" s="497">
        <f t="shared" si="19"/>
        <v>125</v>
      </c>
      <c r="Q183" s="497"/>
      <c r="R183" s="497"/>
      <c r="S183" s="497"/>
      <c r="T183" s="497" t="b">
        <v>0</v>
      </c>
    </row>
    <row r="184" spans="1:20" x14ac:dyDescent="0.35">
      <c r="A184" s="497" t="b">
        <v>0</v>
      </c>
      <c r="B184" s="511"/>
      <c r="C184" s="497" t="s">
        <v>9164</v>
      </c>
      <c r="D184" s="497" t="s">
        <v>4248</v>
      </c>
      <c r="E184" s="497">
        <f t="shared" si="17"/>
        <v>6</v>
      </c>
      <c r="F184" s="512">
        <v>21</v>
      </c>
      <c r="G184" s="497"/>
      <c r="H184" s="497">
        <f t="shared" ca="1" si="18"/>
        <v>49</v>
      </c>
      <c r="I184" s="513"/>
      <c r="J184" s="513"/>
      <c r="K184" s="500"/>
      <c r="L184" s="503"/>
      <c r="M184" s="514"/>
      <c r="N184" s="503"/>
      <c r="O184" s="497" t="str">
        <f ca="1">IFERROR(IF(COUNTA($D$56:$D184)=1,"",OFFSET($C182,-COUNTA($D$56:$D184)+3,0)),"")</f>
        <v/>
      </c>
      <c r="P184" s="497">
        <f t="shared" si="19"/>
        <v>126</v>
      </c>
      <c r="Q184" s="497"/>
      <c r="R184" s="497"/>
      <c r="S184" s="497"/>
      <c r="T184" s="497" t="b">
        <v>0</v>
      </c>
    </row>
    <row r="185" spans="1:20" x14ac:dyDescent="0.35">
      <c r="A185" s="497" t="b">
        <v>0</v>
      </c>
      <c r="B185" s="511"/>
      <c r="C185" s="497" t="s">
        <v>9165</v>
      </c>
      <c r="D185" s="497" t="s">
        <v>4563</v>
      </c>
      <c r="E185" s="497">
        <f t="shared" si="17"/>
        <v>1</v>
      </c>
      <c r="F185" s="512">
        <v>22</v>
      </c>
      <c r="G185" s="497"/>
      <c r="H185" s="497">
        <f t="shared" ca="1" si="18"/>
        <v>51</v>
      </c>
      <c r="I185" s="513"/>
      <c r="J185" s="513"/>
      <c r="K185" s="500"/>
      <c r="L185" s="503"/>
      <c r="M185" s="514"/>
      <c r="N185" s="503"/>
      <c r="O185" s="497" t="str">
        <f ca="1">IFERROR(IF(COUNTA($D$56:$D185)=1,"",OFFSET($C183,-COUNTA($D$56:$D185)+3,0)),"")</f>
        <v/>
      </c>
      <c r="P185" s="497">
        <f t="shared" si="19"/>
        <v>127</v>
      </c>
      <c r="Q185" s="497"/>
      <c r="R185" s="497"/>
      <c r="S185" s="497"/>
      <c r="T185" s="497" t="b">
        <v>0</v>
      </c>
    </row>
    <row r="186" spans="1:20" x14ac:dyDescent="0.35">
      <c r="A186" s="497" t="b">
        <v>0</v>
      </c>
      <c r="B186" s="511"/>
      <c r="C186" s="497" t="s">
        <v>9166</v>
      </c>
      <c r="D186" s="497" t="s">
        <v>4563</v>
      </c>
      <c r="E186" s="497">
        <f t="shared" si="17"/>
        <v>2</v>
      </c>
      <c r="F186" s="512">
        <v>22</v>
      </c>
      <c r="G186" s="497"/>
      <c r="H186" s="497">
        <f t="shared" ca="1" si="18"/>
        <v>51</v>
      </c>
      <c r="I186" s="513"/>
      <c r="J186" s="513"/>
      <c r="K186" s="500"/>
      <c r="L186" s="503"/>
      <c r="M186" s="514"/>
      <c r="N186" s="503"/>
      <c r="O186" s="497" t="str">
        <f ca="1">IFERROR(IF(COUNTA($D$56:$D186)=1,"",OFFSET($C184,-COUNTA($D$56:$D186)+3,0)),"")</f>
        <v/>
      </c>
      <c r="P186" s="497">
        <f t="shared" si="19"/>
        <v>128</v>
      </c>
      <c r="Q186" s="497"/>
      <c r="R186" s="497"/>
      <c r="S186" s="497"/>
      <c r="T186" s="497" t="b">
        <v>0</v>
      </c>
    </row>
    <row r="187" spans="1:20" x14ac:dyDescent="0.35">
      <c r="A187" s="497" t="b">
        <v>0</v>
      </c>
      <c r="B187" s="511"/>
      <c r="C187" s="497" t="s">
        <v>9167</v>
      </c>
      <c r="D187" s="497" t="s">
        <v>4563</v>
      </c>
      <c r="E187" s="497">
        <f t="shared" ref="E187:E250" si="20">COUNTIF(F178:F187,F187)</f>
        <v>3</v>
      </c>
      <c r="F187" s="512">
        <v>22</v>
      </c>
      <c r="G187" s="497"/>
      <c r="H187" s="497">
        <f t="shared" ref="H187:H250" ca="1" si="21">IF(F187=1,9,IF(E186=MAX(E185:E187),H185+2,H186))</f>
        <v>51</v>
      </c>
      <c r="I187" s="513"/>
      <c r="J187" s="513"/>
      <c r="K187" s="500"/>
      <c r="L187" s="503"/>
      <c r="M187" s="514"/>
      <c r="N187" s="503"/>
      <c r="O187" s="497" t="str">
        <f ca="1">IFERROR(IF(COUNTA($D$56:$D187)=1,"",OFFSET($C185,-COUNTA($D$56:$D187)+3,0)),"")</f>
        <v/>
      </c>
      <c r="P187" s="497">
        <f t="shared" ref="P187:P250" si="22">IF(NOT(_xlfn.ISFORMULA(I187)),P186+1,0)</f>
        <v>129</v>
      </c>
      <c r="Q187" s="497"/>
      <c r="R187" s="497"/>
      <c r="S187" s="497"/>
      <c r="T187" s="497" t="b">
        <v>0</v>
      </c>
    </row>
    <row r="188" spans="1:20" x14ac:dyDescent="0.35">
      <c r="A188" s="497" t="b">
        <v>0</v>
      </c>
      <c r="B188" s="511"/>
      <c r="C188" s="497" t="s">
        <v>9168</v>
      </c>
      <c r="D188" s="497" t="s">
        <v>4563</v>
      </c>
      <c r="E188" s="497">
        <f t="shared" si="20"/>
        <v>4</v>
      </c>
      <c r="F188" s="512">
        <v>22</v>
      </c>
      <c r="G188" s="497"/>
      <c r="H188" s="497">
        <f t="shared" ca="1" si="21"/>
        <v>51</v>
      </c>
      <c r="I188" s="513"/>
      <c r="J188" s="513"/>
      <c r="K188" s="500"/>
      <c r="L188" s="503"/>
      <c r="M188" s="514"/>
      <c r="N188" s="503"/>
      <c r="O188" s="497" t="str">
        <f ca="1">IFERROR(IF(COUNTA($D$56:$D188)=1,"",OFFSET($C186,-COUNTA($D$56:$D188)+3,0)),"")</f>
        <v/>
      </c>
      <c r="P188" s="497">
        <f t="shared" si="22"/>
        <v>130</v>
      </c>
      <c r="Q188" s="497"/>
      <c r="R188" s="497"/>
      <c r="S188" s="497"/>
      <c r="T188" s="497" t="b">
        <v>0</v>
      </c>
    </row>
    <row r="189" spans="1:20" x14ac:dyDescent="0.35">
      <c r="A189" s="497" t="b">
        <v>0</v>
      </c>
      <c r="B189" s="511"/>
      <c r="C189" s="497" t="s">
        <v>9169</v>
      </c>
      <c r="D189" s="497" t="s">
        <v>4563</v>
      </c>
      <c r="E189" s="497">
        <f t="shared" si="20"/>
        <v>5</v>
      </c>
      <c r="F189" s="512">
        <v>22</v>
      </c>
      <c r="G189" s="497"/>
      <c r="H189" s="497">
        <f t="shared" ca="1" si="21"/>
        <v>51</v>
      </c>
      <c r="I189" s="513"/>
      <c r="J189" s="513"/>
      <c r="K189" s="500"/>
      <c r="L189" s="503"/>
      <c r="M189" s="514"/>
      <c r="N189" s="503"/>
      <c r="O189" s="497" t="str">
        <f ca="1">IFERROR(IF(COUNTA($D$56:$D189)=1,"",OFFSET($C187,-COUNTA($D$56:$D189)+3,0)),"")</f>
        <v/>
      </c>
      <c r="P189" s="497">
        <f t="shared" si="22"/>
        <v>131</v>
      </c>
      <c r="Q189" s="497"/>
      <c r="R189" s="497"/>
      <c r="S189" s="497"/>
      <c r="T189" s="497" t="b">
        <v>0</v>
      </c>
    </row>
    <row r="190" spans="1:20" x14ac:dyDescent="0.35">
      <c r="A190" s="497" t="b">
        <v>0</v>
      </c>
      <c r="B190" s="511"/>
      <c r="C190" s="497" t="s">
        <v>9170</v>
      </c>
      <c r="D190" s="497" t="s">
        <v>4563</v>
      </c>
      <c r="E190" s="497">
        <f t="shared" si="20"/>
        <v>6</v>
      </c>
      <c r="F190" s="512">
        <v>22</v>
      </c>
      <c r="G190" s="497"/>
      <c r="H190" s="497">
        <f t="shared" ca="1" si="21"/>
        <v>51</v>
      </c>
      <c r="I190" s="513"/>
      <c r="J190" s="513"/>
      <c r="K190" s="500"/>
      <c r="L190" s="503"/>
      <c r="M190" s="514"/>
      <c r="N190" s="503"/>
      <c r="O190" s="497" t="str">
        <f ca="1">IFERROR(IF(COUNTA($D$56:$D190)=1,"",OFFSET($C188,-COUNTA($D$56:$D190)+3,0)),"")</f>
        <v/>
      </c>
      <c r="P190" s="497">
        <f t="shared" si="22"/>
        <v>132</v>
      </c>
      <c r="Q190" s="497"/>
      <c r="R190" s="497"/>
      <c r="S190" s="497"/>
      <c r="T190" s="497" t="b">
        <v>0</v>
      </c>
    </row>
    <row r="191" spans="1:20" x14ac:dyDescent="0.35">
      <c r="A191" s="497" t="b">
        <v>0</v>
      </c>
      <c r="B191" s="511"/>
      <c r="C191" s="497" t="s">
        <v>9171</v>
      </c>
      <c r="D191" s="497" t="s">
        <v>4269</v>
      </c>
      <c r="E191" s="497">
        <f t="shared" si="20"/>
        <v>1</v>
      </c>
      <c r="F191" s="512">
        <v>23</v>
      </c>
      <c r="G191" s="497"/>
      <c r="H191" s="497">
        <f t="shared" ca="1" si="21"/>
        <v>53</v>
      </c>
      <c r="I191" s="513"/>
      <c r="J191" s="513"/>
      <c r="K191" s="500"/>
      <c r="L191" s="503"/>
      <c r="M191" s="514"/>
      <c r="N191" s="503"/>
      <c r="O191" s="497" t="str">
        <f ca="1">IFERROR(IF(COUNTA($D$56:$D191)=1,"",OFFSET($C189,-COUNTA($D$56:$D191)+3,0)),"")</f>
        <v/>
      </c>
      <c r="P191" s="497">
        <f t="shared" si="22"/>
        <v>133</v>
      </c>
      <c r="Q191" s="497"/>
      <c r="R191" s="497"/>
      <c r="S191" s="497"/>
      <c r="T191" s="497" t="b">
        <v>0</v>
      </c>
    </row>
    <row r="192" spans="1:20" x14ac:dyDescent="0.35">
      <c r="A192" s="497" t="b">
        <v>0</v>
      </c>
      <c r="B192" s="511"/>
      <c r="C192" s="497" t="s">
        <v>9172</v>
      </c>
      <c r="D192" s="497" t="s">
        <v>4269</v>
      </c>
      <c r="E192" s="497">
        <f t="shared" si="20"/>
        <v>2</v>
      </c>
      <c r="F192" s="512">
        <v>23</v>
      </c>
      <c r="G192" s="497"/>
      <c r="H192" s="497">
        <f t="shared" ca="1" si="21"/>
        <v>53</v>
      </c>
      <c r="I192" s="513"/>
      <c r="J192" s="513"/>
      <c r="K192" s="500"/>
      <c r="L192" s="503"/>
      <c r="M192" s="514"/>
      <c r="N192" s="503"/>
      <c r="O192" s="497" t="str">
        <f ca="1">IFERROR(IF(COUNTA($D$56:$D192)=1,"",OFFSET($C190,-COUNTA($D$56:$D192)+3,0)),"")</f>
        <v/>
      </c>
      <c r="P192" s="497">
        <f t="shared" si="22"/>
        <v>134</v>
      </c>
      <c r="Q192" s="497"/>
      <c r="R192" s="497"/>
      <c r="S192" s="497"/>
      <c r="T192" s="497" t="b">
        <v>0</v>
      </c>
    </row>
    <row r="193" spans="1:20" x14ac:dyDescent="0.35">
      <c r="A193" s="497" t="b">
        <v>0</v>
      </c>
      <c r="B193" s="511"/>
      <c r="C193" s="497" t="s">
        <v>9173</v>
      </c>
      <c r="D193" s="497" t="s">
        <v>4269</v>
      </c>
      <c r="E193" s="497">
        <f t="shared" si="20"/>
        <v>3</v>
      </c>
      <c r="F193" s="512">
        <v>23</v>
      </c>
      <c r="G193" s="497"/>
      <c r="H193" s="497">
        <f t="shared" ca="1" si="21"/>
        <v>53</v>
      </c>
      <c r="I193" s="513"/>
      <c r="J193" s="513"/>
      <c r="K193" s="500"/>
      <c r="L193" s="503"/>
      <c r="M193" s="514"/>
      <c r="N193" s="503"/>
      <c r="O193" s="497" t="str">
        <f ca="1">IFERROR(IF(COUNTA($D$56:$D193)=1,"",OFFSET($C191,-COUNTA($D$56:$D193)+3,0)),"")</f>
        <v/>
      </c>
      <c r="P193" s="497">
        <f t="shared" si="22"/>
        <v>135</v>
      </c>
      <c r="Q193" s="497"/>
      <c r="R193" s="497"/>
      <c r="S193" s="497"/>
      <c r="T193" s="497" t="b">
        <v>0</v>
      </c>
    </row>
    <row r="194" spans="1:20" x14ac:dyDescent="0.35">
      <c r="A194" s="497" t="b">
        <v>0</v>
      </c>
      <c r="B194" s="511"/>
      <c r="C194" s="497" t="s">
        <v>9174</v>
      </c>
      <c r="D194" s="497" t="s">
        <v>4269</v>
      </c>
      <c r="E194" s="497">
        <f t="shared" si="20"/>
        <v>4</v>
      </c>
      <c r="F194" s="512">
        <v>23</v>
      </c>
      <c r="G194" s="497"/>
      <c r="H194" s="497">
        <f t="shared" ca="1" si="21"/>
        <v>53</v>
      </c>
      <c r="I194" s="513"/>
      <c r="J194" s="513"/>
      <c r="K194" s="500"/>
      <c r="L194" s="503"/>
      <c r="M194" s="514"/>
      <c r="N194" s="503"/>
      <c r="O194" s="497" t="str">
        <f ca="1">IFERROR(IF(COUNTA($D$56:$D194)=1,"",OFFSET($C192,-COUNTA($D$56:$D194)+3,0)),"")</f>
        <v/>
      </c>
      <c r="P194" s="497">
        <f t="shared" si="22"/>
        <v>136</v>
      </c>
      <c r="Q194" s="497"/>
      <c r="R194" s="497"/>
      <c r="S194" s="497"/>
      <c r="T194" s="497" t="b">
        <v>0</v>
      </c>
    </row>
    <row r="195" spans="1:20" x14ac:dyDescent="0.35">
      <c r="A195" s="497" t="b">
        <v>0</v>
      </c>
      <c r="B195" s="511"/>
      <c r="C195" s="497" t="s">
        <v>9175</v>
      </c>
      <c r="D195" s="497" t="s">
        <v>4269</v>
      </c>
      <c r="E195" s="497">
        <f t="shared" si="20"/>
        <v>5</v>
      </c>
      <c r="F195" s="512">
        <v>23</v>
      </c>
      <c r="G195" s="497"/>
      <c r="H195" s="497">
        <f t="shared" ca="1" si="21"/>
        <v>53</v>
      </c>
      <c r="I195" s="513"/>
      <c r="J195" s="513"/>
      <c r="K195" s="500"/>
      <c r="L195" s="503"/>
      <c r="M195" s="514"/>
      <c r="N195" s="503"/>
      <c r="O195" s="497" t="str">
        <f ca="1">IFERROR(IF(COUNTA($D$56:$D195)=1,"",OFFSET($C193,-COUNTA($D$56:$D195)+3,0)),"")</f>
        <v/>
      </c>
      <c r="P195" s="497">
        <f t="shared" si="22"/>
        <v>137</v>
      </c>
      <c r="Q195" s="497"/>
      <c r="R195" s="497"/>
      <c r="S195" s="497"/>
      <c r="T195" s="497" t="b">
        <v>0</v>
      </c>
    </row>
    <row r="196" spans="1:20" x14ac:dyDescent="0.35">
      <c r="A196" s="497" t="b">
        <v>0</v>
      </c>
      <c r="B196" s="511"/>
      <c r="C196" s="497" t="s">
        <v>9176</v>
      </c>
      <c r="D196" s="497" t="s">
        <v>4269</v>
      </c>
      <c r="E196" s="497">
        <f t="shared" si="20"/>
        <v>6</v>
      </c>
      <c r="F196" s="512">
        <v>23</v>
      </c>
      <c r="G196" s="497"/>
      <c r="H196" s="497">
        <f t="shared" ca="1" si="21"/>
        <v>53</v>
      </c>
      <c r="I196" s="513"/>
      <c r="J196" s="513"/>
      <c r="K196" s="500"/>
      <c r="L196" s="503"/>
      <c r="M196" s="514"/>
      <c r="N196" s="503"/>
      <c r="O196" s="497" t="str">
        <f ca="1">IFERROR(IF(COUNTA($D$56:$D196)=1,"",OFFSET($C194,-COUNTA($D$56:$D196)+3,0)),"")</f>
        <v/>
      </c>
      <c r="P196" s="497">
        <f t="shared" si="22"/>
        <v>138</v>
      </c>
      <c r="Q196" s="497"/>
      <c r="R196" s="497"/>
      <c r="S196" s="497"/>
      <c r="T196" s="497" t="b">
        <v>0</v>
      </c>
    </row>
    <row r="197" spans="1:20" x14ac:dyDescent="0.35">
      <c r="A197" s="497" t="b">
        <v>0</v>
      </c>
      <c r="B197" s="511"/>
      <c r="C197" s="497" t="s">
        <v>9177</v>
      </c>
      <c r="D197" s="497" t="s">
        <v>4584</v>
      </c>
      <c r="E197" s="497">
        <f t="shared" si="20"/>
        <v>1</v>
      </c>
      <c r="F197" s="512">
        <v>24</v>
      </c>
      <c r="G197" s="497"/>
      <c r="H197" s="497">
        <f t="shared" ca="1" si="21"/>
        <v>55</v>
      </c>
      <c r="I197" s="513"/>
      <c r="J197" s="513"/>
      <c r="K197" s="500"/>
      <c r="L197" s="503"/>
      <c r="M197" s="514"/>
      <c r="N197" s="503"/>
      <c r="O197" s="497" t="str">
        <f ca="1">IFERROR(IF(COUNTA($D$56:$D197)=1,"",OFFSET($C195,-COUNTA($D$56:$D197)+3,0)),"")</f>
        <v/>
      </c>
      <c r="P197" s="497">
        <f t="shared" si="22"/>
        <v>139</v>
      </c>
      <c r="Q197" s="497"/>
      <c r="R197" s="497"/>
      <c r="S197" s="497"/>
      <c r="T197" s="497" t="b">
        <v>0</v>
      </c>
    </row>
    <row r="198" spans="1:20" x14ac:dyDescent="0.35">
      <c r="A198" s="497" t="b">
        <v>0</v>
      </c>
      <c r="B198" s="511"/>
      <c r="C198" s="497" t="s">
        <v>9178</v>
      </c>
      <c r="D198" s="497" t="s">
        <v>4584</v>
      </c>
      <c r="E198" s="497">
        <f t="shared" si="20"/>
        <v>2</v>
      </c>
      <c r="F198" s="512">
        <v>24</v>
      </c>
      <c r="G198" s="497"/>
      <c r="H198" s="497">
        <f t="shared" ca="1" si="21"/>
        <v>55</v>
      </c>
      <c r="I198" s="513"/>
      <c r="J198" s="513"/>
      <c r="K198" s="500"/>
      <c r="L198" s="503"/>
      <c r="M198" s="514"/>
      <c r="N198" s="503"/>
      <c r="O198" s="497" t="str">
        <f ca="1">IFERROR(IF(COUNTA($D$56:$D198)=1,"",OFFSET($C196,-COUNTA($D$56:$D198)+3,0)),"")</f>
        <v/>
      </c>
      <c r="P198" s="497">
        <f t="shared" si="22"/>
        <v>140</v>
      </c>
      <c r="Q198" s="497"/>
      <c r="R198" s="497"/>
      <c r="S198" s="497"/>
      <c r="T198" s="497" t="b">
        <v>0</v>
      </c>
    </row>
    <row r="199" spans="1:20" x14ac:dyDescent="0.35">
      <c r="A199" s="497" t="b">
        <v>0</v>
      </c>
      <c r="B199" s="511"/>
      <c r="C199" s="497" t="s">
        <v>9179</v>
      </c>
      <c r="D199" s="497" t="s">
        <v>4584</v>
      </c>
      <c r="E199" s="497">
        <f t="shared" si="20"/>
        <v>3</v>
      </c>
      <c r="F199" s="512">
        <v>24</v>
      </c>
      <c r="G199" s="497"/>
      <c r="H199" s="497">
        <f t="shared" ca="1" si="21"/>
        <v>55</v>
      </c>
      <c r="I199" s="513"/>
      <c r="J199" s="513"/>
      <c r="K199" s="500"/>
      <c r="L199" s="503"/>
      <c r="M199" s="514"/>
      <c r="N199" s="503"/>
      <c r="O199" s="497" t="str">
        <f ca="1">IFERROR(IF(COUNTA($D$56:$D199)=1,"",OFFSET($C197,-COUNTA($D$56:$D199)+3,0)),"")</f>
        <v/>
      </c>
      <c r="P199" s="497">
        <f t="shared" si="22"/>
        <v>141</v>
      </c>
      <c r="Q199" s="497"/>
      <c r="R199" s="497"/>
      <c r="S199" s="497"/>
      <c r="T199" s="497" t="b">
        <v>0</v>
      </c>
    </row>
    <row r="200" spans="1:20" x14ac:dyDescent="0.35">
      <c r="A200" s="497" t="b">
        <v>0</v>
      </c>
      <c r="B200" s="511"/>
      <c r="C200" s="497" t="s">
        <v>9180</v>
      </c>
      <c r="D200" s="497" t="s">
        <v>4584</v>
      </c>
      <c r="E200" s="497">
        <f t="shared" si="20"/>
        <v>4</v>
      </c>
      <c r="F200" s="512">
        <v>24</v>
      </c>
      <c r="G200" s="497"/>
      <c r="H200" s="497">
        <f t="shared" ca="1" si="21"/>
        <v>55</v>
      </c>
      <c r="I200" s="513"/>
      <c r="J200" s="513"/>
      <c r="K200" s="500"/>
      <c r="L200" s="503"/>
      <c r="M200" s="514"/>
      <c r="N200" s="503"/>
      <c r="O200" s="497" t="str">
        <f ca="1">IFERROR(IF(COUNTA($D$56:$D200)=1,"",OFFSET($C198,-COUNTA($D$56:$D200)+3,0)),"")</f>
        <v/>
      </c>
      <c r="P200" s="497">
        <f t="shared" si="22"/>
        <v>142</v>
      </c>
      <c r="Q200" s="497"/>
      <c r="R200" s="497"/>
      <c r="S200" s="497"/>
      <c r="T200" s="497" t="b">
        <v>0</v>
      </c>
    </row>
    <row r="201" spans="1:20" x14ac:dyDescent="0.35">
      <c r="A201" s="497" t="b">
        <v>0</v>
      </c>
      <c r="B201" s="511"/>
      <c r="C201" s="497" t="s">
        <v>9181</v>
      </c>
      <c r="D201" s="497" t="s">
        <v>4584</v>
      </c>
      <c r="E201" s="497">
        <f t="shared" si="20"/>
        <v>5</v>
      </c>
      <c r="F201" s="512">
        <v>24</v>
      </c>
      <c r="G201" s="497"/>
      <c r="H201" s="497">
        <f t="shared" ca="1" si="21"/>
        <v>55</v>
      </c>
      <c r="I201" s="513"/>
      <c r="J201" s="513"/>
      <c r="K201" s="500"/>
      <c r="L201" s="503"/>
      <c r="M201" s="514"/>
      <c r="N201" s="503"/>
      <c r="O201" s="497" t="str">
        <f ca="1">IFERROR(IF(COUNTA($D$56:$D201)=1,"",OFFSET($C199,-COUNTA($D$56:$D201)+3,0)),"")</f>
        <v/>
      </c>
      <c r="P201" s="497">
        <f t="shared" si="22"/>
        <v>143</v>
      </c>
      <c r="Q201" s="497"/>
      <c r="R201" s="497"/>
      <c r="S201" s="497"/>
      <c r="T201" s="497" t="b">
        <v>0</v>
      </c>
    </row>
    <row r="202" spans="1:20" x14ac:dyDescent="0.35">
      <c r="A202" s="497" t="b">
        <v>0</v>
      </c>
      <c r="B202" s="511"/>
      <c r="C202" s="497" t="s">
        <v>9182</v>
      </c>
      <c r="D202" s="497" t="s">
        <v>4584</v>
      </c>
      <c r="E202" s="497">
        <f t="shared" si="20"/>
        <v>6</v>
      </c>
      <c r="F202" s="512">
        <v>24</v>
      </c>
      <c r="G202" s="497"/>
      <c r="H202" s="497">
        <f t="shared" ca="1" si="21"/>
        <v>55</v>
      </c>
      <c r="I202" s="513"/>
      <c r="J202" s="513"/>
      <c r="K202" s="500"/>
      <c r="L202" s="503"/>
      <c r="M202" s="514"/>
      <c r="N202" s="503"/>
      <c r="O202" s="497" t="str">
        <f ca="1">IFERROR(IF(COUNTA($D$56:$D202)=1,"",OFFSET($C200,-COUNTA($D$56:$D202)+3,0)),"")</f>
        <v/>
      </c>
      <c r="P202" s="497">
        <f t="shared" si="22"/>
        <v>144</v>
      </c>
      <c r="Q202" s="497"/>
      <c r="R202" s="497"/>
      <c r="S202" s="497"/>
      <c r="T202" s="497" t="b">
        <v>0</v>
      </c>
    </row>
    <row r="203" spans="1:20" x14ac:dyDescent="0.35">
      <c r="A203" s="497" t="b">
        <v>0</v>
      </c>
      <c r="B203" s="511"/>
      <c r="C203" s="497" t="s">
        <v>9183</v>
      </c>
      <c r="D203" s="497" t="s">
        <v>4290</v>
      </c>
      <c r="E203" s="497">
        <f t="shared" si="20"/>
        <v>1</v>
      </c>
      <c r="F203" s="512">
        <v>25</v>
      </c>
      <c r="G203" s="497"/>
      <c r="H203" s="497">
        <f t="shared" ca="1" si="21"/>
        <v>57</v>
      </c>
      <c r="I203" s="513"/>
      <c r="J203" s="513"/>
      <c r="K203" s="500"/>
      <c r="L203" s="503"/>
      <c r="M203" s="514"/>
      <c r="N203" s="503"/>
      <c r="O203" s="497" t="str">
        <f ca="1">IFERROR(IF(COUNTA($D$56:$D203)=1,"",OFFSET($C201,-COUNTA($D$56:$D203)+3,0)),"")</f>
        <v/>
      </c>
      <c r="P203" s="497">
        <f t="shared" si="22"/>
        <v>145</v>
      </c>
      <c r="Q203" s="497"/>
      <c r="R203" s="497"/>
      <c r="S203" s="497"/>
      <c r="T203" s="497" t="b">
        <v>0</v>
      </c>
    </row>
    <row r="204" spans="1:20" x14ac:dyDescent="0.35">
      <c r="A204" s="497" t="b">
        <v>0</v>
      </c>
      <c r="B204" s="511"/>
      <c r="C204" s="497" t="s">
        <v>9184</v>
      </c>
      <c r="D204" s="497" t="s">
        <v>4290</v>
      </c>
      <c r="E204" s="497">
        <f t="shared" si="20"/>
        <v>2</v>
      </c>
      <c r="F204" s="512">
        <v>25</v>
      </c>
      <c r="G204" s="497"/>
      <c r="H204" s="497">
        <f t="shared" ca="1" si="21"/>
        <v>57</v>
      </c>
      <c r="I204" s="513"/>
      <c r="J204" s="513"/>
      <c r="K204" s="500"/>
      <c r="L204" s="503"/>
      <c r="M204" s="514"/>
      <c r="N204" s="503"/>
      <c r="O204" s="497" t="str">
        <f ca="1">IFERROR(IF(COUNTA($D$56:$D204)=1,"",OFFSET($C202,-COUNTA($D$56:$D204)+3,0)),"")</f>
        <v/>
      </c>
      <c r="P204" s="497">
        <f t="shared" si="22"/>
        <v>146</v>
      </c>
      <c r="Q204" s="497"/>
      <c r="R204" s="497"/>
      <c r="S204" s="497"/>
      <c r="T204" s="497" t="b">
        <v>0</v>
      </c>
    </row>
    <row r="205" spans="1:20" x14ac:dyDescent="0.35">
      <c r="A205" s="497" t="b">
        <v>0</v>
      </c>
      <c r="B205" s="511"/>
      <c r="C205" s="497" t="s">
        <v>9185</v>
      </c>
      <c r="D205" s="497" t="s">
        <v>4290</v>
      </c>
      <c r="E205" s="497">
        <f t="shared" si="20"/>
        <v>3</v>
      </c>
      <c r="F205" s="512">
        <v>25</v>
      </c>
      <c r="G205" s="497"/>
      <c r="H205" s="497">
        <f t="shared" ca="1" si="21"/>
        <v>57</v>
      </c>
      <c r="I205" s="513"/>
      <c r="J205" s="513"/>
      <c r="K205" s="500"/>
      <c r="L205" s="503"/>
      <c r="M205" s="514"/>
      <c r="N205" s="503"/>
      <c r="O205" s="497" t="str">
        <f ca="1">IFERROR(IF(COUNTA($D$56:$D205)=1,"",OFFSET($C203,-COUNTA($D$56:$D205)+3,0)),"")</f>
        <v/>
      </c>
      <c r="P205" s="497">
        <f t="shared" si="22"/>
        <v>147</v>
      </c>
      <c r="Q205" s="497"/>
      <c r="R205" s="497"/>
      <c r="S205" s="497"/>
      <c r="T205" s="497" t="b">
        <v>0</v>
      </c>
    </row>
    <row r="206" spans="1:20" x14ac:dyDescent="0.35">
      <c r="A206" s="497" t="b">
        <v>0</v>
      </c>
      <c r="B206" s="511"/>
      <c r="C206" s="497" t="s">
        <v>9186</v>
      </c>
      <c r="D206" s="497" t="s">
        <v>4290</v>
      </c>
      <c r="E206" s="497">
        <f t="shared" si="20"/>
        <v>4</v>
      </c>
      <c r="F206" s="512">
        <v>25</v>
      </c>
      <c r="G206" s="497"/>
      <c r="H206" s="497">
        <f t="shared" ca="1" si="21"/>
        <v>57</v>
      </c>
      <c r="I206" s="513"/>
      <c r="J206" s="513"/>
      <c r="K206" s="500"/>
      <c r="L206" s="503"/>
      <c r="M206" s="514"/>
      <c r="N206" s="503"/>
      <c r="O206" s="497" t="str">
        <f ca="1">IFERROR(IF(COUNTA($D$56:$D206)=1,"",OFFSET($C204,-COUNTA($D$56:$D206)+3,0)),"")</f>
        <v/>
      </c>
      <c r="P206" s="497">
        <f t="shared" si="22"/>
        <v>148</v>
      </c>
      <c r="Q206" s="497"/>
      <c r="R206" s="497"/>
      <c r="S206" s="497"/>
      <c r="T206" s="497" t="b">
        <v>0</v>
      </c>
    </row>
    <row r="207" spans="1:20" x14ac:dyDescent="0.35">
      <c r="A207" s="497" t="b">
        <v>0</v>
      </c>
      <c r="B207" s="511"/>
      <c r="C207" s="497" t="s">
        <v>9187</v>
      </c>
      <c r="D207" s="497" t="s">
        <v>4290</v>
      </c>
      <c r="E207" s="497">
        <f t="shared" si="20"/>
        <v>5</v>
      </c>
      <c r="F207" s="512">
        <v>25</v>
      </c>
      <c r="G207" s="497"/>
      <c r="H207" s="497">
        <f t="shared" ca="1" si="21"/>
        <v>57</v>
      </c>
      <c r="I207" s="513"/>
      <c r="J207" s="513"/>
      <c r="K207" s="500"/>
      <c r="L207" s="503"/>
      <c r="M207" s="514"/>
      <c r="N207" s="503"/>
      <c r="O207" s="497" t="str">
        <f ca="1">IFERROR(IF(COUNTA($D$56:$D207)=1,"",OFFSET($C205,-COUNTA($D$56:$D207)+3,0)),"")</f>
        <v/>
      </c>
      <c r="P207" s="497">
        <f t="shared" si="22"/>
        <v>149</v>
      </c>
      <c r="Q207" s="497"/>
      <c r="R207" s="497"/>
      <c r="S207" s="497"/>
      <c r="T207" s="497" t="b">
        <v>0</v>
      </c>
    </row>
    <row r="208" spans="1:20" x14ac:dyDescent="0.35">
      <c r="A208" s="497" t="b">
        <v>0</v>
      </c>
      <c r="B208" s="511"/>
      <c r="C208" s="497" t="s">
        <v>9188</v>
      </c>
      <c r="D208" s="497" t="s">
        <v>4290</v>
      </c>
      <c r="E208" s="497">
        <f t="shared" si="20"/>
        <v>6</v>
      </c>
      <c r="F208" s="512">
        <v>25</v>
      </c>
      <c r="G208" s="497"/>
      <c r="H208" s="497">
        <f t="shared" ca="1" si="21"/>
        <v>57</v>
      </c>
      <c r="I208" s="513"/>
      <c r="J208" s="513"/>
      <c r="K208" s="500"/>
      <c r="L208" s="503"/>
      <c r="M208" s="514"/>
      <c r="N208" s="503"/>
      <c r="O208" s="497" t="str">
        <f ca="1">IFERROR(IF(COUNTA($D$56:$D208)=1,"",OFFSET($C206,-COUNTA($D$56:$D208)+3,0)),"")</f>
        <v/>
      </c>
      <c r="P208" s="497">
        <f t="shared" si="22"/>
        <v>150</v>
      </c>
      <c r="Q208" s="497"/>
      <c r="R208" s="497"/>
      <c r="S208" s="497"/>
      <c r="T208" s="497" t="b">
        <v>0</v>
      </c>
    </row>
    <row r="209" spans="1:20" x14ac:dyDescent="0.35">
      <c r="A209" s="497" t="b">
        <v>0</v>
      </c>
      <c r="B209" s="511"/>
      <c r="C209" s="497" t="s">
        <v>9189</v>
      </c>
      <c r="D209" s="497" t="s">
        <v>4626</v>
      </c>
      <c r="E209" s="497">
        <f t="shared" si="20"/>
        <v>1</v>
      </c>
      <c r="F209" s="512">
        <v>26</v>
      </c>
      <c r="G209" s="497"/>
      <c r="H209" s="497">
        <f t="shared" ca="1" si="21"/>
        <v>59</v>
      </c>
      <c r="I209" s="513"/>
      <c r="J209" s="513"/>
      <c r="K209" s="500"/>
      <c r="L209" s="503"/>
      <c r="M209" s="514"/>
      <c r="N209" s="503"/>
      <c r="O209" s="497" t="str">
        <f ca="1">IFERROR(IF(COUNTA($D$56:$D209)=1,"",OFFSET($C207,-COUNTA($D$56:$D209)+3,0)),"")</f>
        <v/>
      </c>
      <c r="P209" s="497">
        <f t="shared" si="22"/>
        <v>151</v>
      </c>
      <c r="Q209" s="497"/>
      <c r="R209" s="497"/>
      <c r="S209" s="497"/>
      <c r="T209" s="497" t="b">
        <v>0</v>
      </c>
    </row>
    <row r="210" spans="1:20" x14ac:dyDescent="0.35">
      <c r="A210" s="497" t="b">
        <v>0</v>
      </c>
      <c r="B210" s="511"/>
      <c r="C210" s="497" t="s">
        <v>9190</v>
      </c>
      <c r="D210" s="497" t="s">
        <v>4626</v>
      </c>
      <c r="E210" s="497">
        <f t="shared" si="20"/>
        <v>2</v>
      </c>
      <c r="F210" s="512">
        <v>26</v>
      </c>
      <c r="G210" s="497"/>
      <c r="H210" s="497">
        <f t="shared" ca="1" si="21"/>
        <v>59</v>
      </c>
      <c r="I210" s="513"/>
      <c r="J210" s="513"/>
      <c r="K210" s="500"/>
      <c r="L210" s="503"/>
      <c r="M210" s="514"/>
      <c r="N210" s="503"/>
      <c r="O210" s="497" t="str">
        <f ca="1">IFERROR(IF(COUNTA($D$56:$D210)=1,"",OFFSET($C208,-COUNTA($D$56:$D210)+3,0)),"")</f>
        <v/>
      </c>
      <c r="P210" s="497">
        <f t="shared" si="22"/>
        <v>152</v>
      </c>
      <c r="Q210" s="497"/>
      <c r="R210" s="497"/>
      <c r="S210" s="497"/>
      <c r="T210" s="497" t="b">
        <v>0</v>
      </c>
    </row>
    <row r="211" spans="1:20" x14ac:dyDescent="0.35">
      <c r="A211" s="497" t="b">
        <v>0</v>
      </c>
      <c r="B211" s="511"/>
      <c r="C211" s="497" t="s">
        <v>9191</v>
      </c>
      <c r="D211" s="497" t="s">
        <v>4626</v>
      </c>
      <c r="E211" s="497">
        <f t="shared" si="20"/>
        <v>3</v>
      </c>
      <c r="F211" s="512">
        <v>26</v>
      </c>
      <c r="G211" s="497"/>
      <c r="H211" s="497">
        <f t="shared" ca="1" si="21"/>
        <v>59</v>
      </c>
      <c r="I211" s="513"/>
      <c r="J211" s="513"/>
      <c r="K211" s="500"/>
      <c r="L211" s="503"/>
      <c r="M211" s="514"/>
      <c r="N211" s="503"/>
      <c r="O211" s="497" t="str">
        <f ca="1">IFERROR(IF(COUNTA($D$56:$D211)=1,"",OFFSET($C209,-COUNTA($D$56:$D211)+3,0)),"")</f>
        <v/>
      </c>
      <c r="P211" s="497">
        <f t="shared" si="22"/>
        <v>153</v>
      </c>
      <c r="Q211" s="497"/>
      <c r="R211" s="497"/>
      <c r="S211" s="497"/>
      <c r="T211" s="497" t="b">
        <v>0</v>
      </c>
    </row>
    <row r="212" spans="1:20" x14ac:dyDescent="0.35">
      <c r="A212" s="497" t="b">
        <v>0</v>
      </c>
      <c r="B212" s="511"/>
      <c r="C212" s="497" t="s">
        <v>9192</v>
      </c>
      <c r="D212" s="497" t="s">
        <v>4626</v>
      </c>
      <c r="E212" s="497">
        <f t="shared" si="20"/>
        <v>4</v>
      </c>
      <c r="F212" s="512">
        <v>26</v>
      </c>
      <c r="G212" s="497"/>
      <c r="H212" s="497">
        <f t="shared" ca="1" si="21"/>
        <v>59</v>
      </c>
      <c r="I212" s="513"/>
      <c r="J212" s="513"/>
      <c r="K212" s="500"/>
      <c r="L212" s="503"/>
      <c r="M212" s="514"/>
      <c r="N212" s="503"/>
      <c r="O212" s="497" t="str">
        <f ca="1">IFERROR(IF(COUNTA($D$56:$D212)=1,"",OFFSET($C210,-COUNTA($D$56:$D212)+3,0)),"")</f>
        <v/>
      </c>
      <c r="P212" s="497">
        <f t="shared" si="22"/>
        <v>154</v>
      </c>
      <c r="Q212" s="497"/>
      <c r="R212" s="497"/>
      <c r="S212" s="497"/>
      <c r="T212" s="497" t="b">
        <v>0</v>
      </c>
    </row>
    <row r="213" spans="1:20" x14ac:dyDescent="0.35">
      <c r="A213" s="497" t="b">
        <v>0</v>
      </c>
      <c r="B213" s="511"/>
      <c r="C213" s="497" t="s">
        <v>9193</v>
      </c>
      <c r="D213" s="497" t="s">
        <v>4626</v>
      </c>
      <c r="E213" s="497">
        <f t="shared" si="20"/>
        <v>5</v>
      </c>
      <c r="F213" s="512">
        <v>26</v>
      </c>
      <c r="G213" s="497"/>
      <c r="H213" s="497">
        <f t="shared" ca="1" si="21"/>
        <v>59</v>
      </c>
      <c r="I213" s="513"/>
      <c r="J213" s="513"/>
      <c r="K213" s="500"/>
      <c r="L213" s="503"/>
      <c r="M213" s="514"/>
      <c r="N213" s="503"/>
      <c r="O213" s="497" t="str">
        <f ca="1">IFERROR(IF(COUNTA($D$56:$D213)=1,"",OFFSET($C211,-COUNTA($D$56:$D213)+3,0)),"")</f>
        <v/>
      </c>
      <c r="P213" s="497">
        <f t="shared" si="22"/>
        <v>155</v>
      </c>
      <c r="Q213" s="497"/>
      <c r="R213" s="497"/>
      <c r="S213" s="497"/>
      <c r="T213" s="497" t="b">
        <v>0</v>
      </c>
    </row>
    <row r="214" spans="1:20" x14ac:dyDescent="0.35">
      <c r="A214" s="497" t="b">
        <v>0</v>
      </c>
      <c r="B214" s="511"/>
      <c r="C214" s="497" t="s">
        <v>9194</v>
      </c>
      <c r="D214" s="497" t="s">
        <v>4626</v>
      </c>
      <c r="E214" s="497">
        <f t="shared" si="20"/>
        <v>6</v>
      </c>
      <c r="F214" s="512">
        <v>26</v>
      </c>
      <c r="G214" s="497"/>
      <c r="H214" s="497">
        <f t="shared" ca="1" si="21"/>
        <v>59</v>
      </c>
      <c r="I214" s="513"/>
      <c r="J214" s="513"/>
      <c r="K214" s="500"/>
      <c r="L214" s="503"/>
      <c r="M214" s="514"/>
      <c r="N214" s="503"/>
      <c r="O214" s="497" t="str">
        <f ca="1">IFERROR(IF(COUNTA($D$56:$D214)=1,"",OFFSET($C212,-COUNTA($D$56:$D214)+3,0)),"")</f>
        <v/>
      </c>
      <c r="P214" s="497">
        <f t="shared" si="22"/>
        <v>156</v>
      </c>
      <c r="Q214" s="497"/>
      <c r="R214" s="497"/>
      <c r="S214" s="497"/>
      <c r="T214" s="497" t="b">
        <v>0</v>
      </c>
    </row>
    <row r="215" spans="1:20" x14ac:dyDescent="0.35">
      <c r="A215" s="497" t="b">
        <v>0</v>
      </c>
      <c r="B215" s="511"/>
      <c r="C215" s="497" t="s">
        <v>9195</v>
      </c>
      <c r="D215" s="497" t="s">
        <v>4311</v>
      </c>
      <c r="E215" s="497">
        <f t="shared" si="20"/>
        <v>1</v>
      </c>
      <c r="F215" s="512">
        <v>27</v>
      </c>
      <c r="G215" s="497"/>
      <c r="H215" s="497">
        <f t="shared" ca="1" si="21"/>
        <v>61</v>
      </c>
      <c r="I215" s="513"/>
      <c r="J215" s="513"/>
      <c r="K215" s="500"/>
      <c r="L215" s="503"/>
      <c r="M215" s="514"/>
      <c r="N215" s="503"/>
      <c r="O215" s="497" t="str">
        <f ca="1">IFERROR(IF(COUNTA($D$56:$D215)=1,"",OFFSET($C213,-COUNTA($D$56:$D215)+3,0)),"")</f>
        <v/>
      </c>
      <c r="P215" s="497">
        <f t="shared" si="22"/>
        <v>157</v>
      </c>
      <c r="Q215" s="497"/>
      <c r="R215" s="497"/>
      <c r="S215" s="497"/>
      <c r="T215" s="497" t="b">
        <v>0</v>
      </c>
    </row>
    <row r="216" spans="1:20" x14ac:dyDescent="0.35">
      <c r="A216" s="497" t="b">
        <v>0</v>
      </c>
      <c r="B216" s="511"/>
      <c r="C216" s="497" t="s">
        <v>9196</v>
      </c>
      <c r="D216" s="497" t="s">
        <v>4311</v>
      </c>
      <c r="E216" s="497">
        <f t="shared" si="20"/>
        <v>2</v>
      </c>
      <c r="F216" s="512">
        <v>27</v>
      </c>
      <c r="G216" s="497"/>
      <c r="H216" s="497">
        <f t="shared" ca="1" si="21"/>
        <v>61</v>
      </c>
      <c r="I216" s="513"/>
      <c r="J216" s="513"/>
      <c r="K216" s="500"/>
      <c r="L216" s="503"/>
      <c r="M216" s="514"/>
      <c r="N216" s="503"/>
      <c r="O216" s="497" t="str">
        <f ca="1">IFERROR(IF(COUNTA($D$56:$D216)=1,"",OFFSET($C214,-COUNTA($D$56:$D216)+3,0)),"")</f>
        <v/>
      </c>
      <c r="P216" s="497">
        <f t="shared" si="22"/>
        <v>158</v>
      </c>
      <c r="Q216" s="497"/>
      <c r="R216" s="497"/>
      <c r="S216" s="497"/>
      <c r="T216" s="497" t="b">
        <v>0</v>
      </c>
    </row>
    <row r="217" spans="1:20" x14ac:dyDescent="0.35">
      <c r="A217" s="497" t="b">
        <v>0</v>
      </c>
      <c r="B217" s="511"/>
      <c r="C217" s="497" t="s">
        <v>9197</v>
      </c>
      <c r="D217" s="497" t="s">
        <v>4311</v>
      </c>
      <c r="E217" s="497">
        <f t="shared" si="20"/>
        <v>3</v>
      </c>
      <c r="F217" s="512">
        <v>27</v>
      </c>
      <c r="G217" s="497"/>
      <c r="H217" s="497">
        <f t="shared" ca="1" si="21"/>
        <v>61</v>
      </c>
      <c r="I217" s="513"/>
      <c r="J217" s="513"/>
      <c r="K217" s="500"/>
      <c r="L217" s="503"/>
      <c r="M217" s="514"/>
      <c r="N217" s="503"/>
      <c r="O217" s="497" t="str">
        <f ca="1">IFERROR(IF(COUNTA($D$56:$D217)=1,"",OFFSET($C215,-COUNTA($D$56:$D217)+3,0)),"")</f>
        <v/>
      </c>
      <c r="P217" s="497">
        <f t="shared" si="22"/>
        <v>159</v>
      </c>
      <c r="Q217" s="497"/>
      <c r="R217" s="497"/>
      <c r="S217" s="497"/>
      <c r="T217" s="497" t="b">
        <v>0</v>
      </c>
    </row>
    <row r="218" spans="1:20" x14ac:dyDescent="0.35">
      <c r="A218" s="497" t="b">
        <v>0</v>
      </c>
      <c r="B218" s="511"/>
      <c r="C218" s="497" t="s">
        <v>9198</v>
      </c>
      <c r="D218" s="497" t="s">
        <v>4311</v>
      </c>
      <c r="E218" s="497">
        <f t="shared" si="20"/>
        <v>4</v>
      </c>
      <c r="F218" s="512">
        <v>27</v>
      </c>
      <c r="G218" s="497"/>
      <c r="H218" s="497">
        <f t="shared" ca="1" si="21"/>
        <v>61</v>
      </c>
      <c r="I218" s="513"/>
      <c r="J218" s="513"/>
      <c r="K218" s="500"/>
      <c r="L218" s="503"/>
      <c r="M218" s="514"/>
      <c r="N218" s="503"/>
      <c r="O218" s="497" t="str">
        <f ca="1">IFERROR(IF(COUNTA($D$56:$D218)=1,"",OFFSET($C216,-COUNTA($D$56:$D218)+3,0)),"")</f>
        <v/>
      </c>
      <c r="P218" s="497">
        <f t="shared" si="22"/>
        <v>160</v>
      </c>
      <c r="Q218" s="497"/>
      <c r="R218" s="497"/>
      <c r="S218" s="497"/>
      <c r="T218" s="497" t="b">
        <v>0</v>
      </c>
    </row>
    <row r="219" spans="1:20" x14ac:dyDescent="0.35">
      <c r="A219" s="497" t="b">
        <v>0</v>
      </c>
      <c r="B219" s="511"/>
      <c r="C219" s="497" t="s">
        <v>9199</v>
      </c>
      <c r="D219" s="497" t="s">
        <v>4311</v>
      </c>
      <c r="E219" s="497">
        <f t="shared" si="20"/>
        <v>5</v>
      </c>
      <c r="F219" s="512">
        <v>27</v>
      </c>
      <c r="G219" s="497"/>
      <c r="H219" s="497">
        <f t="shared" ca="1" si="21"/>
        <v>61</v>
      </c>
      <c r="I219" s="513"/>
      <c r="J219" s="513"/>
      <c r="K219" s="500"/>
      <c r="L219" s="503"/>
      <c r="M219" s="514"/>
      <c r="N219" s="503"/>
      <c r="O219" s="497" t="str">
        <f ca="1">IFERROR(IF(COUNTA($D$56:$D219)=1,"",OFFSET($C217,-COUNTA($D$56:$D219)+3,0)),"")</f>
        <v/>
      </c>
      <c r="P219" s="497">
        <f t="shared" si="22"/>
        <v>161</v>
      </c>
      <c r="Q219" s="497"/>
      <c r="R219" s="497"/>
      <c r="S219" s="497"/>
      <c r="T219" s="497" t="b">
        <v>0</v>
      </c>
    </row>
    <row r="220" spans="1:20" x14ac:dyDescent="0.35">
      <c r="A220" s="497" t="b">
        <v>0</v>
      </c>
      <c r="B220" s="511"/>
      <c r="C220" s="497" t="s">
        <v>9200</v>
      </c>
      <c r="D220" s="497" t="s">
        <v>4311</v>
      </c>
      <c r="E220" s="497">
        <f t="shared" si="20"/>
        <v>6</v>
      </c>
      <c r="F220" s="512">
        <v>27</v>
      </c>
      <c r="G220" s="497"/>
      <c r="H220" s="497">
        <f t="shared" ca="1" si="21"/>
        <v>61</v>
      </c>
      <c r="I220" s="513"/>
      <c r="J220" s="513"/>
      <c r="K220" s="500"/>
      <c r="L220" s="503"/>
      <c r="M220" s="514"/>
      <c r="N220" s="503"/>
      <c r="O220" s="497" t="str">
        <f ca="1">IFERROR(IF(COUNTA($D$56:$D220)=1,"",OFFSET($C218,-COUNTA($D$56:$D220)+3,0)),"")</f>
        <v/>
      </c>
      <c r="P220" s="497">
        <f t="shared" si="22"/>
        <v>162</v>
      </c>
      <c r="Q220" s="497"/>
      <c r="R220" s="497"/>
      <c r="S220" s="497"/>
      <c r="T220" s="497" t="b">
        <v>0</v>
      </c>
    </row>
    <row r="221" spans="1:20" x14ac:dyDescent="0.35">
      <c r="A221" s="497" t="b">
        <v>0</v>
      </c>
      <c r="B221" s="511"/>
      <c r="C221" s="497" t="s">
        <v>9201</v>
      </c>
      <c r="D221" s="497" t="s">
        <v>4647</v>
      </c>
      <c r="E221" s="497">
        <f t="shared" si="20"/>
        <v>1</v>
      </c>
      <c r="F221" s="512">
        <v>28</v>
      </c>
      <c r="G221" s="497"/>
      <c r="H221" s="497">
        <f t="shared" ca="1" si="21"/>
        <v>63</v>
      </c>
      <c r="I221" s="513"/>
      <c r="J221" s="513"/>
      <c r="K221" s="500"/>
      <c r="L221" s="503"/>
      <c r="M221" s="514"/>
      <c r="N221" s="503"/>
      <c r="O221" s="497" t="str">
        <f ca="1">IFERROR(IF(COUNTA($D$56:$D221)=1,"",OFFSET($C219,-COUNTA($D$56:$D221)+3,0)),"")</f>
        <v/>
      </c>
      <c r="P221" s="497">
        <f t="shared" si="22"/>
        <v>163</v>
      </c>
      <c r="Q221" s="497"/>
      <c r="R221" s="497"/>
      <c r="S221" s="497"/>
      <c r="T221" s="497" t="b">
        <v>0</v>
      </c>
    </row>
    <row r="222" spans="1:20" x14ac:dyDescent="0.35">
      <c r="A222" s="497" t="b">
        <v>0</v>
      </c>
      <c r="B222" s="511"/>
      <c r="C222" s="497" t="s">
        <v>9202</v>
      </c>
      <c r="D222" s="497" t="s">
        <v>4647</v>
      </c>
      <c r="E222" s="497">
        <f t="shared" si="20"/>
        <v>2</v>
      </c>
      <c r="F222" s="512">
        <v>28</v>
      </c>
      <c r="G222" s="497"/>
      <c r="H222" s="497">
        <f t="shared" ca="1" si="21"/>
        <v>63</v>
      </c>
      <c r="I222" s="513"/>
      <c r="J222" s="513"/>
      <c r="K222" s="500"/>
      <c r="L222" s="503"/>
      <c r="M222" s="514"/>
      <c r="N222" s="503"/>
      <c r="O222" s="497" t="str">
        <f ca="1">IFERROR(IF(COUNTA($D$56:$D222)=1,"",OFFSET($C220,-COUNTA($D$56:$D222)+3,0)),"")</f>
        <v/>
      </c>
      <c r="P222" s="497">
        <f t="shared" si="22"/>
        <v>164</v>
      </c>
      <c r="Q222" s="497"/>
      <c r="R222" s="497"/>
      <c r="S222" s="497"/>
      <c r="T222" s="497" t="b">
        <v>0</v>
      </c>
    </row>
    <row r="223" spans="1:20" x14ac:dyDescent="0.35">
      <c r="A223" s="497" t="b">
        <v>0</v>
      </c>
      <c r="B223" s="511"/>
      <c r="C223" s="497" t="s">
        <v>9203</v>
      </c>
      <c r="D223" s="497" t="s">
        <v>4647</v>
      </c>
      <c r="E223" s="497">
        <f t="shared" si="20"/>
        <v>3</v>
      </c>
      <c r="F223" s="512">
        <v>28</v>
      </c>
      <c r="G223" s="497"/>
      <c r="H223" s="497">
        <f t="shared" ca="1" si="21"/>
        <v>63</v>
      </c>
      <c r="I223" s="513"/>
      <c r="J223" s="513"/>
      <c r="K223" s="500"/>
      <c r="L223" s="503"/>
      <c r="M223" s="514"/>
      <c r="N223" s="503"/>
      <c r="O223" s="497" t="str">
        <f ca="1">IFERROR(IF(COUNTA($D$56:$D223)=1,"",OFFSET($C221,-COUNTA($D$56:$D223)+3,0)),"")</f>
        <v/>
      </c>
      <c r="P223" s="497">
        <f t="shared" si="22"/>
        <v>165</v>
      </c>
      <c r="Q223" s="497"/>
      <c r="R223" s="497"/>
      <c r="S223" s="497"/>
      <c r="T223" s="497" t="b">
        <v>0</v>
      </c>
    </row>
    <row r="224" spans="1:20" x14ac:dyDescent="0.35">
      <c r="A224" s="497" t="b">
        <v>0</v>
      </c>
      <c r="B224" s="511"/>
      <c r="C224" s="497" t="s">
        <v>9204</v>
      </c>
      <c r="D224" s="497" t="s">
        <v>4647</v>
      </c>
      <c r="E224" s="497">
        <f t="shared" si="20"/>
        <v>4</v>
      </c>
      <c r="F224" s="512">
        <v>28</v>
      </c>
      <c r="G224" s="497"/>
      <c r="H224" s="497">
        <f t="shared" ca="1" si="21"/>
        <v>63</v>
      </c>
      <c r="I224" s="513"/>
      <c r="J224" s="513"/>
      <c r="K224" s="500"/>
      <c r="L224" s="503"/>
      <c r="M224" s="514"/>
      <c r="N224" s="503"/>
      <c r="O224" s="497" t="str">
        <f ca="1">IFERROR(IF(COUNTA($D$56:$D224)=1,"",OFFSET($C222,-COUNTA($D$56:$D224)+3,0)),"")</f>
        <v/>
      </c>
      <c r="P224" s="497">
        <f t="shared" si="22"/>
        <v>166</v>
      </c>
      <c r="Q224" s="497"/>
      <c r="R224" s="497"/>
      <c r="S224" s="497"/>
      <c r="T224" s="497" t="b">
        <v>0</v>
      </c>
    </row>
    <row r="225" spans="1:20" x14ac:dyDescent="0.35">
      <c r="A225" s="497" t="b">
        <v>0</v>
      </c>
      <c r="B225" s="511"/>
      <c r="C225" s="497" t="s">
        <v>9205</v>
      </c>
      <c r="D225" s="497" t="s">
        <v>4647</v>
      </c>
      <c r="E225" s="497">
        <f t="shared" si="20"/>
        <v>5</v>
      </c>
      <c r="F225" s="512">
        <v>28</v>
      </c>
      <c r="G225" s="497"/>
      <c r="H225" s="497">
        <f t="shared" ca="1" si="21"/>
        <v>63</v>
      </c>
      <c r="I225" s="513"/>
      <c r="J225" s="513"/>
      <c r="K225" s="500"/>
      <c r="L225" s="503"/>
      <c r="M225" s="514"/>
      <c r="N225" s="503"/>
      <c r="O225" s="497" t="str">
        <f ca="1">IFERROR(IF(COUNTA($D$56:$D225)=1,"",OFFSET($C223,-COUNTA($D$56:$D225)+3,0)),"")</f>
        <v/>
      </c>
      <c r="P225" s="497">
        <f t="shared" si="22"/>
        <v>167</v>
      </c>
      <c r="Q225" s="497"/>
      <c r="R225" s="497"/>
      <c r="S225" s="497"/>
      <c r="T225" s="497" t="b">
        <v>0</v>
      </c>
    </row>
    <row r="226" spans="1:20" x14ac:dyDescent="0.35">
      <c r="A226" s="497" t="b">
        <v>0</v>
      </c>
      <c r="B226" s="511"/>
      <c r="C226" s="497" t="s">
        <v>9206</v>
      </c>
      <c r="D226" s="497" t="s">
        <v>4647</v>
      </c>
      <c r="E226" s="497">
        <f t="shared" si="20"/>
        <v>6</v>
      </c>
      <c r="F226" s="512">
        <v>28</v>
      </c>
      <c r="G226" s="497"/>
      <c r="H226" s="497">
        <f t="shared" ca="1" si="21"/>
        <v>63</v>
      </c>
      <c r="I226" s="513"/>
      <c r="J226" s="513"/>
      <c r="K226" s="500"/>
      <c r="L226" s="503"/>
      <c r="M226" s="514"/>
      <c r="N226" s="503"/>
      <c r="O226" s="497" t="str">
        <f ca="1">IFERROR(IF(COUNTA($D$56:$D226)=1,"",OFFSET($C224,-COUNTA($D$56:$D226)+3,0)),"")</f>
        <v/>
      </c>
      <c r="P226" s="497">
        <f t="shared" si="22"/>
        <v>168</v>
      </c>
      <c r="Q226" s="497"/>
      <c r="R226" s="497"/>
      <c r="S226" s="497"/>
      <c r="T226" s="497" t="b">
        <v>0</v>
      </c>
    </row>
    <row r="227" spans="1:20" x14ac:dyDescent="0.35">
      <c r="A227" s="497" t="b">
        <v>0</v>
      </c>
      <c r="B227" s="511"/>
      <c r="C227" s="497" t="s">
        <v>9207</v>
      </c>
      <c r="D227" s="497" t="s">
        <v>4332</v>
      </c>
      <c r="E227" s="497">
        <f t="shared" si="20"/>
        <v>1</v>
      </c>
      <c r="F227" s="512">
        <v>29</v>
      </c>
      <c r="G227" s="497"/>
      <c r="H227" s="497">
        <f t="shared" ca="1" si="21"/>
        <v>65</v>
      </c>
      <c r="I227" s="513"/>
      <c r="J227" s="513"/>
      <c r="K227" s="500"/>
      <c r="L227" s="503"/>
      <c r="M227" s="514"/>
      <c r="N227" s="503"/>
      <c r="O227" s="497" t="str">
        <f ca="1">IFERROR(IF(COUNTA($D$56:$D227)=1,"",OFFSET($C225,-COUNTA($D$56:$D227)+3,0)),"")</f>
        <v/>
      </c>
      <c r="P227" s="497">
        <f t="shared" si="22"/>
        <v>169</v>
      </c>
      <c r="Q227" s="497"/>
      <c r="R227" s="497"/>
      <c r="S227" s="497"/>
      <c r="T227" s="497" t="b">
        <v>0</v>
      </c>
    </row>
    <row r="228" spans="1:20" x14ac:dyDescent="0.35">
      <c r="A228" s="497" t="b">
        <v>0</v>
      </c>
      <c r="B228" s="511"/>
      <c r="C228" s="497" t="s">
        <v>9208</v>
      </c>
      <c r="D228" s="497" t="s">
        <v>4332</v>
      </c>
      <c r="E228" s="497">
        <f t="shared" si="20"/>
        <v>2</v>
      </c>
      <c r="F228" s="512">
        <v>29</v>
      </c>
      <c r="G228" s="497"/>
      <c r="H228" s="497">
        <f t="shared" ca="1" si="21"/>
        <v>65</v>
      </c>
      <c r="I228" s="513"/>
      <c r="J228" s="513"/>
      <c r="K228" s="500"/>
      <c r="L228" s="503"/>
      <c r="M228" s="514"/>
      <c r="N228" s="503"/>
      <c r="O228" s="497" t="str">
        <f ca="1">IFERROR(IF(COUNTA($D$56:$D228)=1,"",OFFSET($C226,-COUNTA($D$56:$D228)+3,0)),"")</f>
        <v/>
      </c>
      <c r="P228" s="497">
        <f t="shared" si="22"/>
        <v>170</v>
      </c>
      <c r="Q228" s="497"/>
      <c r="R228" s="497"/>
      <c r="S228" s="497"/>
      <c r="T228" s="497" t="b">
        <v>0</v>
      </c>
    </row>
    <row r="229" spans="1:20" x14ac:dyDescent="0.35">
      <c r="A229" s="497" t="b">
        <v>0</v>
      </c>
      <c r="B229" s="511"/>
      <c r="C229" s="497" t="s">
        <v>9209</v>
      </c>
      <c r="D229" s="497" t="s">
        <v>4332</v>
      </c>
      <c r="E229" s="497">
        <f t="shared" si="20"/>
        <v>3</v>
      </c>
      <c r="F229" s="512">
        <v>29</v>
      </c>
      <c r="G229" s="497"/>
      <c r="H229" s="497">
        <f t="shared" ca="1" si="21"/>
        <v>65</v>
      </c>
      <c r="I229" s="513"/>
      <c r="J229" s="513"/>
      <c r="K229" s="500"/>
      <c r="L229" s="503"/>
      <c r="M229" s="514"/>
      <c r="N229" s="503"/>
      <c r="O229" s="497" t="str">
        <f ca="1">IFERROR(IF(COUNTA($D$56:$D229)=1,"",OFFSET($C227,-COUNTA($D$56:$D229)+3,0)),"")</f>
        <v/>
      </c>
      <c r="P229" s="497">
        <f t="shared" si="22"/>
        <v>171</v>
      </c>
      <c r="Q229" s="497"/>
      <c r="R229" s="497"/>
      <c r="S229" s="497"/>
      <c r="T229" s="497" t="b">
        <v>0</v>
      </c>
    </row>
    <row r="230" spans="1:20" x14ac:dyDescent="0.35">
      <c r="A230" s="497" t="b">
        <v>0</v>
      </c>
      <c r="B230" s="511"/>
      <c r="C230" s="497" t="s">
        <v>9210</v>
      </c>
      <c r="D230" s="497" t="s">
        <v>4332</v>
      </c>
      <c r="E230" s="497">
        <f t="shared" si="20"/>
        <v>4</v>
      </c>
      <c r="F230" s="512">
        <v>29</v>
      </c>
      <c r="G230" s="497"/>
      <c r="H230" s="497">
        <f t="shared" ca="1" si="21"/>
        <v>65</v>
      </c>
      <c r="I230" s="513"/>
      <c r="J230" s="513"/>
      <c r="K230" s="500"/>
      <c r="L230" s="503"/>
      <c r="M230" s="514"/>
      <c r="N230" s="503"/>
      <c r="O230" s="497" t="str">
        <f ca="1">IFERROR(IF(COUNTA($D$56:$D230)=1,"",OFFSET($C228,-COUNTA($D$56:$D230)+3,0)),"")</f>
        <v/>
      </c>
      <c r="P230" s="497">
        <f t="shared" si="22"/>
        <v>172</v>
      </c>
      <c r="Q230" s="497"/>
      <c r="R230" s="497"/>
      <c r="S230" s="497"/>
      <c r="T230" s="497" t="b">
        <v>0</v>
      </c>
    </row>
    <row r="231" spans="1:20" x14ac:dyDescent="0.35">
      <c r="A231" s="497" t="b">
        <v>0</v>
      </c>
      <c r="B231" s="511"/>
      <c r="C231" s="497" t="s">
        <v>9211</v>
      </c>
      <c r="D231" s="497" t="s">
        <v>4332</v>
      </c>
      <c r="E231" s="497">
        <f t="shared" si="20"/>
        <v>5</v>
      </c>
      <c r="F231" s="512">
        <v>29</v>
      </c>
      <c r="G231" s="497"/>
      <c r="H231" s="497">
        <f t="shared" ca="1" si="21"/>
        <v>65</v>
      </c>
      <c r="I231" s="513"/>
      <c r="J231" s="513"/>
      <c r="K231" s="500"/>
      <c r="L231" s="503"/>
      <c r="M231" s="514"/>
      <c r="N231" s="503"/>
      <c r="O231" s="497" t="str">
        <f ca="1">IFERROR(IF(COUNTA($D$56:$D231)=1,"",OFFSET($C229,-COUNTA($D$56:$D231)+3,0)),"")</f>
        <v/>
      </c>
      <c r="P231" s="497">
        <f t="shared" si="22"/>
        <v>173</v>
      </c>
      <c r="Q231" s="497"/>
      <c r="R231" s="497"/>
      <c r="S231" s="497"/>
      <c r="T231" s="497" t="b">
        <v>0</v>
      </c>
    </row>
    <row r="232" spans="1:20" x14ac:dyDescent="0.35">
      <c r="A232" s="497" t="b">
        <v>0</v>
      </c>
      <c r="B232" s="511"/>
      <c r="C232" s="497" t="s">
        <v>9212</v>
      </c>
      <c r="D232" s="497" t="s">
        <v>4332</v>
      </c>
      <c r="E232" s="497">
        <f t="shared" si="20"/>
        <v>6</v>
      </c>
      <c r="F232" s="512">
        <v>29</v>
      </c>
      <c r="G232" s="497"/>
      <c r="H232" s="497">
        <f t="shared" ca="1" si="21"/>
        <v>65</v>
      </c>
      <c r="I232" s="513"/>
      <c r="J232" s="513"/>
      <c r="K232" s="500"/>
      <c r="L232" s="503"/>
      <c r="M232" s="514"/>
      <c r="N232" s="503"/>
      <c r="O232" s="497" t="str">
        <f ca="1">IFERROR(IF(COUNTA($D$56:$D232)=1,"",OFFSET($C230,-COUNTA($D$56:$D232)+3,0)),"")</f>
        <v/>
      </c>
      <c r="P232" s="497">
        <f t="shared" si="22"/>
        <v>174</v>
      </c>
      <c r="Q232" s="497"/>
      <c r="R232" s="497"/>
      <c r="S232" s="497"/>
      <c r="T232" s="497" t="b">
        <v>0</v>
      </c>
    </row>
    <row r="233" spans="1:20" x14ac:dyDescent="0.35">
      <c r="A233" s="497" t="b">
        <v>0</v>
      </c>
      <c r="B233" s="511"/>
      <c r="C233" s="497" t="s">
        <v>9213</v>
      </c>
      <c r="D233" s="497" t="s">
        <v>4605</v>
      </c>
      <c r="E233" s="497">
        <f t="shared" si="20"/>
        <v>1</v>
      </c>
      <c r="F233" s="512">
        <v>30</v>
      </c>
      <c r="G233" s="497"/>
      <c r="H233" s="497">
        <f t="shared" ca="1" si="21"/>
        <v>67</v>
      </c>
      <c r="I233" s="513"/>
      <c r="J233" s="513"/>
      <c r="K233" s="500"/>
      <c r="L233" s="503"/>
      <c r="M233" s="514"/>
      <c r="N233" s="503"/>
      <c r="O233" s="497" t="str">
        <f ca="1">IFERROR(IF(COUNTA($D$56:$D233)=1,"",OFFSET($C231,-COUNTA($D$56:$D233)+3,0)),"")</f>
        <v/>
      </c>
      <c r="P233" s="497">
        <f t="shared" si="22"/>
        <v>175</v>
      </c>
      <c r="Q233" s="497"/>
      <c r="R233" s="497"/>
      <c r="S233" s="497"/>
      <c r="T233" s="497" t="b">
        <v>0</v>
      </c>
    </row>
    <row r="234" spans="1:20" x14ac:dyDescent="0.35">
      <c r="A234" s="497" t="b">
        <v>0</v>
      </c>
      <c r="B234" s="511"/>
      <c r="C234" s="497" t="s">
        <v>9214</v>
      </c>
      <c r="D234" s="497" t="s">
        <v>4605</v>
      </c>
      <c r="E234" s="497">
        <f t="shared" si="20"/>
        <v>2</v>
      </c>
      <c r="F234" s="512">
        <v>30</v>
      </c>
      <c r="G234" s="497"/>
      <c r="H234" s="497">
        <f t="shared" ca="1" si="21"/>
        <v>67</v>
      </c>
      <c r="I234" s="513"/>
      <c r="J234" s="513"/>
      <c r="K234" s="500"/>
      <c r="L234" s="503"/>
      <c r="M234" s="514"/>
      <c r="N234" s="503"/>
      <c r="O234" s="497" t="str">
        <f ca="1">IFERROR(IF(COUNTA($D$56:$D234)=1,"",OFFSET($C232,-COUNTA($D$56:$D234)+3,0)),"")</f>
        <v/>
      </c>
      <c r="P234" s="497">
        <f t="shared" si="22"/>
        <v>176</v>
      </c>
      <c r="Q234" s="497"/>
      <c r="R234" s="497"/>
      <c r="S234" s="497"/>
      <c r="T234" s="497" t="b">
        <v>0</v>
      </c>
    </row>
    <row r="235" spans="1:20" x14ac:dyDescent="0.35">
      <c r="A235" s="497" t="b">
        <v>0</v>
      </c>
      <c r="B235" s="511"/>
      <c r="C235" s="497" t="s">
        <v>9215</v>
      </c>
      <c r="D235" s="497" t="s">
        <v>4605</v>
      </c>
      <c r="E235" s="497">
        <f t="shared" si="20"/>
        <v>3</v>
      </c>
      <c r="F235" s="512">
        <v>30</v>
      </c>
      <c r="G235" s="497"/>
      <c r="H235" s="497">
        <f t="shared" ca="1" si="21"/>
        <v>67</v>
      </c>
      <c r="I235" s="513"/>
      <c r="J235" s="513"/>
      <c r="K235" s="500"/>
      <c r="L235" s="503"/>
      <c r="M235" s="514"/>
      <c r="N235" s="503"/>
      <c r="O235" s="497" t="str">
        <f ca="1">IFERROR(IF(COUNTA($D$56:$D235)=1,"",OFFSET($C233,-COUNTA($D$56:$D235)+3,0)),"")</f>
        <v/>
      </c>
      <c r="P235" s="497">
        <f t="shared" si="22"/>
        <v>177</v>
      </c>
      <c r="Q235" s="497"/>
      <c r="R235" s="497"/>
      <c r="S235" s="497"/>
      <c r="T235" s="497" t="b">
        <v>0</v>
      </c>
    </row>
    <row r="236" spans="1:20" x14ac:dyDescent="0.35">
      <c r="A236" s="497" t="b">
        <v>0</v>
      </c>
      <c r="B236" s="511"/>
      <c r="C236" s="497" t="s">
        <v>9216</v>
      </c>
      <c r="D236" s="497" t="s">
        <v>4605</v>
      </c>
      <c r="E236" s="497">
        <f t="shared" si="20"/>
        <v>4</v>
      </c>
      <c r="F236" s="512">
        <v>30</v>
      </c>
      <c r="G236" s="497"/>
      <c r="H236" s="497">
        <f t="shared" ca="1" si="21"/>
        <v>67</v>
      </c>
      <c r="I236" s="513"/>
      <c r="J236" s="513"/>
      <c r="K236" s="500"/>
      <c r="L236" s="503"/>
      <c r="M236" s="514"/>
      <c r="N236" s="503"/>
      <c r="O236" s="497" t="str">
        <f ca="1">IFERROR(IF(COUNTA($D$56:$D236)=1,"",OFFSET($C234,-COUNTA($D$56:$D236)+3,0)),"")</f>
        <v/>
      </c>
      <c r="P236" s="497">
        <f t="shared" si="22"/>
        <v>178</v>
      </c>
      <c r="Q236" s="497"/>
      <c r="R236" s="497"/>
      <c r="S236" s="497"/>
      <c r="T236" s="497" t="b">
        <v>0</v>
      </c>
    </row>
    <row r="237" spans="1:20" x14ac:dyDescent="0.35">
      <c r="A237" s="497" t="b">
        <v>0</v>
      </c>
      <c r="B237" s="511"/>
      <c r="C237" s="497" t="s">
        <v>9217</v>
      </c>
      <c r="D237" s="497" t="s">
        <v>4605</v>
      </c>
      <c r="E237" s="497">
        <f t="shared" si="20"/>
        <v>5</v>
      </c>
      <c r="F237" s="512">
        <v>30</v>
      </c>
      <c r="G237" s="497"/>
      <c r="H237" s="497">
        <f t="shared" ca="1" si="21"/>
        <v>67</v>
      </c>
      <c r="I237" s="513"/>
      <c r="J237" s="513"/>
      <c r="K237" s="500"/>
      <c r="L237" s="503"/>
      <c r="M237" s="514"/>
      <c r="N237" s="503"/>
      <c r="O237" s="497" t="str">
        <f ca="1">IFERROR(IF(COUNTA($D$56:$D237)=1,"",OFFSET($C235,-COUNTA($D$56:$D237)+3,0)),"")</f>
        <v/>
      </c>
      <c r="P237" s="497">
        <f t="shared" si="22"/>
        <v>179</v>
      </c>
      <c r="Q237" s="497"/>
      <c r="R237" s="497"/>
      <c r="S237" s="497"/>
      <c r="T237" s="497" t="b">
        <v>0</v>
      </c>
    </row>
    <row r="238" spans="1:20" x14ac:dyDescent="0.35">
      <c r="A238" s="497" t="b">
        <v>0</v>
      </c>
      <c r="B238" s="511"/>
      <c r="C238" s="497" t="s">
        <v>9218</v>
      </c>
      <c r="D238" s="497" t="s">
        <v>4605</v>
      </c>
      <c r="E238" s="497">
        <f t="shared" si="20"/>
        <v>6</v>
      </c>
      <c r="F238" s="512">
        <v>30</v>
      </c>
      <c r="G238" s="497"/>
      <c r="H238" s="497">
        <f t="shared" ca="1" si="21"/>
        <v>67</v>
      </c>
      <c r="I238" s="513"/>
      <c r="J238" s="513"/>
      <c r="K238" s="500"/>
      <c r="L238" s="503"/>
      <c r="M238" s="514"/>
      <c r="N238" s="503"/>
      <c r="O238" s="497" t="str">
        <f ca="1">IFERROR(IF(COUNTA($D$56:$D238)=1,"",OFFSET($C236,-COUNTA($D$56:$D238)+3,0)),"")</f>
        <v/>
      </c>
      <c r="P238" s="497">
        <f t="shared" si="22"/>
        <v>180</v>
      </c>
      <c r="Q238" s="497"/>
      <c r="R238" s="497"/>
      <c r="S238" s="497"/>
      <c r="T238" s="497" t="b">
        <v>0</v>
      </c>
    </row>
    <row r="239" spans="1:20" x14ac:dyDescent="0.35">
      <c r="A239" s="497" t="b">
        <f t="shared" ref="A239:A302" ca="1" si="23">IF(OR(I239&lt;&gt;"",J239&lt;&gt;"",K239&lt;&gt;"",M239&lt;&gt;"",N239&lt;&gt;""),TRUE,FALSE)</f>
        <v>1</v>
      </c>
      <c r="B239" s="511"/>
      <c r="C239" s="510" t="str">
        <f t="shared" ref="C239:C302" ca="1" si="24">O239</f>
        <v>a1H3p000009F889EAC</v>
      </c>
      <c r="D239" s="497"/>
      <c r="E239" s="497">
        <f t="shared" ca="1" si="20"/>
        <v>1</v>
      </c>
      <c r="F239" s="512">
        <f ca="1">IFERROR(IF(COUNTA($D$56:$D239)=1,"",OFFSET($F237,-COUNTA($D$56:$D239)+3,0)),"")</f>
        <v>1</v>
      </c>
      <c r="G239" s="497"/>
      <c r="H239" s="497">
        <f t="shared" ca="1" si="21"/>
        <v>9</v>
      </c>
      <c r="I239" s="513" t="str">
        <f t="shared" ref="I239:I302" ca="1" si="25">IFERROR(CHOOSE(E239,IFERROR(IF(INDIRECT("'Impact Indicators - Section B '!K"&amp;H239+1)="","",INDIRECT("'Impact Indicators - Section B '!K"&amp;H239+1)),""),IFERROR(IF(INDIRECT("'Impact Indicators - Section B '!O"&amp;H239+1)="","",INDIRECT("'Impact Indicators - Section B '!O"&amp;H239+1)),""),IFERROR(IF(INDIRECT("'Impact Indicators - Section B '!S"&amp;H239+1)="","",INDIRECT("'Impact Indicators - Section B '!S"&amp;H239+1)),""),IFERROR(IF(INDIRECT("'Impact Indicators - Section B '!W"&amp;H239+1)="","",INDIRECT("'Impact Indicators - Section B '!W"&amp;H239+1)),"")),"")</f>
        <v/>
      </c>
      <c r="J239" s="513" t="str">
        <f t="shared" ref="J239:J302" ca="1" si="26">IFERROR(CHOOSE(E239,IFERROR(IF(INDIRECT("'Impact Indicators - Section B '!K"&amp;H239)="","",INDIRECT("'Impact Indicators - Section B '!K"&amp;H239)),""),IFERROR(IF(INDIRECT("'Impact Indicators - Section B '!O"&amp;H239)="","",INDIRECT("'Impact Indicators - Section B '!O"&amp;H239)),""),IFERROR(IF(INDIRECT("'Impact Indicators - Section B '!S"&amp;H239)="","",INDIRECT("'Impact Indicators - Section B '!S"&amp;H239)),""),IFERROR(IF(INDIRECT("'Impact Indicators - Section B '!W"&amp;H239)="","",INDIRECT("'Impact Indicators - Section B '!W"&amp;H239)),"")),"")</f>
        <v/>
      </c>
      <c r="K239" s="500">
        <f t="shared" ref="K239:K302" ca="1" si="27">IFERROR(CHOOSE(E239,IFERROR(IF(INDIRECT("'Impact Indicators - Section B '!L"&amp;H239)="","",INDIRECT("'Impact Indicators - Section B '!L"&amp;H239)*100),""),IFERROR(IF(INDIRECT("'Impact Indicators - Section B '!P"&amp;H239)="","",INDIRECT("'Impact Indicators - Section B '!P"&amp;H239)*100),""),IFERROR(IF(INDIRECT("'Impact Indicators - Section B '!T"&amp;H239)="","",INDIRECT("'Impact Indicators - Section B '!T"&amp;H239)*100),""),IFERROR(IF(INDIRECT("'Impact Indicators - Section B '!X"&amp;H239)="","",INDIRECT("'Impact Indicators - Section B '!X"&amp;H239)*100),"")),"")</f>
        <v>21.54</v>
      </c>
      <c r="L239" s="503">
        <f ca="1">IFERROR(CHOOSE(E239,'Impact Indicators - Section B '!$K$7,'Impact Indicators - Section B '!$O$7,'Impact Indicators - Section B '!$S$7,'Impact Indicators - Section B '!$W$7),"")</f>
        <v>2022</v>
      </c>
      <c r="M239" s="514">
        <f t="shared" ref="M239:M302" ca="1" si="28">IFERROR(CHOOSE(E239,IFERROR(IF(INDIRECT("'Impact Indicators - Section B '!M"&amp;H239)="","",INDIRECT("'Impact Indicators - Section B '!M"&amp;H239)),""),IFERROR(IF(INDIRECT("'Impact Indicators - Section B '!Q"&amp;H239)="","",INDIRECT("'Impact Indicators - Section B '!Q"&amp;H239)),""),IFERROR(IF(INDIRECT("'Impact Indicators - Section B '!U"&amp;H239)="","",INDIRECT("'Impact Indicators - Section B '!U"&amp;H239)),""),IFERROR(IF(INDIRECT("'Impact Indicators - Section B '!Y"&amp;H239)="","",INDIRECT("'Impact Indicators - Section B '!Y"&amp;H239)),"")),"")</f>
        <v>44986</v>
      </c>
      <c r="N239" s="503" t="str">
        <f t="shared" ref="N239:N302" ca="1" si="29">IFERROR(CHOOSE(E239,IFERROR(IF(INDIRECT("'Impact Indicators - Section B '!N"&amp;H239)=0,"",INDIRECT("'Impact Indicators - Section B '!N"&amp;H239)),""),IFERROR(IF(INDIRECT("'Impact Indicators - Section B '!R"&amp;H239)=0,"",INDIRECT("'Impact Indicators - Section B '!R"&amp;H239)),""),IFERROR(IF(INDIRECT("'Impact Indicators - Section B '!V"&amp;H239)=0,"",INDIRECT("'Impact Indicators - Section B '!V"&amp;H239)),""),IFERROR(IF(INDIRECT("'Impact Indicators - Section B '!Z"&amp;H239)=0,"",INDIRECT("'Impact Indicators - Section B '!Z"&amp;H239)),"")),"")</f>
        <v/>
      </c>
      <c r="O239" s="497" t="str">
        <f ca="1">IFERROR(IF(COUNTA($D$56:$D239)=1,"",OFFSET($C237,-COUNTA($D$56:$D239)+3,0)),"")</f>
        <v>a1H3p000009F889EAC</v>
      </c>
      <c r="P239" s="497">
        <f t="shared" si="22"/>
        <v>0</v>
      </c>
      <c r="Q239" s="497"/>
      <c r="R239" s="497"/>
      <c r="S239" s="497"/>
      <c r="T239" s="497" t="b">
        <f t="shared" ref="T239:T302" ca="1" si="30">IF(A239=TRUE,TRUE,FALSE)</f>
        <v>1</v>
      </c>
    </row>
    <row r="240" spans="1:20" x14ac:dyDescent="0.35">
      <c r="A240" s="497" t="b">
        <f t="shared" ca="1" si="23"/>
        <v>1</v>
      </c>
      <c r="B240" s="511"/>
      <c r="C240" s="510" t="str">
        <f t="shared" ca="1" si="24"/>
        <v>a1H3p000009F88dEAC</v>
      </c>
      <c r="D240" s="497"/>
      <c r="E240" s="497">
        <f t="shared" ca="1" si="20"/>
        <v>2</v>
      </c>
      <c r="F240" s="512">
        <f ca="1">IFERROR(IF(COUNTA($D$56:$D240)=1,"",OFFSET($F238,-COUNTA($D$56:$D240)+3,0)),"")</f>
        <v>1</v>
      </c>
      <c r="G240" s="497"/>
      <c r="H240" s="497">
        <f t="shared" ca="1" si="21"/>
        <v>9</v>
      </c>
      <c r="I240" s="513" t="str">
        <f t="shared" ca="1" si="25"/>
        <v/>
      </c>
      <c r="J240" s="513" t="str">
        <f t="shared" ca="1" si="26"/>
        <v/>
      </c>
      <c r="K240" s="500">
        <f t="shared" ca="1" si="27"/>
        <v>22.54</v>
      </c>
      <c r="L240" s="503">
        <f ca="1">IFERROR(CHOOSE(E240,'Impact Indicators - Section B '!$K$7,'Impact Indicators - Section B '!$O$7,'Impact Indicators - Section B '!$S$7,'Impact Indicators - Section B '!$W$7),"")</f>
        <v>2023</v>
      </c>
      <c r="M240" s="514">
        <f t="shared" ca="1" si="28"/>
        <v>45351</v>
      </c>
      <c r="N240" s="503" t="str">
        <f t="shared" ca="1" si="29"/>
        <v/>
      </c>
      <c r="O240" s="497" t="str">
        <f ca="1">IFERROR(IF(COUNTA($D$56:$D240)=1,"",OFFSET($C238,-COUNTA($D$56:$D240)+3,0)),"")</f>
        <v>a1H3p000009F88dEAC</v>
      </c>
      <c r="P240" s="497">
        <f t="shared" si="22"/>
        <v>0</v>
      </c>
      <c r="Q240" s="497"/>
      <c r="R240" s="497"/>
      <c r="S240" s="497"/>
      <c r="T240" s="497" t="b">
        <f t="shared" ca="1" si="30"/>
        <v>1</v>
      </c>
    </row>
    <row r="241" spans="1:20" x14ac:dyDescent="0.35">
      <c r="A241" s="497" t="b">
        <f t="shared" ca="1" si="23"/>
        <v>1</v>
      </c>
      <c r="B241" s="511"/>
      <c r="C241" s="510" t="str">
        <f t="shared" ca="1" si="24"/>
        <v>a1H3p000009F897EAC</v>
      </c>
      <c r="D241" s="497"/>
      <c r="E241" s="497">
        <f t="shared" ca="1" si="20"/>
        <v>3</v>
      </c>
      <c r="F241" s="512">
        <f ca="1">IFERROR(IF(COUNTA($D$56:$D241)=1,"",OFFSET($F239,-COUNTA($D$56:$D241)+3,0)),"")</f>
        <v>1</v>
      </c>
      <c r="G241" s="497"/>
      <c r="H241" s="497">
        <f t="shared" ca="1" si="21"/>
        <v>9</v>
      </c>
      <c r="I241" s="513" t="str">
        <f t="shared" ca="1" si="25"/>
        <v/>
      </c>
      <c r="J241" s="513" t="str">
        <f t="shared" ca="1" si="26"/>
        <v/>
      </c>
      <c r="K241" s="500">
        <f t="shared" ca="1" si="27"/>
        <v>23.54</v>
      </c>
      <c r="L241" s="503">
        <f ca="1">IFERROR(CHOOSE(E241,'Impact Indicators - Section B '!$K$7,'Impact Indicators - Section B '!$O$7,'Impact Indicators - Section B '!$S$7,'Impact Indicators - Section B '!$W$7),"")</f>
        <v>2024</v>
      </c>
      <c r="M241" s="514">
        <f t="shared" ca="1" si="28"/>
        <v>45716</v>
      </c>
      <c r="N241" s="503" t="str">
        <f t="shared" ca="1" si="29"/>
        <v/>
      </c>
      <c r="O241" s="497" t="str">
        <f ca="1">IFERROR(IF(COUNTA($D$56:$D241)=1,"",OFFSET($C239,-COUNTA($D$56:$D241)+3,0)),"")</f>
        <v>a1H3p000009F897EAC</v>
      </c>
      <c r="P241" s="497">
        <f t="shared" si="22"/>
        <v>0</v>
      </c>
      <c r="Q241" s="497"/>
      <c r="R241" s="497"/>
      <c r="S241" s="497"/>
      <c r="T241" s="497" t="b">
        <f t="shared" ca="1" si="30"/>
        <v>1</v>
      </c>
    </row>
    <row r="242" spans="1:20" x14ac:dyDescent="0.35">
      <c r="A242" s="497" t="b">
        <f t="shared" ca="1" si="23"/>
        <v>0</v>
      </c>
      <c r="B242" s="511"/>
      <c r="C242" s="510" t="str">
        <f t="shared" ca="1" si="24"/>
        <v>a1H3p000009F89bEAC</v>
      </c>
      <c r="D242" s="497"/>
      <c r="E242" s="497">
        <f t="shared" ca="1" si="20"/>
        <v>4</v>
      </c>
      <c r="F242" s="512">
        <f ca="1">IFERROR(IF(COUNTA($D$56:$D242)=1,"",OFFSET($F240,-COUNTA($D$56:$D242)+3,0)),"")</f>
        <v>1</v>
      </c>
      <c r="G242" s="497"/>
      <c r="H242" s="497">
        <f t="shared" ca="1" si="21"/>
        <v>9</v>
      </c>
      <c r="I242" s="513" t="str">
        <f t="shared" ca="1" si="25"/>
        <v/>
      </c>
      <c r="J242" s="513" t="str">
        <f t="shared" ca="1" si="26"/>
        <v/>
      </c>
      <c r="K242" s="500" t="str">
        <f t="shared" ca="1" si="27"/>
        <v/>
      </c>
      <c r="L242" s="503" t="str">
        <f ca="1">IFERROR(CHOOSE(E242,'Impact Indicators - Section B '!$K$7,'Impact Indicators - Section B '!$O$7,'Impact Indicators - Section B '!$S$7,'Impact Indicators - Section B '!$W$7),"")</f>
        <v/>
      </c>
      <c r="M242" s="514" t="str">
        <f t="shared" ca="1" si="28"/>
        <v/>
      </c>
      <c r="N242" s="503" t="str">
        <f t="shared" ca="1" si="29"/>
        <v/>
      </c>
      <c r="O242" s="497" t="str">
        <f ca="1">IFERROR(IF(COUNTA($D$56:$D242)=1,"",OFFSET($C240,-COUNTA($D$56:$D242)+3,0)),"")</f>
        <v>a1H3p000009F89bEAC</v>
      </c>
      <c r="P242" s="497">
        <f t="shared" si="22"/>
        <v>0</v>
      </c>
      <c r="Q242" s="497"/>
      <c r="R242" s="497"/>
      <c r="S242" s="497"/>
      <c r="T242" s="497" t="b">
        <f t="shared" ca="1" si="30"/>
        <v>0</v>
      </c>
    </row>
    <row r="243" spans="1:20" x14ac:dyDescent="0.35">
      <c r="A243" s="497" t="b">
        <f t="shared" ca="1" si="23"/>
        <v>0</v>
      </c>
      <c r="B243" s="511"/>
      <c r="C243" s="510" t="str">
        <f t="shared" ca="1" si="24"/>
        <v>a1H3p000009F8A5EAK</v>
      </c>
      <c r="D243" s="497"/>
      <c r="E243" s="497">
        <f t="shared" ca="1" si="20"/>
        <v>5</v>
      </c>
      <c r="F243" s="512">
        <f ca="1">IFERROR(IF(COUNTA($D$56:$D243)=1,"",OFFSET($F241,-COUNTA($D$56:$D243)+3,0)),"")</f>
        <v>1</v>
      </c>
      <c r="G243" s="497"/>
      <c r="H243" s="497">
        <f t="shared" ca="1" si="21"/>
        <v>9</v>
      </c>
      <c r="I243" s="513" t="str">
        <f t="shared" ca="1" si="25"/>
        <v/>
      </c>
      <c r="J243" s="513" t="str">
        <f t="shared" ca="1" si="26"/>
        <v/>
      </c>
      <c r="K243" s="500" t="str">
        <f t="shared" ca="1" si="27"/>
        <v/>
      </c>
      <c r="L243" s="503" t="str">
        <f ca="1">IFERROR(CHOOSE(E243,'Impact Indicators - Section B '!$K$7,'Impact Indicators - Section B '!$O$7,'Impact Indicators - Section B '!$S$7,'Impact Indicators - Section B '!$W$7),"")</f>
        <v/>
      </c>
      <c r="M243" s="514" t="str">
        <f t="shared" ca="1" si="28"/>
        <v/>
      </c>
      <c r="N243" s="503" t="str">
        <f t="shared" ca="1" si="29"/>
        <v/>
      </c>
      <c r="O243" s="497" t="str">
        <f ca="1">IFERROR(IF(COUNTA($D$56:$D243)=1,"",OFFSET($C241,-COUNTA($D$56:$D243)+3,0)),"")</f>
        <v>a1H3p000009F8A5EAK</v>
      </c>
      <c r="P243" s="497">
        <f t="shared" si="22"/>
        <v>0</v>
      </c>
      <c r="Q243" s="497"/>
      <c r="R243" s="497"/>
      <c r="S243" s="497"/>
      <c r="T243" s="497" t="b">
        <f t="shared" ca="1" si="30"/>
        <v>0</v>
      </c>
    </row>
    <row r="244" spans="1:20" x14ac:dyDescent="0.35">
      <c r="A244" s="497" t="b">
        <f t="shared" ca="1" si="23"/>
        <v>0</v>
      </c>
      <c r="B244" s="511"/>
      <c r="C244" s="510" t="str">
        <f t="shared" ca="1" si="24"/>
        <v>a1H3p000009F8AZEA0</v>
      </c>
      <c r="D244" s="497"/>
      <c r="E244" s="497">
        <f t="shared" ca="1" si="20"/>
        <v>6</v>
      </c>
      <c r="F244" s="512">
        <f ca="1">IFERROR(IF(COUNTA($D$56:$D244)=1,"",OFFSET($F242,-COUNTA($D$56:$D244)+3,0)),"")</f>
        <v>1</v>
      </c>
      <c r="G244" s="497"/>
      <c r="H244" s="497">
        <f t="shared" ca="1" si="21"/>
        <v>9</v>
      </c>
      <c r="I244" s="513" t="str">
        <f t="shared" ca="1" si="25"/>
        <v/>
      </c>
      <c r="J244" s="513" t="str">
        <f t="shared" ca="1" si="26"/>
        <v/>
      </c>
      <c r="K244" s="500" t="str">
        <f t="shared" ca="1" si="27"/>
        <v/>
      </c>
      <c r="L244" s="503" t="str">
        <f ca="1">IFERROR(CHOOSE(E244,'Impact Indicators - Section B '!$K$7,'Impact Indicators - Section B '!$O$7,'Impact Indicators - Section B '!$S$7,'Impact Indicators - Section B '!$W$7),"")</f>
        <v/>
      </c>
      <c r="M244" s="514" t="str">
        <f t="shared" ca="1" si="28"/>
        <v/>
      </c>
      <c r="N244" s="503" t="str">
        <f t="shared" ca="1" si="29"/>
        <v/>
      </c>
      <c r="O244" s="497" t="str">
        <f ca="1">IFERROR(IF(COUNTA($D$56:$D244)=1,"",OFFSET($C242,-COUNTA($D$56:$D244)+3,0)),"")</f>
        <v>a1H3p000009F8AZEA0</v>
      </c>
      <c r="P244" s="497">
        <f t="shared" si="22"/>
        <v>0</v>
      </c>
      <c r="Q244" s="497"/>
      <c r="R244" s="497"/>
      <c r="S244" s="497"/>
      <c r="T244" s="497" t="b">
        <f t="shared" ca="1" si="30"/>
        <v>0</v>
      </c>
    </row>
    <row r="245" spans="1:20" x14ac:dyDescent="0.35">
      <c r="A245" s="497" t="b">
        <f t="shared" ca="1" si="23"/>
        <v>1</v>
      </c>
      <c r="B245" s="511"/>
      <c r="C245" s="510" t="str">
        <f t="shared" ca="1" si="24"/>
        <v>a1H3p000009F88AEAS</v>
      </c>
      <c r="D245" s="497"/>
      <c r="E245" s="497">
        <f t="shared" ca="1" si="20"/>
        <v>1</v>
      </c>
      <c r="F245" s="512">
        <f ca="1">IFERROR(IF(COUNTA($D$56:$D245)=1,"",OFFSET($F243,-COUNTA($D$56:$D245)+3,0)),"")</f>
        <v>2</v>
      </c>
      <c r="G245" s="497"/>
      <c r="H245" s="497">
        <f t="shared" ca="1" si="21"/>
        <v>11</v>
      </c>
      <c r="I245" s="513" t="str">
        <f t="shared" ca="1" si="25"/>
        <v/>
      </c>
      <c r="J245" s="513" t="str">
        <f t="shared" ca="1" si="26"/>
        <v/>
      </c>
      <c r="K245" s="500">
        <f t="shared" ca="1" si="27"/>
        <v>28.189999999999998</v>
      </c>
      <c r="L245" s="503">
        <f ca="1">IFERROR(CHOOSE(E245,'Impact Indicators - Section B '!$K$7,'Impact Indicators - Section B '!$O$7,'Impact Indicators - Section B '!$S$7,'Impact Indicators - Section B '!$W$7),"")</f>
        <v>2022</v>
      </c>
      <c r="M245" s="514">
        <f t="shared" ca="1" si="28"/>
        <v>44986</v>
      </c>
      <c r="N245" s="503" t="str">
        <f t="shared" ca="1" si="29"/>
        <v/>
      </c>
      <c r="O245" s="497" t="str">
        <f ca="1">IFERROR(IF(COUNTA($D$56:$D245)=1,"",OFFSET($C243,-COUNTA($D$56:$D245)+3,0)),"")</f>
        <v>a1H3p000009F88AEAS</v>
      </c>
      <c r="P245" s="497">
        <f t="shared" si="22"/>
        <v>0</v>
      </c>
      <c r="Q245" s="497"/>
      <c r="R245" s="497"/>
      <c r="S245" s="497"/>
      <c r="T245" s="497" t="b">
        <f t="shared" ca="1" si="30"/>
        <v>1</v>
      </c>
    </row>
    <row r="246" spans="1:20" x14ac:dyDescent="0.35">
      <c r="A246" s="497" t="b">
        <f t="shared" ca="1" si="23"/>
        <v>1</v>
      </c>
      <c r="B246" s="511"/>
      <c r="C246" s="510" t="str">
        <f t="shared" ca="1" si="24"/>
        <v>a1H3p000009F88eEAC</v>
      </c>
      <c r="D246" s="497"/>
      <c r="E246" s="497">
        <f t="shared" ca="1" si="20"/>
        <v>2</v>
      </c>
      <c r="F246" s="512">
        <f ca="1">IFERROR(IF(COUNTA($D$56:$D246)=1,"",OFFSET($F244,-COUNTA($D$56:$D246)+3,0)),"")</f>
        <v>2</v>
      </c>
      <c r="G246" s="497"/>
      <c r="H246" s="497">
        <f t="shared" ca="1" si="21"/>
        <v>11</v>
      </c>
      <c r="I246" s="513" t="str">
        <f t="shared" ca="1" si="25"/>
        <v/>
      </c>
      <c r="J246" s="513" t="str">
        <f t="shared" ca="1" si="26"/>
        <v/>
      </c>
      <c r="K246" s="500">
        <f t="shared" ca="1" si="27"/>
        <v>29.69</v>
      </c>
      <c r="L246" s="503">
        <f ca="1">IFERROR(CHOOSE(E246,'Impact Indicators - Section B '!$K$7,'Impact Indicators - Section B '!$O$7,'Impact Indicators - Section B '!$S$7,'Impact Indicators - Section B '!$W$7),"")</f>
        <v>2023</v>
      </c>
      <c r="M246" s="514">
        <f t="shared" ca="1" si="28"/>
        <v>45351</v>
      </c>
      <c r="N246" s="503" t="str">
        <f t="shared" ca="1" si="29"/>
        <v/>
      </c>
      <c r="O246" s="497" t="str">
        <f ca="1">IFERROR(IF(COUNTA($D$56:$D246)=1,"",OFFSET($C244,-COUNTA($D$56:$D246)+3,0)),"")</f>
        <v>a1H3p000009F88eEAC</v>
      </c>
      <c r="P246" s="497">
        <f t="shared" si="22"/>
        <v>0</v>
      </c>
      <c r="Q246" s="497"/>
      <c r="R246" s="497"/>
      <c r="S246" s="497"/>
      <c r="T246" s="497" t="b">
        <f t="shared" ca="1" si="30"/>
        <v>1</v>
      </c>
    </row>
    <row r="247" spans="1:20" x14ac:dyDescent="0.35">
      <c r="A247" s="497" t="b">
        <f t="shared" ca="1" si="23"/>
        <v>1</v>
      </c>
      <c r="B247" s="511"/>
      <c r="C247" s="510" t="str">
        <f t="shared" ca="1" si="24"/>
        <v>a1H3p000009F898EAC</v>
      </c>
      <c r="D247" s="497"/>
      <c r="E247" s="497">
        <f t="shared" ca="1" si="20"/>
        <v>3</v>
      </c>
      <c r="F247" s="512">
        <f ca="1">IFERROR(IF(COUNTA($D$56:$D247)=1,"",OFFSET($F245,-COUNTA($D$56:$D247)+3,0)),"")</f>
        <v>2</v>
      </c>
      <c r="G247" s="497"/>
      <c r="H247" s="497">
        <f t="shared" ca="1" si="21"/>
        <v>11</v>
      </c>
      <c r="I247" s="513" t="str">
        <f t="shared" ca="1" si="25"/>
        <v/>
      </c>
      <c r="J247" s="513" t="str">
        <f t="shared" ca="1" si="26"/>
        <v/>
      </c>
      <c r="K247" s="500">
        <f t="shared" ca="1" si="27"/>
        <v>30.19</v>
      </c>
      <c r="L247" s="503">
        <f ca="1">IFERROR(CHOOSE(E247,'Impact Indicators - Section B '!$K$7,'Impact Indicators - Section B '!$O$7,'Impact Indicators - Section B '!$S$7,'Impact Indicators - Section B '!$W$7),"")</f>
        <v>2024</v>
      </c>
      <c r="M247" s="514">
        <f t="shared" ca="1" si="28"/>
        <v>45716</v>
      </c>
      <c r="N247" s="503" t="str">
        <f t="shared" ca="1" si="29"/>
        <v/>
      </c>
      <c r="O247" s="497" t="str">
        <f ca="1">IFERROR(IF(COUNTA($D$56:$D247)=1,"",OFFSET($C245,-COUNTA($D$56:$D247)+3,0)),"")</f>
        <v>a1H3p000009F898EAC</v>
      </c>
      <c r="P247" s="497">
        <f t="shared" si="22"/>
        <v>0</v>
      </c>
      <c r="Q247" s="497"/>
      <c r="R247" s="497"/>
      <c r="S247" s="497"/>
      <c r="T247" s="497" t="b">
        <f t="shared" ca="1" si="30"/>
        <v>1</v>
      </c>
    </row>
    <row r="248" spans="1:20" x14ac:dyDescent="0.35">
      <c r="A248" s="497" t="b">
        <f t="shared" ca="1" si="23"/>
        <v>0</v>
      </c>
      <c r="B248" s="511"/>
      <c r="C248" s="510" t="str">
        <f t="shared" ca="1" si="24"/>
        <v>a1H3p000009F89cEAC</v>
      </c>
      <c r="D248" s="497"/>
      <c r="E248" s="497">
        <f t="shared" ca="1" si="20"/>
        <v>4</v>
      </c>
      <c r="F248" s="512">
        <f ca="1">IFERROR(IF(COUNTA($D$56:$D248)=1,"",OFFSET($F246,-COUNTA($D$56:$D248)+3,0)),"")</f>
        <v>2</v>
      </c>
      <c r="G248" s="497"/>
      <c r="H248" s="497">
        <f t="shared" ca="1" si="21"/>
        <v>11</v>
      </c>
      <c r="I248" s="513" t="str">
        <f t="shared" ca="1" si="25"/>
        <v/>
      </c>
      <c r="J248" s="513" t="str">
        <f t="shared" ca="1" si="26"/>
        <v/>
      </c>
      <c r="K248" s="500" t="str">
        <f t="shared" ca="1" si="27"/>
        <v/>
      </c>
      <c r="L248" s="503" t="str">
        <f ca="1">IFERROR(CHOOSE(E248,'Impact Indicators - Section B '!$K$7,'Impact Indicators - Section B '!$O$7,'Impact Indicators - Section B '!$S$7,'Impact Indicators - Section B '!$W$7),"")</f>
        <v/>
      </c>
      <c r="M248" s="514" t="str">
        <f t="shared" ca="1" si="28"/>
        <v/>
      </c>
      <c r="N248" s="503" t="str">
        <f t="shared" ca="1" si="29"/>
        <v/>
      </c>
      <c r="O248" s="497" t="str">
        <f ca="1">IFERROR(IF(COUNTA($D$56:$D248)=1,"",OFFSET($C246,-COUNTA($D$56:$D248)+3,0)),"")</f>
        <v>a1H3p000009F89cEAC</v>
      </c>
      <c r="P248" s="497">
        <f t="shared" si="22"/>
        <v>0</v>
      </c>
      <c r="Q248" s="497"/>
      <c r="R248" s="497"/>
      <c r="S248" s="497"/>
      <c r="T248" s="497" t="b">
        <f t="shared" ca="1" si="30"/>
        <v>0</v>
      </c>
    </row>
    <row r="249" spans="1:20" x14ac:dyDescent="0.35">
      <c r="A249" s="497" t="b">
        <f t="shared" ca="1" si="23"/>
        <v>0</v>
      </c>
      <c r="B249" s="511"/>
      <c r="C249" s="510" t="str">
        <f t="shared" ca="1" si="24"/>
        <v>a1H3p000009F8A6EAK</v>
      </c>
      <c r="D249" s="497"/>
      <c r="E249" s="497">
        <f t="shared" ca="1" si="20"/>
        <v>5</v>
      </c>
      <c r="F249" s="512">
        <f ca="1">IFERROR(IF(COUNTA($D$56:$D249)=1,"",OFFSET($F247,-COUNTA($D$56:$D249)+3,0)),"")</f>
        <v>2</v>
      </c>
      <c r="G249" s="497"/>
      <c r="H249" s="497">
        <f t="shared" ca="1" si="21"/>
        <v>11</v>
      </c>
      <c r="I249" s="513" t="str">
        <f t="shared" ca="1" si="25"/>
        <v/>
      </c>
      <c r="J249" s="513" t="str">
        <f t="shared" ca="1" si="26"/>
        <v/>
      </c>
      <c r="K249" s="500" t="str">
        <f t="shared" ca="1" si="27"/>
        <v/>
      </c>
      <c r="L249" s="503" t="str">
        <f ca="1">IFERROR(CHOOSE(E249,'Impact Indicators - Section B '!$K$7,'Impact Indicators - Section B '!$O$7,'Impact Indicators - Section B '!$S$7,'Impact Indicators - Section B '!$W$7),"")</f>
        <v/>
      </c>
      <c r="M249" s="514" t="str">
        <f t="shared" ca="1" si="28"/>
        <v/>
      </c>
      <c r="N249" s="503" t="str">
        <f t="shared" ca="1" si="29"/>
        <v/>
      </c>
      <c r="O249" s="497" t="str">
        <f ca="1">IFERROR(IF(COUNTA($D$56:$D249)=1,"",OFFSET($C247,-COUNTA($D$56:$D249)+3,0)),"")</f>
        <v>a1H3p000009F8A6EAK</v>
      </c>
      <c r="P249" s="497">
        <f t="shared" si="22"/>
        <v>0</v>
      </c>
      <c r="Q249" s="497"/>
      <c r="R249" s="497"/>
      <c r="S249" s="497"/>
      <c r="T249" s="497" t="b">
        <f t="shared" ca="1" si="30"/>
        <v>0</v>
      </c>
    </row>
    <row r="250" spans="1:20" x14ac:dyDescent="0.35">
      <c r="A250" s="497" t="b">
        <f t="shared" ca="1" si="23"/>
        <v>0</v>
      </c>
      <c r="B250" s="511"/>
      <c r="C250" s="510" t="str">
        <f t="shared" ca="1" si="24"/>
        <v>a1H3p000009F8AaEAK</v>
      </c>
      <c r="D250" s="497"/>
      <c r="E250" s="497">
        <f t="shared" ca="1" si="20"/>
        <v>6</v>
      </c>
      <c r="F250" s="512">
        <f ca="1">IFERROR(IF(COUNTA($D$56:$D250)=1,"",OFFSET($F248,-COUNTA($D$56:$D250)+3,0)),"")</f>
        <v>2</v>
      </c>
      <c r="G250" s="497"/>
      <c r="H250" s="497">
        <f t="shared" ca="1" si="21"/>
        <v>11</v>
      </c>
      <c r="I250" s="513" t="str">
        <f t="shared" ca="1" si="25"/>
        <v/>
      </c>
      <c r="J250" s="513" t="str">
        <f t="shared" ca="1" si="26"/>
        <v/>
      </c>
      <c r="K250" s="500" t="str">
        <f t="shared" ca="1" si="27"/>
        <v/>
      </c>
      <c r="L250" s="503" t="str">
        <f ca="1">IFERROR(CHOOSE(E250,'Impact Indicators - Section B '!$K$7,'Impact Indicators - Section B '!$O$7,'Impact Indicators - Section B '!$S$7,'Impact Indicators - Section B '!$W$7),"")</f>
        <v/>
      </c>
      <c r="M250" s="514" t="str">
        <f t="shared" ca="1" si="28"/>
        <v/>
      </c>
      <c r="N250" s="503" t="str">
        <f t="shared" ca="1" si="29"/>
        <v/>
      </c>
      <c r="O250" s="497" t="str">
        <f ca="1">IFERROR(IF(COUNTA($D$56:$D250)=1,"",OFFSET($C248,-COUNTA($D$56:$D250)+3,0)),"")</f>
        <v>a1H3p000009F8AaEAK</v>
      </c>
      <c r="P250" s="497">
        <f t="shared" si="22"/>
        <v>0</v>
      </c>
      <c r="Q250" s="497"/>
      <c r="R250" s="497"/>
      <c r="S250" s="497"/>
      <c r="T250" s="497" t="b">
        <f t="shared" ca="1" si="30"/>
        <v>0</v>
      </c>
    </row>
    <row r="251" spans="1:20" x14ac:dyDescent="0.35">
      <c r="A251" s="497" t="b">
        <f t="shared" ca="1" si="23"/>
        <v>1</v>
      </c>
      <c r="B251" s="511"/>
      <c r="C251" s="510" t="str">
        <f t="shared" ca="1" si="24"/>
        <v>a1H3p000009F88BEAS</v>
      </c>
      <c r="D251" s="497"/>
      <c r="E251" s="497">
        <f t="shared" ref="E251:E314" ca="1" si="31">COUNTIF(F242:F251,F251)</f>
        <v>1</v>
      </c>
      <c r="F251" s="512">
        <f ca="1">IFERROR(IF(COUNTA($D$56:$D251)=1,"",OFFSET($F249,-COUNTA($D$56:$D251)+3,0)),"")</f>
        <v>3</v>
      </c>
      <c r="G251" s="497"/>
      <c r="H251" s="497">
        <f t="shared" ref="H251:H314" ca="1" si="32">IF(F251=1,9,IF(E250=MAX(E249:E251),H249+2,H250))</f>
        <v>13</v>
      </c>
      <c r="I251" s="513" t="str">
        <f t="shared" ca="1" si="25"/>
        <v/>
      </c>
      <c r="J251" s="513">
        <f t="shared" ca="1" si="26"/>
        <v>0.93</v>
      </c>
      <c r="K251" s="500" t="str">
        <f t="shared" ca="1" si="27"/>
        <v/>
      </c>
      <c r="L251" s="503">
        <f ca="1">IFERROR(CHOOSE(E251,'Impact Indicators - Section B '!$K$7,'Impact Indicators - Section B '!$O$7,'Impact Indicators - Section B '!$S$7,'Impact Indicators - Section B '!$W$7),"")</f>
        <v>2022</v>
      </c>
      <c r="M251" s="514">
        <f t="shared" ca="1" si="28"/>
        <v>45015</v>
      </c>
      <c r="N251" s="503" t="str">
        <f t="shared" ca="1" si="29"/>
        <v/>
      </c>
      <c r="O251" s="497" t="str">
        <f ca="1">IFERROR(IF(COUNTA($D$56:$D251)=1,"",OFFSET($C249,-COUNTA($D$56:$D251)+3,0)),"")</f>
        <v>a1H3p000009F88BEAS</v>
      </c>
      <c r="P251" s="497">
        <f t="shared" ref="P251:P314" si="33">IF(NOT(_xlfn.ISFORMULA(I251)),P250+1,0)</f>
        <v>0</v>
      </c>
      <c r="Q251" s="497"/>
      <c r="R251" s="497"/>
      <c r="S251" s="497"/>
      <c r="T251" s="497" t="b">
        <f t="shared" ca="1" si="30"/>
        <v>1</v>
      </c>
    </row>
    <row r="252" spans="1:20" x14ac:dyDescent="0.35">
      <c r="A252" s="497" t="b">
        <f t="shared" ca="1" si="23"/>
        <v>1</v>
      </c>
      <c r="B252" s="511"/>
      <c r="C252" s="510" t="str">
        <f t="shared" ca="1" si="24"/>
        <v>a1H3p000009F88fEAC</v>
      </c>
      <c r="D252" s="497"/>
      <c r="E252" s="497">
        <f t="shared" ca="1" si="31"/>
        <v>2</v>
      </c>
      <c r="F252" s="512">
        <f ca="1">IFERROR(IF(COUNTA($D$56:$D252)=1,"",OFFSET($F250,-COUNTA($D$56:$D252)+3,0)),"")</f>
        <v>3</v>
      </c>
      <c r="G252" s="497"/>
      <c r="H252" s="497">
        <f t="shared" ca="1" si="32"/>
        <v>13</v>
      </c>
      <c r="I252" s="513" t="str">
        <f t="shared" ca="1" si="25"/>
        <v/>
      </c>
      <c r="J252" s="513">
        <f t="shared" ca="1" si="26"/>
        <v>0.9</v>
      </c>
      <c r="K252" s="500" t="str">
        <f t="shared" ca="1" si="27"/>
        <v/>
      </c>
      <c r="L252" s="503">
        <f ca="1">IFERROR(CHOOSE(E252,'Impact Indicators - Section B '!$K$7,'Impact Indicators - Section B '!$O$7,'Impact Indicators - Section B '!$S$7,'Impact Indicators - Section B '!$W$7),"")</f>
        <v>2023</v>
      </c>
      <c r="M252" s="514">
        <f t="shared" ca="1" si="28"/>
        <v>45381</v>
      </c>
      <c r="N252" s="503" t="str">
        <f t="shared" ca="1" si="29"/>
        <v/>
      </c>
      <c r="O252" s="497" t="str">
        <f ca="1">IFERROR(IF(COUNTA($D$56:$D252)=1,"",OFFSET($C250,-COUNTA($D$56:$D252)+3,0)),"")</f>
        <v>a1H3p000009F88fEAC</v>
      </c>
      <c r="P252" s="497">
        <f t="shared" si="33"/>
        <v>0</v>
      </c>
      <c r="Q252" s="497"/>
      <c r="R252" s="497"/>
      <c r="S252" s="497"/>
      <c r="T252" s="497" t="b">
        <f t="shared" ca="1" si="30"/>
        <v>1</v>
      </c>
    </row>
    <row r="253" spans="1:20" x14ac:dyDescent="0.35">
      <c r="A253" s="497" t="b">
        <f t="shared" ca="1" si="23"/>
        <v>1</v>
      </c>
      <c r="B253" s="511"/>
      <c r="C253" s="510" t="str">
        <f t="shared" ca="1" si="24"/>
        <v>a1H3p000009F899EAC</v>
      </c>
      <c r="D253" s="497"/>
      <c r="E253" s="497">
        <f t="shared" ca="1" si="31"/>
        <v>3</v>
      </c>
      <c r="F253" s="512">
        <f ca="1">IFERROR(IF(COUNTA($D$56:$D253)=1,"",OFFSET($F251,-COUNTA($D$56:$D253)+3,0)),"")</f>
        <v>3</v>
      </c>
      <c r="G253" s="497"/>
      <c r="H253" s="497">
        <f t="shared" ca="1" si="32"/>
        <v>13</v>
      </c>
      <c r="I253" s="513" t="str">
        <f t="shared" ca="1" si="25"/>
        <v/>
      </c>
      <c r="J253" s="513">
        <f t="shared" ca="1" si="26"/>
        <v>0.85</v>
      </c>
      <c r="K253" s="500" t="str">
        <f t="shared" ca="1" si="27"/>
        <v/>
      </c>
      <c r="L253" s="503">
        <f ca="1">IFERROR(CHOOSE(E253,'Impact Indicators - Section B '!$K$7,'Impact Indicators - Section B '!$O$7,'Impact Indicators - Section B '!$S$7,'Impact Indicators - Section B '!$W$7),"")</f>
        <v>2024</v>
      </c>
      <c r="M253" s="514">
        <f t="shared" ca="1" si="28"/>
        <v>45746</v>
      </c>
      <c r="N253" s="503" t="str">
        <f t="shared" ca="1" si="29"/>
        <v/>
      </c>
      <c r="O253" s="497" t="str">
        <f ca="1">IFERROR(IF(COUNTA($D$56:$D253)=1,"",OFFSET($C251,-COUNTA($D$56:$D253)+3,0)),"")</f>
        <v>a1H3p000009F899EAC</v>
      </c>
      <c r="P253" s="497">
        <f t="shared" si="33"/>
        <v>0</v>
      </c>
      <c r="Q253" s="497"/>
      <c r="R253" s="497"/>
      <c r="S253" s="497"/>
      <c r="T253" s="497" t="b">
        <f t="shared" ca="1" si="30"/>
        <v>1</v>
      </c>
    </row>
    <row r="254" spans="1:20" x14ac:dyDescent="0.35">
      <c r="A254" s="497" t="b">
        <f t="shared" ca="1" si="23"/>
        <v>0</v>
      </c>
      <c r="B254" s="511"/>
      <c r="C254" s="510" t="str">
        <f t="shared" ca="1" si="24"/>
        <v>a1H3p000009F89dEAC</v>
      </c>
      <c r="D254" s="497"/>
      <c r="E254" s="497">
        <f t="shared" ca="1" si="31"/>
        <v>4</v>
      </c>
      <c r="F254" s="512">
        <f ca="1">IFERROR(IF(COUNTA($D$56:$D254)=1,"",OFFSET($F252,-COUNTA($D$56:$D254)+3,0)),"")</f>
        <v>3</v>
      </c>
      <c r="G254" s="497"/>
      <c r="H254" s="497">
        <f t="shared" ca="1" si="32"/>
        <v>13</v>
      </c>
      <c r="I254" s="513" t="str">
        <f t="shared" ca="1" si="25"/>
        <v/>
      </c>
      <c r="J254" s="513" t="str">
        <f t="shared" ca="1" si="26"/>
        <v/>
      </c>
      <c r="K254" s="500" t="str">
        <f t="shared" ca="1" si="27"/>
        <v/>
      </c>
      <c r="L254" s="503" t="str">
        <f ca="1">IFERROR(CHOOSE(E254,'Impact Indicators - Section B '!$K$7,'Impact Indicators - Section B '!$O$7,'Impact Indicators - Section B '!$S$7,'Impact Indicators - Section B '!$W$7),"")</f>
        <v/>
      </c>
      <c r="M254" s="514" t="str">
        <f t="shared" ca="1" si="28"/>
        <v/>
      </c>
      <c r="N254" s="503" t="str">
        <f t="shared" ca="1" si="29"/>
        <v/>
      </c>
      <c r="O254" s="497" t="str">
        <f ca="1">IFERROR(IF(COUNTA($D$56:$D254)=1,"",OFFSET($C252,-COUNTA($D$56:$D254)+3,0)),"")</f>
        <v>a1H3p000009F89dEAC</v>
      </c>
      <c r="P254" s="497">
        <f t="shared" si="33"/>
        <v>0</v>
      </c>
      <c r="Q254" s="497"/>
      <c r="R254" s="497"/>
      <c r="S254" s="497"/>
      <c r="T254" s="497" t="b">
        <f t="shared" ca="1" si="30"/>
        <v>0</v>
      </c>
    </row>
    <row r="255" spans="1:20" x14ac:dyDescent="0.35">
      <c r="A255" s="497" t="b">
        <f t="shared" ca="1" si="23"/>
        <v>0</v>
      </c>
      <c r="B255" s="511"/>
      <c r="C255" s="510" t="str">
        <f t="shared" ca="1" si="24"/>
        <v>a1H3p000009F8A7EAK</v>
      </c>
      <c r="D255" s="497"/>
      <c r="E255" s="497">
        <f t="shared" ca="1" si="31"/>
        <v>5</v>
      </c>
      <c r="F255" s="512">
        <f ca="1">IFERROR(IF(COUNTA($D$56:$D255)=1,"",OFFSET($F253,-COUNTA($D$56:$D255)+3,0)),"")</f>
        <v>3</v>
      </c>
      <c r="G255" s="497"/>
      <c r="H255" s="497">
        <f t="shared" ca="1" si="32"/>
        <v>13</v>
      </c>
      <c r="I255" s="513" t="str">
        <f t="shared" ca="1" si="25"/>
        <v/>
      </c>
      <c r="J255" s="513" t="str">
        <f t="shared" ca="1" si="26"/>
        <v/>
      </c>
      <c r="K255" s="500" t="str">
        <f t="shared" ca="1" si="27"/>
        <v/>
      </c>
      <c r="L255" s="503" t="str">
        <f ca="1">IFERROR(CHOOSE(E255,'Impact Indicators - Section B '!$K$7,'Impact Indicators - Section B '!$O$7,'Impact Indicators - Section B '!$S$7,'Impact Indicators - Section B '!$W$7),"")</f>
        <v/>
      </c>
      <c r="M255" s="514" t="str">
        <f t="shared" ca="1" si="28"/>
        <v/>
      </c>
      <c r="N255" s="503" t="str">
        <f t="shared" ca="1" si="29"/>
        <v/>
      </c>
      <c r="O255" s="497" t="str">
        <f ca="1">IFERROR(IF(COUNTA($D$56:$D255)=1,"",OFFSET($C253,-COUNTA($D$56:$D255)+3,0)),"")</f>
        <v>a1H3p000009F8A7EAK</v>
      </c>
      <c r="P255" s="497">
        <f t="shared" si="33"/>
        <v>0</v>
      </c>
      <c r="Q255" s="497"/>
      <c r="R255" s="497"/>
      <c r="S255" s="497"/>
      <c r="T255" s="497" t="b">
        <f t="shared" ca="1" si="30"/>
        <v>0</v>
      </c>
    </row>
    <row r="256" spans="1:20" x14ac:dyDescent="0.35">
      <c r="A256" s="497" t="b">
        <f t="shared" ca="1" si="23"/>
        <v>0</v>
      </c>
      <c r="B256" s="511"/>
      <c r="C256" s="510" t="str">
        <f t="shared" ca="1" si="24"/>
        <v>a1H3p000009F8AbEAK</v>
      </c>
      <c r="D256" s="497"/>
      <c r="E256" s="497">
        <f t="shared" ca="1" si="31"/>
        <v>6</v>
      </c>
      <c r="F256" s="512">
        <f ca="1">IFERROR(IF(COUNTA($D$56:$D256)=1,"",OFFSET($F254,-COUNTA($D$56:$D256)+3,0)),"")</f>
        <v>3</v>
      </c>
      <c r="G256" s="497"/>
      <c r="H256" s="497">
        <f t="shared" ca="1" si="32"/>
        <v>13</v>
      </c>
      <c r="I256" s="513" t="str">
        <f t="shared" ca="1" si="25"/>
        <v/>
      </c>
      <c r="J256" s="513" t="str">
        <f t="shared" ca="1" si="26"/>
        <v/>
      </c>
      <c r="K256" s="500" t="str">
        <f t="shared" ca="1" si="27"/>
        <v/>
      </c>
      <c r="L256" s="503" t="str">
        <f ca="1">IFERROR(CHOOSE(E256,'Impact Indicators - Section B '!$K$7,'Impact Indicators - Section B '!$O$7,'Impact Indicators - Section B '!$S$7,'Impact Indicators - Section B '!$W$7),"")</f>
        <v/>
      </c>
      <c r="M256" s="514" t="str">
        <f t="shared" ca="1" si="28"/>
        <v/>
      </c>
      <c r="N256" s="503" t="str">
        <f t="shared" ca="1" si="29"/>
        <v/>
      </c>
      <c r="O256" s="497" t="str">
        <f ca="1">IFERROR(IF(COUNTA($D$56:$D256)=1,"",OFFSET($C254,-COUNTA($D$56:$D256)+3,0)),"")</f>
        <v>a1H3p000009F8AbEAK</v>
      </c>
      <c r="P256" s="497">
        <f t="shared" si="33"/>
        <v>0</v>
      </c>
      <c r="Q256" s="497"/>
      <c r="R256" s="497"/>
      <c r="S256" s="497"/>
      <c r="T256" s="497" t="b">
        <f t="shared" ca="1" si="30"/>
        <v>0</v>
      </c>
    </row>
    <row r="257" spans="1:20" x14ac:dyDescent="0.35">
      <c r="A257" s="497" t="b">
        <f t="shared" ca="1" si="23"/>
        <v>0</v>
      </c>
      <c r="B257" s="511"/>
      <c r="C257" s="510" t="str">
        <f t="shared" ca="1" si="24"/>
        <v>a1H3p000009F88CEAS</v>
      </c>
      <c r="D257" s="497"/>
      <c r="E257" s="497">
        <f t="shared" ca="1" si="31"/>
        <v>1</v>
      </c>
      <c r="F257" s="512">
        <f ca="1">IFERROR(IF(COUNTA($D$56:$D257)=1,"",OFFSET($F255,-COUNTA($D$56:$D257)+3,0)),"")</f>
        <v>4</v>
      </c>
      <c r="G257" s="497"/>
      <c r="H257" s="497">
        <f t="shared" ca="1" si="32"/>
        <v>15</v>
      </c>
      <c r="I257" s="513" t="str">
        <f t="shared" ca="1" si="25"/>
        <v/>
      </c>
      <c r="J257" s="513" t="str">
        <f t="shared" ca="1" si="26"/>
        <v/>
      </c>
      <c r="K257" s="500" t="str">
        <f t="shared" ca="1" si="27"/>
        <v/>
      </c>
      <c r="L257" s="503">
        <f ca="1">IFERROR(CHOOSE(E257,'Impact Indicators - Section B '!$K$7,'Impact Indicators - Section B '!$O$7,'Impact Indicators - Section B '!$S$7,'Impact Indicators - Section B '!$W$7),"")</f>
        <v>2022</v>
      </c>
      <c r="M257" s="514" t="str">
        <f t="shared" ca="1" si="28"/>
        <v/>
      </c>
      <c r="N257" s="503" t="str">
        <f t="shared" ca="1" si="29"/>
        <v/>
      </c>
      <c r="O257" s="497" t="str">
        <f ca="1">IFERROR(IF(COUNTA($D$56:$D257)=1,"",OFFSET($C255,-COUNTA($D$56:$D257)+3,0)),"")</f>
        <v>a1H3p000009F88CEAS</v>
      </c>
      <c r="P257" s="497">
        <f t="shared" si="33"/>
        <v>0</v>
      </c>
      <c r="Q257" s="497"/>
      <c r="R257" s="497"/>
      <c r="S257" s="497"/>
      <c r="T257" s="497" t="b">
        <f t="shared" ca="1" si="30"/>
        <v>0</v>
      </c>
    </row>
    <row r="258" spans="1:20" x14ac:dyDescent="0.35">
      <c r="A258" s="497" t="b">
        <f t="shared" ca="1" si="23"/>
        <v>0</v>
      </c>
      <c r="B258" s="511"/>
      <c r="C258" s="510" t="str">
        <f t="shared" ca="1" si="24"/>
        <v>a1H3p000009F88gEAC</v>
      </c>
      <c r="D258" s="497"/>
      <c r="E258" s="497">
        <f t="shared" ca="1" si="31"/>
        <v>2</v>
      </c>
      <c r="F258" s="512">
        <f ca="1">IFERROR(IF(COUNTA($D$56:$D258)=1,"",OFFSET($F256,-COUNTA($D$56:$D258)+3,0)),"")</f>
        <v>4</v>
      </c>
      <c r="G258" s="497"/>
      <c r="H258" s="497">
        <f t="shared" ca="1" si="32"/>
        <v>15</v>
      </c>
      <c r="I258" s="513" t="str">
        <f t="shared" ca="1" si="25"/>
        <v/>
      </c>
      <c r="J258" s="513" t="str">
        <f t="shared" ca="1" si="26"/>
        <v/>
      </c>
      <c r="K258" s="500" t="str">
        <f t="shared" ca="1" si="27"/>
        <v/>
      </c>
      <c r="L258" s="503">
        <f ca="1">IFERROR(CHOOSE(E258,'Impact Indicators - Section B '!$K$7,'Impact Indicators - Section B '!$O$7,'Impact Indicators - Section B '!$S$7,'Impact Indicators - Section B '!$W$7),"")</f>
        <v>2023</v>
      </c>
      <c r="M258" s="514" t="str">
        <f t="shared" ca="1" si="28"/>
        <v/>
      </c>
      <c r="N258" s="503" t="str">
        <f t="shared" ca="1" si="29"/>
        <v/>
      </c>
      <c r="O258" s="497" t="str">
        <f ca="1">IFERROR(IF(COUNTA($D$56:$D258)=1,"",OFFSET($C256,-COUNTA($D$56:$D258)+3,0)),"")</f>
        <v>a1H3p000009F88gEAC</v>
      </c>
      <c r="P258" s="497">
        <f t="shared" si="33"/>
        <v>0</v>
      </c>
      <c r="Q258" s="497"/>
      <c r="R258" s="497"/>
      <c r="S258" s="497"/>
      <c r="T258" s="497" t="b">
        <f t="shared" ca="1" si="30"/>
        <v>0</v>
      </c>
    </row>
    <row r="259" spans="1:20" x14ac:dyDescent="0.35">
      <c r="A259" s="497" t="b">
        <f t="shared" ca="1" si="23"/>
        <v>0</v>
      </c>
      <c r="B259" s="511"/>
      <c r="C259" s="510" t="str">
        <f t="shared" ca="1" si="24"/>
        <v>a1H3p000009F89AEAS</v>
      </c>
      <c r="D259" s="497"/>
      <c r="E259" s="497">
        <f t="shared" ca="1" si="31"/>
        <v>3</v>
      </c>
      <c r="F259" s="512">
        <f ca="1">IFERROR(IF(COUNTA($D$56:$D259)=1,"",OFFSET($F257,-COUNTA($D$56:$D259)+3,0)),"")</f>
        <v>4</v>
      </c>
      <c r="G259" s="497"/>
      <c r="H259" s="497">
        <f t="shared" ca="1" si="32"/>
        <v>15</v>
      </c>
      <c r="I259" s="513" t="str">
        <f t="shared" ca="1" si="25"/>
        <v/>
      </c>
      <c r="J259" s="513" t="str">
        <f t="shared" ca="1" si="26"/>
        <v/>
      </c>
      <c r="K259" s="500" t="str">
        <f t="shared" ca="1" si="27"/>
        <v/>
      </c>
      <c r="L259" s="503">
        <f ca="1">IFERROR(CHOOSE(E259,'Impact Indicators - Section B '!$K$7,'Impact Indicators - Section B '!$O$7,'Impact Indicators - Section B '!$S$7,'Impact Indicators - Section B '!$W$7),"")</f>
        <v>2024</v>
      </c>
      <c r="M259" s="514" t="str">
        <f t="shared" ca="1" si="28"/>
        <v/>
      </c>
      <c r="N259" s="503" t="str">
        <f t="shared" ca="1" si="29"/>
        <v/>
      </c>
      <c r="O259" s="497" t="str">
        <f ca="1">IFERROR(IF(COUNTA($D$56:$D259)=1,"",OFFSET($C257,-COUNTA($D$56:$D259)+3,0)),"")</f>
        <v>a1H3p000009F89AEAS</v>
      </c>
      <c r="P259" s="497">
        <f t="shared" si="33"/>
        <v>0</v>
      </c>
      <c r="Q259" s="497"/>
      <c r="R259" s="497"/>
      <c r="S259" s="497"/>
      <c r="T259" s="497" t="b">
        <f t="shared" ca="1" si="30"/>
        <v>0</v>
      </c>
    </row>
    <row r="260" spans="1:20" x14ac:dyDescent="0.35">
      <c r="A260" s="497" t="b">
        <f t="shared" ca="1" si="23"/>
        <v>0</v>
      </c>
      <c r="B260" s="511"/>
      <c r="C260" s="510" t="str">
        <f t="shared" ca="1" si="24"/>
        <v>a1H3p000009F89eEAC</v>
      </c>
      <c r="D260" s="497"/>
      <c r="E260" s="497">
        <f t="shared" ca="1" si="31"/>
        <v>4</v>
      </c>
      <c r="F260" s="512">
        <f ca="1">IFERROR(IF(COUNTA($D$56:$D260)=1,"",OFFSET($F258,-COUNTA($D$56:$D260)+3,0)),"")</f>
        <v>4</v>
      </c>
      <c r="G260" s="497"/>
      <c r="H260" s="497">
        <f t="shared" ca="1" si="32"/>
        <v>15</v>
      </c>
      <c r="I260" s="513" t="str">
        <f t="shared" ca="1" si="25"/>
        <v/>
      </c>
      <c r="J260" s="513" t="str">
        <f t="shared" ca="1" si="26"/>
        <v/>
      </c>
      <c r="K260" s="500" t="str">
        <f t="shared" ca="1" si="27"/>
        <v/>
      </c>
      <c r="L260" s="503" t="str">
        <f ca="1">IFERROR(CHOOSE(E260,'Impact Indicators - Section B '!$K$7,'Impact Indicators - Section B '!$O$7,'Impact Indicators - Section B '!$S$7,'Impact Indicators - Section B '!$W$7),"")</f>
        <v/>
      </c>
      <c r="M260" s="514" t="str">
        <f t="shared" ca="1" si="28"/>
        <v/>
      </c>
      <c r="N260" s="503" t="str">
        <f t="shared" ca="1" si="29"/>
        <v/>
      </c>
      <c r="O260" s="497" t="str">
        <f ca="1">IFERROR(IF(COUNTA($D$56:$D260)=1,"",OFFSET($C258,-COUNTA($D$56:$D260)+3,0)),"")</f>
        <v>a1H3p000009F89eEAC</v>
      </c>
      <c r="P260" s="497">
        <f t="shared" si="33"/>
        <v>0</v>
      </c>
      <c r="Q260" s="497"/>
      <c r="R260" s="497"/>
      <c r="S260" s="497"/>
      <c r="T260" s="497" t="b">
        <f t="shared" ca="1" si="30"/>
        <v>0</v>
      </c>
    </row>
    <row r="261" spans="1:20" x14ac:dyDescent="0.35">
      <c r="A261" s="497" t="b">
        <f t="shared" ca="1" si="23"/>
        <v>0</v>
      </c>
      <c r="B261" s="511"/>
      <c r="C261" s="510" t="str">
        <f t="shared" ca="1" si="24"/>
        <v>a1H3p000009F8A8EAK</v>
      </c>
      <c r="D261" s="497"/>
      <c r="E261" s="497">
        <f t="shared" ca="1" si="31"/>
        <v>5</v>
      </c>
      <c r="F261" s="512">
        <f ca="1">IFERROR(IF(COUNTA($D$56:$D261)=1,"",OFFSET($F259,-COUNTA($D$56:$D261)+3,0)),"")</f>
        <v>4</v>
      </c>
      <c r="G261" s="497"/>
      <c r="H261" s="497">
        <f t="shared" ca="1" si="32"/>
        <v>15</v>
      </c>
      <c r="I261" s="513" t="str">
        <f t="shared" ca="1" si="25"/>
        <v/>
      </c>
      <c r="J261" s="513" t="str">
        <f t="shared" ca="1" si="26"/>
        <v/>
      </c>
      <c r="K261" s="500" t="str">
        <f t="shared" ca="1" si="27"/>
        <v/>
      </c>
      <c r="L261" s="503" t="str">
        <f ca="1">IFERROR(CHOOSE(E261,'Impact Indicators - Section B '!$K$7,'Impact Indicators - Section B '!$O$7,'Impact Indicators - Section B '!$S$7,'Impact Indicators - Section B '!$W$7),"")</f>
        <v/>
      </c>
      <c r="M261" s="514" t="str">
        <f t="shared" ca="1" si="28"/>
        <v/>
      </c>
      <c r="N261" s="503" t="str">
        <f t="shared" ca="1" si="29"/>
        <v/>
      </c>
      <c r="O261" s="497" t="str">
        <f ca="1">IFERROR(IF(COUNTA($D$56:$D261)=1,"",OFFSET($C259,-COUNTA($D$56:$D261)+3,0)),"")</f>
        <v>a1H3p000009F8A8EAK</v>
      </c>
      <c r="P261" s="497">
        <f t="shared" si="33"/>
        <v>0</v>
      </c>
      <c r="Q261" s="497"/>
      <c r="R261" s="497"/>
      <c r="S261" s="497"/>
      <c r="T261" s="497" t="b">
        <f t="shared" ca="1" si="30"/>
        <v>0</v>
      </c>
    </row>
    <row r="262" spans="1:20" x14ac:dyDescent="0.35">
      <c r="A262" s="497" t="b">
        <f t="shared" ca="1" si="23"/>
        <v>0</v>
      </c>
      <c r="B262" s="511"/>
      <c r="C262" s="510" t="str">
        <f t="shared" ca="1" si="24"/>
        <v>a1H3p000009F8AcEAK</v>
      </c>
      <c r="D262" s="497"/>
      <c r="E262" s="497">
        <f t="shared" ca="1" si="31"/>
        <v>6</v>
      </c>
      <c r="F262" s="512">
        <f ca="1">IFERROR(IF(COUNTA($D$56:$D262)=1,"",OFFSET($F260,-COUNTA($D$56:$D262)+3,0)),"")</f>
        <v>4</v>
      </c>
      <c r="G262" s="497"/>
      <c r="H262" s="497">
        <f t="shared" ca="1" si="32"/>
        <v>15</v>
      </c>
      <c r="I262" s="513" t="str">
        <f t="shared" ca="1" si="25"/>
        <v/>
      </c>
      <c r="J262" s="513" t="str">
        <f t="shared" ca="1" si="26"/>
        <v/>
      </c>
      <c r="K262" s="500" t="str">
        <f t="shared" ca="1" si="27"/>
        <v/>
      </c>
      <c r="L262" s="503" t="str">
        <f ca="1">IFERROR(CHOOSE(E262,'Impact Indicators - Section B '!$K$7,'Impact Indicators - Section B '!$O$7,'Impact Indicators - Section B '!$S$7,'Impact Indicators - Section B '!$W$7),"")</f>
        <v/>
      </c>
      <c r="M262" s="514" t="str">
        <f t="shared" ca="1" si="28"/>
        <v/>
      </c>
      <c r="N262" s="503" t="str">
        <f t="shared" ca="1" si="29"/>
        <v/>
      </c>
      <c r="O262" s="497" t="str">
        <f ca="1">IFERROR(IF(COUNTA($D$56:$D262)=1,"",OFFSET($C260,-COUNTA($D$56:$D262)+3,0)),"")</f>
        <v>a1H3p000009F8AcEAK</v>
      </c>
      <c r="P262" s="497">
        <f t="shared" si="33"/>
        <v>0</v>
      </c>
      <c r="Q262" s="497"/>
      <c r="R262" s="497"/>
      <c r="S262" s="497"/>
      <c r="T262" s="497" t="b">
        <f t="shared" ca="1" si="30"/>
        <v>0</v>
      </c>
    </row>
    <row r="263" spans="1:20" x14ac:dyDescent="0.35">
      <c r="A263" s="497" t="b">
        <f t="shared" ca="1" si="23"/>
        <v>0</v>
      </c>
      <c r="B263" s="511"/>
      <c r="C263" s="510" t="str">
        <f t="shared" ca="1" si="24"/>
        <v>a1H3p000009F88DEAS</v>
      </c>
      <c r="D263" s="497"/>
      <c r="E263" s="497">
        <f t="shared" ca="1" si="31"/>
        <v>1</v>
      </c>
      <c r="F263" s="512">
        <f ca="1">IFERROR(IF(COUNTA($D$56:$D263)=1,"",OFFSET($F261,-COUNTA($D$56:$D263)+3,0)),"")</f>
        <v>5</v>
      </c>
      <c r="G263" s="497"/>
      <c r="H263" s="497">
        <f t="shared" ca="1" si="32"/>
        <v>17</v>
      </c>
      <c r="I263" s="513" t="str">
        <f t="shared" ca="1" si="25"/>
        <v/>
      </c>
      <c r="J263" s="513" t="str">
        <f t="shared" ca="1" si="26"/>
        <v/>
      </c>
      <c r="K263" s="500" t="str">
        <f t="shared" ca="1" si="27"/>
        <v/>
      </c>
      <c r="L263" s="503">
        <f ca="1">IFERROR(CHOOSE(E263,'Impact Indicators - Section B '!$K$7,'Impact Indicators - Section B '!$O$7,'Impact Indicators - Section B '!$S$7,'Impact Indicators - Section B '!$W$7),"")</f>
        <v>2022</v>
      </c>
      <c r="M263" s="514" t="str">
        <f t="shared" ca="1" si="28"/>
        <v/>
      </c>
      <c r="N263" s="503" t="str">
        <f t="shared" ca="1" si="29"/>
        <v/>
      </c>
      <c r="O263" s="497" t="str">
        <f ca="1">IFERROR(IF(COUNTA($D$56:$D263)=1,"",OFFSET($C261,-COUNTA($D$56:$D263)+3,0)),"")</f>
        <v>a1H3p000009F88DEAS</v>
      </c>
      <c r="P263" s="497">
        <f t="shared" si="33"/>
        <v>0</v>
      </c>
      <c r="Q263" s="497"/>
      <c r="R263" s="497"/>
      <c r="S263" s="497"/>
      <c r="T263" s="497" t="b">
        <f t="shared" ca="1" si="30"/>
        <v>0</v>
      </c>
    </row>
    <row r="264" spans="1:20" x14ac:dyDescent="0.35">
      <c r="A264" s="497" t="b">
        <f t="shared" ca="1" si="23"/>
        <v>0</v>
      </c>
      <c r="B264" s="511"/>
      <c r="C264" s="510" t="str">
        <f t="shared" ca="1" si="24"/>
        <v>a1H3p000009F88hEAC</v>
      </c>
      <c r="D264" s="497"/>
      <c r="E264" s="497">
        <f t="shared" ca="1" si="31"/>
        <v>2</v>
      </c>
      <c r="F264" s="512">
        <f ca="1">IFERROR(IF(COUNTA($D$56:$D264)=1,"",OFFSET($F262,-COUNTA($D$56:$D264)+3,0)),"")</f>
        <v>5</v>
      </c>
      <c r="G264" s="497"/>
      <c r="H264" s="497">
        <f t="shared" ca="1" si="32"/>
        <v>17</v>
      </c>
      <c r="I264" s="513" t="str">
        <f t="shared" ca="1" si="25"/>
        <v/>
      </c>
      <c r="J264" s="513" t="str">
        <f t="shared" ca="1" si="26"/>
        <v/>
      </c>
      <c r="K264" s="500" t="str">
        <f t="shared" ca="1" si="27"/>
        <v/>
      </c>
      <c r="L264" s="503">
        <f ca="1">IFERROR(CHOOSE(E264,'Impact Indicators - Section B '!$K$7,'Impact Indicators - Section B '!$O$7,'Impact Indicators - Section B '!$S$7,'Impact Indicators - Section B '!$W$7),"")</f>
        <v>2023</v>
      </c>
      <c r="M264" s="514" t="str">
        <f t="shared" ca="1" si="28"/>
        <v/>
      </c>
      <c r="N264" s="503" t="str">
        <f t="shared" ca="1" si="29"/>
        <v/>
      </c>
      <c r="O264" s="497" t="str">
        <f ca="1">IFERROR(IF(COUNTA($D$56:$D264)=1,"",OFFSET($C262,-COUNTA($D$56:$D264)+3,0)),"")</f>
        <v>a1H3p000009F88hEAC</v>
      </c>
      <c r="P264" s="497">
        <f t="shared" si="33"/>
        <v>0</v>
      </c>
      <c r="Q264" s="497"/>
      <c r="R264" s="497"/>
      <c r="S264" s="497"/>
      <c r="T264" s="497" t="b">
        <f t="shared" ca="1" si="30"/>
        <v>0</v>
      </c>
    </row>
    <row r="265" spans="1:20" x14ac:dyDescent="0.35">
      <c r="A265" s="497" t="b">
        <f t="shared" ca="1" si="23"/>
        <v>0</v>
      </c>
      <c r="B265" s="511"/>
      <c r="C265" s="510" t="str">
        <f t="shared" ca="1" si="24"/>
        <v>a1H3p000009F89BEAS</v>
      </c>
      <c r="D265" s="497"/>
      <c r="E265" s="497">
        <f t="shared" ca="1" si="31"/>
        <v>3</v>
      </c>
      <c r="F265" s="512">
        <f ca="1">IFERROR(IF(COUNTA($D$56:$D265)=1,"",OFFSET($F263,-COUNTA($D$56:$D265)+3,0)),"")</f>
        <v>5</v>
      </c>
      <c r="G265" s="497"/>
      <c r="H265" s="497">
        <f t="shared" ca="1" si="32"/>
        <v>17</v>
      </c>
      <c r="I265" s="513" t="str">
        <f t="shared" ca="1" si="25"/>
        <v/>
      </c>
      <c r="J265" s="513" t="str">
        <f t="shared" ca="1" si="26"/>
        <v/>
      </c>
      <c r="K265" s="500" t="str">
        <f t="shared" ca="1" si="27"/>
        <v/>
      </c>
      <c r="L265" s="503">
        <f ca="1">IFERROR(CHOOSE(E265,'Impact Indicators - Section B '!$K$7,'Impact Indicators - Section B '!$O$7,'Impact Indicators - Section B '!$S$7,'Impact Indicators - Section B '!$W$7),"")</f>
        <v>2024</v>
      </c>
      <c r="M265" s="514" t="str">
        <f t="shared" ca="1" si="28"/>
        <v/>
      </c>
      <c r="N265" s="503" t="str">
        <f t="shared" ca="1" si="29"/>
        <v/>
      </c>
      <c r="O265" s="497" t="str">
        <f ca="1">IFERROR(IF(COUNTA($D$56:$D265)=1,"",OFFSET($C263,-COUNTA($D$56:$D265)+3,0)),"")</f>
        <v>a1H3p000009F89BEAS</v>
      </c>
      <c r="P265" s="497">
        <f t="shared" si="33"/>
        <v>0</v>
      </c>
      <c r="Q265" s="497"/>
      <c r="R265" s="497"/>
      <c r="S265" s="497"/>
      <c r="T265" s="497" t="b">
        <f t="shared" ca="1" si="30"/>
        <v>0</v>
      </c>
    </row>
    <row r="266" spans="1:20" x14ac:dyDescent="0.35">
      <c r="A266" s="497" t="b">
        <f t="shared" ca="1" si="23"/>
        <v>0</v>
      </c>
      <c r="B266" s="511"/>
      <c r="C266" s="510" t="str">
        <f t="shared" ca="1" si="24"/>
        <v>a1H3p000009F89fEAC</v>
      </c>
      <c r="D266" s="497"/>
      <c r="E266" s="497">
        <f t="shared" ca="1" si="31"/>
        <v>4</v>
      </c>
      <c r="F266" s="512">
        <f ca="1">IFERROR(IF(COUNTA($D$56:$D266)=1,"",OFFSET($F264,-COUNTA($D$56:$D266)+3,0)),"")</f>
        <v>5</v>
      </c>
      <c r="G266" s="497"/>
      <c r="H266" s="497">
        <f t="shared" ca="1" si="32"/>
        <v>17</v>
      </c>
      <c r="I266" s="513" t="str">
        <f t="shared" ca="1" si="25"/>
        <v/>
      </c>
      <c r="J266" s="513" t="str">
        <f t="shared" ca="1" si="26"/>
        <v/>
      </c>
      <c r="K266" s="500" t="str">
        <f t="shared" ca="1" si="27"/>
        <v/>
      </c>
      <c r="L266" s="503" t="str">
        <f ca="1">IFERROR(CHOOSE(E266,'Impact Indicators - Section B '!$K$7,'Impact Indicators - Section B '!$O$7,'Impact Indicators - Section B '!$S$7,'Impact Indicators - Section B '!$W$7),"")</f>
        <v/>
      </c>
      <c r="M266" s="514" t="str">
        <f t="shared" ca="1" si="28"/>
        <v/>
      </c>
      <c r="N266" s="503" t="str">
        <f t="shared" ca="1" si="29"/>
        <v/>
      </c>
      <c r="O266" s="497" t="str">
        <f ca="1">IFERROR(IF(COUNTA($D$56:$D266)=1,"",OFFSET($C264,-COUNTA($D$56:$D266)+3,0)),"")</f>
        <v>a1H3p000009F89fEAC</v>
      </c>
      <c r="P266" s="497">
        <f t="shared" si="33"/>
        <v>0</v>
      </c>
      <c r="Q266" s="497"/>
      <c r="R266" s="497"/>
      <c r="S266" s="497"/>
      <c r="T266" s="497" t="b">
        <f t="shared" ca="1" si="30"/>
        <v>0</v>
      </c>
    </row>
    <row r="267" spans="1:20" x14ac:dyDescent="0.35">
      <c r="A267" s="497" t="b">
        <f t="shared" ca="1" si="23"/>
        <v>0</v>
      </c>
      <c r="B267" s="511"/>
      <c r="C267" s="510" t="str">
        <f t="shared" ca="1" si="24"/>
        <v>a1H3p000009F8A9EAK</v>
      </c>
      <c r="D267" s="497"/>
      <c r="E267" s="497">
        <f t="shared" ca="1" si="31"/>
        <v>5</v>
      </c>
      <c r="F267" s="512">
        <f ca="1">IFERROR(IF(COUNTA($D$56:$D267)=1,"",OFFSET($F265,-COUNTA($D$56:$D267)+3,0)),"")</f>
        <v>5</v>
      </c>
      <c r="G267" s="497"/>
      <c r="H267" s="497">
        <f t="shared" ca="1" si="32"/>
        <v>17</v>
      </c>
      <c r="I267" s="513" t="str">
        <f t="shared" ca="1" si="25"/>
        <v/>
      </c>
      <c r="J267" s="513" t="str">
        <f t="shared" ca="1" si="26"/>
        <v/>
      </c>
      <c r="K267" s="500" t="str">
        <f t="shared" ca="1" si="27"/>
        <v/>
      </c>
      <c r="L267" s="503" t="str">
        <f ca="1">IFERROR(CHOOSE(E267,'Impact Indicators - Section B '!$K$7,'Impact Indicators - Section B '!$O$7,'Impact Indicators - Section B '!$S$7,'Impact Indicators - Section B '!$W$7),"")</f>
        <v/>
      </c>
      <c r="M267" s="514" t="str">
        <f t="shared" ca="1" si="28"/>
        <v/>
      </c>
      <c r="N267" s="503" t="str">
        <f t="shared" ca="1" si="29"/>
        <v/>
      </c>
      <c r="O267" s="497" t="str">
        <f ca="1">IFERROR(IF(COUNTA($D$56:$D267)=1,"",OFFSET($C265,-COUNTA($D$56:$D267)+3,0)),"")</f>
        <v>a1H3p000009F8A9EAK</v>
      </c>
      <c r="P267" s="497">
        <f t="shared" si="33"/>
        <v>0</v>
      </c>
      <c r="Q267" s="497"/>
      <c r="R267" s="497"/>
      <c r="S267" s="497"/>
      <c r="T267" s="497" t="b">
        <f t="shared" ca="1" si="30"/>
        <v>0</v>
      </c>
    </row>
    <row r="268" spans="1:20" x14ac:dyDescent="0.35">
      <c r="A268" s="497" t="b">
        <f t="shared" ca="1" si="23"/>
        <v>0</v>
      </c>
      <c r="B268" s="511"/>
      <c r="C268" s="510" t="str">
        <f t="shared" ca="1" si="24"/>
        <v>a1H3p000009F8AdEAK</v>
      </c>
      <c r="D268" s="497"/>
      <c r="E268" s="497">
        <f t="shared" ca="1" si="31"/>
        <v>6</v>
      </c>
      <c r="F268" s="512">
        <f ca="1">IFERROR(IF(COUNTA($D$56:$D268)=1,"",OFFSET($F266,-COUNTA($D$56:$D268)+3,0)),"")</f>
        <v>5</v>
      </c>
      <c r="G268" s="497"/>
      <c r="H268" s="497">
        <f t="shared" ca="1" si="32"/>
        <v>17</v>
      </c>
      <c r="I268" s="513" t="str">
        <f t="shared" ca="1" si="25"/>
        <v/>
      </c>
      <c r="J268" s="513" t="str">
        <f t="shared" ca="1" si="26"/>
        <v/>
      </c>
      <c r="K268" s="500" t="str">
        <f t="shared" ca="1" si="27"/>
        <v/>
      </c>
      <c r="L268" s="503" t="str">
        <f ca="1">IFERROR(CHOOSE(E268,'Impact Indicators - Section B '!$K$7,'Impact Indicators - Section B '!$O$7,'Impact Indicators - Section B '!$S$7,'Impact Indicators - Section B '!$W$7),"")</f>
        <v/>
      </c>
      <c r="M268" s="514" t="str">
        <f t="shared" ca="1" si="28"/>
        <v/>
      </c>
      <c r="N268" s="503" t="str">
        <f t="shared" ca="1" si="29"/>
        <v/>
      </c>
      <c r="O268" s="497" t="str">
        <f ca="1">IFERROR(IF(COUNTA($D$56:$D268)=1,"",OFFSET($C266,-COUNTA($D$56:$D268)+3,0)),"")</f>
        <v>a1H3p000009F8AdEAK</v>
      </c>
      <c r="P268" s="497">
        <f t="shared" si="33"/>
        <v>0</v>
      </c>
      <c r="Q268" s="497"/>
      <c r="R268" s="497"/>
      <c r="S268" s="497"/>
      <c r="T268" s="497" t="b">
        <f t="shared" ca="1" si="30"/>
        <v>0</v>
      </c>
    </row>
    <row r="269" spans="1:20" x14ac:dyDescent="0.35">
      <c r="A269" s="497" t="b">
        <f t="shared" ca="1" si="23"/>
        <v>0</v>
      </c>
      <c r="B269" s="511"/>
      <c r="C269" s="510" t="str">
        <f t="shared" ca="1" si="24"/>
        <v>a1H3p000009F88EEAS</v>
      </c>
      <c r="D269" s="497"/>
      <c r="E269" s="497">
        <f t="shared" ca="1" si="31"/>
        <v>1</v>
      </c>
      <c r="F269" s="512">
        <f ca="1">IFERROR(IF(COUNTA($D$56:$D269)=1,"",OFFSET($F267,-COUNTA($D$56:$D269)+3,0)),"")</f>
        <v>6</v>
      </c>
      <c r="G269" s="497"/>
      <c r="H269" s="497">
        <f t="shared" ca="1" si="32"/>
        <v>19</v>
      </c>
      <c r="I269" s="513" t="str">
        <f t="shared" ca="1" si="25"/>
        <v/>
      </c>
      <c r="J269" s="513" t="str">
        <f t="shared" ca="1" si="26"/>
        <v/>
      </c>
      <c r="K269" s="500" t="str">
        <f t="shared" ca="1" si="27"/>
        <v/>
      </c>
      <c r="L269" s="503">
        <f ca="1">IFERROR(CHOOSE(E269,'Impact Indicators - Section B '!$K$7,'Impact Indicators - Section B '!$O$7,'Impact Indicators - Section B '!$S$7,'Impact Indicators - Section B '!$W$7),"")</f>
        <v>2022</v>
      </c>
      <c r="M269" s="514" t="str">
        <f t="shared" ca="1" si="28"/>
        <v/>
      </c>
      <c r="N269" s="503" t="str">
        <f t="shared" ca="1" si="29"/>
        <v/>
      </c>
      <c r="O269" s="497" t="str">
        <f ca="1">IFERROR(IF(COUNTA($D$56:$D269)=1,"",OFFSET($C267,-COUNTA($D$56:$D269)+3,0)),"")</f>
        <v>a1H3p000009F88EEAS</v>
      </c>
      <c r="P269" s="497">
        <f t="shared" si="33"/>
        <v>0</v>
      </c>
      <c r="Q269" s="497"/>
      <c r="R269" s="497"/>
      <c r="S269" s="497"/>
      <c r="T269" s="497" t="b">
        <f t="shared" ca="1" si="30"/>
        <v>0</v>
      </c>
    </row>
    <row r="270" spans="1:20" x14ac:dyDescent="0.35">
      <c r="A270" s="497" t="b">
        <f t="shared" ca="1" si="23"/>
        <v>0</v>
      </c>
      <c r="B270" s="511"/>
      <c r="C270" s="510" t="str">
        <f t="shared" ca="1" si="24"/>
        <v>a1H3p000009F88iEAC</v>
      </c>
      <c r="D270" s="497"/>
      <c r="E270" s="497">
        <f t="shared" ca="1" si="31"/>
        <v>2</v>
      </c>
      <c r="F270" s="512">
        <f ca="1">IFERROR(IF(COUNTA($D$56:$D270)=1,"",OFFSET($F268,-COUNTA($D$56:$D270)+3,0)),"")</f>
        <v>6</v>
      </c>
      <c r="G270" s="497"/>
      <c r="H270" s="497">
        <f t="shared" ca="1" si="32"/>
        <v>19</v>
      </c>
      <c r="I270" s="513" t="str">
        <f t="shared" ca="1" si="25"/>
        <v/>
      </c>
      <c r="J270" s="513" t="str">
        <f t="shared" ca="1" si="26"/>
        <v/>
      </c>
      <c r="K270" s="500" t="str">
        <f t="shared" ca="1" si="27"/>
        <v/>
      </c>
      <c r="L270" s="503">
        <f ca="1">IFERROR(CHOOSE(E270,'Impact Indicators - Section B '!$K$7,'Impact Indicators - Section B '!$O$7,'Impact Indicators - Section B '!$S$7,'Impact Indicators - Section B '!$W$7),"")</f>
        <v>2023</v>
      </c>
      <c r="M270" s="514" t="str">
        <f t="shared" ca="1" si="28"/>
        <v/>
      </c>
      <c r="N270" s="503" t="str">
        <f t="shared" ca="1" si="29"/>
        <v/>
      </c>
      <c r="O270" s="497" t="str">
        <f ca="1">IFERROR(IF(COUNTA($D$56:$D270)=1,"",OFFSET($C268,-COUNTA($D$56:$D270)+3,0)),"")</f>
        <v>a1H3p000009F88iEAC</v>
      </c>
      <c r="P270" s="497">
        <f t="shared" si="33"/>
        <v>0</v>
      </c>
      <c r="Q270" s="497"/>
      <c r="R270" s="497"/>
      <c r="S270" s="497"/>
      <c r="T270" s="497" t="b">
        <f t="shared" ca="1" si="30"/>
        <v>0</v>
      </c>
    </row>
    <row r="271" spans="1:20" x14ac:dyDescent="0.35">
      <c r="A271" s="497" t="b">
        <f t="shared" ca="1" si="23"/>
        <v>0</v>
      </c>
      <c r="B271" s="511"/>
      <c r="C271" s="510" t="str">
        <f t="shared" ca="1" si="24"/>
        <v>a1H3p000009F89CEAS</v>
      </c>
      <c r="D271" s="497"/>
      <c r="E271" s="497">
        <f t="shared" ca="1" si="31"/>
        <v>3</v>
      </c>
      <c r="F271" s="512">
        <f ca="1">IFERROR(IF(COUNTA($D$56:$D271)=1,"",OFFSET($F269,-COUNTA($D$56:$D271)+3,0)),"")</f>
        <v>6</v>
      </c>
      <c r="G271" s="497"/>
      <c r="H271" s="497">
        <f t="shared" ca="1" si="32"/>
        <v>19</v>
      </c>
      <c r="I271" s="513" t="str">
        <f t="shared" ca="1" si="25"/>
        <v/>
      </c>
      <c r="J271" s="513" t="str">
        <f t="shared" ca="1" si="26"/>
        <v/>
      </c>
      <c r="K271" s="500" t="str">
        <f t="shared" ca="1" si="27"/>
        <v/>
      </c>
      <c r="L271" s="503">
        <f ca="1">IFERROR(CHOOSE(E271,'Impact Indicators - Section B '!$K$7,'Impact Indicators - Section B '!$O$7,'Impact Indicators - Section B '!$S$7,'Impact Indicators - Section B '!$W$7),"")</f>
        <v>2024</v>
      </c>
      <c r="M271" s="514" t="str">
        <f t="shared" ca="1" si="28"/>
        <v/>
      </c>
      <c r="N271" s="503" t="str">
        <f t="shared" ca="1" si="29"/>
        <v/>
      </c>
      <c r="O271" s="497" t="str">
        <f ca="1">IFERROR(IF(COUNTA($D$56:$D271)=1,"",OFFSET($C269,-COUNTA($D$56:$D271)+3,0)),"")</f>
        <v>a1H3p000009F89CEAS</v>
      </c>
      <c r="P271" s="497">
        <f t="shared" si="33"/>
        <v>0</v>
      </c>
      <c r="Q271" s="497"/>
      <c r="R271" s="497"/>
      <c r="S271" s="497"/>
      <c r="T271" s="497" t="b">
        <f t="shared" ca="1" si="30"/>
        <v>0</v>
      </c>
    </row>
    <row r="272" spans="1:20" x14ac:dyDescent="0.35">
      <c r="A272" s="497" t="b">
        <f t="shared" ca="1" si="23"/>
        <v>0</v>
      </c>
      <c r="B272" s="511"/>
      <c r="C272" s="510" t="str">
        <f t="shared" ca="1" si="24"/>
        <v>a1H3p000009F89gEAC</v>
      </c>
      <c r="D272" s="497"/>
      <c r="E272" s="497">
        <f t="shared" ca="1" si="31"/>
        <v>4</v>
      </c>
      <c r="F272" s="512">
        <f ca="1">IFERROR(IF(COUNTA($D$56:$D272)=1,"",OFFSET($F270,-COUNTA($D$56:$D272)+3,0)),"")</f>
        <v>6</v>
      </c>
      <c r="G272" s="497"/>
      <c r="H272" s="497">
        <f t="shared" ca="1" si="32"/>
        <v>19</v>
      </c>
      <c r="I272" s="513" t="str">
        <f t="shared" ca="1" si="25"/>
        <v/>
      </c>
      <c r="J272" s="513" t="str">
        <f t="shared" ca="1" si="26"/>
        <v/>
      </c>
      <c r="K272" s="500" t="str">
        <f t="shared" ca="1" si="27"/>
        <v/>
      </c>
      <c r="L272" s="503" t="str">
        <f ca="1">IFERROR(CHOOSE(E272,'Impact Indicators - Section B '!$K$7,'Impact Indicators - Section B '!$O$7,'Impact Indicators - Section B '!$S$7,'Impact Indicators - Section B '!$W$7),"")</f>
        <v/>
      </c>
      <c r="M272" s="514" t="str">
        <f t="shared" ca="1" si="28"/>
        <v/>
      </c>
      <c r="N272" s="503" t="str">
        <f t="shared" ca="1" si="29"/>
        <v/>
      </c>
      <c r="O272" s="497" t="str">
        <f ca="1">IFERROR(IF(COUNTA($D$56:$D272)=1,"",OFFSET($C270,-COUNTA($D$56:$D272)+3,0)),"")</f>
        <v>a1H3p000009F89gEAC</v>
      </c>
      <c r="P272" s="497">
        <f t="shared" si="33"/>
        <v>0</v>
      </c>
      <c r="Q272" s="497"/>
      <c r="R272" s="497"/>
      <c r="S272" s="497"/>
      <c r="T272" s="497" t="b">
        <f t="shared" ca="1" si="30"/>
        <v>0</v>
      </c>
    </row>
    <row r="273" spans="1:20" x14ac:dyDescent="0.35">
      <c r="A273" s="497" t="b">
        <f t="shared" ca="1" si="23"/>
        <v>0</v>
      </c>
      <c r="B273" s="511"/>
      <c r="C273" s="510" t="str">
        <f t="shared" ca="1" si="24"/>
        <v>a1H3p000009F8AAEA0</v>
      </c>
      <c r="D273" s="497"/>
      <c r="E273" s="497">
        <f t="shared" ca="1" si="31"/>
        <v>5</v>
      </c>
      <c r="F273" s="512">
        <f ca="1">IFERROR(IF(COUNTA($D$56:$D273)=1,"",OFFSET($F271,-COUNTA($D$56:$D273)+3,0)),"")</f>
        <v>6</v>
      </c>
      <c r="G273" s="497"/>
      <c r="H273" s="497">
        <f t="shared" ca="1" si="32"/>
        <v>19</v>
      </c>
      <c r="I273" s="513" t="str">
        <f t="shared" ca="1" si="25"/>
        <v/>
      </c>
      <c r="J273" s="513" t="str">
        <f t="shared" ca="1" si="26"/>
        <v/>
      </c>
      <c r="K273" s="500" t="str">
        <f t="shared" ca="1" si="27"/>
        <v/>
      </c>
      <c r="L273" s="503" t="str">
        <f ca="1">IFERROR(CHOOSE(E273,'Impact Indicators - Section B '!$K$7,'Impact Indicators - Section B '!$O$7,'Impact Indicators - Section B '!$S$7,'Impact Indicators - Section B '!$W$7),"")</f>
        <v/>
      </c>
      <c r="M273" s="514" t="str">
        <f t="shared" ca="1" si="28"/>
        <v/>
      </c>
      <c r="N273" s="503" t="str">
        <f t="shared" ca="1" si="29"/>
        <v/>
      </c>
      <c r="O273" s="497" t="str">
        <f ca="1">IFERROR(IF(COUNTA($D$56:$D273)=1,"",OFFSET($C271,-COUNTA($D$56:$D273)+3,0)),"")</f>
        <v>a1H3p000009F8AAEA0</v>
      </c>
      <c r="P273" s="497">
        <f t="shared" si="33"/>
        <v>0</v>
      </c>
      <c r="Q273" s="497"/>
      <c r="R273" s="497"/>
      <c r="S273" s="497"/>
      <c r="T273" s="497" t="b">
        <f t="shared" ca="1" si="30"/>
        <v>0</v>
      </c>
    </row>
    <row r="274" spans="1:20" x14ac:dyDescent="0.35">
      <c r="A274" s="497" t="b">
        <f t="shared" ca="1" si="23"/>
        <v>0</v>
      </c>
      <c r="B274" s="511"/>
      <c r="C274" s="510" t="str">
        <f t="shared" ca="1" si="24"/>
        <v>a1H3p000009F8AeEAK</v>
      </c>
      <c r="D274" s="497"/>
      <c r="E274" s="497">
        <f t="shared" ca="1" si="31"/>
        <v>6</v>
      </c>
      <c r="F274" s="512">
        <f ca="1">IFERROR(IF(COUNTA($D$56:$D274)=1,"",OFFSET($F272,-COUNTA($D$56:$D274)+3,0)),"")</f>
        <v>6</v>
      </c>
      <c r="G274" s="497"/>
      <c r="H274" s="497">
        <f t="shared" ca="1" si="32"/>
        <v>19</v>
      </c>
      <c r="I274" s="513" t="str">
        <f t="shared" ca="1" si="25"/>
        <v/>
      </c>
      <c r="J274" s="513" t="str">
        <f t="shared" ca="1" si="26"/>
        <v/>
      </c>
      <c r="K274" s="500" t="str">
        <f t="shared" ca="1" si="27"/>
        <v/>
      </c>
      <c r="L274" s="503" t="str">
        <f ca="1">IFERROR(CHOOSE(E274,'Impact Indicators - Section B '!$K$7,'Impact Indicators - Section B '!$O$7,'Impact Indicators - Section B '!$S$7,'Impact Indicators - Section B '!$W$7),"")</f>
        <v/>
      </c>
      <c r="M274" s="514" t="str">
        <f t="shared" ca="1" si="28"/>
        <v/>
      </c>
      <c r="N274" s="503" t="str">
        <f t="shared" ca="1" si="29"/>
        <v/>
      </c>
      <c r="O274" s="497" t="str">
        <f ca="1">IFERROR(IF(COUNTA($D$56:$D274)=1,"",OFFSET($C272,-COUNTA($D$56:$D274)+3,0)),"")</f>
        <v>a1H3p000009F8AeEAK</v>
      </c>
      <c r="P274" s="497">
        <f t="shared" si="33"/>
        <v>0</v>
      </c>
      <c r="Q274" s="497"/>
      <c r="R274" s="497"/>
      <c r="S274" s="497"/>
      <c r="T274" s="497" t="b">
        <f t="shared" ca="1" si="30"/>
        <v>0</v>
      </c>
    </row>
    <row r="275" spans="1:20" x14ac:dyDescent="0.35">
      <c r="A275" s="497" t="b">
        <f t="shared" ca="1" si="23"/>
        <v>0</v>
      </c>
      <c r="B275" s="511"/>
      <c r="C275" s="510" t="str">
        <f t="shared" ca="1" si="24"/>
        <v>a1H3p000009F88FEAS</v>
      </c>
      <c r="D275" s="497"/>
      <c r="E275" s="497">
        <f t="shared" ca="1" si="31"/>
        <v>1</v>
      </c>
      <c r="F275" s="512">
        <f ca="1">IFERROR(IF(COUNTA($D$56:$D275)=1,"",OFFSET($F273,-COUNTA($D$56:$D275)+3,0)),"")</f>
        <v>7</v>
      </c>
      <c r="G275" s="497"/>
      <c r="H275" s="497">
        <f t="shared" ca="1" si="32"/>
        <v>21</v>
      </c>
      <c r="I275" s="513" t="str">
        <f t="shared" ca="1" si="25"/>
        <v/>
      </c>
      <c r="J275" s="513" t="str">
        <f t="shared" ca="1" si="26"/>
        <v/>
      </c>
      <c r="K275" s="500" t="str">
        <f t="shared" ca="1" si="27"/>
        <v/>
      </c>
      <c r="L275" s="503">
        <f ca="1">IFERROR(CHOOSE(E275,'Impact Indicators - Section B '!$K$7,'Impact Indicators - Section B '!$O$7,'Impact Indicators - Section B '!$S$7,'Impact Indicators - Section B '!$W$7),"")</f>
        <v>2022</v>
      </c>
      <c r="M275" s="514" t="str">
        <f t="shared" ca="1" si="28"/>
        <v/>
      </c>
      <c r="N275" s="503" t="str">
        <f t="shared" ca="1" si="29"/>
        <v/>
      </c>
      <c r="O275" s="497" t="str">
        <f ca="1">IFERROR(IF(COUNTA($D$56:$D275)=1,"",OFFSET($C273,-COUNTA($D$56:$D275)+3,0)),"")</f>
        <v>a1H3p000009F88FEAS</v>
      </c>
      <c r="P275" s="497">
        <f t="shared" si="33"/>
        <v>0</v>
      </c>
      <c r="Q275" s="497"/>
      <c r="R275" s="497"/>
      <c r="S275" s="497"/>
      <c r="T275" s="497" t="b">
        <f t="shared" ca="1" si="30"/>
        <v>0</v>
      </c>
    </row>
    <row r="276" spans="1:20" x14ac:dyDescent="0.35">
      <c r="A276" s="497" t="b">
        <f t="shared" ca="1" si="23"/>
        <v>0</v>
      </c>
      <c r="B276" s="511"/>
      <c r="C276" s="510" t="str">
        <f t="shared" ca="1" si="24"/>
        <v>a1H3p000009F88jEAC</v>
      </c>
      <c r="D276" s="497"/>
      <c r="E276" s="497">
        <f t="shared" ca="1" si="31"/>
        <v>2</v>
      </c>
      <c r="F276" s="512">
        <f ca="1">IFERROR(IF(COUNTA($D$56:$D276)=1,"",OFFSET($F274,-COUNTA($D$56:$D276)+3,0)),"")</f>
        <v>7</v>
      </c>
      <c r="G276" s="497"/>
      <c r="H276" s="497">
        <f t="shared" ca="1" si="32"/>
        <v>21</v>
      </c>
      <c r="I276" s="513" t="str">
        <f t="shared" ca="1" si="25"/>
        <v/>
      </c>
      <c r="J276" s="513" t="str">
        <f t="shared" ca="1" si="26"/>
        <v/>
      </c>
      <c r="K276" s="500" t="str">
        <f t="shared" ca="1" si="27"/>
        <v/>
      </c>
      <c r="L276" s="503">
        <f ca="1">IFERROR(CHOOSE(E276,'Impact Indicators - Section B '!$K$7,'Impact Indicators - Section B '!$O$7,'Impact Indicators - Section B '!$S$7,'Impact Indicators - Section B '!$W$7),"")</f>
        <v>2023</v>
      </c>
      <c r="M276" s="514" t="str">
        <f t="shared" ca="1" si="28"/>
        <v/>
      </c>
      <c r="N276" s="503" t="str">
        <f t="shared" ca="1" si="29"/>
        <v/>
      </c>
      <c r="O276" s="497" t="str">
        <f ca="1">IFERROR(IF(COUNTA($D$56:$D276)=1,"",OFFSET($C274,-COUNTA($D$56:$D276)+3,0)),"")</f>
        <v>a1H3p000009F88jEAC</v>
      </c>
      <c r="P276" s="497">
        <f t="shared" si="33"/>
        <v>0</v>
      </c>
      <c r="Q276" s="497"/>
      <c r="R276" s="497"/>
      <c r="S276" s="497"/>
      <c r="T276" s="497" t="b">
        <f t="shared" ca="1" si="30"/>
        <v>0</v>
      </c>
    </row>
    <row r="277" spans="1:20" x14ac:dyDescent="0.35">
      <c r="A277" s="497" t="b">
        <f t="shared" ca="1" si="23"/>
        <v>0</v>
      </c>
      <c r="B277" s="511"/>
      <c r="C277" s="510" t="str">
        <f t="shared" ca="1" si="24"/>
        <v>a1H3p000009F89DEAS</v>
      </c>
      <c r="D277" s="497"/>
      <c r="E277" s="497">
        <f t="shared" ca="1" si="31"/>
        <v>3</v>
      </c>
      <c r="F277" s="512">
        <f ca="1">IFERROR(IF(COUNTA($D$56:$D277)=1,"",OFFSET($F275,-COUNTA($D$56:$D277)+3,0)),"")</f>
        <v>7</v>
      </c>
      <c r="G277" s="497"/>
      <c r="H277" s="497">
        <f t="shared" ca="1" si="32"/>
        <v>21</v>
      </c>
      <c r="I277" s="513" t="str">
        <f t="shared" ca="1" si="25"/>
        <v/>
      </c>
      <c r="J277" s="513" t="str">
        <f t="shared" ca="1" si="26"/>
        <v/>
      </c>
      <c r="K277" s="500" t="str">
        <f t="shared" ca="1" si="27"/>
        <v/>
      </c>
      <c r="L277" s="503">
        <f ca="1">IFERROR(CHOOSE(E277,'Impact Indicators - Section B '!$K$7,'Impact Indicators - Section B '!$O$7,'Impact Indicators - Section B '!$S$7,'Impact Indicators - Section B '!$W$7),"")</f>
        <v>2024</v>
      </c>
      <c r="M277" s="514" t="str">
        <f t="shared" ca="1" si="28"/>
        <v/>
      </c>
      <c r="N277" s="503" t="str">
        <f t="shared" ca="1" si="29"/>
        <v/>
      </c>
      <c r="O277" s="497" t="str">
        <f ca="1">IFERROR(IF(COUNTA($D$56:$D277)=1,"",OFFSET($C275,-COUNTA($D$56:$D277)+3,0)),"")</f>
        <v>a1H3p000009F89DEAS</v>
      </c>
      <c r="P277" s="497">
        <f t="shared" si="33"/>
        <v>0</v>
      </c>
      <c r="Q277" s="497"/>
      <c r="R277" s="497"/>
      <c r="S277" s="497"/>
      <c r="T277" s="497" t="b">
        <f t="shared" ca="1" si="30"/>
        <v>0</v>
      </c>
    </row>
    <row r="278" spans="1:20" x14ac:dyDescent="0.35">
      <c r="A278" s="497" t="b">
        <f t="shared" ca="1" si="23"/>
        <v>0</v>
      </c>
      <c r="B278" s="511"/>
      <c r="C278" s="510" t="str">
        <f t="shared" ca="1" si="24"/>
        <v>a1H3p000009F89hEAC</v>
      </c>
      <c r="D278" s="497"/>
      <c r="E278" s="497">
        <f t="shared" ca="1" si="31"/>
        <v>4</v>
      </c>
      <c r="F278" s="512">
        <f ca="1">IFERROR(IF(COUNTA($D$56:$D278)=1,"",OFFSET($F276,-COUNTA($D$56:$D278)+3,0)),"")</f>
        <v>7</v>
      </c>
      <c r="G278" s="497"/>
      <c r="H278" s="497">
        <f t="shared" ca="1" si="32"/>
        <v>21</v>
      </c>
      <c r="I278" s="513" t="str">
        <f t="shared" ca="1" si="25"/>
        <v/>
      </c>
      <c r="J278" s="513" t="str">
        <f t="shared" ca="1" si="26"/>
        <v/>
      </c>
      <c r="K278" s="500" t="str">
        <f t="shared" ca="1" si="27"/>
        <v/>
      </c>
      <c r="L278" s="503" t="str">
        <f ca="1">IFERROR(CHOOSE(E278,'Impact Indicators - Section B '!$K$7,'Impact Indicators - Section B '!$O$7,'Impact Indicators - Section B '!$S$7,'Impact Indicators - Section B '!$W$7),"")</f>
        <v/>
      </c>
      <c r="M278" s="514" t="str">
        <f t="shared" ca="1" si="28"/>
        <v/>
      </c>
      <c r="N278" s="503" t="str">
        <f t="shared" ca="1" si="29"/>
        <v/>
      </c>
      <c r="O278" s="497" t="str">
        <f ca="1">IFERROR(IF(COUNTA($D$56:$D278)=1,"",OFFSET($C276,-COUNTA($D$56:$D278)+3,0)),"")</f>
        <v>a1H3p000009F89hEAC</v>
      </c>
      <c r="P278" s="497">
        <f t="shared" si="33"/>
        <v>0</v>
      </c>
      <c r="Q278" s="497"/>
      <c r="R278" s="497"/>
      <c r="S278" s="497"/>
      <c r="T278" s="497" t="b">
        <f t="shared" ca="1" si="30"/>
        <v>0</v>
      </c>
    </row>
    <row r="279" spans="1:20" x14ac:dyDescent="0.35">
      <c r="A279" s="497" t="b">
        <f t="shared" ca="1" si="23"/>
        <v>0</v>
      </c>
      <c r="B279" s="511"/>
      <c r="C279" s="510" t="str">
        <f t="shared" ca="1" si="24"/>
        <v>a1H3p000009F8ABEA0</v>
      </c>
      <c r="D279" s="497"/>
      <c r="E279" s="497">
        <f t="shared" ca="1" si="31"/>
        <v>5</v>
      </c>
      <c r="F279" s="512">
        <f ca="1">IFERROR(IF(COUNTA($D$56:$D279)=1,"",OFFSET($F277,-COUNTA($D$56:$D279)+3,0)),"")</f>
        <v>7</v>
      </c>
      <c r="G279" s="497"/>
      <c r="H279" s="497">
        <f t="shared" ca="1" si="32"/>
        <v>21</v>
      </c>
      <c r="I279" s="513" t="str">
        <f t="shared" ca="1" si="25"/>
        <v/>
      </c>
      <c r="J279" s="513" t="str">
        <f t="shared" ca="1" si="26"/>
        <v/>
      </c>
      <c r="K279" s="500" t="str">
        <f t="shared" ca="1" si="27"/>
        <v/>
      </c>
      <c r="L279" s="503" t="str">
        <f ca="1">IFERROR(CHOOSE(E279,'Impact Indicators - Section B '!$K$7,'Impact Indicators - Section B '!$O$7,'Impact Indicators - Section B '!$S$7,'Impact Indicators - Section B '!$W$7),"")</f>
        <v/>
      </c>
      <c r="M279" s="514" t="str">
        <f t="shared" ca="1" si="28"/>
        <v/>
      </c>
      <c r="N279" s="503" t="str">
        <f t="shared" ca="1" si="29"/>
        <v/>
      </c>
      <c r="O279" s="497" t="str">
        <f ca="1">IFERROR(IF(COUNTA($D$56:$D279)=1,"",OFFSET($C277,-COUNTA($D$56:$D279)+3,0)),"")</f>
        <v>a1H3p000009F8ABEA0</v>
      </c>
      <c r="P279" s="497">
        <f t="shared" si="33"/>
        <v>0</v>
      </c>
      <c r="Q279" s="497"/>
      <c r="R279" s="497"/>
      <c r="S279" s="497"/>
      <c r="T279" s="497" t="b">
        <f t="shared" ca="1" si="30"/>
        <v>0</v>
      </c>
    </row>
    <row r="280" spans="1:20" x14ac:dyDescent="0.35">
      <c r="A280" s="497" t="b">
        <f t="shared" ca="1" si="23"/>
        <v>0</v>
      </c>
      <c r="B280" s="511"/>
      <c r="C280" s="510" t="str">
        <f t="shared" ca="1" si="24"/>
        <v>a1H3p000009F8AfEAK</v>
      </c>
      <c r="D280" s="497"/>
      <c r="E280" s="497">
        <f t="shared" ca="1" si="31"/>
        <v>6</v>
      </c>
      <c r="F280" s="512">
        <f ca="1">IFERROR(IF(COUNTA($D$56:$D280)=1,"",OFFSET($F278,-COUNTA($D$56:$D280)+3,0)),"")</f>
        <v>7</v>
      </c>
      <c r="G280" s="497"/>
      <c r="H280" s="497">
        <f t="shared" ca="1" si="32"/>
        <v>21</v>
      </c>
      <c r="I280" s="513" t="str">
        <f t="shared" ca="1" si="25"/>
        <v/>
      </c>
      <c r="J280" s="513" t="str">
        <f t="shared" ca="1" si="26"/>
        <v/>
      </c>
      <c r="K280" s="500" t="str">
        <f t="shared" ca="1" si="27"/>
        <v/>
      </c>
      <c r="L280" s="503" t="str">
        <f ca="1">IFERROR(CHOOSE(E280,'Impact Indicators - Section B '!$K$7,'Impact Indicators - Section B '!$O$7,'Impact Indicators - Section B '!$S$7,'Impact Indicators - Section B '!$W$7),"")</f>
        <v/>
      </c>
      <c r="M280" s="514" t="str">
        <f t="shared" ca="1" si="28"/>
        <v/>
      </c>
      <c r="N280" s="503" t="str">
        <f t="shared" ca="1" si="29"/>
        <v/>
      </c>
      <c r="O280" s="497" t="str">
        <f ca="1">IFERROR(IF(COUNTA($D$56:$D280)=1,"",OFFSET($C278,-COUNTA($D$56:$D280)+3,0)),"")</f>
        <v>a1H3p000009F8AfEAK</v>
      </c>
      <c r="P280" s="497">
        <f t="shared" si="33"/>
        <v>0</v>
      </c>
      <c r="Q280" s="497"/>
      <c r="R280" s="497"/>
      <c r="S280" s="497"/>
      <c r="T280" s="497" t="b">
        <f t="shared" ca="1" si="30"/>
        <v>0</v>
      </c>
    </row>
    <row r="281" spans="1:20" x14ac:dyDescent="0.35">
      <c r="A281" s="497" t="b">
        <f t="shared" ca="1" si="23"/>
        <v>0</v>
      </c>
      <c r="B281" s="511"/>
      <c r="C281" s="510" t="str">
        <f t="shared" ca="1" si="24"/>
        <v>a1H3p000009F88GEAS</v>
      </c>
      <c r="D281" s="497"/>
      <c r="E281" s="497">
        <f t="shared" ca="1" si="31"/>
        <v>1</v>
      </c>
      <c r="F281" s="512">
        <f ca="1">IFERROR(IF(COUNTA($D$56:$D281)=1,"",OFFSET($F279,-COUNTA($D$56:$D281)+3,0)),"")</f>
        <v>8</v>
      </c>
      <c r="G281" s="497"/>
      <c r="H281" s="497">
        <f t="shared" ca="1" si="32"/>
        <v>23</v>
      </c>
      <c r="I281" s="513" t="str">
        <f t="shared" ca="1" si="25"/>
        <v/>
      </c>
      <c r="J281" s="513" t="str">
        <f t="shared" ca="1" si="26"/>
        <v/>
      </c>
      <c r="K281" s="500" t="str">
        <f t="shared" ca="1" si="27"/>
        <v/>
      </c>
      <c r="L281" s="503">
        <f ca="1">IFERROR(CHOOSE(E281,'Impact Indicators - Section B '!$K$7,'Impact Indicators - Section B '!$O$7,'Impact Indicators - Section B '!$S$7,'Impact Indicators - Section B '!$W$7),"")</f>
        <v>2022</v>
      </c>
      <c r="M281" s="514" t="str">
        <f t="shared" ca="1" si="28"/>
        <v/>
      </c>
      <c r="N281" s="503" t="str">
        <f t="shared" ca="1" si="29"/>
        <v/>
      </c>
      <c r="O281" s="497" t="str">
        <f ca="1">IFERROR(IF(COUNTA($D$56:$D281)=1,"",OFFSET($C279,-COUNTA($D$56:$D281)+3,0)),"")</f>
        <v>a1H3p000009F88GEAS</v>
      </c>
      <c r="P281" s="497">
        <f t="shared" si="33"/>
        <v>0</v>
      </c>
      <c r="Q281" s="497"/>
      <c r="R281" s="497"/>
      <c r="S281" s="497"/>
      <c r="T281" s="497" t="b">
        <f t="shared" ca="1" si="30"/>
        <v>0</v>
      </c>
    </row>
    <row r="282" spans="1:20" x14ac:dyDescent="0.35">
      <c r="A282" s="497" t="b">
        <f t="shared" ca="1" si="23"/>
        <v>0</v>
      </c>
      <c r="B282" s="511"/>
      <c r="C282" s="510" t="str">
        <f t="shared" ca="1" si="24"/>
        <v>a1H3p000009F88kEAC</v>
      </c>
      <c r="D282" s="497"/>
      <c r="E282" s="497">
        <f t="shared" ca="1" si="31"/>
        <v>2</v>
      </c>
      <c r="F282" s="512">
        <f ca="1">IFERROR(IF(COUNTA($D$56:$D282)=1,"",OFFSET($F280,-COUNTA($D$56:$D282)+3,0)),"")</f>
        <v>8</v>
      </c>
      <c r="G282" s="497"/>
      <c r="H282" s="497">
        <f t="shared" ca="1" si="32"/>
        <v>23</v>
      </c>
      <c r="I282" s="513" t="str">
        <f t="shared" ca="1" si="25"/>
        <v/>
      </c>
      <c r="J282" s="513" t="str">
        <f t="shared" ca="1" si="26"/>
        <v/>
      </c>
      <c r="K282" s="500" t="str">
        <f t="shared" ca="1" si="27"/>
        <v/>
      </c>
      <c r="L282" s="503">
        <f ca="1">IFERROR(CHOOSE(E282,'Impact Indicators - Section B '!$K$7,'Impact Indicators - Section B '!$O$7,'Impact Indicators - Section B '!$S$7,'Impact Indicators - Section B '!$W$7),"")</f>
        <v>2023</v>
      </c>
      <c r="M282" s="514" t="str">
        <f t="shared" ca="1" si="28"/>
        <v/>
      </c>
      <c r="N282" s="503" t="str">
        <f t="shared" ca="1" si="29"/>
        <v/>
      </c>
      <c r="O282" s="497" t="str">
        <f ca="1">IFERROR(IF(COUNTA($D$56:$D282)=1,"",OFFSET($C280,-COUNTA($D$56:$D282)+3,0)),"")</f>
        <v>a1H3p000009F88kEAC</v>
      </c>
      <c r="P282" s="497">
        <f t="shared" si="33"/>
        <v>0</v>
      </c>
      <c r="Q282" s="497"/>
      <c r="R282" s="497"/>
      <c r="S282" s="497"/>
      <c r="T282" s="497" t="b">
        <f t="shared" ca="1" si="30"/>
        <v>0</v>
      </c>
    </row>
    <row r="283" spans="1:20" x14ac:dyDescent="0.35">
      <c r="A283" s="497" t="b">
        <f t="shared" ca="1" si="23"/>
        <v>0</v>
      </c>
      <c r="B283" s="511"/>
      <c r="C283" s="510" t="str">
        <f t="shared" ca="1" si="24"/>
        <v>a1H3p000009F89EEAS</v>
      </c>
      <c r="D283" s="497"/>
      <c r="E283" s="497">
        <f t="shared" ca="1" si="31"/>
        <v>3</v>
      </c>
      <c r="F283" s="512">
        <f ca="1">IFERROR(IF(COUNTA($D$56:$D283)=1,"",OFFSET($F281,-COUNTA($D$56:$D283)+3,0)),"")</f>
        <v>8</v>
      </c>
      <c r="G283" s="497"/>
      <c r="H283" s="497">
        <f t="shared" ca="1" si="32"/>
        <v>23</v>
      </c>
      <c r="I283" s="513" t="str">
        <f t="shared" ca="1" si="25"/>
        <v/>
      </c>
      <c r="J283" s="513" t="str">
        <f t="shared" ca="1" si="26"/>
        <v/>
      </c>
      <c r="K283" s="500" t="str">
        <f t="shared" ca="1" si="27"/>
        <v/>
      </c>
      <c r="L283" s="503">
        <f ca="1">IFERROR(CHOOSE(E283,'Impact Indicators - Section B '!$K$7,'Impact Indicators - Section B '!$O$7,'Impact Indicators - Section B '!$S$7,'Impact Indicators - Section B '!$W$7),"")</f>
        <v>2024</v>
      </c>
      <c r="M283" s="514" t="str">
        <f t="shared" ca="1" si="28"/>
        <v/>
      </c>
      <c r="N283" s="503" t="str">
        <f t="shared" ca="1" si="29"/>
        <v/>
      </c>
      <c r="O283" s="497" t="str">
        <f ca="1">IFERROR(IF(COUNTA($D$56:$D283)=1,"",OFFSET($C281,-COUNTA($D$56:$D283)+3,0)),"")</f>
        <v>a1H3p000009F89EEAS</v>
      </c>
      <c r="P283" s="497">
        <f t="shared" si="33"/>
        <v>0</v>
      </c>
      <c r="Q283" s="497"/>
      <c r="R283" s="497"/>
      <c r="S283" s="497"/>
      <c r="T283" s="497" t="b">
        <f t="shared" ca="1" si="30"/>
        <v>0</v>
      </c>
    </row>
    <row r="284" spans="1:20" x14ac:dyDescent="0.35">
      <c r="A284" s="497" t="b">
        <f t="shared" ca="1" si="23"/>
        <v>0</v>
      </c>
      <c r="B284" s="511"/>
      <c r="C284" s="510" t="str">
        <f t="shared" ca="1" si="24"/>
        <v>a1H3p000009F89iEAC</v>
      </c>
      <c r="D284" s="497"/>
      <c r="E284" s="497">
        <f t="shared" ca="1" si="31"/>
        <v>4</v>
      </c>
      <c r="F284" s="512">
        <f ca="1">IFERROR(IF(COUNTA($D$56:$D284)=1,"",OFFSET($F282,-COUNTA($D$56:$D284)+3,0)),"")</f>
        <v>8</v>
      </c>
      <c r="G284" s="497"/>
      <c r="H284" s="497">
        <f t="shared" ca="1" si="32"/>
        <v>23</v>
      </c>
      <c r="I284" s="513" t="str">
        <f t="shared" ca="1" si="25"/>
        <v/>
      </c>
      <c r="J284" s="513" t="str">
        <f t="shared" ca="1" si="26"/>
        <v/>
      </c>
      <c r="K284" s="500" t="str">
        <f t="shared" ca="1" si="27"/>
        <v/>
      </c>
      <c r="L284" s="503" t="str">
        <f ca="1">IFERROR(CHOOSE(E284,'Impact Indicators - Section B '!$K$7,'Impact Indicators - Section B '!$O$7,'Impact Indicators - Section B '!$S$7,'Impact Indicators - Section B '!$W$7),"")</f>
        <v/>
      </c>
      <c r="M284" s="514" t="str">
        <f t="shared" ca="1" si="28"/>
        <v/>
      </c>
      <c r="N284" s="503" t="str">
        <f t="shared" ca="1" si="29"/>
        <v/>
      </c>
      <c r="O284" s="497" t="str">
        <f ca="1">IFERROR(IF(COUNTA($D$56:$D284)=1,"",OFFSET($C282,-COUNTA($D$56:$D284)+3,0)),"")</f>
        <v>a1H3p000009F89iEAC</v>
      </c>
      <c r="P284" s="497">
        <f t="shared" si="33"/>
        <v>0</v>
      </c>
      <c r="Q284" s="497"/>
      <c r="R284" s="497"/>
      <c r="S284" s="497"/>
      <c r="T284" s="497" t="b">
        <f t="shared" ca="1" si="30"/>
        <v>0</v>
      </c>
    </row>
    <row r="285" spans="1:20" x14ac:dyDescent="0.35">
      <c r="A285" s="497" t="b">
        <f t="shared" ca="1" si="23"/>
        <v>0</v>
      </c>
      <c r="B285" s="511"/>
      <c r="C285" s="510" t="str">
        <f t="shared" ca="1" si="24"/>
        <v>a1H3p000009F8ACEA0</v>
      </c>
      <c r="D285" s="497"/>
      <c r="E285" s="497">
        <f t="shared" ca="1" si="31"/>
        <v>5</v>
      </c>
      <c r="F285" s="512">
        <f ca="1">IFERROR(IF(COUNTA($D$56:$D285)=1,"",OFFSET($F283,-COUNTA($D$56:$D285)+3,0)),"")</f>
        <v>8</v>
      </c>
      <c r="G285" s="497"/>
      <c r="H285" s="497">
        <f t="shared" ca="1" si="32"/>
        <v>23</v>
      </c>
      <c r="I285" s="513" t="str">
        <f t="shared" ca="1" si="25"/>
        <v/>
      </c>
      <c r="J285" s="513" t="str">
        <f t="shared" ca="1" si="26"/>
        <v/>
      </c>
      <c r="K285" s="500" t="str">
        <f t="shared" ca="1" si="27"/>
        <v/>
      </c>
      <c r="L285" s="503" t="str">
        <f ca="1">IFERROR(CHOOSE(E285,'Impact Indicators - Section B '!$K$7,'Impact Indicators - Section B '!$O$7,'Impact Indicators - Section B '!$S$7,'Impact Indicators - Section B '!$W$7),"")</f>
        <v/>
      </c>
      <c r="M285" s="514" t="str">
        <f t="shared" ca="1" si="28"/>
        <v/>
      </c>
      <c r="N285" s="503" t="str">
        <f t="shared" ca="1" si="29"/>
        <v/>
      </c>
      <c r="O285" s="497" t="str">
        <f ca="1">IFERROR(IF(COUNTA($D$56:$D285)=1,"",OFFSET($C283,-COUNTA($D$56:$D285)+3,0)),"")</f>
        <v>a1H3p000009F8ACEA0</v>
      </c>
      <c r="P285" s="497">
        <f t="shared" si="33"/>
        <v>0</v>
      </c>
      <c r="Q285" s="497"/>
      <c r="R285" s="497"/>
      <c r="S285" s="497"/>
      <c r="T285" s="497" t="b">
        <f t="shared" ca="1" si="30"/>
        <v>0</v>
      </c>
    </row>
    <row r="286" spans="1:20" x14ac:dyDescent="0.35">
      <c r="A286" s="497" t="b">
        <f t="shared" ca="1" si="23"/>
        <v>0</v>
      </c>
      <c r="B286" s="511"/>
      <c r="C286" s="510" t="str">
        <f t="shared" ca="1" si="24"/>
        <v>a1H3p000009F8AgEAK</v>
      </c>
      <c r="D286" s="497"/>
      <c r="E286" s="497">
        <f t="shared" ca="1" si="31"/>
        <v>6</v>
      </c>
      <c r="F286" s="512">
        <f ca="1">IFERROR(IF(COUNTA($D$56:$D286)=1,"",OFFSET($F284,-COUNTA($D$56:$D286)+3,0)),"")</f>
        <v>8</v>
      </c>
      <c r="G286" s="497"/>
      <c r="H286" s="497">
        <f t="shared" ca="1" si="32"/>
        <v>23</v>
      </c>
      <c r="I286" s="513" t="str">
        <f t="shared" ca="1" si="25"/>
        <v/>
      </c>
      <c r="J286" s="513" t="str">
        <f t="shared" ca="1" si="26"/>
        <v/>
      </c>
      <c r="K286" s="500" t="str">
        <f t="shared" ca="1" si="27"/>
        <v/>
      </c>
      <c r="L286" s="503" t="str">
        <f ca="1">IFERROR(CHOOSE(E286,'Impact Indicators - Section B '!$K$7,'Impact Indicators - Section B '!$O$7,'Impact Indicators - Section B '!$S$7,'Impact Indicators - Section B '!$W$7),"")</f>
        <v/>
      </c>
      <c r="M286" s="514" t="str">
        <f t="shared" ca="1" si="28"/>
        <v/>
      </c>
      <c r="N286" s="503" t="str">
        <f t="shared" ca="1" si="29"/>
        <v/>
      </c>
      <c r="O286" s="497" t="str">
        <f ca="1">IFERROR(IF(COUNTA($D$56:$D286)=1,"",OFFSET($C284,-COUNTA($D$56:$D286)+3,0)),"")</f>
        <v>a1H3p000009F8AgEAK</v>
      </c>
      <c r="P286" s="497">
        <f t="shared" si="33"/>
        <v>0</v>
      </c>
      <c r="Q286" s="497"/>
      <c r="R286" s="497"/>
      <c r="S286" s="497"/>
      <c r="T286" s="497" t="b">
        <f t="shared" ca="1" si="30"/>
        <v>0</v>
      </c>
    </row>
    <row r="287" spans="1:20" x14ac:dyDescent="0.35">
      <c r="A287" s="497" t="b">
        <f t="shared" ca="1" si="23"/>
        <v>0</v>
      </c>
      <c r="B287" s="511"/>
      <c r="C287" s="510" t="str">
        <f t="shared" ca="1" si="24"/>
        <v>a1H3p000009F88HEAS</v>
      </c>
      <c r="D287" s="497"/>
      <c r="E287" s="497">
        <f t="shared" ca="1" si="31"/>
        <v>1</v>
      </c>
      <c r="F287" s="512">
        <f ca="1">IFERROR(IF(COUNTA($D$56:$D287)=1,"",OFFSET($F285,-COUNTA($D$56:$D287)+3,0)),"")</f>
        <v>9</v>
      </c>
      <c r="G287" s="497"/>
      <c r="H287" s="497">
        <f t="shared" ca="1" si="32"/>
        <v>25</v>
      </c>
      <c r="I287" s="513" t="str">
        <f t="shared" ca="1" si="25"/>
        <v/>
      </c>
      <c r="J287" s="513" t="str">
        <f t="shared" ca="1" si="26"/>
        <v/>
      </c>
      <c r="K287" s="500" t="str">
        <f t="shared" ca="1" si="27"/>
        <v/>
      </c>
      <c r="L287" s="503">
        <f ca="1">IFERROR(CHOOSE(E287,'Impact Indicators - Section B '!$K$7,'Impact Indicators - Section B '!$O$7,'Impact Indicators - Section B '!$S$7,'Impact Indicators - Section B '!$W$7),"")</f>
        <v>2022</v>
      </c>
      <c r="M287" s="514" t="str">
        <f t="shared" ca="1" si="28"/>
        <v/>
      </c>
      <c r="N287" s="503" t="str">
        <f t="shared" ca="1" si="29"/>
        <v/>
      </c>
      <c r="O287" s="497" t="str">
        <f ca="1">IFERROR(IF(COUNTA($D$56:$D287)=1,"",OFFSET($C285,-COUNTA($D$56:$D287)+3,0)),"")</f>
        <v>a1H3p000009F88HEAS</v>
      </c>
      <c r="P287" s="497">
        <f t="shared" si="33"/>
        <v>0</v>
      </c>
      <c r="Q287" s="497"/>
      <c r="R287" s="497"/>
      <c r="S287" s="497"/>
      <c r="T287" s="497" t="b">
        <f t="shared" ca="1" si="30"/>
        <v>0</v>
      </c>
    </row>
    <row r="288" spans="1:20" x14ac:dyDescent="0.35">
      <c r="A288" s="497" t="b">
        <f t="shared" ca="1" si="23"/>
        <v>0</v>
      </c>
      <c r="B288" s="511"/>
      <c r="C288" s="510" t="str">
        <f t="shared" ca="1" si="24"/>
        <v>a1H3p000009F88lEAC</v>
      </c>
      <c r="D288" s="497"/>
      <c r="E288" s="497">
        <f t="shared" ca="1" si="31"/>
        <v>2</v>
      </c>
      <c r="F288" s="512">
        <f ca="1">IFERROR(IF(COUNTA($D$56:$D288)=1,"",OFFSET($F286,-COUNTA($D$56:$D288)+3,0)),"")</f>
        <v>9</v>
      </c>
      <c r="G288" s="497"/>
      <c r="H288" s="497">
        <f t="shared" ca="1" si="32"/>
        <v>25</v>
      </c>
      <c r="I288" s="513" t="str">
        <f t="shared" ca="1" si="25"/>
        <v/>
      </c>
      <c r="J288" s="513" t="str">
        <f t="shared" ca="1" si="26"/>
        <v/>
      </c>
      <c r="K288" s="500" t="str">
        <f t="shared" ca="1" si="27"/>
        <v/>
      </c>
      <c r="L288" s="503">
        <f ca="1">IFERROR(CHOOSE(E288,'Impact Indicators - Section B '!$K$7,'Impact Indicators - Section B '!$O$7,'Impact Indicators - Section B '!$S$7,'Impact Indicators - Section B '!$W$7),"")</f>
        <v>2023</v>
      </c>
      <c r="M288" s="514" t="str">
        <f t="shared" ca="1" si="28"/>
        <v/>
      </c>
      <c r="N288" s="503" t="str">
        <f t="shared" ca="1" si="29"/>
        <v/>
      </c>
      <c r="O288" s="497" t="str">
        <f ca="1">IFERROR(IF(COUNTA($D$56:$D288)=1,"",OFFSET($C286,-COUNTA($D$56:$D288)+3,0)),"")</f>
        <v>a1H3p000009F88lEAC</v>
      </c>
      <c r="P288" s="497">
        <f t="shared" si="33"/>
        <v>0</v>
      </c>
      <c r="Q288" s="497"/>
      <c r="R288" s="497"/>
      <c r="S288" s="497"/>
      <c r="T288" s="497" t="b">
        <f t="shared" ca="1" si="30"/>
        <v>0</v>
      </c>
    </row>
    <row r="289" spans="1:20" x14ac:dyDescent="0.35">
      <c r="A289" s="497" t="b">
        <f t="shared" ca="1" si="23"/>
        <v>0</v>
      </c>
      <c r="B289" s="511"/>
      <c r="C289" s="510" t="str">
        <f t="shared" ca="1" si="24"/>
        <v>a1H3p000009F89FEAS</v>
      </c>
      <c r="D289" s="497"/>
      <c r="E289" s="497">
        <f t="shared" ca="1" si="31"/>
        <v>3</v>
      </c>
      <c r="F289" s="512">
        <f ca="1">IFERROR(IF(COUNTA($D$56:$D289)=1,"",OFFSET($F287,-COUNTA($D$56:$D289)+3,0)),"")</f>
        <v>9</v>
      </c>
      <c r="G289" s="497"/>
      <c r="H289" s="497">
        <f t="shared" ca="1" si="32"/>
        <v>25</v>
      </c>
      <c r="I289" s="513" t="str">
        <f t="shared" ca="1" si="25"/>
        <v/>
      </c>
      <c r="J289" s="513" t="str">
        <f t="shared" ca="1" si="26"/>
        <v/>
      </c>
      <c r="K289" s="500" t="str">
        <f t="shared" ca="1" si="27"/>
        <v/>
      </c>
      <c r="L289" s="503">
        <f ca="1">IFERROR(CHOOSE(E289,'Impact Indicators - Section B '!$K$7,'Impact Indicators - Section B '!$O$7,'Impact Indicators - Section B '!$S$7,'Impact Indicators - Section B '!$W$7),"")</f>
        <v>2024</v>
      </c>
      <c r="M289" s="514" t="str">
        <f t="shared" ca="1" si="28"/>
        <v/>
      </c>
      <c r="N289" s="503" t="str">
        <f t="shared" ca="1" si="29"/>
        <v/>
      </c>
      <c r="O289" s="497" t="str">
        <f ca="1">IFERROR(IF(COUNTA($D$56:$D289)=1,"",OFFSET($C287,-COUNTA($D$56:$D289)+3,0)),"")</f>
        <v>a1H3p000009F89FEAS</v>
      </c>
      <c r="P289" s="497">
        <f t="shared" si="33"/>
        <v>0</v>
      </c>
      <c r="Q289" s="497"/>
      <c r="R289" s="497"/>
      <c r="S289" s="497"/>
      <c r="T289" s="497" t="b">
        <f t="shared" ca="1" si="30"/>
        <v>0</v>
      </c>
    </row>
    <row r="290" spans="1:20" x14ac:dyDescent="0.35">
      <c r="A290" s="497" t="b">
        <f t="shared" ca="1" si="23"/>
        <v>0</v>
      </c>
      <c r="B290" s="511"/>
      <c r="C290" s="510" t="str">
        <f t="shared" ca="1" si="24"/>
        <v>a1H3p000009F89jEAC</v>
      </c>
      <c r="D290" s="497"/>
      <c r="E290" s="497">
        <f t="shared" ca="1" si="31"/>
        <v>4</v>
      </c>
      <c r="F290" s="512">
        <f ca="1">IFERROR(IF(COUNTA($D$56:$D290)=1,"",OFFSET($F288,-COUNTA($D$56:$D290)+3,0)),"")</f>
        <v>9</v>
      </c>
      <c r="G290" s="497"/>
      <c r="H290" s="497">
        <f t="shared" ca="1" si="32"/>
        <v>25</v>
      </c>
      <c r="I290" s="513" t="str">
        <f t="shared" ca="1" si="25"/>
        <v/>
      </c>
      <c r="J290" s="513" t="str">
        <f t="shared" ca="1" si="26"/>
        <v/>
      </c>
      <c r="K290" s="500" t="str">
        <f t="shared" ca="1" si="27"/>
        <v/>
      </c>
      <c r="L290" s="503" t="str">
        <f ca="1">IFERROR(CHOOSE(E290,'Impact Indicators - Section B '!$K$7,'Impact Indicators - Section B '!$O$7,'Impact Indicators - Section B '!$S$7,'Impact Indicators - Section B '!$W$7),"")</f>
        <v/>
      </c>
      <c r="M290" s="514" t="str">
        <f t="shared" ca="1" si="28"/>
        <v/>
      </c>
      <c r="N290" s="503" t="str">
        <f t="shared" ca="1" si="29"/>
        <v/>
      </c>
      <c r="O290" s="497" t="str">
        <f ca="1">IFERROR(IF(COUNTA($D$56:$D290)=1,"",OFFSET($C288,-COUNTA($D$56:$D290)+3,0)),"")</f>
        <v>a1H3p000009F89jEAC</v>
      </c>
      <c r="P290" s="497">
        <f t="shared" si="33"/>
        <v>0</v>
      </c>
      <c r="Q290" s="497"/>
      <c r="R290" s="497"/>
      <c r="S290" s="497"/>
      <c r="T290" s="497" t="b">
        <f t="shared" ca="1" si="30"/>
        <v>0</v>
      </c>
    </row>
    <row r="291" spans="1:20" x14ac:dyDescent="0.35">
      <c r="A291" s="497" t="b">
        <f t="shared" ca="1" si="23"/>
        <v>0</v>
      </c>
      <c r="B291" s="511"/>
      <c r="C291" s="510" t="str">
        <f t="shared" ca="1" si="24"/>
        <v>a1H3p000009F8ADEA0</v>
      </c>
      <c r="D291" s="497"/>
      <c r="E291" s="497">
        <f t="shared" ca="1" si="31"/>
        <v>5</v>
      </c>
      <c r="F291" s="512">
        <f ca="1">IFERROR(IF(COUNTA($D$56:$D291)=1,"",OFFSET($F289,-COUNTA($D$56:$D291)+3,0)),"")</f>
        <v>9</v>
      </c>
      <c r="G291" s="497"/>
      <c r="H291" s="497">
        <f t="shared" ca="1" si="32"/>
        <v>25</v>
      </c>
      <c r="I291" s="513" t="str">
        <f t="shared" ca="1" si="25"/>
        <v/>
      </c>
      <c r="J291" s="513" t="str">
        <f t="shared" ca="1" si="26"/>
        <v/>
      </c>
      <c r="K291" s="500" t="str">
        <f t="shared" ca="1" si="27"/>
        <v/>
      </c>
      <c r="L291" s="503" t="str">
        <f ca="1">IFERROR(CHOOSE(E291,'Impact Indicators - Section B '!$K$7,'Impact Indicators - Section B '!$O$7,'Impact Indicators - Section B '!$S$7,'Impact Indicators - Section B '!$W$7),"")</f>
        <v/>
      </c>
      <c r="M291" s="514" t="str">
        <f t="shared" ca="1" si="28"/>
        <v/>
      </c>
      <c r="N291" s="503" t="str">
        <f t="shared" ca="1" si="29"/>
        <v/>
      </c>
      <c r="O291" s="497" t="str">
        <f ca="1">IFERROR(IF(COUNTA($D$56:$D291)=1,"",OFFSET($C289,-COUNTA($D$56:$D291)+3,0)),"")</f>
        <v>a1H3p000009F8ADEA0</v>
      </c>
      <c r="P291" s="497">
        <f t="shared" si="33"/>
        <v>0</v>
      </c>
      <c r="Q291" s="497"/>
      <c r="R291" s="497"/>
      <c r="S291" s="497"/>
      <c r="T291" s="497" t="b">
        <f t="shared" ca="1" si="30"/>
        <v>0</v>
      </c>
    </row>
    <row r="292" spans="1:20" x14ac:dyDescent="0.35">
      <c r="A292" s="497" t="b">
        <f t="shared" ca="1" si="23"/>
        <v>0</v>
      </c>
      <c r="B292" s="511"/>
      <c r="C292" s="510" t="str">
        <f t="shared" ca="1" si="24"/>
        <v>a1H3p000009F8AhEAK</v>
      </c>
      <c r="D292" s="497"/>
      <c r="E292" s="497">
        <f t="shared" ca="1" si="31"/>
        <v>6</v>
      </c>
      <c r="F292" s="512">
        <f ca="1">IFERROR(IF(COUNTA($D$56:$D292)=1,"",OFFSET($F290,-COUNTA($D$56:$D292)+3,0)),"")</f>
        <v>9</v>
      </c>
      <c r="G292" s="497"/>
      <c r="H292" s="497">
        <f t="shared" ca="1" si="32"/>
        <v>25</v>
      </c>
      <c r="I292" s="513" t="str">
        <f t="shared" ca="1" si="25"/>
        <v/>
      </c>
      <c r="J292" s="513" t="str">
        <f t="shared" ca="1" si="26"/>
        <v/>
      </c>
      <c r="K292" s="500" t="str">
        <f t="shared" ca="1" si="27"/>
        <v/>
      </c>
      <c r="L292" s="503" t="str">
        <f ca="1">IFERROR(CHOOSE(E292,'Impact Indicators - Section B '!$K$7,'Impact Indicators - Section B '!$O$7,'Impact Indicators - Section B '!$S$7,'Impact Indicators - Section B '!$W$7),"")</f>
        <v/>
      </c>
      <c r="M292" s="514" t="str">
        <f t="shared" ca="1" si="28"/>
        <v/>
      </c>
      <c r="N292" s="503" t="str">
        <f t="shared" ca="1" si="29"/>
        <v/>
      </c>
      <c r="O292" s="497" t="str">
        <f ca="1">IFERROR(IF(COUNTA($D$56:$D292)=1,"",OFFSET($C290,-COUNTA($D$56:$D292)+3,0)),"")</f>
        <v>a1H3p000009F8AhEAK</v>
      </c>
      <c r="P292" s="497">
        <f t="shared" si="33"/>
        <v>0</v>
      </c>
      <c r="Q292" s="497"/>
      <c r="R292" s="497"/>
      <c r="S292" s="497"/>
      <c r="T292" s="497" t="b">
        <f t="shared" ca="1" si="30"/>
        <v>0</v>
      </c>
    </row>
    <row r="293" spans="1:20" x14ac:dyDescent="0.35">
      <c r="A293" s="497" t="b">
        <f t="shared" ca="1" si="23"/>
        <v>0</v>
      </c>
      <c r="B293" s="511"/>
      <c r="C293" s="510" t="str">
        <f t="shared" ca="1" si="24"/>
        <v>a1H3p000009F88IEAS</v>
      </c>
      <c r="D293" s="497"/>
      <c r="E293" s="497">
        <f t="shared" ca="1" si="31"/>
        <v>1</v>
      </c>
      <c r="F293" s="512">
        <f ca="1">IFERROR(IF(COUNTA($D$56:$D293)=1,"",OFFSET($F291,-COUNTA($D$56:$D293)+3,0)),"")</f>
        <v>10</v>
      </c>
      <c r="G293" s="497"/>
      <c r="H293" s="497">
        <f t="shared" ca="1" si="32"/>
        <v>27</v>
      </c>
      <c r="I293" s="513" t="str">
        <f t="shared" ca="1" si="25"/>
        <v/>
      </c>
      <c r="J293" s="513" t="str">
        <f t="shared" ca="1" si="26"/>
        <v/>
      </c>
      <c r="K293" s="500" t="str">
        <f t="shared" ca="1" si="27"/>
        <v/>
      </c>
      <c r="L293" s="503">
        <f ca="1">IFERROR(CHOOSE(E293,'Impact Indicators - Section B '!$K$7,'Impact Indicators - Section B '!$O$7,'Impact Indicators - Section B '!$S$7,'Impact Indicators - Section B '!$W$7),"")</f>
        <v>2022</v>
      </c>
      <c r="M293" s="514" t="str">
        <f t="shared" ca="1" si="28"/>
        <v/>
      </c>
      <c r="N293" s="503" t="str">
        <f t="shared" ca="1" si="29"/>
        <v/>
      </c>
      <c r="O293" s="497" t="str">
        <f ca="1">IFERROR(IF(COUNTA($D$56:$D293)=1,"",OFFSET($C291,-COUNTA($D$56:$D293)+3,0)),"")</f>
        <v>a1H3p000009F88IEAS</v>
      </c>
      <c r="P293" s="497">
        <f t="shared" si="33"/>
        <v>0</v>
      </c>
      <c r="Q293" s="497"/>
      <c r="R293" s="497"/>
      <c r="S293" s="497"/>
      <c r="T293" s="497" t="b">
        <f t="shared" ca="1" si="30"/>
        <v>0</v>
      </c>
    </row>
    <row r="294" spans="1:20" x14ac:dyDescent="0.35">
      <c r="A294" s="497" t="b">
        <f t="shared" ca="1" si="23"/>
        <v>0</v>
      </c>
      <c r="B294" s="511"/>
      <c r="C294" s="510" t="str">
        <f t="shared" ca="1" si="24"/>
        <v>a1H3p000009F88mEAC</v>
      </c>
      <c r="D294" s="497"/>
      <c r="E294" s="497">
        <f t="shared" ca="1" si="31"/>
        <v>2</v>
      </c>
      <c r="F294" s="512">
        <f ca="1">IFERROR(IF(COUNTA($D$56:$D294)=1,"",OFFSET($F292,-COUNTA($D$56:$D294)+3,0)),"")</f>
        <v>10</v>
      </c>
      <c r="G294" s="497"/>
      <c r="H294" s="497">
        <f t="shared" ca="1" si="32"/>
        <v>27</v>
      </c>
      <c r="I294" s="513" t="str">
        <f t="shared" ca="1" si="25"/>
        <v/>
      </c>
      <c r="J294" s="513" t="str">
        <f t="shared" ca="1" si="26"/>
        <v/>
      </c>
      <c r="K294" s="500" t="str">
        <f t="shared" ca="1" si="27"/>
        <v/>
      </c>
      <c r="L294" s="503">
        <f ca="1">IFERROR(CHOOSE(E294,'Impact Indicators - Section B '!$K$7,'Impact Indicators - Section B '!$O$7,'Impact Indicators - Section B '!$S$7,'Impact Indicators - Section B '!$W$7),"")</f>
        <v>2023</v>
      </c>
      <c r="M294" s="514" t="str">
        <f t="shared" ca="1" si="28"/>
        <v/>
      </c>
      <c r="N294" s="503" t="str">
        <f t="shared" ca="1" si="29"/>
        <v/>
      </c>
      <c r="O294" s="497" t="str">
        <f ca="1">IFERROR(IF(COUNTA($D$56:$D294)=1,"",OFFSET($C292,-COUNTA($D$56:$D294)+3,0)),"")</f>
        <v>a1H3p000009F88mEAC</v>
      </c>
      <c r="P294" s="497">
        <f t="shared" si="33"/>
        <v>0</v>
      </c>
      <c r="Q294" s="497"/>
      <c r="R294" s="497"/>
      <c r="S294" s="497"/>
      <c r="T294" s="497" t="b">
        <f t="shared" ca="1" si="30"/>
        <v>0</v>
      </c>
    </row>
    <row r="295" spans="1:20" x14ac:dyDescent="0.35">
      <c r="A295" s="497" t="b">
        <f t="shared" ca="1" si="23"/>
        <v>0</v>
      </c>
      <c r="B295" s="511"/>
      <c r="C295" s="510" t="str">
        <f t="shared" ca="1" si="24"/>
        <v>a1H3p000009F89GEAS</v>
      </c>
      <c r="D295" s="497"/>
      <c r="E295" s="497">
        <f t="shared" ca="1" si="31"/>
        <v>3</v>
      </c>
      <c r="F295" s="512">
        <f ca="1">IFERROR(IF(COUNTA($D$56:$D295)=1,"",OFFSET($F293,-COUNTA($D$56:$D295)+3,0)),"")</f>
        <v>10</v>
      </c>
      <c r="G295" s="497"/>
      <c r="H295" s="497">
        <f t="shared" ca="1" si="32"/>
        <v>27</v>
      </c>
      <c r="I295" s="513" t="str">
        <f t="shared" ca="1" si="25"/>
        <v/>
      </c>
      <c r="J295" s="513" t="str">
        <f t="shared" ca="1" si="26"/>
        <v/>
      </c>
      <c r="K295" s="500" t="str">
        <f t="shared" ca="1" si="27"/>
        <v/>
      </c>
      <c r="L295" s="503">
        <f ca="1">IFERROR(CHOOSE(E295,'Impact Indicators - Section B '!$K$7,'Impact Indicators - Section B '!$O$7,'Impact Indicators - Section B '!$S$7,'Impact Indicators - Section B '!$W$7),"")</f>
        <v>2024</v>
      </c>
      <c r="M295" s="514" t="str">
        <f t="shared" ca="1" si="28"/>
        <v/>
      </c>
      <c r="N295" s="503" t="str">
        <f t="shared" ca="1" si="29"/>
        <v/>
      </c>
      <c r="O295" s="497" t="str">
        <f ca="1">IFERROR(IF(COUNTA($D$56:$D295)=1,"",OFFSET($C293,-COUNTA($D$56:$D295)+3,0)),"")</f>
        <v>a1H3p000009F89GEAS</v>
      </c>
      <c r="P295" s="497">
        <f t="shared" si="33"/>
        <v>0</v>
      </c>
      <c r="Q295" s="497"/>
      <c r="R295" s="497"/>
      <c r="S295" s="497"/>
      <c r="T295" s="497" t="b">
        <f t="shared" ca="1" si="30"/>
        <v>0</v>
      </c>
    </row>
    <row r="296" spans="1:20" x14ac:dyDescent="0.35">
      <c r="A296" s="497" t="b">
        <f t="shared" ca="1" si="23"/>
        <v>0</v>
      </c>
      <c r="B296" s="511"/>
      <c r="C296" s="510" t="str">
        <f t="shared" ca="1" si="24"/>
        <v>a1H3p000009F89kEAC</v>
      </c>
      <c r="D296" s="497"/>
      <c r="E296" s="497">
        <f t="shared" ca="1" si="31"/>
        <v>4</v>
      </c>
      <c r="F296" s="512">
        <f ca="1">IFERROR(IF(COUNTA($D$56:$D296)=1,"",OFFSET($F294,-COUNTA($D$56:$D296)+3,0)),"")</f>
        <v>10</v>
      </c>
      <c r="G296" s="497"/>
      <c r="H296" s="497">
        <f t="shared" ca="1" si="32"/>
        <v>27</v>
      </c>
      <c r="I296" s="513" t="str">
        <f t="shared" ca="1" si="25"/>
        <v/>
      </c>
      <c r="J296" s="513" t="str">
        <f t="shared" ca="1" si="26"/>
        <v/>
      </c>
      <c r="K296" s="500" t="str">
        <f t="shared" ca="1" si="27"/>
        <v/>
      </c>
      <c r="L296" s="503" t="str">
        <f ca="1">IFERROR(CHOOSE(E296,'Impact Indicators - Section B '!$K$7,'Impact Indicators - Section B '!$O$7,'Impact Indicators - Section B '!$S$7,'Impact Indicators - Section B '!$W$7),"")</f>
        <v/>
      </c>
      <c r="M296" s="514" t="str">
        <f t="shared" ca="1" si="28"/>
        <v/>
      </c>
      <c r="N296" s="503" t="str">
        <f t="shared" ca="1" si="29"/>
        <v/>
      </c>
      <c r="O296" s="497" t="str">
        <f ca="1">IFERROR(IF(COUNTA($D$56:$D296)=1,"",OFFSET($C294,-COUNTA($D$56:$D296)+3,0)),"")</f>
        <v>a1H3p000009F89kEAC</v>
      </c>
      <c r="P296" s="497">
        <f t="shared" si="33"/>
        <v>0</v>
      </c>
      <c r="Q296" s="497"/>
      <c r="R296" s="497"/>
      <c r="S296" s="497"/>
      <c r="T296" s="497" t="b">
        <f t="shared" ca="1" si="30"/>
        <v>0</v>
      </c>
    </row>
    <row r="297" spans="1:20" x14ac:dyDescent="0.35">
      <c r="A297" s="497" t="b">
        <f t="shared" ca="1" si="23"/>
        <v>0</v>
      </c>
      <c r="B297" s="511"/>
      <c r="C297" s="510" t="str">
        <f t="shared" ca="1" si="24"/>
        <v>a1H3p000009F8AEEA0</v>
      </c>
      <c r="D297" s="497"/>
      <c r="E297" s="497">
        <f t="shared" ca="1" si="31"/>
        <v>5</v>
      </c>
      <c r="F297" s="512">
        <f ca="1">IFERROR(IF(COUNTA($D$56:$D297)=1,"",OFFSET($F295,-COUNTA($D$56:$D297)+3,0)),"")</f>
        <v>10</v>
      </c>
      <c r="G297" s="497"/>
      <c r="H297" s="497">
        <f t="shared" ca="1" si="32"/>
        <v>27</v>
      </c>
      <c r="I297" s="513" t="str">
        <f t="shared" ca="1" si="25"/>
        <v/>
      </c>
      <c r="J297" s="513" t="str">
        <f t="shared" ca="1" si="26"/>
        <v/>
      </c>
      <c r="K297" s="500" t="str">
        <f t="shared" ca="1" si="27"/>
        <v/>
      </c>
      <c r="L297" s="503" t="str">
        <f ca="1">IFERROR(CHOOSE(E297,'Impact Indicators - Section B '!$K$7,'Impact Indicators - Section B '!$O$7,'Impact Indicators - Section B '!$S$7,'Impact Indicators - Section B '!$W$7),"")</f>
        <v/>
      </c>
      <c r="M297" s="514" t="str">
        <f t="shared" ca="1" si="28"/>
        <v/>
      </c>
      <c r="N297" s="503" t="str">
        <f t="shared" ca="1" si="29"/>
        <v/>
      </c>
      <c r="O297" s="497" t="str">
        <f ca="1">IFERROR(IF(COUNTA($D$56:$D297)=1,"",OFFSET($C295,-COUNTA($D$56:$D297)+3,0)),"")</f>
        <v>a1H3p000009F8AEEA0</v>
      </c>
      <c r="P297" s="497">
        <f t="shared" si="33"/>
        <v>0</v>
      </c>
      <c r="Q297" s="497"/>
      <c r="R297" s="497"/>
      <c r="S297" s="497"/>
      <c r="T297" s="497" t="b">
        <f t="shared" ca="1" si="30"/>
        <v>0</v>
      </c>
    </row>
    <row r="298" spans="1:20" x14ac:dyDescent="0.35">
      <c r="A298" s="497" t="b">
        <f t="shared" ca="1" si="23"/>
        <v>0</v>
      </c>
      <c r="B298" s="511"/>
      <c r="C298" s="510" t="str">
        <f t="shared" ca="1" si="24"/>
        <v>a1H3p000009F8AiEAK</v>
      </c>
      <c r="D298" s="497"/>
      <c r="E298" s="497">
        <f t="shared" ca="1" si="31"/>
        <v>6</v>
      </c>
      <c r="F298" s="512">
        <f ca="1">IFERROR(IF(COUNTA($D$56:$D298)=1,"",OFFSET($F296,-COUNTA($D$56:$D298)+3,0)),"")</f>
        <v>10</v>
      </c>
      <c r="G298" s="497"/>
      <c r="H298" s="497">
        <f t="shared" ca="1" si="32"/>
        <v>27</v>
      </c>
      <c r="I298" s="513" t="str">
        <f t="shared" ca="1" si="25"/>
        <v/>
      </c>
      <c r="J298" s="513" t="str">
        <f t="shared" ca="1" si="26"/>
        <v/>
      </c>
      <c r="K298" s="500" t="str">
        <f t="shared" ca="1" si="27"/>
        <v/>
      </c>
      <c r="L298" s="503" t="str">
        <f ca="1">IFERROR(CHOOSE(E298,'Impact Indicators - Section B '!$K$7,'Impact Indicators - Section B '!$O$7,'Impact Indicators - Section B '!$S$7,'Impact Indicators - Section B '!$W$7),"")</f>
        <v/>
      </c>
      <c r="M298" s="514" t="str">
        <f t="shared" ca="1" si="28"/>
        <v/>
      </c>
      <c r="N298" s="503" t="str">
        <f t="shared" ca="1" si="29"/>
        <v/>
      </c>
      <c r="O298" s="497" t="str">
        <f ca="1">IFERROR(IF(COUNTA($D$56:$D298)=1,"",OFFSET($C296,-COUNTA($D$56:$D298)+3,0)),"")</f>
        <v>a1H3p000009F8AiEAK</v>
      </c>
      <c r="P298" s="497">
        <f t="shared" si="33"/>
        <v>0</v>
      </c>
      <c r="Q298" s="497"/>
      <c r="R298" s="497"/>
      <c r="S298" s="497"/>
      <c r="T298" s="497" t="b">
        <f t="shared" ca="1" si="30"/>
        <v>0</v>
      </c>
    </row>
    <row r="299" spans="1:20" x14ac:dyDescent="0.35">
      <c r="A299" s="497" t="b">
        <f t="shared" ca="1" si="23"/>
        <v>0</v>
      </c>
      <c r="B299" s="511"/>
      <c r="C299" s="510" t="str">
        <f t="shared" ca="1" si="24"/>
        <v>a1H3p000009F88JEAS</v>
      </c>
      <c r="D299" s="497"/>
      <c r="E299" s="497">
        <f t="shared" ca="1" si="31"/>
        <v>1</v>
      </c>
      <c r="F299" s="512">
        <f ca="1">IFERROR(IF(COUNTA($D$56:$D299)=1,"",OFFSET($F297,-COUNTA($D$56:$D299)+3,0)),"")</f>
        <v>11</v>
      </c>
      <c r="G299" s="497"/>
      <c r="H299" s="497">
        <f t="shared" ca="1" si="32"/>
        <v>29</v>
      </c>
      <c r="I299" s="513" t="str">
        <f t="shared" ca="1" si="25"/>
        <v/>
      </c>
      <c r="J299" s="513" t="str">
        <f t="shared" ca="1" si="26"/>
        <v/>
      </c>
      <c r="K299" s="500" t="str">
        <f t="shared" ca="1" si="27"/>
        <v/>
      </c>
      <c r="L299" s="503">
        <f ca="1">IFERROR(CHOOSE(E299,'Impact Indicators - Section B '!$K$7,'Impact Indicators - Section B '!$O$7,'Impact Indicators - Section B '!$S$7,'Impact Indicators - Section B '!$W$7),"")</f>
        <v>2022</v>
      </c>
      <c r="M299" s="514" t="str">
        <f t="shared" ca="1" si="28"/>
        <v/>
      </c>
      <c r="N299" s="503" t="str">
        <f t="shared" ca="1" si="29"/>
        <v/>
      </c>
      <c r="O299" s="497" t="str">
        <f ca="1">IFERROR(IF(COUNTA($D$56:$D299)=1,"",OFFSET($C297,-COUNTA($D$56:$D299)+3,0)),"")</f>
        <v>a1H3p000009F88JEAS</v>
      </c>
      <c r="P299" s="497">
        <f t="shared" si="33"/>
        <v>0</v>
      </c>
      <c r="Q299" s="497"/>
      <c r="R299" s="497"/>
      <c r="S299" s="497"/>
      <c r="T299" s="497" t="b">
        <f t="shared" ca="1" si="30"/>
        <v>0</v>
      </c>
    </row>
    <row r="300" spans="1:20" x14ac:dyDescent="0.35">
      <c r="A300" s="497" t="b">
        <f t="shared" ca="1" si="23"/>
        <v>0</v>
      </c>
      <c r="B300" s="511"/>
      <c r="C300" s="510" t="str">
        <f t="shared" ca="1" si="24"/>
        <v>a1H3p000009F88nEAC</v>
      </c>
      <c r="D300" s="497"/>
      <c r="E300" s="497">
        <f t="shared" ca="1" si="31"/>
        <v>2</v>
      </c>
      <c r="F300" s="512">
        <f ca="1">IFERROR(IF(COUNTA($D$56:$D300)=1,"",OFFSET($F298,-COUNTA($D$56:$D300)+3,0)),"")</f>
        <v>11</v>
      </c>
      <c r="G300" s="497"/>
      <c r="H300" s="497">
        <f t="shared" ca="1" si="32"/>
        <v>29</v>
      </c>
      <c r="I300" s="513" t="str">
        <f t="shared" ca="1" si="25"/>
        <v/>
      </c>
      <c r="J300" s="513" t="str">
        <f t="shared" ca="1" si="26"/>
        <v/>
      </c>
      <c r="K300" s="500" t="str">
        <f t="shared" ca="1" si="27"/>
        <v/>
      </c>
      <c r="L300" s="503">
        <f ca="1">IFERROR(CHOOSE(E300,'Impact Indicators - Section B '!$K$7,'Impact Indicators - Section B '!$O$7,'Impact Indicators - Section B '!$S$7,'Impact Indicators - Section B '!$W$7),"")</f>
        <v>2023</v>
      </c>
      <c r="M300" s="514" t="str">
        <f t="shared" ca="1" si="28"/>
        <v/>
      </c>
      <c r="N300" s="503" t="str">
        <f t="shared" ca="1" si="29"/>
        <v/>
      </c>
      <c r="O300" s="497" t="str">
        <f ca="1">IFERROR(IF(COUNTA($D$56:$D300)=1,"",OFFSET($C298,-COUNTA($D$56:$D300)+3,0)),"")</f>
        <v>a1H3p000009F88nEAC</v>
      </c>
      <c r="P300" s="497">
        <f t="shared" si="33"/>
        <v>0</v>
      </c>
      <c r="Q300" s="497"/>
      <c r="R300" s="497"/>
      <c r="S300" s="497"/>
      <c r="T300" s="497" t="b">
        <f t="shared" ca="1" si="30"/>
        <v>0</v>
      </c>
    </row>
    <row r="301" spans="1:20" x14ac:dyDescent="0.35">
      <c r="A301" s="497" t="b">
        <f t="shared" ca="1" si="23"/>
        <v>0</v>
      </c>
      <c r="B301" s="511"/>
      <c r="C301" s="510" t="str">
        <f t="shared" ca="1" si="24"/>
        <v>a1H3p000009F89HEAS</v>
      </c>
      <c r="D301" s="497"/>
      <c r="E301" s="497">
        <f t="shared" ca="1" si="31"/>
        <v>3</v>
      </c>
      <c r="F301" s="512">
        <f ca="1">IFERROR(IF(COUNTA($D$56:$D301)=1,"",OFFSET($F299,-COUNTA($D$56:$D301)+3,0)),"")</f>
        <v>11</v>
      </c>
      <c r="G301" s="497"/>
      <c r="H301" s="497">
        <f t="shared" ca="1" si="32"/>
        <v>29</v>
      </c>
      <c r="I301" s="513" t="str">
        <f t="shared" ca="1" si="25"/>
        <v/>
      </c>
      <c r="J301" s="513" t="str">
        <f t="shared" ca="1" si="26"/>
        <v/>
      </c>
      <c r="K301" s="500" t="str">
        <f t="shared" ca="1" si="27"/>
        <v/>
      </c>
      <c r="L301" s="503">
        <f ca="1">IFERROR(CHOOSE(E301,'Impact Indicators - Section B '!$K$7,'Impact Indicators - Section B '!$O$7,'Impact Indicators - Section B '!$S$7,'Impact Indicators - Section B '!$W$7),"")</f>
        <v>2024</v>
      </c>
      <c r="M301" s="514" t="str">
        <f t="shared" ca="1" si="28"/>
        <v/>
      </c>
      <c r="N301" s="503" t="str">
        <f t="shared" ca="1" si="29"/>
        <v/>
      </c>
      <c r="O301" s="497" t="str">
        <f ca="1">IFERROR(IF(COUNTA($D$56:$D301)=1,"",OFFSET($C299,-COUNTA($D$56:$D301)+3,0)),"")</f>
        <v>a1H3p000009F89HEAS</v>
      </c>
      <c r="P301" s="497">
        <f t="shared" si="33"/>
        <v>0</v>
      </c>
      <c r="Q301" s="497"/>
      <c r="R301" s="497"/>
      <c r="S301" s="497"/>
      <c r="T301" s="497" t="b">
        <f t="shared" ca="1" si="30"/>
        <v>0</v>
      </c>
    </row>
    <row r="302" spans="1:20" x14ac:dyDescent="0.35">
      <c r="A302" s="497" t="b">
        <f t="shared" ca="1" si="23"/>
        <v>0</v>
      </c>
      <c r="B302" s="511"/>
      <c r="C302" s="510" t="str">
        <f t="shared" ca="1" si="24"/>
        <v>a1H3p000009F89lEAC</v>
      </c>
      <c r="D302" s="497"/>
      <c r="E302" s="497">
        <f t="shared" ca="1" si="31"/>
        <v>4</v>
      </c>
      <c r="F302" s="512">
        <f ca="1">IFERROR(IF(COUNTA($D$56:$D302)=1,"",OFFSET($F300,-COUNTA($D$56:$D302)+3,0)),"")</f>
        <v>11</v>
      </c>
      <c r="G302" s="497"/>
      <c r="H302" s="497">
        <f t="shared" ca="1" si="32"/>
        <v>29</v>
      </c>
      <c r="I302" s="513" t="str">
        <f t="shared" ca="1" si="25"/>
        <v/>
      </c>
      <c r="J302" s="513" t="str">
        <f t="shared" ca="1" si="26"/>
        <v/>
      </c>
      <c r="K302" s="500" t="str">
        <f t="shared" ca="1" si="27"/>
        <v/>
      </c>
      <c r="L302" s="503" t="str">
        <f ca="1">IFERROR(CHOOSE(E302,'Impact Indicators - Section B '!$K$7,'Impact Indicators - Section B '!$O$7,'Impact Indicators - Section B '!$S$7,'Impact Indicators - Section B '!$W$7),"")</f>
        <v/>
      </c>
      <c r="M302" s="514" t="str">
        <f t="shared" ca="1" si="28"/>
        <v/>
      </c>
      <c r="N302" s="503" t="str">
        <f t="shared" ca="1" si="29"/>
        <v/>
      </c>
      <c r="O302" s="497" t="str">
        <f ca="1">IFERROR(IF(COUNTA($D$56:$D302)=1,"",OFFSET($C300,-COUNTA($D$56:$D302)+3,0)),"")</f>
        <v>a1H3p000009F89lEAC</v>
      </c>
      <c r="P302" s="497">
        <f t="shared" si="33"/>
        <v>0</v>
      </c>
      <c r="Q302" s="497"/>
      <c r="R302" s="497"/>
      <c r="S302" s="497"/>
      <c r="T302" s="497" t="b">
        <f t="shared" ca="1" si="30"/>
        <v>0</v>
      </c>
    </row>
    <row r="303" spans="1:20" x14ac:dyDescent="0.35">
      <c r="A303" s="497" t="b">
        <f t="shared" ref="A303:A366" ca="1" si="34">IF(OR(I303&lt;&gt;"",J303&lt;&gt;"",K303&lt;&gt;"",M303&lt;&gt;"",N303&lt;&gt;""),TRUE,FALSE)</f>
        <v>0</v>
      </c>
      <c r="B303" s="511"/>
      <c r="C303" s="510" t="str">
        <f t="shared" ref="C303:C366" ca="1" si="35">O303</f>
        <v>a1H3p000009F8AFEA0</v>
      </c>
      <c r="D303" s="497"/>
      <c r="E303" s="497">
        <f t="shared" ca="1" si="31"/>
        <v>5</v>
      </c>
      <c r="F303" s="512">
        <f ca="1">IFERROR(IF(COUNTA($D$56:$D303)=1,"",OFFSET($F301,-COUNTA($D$56:$D303)+3,0)),"")</f>
        <v>11</v>
      </c>
      <c r="G303" s="497"/>
      <c r="H303" s="497">
        <f t="shared" ca="1" si="32"/>
        <v>29</v>
      </c>
      <c r="I303" s="513" t="str">
        <f t="shared" ref="I303:I366" ca="1" si="36">IFERROR(CHOOSE(E303,IFERROR(IF(INDIRECT("'Impact Indicators - Section B '!K"&amp;H303+1)="","",INDIRECT("'Impact Indicators - Section B '!K"&amp;H303+1)),""),IFERROR(IF(INDIRECT("'Impact Indicators - Section B '!O"&amp;H303+1)="","",INDIRECT("'Impact Indicators - Section B '!O"&amp;H303+1)),""),IFERROR(IF(INDIRECT("'Impact Indicators - Section B '!S"&amp;H303+1)="","",INDIRECT("'Impact Indicators - Section B '!S"&amp;H303+1)),""),IFERROR(IF(INDIRECT("'Impact Indicators - Section B '!W"&amp;H303+1)="","",INDIRECT("'Impact Indicators - Section B '!W"&amp;H303+1)),"")),"")</f>
        <v/>
      </c>
      <c r="J303" s="513" t="str">
        <f t="shared" ref="J303:J366" ca="1" si="37">IFERROR(CHOOSE(E303,IFERROR(IF(INDIRECT("'Impact Indicators - Section B '!K"&amp;H303)="","",INDIRECT("'Impact Indicators - Section B '!K"&amp;H303)),""),IFERROR(IF(INDIRECT("'Impact Indicators - Section B '!O"&amp;H303)="","",INDIRECT("'Impact Indicators - Section B '!O"&amp;H303)),""),IFERROR(IF(INDIRECT("'Impact Indicators - Section B '!S"&amp;H303)="","",INDIRECT("'Impact Indicators - Section B '!S"&amp;H303)),""),IFERROR(IF(INDIRECT("'Impact Indicators - Section B '!W"&amp;H303)="","",INDIRECT("'Impact Indicators - Section B '!W"&amp;H303)),"")),"")</f>
        <v/>
      </c>
      <c r="K303" s="500" t="str">
        <f t="shared" ref="K303:K366" ca="1" si="38">IFERROR(CHOOSE(E303,IFERROR(IF(INDIRECT("'Impact Indicators - Section B '!L"&amp;H303)="","",INDIRECT("'Impact Indicators - Section B '!L"&amp;H303)*100),""),IFERROR(IF(INDIRECT("'Impact Indicators - Section B '!P"&amp;H303)="","",INDIRECT("'Impact Indicators - Section B '!P"&amp;H303)*100),""),IFERROR(IF(INDIRECT("'Impact Indicators - Section B '!T"&amp;H303)="","",INDIRECT("'Impact Indicators - Section B '!T"&amp;H303)*100),""),IFERROR(IF(INDIRECT("'Impact Indicators - Section B '!X"&amp;H303)="","",INDIRECT("'Impact Indicators - Section B '!X"&amp;H303)*100),"")),"")</f>
        <v/>
      </c>
      <c r="L303" s="503" t="str">
        <f ca="1">IFERROR(CHOOSE(E303,'Impact Indicators - Section B '!$K$7,'Impact Indicators - Section B '!$O$7,'Impact Indicators - Section B '!$S$7,'Impact Indicators - Section B '!$W$7),"")</f>
        <v/>
      </c>
      <c r="M303" s="514" t="str">
        <f t="shared" ref="M303:M366" ca="1" si="39">IFERROR(CHOOSE(E303,IFERROR(IF(INDIRECT("'Impact Indicators - Section B '!M"&amp;H303)="","",INDIRECT("'Impact Indicators - Section B '!M"&amp;H303)),""),IFERROR(IF(INDIRECT("'Impact Indicators - Section B '!Q"&amp;H303)="","",INDIRECT("'Impact Indicators - Section B '!Q"&amp;H303)),""),IFERROR(IF(INDIRECT("'Impact Indicators - Section B '!U"&amp;H303)="","",INDIRECT("'Impact Indicators - Section B '!U"&amp;H303)),""),IFERROR(IF(INDIRECT("'Impact Indicators - Section B '!Y"&amp;H303)="","",INDIRECT("'Impact Indicators - Section B '!Y"&amp;H303)),"")),"")</f>
        <v/>
      </c>
      <c r="N303" s="503" t="str">
        <f t="shared" ref="N303:N366" ca="1" si="40">IFERROR(CHOOSE(E303,IFERROR(IF(INDIRECT("'Impact Indicators - Section B '!N"&amp;H303)=0,"",INDIRECT("'Impact Indicators - Section B '!N"&amp;H303)),""),IFERROR(IF(INDIRECT("'Impact Indicators - Section B '!R"&amp;H303)=0,"",INDIRECT("'Impact Indicators - Section B '!R"&amp;H303)),""),IFERROR(IF(INDIRECT("'Impact Indicators - Section B '!V"&amp;H303)=0,"",INDIRECT("'Impact Indicators - Section B '!V"&amp;H303)),""),IFERROR(IF(INDIRECT("'Impact Indicators - Section B '!Z"&amp;H303)=0,"",INDIRECT("'Impact Indicators - Section B '!Z"&amp;H303)),"")),"")</f>
        <v/>
      </c>
      <c r="O303" s="497" t="str">
        <f ca="1">IFERROR(IF(COUNTA($D$56:$D303)=1,"",OFFSET($C301,-COUNTA($D$56:$D303)+3,0)),"")</f>
        <v>a1H3p000009F8AFEA0</v>
      </c>
      <c r="P303" s="497">
        <f t="shared" si="33"/>
        <v>0</v>
      </c>
      <c r="Q303" s="497"/>
      <c r="R303" s="497"/>
      <c r="S303" s="497"/>
      <c r="T303" s="497" t="b">
        <f t="shared" ref="T303:T366" ca="1" si="41">IF(A303=TRUE,TRUE,FALSE)</f>
        <v>0</v>
      </c>
    </row>
    <row r="304" spans="1:20" x14ac:dyDescent="0.35">
      <c r="A304" s="497" t="b">
        <f t="shared" ca="1" si="34"/>
        <v>0</v>
      </c>
      <c r="B304" s="511"/>
      <c r="C304" s="510" t="str">
        <f t="shared" ca="1" si="35"/>
        <v>a1H3p000009F8AjEAK</v>
      </c>
      <c r="D304" s="497"/>
      <c r="E304" s="497">
        <f t="shared" ca="1" si="31"/>
        <v>6</v>
      </c>
      <c r="F304" s="512">
        <f ca="1">IFERROR(IF(COUNTA($D$56:$D304)=1,"",OFFSET($F302,-COUNTA($D$56:$D304)+3,0)),"")</f>
        <v>11</v>
      </c>
      <c r="G304" s="497"/>
      <c r="H304" s="497">
        <f t="shared" ca="1" si="32"/>
        <v>29</v>
      </c>
      <c r="I304" s="513" t="str">
        <f t="shared" ca="1" si="36"/>
        <v/>
      </c>
      <c r="J304" s="513" t="str">
        <f t="shared" ca="1" si="37"/>
        <v/>
      </c>
      <c r="K304" s="500" t="str">
        <f t="shared" ca="1" si="38"/>
        <v/>
      </c>
      <c r="L304" s="503" t="str">
        <f ca="1">IFERROR(CHOOSE(E304,'Impact Indicators - Section B '!$K$7,'Impact Indicators - Section B '!$O$7,'Impact Indicators - Section B '!$S$7,'Impact Indicators - Section B '!$W$7),"")</f>
        <v/>
      </c>
      <c r="M304" s="514" t="str">
        <f t="shared" ca="1" si="39"/>
        <v/>
      </c>
      <c r="N304" s="503" t="str">
        <f t="shared" ca="1" si="40"/>
        <v/>
      </c>
      <c r="O304" s="497" t="str">
        <f ca="1">IFERROR(IF(COUNTA($D$56:$D304)=1,"",OFFSET($C302,-COUNTA($D$56:$D304)+3,0)),"")</f>
        <v>a1H3p000009F8AjEAK</v>
      </c>
      <c r="P304" s="497">
        <f t="shared" si="33"/>
        <v>0</v>
      </c>
      <c r="Q304" s="497"/>
      <c r="R304" s="497"/>
      <c r="S304" s="497"/>
      <c r="T304" s="497" t="b">
        <f t="shared" ca="1" si="41"/>
        <v>0</v>
      </c>
    </row>
    <row r="305" spans="1:20" x14ac:dyDescent="0.35">
      <c r="A305" s="497" t="b">
        <f t="shared" ca="1" si="34"/>
        <v>0</v>
      </c>
      <c r="B305" s="511"/>
      <c r="C305" s="510" t="str">
        <f t="shared" ca="1" si="35"/>
        <v>a1H3p000009F88KEAS</v>
      </c>
      <c r="D305" s="497"/>
      <c r="E305" s="497">
        <f t="shared" ca="1" si="31"/>
        <v>1</v>
      </c>
      <c r="F305" s="512">
        <f ca="1">IFERROR(IF(COUNTA($D$56:$D305)=1,"",OFFSET($F303,-COUNTA($D$56:$D305)+3,0)),"")</f>
        <v>12</v>
      </c>
      <c r="G305" s="497"/>
      <c r="H305" s="497">
        <f t="shared" ca="1" si="32"/>
        <v>31</v>
      </c>
      <c r="I305" s="513" t="str">
        <f t="shared" ca="1" si="36"/>
        <v/>
      </c>
      <c r="J305" s="513" t="str">
        <f t="shared" ca="1" si="37"/>
        <v/>
      </c>
      <c r="K305" s="500" t="str">
        <f t="shared" ca="1" si="38"/>
        <v/>
      </c>
      <c r="L305" s="503">
        <f ca="1">IFERROR(CHOOSE(E305,'Impact Indicators - Section B '!$K$7,'Impact Indicators - Section B '!$O$7,'Impact Indicators - Section B '!$S$7,'Impact Indicators - Section B '!$W$7),"")</f>
        <v>2022</v>
      </c>
      <c r="M305" s="514" t="str">
        <f t="shared" ca="1" si="39"/>
        <v/>
      </c>
      <c r="N305" s="503" t="str">
        <f t="shared" ca="1" si="40"/>
        <v/>
      </c>
      <c r="O305" s="497" t="str">
        <f ca="1">IFERROR(IF(COUNTA($D$56:$D305)=1,"",OFFSET($C303,-COUNTA($D$56:$D305)+3,0)),"")</f>
        <v>a1H3p000009F88KEAS</v>
      </c>
      <c r="P305" s="497">
        <f t="shared" si="33"/>
        <v>0</v>
      </c>
      <c r="Q305" s="497"/>
      <c r="R305" s="497"/>
      <c r="S305" s="497"/>
      <c r="T305" s="497" t="b">
        <f t="shared" ca="1" si="41"/>
        <v>0</v>
      </c>
    </row>
    <row r="306" spans="1:20" x14ac:dyDescent="0.35">
      <c r="A306" s="497" t="b">
        <f t="shared" ca="1" si="34"/>
        <v>0</v>
      </c>
      <c r="B306" s="511"/>
      <c r="C306" s="510" t="str">
        <f t="shared" ca="1" si="35"/>
        <v>a1H3p000009F88oEAC</v>
      </c>
      <c r="D306" s="497"/>
      <c r="E306" s="497">
        <f t="shared" ca="1" si="31"/>
        <v>2</v>
      </c>
      <c r="F306" s="512">
        <f ca="1">IFERROR(IF(COUNTA($D$56:$D306)=1,"",OFFSET($F304,-COUNTA($D$56:$D306)+3,0)),"")</f>
        <v>12</v>
      </c>
      <c r="G306" s="497"/>
      <c r="H306" s="497">
        <f t="shared" ca="1" si="32"/>
        <v>31</v>
      </c>
      <c r="I306" s="513" t="str">
        <f t="shared" ca="1" si="36"/>
        <v/>
      </c>
      <c r="J306" s="513" t="str">
        <f t="shared" ca="1" si="37"/>
        <v/>
      </c>
      <c r="K306" s="500" t="str">
        <f t="shared" ca="1" si="38"/>
        <v/>
      </c>
      <c r="L306" s="503">
        <f ca="1">IFERROR(CHOOSE(E306,'Impact Indicators - Section B '!$K$7,'Impact Indicators - Section B '!$O$7,'Impact Indicators - Section B '!$S$7,'Impact Indicators - Section B '!$W$7),"")</f>
        <v>2023</v>
      </c>
      <c r="M306" s="514" t="str">
        <f t="shared" ca="1" si="39"/>
        <v/>
      </c>
      <c r="N306" s="503" t="str">
        <f t="shared" ca="1" si="40"/>
        <v/>
      </c>
      <c r="O306" s="497" t="str">
        <f ca="1">IFERROR(IF(COUNTA($D$56:$D306)=1,"",OFFSET($C304,-COUNTA($D$56:$D306)+3,0)),"")</f>
        <v>a1H3p000009F88oEAC</v>
      </c>
      <c r="P306" s="497">
        <f t="shared" si="33"/>
        <v>0</v>
      </c>
      <c r="Q306" s="497"/>
      <c r="R306" s="497"/>
      <c r="S306" s="497"/>
      <c r="T306" s="497" t="b">
        <f t="shared" ca="1" si="41"/>
        <v>0</v>
      </c>
    </row>
    <row r="307" spans="1:20" x14ac:dyDescent="0.35">
      <c r="A307" s="497" t="b">
        <f t="shared" ca="1" si="34"/>
        <v>0</v>
      </c>
      <c r="B307" s="511"/>
      <c r="C307" s="510" t="str">
        <f t="shared" ca="1" si="35"/>
        <v>a1H3p000009F89IEAS</v>
      </c>
      <c r="D307" s="497"/>
      <c r="E307" s="497">
        <f t="shared" ca="1" si="31"/>
        <v>3</v>
      </c>
      <c r="F307" s="512">
        <f ca="1">IFERROR(IF(COUNTA($D$56:$D307)=1,"",OFFSET($F305,-COUNTA($D$56:$D307)+3,0)),"")</f>
        <v>12</v>
      </c>
      <c r="G307" s="497"/>
      <c r="H307" s="497">
        <f t="shared" ca="1" si="32"/>
        <v>31</v>
      </c>
      <c r="I307" s="513" t="str">
        <f t="shared" ca="1" si="36"/>
        <v/>
      </c>
      <c r="J307" s="513" t="str">
        <f t="shared" ca="1" si="37"/>
        <v/>
      </c>
      <c r="K307" s="500" t="str">
        <f t="shared" ca="1" si="38"/>
        <v/>
      </c>
      <c r="L307" s="503">
        <f ca="1">IFERROR(CHOOSE(E307,'Impact Indicators - Section B '!$K$7,'Impact Indicators - Section B '!$O$7,'Impact Indicators - Section B '!$S$7,'Impact Indicators - Section B '!$W$7),"")</f>
        <v>2024</v>
      </c>
      <c r="M307" s="514" t="str">
        <f t="shared" ca="1" si="39"/>
        <v/>
      </c>
      <c r="N307" s="503" t="str">
        <f t="shared" ca="1" si="40"/>
        <v/>
      </c>
      <c r="O307" s="497" t="str">
        <f ca="1">IFERROR(IF(COUNTA($D$56:$D307)=1,"",OFFSET($C305,-COUNTA($D$56:$D307)+3,0)),"")</f>
        <v>a1H3p000009F89IEAS</v>
      </c>
      <c r="P307" s="497">
        <f t="shared" si="33"/>
        <v>0</v>
      </c>
      <c r="Q307" s="497"/>
      <c r="R307" s="497"/>
      <c r="S307" s="497"/>
      <c r="T307" s="497" t="b">
        <f t="shared" ca="1" si="41"/>
        <v>0</v>
      </c>
    </row>
    <row r="308" spans="1:20" x14ac:dyDescent="0.35">
      <c r="A308" s="497" t="b">
        <f t="shared" ca="1" si="34"/>
        <v>0</v>
      </c>
      <c r="B308" s="511"/>
      <c r="C308" s="510" t="str">
        <f t="shared" ca="1" si="35"/>
        <v>a1H3p000009F89mEAC</v>
      </c>
      <c r="D308" s="497"/>
      <c r="E308" s="497">
        <f t="shared" ca="1" si="31"/>
        <v>4</v>
      </c>
      <c r="F308" s="512">
        <f ca="1">IFERROR(IF(COUNTA($D$56:$D308)=1,"",OFFSET($F306,-COUNTA($D$56:$D308)+3,0)),"")</f>
        <v>12</v>
      </c>
      <c r="G308" s="497"/>
      <c r="H308" s="497">
        <f t="shared" ca="1" si="32"/>
        <v>31</v>
      </c>
      <c r="I308" s="513" t="str">
        <f t="shared" ca="1" si="36"/>
        <v/>
      </c>
      <c r="J308" s="513" t="str">
        <f t="shared" ca="1" si="37"/>
        <v/>
      </c>
      <c r="K308" s="500" t="str">
        <f t="shared" ca="1" si="38"/>
        <v/>
      </c>
      <c r="L308" s="503" t="str">
        <f ca="1">IFERROR(CHOOSE(E308,'Impact Indicators - Section B '!$K$7,'Impact Indicators - Section B '!$O$7,'Impact Indicators - Section B '!$S$7,'Impact Indicators - Section B '!$W$7),"")</f>
        <v/>
      </c>
      <c r="M308" s="514" t="str">
        <f t="shared" ca="1" si="39"/>
        <v/>
      </c>
      <c r="N308" s="503" t="str">
        <f t="shared" ca="1" si="40"/>
        <v/>
      </c>
      <c r="O308" s="497" t="str">
        <f ca="1">IFERROR(IF(COUNTA($D$56:$D308)=1,"",OFFSET($C306,-COUNTA($D$56:$D308)+3,0)),"")</f>
        <v>a1H3p000009F89mEAC</v>
      </c>
      <c r="P308" s="497">
        <f t="shared" si="33"/>
        <v>0</v>
      </c>
      <c r="Q308" s="497"/>
      <c r="R308" s="497"/>
      <c r="S308" s="497"/>
      <c r="T308" s="497" t="b">
        <f t="shared" ca="1" si="41"/>
        <v>0</v>
      </c>
    </row>
    <row r="309" spans="1:20" x14ac:dyDescent="0.35">
      <c r="A309" s="497" t="b">
        <f t="shared" ca="1" si="34"/>
        <v>0</v>
      </c>
      <c r="B309" s="511"/>
      <c r="C309" s="510" t="str">
        <f t="shared" ca="1" si="35"/>
        <v>a1H3p000009F8AGEA0</v>
      </c>
      <c r="D309" s="497"/>
      <c r="E309" s="497">
        <f t="shared" ca="1" si="31"/>
        <v>5</v>
      </c>
      <c r="F309" s="512">
        <f ca="1">IFERROR(IF(COUNTA($D$56:$D309)=1,"",OFFSET($F307,-COUNTA($D$56:$D309)+3,0)),"")</f>
        <v>12</v>
      </c>
      <c r="G309" s="497"/>
      <c r="H309" s="497">
        <f t="shared" ca="1" si="32"/>
        <v>31</v>
      </c>
      <c r="I309" s="513" t="str">
        <f t="shared" ca="1" si="36"/>
        <v/>
      </c>
      <c r="J309" s="513" t="str">
        <f t="shared" ca="1" si="37"/>
        <v/>
      </c>
      <c r="K309" s="500" t="str">
        <f t="shared" ca="1" si="38"/>
        <v/>
      </c>
      <c r="L309" s="503" t="str">
        <f ca="1">IFERROR(CHOOSE(E309,'Impact Indicators - Section B '!$K$7,'Impact Indicators - Section B '!$O$7,'Impact Indicators - Section B '!$S$7,'Impact Indicators - Section B '!$W$7),"")</f>
        <v/>
      </c>
      <c r="M309" s="514" t="str">
        <f t="shared" ca="1" si="39"/>
        <v/>
      </c>
      <c r="N309" s="503" t="str">
        <f t="shared" ca="1" si="40"/>
        <v/>
      </c>
      <c r="O309" s="497" t="str">
        <f ca="1">IFERROR(IF(COUNTA($D$56:$D309)=1,"",OFFSET($C307,-COUNTA($D$56:$D309)+3,0)),"")</f>
        <v>a1H3p000009F8AGEA0</v>
      </c>
      <c r="P309" s="497">
        <f t="shared" si="33"/>
        <v>0</v>
      </c>
      <c r="Q309" s="497"/>
      <c r="R309" s="497"/>
      <c r="S309" s="497"/>
      <c r="T309" s="497" t="b">
        <f t="shared" ca="1" si="41"/>
        <v>0</v>
      </c>
    </row>
    <row r="310" spans="1:20" x14ac:dyDescent="0.35">
      <c r="A310" s="497" t="b">
        <f t="shared" ca="1" si="34"/>
        <v>0</v>
      </c>
      <c r="B310" s="511"/>
      <c r="C310" s="510" t="str">
        <f t="shared" ca="1" si="35"/>
        <v>a1H3p000009F8AkEAK</v>
      </c>
      <c r="D310" s="497"/>
      <c r="E310" s="497">
        <f t="shared" ca="1" si="31"/>
        <v>6</v>
      </c>
      <c r="F310" s="512">
        <f ca="1">IFERROR(IF(COUNTA($D$56:$D310)=1,"",OFFSET($F308,-COUNTA($D$56:$D310)+3,0)),"")</f>
        <v>12</v>
      </c>
      <c r="G310" s="497"/>
      <c r="H310" s="497">
        <f t="shared" ca="1" si="32"/>
        <v>31</v>
      </c>
      <c r="I310" s="513" t="str">
        <f t="shared" ca="1" si="36"/>
        <v/>
      </c>
      <c r="J310" s="513" t="str">
        <f t="shared" ca="1" si="37"/>
        <v/>
      </c>
      <c r="K310" s="500" t="str">
        <f t="shared" ca="1" si="38"/>
        <v/>
      </c>
      <c r="L310" s="503" t="str">
        <f ca="1">IFERROR(CHOOSE(E310,'Impact Indicators - Section B '!$K$7,'Impact Indicators - Section B '!$O$7,'Impact Indicators - Section B '!$S$7,'Impact Indicators - Section B '!$W$7),"")</f>
        <v/>
      </c>
      <c r="M310" s="514" t="str">
        <f t="shared" ca="1" si="39"/>
        <v/>
      </c>
      <c r="N310" s="503" t="str">
        <f t="shared" ca="1" si="40"/>
        <v/>
      </c>
      <c r="O310" s="497" t="str">
        <f ca="1">IFERROR(IF(COUNTA($D$56:$D310)=1,"",OFFSET($C308,-COUNTA($D$56:$D310)+3,0)),"")</f>
        <v>a1H3p000009F8AkEAK</v>
      </c>
      <c r="P310" s="497">
        <f t="shared" si="33"/>
        <v>0</v>
      </c>
      <c r="Q310" s="497"/>
      <c r="R310" s="497"/>
      <c r="S310" s="497"/>
      <c r="T310" s="497" t="b">
        <f t="shared" ca="1" si="41"/>
        <v>0</v>
      </c>
    </row>
    <row r="311" spans="1:20" x14ac:dyDescent="0.35">
      <c r="A311" s="497" t="b">
        <f t="shared" ca="1" si="34"/>
        <v>0</v>
      </c>
      <c r="B311" s="511"/>
      <c r="C311" s="510" t="str">
        <f t="shared" ca="1" si="35"/>
        <v>a1H3p000009F88LEAS</v>
      </c>
      <c r="D311" s="497"/>
      <c r="E311" s="497">
        <f t="shared" ca="1" si="31"/>
        <v>1</v>
      </c>
      <c r="F311" s="512">
        <f ca="1">IFERROR(IF(COUNTA($D$56:$D311)=1,"",OFFSET($F309,-COUNTA($D$56:$D311)+3,0)),"")</f>
        <v>13</v>
      </c>
      <c r="G311" s="497"/>
      <c r="H311" s="497">
        <f t="shared" ca="1" si="32"/>
        <v>33</v>
      </c>
      <c r="I311" s="513" t="str">
        <f t="shared" ca="1" si="36"/>
        <v/>
      </c>
      <c r="J311" s="513" t="str">
        <f t="shared" ca="1" si="37"/>
        <v/>
      </c>
      <c r="K311" s="500" t="str">
        <f t="shared" ca="1" si="38"/>
        <v/>
      </c>
      <c r="L311" s="503">
        <f ca="1">IFERROR(CHOOSE(E311,'Impact Indicators - Section B '!$K$7,'Impact Indicators - Section B '!$O$7,'Impact Indicators - Section B '!$S$7,'Impact Indicators - Section B '!$W$7),"")</f>
        <v>2022</v>
      </c>
      <c r="M311" s="514" t="str">
        <f t="shared" ca="1" si="39"/>
        <v/>
      </c>
      <c r="N311" s="503" t="str">
        <f t="shared" ca="1" si="40"/>
        <v/>
      </c>
      <c r="O311" s="497" t="str">
        <f ca="1">IFERROR(IF(COUNTA($D$56:$D311)=1,"",OFFSET($C309,-COUNTA($D$56:$D311)+3,0)),"")</f>
        <v>a1H3p000009F88LEAS</v>
      </c>
      <c r="P311" s="497">
        <f t="shared" si="33"/>
        <v>0</v>
      </c>
      <c r="Q311" s="497"/>
      <c r="R311" s="497"/>
      <c r="S311" s="497"/>
      <c r="T311" s="497" t="b">
        <f t="shared" ca="1" si="41"/>
        <v>0</v>
      </c>
    </row>
    <row r="312" spans="1:20" x14ac:dyDescent="0.35">
      <c r="A312" s="497" t="b">
        <f t="shared" ca="1" si="34"/>
        <v>0</v>
      </c>
      <c r="B312" s="511"/>
      <c r="C312" s="510" t="str">
        <f t="shared" ca="1" si="35"/>
        <v>a1H3p000009F88pEAC</v>
      </c>
      <c r="D312" s="497"/>
      <c r="E312" s="497">
        <f t="shared" ca="1" si="31"/>
        <v>2</v>
      </c>
      <c r="F312" s="512">
        <f ca="1">IFERROR(IF(COUNTA($D$56:$D312)=1,"",OFFSET($F310,-COUNTA($D$56:$D312)+3,0)),"")</f>
        <v>13</v>
      </c>
      <c r="G312" s="497"/>
      <c r="H312" s="497">
        <f t="shared" ca="1" si="32"/>
        <v>33</v>
      </c>
      <c r="I312" s="513" t="str">
        <f t="shared" ca="1" si="36"/>
        <v/>
      </c>
      <c r="J312" s="513" t="str">
        <f t="shared" ca="1" si="37"/>
        <v/>
      </c>
      <c r="K312" s="500" t="str">
        <f t="shared" ca="1" si="38"/>
        <v/>
      </c>
      <c r="L312" s="503">
        <f ca="1">IFERROR(CHOOSE(E312,'Impact Indicators - Section B '!$K$7,'Impact Indicators - Section B '!$O$7,'Impact Indicators - Section B '!$S$7,'Impact Indicators - Section B '!$W$7),"")</f>
        <v>2023</v>
      </c>
      <c r="M312" s="514" t="str">
        <f t="shared" ca="1" si="39"/>
        <v/>
      </c>
      <c r="N312" s="503" t="str">
        <f t="shared" ca="1" si="40"/>
        <v/>
      </c>
      <c r="O312" s="497" t="str">
        <f ca="1">IFERROR(IF(COUNTA($D$56:$D312)=1,"",OFFSET($C310,-COUNTA($D$56:$D312)+3,0)),"")</f>
        <v>a1H3p000009F88pEAC</v>
      </c>
      <c r="P312" s="497">
        <f t="shared" si="33"/>
        <v>0</v>
      </c>
      <c r="Q312" s="497"/>
      <c r="R312" s="497"/>
      <c r="S312" s="497"/>
      <c r="T312" s="497" t="b">
        <f t="shared" ca="1" si="41"/>
        <v>0</v>
      </c>
    </row>
    <row r="313" spans="1:20" x14ac:dyDescent="0.35">
      <c r="A313" s="497" t="b">
        <f t="shared" ca="1" si="34"/>
        <v>0</v>
      </c>
      <c r="B313" s="511"/>
      <c r="C313" s="510" t="str">
        <f t="shared" ca="1" si="35"/>
        <v>a1H3p000009F89JEAS</v>
      </c>
      <c r="D313" s="497"/>
      <c r="E313" s="497">
        <f t="shared" ca="1" si="31"/>
        <v>3</v>
      </c>
      <c r="F313" s="512">
        <f ca="1">IFERROR(IF(COUNTA($D$56:$D313)=1,"",OFFSET($F311,-COUNTA($D$56:$D313)+3,0)),"")</f>
        <v>13</v>
      </c>
      <c r="G313" s="497"/>
      <c r="H313" s="497">
        <f t="shared" ca="1" si="32"/>
        <v>33</v>
      </c>
      <c r="I313" s="513" t="str">
        <f t="shared" ca="1" si="36"/>
        <v/>
      </c>
      <c r="J313" s="513" t="str">
        <f t="shared" ca="1" si="37"/>
        <v/>
      </c>
      <c r="K313" s="500" t="str">
        <f t="shared" ca="1" si="38"/>
        <v/>
      </c>
      <c r="L313" s="503">
        <f ca="1">IFERROR(CHOOSE(E313,'Impact Indicators - Section B '!$K$7,'Impact Indicators - Section B '!$O$7,'Impact Indicators - Section B '!$S$7,'Impact Indicators - Section B '!$W$7),"")</f>
        <v>2024</v>
      </c>
      <c r="M313" s="514" t="str">
        <f t="shared" ca="1" si="39"/>
        <v/>
      </c>
      <c r="N313" s="503" t="str">
        <f t="shared" ca="1" si="40"/>
        <v/>
      </c>
      <c r="O313" s="497" t="str">
        <f ca="1">IFERROR(IF(COUNTA($D$56:$D313)=1,"",OFFSET($C311,-COUNTA($D$56:$D313)+3,0)),"")</f>
        <v>a1H3p000009F89JEAS</v>
      </c>
      <c r="P313" s="497">
        <f t="shared" si="33"/>
        <v>0</v>
      </c>
      <c r="Q313" s="497"/>
      <c r="R313" s="497"/>
      <c r="S313" s="497"/>
      <c r="T313" s="497" t="b">
        <f t="shared" ca="1" si="41"/>
        <v>0</v>
      </c>
    </row>
    <row r="314" spans="1:20" x14ac:dyDescent="0.35">
      <c r="A314" s="497" t="b">
        <f t="shared" ca="1" si="34"/>
        <v>0</v>
      </c>
      <c r="B314" s="511"/>
      <c r="C314" s="510" t="str">
        <f t="shared" ca="1" si="35"/>
        <v>a1H3p000009F89nEAC</v>
      </c>
      <c r="D314" s="497"/>
      <c r="E314" s="497">
        <f t="shared" ca="1" si="31"/>
        <v>4</v>
      </c>
      <c r="F314" s="512">
        <f ca="1">IFERROR(IF(COUNTA($D$56:$D314)=1,"",OFFSET($F312,-COUNTA($D$56:$D314)+3,0)),"")</f>
        <v>13</v>
      </c>
      <c r="G314" s="497"/>
      <c r="H314" s="497">
        <f t="shared" ca="1" si="32"/>
        <v>33</v>
      </c>
      <c r="I314" s="513" t="str">
        <f t="shared" ca="1" si="36"/>
        <v/>
      </c>
      <c r="J314" s="513" t="str">
        <f t="shared" ca="1" si="37"/>
        <v/>
      </c>
      <c r="K314" s="500" t="str">
        <f t="shared" ca="1" si="38"/>
        <v/>
      </c>
      <c r="L314" s="503" t="str">
        <f ca="1">IFERROR(CHOOSE(E314,'Impact Indicators - Section B '!$K$7,'Impact Indicators - Section B '!$O$7,'Impact Indicators - Section B '!$S$7,'Impact Indicators - Section B '!$W$7),"")</f>
        <v/>
      </c>
      <c r="M314" s="514" t="str">
        <f t="shared" ca="1" si="39"/>
        <v/>
      </c>
      <c r="N314" s="503" t="str">
        <f t="shared" ca="1" si="40"/>
        <v/>
      </c>
      <c r="O314" s="497" t="str">
        <f ca="1">IFERROR(IF(COUNTA($D$56:$D314)=1,"",OFFSET($C312,-COUNTA($D$56:$D314)+3,0)),"")</f>
        <v>a1H3p000009F89nEAC</v>
      </c>
      <c r="P314" s="497">
        <f t="shared" si="33"/>
        <v>0</v>
      </c>
      <c r="Q314" s="497"/>
      <c r="R314" s="497"/>
      <c r="S314" s="497"/>
      <c r="T314" s="497" t="b">
        <f t="shared" ca="1" si="41"/>
        <v>0</v>
      </c>
    </row>
    <row r="315" spans="1:20" x14ac:dyDescent="0.35">
      <c r="A315" s="497" t="b">
        <f t="shared" ca="1" si="34"/>
        <v>0</v>
      </c>
      <c r="B315" s="511"/>
      <c r="C315" s="510" t="str">
        <f t="shared" ca="1" si="35"/>
        <v>a1H3p000009F8AHEA0</v>
      </c>
      <c r="D315" s="497"/>
      <c r="E315" s="497">
        <f t="shared" ref="E315:E378" ca="1" si="42">COUNTIF(F306:F315,F315)</f>
        <v>5</v>
      </c>
      <c r="F315" s="512">
        <f ca="1">IFERROR(IF(COUNTA($D$56:$D315)=1,"",OFFSET($F313,-COUNTA($D$56:$D315)+3,0)),"")</f>
        <v>13</v>
      </c>
      <c r="G315" s="497"/>
      <c r="H315" s="497">
        <f t="shared" ref="H315:H378" ca="1" si="43">IF(F315=1,9,IF(E314=MAX(E313:E315),H313+2,H314))</f>
        <v>33</v>
      </c>
      <c r="I315" s="513" t="str">
        <f t="shared" ca="1" si="36"/>
        <v/>
      </c>
      <c r="J315" s="513" t="str">
        <f t="shared" ca="1" si="37"/>
        <v/>
      </c>
      <c r="K315" s="500" t="str">
        <f t="shared" ca="1" si="38"/>
        <v/>
      </c>
      <c r="L315" s="503" t="str">
        <f ca="1">IFERROR(CHOOSE(E315,'Impact Indicators - Section B '!$K$7,'Impact Indicators - Section B '!$O$7,'Impact Indicators - Section B '!$S$7,'Impact Indicators - Section B '!$W$7),"")</f>
        <v/>
      </c>
      <c r="M315" s="514" t="str">
        <f t="shared" ca="1" si="39"/>
        <v/>
      </c>
      <c r="N315" s="503" t="str">
        <f t="shared" ca="1" si="40"/>
        <v/>
      </c>
      <c r="O315" s="497" t="str">
        <f ca="1">IFERROR(IF(COUNTA($D$56:$D315)=1,"",OFFSET($C313,-COUNTA($D$56:$D315)+3,0)),"")</f>
        <v>a1H3p000009F8AHEA0</v>
      </c>
      <c r="P315" s="497">
        <f t="shared" ref="P315:P378" si="44">IF(NOT(_xlfn.ISFORMULA(I315)),P314+1,0)</f>
        <v>0</v>
      </c>
      <c r="Q315" s="497"/>
      <c r="R315" s="497"/>
      <c r="S315" s="497"/>
      <c r="T315" s="497" t="b">
        <f t="shared" ca="1" si="41"/>
        <v>0</v>
      </c>
    </row>
    <row r="316" spans="1:20" x14ac:dyDescent="0.35">
      <c r="A316" s="497" t="b">
        <f t="shared" ca="1" si="34"/>
        <v>0</v>
      </c>
      <c r="B316" s="511"/>
      <c r="C316" s="510" t="str">
        <f t="shared" ca="1" si="35"/>
        <v>a1H3p000009F8AlEAK</v>
      </c>
      <c r="D316" s="497"/>
      <c r="E316" s="497">
        <f t="shared" ca="1" si="42"/>
        <v>6</v>
      </c>
      <c r="F316" s="512">
        <f ca="1">IFERROR(IF(COUNTA($D$56:$D316)=1,"",OFFSET($F314,-COUNTA($D$56:$D316)+3,0)),"")</f>
        <v>13</v>
      </c>
      <c r="G316" s="497"/>
      <c r="H316" s="497">
        <f t="shared" ca="1" si="43"/>
        <v>33</v>
      </c>
      <c r="I316" s="513" t="str">
        <f t="shared" ca="1" si="36"/>
        <v/>
      </c>
      <c r="J316" s="513" t="str">
        <f t="shared" ca="1" si="37"/>
        <v/>
      </c>
      <c r="K316" s="500" t="str">
        <f t="shared" ca="1" si="38"/>
        <v/>
      </c>
      <c r="L316" s="503" t="str">
        <f ca="1">IFERROR(CHOOSE(E316,'Impact Indicators - Section B '!$K$7,'Impact Indicators - Section B '!$O$7,'Impact Indicators - Section B '!$S$7,'Impact Indicators - Section B '!$W$7),"")</f>
        <v/>
      </c>
      <c r="M316" s="514" t="str">
        <f t="shared" ca="1" si="39"/>
        <v/>
      </c>
      <c r="N316" s="503" t="str">
        <f t="shared" ca="1" si="40"/>
        <v/>
      </c>
      <c r="O316" s="497" t="str">
        <f ca="1">IFERROR(IF(COUNTA($D$56:$D316)=1,"",OFFSET($C314,-COUNTA($D$56:$D316)+3,0)),"")</f>
        <v>a1H3p000009F8AlEAK</v>
      </c>
      <c r="P316" s="497">
        <f t="shared" si="44"/>
        <v>0</v>
      </c>
      <c r="Q316" s="497"/>
      <c r="R316" s="497"/>
      <c r="S316" s="497"/>
      <c r="T316" s="497" t="b">
        <f t="shared" ca="1" si="41"/>
        <v>0</v>
      </c>
    </row>
    <row r="317" spans="1:20" x14ac:dyDescent="0.35">
      <c r="A317" s="497" t="b">
        <f t="shared" ca="1" si="34"/>
        <v>0</v>
      </c>
      <c r="B317" s="511"/>
      <c r="C317" s="510" t="str">
        <f t="shared" ca="1" si="35"/>
        <v>a1H3p000009F88MEAS</v>
      </c>
      <c r="D317" s="497"/>
      <c r="E317" s="497">
        <f t="shared" ca="1" si="42"/>
        <v>1</v>
      </c>
      <c r="F317" s="512">
        <f ca="1">IFERROR(IF(COUNTA($D$56:$D317)=1,"",OFFSET($F315,-COUNTA($D$56:$D317)+3,0)),"")</f>
        <v>14</v>
      </c>
      <c r="G317" s="497"/>
      <c r="H317" s="497">
        <f t="shared" ca="1" si="43"/>
        <v>35</v>
      </c>
      <c r="I317" s="513" t="str">
        <f t="shared" ca="1" si="36"/>
        <v/>
      </c>
      <c r="J317" s="513" t="str">
        <f t="shared" ca="1" si="37"/>
        <v/>
      </c>
      <c r="K317" s="500" t="str">
        <f t="shared" ca="1" si="38"/>
        <v/>
      </c>
      <c r="L317" s="503">
        <f ca="1">IFERROR(CHOOSE(E317,'Impact Indicators - Section B '!$K$7,'Impact Indicators - Section B '!$O$7,'Impact Indicators - Section B '!$S$7,'Impact Indicators - Section B '!$W$7),"")</f>
        <v>2022</v>
      </c>
      <c r="M317" s="514" t="str">
        <f t="shared" ca="1" si="39"/>
        <v/>
      </c>
      <c r="N317" s="503" t="str">
        <f t="shared" ca="1" si="40"/>
        <v/>
      </c>
      <c r="O317" s="497" t="str">
        <f ca="1">IFERROR(IF(COUNTA($D$56:$D317)=1,"",OFFSET($C315,-COUNTA($D$56:$D317)+3,0)),"")</f>
        <v>a1H3p000009F88MEAS</v>
      </c>
      <c r="P317" s="497">
        <f t="shared" si="44"/>
        <v>0</v>
      </c>
      <c r="Q317" s="497"/>
      <c r="R317" s="497"/>
      <c r="S317" s="497"/>
      <c r="T317" s="497" t="b">
        <f t="shared" ca="1" si="41"/>
        <v>0</v>
      </c>
    </row>
    <row r="318" spans="1:20" x14ac:dyDescent="0.35">
      <c r="A318" s="497" t="b">
        <f t="shared" ca="1" si="34"/>
        <v>0</v>
      </c>
      <c r="B318" s="511"/>
      <c r="C318" s="510" t="str">
        <f t="shared" ca="1" si="35"/>
        <v>a1H3p000009F88qEAC</v>
      </c>
      <c r="D318" s="497"/>
      <c r="E318" s="497">
        <f t="shared" ca="1" si="42"/>
        <v>2</v>
      </c>
      <c r="F318" s="512">
        <f ca="1">IFERROR(IF(COUNTA($D$56:$D318)=1,"",OFFSET($F316,-COUNTA($D$56:$D318)+3,0)),"")</f>
        <v>14</v>
      </c>
      <c r="G318" s="497"/>
      <c r="H318" s="497">
        <f t="shared" ca="1" si="43"/>
        <v>35</v>
      </c>
      <c r="I318" s="513" t="str">
        <f t="shared" ca="1" si="36"/>
        <v/>
      </c>
      <c r="J318" s="513" t="str">
        <f t="shared" ca="1" si="37"/>
        <v/>
      </c>
      <c r="K318" s="500" t="str">
        <f t="shared" ca="1" si="38"/>
        <v/>
      </c>
      <c r="L318" s="503">
        <f ca="1">IFERROR(CHOOSE(E318,'Impact Indicators - Section B '!$K$7,'Impact Indicators - Section B '!$O$7,'Impact Indicators - Section B '!$S$7,'Impact Indicators - Section B '!$W$7),"")</f>
        <v>2023</v>
      </c>
      <c r="M318" s="514" t="str">
        <f t="shared" ca="1" si="39"/>
        <v/>
      </c>
      <c r="N318" s="503" t="str">
        <f t="shared" ca="1" si="40"/>
        <v/>
      </c>
      <c r="O318" s="497" t="str">
        <f ca="1">IFERROR(IF(COUNTA($D$56:$D318)=1,"",OFFSET($C316,-COUNTA($D$56:$D318)+3,0)),"")</f>
        <v>a1H3p000009F88qEAC</v>
      </c>
      <c r="P318" s="497">
        <f t="shared" si="44"/>
        <v>0</v>
      </c>
      <c r="Q318" s="497"/>
      <c r="R318" s="497"/>
      <c r="S318" s="497"/>
      <c r="T318" s="497" t="b">
        <f t="shared" ca="1" si="41"/>
        <v>0</v>
      </c>
    </row>
    <row r="319" spans="1:20" x14ac:dyDescent="0.35">
      <c r="A319" s="497" t="b">
        <f t="shared" ca="1" si="34"/>
        <v>0</v>
      </c>
      <c r="B319" s="511"/>
      <c r="C319" s="510" t="str">
        <f t="shared" ca="1" si="35"/>
        <v>a1H3p000009F89KEAS</v>
      </c>
      <c r="D319" s="497"/>
      <c r="E319" s="497">
        <f t="shared" ca="1" si="42"/>
        <v>3</v>
      </c>
      <c r="F319" s="512">
        <f ca="1">IFERROR(IF(COUNTA($D$56:$D319)=1,"",OFFSET($F317,-COUNTA($D$56:$D319)+3,0)),"")</f>
        <v>14</v>
      </c>
      <c r="G319" s="497"/>
      <c r="H319" s="497">
        <f t="shared" ca="1" si="43"/>
        <v>35</v>
      </c>
      <c r="I319" s="513" t="str">
        <f t="shared" ca="1" si="36"/>
        <v/>
      </c>
      <c r="J319" s="513" t="str">
        <f t="shared" ca="1" si="37"/>
        <v/>
      </c>
      <c r="K319" s="500" t="str">
        <f t="shared" ca="1" si="38"/>
        <v/>
      </c>
      <c r="L319" s="503">
        <f ca="1">IFERROR(CHOOSE(E319,'Impact Indicators - Section B '!$K$7,'Impact Indicators - Section B '!$O$7,'Impact Indicators - Section B '!$S$7,'Impact Indicators - Section B '!$W$7),"")</f>
        <v>2024</v>
      </c>
      <c r="M319" s="514" t="str">
        <f t="shared" ca="1" si="39"/>
        <v/>
      </c>
      <c r="N319" s="503" t="str">
        <f t="shared" ca="1" si="40"/>
        <v/>
      </c>
      <c r="O319" s="497" t="str">
        <f ca="1">IFERROR(IF(COUNTA($D$56:$D319)=1,"",OFFSET($C317,-COUNTA($D$56:$D319)+3,0)),"")</f>
        <v>a1H3p000009F89KEAS</v>
      </c>
      <c r="P319" s="497">
        <f t="shared" si="44"/>
        <v>0</v>
      </c>
      <c r="Q319" s="497"/>
      <c r="R319" s="497"/>
      <c r="S319" s="497"/>
      <c r="T319" s="497" t="b">
        <f t="shared" ca="1" si="41"/>
        <v>0</v>
      </c>
    </row>
    <row r="320" spans="1:20" x14ac:dyDescent="0.35">
      <c r="A320" s="497" t="b">
        <f t="shared" ca="1" si="34"/>
        <v>0</v>
      </c>
      <c r="B320" s="511"/>
      <c r="C320" s="510" t="str">
        <f t="shared" ca="1" si="35"/>
        <v>a1H3p000009F89oEAC</v>
      </c>
      <c r="D320" s="497"/>
      <c r="E320" s="497">
        <f t="shared" ca="1" si="42"/>
        <v>4</v>
      </c>
      <c r="F320" s="512">
        <f ca="1">IFERROR(IF(COUNTA($D$56:$D320)=1,"",OFFSET($F318,-COUNTA($D$56:$D320)+3,0)),"")</f>
        <v>14</v>
      </c>
      <c r="G320" s="497"/>
      <c r="H320" s="497">
        <f t="shared" ca="1" si="43"/>
        <v>35</v>
      </c>
      <c r="I320" s="513" t="str">
        <f t="shared" ca="1" si="36"/>
        <v/>
      </c>
      <c r="J320" s="513" t="str">
        <f t="shared" ca="1" si="37"/>
        <v/>
      </c>
      <c r="K320" s="500" t="str">
        <f t="shared" ca="1" si="38"/>
        <v/>
      </c>
      <c r="L320" s="503" t="str">
        <f ca="1">IFERROR(CHOOSE(E320,'Impact Indicators - Section B '!$K$7,'Impact Indicators - Section B '!$O$7,'Impact Indicators - Section B '!$S$7,'Impact Indicators - Section B '!$W$7),"")</f>
        <v/>
      </c>
      <c r="M320" s="514" t="str">
        <f t="shared" ca="1" si="39"/>
        <v/>
      </c>
      <c r="N320" s="503" t="str">
        <f t="shared" ca="1" si="40"/>
        <v/>
      </c>
      <c r="O320" s="497" t="str">
        <f ca="1">IFERROR(IF(COUNTA($D$56:$D320)=1,"",OFFSET($C318,-COUNTA($D$56:$D320)+3,0)),"")</f>
        <v>a1H3p000009F89oEAC</v>
      </c>
      <c r="P320" s="497">
        <f t="shared" si="44"/>
        <v>0</v>
      </c>
      <c r="Q320" s="497"/>
      <c r="R320" s="497"/>
      <c r="S320" s="497"/>
      <c r="T320" s="497" t="b">
        <f t="shared" ca="1" si="41"/>
        <v>0</v>
      </c>
    </row>
    <row r="321" spans="1:20" x14ac:dyDescent="0.35">
      <c r="A321" s="497" t="b">
        <f t="shared" ca="1" si="34"/>
        <v>0</v>
      </c>
      <c r="B321" s="511"/>
      <c r="C321" s="510" t="str">
        <f t="shared" ca="1" si="35"/>
        <v>a1H3p000009F8AIEA0</v>
      </c>
      <c r="D321" s="497"/>
      <c r="E321" s="497">
        <f t="shared" ca="1" si="42"/>
        <v>5</v>
      </c>
      <c r="F321" s="512">
        <f ca="1">IFERROR(IF(COUNTA($D$56:$D321)=1,"",OFFSET($F319,-COUNTA($D$56:$D321)+3,0)),"")</f>
        <v>14</v>
      </c>
      <c r="G321" s="497"/>
      <c r="H321" s="497">
        <f t="shared" ca="1" si="43"/>
        <v>35</v>
      </c>
      <c r="I321" s="513" t="str">
        <f t="shared" ca="1" si="36"/>
        <v/>
      </c>
      <c r="J321" s="513" t="str">
        <f t="shared" ca="1" si="37"/>
        <v/>
      </c>
      <c r="K321" s="500" t="str">
        <f t="shared" ca="1" si="38"/>
        <v/>
      </c>
      <c r="L321" s="503" t="str">
        <f ca="1">IFERROR(CHOOSE(E321,'Impact Indicators - Section B '!$K$7,'Impact Indicators - Section B '!$O$7,'Impact Indicators - Section B '!$S$7,'Impact Indicators - Section B '!$W$7),"")</f>
        <v/>
      </c>
      <c r="M321" s="514" t="str">
        <f t="shared" ca="1" si="39"/>
        <v/>
      </c>
      <c r="N321" s="503" t="str">
        <f t="shared" ca="1" si="40"/>
        <v/>
      </c>
      <c r="O321" s="497" t="str">
        <f ca="1">IFERROR(IF(COUNTA($D$56:$D321)=1,"",OFFSET($C319,-COUNTA($D$56:$D321)+3,0)),"")</f>
        <v>a1H3p000009F8AIEA0</v>
      </c>
      <c r="P321" s="497">
        <f t="shared" si="44"/>
        <v>0</v>
      </c>
      <c r="Q321" s="497"/>
      <c r="R321" s="497"/>
      <c r="S321" s="497"/>
      <c r="T321" s="497" t="b">
        <f t="shared" ca="1" si="41"/>
        <v>0</v>
      </c>
    </row>
    <row r="322" spans="1:20" x14ac:dyDescent="0.35">
      <c r="A322" s="497" t="b">
        <f t="shared" ca="1" si="34"/>
        <v>0</v>
      </c>
      <c r="B322" s="511"/>
      <c r="C322" s="510" t="str">
        <f t="shared" ca="1" si="35"/>
        <v>a1H3p000009F8AmEAK</v>
      </c>
      <c r="D322" s="497"/>
      <c r="E322" s="497">
        <f t="shared" ca="1" si="42"/>
        <v>6</v>
      </c>
      <c r="F322" s="512">
        <f ca="1">IFERROR(IF(COUNTA($D$56:$D322)=1,"",OFFSET($F320,-COUNTA($D$56:$D322)+3,0)),"")</f>
        <v>14</v>
      </c>
      <c r="G322" s="497"/>
      <c r="H322" s="497">
        <f t="shared" ca="1" si="43"/>
        <v>35</v>
      </c>
      <c r="I322" s="513" t="str">
        <f t="shared" ca="1" si="36"/>
        <v/>
      </c>
      <c r="J322" s="513" t="str">
        <f t="shared" ca="1" si="37"/>
        <v/>
      </c>
      <c r="K322" s="500" t="str">
        <f t="shared" ca="1" si="38"/>
        <v/>
      </c>
      <c r="L322" s="503" t="str">
        <f ca="1">IFERROR(CHOOSE(E322,'Impact Indicators - Section B '!$K$7,'Impact Indicators - Section B '!$O$7,'Impact Indicators - Section B '!$S$7,'Impact Indicators - Section B '!$W$7),"")</f>
        <v/>
      </c>
      <c r="M322" s="514" t="str">
        <f t="shared" ca="1" si="39"/>
        <v/>
      </c>
      <c r="N322" s="503" t="str">
        <f t="shared" ca="1" si="40"/>
        <v/>
      </c>
      <c r="O322" s="497" t="str">
        <f ca="1">IFERROR(IF(COUNTA($D$56:$D322)=1,"",OFFSET($C320,-COUNTA($D$56:$D322)+3,0)),"")</f>
        <v>a1H3p000009F8AmEAK</v>
      </c>
      <c r="P322" s="497">
        <f t="shared" si="44"/>
        <v>0</v>
      </c>
      <c r="Q322" s="497"/>
      <c r="R322" s="497"/>
      <c r="S322" s="497"/>
      <c r="T322" s="497" t="b">
        <f t="shared" ca="1" si="41"/>
        <v>0</v>
      </c>
    </row>
    <row r="323" spans="1:20" x14ac:dyDescent="0.35">
      <c r="A323" s="497" t="b">
        <f t="shared" ca="1" si="34"/>
        <v>0</v>
      </c>
      <c r="B323" s="511"/>
      <c r="C323" s="510" t="str">
        <f t="shared" ca="1" si="35"/>
        <v>a1H3p000009F88NEAS</v>
      </c>
      <c r="D323" s="497"/>
      <c r="E323" s="497">
        <f t="shared" ca="1" si="42"/>
        <v>1</v>
      </c>
      <c r="F323" s="512">
        <f ca="1">IFERROR(IF(COUNTA($D$56:$D323)=1,"",OFFSET($F321,-COUNTA($D$56:$D323)+3,0)),"")</f>
        <v>15</v>
      </c>
      <c r="G323" s="497"/>
      <c r="H323" s="497">
        <f t="shared" ca="1" si="43"/>
        <v>37</v>
      </c>
      <c r="I323" s="513" t="str">
        <f t="shared" ca="1" si="36"/>
        <v/>
      </c>
      <c r="J323" s="513" t="str">
        <f t="shared" ca="1" si="37"/>
        <v/>
      </c>
      <c r="K323" s="500" t="str">
        <f t="shared" ca="1" si="38"/>
        <v/>
      </c>
      <c r="L323" s="503">
        <f ca="1">IFERROR(CHOOSE(E323,'Impact Indicators - Section B '!$K$7,'Impact Indicators - Section B '!$O$7,'Impact Indicators - Section B '!$S$7,'Impact Indicators - Section B '!$W$7),"")</f>
        <v>2022</v>
      </c>
      <c r="M323" s="514" t="str">
        <f t="shared" ca="1" si="39"/>
        <v/>
      </c>
      <c r="N323" s="503" t="str">
        <f t="shared" ca="1" si="40"/>
        <v/>
      </c>
      <c r="O323" s="497" t="str">
        <f ca="1">IFERROR(IF(COUNTA($D$56:$D323)=1,"",OFFSET($C321,-COUNTA($D$56:$D323)+3,0)),"")</f>
        <v>a1H3p000009F88NEAS</v>
      </c>
      <c r="P323" s="497">
        <f t="shared" si="44"/>
        <v>0</v>
      </c>
      <c r="Q323" s="497"/>
      <c r="R323" s="497"/>
      <c r="S323" s="497"/>
      <c r="T323" s="497" t="b">
        <f t="shared" ca="1" si="41"/>
        <v>0</v>
      </c>
    </row>
    <row r="324" spans="1:20" x14ac:dyDescent="0.35">
      <c r="A324" s="497" t="b">
        <f t="shared" ca="1" si="34"/>
        <v>0</v>
      </c>
      <c r="B324" s="511"/>
      <c r="C324" s="510" t="str">
        <f t="shared" ca="1" si="35"/>
        <v>a1H3p000009F88rEAC</v>
      </c>
      <c r="D324" s="497"/>
      <c r="E324" s="497">
        <f t="shared" ca="1" si="42"/>
        <v>2</v>
      </c>
      <c r="F324" s="512">
        <f ca="1">IFERROR(IF(COUNTA($D$56:$D324)=1,"",OFFSET($F322,-COUNTA($D$56:$D324)+3,0)),"")</f>
        <v>15</v>
      </c>
      <c r="G324" s="497"/>
      <c r="H324" s="497">
        <f t="shared" ca="1" si="43"/>
        <v>37</v>
      </c>
      <c r="I324" s="513" t="str">
        <f t="shared" ca="1" si="36"/>
        <v/>
      </c>
      <c r="J324" s="513" t="str">
        <f t="shared" ca="1" si="37"/>
        <v/>
      </c>
      <c r="K324" s="500" t="str">
        <f t="shared" ca="1" si="38"/>
        <v/>
      </c>
      <c r="L324" s="503">
        <f ca="1">IFERROR(CHOOSE(E324,'Impact Indicators - Section B '!$K$7,'Impact Indicators - Section B '!$O$7,'Impact Indicators - Section B '!$S$7,'Impact Indicators - Section B '!$W$7),"")</f>
        <v>2023</v>
      </c>
      <c r="M324" s="514" t="str">
        <f t="shared" ca="1" si="39"/>
        <v/>
      </c>
      <c r="N324" s="503" t="str">
        <f t="shared" ca="1" si="40"/>
        <v/>
      </c>
      <c r="O324" s="497" t="str">
        <f ca="1">IFERROR(IF(COUNTA($D$56:$D324)=1,"",OFFSET($C322,-COUNTA($D$56:$D324)+3,0)),"")</f>
        <v>a1H3p000009F88rEAC</v>
      </c>
      <c r="P324" s="497">
        <f t="shared" si="44"/>
        <v>0</v>
      </c>
      <c r="Q324" s="497"/>
      <c r="R324" s="497"/>
      <c r="S324" s="497"/>
      <c r="T324" s="497" t="b">
        <f t="shared" ca="1" si="41"/>
        <v>0</v>
      </c>
    </row>
    <row r="325" spans="1:20" x14ac:dyDescent="0.35">
      <c r="A325" s="497" t="b">
        <f t="shared" ca="1" si="34"/>
        <v>0</v>
      </c>
      <c r="B325" s="511"/>
      <c r="C325" s="510" t="str">
        <f t="shared" ca="1" si="35"/>
        <v>a1H3p000009F89LEAS</v>
      </c>
      <c r="D325" s="497"/>
      <c r="E325" s="497">
        <f t="shared" ca="1" si="42"/>
        <v>3</v>
      </c>
      <c r="F325" s="512">
        <f ca="1">IFERROR(IF(COUNTA($D$56:$D325)=1,"",OFFSET($F323,-COUNTA($D$56:$D325)+3,0)),"")</f>
        <v>15</v>
      </c>
      <c r="G325" s="497"/>
      <c r="H325" s="497">
        <f t="shared" ca="1" si="43"/>
        <v>37</v>
      </c>
      <c r="I325" s="513" t="str">
        <f t="shared" ca="1" si="36"/>
        <v/>
      </c>
      <c r="J325" s="513" t="str">
        <f t="shared" ca="1" si="37"/>
        <v/>
      </c>
      <c r="K325" s="500" t="str">
        <f t="shared" ca="1" si="38"/>
        <v/>
      </c>
      <c r="L325" s="503">
        <f ca="1">IFERROR(CHOOSE(E325,'Impact Indicators - Section B '!$K$7,'Impact Indicators - Section B '!$O$7,'Impact Indicators - Section B '!$S$7,'Impact Indicators - Section B '!$W$7),"")</f>
        <v>2024</v>
      </c>
      <c r="M325" s="514" t="str">
        <f t="shared" ca="1" si="39"/>
        <v/>
      </c>
      <c r="N325" s="503" t="str">
        <f t="shared" ca="1" si="40"/>
        <v/>
      </c>
      <c r="O325" s="497" t="str">
        <f ca="1">IFERROR(IF(COUNTA($D$56:$D325)=1,"",OFFSET($C323,-COUNTA($D$56:$D325)+3,0)),"")</f>
        <v>a1H3p000009F89LEAS</v>
      </c>
      <c r="P325" s="497">
        <f t="shared" si="44"/>
        <v>0</v>
      </c>
      <c r="Q325" s="497"/>
      <c r="R325" s="497"/>
      <c r="S325" s="497"/>
      <c r="T325" s="497" t="b">
        <f t="shared" ca="1" si="41"/>
        <v>0</v>
      </c>
    </row>
    <row r="326" spans="1:20" x14ac:dyDescent="0.35">
      <c r="A326" s="497" t="b">
        <f t="shared" ca="1" si="34"/>
        <v>0</v>
      </c>
      <c r="B326" s="511"/>
      <c r="C326" s="510" t="str">
        <f t="shared" ca="1" si="35"/>
        <v>a1H3p000009F89pEAC</v>
      </c>
      <c r="D326" s="497"/>
      <c r="E326" s="497">
        <f t="shared" ca="1" si="42"/>
        <v>4</v>
      </c>
      <c r="F326" s="512">
        <f ca="1">IFERROR(IF(COUNTA($D$56:$D326)=1,"",OFFSET($F324,-COUNTA($D$56:$D326)+3,0)),"")</f>
        <v>15</v>
      </c>
      <c r="G326" s="497"/>
      <c r="H326" s="497">
        <f t="shared" ca="1" si="43"/>
        <v>37</v>
      </c>
      <c r="I326" s="513" t="str">
        <f t="shared" ca="1" si="36"/>
        <v/>
      </c>
      <c r="J326" s="513" t="str">
        <f t="shared" ca="1" si="37"/>
        <v/>
      </c>
      <c r="K326" s="500" t="str">
        <f t="shared" ca="1" si="38"/>
        <v/>
      </c>
      <c r="L326" s="503" t="str">
        <f ca="1">IFERROR(CHOOSE(E326,'Impact Indicators - Section B '!$K$7,'Impact Indicators - Section B '!$O$7,'Impact Indicators - Section B '!$S$7,'Impact Indicators - Section B '!$W$7),"")</f>
        <v/>
      </c>
      <c r="M326" s="514" t="str">
        <f t="shared" ca="1" si="39"/>
        <v/>
      </c>
      <c r="N326" s="503" t="str">
        <f t="shared" ca="1" si="40"/>
        <v/>
      </c>
      <c r="O326" s="497" t="str">
        <f ca="1">IFERROR(IF(COUNTA($D$56:$D326)=1,"",OFFSET($C324,-COUNTA($D$56:$D326)+3,0)),"")</f>
        <v>a1H3p000009F89pEAC</v>
      </c>
      <c r="P326" s="497">
        <f t="shared" si="44"/>
        <v>0</v>
      </c>
      <c r="Q326" s="497"/>
      <c r="R326" s="497"/>
      <c r="S326" s="497"/>
      <c r="T326" s="497" t="b">
        <f t="shared" ca="1" si="41"/>
        <v>0</v>
      </c>
    </row>
    <row r="327" spans="1:20" x14ac:dyDescent="0.35">
      <c r="A327" s="497" t="b">
        <f t="shared" ca="1" si="34"/>
        <v>0</v>
      </c>
      <c r="B327" s="511"/>
      <c r="C327" s="510" t="str">
        <f t="shared" ca="1" si="35"/>
        <v>a1H3p000009F8AJEA0</v>
      </c>
      <c r="D327" s="497"/>
      <c r="E327" s="497">
        <f t="shared" ca="1" si="42"/>
        <v>5</v>
      </c>
      <c r="F327" s="512">
        <f ca="1">IFERROR(IF(COUNTA($D$56:$D327)=1,"",OFFSET($F325,-COUNTA($D$56:$D327)+3,0)),"")</f>
        <v>15</v>
      </c>
      <c r="G327" s="497"/>
      <c r="H327" s="497">
        <f t="shared" ca="1" si="43"/>
        <v>37</v>
      </c>
      <c r="I327" s="513" t="str">
        <f t="shared" ca="1" si="36"/>
        <v/>
      </c>
      <c r="J327" s="513" t="str">
        <f t="shared" ca="1" si="37"/>
        <v/>
      </c>
      <c r="K327" s="500" t="str">
        <f t="shared" ca="1" si="38"/>
        <v/>
      </c>
      <c r="L327" s="503" t="str">
        <f ca="1">IFERROR(CHOOSE(E327,'Impact Indicators - Section B '!$K$7,'Impact Indicators - Section B '!$O$7,'Impact Indicators - Section B '!$S$7,'Impact Indicators - Section B '!$W$7),"")</f>
        <v/>
      </c>
      <c r="M327" s="514" t="str">
        <f t="shared" ca="1" si="39"/>
        <v/>
      </c>
      <c r="N327" s="503" t="str">
        <f t="shared" ca="1" si="40"/>
        <v/>
      </c>
      <c r="O327" s="497" t="str">
        <f ca="1">IFERROR(IF(COUNTA($D$56:$D327)=1,"",OFFSET($C325,-COUNTA($D$56:$D327)+3,0)),"")</f>
        <v>a1H3p000009F8AJEA0</v>
      </c>
      <c r="P327" s="497">
        <f t="shared" si="44"/>
        <v>0</v>
      </c>
      <c r="Q327" s="497"/>
      <c r="R327" s="497"/>
      <c r="S327" s="497"/>
      <c r="T327" s="497" t="b">
        <f t="shared" ca="1" si="41"/>
        <v>0</v>
      </c>
    </row>
    <row r="328" spans="1:20" x14ac:dyDescent="0.35">
      <c r="A328" s="497" t="b">
        <f t="shared" ca="1" si="34"/>
        <v>0</v>
      </c>
      <c r="B328" s="511"/>
      <c r="C328" s="510" t="str">
        <f t="shared" ca="1" si="35"/>
        <v>a1H3p000009F8AnEAK</v>
      </c>
      <c r="D328" s="497"/>
      <c r="E328" s="497">
        <f t="shared" ca="1" si="42"/>
        <v>6</v>
      </c>
      <c r="F328" s="512">
        <f ca="1">IFERROR(IF(COUNTA($D$56:$D328)=1,"",OFFSET($F326,-COUNTA($D$56:$D328)+3,0)),"")</f>
        <v>15</v>
      </c>
      <c r="G328" s="497"/>
      <c r="H328" s="497">
        <f t="shared" ca="1" si="43"/>
        <v>37</v>
      </c>
      <c r="I328" s="513" t="str">
        <f t="shared" ca="1" si="36"/>
        <v/>
      </c>
      <c r="J328" s="513" t="str">
        <f t="shared" ca="1" si="37"/>
        <v/>
      </c>
      <c r="K328" s="500" t="str">
        <f t="shared" ca="1" si="38"/>
        <v/>
      </c>
      <c r="L328" s="503" t="str">
        <f ca="1">IFERROR(CHOOSE(E328,'Impact Indicators - Section B '!$K$7,'Impact Indicators - Section B '!$O$7,'Impact Indicators - Section B '!$S$7,'Impact Indicators - Section B '!$W$7),"")</f>
        <v/>
      </c>
      <c r="M328" s="514" t="str">
        <f t="shared" ca="1" si="39"/>
        <v/>
      </c>
      <c r="N328" s="503" t="str">
        <f t="shared" ca="1" si="40"/>
        <v/>
      </c>
      <c r="O328" s="497" t="str">
        <f ca="1">IFERROR(IF(COUNTA($D$56:$D328)=1,"",OFFSET($C326,-COUNTA($D$56:$D328)+3,0)),"")</f>
        <v>a1H3p000009F8AnEAK</v>
      </c>
      <c r="P328" s="497">
        <f t="shared" si="44"/>
        <v>0</v>
      </c>
      <c r="Q328" s="497"/>
      <c r="R328" s="497"/>
      <c r="S328" s="497"/>
      <c r="T328" s="497" t="b">
        <f t="shared" ca="1" si="41"/>
        <v>0</v>
      </c>
    </row>
    <row r="329" spans="1:20" x14ac:dyDescent="0.35">
      <c r="A329" s="497" t="b">
        <f t="shared" ca="1" si="34"/>
        <v>0</v>
      </c>
      <c r="B329" s="511"/>
      <c r="C329" s="510" t="str">
        <f t="shared" ca="1" si="35"/>
        <v>a1H3p000009F88OEAS</v>
      </c>
      <c r="D329" s="497"/>
      <c r="E329" s="497">
        <f t="shared" ca="1" si="42"/>
        <v>1</v>
      </c>
      <c r="F329" s="512">
        <f ca="1">IFERROR(IF(COUNTA($D$56:$D329)=1,"",OFFSET($F327,-COUNTA($D$56:$D329)+3,0)),"")</f>
        <v>16</v>
      </c>
      <c r="G329" s="497"/>
      <c r="H329" s="497">
        <f t="shared" ca="1" si="43"/>
        <v>39</v>
      </c>
      <c r="I329" s="513" t="str">
        <f t="shared" ca="1" si="36"/>
        <v/>
      </c>
      <c r="J329" s="513" t="str">
        <f t="shared" ca="1" si="37"/>
        <v/>
      </c>
      <c r="K329" s="500" t="str">
        <f t="shared" ca="1" si="38"/>
        <v/>
      </c>
      <c r="L329" s="503">
        <f ca="1">IFERROR(CHOOSE(E329,'Impact Indicators - Section B '!$K$7,'Impact Indicators - Section B '!$O$7,'Impact Indicators - Section B '!$S$7,'Impact Indicators - Section B '!$W$7),"")</f>
        <v>2022</v>
      </c>
      <c r="M329" s="514" t="str">
        <f t="shared" ca="1" si="39"/>
        <v/>
      </c>
      <c r="N329" s="503" t="str">
        <f t="shared" ca="1" si="40"/>
        <v/>
      </c>
      <c r="O329" s="497" t="str">
        <f ca="1">IFERROR(IF(COUNTA($D$56:$D329)=1,"",OFFSET($C327,-COUNTA($D$56:$D329)+3,0)),"")</f>
        <v>a1H3p000009F88OEAS</v>
      </c>
      <c r="P329" s="497">
        <f t="shared" si="44"/>
        <v>0</v>
      </c>
      <c r="Q329" s="497"/>
      <c r="R329" s="497"/>
      <c r="S329" s="497"/>
      <c r="T329" s="497" t="b">
        <f t="shared" ca="1" si="41"/>
        <v>0</v>
      </c>
    </row>
    <row r="330" spans="1:20" x14ac:dyDescent="0.35">
      <c r="A330" s="497" t="b">
        <f t="shared" ca="1" si="34"/>
        <v>0</v>
      </c>
      <c r="B330" s="511"/>
      <c r="C330" s="510" t="str">
        <f t="shared" ca="1" si="35"/>
        <v>a1H3p000009F88sEAC</v>
      </c>
      <c r="D330" s="497"/>
      <c r="E330" s="497">
        <f t="shared" ca="1" si="42"/>
        <v>2</v>
      </c>
      <c r="F330" s="512">
        <f ca="1">IFERROR(IF(COUNTA($D$56:$D330)=1,"",OFFSET($F328,-COUNTA($D$56:$D330)+3,0)),"")</f>
        <v>16</v>
      </c>
      <c r="G330" s="497"/>
      <c r="H330" s="497">
        <f t="shared" ca="1" si="43"/>
        <v>39</v>
      </c>
      <c r="I330" s="513" t="str">
        <f t="shared" ca="1" si="36"/>
        <v/>
      </c>
      <c r="J330" s="513" t="str">
        <f t="shared" ca="1" si="37"/>
        <v/>
      </c>
      <c r="K330" s="500" t="str">
        <f t="shared" ca="1" si="38"/>
        <v/>
      </c>
      <c r="L330" s="503">
        <f ca="1">IFERROR(CHOOSE(E330,'Impact Indicators - Section B '!$K$7,'Impact Indicators - Section B '!$O$7,'Impact Indicators - Section B '!$S$7,'Impact Indicators - Section B '!$W$7),"")</f>
        <v>2023</v>
      </c>
      <c r="M330" s="514" t="str">
        <f t="shared" ca="1" si="39"/>
        <v/>
      </c>
      <c r="N330" s="503" t="str">
        <f t="shared" ca="1" si="40"/>
        <v/>
      </c>
      <c r="O330" s="497" t="str">
        <f ca="1">IFERROR(IF(COUNTA($D$56:$D330)=1,"",OFFSET($C328,-COUNTA($D$56:$D330)+3,0)),"")</f>
        <v>a1H3p000009F88sEAC</v>
      </c>
      <c r="P330" s="497">
        <f t="shared" si="44"/>
        <v>0</v>
      </c>
      <c r="Q330" s="497"/>
      <c r="R330" s="497"/>
      <c r="S330" s="497"/>
      <c r="T330" s="497" t="b">
        <f t="shared" ca="1" si="41"/>
        <v>0</v>
      </c>
    </row>
    <row r="331" spans="1:20" x14ac:dyDescent="0.35">
      <c r="A331" s="497" t="b">
        <f t="shared" ca="1" si="34"/>
        <v>0</v>
      </c>
      <c r="B331" s="511"/>
      <c r="C331" s="510" t="str">
        <f t="shared" ca="1" si="35"/>
        <v>a1H3p000009F89MEAS</v>
      </c>
      <c r="D331" s="497"/>
      <c r="E331" s="497">
        <f t="shared" ca="1" si="42"/>
        <v>3</v>
      </c>
      <c r="F331" s="512">
        <f ca="1">IFERROR(IF(COUNTA($D$56:$D331)=1,"",OFFSET($F329,-COUNTA($D$56:$D331)+3,0)),"")</f>
        <v>16</v>
      </c>
      <c r="G331" s="497"/>
      <c r="H331" s="497">
        <f t="shared" ca="1" si="43"/>
        <v>39</v>
      </c>
      <c r="I331" s="513" t="str">
        <f t="shared" ca="1" si="36"/>
        <v/>
      </c>
      <c r="J331" s="513" t="str">
        <f t="shared" ca="1" si="37"/>
        <v/>
      </c>
      <c r="K331" s="500" t="str">
        <f t="shared" ca="1" si="38"/>
        <v/>
      </c>
      <c r="L331" s="503">
        <f ca="1">IFERROR(CHOOSE(E331,'Impact Indicators - Section B '!$K$7,'Impact Indicators - Section B '!$O$7,'Impact Indicators - Section B '!$S$7,'Impact Indicators - Section B '!$W$7),"")</f>
        <v>2024</v>
      </c>
      <c r="M331" s="514" t="str">
        <f t="shared" ca="1" si="39"/>
        <v/>
      </c>
      <c r="N331" s="503" t="str">
        <f t="shared" ca="1" si="40"/>
        <v/>
      </c>
      <c r="O331" s="497" t="str">
        <f ca="1">IFERROR(IF(COUNTA($D$56:$D331)=1,"",OFFSET($C329,-COUNTA($D$56:$D331)+3,0)),"")</f>
        <v>a1H3p000009F89MEAS</v>
      </c>
      <c r="P331" s="497">
        <f t="shared" si="44"/>
        <v>0</v>
      </c>
      <c r="Q331" s="497"/>
      <c r="R331" s="497"/>
      <c r="S331" s="497"/>
      <c r="T331" s="497" t="b">
        <f t="shared" ca="1" si="41"/>
        <v>0</v>
      </c>
    </row>
    <row r="332" spans="1:20" x14ac:dyDescent="0.35">
      <c r="A332" s="497" t="b">
        <f t="shared" ca="1" si="34"/>
        <v>0</v>
      </c>
      <c r="B332" s="511"/>
      <c r="C332" s="510" t="str">
        <f t="shared" ca="1" si="35"/>
        <v>a1H3p000009F89qEAC</v>
      </c>
      <c r="D332" s="497"/>
      <c r="E332" s="497">
        <f t="shared" ca="1" si="42"/>
        <v>4</v>
      </c>
      <c r="F332" s="512">
        <f ca="1">IFERROR(IF(COUNTA($D$56:$D332)=1,"",OFFSET($F330,-COUNTA($D$56:$D332)+3,0)),"")</f>
        <v>16</v>
      </c>
      <c r="G332" s="497"/>
      <c r="H332" s="497">
        <f t="shared" ca="1" si="43"/>
        <v>39</v>
      </c>
      <c r="I332" s="513" t="str">
        <f t="shared" ca="1" si="36"/>
        <v/>
      </c>
      <c r="J332" s="513" t="str">
        <f t="shared" ca="1" si="37"/>
        <v/>
      </c>
      <c r="K332" s="500" t="str">
        <f t="shared" ca="1" si="38"/>
        <v/>
      </c>
      <c r="L332" s="503" t="str">
        <f ca="1">IFERROR(CHOOSE(E332,'Impact Indicators - Section B '!$K$7,'Impact Indicators - Section B '!$O$7,'Impact Indicators - Section B '!$S$7,'Impact Indicators - Section B '!$W$7),"")</f>
        <v/>
      </c>
      <c r="M332" s="514" t="str">
        <f t="shared" ca="1" si="39"/>
        <v/>
      </c>
      <c r="N332" s="503" t="str">
        <f t="shared" ca="1" si="40"/>
        <v/>
      </c>
      <c r="O332" s="497" t="str">
        <f ca="1">IFERROR(IF(COUNTA($D$56:$D332)=1,"",OFFSET($C330,-COUNTA($D$56:$D332)+3,0)),"")</f>
        <v>a1H3p000009F89qEAC</v>
      </c>
      <c r="P332" s="497">
        <f t="shared" si="44"/>
        <v>0</v>
      </c>
      <c r="Q332" s="497"/>
      <c r="R332" s="497"/>
      <c r="S332" s="497"/>
      <c r="T332" s="497" t="b">
        <f t="shared" ca="1" si="41"/>
        <v>0</v>
      </c>
    </row>
    <row r="333" spans="1:20" x14ac:dyDescent="0.35">
      <c r="A333" s="497" t="b">
        <f t="shared" ca="1" si="34"/>
        <v>0</v>
      </c>
      <c r="B333" s="511"/>
      <c r="C333" s="510" t="str">
        <f t="shared" ca="1" si="35"/>
        <v>a1H3p000009F8AKEA0</v>
      </c>
      <c r="D333" s="497"/>
      <c r="E333" s="497">
        <f t="shared" ca="1" si="42"/>
        <v>5</v>
      </c>
      <c r="F333" s="512">
        <f ca="1">IFERROR(IF(COUNTA($D$56:$D333)=1,"",OFFSET($F331,-COUNTA($D$56:$D333)+3,0)),"")</f>
        <v>16</v>
      </c>
      <c r="G333" s="497"/>
      <c r="H333" s="497">
        <f t="shared" ca="1" si="43"/>
        <v>39</v>
      </c>
      <c r="I333" s="513" t="str">
        <f t="shared" ca="1" si="36"/>
        <v/>
      </c>
      <c r="J333" s="513" t="str">
        <f t="shared" ca="1" si="37"/>
        <v/>
      </c>
      <c r="K333" s="500" t="str">
        <f t="shared" ca="1" si="38"/>
        <v/>
      </c>
      <c r="L333" s="503" t="str">
        <f ca="1">IFERROR(CHOOSE(E333,'Impact Indicators - Section B '!$K$7,'Impact Indicators - Section B '!$O$7,'Impact Indicators - Section B '!$S$7,'Impact Indicators - Section B '!$W$7),"")</f>
        <v/>
      </c>
      <c r="M333" s="514" t="str">
        <f t="shared" ca="1" si="39"/>
        <v/>
      </c>
      <c r="N333" s="503" t="str">
        <f t="shared" ca="1" si="40"/>
        <v/>
      </c>
      <c r="O333" s="497" t="str">
        <f ca="1">IFERROR(IF(COUNTA($D$56:$D333)=1,"",OFFSET($C331,-COUNTA($D$56:$D333)+3,0)),"")</f>
        <v>a1H3p000009F8AKEA0</v>
      </c>
      <c r="P333" s="497">
        <f t="shared" si="44"/>
        <v>0</v>
      </c>
      <c r="Q333" s="497"/>
      <c r="R333" s="497"/>
      <c r="S333" s="497"/>
      <c r="T333" s="497" t="b">
        <f t="shared" ca="1" si="41"/>
        <v>0</v>
      </c>
    </row>
    <row r="334" spans="1:20" x14ac:dyDescent="0.35">
      <c r="A334" s="497" t="b">
        <f t="shared" ca="1" si="34"/>
        <v>0</v>
      </c>
      <c r="B334" s="511"/>
      <c r="C334" s="510" t="str">
        <f t="shared" ca="1" si="35"/>
        <v>a1H3p000009F8AoEAK</v>
      </c>
      <c r="D334" s="497"/>
      <c r="E334" s="497">
        <f t="shared" ca="1" si="42"/>
        <v>6</v>
      </c>
      <c r="F334" s="512">
        <f ca="1">IFERROR(IF(COUNTA($D$56:$D334)=1,"",OFFSET($F332,-COUNTA($D$56:$D334)+3,0)),"")</f>
        <v>16</v>
      </c>
      <c r="G334" s="497"/>
      <c r="H334" s="497">
        <f t="shared" ca="1" si="43"/>
        <v>39</v>
      </c>
      <c r="I334" s="513" t="str">
        <f t="shared" ca="1" si="36"/>
        <v/>
      </c>
      <c r="J334" s="513" t="str">
        <f t="shared" ca="1" si="37"/>
        <v/>
      </c>
      <c r="K334" s="500" t="str">
        <f t="shared" ca="1" si="38"/>
        <v/>
      </c>
      <c r="L334" s="503" t="str">
        <f ca="1">IFERROR(CHOOSE(E334,'Impact Indicators - Section B '!$K$7,'Impact Indicators - Section B '!$O$7,'Impact Indicators - Section B '!$S$7,'Impact Indicators - Section B '!$W$7),"")</f>
        <v/>
      </c>
      <c r="M334" s="514" t="str">
        <f t="shared" ca="1" si="39"/>
        <v/>
      </c>
      <c r="N334" s="503" t="str">
        <f t="shared" ca="1" si="40"/>
        <v/>
      </c>
      <c r="O334" s="497" t="str">
        <f ca="1">IFERROR(IF(COUNTA($D$56:$D334)=1,"",OFFSET($C332,-COUNTA($D$56:$D334)+3,0)),"")</f>
        <v>a1H3p000009F8AoEAK</v>
      </c>
      <c r="P334" s="497">
        <f t="shared" si="44"/>
        <v>0</v>
      </c>
      <c r="Q334" s="497"/>
      <c r="R334" s="497"/>
      <c r="S334" s="497"/>
      <c r="T334" s="497" t="b">
        <f t="shared" ca="1" si="41"/>
        <v>0</v>
      </c>
    </row>
    <row r="335" spans="1:20" x14ac:dyDescent="0.35">
      <c r="A335" s="497" t="b">
        <f t="shared" ca="1" si="34"/>
        <v>0</v>
      </c>
      <c r="B335" s="511"/>
      <c r="C335" s="510" t="str">
        <f t="shared" ca="1" si="35"/>
        <v>a1H3p000009F88PEAS</v>
      </c>
      <c r="D335" s="497"/>
      <c r="E335" s="497">
        <f t="shared" ca="1" si="42"/>
        <v>1</v>
      </c>
      <c r="F335" s="512">
        <f ca="1">IFERROR(IF(COUNTA($D$56:$D335)=1,"",OFFSET($F333,-COUNTA($D$56:$D335)+3,0)),"")</f>
        <v>17</v>
      </c>
      <c r="G335" s="497"/>
      <c r="H335" s="497">
        <f t="shared" ca="1" si="43"/>
        <v>41</v>
      </c>
      <c r="I335" s="513" t="str">
        <f t="shared" ca="1" si="36"/>
        <v/>
      </c>
      <c r="J335" s="513" t="str">
        <f t="shared" ca="1" si="37"/>
        <v/>
      </c>
      <c r="K335" s="500" t="str">
        <f t="shared" ca="1" si="38"/>
        <v/>
      </c>
      <c r="L335" s="503">
        <f ca="1">IFERROR(CHOOSE(E335,'Impact Indicators - Section B '!$K$7,'Impact Indicators - Section B '!$O$7,'Impact Indicators - Section B '!$S$7,'Impact Indicators - Section B '!$W$7),"")</f>
        <v>2022</v>
      </c>
      <c r="M335" s="514" t="str">
        <f t="shared" ca="1" si="39"/>
        <v/>
      </c>
      <c r="N335" s="503" t="str">
        <f t="shared" ca="1" si="40"/>
        <v/>
      </c>
      <c r="O335" s="497" t="str">
        <f ca="1">IFERROR(IF(COUNTA($D$56:$D335)=1,"",OFFSET($C333,-COUNTA($D$56:$D335)+3,0)),"")</f>
        <v>a1H3p000009F88PEAS</v>
      </c>
      <c r="P335" s="497">
        <f t="shared" si="44"/>
        <v>0</v>
      </c>
      <c r="Q335" s="497"/>
      <c r="R335" s="497"/>
      <c r="S335" s="497"/>
      <c r="T335" s="497" t="b">
        <f t="shared" ca="1" si="41"/>
        <v>0</v>
      </c>
    </row>
    <row r="336" spans="1:20" x14ac:dyDescent="0.35">
      <c r="A336" s="497" t="b">
        <f t="shared" ca="1" si="34"/>
        <v>0</v>
      </c>
      <c r="B336" s="511"/>
      <c r="C336" s="510" t="str">
        <f t="shared" ca="1" si="35"/>
        <v>a1H3p000009F88tEAC</v>
      </c>
      <c r="D336" s="497"/>
      <c r="E336" s="497">
        <f t="shared" ca="1" si="42"/>
        <v>2</v>
      </c>
      <c r="F336" s="512">
        <f ca="1">IFERROR(IF(COUNTA($D$56:$D336)=1,"",OFFSET($F334,-COUNTA($D$56:$D336)+3,0)),"")</f>
        <v>17</v>
      </c>
      <c r="G336" s="497"/>
      <c r="H336" s="497">
        <f t="shared" ca="1" si="43"/>
        <v>41</v>
      </c>
      <c r="I336" s="513" t="str">
        <f t="shared" ca="1" si="36"/>
        <v/>
      </c>
      <c r="J336" s="513" t="str">
        <f t="shared" ca="1" si="37"/>
        <v/>
      </c>
      <c r="K336" s="500" t="str">
        <f t="shared" ca="1" si="38"/>
        <v/>
      </c>
      <c r="L336" s="503">
        <f ca="1">IFERROR(CHOOSE(E336,'Impact Indicators - Section B '!$K$7,'Impact Indicators - Section B '!$O$7,'Impact Indicators - Section B '!$S$7,'Impact Indicators - Section B '!$W$7),"")</f>
        <v>2023</v>
      </c>
      <c r="M336" s="514" t="str">
        <f t="shared" ca="1" si="39"/>
        <v/>
      </c>
      <c r="N336" s="503" t="str">
        <f t="shared" ca="1" si="40"/>
        <v/>
      </c>
      <c r="O336" s="497" t="str">
        <f ca="1">IFERROR(IF(COUNTA($D$56:$D336)=1,"",OFFSET($C334,-COUNTA($D$56:$D336)+3,0)),"")</f>
        <v>a1H3p000009F88tEAC</v>
      </c>
      <c r="P336" s="497">
        <f t="shared" si="44"/>
        <v>0</v>
      </c>
      <c r="Q336" s="497"/>
      <c r="R336" s="497"/>
      <c r="S336" s="497"/>
      <c r="T336" s="497" t="b">
        <f t="shared" ca="1" si="41"/>
        <v>0</v>
      </c>
    </row>
    <row r="337" spans="1:20" x14ac:dyDescent="0.35">
      <c r="A337" s="497" t="b">
        <f t="shared" ca="1" si="34"/>
        <v>0</v>
      </c>
      <c r="B337" s="511"/>
      <c r="C337" s="510" t="str">
        <f t="shared" ca="1" si="35"/>
        <v>a1H3p000009F89NEAS</v>
      </c>
      <c r="D337" s="497"/>
      <c r="E337" s="497">
        <f t="shared" ca="1" si="42"/>
        <v>3</v>
      </c>
      <c r="F337" s="512">
        <f ca="1">IFERROR(IF(COUNTA($D$56:$D337)=1,"",OFFSET($F335,-COUNTA($D$56:$D337)+3,0)),"")</f>
        <v>17</v>
      </c>
      <c r="G337" s="497"/>
      <c r="H337" s="497">
        <f t="shared" ca="1" si="43"/>
        <v>41</v>
      </c>
      <c r="I337" s="513" t="str">
        <f t="shared" ca="1" si="36"/>
        <v/>
      </c>
      <c r="J337" s="513" t="str">
        <f t="shared" ca="1" si="37"/>
        <v/>
      </c>
      <c r="K337" s="500" t="str">
        <f t="shared" ca="1" si="38"/>
        <v/>
      </c>
      <c r="L337" s="503">
        <f ca="1">IFERROR(CHOOSE(E337,'Impact Indicators - Section B '!$K$7,'Impact Indicators - Section B '!$O$7,'Impact Indicators - Section B '!$S$7,'Impact Indicators - Section B '!$W$7),"")</f>
        <v>2024</v>
      </c>
      <c r="M337" s="514" t="str">
        <f t="shared" ca="1" si="39"/>
        <v/>
      </c>
      <c r="N337" s="503" t="str">
        <f t="shared" ca="1" si="40"/>
        <v/>
      </c>
      <c r="O337" s="497" t="str">
        <f ca="1">IFERROR(IF(COUNTA($D$56:$D337)=1,"",OFFSET($C335,-COUNTA($D$56:$D337)+3,0)),"")</f>
        <v>a1H3p000009F89NEAS</v>
      </c>
      <c r="P337" s="497">
        <f t="shared" si="44"/>
        <v>0</v>
      </c>
      <c r="Q337" s="497"/>
      <c r="R337" s="497"/>
      <c r="S337" s="497"/>
      <c r="T337" s="497" t="b">
        <f t="shared" ca="1" si="41"/>
        <v>0</v>
      </c>
    </row>
    <row r="338" spans="1:20" x14ac:dyDescent="0.35">
      <c r="A338" s="497" t="b">
        <f t="shared" ca="1" si="34"/>
        <v>0</v>
      </c>
      <c r="B338" s="511"/>
      <c r="C338" s="510" t="str">
        <f t="shared" ca="1" si="35"/>
        <v>a1H3p000009F89rEAC</v>
      </c>
      <c r="D338" s="497"/>
      <c r="E338" s="497">
        <f t="shared" ca="1" si="42"/>
        <v>4</v>
      </c>
      <c r="F338" s="512">
        <f ca="1">IFERROR(IF(COUNTA($D$56:$D338)=1,"",OFFSET($F336,-COUNTA($D$56:$D338)+3,0)),"")</f>
        <v>17</v>
      </c>
      <c r="G338" s="497"/>
      <c r="H338" s="497">
        <f t="shared" ca="1" si="43"/>
        <v>41</v>
      </c>
      <c r="I338" s="513" t="str">
        <f t="shared" ca="1" si="36"/>
        <v/>
      </c>
      <c r="J338" s="513" t="str">
        <f t="shared" ca="1" si="37"/>
        <v/>
      </c>
      <c r="K338" s="500" t="str">
        <f t="shared" ca="1" si="38"/>
        <v/>
      </c>
      <c r="L338" s="503" t="str">
        <f ca="1">IFERROR(CHOOSE(E338,'Impact Indicators - Section B '!$K$7,'Impact Indicators - Section B '!$O$7,'Impact Indicators - Section B '!$S$7,'Impact Indicators - Section B '!$W$7),"")</f>
        <v/>
      </c>
      <c r="M338" s="514" t="str">
        <f t="shared" ca="1" si="39"/>
        <v/>
      </c>
      <c r="N338" s="503" t="str">
        <f t="shared" ca="1" si="40"/>
        <v/>
      </c>
      <c r="O338" s="497" t="str">
        <f ca="1">IFERROR(IF(COUNTA($D$56:$D338)=1,"",OFFSET($C336,-COUNTA($D$56:$D338)+3,0)),"")</f>
        <v>a1H3p000009F89rEAC</v>
      </c>
      <c r="P338" s="497">
        <f t="shared" si="44"/>
        <v>0</v>
      </c>
      <c r="Q338" s="497"/>
      <c r="R338" s="497"/>
      <c r="S338" s="497"/>
      <c r="T338" s="497" t="b">
        <f t="shared" ca="1" si="41"/>
        <v>0</v>
      </c>
    </row>
    <row r="339" spans="1:20" x14ac:dyDescent="0.35">
      <c r="A339" s="497" t="b">
        <f t="shared" ca="1" si="34"/>
        <v>0</v>
      </c>
      <c r="B339" s="511"/>
      <c r="C339" s="510" t="str">
        <f t="shared" ca="1" si="35"/>
        <v>a1H3p000009F8ALEA0</v>
      </c>
      <c r="D339" s="497"/>
      <c r="E339" s="497">
        <f t="shared" ca="1" si="42"/>
        <v>5</v>
      </c>
      <c r="F339" s="512">
        <f ca="1">IFERROR(IF(COUNTA($D$56:$D339)=1,"",OFFSET($F337,-COUNTA($D$56:$D339)+3,0)),"")</f>
        <v>17</v>
      </c>
      <c r="G339" s="497"/>
      <c r="H339" s="497">
        <f t="shared" ca="1" si="43"/>
        <v>41</v>
      </c>
      <c r="I339" s="513" t="str">
        <f t="shared" ca="1" si="36"/>
        <v/>
      </c>
      <c r="J339" s="513" t="str">
        <f t="shared" ca="1" si="37"/>
        <v/>
      </c>
      <c r="K339" s="500" t="str">
        <f t="shared" ca="1" si="38"/>
        <v/>
      </c>
      <c r="L339" s="503" t="str">
        <f ca="1">IFERROR(CHOOSE(E339,'Impact Indicators - Section B '!$K$7,'Impact Indicators - Section B '!$O$7,'Impact Indicators - Section B '!$S$7,'Impact Indicators - Section B '!$W$7),"")</f>
        <v/>
      </c>
      <c r="M339" s="514" t="str">
        <f t="shared" ca="1" si="39"/>
        <v/>
      </c>
      <c r="N339" s="503" t="str">
        <f t="shared" ca="1" si="40"/>
        <v/>
      </c>
      <c r="O339" s="497" t="str">
        <f ca="1">IFERROR(IF(COUNTA($D$56:$D339)=1,"",OFFSET($C337,-COUNTA($D$56:$D339)+3,0)),"")</f>
        <v>a1H3p000009F8ALEA0</v>
      </c>
      <c r="P339" s="497">
        <f t="shared" si="44"/>
        <v>0</v>
      </c>
      <c r="Q339" s="497"/>
      <c r="R339" s="497"/>
      <c r="S339" s="497"/>
      <c r="T339" s="497" t="b">
        <f t="shared" ca="1" si="41"/>
        <v>0</v>
      </c>
    </row>
    <row r="340" spans="1:20" x14ac:dyDescent="0.35">
      <c r="A340" s="497" t="b">
        <f t="shared" ca="1" si="34"/>
        <v>0</v>
      </c>
      <c r="B340" s="511"/>
      <c r="C340" s="510" t="str">
        <f t="shared" ca="1" si="35"/>
        <v>a1H3p000009F8ApEAK</v>
      </c>
      <c r="D340" s="497"/>
      <c r="E340" s="497">
        <f t="shared" ca="1" si="42"/>
        <v>6</v>
      </c>
      <c r="F340" s="512">
        <f ca="1">IFERROR(IF(COUNTA($D$56:$D340)=1,"",OFFSET($F338,-COUNTA($D$56:$D340)+3,0)),"")</f>
        <v>17</v>
      </c>
      <c r="G340" s="497"/>
      <c r="H340" s="497">
        <f t="shared" ca="1" si="43"/>
        <v>41</v>
      </c>
      <c r="I340" s="513" t="str">
        <f t="shared" ca="1" si="36"/>
        <v/>
      </c>
      <c r="J340" s="513" t="str">
        <f t="shared" ca="1" si="37"/>
        <v/>
      </c>
      <c r="K340" s="500" t="str">
        <f t="shared" ca="1" si="38"/>
        <v/>
      </c>
      <c r="L340" s="503" t="str">
        <f ca="1">IFERROR(CHOOSE(E340,'Impact Indicators - Section B '!$K$7,'Impact Indicators - Section B '!$O$7,'Impact Indicators - Section B '!$S$7,'Impact Indicators - Section B '!$W$7),"")</f>
        <v/>
      </c>
      <c r="M340" s="514" t="str">
        <f t="shared" ca="1" si="39"/>
        <v/>
      </c>
      <c r="N340" s="503" t="str">
        <f t="shared" ca="1" si="40"/>
        <v/>
      </c>
      <c r="O340" s="497" t="str">
        <f ca="1">IFERROR(IF(COUNTA($D$56:$D340)=1,"",OFFSET($C338,-COUNTA($D$56:$D340)+3,0)),"")</f>
        <v>a1H3p000009F8ApEAK</v>
      </c>
      <c r="P340" s="497">
        <f t="shared" si="44"/>
        <v>0</v>
      </c>
      <c r="Q340" s="497"/>
      <c r="R340" s="497"/>
      <c r="S340" s="497"/>
      <c r="T340" s="497" t="b">
        <f t="shared" ca="1" si="41"/>
        <v>0</v>
      </c>
    </row>
    <row r="341" spans="1:20" x14ac:dyDescent="0.35">
      <c r="A341" s="497" t="b">
        <f t="shared" ca="1" si="34"/>
        <v>0</v>
      </c>
      <c r="B341" s="511"/>
      <c r="C341" s="510" t="str">
        <f t="shared" ca="1" si="35"/>
        <v>a1H3p000009F88QEAS</v>
      </c>
      <c r="D341" s="497"/>
      <c r="E341" s="497">
        <f t="shared" ca="1" si="42"/>
        <v>1</v>
      </c>
      <c r="F341" s="512">
        <f ca="1">IFERROR(IF(COUNTA($D$56:$D341)=1,"",OFFSET($F339,-COUNTA($D$56:$D341)+3,0)),"")</f>
        <v>18</v>
      </c>
      <c r="G341" s="497"/>
      <c r="H341" s="497">
        <f t="shared" ca="1" si="43"/>
        <v>43</v>
      </c>
      <c r="I341" s="513" t="str">
        <f t="shared" ca="1" si="36"/>
        <v/>
      </c>
      <c r="J341" s="513" t="str">
        <f t="shared" ca="1" si="37"/>
        <v/>
      </c>
      <c r="K341" s="500" t="str">
        <f t="shared" ca="1" si="38"/>
        <v/>
      </c>
      <c r="L341" s="503">
        <f ca="1">IFERROR(CHOOSE(E341,'Impact Indicators - Section B '!$K$7,'Impact Indicators - Section B '!$O$7,'Impact Indicators - Section B '!$S$7,'Impact Indicators - Section B '!$W$7),"")</f>
        <v>2022</v>
      </c>
      <c r="M341" s="514" t="str">
        <f t="shared" ca="1" si="39"/>
        <v/>
      </c>
      <c r="N341" s="503" t="str">
        <f t="shared" ca="1" si="40"/>
        <v/>
      </c>
      <c r="O341" s="497" t="str">
        <f ca="1">IFERROR(IF(COUNTA($D$56:$D341)=1,"",OFFSET($C339,-COUNTA($D$56:$D341)+3,0)),"")</f>
        <v>a1H3p000009F88QEAS</v>
      </c>
      <c r="P341" s="497">
        <f t="shared" si="44"/>
        <v>0</v>
      </c>
      <c r="Q341" s="497"/>
      <c r="R341" s="497"/>
      <c r="S341" s="497"/>
      <c r="T341" s="497" t="b">
        <f t="shared" ca="1" si="41"/>
        <v>0</v>
      </c>
    </row>
    <row r="342" spans="1:20" x14ac:dyDescent="0.35">
      <c r="A342" s="497" t="b">
        <f t="shared" ca="1" si="34"/>
        <v>0</v>
      </c>
      <c r="B342" s="511"/>
      <c r="C342" s="510" t="str">
        <f t="shared" ca="1" si="35"/>
        <v>a1H3p000009F88uEAC</v>
      </c>
      <c r="D342" s="497"/>
      <c r="E342" s="497">
        <f t="shared" ca="1" si="42"/>
        <v>2</v>
      </c>
      <c r="F342" s="512">
        <f ca="1">IFERROR(IF(COUNTA($D$56:$D342)=1,"",OFFSET($F340,-COUNTA($D$56:$D342)+3,0)),"")</f>
        <v>18</v>
      </c>
      <c r="G342" s="497"/>
      <c r="H342" s="497">
        <f t="shared" ca="1" si="43"/>
        <v>43</v>
      </c>
      <c r="I342" s="513" t="str">
        <f t="shared" ca="1" si="36"/>
        <v/>
      </c>
      <c r="J342" s="513" t="str">
        <f t="shared" ca="1" si="37"/>
        <v/>
      </c>
      <c r="K342" s="500" t="str">
        <f t="shared" ca="1" si="38"/>
        <v/>
      </c>
      <c r="L342" s="503">
        <f ca="1">IFERROR(CHOOSE(E342,'Impact Indicators - Section B '!$K$7,'Impact Indicators - Section B '!$O$7,'Impact Indicators - Section B '!$S$7,'Impact Indicators - Section B '!$W$7),"")</f>
        <v>2023</v>
      </c>
      <c r="M342" s="514" t="str">
        <f t="shared" ca="1" si="39"/>
        <v/>
      </c>
      <c r="N342" s="503" t="str">
        <f t="shared" ca="1" si="40"/>
        <v/>
      </c>
      <c r="O342" s="497" t="str">
        <f ca="1">IFERROR(IF(COUNTA($D$56:$D342)=1,"",OFFSET($C340,-COUNTA($D$56:$D342)+3,0)),"")</f>
        <v>a1H3p000009F88uEAC</v>
      </c>
      <c r="P342" s="497">
        <f t="shared" si="44"/>
        <v>0</v>
      </c>
      <c r="Q342" s="497"/>
      <c r="R342" s="497"/>
      <c r="S342" s="497"/>
      <c r="T342" s="497" t="b">
        <f t="shared" ca="1" si="41"/>
        <v>0</v>
      </c>
    </row>
    <row r="343" spans="1:20" x14ac:dyDescent="0.35">
      <c r="A343" s="497" t="b">
        <f t="shared" ca="1" si="34"/>
        <v>0</v>
      </c>
      <c r="B343" s="511"/>
      <c r="C343" s="510" t="str">
        <f t="shared" ca="1" si="35"/>
        <v>a1H3p000009F89OEAS</v>
      </c>
      <c r="D343" s="497"/>
      <c r="E343" s="497">
        <f t="shared" ca="1" si="42"/>
        <v>3</v>
      </c>
      <c r="F343" s="512">
        <f ca="1">IFERROR(IF(COUNTA($D$56:$D343)=1,"",OFFSET($F341,-COUNTA($D$56:$D343)+3,0)),"")</f>
        <v>18</v>
      </c>
      <c r="G343" s="497"/>
      <c r="H343" s="497">
        <f t="shared" ca="1" si="43"/>
        <v>43</v>
      </c>
      <c r="I343" s="513" t="str">
        <f t="shared" ca="1" si="36"/>
        <v/>
      </c>
      <c r="J343" s="513" t="str">
        <f t="shared" ca="1" si="37"/>
        <v/>
      </c>
      <c r="K343" s="500" t="str">
        <f t="shared" ca="1" si="38"/>
        <v/>
      </c>
      <c r="L343" s="503">
        <f ca="1">IFERROR(CHOOSE(E343,'Impact Indicators - Section B '!$K$7,'Impact Indicators - Section B '!$O$7,'Impact Indicators - Section B '!$S$7,'Impact Indicators - Section B '!$W$7),"")</f>
        <v>2024</v>
      </c>
      <c r="M343" s="514" t="str">
        <f t="shared" ca="1" si="39"/>
        <v/>
      </c>
      <c r="N343" s="503" t="str">
        <f t="shared" ca="1" si="40"/>
        <v/>
      </c>
      <c r="O343" s="497" t="str">
        <f ca="1">IFERROR(IF(COUNTA($D$56:$D343)=1,"",OFFSET($C341,-COUNTA($D$56:$D343)+3,0)),"")</f>
        <v>a1H3p000009F89OEAS</v>
      </c>
      <c r="P343" s="497">
        <f t="shared" si="44"/>
        <v>0</v>
      </c>
      <c r="Q343" s="497"/>
      <c r="R343" s="497"/>
      <c r="S343" s="497"/>
      <c r="T343" s="497" t="b">
        <f t="shared" ca="1" si="41"/>
        <v>0</v>
      </c>
    </row>
    <row r="344" spans="1:20" x14ac:dyDescent="0.35">
      <c r="A344" s="497" t="b">
        <f t="shared" ca="1" si="34"/>
        <v>0</v>
      </c>
      <c r="B344" s="511"/>
      <c r="C344" s="510" t="str">
        <f t="shared" ca="1" si="35"/>
        <v>a1H3p000009F89sEAC</v>
      </c>
      <c r="D344" s="497"/>
      <c r="E344" s="497">
        <f t="shared" ca="1" si="42"/>
        <v>4</v>
      </c>
      <c r="F344" s="512">
        <f ca="1">IFERROR(IF(COUNTA($D$56:$D344)=1,"",OFFSET($F342,-COUNTA($D$56:$D344)+3,0)),"")</f>
        <v>18</v>
      </c>
      <c r="G344" s="497"/>
      <c r="H344" s="497">
        <f t="shared" ca="1" si="43"/>
        <v>43</v>
      </c>
      <c r="I344" s="513" t="str">
        <f t="shared" ca="1" si="36"/>
        <v/>
      </c>
      <c r="J344" s="513" t="str">
        <f t="shared" ca="1" si="37"/>
        <v/>
      </c>
      <c r="K344" s="500" t="str">
        <f t="shared" ca="1" si="38"/>
        <v/>
      </c>
      <c r="L344" s="503" t="str">
        <f ca="1">IFERROR(CHOOSE(E344,'Impact Indicators - Section B '!$K$7,'Impact Indicators - Section B '!$O$7,'Impact Indicators - Section B '!$S$7,'Impact Indicators - Section B '!$W$7),"")</f>
        <v/>
      </c>
      <c r="M344" s="514" t="str">
        <f t="shared" ca="1" si="39"/>
        <v/>
      </c>
      <c r="N344" s="503" t="str">
        <f t="shared" ca="1" si="40"/>
        <v/>
      </c>
      <c r="O344" s="497" t="str">
        <f ca="1">IFERROR(IF(COUNTA($D$56:$D344)=1,"",OFFSET($C342,-COUNTA($D$56:$D344)+3,0)),"")</f>
        <v>a1H3p000009F89sEAC</v>
      </c>
      <c r="P344" s="497">
        <f t="shared" si="44"/>
        <v>0</v>
      </c>
      <c r="Q344" s="497"/>
      <c r="R344" s="497"/>
      <c r="S344" s="497"/>
      <c r="T344" s="497" t="b">
        <f t="shared" ca="1" si="41"/>
        <v>0</v>
      </c>
    </row>
    <row r="345" spans="1:20" x14ac:dyDescent="0.35">
      <c r="A345" s="497" t="b">
        <f t="shared" ca="1" si="34"/>
        <v>0</v>
      </c>
      <c r="B345" s="511"/>
      <c r="C345" s="510" t="str">
        <f t="shared" ca="1" si="35"/>
        <v>a1H3p000009F8AMEA0</v>
      </c>
      <c r="D345" s="497"/>
      <c r="E345" s="497">
        <f t="shared" ca="1" si="42"/>
        <v>5</v>
      </c>
      <c r="F345" s="512">
        <f ca="1">IFERROR(IF(COUNTA($D$56:$D345)=1,"",OFFSET($F343,-COUNTA($D$56:$D345)+3,0)),"")</f>
        <v>18</v>
      </c>
      <c r="G345" s="497"/>
      <c r="H345" s="497">
        <f t="shared" ca="1" si="43"/>
        <v>43</v>
      </c>
      <c r="I345" s="513" t="str">
        <f t="shared" ca="1" si="36"/>
        <v/>
      </c>
      <c r="J345" s="513" t="str">
        <f t="shared" ca="1" si="37"/>
        <v/>
      </c>
      <c r="K345" s="500" t="str">
        <f t="shared" ca="1" si="38"/>
        <v/>
      </c>
      <c r="L345" s="503" t="str">
        <f ca="1">IFERROR(CHOOSE(E345,'Impact Indicators - Section B '!$K$7,'Impact Indicators - Section B '!$O$7,'Impact Indicators - Section B '!$S$7,'Impact Indicators - Section B '!$W$7),"")</f>
        <v/>
      </c>
      <c r="M345" s="514" t="str">
        <f t="shared" ca="1" si="39"/>
        <v/>
      </c>
      <c r="N345" s="503" t="str">
        <f t="shared" ca="1" si="40"/>
        <v/>
      </c>
      <c r="O345" s="497" t="str">
        <f ca="1">IFERROR(IF(COUNTA($D$56:$D345)=1,"",OFFSET($C343,-COUNTA($D$56:$D345)+3,0)),"")</f>
        <v>a1H3p000009F8AMEA0</v>
      </c>
      <c r="P345" s="497">
        <f t="shared" si="44"/>
        <v>0</v>
      </c>
      <c r="Q345" s="497"/>
      <c r="R345" s="497"/>
      <c r="S345" s="497"/>
      <c r="T345" s="497" t="b">
        <f t="shared" ca="1" si="41"/>
        <v>0</v>
      </c>
    </row>
    <row r="346" spans="1:20" x14ac:dyDescent="0.35">
      <c r="A346" s="497" t="b">
        <f t="shared" ca="1" si="34"/>
        <v>0</v>
      </c>
      <c r="B346" s="511"/>
      <c r="C346" s="510" t="str">
        <f t="shared" ca="1" si="35"/>
        <v>a1H3p000009F8AqEAK</v>
      </c>
      <c r="D346" s="497"/>
      <c r="E346" s="497">
        <f t="shared" ca="1" si="42"/>
        <v>6</v>
      </c>
      <c r="F346" s="512">
        <f ca="1">IFERROR(IF(COUNTA($D$56:$D346)=1,"",OFFSET($F344,-COUNTA($D$56:$D346)+3,0)),"")</f>
        <v>18</v>
      </c>
      <c r="G346" s="497"/>
      <c r="H346" s="497">
        <f t="shared" ca="1" si="43"/>
        <v>43</v>
      </c>
      <c r="I346" s="513" t="str">
        <f t="shared" ca="1" si="36"/>
        <v/>
      </c>
      <c r="J346" s="513" t="str">
        <f t="shared" ca="1" si="37"/>
        <v/>
      </c>
      <c r="K346" s="500" t="str">
        <f t="shared" ca="1" si="38"/>
        <v/>
      </c>
      <c r="L346" s="503" t="str">
        <f ca="1">IFERROR(CHOOSE(E346,'Impact Indicators - Section B '!$K$7,'Impact Indicators - Section B '!$O$7,'Impact Indicators - Section B '!$S$7,'Impact Indicators - Section B '!$W$7),"")</f>
        <v/>
      </c>
      <c r="M346" s="514" t="str">
        <f t="shared" ca="1" si="39"/>
        <v/>
      </c>
      <c r="N346" s="503" t="str">
        <f t="shared" ca="1" si="40"/>
        <v/>
      </c>
      <c r="O346" s="497" t="str">
        <f ca="1">IFERROR(IF(COUNTA($D$56:$D346)=1,"",OFFSET($C344,-COUNTA($D$56:$D346)+3,0)),"")</f>
        <v>a1H3p000009F8AqEAK</v>
      </c>
      <c r="P346" s="497">
        <f t="shared" si="44"/>
        <v>0</v>
      </c>
      <c r="Q346" s="497"/>
      <c r="R346" s="497"/>
      <c r="S346" s="497"/>
      <c r="T346" s="497" t="b">
        <f t="shared" ca="1" si="41"/>
        <v>0</v>
      </c>
    </row>
    <row r="347" spans="1:20" x14ac:dyDescent="0.35">
      <c r="A347" s="497" t="b">
        <f t="shared" ca="1" si="34"/>
        <v>0</v>
      </c>
      <c r="B347" s="511"/>
      <c r="C347" s="510" t="str">
        <f t="shared" ca="1" si="35"/>
        <v>a1H3p000009F88REAS</v>
      </c>
      <c r="D347" s="497"/>
      <c r="E347" s="497">
        <f t="shared" ca="1" si="42"/>
        <v>1</v>
      </c>
      <c r="F347" s="512">
        <f ca="1">IFERROR(IF(COUNTA($D$56:$D347)=1,"",OFFSET($F345,-COUNTA($D$56:$D347)+3,0)),"")</f>
        <v>19</v>
      </c>
      <c r="G347" s="497"/>
      <c r="H347" s="497">
        <f t="shared" ca="1" si="43"/>
        <v>45</v>
      </c>
      <c r="I347" s="513" t="str">
        <f t="shared" ca="1" si="36"/>
        <v/>
      </c>
      <c r="J347" s="513" t="str">
        <f t="shared" ca="1" si="37"/>
        <v/>
      </c>
      <c r="K347" s="500" t="str">
        <f t="shared" ca="1" si="38"/>
        <v/>
      </c>
      <c r="L347" s="503">
        <f ca="1">IFERROR(CHOOSE(E347,'Impact Indicators - Section B '!$K$7,'Impact Indicators - Section B '!$O$7,'Impact Indicators - Section B '!$S$7,'Impact Indicators - Section B '!$W$7),"")</f>
        <v>2022</v>
      </c>
      <c r="M347" s="514" t="str">
        <f t="shared" ca="1" si="39"/>
        <v/>
      </c>
      <c r="N347" s="503" t="str">
        <f t="shared" ca="1" si="40"/>
        <v/>
      </c>
      <c r="O347" s="497" t="str">
        <f ca="1">IFERROR(IF(COUNTA($D$56:$D347)=1,"",OFFSET($C345,-COUNTA($D$56:$D347)+3,0)),"")</f>
        <v>a1H3p000009F88REAS</v>
      </c>
      <c r="P347" s="497">
        <f t="shared" si="44"/>
        <v>0</v>
      </c>
      <c r="Q347" s="497"/>
      <c r="R347" s="497"/>
      <c r="S347" s="497"/>
      <c r="T347" s="497" t="b">
        <f t="shared" ca="1" si="41"/>
        <v>0</v>
      </c>
    </row>
    <row r="348" spans="1:20" x14ac:dyDescent="0.35">
      <c r="A348" s="497" t="b">
        <f t="shared" ca="1" si="34"/>
        <v>0</v>
      </c>
      <c r="B348" s="511"/>
      <c r="C348" s="510" t="str">
        <f t="shared" ca="1" si="35"/>
        <v>a1H3p000009F88vEAC</v>
      </c>
      <c r="D348" s="497"/>
      <c r="E348" s="497">
        <f t="shared" ca="1" si="42"/>
        <v>2</v>
      </c>
      <c r="F348" s="512">
        <f ca="1">IFERROR(IF(COUNTA($D$56:$D348)=1,"",OFFSET($F346,-COUNTA($D$56:$D348)+3,0)),"")</f>
        <v>19</v>
      </c>
      <c r="G348" s="497"/>
      <c r="H348" s="497">
        <f t="shared" ca="1" si="43"/>
        <v>45</v>
      </c>
      <c r="I348" s="513" t="str">
        <f t="shared" ca="1" si="36"/>
        <v/>
      </c>
      <c r="J348" s="513" t="str">
        <f t="shared" ca="1" si="37"/>
        <v/>
      </c>
      <c r="K348" s="500" t="str">
        <f t="shared" ca="1" si="38"/>
        <v/>
      </c>
      <c r="L348" s="503">
        <f ca="1">IFERROR(CHOOSE(E348,'Impact Indicators - Section B '!$K$7,'Impact Indicators - Section B '!$O$7,'Impact Indicators - Section B '!$S$7,'Impact Indicators - Section B '!$W$7),"")</f>
        <v>2023</v>
      </c>
      <c r="M348" s="514" t="str">
        <f t="shared" ca="1" si="39"/>
        <v/>
      </c>
      <c r="N348" s="503" t="str">
        <f t="shared" ca="1" si="40"/>
        <v/>
      </c>
      <c r="O348" s="497" t="str">
        <f ca="1">IFERROR(IF(COUNTA($D$56:$D348)=1,"",OFFSET($C346,-COUNTA($D$56:$D348)+3,0)),"")</f>
        <v>a1H3p000009F88vEAC</v>
      </c>
      <c r="P348" s="497">
        <f t="shared" si="44"/>
        <v>0</v>
      </c>
      <c r="Q348" s="497"/>
      <c r="R348" s="497"/>
      <c r="S348" s="497"/>
      <c r="T348" s="497" t="b">
        <f t="shared" ca="1" si="41"/>
        <v>0</v>
      </c>
    </row>
    <row r="349" spans="1:20" x14ac:dyDescent="0.35">
      <c r="A349" s="497" t="b">
        <f t="shared" ca="1" si="34"/>
        <v>0</v>
      </c>
      <c r="B349" s="511"/>
      <c r="C349" s="510" t="str">
        <f t="shared" ca="1" si="35"/>
        <v>a1H3p000009F89PEAS</v>
      </c>
      <c r="D349" s="497"/>
      <c r="E349" s="497">
        <f t="shared" ca="1" si="42"/>
        <v>3</v>
      </c>
      <c r="F349" s="512">
        <f ca="1">IFERROR(IF(COUNTA($D$56:$D349)=1,"",OFFSET($F347,-COUNTA($D$56:$D349)+3,0)),"")</f>
        <v>19</v>
      </c>
      <c r="G349" s="497"/>
      <c r="H349" s="497">
        <f t="shared" ca="1" si="43"/>
        <v>45</v>
      </c>
      <c r="I349" s="513" t="str">
        <f t="shared" ca="1" si="36"/>
        <v/>
      </c>
      <c r="J349" s="513" t="str">
        <f t="shared" ca="1" si="37"/>
        <v/>
      </c>
      <c r="K349" s="500" t="str">
        <f t="shared" ca="1" si="38"/>
        <v/>
      </c>
      <c r="L349" s="503">
        <f ca="1">IFERROR(CHOOSE(E349,'Impact Indicators - Section B '!$K$7,'Impact Indicators - Section B '!$O$7,'Impact Indicators - Section B '!$S$7,'Impact Indicators - Section B '!$W$7),"")</f>
        <v>2024</v>
      </c>
      <c r="M349" s="514" t="str">
        <f t="shared" ca="1" si="39"/>
        <v/>
      </c>
      <c r="N349" s="503" t="str">
        <f t="shared" ca="1" si="40"/>
        <v/>
      </c>
      <c r="O349" s="497" t="str">
        <f ca="1">IFERROR(IF(COUNTA($D$56:$D349)=1,"",OFFSET($C347,-COUNTA($D$56:$D349)+3,0)),"")</f>
        <v>a1H3p000009F89PEAS</v>
      </c>
      <c r="P349" s="497">
        <f t="shared" si="44"/>
        <v>0</v>
      </c>
      <c r="Q349" s="497"/>
      <c r="R349" s="497"/>
      <c r="S349" s="497"/>
      <c r="T349" s="497" t="b">
        <f t="shared" ca="1" si="41"/>
        <v>0</v>
      </c>
    </row>
    <row r="350" spans="1:20" x14ac:dyDescent="0.35">
      <c r="A350" s="497" t="b">
        <f t="shared" ca="1" si="34"/>
        <v>0</v>
      </c>
      <c r="B350" s="511"/>
      <c r="C350" s="510" t="str">
        <f t="shared" ca="1" si="35"/>
        <v>a1H3p000009F89tEAC</v>
      </c>
      <c r="D350" s="497"/>
      <c r="E350" s="497">
        <f t="shared" ca="1" si="42"/>
        <v>4</v>
      </c>
      <c r="F350" s="512">
        <f ca="1">IFERROR(IF(COUNTA($D$56:$D350)=1,"",OFFSET($F348,-COUNTA($D$56:$D350)+3,0)),"")</f>
        <v>19</v>
      </c>
      <c r="G350" s="497"/>
      <c r="H350" s="497">
        <f t="shared" ca="1" si="43"/>
        <v>45</v>
      </c>
      <c r="I350" s="513" t="str">
        <f t="shared" ca="1" si="36"/>
        <v/>
      </c>
      <c r="J350" s="513" t="str">
        <f t="shared" ca="1" si="37"/>
        <v/>
      </c>
      <c r="K350" s="500" t="str">
        <f t="shared" ca="1" si="38"/>
        <v/>
      </c>
      <c r="L350" s="503" t="str">
        <f ca="1">IFERROR(CHOOSE(E350,'Impact Indicators - Section B '!$K$7,'Impact Indicators - Section B '!$O$7,'Impact Indicators - Section B '!$S$7,'Impact Indicators - Section B '!$W$7),"")</f>
        <v/>
      </c>
      <c r="M350" s="514" t="str">
        <f t="shared" ca="1" si="39"/>
        <v/>
      </c>
      <c r="N350" s="503" t="str">
        <f t="shared" ca="1" si="40"/>
        <v/>
      </c>
      <c r="O350" s="497" t="str">
        <f ca="1">IFERROR(IF(COUNTA($D$56:$D350)=1,"",OFFSET($C348,-COUNTA($D$56:$D350)+3,0)),"")</f>
        <v>a1H3p000009F89tEAC</v>
      </c>
      <c r="P350" s="497">
        <f t="shared" si="44"/>
        <v>0</v>
      </c>
      <c r="Q350" s="497"/>
      <c r="R350" s="497"/>
      <c r="S350" s="497"/>
      <c r="T350" s="497" t="b">
        <f t="shared" ca="1" si="41"/>
        <v>0</v>
      </c>
    </row>
    <row r="351" spans="1:20" x14ac:dyDescent="0.35">
      <c r="A351" s="497" t="b">
        <f t="shared" ca="1" si="34"/>
        <v>0</v>
      </c>
      <c r="B351" s="511"/>
      <c r="C351" s="510" t="str">
        <f t="shared" ca="1" si="35"/>
        <v>a1H3p000009F8ANEA0</v>
      </c>
      <c r="D351" s="497"/>
      <c r="E351" s="497">
        <f t="shared" ca="1" si="42"/>
        <v>5</v>
      </c>
      <c r="F351" s="512">
        <f ca="1">IFERROR(IF(COUNTA($D$56:$D351)=1,"",OFFSET($F349,-COUNTA($D$56:$D351)+3,0)),"")</f>
        <v>19</v>
      </c>
      <c r="G351" s="497"/>
      <c r="H351" s="497">
        <f t="shared" ca="1" si="43"/>
        <v>45</v>
      </c>
      <c r="I351" s="513" t="str">
        <f t="shared" ca="1" si="36"/>
        <v/>
      </c>
      <c r="J351" s="513" t="str">
        <f t="shared" ca="1" si="37"/>
        <v/>
      </c>
      <c r="K351" s="500" t="str">
        <f t="shared" ca="1" si="38"/>
        <v/>
      </c>
      <c r="L351" s="503" t="str">
        <f ca="1">IFERROR(CHOOSE(E351,'Impact Indicators - Section B '!$K$7,'Impact Indicators - Section B '!$O$7,'Impact Indicators - Section B '!$S$7,'Impact Indicators - Section B '!$W$7),"")</f>
        <v/>
      </c>
      <c r="M351" s="514" t="str">
        <f t="shared" ca="1" si="39"/>
        <v/>
      </c>
      <c r="N351" s="503" t="str">
        <f t="shared" ca="1" si="40"/>
        <v/>
      </c>
      <c r="O351" s="497" t="str">
        <f ca="1">IFERROR(IF(COUNTA($D$56:$D351)=1,"",OFFSET($C349,-COUNTA($D$56:$D351)+3,0)),"")</f>
        <v>a1H3p000009F8ANEA0</v>
      </c>
      <c r="P351" s="497">
        <f t="shared" si="44"/>
        <v>0</v>
      </c>
      <c r="Q351" s="497"/>
      <c r="R351" s="497"/>
      <c r="S351" s="497"/>
      <c r="T351" s="497" t="b">
        <f t="shared" ca="1" si="41"/>
        <v>0</v>
      </c>
    </row>
    <row r="352" spans="1:20" x14ac:dyDescent="0.35">
      <c r="A352" s="497" t="b">
        <f t="shared" ca="1" si="34"/>
        <v>0</v>
      </c>
      <c r="B352" s="511"/>
      <c r="C352" s="510" t="str">
        <f t="shared" ca="1" si="35"/>
        <v>a1H3p000009F8ArEAK</v>
      </c>
      <c r="D352" s="497"/>
      <c r="E352" s="497">
        <f t="shared" ca="1" si="42"/>
        <v>6</v>
      </c>
      <c r="F352" s="512">
        <f ca="1">IFERROR(IF(COUNTA($D$56:$D352)=1,"",OFFSET($F350,-COUNTA($D$56:$D352)+3,0)),"")</f>
        <v>19</v>
      </c>
      <c r="G352" s="497"/>
      <c r="H352" s="497">
        <f t="shared" ca="1" si="43"/>
        <v>45</v>
      </c>
      <c r="I352" s="513" t="str">
        <f t="shared" ca="1" si="36"/>
        <v/>
      </c>
      <c r="J352" s="513" t="str">
        <f t="shared" ca="1" si="37"/>
        <v/>
      </c>
      <c r="K352" s="500" t="str">
        <f t="shared" ca="1" si="38"/>
        <v/>
      </c>
      <c r="L352" s="503" t="str">
        <f ca="1">IFERROR(CHOOSE(E352,'Impact Indicators - Section B '!$K$7,'Impact Indicators - Section B '!$O$7,'Impact Indicators - Section B '!$S$7,'Impact Indicators - Section B '!$W$7),"")</f>
        <v/>
      </c>
      <c r="M352" s="514" t="str">
        <f t="shared" ca="1" si="39"/>
        <v/>
      </c>
      <c r="N352" s="503" t="str">
        <f t="shared" ca="1" si="40"/>
        <v/>
      </c>
      <c r="O352" s="497" t="str">
        <f ca="1">IFERROR(IF(COUNTA($D$56:$D352)=1,"",OFFSET($C350,-COUNTA($D$56:$D352)+3,0)),"")</f>
        <v>a1H3p000009F8ArEAK</v>
      </c>
      <c r="P352" s="497">
        <f t="shared" si="44"/>
        <v>0</v>
      </c>
      <c r="Q352" s="497"/>
      <c r="R352" s="497"/>
      <c r="S352" s="497"/>
      <c r="T352" s="497" t="b">
        <f t="shared" ca="1" si="41"/>
        <v>0</v>
      </c>
    </row>
    <row r="353" spans="1:20" x14ac:dyDescent="0.35">
      <c r="A353" s="497" t="b">
        <f t="shared" ca="1" si="34"/>
        <v>0</v>
      </c>
      <c r="B353" s="511"/>
      <c r="C353" s="510" t="str">
        <f t="shared" ca="1" si="35"/>
        <v>a1H3p000009F88SEAS</v>
      </c>
      <c r="D353" s="497"/>
      <c r="E353" s="497">
        <f t="shared" ca="1" si="42"/>
        <v>1</v>
      </c>
      <c r="F353" s="512">
        <f ca="1">IFERROR(IF(COUNTA($D$56:$D353)=1,"",OFFSET($F351,-COUNTA($D$56:$D353)+3,0)),"")</f>
        <v>20</v>
      </c>
      <c r="G353" s="497"/>
      <c r="H353" s="497">
        <f t="shared" ca="1" si="43"/>
        <v>47</v>
      </c>
      <c r="I353" s="513" t="str">
        <f t="shared" ca="1" si="36"/>
        <v/>
      </c>
      <c r="J353" s="513" t="str">
        <f t="shared" ca="1" si="37"/>
        <v/>
      </c>
      <c r="K353" s="500" t="str">
        <f t="shared" ca="1" si="38"/>
        <v/>
      </c>
      <c r="L353" s="503">
        <f ca="1">IFERROR(CHOOSE(E353,'Impact Indicators - Section B '!$K$7,'Impact Indicators - Section B '!$O$7,'Impact Indicators - Section B '!$S$7,'Impact Indicators - Section B '!$W$7),"")</f>
        <v>2022</v>
      </c>
      <c r="M353" s="514" t="str">
        <f t="shared" ca="1" si="39"/>
        <v/>
      </c>
      <c r="N353" s="503" t="str">
        <f t="shared" ca="1" si="40"/>
        <v/>
      </c>
      <c r="O353" s="497" t="str">
        <f ca="1">IFERROR(IF(COUNTA($D$56:$D353)=1,"",OFFSET($C351,-COUNTA($D$56:$D353)+3,0)),"")</f>
        <v>a1H3p000009F88SEAS</v>
      </c>
      <c r="P353" s="497">
        <f t="shared" si="44"/>
        <v>0</v>
      </c>
      <c r="Q353" s="497"/>
      <c r="R353" s="497"/>
      <c r="S353" s="497"/>
      <c r="T353" s="497" t="b">
        <f t="shared" ca="1" si="41"/>
        <v>0</v>
      </c>
    </row>
    <row r="354" spans="1:20" x14ac:dyDescent="0.35">
      <c r="A354" s="497" t="b">
        <f t="shared" ca="1" si="34"/>
        <v>0</v>
      </c>
      <c r="B354" s="511"/>
      <c r="C354" s="510" t="str">
        <f t="shared" ca="1" si="35"/>
        <v>a1H3p000009F88wEAC</v>
      </c>
      <c r="D354" s="497"/>
      <c r="E354" s="497">
        <f t="shared" ca="1" si="42"/>
        <v>2</v>
      </c>
      <c r="F354" s="512">
        <f ca="1">IFERROR(IF(COUNTA($D$56:$D354)=1,"",OFFSET($F352,-COUNTA($D$56:$D354)+3,0)),"")</f>
        <v>20</v>
      </c>
      <c r="G354" s="497"/>
      <c r="H354" s="497">
        <f t="shared" ca="1" si="43"/>
        <v>47</v>
      </c>
      <c r="I354" s="513" t="str">
        <f t="shared" ca="1" si="36"/>
        <v/>
      </c>
      <c r="J354" s="513" t="str">
        <f t="shared" ca="1" si="37"/>
        <v/>
      </c>
      <c r="K354" s="500" t="str">
        <f t="shared" ca="1" si="38"/>
        <v/>
      </c>
      <c r="L354" s="503">
        <f ca="1">IFERROR(CHOOSE(E354,'Impact Indicators - Section B '!$K$7,'Impact Indicators - Section B '!$O$7,'Impact Indicators - Section B '!$S$7,'Impact Indicators - Section B '!$W$7),"")</f>
        <v>2023</v>
      </c>
      <c r="M354" s="514" t="str">
        <f t="shared" ca="1" si="39"/>
        <v/>
      </c>
      <c r="N354" s="503" t="str">
        <f t="shared" ca="1" si="40"/>
        <v/>
      </c>
      <c r="O354" s="497" t="str">
        <f ca="1">IFERROR(IF(COUNTA($D$56:$D354)=1,"",OFFSET($C352,-COUNTA($D$56:$D354)+3,0)),"")</f>
        <v>a1H3p000009F88wEAC</v>
      </c>
      <c r="P354" s="497">
        <f t="shared" si="44"/>
        <v>0</v>
      </c>
      <c r="Q354" s="497"/>
      <c r="R354" s="497"/>
      <c r="S354" s="497"/>
      <c r="T354" s="497" t="b">
        <f t="shared" ca="1" si="41"/>
        <v>0</v>
      </c>
    </row>
    <row r="355" spans="1:20" x14ac:dyDescent="0.35">
      <c r="A355" s="497" t="b">
        <f t="shared" ca="1" si="34"/>
        <v>0</v>
      </c>
      <c r="B355" s="511"/>
      <c r="C355" s="510" t="str">
        <f t="shared" ca="1" si="35"/>
        <v>a1H3p000009F89QEAS</v>
      </c>
      <c r="D355" s="497"/>
      <c r="E355" s="497">
        <f t="shared" ca="1" si="42"/>
        <v>3</v>
      </c>
      <c r="F355" s="512">
        <f ca="1">IFERROR(IF(COUNTA($D$56:$D355)=1,"",OFFSET($F353,-COUNTA($D$56:$D355)+3,0)),"")</f>
        <v>20</v>
      </c>
      <c r="G355" s="497"/>
      <c r="H355" s="497">
        <f t="shared" ca="1" si="43"/>
        <v>47</v>
      </c>
      <c r="I355" s="513" t="str">
        <f t="shared" ca="1" si="36"/>
        <v/>
      </c>
      <c r="J355" s="513" t="str">
        <f t="shared" ca="1" si="37"/>
        <v/>
      </c>
      <c r="K355" s="500" t="str">
        <f t="shared" ca="1" si="38"/>
        <v/>
      </c>
      <c r="L355" s="503">
        <f ca="1">IFERROR(CHOOSE(E355,'Impact Indicators - Section B '!$K$7,'Impact Indicators - Section B '!$O$7,'Impact Indicators - Section B '!$S$7,'Impact Indicators - Section B '!$W$7),"")</f>
        <v>2024</v>
      </c>
      <c r="M355" s="514" t="str">
        <f t="shared" ca="1" si="39"/>
        <v/>
      </c>
      <c r="N355" s="503" t="str">
        <f t="shared" ca="1" si="40"/>
        <v/>
      </c>
      <c r="O355" s="497" t="str">
        <f ca="1">IFERROR(IF(COUNTA($D$56:$D355)=1,"",OFFSET($C353,-COUNTA($D$56:$D355)+3,0)),"")</f>
        <v>a1H3p000009F89QEAS</v>
      </c>
      <c r="P355" s="497">
        <f t="shared" si="44"/>
        <v>0</v>
      </c>
      <c r="Q355" s="497"/>
      <c r="R355" s="497"/>
      <c r="S355" s="497"/>
      <c r="T355" s="497" t="b">
        <f t="shared" ca="1" si="41"/>
        <v>0</v>
      </c>
    </row>
    <row r="356" spans="1:20" x14ac:dyDescent="0.35">
      <c r="A356" s="497" t="b">
        <f t="shared" ca="1" si="34"/>
        <v>0</v>
      </c>
      <c r="B356" s="511"/>
      <c r="C356" s="510" t="str">
        <f t="shared" ca="1" si="35"/>
        <v>a1H3p000009F89uEAC</v>
      </c>
      <c r="D356" s="497"/>
      <c r="E356" s="497">
        <f t="shared" ca="1" si="42"/>
        <v>4</v>
      </c>
      <c r="F356" s="512">
        <f ca="1">IFERROR(IF(COUNTA($D$56:$D356)=1,"",OFFSET($F354,-COUNTA($D$56:$D356)+3,0)),"")</f>
        <v>20</v>
      </c>
      <c r="G356" s="497"/>
      <c r="H356" s="497">
        <f t="shared" ca="1" si="43"/>
        <v>47</v>
      </c>
      <c r="I356" s="513" t="str">
        <f t="shared" ca="1" si="36"/>
        <v/>
      </c>
      <c r="J356" s="513" t="str">
        <f t="shared" ca="1" si="37"/>
        <v/>
      </c>
      <c r="K356" s="500" t="str">
        <f t="shared" ca="1" si="38"/>
        <v/>
      </c>
      <c r="L356" s="503" t="str">
        <f ca="1">IFERROR(CHOOSE(E356,'Impact Indicators - Section B '!$K$7,'Impact Indicators - Section B '!$O$7,'Impact Indicators - Section B '!$S$7,'Impact Indicators - Section B '!$W$7),"")</f>
        <v/>
      </c>
      <c r="M356" s="514" t="str">
        <f t="shared" ca="1" si="39"/>
        <v/>
      </c>
      <c r="N356" s="503" t="str">
        <f t="shared" ca="1" si="40"/>
        <v/>
      </c>
      <c r="O356" s="497" t="str">
        <f ca="1">IFERROR(IF(COUNTA($D$56:$D356)=1,"",OFFSET($C354,-COUNTA($D$56:$D356)+3,0)),"")</f>
        <v>a1H3p000009F89uEAC</v>
      </c>
      <c r="P356" s="497">
        <f t="shared" si="44"/>
        <v>0</v>
      </c>
      <c r="Q356" s="497"/>
      <c r="R356" s="497"/>
      <c r="S356" s="497"/>
      <c r="T356" s="497" t="b">
        <f t="shared" ca="1" si="41"/>
        <v>0</v>
      </c>
    </row>
    <row r="357" spans="1:20" x14ac:dyDescent="0.35">
      <c r="A357" s="497" t="b">
        <f t="shared" ca="1" si="34"/>
        <v>0</v>
      </c>
      <c r="B357" s="511"/>
      <c r="C357" s="510" t="str">
        <f t="shared" ca="1" si="35"/>
        <v>a1H3p000009F8AOEA0</v>
      </c>
      <c r="D357" s="497"/>
      <c r="E357" s="497">
        <f t="shared" ca="1" si="42"/>
        <v>5</v>
      </c>
      <c r="F357" s="512">
        <f ca="1">IFERROR(IF(COUNTA($D$56:$D357)=1,"",OFFSET($F355,-COUNTA($D$56:$D357)+3,0)),"")</f>
        <v>20</v>
      </c>
      <c r="G357" s="497"/>
      <c r="H357" s="497">
        <f t="shared" ca="1" si="43"/>
        <v>47</v>
      </c>
      <c r="I357" s="513" t="str">
        <f t="shared" ca="1" si="36"/>
        <v/>
      </c>
      <c r="J357" s="513" t="str">
        <f t="shared" ca="1" si="37"/>
        <v/>
      </c>
      <c r="K357" s="500" t="str">
        <f t="shared" ca="1" si="38"/>
        <v/>
      </c>
      <c r="L357" s="503" t="str">
        <f ca="1">IFERROR(CHOOSE(E357,'Impact Indicators - Section B '!$K$7,'Impact Indicators - Section B '!$O$7,'Impact Indicators - Section B '!$S$7,'Impact Indicators - Section B '!$W$7),"")</f>
        <v/>
      </c>
      <c r="M357" s="514" t="str">
        <f t="shared" ca="1" si="39"/>
        <v/>
      </c>
      <c r="N357" s="503" t="str">
        <f t="shared" ca="1" si="40"/>
        <v/>
      </c>
      <c r="O357" s="497" t="str">
        <f ca="1">IFERROR(IF(COUNTA($D$56:$D357)=1,"",OFFSET($C355,-COUNTA($D$56:$D357)+3,0)),"")</f>
        <v>a1H3p000009F8AOEA0</v>
      </c>
      <c r="P357" s="497">
        <f t="shared" si="44"/>
        <v>0</v>
      </c>
      <c r="Q357" s="497"/>
      <c r="R357" s="497"/>
      <c r="S357" s="497"/>
      <c r="T357" s="497" t="b">
        <f t="shared" ca="1" si="41"/>
        <v>0</v>
      </c>
    </row>
    <row r="358" spans="1:20" x14ac:dyDescent="0.35">
      <c r="A358" s="497" t="b">
        <f t="shared" ca="1" si="34"/>
        <v>0</v>
      </c>
      <c r="B358" s="511"/>
      <c r="C358" s="510" t="str">
        <f t="shared" ca="1" si="35"/>
        <v>a1H3p000009F8AsEAK</v>
      </c>
      <c r="D358" s="497"/>
      <c r="E358" s="497">
        <f t="shared" ca="1" si="42"/>
        <v>6</v>
      </c>
      <c r="F358" s="512">
        <f ca="1">IFERROR(IF(COUNTA($D$56:$D358)=1,"",OFFSET($F356,-COUNTA($D$56:$D358)+3,0)),"")</f>
        <v>20</v>
      </c>
      <c r="G358" s="497"/>
      <c r="H358" s="497">
        <f t="shared" ca="1" si="43"/>
        <v>47</v>
      </c>
      <c r="I358" s="513" t="str">
        <f t="shared" ca="1" si="36"/>
        <v/>
      </c>
      <c r="J358" s="513" t="str">
        <f t="shared" ca="1" si="37"/>
        <v/>
      </c>
      <c r="K358" s="500" t="str">
        <f t="shared" ca="1" si="38"/>
        <v/>
      </c>
      <c r="L358" s="503" t="str">
        <f ca="1">IFERROR(CHOOSE(E358,'Impact Indicators - Section B '!$K$7,'Impact Indicators - Section B '!$O$7,'Impact Indicators - Section B '!$S$7,'Impact Indicators - Section B '!$W$7),"")</f>
        <v/>
      </c>
      <c r="M358" s="514" t="str">
        <f t="shared" ca="1" si="39"/>
        <v/>
      </c>
      <c r="N358" s="503" t="str">
        <f t="shared" ca="1" si="40"/>
        <v/>
      </c>
      <c r="O358" s="497" t="str">
        <f ca="1">IFERROR(IF(COUNTA($D$56:$D358)=1,"",OFFSET($C356,-COUNTA($D$56:$D358)+3,0)),"")</f>
        <v>a1H3p000009F8AsEAK</v>
      </c>
      <c r="P358" s="497">
        <f t="shared" si="44"/>
        <v>0</v>
      </c>
      <c r="Q358" s="497"/>
      <c r="R358" s="497"/>
      <c r="S358" s="497"/>
      <c r="T358" s="497" t="b">
        <f t="shared" ca="1" si="41"/>
        <v>0</v>
      </c>
    </row>
    <row r="359" spans="1:20" x14ac:dyDescent="0.35">
      <c r="A359" s="497" t="b">
        <f t="shared" ca="1" si="34"/>
        <v>0</v>
      </c>
      <c r="B359" s="511"/>
      <c r="C359" s="510" t="str">
        <f t="shared" ca="1" si="35"/>
        <v>a1H3p000009F88TEAS</v>
      </c>
      <c r="D359" s="497"/>
      <c r="E359" s="497">
        <f t="shared" ca="1" si="42"/>
        <v>1</v>
      </c>
      <c r="F359" s="512">
        <f ca="1">IFERROR(IF(COUNTA($D$56:$D359)=1,"",OFFSET($F357,-COUNTA($D$56:$D359)+3,0)),"")</f>
        <v>21</v>
      </c>
      <c r="G359" s="497"/>
      <c r="H359" s="497">
        <f t="shared" ca="1" si="43"/>
        <v>49</v>
      </c>
      <c r="I359" s="513" t="str">
        <f t="shared" ca="1" si="36"/>
        <v/>
      </c>
      <c r="J359" s="513" t="str">
        <f t="shared" ca="1" si="37"/>
        <v/>
      </c>
      <c r="K359" s="500" t="str">
        <f t="shared" ca="1" si="38"/>
        <v/>
      </c>
      <c r="L359" s="503">
        <f ca="1">IFERROR(CHOOSE(E359,'Impact Indicators - Section B '!$K$7,'Impact Indicators - Section B '!$O$7,'Impact Indicators - Section B '!$S$7,'Impact Indicators - Section B '!$W$7),"")</f>
        <v>2022</v>
      </c>
      <c r="M359" s="514" t="str">
        <f t="shared" ca="1" si="39"/>
        <v/>
      </c>
      <c r="N359" s="503" t="str">
        <f t="shared" ca="1" si="40"/>
        <v/>
      </c>
      <c r="O359" s="497" t="str">
        <f ca="1">IFERROR(IF(COUNTA($D$56:$D359)=1,"",OFFSET($C357,-COUNTA($D$56:$D359)+3,0)),"")</f>
        <v>a1H3p000009F88TEAS</v>
      </c>
      <c r="P359" s="497">
        <f t="shared" si="44"/>
        <v>0</v>
      </c>
      <c r="Q359" s="497"/>
      <c r="R359" s="497"/>
      <c r="S359" s="497"/>
      <c r="T359" s="497" t="b">
        <f t="shared" ca="1" si="41"/>
        <v>0</v>
      </c>
    </row>
    <row r="360" spans="1:20" x14ac:dyDescent="0.35">
      <c r="A360" s="497" t="b">
        <f t="shared" ca="1" si="34"/>
        <v>0</v>
      </c>
      <c r="B360" s="511"/>
      <c r="C360" s="510" t="str">
        <f t="shared" ca="1" si="35"/>
        <v>a1H3p000009F88xEAC</v>
      </c>
      <c r="D360" s="497"/>
      <c r="E360" s="497">
        <f t="shared" ca="1" si="42"/>
        <v>2</v>
      </c>
      <c r="F360" s="512">
        <f ca="1">IFERROR(IF(COUNTA($D$56:$D360)=1,"",OFFSET($F358,-COUNTA($D$56:$D360)+3,0)),"")</f>
        <v>21</v>
      </c>
      <c r="G360" s="497"/>
      <c r="H360" s="497">
        <f t="shared" ca="1" si="43"/>
        <v>49</v>
      </c>
      <c r="I360" s="513" t="str">
        <f t="shared" ca="1" si="36"/>
        <v/>
      </c>
      <c r="J360" s="513" t="str">
        <f t="shared" ca="1" si="37"/>
        <v/>
      </c>
      <c r="K360" s="500" t="str">
        <f t="shared" ca="1" si="38"/>
        <v/>
      </c>
      <c r="L360" s="503">
        <f ca="1">IFERROR(CHOOSE(E360,'Impact Indicators - Section B '!$K$7,'Impact Indicators - Section B '!$O$7,'Impact Indicators - Section B '!$S$7,'Impact Indicators - Section B '!$W$7),"")</f>
        <v>2023</v>
      </c>
      <c r="M360" s="514" t="str">
        <f t="shared" ca="1" si="39"/>
        <v/>
      </c>
      <c r="N360" s="503" t="str">
        <f t="shared" ca="1" si="40"/>
        <v/>
      </c>
      <c r="O360" s="497" t="str">
        <f ca="1">IFERROR(IF(COUNTA($D$56:$D360)=1,"",OFFSET($C358,-COUNTA($D$56:$D360)+3,0)),"")</f>
        <v>a1H3p000009F88xEAC</v>
      </c>
      <c r="P360" s="497">
        <f t="shared" si="44"/>
        <v>0</v>
      </c>
      <c r="Q360" s="497"/>
      <c r="R360" s="497"/>
      <c r="S360" s="497"/>
      <c r="T360" s="497" t="b">
        <f t="shared" ca="1" si="41"/>
        <v>0</v>
      </c>
    </row>
    <row r="361" spans="1:20" x14ac:dyDescent="0.35">
      <c r="A361" s="497" t="b">
        <f t="shared" ca="1" si="34"/>
        <v>0</v>
      </c>
      <c r="B361" s="511"/>
      <c r="C361" s="510" t="str">
        <f t="shared" ca="1" si="35"/>
        <v>a1H3p000009F89REAS</v>
      </c>
      <c r="D361" s="497"/>
      <c r="E361" s="497">
        <f t="shared" ca="1" si="42"/>
        <v>3</v>
      </c>
      <c r="F361" s="512">
        <f ca="1">IFERROR(IF(COUNTA($D$56:$D361)=1,"",OFFSET($F359,-COUNTA($D$56:$D361)+3,0)),"")</f>
        <v>21</v>
      </c>
      <c r="G361" s="497"/>
      <c r="H361" s="497">
        <f t="shared" ca="1" si="43"/>
        <v>49</v>
      </c>
      <c r="I361" s="513" t="str">
        <f t="shared" ca="1" si="36"/>
        <v/>
      </c>
      <c r="J361" s="513" t="str">
        <f t="shared" ca="1" si="37"/>
        <v/>
      </c>
      <c r="K361" s="500" t="str">
        <f t="shared" ca="1" si="38"/>
        <v/>
      </c>
      <c r="L361" s="503">
        <f ca="1">IFERROR(CHOOSE(E361,'Impact Indicators - Section B '!$K$7,'Impact Indicators - Section B '!$O$7,'Impact Indicators - Section B '!$S$7,'Impact Indicators - Section B '!$W$7),"")</f>
        <v>2024</v>
      </c>
      <c r="M361" s="514" t="str">
        <f t="shared" ca="1" si="39"/>
        <v/>
      </c>
      <c r="N361" s="503" t="str">
        <f t="shared" ca="1" si="40"/>
        <v/>
      </c>
      <c r="O361" s="497" t="str">
        <f ca="1">IFERROR(IF(COUNTA($D$56:$D361)=1,"",OFFSET($C359,-COUNTA($D$56:$D361)+3,0)),"")</f>
        <v>a1H3p000009F89REAS</v>
      </c>
      <c r="P361" s="497">
        <f t="shared" si="44"/>
        <v>0</v>
      </c>
      <c r="Q361" s="497"/>
      <c r="R361" s="497"/>
      <c r="S361" s="497"/>
      <c r="T361" s="497" t="b">
        <f t="shared" ca="1" si="41"/>
        <v>0</v>
      </c>
    </row>
    <row r="362" spans="1:20" x14ac:dyDescent="0.35">
      <c r="A362" s="497" t="b">
        <f t="shared" ca="1" si="34"/>
        <v>0</v>
      </c>
      <c r="B362" s="511"/>
      <c r="C362" s="510" t="str">
        <f t="shared" ca="1" si="35"/>
        <v>a1H3p000009F89vEAC</v>
      </c>
      <c r="D362" s="497"/>
      <c r="E362" s="497">
        <f t="shared" ca="1" si="42"/>
        <v>4</v>
      </c>
      <c r="F362" s="512">
        <f ca="1">IFERROR(IF(COUNTA($D$56:$D362)=1,"",OFFSET($F360,-COUNTA($D$56:$D362)+3,0)),"")</f>
        <v>21</v>
      </c>
      <c r="G362" s="497"/>
      <c r="H362" s="497">
        <f t="shared" ca="1" si="43"/>
        <v>49</v>
      </c>
      <c r="I362" s="513" t="str">
        <f t="shared" ca="1" si="36"/>
        <v/>
      </c>
      <c r="J362" s="513" t="str">
        <f t="shared" ca="1" si="37"/>
        <v/>
      </c>
      <c r="K362" s="500" t="str">
        <f t="shared" ca="1" si="38"/>
        <v/>
      </c>
      <c r="L362" s="503" t="str">
        <f ca="1">IFERROR(CHOOSE(E362,'Impact Indicators - Section B '!$K$7,'Impact Indicators - Section B '!$O$7,'Impact Indicators - Section B '!$S$7,'Impact Indicators - Section B '!$W$7),"")</f>
        <v/>
      </c>
      <c r="M362" s="514" t="str">
        <f t="shared" ca="1" si="39"/>
        <v/>
      </c>
      <c r="N362" s="503" t="str">
        <f t="shared" ca="1" si="40"/>
        <v/>
      </c>
      <c r="O362" s="497" t="str">
        <f ca="1">IFERROR(IF(COUNTA($D$56:$D362)=1,"",OFFSET($C360,-COUNTA($D$56:$D362)+3,0)),"")</f>
        <v>a1H3p000009F89vEAC</v>
      </c>
      <c r="P362" s="497">
        <f t="shared" si="44"/>
        <v>0</v>
      </c>
      <c r="Q362" s="497"/>
      <c r="R362" s="497"/>
      <c r="S362" s="497"/>
      <c r="T362" s="497" t="b">
        <f t="shared" ca="1" si="41"/>
        <v>0</v>
      </c>
    </row>
    <row r="363" spans="1:20" x14ac:dyDescent="0.35">
      <c r="A363" s="497" t="b">
        <f t="shared" ca="1" si="34"/>
        <v>0</v>
      </c>
      <c r="B363" s="511"/>
      <c r="C363" s="510" t="str">
        <f t="shared" ca="1" si="35"/>
        <v>a1H3p000009F8APEA0</v>
      </c>
      <c r="D363" s="497"/>
      <c r="E363" s="497">
        <f t="shared" ca="1" si="42"/>
        <v>5</v>
      </c>
      <c r="F363" s="512">
        <f ca="1">IFERROR(IF(COUNTA($D$56:$D363)=1,"",OFFSET($F361,-COUNTA($D$56:$D363)+3,0)),"")</f>
        <v>21</v>
      </c>
      <c r="G363" s="497"/>
      <c r="H363" s="497">
        <f t="shared" ca="1" si="43"/>
        <v>49</v>
      </c>
      <c r="I363" s="513" t="str">
        <f t="shared" ca="1" si="36"/>
        <v/>
      </c>
      <c r="J363" s="513" t="str">
        <f t="shared" ca="1" si="37"/>
        <v/>
      </c>
      <c r="K363" s="500" t="str">
        <f t="shared" ca="1" si="38"/>
        <v/>
      </c>
      <c r="L363" s="503" t="str">
        <f ca="1">IFERROR(CHOOSE(E363,'Impact Indicators - Section B '!$K$7,'Impact Indicators - Section B '!$O$7,'Impact Indicators - Section B '!$S$7,'Impact Indicators - Section B '!$W$7),"")</f>
        <v/>
      </c>
      <c r="M363" s="514" t="str">
        <f t="shared" ca="1" si="39"/>
        <v/>
      </c>
      <c r="N363" s="503" t="str">
        <f t="shared" ca="1" si="40"/>
        <v/>
      </c>
      <c r="O363" s="497" t="str">
        <f ca="1">IFERROR(IF(COUNTA($D$56:$D363)=1,"",OFFSET($C361,-COUNTA($D$56:$D363)+3,0)),"")</f>
        <v>a1H3p000009F8APEA0</v>
      </c>
      <c r="P363" s="497">
        <f t="shared" si="44"/>
        <v>0</v>
      </c>
      <c r="Q363" s="497"/>
      <c r="R363" s="497"/>
      <c r="S363" s="497"/>
      <c r="T363" s="497" t="b">
        <f t="shared" ca="1" si="41"/>
        <v>0</v>
      </c>
    </row>
    <row r="364" spans="1:20" x14ac:dyDescent="0.35">
      <c r="A364" s="497" t="b">
        <f t="shared" ca="1" si="34"/>
        <v>0</v>
      </c>
      <c r="B364" s="511"/>
      <c r="C364" s="510" t="str">
        <f t="shared" ca="1" si="35"/>
        <v>a1H3p000009F8AtEAK</v>
      </c>
      <c r="D364" s="497"/>
      <c r="E364" s="497">
        <f t="shared" ca="1" si="42"/>
        <v>6</v>
      </c>
      <c r="F364" s="512">
        <f ca="1">IFERROR(IF(COUNTA($D$56:$D364)=1,"",OFFSET($F362,-COUNTA($D$56:$D364)+3,0)),"")</f>
        <v>21</v>
      </c>
      <c r="G364" s="497"/>
      <c r="H364" s="497">
        <f t="shared" ca="1" si="43"/>
        <v>49</v>
      </c>
      <c r="I364" s="513" t="str">
        <f t="shared" ca="1" si="36"/>
        <v/>
      </c>
      <c r="J364" s="513" t="str">
        <f t="shared" ca="1" si="37"/>
        <v/>
      </c>
      <c r="K364" s="500" t="str">
        <f t="shared" ca="1" si="38"/>
        <v/>
      </c>
      <c r="L364" s="503" t="str">
        <f ca="1">IFERROR(CHOOSE(E364,'Impact Indicators - Section B '!$K$7,'Impact Indicators - Section B '!$O$7,'Impact Indicators - Section B '!$S$7,'Impact Indicators - Section B '!$W$7),"")</f>
        <v/>
      </c>
      <c r="M364" s="514" t="str">
        <f t="shared" ca="1" si="39"/>
        <v/>
      </c>
      <c r="N364" s="503" t="str">
        <f t="shared" ca="1" si="40"/>
        <v/>
      </c>
      <c r="O364" s="497" t="str">
        <f ca="1">IFERROR(IF(COUNTA($D$56:$D364)=1,"",OFFSET($C362,-COUNTA($D$56:$D364)+3,0)),"")</f>
        <v>a1H3p000009F8AtEAK</v>
      </c>
      <c r="P364" s="497">
        <f t="shared" si="44"/>
        <v>0</v>
      </c>
      <c r="Q364" s="497"/>
      <c r="R364" s="497"/>
      <c r="S364" s="497"/>
      <c r="T364" s="497" t="b">
        <f t="shared" ca="1" si="41"/>
        <v>0</v>
      </c>
    </row>
    <row r="365" spans="1:20" x14ac:dyDescent="0.35">
      <c r="A365" s="497" t="b">
        <f t="shared" ca="1" si="34"/>
        <v>0</v>
      </c>
      <c r="B365" s="511"/>
      <c r="C365" s="510" t="str">
        <f t="shared" ca="1" si="35"/>
        <v>a1H3p000009F88UEAS</v>
      </c>
      <c r="D365" s="497"/>
      <c r="E365" s="497">
        <f t="shared" ca="1" si="42"/>
        <v>1</v>
      </c>
      <c r="F365" s="512">
        <f ca="1">IFERROR(IF(COUNTA($D$56:$D365)=1,"",OFFSET($F363,-COUNTA($D$56:$D365)+3,0)),"")</f>
        <v>22</v>
      </c>
      <c r="G365" s="497"/>
      <c r="H365" s="497">
        <f t="shared" ca="1" si="43"/>
        <v>51</v>
      </c>
      <c r="I365" s="513" t="str">
        <f t="shared" ca="1" si="36"/>
        <v/>
      </c>
      <c r="J365" s="513" t="str">
        <f t="shared" ca="1" si="37"/>
        <v/>
      </c>
      <c r="K365" s="500" t="str">
        <f t="shared" ca="1" si="38"/>
        <v/>
      </c>
      <c r="L365" s="503">
        <f ca="1">IFERROR(CHOOSE(E365,'Impact Indicators - Section B '!$K$7,'Impact Indicators - Section B '!$O$7,'Impact Indicators - Section B '!$S$7,'Impact Indicators - Section B '!$W$7),"")</f>
        <v>2022</v>
      </c>
      <c r="M365" s="514" t="str">
        <f t="shared" ca="1" si="39"/>
        <v/>
      </c>
      <c r="N365" s="503" t="str">
        <f t="shared" ca="1" si="40"/>
        <v/>
      </c>
      <c r="O365" s="497" t="str">
        <f ca="1">IFERROR(IF(COUNTA($D$56:$D365)=1,"",OFFSET($C363,-COUNTA($D$56:$D365)+3,0)),"")</f>
        <v>a1H3p000009F88UEAS</v>
      </c>
      <c r="P365" s="497">
        <f t="shared" si="44"/>
        <v>0</v>
      </c>
      <c r="Q365" s="497"/>
      <c r="R365" s="497"/>
      <c r="S365" s="497"/>
      <c r="T365" s="497" t="b">
        <f t="shared" ca="1" si="41"/>
        <v>0</v>
      </c>
    </row>
    <row r="366" spans="1:20" x14ac:dyDescent="0.35">
      <c r="A366" s="497" t="b">
        <f t="shared" ca="1" si="34"/>
        <v>0</v>
      </c>
      <c r="B366" s="511"/>
      <c r="C366" s="510" t="str">
        <f t="shared" ca="1" si="35"/>
        <v>a1H3p000009F88yEAC</v>
      </c>
      <c r="D366" s="497"/>
      <c r="E366" s="497">
        <f t="shared" ca="1" si="42"/>
        <v>2</v>
      </c>
      <c r="F366" s="512">
        <f ca="1">IFERROR(IF(COUNTA($D$56:$D366)=1,"",OFFSET($F364,-COUNTA($D$56:$D366)+3,0)),"")</f>
        <v>22</v>
      </c>
      <c r="G366" s="497"/>
      <c r="H366" s="497">
        <f t="shared" ca="1" si="43"/>
        <v>51</v>
      </c>
      <c r="I366" s="513" t="str">
        <f t="shared" ca="1" si="36"/>
        <v/>
      </c>
      <c r="J366" s="513" t="str">
        <f t="shared" ca="1" si="37"/>
        <v/>
      </c>
      <c r="K366" s="500" t="str">
        <f t="shared" ca="1" si="38"/>
        <v/>
      </c>
      <c r="L366" s="503">
        <f ca="1">IFERROR(CHOOSE(E366,'Impact Indicators - Section B '!$K$7,'Impact Indicators - Section B '!$O$7,'Impact Indicators - Section B '!$S$7,'Impact Indicators - Section B '!$W$7),"")</f>
        <v>2023</v>
      </c>
      <c r="M366" s="514" t="str">
        <f t="shared" ca="1" si="39"/>
        <v/>
      </c>
      <c r="N366" s="503" t="str">
        <f t="shared" ca="1" si="40"/>
        <v/>
      </c>
      <c r="O366" s="497" t="str">
        <f ca="1">IFERROR(IF(COUNTA($D$56:$D366)=1,"",OFFSET($C364,-COUNTA($D$56:$D366)+3,0)),"")</f>
        <v>a1H3p000009F88yEAC</v>
      </c>
      <c r="P366" s="497">
        <f t="shared" si="44"/>
        <v>0</v>
      </c>
      <c r="Q366" s="497"/>
      <c r="R366" s="497"/>
      <c r="S366" s="497"/>
      <c r="T366" s="497" t="b">
        <f t="shared" ca="1" si="41"/>
        <v>0</v>
      </c>
    </row>
    <row r="367" spans="1:20" x14ac:dyDescent="0.35">
      <c r="A367" s="497" t="b">
        <f t="shared" ref="A367:A418" ca="1" si="45">IF(OR(I367&lt;&gt;"",J367&lt;&gt;"",K367&lt;&gt;"",M367&lt;&gt;"",N367&lt;&gt;""),TRUE,FALSE)</f>
        <v>0</v>
      </c>
      <c r="B367" s="511"/>
      <c r="C367" s="510" t="str">
        <f t="shared" ref="C367:C418" ca="1" si="46">O367</f>
        <v>a1H3p000009F89SEAS</v>
      </c>
      <c r="D367" s="497"/>
      <c r="E367" s="497">
        <f t="shared" ca="1" si="42"/>
        <v>3</v>
      </c>
      <c r="F367" s="512">
        <f ca="1">IFERROR(IF(COUNTA($D$56:$D367)=1,"",OFFSET($F365,-COUNTA($D$56:$D367)+3,0)),"")</f>
        <v>22</v>
      </c>
      <c r="G367" s="497"/>
      <c r="H367" s="497">
        <f t="shared" ca="1" si="43"/>
        <v>51</v>
      </c>
      <c r="I367" s="513" t="str">
        <f t="shared" ref="I367:I418" ca="1" si="47">IFERROR(CHOOSE(E367,IFERROR(IF(INDIRECT("'Impact Indicators - Section B '!K"&amp;H367+1)="","",INDIRECT("'Impact Indicators - Section B '!K"&amp;H367+1)),""),IFERROR(IF(INDIRECT("'Impact Indicators - Section B '!O"&amp;H367+1)="","",INDIRECT("'Impact Indicators - Section B '!O"&amp;H367+1)),""),IFERROR(IF(INDIRECT("'Impact Indicators - Section B '!S"&amp;H367+1)="","",INDIRECT("'Impact Indicators - Section B '!S"&amp;H367+1)),""),IFERROR(IF(INDIRECT("'Impact Indicators - Section B '!W"&amp;H367+1)="","",INDIRECT("'Impact Indicators - Section B '!W"&amp;H367+1)),"")),"")</f>
        <v/>
      </c>
      <c r="J367" s="513" t="str">
        <f t="shared" ref="J367:J418" ca="1" si="48">IFERROR(CHOOSE(E367,IFERROR(IF(INDIRECT("'Impact Indicators - Section B '!K"&amp;H367)="","",INDIRECT("'Impact Indicators - Section B '!K"&amp;H367)),""),IFERROR(IF(INDIRECT("'Impact Indicators - Section B '!O"&amp;H367)="","",INDIRECT("'Impact Indicators - Section B '!O"&amp;H367)),""),IFERROR(IF(INDIRECT("'Impact Indicators - Section B '!S"&amp;H367)="","",INDIRECT("'Impact Indicators - Section B '!S"&amp;H367)),""),IFERROR(IF(INDIRECT("'Impact Indicators - Section B '!W"&amp;H367)="","",INDIRECT("'Impact Indicators - Section B '!W"&amp;H367)),"")),"")</f>
        <v/>
      </c>
      <c r="K367" s="500" t="str">
        <f t="shared" ref="K367:K418" ca="1" si="49">IFERROR(CHOOSE(E367,IFERROR(IF(INDIRECT("'Impact Indicators - Section B '!L"&amp;H367)="","",INDIRECT("'Impact Indicators - Section B '!L"&amp;H367)*100),""),IFERROR(IF(INDIRECT("'Impact Indicators - Section B '!P"&amp;H367)="","",INDIRECT("'Impact Indicators - Section B '!P"&amp;H367)*100),""),IFERROR(IF(INDIRECT("'Impact Indicators - Section B '!T"&amp;H367)="","",INDIRECT("'Impact Indicators - Section B '!T"&amp;H367)*100),""),IFERROR(IF(INDIRECT("'Impact Indicators - Section B '!X"&amp;H367)="","",INDIRECT("'Impact Indicators - Section B '!X"&amp;H367)*100),"")),"")</f>
        <v/>
      </c>
      <c r="L367" s="503">
        <f ca="1">IFERROR(CHOOSE(E367,'Impact Indicators - Section B '!$K$7,'Impact Indicators - Section B '!$O$7,'Impact Indicators - Section B '!$S$7,'Impact Indicators - Section B '!$W$7),"")</f>
        <v>2024</v>
      </c>
      <c r="M367" s="514" t="str">
        <f t="shared" ref="M367:M418" ca="1" si="50">IFERROR(CHOOSE(E367,IFERROR(IF(INDIRECT("'Impact Indicators - Section B '!M"&amp;H367)="","",INDIRECT("'Impact Indicators - Section B '!M"&amp;H367)),""),IFERROR(IF(INDIRECT("'Impact Indicators - Section B '!Q"&amp;H367)="","",INDIRECT("'Impact Indicators - Section B '!Q"&amp;H367)),""),IFERROR(IF(INDIRECT("'Impact Indicators - Section B '!U"&amp;H367)="","",INDIRECT("'Impact Indicators - Section B '!U"&amp;H367)),""),IFERROR(IF(INDIRECT("'Impact Indicators - Section B '!Y"&amp;H367)="","",INDIRECT("'Impact Indicators - Section B '!Y"&amp;H367)),"")),"")</f>
        <v/>
      </c>
      <c r="N367" s="503" t="str">
        <f t="shared" ref="N367:N418" ca="1" si="51">IFERROR(CHOOSE(E367,IFERROR(IF(INDIRECT("'Impact Indicators - Section B '!N"&amp;H367)=0,"",INDIRECT("'Impact Indicators - Section B '!N"&amp;H367)),""),IFERROR(IF(INDIRECT("'Impact Indicators - Section B '!R"&amp;H367)=0,"",INDIRECT("'Impact Indicators - Section B '!R"&amp;H367)),""),IFERROR(IF(INDIRECT("'Impact Indicators - Section B '!V"&amp;H367)=0,"",INDIRECT("'Impact Indicators - Section B '!V"&amp;H367)),""),IFERROR(IF(INDIRECT("'Impact Indicators - Section B '!Z"&amp;H367)=0,"",INDIRECT("'Impact Indicators - Section B '!Z"&amp;H367)),"")),"")</f>
        <v/>
      </c>
      <c r="O367" s="497" t="str">
        <f ca="1">IFERROR(IF(COUNTA($D$56:$D367)=1,"",OFFSET($C365,-COUNTA($D$56:$D367)+3,0)),"")</f>
        <v>a1H3p000009F89SEAS</v>
      </c>
      <c r="P367" s="497">
        <f t="shared" si="44"/>
        <v>0</v>
      </c>
      <c r="Q367" s="497"/>
      <c r="R367" s="497"/>
      <c r="S367" s="497"/>
      <c r="T367" s="497" t="b">
        <f t="shared" ref="T367:T418" ca="1" si="52">IF(A367=TRUE,TRUE,FALSE)</f>
        <v>0</v>
      </c>
    </row>
    <row r="368" spans="1:20" x14ac:dyDescent="0.35">
      <c r="A368" s="497" t="b">
        <f t="shared" ca="1" si="45"/>
        <v>0</v>
      </c>
      <c r="B368" s="511"/>
      <c r="C368" s="510" t="str">
        <f t="shared" ca="1" si="46"/>
        <v>a1H3p000009F89wEAC</v>
      </c>
      <c r="D368" s="497"/>
      <c r="E368" s="497">
        <f t="shared" ca="1" si="42"/>
        <v>4</v>
      </c>
      <c r="F368" s="512">
        <f ca="1">IFERROR(IF(COUNTA($D$56:$D368)=1,"",OFFSET($F366,-COUNTA($D$56:$D368)+3,0)),"")</f>
        <v>22</v>
      </c>
      <c r="G368" s="497"/>
      <c r="H368" s="497">
        <f t="shared" ca="1" si="43"/>
        <v>51</v>
      </c>
      <c r="I368" s="513" t="str">
        <f t="shared" ca="1" si="47"/>
        <v/>
      </c>
      <c r="J368" s="513" t="str">
        <f t="shared" ca="1" si="48"/>
        <v/>
      </c>
      <c r="K368" s="500" t="str">
        <f t="shared" ca="1" si="49"/>
        <v/>
      </c>
      <c r="L368" s="503" t="str">
        <f ca="1">IFERROR(CHOOSE(E368,'Impact Indicators - Section B '!$K$7,'Impact Indicators - Section B '!$O$7,'Impact Indicators - Section B '!$S$7,'Impact Indicators - Section B '!$W$7),"")</f>
        <v/>
      </c>
      <c r="M368" s="514" t="str">
        <f t="shared" ca="1" si="50"/>
        <v/>
      </c>
      <c r="N368" s="503" t="str">
        <f t="shared" ca="1" si="51"/>
        <v/>
      </c>
      <c r="O368" s="497" t="str">
        <f ca="1">IFERROR(IF(COUNTA($D$56:$D368)=1,"",OFFSET($C366,-COUNTA($D$56:$D368)+3,0)),"")</f>
        <v>a1H3p000009F89wEAC</v>
      </c>
      <c r="P368" s="497">
        <f t="shared" si="44"/>
        <v>0</v>
      </c>
      <c r="Q368" s="497"/>
      <c r="R368" s="497"/>
      <c r="S368" s="497"/>
      <c r="T368" s="497" t="b">
        <f t="shared" ca="1" si="52"/>
        <v>0</v>
      </c>
    </row>
    <row r="369" spans="1:20" x14ac:dyDescent="0.35">
      <c r="A369" s="497" t="b">
        <f t="shared" ca="1" si="45"/>
        <v>0</v>
      </c>
      <c r="B369" s="511"/>
      <c r="C369" s="510" t="str">
        <f t="shared" ca="1" si="46"/>
        <v>a1H3p000009F8AQEA0</v>
      </c>
      <c r="D369" s="497"/>
      <c r="E369" s="497">
        <f t="shared" ca="1" si="42"/>
        <v>5</v>
      </c>
      <c r="F369" s="512">
        <f ca="1">IFERROR(IF(COUNTA($D$56:$D369)=1,"",OFFSET($F367,-COUNTA($D$56:$D369)+3,0)),"")</f>
        <v>22</v>
      </c>
      <c r="G369" s="497"/>
      <c r="H369" s="497">
        <f t="shared" ca="1" si="43"/>
        <v>51</v>
      </c>
      <c r="I369" s="513" t="str">
        <f t="shared" ca="1" si="47"/>
        <v/>
      </c>
      <c r="J369" s="513" t="str">
        <f t="shared" ca="1" si="48"/>
        <v/>
      </c>
      <c r="K369" s="500" t="str">
        <f t="shared" ca="1" si="49"/>
        <v/>
      </c>
      <c r="L369" s="503" t="str">
        <f ca="1">IFERROR(CHOOSE(E369,'Impact Indicators - Section B '!$K$7,'Impact Indicators - Section B '!$O$7,'Impact Indicators - Section B '!$S$7,'Impact Indicators - Section B '!$W$7),"")</f>
        <v/>
      </c>
      <c r="M369" s="514" t="str">
        <f t="shared" ca="1" si="50"/>
        <v/>
      </c>
      <c r="N369" s="503" t="str">
        <f t="shared" ca="1" si="51"/>
        <v/>
      </c>
      <c r="O369" s="497" t="str">
        <f ca="1">IFERROR(IF(COUNTA($D$56:$D369)=1,"",OFFSET($C367,-COUNTA($D$56:$D369)+3,0)),"")</f>
        <v>a1H3p000009F8AQEA0</v>
      </c>
      <c r="P369" s="497">
        <f t="shared" si="44"/>
        <v>0</v>
      </c>
      <c r="Q369" s="497"/>
      <c r="R369" s="497"/>
      <c r="S369" s="497"/>
      <c r="T369" s="497" t="b">
        <f t="shared" ca="1" si="52"/>
        <v>0</v>
      </c>
    </row>
    <row r="370" spans="1:20" x14ac:dyDescent="0.35">
      <c r="A370" s="497" t="b">
        <f t="shared" ca="1" si="45"/>
        <v>0</v>
      </c>
      <c r="B370" s="511"/>
      <c r="C370" s="510" t="str">
        <f t="shared" ca="1" si="46"/>
        <v>a1H3p000009F8AuEAK</v>
      </c>
      <c r="D370" s="497"/>
      <c r="E370" s="497">
        <f t="shared" ca="1" si="42"/>
        <v>6</v>
      </c>
      <c r="F370" s="512">
        <f ca="1">IFERROR(IF(COUNTA($D$56:$D370)=1,"",OFFSET($F368,-COUNTA($D$56:$D370)+3,0)),"")</f>
        <v>22</v>
      </c>
      <c r="G370" s="497"/>
      <c r="H370" s="497">
        <f t="shared" ca="1" si="43"/>
        <v>51</v>
      </c>
      <c r="I370" s="513" t="str">
        <f t="shared" ca="1" si="47"/>
        <v/>
      </c>
      <c r="J370" s="513" t="str">
        <f t="shared" ca="1" si="48"/>
        <v/>
      </c>
      <c r="K370" s="500" t="str">
        <f t="shared" ca="1" si="49"/>
        <v/>
      </c>
      <c r="L370" s="503" t="str">
        <f ca="1">IFERROR(CHOOSE(E370,'Impact Indicators - Section B '!$K$7,'Impact Indicators - Section B '!$O$7,'Impact Indicators - Section B '!$S$7,'Impact Indicators - Section B '!$W$7),"")</f>
        <v/>
      </c>
      <c r="M370" s="514" t="str">
        <f t="shared" ca="1" si="50"/>
        <v/>
      </c>
      <c r="N370" s="503" t="str">
        <f t="shared" ca="1" si="51"/>
        <v/>
      </c>
      <c r="O370" s="497" t="str">
        <f ca="1">IFERROR(IF(COUNTA($D$56:$D370)=1,"",OFFSET($C368,-COUNTA($D$56:$D370)+3,0)),"")</f>
        <v>a1H3p000009F8AuEAK</v>
      </c>
      <c r="P370" s="497">
        <f t="shared" si="44"/>
        <v>0</v>
      </c>
      <c r="Q370" s="497"/>
      <c r="R370" s="497"/>
      <c r="S370" s="497"/>
      <c r="T370" s="497" t="b">
        <f t="shared" ca="1" si="52"/>
        <v>0</v>
      </c>
    </row>
    <row r="371" spans="1:20" x14ac:dyDescent="0.35">
      <c r="A371" s="497" t="b">
        <f t="shared" ca="1" si="45"/>
        <v>0</v>
      </c>
      <c r="B371" s="511"/>
      <c r="C371" s="510" t="str">
        <f t="shared" ca="1" si="46"/>
        <v>a1H3p000009F88VEAS</v>
      </c>
      <c r="D371" s="497"/>
      <c r="E371" s="497">
        <f t="shared" ca="1" si="42"/>
        <v>1</v>
      </c>
      <c r="F371" s="512">
        <f ca="1">IFERROR(IF(COUNTA($D$56:$D371)=1,"",OFFSET($F369,-COUNTA($D$56:$D371)+3,0)),"")</f>
        <v>23</v>
      </c>
      <c r="G371" s="497"/>
      <c r="H371" s="497">
        <f t="shared" ca="1" si="43"/>
        <v>53</v>
      </c>
      <c r="I371" s="513" t="str">
        <f t="shared" ca="1" si="47"/>
        <v/>
      </c>
      <c r="J371" s="513" t="str">
        <f t="shared" ca="1" si="48"/>
        <v/>
      </c>
      <c r="K371" s="500" t="str">
        <f t="shared" ca="1" si="49"/>
        <v/>
      </c>
      <c r="L371" s="503">
        <f ca="1">IFERROR(CHOOSE(E371,'Impact Indicators - Section B '!$K$7,'Impact Indicators - Section B '!$O$7,'Impact Indicators - Section B '!$S$7,'Impact Indicators - Section B '!$W$7),"")</f>
        <v>2022</v>
      </c>
      <c r="M371" s="514" t="str">
        <f t="shared" ca="1" si="50"/>
        <v/>
      </c>
      <c r="N371" s="503" t="str">
        <f t="shared" ca="1" si="51"/>
        <v/>
      </c>
      <c r="O371" s="497" t="str">
        <f ca="1">IFERROR(IF(COUNTA($D$56:$D371)=1,"",OFFSET($C369,-COUNTA($D$56:$D371)+3,0)),"")</f>
        <v>a1H3p000009F88VEAS</v>
      </c>
      <c r="P371" s="497">
        <f t="shared" si="44"/>
        <v>0</v>
      </c>
      <c r="Q371" s="497"/>
      <c r="R371" s="497"/>
      <c r="S371" s="497"/>
      <c r="T371" s="497" t="b">
        <f t="shared" ca="1" si="52"/>
        <v>0</v>
      </c>
    </row>
    <row r="372" spans="1:20" x14ac:dyDescent="0.35">
      <c r="A372" s="497" t="b">
        <f t="shared" ca="1" si="45"/>
        <v>0</v>
      </c>
      <c r="B372" s="511"/>
      <c r="C372" s="510" t="str">
        <f t="shared" ca="1" si="46"/>
        <v>a1H3p000009F88zEAC</v>
      </c>
      <c r="D372" s="497"/>
      <c r="E372" s="497">
        <f t="shared" ca="1" si="42"/>
        <v>2</v>
      </c>
      <c r="F372" s="512">
        <f ca="1">IFERROR(IF(COUNTA($D$56:$D372)=1,"",OFFSET($F370,-COUNTA($D$56:$D372)+3,0)),"")</f>
        <v>23</v>
      </c>
      <c r="G372" s="497"/>
      <c r="H372" s="497">
        <f t="shared" ca="1" si="43"/>
        <v>53</v>
      </c>
      <c r="I372" s="513" t="str">
        <f t="shared" ca="1" si="47"/>
        <v/>
      </c>
      <c r="J372" s="513" t="str">
        <f t="shared" ca="1" si="48"/>
        <v/>
      </c>
      <c r="K372" s="500" t="str">
        <f t="shared" ca="1" si="49"/>
        <v/>
      </c>
      <c r="L372" s="503">
        <f ca="1">IFERROR(CHOOSE(E372,'Impact Indicators - Section B '!$K$7,'Impact Indicators - Section B '!$O$7,'Impact Indicators - Section B '!$S$7,'Impact Indicators - Section B '!$W$7),"")</f>
        <v>2023</v>
      </c>
      <c r="M372" s="514" t="str">
        <f t="shared" ca="1" si="50"/>
        <v/>
      </c>
      <c r="N372" s="503" t="str">
        <f t="shared" ca="1" si="51"/>
        <v/>
      </c>
      <c r="O372" s="497" t="str">
        <f ca="1">IFERROR(IF(COUNTA($D$56:$D372)=1,"",OFFSET($C370,-COUNTA($D$56:$D372)+3,0)),"")</f>
        <v>a1H3p000009F88zEAC</v>
      </c>
      <c r="P372" s="497">
        <f t="shared" si="44"/>
        <v>0</v>
      </c>
      <c r="Q372" s="497"/>
      <c r="R372" s="497"/>
      <c r="S372" s="497"/>
      <c r="T372" s="497" t="b">
        <f t="shared" ca="1" si="52"/>
        <v>0</v>
      </c>
    </row>
    <row r="373" spans="1:20" x14ac:dyDescent="0.35">
      <c r="A373" s="497" t="b">
        <f t="shared" ca="1" si="45"/>
        <v>0</v>
      </c>
      <c r="B373" s="511"/>
      <c r="C373" s="510" t="str">
        <f t="shared" ca="1" si="46"/>
        <v>a1H3p000009F89TEAS</v>
      </c>
      <c r="D373" s="497"/>
      <c r="E373" s="497">
        <f t="shared" ca="1" si="42"/>
        <v>3</v>
      </c>
      <c r="F373" s="512">
        <f ca="1">IFERROR(IF(COUNTA($D$56:$D373)=1,"",OFFSET($F371,-COUNTA($D$56:$D373)+3,0)),"")</f>
        <v>23</v>
      </c>
      <c r="G373" s="497"/>
      <c r="H373" s="497">
        <f t="shared" ca="1" si="43"/>
        <v>53</v>
      </c>
      <c r="I373" s="513" t="str">
        <f t="shared" ca="1" si="47"/>
        <v/>
      </c>
      <c r="J373" s="513" t="str">
        <f t="shared" ca="1" si="48"/>
        <v/>
      </c>
      <c r="K373" s="500" t="str">
        <f t="shared" ca="1" si="49"/>
        <v/>
      </c>
      <c r="L373" s="503">
        <f ca="1">IFERROR(CHOOSE(E373,'Impact Indicators - Section B '!$K$7,'Impact Indicators - Section B '!$O$7,'Impact Indicators - Section B '!$S$7,'Impact Indicators - Section B '!$W$7),"")</f>
        <v>2024</v>
      </c>
      <c r="M373" s="514" t="str">
        <f t="shared" ca="1" si="50"/>
        <v/>
      </c>
      <c r="N373" s="503" t="str">
        <f t="shared" ca="1" si="51"/>
        <v/>
      </c>
      <c r="O373" s="497" t="str">
        <f ca="1">IFERROR(IF(COUNTA($D$56:$D373)=1,"",OFFSET($C371,-COUNTA($D$56:$D373)+3,0)),"")</f>
        <v>a1H3p000009F89TEAS</v>
      </c>
      <c r="P373" s="497">
        <f t="shared" si="44"/>
        <v>0</v>
      </c>
      <c r="Q373" s="497"/>
      <c r="R373" s="497"/>
      <c r="S373" s="497"/>
      <c r="T373" s="497" t="b">
        <f t="shared" ca="1" si="52"/>
        <v>0</v>
      </c>
    </row>
    <row r="374" spans="1:20" x14ac:dyDescent="0.35">
      <c r="A374" s="497" t="b">
        <f t="shared" ca="1" si="45"/>
        <v>0</v>
      </c>
      <c r="B374" s="511"/>
      <c r="C374" s="510" t="str">
        <f t="shared" ca="1" si="46"/>
        <v>a1H3p000009F89xEAC</v>
      </c>
      <c r="D374" s="497"/>
      <c r="E374" s="497">
        <f t="shared" ca="1" si="42"/>
        <v>4</v>
      </c>
      <c r="F374" s="512">
        <f ca="1">IFERROR(IF(COUNTA($D$56:$D374)=1,"",OFFSET($F372,-COUNTA($D$56:$D374)+3,0)),"")</f>
        <v>23</v>
      </c>
      <c r="G374" s="497"/>
      <c r="H374" s="497">
        <f t="shared" ca="1" si="43"/>
        <v>53</v>
      </c>
      <c r="I374" s="513" t="str">
        <f t="shared" ca="1" si="47"/>
        <v/>
      </c>
      <c r="J374" s="513" t="str">
        <f t="shared" ca="1" si="48"/>
        <v/>
      </c>
      <c r="K374" s="500" t="str">
        <f t="shared" ca="1" si="49"/>
        <v/>
      </c>
      <c r="L374" s="503" t="str">
        <f ca="1">IFERROR(CHOOSE(E374,'Impact Indicators - Section B '!$K$7,'Impact Indicators - Section B '!$O$7,'Impact Indicators - Section B '!$S$7,'Impact Indicators - Section B '!$W$7),"")</f>
        <v/>
      </c>
      <c r="M374" s="514" t="str">
        <f t="shared" ca="1" si="50"/>
        <v/>
      </c>
      <c r="N374" s="503" t="str">
        <f t="shared" ca="1" si="51"/>
        <v/>
      </c>
      <c r="O374" s="497" t="str">
        <f ca="1">IFERROR(IF(COUNTA($D$56:$D374)=1,"",OFFSET($C372,-COUNTA($D$56:$D374)+3,0)),"")</f>
        <v>a1H3p000009F89xEAC</v>
      </c>
      <c r="P374" s="497">
        <f t="shared" si="44"/>
        <v>0</v>
      </c>
      <c r="Q374" s="497"/>
      <c r="R374" s="497"/>
      <c r="S374" s="497"/>
      <c r="T374" s="497" t="b">
        <f t="shared" ca="1" si="52"/>
        <v>0</v>
      </c>
    </row>
    <row r="375" spans="1:20" x14ac:dyDescent="0.35">
      <c r="A375" s="497" t="b">
        <f t="shared" ca="1" si="45"/>
        <v>0</v>
      </c>
      <c r="B375" s="511"/>
      <c r="C375" s="510" t="str">
        <f t="shared" ca="1" si="46"/>
        <v>a1H3p000009F8AREA0</v>
      </c>
      <c r="D375" s="497"/>
      <c r="E375" s="497">
        <f t="shared" ca="1" si="42"/>
        <v>5</v>
      </c>
      <c r="F375" s="512">
        <f ca="1">IFERROR(IF(COUNTA($D$56:$D375)=1,"",OFFSET($F373,-COUNTA($D$56:$D375)+3,0)),"")</f>
        <v>23</v>
      </c>
      <c r="G375" s="497"/>
      <c r="H375" s="497">
        <f t="shared" ca="1" si="43"/>
        <v>53</v>
      </c>
      <c r="I375" s="513" t="str">
        <f t="shared" ca="1" si="47"/>
        <v/>
      </c>
      <c r="J375" s="513" t="str">
        <f t="shared" ca="1" si="48"/>
        <v/>
      </c>
      <c r="K375" s="500" t="str">
        <f t="shared" ca="1" si="49"/>
        <v/>
      </c>
      <c r="L375" s="503" t="str">
        <f ca="1">IFERROR(CHOOSE(E375,'Impact Indicators - Section B '!$K$7,'Impact Indicators - Section B '!$O$7,'Impact Indicators - Section B '!$S$7,'Impact Indicators - Section B '!$W$7),"")</f>
        <v/>
      </c>
      <c r="M375" s="514" t="str">
        <f t="shared" ca="1" si="50"/>
        <v/>
      </c>
      <c r="N375" s="503" t="str">
        <f t="shared" ca="1" si="51"/>
        <v/>
      </c>
      <c r="O375" s="497" t="str">
        <f ca="1">IFERROR(IF(COUNTA($D$56:$D375)=1,"",OFFSET($C373,-COUNTA($D$56:$D375)+3,0)),"")</f>
        <v>a1H3p000009F8AREA0</v>
      </c>
      <c r="P375" s="497">
        <f t="shared" si="44"/>
        <v>0</v>
      </c>
      <c r="Q375" s="497"/>
      <c r="R375" s="497"/>
      <c r="S375" s="497"/>
      <c r="T375" s="497" t="b">
        <f t="shared" ca="1" si="52"/>
        <v>0</v>
      </c>
    </row>
    <row r="376" spans="1:20" x14ac:dyDescent="0.35">
      <c r="A376" s="497" t="b">
        <f t="shared" ca="1" si="45"/>
        <v>0</v>
      </c>
      <c r="B376" s="511"/>
      <c r="C376" s="510" t="str">
        <f t="shared" ca="1" si="46"/>
        <v>a1H3p000009F8AvEAK</v>
      </c>
      <c r="D376" s="497"/>
      <c r="E376" s="497">
        <f t="shared" ca="1" si="42"/>
        <v>6</v>
      </c>
      <c r="F376" s="512">
        <f ca="1">IFERROR(IF(COUNTA($D$56:$D376)=1,"",OFFSET($F374,-COUNTA($D$56:$D376)+3,0)),"")</f>
        <v>23</v>
      </c>
      <c r="G376" s="497"/>
      <c r="H376" s="497">
        <f t="shared" ca="1" si="43"/>
        <v>53</v>
      </c>
      <c r="I376" s="513" t="str">
        <f t="shared" ca="1" si="47"/>
        <v/>
      </c>
      <c r="J376" s="513" t="str">
        <f t="shared" ca="1" si="48"/>
        <v/>
      </c>
      <c r="K376" s="500" t="str">
        <f t="shared" ca="1" si="49"/>
        <v/>
      </c>
      <c r="L376" s="503" t="str">
        <f ca="1">IFERROR(CHOOSE(E376,'Impact Indicators - Section B '!$K$7,'Impact Indicators - Section B '!$O$7,'Impact Indicators - Section B '!$S$7,'Impact Indicators - Section B '!$W$7),"")</f>
        <v/>
      </c>
      <c r="M376" s="514" t="str">
        <f t="shared" ca="1" si="50"/>
        <v/>
      </c>
      <c r="N376" s="503" t="str">
        <f t="shared" ca="1" si="51"/>
        <v/>
      </c>
      <c r="O376" s="497" t="str">
        <f ca="1">IFERROR(IF(COUNTA($D$56:$D376)=1,"",OFFSET($C374,-COUNTA($D$56:$D376)+3,0)),"")</f>
        <v>a1H3p000009F8AvEAK</v>
      </c>
      <c r="P376" s="497">
        <f t="shared" si="44"/>
        <v>0</v>
      </c>
      <c r="Q376" s="497"/>
      <c r="R376" s="497"/>
      <c r="S376" s="497"/>
      <c r="T376" s="497" t="b">
        <f t="shared" ca="1" si="52"/>
        <v>0</v>
      </c>
    </row>
    <row r="377" spans="1:20" x14ac:dyDescent="0.35">
      <c r="A377" s="497" t="b">
        <f t="shared" ca="1" si="45"/>
        <v>0</v>
      </c>
      <c r="B377" s="511"/>
      <c r="C377" s="510" t="str">
        <f t="shared" ca="1" si="46"/>
        <v>a1H3p000009F88WEAS</v>
      </c>
      <c r="D377" s="497"/>
      <c r="E377" s="497">
        <f t="shared" ca="1" si="42"/>
        <v>1</v>
      </c>
      <c r="F377" s="512">
        <f ca="1">IFERROR(IF(COUNTA($D$56:$D377)=1,"",OFFSET($F375,-COUNTA($D$56:$D377)+3,0)),"")</f>
        <v>24</v>
      </c>
      <c r="G377" s="497"/>
      <c r="H377" s="497">
        <f t="shared" ca="1" si="43"/>
        <v>55</v>
      </c>
      <c r="I377" s="513" t="str">
        <f t="shared" ca="1" si="47"/>
        <v/>
      </c>
      <c r="J377" s="513" t="str">
        <f t="shared" ca="1" si="48"/>
        <v/>
      </c>
      <c r="K377" s="500" t="str">
        <f t="shared" ca="1" si="49"/>
        <v/>
      </c>
      <c r="L377" s="503">
        <f ca="1">IFERROR(CHOOSE(E377,'Impact Indicators - Section B '!$K$7,'Impact Indicators - Section B '!$O$7,'Impact Indicators - Section B '!$S$7,'Impact Indicators - Section B '!$W$7),"")</f>
        <v>2022</v>
      </c>
      <c r="M377" s="514" t="str">
        <f t="shared" ca="1" si="50"/>
        <v/>
      </c>
      <c r="N377" s="503" t="str">
        <f t="shared" ca="1" si="51"/>
        <v/>
      </c>
      <c r="O377" s="497" t="str">
        <f ca="1">IFERROR(IF(COUNTA($D$56:$D377)=1,"",OFFSET($C375,-COUNTA($D$56:$D377)+3,0)),"")</f>
        <v>a1H3p000009F88WEAS</v>
      </c>
      <c r="P377" s="497">
        <f t="shared" si="44"/>
        <v>0</v>
      </c>
      <c r="Q377" s="497"/>
      <c r="R377" s="497"/>
      <c r="S377" s="497"/>
      <c r="T377" s="497" t="b">
        <f t="shared" ca="1" si="52"/>
        <v>0</v>
      </c>
    </row>
    <row r="378" spans="1:20" x14ac:dyDescent="0.35">
      <c r="A378" s="497" t="b">
        <f t="shared" ca="1" si="45"/>
        <v>0</v>
      </c>
      <c r="B378" s="511"/>
      <c r="C378" s="510" t="str">
        <f t="shared" ca="1" si="46"/>
        <v>a1H3p000009F890EAC</v>
      </c>
      <c r="D378" s="497"/>
      <c r="E378" s="497">
        <f t="shared" ca="1" si="42"/>
        <v>2</v>
      </c>
      <c r="F378" s="512">
        <f ca="1">IFERROR(IF(COUNTA($D$56:$D378)=1,"",OFFSET($F376,-COUNTA($D$56:$D378)+3,0)),"")</f>
        <v>24</v>
      </c>
      <c r="G378" s="497"/>
      <c r="H378" s="497">
        <f t="shared" ca="1" si="43"/>
        <v>55</v>
      </c>
      <c r="I378" s="513" t="str">
        <f t="shared" ca="1" si="47"/>
        <v/>
      </c>
      <c r="J378" s="513" t="str">
        <f t="shared" ca="1" si="48"/>
        <v/>
      </c>
      <c r="K378" s="500" t="str">
        <f t="shared" ca="1" si="49"/>
        <v/>
      </c>
      <c r="L378" s="503">
        <f ca="1">IFERROR(CHOOSE(E378,'Impact Indicators - Section B '!$K$7,'Impact Indicators - Section B '!$O$7,'Impact Indicators - Section B '!$S$7,'Impact Indicators - Section B '!$W$7),"")</f>
        <v>2023</v>
      </c>
      <c r="M378" s="514" t="str">
        <f t="shared" ca="1" si="50"/>
        <v/>
      </c>
      <c r="N378" s="503" t="str">
        <f t="shared" ca="1" si="51"/>
        <v/>
      </c>
      <c r="O378" s="497" t="str">
        <f ca="1">IFERROR(IF(COUNTA($D$56:$D378)=1,"",OFFSET($C376,-COUNTA($D$56:$D378)+3,0)),"")</f>
        <v>a1H3p000009F890EAC</v>
      </c>
      <c r="P378" s="497">
        <f t="shared" si="44"/>
        <v>0</v>
      </c>
      <c r="Q378" s="497"/>
      <c r="R378" s="497"/>
      <c r="S378" s="497"/>
      <c r="T378" s="497" t="b">
        <f t="shared" ca="1" si="52"/>
        <v>0</v>
      </c>
    </row>
    <row r="379" spans="1:20" x14ac:dyDescent="0.35">
      <c r="A379" s="497" t="b">
        <f t="shared" ca="1" si="45"/>
        <v>0</v>
      </c>
      <c r="B379" s="511"/>
      <c r="C379" s="510" t="str">
        <f t="shared" ca="1" si="46"/>
        <v>a1H3p000009F89UEAS</v>
      </c>
      <c r="D379" s="497"/>
      <c r="E379" s="497">
        <f t="shared" ref="E379:E418" ca="1" si="53">COUNTIF(F370:F379,F379)</f>
        <v>3</v>
      </c>
      <c r="F379" s="512">
        <f ca="1">IFERROR(IF(COUNTA($D$56:$D379)=1,"",OFFSET($F377,-COUNTA($D$56:$D379)+3,0)),"")</f>
        <v>24</v>
      </c>
      <c r="G379" s="497"/>
      <c r="H379" s="497">
        <f t="shared" ref="H379:H418" ca="1" si="54">IF(F379=1,9,IF(E378=MAX(E377:E379),H377+2,H378))</f>
        <v>55</v>
      </c>
      <c r="I379" s="513" t="str">
        <f t="shared" ca="1" si="47"/>
        <v/>
      </c>
      <c r="J379" s="513" t="str">
        <f t="shared" ca="1" si="48"/>
        <v/>
      </c>
      <c r="K379" s="500" t="str">
        <f t="shared" ca="1" si="49"/>
        <v/>
      </c>
      <c r="L379" s="503">
        <f ca="1">IFERROR(CHOOSE(E379,'Impact Indicators - Section B '!$K$7,'Impact Indicators - Section B '!$O$7,'Impact Indicators - Section B '!$S$7,'Impact Indicators - Section B '!$W$7),"")</f>
        <v>2024</v>
      </c>
      <c r="M379" s="514" t="str">
        <f t="shared" ca="1" si="50"/>
        <v/>
      </c>
      <c r="N379" s="503" t="str">
        <f t="shared" ca="1" si="51"/>
        <v/>
      </c>
      <c r="O379" s="497" t="str">
        <f ca="1">IFERROR(IF(COUNTA($D$56:$D379)=1,"",OFFSET($C377,-COUNTA($D$56:$D379)+3,0)),"")</f>
        <v>a1H3p000009F89UEAS</v>
      </c>
      <c r="P379" s="497">
        <f t="shared" ref="P379:P418" si="55">IF(NOT(_xlfn.ISFORMULA(I379)),P378+1,0)</f>
        <v>0</v>
      </c>
      <c r="Q379" s="497"/>
      <c r="R379" s="497"/>
      <c r="S379" s="497"/>
      <c r="T379" s="497" t="b">
        <f t="shared" ca="1" si="52"/>
        <v>0</v>
      </c>
    </row>
    <row r="380" spans="1:20" x14ac:dyDescent="0.35">
      <c r="A380" s="497" t="b">
        <f t="shared" ca="1" si="45"/>
        <v>0</v>
      </c>
      <c r="B380" s="511"/>
      <c r="C380" s="510" t="str">
        <f t="shared" ca="1" si="46"/>
        <v>a1H3p000009F89yEAC</v>
      </c>
      <c r="D380" s="497"/>
      <c r="E380" s="497">
        <f t="shared" ca="1" si="53"/>
        <v>4</v>
      </c>
      <c r="F380" s="512">
        <f ca="1">IFERROR(IF(COUNTA($D$56:$D380)=1,"",OFFSET($F378,-COUNTA($D$56:$D380)+3,0)),"")</f>
        <v>24</v>
      </c>
      <c r="G380" s="497"/>
      <c r="H380" s="497">
        <f t="shared" ca="1" si="54"/>
        <v>55</v>
      </c>
      <c r="I380" s="513" t="str">
        <f t="shared" ca="1" si="47"/>
        <v/>
      </c>
      <c r="J380" s="513" t="str">
        <f t="shared" ca="1" si="48"/>
        <v/>
      </c>
      <c r="K380" s="500" t="str">
        <f t="shared" ca="1" si="49"/>
        <v/>
      </c>
      <c r="L380" s="503" t="str">
        <f ca="1">IFERROR(CHOOSE(E380,'Impact Indicators - Section B '!$K$7,'Impact Indicators - Section B '!$O$7,'Impact Indicators - Section B '!$S$7,'Impact Indicators - Section B '!$W$7),"")</f>
        <v/>
      </c>
      <c r="M380" s="514" t="str">
        <f t="shared" ca="1" si="50"/>
        <v/>
      </c>
      <c r="N380" s="503" t="str">
        <f t="shared" ca="1" si="51"/>
        <v/>
      </c>
      <c r="O380" s="497" t="str">
        <f ca="1">IFERROR(IF(COUNTA($D$56:$D380)=1,"",OFFSET($C378,-COUNTA($D$56:$D380)+3,0)),"")</f>
        <v>a1H3p000009F89yEAC</v>
      </c>
      <c r="P380" s="497">
        <f t="shared" si="55"/>
        <v>0</v>
      </c>
      <c r="Q380" s="497"/>
      <c r="R380" s="497"/>
      <c r="S380" s="497"/>
      <c r="T380" s="497" t="b">
        <f t="shared" ca="1" si="52"/>
        <v>0</v>
      </c>
    </row>
    <row r="381" spans="1:20" x14ac:dyDescent="0.35">
      <c r="A381" s="497" t="b">
        <f t="shared" ca="1" si="45"/>
        <v>0</v>
      </c>
      <c r="B381" s="511"/>
      <c r="C381" s="510" t="str">
        <f t="shared" ca="1" si="46"/>
        <v>a1H3p000009F8ASEA0</v>
      </c>
      <c r="D381" s="497"/>
      <c r="E381" s="497">
        <f t="shared" ca="1" si="53"/>
        <v>5</v>
      </c>
      <c r="F381" s="512">
        <f ca="1">IFERROR(IF(COUNTA($D$56:$D381)=1,"",OFFSET($F379,-COUNTA($D$56:$D381)+3,0)),"")</f>
        <v>24</v>
      </c>
      <c r="G381" s="497"/>
      <c r="H381" s="497">
        <f t="shared" ca="1" si="54"/>
        <v>55</v>
      </c>
      <c r="I381" s="513" t="str">
        <f t="shared" ca="1" si="47"/>
        <v/>
      </c>
      <c r="J381" s="513" t="str">
        <f t="shared" ca="1" si="48"/>
        <v/>
      </c>
      <c r="K381" s="500" t="str">
        <f t="shared" ca="1" si="49"/>
        <v/>
      </c>
      <c r="L381" s="503" t="str">
        <f ca="1">IFERROR(CHOOSE(E381,'Impact Indicators - Section B '!$K$7,'Impact Indicators - Section B '!$O$7,'Impact Indicators - Section B '!$S$7,'Impact Indicators - Section B '!$W$7),"")</f>
        <v/>
      </c>
      <c r="M381" s="514" t="str">
        <f t="shared" ca="1" si="50"/>
        <v/>
      </c>
      <c r="N381" s="503" t="str">
        <f t="shared" ca="1" si="51"/>
        <v/>
      </c>
      <c r="O381" s="497" t="str">
        <f ca="1">IFERROR(IF(COUNTA($D$56:$D381)=1,"",OFFSET($C379,-COUNTA($D$56:$D381)+3,0)),"")</f>
        <v>a1H3p000009F8ASEA0</v>
      </c>
      <c r="P381" s="497">
        <f t="shared" si="55"/>
        <v>0</v>
      </c>
      <c r="Q381" s="497"/>
      <c r="R381" s="497"/>
      <c r="S381" s="497"/>
      <c r="T381" s="497" t="b">
        <f t="shared" ca="1" si="52"/>
        <v>0</v>
      </c>
    </row>
    <row r="382" spans="1:20" x14ac:dyDescent="0.35">
      <c r="A382" s="497" t="b">
        <f t="shared" ca="1" si="45"/>
        <v>0</v>
      </c>
      <c r="B382" s="511"/>
      <c r="C382" s="510" t="str">
        <f t="shared" ca="1" si="46"/>
        <v>a1H3p000009F8AwEAK</v>
      </c>
      <c r="D382" s="497"/>
      <c r="E382" s="497">
        <f t="shared" ca="1" si="53"/>
        <v>6</v>
      </c>
      <c r="F382" s="512">
        <f ca="1">IFERROR(IF(COUNTA($D$56:$D382)=1,"",OFFSET($F380,-COUNTA($D$56:$D382)+3,0)),"")</f>
        <v>24</v>
      </c>
      <c r="G382" s="497"/>
      <c r="H382" s="497">
        <f t="shared" ca="1" si="54"/>
        <v>55</v>
      </c>
      <c r="I382" s="513" t="str">
        <f t="shared" ca="1" si="47"/>
        <v/>
      </c>
      <c r="J382" s="513" t="str">
        <f t="shared" ca="1" si="48"/>
        <v/>
      </c>
      <c r="K382" s="500" t="str">
        <f t="shared" ca="1" si="49"/>
        <v/>
      </c>
      <c r="L382" s="503" t="str">
        <f ca="1">IFERROR(CHOOSE(E382,'Impact Indicators - Section B '!$K$7,'Impact Indicators - Section B '!$O$7,'Impact Indicators - Section B '!$S$7,'Impact Indicators - Section B '!$W$7),"")</f>
        <v/>
      </c>
      <c r="M382" s="514" t="str">
        <f t="shared" ca="1" si="50"/>
        <v/>
      </c>
      <c r="N382" s="503" t="str">
        <f t="shared" ca="1" si="51"/>
        <v/>
      </c>
      <c r="O382" s="497" t="str">
        <f ca="1">IFERROR(IF(COUNTA($D$56:$D382)=1,"",OFFSET($C380,-COUNTA($D$56:$D382)+3,0)),"")</f>
        <v>a1H3p000009F8AwEAK</v>
      </c>
      <c r="P382" s="497">
        <f t="shared" si="55"/>
        <v>0</v>
      </c>
      <c r="Q382" s="497"/>
      <c r="R382" s="497"/>
      <c r="S382" s="497"/>
      <c r="T382" s="497" t="b">
        <f t="shared" ca="1" si="52"/>
        <v>0</v>
      </c>
    </row>
    <row r="383" spans="1:20" x14ac:dyDescent="0.35">
      <c r="A383" s="497" t="b">
        <f t="shared" ca="1" si="45"/>
        <v>0</v>
      </c>
      <c r="B383" s="511"/>
      <c r="C383" s="510" t="str">
        <f t="shared" ca="1" si="46"/>
        <v>a1H3p000009F88XEAS</v>
      </c>
      <c r="D383" s="497"/>
      <c r="E383" s="497">
        <f t="shared" ca="1" si="53"/>
        <v>1</v>
      </c>
      <c r="F383" s="512">
        <f ca="1">IFERROR(IF(COUNTA($D$56:$D383)=1,"",OFFSET($F381,-COUNTA($D$56:$D383)+3,0)),"")</f>
        <v>25</v>
      </c>
      <c r="G383" s="497"/>
      <c r="H383" s="497">
        <f t="shared" ca="1" si="54"/>
        <v>57</v>
      </c>
      <c r="I383" s="513" t="str">
        <f t="shared" ca="1" si="47"/>
        <v/>
      </c>
      <c r="J383" s="513" t="str">
        <f t="shared" ca="1" si="48"/>
        <v/>
      </c>
      <c r="K383" s="500" t="str">
        <f t="shared" ca="1" si="49"/>
        <v/>
      </c>
      <c r="L383" s="503">
        <f ca="1">IFERROR(CHOOSE(E383,'Impact Indicators - Section B '!$K$7,'Impact Indicators - Section B '!$O$7,'Impact Indicators - Section B '!$S$7,'Impact Indicators - Section B '!$W$7),"")</f>
        <v>2022</v>
      </c>
      <c r="M383" s="514" t="str">
        <f t="shared" ca="1" si="50"/>
        <v/>
      </c>
      <c r="N383" s="503" t="str">
        <f t="shared" ca="1" si="51"/>
        <v/>
      </c>
      <c r="O383" s="497" t="str">
        <f ca="1">IFERROR(IF(COUNTA($D$56:$D383)=1,"",OFFSET($C381,-COUNTA($D$56:$D383)+3,0)),"")</f>
        <v>a1H3p000009F88XEAS</v>
      </c>
      <c r="P383" s="497">
        <f t="shared" si="55"/>
        <v>0</v>
      </c>
      <c r="Q383" s="497"/>
      <c r="R383" s="497"/>
      <c r="S383" s="497"/>
      <c r="T383" s="497" t="b">
        <f t="shared" ca="1" si="52"/>
        <v>0</v>
      </c>
    </row>
    <row r="384" spans="1:20" x14ac:dyDescent="0.35">
      <c r="A384" s="497" t="b">
        <f t="shared" ca="1" si="45"/>
        <v>0</v>
      </c>
      <c r="B384" s="511"/>
      <c r="C384" s="510" t="str">
        <f t="shared" ca="1" si="46"/>
        <v>a1H3p000009F891EAC</v>
      </c>
      <c r="D384" s="497"/>
      <c r="E384" s="497">
        <f t="shared" ca="1" si="53"/>
        <v>2</v>
      </c>
      <c r="F384" s="512">
        <f ca="1">IFERROR(IF(COUNTA($D$56:$D384)=1,"",OFFSET($F382,-COUNTA($D$56:$D384)+3,0)),"")</f>
        <v>25</v>
      </c>
      <c r="G384" s="497"/>
      <c r="H384" s="497">
        <f t="shared" ca="1" si="54"/>
        <v>57</v>
      </c>
      <c r="I384" s="513" t="str">
        <f t="shared" ca="1" si="47"/>
        <v/>
      </c>
      <c r="J384" s="513" t="str">
        <f t="shared" ca="1" si="48"/>
        <v/>
      </c>
      <c r="K384" s="500" t="str">
        <f t="shared" ca="1" si="49"/>
        <v/>
      </c>
      <c r="L384" s="503">
        <f ca="1">IFERROR(CHOOSE(E384,'Impact Indicators - Section B '!$K$7,'Impact Indicators - Section B '!$O$7,'Impact Indicators - Section B '!$S$7,'Impact Indicators - Section B '!$W$7),"")</f>
        <v>2023</v>
      </c>
      <c r="M384" s="514" t="str">
        <f t="shared" ca="1" si="50"/>
        <v/>
      </c>
      <c r="N384" s="503" t="str">
        <f t="shared" ca="1" si="51"/>
        <v/>
      </c>
      <c r="O384" s="497" t="str">
        <f ca="1">IFERROR(IF(COUNTA($D$56:$D384)=1,"",OFFSET($C382,-COUNTA($D$56:$D384)+3,0)),"")</f>
        <v>a1H3p000009F891EAC</v>
      </c>
      <c r="P384" s="497">
        <f t="shared" si="55"/>
        <v>0</v>
      </c>
      <c r="Q384" s="497"/>
      <c r="R384" s="497"/>
      <c r="S384" s="497"/>
      <c r="T384" s="497" t="b">
        <f t="shared" ca="1" si="52"/>
        <v>0</v>
      </c>
    </row>
    <row r="385" spans="1:20" x14ac:dyDescent="0.35">
      <c r="A385" s="497" t="b">
        <f t="shared" ca="1" si="45"/>
        <v>0</v>
      </c>
      <c r="B385" s="511"/>
      <c r="C385" s="510" t="str">
        <f t="shared" ca="1" si="46"/>
        <v>a1H3p000009F89VEAS</v>
      </c>
      <c r="D385" s="497"/>
      <c r="E385" s="497">
        <f t="shared" ca="1" si="53"/>
        <v>3</v>
      </c>
      <c r="F385" s="512">
        <f ca="1">IFERROR(IF(COUNTA($D$56:$D385)=1,"",OFFSET($F383,-COUNTA($D$56:$D385)+3,0)),"")</f>
        <v>25</v>
      </c>
      <c r="G385" s="497"/>
      <c r="H385" s="497">
        <f t="shared" ca="1" si="54"/>
        <v>57</v>
      </c>
      <c r="I385" s="513" t="str">
        <f t="shared" ca="1" si="47"/>
        <v/>
      </c>
      <c r="J385" s="513" t="str">
        <f t="shared" ca="1" si="48"/>
        <v/>
      </c>
      <c r="K385" s="500" t="str">
        <f t="shared" ca="1" si="49"/>
        <v/>
      </c>
      <c r="L385" s="503">
        <f ca="1">IFERROR(CHOOSE(E385,'Impact Indicators - Section B '!$K$7,'Impact Indicators - Section B '!$O$7,'Impact Indicators - Section B '!$S$7,'Impact Indicators - Section B '!$W$7),"")</f>
        <v>2024</v>
      </c>
      <c r="M385" s="514" t="str">
        <f t="shared" ca="1" si="50"/>
        <v/>
      </c>
      <c r="N385" s="503" t="str">
        <f t="shared" ca="1" si="51"/>
        <v/>
      </c>
      <c r="O385" s="497" t="str">
        <f ca="1">IFERROR(IF(COUNTA($D$56:$D385)=1,"",OFFSET($C383,-COUNTA($D$56:$D385)+3,0)),"")</f>
        <v>a1H3p000009F89VEAS</v>
      </c>
      <c r="P385" s="497">
        <f t="shared" si="55"/>
        <v>0</v>
      </c>
      <c r="Q385" s="497"/>
      <c r="R385" s="497"/>
      <c r="S385" s="497"/>
      <c r="T385" s="497" t="b">
        <f t="shared" ca="1" si="52"/>
        <v>0</v>
      </c>
    </row>
    <row r="386" spans="1:20" x14ac:dyDescent="0.35">
      <c r="A386" s="497" t="b">
        <f t="shared" ca="1" si="45"/>
        <v>0</v>
      </c>
      <c r="B386" s="511"/>
      <c r="C386" s="510" t="str">
        <f t="shared" ca="1" si="46"/>
        <v>a1H3p000009F89zEAC</v>
      </c>
      <c r="D386" s="497"/>
      <c r="E386" s="497">
        <f t="shared" ca="1" si="53"/>
        <v>4</v>
      </c>
      <c r="F386" s="512">
        <f ca="1">IFERROR(IF(COUNTA($D$56:$D386)=1,"",OFFSET($F384,-COUNTA($D$56:$D386)+3,0)),"")</f>
        <v>25</v>
      </c>
      <c r="G386" s="497"/>
      <c r="H386" s="497">
        <f t="shared" ca="1" si="54"/>
        <v>57</v>
      </c>
      <c r="I386" s="513" t="str">
        <f t="shared" ca="1" si="47"/>
        <v/>
      </c>
      <c r="J386" s="513" t="str">
        <f t="shared" ca="1" si="48"/>
        <v/>
      </c>
      <c r="K386" s="500" t="str">
        <f t="shared" ca="1" si="49"/>
        <v/>
      </c>
      <c r="L386" s="503" t="str">
        <f ca="1">IFERROR(CHOOSE(E386,'Impact Indicators - Section B '!$K$7,'Impact Indicators - Section B '!$O$7,'Impact Indicators - Section B '!$S$7,'Impact Indicators - Section B '!$W$7),"")</f>
        <v/>
      </c>
      <c r="M386" s="514" t="str">
        <f t="shared" ca="1" si="50"/>
        <v/>
      </c>
      <c r="N386" s="503" t="str">
        <f t="shared" ca="1" si="51"/>
        <v/>
      </c>
      <c r="O386" s="497" t="str">
        <f ca="1">IFERROR(IF(COUNTA($D$56:$D386)=1,"",OFFSET($C384,-COUNTA($D$56:$D386)+3,0)),"")</f>
        <v>a1H3p000009F89zEAC</v>
      </c>
      <c r="P386" s="497">
        <f t="shared" si="55"/>
        <v>0</v>
      </c>
      <c r="Q386" s="497"/>
      <c r="R386" s="497"/>
      <c r="S386" s="497"/>
      <c r="T386" s="497" t="b">
        <f t="shared" ca="1" si="52"/>
        <v>0</v>
      </c>
    </row>
    <row r="387" spans="1:20" x14ac:dyDescent="0.35">
      <c r="A387" s="497" t="b">
        <f t="shared" ca="1" si="45"/>
        <v>0</v>
      </c>
      <c r="B387" s="511"/>
      <c r="C387" s="510" t="str">
        <f t="shared" ca="1" si="46"/>
        <v>a1H3p000009F8ATEA0</v>
      </c>
      <c r="D387" s="497"/>
      <c r="E387" s="497">
        <f t="shared" ca="1" si="53"/>
        <v>5</v>
      </c>
      <c r="F387" s="512">
        <f ca="1">IFERROR(IF(COUNTA($D$56:$D387)=1,"",OFFSET($F385,-COUNTA($D$56:$D387)+3,0)),"")</f>
        <v>25</v>
      </c>
      <c r="G387" s="497"/>
      <c r="H387" s="497">
        <f t="shared" ca="1" si="54"/>
        <v>57</v>
      </c>
      <c r="I387" s="513" t="str">
        <f t="shared" ca="1" si="47"/>
        <v/>
      </c>
      <c r="J387" s="513" t="str">
        <f t="shared" ca="1" si="48"/>
        <v/>
      </c>
      <c r="K387" s="500" t="str">
        <f t="shared" ca="1" si="49"/>
        <v/>
      </c>
      <c r="L387" s="503" t="str">
        <f ca="1">IFERROR(CHOOSE(E387,'Impact Indicators - Section B '!$K$7,'Impact Indicators - Section B '!$O$7,'Impact Indicators - Section B '!$S$7,'Impact Indicators - Section B '!$W$7),"")</f>
        <v/>
      </c>
      <c r="M387" s="514" t="str">
        <f t="shared" ca="1" si="50"/>
        <v/>
      </c>
      <c r="N387" s="503" t="str">
        <f t="shared" ca="1" si="51"/>
        <v/>
      </c>
      <c r="O387" s="497" t="str">
        <f ca="1">IFERROR(IF(COUNTA($D$56:$D387)=1,"",OFFSET($C385,-COUNTA($D$56:$D387)+3,0)),"")</f>
        <v>a1H3p000009F8ATEA0</v>
      </c>
      <c r="P387" s="497">
        <f t="shared" si="55"/>
        <v>0</v>
      </c>
      <c r="Q387" s="497"/>
      <c r="R387" s="497"/>
      <c r="S387" s="497"/>
      <c r="T387" s="497" t="b">
        <f t="shared" ca="1" si="52"/>
        <v>0</v>
      </c>
    </row>
    <row r="388" spans="1:20" x14ac:dyDescent="0.35">
      <c r="A388" s="497" t="b">
        <f t="shared" ca="1" si="45"/>
        <v>0</v>
      </c>
      <c r="B388" s="511"/>
      <c r="C388" s="510" t="str">
        <f t="shared" ca="1" si="46"/>
        <v>a1H3p000009F8AxEAK</v>
      </c>
      <c r="D388" s="497"/>
      <c r="E388" s="497">
        <f t="shared" ca="1" si="53"/>
        <v>6</v>
      </c>
      <c r="F388" s="512">
        <f ca="1">IFERROR(IF(COUNTA($D$56:$D388)=1,"",OFFSET($F386,-COUNTA($D$56:$D388)+3,0)),"")</f>
        <v>25</v>
      </c>
      <c r="G388" s="497"/>
      <c r="H388" s="497">
        <f t="shared" ca="1" si="54"/>
        <v>57</v>
      </c>
      <c r="I388" s="513" t="str">
        <f t="shared" ca="1" si="47"/>
        <v/>
      </c>
      <c r="J388" s="513" t="str">
        <f t="shared" ca="1" si="48"/>
        <v/>
      </c>
      <c r="K388" s="500" t="str">
        <f t="shared" ca="1" si="49"/>
        <v/>
      </c>
      <c r="L388" s="503" t="str">
        <f ca="1">IFERROR(CHOOSE(E388,'Impact Indicators - Section B '!$K$7,'Impact Indicators - Section B '!$O$7,'Impact Indicators - Section B '!$S$7,'Impact Indicators - Section B '!$W$7),"")</f>
        <v/>
      </c>
      <c r="M388" s="514" t="str">
        <f t="shared" ca="1" si="50"/>
        <v/>
      </c>
      <c r="N388" s="503" t="str">
        <f t="shared" ca="1" si="51"/>
        <v/>
      </c>
      <c r="O388" s="497" t="str">
        <f ca="1">IFERROR(IF(COUNTA($D$56:$D388)=1,"",OFFSET($C386,-COUNTA($D$56:$D388)+3,0)),"")</f>
        <v>a1H3p000009F8AxEAK</v>
      </c>
      <c r="P388" s="497">
        <f t="shared" si="55"/>
        <v>0</v>
      </c>
      <c r="Q388" s="497"/>
      <c r="R388" s="497"/>
      <c r="S388" s="497"/>
      <c r="T388" s="497" t="b">
        <f t="shared" ca="1" si="52"/>
        <v>0</v>
      </c>
    </row>
    <row r="389" spans="1:20" x14ac:dyDescent="0.35">
      <c r="A389" s="497" t="b">
        <f t="shared" ca="1" si="45"/>
        <v>0</v>
      </c>
      <c r="B389" s="511"/>
      <c r="C389" s="510" t="str">
        <f t="shared" ca="1" si="46"/>
        <v>a1H3p000009F88YEAS</v>
      </c>
      <c r="D389" s="497"/>
      <c r="E389" s="497">
        <f t="shared" ca="1" si="53"/>
        <v>1</v>
      </c>
      <c r="F389" s="512">
        <f ca="1">IFERROR(IF(COUNTA($D$56:$D389)=1,"",OFFSET($F387,-COUNTA($D$56:$D389)+3,0)),"")</f>
        <v>26</v>
      </c>
      <c r="G389" s="497"/>
      <c r="H389" s="497">
        <f t="shared" ca="1" si="54"/>
        <v>59</v>
      </c>
      <c r="I389" s="513" t="str">
        <f t="shared" ca="1" si="47"/>
        <v/>
      </c>
      <c r="J389" s="513" t="str">
        <f t="shared" ca="1" si="48"/>
        <v/>
      </c>
      <c r="K389" s="500" t="str">
        <f t="shared" ca="1" si="49"/>
        <v/>
      </c>
      <c r="L389" s="503">
        <f ca="1">IFERROR(CHOOSE(E389,'Impact Indicators - Section B '!$K$7,'Impact Indicators - Section B '!$O$7,'Impact Indicators - Section B '!$S$7,'Impact Indicators - Section B '!$W$7),"")</f>
        <v>2022</v>
      </c>
      <c r="M389" s="514" t="str">
        <f t="shared" ca="1" si="50"/>
        <v/>
      </c>
      <c r="N389" s="503" t="str">
        <f t="shared" ca="1" si="51"/>
        <v/>
      </c>
      <c r="O389" s="497" t="str">
        <f ca="1">IFERROR(IF(COUNTA($D$56:$D389)=1,"",OFFSET($C387,-COUNTA($D$56:$D389)+3,0)),"")</f>
        <v>a1H3p000009F88YEAS</v>
      </c>
      <c r="P389" s="497">
        <f t="shared" si="55"/>
        <v>0</v>
      </c>
      <c r="Q389" s="497"/>
      <c r="R389" s="497"/>
      <c r="S389" s="497"/>
      <c r="T389" s="497" t="b">
        <f t="shared" ca="1" si="52"/>
        <v>0</v>
      </c>
    </row>
    <row r="390" spans="1:20" x14ac:dyDescent="0.35">
      <c r="A390" s="497" t="b">
        <f t="shared" ca="1" si="45"/>
        <v>0</v>
      </c>
      <c r="B390" s="511"/>
      <c r="C390" s="510" t="str">
        <f t="shared" ca="1" si="46"/>
        <v>a1H3p000009F892EAC</v>
      </c>
      <c r="D390" s="497"/>
      <c r="E390" s="497">
        <f t="shared" ca="1" si="53"/>
        <v>2</v>
      </c>
      <c r="F390" s="512">
        <f ca="1">IFERROR(IF(COUNTA($D$56:$D390)=1,"",OFFSET($F388,-COUNTA($D$56:$D390)+3,0)),"")</f>
        <v>26</v>
      </c>
      <c r="G390" s="497"/>
      <c r="H390" s="497">
        <f t="shared" ca="1" si="54"/>
        <v>59</v>
      </c>
      <c r="I390" s="513" t="str">
        <f t="shared" ca="1" si="47"/>
        <v/>
      </c>
      <c r="J390" s="513" t="str">
        <f t="shared" ca="1" si="48"/>
        <v/>
      </c>
      <c r="K390" s="500" t="str">
        <f t="shared" ca="1" si="49"/>
        <v/>
      </c>
      <c r="L390" s="503">
        <f ca="1">IFERROR(CHOOSE(E390,'Impact Indicators - Section B '!$K$7,'Impact Indicators - Section B '!$O$7,'Impact Indicators - Section B '!$S$7,'Impact Indicators - Section B '!$W$7),"")</f>
        <v>2023</v>
      </c>
      <c r="M390" s="514" t="str">
        <f t="shared" ca="1" si="50"/>
        <v/>
      </c>
      <c r="N390" s="503" t="str">
        <f t="shared" ca="1" si="51"/>
        <v/>
      </c>
      <c r="O390" s="497" t="str">
        <f ca="1">IFERROR(IF(COUNTA($D$56:$D390)=1,"",OFFSET($C388,-COUNTA($D$56:$D390)+3,0)),"")</f>
        <v>a1H3p000009F892EAC</v>
      </c>
      <c r="P390" s="497">
        <f t="shared" si="55"/>
        <v>0</v>
      </c>
      <c r="Q390" s="497"/>
      <c r="R390" s="497"/>
      <c r="S390" s="497"/>
      <c r="T390" s="497" t="b">
        <f t="shared" ca="1" si="52"/>
        <v>0</v>
      </c>
    </row>
    <row r="391" spans="1:20" x14ac:dyDescent="0.35">
      <c r="A391" s="497" t="b">
        <f t="shared" ca="1" si="45"/>
        <v>0</v>
      </c>
      <c r="B391" s="511"/>
      <c r="C391" s="510" t="str">
        <f t="shared" ca="1" si="46"/>
        <v>a1H3p000009F89WEAS</v>
      </c>
      <c r="D391" s="497"/>
      <c r="E391" s="497">
        <f t="shared" ca="1" si="53"/>
        <v>3</v>
      </c>
      <c r="F391" s="512">
        <f ca="1">IFERROR(IF(COUNTA($D$56:$D391)=1,"",OFFSET($F389,-COUNTA($D$56:$D391)+3,0)),"")</f>
        <v>26</v>
      </c>
      <c r="G391" s="497"/>
      <c r="H391" s="497">
        <f t="shared" ca="1" si="54"/>
        <v>59</v>
      </c>
      <c r="I391" s="513" t="str">
        <f t="shared" ca="1" si="47"/>
        <v/>
      </c>
      <c r="J391" s="513" t="str">
        <f t="shared" ca="1" si="48"/>
        <v/>
      </c>
      <c r="K391" s="500" t="str">
        <f t="shared" ca="1" si="49"/>
        <v/>
      </c>
      <c r="L391" s="503">
        <f ca="1">IFERROR(CHOOSE(E391,'Impact Indicators - Section B '!$K$7,'Impact Indicators - Section B '!$O$7,'Impact Indicators - Section B '!$S$7,'Impact Indicators - Section B '!$W$7),"")</f>
        <v>2024</v>
      </c>
      <c r="M391" s="514" t="str">
        <f t="shared" ca="1" si="50"/>
        <v/>
      </c>
      <c r="N391" s="503" t="str">
        <f t="shared" ca="1" si="51"/>
        <v/>
      </c>
      <c r="O391" s="497" t="str">
        <f ca="1">IFERROR(IF(COUNTA($D$56:$D391)=1,"",OFFSET($C389,-COUNTA($D$56:$D391)+3,0)),"")</f>
        <v>a1H3p000009F89WEAS</v>
      </c>
      <c r="P391" s="497">
        <f t="shared" si="55"/>
        <v>0</v>
      </c>
      <c r="Q391" s="497"/>
      <c r="R391" s="497"/>
      <c r="S391" s="497"/>
      <c r="T391" s="497" t="b">
        <f t="shared" ca="1" si="52"/>
        <v>0</v>
      </c>
    </row>
    <row r="392" spans="1:20" x14ac:dyDescent="0.35">
      <c r="A392" s="497" t="b">
        <f t="shared" ca="1" si="45"/>
        <v>0</v>
      </c>
      <c r="B392" s="511"/>
      <c r="C392" s="510" t="str">
        <f t="shared" ca="1" si="46"/>
        <v>a1H3p000009F8A0EAK</v>
      </c>
      <c r="D392" s="497"/>
      <c r="E392" s="497">
        <f t="shared" ca="1" si="53"/>
        <v>4</v>
      </c>
      <c r="F392" s="512">
        <f ca="1">IFERROR(IF(COUNTA($D$56:$D392)=1,"",OFFSET($F390,-COUNTA($D$56:$D392)+3,0)),"")</f>
        <v>26</v>
      </c>
      <c r="G392" s="497"/>
      <c r="H392" s="497">
        <f t="shared" ca="1" si="54"/>
        <v>59</v>
      </c>
      <c r="I392" s="513" t="str">
        <f t="shared" ca="1" si="47"/>
        <v/>
      </c>
      <c r="J392" s="513" t="str">
        <f t="shared" ca="1" si="48"/>
        <v/>
      </c>
      <c r="K392" s="500" t="str">
        <f t="shared" ca="1" si="49"/>
        <v/>
      </c>
      <c r="L392" s="503" t="str">
        <f ca="1">IFERROR(CHOOSE(E392,'Impact Indicators - Section B '!$K$7,'Impact Indicators - Section B '!$O$7,'Impact Indicators - Section B '!$S$7,'Impact Indicators - Section B '!$W$7),"")</f>
        <v/>
      </c>
      <c r="M392" s="514" t="str">
        <f t="shared" ca="1" si="50"/>
        <v/>
      </c>
      <c r="N392" s="503" t="str">
        <f t="shared" ca="1" si="51"/>
        <v/>
      </c>
      <c r="O392" s="497" t="str">
        <f ca="1">IFERROR(IF(COUNTA($D$56:$D392)=1,"",OFFSET($C390,-COUNTA($D$56:$D392)+3,0)),"")</f>
        <v>a1H3p000009F8A0EAK</v>
      </c>
      <c r="P392" s="497">
        <f t="shared" si="55"/>
        <v>0</v>
      </c>
      <c r="Q392" s="497"/>
      <c r="R392" s="497"/>
      <c r="S392" s="497"/>
      <c r="T392" s="497" t="b">
        <f t="shared" ca="1" si="52"/>
        <v>0</v>
      </c>
    </row>
    <row r="393" spans="1:20" x14ac:dyDescent="0.35">
      <c r="A393" s="497" t="b">
        <f t="shared" ca="1" si="45"/>
        <v>0</v>
      </c>
      <c r="B393" s="511"/>
      <c r="C393" s="510" t="str">
        <f t="shared" ca="1" si="46"/>
        <v>a1H3p000009F8AUEA0</v>
      </c>
      <c r="D393" s="497"/>
      <c r="E393" s="497">
        <f t="shared" ca="1" si="53"/>
        <v>5</v>
      </c>
      <c r="F393" s="512">
        <f ca="1">IFERROR(IF(COUNTA($D$56:$D393)=1,"",OFFSET($F391,-COUNTA($D$56:$D393)+3,0)),"")</f>
        <v>26</v>
      </c>
      <c r="G393" s="497"/>
      <c r="H393" s="497">
        <f t="shared" ca="1" si="54"/>
        <v>59</v>
      </c>
      <c r="I393" s="513" t="str">
        <f t="shared" ca="1" si="47"/>
        <v/>
      </c>
      <c r="J393" s="513" t="str">
        <f t="shared" ca="1" si="48"/>
        <v/>
      </c>
      <c r="K393" s="500" t="str">
        <f t="shared" ca="1" si="49"/>
        <v/>
      </c>
      <c r="L393" s="503" t="str">
        <f ca="1">IFERROR(CHOOSE(E393,'Impact Indicators - Section B '!$K$7,'Impact Indicators - Section B '!$O$7,'Impact Indicators - Section B '!$S$7,'Impact Indicators - Section B '!$W$7),"")</f>
        <v/>
      </c>
      <c r="M393" s="514" t="str">
        <f t="shared" ca="1" si="50"/>
        <v/>
      </c>
      <c r="N393" s="503" t="str">
        <f t="shared" ca="1" si="51"/>
        <v/>
      </c>
      <c r="O393" s="497" t="str">
        <f ca="1">IFERROR(IF(COUNTA($D$56:$D393)=1,"",OFFSET($C391,-COUNTA($D$56:$D393)+3,0)),"")</f>
        <v>a1H3p000009F8AUEA0</v>
      </c>
      <c r="P393" s="497">
        <f t="shared" si="55"/>
        <v>0</v>
      </c>
      <c r="Q393" s="497"/>
      <c r="R393" s="497"/>
      <c r="S393" s="497"/>
      <c r="T393" s="497" t="b">
        <f t="shared" ca="1" si="52"/>
        <v>0</v>
      </c>
    </row>
    <row r="394" spans="1:20" x14ac:dyDescent="0.35">
      <c r="A394" s="497" t="b">
        <f t="shared" ca="1" si="45"/>
        <v>0</v>
      </c>
      <c r="B394" s="511"/>
      <c r="C394" s="510" t="str">
        <f t="shared" ca="1" si="46"/>
        <v>a1H3p000009F8AyEAK</v>
      </c>
      <c r="D394" s="497"/>
      <c r="E394" s="497">
        <f t="shared" ca="1" si="53"/>
        <v>6</v>
      </c>
      <c r="F394" s="512">
        <f ca="1">IFERROR(IF(COUNTA($D$56:$D394)=1,"",OFFSET($F392,-COUNTA($D$56:$D394)+3,0)),"")</f>
        <v>26</v>
      </c>
      <c r="G394" s="497"/>
      <c r="H394" s="497">
        <f t="shared" ca="1" si="54"/>
        <v>59</v>
      </c>
      <c r="I394" s="513" t="str">
        <f t="shared" ca="1" si="47"/>
        <v/>
      </c>
      <c r="J394" s="513" t="str">
        <f t="shared" ca="1" si="48"/>
        <v/>
      </c>
      <c r="K394" s="500" t="str">
        <f t="shared" ca="1" si="49"/>
        <v/>
      </c>
      <c r="L394" s="503" t="str">
        <f ca="1">IFERROR(CHOOSE(E394,'Impact Indicators - Section B '!$K$7,'Impact Indicators - Section B '!$O$7,'Impact Indicators - Section B '!$S$7,'Impact Indicators - Section B '!$W$7),"")</f>
        <v/>
      </c>
      <c r="M394" s="514" t="str">
        <f t="shared" ca="1" si="50"/>
        <v/>
      </c>
      <c r="N394" s="503" t="str">
        <f t="shared" ca="1" si="51"/>
        <v/>
      </c>
      <c r="O394" s="497" t="str">
        <f ca="1">IFERROR(IF(COUNTA($D$56:$D394)=1,"",OFFSET($C392,-COUNTA($D$56:$D394)+3,0)),"")</f>
        <v>a1H3p000009F8AyEAK</v>
      </c>
      <c r="P394" s="497">
        <f t="shared" si="55"/>
        <v>0</v>
      </c>
      <c r="Q394" s="497"/>
      <c r="R394" s="497"/>
      <c r="S394" s="497"/>
      <c r="T394" s="497" t="b">
        <f t="shared" ca="1" si="52"/>
        <v>0</v>
      </c>
    </row>
    <row r="395" spans="1:20" x14ac:dyDescent="0.35">
      <c r="A395" s="497" t="b">
        <f t="shared" ca="1" si="45"/>
        <v>0</v>
      </c>
      <c r="B395" s="511"/>
      <c r="C395" s="510" t="str">
        <f t="shared" ca="1" si="46"/>
        <v>a1H3p000009F88ZEAS</v>
      </c>
      <c r="D395" s="497"/>
      <c r="E395" s="497">
        <f t="shared" ca="1" si="53"/>
        <v>1</v>
      </c>
      <c r="F395" s="512">
        <f ca="1">IFERROR(IF(COUNTA($D$56:$D395)=1,"",OFFSET($F393,-COUNTA($D$56:$D395)+3,0)),"")</f>
        <v>27</v>
      </c>
      <c r="G395" s="497"/>
      <c r="H395" s="497">
        <f t="shared" ca="1" si="54"/>
        <v>61</v>
      </c>
      <c r="I395" s="513" t="str">
        <f t="shared" ca="1" si="47"/>
        <v/>
      </c>
      <c r="J395" s="513" t="str">
        <f t="shared" ca="1" si="48"/>
        <v/>
      </c>
      <c r="K395" s="500" t="str">
        <f t="shared" ca="1" si="49"/>
        <v/>
      </c>
      <c r="L395" s="503">
        <f ca="1">IFERROR(CHOOSE(E395,'Impact Indicators - Section B '!$K$7,'Impact Indicators - Section B '!$O$7,'Impact Indicators - Section B '!$S$7,'Impact Indicators - Section B '!$W$7),"")</f>
        <v>2022</v>
      </c>
      <c r="M395" s="514" t="str">
        <f t="shared" ca="1" si="50"/>
        <v/>
      </c>
      <c r="N395" s="503" t="str">
        <f t="shared" ca="1" si="51"/>
        <v/>
      </c>
      <c r="O395" s="497" t="str">
        <f ca="1">IFERROR(IF(COUNTA($D$56:$D395)=1,"",OFFSET($C393,-COUNTA($D$56:$D395)+3,0)),"")</f>
        <v>a1H3p000009F88ZEAS</v>
      </c>
      <c r="P395" s="497">
        <f t="shared" si="55"/>
        <v>0</v>
      </c>
      <c r="Q395" s="497"/>
      <c r="R395" s="497"/>
      <c r="S395" s="497"/>
      <c r="T395" s="497" t="b">
        <f t="shared" ca="1" si="52"/>
        <v>0</v>
      </c>
    </row>
    <row r="396" spans="1:20" x14ac:dyDescent="0.35">
      <c r="A396" s="497" t="b">
        <f t="shared" ca="1" si="45"/>
        <v>0</v>
      </c>
      <c r="B396" s="511"/>
      <c r="C396" s="510" t="str">
        <f t="shared" ca="1" si="46"/>
        <v>a1H3p000009F893EAC</v>
      </c>
      <c r="D396" s="497"/>
      <c r="E396" s="497">
        <f t="shared" ca="1" si="53"/>
        <v>2</v>
      </c>
      <c r="F396" s="512">
        <f ca="1">IFERROR(IF(COUNTA($D$56:$D396)=1,"",OFFSET($F394,-COUNTA($D$56:$D396)+3,0)),"")</f>
        <v>27</v>
      </c>
      <c r="G396" s="497"/>
      <c r="H396" s="497">
        <f t="shared" ca="1" si="54"/>
        <v>61</v>
      </c>
      <c r="I396" s="513" t="str">
        <f t="shared" ca="1" si="47"/>
        <v/>
      </c>
      <c r="J396" s="513" t="str">
        <f t="shared" ca="1" si="48"/>
        <v/>
      </c>
      <c r="K396" s="500" t="str">
        <f t="shared" ca="1" si="49"/>
        <v/>
      </c>
      <c r="L396" s="503">
        <f ca="1">IFERROR(CHOOSE(E396,'Impact Indicators - Section B '!$K$7,'Impact Indicators - Section B '!$O$7,'Impact Indicators - Section B '!$S$7,'Impact Indicators - Section B '!$W$7),"")</f>
        <v>2023</v>
      </c>
      <c r="M396" s="514" t="str">
        <f t="shared" ca="1" si="50"/>
        <v/>
      </c>
      <c r="N396" s="503" t="str">
        <f t="shared" ca="1" si="51"/>
        <v/>
      </c>
      <c r="O396" s="497" t="str">
        <f ca="1">IFERROR(IF(COUNTA($D$56:$D396)=1,"",OFFSET($C394,-COUNTA($D$56:$D396)+3,0)),"")</f>
        <v>a1H3p000009F893EAC</v>
      </c>
      <c r="P396" s="497">
        <f t="shared" si="55"/>
        <v>0</v>
      </c>
      <c r="Q396" s="497"/>
      <c r="R396" s="497"/>
      <c r="S396" s="497"/>
      <c r="T396" s="497" t="b">
        <f t="shared" ca="1" si="52"/>
        <v>0</v>
      </c>
    </row>
    <row r="397" spans="1:20" x14ac:dyDescent="0.35">
      <c r="A397" s="497" t="b">
        <f t="shared" ca="1" si="45"/>
        <v>0</v>
      </c>
      <c r="B397" s="511"/>
      <c r="C397" s="510" t="str">
        <f t="shared" ca="1" si="46"/>
        <v>a1H3p000009F89XEAS</v>
      </c>
      <c r="D397" s="497"/>
      <c r="E397" s="497">
        <f t="shared" ca="1" si="53"/>
        <v>3</v>
      </c>
      <c r="F397" s="512">
        <f ca="1">IFERROR(IF(COUNTA($D$56:$D397)=1,"",OFFSET($F395,-COUNTA($D$56:$D397)+3,0)),"")</f>
        <v>27</v>
      </c>
      <c r="G397" s="497"/>
      <c r="H397" s="497">
        <f t="shared" ca="1" si="54"/>
        <v>61</v>
      </c>
      <c r="I397" s="513" t="str">
        <f t="shared" ca="1" si="47"/>
        <v/>
      </c>
      <c r="J397" s="513" t="str">
        <f t="shared" ca="1" si="48"/>
        <v/>
      </c>
      <c r="K397" s="500" t="str">
        <f t="shared" ca="1" si="49"/>
        <v/>
      </c>
      <c r="L397" s="503">
        <f ca="1">IFERROR(CHOOSE(E397,'Impact Indicators - Section B '!$K$7,'Impact Indicators - Section B '!$O$7,'Impact Indicators - Section B '!$S$7,'Impact Indicators - Section B '!$W$7),"")</f>
        <v>2024</v>
      </c>
      <c r="M397" s="514" t="str">
        <f t="shared" ca="1" si="50"/>
        <v/>
      </c>
      <c r="N397" s="503" t="str">
        <f t="shared" ca="1" si="51"/>
        <v/>
      </c>
      <c r="O397" s="497" t="str">
        <f ca="1">IFERROR(IF(COUNTA($D$56:$D397)=1,"",OFFSET($C395,-COUNTA($D$56:$D397)+3,0)),"")</f>
        <v>a1H3p000009F89XEAS</v>
      </c>
      <c r="P397" s="497">
        <f t="shared" si="55"/>
        <v>0</v>
      </c>
      <c r="Q397" s="497"/>
      <c r="R397" s="497"/>
      <c r="S397" s="497"/>
      <c r="T397" s="497" t="b">
        <f t="shared" ca="1" si="52"/>
        <v>0</v>
      </c>
    </row>
    <row r="398" spans="1:20" x14ac:dyDescent="0.35">
      <c r="A398" s="497" t="b">
        <f t="shared" ca="1" si="45"/>
        <v>0</v>
      </c>
      <c r="B398" s="511"/>
      <c r="C398" s="510" t="str">
        <f t="shared" ca="1" si="46"/>
        <v>a1H3p000009F8A1EAK</v>
      </c>
      <c r="D398" s="497"/>
      <c r="E398" s="497">
        <f t="shared" ca="1" si="53"/>
        <v>4</v>
      </c>
      <c r="F398" s="512">
        <f ca="1">IFERROR(IF(COUNTA($D$56:$D398)=1,"",OFFSET($F396,-COUNTA($D$56:$D398)+3,0)),"")</f>
        <v>27</v>
      </c>
      <c r="G398" s="497"/>
      <c r="H398" s="497">
        <f t="shared" ca="1" si="54"/>
        <v>61</v>
      </c>
      <c r="I398" s="513" t="str">
        <f t="shared" ca="1" si="47"/>
        <v/>
      </c>
      <c r="J398" s="513" t="str">
        <f t="shared" ca="1" si="48"/>
        <v/>
      </c>
      <c r="K398" s="500" t="str">
        <f t="shared" ca="1" si="49"/>
        <v/>
      </c>
      <c r="L398" s="503" t="str">
        <f ca="1">IFERROR(CHOOSE(E398,'Impact Indicators - Section B '!$K$7,'Impact Indicators - Section B '!$O$7,'Impact Indicators - Section B '!$S$7,'Impact Indicators - Section B '!$W$7),"")</f>
        <v/>
      </c>
      <c r="M398" s="514" t="str">
        <f t="shared" ca="1" si="50"/>
        <v/>
      </c>
      <c r="N398" s="503" t="str">
        <f t="shared" ca="1" si="51"/>
        <v/>
      </c>
      <c r="O398" s="497" t="str">
        <f ca="1">IFERROR(IF(COUNTA($D$56:$D398)=1,"",OFFSET($C396,-COUNTA($D$56:$D398)+3,0)),"")</f>
        <v>a1H3p000009F8A1EAK</v>
      </c>
      <c r="P398" s="497">
        <f t="shared" si="55"/>
        <v>0</v>
      </c>
      <c r="Q398" s="497"/>
      <c r="R398" s="497"/>
      <c r="S398" s="497"/>
      <c r="T398" s="497" t="b">
        <f t="shared" ca="1" si="52"/>
        <v>0</v>
      </c>
    </row>
    <row r="399" spans="1:20" x14ac:dyDescent="0.35">
      <c r="A399" s="497" t="b">
        <f t="shared" ca="1" si="45"/>
        <v>0</v>
      </c>
      <c r="B399" s="511"/>
      <c r="C399" s="510" t="str">
        <f t="shared" ca="1" si="46"/>
        <v>a1H3p000009F8AVEA0</v>
      </c>
      <c r="D399" s="497"/>
      <c r="E399" s="497">
        <f t="shared" ca="1" si="53"/>
        <v>5</v>
      </c>
      <c r="F399" s="512">
        <f ca="1">IFERROR(IF(COUNTA($D$56:$D399)=1,"",OFFSET($F397,-COUNTA($D$56:$D399)+3,0)),"")</f>
        <v>27</v>
      </c>
      <c r="G399" s="497"/>
      <c r="H399" s="497">
        <f t="shared" ca="1" si="54"/>
        <v>61</v>
      </c>
      <c r="I399" s="513" t="str">
        <f t="shared" ca="1" si="47"/>
        <v/>
      </c>
      <c r="J399" s="513" t="str">
        <f t="shared" ca="1" si="48"/>
        <v/>
      </c>
      <c r="K399" s="500" t="str">
        <f t="shared" ca="1" si="49"/>
        <v/>
      </c>
      <c r="L399" s="503" t="str">
        <f ca="1">IFERROR(CHOOSE(E399,'Impact Indicators - Section B '!$K$7,'Impact Indicators - Section B '!$O$7,'Impact Indicators - Section B '!$S$7,'Impact Indicators - Section B '!$W$7),"")</f>
        <v/>
      </c>
      <c r="M399" s="514" t="str">
        <f t="shared" ca="1" si="50"/>
        <v/>
      </c>
      <c r="N399" s="503" t="str">
        <f t="shared" ca="1" si="51"/>
        <v/>
      </c>
      <c r="O399" s="497" t="str">
        <f ca="1">IFERROR(IF(COUNTA($D$56:$D399)=1,"",OFFSET($C397,-COUNTA($D$56:$D399)+3,0)),"")</f>
        <v>a1H3p000009F8AVEA0</v>
      </c>
      <c r="P399" s="497">
        <f t="shared" si="55"/>
        <v>0</v>
      </c>
      <c r="Q399" s="497"/>
      <c r="R399" s="497"/>
      <c r="S399" s="497"/>
      <c r="T399" s="497" t="b">
        <f t="shared" ca="1" si="52"/>
        <v>0</v>
      </c>
    </row>
    <row r="400" spans="1:20" x14ac:dyDescent="0.35">
      <c r="A400" s="497" t="b">
        <f t="shared" ca="1" si="45"/>
        <v>0</v>
      </c>
      <c r="B400" s="511"/>
      <c r="C400" s="510" t="str">
        <f t="shared" ca="1" si="46"/>
        <v>a1H3p000009F8AzEAK</v>
      </c>
      <c r="D400" s="497"/>
      <c r="E400" s="497">
        <f t="shared" ca="1" si="53"/>
        <v>6</v>
      </c>
      <c r="F400" s="512">
        <f ca="1">IFERROR(IF(COUNTA($D$56:$D400)=1,"",OFFSET($F398,-COUNTA($D$56:$D400)+3,0)),"")</f>
        <v>27</v>
      </c>
      <c r="G400" s="497"/>
      <c r="H400" s="497">
        <f t="shared" ca="1" si="54"/>
        <v>61</v>
      </c>
      <c r="I400" s="513" t="str">
        <f t="shared" ca="1" si="47"/>
        <v/>
      </c>
      <c r="J400" s="513" t="str">
        <f t="shared" ca="1" si="48"/>
        <v/>
      </c>
      <c r="K400" s="500" t="str">
        <f t="shared" ca="1" si="49"/>
        <v/>
      </c>
      <c r="L400" s="503" t="str">
        <f ca="1">IFERROR(CHOOSE(E400,'Impact Indicators - Section B '!$K$7,'Impact Indicators - Section B '!$O$7,'Impact Indicators - Section B '!$S$7,'Impact Indicators - Section B '!$W$7),"")</f>
        <v/>
      </c>
      <c r="M400" s="514" t="str">
        <f t="shared" ca="1" si="50"/>
        <v/>
      </c>
      <c r="N400" s="503" t="str">
        <f t="shared" ca="1" si="51"/>
        <v/>
      </c>
      <c r="O400" s="497" t="str">
        <f ca="1">IFERROR(IF(COUNTA($D$56:$D400)=1,"",OFFSET($C398,-COUNTA($D$56:$D400)+3,0)),"")</f>
        <v>a1H3p000009F8AzEAK</v>
      </c>
      <c r="P400" s="497">
        <f t="shared" si="55"/>
        <v>0</v>
      </c>
      <c r="Q400" s="497"/>
      <c r="R400" s="497"/>
      <c r="S400" s="497"/>
      <c r="T400" s="497" t="b">
        <f t="shared" ca="1" si="52"/>
        <v>0</v>
      </c>
    </row>
    <row r="401" spans="1:20" x14ac:dyDescent="0.35">
      <c r="A401" s="497" t="b">
        <f t="shared" ca="1" si="45"/>
        <v>0</v>
      </c>
      <c r="B401" s="511"/>
      <c r="C401" s="510" t="str">
        <f t="shared" ca="1" si="46"/>
        <v>a1H3p000009F88aEAC</v>
      </c>
      <c r="D401" s="497"/>
      <c r="E401" s="497">
        <f t="shared" ca="1" si="53"/>
        <v>1</v>
      </c>
      <c r="F401" s="512">
        <f ca="1">IFERROR(IF(COUNTA($D$56:$D401)=1,"",OFFSET($F399,-COUNTA($D$56:$D401)+3,0)),"")</f>
        <v>28</v>
      </c>
      <c r="G401" s="497"/>
      <c r="H401" s="497">
        <f t="shared" ca="1" si="54"/>
        <v>63</v>
      </c>
      <c r="I401" s="513" t="str">
        <f t="shared" ca="1" si="47"/>
        <v/>
      </c>
      <c r="J401" s="513" t="str">
        <f t="shared" ca="1" si="48"/>
        <v/>
      </c>
      <c r="K401" s="500" t="str">
        <f t="shared" ca="1" si="49"/>
        <v/>
      </c>
      <c r="L401" s="503">
        <f ca="1">IFERROR(CHOOSE(E401,'Impact Indicators - Section B '!$K$7,'Impact Indicators - Section B '!$O$7,'Impact Indicators - Section B '!$S$7,'Impact Indicators - Section B '!$W$7),"")</f>
        <v>2022</v>
      </c>
      <c r="M401" s="514" t="str">
        <f t="shared" ca="1" si="50"/>
        <v/>
      </c>
      <c r="N401" s="503" t="str">
        <f t="shared" ca="1" si="51"/>
        <v/>
      </c>
      <c r="O401" s="497" t="str">
        <f ca="1">IFERROR(IF(COUNTA($D$56:$D401)=1,"",OFFSET($C399,-COUNTA($D$56:$D401)+3,0)),"")</f>
        <v>a1H3p000009F88aEAC</v>
      </c>
      <c r="P401" s="497">
        <f t="shared" si="55"/>
        <v>0</v>
      </c>
      <c r="Q401" s="497"/>
      <c r="R401" s="497"/>
      <c r="S401" s="497"/>
      <c r="T401" s="497" t="b">
        <f t="shared" ca="1" si="52"/>
        <v>0</v>
      </c>
    </row>
    <row r="402" spans="1:20" x14ac:dyDescent="0.35">
      <c r="A402" s="497" t="b">
        <f t="shared" ca="1" si="45"/>
        <v>0</v>
      </c>
      <c r="B402" s="511"/>
      <c r="C402" s="510" t="str">
        <f t="shared" ca="1" si="46"/>
        <v>a1H3p000009F894EAC</v>
      </c>
      <c r="D402" s="497"/>
      <c r="E402" s="497">
        <f t="shared" ca="1" si="53"/>
        <v>2</v>
      </c>
      <c r="F402" s="512">
        <f ca="1">IFERROR(IF(COUNTA($D$56:$D402)=1,"",OFFSET($F400,-COUNTA($D$56:$D402)+3,0)),"")</f>
        <v>28</v>
      </c>
      <c r="G402" s="497"/>
      <c r="H402" s="497">
        <f t="shared" ca="1" si="54"/>
        <v>63</v>
      </c>
      <c r="I402" s="513" t="str">
        <f t="shared" ca="1" si="47"/>
        <v/>
      </c>
      <c r="J402" s="513" t="str">
        <f t="shared" ca="1" si="48"/>
        <v/>
      </c>
      <c r="K402" s="500" t="str">
        <f t="shared" ca="1" si="49"/>
        <v/>
      </c>
      <c r="L402" s="503">
        <f ca="1">IFERROR(CHOOSE(E402,'Impact Indicators - Section B '!$K$7,'Impact Indicators - Section B '!$O$7,'Impact Indicators - Section B '!$S$7,'Impact Indicators - Section B '!$W$7),"")</f>
        <v>2023</v>
      </c>
      <c r="M402" s="514" t="str">
        <f t="shared" ca="1" si="50"/>
        <v/>
      </c>
      <c r="N402" s="503" t="str">
        <f t="shared" ca="1" si="51"/>
        <v/>
      </c>
      <c r="O402" s="497" t="str">
        <f ca="1">IFERROR(IF(COUNTA($D$56:$D402)=1,"",OFFSET($C400,-COUNTA($D$56:$D402)+3,0)),"")</f>
        <v>a1H3p000009F894EAC</v>
      </c>
      <c r="P402" s="497">
        <f t="shared" si="55"/>
        <v>0</v>
      </c>
      <c r="Q402" s="497"/>
      <c r="R402" s="497"/>
      <c r="S402" s="497"/>
      <c r="T402" s="497" t="b">
        <f t="shared" ca="1" si="52"/>
        <v>0</v>
      </c>
    </row>
    <row r="403" spans="1:20" x14ac:dyDescent="0.35">
      <c r="A403" s="497" t="b">
        <f t="shared" ca="1" si="45"/>
        <v>0</v>
      </c>
      <c r="B403" s="511"/>
      <c r="C403" s="510" t="str">
        <f t="shared" ca="1" si="46"/>
        <v>a1H3p000009F89YEAS</v>
      </c>
      <c r="D403" s="497"/>
      <c r="E403" s="497">
        <f t="shared" ca="1" si="53"/>
        <v>3</v>
      </c>
      <c r="F403" s="512">
        <f ca="1">IFERROR(IF(COUNTA($D$56:$D403)=1,"",OFFSET($F401,-COUNTA($D$56:$D403)+3,0)),"")</f>
        <v>28</v>
      </c>
      <c r="G403" s="497"/>
      <c r="H403" s="497">
        <f t="shared" ca="1" si="54"/>
        <v>63</v>
      </c>
      <c r="I403" s="513" t="str">
        <f t="shared" ca="1" si="47"/>
        <v/>
      </c>
      <c r="J403" s="513" t="str">
        <f t="shared" ca="1" si="48"/>
        <v/>
      </c>
      <c r="K403" s="500" t="str">
        <f t="shared" ca="1" si="49"/>
        <v/>
      </c>
      <c r="L403" s="503">
        <f ca="1">IFERROR(CHOOSE(E403,'Impact Indicators - Section B '!$K$7,'Impact Indicators - Section B '!$O$7,'Impact Indicators - Section B '!$S$7,'Impact Indicators - Section B '!$W$7),"")</f>
        <v>2024</v>
      </c>
      <c r="M403" s="514" t="str">
        <f t="shared" ca="1" si="50"/>
        <v/>
      </c>
      <c r="N403" s="503" t="str">
        <f t="shared" ca="1" si="51"/>
        <v/>
      </c>
      <c r="O403" s="497" t="str">
        <f ca="1">IFERROR(IF(COUNTA($D$56:$D403)=1,"",OFFSET($C401,-COUNTA($D$56:$D403)+3,0)),"")</f>
        <v>a1H3p000009F89YEAS</v>
      </c>
      <c r="P403" s="497">
        <f t="shared" si="55"/>
        <v>0</v>
      </c>
      <c r="Q403" s="497"/>
      <c r="R403" s="497"/>
      <c r="S403" s="497"/>
      <c r="T403" s="497" t="b">
        <f t="shared" ca="1" si="52"/>
        <v>0</v>
      </c>
    </row>
    <row r="404" spans="1:20" x14ac:dyDescent="0.35">
      <c r="A404" s="497" t="b">
        <f t="shared" ca="1" si="45"/>
        <v>0</v>
      </c>
      <c r="B404" s="511"/>
      <c r="C404" s="510" t="str">
        <f t="shared" ca="1" si="46"/>
        <v>a1H3p000009F8A2EAK</v>
      </c>
      <c r="D404" s="497"/>
      <c r="E404" s="497">
        <f t="shared" ca="1" si="53"/>
        <v>4</v>
      </c>
      <c r="F404" s="512">
        <f ca="1">IFERROR(IF(COUNTA($D$56:$D404)=1,"",OFFSET($F402,-COUNTA($D$56:$D404)+3,0)),"")</f>
        <v>28</v>
      </c>
      <c r="G404" s="497"/>
      <c r="H404" s="497">
        <f t="shared" ca="1" si="54"/>
        <v>63</v>
      </c>
      <c r="I404" s="513" t="str">
        <f t="shared" ca="1" si="47"/>
        <v/>
      </c>
      <c r="J404" s="513" t="str">
        <f t="shared" ca="1" si="48"/>
        <v/>
      </c>
      <c r="K404" s="500" t="str">
        <f t="shared" ca="1" si="49"/>
        <v/>
      </c>
      <c r="L404" s="503" t="str">
        <f ca="1">IFERROR(CHOOSE(E404,'Impact Indicators - Section B '!$K$7,'Impact Indicators - Section B '!$O$7,'Impact Indicators - Section B '!$S$7,'Impact Indicators - Section B '!$W$7),"")</f>
        <v/>
      </c>
      <c r="M404" s="514" t="str">
        <f t="shared" ca="1" si="50"/>
        <v/>
      </c>
      <c r="N404" s="503" t="str">
        <f t="shared" ca="1" si="51"/>
        <v/>
      </c>
      <c r="O404" s="497" t="str">
        <f ca="1">IFERROR(IF(COUNTA($D$56:$D404)=1,"",OFFSET($C402,-COUNTA($D$56:$D404)+3,0)),"")</f>
        <v>a1H3p000009F8A2EAK</v>
      </c>
      <c r="P404" s="497">
        <f t="shared" si="55"/>
        <v>0</v>
      </c>
      <c r="Q404" s="497"/>
      <c r="R404" s="497"/>
      <c r="S404" s="497"/>
      <c r="T404" s="497" t="b">
        <f t="shared" ca="1" si="52"/>
        <v>0</v>
      </c>
    </row>
    <row r="405" spans="1:20" x14ac:dyDescent="0.35">
      <c r="A405" s="497" t="b">
        <f t="shared" ca="1" si="45"/>
        <v>0</v>
      </c>
      <c r="B405" s="511"/>
      <c r="C405" s="510" t="str">
        <f t="shared" ca="1" si="46"/>
        <v>a1H3p000009F8AWEA0</v>
      </c>
      <c r="D405" s="497"/>
      <c r="E405" s="497">
        <f t="shared" ca="1" si="53"/>
        <v>5</v>
      </c>
      <c r="F405" s="512">
        <f ca="1">IFERROR(IF(COUNTA($D$56:$D405)=1,"",OFFSET($F403,-COUNTA($D$56:$D405)+3,0)),"")</f>
        <v>28</v>
      </c>
      <c r="G405" s="497"/>
      <c r="H405" s="497">
        <f t="shared" ca="1" si="54"/>
        <v>63</v>
      </c>
      <c r="I405" s="513" t="str">
        <f t="shared" ca="1" si="47"/>
        <v/>
      </c>
      <c r="J405" s="513" t="str">
        <f t="shared" ca="1" si="48"/>
        <v/>
      </c>
      <c r="K405" s="500" t="str">
        <f t="shared" ca="1" si="49"/>
        <v/>
      </c>
      <c r="L405" s="503" t="str">
        <f ca="1">IFERROR(CHOOSE(E405,'Impact Indicators - Section B '!$K$7,'Impact Indicators - Section B '!$O$7,'Impact Indicators - Section B '!$S$7,'Impact Indicators - Section B '!$W$7),"")</f>
        <v/>
      </c>
      <c r="M405" s="514" t="str">
        <f t="shared" ca="1" si="50"/>
        <v/>
      </c>
      <c r="N405" s="503" t="str">
        <f t="shared" ca="1" si="51"/>
        <v/>
      </c>
      <c r="O405" s="497" t="str">
        <f ca="1">IFERROR(IF(COUNTA($D$56:$D405)=1,"",OFFSET($C403,-COUNTA($D$56:$D405)+3,0)),"")</f>
        <v>a1H3p000009F8AWEA0</v>
      </c>
      <c r="P405" s="497">
        <f t="shared" si="55"/>
        <v>0</v>
      </c>
      <c r="Q405" s="497"/>
      <c r="R405" s="497"/>
      <c r="S405" s="497"/>
      <c r="T405" s="497" t="b">
        <f t="shared" ca="1" si="52"/>
        <v>0</v>
      </c>
    </row>
    <row r="406" spans="1:20" x14ac:dyDescent="0.35">
      <c r="A406" s="497" t="b">
        <f t="shared" ca="1" si="45"/>
        <v>0</v>
      </c>
      <c r="B406" s="511"/>
      <c r="C406" s="510" t="str">
        <f t="shared" ca="1" si="46"/>
        <v>a1H3p000009F8B0EAK</v>
      </c>
      <c r="D406" s="497"/>
      <c r="E406" s="497">
        <f t="shared" ca="1" si="53"/>
        <v>6</v>
      </c>
      <c r="F406" s="512">
        <f ca="1">IFERROR(IF(COUNTA($D$56:$D406)=1,"",OFFSET($F404,-COUNTA($D$56:$D406)+3,0)),"")</f>
        <v>28</v>
      </c>
      <c r="G406" s="497"/>
      <c r="H406" s="497">
        <f t="shared" ca="1" si="54"/>
        <v>63</v>
      </c>
      <c r="I406" s="513" t="str">
        <f t="shared" ca="1" si="47"/>
        <v/>
      </c>
      <c r="J406" s="513" t="str">
        <f t="shared" ca="1" si="48"/>
        <v/>
      </c>
      <c r="K406" s="500" t="str">
        <f t="shared" ca="1" si="49"/>
        <v/>
      </c>
      <c r="L406" s="503" t="str">
        <f ca="1">IFERROR(CHOOSE(E406,'Impact Indicators - Section B '!$K$7,'Impact Indicators - Section B '!$O$7,'Impact Indicators - Section B '!$S$7,'Impact Indicators - Section B '!$W$7),"")</f>
        <v/>
      </c>
      <c r="M406" s="514" t="str">
        <f t="shared" ca="1" si="50"/>
        <v/>
      </c>
      <c r="N406" s="503" t="str">
        <f t="shared" ca="1" si="51"/>
        <v/>
      </c>
      <c r="O406" s="497" t="str">
        <f ca="1">IFERROR(IF(COUNTA($D$56:$D406)=1,"",OFFSET($C404,-COUNTA($D$56:$D406)+3,0)),"")</f>
        <v>a1H3p000009F8B0EAK</v>
      </c>
      <c r="P406" s="497">
        <f t="shared" si="55"/>
        <v>0</v>
      </c>
      <c r="Q406" s="497"/>
      <c r="R406" s="497"/>
      <c r="S406" s="497"/>
      <c r="T406" s="497" t="b">
        <f t="shared" ca="1" si="52"/>
        <v>0</v>
      </c>
    </row>
    <row r="407" spans="1:20" x14ac:dyDescent="0.35">
      <c r="A407" s="497" t="b">
        <f t="shared" ca="1" si="45"/>
        <v>0</v>
      </c>
      <c r="B407" s="511"/>
      <c r="C407" s="510" t="str">
        <f t="shared" ca="1" si="46"/>
        <v>a1H3p000009F88bEAC</v>
      </c>
      <c r="D407" s="497"/>
      <c r="E407" s="497">
        <f t="shared" ca="1" si="53"/>
        <v>1</v>
      </c>
      <c r="F407" s="512">
        <f ca="1">IFERROR(IF(COUNTA($D$56:$D407)=1,"",OFFSET($F405,-COUNTA($D$56:$D407)+3,0)),"")</f>
        <v>29</v>
      </c>
      <c r="G407" s="497"/>
      <c r="H407" s="497">
        <f t="shared" ca="1" si="54"/>
        <v>65</v>
      </c>
      <c r="I407" s="513" t="str">
        <f t="shared" ca="1" si="47"/>
        <v/>
      </c>
      <c r="J407" s="513" t="str">
        <f t="shared" ca="1" si="48"/>
        <v/>
      </c>
      <c r="K407" s="500" t="str">
        <f t="shared" ca="1" si="49"/>
        <v/>
      </c>
      <c r="L407" s="503">
        <f ca="1">IFERROR(CHOOSE(E407,'Impact Indicators - Section B '!$K$7,'Impact Indicators - Section B '!$O$7,'Impact Indicators - Section B '!$S$7,'Impact Indicators - Section B '!$W$7),"")</f>
        <v>2022</v>
      </c>
      <c r="M407" s="514" t="str">
        <f t="shared" ca="1" si="50"/>
        <v/>
      </c>
      <c r="N407" s="503" t="str">
        <f t="shared" ca="1" si="51"/>
        <v/>
      </c>
      <c r="O407" s="497" t="str">
        <f ca="1">IFERROR(IF(COUNTA($D$56:$D407)=1,"",OFFSET($C405,-COUNTA($D$56:$D407)+3,0)),"")</f>
        <v>a1H3p000009F88bEAC</v>
      </c>
      <c r="P407" s="497">
        <f t="shared" si="55"/>
        <v>0</v>
      </c>
      <c r="Q407" s="497"/>
      <c r="R407" s="497"/>
      <c r="S407" s="497"/>
      <c r="T407" s="497" t="b">
        <f t="shared" ca="1" si="52"/>
        <v>0</v>
      </c>
    </row>
    <row r="408" spans="1:20" x14ac:dyDescent="0.35">
      <c r="A408" s="497" t="b">
        <f t="shared" ca="1" si="45"/>
        <v>0</v>
      </c>
      <c r="B408" s="511"/>
      <c r="C408" s="510" t="str">
        <f t="shared" ca="1" si="46"/>
        <v>a1H3p000009F895EAC</v>
      </c>
      <c r="D408" s="497"/>
      <c r="E408" s="497">
        <f t="shared" ca="1" si="53"/>
        <v>2</v>
      </c>
      <c r="F408" s="512">
        <f ca="1">IFERROR(IF(COUNTA($D$56:$D408)=1,"",OFFSET($F406,-COUNTA($D$56:$D408)+3,0)),"")</f>
        <v>29</v>
      </c>
      <c r="G408" s="497"/>
      <c r="H408" s="497">
        <f t="shared" ca="1" si="54"/>
        <v>65</v>
      </c>
      <c r="I408" s="513" t="str">
        <f t="shared" ca="1" si="47"/>
        <v/>
      </c>
      <c r="J408" s="513" t="str">
        <f t="shared" ca="1" si="48"/>
        <v/>
      </c>
      <c r="K408" s="500" t="str">
        <f t="shared" ca="1" si="49"/>
        <v/>
      </c>
      <c r="L408" s="503">
        <f ca="1">IFERROR(CHOOSE(E408,'Impact Indicators - Section B '!$K$7,'Impact Indicators - Section B '!$O$7,'Impact Indicators - Section B '!$S$7,'Impact Indicators - Section B '!$W$7),"")</f>
        <v>2023</v>
      </c>
      <c r="M408" s="514" t="str">
        <f t="shared" ca="1" si="50"/>
        <v/>
      </c>
      <c r="N408" s="503" t="str">
        <f t="shared" ca="1" si="51"/>
        <v/>
      </c>
      <c r="O408" s="497" t="str">
        <f ca="1">IFERROR(IF(COUNTA($D$56:$D408)=1,"",OFFSET($C406,-COUNTA($D$56:$D408)+3,0)),"")</f>
        <v>a1H3p000009F895EAC</v>
      </c>
      <c r="P408" s="497">
        <f t="shared" si="55"/>
        <v>0</v>
      </c>
      <c r="Q408" s="497"/>
      <c r="R408" s="497"/>
      <c r="S408" s="497"/>
      <c r="T408" s="497" t="b">
        <f t="shared" ca="1" si="52"/>
        <v>0</v>
      </c>
    </row>
    <row r="409" spans="1:20" x14ac:dyDescent="0.35">
      <c r="A409" s="497" t="b">
        <f t="shared" ca="1" si="45"/>
        <v>0</v>
      </c>
      <c r="B409" s="511"/>
      <c r="C409" s="510" t="str">
        <f t="shared" ca="1" si="46"/>
        <v>a1H3p000009F89ZEAS</v>
      </c>
      <c r="D409" s="497"/>
      <c r="E409" s="497">
        <f t="shared" ca="1" si="53"/>
        <v>3</v>
      </c>
      <c r="F409" s="512">
        <f ca="1">IFERROR(IF(COUNTA($D$56:$D409)=1,"",OFFSET($F407,-COUNTA($D$56:$D409)+3,0)),"")</f>
        <v>29</v>
      </c>
      <c r="G409" s="497"/>
      <c r="H409" s="497">
        <f t="shared" ca="1" si="54"/>
        <v>65</v>
      </c>
      <c r="I409" s="513" t="str">
        <f t="shared" ca="1" si="47"/>
        <v/>
      </c>
      <c r="J409" s="513" t="str">
        <f t="shared" ca="1" si="48"/>
        <v/>
      </c>
      <c r="K409" s="500" t="str">
        <f t="shared" ca="1" si="49"/>
        <v/>
      </c>
      <c r="L409" s="503">
        <f ca="1">IFERROR(CHOOSE(E409,'Impact Indicators - Section B '!$K$7,'Impact Indicators - Section B '!$O$7,'Impact Indicators - Section B '!$S$7,'Impact Indicators - Section B '!$W$7),"")</f>
        <v>2024</v>
      </c>
      <c r="M409" s="514" t="str">
        <f t="shared" ca="1" si="50"/>
        <v/>
      </c>
      <c r="N409" s="503" t="str">
        <f t="shared" ca="1" si="51"/>
        <v/>
      </c>
      <c r="O409" s="497" t="str">
        <f ca="1">IFERROR(IF(COUNTA($D$56:$D409)=1,"",OFFSET($C407,-COUNTA($D$56:$D409)+3,0)),"")</f>
        <v>a1H3p000009F89ZEAS</v>
      </c>
      <c r="P409" s="497">
        <f t="shared" si="55"/>
        <v>0</v>
      </c>
      <c r="Q409" s="497"/>
      <c r="R409" s="497"/>
      <c r="S409" s="497"/>
      <c r="T409" s="497" t="b">
        <f t="shared" ca="1" si="52"/>
        <v>0</v>
      </c>
    </row>
    <row r="410" spans="1:20" x14ac:dyDescent="0.35">
      <c r="A410" s="497" t="b">
        <f t="shared" ca="1" si="45"/>
        <v>0</v>
      </c>
      <c r="B410" s="511"/>
      <c r="C410" s="510" t="str">
        <f t="shared" ca="1" si="46"/>
        <v>a1H3p000009F8A3EAK</v>
      </c>
      <c r="D410" s="497"/>
      <c r="E410" s="497">
        <f t="shared" ca="1" si="53"/>
        <v>4</v>
      </c>
      <c r="F410" s="512">
        <f ca="1">IFERROR(IF(COUNTA($D$56:$D410)=1,"",OFFSET($F408,-COUNTA($D$56:$D410)+3,0)),"")</f>
        <v>29</v>
      </c>
      <c r="G410" s="497"/>
      <c r="H410" s="497">
        <f t="shared" ca="1" si="54"/>
        <v>65</v>
      </c>
      <c r="I410" s="513" t="str">
        <f t="shared" ca="1" si="47"/>
        <v/>
      </c>
      <c r="J410" s="513" t="str">
        <f t="shared" ca="1" si="48"/>
        <v/>
      </c>
      <c r="K410" s="500" t="str">
        <f t="shared" ca="1" si="49"/>
        <v/>
      </c>
      <c r="L410" s="503" t="str">
        <f ca="1">IFERROR(CHOOSE(E410,'Impact Indicators - Section B '!$K$7,'Impact Indicators - Section B '!$O$7,'Impact Indicators - Section B '!$S$7,'Impact Indicators - Section B '!$W$7),"")</f>
        <v/>
      </c>
      <c r="M410" s="514" t="str">
        <f t="shared" ca="1" si="50"/>
        <v/>
      </c>
      <c r="N410" s="503" t="str">
        <f t="shared" ca="1" si="51"/>
        <v/>
      </c>
      <c r="O410" s="497" t="str">
        <f ca="1">IFERROR(IF(COUNTA($D$56:$D410)=1,"",OFFSET($C408,-COUNTA($D$56:$D410)+3,0)),"")</f>
        <v>a1H3p000009F8A3EAK</v>
      </c>
      <c r="P410" s="497">
        <f t="shared" si="55"/>
        <v>0</v>
      </c>
      <c r="Q410" s="497"/>
      <c r="R410" s="497"/>
      <c r="S410" s="497"/>
      <c r="T410" s="497" t="b">
        <f t="shared" ca="1" si="52"/>
        <v>0</v>
      </c>
    </row>
    <row r="411" spans="1:20" x14ac:dyDescent="0.35">
      <c r="A411" s="497" t="b">
        <f t="shared" ca="1" si="45"/>
        <v>0</v>
      </c>
      <c r="B411" s="511"/>
      <c r="C411" s="510" t="str">
        <f t="shared" ca="1" si="46"/>
        <v>a1H3p000009F8AXEA0</v>
      </c>
      <c r="D411" s="497"/>
      <c r="E411" s="497">
        <f t="shared" ca="1" si="53"/>
        <v>5</v>
      </c>
      <c r="F411" s="512">
        <f ca="1">IFERROR(IF(COUNTA($D$56:$D411)=1,"",OFFSET($F409,-COUNTA($D$56:$D411)+3,0)),"")</f>
        <v>29</v>
      </c>
      <c r="G411" s="497"/>
      <c r="H411" s="497">
        <f t="shared" ca="1" si="54"/>
        <v>65</v>
      </c>
      <c r="I411" s="513" t="str">
        <f t="shared" ca="1" si="47"/>
        <v/>
      </c>
      <c r="J411" s="513" t="str">
        <f t="shared" ca="1" si="48"/>
        <v/>
      </c>
      <c r="K411" s="500" t="str">
        <f t="shared" ca="1" si="49"/>
        <v/>
      </c>
      <c r="L411" s="503" t="str">
        <f ca="1">IFERROR(CHOOSE(E411,'Impact Indicators - Section B '!$K$7,'Impact Indicators - Section B '!$O$7,'Impact Indicators - Section B '!$S$7,'Impact Indicators - Section B '!$W$7),"")</f>
        <v/>
      </c>
      <c r="M411" s="514" t="str">
        <f t="shared" ca="1" si="50"/>
        <v/>
      </c>
      <c r="N411" s="503" t="str">
        <f t="shared" ca="1" si="51"/>
        <v/>
      </c>
      <c r="O411" s="497" t="str">
        <f ca="1">IFERROR(IF(COUNTA($D$56:$D411)=1,"",OFFSET($C409,-COUNTA($D$56:$D411)+3,0)),"")</f>
        <v>a1H3p000009F8AXEA0</v>
      </c>
      <c r="P411" s="497">
        <f t="shared" si="55"/>
        <v>0</v>
      </c>
      <c r="Q411" s="497"/>
      <c r="R411" s="497"/>
      <c r="S411" s="497"/>
      <c r="T411" s="497" t="b">
        <f t="shared" ca="1" si="52"/>
        <v>0</v>
      </c>
    </row>
    <row r="412" spans="1:20" x14ac:dyDescent="0.35">
      <c r="A412" s="497" t="b">
        <f t="shared" ca="1" si="45"/>
        <v>0</v>
      </c>
      <c r="B412" s="511"/>
      <c r="C412" s="510" t="str">
        <f t="shared" ca="1" si="46"/>
        <v>a1H3p000009F8B1EAK</v>
      </c>
      <c r="D412" s="497"/>
      <c r="E412" s="497">
        <f t="shared" ca="1" si="53"/>
        <v>6</v>
      </c>
      <c r="F412" s="512">
        <f ca="1">IFERROR(IF(COUNTA($D$56:$D412)=1,"",OFFSET($F410,-COUNTA($D$56:$D412)+3,0)),"")</f>
        <v>29</v>
      </c>
      <c r="G412" s="497"/>
      <c r="H412" s="497">
        <f t="shared" ca="1" si="54"/>
        <v>65</v>
      </c>
      <c r="I412" s="513" t="str">
        <f t="shared" ca="1" si="47"/>
        <v/>
      </c>
      <c r="J412" s="513" t="str">
        <f t="shared" ca="1" si="48"/>
        <v/>
      </c>
      <c r="K412" s="500" t="str">
        <f t="shared" ca="1" si="49"/>
        <v/>
      </c>
      <c r="L412" s="503" t="str">
        <f ca="1">IFERROR(CHOOSE(E412,'Impact Indicators - Section B '!$K$7,'Impact Indicators - Section B '!$O$7,'Impact Indicators - Section B '!$S$7,'Impact Indicators - Section B '!$W$7),"")</f>
        <v/>
      </c>
      <c r="M412" s="514" t="str">
        <f t="shared" ca="1" si="50"/>
        <v/>
      </c>
      <c r="N412" s="503" t="str">
        <f t="shared" ca="1" si="51"/>
        <v/>
      </c>
      <c r="O412" s="497" t="str">
        <f ca="1">IFERROR(IF(COUNTA($D$56:$D412)=1,"",OFFSET($C410,-COUNTA($D$56:$D412)+3,0)),"")</f>
        <v>a1H3p000009F8B1EAK</v>
      </c>
      <c r="P412" s="497">
        <f t="shared" si="55"/>
        <v>0</v>
      </c>
      <c r="Q412" s="497"/>
      <c r="R412" s="497"/>
      <c r="S412" s="497"/>
      <c r="T412" s="497" t="b">
        <f t="shared" ca="1" si="52"/>
        <v>0</v>
      </c>
    </row>
    <row r="413" spans="1:20" x14ac:dyDescent="0.35">
      <c r="A413" s="497" t="b">
        <f t="shared" ca="1" si="45"/>
        <v>0</v>
      </c>
      <c r="B413" s="511"/>
      <c r="C413" s="510" t="str">
        <f t="shared" ca="1" si="46"/>
        <v>a1H3p000009F88cEAC</v>
      </c>
      <c r="D413" s="497"/>
      <c r="E413" s="497">
        <f t="shared" ca="1" si="53"/>
        <v>1</v>
      </c>
      <c r="F413" s="512">
        <f ca="1">IFERROR(IF(COUNTA($D$56:$D413)=1,"",OFFSET($F411,-COUNTA($D$56:$D413)+3,0)),"")</f>
        <v>30</v>
      </c>
      <c r="G413" s="497"/>
      <c r="H413" s="497">
        <f t="shared" ca="1" si="54"/>
        <v>67</v>
      </c>
      <c r="I413" s="513" t="str">
        <f t="shared" ca="1" si="47"/>
        <v/>
      </c>
      <c r="J413" s="513" t="str">
        <f t="shared" ca="1" si="48"/>
        <v/>
      </c>
      <c r="K413" s="500" t="str">
        <f t="shared" ca="1" si="49"/>
        <v/>
      </c>
      <c r="L413" s="503">
        <f ca="1">IFERROR(CHOOSE(E413,'Impact Indicators - Section B '!$K$7,'Impact Indicators - Section B '!$O$7,'Impact Indicators - Section B '!$S$7,'Impact Indicators - Section B '!$W$7),"")</f>
        <v>2022</v>
      </c>
      <c r="M413" s="514" t="str">
        <f t="shared" ca="1" si="50"/>
        <v/>
      </c>
      <c r="N413" s="503" t="str">
        <f t="shared" ca="1" si="51"/>
        <v/>
      </c>
      <c r="O413" s="497" t="str">
        <f ca="1">IFERROR(IF(COUNTA($D$56:$D413)=1,"",OFFSET($C411,-COUNTA($D$56:$D413)+3,0)),"")</f>
        <v>a1H3p000009F88cEAC</v>
      </c>
      <c r="P413" s="497">
        <f t="shared" si="55"/>
        <v>0</v>
      </c>
      <c r="Q413" s="497"/>
      <c r="R413" s="497"/>
      <c r="S413" s="497"/>
      <c r="T413" s="497" t="b">
        <f t="shared" ca="1" si="52"/>
        <v>0</v>
      </c>
    </row>
    <row r="414" spans="1:20" x14ac:dyDescent="0.35">
      <c r="A414" s="497" t="b">
        <f t="shared" ca="1" si="45"/>
        <v>0</v>
      </c>
      <c r="B414" s="511"/>
      <c r="C414" s="510" t="str">
        <f t="shared" ca="1" si="46"/>
        <v>a1H3p000009F896EAC</v>
      </c>
      <c r="D414" s="497"/>
      <c r="E414" s="497">
        <f t="shared" ca="1" si="53"/>
        <v>2</v>
      </c>
      <c r="F414" s="512">
        <f ca="1">IFERROR(IF(COUNTA($D$56:$D414)=1,"",OFFSET($F412,-COUNTA($D$56:$D414)+3,0)),"")</f>
        <v>30</v>
      </c>
      <c r="G414" s="497"/>
      <c r="H414" s="497">
        <f t="shared" ca="1" si="54"/>
        <v>67</v>
      </c>
      <c r="I414" s="513" t="str">
        <f t="shared" ca="1" si="47"/>
        <v/>
      </c>
      <c r="J414" s="513" t="str">
        <f t="shared" ca="1" si="48"/>
        <v/>
      </c>
      <c r="K414" s="500" t="str">
        <f t="shared" ca="1" si="49"/>
        <v/>
      </c>
      <c r="L414" s="503">
        <f ca="1">IFERROR(CHOOSE(E414,'Impact Indicators - Section B '!$K$7,'Impact Indicators - Section B '!$O$7,'Impact Indicators - Section B '!$S$7,'Impact Indicators - Section B '!$W$7),"")</f>
        <v>2023</v>
      </c>
      <c r="M414" s="514" t="str">
        <f t="shared" ca="1" si="50"/>
        <v/>
      </c>
      <c r="N414" s="503" t="str">
        <f t="shared" ca="1" si="51"/>
        <v/>
      </c>
      <c r="O414" s="497" t="str">
        <f ca="1">IFERROR(IF(COUNTA($D$56:$D414)=1,"",OFFSET($C412,-COUNTA($D$56:$D414)+3,0)),"")</f>
        <v>a1H3p000009F896EAC</v>
      </c>
      <c r="P414" s="497">
        <f t="shared" si="55"/>
        <v>0</v>
      </c>
      <c r="Q414" s="497"/>
      <c r="R414" s="497"/>
      <c r="S414" s="497"/>
      <c r="T414" s="497" t="b">
        <f t="shared" ca="1" si="52"/>
        <v>0</v>
      </c>
    </row>
    <row r="415" spans="1:20" x14ac:dyDescent="0.35">
      <c r="A415" s="497" t="b">
        <f t="shared" ca="1" si="45"/>
        <v>0</v>
      </c>
      <c r="B415" s="511"/>
      <c r="C415" s="510" t="str">
        <f t="shared" ca="1" si="46"/>
        <v>a1H3p000009F89aEAC</v>
      </c>
      <c r="D415" s="497"/>
      <c r="E415" s="497">
        <f t="shared" ca="1" si="53"/>
        <v>3</v>
      </c>
      <c r="F415" s="512">
        <f ca="1">IFERROR(IF(COUNTA($D$56:$D415)=1,"",OFFSET($F413,-COUNTA($D$56:$D415)+3,0)),"")</f>
        <v>30</v>
      </c>
      <c r="G415" s="497"/>
      <c r="H415" s="497">
        <f t="shared" ca="1" si="54"/>
        <v>67</v>
      </c>
      <c r="I415" s="513" t="str">
        <f t="shared" ca="1" si="47"/>
        <v/>
      </c>
      <c r="J415" s="513" t="str">
        <f t="shared" ca="1" si="48"/>
        <v/>
      </c>
      <c r="K415" s="500" t="str">
        <f t="shared" ca="1" si="49"/>
        <v/>
      </c>
      <c r="L415" s="503">
        <f ca="1">IFERROR(CHOOSE(E415,'Impact Indicators - Section B '!$K$7,'Impact Indicators - Section B '!$O$7,'Impact Indicators - Section B '!$S$7,'Impact Indicators - Section B '!$W$7),"")</f>
        <v>2024</v>
      </c>
      <c r="M415" s="514" t="str">
        <f t="shared" ca="1" si="50"/>
        <v/>
      </c>
      <c r="N415" s="503" t="str">
        <f t="shared" ca="1" si="51"/>
        <v/>
      </c>
      <c r="O415" s="497" t="str">
        <f ca="1">IFERROR(IF(COUNTA($D$56:$D415)=1,"",OFFSET($C413,-COUNTA($D$56:$D415)+3,0)),"")</f>
        <v>a1H3p000009F89aEAC</v>
      </c>
      <c r="P415" s="497">
        <f t="shared" si="55"/>
        <v>0</v>
      </c>
      <c r="Q415" s="497"/>
      <c r="R415" s="497"/>
      <c r="S415" s="497"/>
      <c r="T415" s="497" t="b">
        <f t="shared" ca="1" si="52"/>
        <v>0</v>
      </c>
    </row>
    <row r="416" spans="1:20" x14ac:dyDescent="0.35">
      <c r="A416" s="497" t="b">
        <f t="shared" ca="1" si="45"/>
        <v>0</v>
      </c>
      <c r="B416" s="511"/>
      <c r="C416" s="510" t="str">
        <f t="shared" ca="1" si="46"/>
        <v>a1H3p000009F8A4EAK</v>
      </c>
      <c r="D416" s="497"/>
      <c r="E416" s="497">
        <f t="shared" ca="1" si="53"/>
        <v>4</v>
      </c>
      <c r="F416" s="512">
        <f ca="1">IFERROR(IF(COUNTA($D$56:$D416)=1,"",OFFSET($F414,-COUNTA($D$56:$D416)+3,0)),"")</f>
        <v>30</v>
      </c>
      <c r="G416" s="497"/>
      <c r="H416" s="497">
        <f t="shared" ca="1" si="54"/>
        <v>67</v>
      </c>
      <c r="I416" s="513" t="str">
        <f t="shared" ca="1" si="47"/>
        <v/>
      </c>
      <c r="J416" s="513" t="str">
        <f t="shared" ca="1" si="48"/>
        <v/>
      </c>
      <c r="K416" s="500" t="str">
        <f t="shared" ca="1" si="49"/>
        <v/>
      </c>
      <c r="L416" s="503" t="str">
        <f ca="1">IFERROR(CHOOSE(E416,'Impact Indicators - Section B '!$K$7,'Impact Indicators - Section B '!$O$7,'Impact Indicators - Section B '!$S$7,'Impact Indicators - Section B '!$W$7),"")</f>
        <v/>
      </c>
      <c r="M416" s="514" t="str">
        <f t="shared" ca="1" si="50"/>
        <v/>
      </c>
      <c r="N416" s="503" t="str">
        <f t="shared" ca="1" si="51"/>
        <v/>
      </c>
      <c r="O416" s="497" t="str">
        <f ca="1">IFERROR(IF(COUNTA($D$56:$D416)=1,"",OFFSET($C414,-COUNTA($D$56:$D416)+3,0)),"")</f>
        <v>a1H3p000009F8A4EAK</v>
      </c>
      <c r="P416" s="497">
        <f t="shared" si="55"/>
        <v>0</v>
      </c>
      <c r="Q416" s="497"/>
      <c r="R416" s="497"/>
      <c r="S416" s="497"/>
      <c r="T416" s="497" t="b">
        <f t="shared" ca="1" si="52"/>
        <v>0</v>
      </c>
    </row>
    <row r="417" spans="1:21" x14ac:dyDescent="0.35">
      <c r="A417" s="497" t="b">
        <f t="shared" ca="1" si="45"/>
        <v>0</v>
      </c>
      <c r="B417" s="511"/>
      <c r="C417" s="510" t="str">
        <f t="shared" ca="1" si="46"/>
        <v>a1H3p000009F8AYEA0</v>
      </c>
      <c r="D417" s="497"/>
      <c r="E417" s="497">
        <f t="shared" ca="1" si="53"/>
        <v>5</v>
      </c>
      <c r="F417" s="512">
        <f ca="1">IFERROR(IF(COUNTA($D$56:$D417)=1,"",OFFSET($F415,-COUNTA($D$56:$D417)+3,0)),"")</f>
        <v>30</v>
      </c>
      <c r="G417" s="497"/>
      <c r="H417" s="497">
        <f t="shared" ca="1" si="54"/>
        <v>67</v>
      </c>
      <c r="I417" s="513" t="str">
        <f t="shared" ca="1" si="47"/>
        <v/>
      </c>
      <c r="J417" s="513" t="str">
        <f t="shared" ca="1" si="48"/>
        <v/>
      </c>
      <c r="K417" s="500" t="str">
        <f t="shared" ca="1" si="49"/>
        <v/>
      </c>
      <c r="L417" s="503" t="str">
        <f ca="1">IFERROR(CHOOSE(E417,'Impact Indicators - Section B '!$K$7,'Impact Indicators - Section B '!$O$7,'Impact Indicators - Section B '!$S$7,'Impact Indicators - Section B '!$W$7),"")</f>
        <v/>
      </c>
      <c r="M417" s="514" t="str">
        <f t="shared" ca="1" si="50"/>
        <v/>
      </c>
      <c r="N417" s="503" t="str">
        <f t="shared" ca="1" si="51"/>
        <v/>
      </c>
      <c r="O417" s="497" t="str">
        <f ca="1">IFERROR(IF(COUNTA($D$56:$D417)=1,"",OFFSET($C415,-COUNTA($D$56:$D417)+3,0)),"")</f>
        <v>a1H3p000009F8AYEA0</v>
      </c>
      <c r="P417" s="497">
        <f t="shared" si="55"/>
        <v>0</v>
      </c>
      <c r="Q417" s="497"/>
      <c r="R417" s="497"/>
      <c r="S417" s="497"/>
      <c r="T417" s="497" t="b">
        <f t="shared" ca="1" si="52"/>
        <v>0</v>
      </c>
    </row>
    <row r="418" spans="1:21" x14ac:dyDescent="0.35">
      <c r="A418" s="497" t="b">
        <f t="shared" ca="1" si="45"/>
        <v>0</v>
      </c>
      <c r="B418" s="511"/>
      <c r="C418" s="510" t="str">
        <f t="shared" ca="1" si="46"/>
        <v>a1H3p000009F8B2EAK</v>
      </c>
      <c r="D418" s="497"/>
      <c r="E418" s="497">
        <f t="shared" ca="1" si="53"/>
        <v>6</v>
      </c>
      <c r="F418" s="512">
        <f ca="1">IFERROR(IF(COUNTA($D$56:$D418)=1,"",OFFSET($F416,-COUNTA($D$56:$D418)+3,0)),"")</f>
        <v>30</v>
      </c>
      <c r="G418" s="497"/>
      <c r="H418" s="497">
        <f t="shared" ca="1" si="54"/>
        <v>67</v>
      </c>
      <c r="I418" s="513" t="str">
        <f t="shared" ca="1" si="47"/>
        <v/>
      </c>
      <c r="J418" s="513" t="str">
        <f t="shared" ca="1" si="48"/>
        <v/>
      </c>
      <c r="K418" s="500" t="str">
        <f t="shared" ca="1" si="49"/>
        <v/>
      </c>
      <c r="L418" s="503" t="str">
        <f ca="1">IFERROR(CHOOSE(E418,'Impact Indicators - Section B '!$K$7,'Impact Indicators - Section B '!$O$7,'Impact Indicators - Section B '!$S$7,'Impact Indicators - Section B '!$W$7),"")</f>
        <v/>
      </c>
      <c r="M418" s="514" t="str">
        <f t="shared" ca="1" si="50"/>
        <v/>
      </c>
      <c r="N418" s="503" t="str">
        <f t="shared" ca="1" si="51"/>
        <v/>
      </c>
      <c r="O418" s="497" t="str">
        <f ca="1">IFERROR(IF(COUNTA($D$56:$D418)=1,"",OFFSET($C416,-COUNTA($D$56:$D418)+3,0)),"")</f>
        <v>a1H3p000009F8B2EAK</v>
      </c>
      <c r="P418" s="497">
        <f t="shared" si="55"/>
        <v>0</v>
      </c>
      <c r="Q418" s="497"/>
      <c r="R418" s="497"/>
      <c r="S418" s="497"/>
      <c r="T418" s="497" t="b">
        <f t="shared" ca="1" si="52"/>
        <v>0</v>
      </c>
    </row>
    <row r="419" spans="1:21" x14ac:dyDescent="0.35">
      <c r="J419" s="496" t="str">
        <f ca="1">IF(ROW()&gt;'Impact Indicator Target Update'!A6,"",INDIRECT("'Impact Indicators - Section B'!A"&amp;'Impact Indicator Target Update'!D6))</f>
        <v/>
      </c>
    </row>
    <row r="420" spans="1:21" x14ac:dyDescent="0.35">
      <c r="A420" s="507" t="s">
        <v>317</v>
      </c>
      <c r="J420" s="496" t="str">
        <f ca="1">IF(ROW()&gt;'Impact Indicator Target Update'!A7,"",INDIRECT("'Impact Indicators - Section B'!A"&amp;'Impact Indicator Target Update'!D7))</f>
        <v/>
      </c>
    </row>
    <row r="421" spans="1:21" x14ac:dyDescent="0.35">
      <c r="A421" s="497" t="s">
        <v>46</v>
      </c>
      <c r="B421" s="497">
        <v>-14</v>
      </c>
      <c r="C421" s="497" t="s">
        <v>48</v>
      </c>
      <c r="D421" s="497" t="s">
        <v>4</v>
      </c>
      <c r="E421" s="497" t="s">
        <v>3</v>
      </c>
      <c r="F421" s="497" t="s">
        <v>2</v>
      </c>
      <c r="G421" s="497" t="s">
        <v>29</v>
      </c>
      <c r="H421" s="497" t="s">
        <v>18</v>
      </c>
      <c r="I421" s="497">
        <v>-19</v>
      </c>
      <c r="J421" s="497" t="s">
        <v>327</v>
      </c>
      <c r="K421" s="497"/>
      <c r="L421" s="497" t="s">
        <v>336</v>
      </c>
      <c r="M421" s="497" t="s">
        <v>145</v>
      </c>
      <c r="N421" s="497" t="s">
        <v>39</v>
      </c>
      <c r="O421" s="497" t="s">
        <v>188</v>
      </c>
      <c r="P421" s="497" t="s">
        <v>470</v>
      </c>
      <c r="Q421" s="497" t="s">
        <v>468</v>
      </c>
      <c r="R421" s="497" t="s">
        <v>469</v>
      </c>
      <c r="S421" s="497" t="s">
        <v>950</v>
      </c>
      <c r="T421" s="497" t="s">
        <v>952</v>
      </c>
      <c r="U421" s="497" t="s">
        <v>349</v>
      </c>
    </row>
    <row r="422" spans="1:21" hidden="1" x14ac:dyDescent="0.35">
      <c r="A422" s="497" t="b">
        <f ca="1">IF(OR(P422&lt;&gt;"",M422&lt;&gt;""),TRUE,FALSE)</f>
        <v>0</v>
      </c>
      <c r="B422" s="498">
        <f>B421+1</f>
        <v>-13</v>
      </c>
      <c r="C422" s="497" t="str">
        <f>IFERROR(INDEX(C$421:C422,B422,1),"")</f>
        <v/>
      </c>
      <c r="D422" s="500" t="str">
        <f ca="1">IFERROR(IF(INDIRECT("'Outcome Indicators - Section C '!E"&amp;$I422)="","",INDIRECT("'Outcome Indicators - Section C '!E"&amp;$I422)*100),"")</f>
        <v/>
      </c>
      <c r="E422" s="512" t="str">
        <f ca="1">IFERROR(IF(INDIRECT("'Outcome Indicators - Section C '!D"&amp;$I422+1)="","",INDIRECT("'Outcome Indicators - Section C '!D"&amp;$I422+1)),"")</f>
        <v/>
      </c>
      <c r="F422" s="502" t="str">
        <f ca="1">IFERROR(IF(INDIRECT("'Outcome Indicators - Section C '!D"&amp;$I422)="","",INDIRECT("'Outcome Indicators - Section C '!D"&amp;$I422)),"")</f>
        <v/>
      </c>
      <c r="G422" s="503" t="str">
        <f ca="1">IFERROR(IF(INDIRECT("'Outcome Indicators - Section C '!F"&amp;$I422)=0,"",INDIRECT("'Outcome Indicators - Section C '!F"&amp;$I422)),"")</f>
        <v/>
      </c>
      <c r="H422" s="503" t="str">
        <f ca="1">IFERROR(IF(INDIRECT("'Outcome Indicators - Section C '!AC"&amp;$I3)=0,"",INDIRECT("'Outcome Indicators - Section C '!AC"&amp;$I3)),"")</f>
        <v/>
      </c>
      <c r="I422" s="498">
        <f>IF(B422=3,9,I421+2)</f>
        <v>-17</v>
      </c>
      <c r="J422" s="503" t="str">
        <f ca="1">IFERROR(IF(INDIRECT("'Outcome Indicators - Section C '!AD"&amp;$I422)=0,"",INDIRECT("'Outcome Indicators - Section C '!AD"&amp;$I422)),"")</f>
        <v/>
      </c>
      <c r="K422" s="497"/>
      <c r="L422" s="503" t="str">
        <f ca="1">IFERROR(IF(INDIRECT("'Outcome Indicators - Section C '!AB"&amp;$I422)=0,"",INDIRECT("'Outcome Indicators - Section C '!AB"&amp;$I422)),"")</f>
        <v/>
      </c>
      <c r="M422" s="497" t="str">
        <f t="array" aca="1" ref="M422" ca="1">IFERROR(VLOOKUP(LEFT(INDIRECT("'Outcome Indicators - Section C '!B"&amp;$I422),255),LEFT('Reference Records'!$C$24:$L$73,255),10,0),"")</f>
        <v/>
      </c>
      <c r="N422" s="497" t="str">
        <f ca="1">IFERROR(IF(INDIRECT("'Outcome Indicators - Section C '!j"&amp;$I422)=0,"",INDIRECT("'Outcome Indicators - Section C '!j"&amp;$I422)),"")</f>
        <v/>
      </c>
      <c r="O422" s="503" t="str">
        <f ca="1">IFERROR(VLOOKUP(INDIRECT("'Outcome Indicators - Section C '!I"&amp;$I422),'Overview - Section A'!M$31:P33,4,0),IFERROR(VLOOKUP(INDIRECT("'Outcome Indicators - Section C '!I"&amp;$I422),'Overview - Section A'!E$27:I30,5,0),""))</f>
        <v/>
      </c>
      <c r="P422" s="503" t="str">
        <f ca="1">IFERROR(IF(INDIRECT("'Outcome Indicators - Section C '!C"&amp;$I422)=0,"",INDIRECT("'Outcome Indicators - Section C '!C"&amp;$I422)),"")</f>
        <v/>
      </c>
      <c r="Q422" s="503" t="str">
        <f ca="1">IFERROR(IF(INDIRECT("'Outcome Indicators - Section C '!G"&amp;$I3)=0,"",INDIRECT("'Outcome Indicators - Section C '!G"&amp;$I3)),"")</f>
        <v/>
      </c>
      <c r="R422" s="503" t="str">
        <f ca="1">IFERROR(IF(INDIRECT("'Outcome Indicators - Section C '!AA"&amp;$I422)=0,"",INDIRECT("'Outcome Indicators - Section C '!AA"&amp;$I422)),"")</f>
        <v/>
      </c>
      <c r="S422" s="503" t="s">
        <v>949</v>
      </c>
      <c r="T422" s="503" t="s">
        <v>951</v>
      </c>
      <c r="U422" s="497" t="s">
        <v>348</v>
      </c>
    </row>
    <row r="423" spans="1:21" ht="409.5" x14ac:dyDescent="0.35">
      <c r="A423" s="497" t="b">
        <v>1</v>
      </c>
      <c r="B423" s="498">
        <f t="shared" ref="B423:B467" si="56">B422+1</f>
        <v>-12</v>
      </c>
      <c r="C423" s="497" t="s">
        <v>9219</v>
      </c>
      <c r="D423" s="500">
        <v>48.933333333333302</v>
      </c>
      <c r="E423" s="512">
        <v>1500</v>
      </c>
      <c r="F423" s="502">
        <v>734</v>
      </c>
      <c r="G423" s="503" t="s">
        <v>1032</v>
      </c>
      <c r="H423" s="503" t="s">
        <v>9002</v>
      </c>
      <c r="I423" s="498">
        <f t="shared" ref="I423:I467" si="57">IF(B423=3,9,I422+2)</f>
        <v>-15</v>
      </c>
      <c r="J423" s="504" t="s">
        <v>9220</v>
      </c>
      <c r="K423" s="497"/>
      <c r="L423" s="503"/>
      <c r="M423" s="497" t="s">
        <v>1701</v>
      </c>
      <c r="N423" s="497" t="s">
        <v>1070</v>
      </c>
      <c r="O423" s="503" t="s">
        <v>4030</v>
      </c>
      <c r="P423" s="503"/>
      <c r="Q423" s="503" t="s">
        <v>9002</v>
      </c>
      <c r="R423" s="504" t="s">
        <v>9221</v>
      </c>
      <c r="S423" s="503" t="s">
        <v>1705</v>
      </c>
      <c r="T423" s="503" t="s">
        <v>1706</v>
      </c>
      <c r="U423" s="497" t="s">
        <v>4029</v>
      </c>
    </row>
    <row r="424" spans="1:21" ht="409.5" x14ac:dyDescent="0.35">
      <c r="A424" s="497" t="b">
        <v>1</v>
      </c>
      <c r="B424" s="498">
        <f t="shared" si="56"/>
        <v>-11</v>
      </c>
      <c r="C424" s="497" t="s">
        <v>9222</v>
      </c>
      <c r="D424" s="500">
        <v>73.089464030976202</v>
      </c>
      <c r="E424" s="512">
        <v>9814</v>
      </c>
      <c r="F424" s="502">
        <v>7173</v>
      </c>
      <c r="G424" s="503" t="s">
        <v>1033</v>
      </c>
      <c r="H424" s="503" t="s">
        <v>9223</v>
      </c>
      <c r="I424" s="498">
        <f t="shared" si="57"/>
        <v>-13</v>
      </c>
      <c r="J424" s="504" t="s">
        <v>9224</v>
      </c>
      <c r="K424" s="497"/>
      <c r="L424" s="503"/>
      <c r="M424" s="497" t="s">
        <v>1769</v>
      </c>
      <c r="N424" s="497" t="s">
        <v>1070</v>
      </c>
      <c r="O424" s="503" t="s">
        <v>4030</v>
      </c>
      <c r="P424" s="503"/>
      <c r="Q424" s="503" t="s">
        <v>9223</v>
      </c>
      <c r="R424" s="504" t="s">
        <v>9225</v>
      </c>
      <c r="S424" s="503" t="s">
        <v>1773</v>
      </c>
      <c r="T424" s="503" t="s">
        <v>1774</v>
      </c>
      <c r="U424" s="497" t="s">
        <v>4029</v>
      </c>
    </row>
    <row r="425" spans="1:21" x14ac:dyDescent="0.35">
      <c r="A425" s="497" t="b">
        <v>0</v>
      </c>
      <c r="B425" s="498">
        <f t="shared" si="56"/>
        <v>-10</v>
      </c>
      <c r="C425" s="497" t="s">
        <v>9226</v>
      </c>
      <c r="D425" s="500"/>
      <c r="E425" s="512"/>
      <c r="F425" s="502"/>
      <c r="G425" s="503"/>
      <c r="H425" s="503"/>
      <c r="I425" s="498">
        <f t="shared" si="57"/>
        <v>-11</v>
      </c>
      <c r="J425" s="503"/>
      <c r="K425" s="497"/>
      <c r="L425" s="503"/>
      <c r="M425" s="497"/>
      <c r="N425" s="497"/>
      <c r="O425" s="503"/>
      <c r="P425" s="503"/>
      <c r="Q425" s="503"/>
      <c r="R425" s="503"/>
      <c r="S425" s="503"/>
      <c r="T425" s="503"/>
      <c r="U425" s="497"/>
    </row>
    <row r="426" spans="1:21" x14ac:dyDescent="0.35">
      <c r="A426" s="497" t="b">
        <v>0</v>
      </c>
      <c r="B426" s="498">
        <f t="shared" si="56"/>
        <v>-9</v>
      </c>
      <c r="C426" s="497" t="s">
        <v>9227</v>
      </c>
      <c r="D426" s="500"/>
      <c r="E426" s="512"/>
      <c r="F426" s="502"/>
      <c r="G426" s="503"/>
      <c r="H426" s="503"/>
      <c r="I426" s="498">
        <f t="shared" si="57"/>
        <v>-9</v>
      </c>
      <c r="J426" s="503"/>
      <c r="K426" s="497"/>
      <c r="L426" s="503"/>
      <c r="M426" s="497"/>
      <c r="N426" s="497"/>
      <c r="O426" s="503"/>
      <c r="P426" s="503"/>
      <c r="Q426" s="503"/>
      <c r="R426" s="503"/>
      <c r="S426" s="503"/>
      <c r="T426" s="503"/>
      <c r="U426" s="497"/>
    </row>
    <row r="427" spans="1:21" x14ac:dyDescent="0.35">
      <c r="A427" s="497" t="b">
        <v>0</v>
      </c>
      <c r="B427" s="498">
        <f t="shared" si="56"/>
        <v>-8</v>
      </c>
      <c r="C427" s="497" t="s">
        <v>9228</v>
      </c>
      <c r="D427" s="500"/>
      <c r="E427" s="512"/>
      <c r="F427" s="502"/>
      <c r="G427" s="503"/>
      <c r="H427" s="503"/>
      <c r="I427" s="498">
        <f t="shared" si="57"/>
        <v>-7</v>
      </c>
      <c r="J427" s="503"/>
      <c r="K427" s="497"/>
      <c r="L427" s="503"/>
      <c r="M427" s="497"/>
      <c r="N427" s="497"/>
      <c r="O427" s="503"/>
      <c r="P427" s="503"/>
      <c r="Q427" s="503"/>
      <c r="R427" s="503"/>
      <c r="S427" s="503"/>
      <c r="T427" s="503"/>
      <c r="U427" s="497"/>
    </row>
    <row r="428" spans="1:21" x14ac:dyDescent="0.35">
      <c r="A428" s="497" t="b">
        <v>0</v>
      </c>
      <c r="B428" s="498">
        <f t="shared" si="56"/>
        <v>-7</v>
      </c>
      <c r="C428" s="497" t="s">
        <v>9229</v>
      </c>
      <c r="D428" s="500"/>
      <c r="E428" s="512"/>
      <c r="F428" s="502"/>
      <c r="G428" s="503"/>
      <c r="H428" s="503"/>
      <c r="I428" s="498">
        <f t="shared" si="57"/>
        <v>-5</v>
      </c>
      <c r="J428" s="503"/>
      <c r="K428" s="497"/>
      <c r="L428" s="503"/>
      <c r="M428" s="497"/>
      <c r="N428" s="497"/>
      <c r="O428" s="503"/>
      <c r="P428" s="503"/>
      <c r="Q428" s="503"/>
      <c r="R428" s="503"/>
      <c r="S428" s="503"/>
      <c r="T428" s="503"/>
      <c r="U428" s="497"/>
    </row>
    <row r="429" spans="1:21" x14ac:dyDescent="0.35">
      <c r="A429" s="497" t="b">
        <v>0</v>
      </c>
      <c r="B429" s="498">
        <f t="shared" si="56"/>
        <v>-6</v>
      </c>
      <c r="C429" s="497" t="s">
        <v>9230</v>
      </c>
      <c r="D429" s="500"/>
      <c r="E429" s="512"/>
      <c r="F429" s="502"/>
      <c r="G429" s="503"/>
      <c r="H429" s="503"/>
      <c r="I429" s="498">
        <f t="shared" si="57"/>
        <v>-3</v>
      </c>
      <c r="J429" s="503"/>
      <c r="K429" s="497"/>
      <c r="L429" s="503"/>
      <c r="M429" s="497"/>
      <c r="N429" s="497"/>
      <c r="O429" s="503"/>
      <c r="P429" s="503"/>
      <c r="Q429" s="503"/>
      <c r="R429" s="503"/>
      <c r="S429" s="503"/>
      <c r="T429" s="503"/>
      <c r="U429" s="497"/>
    </row>
    <row r="430" spans="1:21" x14ac:dyDescent="0.35">
      <c r="A430" s="497" t="b">
        <v>0</v>
      </c>
      <c r="B430" s="498">
        <f t="shared" si="56"/>
        <v>-5</v>
      </c>
      <c r="C430" s="497" t="s">
        <v>9231</v>
      </c>
      <c r="D430" s="500"/>
      <c r="E430" s="512"/>
      <c r="F430" s="502"/>
      <c r="G430" s="503"/>
      <c r="H430" s="503"/>
      <c r="I430" s="498">
        <f t="shared" si="57"/>
        <v>-1</v>
      </c>
      <c r="J430" s="503"/>
      <c r="K430" s="497"/>
      <c r="L430" s="503"/>
      <c r="M430" s="497"/>
      <c r="N430" s="497"/>
      <c r="O430" s="503"/>
      <c r="P430" s="503"/>
      <c r="Q430" s="503"/>
      <c r="R430" s="503"/>
      <c r="S430" s="503"/>
      <c r="T430" s="503"/>
      <c r="U430" s="497"/>
    </row>
    <row r="431" spans="1:21" x14ac:dyDescent="0.35">
      <c r="A431" s="497" t="b">
        <v>0</v>
      </c>
      <c r="B431" s="498">
        <f t="shared" si="56"/>
        <v>-4</v>
      </c>
      <c r="C431" s="497" t="s">
        <v>9232</v>
      </c>
      <c r="D431" s="500"/>
      <c r="E431" s="512"/>
      <c r="F431" s="502"/>
      <c r="G431" s="503"/>
      <c r="H431" s="503"/>
      <c r="I431" s="498">
        <f t="shared" si="57"/>
        <v>1</v>
      </c>
      <c r="J431" s="503"/>
      <c r="K431" s="497"/>
      <c r="L431" s="503"/>
      <c r="M431" s="497"/>
      <c r="N431" s="497"/>
      <c r="O431" s="503"/>
      <c r="P431" s="503"/>
      <c r="Q431" s="503"/>
      <c r="R431" s="503"/>
      <c r="S431" s="503"/>
      <c r="T431" s="503"/>
      <c r="U431" s="497"/>
    </row>
    <row r="432" spans="1:21" x14ac:dyDescent="0.35">
      <c r="A432" s="497" t="b">
        <v>0</v>
      </c>
      <c r="B432" s="498">
        <f t="shared" si="56"/>
        <v>-3</v>
      </c>
      <c r="C432" s="497" t="s">
        <v>9233</v>
      </c>
      <c r="D432" s="500"/>
      <c r="E432" s="512"/>
      <c r="F432" s="502"/>
      <c r="G432" s="503"/>
      <c r="H432" s="503"/>
      <c r="I432" s="498">
        <f t="shared" si="57"/>
        <v>3</v>
      </c>
      <c r="J432" s="503"/>
      <c r="K432" s="497"/>
      <c r="L432" s="503"/>
      <c r="M432" s="497"/>
      <c r="N432" s="497"/>
      <c r="O432" s="503"/>
      <c r="P432" s="503"/>
      <c r="Q432" s="503"/>
      <c r="R432" s="503"/>
      <c r="S432" s="503"/>
      <c r="T432" s="503"/>
      <c r="U432" s="497"/>
    </row>
    <row r="433" spans="1:21" x14ac:dyDescent="0.35">
      <c r="A433" s="497" t="b">
        <v>0</v>
      </c>
      <c r="B433" s="498">
        <f t="shared" si="56"/>
        <v>-2</v>
      </c>
      <c r="C433" s="497" t="s">
        <v>9234</v>
      </c>
      <c r="D433" s="500"/>
      <c r="E433" s="512"/>
      <c r="F433" s="502"/>
      <c r="G433" s="503"/>
      <c r="H433" s="503"/>
      <c r="I433" s="498">
        <f t="shared" si="57"/>
        <v>5</v>
      </c>
      <c r="J433" s="503"/>
      <c r="K433" s="497"/>
      <c r="L433" s="503"/>
      <c r="M433" s="497"/>
      <c r="N433" s="497"/>
      <c r="O433" s="503"/>
      <c r="P433" s="503"/>
      <c r="Q433" s="503"/>
      <c r="R433" s="503"/>
      <c r="S433" s="503"/>
      <c r="T433" s="503"/>
      <c r="U433" s="497"/>
    </row>
    <row r="434" spans="1:21" x14ac:dyDescent="0.35">
      <c r="A434" s="497" t="b">
        <v>0</v>
      </c>
      <c r="B434" s="498">
        <f t="shared" si="56"/>
        <v>-1</v>
      </c>
      <c r="C434" s="497" t="s">
        <v>9235</v>
      </c>
      <c r="D434" s="500"/>
      <c r="E434" s="512"/>
      <c r="F434" s="502"/>
      <c r="G434" s="503"/>
      <c r="H434" s="503"/>
      <c r="I434" s="498">
        <f t="shared" si="57"/>
        <v>7</v>
      </c>
      <c r="J434" s="503"/>
      <c r="K434" s="497"/>
      <c r="L434" s="503"/>
      <c r="M434" s="497"/>
      <c r="N434" s="497"/>
      <c r="O434" s="503"/>
      <c r="P434" s="503"/>
      <c r="Q434" s="503"/>
      <c r="R434" s="503"/>
      <c r="S434" s="503"/>
      <c r="T434" s="503"/>
      <c r="U434" s="497"/>
    </row>
    <row r="435" spans="1:21" x14ac:dyDescent="0.35">
      <c r="A435" s="497" t="b">
        <v>0</v>
      </c>
      <c r="B435" s="498">
        <f t="shared" si="56"/>
        <v>0</v>
      </c>
      <c r="C435" s="497" t="s">
        <v>9236</v>
      </c>
      <c r="D435" s="500"/>
      <c r="E435" s="512"/>
      <c r="F435" s="502"/>
      <c r="G435" s="503"/>
      <c r="H435" s="503"/>
      <c r="I435" s="498">
        <f t="shared" si="57"/>
        <v>9</v>
      </c>
      <c r="J435" s="503"/>
      <c r="K435" s="497"/>
      <c r="L435" s="503"/>
      <c r="M435" s="497"/>
      <c r="N435" s="497"/>
      <c r="O435" s="503"/>
      <c r="P435" s="503"/>
      <c r="Q435" s="503"/>
      <c r="R435" s="503"/>
      <c r="S435" s="503"/>
      <c r="T435" s="503"/>
      <c r="U435" s="497"/>
    </row>
    <row r="436" spans="1:21" x14ac:dyDescent="0.35">
      <c r="A436" s="497" t="b">
        <v>0</v>
      </c>
      <c r="B436" s="498">
        <f t="shared" si="56"/>
        <v>1</v>
      </c>
      <c r="C436" s="497" t="s">
        <v>9237</v>
      </c>
      <c r="D436" s="500"/>
      <c r="E436" s="512"/>
      <c r="F436" s="502"/>
      <c r="G436" s="503"/>
      <c r="H436" s="503"/>
      <c r="I436" s="498">
        <f t="shared" si="57"/>
        <v>11</v>
      </c>
      <c r="J436" s="503"/>
      <c r="K436" s="497"/>
      <c r="L436" s="503"/>
      <c r="M436" s="497"/>
      <c r="N436" s="497"/>
      <c r="O436" s="503"/>
      <c r="P436" s="503"/>
      <c r="Q436" s="503"/>
      <c r="R436" s="503"/>
      <c r="S436" s="503"/>
      <c r="T436" s="503"/>
      <c r="U436" s="497"/>
    </row>
    <row r="437" spans="1:21" x14ac:dyDescent="0.35">
      <c r="A437" s="497" t="b">
        <v>0</v>
      </c>
      <c r="B437" s="498">
        <f t="shared" si="56"/>
        <v>2</v>
      </c>
      <c r="C437" s="497" t="s">
        <v>9238</v>
      </c>
      <c r="D437" s="500"/>
      <c r="E437" s="512"/>
      <c r="F437" s="502"/>
      <c r="G437" s="503"/>
      <c r="H437" s="503"/>
      <c r="I437" s="498">
        <f t="shared" si="57"/>
        <v>13</v>
      </c>
      <c r="J437" s="503"/>
      <c r="K437" s="497"/>
      <c r="L437" s="503"/>
      <c r="M437" s="497"/>
      <c r="N437" s="497"/>
      <c r="O437" s="503"/>
      <c r="P437" s="503"/>
      <c r="Q437" s="503"/>
      <c r="R437" s="503"/>
      <c r="S437" s="503"/>
      <c r="T437" s="503"/>
      <c r="U437" s="497"/>
    </row>
    <row r="438" spans="1:21" ht="409.5" x14ac:dyDescent="0.35">
      <c r="A438" s="497" t="b">
        <v>1</v>
      </c>
      <c r="B438" s="498">
        <f t="shared" si="56"/>
        <v>3</v>
      </c>
      <c r="C438" s="497" t="s">
        <v>9239</v>
      </c>
      <c r="D438" s="500">
        <v>91.3833992094862</v>
      </c>
      <c r="E438" s="512">
        <v>2530</v>
      </c>
      <c r="F438" s="502">
        <v>2312</v>
      </c>
      <c r="G438" s="503" t="s">
        <v>1031</v>
      </c>
      <c r="H438" s="503" t="s">
        <v>9240</v>
      </c>
      <c r="I438" s="498">
        <f t="shared" si="57"/>
        <v>9</v>
      </c>
      <c r="J438" s="504" t="s">
        <v>9241</v>
      </c>
      <c r="K438" s="497"/>
      <c r="L438" s="503"/>
      <c r="M438" s="497" t="s">
        <v>2913</v>
      </c>
      <c r="N438" s="497" t="s">
        <v>1070</v>
      </c>
      <c r="O438" s="503" t="s">
        <v>4034</v>
      </c>
      <c r="P438" s="503"/>
      <c r="Q438" s="503" t="s">
        <v>9242</v>
      </c>
      <c r="R438" s="504" t="s">
        <v>9243</v>
      </c>
      <c r="S438" s="503" t="s">
        <v>2917</v>
      </c>
      <c r="T438" s="503" t="s">
        <v>2918</v>
      </c>
      <c r="U438" s="497" t="s">
        <v>4033</v>
      </c>
    </row>
    <row r="439" spans="1:21" ht="409.5" x14ac:dyDescent="0.35">
      <c r="A439" s="497" t="b">
        <v>1</v>
      </c>
      <c r="B439" s="498">
        <f t="shared" si="56"/>
        <v>4</v>
      </c>
      <c r="C439" s="497" t="s">
        <v>9244</v>
      </c>
      <c r="D439" s="500">
        <v>79.995574242089006</v>
      </c>
      <c r="E439" s="512">
        <v>4519</v>
      </c>
      <c r="F439" s="502">
        <v>3615</v>
      </c>
      <c r="G439" s="503" t="s">
        <v>1032</v>
      </c>
      <c r="H439" s="503" t="s">
        <v>9022</v>
      </c>
      <c r="I439" s="498">
        <f t="shared" si="57"/>
        <v>11</v>
      </c>
      <c r="J439" s="504" t="s">
        <v>9245</v>
      </c>
      <c r="K439" s="497"/>
      <c r="L439" s="503"/>
      <c r="M439" s="497" t="s">
        <v>2931</v>
      </c>
      <c r="N439" s="497" t="s">
        <v>1070</v>
      </c>
      <c r="O439" s="503" t="s">
        <v>4034</v>
      </c>
      <c r="P439" s="503"/>
      <c r="Q439" s="503" t="s">
        <v>9022</v>
      </c>
      <c r="R439" s="504" t="s">
        <v>9246</v>
      </c>
      <c r="S439" s="503" t="s">
        <v>2935</v>
      </c>
      <c r="T439" s="503" t="s">
        <v>2936</v>
      </c>
      <c r="U439" s="497" t="s">
        <v>4033</v>
      </c>
    </row>
    <row r="440" spans="1:21" ht="409.5" x14ac:dyDescent="0.35">
      <c r="A440" s="497" t="b">
        <v>1</v>
      </c>
      <c r="B440" s="498">
        <f t="shared" si="56"/>
        <v>5</v>
      </c>
      <c r="C440" s="497" t="s">
        <v>9247</v>
      </c>
      <c r="D440" s="500">
        <v>24.137931034482801</v>
      </c>
      <c r="E440" s="512">
        <v>87</v>
      </c>
      <c r="F440" s="502">
        <v>21</v>
      </c>
      <c r="G440" s="503" t="s">
        <v>1032</v>
      </c>
      <c r="H440" s="503" t="s">
        <v>9022</v>
      </c>
      <c r="I440" s="498">
        <f t="shared" si="57"/>
        <v>13</v>
      </c>
      <c r="J440" s="504" t="s">
        <v>9248</v>
      </c>
      <c r="K440" s="497"/>
      <c r="L440" s="503"/>
      <c r="M440" s="497" t="s">
        <v>2919</v>
      </c>
      <c r="N440" s="497" t="s">
        <v>1070</v>
      </c>
      <c r="O440" s="503" t="s">
        <v>4034</v>
      </c>
      <c r="P440" s="503"/>
      <c r="Q440" s="503" t="s">
        <v>9022</v>
      </c>
      <c r="R440" s="504" t="s">
        <v>9249</v>
      </c>
      <c r="S440" s="503" t="s">
        <v>2923</v>
      </c>
      <c r="T440" s="503" t="s">
        <v>2924</v>
      </c>
      <c r="U440" s="497" t="s">
        <v>4033</v>
      </c>
    </row>
    <row r="441" spans="1:21" ht="409.5" x14ac:dyDescent="0.35">
      <c r="A441" s="497" t="b">
        <v>1</v>
      </c>
      <c r="B441" s="498">
        <f t="shared" si="56"/>
        <v>6</v>
      </c>
      <c r="C441" s="497" t="s">
        <v>9250</v>
      </c>
      <c r="D441" s="500">
        <v>81.25</v>
      </c>
      <c r="E441" s="512">
        <v>16</v>
      </c>
      <c r="F441" s="502">
        <v>13</v>
      </c>
      <c r="G441" s="503" t="s">
        <v>1030</v>
      </c>
      <c r="H441" s="503" t="s">
        <v>9251</v>
      </c>
      <c r="I441" s="498">
        <f t="shared" si="57"/>
        <v>15</v>
      </c>
      <c r="J441" s="504" t="s">
        <v>9252</v>
      </c>
      <c r="K441" s="497"/>
      <c r="L441" s="503"/>
      <c r="M441" s="497" t="s">
        <v>2925</v>
      </c>
      <c r="N441" s="497" t="s">
        <v>1070</v>
      </c>
      <c r="O441" s="503" t="s">
        <v>4034</v>
      </c>
      <c r="P441" s="503"/>
      <c r="Q441" s="503" t="s">
        <v>9253</v>
      </c>
      <c r="R441" s="504" t="s">
        <v>9254</v>
      </c>
      <c r="S441" s="503" t="s">
        <v>2929</v>
      </c>
      <c r="T441" s="503" t="s">
        <v>2930</v>
      </c>
      <c r="U441" s="497" t="s">
        <v>4033</v>
      </c>
    </row>
    <row r="442" spans="1:21" x14ac:dyDescent="0.35">
      <c r="A442" s="497" t="b">
        <v>0</v>
      </c>
      <c r="B442" s="498">
        <f t="shared" si="56"/>
        <v>7</v>
      </c>
      <c r="C442" s="497" t="s">
        <v>9255</v>
      </c>
      <c r="D442" s="500"/>
      <c r="E442" s="512"/>
      <c r="F442" s="502"/>
      <c r="G442" s="503"/>
      <c r="H442" s="503"/>
      <c r="I442" s="498">
        <f t="shared" si="57"/>
        <v>17</v>
      </c>
      <c r="J442" s="503"/>
      <c r="K442" s="497"/>
      <c r="L442" s="503"/>
      <c r="M442" s="497"/>
      <c r="N442" s="497"/>
      <c r="O442" s="503"/>
      <c r="P442" s="503"/>
      <c r="Q442" s="503"/>
      <c r="R442" s="503"/>
      <c r="S442" s="503"/>
      <c r="T442" s="503"/>
      <c r="U442" s="497"/>
    </row>
    <row r="443" spans="1:21" x14ac:dyDescent="0.35">
      <c r="A443" s="497" t="b">
        <v>0</v>
      </c>
      <c r="B443" s="498">
        <f t="shared" si="56"/>
        <v>8</v>
      </c>
      <c r="C443" s="497" t="s">
        <v>9256</v>
      </c>
      <c r="D443" s="500"/>
      <c r="E443" s="512"/>
      <c r="F443" s="502"/>
      <c r="G443" s="503"/>
      <c r="H443" s="503"/>
      <c r="I443" s="498">
        <f t="shared" si="57"/>
        <v>19</v>
      </c>
      <c r="J443" s="503"/>
      <c r="K443" s="497"/>
      <c r="L443" s="503"/>
      <c r="M443" s="497"/>
      <c r="N443" s="497"/>
      <c r="O443" s="503"/>
      <c r="P443" s="503"/>
      <c r="Q443" s="503"/>
      <c r="R443" s="503"/>
      <c r="S443" s="503"/>
      <c r="T443" s="503"/>
      <c r="U443" s="497"/>
    </row>
    <row r="444" spans="1:21" x14ac:dyDescent="0.35">
      <c r="A444" s="497" t="b">
        <v>0</v>
      </c>
      <c r="B444" s="498">
        <f t="shared" si="56"/>
        <v>9</v>
      </c>
      <c r="C444" s="497" t="s">
        <v>9257</v>
      </c>
      <c r="D444" s="500"/>
      <c r="E444" s="512"/>
      <c r="F444" s="502"/>
      <c r="G444" s="503"/>
      <c r="H444" s="503"/>
      <c r="I444" s="498">
        <f t="shared" si="57"/>
        <v>21</v>
      </c>
      <c r="J444" s="503"/>
      <c r="K444" s="497"/>
      <c r="L444" s="503"/>
      <c r="M444" s="497"/>
      <c r="N444" s="497"/>
      <c r="O444" s="503"/>
      <c r="P444" s="503"/>
      <c r="Q444" s="503"/>
      <c r="R444" s="503"/>
      <c r="S444" s="503"/>
      <c r="T444" s="503"/>
      <c r="U444" s="497"/>
    </row>
    <row r="445" spans="1:21" x14ac:dyDescent="0.35">
      <c r="A445" s="497" t="b">
        <v>0</v>
      </c>
      <c r="B445" s="498">
        <f t="shared" si="56"/>
        <v>10</v>
      </c>
      <c r="C445" s="497" t="s">
        <v>9258</v>
      </c>
      <c r="D445" s="500"/>
      <c r="E445" s="512"/>
      <c r="F445" s="502"/>
      <c r="G445" s="503"/>
      <c r="H445" s="503"/>
      <c r="I445" s="498">
        <f t="shared" si="57"/>
        <v>23</v>
      </c>
      <c r="J445" s="503"/>
      <c r="K445" s="497"/>
      <c r="L445" s="503"/>
      <c r="M445" s="497"/>
      <c r="N445" s="497"/>
      <c r="O445" s="503"/>
      <c r="P445" s="503"/>
      <c r="Q445" s="503"/>
      <c r="R445" s="503"/>
      <c r="S445" s="503"/>
      <c r="T445" s="503"/>
      <c r="U445" s="497"/>
    </row>
    <row r="446" spans="1:21" x14ac:dyDescent="0.35">
      <c r="A446" s="497" t="b">
        <v>0</v>
      </c>
      <c r="B446" s="498">
        <f t="shared" si="56"/>
        <v>11</v>
      </c>
      <c r="C446" s="497" t="s">
        <v>9259</v>
      </c>
      <c r="D446" s="500"/>
      <c r="E446" s="512"/>
      <c r="F446" s="502"/>
      <c r="G446" s="503"/>
      <c r="H446" s="503"/>
      <c r="I446" s="498">
        <f t="shared" si="57"/>
        <v>25</v>
      </c>
      <c r="J446" s="503"/>
      <c r="K446" s="497"/>
      <c r="L446" s="503"/>
      <c r="M446" s="497"/>
      <c r="N446" s="497"/>
      <c r="O446" s="503"/>
      <c r="P446" s="503"/>
      <c r="Q446" s="503"/>
      <c r="R446" s="503"/>
      <c r="S446" s="503"/>
      <c r="T446" s="503"/>
      <c r="U446" s="497"/>
    </row>
    <row r="447" spans="1:21" x14ac:dyDescent="0.35">
      <c r="A447" s="497" t="b">
        <v>0</v>
      </c>
      <c r="B447" s="498">
        <f t="shared" si="56"/>
        <v>12</v>
      </c>
      <c r="C447" s="497" t="s">
        <v>9260</v>
      </c>
      <c r="D447" s="500"/>
      <c r="E447" s="512"/>
      <c r="F447" s="502"/>
      <c r="G447" s="503"/>
      <c r="H447" s="503"/>
      <c r="I447" s="498">
        <f t="shared" si="57"/>
        <v>27</v>
      </c>
      <c r="J447" s="503"/>
      <c r="K447" s="497"/>
      <c r="L447" s="503"/>
      <c r="M447" s="497"/>
      <c r="N447" s="497"/>
      <c r="O447" s="503"/>
      <c r="P447" s="503"/>
      <c r="Q447" s="503"/>
      <c r="R447" s="503"/>
      <c r="S447" s="503"/>
      <c r="T447" s="503"/>
      <c r="U447" s="497"/>
    </row>
    <row r="448" spans="1:21" x14ac:dyDescent="0.35">
      <c r="A448" s="497" t="b">
        <v>0</v>
      </c>
      <c r="B448" s="498">
        <f t="shared" si="56"/>
        <v>13</v>
      </c>
      <c r="C448" s="497" t="s">
        <v>9261</v>
      </c>
      <c r="D448" s="500"/>
      <c r="E448" s="512"/>
      <c r="F448" s="502"/>
      <c r="G448" s="503"/>
      <c r="H448" s="503"/>
      <c r="I448" s="498">
        <f t="shared" si="57"/>
        <v>29</v>
      </c>
      <c r="J448" s="503"/>
      <c r="K448" s="497"/>
      <c r="L448" s="503"/>
      <c r="M448" s="497"/>
      <c r="N448" s="497"/>
      <c r="O448" s="503"/>
      <c r="P448" s="503"/>
      <c r="Q448" s="503"/>
      <c r="R448" s="503"/>
      <c r="S448" s="503"/>
      <c r="T448" s="503"/>
      <c r="U448" s="497"/>
    </row>
    <row r="449" spans="1:21" x14ac:dyDescent="0.35">
      <c r="A449" s="497" t="b">
        <v>0</v>
      </c>
      <c r="B449" s="498">
        <f t="shared" si="56"/>
        <v>14</v>
      </c>
      <c r="C449" s="497" t="s">
        <v>9262</v>
      </c>
      <c r="D449" s="500"/>
      <c r="E449" s="512"/>
      <c r="F449" s="502"/>
      <c r="G449" s="503"/>
      <c r="H449" s="503"/>
      <c r="I449" s="498">
        <f t="shared" si="57"/>
        <v>31</v>
      </c>
      <c r="J449" s="503"/>
      <c r="K449" s="497"/>
      <c r="L449" s="503"/>
      <c r="M449" s="497"/>
      <c r="N449" s="497"/>
      <c r="O449" s="503"/>
      <c r="P449" s="503"/>
      <c r="Q449" s="503"/>
      <c r="R449" s="503"/>
      <c r="S449" s="503"/>
      <c r="T449" s="503"/>
      <c r="U449" s="497"/>
    </row>
    <row r="450" spans="1:21" x14ac:dyDescent="0.35">
      <c r="A450" s="497" t="b">
        <v>0</v>
      </c>
      <c r="B450" s="498">
        <f t="shared" si="56"/>
        <v>15</v>
      </c>
      <c r="C450" s="497" t="s">
        <v>9263</v>
      </c>
      <c r="D450" s="500"/>
      <c r="E450" s="512"/>
      <c r="F450" s="502"/>
      <c r="G450" s="503"/>
      <c r="H450" s="503"/>
      <c r="I450" s="498">
        <f t="shared" si="57"/>
        <v>33</v>
      </c>
      <c r="J450" s="503"/>
      <c r="K450" s="497"/>
      <c r="L450" s="503"/>
      <c r="M450" s="497"/>
      <c r="N450" s="497"/>
      <c r="O450" s="503"/>
      <c r="P450" s="503"/>
      <c r="Q450" s="503"/>
      <c r="R450" s="503"/>
      <c r="S450" s="503"/>
      <c r="T450" s="503"/>
      <c r="U450" s="497"/>
    </row>
    <row r="451" spans="1:21" x14ac:dyDescent="0.35">
      <c r="A451" s="497" t="b">
        <v>0</v>
      </c>
      <c r="B451" s="498">
        <f t="shared" si="56"/>
        <v>16</v>
      </c>
      <c r="C451" s="497" t="s">
        <v>9264</v>
      </c>
      <c r="D451" s="500"/>
      <c r="E451" s="512"/>
      <c r="F451" s="502"/>
      <c r="G451" s="503"/>
      <c r="H451" s="503"/>
      <c r="I451" s="498">
        <f t="shared" si="57"/>
        <v>35</v>
      </c>
      <c r="J451" s="503"/>
      <c r="K451" s="497"/>
      <c r="L451" s="503"/>
      <c r="M451" s="497"/>
      <c r="N451" s="497"/>
      <c r="O451" s="503"/>
      <c r="P451" s="503"/>
      <c r="Q451" s="503"/>
      <c r="R451" s="503"/>
      <c r="S451" s="503"/>
      <c r="T451" s="503"/>
      <c r="U451" s="497"/>
    </row>
    <row r="452" spans="1:21" x14ac:dyDescent="0.35">
      <c r="A452" s="497" t="b">
        <v>0</v>
      </c>
      <c r="B452" s="498">
        <f t="shared" si="56"/>
        <v>17</v>
      </c>
      <c r="C452" s="497" t="s">
        <v>9265</v>
      </c>
      <c r="D452" s="500"/>
      <c r="E452" s="512"/>
      <c r="F452" s="502"/>
      <c r="G452" s="503"/>
      <c r="H452" s="503"/>
      <c r="I452" s="498">
        <f t="shared" si="57"/>
        <v>37</v>
      </c>
      <c r="J452" s="503"/>
      <c r="K452" s="497"/>
      <c r="L452" s="503"/>
      <c r="M452" s="497"/>
      <c r="N452" s="497"/>
      <c r="O452" s="503"/>
      <c r="P452" s="503"/>
      <c r="Q452" s="503"/>
      <c r="R452" s="503"/>
      <c r="S452" s="503"/>
      <c r="T452" s="503"/>
      <c r="U452" s="497"/>
    </row>
    <row r="453" spans="1:21" x14ac:dyDescent="0.35">
      <c r="A453" s="497" t="b">
        <f t="shared" ref="A453:A467" ca="1" si="58">IF(OR(P453&lt;&gt;"",M453&lt;&gt;""),TRUE,FALSE)</f>
        <v>0</v>
      </c>
      <c r="B453" s="498">
        <f t="shared" si="56"/>
        <v>18</v>
      </c>
      <c r="C453" s="510" t="str">
        <f>IFERROR(INDEX(C$421:C453,B453,1),"")</f>
        <v>a1X3p000008BewLEAS</v>
      </c>
      <c r="D453" s="500" t="str">
        <f t="shared" ref="D453:D467" ca="1" si="59">IFERROR(IF(INDIRECT("'Outcome Indicators - Section C '!E"&amp;$I453)="","",INDIRECT("'Outcome Indicators - Section C '!E"&amp;$I453)*100),"")</f>
        <v/>
      </c>
      <c r="E453" s="512" t="str">
        <f t="shared" ref="E453:E467" ca="1" si="60">IFERROR(IF(INDIRECT("'Outcome Indicators - Section C '!D"&amp;$I453+1)="","",INDIRECT("'Outcome Indicators - Section C '!D"&amp;$I453+1)),"")</f>
        <v/>
      </c>
      <c r="F453" s="502" t="str">
        <f t="shared" ref="F453:F467" ca="1" si="61">IFERROR(IF(INDIRECT("'Outcome Indicators - Section C '!D"&amp;$I453)="","",INDIRECT("'Outcome Indicators - Section C '!D"&amp;$I453)),"")</f>
        <v/>
      </c>
      <c r="G453" s="503" t="str">
        <f t="shared" ref="G453:G467" ca="1" si="62">IFERROR(IF(INDIRECT("'Outcome Indicators - Section C '!F"&amp;$I453)=0,"",INDIRECT("'Outcome Indicators - Section C '!F"&amp;$I453)),"")</f>
        <v/>
      </c>
      <c r="H453" s="503" t="str">
        <f t="shared" ref="H453:H467" ca="1" si="63">IFERROR(IF(INDIRECT("'Outcome Indicators - Section C '!AC"&amp;$I34)=0,"",INDIRECT("'Outcome Indicators - Section C '!AC"&amp;$I34)),"")</f>
        <v/>
      </c>
      <c r="I453" s="498">
        <f t="shared" si="57"/>
        <v>39</v>
      </c>
      <c r="J453" s="503" t="str">
        <f t="shared" ref="J453:J467" ca="1" si="64">IFERROR(IF(INDIRECT("'Outcome Indicators - Section C '!AD"&amp;$I453)=0,"",INDIRECT("'Outcome Indicators - Section C '!AD"&amp;$I453)),"")</f>
        <v/>
      </c>
      <c r="K453" s="497"/>
      <c r="L453" s="503" t="str">
        <f t="shared" ref="L453:L467" ca="1" si="65">IFERROR(IF(INDIRECT("'Outcome Indicators - Section C '!AB"&amp;$I453)=0,"",INDIRECT("'Outcome Indicators - Section C '!AB"&amp;$I453)),"")</f>
        <v/>
      </c>
      <c r="M453" s="497" t="str">
        <f t="array" aca="1" ref="M453" ca="1">IFERROR(VLOOKUP(LEFT(INDIRECT("'Outcome Indicators - Section C '!B"&amp;$I453),255),LEFT('Reference Records'!$C$24:$L$73,255),10,0),"")</f>
        <v/>
      </c>
      <c r="N453" s="497" t="str">
        <f t="shared" ref="N453:N467" ca="1" si="66">IFERROR(IF(INDIRECT("'Outcome Indicators - Section C '!j"&amp;$I453)=0,"",INDIRECT("'Outcome Indicators - Section C '!j"&amp;$I453)),"")</f>
        <v/>
      </c>
      <c r="O453" s="503" t="str">
        <f ca="1">IFERROR(VLOOKUP(INDIRECT("'Outcome Indicators - Section C '!I"&amp;$I453),'Overview - Section A'!M$31:P64,4,0),IFERROR(VLOOKUP(INDIRECT("'Outcome Indicators - Section C '!I"&amp;$I453),'Overview - Section A'!E$27:I61,5,0),""))</f>
        <v/>
      </c>
      <c r="P453" s="503" t="str">
        <f t="shared" ref="P453:P467" ca="1" si="67">IFERROR(IF(INDIRECT("'Outcome Indicators - Section C '!C"&amp;$I453)=0,"",INDIRECT("'Outcome Indicators - Section C '!C"&amp;$I453)),"")</f>
        <v/>
      </c>
      <c r="Q453" s="503" t="str">
        <f t="shared" ref="Q453:Q467" ca="1" si="68">IFERROR(IF(INDIRECT("'Outcome Indicators - Section C '!G"&amp;$I34)=0,"",INDIRECT("'Outcome Indicators - Section C '!G"&amp;$I34)),"")</f>
        <v/>
      </c>
      <c r="R453" s="503" t="str">
        <f t="shared" ref="R453:R467" ca="1" si="69">IFERROR(IF(INDIRECT("'Outcome Indicators - Section C '!AA"&amp;$I453)=0,"",INDIRECT("'Outcome Indicators - Section C '!AA"&amp;$I453)),"")</f>
        <v/>
      </c>
      <c r="S453" s="503"/>
      <c r="T453" s="503"/>
      <c r="U453" s="497"/>
    </row>
    <row r="454" spans="1:21" x14ac:dyDescent="0.35">
      <c r="A454" s="497" t="b">
        <f t="shared" ca="1" si="58"/>
        <v>0</v>
      </c>
      <c r="B454" s="498">
        <f t="shared" si="56"/>
        <v>19</v>
      </c>
      <c r="C454" s="510" t="str">
        <f>IFERROR(INDEX(C$421:C454,B454,1),"")</f>
        <v>a1X3p000008BewMEAS</v>
      </c>
      <c r="D454" s="500" t="str">
        <f t="shared" ca="1" si="59"/>
        <v/>
      </c>
      <c r="E454" s="512" t="str">
        <f t="shared" ca="1" si="60"/>
        <v/>
      </c>
      <c r="F454" s="502" t="str">
        <f t="shared" ca="1" si="61"/>
        <v/>
      </c>
      <c r="G454" s="503" t="str">
        <f t="shared" ca="1" si="62"/>
        <v/>
      </c>
      <c r="H454" s="503" t="str">
        <f t="shared" ca="1" si="63"/>
        <v/>
      </c>
      <c r="I454" s="498">
        <f t="shared" si="57"/>
        <v>41</v>
      </c>
      <c r="J454" s="503" t="str">
        <f t="shared" ca="1" si="64"/>
        <v/>
      </c>
      <c r="K454" s="497"/>
      <c r="L454" s="503" t="str">
        <f t="shared" ca="1" si="65"/>
        <v/>
      </c>
      <c r="M454" s="497" t="str">
        <f t="array" aca="1" ref="M454" ca="1">IFERROR(VLOOKUP(LEFT(INDIRECT("'Outcome Indicators - Section C '!B"&amp;$I454),255),LEFT('Reference Records'!$C$24:$L$73,255),10,0),"")</f>
        <v/>
      </c>
      <c r="N454" s="497" t="str">
        <f t="shared" ca="1" si="66"/>
        <v/>
      </c>
      <c r="O454" s="503" t="str">
        <f ca="1">IFERROR(VLOOKUP(INDIRECT("'Outcome Indicators - Section C '!I"&amp;$I454),'Overview - Section A'!M$31:P65,4,0),IFERROR(VLOOKUP(INDIRECT("'Outcome Indicators - Section C '!I"&amp;$I454),'Overview - Section A'!E$27:I62,5,0),""))</f>
        <v/>
      </c>
      <c r="P454" s="503" t="str">
        <f t="shared" ca="1" si="67"/>
        <v/>
      </c>
      <c r="Q454" s="503" t="str">
        <f t="shared" ca="1" si="68"/>
        <v/>
      </c>
      <c r="R454" s="503" t="str">
        <f t="shared" ca="1" si="69"/>
        <v/>
      </c>
      <c r="S454" s="503"/>
      <c r="T454" s="503"/>
      <c r="U454" s="497"/>
    </row>
    <row r="455" spans="1:21" x14ac:dyDescent="0.35">
      <c r="A455" s="497" t="b">
        <f t="shared" ca="1" si="58"/>
        <v>0</v>
      </c>
      <c r="B455" s="498">
        <f t="shared" si="56"/>
        <v>20</v>
      </c>
      <c r="C455" s="510" t="str">
        <f>IFERROR(INDEX(C$421:C455,B455,1),"")</f>
        <v>a1X3p000008BewNEAS</v>
      </c>
      <c r="D455" s="500" t="str">
        <f t="shared" ca="1" si="59"/>
        <v/>
      </c>
      <c r="E455" s="512" t="str">
        <f t="shared" ca="1" si="60"/>
        <v/>
      </c>
      <c r="F455" s="502" t="str">
        <f t="shared" ca="1" si="61"/>
        <v/>
      </c>
      <c r="G455" s="503" t="str">
        <f t="shared" ca="1" si="62"/>
        <v/>
      </c>
      <c r="H455" s="503" t="str">
        <f t="shared" ca="1" si="63"/>
        <v/>
      </c>
      <c r="I455" s="498">
        <f t="shared" si="57"/>
        <v>43</v>
      </c>
      <c r="J455" s="503" t="str">
        <f t="shared" ca="1" si="64"/>
        <v/>
      </c>
      <c r="K455" s="497"/>
      <c r="L455" s="503" t="str">
        <f t="shared" ca="1" si="65"/>
        <v/>
      </c>
      <c r="M455" s="497" t="str">
        <f t="array" aca="1" ref="M455" ca="1">IFERROR(VLOOKUP(LEFT(INDIRECT("'Outcome Indicators - Section C '!B"&amp;$I455),255),LEFT('Reference Records'!$C$24:$L$73,255),10,0),"")</f>
        <v/>
      </c>
      <c r="N455" s="497" t="str">
        <f t="shared" ca="1" si="66"/>
        <v/>
      </c>
      <c r="O455" s="503" t="str">
        <f ca="1">IFERROR(VLOOKUP(INDIRECT("'Outcome Indicators - Section C '!I"&amp;$I455),'Overview - Section A'!M$31:P66,4,0),IFERROR(VLOOKUP(INDIRECT("'Outcome Indicators - Section C '!I"&amp;$I455),'Overview - Section A'!E$27:I63,5,0),""))</f>
        <v/>
      </c>
      <c r="P455" s="503" t="str">
        <f t="shared" ca="1" si="67"/>
        <v/>
      </c>
      <c r="Q455" s="503" t="str">
        <f t="shared" ca="1" si="68"/>
        <v/>
      </c>
      <c r="R455" s="503" t="str">
        <f t="shared" ca="1" si="69"/>
        <v/>
      </c>
      <c r="S455" s="503"/>
      <c r="T455" s="503"/>
      <c r="U455" s="497"/>
    </row>
    <row r="456" spans="1:21" x14ac:dyDescent="0.35">
      <c r="A456" s="497" t="b">
        <f t="shared" ca="1" si="58"/>
        <v>0</v>
      </c>
      <c r="B456" s="498">
        <f t="shared" si="56"/>
        <v>21</v>
      </c>
      <c r="C456" s="510" t="str">
        <f>IFERROR(INDEX(C$421:C456,B456,1),"")</f>
        <v>a1X3p000008BewOEAS</v>
      </c>
      <c r="D456" s="500" t="str">
        <f t="shared" ca="1" si="59"/>
        <v/>
      </c>
      <c r="E456" s="512" t="str">
        <f t="shared" ca="1" si="60"/>
        <v/>
      </c>
      <c r="F456" s="502" t="str">
        <f t="shared" ca="1" si="61"/>
        <v/>
      </c>
      <c r="G456" s="503" t="str">
        <f t="shared" ca="1" si="62"/>
        <v/>
      </c>
      <c r="H456" s="503" t="str">
        <f t="shared" ca="1" si="63"/>
        <v/>
      </c>
      <c r="I456" s="498">
        <f t="shared" si="57"/>
        <v>45</v>
      </c>
      <c r="J456" s="503" t="str">
        <f t="shared" ca="1" si="64"/>
        <v/>
      </c>
      <c r="K456" s="497"/>
      <c r="L456" s="503" t="str">
        <f t="shared" ca="1" si="65"/>
        <v/>
      </c>
      <c r="M456" s="497" t="str">
        <f t="array" aca="1" ref="M456" ca="1">IFERROR(VLOOKUP(LEFT(INDIRECT("'Outcome Indicators - Section C '!B"&amp;$I456),255),LEFT('Reference Records'!$C$24:$L$73,255),10,0),"")</f>
        <v/>
      </c>
      <c r="N456" s="497" t="str">
        <f t="shared" ca="1" si="66"/>
        <v/>
      </c>
      <c r="O456" s="503" t="str">
        <f ca="1">IFERROR(VLOOKUP(INDIRECT("'Outcome Indicators - Section C '!I"&amp;$I456),'Overview - Section A'!M$31:P67,4,0),IFERROR(VLOOKUP(INDIRECT("'Outcome Indicators - Section C '!I"&amp;$I456),'Overview - Section A'!E$27:I64,5,0),""))</f>
        <v/>
      </c>
      <c r="P456" s="503" t="str">
        <f t="shared" ca="1" si="67"/>
        <v/>
      </c>
      <c r="Q456" s="503" t="str">
        <f t="shared" ca="1" si="68"/>
        <v/>
      </c>
      <c r="R456" s="503" t="str">
        <f t="shared" ca="1" si="69"/>
        <v/>
      </c>
      <c r="S456" s="503"/>
      <c r="T456" s="503"/>
      <c r="U456" s="497"/>
    </row>
    <row r="457" spans="1:21" x14ac:dyDescent="0.35">
      <c r="A457" s="497" t="b">
        <f t="shared" ca="1" si="58"/>
        <v>0</v>
      </c>
      <c r="B457" s="498">
        <f t="shared" si="56"/>
        <v>22</v>
      </c>
      <c r="C457" s="510" t="str">
        <f>IFERROR(INDEX(C$421:C457,B457,1),"")</f>
        <v>a1X3p000008BewPEAS</v>
      </c>
      <c r="D457" s="500" t="str">
        <f t="shared" ca="1" si="59"/>
        <v/>
      </c>
      <c r="E457" s="512" t="str">
        <f t="shared" ca="1" si="60"/>
        <v/>
      </c>
      <c r="F457" s="502" t="str">
        <f t="shared" ca="1" si="61"/>
        <v/>
      </c>
      <c r="G457" s="503" t="str">
        <f t="shared" ca="1" si="62"/>
        <v/>
      </c>
      <c r="H457" s="503" t="str">
        <f t="shared" ca="1" si="63"/>
        <v/>
      </c>
      <c r="I457" s="498">
        <f t="shared" si="57"/>
        <v>47</v>
      </c>
      <c r="J457" s="503" t="str">
        <f t="shared" ca="1" si="64"/>
        <v/>
      </c>
      <c r="K457" s="497"/>
      <c r="L457" s="503" t="str">
        <f t="shared" ca="1" si="65"/>
        <v/>
      </c>
      <c r="M457" s="497" t="str">
        <f t="array" aca="1" ref="M457" ca="1">IFERROR(VLOOKUP(LEFT(INDIRECT("'Outcome Indicators - Section C '!B"&amp;$I457),255),LEFT('Reference Records'!$C$24:$L$73,255),10,0),"")</f>
        <v/>
      </c>
      <c r="N457" s="497" t="str">
        <f t="shared" ca="1" si="66"/>
        <v/>
      </c>
      <c r="O457" s="503" t="str">
        <f ca="1">IFERROR(VLOOKUP(INDIRECT("'Outcome Indicators - Section C '!I"&amp;$I457),'Overview - Section A'!M$31:P68,4,0),IFERROR(VLOOKUP(INDIRECT("'Outcome Indicators - Section C '!I"&amp;$I457),'Overview - Section A'!E$27:I65,5,0),""))</f>
        <v/>
      </c>
      <c r="P457" s="503" t="str">
        <f t="shared" ca="1" si="67"/>
        <v/>
      </c>
      <c r="Q457" s="503" t="str">
        <f t="shared" ca="1" si="68"/>
        <v/>
      </c>
      <c r="R457" s="503" t="str">
        <f t="shared" ca="1" si="69"/>
        <v/>
      </c>
      <c r="S457" s="503"/>
      <c r="T457" s="503"/>
      <c r="U457" s="497"/>
    </row>
    <row r="458" spans="1:21" x14ac:dyDescent="0.35">
      <c r="A458" s="497" t="b">
        <f t="shared" ca="1" si="58"/>
        <v>0</v>
      </c>
      <c r="B458" s="498">
        <f t="shared" si="56"/>
        <v>23</v>
      </c>
      <c r="C458" s="510" t="str">
        <f>IFERROR(INDEX(C$421:C458,B458,1),"")</f>
        <v>a1X3p000008BewQEAS</v>
      </c>
      <c r="D458" s="500" t="str">
        <f t="shared" ca="1" si="59"/>
        <v/>
      </c>
      <c r="E458" s="512" t="str">
        <f t="shared" ca="1" si="60"/>
        <v/>
      </c>
      <c r="F458" s="502" t="str">
        <f t="shared" ca="1" si="61"/>
        <v/>
      </c>
      <c r="G458" s="503" t="str">
        <f t="shared" ca="1" si="62"/>
        <v/>
      </c>
      <c r="H458" s="503" t="str">
        <f t="shared" ca="1" si="63"/>
        <v/>
      </c>
      <c r="I458" s="498">
        <f t="shared" si="57"/>
        <v>49</v>
      </c>
      <c r="J458" s="503" t="str">
        <f t="shared" ca="1" si="64"/>
        <v/>
      </c>
      <c r="K458" s="497"/>
      <c r="L458" s="503" t="str">
        <f t="shared" ca="1" si="65"/>
        <v/>
      </c>
      <c r="M458" s="497" t="str">
        <f t="array" aca="1" ref="M458" ca="1">IFERROR(VLOOKUP(LEFT(INDIRECT("'Outcome Indicators - Section C '!B"&amp;$I458),255),LEFT('Reference Records'!$C$24:$L$73,255),10,0),"")</f>
        <v/>
      </c>
      <c r="N458" s="497" t="str">
        <f t="shared" ca="1" si="66"/>
        <v/>
      </c>
      <c r="O458" s="503" t="str">
        <f ca="1">IFERROR(VLOOKUP(INDIRECT("'Outcome Indicators - Section C '!I"&amp;$I458),'Overview - Section A'!M$31:P69,4,0),IFERROR(VLOOKUP(INDIRECT("'Outcome Indicators - Section C '!I"&amp;$I458),'Overview - Section A'!E$27:I66,5,0),""))</f>
        <v/>
      </c>
      <c r="P458" s="503" t="str">
        <f t="shared" ca="1" si="67"/>
        <v/>
      </c>
      <c r="Q458" s="503" t="str">
        <f t="shared" ca="1" si="68"/>
        <v/>
      </c>
      <c r="R458" s="503" t="str">
        <f t="shared" ca="1" si="69"/>
        <v/>
      </c>
      <c r="S458" s="503"/>
      <c r="T458" s="503"/>
      <c r="U458" s="497"/>
    </row>
    <row r="459" spans="1:21" x14ac:dyDescent="0.35">
      <c r="A459" s="497" t="b">
        <f t="shared" ca="1" si="58"/>
        <v>0</v>
      </c>
      <c r="B459" s="498">
        <f t="shared" si="56"/>
        <v>24</v>
      </c>
      <c r="C459" s="510" t="str">
        <f>IFERROR(INDEX(C$421:C459,B459,1),"")</f>
        <v>a1X3p000008BewREAS</v>
      </c>
      <c r="D459" s="500" t="str">
        <f t="shared" ca="1" si="59"/>
        <v/>
      </c>
      <c r="E459" s="512" t="str">
        <f t="shared" ca="1" si="60"/>
        <v/>
      </c>
      <c r="F459" s="502" t="str">
        <f t="shared" ca="1" si="61"/>
        <v/>
      </c>
      <c r="G459" s="503" t="str">
        <f t="shared" ca="1" si="62"/>
        <v/>
      </c>
      <c r="H459" s="503" t="str">
        <f t="shared" ca="1" si="63"/>
        <v/>
      </c>
      <c r="I459" s="498">
        <f t="shared" si="57"/>
        <v>51</v>
      </c>
      <c r="J459" s="503" t="str">
        <f t="shared" ca="1" si="64"/>
        <v/>
      </c>
      <c r="K459" s="497"/>
      <c r="L459" s="503" t="str">
        <f t="shared" ca="1" si="65"/>
        <v/>
      </c>
      <c r="M459" s="497" t="str">
        <f t="array" aca="1" ref="M459" ca="1">IFERROR(VLOOKUP(LEFT(INDIRECT("'Outcome Indicators - Section C '!B"&amp;$I459),255),LEFT('Reference Records'!$C$24:$L$73,255),10,0),"")</f>
        <v/>
      </c>
      <c r="N459" s="497" t="str">
        <f t="shared" ca="1" si="66"/>
        <v/>
      </c>
      <c r="O459" s="503" t="str">
        <f ca="1">IFERROR(VLOOKUP(INDIRECT("'Outcome Indicators - Section C '!I"&amp;$I459),'Overview - Section A'!M$31:P70,4,0),IFERROR(VLOOKUP(INDIRECT("'Outcome Indicators - Section C '!I"&amp;$I459),'Overview - Section A'!E$27:I67,5,0),""))</f>
        <v/>
      </c>
      <c r="P459" s="503" t="str">
        <f t="shared" ca="1" si="67"/>
        <v/>
      </c>
      <c r="Q459" s="503" t="str">
        <f t="shared" ca="1" si="68"/>
        <v/>
      </c>
      <c r="R459" s="503" t="str">
        <f t="shared" ca="1" si="69"/>
        <v/>
      </c>
      <c r="S459" s="503"/>
      <c r="T459" s="503"/>
      <c r="U459" s="497"/>
    </row>
    <row r="460" spans="1:21" x14ac:dyDescent="0.35">
      <c r="A460" s="497" t="b">
        <f t="shared" ca="1" si="58"/>
        <v>0</v>
      </c>
      <c r="B460" s="498">
        <f t="shared" si="56"/>
        <v>25</v>
      </c>
      <c r="C460" s="510" t="str">
        <f>IFERROR(INDEX(C$421:C460,B460,1),"")</f>
        <v>a1X3p000008BewSEAS</v>
      </c>
      <c r="D460" s="500" t="str">
        <f t="shared" ca="1" si="59"/>
        <v/>
      </c>
      <c r="E460" s="512" t="str">
        <f t="shared" ca="1" si="60"/>
        <v/>
      </c>
      <c r="F460" s="502" t="str">
        <f t="shared" ca="1" si="61"/>
        <v/>
      </c>
      <c r="G460" s="503" t="str">
        <f t="shared" ca="1" si="62"/>
        <v/>
      </c>
      <c r="H460" s="503" t="str">
        <f t="shared" ca="1" si="63"/>
        <v/>
      </c>
      <c r="I460" s="498">
        <f t="shared" si="57"/>
        <v>53</v>
      </c>
      <c r="J460" s="503" t="str">
        <f t="shared" ca="1" si="64"/>
        <v/>
      </c>
      <c r="K460" s="497"/>
      <c r="L460" s="503" t="str">
        <f t="shared" ca="1" si="65"/>
        <v/>
      </c>
      <c r="M460" s="497" t="str">
        <f t="array" aca="1" ref="M460" ca="1">IFERROR(VLOOKUP(LEFT(INDIRECT("'Outcome Indicators - Section C '!B"&amp;$I460),255),LEFT('Reference Records'!$C$24:$L$73,255),10,0),"")</f>
        <v/>
      </c>
      <c r="N460" s="497" t="str">
        <f t="shared" ca="1" si="66"/>
        <v/>
      </c>
      <c r="O460" s="503" t="str">
        <f ca="1">IFERROR(VLOOKUP(INDIRECT("'Outcome Indicators - Section C '!I"&amp;$I460),'Overview - Section A'!M$31:P71,4,0),IFERROR(VLOOKUP(INDIRECT("'Outcome Indicators - Section C '!I"&amp;$I460),'Overview - Section A'!E$27:I68,5,0),""))</f>
        <v/>
      </c>
      <c r="P460" s="503" t="str">
        <f t="shared" ca="1" si="67"/>
        <v/>
      </c>
      <c r="Q460" s="503" t="str">
        <f t="shared" ca="1" si="68"/>
        <v/>
      </c>
      <c r="R460" s="503" t="str">
        <f t="shared" ca="1" si="69"/>
        <v/>
      </c>
      <c r="S460" s="503"/>
      <c r="T460" s="503"/>
      <c r="U460" s="497"/>
    </row>
    <row r="461" spans="1:21" x14ac:dyDescent="0.35">
      <c r="A461" s="497" t="b">
        <f t="shared" ca="1" si="58"/>
        <v>0</v>
      </c>
      <c r="B461" s="498">
        <f t="shared" si="56"/>
        <v>26</v>
      </c>
      <c r="C461" s="510" t="str">
        <f>IFERROR(INDEX(C$421:C461,B461,1),"")</f>
        <v>a1X3p000008BewTEAS</v>
      </c>
      <c r="D461" s="500" t="str">
        <f t="shared" ca="1" si="59"/>
        <v/>
      </c>
      <c r="E461" s="512" t="str">
        <f t="shared" ca="1" si="60"/>
        <v/>
      </c>
      <c r="F461" s="502" t="str">
        <f t="shared" ca="1" si="61"/>
        <v/>
      </c>
      <c r="G461" s="503" t="str">
        <f t="shared" ca="1" si="62"/>
        <v/>
      </c>
      <c r="H461" s="503" t="str">
        <f t="shared" ca="1" si="63"/>
        <v/>
      </c>
      <c r="I461" s="498">
        <f t="shared" si="57"/>
        <v>55</v>
      </c>
      <c r="J461" s="503" t="str">
        <f t="shared" ca="1" si="64"/>
        <v/>
      </c>
      <c r="K461" s="497"/>
      <c r="L461" s="503" t="str">
        <f t="shared" ca="1" si="65"/>
        <v/>
      </c>
      <c r="M461" s="497" t="str">
        <f t="array" aca="1" ref="M461" ca="1">IFERROR(VLOOKUP(LEFT(INDIRECT("'Outcome Indicators - Section C '!B"&amp;$I461),255),LEFT('Reference Records'!$C$24:$L$73,255),10,0),"")</f>
        <v/>
      </c>
      <c r="N461" s="497" t="str">
        <f t="shared" ca="1" si="66"/>
        <v/>
      </c>
      <c r="O461" s="503" t="str">
        <f ca="1">IFERROR(VLOOKUP(INDIRECT("'Outcome Indicators - Section C '!I"&amp;$I461),'Overview - Section A'!M$31:P72,4,0),IFERROR(VLOOKUP(INDIRECT("'Outcome Indicators - Section C '!I"&amp;$I461),'Overview - Section A'!E$27:I69,5,0),""))</f>
        <v/>
      </c>
      <c r="P461" s="503" t="str">
        <f t="shared" ca="1" si="67"/>
        <v/>
      </c>
      <c r="Q461" s="503" t="str">
        <f t="shared" ca="1" si="68"/>
        <v/>
      </c>
      <c r="R461" s="503" t="str">
        <f t="shared" ca="1" si="69"/>
        <v/>
      </c>
      <c r="S461" s="503"/>
      <c r="T461" s="503"/>
      <c r="U461" s="497"/>
    </row>
    <row r="462" spans="1:21" x14ac:dyDescent="0.35">
      <c r="A462" s="497" t="b">
        <f t="shared" ca="1" si="58"/>
        <v>0</v>
      </c>
      <c r="B462" s="498">
        <f t="shared" si="56"/>
        <v>27</v>
      </c>
      <c r="C462" s="510" t="str">
        <f>IFERROR(INDEX(C$421:C462,B462,1),"")</f>
        <v>a1X3p000008BewUEAS</v>
      </c>
      <c r="D462" s="500" t="str">
        <f t="shared" ca="1" si="59"/>
        <v/>
      </c>
      <c r="E462" s="512" t="str">
        <f t="shared" ca="1" si="60"/>
        <v/>
      </c>
      <c r="F462" s="502" t="str">
        <f t="shared" ca="1" si="61"/>
        <v/>
      </c>
      <c r="G462" s="503" t="str">
        <f t="shared" ca="1" si="62"/>
        <v/>
      </c>
      <c r="H462" s="503" t="str">
        <f t="shared" ca="1" si="63"/>
        <v/>
      </c>
      <c r="I462" s="498">
        <f t="shared" si="57"/>
        <v>57</v>
      </c>
      <c r="J462" s="503" t="str">
        <f t="shared" ca="1" si="64"/>
        <v/>
      </c>
      <c r="K462" s="497"/>
      <c r="L462" s="503" t="str">
        <f t="shared" ca="1" si="65"/>
        <v/>
      </c>
      <c r="M462" s="497" t="str">
        <f t="array" aca="1" ref="M462" ca="1">IFERROR(VLOOKUP(LEFT(INDIRECT("'Outcome Indicators - Section C '!B"&amp;$I462),255),LEFT('Reference Records'!$C$24:$L$73,255),10,0),"")</f>
        <v/>
      </c>
      <c r="N462" s="497" t="str">
        <f t="shared" ca="1" si="66"/>
        <v/>
      </c>
      <c r="O462" s="503" t="str">
        <f ca="1">IFERROR(VLOOKUP(INDIRECT("'Outcome Indicators - Section C '!I"&amp;$I462),'Overview - Section A'!M$31:P73,4,0),IFERROR(VLOOKUP(INDIRECT("'Outcome Indicators - Section C '!I"&amp;$I462),'Overview - Section A'!E$27:I70,5,0),""))</f>
        <v/>
      </c>
      <c r="P462" s="503" t="str">
        <f t="shared" ca="1" si="67"/>
        <v/>
      </c>
      <c r="Q462" s="503" t="str">
        <f t="shared" ca="1" si="68"/>
        <v/>
      </c>
      <c r="R462" s="503" t="str">
        <f t="shared" ca="1" si="69"/>
        <v/>
      </c>
      <c r="S462" s="503"/>
      <c r="T462" s="503"/>
      <c r="U462" s="497"/>
    </row>
    <row r="463" spans="1:21" x14ac:dyDescent="0.35">
      <c r="A463" s="497" t="b">
        <f t="shared" ca="1" si="58"/>
        <v>0</v>
      </c>
      <c r="B463" s="498">
        <f t="shared" si="56"/>
        <v>28</v>
      </c>
      <c r="C463" s="510" t="str">
        <f>IFERROR(INDEX(C$421:C463,B463,1),"")</f>
        <v>a1X3p000008BewVEAS</v>
      </c>
      <c r="D463" s="500" t="str">
        <f t="shared" ca="1" si="59"/>
        <v/>
      </c>
      <c r="E463" s="512" t="str">
        <f t="shared" ca="1" si="60"/>
        <v/>
      </c>
      <c r="F463" s="502" t="str">
        <f t="shared" ca="1" si="61"/>
        <v/>
      </c>
      <c r="G463" s="503" t="str">
        <f t="shared" ca="1" si="62"/>
        <v/>
      </c>
      <c r="H463" s="503" t="str">
        <f t="shared" ca="1" si="63"/>
        <v/>
      </c>
      <c r="I463" s="498">
        <f t="shared" si="57"/>
        <v>59</v>
      </c>
      <c r="J463" s="503" t="str">
        <f t="shared" ca="1" si="64"/>
        <v/>
      </c>
      <c r="K463" s="497"/>
      <c r="L463" s="503" t="str">
        <f t="shared" ca="1" si="65"/>
        <v/>
      </c>
      <c r="M463" s="497" t="str">
        <f t="array" aca="1" ref="M463" ca="1">IFERROR(VLOOKUP(LEFT(INDIRECT("'Outcome Indicators - Section C '!B"&amp;$I463),255),LEFT('Reference Records'!$C$24:$L$73,255),10,0),"")</f>
        <v/>
      </c>
      <c r="N463" s="497" t="str">
        <f t="shared" ca="1" si="66"/>
        <v/>
      </c>
      <c r="O463" s="503" t="str">
        <f ca="1">IFERROR(VLOOKUP(INDIRECT("'Outcome Indicators - Section C '!I"&amp;$I463),'Overview - Section A'!M$31:P74,4,0),IFERROR(VLOOKUP(INDIRECT("'Outcome Indicators - Section C '!I"&amp;$I463),'Overview - Section A'!E$27:I71,5,0),""))</f>
        <v/>
      </c>
      <c r="P463" s="503" t="str">
        <f t="shared" ca="1" si="67"/>
        <v/>
      </c>
      <c r="Q463" s="503" t="str">
        <f t="shared" ca="1" si="68"/>
        <v/>
      </c>
      <c r="R463" s="503" t="str">
        <f t="shared" ca="1" si="69"/>
        <v/>
      </c>
      <c r="S463" s="503"/>
      <c r="T463" s="503"/>
      <c r="U463" s="497"/>
    </row>
    <row r="464" spans="1:21" x14ac:dyDescent="0.35">
      <c r="A464" s="497" t="b">
        <f t="shared" ca="1" si="58"/>
        <v>0</v>
      </c>
      <c r="B464" s="498">
        <f t="shared" si="56"/>
        <v>29</v>
      </c>
      <c r="C464" s="510" t="str">
        <f>IFERROR(INDEX(C$421:C464,B464,1),"")</f>
        <v>a1X3p000008BewWEAS</v>
      </c>
      <c r="D464" s="500" t="str">
        <f t="shared" ca="1" si="59"/>
        <v/>
      </c>
      <c r="E464" s="512" t="str">
        <f t="shared" ca="1" si="60"/>
        <v/>
      </c>
      <c r="F464" s="502" t="str">
        <f t="shared" ca="1" si="61"/>
        <v/>
      </c>
      <c r="G464" s="503" t="str">
        <f t="shared" ca="1" si="62"/>
        <v/>
      </c>
      <c r="H464" s="503" t="str">
        <f t="shared" ca="1" si="63"/>
        <v/>
      </c>
      <c r="I464" s="498">
        <f t="shared" si="57"/>
        <v>61</v>
      </c>
      <c r="J464" s="503" t="str">
        <f t="shared" ca="1" si="64"/>
        <v/>
      </c>
      <c r="K464" s="497"/>
      <c r="L464" s="503" t="str">
        <f t="shared" ca="1" si="65"/>
        <v/>
      </c>
      <c r="M464" s="497" t="str">
        <f t="array" aca="1" ref="M464" ca="1">IFERROR(VLOOKUP(LEFT(INDIRECT("'Outcome Indicators - Section C '!B"&amp;$I464),255),LEFT('Reference Records'!$C$24:$L$73,255),10,0),"")</f>
        <v/>
      </c>
      <c r="N464" s="497" t="str">
        <f t="shared" ca="1" si="66"/>
        <v/>
      </c>
      <c r="O464" s="503" t="str">
        <f ca="1">IFERROR(VLOOKUP(INDIRECT("'Outcome Indicators - Section C '!I"&amp;$I464),'Overview - Section A'!M$31:P75,4,0),IFERROR(VLOOKUP(INDIRECT("'Outcome Indicators - Section C '!I"&amp;$I464),'Overview - Section A'!E$27:I72,5,0),""))</f>
        <v/>
      </c>
      <c r="P464" s="503" t="str">
        <f t="shared" ca="1" si="67"/>
        <v/>
      </c>
      <c r="Q464" s="503" t="str">
        <f t="shared" ca="1" si="68"/>
        <v/>
      </c>
      <c r="R464" s="503" t="str">
        <f t="shared" ca="1" si="69"/>
        <v/>
      </c>
      <c r="S464" s="503"/>
      <c r="T464" s="503"/>
      <c r="U464" s="497"/>
    </row>
    <row r="465" spans="1:21" x14ac:dyDescent="0.35">
      <c r="A465" s="497" t="b">
        <f t="shared" ca="1" si="58"/>
        <v>0</v>
      </c>
      <c r="B465" s="498">
        <f t="shared" si="56"/>
        <v>30</v>
      </c>
      <c r="C465" s="510" t="str">
        <f>IFERROR(INDEX(C$421:C465,B465,1),"")</f>
        <v>a1X3p000008BewXEAS</v>
      </c>
      <c r="D465" s="500" t="str">
        <f t="shared" ca="1" si="59"/>
        <v/>
      </c>
      <c r="E465" s="512" t="str">
        <f t="shared" ca="1" si="60"/>
        <v/>
      </c>
      <c r="F465" s="502" t="str">
        <f t="shared" ca="1" si="61"/>
        <v/>
      </c>
      <c r="G465" s="503" t="str">
        <f t="shared" ca="1" si="62"/>
        <v/>
      </c>
      <c r="H465" s="503" t="str">
        <f t="shared" ca="1" si="63"/>
        <v/>
      </c>
      <c r="I465" s="498">
        <f t="shared" si="57"/>
        <v>63</v>
      </c>
      <c r="J465" s="503" t="str">
        <f t="shared" ca="1" si="64"/>
        <v/>
      </c>
      <c r="K465" s="497"/>
      <c r="L465" s="503" t="str">
        <f t="shared" ca="1" si="65"/>
        <v/>
      </c>
      <c r="M465" s="497" t="str">
        <f t="array" aca="1" ref="M465" ca="1">IFERROR(VLOOKUP(LEFT(INDIRECT("'Outcome Indicators - Section C '!B"&amp;$I465),255),LEFT('Reference Records'!$C$24:$L$73,255),10,0),"")</f>
        <v/>
      </c>
      <c r="N465" s="497" t="str">
        <f t="shared" ca="1" si="66"/>
        <v/>
      </c>
      <c r="O465" s="503" t="str">
        <f ca="1">IFERROR(VLOOKUP(INDIRECT("'Outcome Indicators - Section C '!I"&amp;$I465),'Overview - Section A'!M$31:P76,4,0),IFERROR(VLOOKUP(INDIRECT("'Outcome Indicators - Section C '!I"&amp;$I465),'Overview - Section A'!E$27:I73,5,0),""))</f>
        <v/>
      </c>
      <c r="P465" s="503" t="str">
        <f t="shared" ca="1" si="67"/>
        <v/>
      </c>
      <c r="Q465" s="503" t="str">
        <f t="shared" ca="1" si="68"/>
        <v/>
      </c>
      <c r="R465" s="503" t="str">
        <f t="shared" ca="1" si="69"/>
        <v/>
      </c>
      <c r="S465" s="503"/>
      <c r="T465" s="503"/>
      <c r="U465" s="497"/>
    </row>
    <row r="466" spans="1:21" x14ac:dyDescent="0.35">
      <c r="A466" s="497" t="b">
        <f t="shared" ca="1" si="58"/>
        <v>0</v>
      </c>
      <c r="B466" s="498">
        <f t="shared" si="56"/>
        <v>31</v>
      </c>
      <c r="C466" s="510" t="str">
        <f>IFERROR(INDEX(C$421:C466,B466,1),"")</f>
        <v>a1X3p000008BewYEAS</v>
      </c>
      <c r="D466" s="500" t="str">
        <f t="shared" ca="1" si="59"/>
        <v/>
      </c>
      <c r="E466" s="512" t="str">
        <f t="shared" ca="1" si="60"/>
        <v/>
      </c>
      <c r="F466" s="502" t="str">
        <f t="shared" ca="1" si="61"/>
        <v/>
      </c>
      <c r="G466" s="503" t="str">
        <f t="shared" ca="1" si="62"/>
        <v/>
      </c>
      <c r="H466" s="503" t="str">
        <f t="shared" ca="1" si="63"/>
        <v/>
      </c>
      <c r="I466" s="498">
        <f t="shared" si="57"/>
        <v>65</v>
      </c>
      <c r="J466" s="503" t="str">
        <f t="shared" ca="1" si="64"/>
        <v/>
      </c>
      <c r="K466" s="497"/>
      <c r="L466" s="503" t="str">
        <f t="shared" ca="1" si="65"/>
        <v/>
      </c>
      <c r="M466" s="497" t="str">
        <f t="array" aca="1" ref="M466" ca="1">IFERROR(VLOOKUP(LEFT(INDIRECT("'Outcome Indicators - Section C '!B"&amp;$I466),255),LEFT('Reference Records'!$C$24:$L$73,255),10,0),"")</f>
        <v/>
      </c>
      <c r="N466" s="497" t="str">
        <f t="shared" ca="1" si="66"/>
        <v/>
      </c>
      <c r="O466" s="503" t="str">
        <f ca="1">IFERROR(VLOOKUP(INDIRECT("'Outcome Indicators - Section C '!I"&amp;$I466),'Overview - Section A'!M$31:P77,4,0),IFERROR(VLOOKUP(INDIRECT("'Outcome Indicators - Section C '!I"&amp;$I466),'Overview - Section A'!E$27:I74,5,0),""))</f>
        <v/>
      </c>
      <c r="P466" s="503" t="str">
        <f t="shared" ca="1" si="67"/>
        <v/>
      </c>
      <c r="Q466" s="503" t="str">
        <f t="shared" ca="1" si="68"/>
        <v/>
      </c>
      <c r="R466" s="503" t="str">
        <f t="shared" ca="1" si="69"/>
        <v/>
      </c>
      <c r="S466" s="503"/>
      <c r="T466" s="503"/>
      <c r="U466" s="497"/>
    </row>
    <row r="467" spans="1:21" x14ac:dyDescent="0.35">
      <c r="A467" s="497" t="b">
        <f t="shared" ca="1" si="58"/>
        <v>0</v>
      </c>
      <c r="B467" s="498">
        <f t="shared" si="56"/>
        <v>32</v>
      </c>
      <c r="C467" s="510" t="str">
        <f>IFERROR(INDEX(C$421:C467,B467,1),"")</f>
        <v>a1X3p000008BewZEAS</v>
      </c>
      <c r="D467" s="500" t="str">
        <f t="shared" ca="1" si="59"/>
        <v/>
      </c>
      <c r="E467" s="512" t="str">
        <f t="shared" ca="1" si="60"/>
        <v/>
      </c>
      <c r="F467" s="502" t="str">
        <f t="shared" ca="1" si="61"/>
        <v/>
      </c>
      <c r="G467" s="503" t="str">
        <f t="shared" ca="1" si="62"/>
        <v/>
      </c>
      <c r="H467" s="503" t="str">
        <f t="shared" ca="1" si="63"/>
        <v/>
      </c>
      <c r="I467" s="498">
        <f t="shared" si="57"/>
        <v>67</v>
      </c>
      <c r="J467" s="503" t="str">
        <f t="shared" ca="1" si="64"/>
        <v/>
      </c>
      <c r="K467" s="497"/>
      <c r="L467" s="503" t="str">
        <f t="shared" ca="1" si="65"/>
        <v/>
      </c>
      <c r="M467" s="497" t="str">
        <f t="array" aca="1" ref="M467" ca="1">IFERROR(VLOOKUP(LEFT(INDIRECT("'Outcome Indicators - Section C '!B"&amp;$I467),255),LEFT('Reference Records'!$C$24:$L$73,255),10,0),"")</f>
        <v/>
      </c>
      <c r="N467" s="497" t="str">
        <f t="shared" ca="1" si="66"/>
        <v/>
      </c>
      <c r="O467" s="503" t="str">
        <f ca="1">IFERROR(VLOOKUP(INDIRECT("'Outcome Indicators - Section C '!I"&amp;$I467),'Overview - Section A'!M$31:P78,4,0),IFERROR(VLOOKUP(INDIRECT("'Outcome Indicators - Section C '!I"&amp;$I467),'Overview - Section A'!E$27:I75,5,0),""))</f>
        <v/>
      </c>
      <c r="P467" s="503" t="str">
        <f t="shared" ca="1" si="67"/>
        <v/>
      </c>
      <c r="Q467" s="503" t="str">
        <f t="shared" ca="1" si="68"/>
        <v/>
      </c>
      <c r="R467" s="503" t="str">
        <f t="shared" ca="1" si="69"/>
        <v/>
      </c>
      <c r="S467" s="503"/>
      <c r="T467" s="503"/>
      <c r="U467" s="497"/>
    </row>
    <row r="468" spans="1:21" x14ac:dyDescent="0.35">
      <c r="B468" s="506"/>
      <c r="I468" s="506"/>
    </row>
    <row r="469" spans="1:21" x14ac:dyDescent="0.35">
      <c r="B469" s="506"/>
      <c r="I469" s="506"/>
    </row>
    <row r="470" spans="1:21" x14ac:dyDescent="0.35">
      <c r="B470" s="506"/>
      <c r="I470" s="506"/>
    </row>
    <row r="471" spans="1:21" x14ac:dyDescent="0.35">
      <c r="B471" s="506"/>
      <c r="I471" s="506"/>
    </row>
    <row r="472" spans="1:21" x14ac:dyDescent="0.35">
      <c r="B472" s="506"/>
      <c r="I472" s="506"/>
    </row>
    <row r="473" spans="1:21" x14ac:dyDescent="0.35">
      <c r="B473" s="506"/>
      <c r="I473" s="506"/>
    </row>
    <row r="474" spans="1:21" x14ac:dyDescent="0.35">
      <c r="J474" s="496" t="str">
        <f ca="1">IF(ROW()&gt;'Impact Indicator Target Update'!A9,"",INDIRECT("'Impact Indicators - Section B'!A"&amp;'Impact Indicator Target Update'!D9))</f>
        <v/>
      </c>
    </row>
    <row r="475" spans="1:21" x14ac:dyDescent="0.35">
      <c r="A475" s="507" t="s">
        <v>337</v>
      </c>
      <c r="J475" s="496" t="str">
        <f ca="1">IF(ROW()&gt;'Impact Indicator Target Update'!A10,"",INDIRECT("'Impact Indicators - Section B'!A"&amp;'Impact Indicator Target Update'!D10))</f>
        <v/>
      </c>
    </row>
    <row r="476" spans="1:21" x14ac:dyDescent="0.35">
      <c r="A476" s="497"/>
      <c r="B476" s="511">
        <v>-91</v>
      </c>
      <c r="C476" s="497" t="s">
        <v>48</v>
      </c>
      <c r="D476" s="497" t="s">
        <v>340</v>
      </c>
      <c r="E476" s="497" t="s">
        <v>339</v>
      </c>
      <c r="F476" s="497" t="s">
        <v>22</v>
      </c>
      <c r="G476" s="497"/>
      <c r="H476" s="497" t="s">
        <v>249</v>
      </c>
      <c r="I476" s="497" t="s">
        <v>7</v>
      </c>
      <c r="J476" s="497" t="s">
        <v>6</v>
      </c>
      <c r="K476" s="497" t="s">
        <v>8</v>
      </c>
      <c r="L476" s="497" t="s">
        <v>149</v>
      </c>
      <c r="M476" s="497" t="s">
        <v>26</v>
      </c>
      <c r="N476" s="497" t="s">
        <v>109</v>
      </c>
      <c r="O476" s="497"/>
      <c r="P476" s="497">
        <v>-1</v>
      </c>
      <c r="Q476" s="497" t="s">
        <v>354</v>
      </c>
    </row>
    <row r="477" spans="1:21" hidden="1" x14ac:dyDescent="0.35">
      <c r="A477" s="497" t="b">
        <f ca="1">IF(OR(I477&lt;&gt;"",J477&lt;&gt;"",K477&lt;&gt;"",M477&lt;&gt;"",N477&lt;&gt;""),TRUE,FALSE)</f>
        <v>0</v>
      </c>
      <c r="B477" s="511">
        <f>B476+1</f>
        <v>-90</v>
      </c>
      <c r="C477" s="515" t="str">
        <f ca="1">IF(COUNTA(D$475:D476)=1,"",OFFSET(B475,-COUNTA(D$475:D476)+3,1))</f>
        <v/>
      </c>
      <c r="D477" s="497"/>
      <c r="E477" s="497">
        <f ca="1">COUNTIF(F468:F477,F477)</f>
        <v>9</v>
      </c>
      <c r="F477" s="516" t="str">
        <f ca="1">IF(COUNTA(D$475:D476)=1,"",OFFSET(F475,-COUNTA(D$475:D476)+3,0))</f>
        <v/>
      </c>
      <c r="G477" s="497"/>
      <c r="H477" s="497" t="str">
        <f ca="1">IF(F477=1,9,IF(E476=MAX(E475:E477),H475+2,H476))</f>
        <v>row number</v>
      </c>
      <c r="I477" s="512" t="str">
        <f ca="1">IFERROR(CHOOSE(E477,IFERROR(IF(INDIRECT("'Outcome Indicators - Section C '!K"&amp;H477+1)="","",INDIRECT("'Outcome Indicators - Section C '!k"&amp;H477+1)),""),IFERROR(IF(INDIRECT("'Outcome Indicators - Section C '!O"&amp;H477+1)="","",INDIRECT("'Outcome Indicators - Section C '!O"&amp;H477+1)),""),IFERROR(IF(INDIRECT("'Outcome Indicators - Section C '!S"&amp;H477+1)="","",INDIRECT("'Outcome Indicators - Section C '!S"&amp;H477+1)),""),IFERROR(IF(INDIRECT("'Outcome Indicators - Section C '!W"&amp;H477+1)="","",INDIRECT("'Outcome Indicators - Section C '!W"&amp;H477+1)),"")),"")</f>
        <v/>
      </c>
      <c r="J477" s="502" t="str">
        <f ca="1">IFERROR(CHOOSE(E477,IFERROR(IF(INDIRECT("'Outcome Indicators - Section C '!K"&amp;H477)="","",INDIRECT("'Outcome Indicators - Section C '!k"&amp;H477)),""),IFERROR(IF(INDIRECT("'Outcome Indicators - Section C '!O"&amp;H477)="","",INDIRECT("'Outcome Indicators - Section C '!O"&amp;H477)),""),IFERROR(IF(INDIRECT("'Outcome Indicators - Section C '!S"&amp;H477)="","",INDIRECT("'Outcome Indicators - Section C '!S"&amp;H477)),""),IFERROR(IF(INDIRECT("'Outcome Indicators - Section C '!W"&amp;H477)="","",INDIRECT("'Outcome Indicators - Section C '!W"&amp;H477)),"")),"")</f>
        <v/>
      </c>
      <c r="K477" s="500" t="str">
        <f ca="1">IFERROR(CHOOSE(E477,IFERROR(IF(INDIRECT("'Outcome Indicators - Section C '!L"&amp;H477)="","",INDIRECT("'Outcome Indicators - Section C '!L"&amp;H477)*100),""),IFERROR(IF(INDIRECT("'Outcome Indicators - Section C '!P"&amp;H477)="","",INDIRECT("'Outcome Indicators - Section C '!P"&amp;H477)*100),""),IFERROR(IF(INDIRECT("'Outcome Indicators - Section C '!T"&amp;H477)="","",INDIRECT("'Outcome Indicators - Section C '!T"&amp;H477)*100),""),IFERROR(IF(INDIRECT("'Outcome Indicators - Section C '!X"&amp;H477)="","",INDIRECT("'Outcome Indicators - Section C '!X"&amp;H477)*100),"")),"")</f>
        <v/>
      </c>
      <c r="L477" s="503" t="str">
        <f ca="1">IFERROR(CHOOSE(E477,'Outcome Indicators - Section C '!$K$7,'Outcome Indicators - Section C '!$O$7,'Outcome Indicators - Section C '!$S$7,'Outcome Indicators - Section C '!$W$7),"")</f>
        <v/>
      </c>
      <c r="M477" s="514" t="str">
        <f ca="1">IFERROR(CHOOSE(E477,IFERROR(IF(INDIRECT("'Outcome Indicators - Section C '!M"&amp;H477)="","",INDIRECT("'Outcome Indicators - Section C '!M"&amp;H477)),""),IFERROR(IF(INDIRECT("'Outcome Indicators - Section C '!Q"&amp;H477)="","",INDIRECT("'Outcome Indicators - Section C '!Q"&amp;H477)),""),IFERROR(IF(INDIRECT("'Outcome Indicators - Section C '!U"&amp;H477)="","",INDIRECT("'Outcome Indicators - Section C '!U"&amp;H477)),""),IFERROR(IF(INDIRECT("'Outcome Indicators - Section C '!Y"&amp;H477)="","",INDIRECT("'Outcome Indicators - Section C '!Y"&amp;H477)),"")),"")</f>
        <v/>
      </c>
      <c r="N477" s="503" t="str">
        <f ca="1">IFERROR(CHOOSE(E477,IFERROR(IF(INDIRECT("'Outcome Indicators - Section C '!N"&amp;H477)=0,"",INDIRECT("'Outcome Indicators - Section C '!N"&amp;H477)),""),IFERROR(IF(INDIRECT("'Outcome Indicators - Section C '!R"&amp;H477)=0,"",INDIRECT("'Outcome Indicators - Section C '!R"&amp;H477)),""),IFERROR(IF(INDIRECT("'Outcome Indicators - Section C '!V"&amp;H477)=0,"",INDIRECT("'Outcome Indicators - Section C '!V"&amp;H477)),""),IFERROR(IF(INDIRECT("'Outcome Indicators - Section C '!Z"&amp;H477)=0,"",INDIRECT("'Outcome Indicators - Section C '!Z"&amp;H477)),"")),"")</f>
        <v/>
      </c>
      <c r="O477" s="497"/>
      <c r="P477" s="497">
        <f>IF(NOT(_xlfn.ISFORMULA(I477)),P476+1,0)</f>
        <v>0</v>
      </c>
      <c r="Q477" s="503" t="s">
        <v>353</v>
      </c>
    </row>
    <row r="478" spans="1:21" x14ac:dyDescent="0.35">
      <c r="A478" s="497" t="b">
        <v>0</v>
      </c>
      <c r="B478" s="511">
        <f t="shared" ref="B478:B541" si="70">B477+1</f>
        <v>-89</v>
      </c>
      <c r="C478" s="515" t="s">
        <v>9266</v>
      </c>
      <c r="D478" s="497" t="s">
        <v>4668</v>
      </c>
      <c r="E478" s="497">
        <f t="shared" ref="E478:E541" ca="1" si="71">COUNTIF(F469:F478,F478)</f>
        <v>1</v>
      </c>
      <c r="F478" s="516">
        <v>1</v>
      </c>
      <c r="G478" s="497"/>
      <c r="H478" s="497">
        <f t="shared" ref="H478:H541" si="72">IF(F478=1,9,IF(E477=MAX(E476:E478),H476+2,H477))</f>
        <v>9</v>
      </c>
      <c r="I478" s="512"/>
      <c r="J478" s="502"/>
      <c r="K478" s="500"/>
      <c r="L478" s="503"/>
      <c r="M478" s="514"/>
      <c r="N478" s="503"/>
      <c r="O478" s="497"/>
      <c r="P478" s="497">
        <f t="shared" ref="P478:P541" si="73">IF(NOT(_xlfn.ISFORMULA(I478)),P477+1,0)</f>
        <v>1</v>
      </c>
      <c r="Q478" s="503"/>
    </row>
    <row r="479" spans="1:21" x14ac:dyDescent="0.35">
      <c r="A479" s="497" t="b">
        <v>0</v>
      </c>
      <c r="B479" s="511">
        <f t="shared" si="70"/>
        <v>-88</v>
      </c>
      <c r="C479" s="515" t="s">
        <v>9267</v>
      </c>
      <c r="D479" s="497" t="s">
        <v>4668</v>
      </c>
      <c r="E479" s="497">
        <f t="shared" ca="1" si="71"/>
        <v>2</v>
      </c>
      <c r="F479" s="516">
        <v>1</v>
      </c>
      <c r="G479" s="497"/>
      <c r="H479" s="497">
        <f t="shared" si="72"/>
        <v>9</v>
      </c>
      <c r="I479" s="512"/>
      <c r="J479" s="502"/>
      <c r="K479" s="500"/>
      <c r="L479" s="503"/>
      <c r="M479" s="514"/>
      <c r="N479" s="503"/>
      <c r="O479" s="497"/>
      <c r="P479" s="497">
        <f t="shared" si="73"/>
        <v>2</v>
      </c>
      <c r="Q479" s="503"/>
    </row>
    <row r="480" spans="1:21" x14ac:dyDescent="0.35">
      <c r="A480" s="497" t="b">
        <v>0</v>
      </c>
      <c r="B480" s="511">
        <f t="shared" si="70"/>
        <v>-87</v>
      </c>
      <c r="C480" s="515" t="s">
        <v>9268</v>
      </c>
      <c r="D480" s="497" t="s">
        <v>4668</v>
      </c>
      <c r="E480" s="497">
        <f t="shared" ca="1" si="71"/>
        <v>3</v>
      </c>
      <c r="F480" s="516">
        <v>1</v>
      </c>
      <c r="G480" s="497"/>
      <c r="H480" s="497">
        <f t="shared" si="72"/>
        <v>9</v>
      </c>
      <c r="I480" s="512"/>
      <c r="J480" s="502"/>
      <c r="K480" s="500"/>
      <c r="L480" s="503"/>
      <c r="M480" s="514"/>
      <c r="N480" s="503"/>
      <c r="O480" s="497"/>
      <c r="P480" s="497">
        <f t="shared" si="73"/>
        <v>3</v>
      </c>
      <c r="Q480" s="503"/>
    </row>
    <row r="481" spans="1:17" x14ac:dyDescent="0.35">
      <c r="A481" s="497" t="b">
        <v>0</v>
      </c>
      <c r="B481" s="511">
        <f t="shared" si="70"/>
        <v>-86</v>
      </c>
      <c r="C481" s="515" t="s">
        <v>9269</v>
      </c>
      <c r="D481" s="497" t="s">
        <v>4668</v>
      </c>
      <c r="E481" s="497">
        <f t="shared" ca="1" si="71"/>
        <v>4</v>
      </c>
      <c r="F481" s="516">
        <v>1</v>
      </c>
      <c r="G481" s="497"/>
      <c r="H481" s="497">
        <f t="shared" si="72"/>
        <v>9</v>
      </c>
      <c r="I481" s="512"/>
      <c r="J481" s="502"/>
      <c r="K481" s="500"/>
      <c r="L481" s="503"/>
      <c r="M481" s="514"/>
      <c r="N481" s="503"/>
      <c r="O481" s="497"/>
      <c r="P481" s="497">
        <f t="shared" si="73"/>
        <v>4</v>
      </c>
      <c r="Q481" s="503"/>
    </row>
    <row r="482" spans="1:17" x14ac:dyDescent="0.35">
      <c r="A482" s="497" t="b">
        <v>0</v>
      </c>
      <c r="B482" s="511">
        <f t="shared" si="70"/>
        <v>-85</v>
      </c>
      <c r="C482" s="515" t="s">
        <v>9270</v>
      </c>
      <c r="D482" s="497" t="s">
        <v>4668</v>
      </c>
      <c r="E482" s="497">
        <f t="shared" ca="1" si="71"/>
        <v>5</v>
      </c>
      <c r="F482" s="516">
        <v>1</v>
      </c>
      <c r="G482" s="497"/>
      <c r="H482" s="497">
        <f t="shared" si="72"/>
        <v>9</v>
      </c>
      <c r="I482" s="512"/>
      <c r="J482" s="502"/>
      <c r="K482" s="500"/>
      <c r="L482" s="503"/>
      <c r="M482" s="514"/>
      <c r="N482" s="503"/>
      <c r="O482" s="497"/>
      <c r="P482" s="497">
        <f t="shared" si="73"/>
        <v>5</v>
      </c>
      <c r="Q482" s="503"/>
    </row>
    <row r="483" spans="1:17" x14ac:dyDescent="0.35">
      <c r="A483" s="497" t="b">
        <v>0</v>
      </c>
      <c r="B483" s="511">
        <f t="shared" si="70"/>
        <v>-84</v>
      </c>
      <c r="C483" s="515" t="s">
        <v>9271</v>
      </c>
      <c r="D483" s="497" t="s">
        <v>4668</v>
      </c>
      <c r="E483" s="497">
        <f t="shared" ca="1" si="71"/>
        <v>6</v>
      </c>
      <c r="F483" s="516">
        <v>1</v>
      </c>
      <c r="G483" s="497"/>
      <c r="H483" s="497">
        <f t="shared" si="72"/>
        <v>9</v>
      </c>
      <c r="I483" s="512"/>
      <c r="J483" s="502"/>
      <c r="K483" s="500"/>
      <c r="L483" s="503"/>
      <c r="M483" s="514"/>
      <c r="N483" s="503"/>
      <c r="O483" s="497"/>
      <c r="P483" s="497">
        <f t="shared" si="73"/>
        <v>6</v>
      </c>
      <c r="Q483" s="503"/>
    </row>
    <row r="484" spans="1:17" x14ac:dyDescent="0.35">
      <c r="A484" s="497" t="b">
        <v>0</v>
      </c>
      <c r="B484" s="511">
        <f t="shared" si="70"/>
        <v>-83</v>
      </c>
      <c r="C484" s="515" t="s">
        <v>9272</v>
      </c>
      <c r="D484" s="497" t="s">
        <v>4984</v>
      </c>
      <c r="E484" s="497">
        <f t="shared" ca="1" si="71"/>
        <v>1</v>
      </c>
      <c r="F484" s="516">
        <v>2</v>
      </c>
      <c r="G484" s="497"/>
      <c r="H484" s="497">
        <f t="shared" ca="1" si="72"/>
        <v>11</v>
      </c>
      <c r="I484" s="512"/>
      <c r="J484" s="502"/>
      <c r="K484" s="500"/>
      <c r="L484" s="503"/>
      <c r="M484" s="514"/>
      <c r="N484" s="503"/>
      <c r="O484" s="497"/>
      <c r="P484" s="497">
        <f t="shared" si="73"/>
        <v>7</v>
      </c>
      <c r="Q484" s="503"/>
    </row>
    <row r="485" spans="1:17" x14ac:dyDescent="0.35">
      <c r="A485" s="497" t="b">
        <v>0</v>
      </c>
      <c r="B485" s="511">
        <f t="shared" si="70"/>
        <v>-82</v>
      </c>
      <c r="C485" s="515" t="s">
        <v>9273</v>
      </c>
      <c r="D485" s="497" t="s">
        <v>4984</v>
      </c>
      <c r="E485" s="497">
        <f t="shared" ca="1" si="71"/>
        <v>2</v>
      </c>
      <c r="F485" s="516">
        <v>2</v>
      </c>
      <c r="G485" s="497"/>
      <c r="H485" s="497">
        <f t="shared" ca="1" si="72"/>
        <v>11</v>
      </c>
      <c r="I485" s="512"/>
      <c r="J485" s="502"/>
      <c r="K485" s="500"/>
      <c r="L485" s="503"/>
      <c r="M485" s="514"/>
      <c r="N485" s="503"/>
      <c r="O485" s="497"/>
      <c r="P485" s="497">
        <f t="shared" si="73"/>
        <v>8</v>
      </c>
      <c r="Q485" s="503"/>
    </row>
    <row r="486" spans="1:17" x14ac:dyDescent="0.35">
      <c r="A486" s="497" t="b">
        <v>0</v>
      </c>
      <c r="B486" s="511">
        <f t="shared" si="70"/>
        <v>-81</v>
      </c>
      <c r="C486" s="515" t="s">
        <v>9274</v>
      </c>
      <c r="D486" s="497" t="s">
        <v>4984</v>
      </c>
      <c r="E486" s="497">
        <f t="shared" ca="1" si="71"/>
        <v>3</v>
      </c>
      <c r="F486" s="516">
        <v>2</v>
      </c>
      <c r="G486" s="497"/>
      <c r="H486" s="497">
        <f t="shared" ca="1" si="72"/>
        <v>11</v>
      </c>
      <c r="I486" s="512"/>
      <c r="J486" s="502"/>
      <c r="K486" s="500"/>
      <c r="L486" s="503"/>
      <c r="M486" s="514"/>
      <c r="N486" s="503"/>
      <c r="O486" s="497"/>
      <c r="P486" s="497">
        <f t="shared" si="73"/>
        <v>9</v>
      </c>
      <c r="Q486" s="503"/>
    </row>
    <row r="487" spans="1:17" x14ac:dyDescent="0.35">
      <c r="A487" s="497" t="b">
        <v>0</v>
      </c>
      <c r="B487" s="511">
        <f t="shared" si="70"/>
        <v>-80</v>
      </c>
      <c r="C487" s="515" t="s">
        <v>9275</v>
      </c>
      <c r="D487" s="497" t="s">
        <v>4984</v>
      </c>
      <c r="E487" s="497">
        <f t="shared" si="71"/>
        <v>4</v>
      </c>
      <c r="F487" s="516">
        <v>2</v>
      </c>
      <c r="G487" s="497"/>
      <c r="H487" s="497">
        <f t="shared" ca="1" si="72"/>
        <v>11</v>
      </c>
      <c r="I487" s="512"/>
      <c r="J487" s="502"/>
      <c r="K487" s="500"/>
      <c r="L487" s="503"/>
      <c r="M487" s="514"/>
      <c r="N487" s="503"/>
      <c r="O487" s="497"/>
      <c r="P487" s="497">
        <f t="shared" si="73"/>
        <v>10</v>
      </c>
      <c r="Q487" s="503"/>
    </row>
    <row r="488" spans="1:17" x14ac:dyDescent="0.35">
      <c r="A488" s="497" t="b">
        <v>0</v>
      </c>
      <c r="B488" s="511">
        <f t="shared" si="70"/>
        <v>-79</v>
      </c>
      <c r="C488" s="515" t="s">
        <v>9276</v>
      </c>
      <c r="D488" s="497" t="s">
        <v>4984</v>
      </c>
      <c r="E488" s="497">
        <f t="shared" si="71"/>
        <v>5</v>
      </c>
      <c r="F488" s="516">
        <v>2</v>
      </c>
      <c r="G488" s="497"/>
      <c r="H488" s="497">
        <f t="shared" ca="1" si="72"/>
        <v>11</v>
      </c>
      <c r="I488" s="512"/>
      <c r="J488" s="502"/>
      <c r="K488" s="500"/>
      <c r="L488" s="503"/>
      <c r="M488" s="514"/>
      <c r="N488" s="503"/>
      <c r="O488" s="497"/>
      <c r="P488" s="497">
        <f t="shared" si="73"/>
        <v>11</v>
      </c>
      <c r="Q488" s="503"/>
    </row>
    <row r="489" spans="1:17" x14ac:dyDescent="0.35">
      <c r="A489" s="497" t="b">
        <v>0</v>
      </c>
      <c r="B489" s="511">
        <f t="shared" si="70"/>
        <v>-78</v>
      </c>
      <c r="C489" s="515" t="s">
        <v>9277</v>
      </c>
      <c r="D489" s="497" t="s">
        <v>4984</v>
      </c>
      <c r="E489" s="497">
        <f t="shared" si="71"/>
        <v>6</v>
      </c>
      <c r="F489" s="516">
        <v>2</v>
      </c>
      <c r="G489" s="497"/>
      <c r="H489" s="497">
        <f t="shared" ca="1" si="72"/>
        <v>11</v>
      </c>
      <c r="I489" s="512"/>
      <c r="J489" s="502"/>
      <c r="K489" s="500"/>
      <c r="L489" s="503"/>
      <c r="M489" s="514"/>
      <c r="N489" s="503"/>
      <c r="O489" s="497"/>
      <c r="P489" s="497">
        <f t="shared" si="73"/>
        <v>12</v>
      </c>
      <c r="Q489" s="503"/>
    </row>
    <row r="490" spans="1:17" x14ac:dyDescent="0.35">
      <c r="A490" s="497" t="b">
        <v>0</v>
      </c>
      <c r="B490" s="511">
        <f t="shared" si="70"/>
        <v>-77</v>
      </c>
      <c r="C490" s="515" t="s">
        <v>9278</v>
      </c>
      <c r="D490" s="497" t="s">
        <v>4690</v>
      </c>
      <c r="E490" s="497">
        <f t="shared" si="71"/>
        <v>1</v>
      </c>
      <c r="F490" s="516">
        <v>3</v>
      </c>
      <c r="G490" s="497"/>
      <c r="H490" s="497">
        <f t="shared" ca="1" si="72"/>
        <v>13</v>
      </c>
      <c r="I490" s="512"/>
      <c r="J490" s="502"/>
      <c r="K490" s="500"/>
      <c r="L490" s="503"/>
      <c r="M490" s="514"/>
      <c r="N490" s="503"/>
      <c r="O490" s="497"/>
      <c r="P490" s="497">
        <f t="shared" si="73"/>
        <v>13</v>
      </c>
      <c r="Q490" s="503"/>
    </row>
    <row r="491" spans="1:17" x14ac:dyDescent="0.35">
      <c r="A491" s="497" t="b">
        <v>0</v>
      </c>
      <c r="B491" s="511">
        <f t="shared" si="70"/>
        <v>-76</v>
      </c>
      <c r="C491" s="515" t="s">
        <v>9279</v>
      </c>
      <c r="D491" s="497" t="s">
        <v>4690</v>
      </c>
      <c r="E491" s="497">
        <f t="shared" si="71"/>
        <v>2</v>
      </c>
      <c r="F491" s="516">
        <v>3</v>
      </c>
      <c r="G491" s="497"/>
      <c r="H491" s="497">
        <f t="shared" ca="1" si="72"/>
        <v>13</v>
      </c>
      <c r="I491" s="512"/>
      <c r="J491" s="502"/>
      <c r="K491" s="500"/>
      <c r="L491" s="503"/>
      <c r="M491" s="514"/>
      <c r="N491" s="503"/>
      <c r="O491" s="497"/>
      <c r="P491" s="497">
        <f t="shared" si="73"/>
        <v>14</v>
      </c>
      <c r="Q491" s="503"/>
    </row>
    <row r="492" spans="1:17" x14ac:dyDescent="0.35">
      <c r="A492" s="497" t="b">
        <v>0</v>
      </c>
      <c r="B492" s="511">
        <f t="shared" si="70"/>
        <v>-75</v>
      </c>
      <c r="C492" s="515" t="s">
        <v>9280</v>
      </c>
      <c r="D492" s="497" t="s">
        <v>4690</v>
      </c>
      <c r="E492" s="497">
        <f t="shared" si="71"/>
        <v>3</v>
      </c>
      <c r="F492" s="516">
        <v>3</v>
      </c>
      <c r="G492" s="497"/>
      <c r="H492" s="497">
        <f t="shared" ca="1" si="72"/>
        <v>13</v>
      </c>
      <c r="I492" s="512"/>
      <c r="J492" s="502"/>
      <c r="K492" s="500"/>
      <c r="L492" s="503"/>
      <c r="M492" s="514"/>
      <c r="N492" s="503"/>
      <c r="O492" s="497"/>
      <c r="P492" s="497">
        <f t="shared" si="73"/>
        <v>15</v>
      </c>
      <c r="Q492" s="503"/>
    </row>
    <row r="493" spans="1:17" x14ac:dyDescent="0.35">
      <c r="A493" s="497" t="b">
        <v>0</v>
      </c>
      <c r="B493" s="511">
        <f t="shared" si="70"/>
        <v>-74</v>
      </c>
      <c r="C493" s="515" t="s">
        <v>9281</v>
      </c>
      <c r="D493" s="497" t="s">
        <v>4690</v>
      </c>
      <c r="E493" s="497">
        <f t="shared" si="71"/>
        <v>4</v>
      </c>
      <c r="F493" s="516">
        <v>3</v>
      </c>
      <c r="G493" s="497"/>
      <c r="H493" s="497">
        <f t="shared" ca="1" si="72"/>
        <v>13</v>
      </c>
      <c r="I493" s="512"/>
      <c r="J493" s="502"/>
      <c r="K493" s="500"/>
      <c r="L493" s="503"/>
      <c r="M493" s="514"/>
      <c r="N493" s="503"/>
      <c r="O493" s="497"/>
      <c r="P493" s="497">
        <f t="shared" si="73"/>
        <v>16</v>
      </c>
      <c r="Q493" s="503"/>
    </row>
    <row r="494" spans="1:17" x14ac:dyDescent="0.35">
      <c r="A494" s="497" t="b">
        <v>0</v>
      </c>
      <c r="B494" s="511">
        <f t="shared" si="70"/>
        <v>-73</v>
      </c>
      <c r="C494" s="515" t="s">
        <v>9282</v>
      </c>
      <c r="D494" s="497" t="s">
        <v>4690</v>
      </c>
      <c r="E494" s="497">
        <f t="shared" si="71"/>
        <v>5</v>
      </c>
      <c r="F494" s="516">
        <v>3</v>
      </c>
      <c r="G494" s="497"/>
      <c r="H494" s="497">
        <f t="shared" ca="1" si="72"/>
        <v>13</v>
      </c>
      <c r="I494" s="512"/>
      <c r="J494" s="502"/>
      <c r="K494" s="500"/>
      <c r="L494" s="503"/>
      <c r="M494" s="514"/>
      <c r="N494" s="503"/>
      <c r="O494" s="497"/>
      <c r="P494" s="497">
        <f t="shared" si="73"/>
        <v>17</v>
      </c>
      <c r="Q494" s="503"/>
    </row>
    <row r="495" spans="1:17" x14ac:dyDescent="0.35">
      <c r="A495" s="497" t="b">
        <v>0</v>
      </c>
      <c r="B495" s="511">
        <f t="shared" si="70"/>
        <v>-72</v>
      </c>
      <c r="C495" s="515" t="s">
        <v>9283</v>
      </c>
      <c r="D495" s="497" t="s">
        <v>4690</v>
      </c>
      <c r="E495" s="497">
        <f t="shared" si="71"/>
        <v>6</v>
      </c>
      <c r="F495" s="516">
        <v>3</v>
      </c>
      <c r="G495" s="497"/>
      <c r="H495" s="497">
        <f t="shared" ca="1" si="72"/>
        <v>13</v>
      </c>
      <c r="I495" s="512"/>
      <c r="J495" s="502"/>
      <c r="K495" s="500"/>
      <c r="L495" s="503"/>
      <c r="M495" s="514"/>
      <c r="N495" s="503"/>
      <c r="O495" s="497"/>
      <c r="P495" s="497">
        <f t="shared" si="73"/>
        <v>18</v>
      </c>
      <c r="Q495" s="503"/>
    </row>
    <row r="496" spans="1:17" x14ac:dyDescent="0.35">
      <c r="A496" s="497" t="b">
        <v>0</v>
      </c>
      <c r="B496" s="511">
        <f t="shared" si="70"/>
        <v>-71</v>
      </c>
      <c r="C496" s="515" t="s">
        <v>9284</v>
      </c>
      <c r="D496" s="497" t="s">
        <v>5005</v>
      </c>
      <c r="E496" s="497">
        <f t="shared" si="71"/>
        <v>1</v>
      </c>
      <c r="F496" s="516">
        <v>4</v>
      </c>
      <c r="G496" s="497"/>
      <c r="H496" s="497">
        <f t="shared" ca="1" si="72"/>
        <v>15</v>
      </c>
      <c r="I496" s="512"/>
      <c r="J496" s="502"/>
      <c r="K496" s="500"/>
      <c r="L496" s="503"/>
      <c r="M496" s="514"/>
      <c r="N496" s="503"/>
      <c r="O496" s="497"/>
      <c r="P496" s="497">
        <f t="shared" si="73"/>
        <v>19</v>
      </c>
      <c r="Q496" s="503"/>
    </row>
    <row r="497" spans="1:17" x14ac:dyDescent="0.35">
      <c r="A497" s="497" t="b">
        <v>0</v>
      </c>
      <c r="B497" s="511">
        <f t="shared" si="70"/>
        <v>-70</v>
      </c>
      <c r="C497" s="515" t="s">
        <v>9285</v>
      </c>
      <c r="D497" s="497" t="s">
        <v>5005</v>
      </c>
      <c r="E497" s="497">
        <f t="shared" si="71"/>
        <v>2</v>
      </c>
      <c r="F497" s="516">
        <v>4</v>
      </c>
      <c r="G497" s="497"/>
      <c r="H497" s="497">
        <f t="shared" ca="1" si="72"/>
        <v>15</v>
      </c>
      <c r="I497" s="512"/>
      <c r="J497" s="502"/>
      <c r="K497" s="500"/>
      <c r="L497" s="503"/>
      <c r="M497" s="514"/>
      <c r="N497" s="503"/>
      <c r="O497" s="497"/>
      <c r="P497" s="497">
        <f t="shared" si="73"/>
        <v>20</v>
      </c>
      <c r="Q497" s="503"/>
    </row>
    <row r="498" spans="1:17" x14ac:dyDescent="0.35">
      <c r="A498" s="497" t="b">
        <v>0</v>
      </c>
      <c r="B498" s="511">
        <f t="shared" si="70"/>
        <v>-69</v>
      </c>
      <c r="C498" s="515" t="s">
        <v>9286</v>
      </c>
      <c r="D498" s="497" t="s">
        <v>5005</v>
      </c>
      <c r="E498" s="497">
        <f t="shared" si="71"/>
        <v>3</v>
      </c>
      <c r="F498" s="516">
        <v>4</v>
      </c>
      <c r="G498" s="497"/>
      <c r="H498" s="497">
        <f t="shared" ca="1" si="72"/>
        <v>15</v>
      </c>
      <c r="I498" s="512"/>
      <c r="J498" s="502"/>
      <c r="K498" s="500"/>
      <c r="L498" s="503"/>
      <c r="M498" s="514"/>
      <c r="N498" s="503"/>
      <c r="O498" s="497"/>
      <c r="P498" s="497">
        <f t="shared" si="73"/>
        <v>21</v>
      </c>
      <c r="Q498" s="503"/>
    </row>
    <row r="499" spans="1:17" x14ac:dyDescent="0.35">
      <c r="A499" s="497" t="b">
        <v>0</v>
      </c>
      <c r="B499" s="511">
        <f t="shared" si="70"/>
        <v>-68</v>
      </c>
      <c r="C499" s="515" t="s">
        <v>9287</v>
      </c>
      <c r="D499" s="497" t="s">
        <v>5005</v>
      </c>
      <c r="E499" s="497">
        <f t="shared" si="71"/>
        <v>4</v>
      </c>
      <c r="F499" s="516">
        <v>4</v>
      </c>
      <c r="G499" s="497"/>
      <c r="H499" s="497">
        <f t="shared" ca="1" si="72"/>
        <v>15</v>
      </c>
      <c r="I499" s="512"/>
      <c r="J499" s="502"/>
      <c r="K499" s="500"/>
      <c r="L499" s="503"/>
      <c r="M499" s="514"/>
      <c r="N499" s="503"/>
      <c r="O499" s="497"/>
      <c r="P499" s="497">
        <f t="shared" si="73"/>
        <v>22</v>
      </c>
      <c r="Q499" s="503"/>
    </row>
    <row r="500" spans="1:17" x14ac:dyDescent="0.35">
      <c r="A500" s="497" t="b">
        <v>0</v>
      </c>
      <c r="B500" s="511">
        <f t="shared" si="70"/>
        <v>-67</v>
      </c>
      <c r="C500" s="515" t="s">
        <v>9288</v>
      </c>
      <c r="D500" s="497" t="s">
        <v>5005</v>
      </c>
      <c r="E500" s="497">
        <f t="shared" si="71"/>
        <v>5</v>
      </c>
      <c r="F500" s="516">
        <v>4</v>
      </c>
      <c r="G500" s="497"/>
      <c r="H500" s="497">
        <f t="shared" ca="1" si="72"/>
        <v>15</v>
      </c>
      <c r="I500" s="512"/>
      <c r="J500" s="502"/>
      <c r="K500" s="500"/>
      <c r="L500" s="503"/>
      <c r="M500" s="514"/>
      <c r="N500" s="503"/>
      <c r="O500" s="497"/>
      <c r="P500" s="497">
        <f t="shared" si="73"/>
        <v>23</v>
      </c>
      <c r="Q500" s="503"/>
    </row>
    <row r="501" spans="1:17" x14ac:dyDescent="0.35">
      <c r="A501" s="497" t="b">
        <v>0</v>
      </c>
      <c r="B501" s="511">
        <f t="shared" si="70"/>
        <v>-66</v>
      </c>
      <c r="C501" s="515" t="s">
        <v>9289</v>
      </c>
      <c r="D501" s="497" t="s">
        <v>5005</v>
      </c>
      <c r="E501" s="497">
        <f t="shared" si="71"/>
        <v>6</v>
      </c>
      <c r="F501" s="516">
        <v>4</v>
      </c>
      <c r="G501" s="497"/>
      <c r="H501" s="497">
        <f t="shared" ca="1" si="72"/>
        <v>15</v>
      </c>
      <c r="I501" s="512"/>
      <c r="J501" s="502"/>
      <c r="K501" s="500"/>
      <c r="L501" s="503"/>
      <c r="M501" s="514"/>
      <c r="N501" s="503"/>
      <c r="O501" s="497"/>
      <c r="P501" s="497">
        <f t="shared" si="73"/>
        <v>24</v>
      </c>
      <c r="Q501" s="503"/>
    </row>
    <row r="502" spans="1:17" x14ac:dyDescent="0.35">
      <c r="A502" s="497" t="b">
        <v>0</v>
      </c>
      <c r="B502" s="511">
        <f t="shared" si="70"/>
        <v>-65</v>
      </c>
      <c r="C502" s="515" t="s">
        <v>9290</v>
      </c>
      <c r="D502" s="497" t="s">
        <v>4711</v>
      </c>
      <c r="E502" s="497">
        <f t="shared" si="71"/>
        <v>1</v>
      </c>
      <c r="F502" s="516">
        <v>5</v>
      </c>
      <c r="G502" s="497"/>
      <c r="H502" s="497">
        <f t="shared" ca="1" si="72"/>
        <v>17</v>
      </c>
      <c r="I502" s="512"/>
      <c r="J502" s="502"/>
      <c r="K502" s="500"/>
      <c r="L502" s="503"/>
      <c r="M502" s="514"/>
      <c r="N502" s="503"/>
      <c r="O502" s="497"/>
      <c r="P502" s="497">
        <f t="shared" si="73"/>
        <v>25</v>
      </c>
      <c r="Q502" s="503"/>
    </row>
    <row r="503" spans="1:17" x14ac:dyDescent="0.35">
      <c r="A503" s="497" t="b">
        <v>0</v>
      </c>
      <c r="B503" s="511">
        <f t="shared" si="70"/>
        <v>-64</v>
      </c>
      <c r="C503" s="515" t="s">
        <v>9291</v>
      </c>
      <c r="D503" s="497" t="s">
        <v>4711</v>
      </c>
      <c r="E503" s="497">
        <f t="shared" si="71"/>
        <v>2</v>
      </c>
      <c r="F503" s="516">
        <v>5</v>
      </c>
      <c r="G503" s="497"/>
      <c r="H503" s="497">
        <f t="shared" ca="1" si="72"/>
        <v>17</v>
      </c>
      <c r="I503" s="512"/>
      <c r="J503" s="502"/>
      <c r="K503" s="500"/>
      <c r="L503" s="503"/>
      <c r="M503" s="514"/>
      <c r="N503" s="503"/>
      <c r="O503" s="497"/>
      <c r="P503" s="497">
        <f t="shared" si="73"/>
        <v>26</v>
      </c>
      <c r="Q503" s="503"/>
    </row>
    <row r="504" spans="1:17" x14ac:dyDescent="0.35">
      <c r="A504" s="497" t="b">
        <v>0</v>
      </c>
      <c r="B504" s="511">
        <f t="shared" si="70"/>
        <v>-63</v>
      </c>
      <c r="C504" s="515" t="s">
        <v>9292</v>
      </c>
      <c r="D504" s="497" t="s">
        <v>4711</v>
      </c>
      <c r="E504" s="497">
        <f t="shared" si="71"/>
        <v>3</v>
      </c>
      <c r="F504" s="516">
        <v>5</v>
      </c>
      <c r="G504" s="497"/>
      <c r="H504" s="497">
        <f t="shared" ca="1" si="72"/>
        <v>17</v>
      </c>
      <c r="I504" s="512"/>
      <c r="J504" s="502"/>
      <c r="K504" s="500"/>
      <c r="L504" s="503"/>
      <c r="M504" s="514"/>
      <c r="N504" s="503"/>
      <c r="O504" s="497"/>
      <c r="P504" s="497">
        <f t="shared" si="73"/>
        <v>27</v>
      </c>
      <c r="Q504" s="503"/>
    </row>
    <row r="505" spans="1:17" x14ac:dyDescent="0.35">
      <c r="A505" s="497" t="b">
        <v>0</v>
      </c>
      <c r="B505" s="511">
        <f t="shared" si="70"/>
        <v>-62</v>
      </c>
      <c r="C505" s="515" t="s">
        <v>9293</v>
      </c>
      <c r="D505" s="497" t="s">
        <v>4711</v>
      </c>
      <c r="E505" s="497">
        <f t="shared" si="71"/>
        <v>4</v>
      </c>
      <c r="F505" s="516">
        <v>5</v>
      </c>
      <c r="G505" s="497"/>
      <c r="H505" s="497">
        <f t="shared" ca="1" si="72"/>
        <v>17</v>
      </c>
      <c r="I505" s="512"/>
      <c r="J505" s="502"/>
      <c r="K505" s="500"/>
      <c r="L505" s="503"/>
      <c r="M505" s="514"/>
      <c r="N505" s="503"/>
      <c r="O505" s="497"/>
      <c r="P505" s="497">
        <f t="shared" si="73"/>
        <v>28</v>
      </c>
      <c r="Q505" s="503"/>
    </row>
    <row r="506" spans="1:17" x14ac:dyDescent="0.35">
      <c r="A506" s="497" t="b">
        <v>0</v>
      </c>
      <c r="B506" s="511">
        <f t="shared" si="70"/>
        <v>-61</v>
      </c>
      <c r="C506" s="515" t="s">
        <v>9294</v>
      </c>
      <c r="D506" s="497" t="s">
        <v>4711</v>
      </c>
      <c r="E506" s="497">
        <f t="shared" si="71"/>
        <v>5</v>
      </c>
      <c r="F506" s="516">
        <v>5</v>
      </c>
      <c r="G506" s="497"/>
      <c r="H506" s="497">
        <f t="shared" ca="1" si="72"/>
        <v>17</v>
      </c>
      <c r="I506" s="512"/>
      <c r="J506" s="502"/>
      <c r="K506" s="500"/>
      <c r="L506" s="503"/>
      <c r="M506" s="514"/>
      <c r="N506" s="503"/>
      <c r="O506" s="497"/>
      <c r="P506" s="497">
        <f t="shared" si="73"/>
        <v>29</v>
      </c>
      <c r="Q506" s="503"/>
    </row>
    <row r="507" spans="1:17" x14ac:dyDescent="0.35">
      <c r="A507" s="497" t="b">
        <v>0</v>
      </c>
      <c r="B507" s="511">
        <f t="shared" si="70"/>
        <v>-60</v>
      </c>
      <c r="C507" s="515" t="s">
        <v>9295</v>
      </c>
      <c r="D507" s="497" t="s">
        <v>4711</v>
      </c>
      <c r="E507" s="497">
        <f t="shared" si="71"/>
        <v>6</v>
      </c>
      <c r="F507" s="516">
        <v>5</v>
      </c>
      <c r="G507" s="497"/>
      <c r="H507" s="497">
        <f t="shared" ca="1" si="72"/>
        <v>17</v>
      </c>
      <c r="I507" s="512"/>
      <c r="J507" s="502"/>
      <c r="K507" s="500"/>
      <c r="L507" s="503"/>
      <c r="M507" s="514"/>
      <c r="N507" s="503"/>
      <c r="O507" s="497"/>
      <c r="P507" s="497">
        <f t="shared" si="73"/>
        <v>30</v>
      </c>
      <c r="Q507" s="503"/>
    </row>
    <row r="508" spans="1:17" x14ac:dyDescent="0.35">
      <c r="A508" s="497" t="b">
        <v>0</v>
      </c>
      <c r="B508" s="511">
        <f t="shared" si="70"/>
        <v>-59</v>
      </c>
      <c r="C508" s="515" t="s">
        <v>9296</v>
      </c>
      <c r="D508" s="497" t="s">
        <v>5026</v>
      </c>
      <c r="E508" s="497">
        <f t="shared" si="71"/>
        <v>1</v>
      </c>
      <c r="F508" s="516">
        <v>6</v>
      </c>
      <c r="G508" s="497"/>
      <c r="H508" s="497">
        <f t="shared" ca="1" si="72"/>
        <v>19</v>
      </c>
      <c r="I508" s="512"/>
      <c r="J508" s="502"/>
      <c r="K508" s="500"/>
      <c r="L508" s="503"/>
      <c r="M508" s="514"/>
      <c r="N508" s="503"/>
      <c r="O508" s="497"/>
      <c r="P508" s="497">
        <f t="shared" si="73"/>
        <v>31</v>
      </c>
      <c r="Q508" s="503"/>
    </row>
    <row r="509" spans="1:17" x14ac:dyDescent="0.35">
      <c r="A509" s="497" t="b">
        <v>0</v>
      </c>
      <c r="B509" s="511">
        <f t="shared" si="70"/>
        <v>-58</v>
      </c>
      <c r="C509" s="515" t="s">
        <v>9297</v>
      </c>
      <c r="D509" s="497" t="s">
        <v>5026</v>
      </c>
      <c r="E509" s="497">
        <f t="shared" si="71"/>
        <v>2</v>
      </c>
      <c r="F509" s="516">
        <v>6</v>
      </c>
      <c r="G509" s="497"/>
      <c r="H509" s="497">
        <f t="shared" ca="1" si="72"/>
        <v>19</v>
      </c>
      <c r="I509" s="512"/>
      <c r="J509" s="502"/>
      <c r="K509" s="500"/>
      <c r="L509" s="503"/>
      <c r="M509" s="514"/>
      <c r="N509" s="503"/>
      <c r="O509" s="497"/>
      <c r="P509" s="497">
        <f t="shared" si="73"/>
        <v>32</v>
      </c>
      <c r="Q509" s="503"/>
    </row>
    <row r="510" spans="1:17" x14ac:dyDescent="0.35">
      <c r="A510" s="497" t="b">
        <v>0</v>
      </c>
      <c r="B510" s="511">
        <f t="shared" si="70"/>
        <v>-57</v>
      </c>
      <c r="C510" s="515" t="s">
        <v>9298</v>
      </c>
      <c r="D510" s="497" t="s">
        <v>5026</v>
      </c>
      <c r="E510" s="497">
        <f t="shared" si="71"/>
        <v>3</v>
      </c>
      <c r="F510" s="516">
        <v>6</v>
      </c>
      <c r="G510" s="497"/>
      <c r="H510" s="497">
        <f t="shared" ca="1" si="72"/>
        <v>19</v>
      </c>
      <c r="I510" s="512"/>
      <c r="J510" s="502"/>
      <c r="K510" s="500"/>
      <c r="L510" s="503"/>
      <c r="M510" s="514"/>
      <c r="N510" s="503"/>
      <c r="O510" s="497"/>
      <c r="P510" s="497">
        <f t="shared" si="73"/>
        <v>33</v>
      </c>
      <c r="Q510" s="503"/>
    </row>
    <row r="511" spans="1:17" x14ac:dyDescent="0.35">
      <c r="A511" s="497" t="b">
        <v>0</v>
      </c>
      <c r="B511" s="511">
        <f t="shared" si="70"/>
        <v>-56</v>
      </c>
      <c r="C511" s="515" t="s">
        <v>9299</v>
      </c>
      <c r="D511" s="497" t="s">
        <v>5026</v>
      </c>
      <c r="E511" s="497">
        <f t="shared" si="71"/>
        <v>4</v>
      </c>
      <c r="F511" s="516">
        <v>6</v>
      </c>
      <c r="G511" s="497"/>
      <c r="H511" s="497">
        <f t="shared" ca="1" si="72"/>
        <v>19</v>
      </c>
      <c r="I511" s="512"/>
      <c r="J511" s="502"/>
      <c r="K511" s="500"/>
      <c r="L511" s="503"/>
      <c r="M511" s="514"/>
      <c r="N511" s="503"/>
      <c r="O511" s="497"/>
      <c r="P511" s="497">
        <f t="shared" si="73"/>
        <v>34</v>
      </c>
      <c r="Q511" s="503"/>
    </row>
    <row r="512" spans="1:17" x14ac:dyDescent="0.35">
      <c r="A512" s="497" t="b">
        <v>0</v>
      </c>
      <c r="B512" s="511">
        <f t="shared" si="70"/>
        <v>-55</v>
      </c>
      <c r="C512" s="515" t="s">
        <v>9300</v>
      </c>
      <c r="D512" s="497" t="s">
        <v>5026</v>
      </c>
      <c r="E512" s="497">
        <f t="shared" si="71"/>
        <v>5</v>
      </c>
      <c r="F512" s="516">
        <v>6</v>
      </c>
      <c r="G512" s="497"/>
      <c r="H512" s="497">
        <f t="shared" ca="1" si="72"/>
        <v>19</v>
      </c>
      <c r="I512" s="512"/>
      <c r="J512" s="502"/>
      <c r="K512" s="500"/>
      <c r="L512" s="503"/>
      <c r="M512" s="514"/>
      <c r="N512" s="503"/>
      <c r="O512" s="497"/>
      <c r="P512" s="497">
        <f t="shared" si="73"/>
        <v>35</v>
      </c>
      <c r="Q512" s="503"/>
    </row>
    <row r="513" spans="1:17" x14ac:dyDescent="0.35">
      <c r="A513" s="497" t="b">
        <v>0</v>
      </c>
      <c r="B513" s="511">
        <f t="shared" si="70"/>
        <v>-54</v>
      </c>
      <c r="C513" s="515" t="s">
        <v>9301</v>
      </c>
      <c r="D513" s="497" t="s">
        <v>5026</v>
      </c>
      <c r="E513" s="497">
        <f t="shared" si="71"/>
        <v>6</v>
      </c>
      <c r="F513" s="516">
        <v>6</v>
      </c>
      <c r="G513" s="497"/>
      <c r="H513" s="497">
        <f t="shared" ca="1" si="72"/>
        <v>19</v>
      </c>
      <c r="I513" s="512"/>
      <c r="J513" s="502"/>
      <c r="K513" s="500"/>
      <c r="L513" s="503"/>
      <c r="M513" s="514"/>
      <c r="N513" s="503"/>
      <c r="O513" s="497"/>
      <c r="P513" s="497">
        <f t="shared" si="73"/>
        <v>36</v>
      </c>
      <c r="Q513" s="503"/>
    </row>
    <row r="514" spans="1:17" x14ac:dyDescent="0.35">
      <c r="A514" s="497" t="b">
        <v>0</v>
      </c>
      <c r="B514" s="511">
        <f t="shared" si="70"/>
        <v>-53</v>
      </c>
      <c r="C514" s="515" t="s">
        <v>9302</v>
      </c>
      <c r="D514" s="497" t="s">
        <v>4732</v>
      </c>
      <c r="E514" s="497">
        <f t="shared" si="71"/>
        <v>1</v>
      </c>
      <c r="F514" s="516">
        <v>7</v>
      </c>
      <c r="G514" s="497"/>
      <c r="H514" s="497">
        <f t="shared" ca="1" si="72"/>
        <v>21</v>
      </c>
      <c r="I514" s="512"/>
      <c r="J514" s="502"/>
      <c r="K514" s="500"/>
      <c r="L514" s="503"/>
      <c r="M514" s="514"/>
      <c r="N514" s="503"/>
      <c r="O514" s="497"/>
      <c r="P514" s="497">
        <f t="shared" si="73"/>
        <v>37</v>
      </c>
      <c r="Q514" s="503"/>
    </row>
    <row r="515" spans="1:17" x14ac:dyDescent="0.35">
      <c r="A515" s="497" t="b">
        <v>0</v>
      </c>
      <c r="B515" s="511">
        <f t="shared" si="70"/>
        <v>-52</v>
      </c>
      <c r="C515" s="515" t="s">
        <v>9303</v>
      </c>
      <c r="D515" s="497" t="s">
        <v>4732</v>
      </c>
      <c r="E515" s="497">
        <f t="shared" si="71"/>
        <v>2</v>
      </c>
      <c r="F515" s="516">
        <v>7</v>
      </c>
      <c r="G515" s="497"/>
      <c r="H515" s="497">
        <f t="shared" ca="1" si="72"/>
        <v>21</v>
      </c>
      <c r="I515" s="512"/>
      <c r="J515" s="502"/>
      <c r="K515" s="500"/>
      <c r="L515" s="503"/>
      <c r="M515" s="514"/>
      <c r="N515" s="503"/>
      <c r="O515" s="497"/>
      <c r="P515" s="497">
        <f t="shared" si="73"/>
        <v>38</v>
      </c>
      <c r="Q515" s="503"/>
    </row>
    <row r="516" spans="1:17" x14ac:dyDescent="0.35">
      <c r="A516" s="497" t="b">
        <v>0</v>
      </c>
      <c r="B516" s="511">
        <f t="shared" si="70"/>
        <v>-51</v>
      </c>
      <c r="C516" s="515" t="s">
        <v>9304</v>
      </c>
      <c r="D516" s="497" t="s">
        <v>4732</v>
      </c>
      <c r="E516" s="497">
        <f t="shared" si="71"/>
        <v>3</v>
      </c>
      <c r="F516" s="516">
        <v>7</v>
      </c>
      <c r="G516" s="497"/>
      <c r="H516" s="497">
        <f t="shared" ca="1" si="72"/>
        <v>21</v>
      </c>
      <c r="I516" s="512"/>
      <c r="J516" s="502"/>
      <c r="K516" s="500"/>
      <c r="L516" s="503"/>
      <c r="M516" s="514"/>
      <c r="N516" s="503"/>
      <c r="O516" s="497"/>
      <c r="P516" s="497">
        <f t="shared" si="73"/>
        <v>39</v>
      </c>
      <c r="Q516" s="503"/>
    </row>
    <row r="517" spans="1:17" x14ac:dyDescent="0.35">
      <c r="A517" s="497" t="b">
        <v>0</v>
      </c>
      <c r="B517" s="511">
        <f t="shared" si="70"/>
        <v>-50</v>
      </c>
      <c r="C517" s="515" t="s">
        <v>9305</v>
      </c>
      <c r="D517" s="497" t="s">
        <v>4732</v>
      </c>
      <c r="E517" s="497">
        <f t="shared" si="71"/>
        <v>4</v>
      </c>
      <c r="F517" s="516">
        <v>7</v>
      </c>
      <c r="G517" s="497"/>
      <c r="H517" s="497">
        <f t="shared" ca="1" si="72"/>
        <v>21</v>
      </c>
      <c r="I517" s="512"/>
      <c r="J517" s="502"/>
      <c r="K517" s="500"/>
      <c r="L517" s="503"/>
      <c r="M517" s="514"/>
      <c r="N517" s="503"/>
      <c r="O517" s="497"/>
      <c r="P517" s="497">
        <f t="shared" si="73"/>
        <v>40</v>
      </c>
      <c r="Q517" s="503"/>
    </row>
    <row r="518" spans="1:17" x14ac:dyDescent="0.35">
      <c r="A518" s="497" t="b">
        <v>0</v>
      </c>
      <c r="B518" s="511">
        <f t="shared" si="70"/>
        <v>-49</v>
      </c>
      <c r="C518" s="515" t="s">
        <v>9306</v>
      </c>
      <c r="D518" s="497" t="s">
        <v>4732</v>
      </c>
      <c r="E518" s="497">
        <f t="shared" si="71"/>
        <v>5</v>
      </c>
      <c r="F518" s="516">
        <v>7</v>
      </c>
      <c r="G518" s="497"/>
      <c r="H518" s="497">
        <f t="shared" ca="1" si="72"/>
        <v>21</v>
      </c>
      <c r="I518" s="512"/>
      <c r="J518" s="502"/>
      <c r="K518" s="500"/>
      <c r="L518" s="503"/>
      <c r="M518" s="514"/>
      <c r="N518" s="503"/>
      <c r="O518" s="497"/>
      <c r="P518" s="497">
        <f t="shared" si="73"/>
        <v>41</v>
      </c>
      <c r="Q518" s="503"/>
    </row>
    <row r="519" spans="1:17" x14ac:dyDescent="0.35">
      <c r="A519" s="497" t="b">
        <v>0</v>
      </c>
      <c r="B519" s="511">
        <f t="shared" si="70"/>
        <v>-48</v>
      </c>
      <c r="C519" s="515" t="s">
        <v>9307</v>
      </c>
      <c r="D519" s="497" t="s">
        <v>4732</v>
      </c>
      <c r="E519" s="497">
        <f t="shared" si="71"/>
        <v>6</v>
      </c>
      <c r="F519" s="516">
        <v>7</v>
      </c>
      <c r="G519" s="497"/>
      <c r="H519" s="497">
        <f t="shared" ca="1" si="72"/>
        <v>21</v>
      </c>
      <c r="I519" s="512"/>
      <c r="J519" s="502"/>
      <c r="K519" s="500"/>
      <c r="L519" s="503"/>
      <c r="M519" s="514"/>
      <c r="N519" s="503"/>
      <c r="O519" s="497"/>
      <c r="P519" s="497">
        <f t="shared" si="73"/>
        <v>42</v>
      </c>
      <c r="Q519" s="503"/>
    </row>
    <row r="520" spans="1:17" x14ac:dyDescent="0.35">
      <c r="A520" s="497" t="b">
        <v>0</v>
      </c>
      <c r="B520" s="511">
        <f t="shared" si="70"/>
        <v>-47</v>
      </c>
      <c r="C520" s="515" t="s">
        <v>9308</v>
      </c>
      <c r="D520" s="497" t="s">
        <v>5047</v>
      </c>
      <c r="E520" s="497">
        <f t="shared" si="71"/>
        <v>1</v>
      </c>
      <c r="F520" s="516">
        <v>8</v>
      </c>
      <c r="G520" s="497"/>
      <c r="H520" s="497">
        <f t="shared" ca="1" si="72"/>
        <v>23</v>
      </c>
      <c r="I520" s="512"/>
      <c r="J520" s="502"/>
      <c r="K520" s="500"/>
      <c r="L520" s="503"/>
      <c r="M520" s="514"/>
      <c r="N520" s="503"/>
      <c r="O520" s="497"/>
      <c r="P520" s="497">
        <f t="shared" si="73"/>
        <v>43</v>
      </c>
      <c r="Q520" s="503"/>
    </row>
    <row r="521" spans="1:17" x14ac:dyDescent="0.35">
      <c r="A521" s="497" t="b">
        <v>0</v>
      </c>
      <c r="B521" s="511">
        <f t="shared" si="70"/>
        <v>-46</v>
      </c>
      <c r="C521" s="515" t="s">
        <v>9309</v>
      </c>
      <c r="D521" s="497" t="s">
        <v>5047</v>
      </c>
      <c r="E521" s="497">
        <f t="shared" si="71"/>
        <v>2</v>
      </c>
      <c r="F521" s="516">
        <v>8</v>
      </c>
      <c r="G521" s="497"/>
      <c r="H521" s="497">
        <f t="shared" ca="1" si="72"/>
        <v>23</v>
      </c>
      <c r="I521" s="512"/>
      <c r="J521" s="502"/>
      <c r="K521" s="500"/>
      <c r="L521" s="503"/>
      <c r="M521" s="514"/>
      <c r="N521" s="503"/>
      <c r="O521" s="497"/>
      <c r="P521" s="497">
        <f t="shared" si="73"/>
        <v>44</v>
      </c>
      <c r="Q521" s="503"/>
    </row>
    <row r="522" spans="1:17" x14ac:dyDescent="0.35">
      <c r="A522" s="497" t="b">
        <v>0</v>
      </c>
      <c r="B522" s="511">
        <f t="shared" si="70"/>
        <v>-45</v>
      </c>
      <c r="C522" s="515" t="s">
        <v>9310</v>
      </c>
      <c r="D522" s="497" t="s">
        <v>5047</v>
      </c>
      <c r="E522" s="497">
        <f t="shared" si="71"/>
        <v>3</v>
      </c>
      <c r="F522" s="516">
        <v>8</v>
      </c>
      <c r="G522" s="497"/>
      <c r="H522" s="497">
        <f t="shared" ca="1" si="72"/>
        <v>23</v>
      </c>
      <c r="I522" s="512"/>
      <c r="J522" s="502"/>
      <c r="K522" s="500"/>
      <c r="L522" s="503"/>
      <c r="M522" s="514"/>
      <c r="N522" s="503"/>
      <c r="O522" s="497"/>
      <c r="P522" s="497">
        <f t="shared" si="73"/>
        <v>45</v>
      </c>
      <c r="Q522" s="503"/>
    </row>
    <row r="523" spans="1:17" x14ac:dyDescent="0.35">
      <c r="A523" s="497" t="b">
        <v>0</v>
      </c>
      <c r="B523" s="511">
        <f t="shared" si="70"/>
        <v>-44</v>
      </c>
      <c r="C523" s="515" t="s">
        <v>9311</v>
      </c>
      <c r="D523" s="497" t="s">
        <v>5047</v>
      </c>
      <c r="E523" s="497">
        <f t="shared" si="71"/>
        <v>4</v>
      </c>
      <c r="F523" s="516">
        <v>8</v>
      </c>
      <c r="G523" s="497"/>
      <c r="H523" s="497">
        <f t="shared" ca="1" si="72"/>
        <v>23</v>
      </c>
      <c r="I523" s="512"/>
      <c r="J523" s="502"/>
      <c r="K523" s="500"/>
      <c r="L523" s="503"/>
      <c r="M523" s="514"/>
      <c r="N523" s="503"/>
      <c r="O523" s="497"/>
      <c r="P523" s="497">
        <f t="shared" si="73"/>
        <v>46</v>
      </c>
      <c r="Q523" s="503"/>
    </row>
    <row r="524" spans="1:17" x14ac:dyDescent="0.35">
      <c r="A524" s="497" t="b">
        <v>0</v>
      </c>
      <c r="B524" s="511">
        <f t="shared" si="70"/>
        <v>-43</v>
      </c>
      <c r="C524" s="515" t="s">
        <v>9312</v>
      </c>
      <c r="D524" s="497" t="s">
        <v>5047</v>
      </c>
      <c r="E524" s="497">
        <f t="shared" si="71"/>
        <v>5</v>
      </c>
      <c r="F524" s="516">
        <v>8</v>
      </c>
      <c r="G524" s="497"/>
      <c r="H524" s="497">
        <f t="shared" ca="1" si="72"/>
        <v>23</v>
      </c>
      <c r="I524" s="512"/>
      <c r="J524" s="502"/>
      <c r="K524" s="500"/>
      <c r="L524" s="503"/>
      <c r="M524" s="514"/>
      <c r="N524" s="503"/>
      <c r="O524" s="497"/>
      <c r="P524" s="497">
        <f t="shared" si="73"/>
        <v>47</v>
      </c>
      <c r="Q524" s="503"/>
    </row>
    <row r="525" spans="1:17" x14ac:dyDescent="0.35">
      <c r="A525" s="497" t="b">
        <v>0</v>
      </c>
      <c r="B525" s="511">
        <f t="shared" si="70"/>
        <v>-42</v>
      </c>
      <c r="C525" s="515" t="s">
        <v>9313</v>
      </c>
      <c r="D525" s="497" t="s">
        <v>5047</v>
      </c>
      <c r="E525" s="497">
        <f t="shared" si="71"/>
        <v>6</v>
      </c>
      <c r="F525" s="516">
        <v>8</v>
      </c>
      <c r="G525" s="497"/>
      <c r="H525" s="497">
        <f t="shared" ca="1" si="72"/>
        <v>23</v>
      </c>
      <c r="I525" s="512"/>
      <c r="J525" s="502"/>
      <c r="K525" s="500"/>
      <c r="L525" s="503"/>
      <c r="M525" s="514"/>
      <c r="N525" s="503"/>
      <c r="O525" s="497"/>
      <c r="P525" s="497">
        <f t="shared" si="73"/>
        <v>48</v>
      </c>
      <c r="Q525" s="503"/>
    </row>
    <row r="526" spans="1:17" x14ac:dyDescent="0.35">
      <c r="A526" s="497" t="b">
        <v>0</v>
      </c>
      <c r="B526" s="511">
        <f t="shared" si="70"/>
        <v>-41</v>
      </c>
      <c r="C526" s="515" t="s">
        <v>9314</v>
      </c>
      <c r="D526" s="497" t="s">
        <v>4753</v>
      </c>
      <c r="E526" s="497">
        <f t="shared" si="71"/>
        <v>1</v>
      </c>
      <c r="F526" s="516">
        <v>9</v>
      </c>
      <c r="G526" s="497"/>
      <c r="H526" s="497">
        <f t="shared" ca="1" si="72"/>
        <v>25</v>
      </c>
      <c r="I526" s="512"/>
      <c r="J526" s="502"/>
      <c r="K526" s="500"/>
      <c r="L526" s="503"/>
      <c r="M526" s="514"/>
      <c r="N526" s="503"/>
      <c r="O526" s="497"/>
      <c r="P526" s="497">
        <f t="shared" si="73"/>
        <v>49</v>
      </c>
      <c r="Q526" s="503"/>
    </row>
    <row r="527" spans="1:17" x14ac:dyDescent="0.35">
      <c r="A527" s="497" t="b">
        <v>0</v>
      </c>
      <c r="B527" s="511">
        <f t="shared" si="70"/>
        <v>-40</v>
      </c>
      <c r="C527" s="515" t="s">
        <v>9315</v>
      </c>
      <c r="D527" s="497" t="s">
        <v>4753</v>
      </c>
      <c r="E527" s="497">
        <f t="shared" si="71"/>
        <v>2</v>
      </c>
      <c r="F527" s="516">
        <v>9</v>
      </c>
      <c r="G527" s="497"/>
      <c r="H527" s="497">
        <f t="shared" ca="1" si="72"/>
        <v>25</v>
      </c>
      <c r="I527" s="512"/>
      <c r="J527" s="502"/>
      <c r="K527" s="500"/>
      <c r="L527" s="503"/>
      <c r="M527" s="514"/>
      <c r="N527" s="503"/>
      <c r="O527" s="497"/>
      <c r="P527" s="497">
        <f t="shared" si="73"/>
        <v>50</v>
      </c>
      <c r="Q527" s="503"/>
    </row>
    <row r="528" spans="1:17" x14ac:dyDescent="0.35">
      <c r="A528" s="497" t="b">
        <v>0</v>
      </c>
      <c r="B528" s="511">
        <f t="shared" si="70"/>
        <v>-39</v>
      </c>
      <c r="C528" s="515" t="s">
        <v>9316</v>
      </c>
      <c r="D528" s="497" t="s">
        <v>4753</v>
      </c>
      <c r="E528" s="497">
        <f t="shared" si="71"/>
        <v>3</v>
      </c>
      <c r="F528" s="516">
        <v>9</v>
      </c>
      <c r="G528" s="497"/>
      <c r="H528" s="497">
        <f t="shared" ca="1" si="72"/>
        <v>25</v>
      </c>
      <c r="I528" s="512"/>
      <c r="J528" s="502"/>
      <c r="K528" s="500"/>
      <c r="L528" s="503"/>
      <c r="M528" s="514"/>
      <c r="N528" s="503"/>
      <c r="O528" s="497"/>
      <c r="P528" s="497">
        <f t="shared" si="73"/>
        <v>51</v>
      </c>
      <c r="Q528" s="503"/>
    </row>
    <row r="529" spans="1:17" x14ac:dyDescent="0.35">
      <c r="A529" s="497" t="b">
        <v>0</v>
      </c>
      <c r="B529" s="511">
        <f t="shared" si="70"/>
        <v>-38</v>
      </c>
      <c r="C529" s="515" t="s">
        <v>9317</v>
      </c>
      <c r="D529" s="497" t="s">
        <v>4753</v>
      </c>
      <c r="E529" s="497">
        <f t="shared" si="71"/>
        <v>4</v>
      </c>
      <c r="F529" s="516">
        <v>9</v>
      </c>
      <c r="G529" s="497"/>
      <c r="H529" s="497">
        <f t="shared" ca="1" si="72"/>
        <v>25</v>
      </c>
      <c r="I529" s="512"/>
      <c r="J529" s="502"/>
      <c r="K529" s="500"/>
      <c r="L529" s="503"/>
      <c r="M529" s="514"/>
      <c r="N529" s="503"/>
      <c r="O529" s="497"/>
      <c r="P529" s="497">
        <f t="shared" si="73"/>
        <v>52</v>
      </c>
      <c r="Q529" s="503"/>
    </row>
    <row r="530" spans="1:17" x14ac:dyDescent="0.35">
      <c r="A530" s="497" t="b">
        <v>0</v>
      </c>
      <c r="B530" s="511">
        <f t="shared" si="70"/>
        <v>-37</v>
      </c>
      <c r="C530" s="515" t="s">
        <v>9318</v>
      </c>
      <c r="D530" s="497" t="s">
        <v>4753</v>
      </c>
      <c r="E530" s="497">
        <f t="shared" si="71"/>
        <v>5</v>
      </c>
      <c r="F530" s="516">
        <v>9</v>
      </c>
      <c r="G530" s="497"/>
      <c r="H530" s="497">
        <f t="shared" ca="1" si="72"/>
        <v>25</v>
      </c>
      <c r="I530" s="512"/>
      <c r="J530" s="502"/>
      <c r="K530" s="500"/>
      <c r="L530" s="503"/>
      <c r="M530" s="514"/>
      <c r="N530" s="503"/>
      <c r="O530" s="497"/>
      <c r="P530" s="497">
        <f t="shared" si="73"/>
        <v>53</v>
      </c>
      <c r="Q530" s="503"/>
    </row>
    <row r="531" spans="1:17" x14ac:dyDescent="0.35">
      <c r="A531" s="497" t="b">
        <v>0</v>
      </c>
      <c r="B531" s="511">
        <f t="shared" si="70"/>
        <v>-36</v>
      </c>
      <c r="C531" s="515" t="s">
        <v>9319</v>
      </c>
      <c r="D531" s="497" t="s">
        <v>4753</v>
      </c>
      <c r="E531" s="497">
        <f t="shared" si="71"/>
        <v>6</v>
      </c>
      <c r="F531" s="516">
        <v>9</v>
      </c>
      <c r="G531" s="497"/>
      <c r="H531" s="497">
        <f t="shared" ca="1" si="72"/>
        <v>25</v>
      </c>
      <c r="I531" s="512"/>
      <c r="J531" s="502"/>
      <c r="K531" s="500"/>
      <c r="L531" s="503"/>
      <c r="M531" s="514"/>
      <c r="N531" s="503"/>
      <c r="O531" s="497"/>
      <c r="P531" s="497">
        <f t="shared" si="73"/>
        <v>54</v>
      </c>
      <c r="Q531" s="503"/>
    </row>
    <row r="532" spans="1:17" x14ac:dyDescent="0.35">
      <c r="A532" s="497" t="b">
        <v>0</v>
      </c>
      <c r="B532" s="511">
        <f t="shared" si="70"/>
        <v>-35</v>
      </c>
      <c r="C532" s="515" t="s">
        <v>9320</v>
      </c>
      <c r="D532" s="497" t="s">
        <v>5068</v>
      </c>
      <c r="E532" s="497">
        <f t="shared" si="71"/>
        <v>1</v>
      </c>
      <c r="F532" s="516">
        <v>10</v>
      </c>
      <c r="G532" s="497"/>
      <c r="H532" s="497">
        <f t="shared" ca="1" si="72"/>
        <v>27</v>
      </c>
      <c r="I532" s="512"/>
      <c r="J532" s="502"/>
      <c r="K532" s="500"/>
      <c r="L532" s="503"/>
      <c r="M532" s="514"/>
      <c r="N532" s="503"/>
      <c r="O532" s="497"/>
      <c r="P532" s="497">
        <f t="shared" si="73"/>
        <v>55</v>
      </c>
      <c r="Q532" s="503"/>
    </row>
    <row r="533" spans="1:17" x14ac:dyDescent="0.35">
      <c r="A533" s="497" t="b">
        <v>0</v>
      </c>
      <c r="B533" s="511">
        <f t="shared" si="70"/>
        <v>-34</v>
      </c>
      <c r="C533" s="515" t="s">
        <v>9321</v>
      </c>
      <c r="D533" s="497" t="s">
        <v>5068</v>
      </c>
      <c r="E533" s="497">
        <f t="shared" si="71"/>
        <v>2</v>
      </c>
      <c r="F533" s="516">
        <v>10</v>
      </c>
      <c r="G533" s="497"/>
      <c r="H533" s="497">
        <f t="shared" ca="1" si="72"/>
        <v>27</v>
      </c>
      <c r="I533" s="512"/>
      <c r="J533" s="502"/>
      <c r="K533" s="500"/>
      <c r="L533" s="503"/>
      <c r="M533" s="514"/>
      <c r="N533" s="503"/>
      <c r="O533" s="497"/>
      <c r="P533" s="497">
        <f t="shared" si="73"/>
        <v>56</v>
      </c>
      <c r="Q533" s="503"/>
    </row>
    <row r="534" spans="1:17" x14ac:dyDescent="0.35">
      <c r="A534" s="497" t="b">
        <v>0</v>
      </c>
      <c r="B534" s="511">
        <f t="shared" si="70"/>
        <v>-33</v>
      </c>
      <c r="C534" s="515" t="s">
        <v>9322</v>
      </c>
      <c r="D534" s="497" t="s">
        <v>5068</v>
      </c>
      <c r="E534" s="497">
        <f t="shared" si="71"/>
        <v>3</v>
      </c>
      <c r="F534" s="516">
        <v>10</v>
      </c>
      <c r="G534" s="497"/>
      <c r="H534" s="497">
        <f t="shared" ca="1" si="72"/>
        <v>27</v>
      </c>
      <c r="I534" s="512"/>
      <c r="J534" s="502"/>
      <c r="K534" s="500"/>
      <c r="L534" s="503"/>
      <c r="M534" s="514"/>
      <c r="N534" s="503"/>
      <c r="O534" s="497"/>
      <c r="P534" s="497">
        <f t="shared" si="73"/>
        <v>57</v>
      </c>
      <c r="Q534" s="503"/>
    </row>
    <row r="535" spans="1:17" x14ac:dyDescent="0.35">
      <c r="A535" s="497" t="b">
        <v>0</v>
      </c>
      <c r="B535" s="511">
        <f t="shared" si="70"/>
        <v>-32</v>
      </c>
      <c r="C535" s="515" t="s">
        <v>9323</v>
      </c>
      <c r="D535" s="497" t="s">
        <v>5068</v>
      </c>
      <c r="E535" s="497">
        <f t="shared" si="71"/>
        <v>4</v>
      </c>
      <c r="F535" s="516">
        <v>10</v>
      </c>
      <c r="G535" s="497"/>
      <c r="H535" s="497">
        <f t="shared" ca="1" si="72"/>
        <v>27</v>
      </c>
      <c r="I535" s="512"/>
      <c r="J535" s="502"/>
      <c r="K535" s="500"/>
      <c r="L535" s="503"/>
      <c r="M535" s="514"/>
      <c r="N535" s="503"/>
      <c r="O535" s="497"/>
      <c r="P535" s="497">
        <f t="shared" si="73"/>
        <v>58</v>
      </c>
      <c r="Q535" s="503"/>
    </row>
    <row r="536" spans="1:17" x14ac:dyDescent="0.35">
      <c r="A536" s="497" t="b">
        <v>0</v>
      </c>
      <c r="B536" s="511">
        <f t="shared" si="70"/>
        <v>-31</v>
      </c>
      <c r="C536" s="515" t="s">
        <v>9324</v>
      </c>
      <c r="D536" s="497" t="s">
        <v>5068</v>
      </c>
      <c r="E536" s="497">
        <f t="shared" si="71"/>
        <v>5</v>
      </c>
      <c r="F536" s="516">
        <v>10</v>
      </c>
      <c r="G536" s="497"/>
      <c r="H536" s="497">
        <f t="shared" ca="1" si="72"/>
        <v>27</v>
      </c>
      <c r="I536" s="512"/>
      <c r="J536" s="502"/>
      <c r="K536" s="500"/>
      <c r="L536" s="503"/>
      <c r="M536" s="514"/>
      <c r="N536" s="503"/>
      <c r="O536" s="497"/>
      <c r="P536" s="497">
        <f t="shared" si="73"/>
        <v>59</v>
      </c>
      <c r="Q536" s="503"/>
    </row>
    <row r="537" spans="1:17" x14ac:dyDescent="0.35">
      <c r="A537" s="497" t="b">
        <v>0</v>
      </c>
      <c r="B537" s="511">
        <f t="shared" si="70"/>
        <v>-30</v>
      </c>
      <c r="C537" s="515" t="s">
        <v>9325</v>
      </c>
      <c r="D537" s="497" t="s">
        <v>5068</v>
      </c>
      <c r="E537" s="497">
        <f t="shared" si="71"/>
        <v>6</v>
      </c>
      <c r="F537" s="516">
        <v>10</v>
      </c>
      <c r="G537" s="497"/>
      <c r="H537" s="497">
        <f t="shared" ca="1" si="72"/>
        <v>27</v>
      </c>
      <c r="I537" s="512"/>
      <c r="J537" s="502"/>
      <c r="K537" s="500"/>
      <c r="L537" s="503"/>
      <c r="M537" s="514"/>
      <c r="N537" s="503"/>
      <c r="O537" s="497"/>
      <c r="P537" s="497">
        <f t="shared" si="73"/>
        <v>60</v>
      </c>
      <c r="Q537" s="503"/>
    </row>
    <row r="538" spans="1:17" x14ac:dyDescent="0.35">
      <c r="A538" s="497" t="b">
        <v>0</v>
      </c>
      <c r="B538" s="511">
        <f t="shared" si="70"/>
        <v>-29</v>
      </c>
      <c r="C538" s="515" t="s">
        <v>9326</v>
      </c>
      <c r="D538" s="497" t="s">
        <v>4774</v>
      </c>
      <c r="E538" s="497">
        <f t="shared" si="71"/>
        <v>1</v>
      </c>
      <c r="F538" s="516">
        <v>11</v>
      </c>
      <c r="G538" s="497"/>
      <c r="H538" s="497">
        <f t="shared" ca="1" si="72"/>
        <v>29</v>
      </c>
      <c r="I538" s="512"/>
      <c r="J538" s="502"/>
      <c r="K538" s="500"/>
      <c r="L538" s="503"/>
      <c r="M538" s="514"/>
      <c r="N538" s="503"/>
      <c r="O538" s="497"/>
      <c r="P538" s="497">
        <f t="shared" si="73"/>
        <v>61</v>
      </c>
      <c r="Q538" s="503"/>
    </row>
    <row r="539" spans="1:17" x14ac:dyDescent="0.35">
      <c r="A539" s="497" t="b">
        <v>0</v>
      </c>
      <c r="B539" s="511">
        <f t="shared" si="70"/>
        <v>-28</v>
      </c>
      <c r="C539" s="515" t="s">
        <v>9327</v>
      </c>
      <c r="D539" s="497" t="s">
        <v>4774</v>
      </c>
      <c r="E539" s="497">
        <f t="shared" si="71"/>
        <v>2</v>
      </c>
      <c r="F539" s="516">
        <v>11</v>
      </c>
      <c r="G539" s="497"/>
      <c r="H539" s="497">
        <f t="shared" ca="1" si="72"/>
        <v>29</v>
      </c>
      <c r="I539" s="512"/>
      <c r="J539" s="502"/>
      <c r="K539" s="500"/>
      <c r="L539" s="503"/>
      <c r="M539" s="514"/>
      <c r="N539" s="503"/>
      <c r="O539" s="497"/>
      <c r="P539" s="497">
        <f t="shared" si="73"/>
        <v>62</v>
      </c>
      <c r="Q539" s="503"/>
    </row>
    <row r="540" spans="1:17" x14ac:dyDescent="0.35">
      <c r="A540" s="497" t="b">
        <v>0</v>
      </c>
      <c r="B540" s="511">
        <f t="shared" si="70"/>
        <v>-27</v>
      </c>
      <c r="C540" s="515" t="s">
        <v>9328</v>
      </c>
      <c r="D540" s="497" t="s">
        <v>4774</v>
      </c>
      <c r="E540" s="497">
        <f t="shared" si="71"/>
        <v>3</v>
      </c>
      <c r="F540" s="516">
        <v>11</v>
      </c>
      <c r="G540" s="497"/>
      <c r="H540" s="497">
        <f t="shared" ca="1" si="72"/>
        <v>29</v>
      </c>
      <c r="I540" s="512"/>
      <c r="J540" s="502"/>
      <c r="K540" s="500"/>
      <c r="L540" s="503"/>
      <c r="M540" s="514"/>
      <c r="N540" s="503"/>
      <c r="O540" s="497"/>
      <c r="P540" s="497">
        <f t="shared" si="73"/>
        <v>63</v>
      </c>
      <c r="Q540" s="503"/>
    </row>
    <row r="541" spans="1:17" x14ac:dyDescent="0.35">
      <c r="A541" s="497" t="b">
        <v>0</v>
      </c>
      <c r="B541" s="511">
        <f t="shared" si="70"/>
        <v>-26</v>
      </c>
      <c r="C541" s="515" t="s">
        <v>9329</v>
      </c>
      <c r="D541" s="497" t="s">
        <v>4774</v>
      </c>
      <c r="E541" s="497">
        <f t="shared" si="71"/>
        <v>4</v>
      </c>
      <c r="F541" s="516">
        <v>11</v>
      </c>
      <c r="G541" s="497"/>
      <c r="H541" s="497">
        <f t="shared" ca="1" si="72"/>
        <v>29</v>
      </c>
      <c r="I541" s="512"/>
      <c r="J541" s="502"/>
      <c r="K541" s="500"/>
      <c r="L541" s="503"/>
      <c r="M541" s="514"/>
      <c r="N541" s="503"/>
      <c r="O541" s="497"/>
      <c r="P541" s="497">
        <f t="shared" si="73"/>
        <v>64</v>
      </c>
      <c r="Q541" s="503"/>
    </row>
    <row r="542" spans="1:17" x14ac:dyDescent="0.35">
      <c r="A542" s="497" t="b">
        <v>0</v>
      </c>
      <c r="B542" s="511">
        <f t="shared" ref="B542:B605" si="74">B541+1</f>
        <v>-25</v>
      </c>
      <c r="C542" s="515" t="s">
        <v>9330</v>
      </c>
      <c r="D542" s="497" t="s">
        <v>4774</v>
      </c>
      <c r="E542" s="497">
        <f t="shared" ref="E542:E605" si="75">COUNTIF(F533:F542,F542)</f>
        <v>5</v>
      </c>
      <c r="F542" s="516">
        <v>11</v>
      </c>
      <c r="G542" s="497"/>
      <c r="H542" s="497">
        <f t="shared" ref="H542:H605" ca="1" si="76">IF(F542=1,9,IF(E541=MAX(E540:E542),H540+2,H541))</f>
        <v>29</v>
      </c>
      <c r="I542" s="512"/>
      <c r="J542" s="502"/>
      <c r="K542" s="500"/>
      <c r="L542" s="503"/>
      <c r="M542" s="514"/>
      <c r="N542" s="503"/>
      <c r="O542" s="497"/>
      <c r="P542" s="497">
        <f t="shared" ref="P542:P605" si="77">IF(NOT(_xlfn.ISFORMULA(I542)),P541+1,0)</f>
        <v>65</v>
      </c>
      <c r="Q542" s="503"/>
    </row>
    <row r="543" spans="1:17" x14ac:dyDescent="0.35">
      <c r="A543" s="497" t="b">
        <v>0</v>
      </c>
      <c r="B543" s="511">
        <f t="shared" si="74"/>
        <v>-24</v>
      </c>
      <c r="C543" s="515" t="s">
        <v>9331</v>
      </c>
      <c r="D543" s="497" t="s">
        <v>4774</v>
      </c>
      <c r="E543" s="497">
        <f t="shared" si="75"/>
        <v>6</v>
      </c>
      <c r="F543" s="516">
        <v>11</v>
      </c>
      <c r="G543" s="497"/>
      <c r="H543" s="497">
        <f t="shared" ca="1" si="76"/>
        <v>29</v>
      </c>
      <c r="I543" s="512"/>
      <c r="J543" s="502"/>
      <c r="K543" s="500"/>
      <c r="L543" s="503"/>
      <c r="M543" s="514"/>
      <c r="N543" s="503"/>
      <c r="O543" s="497"/>
      <c r="P543" s="497">
        <f t="shared" si="77"/>
        <v>66</v>
      </c>
      <c r="Q543" s="503"/>
    </row>
    <row r="544" spans="1:17" x14ac:dyDescent="0.35">
      <c r="A544" s="497" t="b">
        <v>0</v>
      </c>
      <c r="B544" s="511">
        <f t="shared" si="74"/>
        <v>-23</v>
      </c>
      <c r="C544" s="515" t="s">
        <v>9332</v>
      </c>
      <c r="D544" s="497" t="s">
        <v>5089</v>
      </c>
      <c r="E544" s="497">
        <f t="shared" si="75"/>
        <v>1</v>
      </c>
      <c r="F544" s="516">
        <v>12</v>
      </c>
      <c r="G544" s="497"/>
      <c r="H544" s="497">
        <f t="shared" ca="1" si="76"/>
        <v>31</v>
      </c>
      <c r="I544" s="512"/>
      <c r="J544" s="502"/>
      <c r="K544" s="500"/>
      <c r="L544" s="503"/>
      <c r="M544" s="514"/>
      <c r="N544" s="503"/>
      <c r="O544" s="497"/>
      <c r="P544" s="497">
        <f t="shared" si="77"/>
        <v>67</v>
      </c>
      <c r="Q544" s="503"/>
    </row>
    <row r="545" spans="1:17" x14ac:dyDescent="0.35">
      <c r="A545" s="497" t="b">
        <v>0</v>
      </c>
      <c r="B545" s="511">
        <f t="shared" si="74"/>
        <v>-22</v>
      </c>
      <c r="C545" s="515" t="s">
        <v>9333</v>
      </c>
      <c r="D545" s="497" t="s">
        <v>5089</v>
      </c>
      <c r="E545" s="497">
        <f t="shared" si="75"/>
        <v>2</v>
      </c>
      <c r="F545" s="516">
        <v>12</v>
      </c>
      <c r="G545" s="497"/>
      <c r="H545" s="497">
        <f t="shared" ca="1" si="76"/>
        <v>31</v>
      </c>
      <c r="I545" s="512"/>
      <c r="J545" s="502"/>
      <c r="K545" s="500"/>
      <c r="L545" s="503"/>
      <c r="M545" s="514"/>
      <c r="N545" s="503"/>
      <c r="O545" s="497"/>
      <c r="P545" s="497">
        <f t="shared" si="77"/>
        <v>68</v>
      </c>
      <c r="Q545" s="503"/>
    </row>
    <row r="546" spans="1:17" x14ac:dyDescent="0.35">
      <c r="A546" s="497" t="b">
        <v>0</v>
      </c>
      <c r="B546" s="511">
        <f t="shared" si="74"/>
        <v>-21</v>
      </c>
      <c r="C546" s="515" t="s">
        <v>9334</v>
      </c>
      <c r="D546" s="497" t="s">
        <v>5089</v>
      </c>
      <c r="E546" s="497">
        <f t="shared" si="75"/>
        <v>3</v>
      </c>
      <c r="F546" s="516">
        <v>12</v>
      </c>
      <c r="G546" s="497"/>
      <c r="H546" s="497">
        <f t="shared" ca="1" si="76"/>
        <v>31</v>
      </c>
      <c r="I546" s="512"/>
      <c r="J546" s="502"/>
      <c r="K546" s="500"/>
      <c r="L546" s="503"/>
      <c r="M546" s="514"/>
      <c r="N546" s="503"/>
      <c r="O546" s="497"/>
      <c r="P546" s="497">
        <f t="shared" si="77"/>
        <v>69</v>
      </c>
      <c r="Q546" s="503"/>
    </row>
    <row r="547" spans="1:17" x14ac:dyDescent="0.35">
      <c r="A547" s="497" t="b">
        <v>0</v>
      </c>
      <c r="B547" s="511">
        <f t="shared" si="74"/>
        <v>-20</v>
      </c>
      <c r="C547" s="515" t="s">
        <v>9335</v>
      </c>
      <c r="D547" s="497" t="s">
        <v>5089</v>
      </c>
      <c r="E547" s="497">
        <f t="shared" si="75"/>
        <v>4</v>
      </c>
      <c r="F547" s="516">
        <v>12</v>
      </c>
      <c r="G547" s="497"/>
      <c r="H547" s="497">
        <f t="shared" ca="1" si="76"/>
        <v>31</v>
      </c>
      <c r="I547" s="512"/>
      <c r="J547" s="502"/>
      <c r="K547" s="500"/>
      <c r="L547" s="503"/>
      <c r="M547" s="514"/>
      <c r="N547" s="503"/>
      <c r="O547" s="497"/>
      <c r="P547" s="497">
        <f t="shared" si="77"/>
        <v>70</v>
      </c>
      <c r="Q547" s="503"/>
    </row>
    <row r="548" spans="1:17" x14ac:dyDescent="0.35">
      <c r="A548" s="497" t="b">
        <v>0</v>
      </c>
      <c r="B548" s="511">
        <f t="shared" si="74"/>
        <v>-19</v>
      </c>
      <c r="C548" s="515" t="s">
        <v>9336</v>
      </c>
      <c r="D548" s="497" t="s">
        <v>5089</v>
      </c>
      <c r="E548" s="497">
        <f t="shared" si="75"/>
        <v>5</v>
      </c>
      <c r="F548" s="516">
        <v>12</v>
      </c>
      <c r="G548" s="497"/>
      <c r="H548" s="497">
        <f t="shared" ca="1" si="76"/>
        <v>31</v>
      </c>
      <c r="I548" s="512"/>
      <c r="J548" s="502"/>
      <c r="K548" s="500"/>
      <c r="L548" s="503"/>
      <c r="M548" s="514"/>
      <c r="N548" s="503"/>
      <c r="O548" s="497"/>
      <c r="P548" s="497">
        <f t="shared" si="77"/>
        <v>71</v>
      </c>
      <c r="Q548" s="503"/>
    </row>
    <row r="549" spans="1:17" x14ac:dyDescent="0.35">
      <c r="A549" s="497" t="b">
        <v>0</v>
      </c>
      <c r="B549" s="511">
        <f t="shared" si="74"/>
        <v>-18</v>
      </c>
      <c r="C549" s="515" t="s">
        <v>9337</v>
      </c>
      <c r="D549" s="497" t="s">
        <v>5089</v>
      </c>
      <c r="E549" s="497">
        <f t="shared" si="75"/>
        <v>6</v>
      </c>
      <c r="F549" s="516">
        <v>12</v>
      </c>
      <c r="G549" s="497"/>
      <c r="H549" s="497">
        <f t="shared" ca="1" si="76"/>
        <v>31</v>
      </c>
      <c r="I549" s="512"/>
      <c r="J549" s="502"/>
      <c r="K549" s="500"/>
      <c r="L549" s="503"/>
      <c r="M549" s="514"/>
      <c r="N549" s="503"/>
      <c r="O549" s="497"/>
      <c r="P549" s="497">
        <f t="shared" si="77"/>
        <v>72</v>
      </c>
      <c r="Q549" s="503"/>
    </row>
    <row r="550" spans="1:17" x14ac:dyDescent="0.35">
      <c r="A550" s="497" t="b">
        <v>0</v>
      </c>
      <c r="B550" s="511">
        <f t="shared" si="74"/>
        <v>-17</v>
      </c>
      <c r="C550" s="515" t="s">
        <v>9338</v>
      </c>
      <c r="D550" s="497" t="s">
        <v>4795</v>
      </c>
      <c r="E550" s="497">
        <f t="shared" si="75"/>
        <v>1</v>
      </c>
      <c r="F550" s="516">
        <v>13</v>
      </c>
      <c r="G550" s="497"/>
      <c r="H550" s="497">
        <f t="shared" ca="1" si="76"/>
        <v>33</v>
      </c>
      <c r="I550" s="512"/>
      <c r="J550" s="502"/>
      <c r="K550" s="500"/>
      <c r="L550" s="503"/>
      <c r="M550" s="514"/>
      <c r="N550" s="503"/>
      <c r="O550" s="497"/>
      <c r="P550" s="497">
        <f t="shared" si="77"/>
        <v>73</v>
      </c>
      <c r="Q550" s="503"/>
    </row>
    <row r="551" spans="1:17" x14ac:dyDescent="0.35">
      <c r="A551" s="497" t="b">
        <v>0</v>
      </c>
      <c r="B551" s="511">
        <f t="shared" si="74"/>
        <v>-16</v>
      </c>
      <c r="C551" s="515" t="s">
        <v>9339</v>
      </c>
      <c r="D551" s="497" t="s">
        <v>4795</v>
      </c>
      <c r="E551" s="497">
        <f t="shared" si="75"/>
        <v>2</v>
      </c>
      <c r="F551" s="516">
        <v>13</v>
      </c>
      <c r="G551" s="497"/>
      <c r="H551" s="497">
        <f t="shared" ca="1" si="76"/>
        <v>33</v>
      </c>
      <c r="I551" s="512"/>
      <c r="J551" s="502"/>
      <c r="K551" s="500"/>
      <c r="L551" s="503"/>
      <c r="M551" s="514"/>
      <c r="N551" s="503"/>
      <c r="O551" s="497"/>
      <c r="P551" s="497">
        <f t="shared" si="77"/>
        <v>74</v>
      </c>
      <c r="Q551" s="503"/>
    </row>
    <row r="552" spans="1:17" x14ac:dyDescent="0.35">
      <c r="A552" s="497" t="b">
        <v>0</v>
      </c>
      <c r="B552" s="511">
        <f t="shared" si="74"/>
        <v>-15</v>
      </c>
      <c r="C552" s="515" t="s">
        <v>9340</v>
      </c>
      <c r="D552" s="497" t="s">
        <v>4795</v>
      </c>
      <c r="E552" s="497">
        <f t="shared" si="75"/>
        <v>3</v>
      </c>
      <c r="F552" s="516">
        <v>13</v>
      </c>
      <c r="G552" s="497"/>
      <c r="H552" s="497">
        <f t="shared" ca="1" si="76"/>
        <v>33</v>
      </c>
      <c r="I552" s="512"/>
      <c r="J552" s="502"/>
      <c r="K552" s="500"/>
      <c r="L552" s="503"/>
      <c r="M552" s="514"/>
      <c r="N552" s="503"/>
      <c r="O552" s="497"/>
      <c r="P552" s="497">
        <f t="shared" si="77"/>
        <v>75</v>
      </c>
      <c r="Q552" s="503"/>
    </row>
    <row r="553" spans="1:17" x14ac:dyDescent="0.35">
      <c r="A553" s="497" t="b">
        <v>0</v>
      </c>
      <c r="B553" s="511">
        <f t="shared" si="74"/>
        <v>-14</v>
      </c>
      <c r="C553" s="515" t="s">
        <v>9341</v>
      </c>
      <c r="D553" s="497" t="s">
        <v>4795</v>
      </c>
      <c r="E553" s="497">
        <f t="shared" si="75"/>
        <v>4</v>
      </c>
      <c r="F553" s="516">
        <v>13</v>
      </c>
      <c r="G553" s="497"/>
      <c r="H553" s="497">
        <f t="shared" ca="1" si="76"/>
        <v>33</v>
      </c>
      <c r="I553" s="512"/>
      <c r="J553" s="502"/>
      <c r="K553" s="500"/>
      <c r="L553" s="503"/>
      <c r="M553" s="514"/>
      <c r="N553" s="503"/>
      <c r="O553" s="497"/>
      <c r="P553" s="497">
        <f t="shared" si="77"/>
        <v>76</v>
      </c>
      <c r="Q553" s="503"/>
    </row>
    <row r="554" spans="1:17" x14ac:dyDescent="0.35">
      <c r="A554" s="497" t="b">
        <v>0</v>
      </c>
      <c r="B554" s="511">
        <f t="shared" si="74"/>
        <v>-13</v>
      </c>
      <c r="C554" s="515" t="s">
        <v>9342</v>
      </c>
      <c r="D554" s="497" t="s">
        <v>4795</v>
      </c>
      <c r="E554" s="497">
        <f t="shared" si="75"/>
        <v>5</v>
      </c>
      <c r="F554" s="516">
        <v>13</v>
      </c>
      <c r="G554" s="497"/>
      <c r="H554" s="497">
        <f t="shared" ca="1" si="76"/>
        <v>33</v>
      </c>
      <c r="I554" s="512"/>
      <c r="J554" s="502"/>
      <c r="K554" s="500"/>
      <c r="L554" s="503"/>
      <c r="M554" s="514"/>
      <c r="N554" s="503"/>
      <c r="O554" s="497"/>
      <c r="P554" s="497">
        <f t="shared" si="77"/>
        <v>77</v>
      </c>
      <c r="Q554" s="503"/>
    </row>
    <row r="555" spans="1:17" x14ac:dyDescent="0.35">
      <c r="A555" s="497" t="b">
        <v>0</v>
      </c>
      <c r="B555" s="511">
        <f t="shared" si="74"/>
        <v>-12</v>
      </c>
      <c r="C555" s="515" t="s">
        <v>9343</v>
      </c>
      <c r="D555" s="497" t="s">
        <v>4795</v>
      </c>
      <c r="E555" s="497">
        <f t="shared" si="75"/>
        <v>6</v>
      </c>
      <c r="F555" s="516">
        <v>13</v>
      </c>
      <c r="G555" s="497"/>
      <c r="H555" s="497">
        <f t="shared" ca="1" si="76"/>
        <v>33</v>
      </c>
      <c r="I555" s="512"/>
      <c r="J555" s="502"/>
      <c r="K555" s="500"/>
      <c r="L555" s="503"/>
      <c r="M555" s="514"/>
      <c r="N555" s="503"/>
      <c r="O555" s="497"/>
      <c r="P555" s="497">
        <f t="shared" si="77"/>
        <v>78</v>
      </c>
      <c r="Q555" s="503"/>
    </row>
    <row r="556" spans="1:17" x14ac:dyDescent="0.35">
      <c r="A556" s="497" t="b">
        <v>0</v>
      </c>
      <c r="B556" s="511">
        <f t="shared" si="74"/>
        <v>-11</v>
      </c>
      <c r="C556" s="515" t="s">
        <v>9344</v>
      </c>
      <c r="D556" s="497" t="s">
        <v>5110</v>
      </c>
      <c r="E556" s="497">
        <f t="shared" si="75"/>
        <v>1</v>
      </c>
      <c r="F556" s="516">
        <v>14</v>
      </c>
      <c r="G556" s="497"/>
      <c r="H556" s="497">
        <f t="shared" ca="1" si="76"/>
        <v>35</v>
      </c>
      <c r="I556" s="512"/>
      <c r="J556" s="502"/>
      <c r="K556" s="500"/>
      <c r="L556" s="503"/>
      <c r="M556" s="514"/>
      <c r="N556" s="503"/>
      <c r="O556" s="497"/>
      <c r="P556" s="497">
        <f t="shared" si="77"/>
        <v>79</v>
      </c>
      <c r="Q556" s="503"/>
    </row>
    <row r="557" spans="1:17" x14ac:dyDescent="0.35">
      <c r="A557" s="497" t="b">
        <v>0</v>
      </c>
      <c r="B557" s="511">
        <f t="shared" si="74"/>
        <v>-10</v>
      </c>
      <c r="C557" s="515" t="s">
        <v>9345</v>
      </c>
      <c r="D557" s="497" t="s">
        <v>5110</v>
      </c>
      <c r="E557" s="497">
        <f t="shared" si="75"/>
        <v>2</v>
      </c>
      <c r="F557" s="516">
        <v>14</v>
      </c>
      <c r="G557" s="497"/>
      <c r="H557" s="497">
        <f t="shared" ca="1" si="76"/>
        <v>35</v>
      </c>
      <c r="I557" s="512"/>
      <c r="J557" s="502"/>
      <c r="K557" s="500"/>
      <c r="L557" s="503"/>
      <c r="M557" s="514"/>
      <c r="N557" s="503"/>
      <c r="O557" s="497"/>
      <c r="P557" s="497">
        <f t="shared" si="77"/>
        <v>80</v>
      </c>
      <c r="Q557" s="503"/>
    </row>
    <row r="558" spans="1:17" x14ac:dyDescent="0.35">
      <c r="A558" s="497" t="b">
        <v>0</v>
      </c>
      <c r="B558" s="511">
        <f t="shared" si="74"/>
        <v>-9</v>
      </c>
      <c r="C558" s="515" t="s">
        <v>9346</v>
      </c>
      <c r="D558" s="497" t="s">
        <v>5110</v>
      </c>
      <c r="E558" s="497">
        <f t="shared" si="75"/>
        <v>3</v>
      </c>
      <c r="F558" s="516">
        <v>14</v>
      </c>
      <c r="G558" s="497"/>
      <c r="H558" s="497">
        <f t="shared" ca="1" si="76"/>
        <v>35</v>
      </c>
      <c r="I558" s="512"/>
      <c r="J558" s="502"/>
      <c r="K558" s="500"/>
      <c r="L558" s="503"/>
      <c r="M558" s="514"/>
      <c r="N558" s="503"/>
      <c r="O558" s="497"/>
      <c r="P558" s="497">
        <f t="shared" si="77"/>
        <v>81</v>
      </c>
      <c r="Q558" s="503"/>
    </row>
    <row r="559" spans="1:17" x14ac:dyDescent="0.35">
      <c r="A559" s="497" t="b">
        <v>0</v>
      </c>
      <c r="B559" s="511">
        <f t="shared" si="74"/>
        <v>-8</v>
      </c>
      <c r="C559" s="515" t="s">
        <v>9347</v>
      </c>
      <c r="D559" s="497" t="s">
        <v>5110</v>
      </c>
      <c r="E559" s="497">
        <f t="shared" si="75"/>
        <v>4</v>
      </c>
      <c r="F559" s="516">
        <v>14</v>
      </c>
      <c r="G559" s="497"/>
      <c r="H559" s="497">
        <f t="shared" ca="1" si="76"/>
        <v>35</v>
      </c>
      <c r="I559" s="512"/>
      <c r="J559" s="502"/>
      <c r="K559" s="500"/>
      <c r="L559" s="503"/>
      <c r="M559" s="514"/>
      <c r="N559" s="503"/>
      <c r="O559" s="497"/>
      <c r="P559" s="497">
        <f t="shared" si="77"/>
        <v>82</v>
      </c>
      <c r="Q559" s="503"/>
    </row>
    <row r="560" spans="1:17" x14ac:dyDescent="0.35">
      <c r="A560" s="497" t="b">
        <v>0</v>
      </c>
      <c r="B560" s="511">
        <f t="shared" si="74"/>
        <v>-7</v>
      </c>
      <c r="C560" s="515" t="s">
        <v>9348</v>
      </c>
      <c r="D560" s="497" t="s">
        <v>5110</v>
      </c>
      <c r="E560" s="497">
        <f t="shared" si="75"/>
        <v>5</v>
      </c>
      <c r="F560" s="516">
        <v>14</v>
      </c>
      <c r="G560" s="497"/>
      <c r="H560" s="497">
        <f t="shared" ca="1" si="76"/>
        <v>35</v>
      </c>
      <c r="I560" s="512"/>
      <c r="J560" s="502"/>
      <c r="K560" s="500"/>
      <c r="L560" s="503"/>
      <c r="M560" s="514"/>
      <c r="N560" s="503"/>
      <c r="O560" s="497"/>
      <c r="P560" s="497">
        <f t="shared" si="77"/>
        <v>83</v>
      </c>
      <c r="Q560" s="503"/>
    </row>
    <row r="561" spans="1:17" x14ac:dyDescent="0.35">
      <c r="A561" s="497" t="b">
        <v>0</v>
      </c>
      <c r="B561" s="511">
        <f t="shared" si="74"/>
        <v>-6</v>
      </c>
      <c r="C561" s="515" t="s">
        <v>9349</v>
      </c>
      <c r="D561" s="497" t="s">
        <v>5110</v>
      </c>
      <c r="E561" s="497">
        <f t="shared" si="75"/>
        <v>6</v>
      </c>
      <c r="F561" s="516">
        <v>14</v>
      </c>
      <c r="G561" s="497"/>
      <c r="H561" s="497">
        <f t="shared" ca="1" si="76"/>
        <v>35</v>
      </c>
      <c r="I561" s="512"/>
      <c r="J561" s="502"/>
      <c r="K561" s="500"/>
      <c r="L561" s="503"/>
      <c r="M561" s="514"/>
      <c r="N561" s="503"/>
      <c r="O561" s="497"/>
      <c r="P561" s="497">
        <f t="shared" si="77"/>
        <v>84</v>
      </c>
      <c r="Q561" s="503"/>
    </row>
    <row r="562" spans="1:17" x14ac:dyDescent="0.35">
      <c r="A562" s="497" t="b">
        <v>0</v>
      </c>
      <c r="B562" s="511">
        <f t="shared" si="74"/>
        <v>-5</v>
      </c>
      <c r="C562" s="515" t="s">
        <v>9350</v>
      </c>
      <c r="D562" s="497" t="s">
        <v>4816</v>
      </c>
      <c r="E562" s="497">
        <f t="shared" si="75"/>
        <v>1</v>
      </c>
      <c r="F562" s="516">
        <v>15</v>
      </c>
      <c r="G562" s="497"/>
      <c r="H562" s="497">
        <f t="shared" ca="1" si="76"/>
        <v>37</v>
      </c>
      <c r="I562" s="512"/>
      <c r="J562" s="502"/>
      <c r="K562" s="500"/>
      <c r="L562" s="503"/>
      <c r="M562" s="514"/>
      <c r="N562" s="503"/>
      <c r="O562" s="497"/>
      <c r="P562" s="497">
        <f t="shared" si="77"/>
        <v>85</v>
      </c>
      <c r="Q562" s="503"/>
    </row>
    <row r="563" spans="1:17" x14ac:dyDescent="0.35">
      <c r="A563" s="497" t="b">
        <v>0</v>
      </c>
      <c r="B563" s="511">
        <f t="shared" si="74"/>
        <v>-4</v>
      </c>
      <c r="C563" s="515" t="s">
        <v>9351</v>
      </c>
      <c r="D563" s="497" t="s">
        <v>4816</v>
      </c>
      <c r="E563" s="497">
        <f t="shared" si="75"/>
        <v>2</v>
      </c>
      <c r="F563" s="516">
        <v>15</v>
      </c>
      <c r="G563" s="497"/>
      <c r="H563" s="497">
        <f t="shared" ca="1" si="76"/>
        <v>37</v>
      </c>
      <c r="I563" s="512"/>
      <c r="J563" s="502"/>
      <c r="K563" s="500"/>
      <c r="L563" s="503"/>
      <c r="M563" s="514"/>
      <c r="N563" s="503"/>
      <c r="O563" s="497"/>
      <c r="P563" s="497">
        <f t="shared" si="77"/>
        <v>86</v>
      </c>
      <c r="Q563" s="503"/>
    </row>
    <row r="564" spans="1:17" x14ac:dyDescent="0.35">
      <c r="A564" s="497" t="b">
        <v>0</v>
      </c>
      <c r="B564" s="511">
        <f t="shared" si="74"/>
        <v>-3</v>
      </c>
      <c r="C564" s="515" t="s">
        <v>9352</v>
      </c>
      <c r="D564" s="497" t="s">
        <v>4816</v>
      </c>
      <c r="E564" s="497">
        <f t="shared" si="75"/>
        <v>3</v>
      </c>
      <c r="F564" s="516">
        <v>15</v>
      </c>
      <c r="G564" s="497"/>
      <c r="H564" s="497">
        <f t="shared" ca="1" si="76"/>
        <v>37</v>
      </c>
      <c r="I564" s="512"/>
      <c r="J564" s="502"/>
      <c r="K564" s="500"/>
      <c r="L564" s="503"/>
      <c r="M564" s="514"/>
      <c r="N564" s="503"/>
      <c r="O564" s="497"/>
      <c r="P564" s="497">
        <f t="shared" si="77"/>
        <v>87</v>
      </c>
      <c r="Q564" s="503"/>
    </row>
    <row r="565" spans="1:17" x14ac:dyDescent="0.35">
      <c r="A565" s="497" t="b">
        <v>0</v>
      </c>
      <c r="B565" s="511">
        <f t="shared" si="74"/>
        <v>-2</v>
      </c>
      <c r="C565" s="515" t="s">
        <v>9353</v>
      </c>
      <c r="D565" s="497" t="s">
        <v>4816</v>
      </c>
      <c r="E565" s="497">
        <f t="shared" si="75"/>
        <v>4</v>
      </c>
      <c r="F565" s="516">
        <v>15</v>
      </c>
      <c r="G565" s="497"/>
      <c r="H565" s="497">
        <f t="shared" ca="1" si="76"/>
        <v>37</v>
      </c>
      <c r="I565" s="512"/>
      <c r="J565" s="502"/>
      <c r="K565" s="500"/>
      <c r="L565" s="503"/>
      <c r="M565" s="514"/>
      <c r="N565" s="503"/>
      <c r="O565" s="497"/>
      <c r="P565" s="497">
        <f t="shared" si="77"/>
        <v>88</v>
      </c>
      <c r="Q565" s="503"/>
    </row>
    <row r="566" spans="1:17" x14ac:dyDescent="0.35">
      <c r="A566" s="497" t="b">
        <v>0</v>
      </c>
      <c r="B566" s="511">
        <f t="shared" si="74"/>
        <v>-1</v>
      </c>
      <c r="C566" s="515" t="s">
        <v>9354</v>
      </c>
      <c r="D566" s="497" t="s">
        <v>4816</v>
      </c>
      <c r="E566" s="497">
        <f t="shared" si="75"/>
        <v>5</v>
      </c>
      <c r="F566" s="516">
        <v>15</v>
      </c>
      <c r="G566" s="497"/>
      <c r="H566" s="497">
        <f t="shared" ca="1" si="76"/>
        <v>37</v>
      </c>
      <c r="I566" s="512"/>
      <c r="J566" s="502"/>
      <c r="K566" s="500"/>
      <c r="L566" s="503"/>
      <c r="M566" s="514"/>
      <c r="N566" s="503"/>
      <c r="O566" s="497"/>
      <c r="P566" s="497">
        <f t="shared" si="77"/>
        <v>89</v>
      </c>
      <c r="Q566" s="503"/>
    </row>
    <row r="567" spans="1:17" x14ac:dyDescent="0.35">
      <c r="A567" s="497" t="b">
        <v>0</v>
      </c>
      <c r="B567" s="511">
        <f t="shared" si="74"/>
        <v>0</v>
      </c>
      <c r="C567" s="515" t="s">
        <v>9355</v>
      </c>
      <c r="D567" s="497" t="s">
        <v>4816</v>
      </c>
      <c r="E567" s="497">
        <f t="shared" si="75"/>
        <v>6</v>
      </c>
      <c r="F567" s="516">
        <v>15</v>
      </c>
      <c r="G567" s="497"/>
      <c r="H567" s="497">
        <f t="shared" ca="1" si="76"/>
        <v>37</v>
      </c>
      <c r="I567" s="512"/>
      <c r="J567" s="502"/>
      <c r="K567" s="500"/>
      <c r="L567" s="503"/>
      <c r="M567" s="514"/>
      <c r="N567" s="503"/>
      <c r="O567" s="497"/>
      <c r="P567" s="497">
        <f t="shared" si="77"/>
        <v>90</v>
      </c>
      <c r="Q567" s="503"/>
    </row>
    <row r="568" spans="1:17" x14ac:dyDescent="0.35">
      <c r="A568" s="497" t="b">
        <v>0</v>
      </c>
      <c r="B568" s="511">
        <f t="shared" si="74"/>
        <v>1</v>
      </c>
      <c r="C568" s="515" t="s">
        <v>9356</v>
      </c>
      <c r="D568" s="497" t="s">
        <v>5131</v>
      </c>
      <c r="E568" s="497">
        <f t="shared" si="75"/>
        <v>1</v>
      </c>
      <c r="F568" s="516">
        <v>16</v>
      </c>
      <c r="G568" s="497"/>
      <c r="H568" s="497">
        <f t="shared" ca="1" si="76"/>
        <v>39</v>
      </c>
      <c r="I568" s="512"/>
      <c r="J568" s="502"/>
      <c r="K568" s="500"/>
      <c r="L568" s="503"/>
      <c r="M568" s="514"/>
      <c r="N568" s="503"/>
      <c r="O568" s="497"/>
      <c r="P568" s="497">
        <f t="shared" si="77"/>
        <v>91</v>
      </c>
      <c r="Q568" s="503"/>
    </row>
    <row r="569" spans="1:17" x14ac:dyDescent="0.35">
      <c r="A569" s="497" t="b">
        <v>0</v>
      </c>
      <c r="B569" s="511">
        <f t="shared" si="74"/>
        <v>2</v>
      </c>
      <c r="C569" s="515" t="s">
        <v>9357</v>
      </c>
      <c r="D569" s="497" t="s">
        <v>5131</v>
      </c>
      <c r="E569" s="497">
        <f t="shared" si="75"/>
        <v>2</v>
      </c>
      <c r="F569" s="516">
        <v>16</v>
      </c>
      <c r="G569" s="497"/>
      <c r="H569" s="497">
        <f t="shared" ca="1" si="76"/>
        <v>39</v>
      </c>
      <c r="I569" s="512"/>
      <c r="J569" s="502"/>
      <c r="K569" s="500"/>
      <c r="L569" s="503"/>
      <c r="M569" s="514"/>
      <c r="N569" s="503"/>
      <c r="O569" s="497"/>
      <c r="P569" s="497">
        <f t="shared" si="77"/>
        <v>92</v>
      </c>
      <c r="Q569" s="503"/>
    </row>
    <row r="570" spans="1:17" x14ac:dyDescent="0.35">
      <c r="A570" s="497" t="b">
        <v>0</v>
      </c>
      <c r="B570" s="511">
        <f t="shared" si="74"/>
        <v>3</v>
      </c>
      <c r="C570" s="515" t="s">
        <v>9358</v>
      </c>
      <c r="D570" s="497" t="s">
        <v>5131</v>
      </c>
      <c r="E570" s="497">
        <f t="shared" si="75"/>
        <v>3</v>
      </c>
      <c r="F570" s="516">
        <v>16</v>
      </c>
      <c r="G570" s="497"/>
      <c r="H570" s="497">
        <f t="shared" ca="1" si="76"/>
        <v>39</v>
      </c>
      <c r="I570" s="512"/>
      <c r="J570" s="502"/>
      <c r="K570" s="500"/>
      <c r="L570" s="503"/>
      <c r="M570" s="514"/>
      <c r="N570" s="503"/>
      <c r="O570" s="497"/>
      <c r="P570" s="497">
        <f t="shared" si="77"/>
        <v>93</v>
      </c>
      <c r="Q570" s="503"/>
    </row>
    <row r="571" spans="1:17" x14ac:dyDescent="0.35">
      <c r="A571" s="497" t="b">
        <v>0</v>
      </c>
      <c r="B571" s="511">
        <f t="shared" si="74"/>
        <v>4</v>
      </c>
      <c r="C571" s="515" t="s">
        <v>9359</v>
      </c>
      <c r="D571" s="497" t="s">
        <v>5131</v>
      </c>
      <c r="E571" s="497">
        <f t="shared" si="75"/>
        <v>4</v>
      </c>
      <c r="F571" s="516">
        <v>16</v>
      </c>
      <c r="G571" s="497"/>
      <c r="H571" s="497">
        <f t="shared" ca="1" si="76"/>
        <v>39</v>
      </c>
      <c r="I571" s="512"/>
      <c r="J571" s="502"/>
      <c r="K571" s="500"/>
      <c r="L571" s="503"/>
      <c r="M571" s="514"/>
      <c r="N571" s="503"/>
      <c r="O571" s="497"/>
      <c r="P571" s="497">
        <f t="shared" si="77"/>
        <v>94</v>
      </c>
      <c r="Q571" s="503"/>
    </row>
    <row r="572" spans="1:17" x14ac:dyDescent="0.35">
      <c r="A572" s="497" t="b">
        <v>0</v>
      </c>
      <c r="B572" s="511">
        <f t="shared" si="74"/>
        <v>5</v>
      </c>
      <c r="C572" s="515" t="s">
        <v>9360</v>
      </c>
      <c r="D572" s="497" t="s">
        <v>5131</v>
      </c>
      <c r="E572" s="497">
        <f t="shared" si="75"/>
        <v>5</v>
      </c>
      <c r="F572" s="516">
        <v>16</v>
      </c>
      <c r="G572" s="497"/>
      <c r="H572" s="497">
        <f t="shared" ca="1" si="76"/>
        <v>39</v>
      </c>
      <c r="I572" s="512"/>
      <c r="J572" s="502"/>
      <c r="K572" s="500"/>
      <c r="L572" s="503"/>
      <c r="M572" s="514"/>
      <c r="N572" s="503"/>
      <c r="O572" s="497"/>
      <c r="P572" s="497">
        <f t="shared" si="77"/>
        <v>95</v>
      </c>
      <c r="Q572" s="503"/>
    </row>
    <row r="573" spans="1:17" x14ac:dyDescent="0.35">
      <c r="A573" s="497" t="b">
        <v>0</v>
      </c>
      <c r="B573" s="511">
        <f t="shared" si="74"/>
        <v>6</v>
      </c>
      <c r="C573" s="515" t="s">
        <v>9361</v>
      </c>
      <c r="D573" s="497" t="s">
        <v>5131</v>
      </c>
      <c r="E573" s="497">
        <f t="shared" si="75"/>
        <v>6</v>
      </c>
      <c r="F573" s="516">
        <v>16</v>
      </c>
      <c r="G573" s="497"/>
      <c r="H573" s="497">
        <f t="shared" ca="1" si="76"/>
        <v>39</v>
      </c>
      <c r="I573" s="512"/>
      <c r="J573" s="502"/>
      <c r="K573" s="500"/>
      <c r="L573" s="503"/>
      <c r="M573" s="514"/>
      <c r="N573" s="503"/>
      <c r="O573" s="497"/>
      <c r="P573" s="497">
        <f t="shared" si="77"/>
        <v>96</v>
      </c>
      <c r="Q573" s="503"/>
    </row>
    <row r="574" spans="1:17" x14ac:dyDescent="0.35">
      <c r="A574" s="497" t="b">
        <v>0</v>
      </c>
      <c r="B574" s="511">
        <f t="shared" si="74"/>
        <v>7</v>
      </c>
      <c r="C574" s="515" t="s">
        <v>9362</v>
      </c>
      <c r="D574" s="497" t="s">
        <v>4837</v>
      </c>
      <c r="E574" s="497">
        <f t="shared" si="75"/>
        <v>1</v>
      </c>
      <c r="F574" s="516">
        <v>17</v>
      </c>
      <c r="G574" s="497"/>
      <c r="H574" s="497">
        <f t="shared" ca="1" si="76"/>
        <v>41</v>
      </c>
      <c r="I574" s="512"/>
      <c r="J574" s="502"/>
      <c r="K574" s="500"/>
      <c r="L574" s="503"/>
      <c r="M574" s="514"/>
      <c r="N574" s="503"/>
      <c r="O574" s="497"/>
      <c r="P574" s="497">
        <f t="shared" si="77"/>
        <v>97</v>
      </c>
      <c r="Q574" s="503"/>
    </row>
    <row r="575" spans="1:17" x14ac:dyDescent="0.35">
      <c r="A575" s="497" t="b">
        <v>0</v>
      </c>
      <c r="B575" s="511">
        <f t="shared" si="74"/>
        <v>8</v>
      </c>
      <c r="C575" s="515" t="s">
        <v>9363</v>
      </c>
      <c r="D575" s="497" t="s">
        <v>4837</v>
      </c>
      <c r="E575" s="497">
        <f t="shared" si="75"/>
        <v>2</v>
      </c>
      <c r="F575" s="516">
        <v>17</v>
      </c>
      <c r="G575" s="497"/>
      <c r="H575" s="497">
        <f t="shared" ca="1" si="76"/>
        <v>41</v>
      </c>
      <c r="I575" s="512"/>
      <c r="J575" s="502"/>
      <c r="K575" s="500"/>
      <c r="L575" s="503"/>
      <c r="M575" s="514"/>
      <c r="N575" s="503"/>
      <c r="O575" s="497"/>
      <c r="P575" s="497">
        <f t="shared" si="77"/>
        <v>98</v>
      </c>
      <c r="Q575" s="503"/>
    </row>
    <row r="576" spans="1:17" x14ac:dyDescent="0.35">
      <c r="A576" s="497" t="b">
        <v>0</v>
      </c>
      <c r="B576" s="511">
        <f t="shared" si="74"/>
        <v>9</v>
      </c>
      <c r="C576" s="515" t="s">
        <v>9364</v>
      </c>
      <c r="D576" s="497" t="s">
        <v>4837</v>
      </c>
      <c r="E576" s="497">
        <f t="shared" si="75"/>
        <v>3</v>
      </c>
      <c r="F576" s="516">
        <v>17</v>
      </c>
      <c r="G576" s="497"/>
      <c r="H576" s="497">
        <f t="shared" ca="1" si="76"/>
        <v>41</v>
      </c>
      <c r="I576" s="512"/>
      <c r="J576" s="502"/>
      <c r="K576" s="500"/>
      <c r="L576" s="503"/>
      <c r="M576" s="514"/>
      <c r="N576" s="503"/>
      <c r="O576" s="497"/>
      <c r="P576" s="497">
        <f t="shared" si="77"/>
        <v>99</v>
      </c>
      <c r="Q576" s="503"/>
    </row>
    <row r="577" spans="1:17" x14ac:dyDescent="0.35">
      <c r="A577" s="497" t="b">
        <v>0</v>
      </c>
      <c r="B577" s="511">
        <f t="shared" si="74"/>
        <v>10</v>
      </c>
      <c r="C577" s="515" t="s">
        <v>9365</v>
      </c>
      <c r="D577" s="497" t="s">
        <v>4837</v>
      </c>
      <c r="E577" s="497">
        <f t="shared" si="75"/>
        <v>4</v>
      </c>
      <c r="F577" s="516">
        <v>17</v>
      </c>
      <c r="G577" s="497"/>
      <c r="H577" s="497">
        <f t="shared" ca="1" si="76"/>
        <v>41</v>
      </c>
      <c r="I577" s="512"/>
      <c r="J577" s="502"/>
      <c r="K577" s="500"/>
      <c r="L577" s="503"/>
      <c r="M577" s="514"/>
      <c r="N577" s="503"/>
      <c r="O577" s="497"/>
      <c r="P577" s="497">
        <f t="shared" si="77"/>
        <v>100</v>
      </c>
      <c r="Q577" s="503"/>
    </row>
    <row r="578" spans="1:17" x14ac:dyDescent="0.35">
      <c r="A578" s="497" t="b">
        <v>0</v>
      </c>
      <c r="B578" s="511">
        <f t="shared" si="74"/>
        <v>11</v>
      </c>
      <c r="C578" s="515" t="s">
        <v>9366</v>
      </c>
      <c r="D578" s="497" t="s">
        <v>4837</v>
      </c>
      <c r="E578" s="497">
        <f t="shared" si="75"/>
        <v>5</v>
      </c>
      <c r="F578" s="516">
        <v>17</v>
      </c>
      <c r="G578" s="497"/>
      <c r="H578" s="497">
        <f t="shared" ca="1" si="76"/>
        <v>41</v>
      </c>
      <c r="I578" s="512"/>
      <c r="J578" s="502"/>
      <c r="K578" s="500"/>
      <c r="L578" s="503"/>
      <c r="M578" s="514"/>
      <c r="N578" s="503"/>
      <c r="O578" s="497"/>
      <c r="P578" s="497">
        <f t="shared" si="77"/>
        <v>101</v>
      </c>
      <c r="Q578" s="503"/>
    </row>
    <row r="579" spans="1:17" x14ac:dyDescent="0.35">
      <c r="A579" s="497" t="b">
        <v>0</v>
      </c>
      <c r="B579" s="511">
        <f t="shared" si="74"/>
        <v>12</v>
      </c>
      <c r="C579" s="515" t="s">
        <v>9367</v>
      </c>
      <c r="D579" s="497" t="s">
        <v>4837</v>
      </c>
      <c r="E579" s="497">
        <f t="shared" si="75"/>
        <v>6</v>
      </c>
      <c r="F579" s="516">
        <v>17</v>
      </c>
      <c r="G579" s="497"/>
      <c r="H579" s="497">
        <f t="shared" ca="1" si="76"/>
        <v>41</v>
      </c>
      <c r="I579" s="512"/>
      <c r="J579" s="502"/>
      <c r="K579" s="500"/>
      <c r="L579" s="503"/>
      <c r="M579" s="514"/>
      <c r="N579" s="503"/>
      <c r="O579" s="497"/>
      <c r="P579" s="497">
        <f t="shared" si="77"/>
        <v>102</v>
      </c>
      <c r="Q579" s="503"/>
    </row>
    <row r="580" spans="1:17" x14ac:dyDescent="0.35">
      <c r="A580" s="497" t="b">
        <v>0</v>
      </c>
      <c r="B580" s="511">
        <f t="shared" si="74"/>
        <v>13</v>
      </c>
      <c r="C580" s="515" t="s">
        <v>9368</v>
      </c>
      <c r="D580" s="497" t="s">
        <v>5152</v>
      </c>
      <c r="E580" s="497">
        <f t="shared" si="75"/>
        <v>1</v>
      </c>
      <c r="F580" s="516">
        <v>18</v>
      </c>
      <c r="G580" s="497"/>
      <c r="H580" s="497">
        <f t="shared" ca="1" si="76"/>
        <v>43</v>
      </c>
      <c r="I580" s="512"/>
      <c r="J580" s="502"/>
      <c r="K580" s="500"/>
      <c r="L580" s="503"/>
      <c r="M580" s="514"/>
      <c r="N580" s="503"/>
      <c r="O580" s="497"/>
      <c r="P580" s="497">
        <f t="shared" si="77"/>
        <v>103</v>
      </c>
      <c r="Q580" s="503"/>
    </row>
    <row r="581" spans="1:17" x14ac:dyDescent="0.35">
      <c r="A581" s="497" t="b">
        <v>0</v>
      </c>
      <c r="B581" s="511">
        <f t="shared" si="74"/>
        <v>14</v>
      </c>
      <c r="C581" s="515" t="s">
        <v>9369</v>
      </c>
      <c r="D581" s="497" t="s">
        <v>5152</v>
      </c>
      <c r="E581" s="497">
        <f t="shared" si="75"/>
        <v>2</v>
      </c>
      <c r="F581" s="516">
        <v>18</v>
      </c>
      <c r="G581" s="497"/>
      <c r="H581" s="497">
        <f t="shared" ca="1" si="76"/>
        <v>43</v>
      </c>
      <c r="I581" s="512"/>
      <c r="J581" s="502"/>
      <c r="K581" s="500"/>
      <c r="L581" s="503"/>
      <c r="M581" s="514"/>
      <c r="N581" s="503"/>
      <c r="O581" s="497"/>
      <c r="P581" s="497">
        <f t="shared" si="77"/>
        <v>104</v>
      </c>
      <c r="Q581" s="503"/>
    </row>
    <row r="582" spans="1:17" x14ac:dyDescent="0.35">
      <c r="A582" s="497" t="b">
        <v>0</v>
      </c>
      <c r="B582" s="511">
        <f t="shared" si="74"/>
        <v>15</v>
      </c>
      <c r="C582" s="515" t="s">
        <v>9370</v>
      </c>
      <c r="D582" s="497" t="s">
        <v>5152</v>
      </c>
      <c r="E582" s="497">
        <f t="shared" si="75"/>
        <v>3</v>
      </c>
      <c r="F582" s="516">
        <v>18</v>
      </c>
      <c r="G582" s="497"/>
      <c r="H582" s="497">
        <f t="shared" ca="1" si="76"/>
        <v>43</v>
      </c>
      <c r="I582" s="512"/>
      <c r="J582" s="502"/>
      <c r="K582" s="500"/>
      <c r="L582" s="503"/>
      <c r="M582" s="514"/>
      <c r="N582" s="503"/>
      <c r="O582" s="497"/>
      <c r="P582" s="497">
        <f t="shared" si="77"/>
        <v>105</v>
      </c>
      <c r="Q582" s="503"/>
    </row>
    <row r="583" spans="1:17" x14ac:dyDescent="0.35">
      <c r="A583" s="497" t="b">
        <v>0</v>
      </c>
      <c r="B583" s="511">
        <f t="shared" si="74"/>
        <v>16</v>
      </c>
      <c r="C583" s="515" t="s">
        <v>9371</v>
      </c>
      <c r="D583" s="497" t="s">
        <v>5152</v>
      </c>
      <c r="E583" s="497">
        <f t="shared" si="75"/>
        <v>4</v>
      </c>
      <c r="F583" s="516">
        <v>18</v>
      </c>
      <c r="G583" s="497"/>
      <c r="H583" s="497">
        <f t="shared" ca="1" si="76"/>
        <v>43</v>
      </c>
      <c r="I583" s="512"/>
      <c r="J583" s="502"/>
      <c r="K583" s="500"/>
      <c r="L583" s="503"/>
      <c r="M583" s="514"/>
      <c r="N583" s="503"/>
      <c r="O583" s="497"/>
      <c r="P583" s="497">
        <f t="shared" si="77"/>
        <v>106</v>
      </c>
      <c r="Q583" s="503"/>
    </row>
    <row r="584" spans="1:17" x14ac:dyDescent="0.35">
      <c r="A584" s="497" t="b">
        <v>0</v>
      </c>
      <c r="B584" s="511">
        <f t="shared" si="74"/>
        <v>17</v>
      </c>
      <c r="C584" s="515" t="s">
        <v>9372</v>
      </c>
      <c r="D584" s="497" t="s">
        <v>5152</v>
      </c>
      <c r="E584" s="497">
        <f t="shared" si="75"/>
        <v>5</v>
      </c>
      <c r="F584" s="516">
        <v>18</v>
      </c>
      <c r="G584" s="497"/>
      <c r="H584" s="497">
        <f t="shared" ca="1" si="76"/>
        <v>43</v>
      </c>
      <c r="I584" s="512"/>
      <c r="J584" s="502"/>
      <c r="K584" s="500"/>
      <c r="L584" s="503"/>
      <c r="M584" s="514"/>
      <c r="N584" s="503"/>
      <c r="O584" s="497"/>
      <c r="P584" s="497">
        <f t="shared" si="77"/>
        <v>107</v>
      </c>
      <c r="Q584" s="503"/>
    </row>
    <row r="585" spans="1:17" x14ac:dyDescent="0.35">
      <c r="A585" s="497" t="b">
        <v>0</v>
      </c>
      <c r="B585" s="511">
        <f t="shared" si="74"/>
        <v>18</v>
      </c>
      <c r="C585" s="515" t="s">
        <v>9373</v>
      </c>
      <c r="D585" s="497" t="s">
        <v>5152</v>
      </c>
      <c r="E585" s="497">
        <f t="shared" si="75"/>
        <v>6</v>
      </c>
      <c r="F585" s="516">
        <v>18</v>
      </c>
      <c r="G585" s="497"/>
      <c r="H585" s="497">
        <f t="shared" ca="1" si="76"/>
        <v>43</v>
      </c>
      <c r="I585" s="512"/>
      <c r="J585" s="502"/>
      <c r="K585" s="500"/>
      <c r="L585" s="503"/>
      <c r="M585" s="514"/>
      <c r="N585" s="503"/>
      <c r="O585" s="497"/>
      <c r="P585" s="497">
        <f t="shared" si="77"/>
        <v>108</v>
      </c>
      <c r="Q585" s="503"/>
    </row>
    <row r="586" spans="1:17" x14ac:dyDescent="0.35">
      <c r="A586" s="497" t="b">
        <v>0</v>
      </c>
      <c r="B586" s="511">
        <f t="shared" si="74"/>
        <v>19</v>
      </c>
      <c r="C586" s="515" t="s">
        <v>9374</v>
      </c>
      <c r="D586" s="497" t="s">
        <v>4858</v>
      </c>
      <c r="E586" s="497">
        <f t="shared" si="75"/>
        <v>1</v>
      </c>
      <c r="F586" s="516">
        <v>19</v>
      </c>
      <c r="G586" s="497"/>
      <c r="H586" s="497">
        <f t="shared" ca="1" si="76"/>
        <v>45</v>
      </c>
      <c r="I586" s="512"/>
      <c r="J586" s="502"/>
      <c r="K586" s="500"/>
      <c r="L586" s="503"/>
      <c r="M586" s="514"/>
      <c r="N586" s="503"/>
      <c r="O586" s="497"/>
      <c r="P586" s="497">
        <f t="shared" si="77"/>
        <v>109</v>
      </c>
      <c r="Q586" s="503"/>
    </row>
    <row r="587" spans="1:17" x14ac:dyDescent="0.35">
      <c r="A587" s="497" t="b">
        <v>0</v>
      </c>
      <c r="B587" s="511">
        <f t="shared" si="74"/>
        <v>20</v>
      </c>
      <c r="C587" s="515" t="s">
        <v>9375</v>
      </c>
      <c r="D587" s="497" t="s">
        <v>4858</v>
      </c>
      <c r="E587" s="497">
        <f t="shared" si="75"/>
        <v>2</v>
      </c>
      <c r="F587" s="516">
        <v>19</v>
      </c>
      <c r="G587" s="497"/>
      <c r="H587" s="497">
        <f t="shared" ca="1" si="76"/>
        <v>45</v>
      </c>
      <c r="I587" s="512"/>
      <c r="J587" s="502"/>
      <c r="K587" s="500"/>
      <c r="L587" s="503"/>
      <c r="M587" s="514"/>
      <c r="N587" s="503"/>
      <c r="O587" s="497"/>
      <c r="P587" s="497">
        <f t="shared" si="77"/>
        <v>110</v>
      </c>
      <c r="Q587" s="503"/>
    </row>
    <row r="588" spans="1:17" x14ac:dyDescent="0.35">
      <c r="A588" s="497" t="b">
        <v>0</v>
      </c>
      <c r="B588" s="511">
        <f t="shared" si="74"/>
        <v>21</v>
      </c>
      <c r="C588" s="515" t="s">
        <v>9376</v>
      </c>
      <c r="D588" s="497" t="s">
        <v>4858</v>
      </c>
      <c r="E588" s="497">
        <f t="shared" si="75"/>
        <v>3</v>
      </c>
      <c r="F588" s="516">
        <v>19</v>
      </c>
      <c r="G588" s="497"/>
      <c r="H588" s="497">
        <f t="shared" ca="1" si="76"/>
        <v>45</v>
      </c>
      <c r="I588" s="512"/>
      <c r="J588" s="502"/>
      <c r="K588" s="500"/>
      <c r="L588" s="503"/>
      <c r="M588" s="514"/>
      <c r="N588" s="503"/>
      <c r="O588" s="497"/>
      <c r="P588" s="497">
        <f t="shared" si="77"/>
        <v>111</v>
      </c>
      <c r="Q588" s="503"/>
    </row>
    <row r="589" spans="1:17" x14ac:dyDescent="0.35">
      <c r="A589" s="497" t="b">
        <v>0</v>
      </c>
      <c r="B589" s="511">
        <f t="shared" si="74"/>
        <v>22</v>
      </c>
      <c r="C589" s="515" t="s">
        <v>9377</v>
      </c>
      <c r="D589" s="497" t="s">
        <v>4858</v>
      </c>
      <c r="E589" s="497">
        <f t="shared" si="75"/>
        <v>4</v>
      </c>
      <c r="F589" s="516">
        <v>19</v>
      </c>
      <c r="G589" s="497"/>
      <c r="H589" s="497">
        <f t="shared" ca="1" si="76"/>
        <v>45</v>
      </c>
      <c r="I589" s="512"/>
      <c r="J589" s="502"/>
      <c r="K589" s="500"/>
      <c r="L589" s="503"/>
      <c r="M589" s="514"/>
      <c r="N589" s="503"/>
      <c r="O589" s="497"/>
      <c r="P589" s="497">
        <f t="shared" si="77"/>
        <v>112</v>
      </c>
      <c r="Q589" s="503"/>
    </row>
    <row r="590" spans="1:17" x14ac:dyDescent="0.35">
      <c r="A590" s="497" t="b">
        <v>0</v>
      </c>
      <c r="B590" s="511">
        <f t="shared" si="74"/>
        <v>23</v>
      </c>
      <c r="C590" s="515" t="s">
        <v>9378</v>
      </c>
      <c r="D590" s="497" t="s">
        <v>4858</v>
      </c>
      <c r="E590" s="497">
        <f t="shared" si="75"/>
        <v>5</v>
      </c>
      <c r="F590" s="516">
        <v>19</v>
      </c>
      <c r="G590" s="497"/>
      <c r="H590" s="497">
        <f t="shared" ca="1" si="76"/>
        <v>45</v>
      </c>
      <c r="I590" s="512"/>
      <c r="J590" s="502"/>
      <c r="K590" s="500"/>
      <c r="L590" s="503"/>
      <c r="M590" s="514"/>
      <c r="N590" s="503"/>
      <c r="O590" s="497"/>
      <c r="P590" s="497">
        <f t="shared" si="77"/>
        <v>113</v>
      </c>
      <c r="Q590" s="503"/>
    </row>
    <row r="591" spans="1:17" x14ac:dyDescent="0.35">
      <c r="A591" s="497" t="b">
        <v>0</v>
      </c>
      <c r="B591" s="511">
        <f t="shared" si="74"/>
        <v>24</v>
      </c>
      <c r="C591" s="515" t="s">
        <v>9379</v>
      </c>
      <c r="D591" s="497" t="s">
        <v>4858</v>
      </c>
      <c r="E591" s="497">
        <f t="shared" si="75"/>
        <v>6</v>
      </c>
      <c r="F591" s="516">
        <v>19</v>
      </c>
      <c r="G591" s="497"/>
      <c r="H591" s="497">
        <f t="shared" ca="1" si="76"/>
        <v>45</v>
      </c>
      <c r="I591" s="512"/>
      <c r="J591" s="502"/>
      <c r="K591" s="500"/>
      <c r="L591" s="503"/>
      <c r="M591" s="514"/>
      <c r="N591" s="503"/>
      <c r="O591" s="497"/>
      <c r="P591" s="497">
        <f t="shared" si="77"/>
        <v>114</v>
      </c>
      <c r="Q591" s="503"/>
    </row>
    <row r="592" spans="1:17" x14ac:dyDescent="0.35">
      <c r="A592" s="497" t="b">
        <v>0</v>
      </c>
      <c r="B592" s="511">
        <f t="shared" si="74"/>
        <v>25</v>
      </c>
      <c r="C592" s="515" t="s">
        <v>9380</v>
      </c>
      <c r="D592" s="497" t="s">
        <v>5173</v>
      </c>
      <c r="E592" s="497">
        <f t="shared" si="75"/>
        <v>1</v>
      </c>
      <c r="F592" s="516">
        <v>20</v>
      </c>
      <c r="G592" s="497"/>
      <c r="H592" s="497">
        <f t="shared" ca="1" si="76"/>
        <v>47</v>
      </c>
      <c r="I592" s="512"/>
      <c r="J592" s="502"/>
      <c r="K592" s="500"/>
      <c r="L592" s="503"/>
      <c r="M592" s="514"/>
      <c r="N592" s="503"/>
      <c r="O592" s="497"/>
      <c r="P592" s="497">
        <f t="shared" si="77"/>
        <v>115</v>
      </c>
      <c r="Q592" s="503"/>
    </row>
    <row r="593" spans="1:17" x14ac:dyDescent="0.35">
      <c r="A593" s="497" t="b">
        <v>0</v>
      </c>
      <c r="B593" s="511">
        <f t="shared" si="74"/>
        <v>26</v>
      </c>
      <c r="C593" s="515" t="s">
        <v>9381</v>
      </c>
      <c r="D593" s="497" t="s">
        <v>5173</v>
      </c>
      <c r="E593" s="497">
        <f t="shared" si="75"/>
        <v>2</v>
      </c>
      <c r="F593" s="516">
        <v>20</v>
      </c>
      <c r="G593" s="497"/>
      <c r="H593" s="497">
        <f t="shared" ca="1" si="76"/>
        <v>47</v>
      </c>
      <c r="I593" s="512"/>
      <c r="J593" s="502"/>
      <c r="K593" s="500"/>
      <c r="L593" s="503"/>
      <c r="M593" s="514"/>
      <c r="N593" s="503"/>
      <c r="O593" s="497"/>
      <c r="P593" s="497">
        <f t="shared" si="77"/>
        <v>116</v>
      </c>
      <c r="Q593" s="503"/>
    </row>
    <row r="594" spans="1:17" x14ac:dyDescent="0.35">
      <c r="A594" s="497" t="b">
        <v>0</v>
      </c>
      <c r="B594" s="511">
        <f t="shared" si="74"/>
        <v>27</v>
      </c>
      <c r="C594" s="515" t="s">
        <v>9382</v>
      </c>
      <c r="D594" s="497" t="s">
        <v>5173</v>
      </c>
      <c r="E594" s="497">
        <f t="shared" si="75"/>
        <v>3</v>
      </c>
      <c r="F594" s="516">
        <v>20</v>
      </c>
      <c r="G594" s="497"/>
      <c r="H594" s="497">
        <f t="shared" ca="1" si="76"/>
        <v>47</v>
      </c>
      <c r="I594" s="512"/>
      <c r="J594" s="502"/>
      <c r="K594" s="500"/>
      <c r="L594" s="503"/>
      <c r="M594" s="514"/>
      <c r="N594" s="503"/>
      <c r="O594" s="497"/>
      <c r="P594" s="497">
        <f t="shared" si="77"/>
        <v>117</v>
      </c>
      <c r="Q594" s="503"/>
    </row>
    <row r="595" spans="1:17" x14ac:dyDescent="0.35">
      <c r="A595" s="497" t="b">
        <v>0</v>
      </c>
      <c r="B595" s="511">
        <f t="shared" si="74"/>
        <v>28</v>
      </c>
      <c r="C595" s="515" t="s">
        <v>9383</v>
      </c>
      <c r="D595" s="497" t="s">
        <v>5173</v>
      </c>
      <c r="E595" s="497">
        <f t="shared" si="75"/>
        <v>4</v>
      </c>
      <c r="F595" s="516">
        <v>20</v>
      </c>
      <c r="G595" s="497"/>
      <c r="H595" s="497">
        <f t="shared" ca="1" si="76"/>
        <v>47</v>
      </c>
      <c r="I595" s="512"/>
      <c r="J595" s="502"/>
      <c r="K595" s="500"/>
      <c r="L595" s="503"/>
      <c r="M595" s="514"/>
      <c r="N595" s="503"/>
      <c r="O595" s="497"/>
      <c r="P595" s="497">
        <f t="shared" si="77"/>
        <v>118</v>
      </c>
      <c r="Q595" s="503"/>
    </row>
    <row r="596" spans="1:17" x14ac:dyDescent="0.35">
      <c r="A596" s="497" t="b">
        <v>0</v>
      </c>
      <c r="B596" s="511">
        <f t="shared" si="74"/>
        <v>29</v>
      </c>
      <c r="C596" s="515" t="s">
        <v>9384</v>
      </c>
      <c r="D596" s="497" t="s">
        <v>5173</v>
      </c>
      <c r="E596" s="497">
        <f t="shared" si="75"/>
        <v>5</v>
      </c>
      <c r="F596" s="516">
        <v>20</v>
      </c>
      <c r="G596" s="497"/>
      <c r="H596" s="497">
        <f t="shared" ca="1" si="76"/>
        <v>47</v>
      </c>
      <c r="I596" s="512"/>
      <c r="J596" s="502"/>
      <c r="K596" s="500"/>
      <c r="L596" s="503"/>
      <c r="M596" s="514"/>
      <c r="N596" s="503"/>
      <c r="O596" s="497"/>
      <c r="P596" s="497">
        <f t="shared" si="77"/>
        <v>119</v>
      </c>
      <c r="Q596" s="503"/>
    </row>
    <row r="597" spans="1:17" x14ac:dyDescent="0.35">
      <c r="A597" s="497" t="b">
        <v>0</v>
      </c>
      <c r="B597" s="511">
        <f t="shared" si="74"/>
        <v>30</v>
      </c>
      <c r="C597" s="515" t="s">
        <v>9385</v>
      </c>
      <c r="D597" s="497" t="s">
        <v>5173</v>
      </c>
      <c r="E597" s="497">
        <f t="shared" si="75"/>
        <v>6</v>
      </c>
      <c r="F597" s="516">
        <v>20</v>
      </c>
      <c r="G597" s="497"/>
      <c r="H597" s="497">
        <f t="shared" ca="1" si="76"/>
        <v>47</v>
      </c>
      <c r="I597" s="512"/>
      <c r="J597" s="502"/>
      <c r="K597" s="500"/>
      <c r="L597" s="503"/>
      <c r="M597" s="514"/>
      <c r="N597" s="503"/>
      <c r="O597" s="497"/>
      <c r="P597" s="497">
        <f t="shared" si="77"/>
        <v>120</v>
      </c>
      <c r="Q597" s="503"/>
    </row>
    <row r="598" spans="1:17" x14ac:dyDescent="0.35">
      <c r="A598" s="497" t="b">
        <v>0</v>
      </c>
      <c r="B598" s="511">
        <f t="shared" si="74"/>
        <v>31</v>
      </c>
      <c r="C598" s="515" t="s">
        <v>9386</v>
      </c>
      <c r="D598" s="497" t="s">
        <v>4879</v>
      </c>
      <c r="E598" s="497">
        <f t="shared" si="75"/>
        <v>1</v>
      </c>
      <c r="F598" s="516">
        <v>21</v>
      </c>
      <c r="G598" s="497"/>
      <c r="H598" s="497">
        <f t="shared" ca="1" si="76"/>
        <v>49</v>
      </c>
      <c r="I598" s="512"/>
      <c r="J598" s="502"/>
      <c r="K598" s="500"/>
      <c r="L598" s="503"/>
      <c r="M598" s="514"/>
      <c r="N598" s="503"/>
      <c r="O598" s="497"/>
      <c r="P598" s="497">
        <f t="shared" si="77"/>
        <v>121</v>
      </c>
      <c r="Q598" s="503"/>
    </row>
    <row r="599" spans="1:17" x14ac:dyDescent="0.35">
      <c r="A599" s="497" t="b">
        <v>0</v>
      </c>
      <c r="B599" s="511">
        <f t="shared" si="74"/>
        <v>32</v>
      </c>
      <c r="C599" s="515" t="s">
        <v>9387</v>
      </c>
      <c r="D599" s="497" t="s">
        <v>4879</v>
      </c>
      <c r="E599" s="497">
        <f t="shared" si="75"/>
        <v>2</v>
      </c>
      <c r="F599" s="516">
        <v>21</v>
      </c>
      <c r="G599" s="497"/>
      <c r="H599" s="497">
        <f t="shared" ca="1" si="76"/>
        <v>49</v>
      </c>
      <c r="I599" s="512"/>
      <c r="J599" s="502"/>
      <c r="K599" s="500"/>
      <c r="L599" s="503"/>
      <c r="M599" s="514"/>
      <c r="N599" s="503"/>
      <c r="O599" s="497"/>
      <c r="P599" s="497">
        <f t="shared" si="77"/>
        <v>122</v>
      </c>
      <c r="Q599" s="503"/>
    </row>
    <row r="600" spans="1:17" x14ac:dyDescent="0.35">
      <c r="A600" s="497" t="b">
        <v>0</v>
      </c>
      <c r="B600" s="511">
        <f t="shared" si="74"/>
        <v>33</v>
      </c>
      <c r="C600" s="515" t="s">
        <v>9388</v>
      </c>
      <c r="D600" s="497" t="s">
        <v>4879</v>
      </c>
      <c r="E600" s="497">
        <f t="shared" si="75"/>
        <v>3</v>
      </c>
      <c r="F600" s="516">
        <v>21</v>
      </c>
      <c r="G600" s="497"/>
      <c r="H600" s="497">
        <f t="shared" ca="1" si="76"/>
        <v>49</v>
      </c>
      <c r="I600" s="512"/>
      <c r="J600" s="502"/>
      <c r="K600" s="500"/>
      <c r="L600" s="503"/>
      <c r="M600" s="514"/>
      <c r="N600" s="503"/>
      <c r="O600" s="497"/>
      <c r="P600" s="497">
        <f t="shared" si="77"/>
        <v>123</v>
      </c>
      <c r="Q600" s="503"/>
    </row>
    <row r="601" spans="1:17" x14ac:dyDescent="0.35">
      <c r="A601" s="497" t="b">
        <v>0</v>
      </c>
      <c r="B601" s="511">
        <f t="shared" si="74"/>
        <v>34</v>
      </c>
      <c r="C601" s="515" t="s">
        <v>9389</v>
      </c>
      <c r="D601" s="497" t="s">
        <v>4879</v>
      </c>
      <c r="E601" s="497">
        <f t="shared" si="75"/>
        <v>4</v>
      </c>
      <c r="F601" s="516">
        <v>21</v>
      </c>
      <c r="G601" s="497"/>
      <c r="H601" s="497">
        <f t="shared" ca="1" si="76"/>
        <v>49</v>
      </c>
      <c r="I601" s="512"/>
      <c r="J601" s="502"/>
      <c r="K601" s="500"/>
      <c r="L601" s="503"/>
      <c r="M601" s="514"/>
      <c r="N601" s="503"/>
      <c r="O601" s="497"/>
      <c r="P601" s="497">
        <f t="shared" si="77"/>
        <v>124</v>
      </c>
      <c r="Q601" s="503"/>
    </row>
    <row r="602" spans="1:17" x14ac:dyDescent="0.35">
      <c r="A602" s="497" t="b">
        <v>0</v>
      </c>
      <c r="B602" s="511">
        <f t="shared" si="74"/>
        <v>35</v>
      </c>
      <c r="C602" s="515" t="s">
        <v>9390</v>
      </c>
      <c r="D602" s="497" t="s">
        <v>4879</v>
      </c>
      <c r="E602" s="497">
        <f t="shared" si="75"/>
        <v>5</v>
      </c>
      <c r="F602" s="516">
        <v>21</v>
      </c>
      <c r="G602" s="497"/>
      <c r="H602" s="497">
        <f t="shared" ca="1" si="76"/>
        <v>49</v>
      </c>
      <c r="I602" s="512"/>
      <c r="J602" s="502"/>
      <c r="K602" s="500"/>
      <c r="L602" s="503"/>
      <c r="M602" s="514"/>
      <c r="N602" s="503"/>
      <c r="O602" s="497"/>
      <c r="P602" s="497">
        <f t="shared" si="77"/>
        <v>125</v>
      </c>
      <c r="Q602" s="503"/>
    </row>
    <row r="603" spans="1:17" x14ac:dyDescent="0.35">
      <c r="A603" s="497" t="b">
        <v>0</v>
      </c>
      <c r="B603" s="511">
        <f t="shared" si="74"/>
        <v>36</v>
      </c>
      <c r="C603" s="515" t="s">
        <v>9391</v>
      </c>
      <c r="D603" s="497" t="s">
        <v>4879</v>
      </c>
      <c r="E603" s="497">
        <f t="shared" si="75"/>
        <v>6</v>
      </c>
      <c r="F603" s="516">
        <v>21</v>
      </c>
      <c r="G603" s="497"/>
      <c r="H603" s="497">
        <f t="shared" ca="1" si="76"/>
        <v>49</v>
      </c>
      <c r="I603" s="512"/>
      <c r="J603" s="502"/>
      <c r="K603" s="500"/>
      <c r="L603" s="503"/>
      <c r="M603" s="514"/>
      <c r="N603" s="503"/>
      <c r="O603" s="497"/>
      <c r="P603" s="497">
        <f t="shared" si="77"/>
        <v>126</v>
      </c>
      <c r="Q603" s="503"/>
    </row>
    <row r="604" spans="1:17" x14ac:dyDescent="0.35">
      <c r="A604" s="497" t="b">
        <v>0</v>
      </c>
      <c r="B604" s="511">
        <f t="shared" si="74"/>
        <v>37</v>
      </c>
      <c r="C604" s="515" t="s">
        <v>9392</v>
      </c>
      <c r="D604" s="497" t="s">
        <v>5194</v>
      </c>
      <c r="E604" s="497">
        <f t="shared" si="75"/>
        <v>1</v>
      </c>
      <c r="F604" s="516">
        <v>22</v>
      </c>
      <c r="G604" s="497"/>
      <c r="H604" s="497">
        <f t="shared" ca="1" si="76"/>
        <v>51</v>
      </c>
      <c r="I604" s="512"/>
      <c r="J604" s="502"/>
      <c r="K604" s="500"/>
      <c r="L604" s="503"/>
      <c r="M604" s="514"/>
      <c r="N604" s="503"/>
      <c r="O604" s="497"/>
      <c r="P604" s="497">
        <f t="shared" si="77"/>
        <v>127</v>
      </c>
      <c r="Q604" s="503"/>
    </row>
    <row r="605" spans="1:17" x14ac:dyDescent="0.35">
      <c r="A605" s="497" t="b">
        <v>0</v>
      </c>
      <c r="B605" s="511">
        <f t="shared" si="74"/>
        <v>38</v>
      </c>
      <c r="C605" s="515" t="s">
        <v>9393</v>
      </c>
      <c r="D605" s="497" t="s">
        <v>5194</v>
      </c>
      <c r="E605" s="497">
        <f t="shared" si="75"/>
        <v>2</v>
      </c>
      <c r="F605" s="516">
        <v>22</v>
      </c>
      <c r="G605" s="497"/>
      <c r="H605" s="497">
        <f t="shared" ca="1" si="76"/>
        <v>51</v>
      </c>
      <c r="I605" s="512"/>
      <c r="J605" s="502"/>
      <c r="K605" s="500"/>
      <c r="L605" s="503"/>
      <c r="M605" s="514"/>
      <c r="N605" s="503"/>
      <c r="O605" s="497"/>
      <c r="P605" s="497">
        <f t="shared" si="77"/>
        <v>128</v>
      </c>
      <c r="Q605" s="503"/>
    </row>
    <row r="606" spans="1:17" x14ac:dyDescent="0.35">
      <c r="A606" s="497" t="b">
        <v>0</v>
      </c>
      <c r="B606" s="511">
        <f t="shared" ref="B606:B669" si="78">B605+1</f>
        <v>39</v>
      </c>
      <c r="C606" s="515" t="s">
        <v>9394</v>
      </c>
      <c r="D606" s="497" t="s">
        <v>5194</v>
      </c>
      <c r="E606" s="497">
        <f t="shared" ref="E606:E669" si="79">COUNTIF(F597:F606,F606)</f>
        <v>3</v>
      </c>
      <c r="F606" s="516">
        <v>22</v>
      </c>
      <c r="G606" s="497"/>
      <c r="H606" s="497">
        <f t="shared" ref="H606:H669" ca="1" si="80">IF(F606=1,9,IF(E605=MAX(E604:E606),H604+2,H605))</f>
        <v>51</v>
      </c>
      <c r="I606" s="512"/>
      <c r="J606" s="502"/>
      <c r="K606" s="500"/>
      <c r="L606" s="503"/>
      <c r="M606" s="514"/>
      <c r="N606" s="503"/>
      <c r="O606" s="497"/>
      <c r="P606" s="497">
        <f t="shared" ref="P606:P669" si="81">IF(NOT(_xlfn.ISFORMULA(I606)),P605+1,0)</f>
        <v>129</v>
      </c>
      <c r="Q606" s="503"/>
    </row>
    <row r="607" spans="1:17" x14ac:dyDescent="0.35">
      <c r="A607" s="497" t="b">
        <v>0</v>
      </c>
      <c r="B607" s="511">
        <f t="shared" si="78"/>
        <v>40</v>
      </c>
      <c r="C607" s="515" t="s">
        <v>9395</v>
      </c>
      <c r="D607" s="497" t="s">
        <v>5194</v>
      </c>
      <c r="E607" s="497">
        <f t="shared" si="79"/>
        <v>4</v>
      </c>
      <c r="F607" s="516">
        <v>22</v>
      </c>
      <c r="G607" s="497"/>
      <c r="H607" s="497">
        <f t="shared" ca="1" si="80"/>
        <v>51</v>
      </c>
      <c r="I607" s="512"/>
      <c r="J607" s="502"/>
      <c r="K607" s="500"/>
      <c r="L607" s="503"/>
      <c r="M607" s="514"/>
      <c r="N607" s="503"/>
      <c r="O607" s="497"/>
      <c r="P607" s="497">
        <f t="shared" si="81"/>
        <v>130</v>
      </c>
      <c r="Q607" s="503"/>
    </row>
    <row r="608" spans="1:17" x14ac:dyDescent="0.35">
      <c r="A608" s="497" t="b">
        <v>0</v>
      </c>
      <c r="B608" s="511">
        <f t="shared" si="78"/>
        <v>41</v>
      </c>
      <c r="C608" s="515" t="s">
        <v>9396</v>
      </c>
      <c r="D608" s="497" t="s">
        <v>5194</v>
      </c>
      <c r="E608" s="497">
        <f t="shared" si="79"/>
        <v>5</v>
      </c>
      <c r="F608" s="516">
        <v>22</v>
      </c>
      <c r="G608" s="497"/>
      <c r="H608" s="497">
        <f t="shared" ca="1" si="80"/>
        <v>51</v>
      </c>
      <c r="I608" s="512"/>
      <c r="J608" s="502"/>
      <c r="K608" s="500"/>
      <c r="L608" s="503"/>
      <c r="M608" s="514"/>
      <c r="N608" s="503"/>
      <c r="O608" s="497"/>
      <c r="P608" s="497">
        <f t="shared" si="81"/>
        <v>131</v>
      </c>
      <c r="Q608" s="503"/>
    </row>
    <row r="609" spans="1:17" x14ac:dyDescent="0.35">
      <c r="A609" s="497" t="b">
        <v>0</v>
      </c>
      <c r="B609" s="511">
        <f t="shared" si="78"/>
        <v>42</v>
      </c>
      <c r="C609" s="515" t="s">
        <v>9397</v>
      </c>
      <c r="D609" s="497" t="s">
        <v>5194</v>
      </c>
      <c r="E609" s="497">
        <f t="shared" si="79"/>
        <v>6</v>
      </c>
      <c r="F609" s="516">
        <v>22</v>
      </c>
      <c r="G609" s="497"/>
      <c r="H609" s="497">
        <f t="shared" ca="1" si="80"/>
        <v>51</v>
      </c>
      <c r="I609" s="512"/>
      <c r="J609" s="502"/>
      <c r="K609" s="500"/>
      <c r="L609" s="503"/>
      <c r="M609" s="514"/>
      <c r="N609" s="503"/>
      <c r="O609" s="497"/>
      <c r="P609" s="497">
        <f t="shared" si="81"/>
        <v>132</v>
      </c>
      <c r="Q609" s="503"/>
    </row>
    <row r="610" spans="1:17" x14ac:dyDescent="0.35">
      <c r="A610" s="497" t="b">
        <v>0</v>
      </c>
      <c r="B610" s="511">
        <f t="shared" si="78"/>
        <v>43</v>
      </c>
      <c r="C610" s="515" t="s">
        <v>9398</v>
      </c>
      <c r="D610" s="497" t="s">
        <v>4900</v>
      </c>
      <c r="E610" s="497">
        <f t="shared" si="79"/>
        <v>1</v>
      </c>
      <c r="F610" s="516">
        <v>23</v>
      </c>
      <c r="G610" s="497"/>
      <c r="H610" s="497">
        <f t="shared" ca="1" si="80"/>
        <v>53</v>
      </c>
      <c r="I610" s="512"/>
      <c r="J610" s="502"/>
      <c r="K610" s="500"/>
      <c r="L610" s="503"/>
      <c r="M610" s="514"/>
      <c r="N610" s="503"/>
      <c r="O610" s="497"/>
      <c r="P610" s="497">
        <f t="shared" si="81"/>
        <v>133</v>
      </c>
      <c r="Q610" s="503"/>
    </row>
    <row r="611" spans="1:17" x14ac:dyDescent="0.35">
      <c r="A611" s="497" t="b">
        <v>0</v>
      </c>
      <c r="B611" s="511">
        <f t="shared" si="78"/>
        <v>44</v>
      </c>
      <c r="C611" s="515" t="s">
        <v>9399</v>
      </c>
      <c r="D611" s="497" t="s">
        <v>4900</v>
      </c>
      <c r="E611" s="497">
        <f t="shared" si="79"/>
        <v>2</v>
      </c>
      <c r="F611" s="516">
        <v>23</v>
      </c>
      <c r="G611" s="497"/>
      <c r="H611" s="497">
        <f t="shared" ca="1" si="80"/>
        <v>53</v>
      </c>
      <c r="I611" s="512"/>
      <c r="J611" s="502"/>
      <c r="K611" s="500"/>
      <c r="L611" s="503"/>
      <c r="M611" s="514"/>
      <c r="N611" s="503"/>
      <c r="O611" s="497"/>
      <c r="P611" s="497">
        <f t="shared" si="81"/>
        <v>134</v>
      </c>
      <c r="Q611" s="503"/>
    </row>
    <row r="612" spans="1:17" x14ac:dyDescent="0.35">
      <c r="A612" s="497" t="b">
        <v>0</v>
      </c>
      <c r="B612" s="511">
        <f t="shared" si="78"/>
        <v>45</v>
      </c>
      <c r="C612" s="515" t="s">
        <v>9400</v>
      </c>
      <c r="D612" s="497" t="s">
        <v>4900</v>
      </c>
      <c r="E612" s="497">
        <f t="shared" si="79"/>
        <v>3</v>
      </c>
      <c r="F612" s="516">
        <v>23</v>
      </c>
      <c r="G612" s="497"/>
      <c r="H612" s="497">
        <f t="shared" ca="1" si="80"/>
        <v>53</v>
      </c>
      <c r="I612" s="512"/>
      <c r="J612" s="502"/>
      <c r="K612" s="500"/>
      <c r="L612" s="503"/>
      <c r="M612" s="514"/>
      <c r="N612" s="503"/>
      <c r="O612" s="497"/>
      <c r="P612" s="497">
        <f t="shared" si="81"/>
        <v>135</v>
      </c>
      <c r="Q612" s="503"/>
    </row>
    <row r="613" spans="1:17" x14ac:dyDescent="0.35">
      <c r="A613" s="497" t="b">
        <v>0</v>
      </c>
      <c r="B613" s="511">
        <f t="shared" si="78"/>
        <v>46</v>
      </c>
      <c r="C613" s="515" t="s">
        <v>9401</v>
      </c>
      <c r="D613" s="497" t="s">
        <v>4900</v>
      </c>
      <c r="E613" s="497">
        <f t="shared" si="79"/>
        <v>4</v>
      </c>
      <c r="F613" s="516">
        <v>23</v>
      </c>
      <c r="G613" s="497"/>
      <c r="H613" s="497">
        <f t="shared" ca="1" si="80"/>
        <v>53</v>
      </c>
      <c r="I613" s="512"/>
      <c r="J613" s="502"/>
      <c r="K613" s="500"/>
      <c r="L613" s="503"/>
      <c r="M613" s="514"/>
      <c r="N613" s="503"/>
      <c r="O613" s="497"/>
      <c r="P613" s="497">
        <f t="shared" si="81"/>
        <v>136</v>
      </c>
      <c r="Q613" s="503"/>
    </row>
    <row r="614" spans="1:17" x14ac:dyDescent="0.35">
      <c r="A614" s="497" t="b">
        <v>0</v>
      </c>
      <c r="B614" s="511">
        <f t="shared" si="78"/>
        <v>47</v>
      </c>
      <c r="C614" s="515" t="s">
        <v>9402</v>
      </c>
      <c r="D614" s="497" t="s">
        <v>4900</v>
      </c>
      <c r="E614" s="497">
        <f t="shared" si="79"/>
        <v>5</v>
      </c>
      <c r="F614" s="516">
        <v>23</v>
      </c>
      <c r="G614" s="497"/>
      <c r="H614" s="497">
        <f t="shared" ca="1" si="80"/>
        <v>53</v>
      </c>
      <c r="I614" s="512"/>
      <c r="J614" s="502"/>
      <c r="K614" s="500"/>
      <c r="L614" s="503"/>
      <c r="M614" s="514"/>
      <c r="N614" s="503"/>
      <c r="O614" s="497"/>
      <c r="P614" s="497">
        <f t="shared" si="81"/>
        <v>137</v>
      </c>
      <c r="Q614" s="503"/>
    </row>
    <row r="615" spans="1:17" x14ac:dyDescent="0.35">
      <c r="A615" s="497" t="b">
        <v>0</v>
      </c>
      <c r="B615" s="511">
        <f t="shared" si="78"/>
        <v>48</v>
      </c>
      <c r="C615" s="515" t="s">
        <v>9403</v>
      </c>
      <c r="D615" s="497" t="s">
        <v>4900</v>
      </c>
      <c r="E615" s="497">
        <f t="shared" si="79"/>
        <v>6</v>
      </c>
      <c r="F615" s="516">
        <v>23</v>
      </c>
      <c r="G615" s="497"/>
      <c r="H615" s="497">
        <f t="shared" ca="1" si="80"/>
        <v>53</v>
      </c>
      <c r="I615" s="512"/>
      <c r="J615" s="502"/>
      <c r="K615" s="500"/>
      <c r="L615" s="503"/>
      <c r="M615" s="514"/>
      <c r="N615" s="503"/>
      <c r="O615" s="497"/>
      <c r="P615" s="497">
        <f t="shared" si="81"/>
        <v>138</v>
      </c>
      <c r="Q615" s="503"/>
    </row>
    <row r="616" spans="1:17" x14ac:dyDescent="0.35">
      <c r="A616" s="497" t="b">
        <v>0</v>
      </c>
      <c r="B616" s="511">
        <f t="shared" si="78"/>
        <v>49</v>
      </c>
      <c r="C616" s="515" t="s">
        <v>9404</v>
      </c>
      <c r="D616" s="497" t="s">
        <v>5215</v>
      </c>
      <c r="E616" s="497">
        <f t="shared" si="79"/>
        <v>1</v>
      </c>
      <c r="F616" s="516">
        <v>24</v>
      </c>
      <c r="G616" s="497"/>
      <c r="H616" s="497">
        <f t="shared" ca="1" si="80"/>
        <v>55</v>
      </c>
      <c r="I616" s="512"/>
      <c r="J616" s="502"/>
      <c r="K616" s="500"/>
      <c r="L616" s="503"/>
      <c r="M616" s="514"/>
      <c r="N616" s="503"/>
      <c r="O616" s="497"/>
      <c r="P616" s="497">
        <f t="shared" si="81"/>
        <v>139</v>
      </c>
      <c r="Q616" s="503"/>
    </row>
    <row r="617" spans="1:17" x14ac:dyDescent="0.35">
      <c r="A617" s="497" t="b">
        <v>0</v>
      </c>
      <c r="B617" s="511">
        <f t="shared" si="78"/>
        <v>50</v>
      </c>
      <c r="C617" s="515" t="s">
        <v>9405</v>
      </c>
      <c r="D617" s="497" t="s">
        <v>5215</v>
      </c>
      <c r="E617" s="497">
        <f t="shared" si="79"/>
        <v>2</v>
      </c>
      <c r="F617" s="516">
        <v>24</v>
      </c>
      <c r="G617" s="497"/>
      <c r="H617" s="497">
        <f t="shared" ca="1" si="80"/>
        <v>55</v>
      </c>
      <c r="I617" s="512"/>
      <c r="J617" s="502"/>
      <c r="K617" s="500"/>
      <c r="L617" s="503"/>
      <c r="M617" s="514"/>
      <c r="N617" s="503"/>
      <c r="O617" s="497"/>
      <c r="P617" s="497">
        <f t="shared" si="81"/>
        <v>140</v>
      </c>
      <c r="Q617" s="503"/>
    </row>
    <row r="618" spans="1:17" x14ac:dyDescent="0.35">
      <c r="A618" s="497" t="b">
        <v>0</v>
      </c>
      <c r="B618" s="511">
        <f t="shared" si="78"/>
        <v>51</v>
      </c>
      <c r="C618" s="515" t="s">
        <v>9406</v>
      </c>
      <c r="D618" s="497" t="s">
        <v>5215</v>
      </c>
      <c r="E618" s="497">
        <f t="shared" si="79"/>
        <v>3</v>
      </c>
      <c r="F618" s="516">
        <v>24</v>
      </c>
      <c r="G618" s="497"/>
      <c r="H618" s="497">
        <f t="shared" ca="1" si="80"/>
        <v>55</v>
      </c>
      <c r="I618" s="512"/>
      <c r="J618" s="502"/>
      <c r="K618" s="500"/>
      <c r="L618" s="503"/>
      <c r="M618" s="514"/>
      <c r="N618" s="503"/>
      <c r="O618" s="497"/>
      <c r="P618" s="497">
        <f t="shared" si="81"/>
        <v>141</v>
      </c>
      <c r="Q618" s="503"/>
    </row>
    <row r="619" spans="1:17" x14ac:dyDescent="0.35">
      <c r="A619" s="497" t="b">
        <v>0</v>
      </c>
      <c r="B619" s="511">
        <f t="shared" si="78"/>
        <v>52</v>
      </c>
      <c r="C619" s="515" t="s">
        <v>9407</v>
      </c>
      <c r="D619" s="497" t="s">
        <v>5215</v>
      </c>
      <c r="E619" s="497">
        <f t="shared" si="79"/>
        <v>4</v>
      </c>
      <c r="F619" s="516">
        <v>24</v>
      </c>
      <c r="G619" s="497"/>
      <c r="H619" s="497">
        <f t="shared" ca="1" si="80"/>
        <v>55</v>
      </c>
      <c r="I619" s="512"/>
      <c r="J619" s="502"/>
      <c r="K619" s="500"/>
      <c r="L619" s="503"/>
      <c r="M619" s="514"/>
      <c r="N619" s="503"/>
      <c r="O619" s="497"/>
      <c r="P619" s="497">
        <f t="shared" si="81"/>
        <v>142</v>
      </c>
      <c r="Q619" s="503"/>
    </row>
    <row r="620" spans="1:17" x14ac:dyDescent="0.35">
      <c r="A620" s="497" t="b">
        <v>0</v>
      </c>
      <c r="B620" s="511">
        <f t="shared" si="78"/>
        <v>53</v>
      </c>
      <c r="C620" s="515" t="s">
        <v>9408</v>
      </c>
      <c r="D620" s="497" t="s">
        <v>5215</v>
      </c>
      <c r="E620" s="497">
        <f t="shared" si="79"/>
        <v>5</v>
      </c>
      <c r="F620" s="516">
        <v>24</v>
      </c>
      <c r="G620" s="497"/>
      <c r="H620" s="497">
        <f t="shared" ca="1" si="80"/>
        <v>55</v>
      </c>
      <c r="I620" s="512"/>
      <c r="J620" s="502"/>
      <c r="K620" s="500"/>
      <c r="L620" s="503"/>
      <c r="M620" s="514"/>
      <c r="N620" s="503"/>
      <c r="O620" s="497"/>
      <c r="P620" s="497">
        <f t="shared" si="81"/>
        <v>143</v>
      </c>
      <c r="Q620" s="503"/>
    </row>
    <row r="621" spans="1:17" x14ac:dyDescent="0.35">
      <c r="A621" s="497" t="b">
        <v>0</v>
      </c>
      <c r="B621" s="511">
        <f t="shared" si="78"/>
        <v>54</v>
      </c>
      <c r="C621" s="515" t="s">
        <v>9409</v>
      </c>
      <c r="D621" s="497" t="s">
        <v>5215</v>
      </c>
      <c r="E621" s="497">
        <f t="shared" si="79"/>
        <v>6</v>
      </c>
      <c r="F621" s="516">
        <v>24</v>
      </c>
      <c r="G621" s="497"/>
      <c r="H621" s="497">
        <f t="shared" ca="1" si="80"/>
        <v>55</v>
      </c>
      <c r="I621" s="512"/>
      <c r="J621" s="502"/>
      <c r="K621" s="500"/>
      <c r="L621" s="503"/>
      <c r="M621" s="514"/>
      <c r="N621" s="503"/>
      <c r="O621" s="497"/>
      <c r="P621" s="497">
        <f t="shared" si="81"/>
        <v>144</v>
      </c>
      <c r="Q621" s="503"/>
    </row>
    <row r="622" spans="1:17" x14ac:dyDescent="0.35">
      <c r="A622" s="497" t="b">
        <v>0</v>
      </c>
      <c r="B622" s="511">
        <f t="shared" si="78"/>
        <v>55</v>
      </c>
      <c r="C622" s="515" t="s">
        <v>9410</v>
      </c>
      <c r="D622" s="497" t="s">
        <v>4921</v>
      </c>
      <c r="E622" s="497">
        <f t="shared" si="79"/>
        <v>1</v>
      </c>
      <c r="F622" s="516">
        <v>25</v>
      </c>
      <c r="G622" s="497"/>
      <c r="H622" s="497">
        <f t="shared" ca="1" si="80"/>
        <v>57</v>
      </c>
      <c r="I622" s="512"/>
      <c r="J622" s="502"/>
      <c r="K622" s="500"/>
      <c r="L622" s="503"/>
      <c r="M622" s="514"/>
      <c r="N622" s="503"/>
      <c r="O622" s="497"/>
      <c r="P622" s="497">
        <f t="shared" si="81"/>
        <v>145</v>
      </c>
      <c r="Q622" s="503"/>
    </row>
    <row r="623" spans="1:17" x14ac:dyDescent="0.35">
      <c r="A623" s="497" t="b">
        <v>0</v>
      </c>
      <c r="B623" s="511">
        <f t="shared" si="78"/>
        <v>56</v>
      </c>
      <c r="C623" s="515" t="s">
        <v>9411</v>
      </c>
      <c r="D623" s="497" t="s">
        <v>4921</v>
      </c>
      <c r="E623" s="497">
        <f t="shared" si="79"/>
        <v>2</v>
      </c>
      <c r="F623" s="516">
        <v>25</v>
      </c>
      <c r="G623" s="497"/>
      <c r="H623" s="497">
        <f t="shared" ca="1" si="80"/>
        <v>57</v>
      </c>
      <c r="I623" s="512"/>
      <c r="J623" s="502"/>
      <c r="K623" s="500"/>
      <c r="L623" s="503"/>
      <c r="M623" s="514"/>
      <c r="N623" s="503"/>
      <c r="O623" s="497"/>
      <c r="P623" s="497">
        <f t="shared" si="81"/>
        <v>146</v>
      </c>
      <c r="Q623" s="503"/>
    </row>
    <row r="624" spans="1:17" x14ac:dyDescent="0.35">
      <c r="A624" s="497" t="b">
        <v>0</v>
      </c>
      <c r="B624" s="511">
        <f t="shared" si="78"/>
        <v>57</v>
      </c>
      <c r="C624" s="515" t="s">
        <v>9412</v>
      </c>
      <c r="D624" s="497" t="s">
        <v>4921</v>
      </c>
      <c r="E624" s="497">
        <f t="shared" si="79"/>
        <v>3</v>
      </c>
      <c r="F624" s="516">
        <v>25</v>
      </c>
      <c r="G624" s="497"/>
      <c r="H624" s="497">
        <f t="shared" ca="1" si="80"/>
        <v>57</v>
      </c>
      <c r="I624" s="512"/>
      <c r="J624" s="502"/>
      <c r="K624" s="500"/>
      <c r="L624" s="503"/>
      <c r="M624" s="514"/>
      <c r="N624" s="503"/>
      <c r="O624" s="497"/>
      <c r="P624" s="497">
        <f t="shared" si="81"/>
        <v>147</v>
      </c>
      <c r="Q624" s="503"/>
    </row>
    <row r="625" spans="1:17" x14ac:dyDescent="0.35">
      <c r="A625" s="497" t="b">
        <v>0</v>
      </c>
      <c r="B625" s="511">
        <f t="shared" si="78"/>
        <v>58</v>
      </c>
      <c r="C625" s="515" t="s">
        <v>9413</v>
      </c>
      <c r="D625" s="497" t="s">
        <v>4921</v>
      </c>
      <c r="E625" s="497">
        <f t="shared" si="79"/>
        <v>4</v>
      </c>
      <c r="F625" s="516">
        <v>25</v>
      </c>
      <c r="G625" s="497"/>
      <c r="H625" s="497">
        <f t="shared" ca="1" si="80"/>
        <v>57</v>
      </c>
      <c r="I625" s="512"/>
      <c r="J625" s="502"/>
      <c r="K625" s="500"/>
      <c r="L625" s="503"/>
      <c r="M625" s="514"/>
      <c r="N625" s="503"/>
      <c r="O625" s="497"/>
      <c r="P625" s="497">
        <f t="shared" si="81"/>
        <v>148</v>
      </c>
      <c r="Q625" s="503"/>
    </row>
    <row r="626" spans="1:17" x14ac:dyDescent="0.35">
      <c r="A626" s="497" t="b">
        <v>0</v>
      </c>
      <c r="B626" s="511">
        <f t="shared" si="78"/>
        <v>59</v>
      </c>
      <c r="C626" s="515" t="s">
        <v>9414</v>
      </c>
      <c r="D626" s="497" t="s">
        <v>4921</v>
      </c>
      <c r="E626" s="497">
        <f t="shared" si="79"/>
        <v>5</v>
      </c>
      <c r="F626" s="516">
        <v>25</v>
      </c>
      <c r="G626" s="497"/>
      <c r="H626" s="497">
        <f t="shared" ca="1" si="80"/>
        <v>57</v>
      </c>
      <c r="I626" s="512"/>
      <c r="J626" s="502"/>
      <c r="K626" s="500"/>
      <c r="L626" s="503"/>
      <c r="M626" s="514"/>
      <c r="N626" s="503"/>
      <c r="O626" s="497"/>
      <c r="P626" s="497">
        <f t="shared" si="81"/>
        <v>149</v>
      </c>
      <c r="Q626" s="503"/>
    </row>
    <row r="627" spans="1:17" x14ac:dyDescent="0.35">
      <c r="A627" s="497" t="b">
        <v>0</v>
      </c>
      <c r="B627" s="511">
        <f t="shared" si="78"/>
        <v>60</v>
      </c>
      <c r="C627" s="515" t="s">
        <v>9415</v>
      </c>
      <c r="D627" s="497" t="s">
        <v>4921</v>
      </c>
      <c r="E627" s="497">
        <f t="shared" si="79"/>
        <v>6</v>
      </c>
      <c r="F627" s="516">
        <v>25</v>
      </c>
      <c r="G627" s="497"/>
      <c r="H627" s="497">
        <f t="shared" ca="1" si="80"/>
        <v>57</v>
      </c>
      <c r="I627" s="512"/>
      <c r="J627" s="502"/>
      <c r="K627" s="500"/>
      <c r="L627" s="503"/>
      <c r="M627" s="514"/>
      <c r="N627" s="503"/>
      <c r="O627" s="497"/>
      <c r="P627" s="497">
        <f t="shared" si="81"/>
        <v>150</v>
      </c>
      <c r="Q627" s="503"/>
    </row>
    <row r="628" spans="1:17" x14ac:dyDescent="0.35">
      <c r="A628" s="497" t="b">
        <v>0</v>
      </c>
      <c r="B628" s="511">
        <f t="shared" si="78"/>
        <v>61</v>
      </c>
      <c r="C628" s="515" t="s">
        <v>9416</v>
      </c>
      <c r="D628" s="497" t="s">
        <v>5236</v>
      </c>
      <c r="E628" s="497">
        <f t="shared" si="79"/>
        <v>1</v>
      </c>
      <c r="F628" s="516">
        <v>26</v>
      </c>
      <c r="G628" s="497"/>
      <c r="H628" s="497">
        <f t="shared" ca="1" si="80"/>
        <v>59</v>
      </c>
      <c r="I628" s="512"/>
      <c r="J628" s="502"/>
      <c r="K628" s="500"/>
      <c r="L628" s="503"/>
      <c r="M628" s="514"/>
      <c r="N628" s="503"/>
      <c r="O628" s="497"/>
      <c r="P628" s="497">
        <f t="shared" si="81"/>
        <v>151</v>
      </c>
      <c r="Q628" s="503"/>
    </row>
    <row r="629" spans="1:17" x14ac:dyDescent="0.35">
      <c r="A629" s="497" t="b">
        <v>0</v>
      </c>
      <c r="B629" s="511">
        <f t="shared" si="78"/>
        <v>62</v>
      </c>
      <c r="C629" s="515" t="s">
        <v>9417</v>
      </c>
      <c r="D629" s="497" t="s">
        <v>5236</v>
      </c>
      <c r="E629" s="497">
        <f t="shared" si="79"/>
        <v>2</v>
      </c>
      <c r="F629" s="516">
        <v>26</v>
      </c>
      <c r="G629" s="497"/>
      <c r="H629" s="497">
        <f t="shared" ca="1" si="80"/>
        <v>59</v>
      </c>
      <c r="I629" s="512"/>
      <c r="J629" s="502"/>
      <c r="K629" s="500"/>
      <c r="L629" s="503"/>
      <c r="M629" s="514"/>
      <c r="N629" s="503"/>
      <c r="O629" s="497"/>
      <c r="P629" s="497">
        <f t="shared" si="81"/>
        <v>152</v>
      </c>
      <c r="Q629" s="503"/>
    </row>
    <row r="630" spans="1:17" x14ac:dyDescent="0.35">
      <c r="A630" s="497" t="b">
        <v>0</v>
      </c>
      <c r="B630" s="511">
        <f t="shared" si="78"/>
        <v>63</v>
      </c>
      <c r="C630" s="515" t="s">
        <v>9418</v>
      </c>
      <c r="D630" s="497" t="s">
        <v>5236</v>
      </c>
      <c r="E630" s="497">
        <f t="shared" si="79"/>
        <v>3</v>
      </c>
      <c r="F630" s="516">
        <v>26</v>
      </c>
      <c r="G630" s="497"/>
      <c r="H630" s="497">
        <f t="shared" ca="1" si="80"/>
        <v>59</v>
      </c>
      <c r="I630" s="512"/>
      <c r="J630" s="502"/>
      <c r="K630" s="500"/>
      <c r="L630" s="503"/>
      <c r="M630" s="514"/>
      <c r="N630" s="503"/>
      <c r="O630" s="497"/>
      <c r="P630" s="497">
        <f t="shared" si="81"/>
        <v>153</v>
      </c>
      <c r="Q630" s="503"/>
    </row>
    <row r="631" spans="1:17" x14ac:dyDescent="0.35">
      <c r="A631" s="497" t="b">
        <v>0</v>
      </c>
      <c r="B631" s="511">
        <f t="shared" si="78"/>
        <v>64</v>
      </c>
      <c r="C631" s="515" t="s">
        <v>9419</v>
      </c>
      <c r="D631" s="497" t="s">
        <v>5236</v>
      </c>
      <c r="E631" s="497">
        <f t="shared" si="79"/>
        <v>4</v>
      </c>
      <c r="F631" s="516">
        <v>26</v>
      </c>
      <c r="G631" s="497"/>
      <c r="H631" s="497">
        <f t="shared" ca="1" si="80"/>
        <v>59</v>
      </c>
      <c r="I631" s="512"/>
      <c r="J631" s="502"/>
      <c r="K631" s="500"/>
      <c r="L631" s="503"/>
      <c r="M631" s="514"/>
      <c r="N631" s="503"/>
      <c r="O631" s="497"/>
      <c r="P631" s="497">
        <f t="shared" si="81"/>
        <v>154</v>
      </c>
      <c r="Q631" s="503"/>
    </row>
    <row r="632" spans="1:17" x14ac:dyDescent="0.35">
      <c r="A632" s="497" t="b">
        <v>0</v>
      </c>
      <c r="B632" s="511">
        <f t="shared" si="78"/>
        <v>65</v>
      </c>
      <c r="C632" s="515" t="s">
        <v>9420</v>
      </c>
      <c r="D632" s="497" t="s">
        <v>5236</v>
      </c>
      <c r="E632" s="497">
        <f t="shared" si="79"/>
        <v>5</v>
      </c>
      <c r="F632" s="516">
        <v>26</v>
      </c>
      <c r="G632" s="497"/>
      <c r="H632" s="497">
        <f t="shared" ca="1" si="80"/>
        <v>59</v>
      </c>
      <c r="I632" s="512"/>
      <c r="J632" s="502"/>
      <c r="K632" s="500"/>
      <c r="L632" s="503"/>
      <c r="M632" s="514"/>
      <c r="N632" s="503"/>
      <c r="O632" s="497"/>
      <c r="P632" s="497">
        <f t="shared" si="81"/>
        <v>155</v>
      </c>
      <c r="Q632" s="503"/>
    </row>
    <row r="633" spans="1:17" x14ac:dyDescent="0.35">
      <c r="A633" s="497" t="b">
        <v>0</v>
      </c>
      <c r="B633" s="511">
        <f t="shared" si="78"/>
        <v>66</v>
      </c>
      <c r="C633" s="515" t="s">
        <v>9421</v>
      </c>
      <c r="D633" s="497" t="s">
        <v>5236</v>
      </c>
      <c r="E633" s="497">
        <f t="shared" si="79"/>
        <v>6</v>
      </c>
      <c r="F633" s="516">
        <v>26</v>
      </c>
      <c r="G633" s="497"/>
      <c r="H633" s="497">
        <f t="shared" ca="1" si="80"/>
        <v>59</v>
      </c>
      <c r="I633" s="512"/>
      <c r="J633" s="502"/>
      <c r="K633" s="500"/>
      <c r="L633" s="503"/>
      <c r="M633" s="514"/>
      <c r="N633" s="503"/>
      <c r="O633" s="497"/>
      <c r="P633" s="497">
        <f t="shared" si="81"/>
        <v>156</v>
      </c>
      <c r="Q633" s="503"/>
    </row>
    <row r="634" spans="1:17" x14ac:dyDescent="0.35">
      <c r="A634" s="497" t="b">
        <v>0</v>
      </c>
      <c r="B634" s="511">
        <f t="shared" si="78"/>
        <v>67</v>
      </c>
      <c r="C634" s="515" t="s">
        <v>9422</v>
      </c>
      <c r="D634" s="497" t="s">
        <v>4942</v>
      </c>
      <c r="E634" s="497">
        <f t="shared" si="79"/>
        <v>1</v>
      </c>
      <c r="F634" s="516">
        <v>27</v>
      </c>
      <c r="G634" s="497"/>
      <c r="H634" s="497">
        <f t="shared" ca="1" si="80"/>
        <v>61</v>
      </c>
      <c r="I634" s="512"/>
      <c r="J634" s="502"/>
      <c r="K634" s="500"/>
      <c r="L634" s="503"/>
      <c r="M634" s="514"/>
      <c r="N634" s="503"/>
      <c r="O634" s="497"/>
      <c r="P634" s="497">
        <f t="shared" si="81"/>
        <v>157</v>
      </c>
      <c r="Q634" s="503"/>
    </row>
    <row r="635" spans="1:17" x14ac:dyDescent="0.35">
      <c r="A635" s="497" t="b">
        <v>0</v>
      </c>
      <c r="B635" s="511">
        <f t="shared" si="78"/>
        <v>68</v>
      </c>
      <c r="C635" s="515" t="s">
        <v>9423</v>
      </c>
      <c r="D635" s="497" t="s">
        <v>4942</v>
      </c>
      <c r="E635" s="497">
        <f t="shared" si="79"/>
        <v>2</v>
      </c>
      <c r="F635" s="516">
        <v>27</v>
      </c>
      <c r="G635" s="497"/>
      <c r="H635" s="497">
        <f t="shared" ca="1" si="80"/>
        <v>61</v>
      </c>
      <c r="I635" s="512"/>
      <c r="J635" s="502"/>
      <c r="K635" s="500"/>
      <c r="L635" s="503"/>
      <c r="M635" s="514"/>
      <c r="N635" s="503"/>
      <c r="O635" s="497"/>
      <c r="P635" s="497">
        <f t="shared" si="81"/>
        <v>158</v>
      </c>
      <c r="Q635" s="503"/>
    </row>
    <row r="636" spans="1:17" x14ac:dyDescent="0.35">
      <c r="A636" s="497" t="b">
        <v>0</v>
      </c>
      <c r="B636" s="511">
        <f t="shared" si="78"/>
        <v>69</v>
      </c>
      <c r="C636" s="515" t="s">
        <v>9424</v>
      </c>
      <c r="D636" s="497" t="s">
        <v>4942</v>
      </c>
      <c r="E636" s="497">
        <f t="shared" si="79"/>
        <v>3</v>
      </c>
      <c r="F636" s="516">
        <v>27</v>
      </c>
      <c r="G636" s="497"/>
      <c r="H636" s="497">
        <f t="shared" ca="1" si="80"/>
        <v>61</v>
      </c>
      <c r="I636" s="512"/>
      <c r="J636" s="502"/>
      <c r="K636" s="500"/>
      <c r="L636" s="503"/>
      <c r="M636" s="514"/>
      <c r="N636" s="503"/>
      <c r="O636" s="497"/>
      <c r="P636" s="497">
        <f t="shared" si="81"/>
        <v>159</v>
      </c>
      <c r="Q636" s="503"/>
    </row>
    <row r="637" spans="1:17" x14ac:dyDescent="0.35">
      <c r="A637" s="497" t="b">
        <v>0</v>
      </c>
      <c r="B637" s="511">
        <f t="shared" si="78"/>
        <v>70</v>
      </c>
      <c r="C637" s="515" t="s">
        <v>9425</v>
      </c>
      <c r="D637" s="497" t="s">
        <v>4942</v>
      </c>
      <c r="E637" s="497">
        <f t="shared" si="79"/>
        <v>4</v>
      </c>
      <c r="F637" s="516">
        <v>27</v>
      </c>
      <c r="G637" s="497"/>
      <c r="H637" s="497">
        <f t="shared" ca="1" si="80"/>
        <v>61</v>
      </c>
      <c r="I637" s="512"/>
      <c r="J637" s="502"/>
      <c r="K637" s="500"/>
      <c r="L637" s="503"/>
      <c r="M637" s="514"/>
      <c r="N637" s="503"/>
      <c r="O637" s="497"/>
      <c r="P637" s="497">
        <f t="shared" si="81"/>
        <v>160</v>
      </c>
      <c r="Q637" s="503"/>
    </row>
    <row r="638" spans="1:17" x14ac:dyDescent="0.35">
      <c r="A638" s="497" t="b">
        <v>0</v>
      </c>
      <c r="B638" s="511">
        <f t="shared" si="78"/>
        <v>71</v>
      </c>
      <c r="C638" s="515" t="s">
        <v>9426</v>
      </c>
      <c r="D638" s="497" t="s">
        <v>4942</v>
      </c>
      <c r="E638" s="497">
        <f t="shared" si="79"/>
        <v>5</v>
      </c>
      <c r="F638" s="516">
        <v>27</v>
      </c>
      <c r="G638" s="497"/>
      <c r="H638" s="497">
        <f t="shared" ca="1" si="80"/>
        <v>61</v>
      </c>
      <c r="I638" s="512"/>
      <c r="J638" s="502"/>
      <c r="K638" s="500"/>
      <c r="L638" s="503"/>
      <c r="M638" s="514"/>
      <c r="N638" s="503"/>
      <c r="O638" s="497"/>
      <c r="P638" s="497">
        <f t="shared" si="81"/>
        <v>161</v>
      </c>
      <c r="Q638" s="503"/>
    </row>
    <row r="639" spans="1:17" x14ac:dyDescent="0.35">
      <c r="A639" s="497" t="b">
        <v>0</v>
      </c>
      <c r="B639" s="511">
        <f t="shared" si="78"/>
        <v>72</v>
      </c>
      <c r="C639" s="515" t="s">
        <v>9427</v>
      </c>
      <c r="D639" s="497" t="s">
        <v>4942</v>
      </c>
      <c r="E639" s="497">
        <f t="shared" si="79"/>
        <v>6</v>
      </c>
      <c r="F639" s="516">
        <v>27</v>
      </c>
      <c r="G639" s="497"/>
      <c r="H639" s="497">
        <f t="shared" ca="1" si="80"/>
        <v>61</v>
      </c>
      <c r="I639" s="512"/>
      <c r="J639" s="502"/>
      <c r="K639" s="500"/>
      <c r="L639" s="503"/>
      <c r="M639" s="514"/>
      <c r="N639" s="503"/>
      <c r="O639" s="497"/>
      <c r="P639" s="497">
        <f t="shared" si="81"/>
        <v>162</v>
      </c>
      <c r="Q639" s="503"/>
    </row>
    <row r="640" spans="1:17" x14ac:dyDescent="0.35">
      <c r="A640" s="497" t="b">
        <v>0</v>
      </c>
      <c r="B640" s="511">
        <f t="shared" si="78"/>
        <v>73</v>
      </c>
      <c r="C640" s="515" t="s">
        <v>9428</v>
      </c>
      <c r="D640" s="497" t="s">
        <v>5257</v>
      </c>
      <c r="E640" s="497">
        <f t="shared" si="79"/>
        <v>1</v>
      </c>
      <c r="F640" s="516">
        <v>28</v>
      </c>
      <c r="G640" s="497"/>
      <c r="H640" s="497">
        <f t="shared" ca="1" si="80"/>
        <v>63</v>
      </c>
      <c r="I640" s="512"/>
      <c r="J640" s="502"/>
      <c r="K640" s="500"/>
      <c r="L640" s="503"/>
      <c r="M640" s="514"/>
      <c r="N640" s="503"/>
      <c r="O640" s="497"/>
      <c r="P640" s="497">
        <f t="shared" si="81"/>
        <v>163</v>
      </c>
      <c r="Q640" s="503"/>
    </row>
    <row r="641" spans="1:17" x14ac:dyDescent="0.35">
      <c r="A641" s="497" t="b">
        <v>0</v>
      </c>
      <c r="B641" s="511">
        <f t="shared" si="78"/>
        <v>74</v>
      </c>
      <c r="C641" s="515" t="s">
        <v>9429</v>
      </c>
      <c r="D641" s="497" t="s">
        <v>5257</v>
      </c>
      <c r="E641" s="497">
        <f t="shared" si="79"/>
        <v>2</v>
      </c>
      <c r="F641" s="516">
        <v>28</v>
      </c>
      <c r="G641" s="497"/>
      <c r="H641" s="497">
        <f t="shared" ca="1" si="80"/>
        <v>63</v>
      </c>
      <c r="I641" s="512"/>
      <c r="J641" s="502"/>
      <c r="K641" s="500"/>
      <c r="L641" s="503"/>
      <c r="M641" s="514"/>
      <c r="N641" s="503"/>
      <c r="O641" s="497"/>
      <c r="P641" s="497">
        <f t="shared" si="81"/>
        <v>164</v>
      </c>
      <c r="Q641" s="503"/>
    </row>
    <row r="642" spans="1:17" x14ac:dyDescent="0.35">
      <c r="A642" s="497" t="b">
        <v>0</v>
      </c>
      <c r="B642" s="511">
        <f t="shared" si="78"/>
        <v>75</v>
      </c>
      <c r="C642" s="515" t="s">
        <v>9430</v>
      </c>
      <c r="D642" s="497" t="s">
        <v>5257</v>
      </c>
      <c r="E642" s="497">
        <f t="shared" si="79"/>
        <v>3</v>
      </c>
      <c r="F642" s="516">
        <v>28</v>
      </c>
      <c r="G642" s="497"/>
      <c r="H642" s="497">
        <f t="shared" ca="1" si="80"/>
        <v>63</v>
      </c>
      <c r="I642" s="512"/>
      <c r="J642" s="502"/>
      <c r="K642" s="500"/>
      <c r="L642" s="503"/>
      <c r="M642" s="514"/>
      <c r="N642" s="503"/>
      <c r="O642" s="497"/>
      <c r="P642" s="497">
        <f t="shared" si="81"/>
        <v>165</v>
      </c>
      <c r="Q642" s="503"/>
    </row>
    <row r="643" spans="1:17" x14ac:dyDescent="0.35">
      <c r="A643" s="497" t="b">
        <v>0</v>
      </c>
      <c r="B643" s="511">
        <f t="shared" si="78"/>
        <v>76</v>
      </c>
      <c r="C643" s="515" t="s">
        <v>9431</v>
      </c>
      <c r="D643" s="497" t="s">
        <v>5257</v>
      </c>
      <c r="E643" s="497">
        <f t="shared" si="79"/>
        <v>4</v>
      </c>
      <c r="F643" s="516">
        <v>28</v>
      </c>
      <c r="G643" s="497"/>
      <c r="H643" s="497">
        <f t="shared" ca="1" si="80"/>
        <v>63</v>
      </c>
      <c r="I643" s="512"/>
      <c r="J643" s="502"/>
      <c r="K643" s="500"/>
      <c r="L643" s="503"/>
      <c r="M643" s="514"/>
      <c r="N643" s="503"/>
      <c r="O643" s="497"/>
      <c r="P643" s="497">
        <f t="shared" si="81"/>
        <v>166</v>
      </c>
      <c r="Q643" s="503"/>
    </row>
    <row r="644" spans="1:17" x14ac:dyDescent="0.35">
      <c r="A644" s="497" t="b">
        <v>0</v>
      </c>
      <c r="B644" s="511">
        <f t="shared" si="78"/>
        <v>77</v>
      </c>
      <c r="C644" s="515" t="s">
        <v>9432</v>
      </c>
      <c r="D644" s="497" t="s">
        <v>5257</v>
      </c>
      <c r="E644" s="497">
        <f t="shared" si="79"/>
        <v>5</v>
      </c>
      <c r="F644" s="516">
        <v>28</v>
      </c>
      <c r="G644" s="497"/>
      <c r="H644" s="497">
        <f t="shared" ca="1" si="80"/>
        <v>63</v>
      </c>
      <c r="I644" s="512"/>
      <c r="J644" s="502"/>
      <c r="K644" s="500"/>
      <c r="L644" s="503"/>
      <c r="M644" s="514"/>
      <c r="N644" s="503"/>
      <c r="O644" s="497"/>
      <c r="P644" s="497">
        <f t="shared" si="81"/>
        <v>167</v>
      </c>
      <c r="Q644" s="503"/>
    </row>
    <row r="645" spans="1:17" x14ac:dyDescent="0.35">
      <c r="A645" s="497" t="b">
        <v>0</v>
      </c>
      <c r="B645" s="511">
        <f t="shared" si="78"/>
        <v>78</v>
      </c>
      <c r="C645" s="515" t="s">
        <v>9433</v>
      </c>
      <c r="D645" s="497" t="s">
        <v>5257</v>
      </c>
      <c r="E645" s="497">
        <f t="shared" si="79"/>
        <v>6</v>
      </c>
      <c r="F645" s="516">
        <v>28</v>
      </c>
      <c r="G645" s="497"/>
      <c r="H645" s="497">
        <f t="shared" ca="1" si="80"/>
        <v>63</v>
      </c>
      <c r="I645" s="512"/>
      <c r="J645" s="502"/>
      <c r="K645" s="500"/>
      <c r="L645" s="503"/>
      <c r="M645" s="514"/>
      <c r="N645" s="503"/>
      <c r="O645" s="497"/>
      <c r="P645" s="497">
        <f t="shared" si="81"/>
        <v>168</v>
      </c>
      <c r="Q645" s="503"/>
    </row>
    <row r="646" spans="1:17" x14ac:dyDescent="0.35">
      <c r="A646" s="497" t="b">
        <v>0</v>
      </c>
      <c r="B646" s="511">
        <f t="shared" si="78"/>
        <v>79</v>
      </c>
      <c r="C646" s="515" t="s">
        <v>9434</v>
      </c>
      <c r="D646" s="497" t="s">
        <v>4963</v>
      </c>
      <c r="E646" s="497">
        <f t="shared" si="79"/>
        <v>1</v>
      </c>
      <c r="F646" s="516">
        <v>29</v>
      </c>
      <c r="G646" s="497"/>
      <c r="H646" s="497">
        <f t="shared" ca="1" si="80"/>
        <v>65</v>
      </c>
      <c r="I646" s="512"/>
      <c r="J646" s="502"/>
      <c r="K646" s="500"/>
      <c r="L646" s="503"/>
      <c r="M646" s="514"/>
      <c r="N646" s="503"/>
      <c r="O646" s="497"/>
      <c r="P646" s="497">
        <f t="shared" si="81"/>
        <v>169</v>
      </c>
      <c r="Q646" s="503"/>
    </row>
    <row r="647" spans="1:17" x14ac:dyDescent="0.35">
      <c r="A647" s="497" t="b">
        <v>0</v>
      </c>
      <c r="B647" s="511">
        <f t="shared" si="78"/>
        <v>80</v>
      </c>
      <c r="C647" s="515" t="s">
        <v>9435</v>
      </c>
      <c r="D647" s="497" t="s">
        <v>4963</v>
      </c>
      <c r="E647" s="497">
        <f t="shared" si="79"/>
        <v>2</v>
      </c>
      <c r="F647" s="516">
        <v>29</v>
      </c>
      <c r="G647" s="497"/>
      <c r="H647" s="497">
        <f t="shared" ca="1" si="80"/>
        <v>65</v>
      </c>
      <c r="I647" s="512"/>
      <c r="J647" s="502"/>
      <c r="K647" s="500"/>
      <c r="L647" s="503"/>
      <c r="M647" s="514"/>
      <c r="N647" s="503"/>
      <c r="O647" s="497"/>
      <c r="P647" s="497">
        <f t="shared" si="81"/>
        <v>170</v>
      </c>
      <c r="Q647" s="503"/>
    </row>
    <row r="648" spans="1:17" x14ac:dyDescent="0.35">
      <c r="A648" s="497" t="b">
        <v>0</v>
      </c>
      <c r="B648" s="511">
        <f t="shared" si="78"/>
        <v>81</v>
      </c>
      <c r="C648" s="515" t="s">
        <v>9436</v>
      </c>
      <c r="D648" s="497" t="s">
        <v>4963</v>
      </c>
      <c r="E648" s="497">
        <f t="shared" si="79"/>
        <v>3</v>
      </c>
      <c r="F648" s="516">
        <v>29</v>
      </c>
      <c r="G648" s="497"/>
      <c r="H648" s="497">
        <f t="shared" ca="1" si="80"/>
        <v>65</v>
      </c>
      <c r="I648" s="512"/>
      <c r="J648" s="502"/>
      <c r="K648" s="500"/>
      <c r="L648" s="503"/>
      <c r="M648" s="514"/>
      <c r="N648" s="503"/>
      <c r="O648" s="497"/>
      <c r="P648" s="497">
        <f t="shared" si="81"/>
        <v>171</v>
      </c>
      <c r="Q648" s="503"/>
    </row>
    <row r="649" spans="1:17" x14ac:dyDescent="0.35">
      <c r="A649" s="497" t="b">
        <v>0</v>
      </c>
      <c r="B649" s="511">
        <f t="shared" si="78"/>
        <v>82</v>
      </c>
      <c r="C649" s="515" t="s">
        <v>9437</v>
      </c>
      <c r="D649" s="497" t="s">
        <v>4963</v>
      </c>
      <c r="E649" s="497">
        <f t="shared" si="79"/>
        <v>4</v>
      </c>
      <c r="F649" s="516">
        <v>29</v>
      </c>
      <c r="G649" s="497"/>
      <c r="H649" s="497">
        <f t="shared" ca="1" si="80"/>
        <v>65</v>
      </c>
      <c r="I649" s="512"/>
      <c r="J649" s="502"/>
      <c r="K649" s="500"/>
      <c r="L649" s="503"/>
      <c r="M649" s="514"/>
      <c r="N649" s="503"/>
      <c r="O649" s="497"/>
      <c r="P649" s="497">
        <f t="shared" si="81"/>
        <v>172</v>
      </c>
      <c r="Q649" s="503"/>
    </row>
    <row r="650" spans="1:17" x14ac:dyDescent="0.35">
      <c r="A650" s="497" t="b">
        <v>0</v>
      </c>
      <c r="B650" s="511">
        <f t="shared" si="78"/>
        <v>83</v>
      </c>
      <c r="C650" s="515" t="s">
        <v>9438</v>
      </c>
      <c r="D650" s="497" t="s">
        <v>4963</v>
      </c>
      <c r="E650" s="497">
        <f t="shared" si="79"/>
        <v>5</v>
      </c>
      <c r="F650" s="516">
        <v>29</v>
      </c>
      <c r="G650" s="497"/>
      <c r="H650" s="497">
        <f t="shared" ca="1" si="80"/>
        <v>65</v>
      </c>
      <c r="I650" s="512"/>
      <c r="J650" s="502"/>
      <c r="K650" s="500"/>
      <c r="L650" s="503"/>
      <c r="M650" s="514"/>
      <c r="N650" s="503"/>
      <c r="O650" s="497"/>
      <c r="P650" s="497">
        <f t="shared" si="81"/>
        <v>173</v>
      </c>
      <c r="Q650" s="503"/>
    </row>
    <row r="651" spans="1:17" x14ac:dyDescent="0.35">
      <c r="A651" s="497" t="b">
        <v>0</v>
      </c>
      <c r="B651" s="511">
        <f t="shared" si="78"/>
        <v>84</v>
      </c>
      <c r="C651" s="515" t="s">
        <v>9439</v>
      </c>
      <c r="D651" s="497" t="s">
        <v>4963</v>
      </c>
      <c r="E651" s="497">
        <f t="shared" si="79"/>
        <v>6</v>
      </c>
      <c r="F651" s="516">
        <v>29</v>
      </c>
      <c r="G651" s="497"/>
      <c r="H651" s="497">
        <f t="shared" ca="1" si="80"/>
        <v>65</v>
      </c>
      <c r="I651" s="512"/>
      <c r="J651" s="502"/>
      <c r="K651" s="500"/>
      <c r="L651" s="503"/>
      <c r="M651" s="514"/>
      <c r="N651" s="503"/>
      <c r="O651" s="497"/>
      <c r="P651" s="497">
        <f t="shared" si="81"/>
        <v>174</v>
      </c>
      <c r="Q651" s="503"/>
    </row>
    <row r="652" spans="1:17" x14ac:dyDescent="0.35">
      <c r="A652" s="497" t="b">
        <v>0</v>
      </c>
      <c r="B652" s="511">
        <f t="shared" si="78"/>
        <v>85</v>
      </c>
      <c r="C652" s="515" t="s">
        <v>9440</v>
      </c>
      <c r="D652" s="497" t="s">
        <v>5278</v>
      </c>
      <c r="E652" s="497">
        <f t="shared" si="79"/>
        <v>1</v>
      </c>
      <c r="F652" s="516">
        <v>30</v>
      </c>
      <c r="G652" s="497"/>
      <c r="H652" s="497">
        <f t="shared" ca="1" si="80"/>
        <v>67</v>
      </c>
      <c r="I652" s="512"/>
      <c r="J652" s="502"/>
      <c r="K652" s="500"/>
      <c r="L652" s="503"/>
      <c r="M652" s="514"/>
      <c r="N652" s="503"/>
      <c r="O652" s="497"/>
      <c r="P652" s="497">
        <f t="shared" si="81"/>
        <v>175</v>
      </c>
      <c r="Q652" s="503"/>
    </row>
    <row r="653" spans="1:17" x14ac:dyDescent="0.35">
      <c r="A653" s="497" t="b">
        <v>0</v>
      </c>
      <c r="B653" s="511">
        <f t="shared" si="78"/>
        <v>86</v>
      </c>
      <c r="C653" s="515" t="s">
        <v>9441</v>
      </c>
      <c r="D653" s="497" t="s">
        <v>5278</v>
      </c>
      <c r="E653" s="497">
        <f t="shared" si="79"/>
        <v>2</v>
      </c>
      <c r="F653" s="516">
        <v>30</v>
      </c>
      <c r="G653" s="497"/>
      <c r="H653" s="497">
        <f t="shared" ca="1" si="80"/>
        <v>67</v>
      </c>
      <c r="I653" s="512"/>
      <c r="J653" s="502"/>
      <c r="K653" s="500"/>
      <c r="L653" s="503"/>
      <c r="M653" s="514"/>
      <c r="N653" s="503"/>
      <c r="O653" s="497"/>
      <c r="P653" s="497">
        <f t="shared" si="81"/>
        <v>176</v>
      </c>
      <c r="Q653" s="503"/>
    </row>
    <row r="654" spans="1:17" x14ac:dyDescent="0.35">
      <c r="A654" s="497" t="b">
        <v>0</v>
      </c>
      <c r="B654" s="511">
        <f t="shared" si="78"/>
        <v>87</v>
      </c>
      <c r="C654" s="515" t="s">
        <v>9442</v>
      </c>
      <c r="D654" s="497" t="s">
        <v>5278</v>
      </c>
      <c r="E654" s="497">
        <f t="shared" si="79"/>
        <v>3</v>
      </c>
      <c r="F654" s="516">
        <v>30</v>
      </c>
      <c r="G654" s="497"/>
      <c r="H654" s="497">
        <f t="shared" ca="1" si="80"/>
        <v>67</v>
      </c>
      <c r="I654" s="512"/>
      <c r="J654" s="502"/>
      <c r="K654" s="500"/>
      <c r="L654" s="503"/>
      <c r="M654" s="514"/>
      <c r="N654" s="503"/>
      <c r="O654" s="497"/>
      <c r="P654" s="497">
        <f t="shared" si="81"/>
        <v>177</v>
      </c>
      <c r="Q654" s="503"/>
    </row>
    <row r="655" spans="1:17" x14ac:dyDescent="0.35">
      <c r="A655" s="497" t="b">
        <v>0</v>
      </c>
      <c r="B655" s="511">
        <f t="shared" si="78"/>
        <v>88</v>
      </c>
      <c r="C655" s="515" t="s">
        <v>9443</v>
      </c>
      <c r="D655" s="497" t="s">
        <v>5278</v>
      </c>
      <c r="E655" s="497">
        <f t="shared" si="79"/>
        <v>4</v>
      </c>
      <c r="F655" s="516">
        <v>30</v>
      </c>
      <c r="G655" s="497"/>
      <c r="H655" s="497">
        <f t="shared" ca="1" si="80"/>
        <v>67</v>
      </c>
      <c r="I655" s="512"/>
      <c r="J655" s="502"/>
      <c r="K655" s="500"/>
      <c r="L655" s="503"/>
      <c r="M655" s="514"/>
      <c r="N655" s="503"/>
      <c r="O655" s="497"/>
      <c r="P655" s="497">
        <f t="shared" si="81"/>
        <v>178</v>
      </c>
      <c r="Q655" s="503"/>
    </row>
    <row r="656" spans="1:17" x14ac:dyDescent="0.35">
      <c r="A656" s="497" t="b">
        <v>0</v>
      </c>
      <c r="B656" s="511">
        <f t="shared" si="78"/>
        <v>89</v>
      </c>
      <c r="C656" s="515" t="s">
        <v>9444</v>
      </c>
      <c r="D656" s="497" t="s">
        <v>5278</v>
      </c>
      <c r="E656" s="497">
        <f t="shared" si="79"/>
        <v>5</v>
      </c>
      <c r="F656" s="516">
        <v>30</v>
      </c>
      <c r="G656" s="497"/>
      <c r="H656" s="497">
        <f t="shared" ca="1" si="80"/>
        <v>67</v>
      </c>
      <c r="I656" s="512"/>
      <c r="J656" s="502"/>
      <c r="K656" s="500"/>
      <c r="L656" s="503"/>
      <c r="M656" s="514"/>
      <c r="N656" s="503"/>
      <c r="O656" s="497"/>
      <c r="P656" s="497">
        <f t="shared" si="81"/>
        <v>179</v>
      </c>
      <c r="Q656" s="503"/>
    </row>
    <row r="657" spans="1:17" x14ac:dyDescent="0.35">
      <c r="A657" s="497" t="b">
        <v>0</v>
      </c>
      <c r="B657" s="511">
        <f t="shared" si="78"/>
        <v>90</v>
      </c>
      <c r="C657" s="515" t="s">
        <v>9445</v>
      </c>
      <c r="D657" s="497" t="s">
        <v>5278</v>
      </c>
      <c r="E657" s="497">
        <f t="shared" si="79"/>
        <v>6</v>
      </c>
      <c r="F657" s="516">
        <v>30</v>
      </c>
      <c r="G657" s="497"/>
      <c r="H657" s="497">
        <f t="shared" ca="1" si="80"/>
        <v>67</v>
      </c>
      <c r="I657" s="512"/>
      <c r="J657" s="502"/>
      <c r="K657" s="500"/>
      <c r="L657" s="503"/>
      <c r="M657" s="514"/>
      <c r="N657" s="503"/>
      <c r="O657" s="497"/>
      <c r="P657" s="497">
        <f t="shared" si="81"/>
        <v>180</v>
      </c>
      <c r="Q657" s="503"/>
    </row>
    <row r="658" spans="1:17" x14ac:dyDescent="0.35">
      <c r="A658" s="497" t="b">
        <f t="shared" ref="A658:A721" ca="1" si="82">IF(OR(I658&lt;&gt;"",J658&lt;&gt;"",K658&lt;&gt;"",M658&lt;&gt;"",N658&lt;&gt;""),TRUE,FALSE)</f>
        <v>1</v>
      </c>
      <c r="B658" s="511">
        <f t="shared" si="78"/>
        <v>91</v>
      </c>
      <c r="C658" s="517" t="str">
        <f ca="1">IF(COUNTA(D$475:D657)=1,"",OFFSET(B656,-COUNTA(D$475:D657)+3,1))</f>
        <v>a1W3p000005vRgxEAE</v>
      </c>
      <c r="D658" s="497"/>
      <c r="E658" s="497">
        <f t="shared" ca="1" si="79"/>
        <v>1</v>
      </c>
      <c r="F658" s="516">
        <f ca="1">IF(COUNTA(D$475:D657)=1,"",OFFSET(F656,-COUNTA(D$475:D657)+3,0))</f>
        <v>1</v>
      </c>
      <c r="G658" s="497"/>
      <c r="H658" s="497">
        <f t="shared" ca="1" si="80"/>
        <v>9</v>
      </c>
      <c r="I658" s="512" t="str">
        <f t="shared" ref="I658:I721" ca="1" si="83">IFERROR(CHOOSE(E658,IFERROR(IF(INDIRECT("'Outcome Indicators - Section C '!K"&amp;H658+1)="","",INDIRECT("'Outcome Indicators - Section C '!k"&amp;H658+1)),""),IFERROR(IF(INDIRECT("'Outcome Indicators - Section C '!O"&amp;H658+1)="","",INDIRECT("'Outcome Indicators - Section C '!O"&amp;H658+1)),""),IFERROR(IF(INDIRECT("'Outcome Indicators - Section C '!S"&amp;H658+1)="","",INDIRECT("'Outcome Indicators - Section C '!S"&amp;H658+1)),""),IFERROR(IF(INDIRECT("'Outcome Indicators - Section C '!W"&amp;H658+1)="","",INDIRECT("'Outcome Indicators - Section C '!W"&amp;H658+1)),"")),"")</f>
        <v/>
      </c>
      <c r="J658" s="502" t="str">
        <f t="shared" ref="J658:J721" ca="1" si="84">IFERROR(CHOOSE(E658,IFERROR(IF(INDIRECT("'Outcome Indicators - Section C '!K"&amp;H658)="","",INDIRECT("'Outcome Indicators - Section C '!k"&amp;H658)),""),IFERROR(IF(INDIRECT("'Outcome Indicators - Section C '!O"&amp;H658)="","",INDIRECT("'Outcome Indicators - Section C '!O"&amp;H658)),""),IFERROR(IF(INDIRECT("'Outcome Indicators - Section C '!S"&amp;H658)="","",INDIRECT("'Outcome Indicators - Section C '!S"&amp;H658)),""),IFERROR(IF(INDIRECT("'Outcome Indicators - Section C '!W"&amp;H658)="","",INDIRECT("'Outcome Indicators - Section C '!W"&amp;H658)),"")),"")</f>
        <v/>
      </c>
      <c r="K658" s="500">
        <f t="shared" ref="K658:K721" ca="1" si="85">IFERROR(CHOOSE(E658,IFERROR(IF(INDIRECT("'Outcome Indicators - Section C '!L"&amp;H658)="","",INDIRECT("'Outcome Indicators - Section C '!L"&amp;H658)*100),""),IFERROR(IF(INDIRECT("'Outcome Indicators - Section C '!P"&amp;H658)="","",INDIRECT("'Outcome Indicators - Section C '!P"&amp;H658)*100),""),IFERROR(IF(INDIRECT("'Outcome Indicators - Section C '!T"&amp;H658)="","",INDIRECT("'Outcome Indicators - Section C '!T"&amp;H658)*100),""),IFERROR(IF(INDIRECT("'Outcome Indicators - Section C '!X"&amp;H658)="","",INDIRECT("'Outcome Indicators - Section C '!X"&amp;H658)*100),"")),"")</f>
        <v>90</v>
      </c>
      <c r="L658" s="503">
        <f ca="1">IFERROR(CHOOSE(E658,'Outcome Indicators - Section C '!$K$7,'Outcome Indicators - Section C '!$O$7,'Outcome Indicators - Section C '!$S$7,'Outcome Indicators - Section C '!$W$7),"")</f>
        <v>2022</v>
      </c>
      <c r="M658" s="514">
        <f t="shared" ref="M658:M721" ca="1" si="86">IFERROR(CHOOSE(E658,IFERROR(IF(INDIRECT("'Outcome Indicators - Section C '!M"&amp;H658)="","",INDIRECT("'Outcome Indicators - Section C '!M"&amp;H658)),""),IFERROR(IF(INDIRECT("'Outcome Indicators - Section C '!Q"&amp;H658)="","",INDIRECT("'Outcome Indicators - Section C '!Q"&amp;H658)),""),IFERROR(IF(INDIRECT("'Outcome Indicators - Section C '!U"&amp;H658)="","",INDIRECT("'Outcome Indicators - Section C '!U"&amp;H658)),""),IFERROR(IF(INDIRECT("'Outcome Indicators - Section C '!Y"&amp;H658)="","",INDIRECT("'Outcome Indicators - Section C '!Y"&amp;H658)),"")),"")</f>
        <v>45015</v>
      </c>
      <c r="N658" s="503" t="str">
        <f t="shared" ref="N658:N721" ca="1" si="87">IFERROR(CHOOSE(E658,IFERROR(IF(INDIRECT("'Outcome Indicators - Section C '!N"&amp;H658)=0,"",INDIRECT("'Outcome Indicators - Section C '!N"&amp;H658)),""),IFERROR(IF(INDIRECT("'Outcome Indicators - Section C '!R"&amp;H658)=0,"",INDIRECT("'Outcome Indicators - Section C '!R"&amp;H658)),""),IFERROR(IF(INDIRECT("'Outcome Indicators - Section C '!V"&amp;H658)=0,"",INDIRECT("'Outcome Indicators - Section C '!V"&amp;H658)),""),IFERROR(IF(INDIRECT("'Outcome Indicators - Section C '!Z"&amp;H658)=0,"",INDIRECT("'Outcome Indicators - Section C '!Z"&amp;H658)),"")),"")</f>
        <v/>
      </c>
      <c r="O658" s="497"/>
      <c r="P658" s="497">
        <f t="shared" si="81"/>
        <v>0</v>
      </c>
      <c r="Q658" s="503"/>
    </row>
    <row r="659" spans="1:17" x14ac:dyDescent="0.35">
      <c r="A659" s="497" t="b">
        <f t="shared" ca="1" si="82"/>
        <v>1</v>
      </c>
      <c r="B659" s="511">
        <f t="shared" si="78"/>
        <v>92</v>
      </c>
      <c r="C659" s="517" t="str">
        <f ca="1">IF(COUNTA(D$475:D658)=1,"",OFFSET(B657,-COUNTA(D$475:D658)+3,1))</f>
        <v>a1W3p000005vRhREAU</v>
      </c>
      <c r="D659" s="497"/>
      <c r="E659" s="497">
        <f t="shared" ca="1" si="79"/>
        <v>2</v>
      </c>
      <c r="F659" s="516">
        <f ca="1">IF(COUNTA(D$475:D658)=1,"",OFFSET(F657,-COUNTA(D$475:D658)+3,0))</f>
        <v>1</v>
      </c>
      <c r="G659" s="497"/>
      <c r="H659" s="497">
        <f t="shared" ca="1" si="80"/>
        <v>9</v>
      </c>
      <c r="I659" s="512" t="str">
        <f t="shared" ca="1" si="83"/>
        <v/>
      </c>
      <c r="J659" s="502" t="str">
        <f t="shared" ca="1" si="84"/>
        <v/>
      </c>
      <c r="K659" s="500">
        <f t="shared" ca="1" si="85"/>
        <v>90</v>
      </c>
      <c r="L659" s="503">
        <f ca="1">IFERROR(CHOOSE(E659,'Outcome Indicators - Section C '!$K$7,'Outcome Indicators - Section C '!$O$7,'Outcome Indicators - Section C '!$S$7,'Outcome Indicators - Section C '!$W$7),"")</f>
        <v>2023</v>
      </c>
      <c r="M659" s="514">
        <f t="shared" ca="1" si="86"/>
        <v>45381</v>
      </c>
      <c r="N659" s="503" t="str">
        <f t="shared" ca="1" si="87"/>
        <v/>
      </c>
      <c r="O659" s="497"/>
      <c r="P659" s="497">
        <f t="shared" si="81"/>
        <v>0</v>
      </c>
      <c r="Q659" s="503"/>
    </row>
    <row r="660" spans="1:17" x14ac:dyDescent="0.35">
      <c r="A660" s="497" t="b">
        <f t="shared" ca="1" si="82"/>
        <v>1</v>
      </c>
      <c r="B660" s="511">
        <f t="shared" si="78"/>
        <v>93</v>
      </c>
      <c r="C660" s="517" t="str">
        <f ca="1">IF(COUNTA(D$475:D659)=1,"",OFFSET(B658,-COUNTA(D$475:D659)+3,1))</f>
        <v>a1W3p000005vRhvEAE</v>
      </c>
      <c r="D660" s="497"/>
      <c r="E660" s="497">
        <f t="shared" ca="1" si="79"/>
        <v>3</v>
      </c>
      <c r="F660" s="516">
        <f ca="1">IF(COUNTA(D$475:D659)=1,"",OFFSET(F658,-COUNTA(D$475:D659)+3,0))</f>
        <v>1</v>
      </c>
      <c r="G660" s="497"/>
      <c r="H660" s="497">
        <f t="shared" ca="1" si="80"/>
        <v>9</v>
      </c>
      <c r="I660" s="512" t="str">
        <f t="shared" ca="1" si="83"/>
        <v/>
      </c>
      <c r="J660" s="502" t="str">
        <f t="shared" ca="1" si="84"/>
        <v/>
      </c>
      <c r="K660" s="500">
        <f t="shared" ca="1" si="85"/>
        <v>90</v>
      </c>
      <c r="L660" s="503">
        <f ca="1">IFERROR(CHOOSE(E660,'Outcome Indicators - Section C '!$K$7,'Outcome Indicators - Section C '!$O$7,'Outcome Indicators - Section C '!$S$7,'Outcome Indicators - Section C '!$W$7),"")</f>
        <v>2024</v>
      </c>
      <c r="M660" s="514">
        <f t="shared" ca="1" si="86"/>
        <v>45746</v>
      </c>
      <c r="N660" s="503" t="str">
        <f t="shared" ca="1" si="87"/>
        <v/>
      </c>
      <c r="O660" s="497"/>
      <c r="P660" s="497">
        <f t="shared" si="81"/>
        <v>0</v>
      </c>
      <c r="Q660" s="503"/>
    </row>
    <row r="661" spans="1:17" x14ac:dyDescent="0.35">
      <c r="A661" s="497" t="b">
        <f t="shared" ca="1" si="82"/>
        <v>0</v>
      </c>
      <c r="B661" s="511">
        <f t="shared" si="78"/>
        <v>94</v>
      </c>
      <c r="C661" s="517" t="str">
        <f ca="1">IF(COUNTA(D$475:D660)=1,"",OFFSET(B659,-COUNTA(D$475:D660)+3,1))</f>
        <v>a1W3p000005vRiPEAU</v>
      </c>
      <c r="D661" s="497"/>
      <c r="E661" s="497">
        <f t="shared" ca="1" si="79"/>
        <v>4</v>
      </c>
      <c r="F661" s="516">
        <f ca="1">IF(COUNTA(D$475:D660)=1,"",OFFSET(F659,-COUNTA(D$475:D660)+3,0))</f>
        <v>1</v>
      </c>
      <c r="G661" s="497"/>
      <c r="H661" s="497">
        <f t="shared" ca="1" si="80"/>
        <v>9</v>
      </c>
      <c r="I661" s="512" t="str">
        <f t="shared" ca="1" si="83"/>
        <v/>
      </c>
      <c r="J661" s="502" t="str">
        <f t="shared" ca="1" si="84"/>
        <v/>
      </c>
      <c r="K661" s="500" t="str">
        <f t="shared" ca="1" si="85"/>
        <v/>
      </c>
      <c r="L661" s="503" t="str">
        <f ca="1">IFERROR(CHOOSE(E661,'Outcome Indicators - Section C '!$K$7,'Outcome Indicators - Section C '!$O$7,'Outcome Indicators - Section C '!$S$7,'Outcome Indicators - Section C '!$W$7),"")</f>
        <v/>
      </c>
      <c r="M661" s="514" t="str">
        <f t="shared" ca="1" si="86"/>
        <v/>
      </c>
      <c r="N661" s="503" t="str">
        <f t="shared" ca="1" si="87"/>
        <v/>
      </c>
      <c r="O661" s="497"/>
      <c r="P661" s="497">
        <f t="shared" si="81"/>
        <v>0</v>
      </c>
      <c r="Q661" s="503"/>
    </row>
    <row r="662" spans="1:17" x14ac:dyDescent="0.35">
      <c r="A662" s="497" t="b">
        <f t="shared" ca="1" si="82"/>
        <v>0</v>
      </c>
      <c r="B662" s="511">
        <f t="shared" si="78"/>
        <v>95</v>
      </c>
      <c r="C662" s="517" t="str">
        <f ca="1">IF(COUNTA(D$475:D661)=1,"",OFFSET(B660,-COUNTA(D$475:D661)+3,1))</f>
        <v>a1W3p000005vRitEAE</v>
      </c>
      <c r="D662" s="497"/>
      <c r="E662" s="497">
        <f t="shared" ca="1" si="79"/>
        <v>5</v>
      </c>
      <c r="F662" s="516">
        <f ca="1">IF(COUNTA(D$475:D661)=1,"",OFFSET(F660,-COUNTA(D$475:D661)+3,0))</f>
        <v>1</v>
      </c>
      <c r="G662" s="497"/>
      <c r="H662" s="497">
        <f t="shared" ca="1" si="80"/>
        <v>9</v>
      </c>
      <c r="I662" s="512" t="str">
        <f t="shared" ca="1" si="83"/>
        <v/>
      </c>
      <c r="J662" s="502" t="str">
        <f t="shared" ca="1" si="84"/>
        <v/>
      </c>
      <c r="K662" s="500" t="str">
        <f t="shared" ca="1" si="85"/>
        <v/>
      </c>
      <c r="L662" s="503" t="str">
        <f ca="1">IFERROR(CHOOSE(E662,'Outcome Indicators - Section C '!$K$7,'Outcome Indicators - Section C '!$O$7,'Outcome Indicators - Section C '!$S$7,'Outcome Indicators - Section C '!$W$7),"")</f>
        <v/>
      </c>
      <c r="M662" s="514" t="str">
        <f t="shared" ca="1" si="86"/>
        <v/>
      </c>
      <c r="N662" s="503" t="str">
        <f t="shared" ca="1" si="87"/>
        <v/>
      </c>
      <c r="O662" s="497"/>
      <c r="P662" s="497">
        <f t="shared" si="81"/>
        <v>0</v>
      </c>
      <c r="Q662" s="503"/>
    </row>
    <row r="663" spans="1:17" x14ac:dyDescent="0.35">
      <c r="A663" s="497" t="b">
        <f t="shared" ca="1" si="82"/>
        <v>0</v>
      </c>
      <c r="B663" s="511">
        <f t="shared" si="78"/>
        <v>96</v>
      </c>
      <c r="C663" s="517" t="str">
        <f ca="1">IF(COUNTA(D$475:D662)=1,"",OFFSET(B661,-COUNTA(D$475:D662)+3,1))</f>
        <v>a1W3p000005vRjNEAU</v>
      </c>
      <c r="D663" s="497"/>
      <c r="E663" s="497">
        <f t="shared" ca="1" si="79"/>
        <v>6</v>
      </c>
      <c r="F663" s="516">
        <f ca="1">IF(COUNTA(D$475:D662)=1,"",OFFSET(F661,-COUNTA(D$475:D662)+3,0))</f>
        <v>1</v>
      </c>
      <c r="G663" s="497"/>
      <c r="H663" s="497">
        <f t="shared" ca="1" si="80"/>
        <v>9</v>
      </c>
      <c r="I663" s="512" t="str">
        <f t="shared" ca="1" si="83"/>
        <v/>
      </c>
      <c r="J663" s="502" t="str">
        <f t="shared" ca="1" si="84"/>
        <v/>
      </c>
      <c r="K663" s="500" t="str">
        <f t="shared" ca="1" si="85"/>
        <v/>
      </c>
      <c r="L663" s="503" t="str">
        <f ca="1">IFERROR(CHOOSE(E663,'Outcome Indicators - Section C '!$K$7,'Outcome Indicators - Section C '!$O$7,'Outcome Indicators - Section C '!$S$7,'Outcome Indicators - Section C '!$W$7),"")</f>
        <v/>
      </c>
      <c r="M663" s="514" t="str">
        <f t="shared" ca="1" si="86"/>
        <v/>
      </c>
      <c r="N663" s="503" t="str">
        <f t="shared" ca="1" si="87"/>
        <v/>
      </c>
      <c r="O663" s="497"/>
      <c r="P663" s="497">
        <f t="shared" si="81"/>
        <v>0</v>
      </c>
      <c r="Q663" s="503"/>
    </row>
    <row r="664" spans="1:17" x14ac:dyDescent="0.35">
      <c r="A664" s="497" t="b">
        <f t="shared" ca="1" si="82"/>
        <v>1</v>
      </c>
      <c r="B664" s="511">
        <f t="shared" si="78"/>
        <v>97</v>
      </c>
      <c r="C664" s="517" t="str">
        <f ca="1">IF(COUNTA(D$475:D663)=1,"",OFFSET(B662,-COUNTA(D$475:D663)+3,1))</f>
        <v>a1W3p000005vRgyEAE</v>
      </c>
      <c r="D664" s="497"/>
      <c r="E664" s="497">
        <f t="shared" ca="1" si="79"/>
        <v>1</v>
      </c>
      <c r="F664" s="516">
        <f ca="1">IF(COUNTA(D$475:D663)=1,"",OFFSET(F662,-COUNTA(D$475:D663)+3,0))</f>
        <v>2</v>
      </c>
      <c r="G664" s="497"/>
      <c r="H664" s="497">
        <f t="shared" ca="1" si="80"/>
        <v>11</v>
      </c>
      <c r="I664" s="512" t="str">
        <f t="shared" ca="1" si="83"/>
        <v/>
      </c>
      <c r="J664" s="502" t="str">
        <f t="shared" ca="1" si="84"/>
        <v/>
      </c>
      <c r="K664" s="500">
        <f t="shared" ca="1" si="85"/>
        <v>84</v>
      </c>
      <c r="L664" s="503">
        <f ca="1">IFERROR(CHOOSE(E664,'Outcome Indicators - Section C '!$K$7,'Outcome Indicators - Section C '!$O$7,'Outcome Indicators - Section C '!$S$7,'Outcome Indicators - Section C '!$W$7),"")</f>
        <v>2022</v>
      </c>
      <c r="M664" s="514">
        <f t="shared" ca="1" si="86"/>
        <v>44986</v>
      </c>
      <c r="N664" s="503" t="str">
        <f t="shared" ca="1" si="87"/>
        <v/>
      </c>
      <c r="O664" s="497"/>
      <c r="P664" s="497">
        <f t="shared" si="81"/>
        <v>0</v>
      </c>
      <c r="Q664" s="503"/>
    </row>
    <row r="665" spans="1:17" x14ac:dyDescent="0.35">
      <c r="A665" s="497" t="b">
        <f t="shared" ca="1" si="82"/>
        <v>1</v>
      </c>
      <c r="B665" s="511">
        <f t="shared" si="78"/>
        <v>98</v>
      </c>
      <c r="C665" s="517" t="str">
        <f ca="1">IF(COUNTA(D$475:D664)=1,"",OFFSET(B663,-COUNTA(D$475:D664)+3,1))</f>
        <v>a1W3p000005vRhSEAU</v>
      </c>
      <c r="D665" s="497"/>
      <c r="E665" s="497">
        <f t="shared" ca="1" si="79"/>
        <v>2</v>
      </c>
      <c r="F665" s="516">
        <f ca="1">IF(COUNTA(D$475:D664)=1,"",OFFSET(F663,-COUNTA(D$475:D664)+3,0))</f>
        <v>2</v>
      </c>
      <c r="G665" s="497"/>
      <c r="H665" s="497">
        <f t="shared" ca="1" si="80"/>
        <v>11</v>
      </c>
      <c r="I665" s="512" t="str">
        <f t="shared" ca="1" si="83"/>
        <v/>
      </c>
      <c r="J665" s="502" t="str">
        <f t="shared" ca="1" si="84"/>
        <v/>
      </c>
      <c r="K665" s="500">
        <f t="shared" ca="1" si="85"/>
        <v>87</v>
      </c>
      <c r="L665" s="503">
        <f ca="1">IFERROR(CHOOSE(E665,'Outcome Indicators - Section C '!$K$7,'Outcome Indicators - Section C '!$O$7,'Outcome Indicators - Section C '!$S$7,'Outcome Indicators - Section C '!$W$7),"")</f>
        <v>2023</v>
      </c>
      <c r="M665" s="514">
        <f t="shared" ca="1" si="86"/>
        <v>45351</v>
      </c>
      <c r="N665" s="503" t="str">
        <f t="shared" ca="1" si="87"/>
        <v/>
      </c>
      <c r="O665" s="497"/>
      <c r="P665" s="497">
        <f t="shared" si="81"/>
        <v>0</v>
      </c>
      <c r="Q665" s="503"/>
    </row>
    <row r="666" spans="1:17" x14ac:dyDescent="0.35">
      <c r="A666" s="497" t="b">
        <f t="shared" ca="1" si="82"/>
        <v>1</v>
      </c>
      <c r="B666" s="511">
        <f t="shared" si="78"/>
        <v>99</v>
      </c>
      <c r="C666" s="517" t="str">
        <f ca="1">IF(COUNTA(D$475:D665)=1,"",OFFSET(B664,-COUNTA(D$475:D665)+3,1))</f>
        <v>a1W3p000005vRhwEAE</v>
      </c>
      <c r="D666" s="497"/>
      <c r="E666" s="497">
        <f t="shared" ca="1" si="79"/>
        <v>3</v>
      </c>
      <c r="F666" s="516">
        <f ca="1">IF(COUNTA(D$475:D665)=1,"",OFFSET(F664,-COUNTA(D$475:D665)+3,0))</f>
        <v>2</v>
      </c>
      <c r="G666" s="497"/>
      <c r="H666" s="497">
        <f t="shared" ca="1" si="80"/>
        <v>11</v>
      </c>
      <c r="I666" s="512" t="str">
        <f t="shared" ca="1" si="83"/>
        <v/>
      </c>
      <c r="J666" s="502" t="str">
        <f t="shared" ca="1" si="84"/>
        <v/>
      </c>
      <c r="K666" s="500">
        <f t="shared" ca="1" si="85"/>
        <v>90</v>
      </c>
      <c r="L666" s="503">
        <f ca="1">IFERROR(CHOOSE(E666,'Outcome Indicators - Section C '!$K$7,'Outcome Indicators - Section C '!$O$7,'Outcome Indicators - Section C '!$S$7,'Outcome Indicators - Section C '!$W$7),"")</f>
        <v>2024</v>
      </c>
      <c r="M666" s="514">
        <f t="shared" ca="1" si="86"/>
        <v>45716</v>
      </c>
      <c r="N666" s="503" t="str">
        <f t="shared" ca="1" si="87"/>
        <v/>
      </c>
      <c r="O666" s="497"/>
      <c r="P666" s="497">
        <f t="shared" si="81"/>
        <v>0</v>
      </c>
      <c r="Q666" s="503"/>
    </row>
    <row r="667" spans="1:17" x14ac:dyDescent="0.35">
      <c r="A667" s="497" t="b">
        <f t="shared" ca="1" si="82"/>
        <v>0</v>
      </c>
      <c r="B667" s="511">
        <f t="shared" si="78"/>
        <v>100</v>
      </c>
      <c r="C667" s="517" t="str">
        <f ca="1">IF(COUNTA(D$475:D666)=1,"",OFFSET(B665,-COUNTA(D$475:D666)+3,1))</f>
        <v>a1W3p000005vRiQEAU</v>
      </c>
      <c r="D667" s="497"/>
      <c r="E667" s="497">
        <f t="shared" ca="1" si="79"/>
        <v>4</v>
      </c>
      <c r="F667" s="516">
        <f ca="1">IF(COUNTA(D$475:D666)=1,"",OFFSET(F665,-COUNTA(D$475:D666)+3,0))</f>
        <v>2</v>
      </c>
      <c r="G667" s="497"/>
      <c r="H667" s="497">
        <f t="shared" ca="1" si="80"/>
        <v>11</v>
      </c>
      <c r="I667" s="512" t="str">
        <f t="shared" ca="1" si="83"/>
        <v/>
      </c>
      <c r="J667" s="502" t="str">
        <f t="shared" ca="1" si="84"/>
        <v/>
      </c>
      <c r="K667" s="500" t="str">
        <f t="shared" ca="1" si="85"/>
        <v/>
      </c>
      <c r="L667" s="503" t="str">
        <f ca="1">IFERROR(CHOOSE(E667,'Outcome Indicators - Section C '!$K$7,'Outcome Indicators - Section C '!$O$7,'Outcome Indicators - Section C '!$S$7,'Outcome Indicators - Section C '!$W$7),"")</f>
        <v/>
      </c>
      <c r="M667" s="514" t="str">
        <f t="shared" ca="1" si="86"/>
        <v/>
      </c>
      <c r="N667" s="503" t="str">
        <f t="shared" ca="1" si="87"/>
        <v/>
      </c>
      <c r="O667" s="497"/>
      <c r="P667" s="497">
        <f t="shared" si="81"/>
        <v>0</v>
      </c>
      <c r="Q667" s="503"/>
    </row>
    <row r="668" spans="1:17" x14ac:dyDescent="0.35">
      <c r="A668" s="497" t="b">
        <f t="shared" ca="1" si="82"/>
        <v>0</v>
      </c>
      <c r="B668" s="511">
        <f t="shared" si="78"/>
        <v>101</v>
      </c>
      <c r="C668" s="517" t="str">
        <f ca="1">IF(COUNTA(D$475:D667)=1,"",OFFSET(B666,-COUNTA(D$475:D667)+3,1))</f>
        <v>a1W3p000005vRiuEAE</v>
      </c>
      <c r="D668" s="497"/>
      <c r="E668" s="497">
        <f t="shared" ca="1" si="79"/>
        <v>5</v>
      </c>
      <c r="F668" s="516">
        <f ca="1">IF(COUNTA(D$475:D667)=1,"",OFFSET(F666,-COUNTA(D$475:D667)+3,0))</f>
        <v>2</v>
      </c>
      <c r="G668" s="497"/>
      <c r="H668" s="497">
        <f t="shared" ca="1" si="80"/>
        <v>11</v>
      </c>
      <c r="I668" s="512" t="str">
        <f t="shared" ca="1" si="83"/>
        <v/>
      </c>
      <c r="J668" s="502" t="str">
        <f t="shared" ca="1" si="84"/>
        <v/>
      </c>
      <c r="K668" s="500" t="str">
        <f t="shared" ca="1" si="85"/>
        <v/>
      </c>
      <c r="L668" s="503" t="str">
        <f ca="1">IFERROR(CHOOSE(E668,'Outcome Indicators - Section C '!$K$7,'Outcome Indicators - Section C '!$O$7,'Outcome Indicators - Section C '!$S$7,'Outcome Indicators - Section C '!$W$7),"")</f>
        <v/>
      </c>
      <c r="M668" s="514" t="str">
        <f t="shared" ca="1" si="86"/>
        <v/>
      </c>
      <c r="N668" s="503" t="str">
        <f t="shared" ca="1" si="87"/>
        <v/>
      </c>
      <c r="O668" s="497"/>
      <c r="P668" s="497">
        <f t="shared" si="81"/>
        <v>0</v>
      </c>
      <c r="Q668" s="503"/>
    </row>
    <row r="669" spans="1:17" x14ac:dyDescent="0.35">
      <c r="A669" s="497" t="b">
        <f t="shared" ca="1" si="82"/>
        <v>0</v>
      </c>
      <c r="B669" s="511">
        <f t="shared" si="78"/>
        <v>102</v>
      </c>
      <c r="C669" s="517" t="str">
        <f ca="1">IF(COUNTA(D$475:D668)=1,"",OFFSET(B667,-COUNTA(D$475:D668)+3,1))</f>
        <v>a1W3p000005vRjOEAU</v>
      </c>
      <c r="D669" s="497"/>
      <c r="E669" s="497">
        <f t="shared" ca="1" si="79"/>
        <v>6</v>
      </c>
      <c r="F669" s="516">
        <f ca="1">IF(COUNTA(D$475:D668)=1,"",OFFSET(F667,-COUNTA(D$475:D668)+3,0))</f>
        <v>2</v>
      </c>
      <c r="G669" s="497"/>
      <c r="H669" s="497">
        <f t="shared" ca="1" si="80"/>
        <v>11</v>
      </c>
      <c r="I669" s="512" t="str">
        <f t="shared" ca="1" si="83"/>
        <v/>
      </c>
      <c r="J669" s="502" t="str">
        <f t="shared" ca="1" si="84"/>
        <v/>
      </c>
      <c r="K669" s="500" t="str">
        <f t="shared" ca="1" si="85"/>
        <v/>
      </c>
      <c r="L669" s="503" t="str">
        <f ca="1">IFERROR(CHOOSE(E669,'Outcome Indicators - Section C '!$K$7,'Outcome Indicators - Section C '!$O$7,'Outcome Indicators - Section C '!$S$7,'Outcome Indicators - Section C '!$W$7),"")</f>
        <v/>
      </c>
      <c r="M669" s="514" t="str">
        <f t="shared" ca="1" si="86"/>
        <v/>
      </c>
      <c r="N669" s="503" t="str">
        <f t="shared" ca="1" si="87"/>
        <v/>
      </c>
      <c r="O669" s="497"/>
      <c r="P669" s="497">
        <f t="shared" si="81"/>
        <v>0</v>
      </c>
      <c r="Q669" s="503"/>
    </row>
    <row r="670" spans="1:17" x14ac:dyDescent="0.35">
      <c r="A670" s="497" t="b">
        <f t="shared" ca="1" si="82"/>
        <v>1</v>
      </c>
      <c r="B670" s="511">
        <f t="shared" ref="B670:B733" si="88">B669+1</f>
        <v>103</v>
      </c>
      <c r="C670" s="517" t="str">
        <f ca="1">IF(COUNTA(D$475:D669)=1,"",OFFSET(B668,-COUNTA(D$475:D669)+3,1))</f>
        <v>a1W3p000005vRgzEAE</v>
      </c>
      <c r="D670" s="497"/>
      <c r="E670" s="497">
        <f t="shared" ref="E670:E733" ca="1" si="89">COUNTIF(F661:F670,F670)</f>
        <v>1</v>
      </c>
      <c r="F670" s="516">
        <f ca="1">IF(COUNTA(D$475:D669)=1,"",OFFSET(F668,-COUNTA(D$475:D669)+3,0))</f>
        <v>3</v>
      </c>
      <c r="G670" s="497"/>
      <c r="H670" s="497">
        <f t="shared" ref="H670:H733" ca="1" si="90">IF(F670=1,9,IF(E669=MAX(E668:E670),H668+2,H669))</f>
        <v>13</v>
      </c>
      <c r="I670" s="512" t="str">
        <f t="shared" ca="1" si="83"/>
        <v/>
      </c>
      <c r="J670" s="502" t="str">
        <f t="shared" ca="1" si="84"/>
        <v/>
      </c>
      <c r="K670" s="500">
        <f t="shared" ca="1" si="85"/>
        <v>92</v>
      </c>
      <c r="L670" s="503">
        <f ca="1">IFERROR(CHOOSE(E670,'Outcome Indicators - Section C '!$K$7,'Outcome Indicators - Section C '!$O$7,'Outcome Indicators - Section C '!$S$7,'Outcome Indicators - Section C '!$W$7),"")</f>
        <v>2022</v>
      </c>
      <c r="M670" s="514">
        <f t="shared" ca="1" si="86"/>
        <v>45015</v>
      </c>
      <c r="N670" s="503" t="str">
        <f t="shared" ca="1" si="87"/>
        <v/>
      </c>
      <c r="O670" s="497"/>
      <c r="P670" s="497">
        <f t="shared" ref="P670:P733" si="91">IF(NOT(_xlfn.ISFORMULA(I670)),P669+1,0)</f>
        <v>0</v>
      </c>
      <c r="Q670" s="503"/>
    </row>
    <row r="671" spans="1:17" x14ac:dyDescent="0.35">
      <c r="A671" s="497" t="b">
        <f t="shared" ca="1" si="82"/>
        <v>1</v>
      </c>
      <c r="B671" s="511">
        <f t="shared" si="88"/>
        <v>104</v>
      </c>
      <c r="C671" s="517" t="str">
        <f ca="1">IF(COUNTA(D$475:D670)=1,"",OFFSET(B669,-COUNTA(D$475:D670)+3,1))</f>
        <v>a1W3p000005vRhTEAU</v>
      </c>
      <c r="D671" s="497"/>
      <c r="E671" s="497">
        <f t="shared" ca="1" si="89"/>
        <v>2</v>
      </c>
      <c r="F671" s="516">
        <f ca="1">IF(COUNTA(D$475:D670)=1,"",OFFSET(F669,-COUNTA(D$475:D670)+3,0))</f>
        <v>3</v>
      </c>
      <c r="G671" s="497"/>
      <c r="H671" s="497">
        <f t="shared" ca="1" si="90"/>
        <v>13</v>
      </c>
      <c r="I671" s="512" t="str">
        <f t="shared" ca="1" si="83"/>
        <v/>
      </c>
      <c r="J671" s="502" t="str">
        <f t="shared" ca="1" si="84"/>
        <v/>
      </c>
      <c r="K671" s="500">
        <f t="shared" ca="1" si="85"/>
        <v>92</v>
      </c>
      <c r="L671" s="503">
        <f ca="1">IFERROR(CHOOSE(E671,'Outcome Indicators - Section C '!$K$7,'Outcome Indicators - Section C '!$O$7,'Outcome Indicators - Section C '!$S$7,'Outcome Indicators - Section C '!$W$7),"")</f>
        <v>2023</v>
      </c>
      <c r="M671" s="514">
        <f t="shared" ca="1" si="86"/>
        <v>45381</v>
      </c>
      <c r="N671" s="503" t="str">
        <f t="shared" ca="1" si="87"/>
        <v/>
      </c>
      <c r="O671" s="497"/>
      <c r="P671" s="497">
        <f t="shared" si="91"/>
        <v>0</v>
      </c>
      <c r="Q671" s="503"/>
    </row>
    <row r="672" spans="1:17" x14ac:dyDescent="0.35">
      <c r="A672" s="497" t="b">
        <f t="shared" ca="1" si="82"/>
        <v>1</v>
      </c>
      <c r="B672" s="511">
        <f t="shared" si="88"/>
        <v>105</v>
      </c>
      <c r="C672" s="517" t="str">
        <f ca="1">IF(COUNTA(D$475:D671)=1,"",OFFSET(B670,-COUNTA(D$475:D671)+3,1))</f>
        <v>a1W3p000005vRhxEAE</v>
      </c>
      <c r="D672" s="497"/>
      <c r="E672" s="497">
        <f t="shared" ca="1" si="89"/>
        <v>3</v>
      </c>
      <c r="F672" s="516">
        <f ca="1">IF(COUNTA(D$475:D671)=1,"",OFFSET(F670,-COUNTA(D$475:D671)+3,0))</f>
        <v>3</v>
      </c>
      <c r="G672" s="497"/>
      <c r="H672" s="497">
        <f t="shared" ca="1" si="90"/>
        <v>13</v>
      </c>
      <c r="I672" s="512" t="str">
        <f t="shared" ca="1" si="83"/>
        <v/>
      </c>
      <c r="J672" s="502" t="str">
        <f t="shared" ca="1" si="84"/>
        <v/>
      </c>
      <c r="K672" s="500">
        <f t="shared" ca="1" si="85"/>
        <v>92</v>
      </c>
      <c r="L672" s="503">
        <f ca="1">IFERROR(CHOOSE(E672,'Outcome Indicators - Section C '!$K$7,'Outcome Indicators - Section C '!$O$7,'Outcome Indicators - Section C '!$S$7,'Outcome Indicators - Section C '!$W$7),"")</f>
        <v>2024</v>
      </c>
      <c r="M672" s="514">
        <f t="shared" ca="1" si="86"/>
        <v>45746</v>
      </c>
      <c r="N672" s="503" t="str">
        <f t="shared" ca="1" si="87"/>
        <v/>
      </c>
      <c r="O672" s="497"/>
      <c r="P672" s="497">
        <f t="shared" si="91"/>
        <v>0</v>
      </c>
      <c r="Q672" s="503"/>
    </row>
    <row r="673" spans="1:17" x14ac:dyDescent="0.35">
      <c r="A673" s="497" t="b">
        <f t="shared" ca="1" si="82"/>
        <v>0</v>
      </c>
      <c r="B673" s="511">
        <f t="shared" si="88"/>
        <v>106</v>
      </c>
      <c r="C673" s="517" t="str">
        <f ca="1">IF(COUNTA(D$475:D672)=1,"",OFFSET(B671,-COUNTA(D$475:D672)+3,1))</f>
        <v>a1W3p000005vRiREAU</v>
      </c>
      <c r="D673" s="497"/>
      <c r="E673" s="497">
        <f t="shared" ca="1" si="89"/>
        <v>4</v>
      </c>
      <c r="F673" s="516">
        <f ca="1">IF(COUNTA(D$475:D672)=1,"",OFFSET(F671,-COUNTA(D$475:D672)+3,0))</f>
        <v>3</v>
      </c>
      <c r="G673" s="497"/>
      <c r="H673" s="497">
        <f t="shared" ca="1" si="90"/>
        <v>13</v>
      </c>
      <c r="I673" s="512" t="str">
        <f t="shared" ca="1" si="83"/>
        <v/>
      </c>
      <c r="J673" s="502" t="str">
        <f t="shared" ca="1" si="84"/>
        <v/>
      </c>
      <c r="K673" s="500" t="str">
        <f t="shared" ca="1" si="85"/>
        <v/>
      </c>
      <c r="L673" s="503" t="str">
        <f ca="1">IFERROR(CHOOSE(E673,'Outcome Indicators - Section C '!$K$7,'Outcome Indicators - Section C '!$O$7,'Outcome Indicators - Section C '!$S$7,'Outcome Indicators - Section C '!$W$7),"")</f>
        <v/>
      </c>
      <c r="M673" s="514" t="str">
        <f t="shared" ca="1" si="86"/>
        <v/>
      </c>
      <c r="N673" s="503" t="str">
        <f t="shared" ca="1" si="87"/>
        <v/>
      </c>
      <c r="O673" s="497"/>
      <c r="P673" s="497">
        <f t="shared" si="91"/>
        <v>0</v>
      </c>
      <c r="Q673" s="503"/>
    </row>
    <row r="674" spans="1:17" x14ac:dyDescent="0.35">
      <c r="A674" s="497" t="b">
        <f t="shared" ca="1" si="82"/>
        <v>0</v>
      </c>
      <c r="B674" s="511">
        <f t="shared" si="88"/>
        <v>107</v>
      </c>
      <c r="C674" s="517" t="str">
        <f ca="1">IF(COUNTA(D$475:D673)=1,"",OFFSET(B672,-COUNTA(D$475:D673)+3,1))</f>
        <v>a1W3p000005vRivEAE</v>
      </c>
      <c r="D674" s="497"/>
      <c r="E674" s="497">
        <f t="shared" ca="1" si="89"/>
        <v>5</v>
      </c>
      <c r="F674" s="516">
        <f ca="1">IF(COUNTA(D$475:D673)=1,"",OFFSET(F672,-COUNTA(D$475:D673)+3,0))</f>
        <v>3</v>
      </c>
      <c r="G674" s="497"/>
      <c r="H674" s="497">
        <f t="shared" ca="1" si="90"/>
        <v>13</v>
      </c>
      <c r="I674" s="512" t="str">
        <f t="shared" ca="1" si="83"/>
        <v/>
      </c>
      <c r="J674" s="502" t="str">
        <f t="shared" ca="1" si="84"/>
        <v/>
      </c>
      <c r="K674" s="500" t="str">
        <f t="shared" ca="1" si="85"/>
        <v/>
      </c>
      <c r="L674" s="503" t="str">
        <f ca="1">IFERROR(CHOOSE(E674,'Outcome Indicators - Section C '!$K$7,'Outcome Indicators - Section C '!$O$7,'Outcome Indicators - Section C '!$S$7,'Outcome Indicators - Section C '!$W$7),"")</f>
        <v/>
      </c>
      <c r="M674" s="514" t="str">
        <f t="shared" ca="1" si="86"/>
        <v/>
      </c>
      <c r="N674" s="503" t="str">
        <f t="shared" ca="1" si="87"/>
        <v/>
      </c>
      <c r="O674" s="497"/>
      <c r="P674" s="497">
        <f t="shared" si="91"/>
        <v>0</v>
      </c>
      <c r="Q674" s="503"/>
    </row>
    <row r="675" spans="1:17" x14ac:dyDescent="0.35">
      <c r="A675" s="497" t="b">
        <f t="shared" ca="1" si="82"/>
        <v>0</v>
      </c>
      <c r="B675" s="511">
        <f t="shared" si="88"/>
        <v>108</v>
      </c>
      <c r="C675" s="517" t="str">
        <f ca="1">IF(COUNTA(D$475:D674)=1,"",OFFSET(B673,-COUNTA(D$475:D674)+3,1))</f>
        <v>a1W3p000005vRjPEAU</v>
      </c>
      <c r="D675" s="497"/>
      <c r="E675" s="497">
        <f t="shared" ca="1" si="89"/>
        <v>6</v>
      </c>
      <c r="F675" s="516">
        <f ca="1">IF(COUNTA(D$475:D674)=1,"",OFFSET(F673,-COUNTA(D$475:D674)+3,0))</f>
        <v>3</v>
      </c>
      <c r="G675" s="497"/>
      <c r="H675" s="497">
        <f t="shared" ca="1" si="90"/>
        <v>13</v>
      </c>
      <c r="I675" s="512" t="str">
        <f t="shared" ca="1" si="83"/>
        <v/>
      </c>
      <c r="J675" s="502" t="str">
        <f t="shared" ca="1" si="84"/>
        <v/>
      </c>
      <c r="K675" s="500" t="str">
        <f t="shared" ca="1" si="85"/>
        <v/>
      </c>
      <c r="L675" s="503" t="str">
        <f ca="1">IFERROR(CHOOSE(E675,'Outcome Indicators - Section C '!$K$7,'Outcome Indicators - Section C '!$O$7,'Outcome Indicators - Section C '!$S$7,'Outcome Indicators - Section C '!$W$7),"")</f>
        <v/>
      </c>
      <c r="M675" s="514" t="str">
        <f t="shared" ca="1" si="86"/>
        <v/>
      </c>
      <c r="N675" s="503" t="str">
        <f t="shared" ca="1" si="87"/>
        <v/>
      </c>
      <c r="O675" s="497"/>
      <c r="P675" s="497">
        <f t="shared" si="91"/>
        <v>0</v>
      </c>
      <c r="Q675" s="503"/>
    </row>
    <row r="676" spans="1:17" x14ac:dyDescent="0.35">
      <c r="A676" s="497" t="b">
        <f t="shared" ca="1" si="82"/>
        <v>1</v>
      </c>
      <c r="B676" s="511">
        <f t="shared" si="88"/>
        <v>109</v>
      </c>
      <c r="C676" s="517" t="str">
        <f ca="1">IF(COUNTA(D$475:D675)=1,"",OFFSET(B674,-COUNTA(D$475:D675)+3,1))</f>
        <v>a1W3p000005vRh0EAE</v>
      </c>
      <c r="D676" s="497"/>
      <c r="E676" s="497">
        <f t="shared" ca="1" si="89"/>
        <v>1</v>
      </c>
      <c r="F676" s="516">
        <f ca="1">IF(COUNTA(D$475:D675)=1,"",OFFSET(F674,-COUNTA(D$475:D675)+3,0))</f>
        <v>4</v>
      </c>
      <c r="G676" s="497"/>
      <c r="H676" s="497">
        <f t="shared" ca="1" si="90"/>
        <v>15</v>
      </c>
      <c r="I676" s="512" t="str">
        <f t="shared" ca="1" si="83"/>
        <v/>
      </c>
      <c r="J676" s="502" t="str">
        <f t="shared" ca="1" si="84"/>
        <v/>
      </c>
      <c r="K676" s="500">
        <f t="shared" ca="1" si="85"/>
        <v>90</v>
      </c>
      <c r="L676" s="503">
        <f ca="1">IFERROR(CHOOSE(E676,'Outcome Indicators - Section C '!$K$7,'Outcome Indicators - Section C '!$O$7,'Outcome Indicators - Section C '!$S$7,'Outcome Indicators - Section C '!$W$7),"")</f>
        <v>2022</v>
      </c>
      <c r="M676" s="514">
        <f t="shared" ca="1" si="86"/>
        <v>45015</v>
      </c>
      <c r="N676" s="503" t="str">
        <f t="shared" ca="1" si="87"/>
        <v/>
      </c>
      <c r="O676" s="497"/>
      <c r="P676" s="497">
        <f t="shared" si="91"/>
        <v>0</v>
      </c>
      <c r="Q676" s="503"/>
    </row>
    <row r="677" spans="1:17" x14ac:dyDescent="0.35">
      <c r="A677" s="497" t="b">
        <f t="shared" ca="1" si="82"/>
        <v>1</v>
      </c>
      <c r="B677" s="511">
        <f t="shared" si="88"/>
        <v>110</v>
      </c>
      <c r="C677" s="517" t="str">
        <f ca="1">IF(COUNTA(D$475:D676)=1,"",OFFSET(B675,-COUNTA(D$475:D676)+3,1))</f>
        <v>a1W3p000005vRhUEAU</v>
      </c>
      <c r="D677" s="497"/>
      <c r="E677" s="497">
        <f t="shared" ca="1" si="89"/>
        <v>2</v>
      </c>
      <c r="F677" s="516">
        <f ca="1">IF(COUNTA(D$475:D676)=1,"",OFFSET(F675,-COUNTA(D$475:D676)+3,0))</f>
        <v>4</v>
      </c>
      <c r="G677" s="497"/>
      <c r="H677" s="497">
        <f t="shared" ca="1" si="90"/>
        <v>15</v>
      </c>
      <c r="I677" s="512" t="str">
        <f t="shared" ca="1" si="83"/>
        <v/>
      </c>
      <c r="J677" s="502" t="str">
        <f t="shared" ca="1" si="84"/>
        <v/>
      </c>
      <c r="K677" s="500">
        <f t="shared" ca="1" si="85"/>
        <v>90</v>
      </c>
      <c r="L677" s="503">
        <f ca="1">IFERROR(CHOOSE(E677,'Outcome Indicators - Section C '!$K$7,'Outcome Indicators - Section C '!$O$7,'Outcome Indicators - Section C '!$S$7,'Outcome Indicators - Section C '!$W$7),"")</f>
        <v>2023</v>
      </c>
      <c r="M677" s="514">
        <f t="shared" ca="1" si="86"/>
        <v>45381</v>
      </c>
      <c r="N677" s="503" t="str">
        <f t="shared" ca="1" si="87"/>
        <v/>
      </c>
      <c r="O677" s="497"/>
      <c r="P677" s="497">
        <f t="shared" si="91"/>
        <v>0</v>
      </c>
      <c r="Q677" s="503"/>
    </row>
    <row r="678" spans="1:17" x14ac:dyDescent="0.35">
      <c r="A678" s="497" t="b">
        <f t="shared" ca="1" si="82"/>
        <v>1</v>
      </c>
      <c r="B678" s="511">
        <f t="shared" si="88"/>
        <v>111</v>
      </c>
      <c r="C678" s="517" t="str">
        <f ca="1">IF(COUNTA(D$475:D677)=1,"",OFFSET(B676,-COUNTA(D$475:D677)+3,1))</f>
        <v>a1W3p000005vRhyEAE</v>
      </c>
      <c r="D678" s="497"/>
      <c r="E678" s="497">
        <f t="shared" ca="1" si="89"/>
        <v>3</v>
      </c>
      <c r="F678" s="516">
        <f ca="1">IF(COUNTA(D$475:D677)=1,"",OFFSET(F676,-COUNTA(D$475:D677)+3,0))</f>
        <v>4</v>
      </c>
      <c r="G678" s="497"/>
      <c r="H678" s="497">
        <f t="shared" ca="1" si="90"/>
        <v>15</v>
      </c>
      <c r="I678" s="512" t="str">
        <f t="shared" ca="1" si="83"/>
        <v/>
      </c>
      <c r="J678" s="502" t="str">
        <f t="shared" ca="1" si="84"/>
        <v/>
      </c>
      <c r="K678" s="500">
        <f t="shared" ca="1" si="85"/>
        <v>90</v>
      </c>
      <c r="L678" s="503">
        <f ca="1">IFERROR(CHOOSE(E678,'Outcome Indicators - Section C '!$K$7,'Outcome Indicators - Section C '!$O$7,'Outcome Indicators - Section C '!$S$7,'Outcome Indicators - Section C '!$W$7),"")</f>
        <v>2024</v>
      </c>
      <c r="M678" s="514">
        <f t="shared" ca="1" si="86"/>
        <v>45746</v>
      </c>
      <c r="N678" s="503" t="str">
        <f t="shared" ca="1" si="87"/>
        <v/>
      </c>
      <c r="O678" s="497"/>
      <c r="P678" s="497">
        <f t="shared" si="91"/>
        <v>0</v>
      </c>
      <c r="Q678" s="503"/>
    </row>
    <row r="679" spans="1:17" x14ac:dyDescent="0.35">
      <c r="A679" s="497" t="b">
        <f t="shared" ca="1" si="82"/>
        <v>0</v>
      </c>
      <c r="B679" s="511">
        <f t="shared" si="88"/>
        <v>112</v>
      </c>
      <c r="C679" s="517" t="str">
        <f ca="1">IF(COUNTA(D$475:D678)=1,"",OFFSET(B677,-COUNTA(D$475:D678)+3,1))</f>
        <v>a1W3p000005vRiSEAU</v>
      </c>
      <c r="D679" s="497"/>
      <c r="E679" s="497">
        <f t="shared" ca="1" si="89"/>
        <v>4</v>
      </c>
      <c r="F679" s="516">
        <f ca="1">IF(COUNTA(D$475:D678)=1,"",OFFSET(F677,-COUNTA(D$475:D678)+3,0))</f>
        <v>4</v>
      </c>
      <c r="G679" s="497"/>
      <c r="H679" s="497">
        <f t="shared" ca="1" si="90"/>
        <v>15</v>
      </c>
      <c r="I679" s="512" t="str">
        <f t="shared" ca="1" si="83"/>
        <v/>
      </c>
      <c r="J679" s="502" t="str">
        <f t="shared" ca="1" si="84"/>
        <v/>
      </c>
      <c r="K679" s="500" t="str">
        <f t="shared" ca="1" si="85"/>
        <v/>
      </c>
      <c r="L679" s="503" t="str">
        <f ca="1">IFERROR(CHOOSE(E679,'Outcome Indicators - Section C '!$K$7,'Outcome Indicators - Section C '!$O$7,'Outcome Indicators - Section C '!$S$7,'Outcome Indicators - Section C '!$W$7),"")</f>
        <v/>
      </c>
      <c r="M679" s="514" t="str">
        <f t="shared" ca="1" si="86"/>
        <v/>
      </c>
      <c r="N679" s="503" t="str">
        <f t="shared" ca="1" si="87"/>
        <v/>
      </c>
      <c r="O679" s="497"/>
      <c r="P679" s="497">
        <f t="shared" si="91"/>
        <v>0</v>
      </c>
      <c r="Q679" s="503"/>
    </row>
    <row r="680" spans="1:17" x14ac:dyDescent="0.35">
      <c r="A680" s="497" t="b">
        <f t="shared" ca="1" si="82"/>
        <v>0</v>
      </c>
      <c r="B680" s="511">
        <f t="shared" si="88"/>
        <v>113</v>
      </c>
      <c r="C680" s="517" t="str">
        <f ca="1">IF(COUNTA(D$475:D679)=1,"",OFFSET(B678,-COUNTA(D$475:D679)+3,1))</f>
        <v>a1W3p000005vRiwEAE</v>
      </c>
      <c r="D680" s="497"/>
      <c r="E680" s="497">
        <f t="shared" ca="1" si="89"/>
        <v>5</v>
      </c>
      <c r="F680" s="516">
        <f ca="1">IF(COUNTA(D$475:D679)=1,"",OFFSET(F678,-COUNTA(D$475:D679)+3,0))</f>
        <v>4</v>
      </c>
      <c r="G680" s="497"/>
      <c r="H680" s="497">
        <f t="shared" ca="1" si="90"/>
        <v>15</v>
      </c>
      <c r="I680" s="512" t="str">
        <f t="shared" ca="1" si="83"/>
        <v/>
      </c>
      <c r="J680" s="502" t="str">
        <f t="shared" ca="1" si="84"/>
        <v/>
      </c>
      <c r="K680" s="500" t="str">
        <f t="shared" ca="1" si="85"/>
        <v/>
      </c>
      <c r="L680" s="503" t="str">
        <f ca="1">IFERROR(CHOOSE(E680,'Outcome Indicators - Section C '!$K$7,'Outcome Indicators - Section C '!$O$7,'Outcome Indicators - Section C '!$S$7,'Outcome Indicators - Section C '!$W$7),"")</f>
        <v/>
      </c>
      <c r="M680" s="514" t="str">
        <f t="shared" ca="1" si="86"/>
        <v/>
      </c>
      <c r="N680" s="503" t="str">
        <f t="shared" ca="1" si="87"/>
        <v/>
      </c>
      <c r="O680" s="497"/>
      <c r="P680" s="497">
        <f t="shared" si="91"/>
        <v>0</v>
      </c>
      <c r="Q680" s="503"/>
    </row>
    <row r="681" spans="1:17" x14ac:dyDescent="0.35">
      <c r="A681" s="497" t="b">
        <f t="shared" ca="1" si="82"/>
        <v>0</v>
      </c>
      <c r="B681" s="511">
        <f t="shared" si="88"/>
        <v>114</v>
      </c>
      <c r="C681" s="517" t="str">
        <f ca="1">IF(COUNTA(D$475:D680)=1,"",OFFSET(B679,-COUNTA(D$475:D680)+3,1))</f>
        <v>a1W3p000005vRjQEAU</v>
      </c>
      <c r="D681" s="497"/>
      <c r="E681" s="497">
        <f t="shared" ca="1" si="89"/>
        <v>6</v>
      </c>
      <c r="F681" s="516">
        <f ca="1">IF(COUNTA(D$475:D680)=1,"",OFFSET(F679,-COUNTA(D$475:D680)+3,0))</f>
        <v>4</v>
      </c>
      <c r="G681" s="497"/>
      <c r="H681" s="497">
        <f t="shared" ca="1" si="90"/>
        <v>15</v>
      </c>
      <c r="I681" s="512" t="str">
        <f t="shared" ca="1" si="83"/>
        <v/>
      </c>
      <c r="J681" s="502" t="str">
        <f t="shared" ca="1" si="84"/>
        <v/>
      </c>
      <c r="K681" s="500" t="str">
        <f t="shared" ca="1" si="85"/>
        <v/>
      </c>
      <c r="L681" s="503" t="str">
        <f ca="1">IFERROR(CHOOSE(E681,'Outcome Indicators - Section C '!$K$7,'Outcome Indicators - Section C '!$O$7,'Outcome Indicators - Section C '!$S$7,'Outcome Indicators - Section C '!$W$7),"")</f>
        <v/>
      </c>
      <c r="M681" s="514" t="str">
        <f t="shared" ca="1" si="86"/>
        <v/>
      </c>
      <c r="N681" s="503" t="str">
        <f t="shared" ca="1" si="87"/>
        <v/>
      </c>
      <c r="O681" s="497"/>
      <c r="P681" s="497">
        <f t="shared" si="91"/>
        <v>0</v>
      </c>
      <c r="Q681" s="503"/>
    </row>
    <row r="682" spans="1:17" x14ac:dyDescent="0.35">
      <c r="A682" s="497" t="b">
        <f t="shared" ca="1" si="82"/>
        <v>1</v>
      </c>
      <c r="B682" s="511">
        <f t="shared" si="88"/>
        <v>115</v>
      </c>
      <c r="C682" s="517" t="str">
        <f ca="1">IF(COUNTA(D$475:D681)=1,"",OFFSET(B680,-COUNTA(D$475:D681)+3,1))</f>
        <v>a1W3p000005vRh1EAE</v>
      </c>
      <c r="D682" s="497"/>
      <c r="E682" s="497">
        <f t="shared" ca="1" si="89"/>
        <v>1</v>
      </c>
      <c r="F682" s="516">
        <f ca="1">IF(COUNTA(D$475:D681)=1,"",OFFSET(F680,-COUNTA(D$475:D681)+3,0))</f>
        <v>5</v>
      </c>
      <c r="G682" s="497"/>
      <c r="H682" s="497">
        <f t="shared" ca="1" si="90"/>
        <v>17</v>
      </c>
      <c r="I682" s="512" t="str">
        <f t="shared" ca="1" si="83"/>
        <v/>
      </c>
      <c r="J682" s="502" t="str">
        <f t="shared" ca="1" si="84"/>
        <v/>
      </c>
      <c r="K682" s="500">
        <f t="shared" ca="1" si="85"/>
        <v>47.82</v>
      </c>
      <c r="L682" s="503">
        <f ca="1">IFERROR(CHOOSE(E682,'Outcome Indicators - Section C '!$K$7,'Outcome Indicators - Section C '!$O$7,'Outcome Indicators - Section C '!$S$7,'Outcome Indicators - Section C '!$W$7),"")</f>
        <v>2022</v>
      </c>
      <c r="M682" s="514">
        <f t="shared" ca="1" si="86"/>
        <v>45015</v>
      </c>
      <c r="N682" s="503" t="str">
        <f t="shared" ca="1" si="87"/>
        <v/>
      </c>
      <c r="O682" s="497"/>
      <c r="P682" s="497">
        <f t="shared" si="91"/>
        <v>0</v>
      </c>
      <c r="Q682" s="503"/>
    </row>
    <row r="683" spans="1:17" x14ac:dyDescent="0.35">
      <c r="A683" s="497" t="b">
        <f t="shared" ca="1" si="82"/>
        <v>1</v>
      </c>
      <c r="B683" s="511">
        <f t="shared" si="88"/>
        <v>116</v>
      </c>
      <c r="C683" s="517" t="str">
        <f ca="1">IF(COUNTA(D$475:D682)=1,"",OFFSET(B681,-COUNTA(D$475:D682)+3,1))</f>
        <v>a1W3p000005vRhVEAU</v>
      </c>
      <c r="D683" s="497"/>
      <c r="E683" s="497">
        <f t="shared" ca="1" si="89"/>
        <v>2</v>
      </c>
      <c r="F683" s="516">
        <f ca="1">IF(COUNTA(D$475:D682)=1,"",OFFSET(F681,-COUNTA(D$475:D682)+3,0))</f>
        <v>5</v>
      </c>
      <c r="G683" s="497"/>
      <c r="H683" s="497">
        <f t="shared" ca="1" si="90"/>
        <v>17</v>
      </c>
      <c r="I683" s="512" t="str">
        <f t="shared" ca="1" si="83"/>
        <v/>
      </c>
      <c r="J683" s="502" t="str">
        <f t="shared" ca="1" si="84"/>
        <v/>
      </c>
      <c r="K683" s="500">
        <f t="shared" ca="1" si="85"/>
        <v>50</v>
      </c>
      <c r="L683" s="503">
        <f ca="1">IFERROR(CHOOSE(E683,'Outcome Indicators - Section C '!$K$7,'Outcome Indicators - Section C '!$O$7,'Outcome Indicators - Section C '!$S$7,'Outcome Indicators - Section C '!$W$7),"")</f>
        <v>2023</v>
      </c>
      <c r="M683" s="514">
        <f t="shared" ca="1" si="86"/>
        <v>45381</v>
      </c>
      <c r="N683" s="503" t="str">
        <f t="shared" ca="1" si="87"/>
        <v/>
      </c>
      <c r="O683" s="497"/>
      <c r="P683" s="497">
        <f t="shared" si="91"/>
        <v>0</v>
      </c>
      <c r="Q683" s="503"/>
    </row>
    <row r="684" spans="1:17" x14ac:dyDescent="0.35">
      <c r="A684" s="497" t="b">
        <f t="shared" ca="1" si="82"/>
        <v>1</v>
      </c>
      <c r="B684" s="511">
        <f t="shared" si="88"/>
        <v>117</v>
      </c>
      <c r="C684" s="517" t="str">
        <f ca="1">IF(COUNTA(D$475:D683)=1,"",OFFSET(B682,-COUNTA(D$475:D683)+3,1))</f>
        <v>a1W3p000005vRhzEAE</v>
      </c>
      <c r="D684" s="497"/>
      <c r="E684" s="497">
        <f t="shared" ca="1" si="89"/>
        <v>3</v>
      </c>
      <c r="F684" s="516">
        <f ca="1">IF(COUNTA(D$475:D683)=1,"",OFFSET(F682,-COUNTA(D$475:D683)+3,0))</f>
        <v>5</v>
      </c>
      <c r="G684" s="497"/>
      <c r="H684" s="497">
        <f t="shared" ca="1" si="90"/>
        <v>17</v>
      </c>
      <c r="I684" s="512" t="str">
        <f t="shared" ca="1" si="83"/>
        <v/>
      </c>
      <c r="J684" s="502" t="str">
        <f t="shared" ca="1" si="84"/>
        <v/>
      </c>
      <c r="K684" s="500">
        <f t="shared" ca="1" si="85"/>
        <v>55.000000000000007</v>
      </c>
      <c r="L684" s="503">
        <f ca="1">IFERROR(CHOOSE(E684,'Outcome Indicators - Section C '!$K$7,'Outcome Indicators - Section C '!$O$7,'Outcome Indicators - Section C '!$S$7,'Outcome Indicators - Section C '!$W$7),"")</f>
        <v>2024</v>
      </c>
      <c r="M684" s="514">
        <f t="shared" ca="1" si="86"/>
        <v>45746</v>
      </c>
      <c r="N684" s="503" t="str">
        <f t="shared" ca="1" si="87"/>
        <v/>
      </c>
      <c r="O684" s="497"/>
      <c r="P684" s="497">
        <f t="shared" si="91"/>
        <v>0</v>
      </c>
      <c r="Q684" s="503"/>
    </row>
    <row r="685" spans="1:17" x14ac:dyDescent="0.35">
      <c r="A685" s="497" t="b">
        <f t="shared" ca="1" si="82"/>
        <v>0</v>
      </c>
      <c r="B685" s="511">
        <f t="shared" si="88"/>
        <v>118</v>
      </c>
      <c r="C685" s="517" t="str">
        <f ca="1">IF(COUNTA(D$475:D684)=1,"",OFFSET(B683,-COUNTA(D$475:D684)+3,1))</f>
        <v>a1W3p000005vRiTEAU</v>
      </c>
      <c r="D685" s="497"/>
      <c r="E685" s="497">
        <f t="shared" ca="1" si="89"/>
        <v>4</v>
      </c>
      <c r="F685" s="516">
        <f ca="1">IF(COUNTA(D$475:D684)=1,"",OFFSET(F683,-COUNTA(D$475:D684)+3,0))</f>
        <v>5</v>
      </c>
      <c r="G685" s="497"/>
      <c r="H685" s="497">
        <f t="shared" ca="1" si="90"/>
        <v>17</v>
      </c>
      <c r="I685" s="512" t="str">
        <f t="shared" ca="1" si="83"/>
        <v/>
      </c>
      <c r="J685" s="502" t="str">
        <f t="shared" ca="1" si="84"/>
        <v/>
      </c>
      <c r="K685" s="500" t="str">
        <f t="shared" ca="1" si="85"/>
        <v/>
      </c>
      <c r="L685" s="503" t="str">
        <f ca="1">IFERROR(CHOOSE(E685,'Outcome Indicators - Section C '!$K$7,'Outcome Indicators - Section C '!$O$7,'Outcome Indicators - Section C '!$S$7,'Outcome Indicators - Section C '!$W$7),"")</f>
        <v/>
      </c>
      <c r="M685" s="514" t="str">
        <f t="shared" ca="1" si="86"/>
        <v/>
      </c>
      <c r="N685" s="503" t="str">
        <f t="shared" ca="1" si="87"/>
        <v/>
      </c>
      <c r="O685" s="497"/>
      <c r="P685" s="497">
        <f t="shared" si="91"/>
        <v>0</v>
      </c>
      <c r="Q685" s="503"/>
    </row>
    <row r="686" spans="1:17" x14ac:dyDescent="0.35">
      <c r="A686" s="497" t="b">
        <f t="shared" ca="1" si="82"/>
        <v>0</v>
      </c>
      <c r="B686" s="511">
        <f t="shared" si="88"/>
        <v>119</v>
      </c>
      <c r="C686" s="517" t="str">
        <f ca="1">IF(COUNTA(D$475:D685)=1,"",OFFSET(B684,-COUNTA(D$475:D685)+3,1))</f>
        <v>a1W3p000005vRixEAE</v>
      </c>
      <c r="D686" s="497"/>
      <c r="E686" s="497">
        <f t="shared" ca="1" si="89"/>
        <v>5</v>
      </c>
      <c r="F686" s="516">
        <f ca="1">IF(COUNTA(D$475:D685)=1,"",OFFSET(F684,-COUNTA(D$475:D685)+3,0))</f>
        <v>5</v>
      </c>
      <c r="G686" s="497"/>
      <c r="H686" s="497">
        <f t="shared" ca="1" si="90"/>
        <v>17</v>
      </c>
      <c r="I686" s="512" t="str">
        <f t="shared" ca="1" si="83"/>
        <v/>
      </c>
      <c r="J686" s="502" t="str">
        <f t="shared" ca="1" si="84"/>
        <v/>
      </c>
      <c r="K686" s="500" t="str">
        <f t="shared" ca="1" si="85"/>
        <v/>
      </c>
      <c r="L686" s="503" t="str">
        <f ca="1">IFERROR(CHOOSE(E686,'Outcome Indicators - Section C '!$K$7,'Outcome Indicators - Section C '!$O$7,'Outcome Indicators - Section C '!$S$7,'Outcome Indicators - Section C '!$W$7),"")</f>
        <v/>
      </c>
      <c r="M686" s="514" t="str">
        <f t="shared" ca="1" si="86"/>
        <v/>
      </c>
      <c r="N686" s="503" t="str">
        <f t="shared" ca="1" si="87"/>
        <v/>
      </c>
      <c r="O686" s="497"/>
      <c r="P686" s="497">
        <f t="shared" si="91"/>
        <v>0</v>
      </c>
      <c r="Q686" s="503"/>
    </row>
    <row r="687" spans="1:17" x14ac:dyDescent="0.35">
      <c r="A687" s="497" t="b">
        <f t="shared" ca="1" si="82"/>
        <v>0</v>
      </c>
      <c r="B687" s="511">
        <f t="shared" si="88"/>
        <v>120</v>
      </c>
      <c r="C687" s="517" t="str">
        <f ca="1">IF(COUNTA(D$475:D686)=1,"",OFFSET(B685,-COUNTA(D$475:D686)+3,1))</f>
        <v>a1W3p000005vRjREAU</v>
      </c>
      <c r="D687" s="497"/>
      <c r="E687" s="497">
        <f t="shared" ca="1" si="89"/>
        <v>6</v>
      </c>
      <c r="F687" s="516">
        <f ca="1">IF(COUNTA(D$475:D686)=1,"",OFFSET(F685,-COUNTA(D$475:D686)+3,0))</f>
        <v>5</v>
      </c>
      <c r="G687" s="497"/>
      <c r="H687" s="497">
        <f t="shared" ca="1" si="90"/>
        <v>17</v>
      </c>
      <c r="I687" s="512" t="str">
        <f t="shared" ca="1" si="83"/>
        <v/>
      </c>
      <c r="J687" s="502" t="str">
        <f t="shared" ca="1" si="84"/>
        <v/>
      </c>
      <c r="K687" s="500" t="str">
        <f t="shared" ca="1" si="85"/>
        <v/>
      </c>
      <c r="L687" s="503" t="str">
        <f ca="1">IFERROR(CHOOSE(E687,'Outcome Indicators - Section C '!$K$7,'Outcome Indicators - Section C '!$O$7,'Outcome Indicators - Section C '!$S$7,'Outcome Indicators - Section C '!$W$7),"")</f>
        <v/>
      </c>
      <c r="M687" s="514" t="str">
        <f t="shared" ca="1" si="86"/>
        <v/>
      </c>
      <c r="N687" s="503" t="str">
        <f t="shared" ca="1" si="87"/>
        <v/>
      </c>
      <c r="O687" s="497"/>
      <c r="P687" s="497">
        <f t="shared" si="91"/>
        <v>0</v>
      </c>
      <c r="Q687" s="503"/>
    </row>
    <row r="688" spans="1:17" x14ac:dyDescent="0.35">
      <c r="A688" s="497" t="b">
        <f t="shared" ca="1" si="82"/>
        <v>0</v>
      </c>
      <c r="B688" s="511">
        <f t="shared" si="88"/>
        <v>121</v>
      </c>
      <c r="C688" s="517" t="str">
        <f ca="1">IF(COUNTA(D$475:D687)=1,"",OFFSET(B686,-COUNTA(D$475:D687)+3,1))</f>
        <v>a1W3p000005vRh2EAE</v>
      </c>
      <c r="D688" s="497"/>
      <c r="E688" s="497">
        <f t="shared" ca="1" si="89"/>
        <v>1</v>
      </c>
      <c r="F688" s="516">
        <f ca="1">IF(COUNTA(D$475:D687)=1,"",OFFSET(F686,-COUNTA(D$475:D687)+3,0))</f>
        <v>6</v>
      </c>
      <c r="G688" s="497"/>
      <c r="H688" s="497">
        <f t="shared" ca="1" si="90"/>
        <v>19</v>
      </c>
      <c r="I688" s="512" t="str">
        <f t="shared" ca="1" si="83"/>
        <v/>
      </c>
      <c r="J688" s="502" t="str">
        <f t="shared" ca="1" si="84"/>
        <v/>
      </c>
      <c r="K688" s="500" t="str">
        <f t="shared" ca="1" si="85"/>
        <v/>
      </c>
      <c r="L688" s="503">
        <f ca="1">IFERROR(CHOOSE(E688,'Outcome Indicators - Section C '!$K$7,'Outcome Indicators - Section C '!$O$7,'Outcome Indicators - Section C '!$S$7,'Outcome Indicators - Section C '!$W$7),"")</f>
        <v>2022</v>
      </c>
      <c r="M688" s="514" t="str">
        <f t="shared" ca="1" si="86"/>
        <v/>
      </c>
      <c r="N688" s="503" t="str">
        <f t="shared" ca="1" si="87"/>
        <v/>
      </c>
      <c r="O688" s="497"/>
      <c r="P688" s="497">
        <f t="shared" si="91"/>
        <v>0</v>
      </c>
      <c r="Q688" s="503"/>
    </row>
    <row r="689" spans="1:17" x14ac:dyDescent="0.35">
      <c r="A689" s="497" t="b">
        <f t="shared" ca="1" si="82"/>
        <v>0</v>
      </c>
      <c r="B689" s="511">
        <f t="shared" si="88"/>
        <v>122</v>
      </c>
      <c r="C689" s="517" t="str">
        <f ca="1">IF(COUNTA(D$475:D688)=1,"",OFFSET(B687,-COUNTA(D$475:D688)+3,1))</f>
        <v>a1W3p000005vRhWEAU</v>
      </c>
      <c r="D689" s="497"/>
      <c r="E689" s="497">
        <f t="shared" ca="1" si="89"/>
        <v>2</v>
      </c>
      <c r="F689" s="516">
        <f ca="1">IF(COUNTA(D$475:D688)=1,"",OFFSET(F687,-COUNTA(D$475:D688)+3,0))</f>
        <v>6</v>
      </c>
      <c r="G689" s="497"/>
      <c r="H689" s="497">
        <f t="shared" ca="1" si="90"/>
        <v>19</v>
      </c>
      <c r="I689" s="512" t="str">
        <f t="shared" ca="1" si="83"/>
        <v/>
      </c>
      <c r="J689" s="502" t="str">
        <f t="shared" ca="1" si="84"/>
        <v/>
      </c>
      <c r="K689" s="500" t="str">
        <f t="shared" ca="1" si="85"/>
        <v/>
      </c>
      <c r="L689" s="503">
        <f ca="1">IFERROR(CHOOSE(E689,'Outcome Indicators - Section C '!$K$7,'Outcome Indicators - Section C '!$O$7,'Outcome Indicators - Section C '!$S$7,'Outcome Indicators - Section C '!$W$7),"")</f>
        <v>2023</v>
      </c>
      <c r="M689" s="514" t="str">
        <f t="shared" ca="1" si="86"/>
        <v/>
      </c>
      <c r="N689" s="503" t="str">
        <f t="shared" ca="1" si="87"/>
        <v/>
      </c>
      <c r="O689" s="497"/>
      <c r="P689" s="497">
        <f t="shared" si="91"/>
        <v>0</v>
      </c>
      <c r="Q689" s="503"/>
    </row>
    <row r="690" spans="1:17" x14ac:dyDescent="0.35">
      <c r="A690" s="497" t="b">
        <f t="shared" ca="1" si="82"/>
        <v>0</v>
      </c>
      <c r="B690" s="511">
        <f t="shared" si="88"/>
        <v>123</v>
      </c>
      <c r="C690" s="517" t="str">
        <f ca="1">IF(COUNTA(D$475:D689)=1,"",OFFSET(B688,-COUNTA(D$475:D689)+3,1))</f>
        <v>a1W3p000005vRi0EAE</v>
      </c>
      <c r="D690" s="497"/>
      <c r="E690" s="497">
        <f t="shared" ca="1" si="89"/>
        <v>3</v>
      </c>
      <c r="F690" s="516">
        <f ca="1">IF(COUNTA(D$475:D689)=1,"",OFFSET(F688,-COUNTA(D$475:D689)+3,0))</f>
        <v>6</v>
      </c>
      <c r="G690" s="497"/>
      <c r="H690" s="497">
        <f t="shared" ca="1" si="90"/>
        <v>19</v>
      </c>
      <c r="I690" s="512" t="str">
        <f t="shared" ca="1" si="83"/>
        <v/>
      </c>
      <c r="J690" s="502" t="str">
        <f t="shared" ca="1" si="84"/>
        <v/>
      </c>
      <c r="K690" s="500" t="str">
        <f t="shared" ca="1" si="85"/>
        <v/>
      </c>
      <c r="L690" s="503">
        <f ca="1">IFERROR(CHOOSE(E690,'Outcome Indicators - Section C '!$K$7,'Outcome Indicators - Section C '!$O$7,'Outcome Indicators - Section C '!$S$7,'Outcome Indicators - Section C '!$W$7),"")</f>
        <v>2024</v>
      </c>
      <c r="M690" s="514" t="str">
        <f t="shared" ca="1" si="86"/>
        <v/>
      </c>
      <c r="N690" s="503" t="str">
        <f t="shared" ca="1" si="87"/>
        <v/>
      </c>
      <c r="O690" s="497"/>
      <c r="P690" s="497">
        <f t="shared" si="91"/>
        <v>0</v>
      </c>
      <c r="Q690" s="503"/>
    </row>
    <row r="691" spans="1:17" x14ac:dyDescent="0.35">
      <c r="A691" s="497" t="b">
        <f t="shared" ca="1" si="82"/>
        <v>0</v>
      </c>
      <c r="B691" s="511">
        <f t="shared" si="88"/>
        <v>124</v>
      </c>
      <c r="C691" s="517" t="str">
        <f ca="1">IF(COUNTA(D$475:D690)=1,"",OFFSET(B689,-COUNTA(D$475:D690)+3,1))</f>
        <v>a1W3p000005vRiUEAU</v>
      </c>
      <c r="D691" s="497"/>
      <c r="E691" s="497">
        <f t="shared" ca="1" si="89"/>
        <v>4</v>
      </c>
      <c r="F691" s="516">
        <f ca="1">IF(COUNTA(D$475:D690)=1,"",OFFSET(F689,-COUNTA(D$475:D690)+3,0))</f>
        <v>6</v>
      </c>
      <c r="G691" s="497"/>
      <c r="H691" s="497">
        <f t="shared" ca="1" si="90"/>
        <v>19</v>
      </c>
      <c r="I691" s="512" t="str">
        <f t="shared" ca="1" si="83"/>
        <v/>
      </c>
      <c r="J691" s="502" t="str">
        <f t="shared" ca="1" si="84"/>
        <v/>
      </c>
      <c r="K691" s="500" t="str">
        <f t="shared" ca="1" si="85"/>
        <v/>
      </c>
      <c r="L691" s="503" t="str">
        <f ca="1">IFERROR(CHOOSE(E691,'Outcome Indicators - Section C '!$K$7,'Outcome Indicators - Section C '!$O$7,'Outcome Indicators - Section C '!$S$7,'Outcome Indicators - Section C '!$W$7),"")</f>
        <v/>
      </c>
      <c r="M691" s="514" t="str">
        <f t="shared" ca="1" si="86"/>
        <v/>
      </c>
      <c r="N691" s="503" t="str">
        <f t="shared" ca="1" si="87"/>
        <v/>
      </c>
      <c r="O691" s="497"/>
      <c r="P691" s="497">
        <f t="shared" si="91"/>
        <v>0</v>
      </c>
      <c r="Q691" s="503"/>
    </row>
    <row r="692" spans="1:17" x14ac:dyDescent="0.35">
      <c r="A692" s="497" t="b">
        <f t="shared" ca="1" si="82"/>
        <v>0</v>
      </c>
      <c r="B692" s="511">
        <f t="shared" si="88"/>
        <v>125</v>
      </c>
      <c r="C692" s="517" t="str">
        <f ca="1">IF(COUNTA(D$475:D691)=1,"",OFFSET(B690,-COUNTA(D$475:D691)+3,1))</f>
        <v>a1W3p000005vRiyEAE</v>
      </c>
      <c r="D692" s="497"/>
      <c r="E692" s="497">
        <f t="shared" ca="1" si="89"/>
        <v>5</v>
      </c>
      <c r="F692" s="516">
        <f ca="1">IF(COUNTA(D$475:D691)=1,"",OFFSET(F690,-COUNTA(D$475:D691)+3,0))</f>
        <v>6</v>
      </c>
      <c r="G692" s="497"/>
      <c r="H692" s="497">
        <f t="shared" ca="1" si="90"/>
        <v>19</v>
      </c>
      <c r="I692" s="512" t="str">
        <f t="shared" ca="1" si="83"/>
        <v/>
      </c>
      <c r="J692" s="502" t="str">
        <f t="shared" ca="1" si="84"/>
        <v/>
      </c>
      <c r="K692" s="500" t="str">
        <f t="shared" ca="1" si="85"/>
        <v/>
      </c>
      <c r="L692" s="503" t="str">
        <f ca="1">IFERROR(CHOOSE(E692,'Outcome Indicators - Section C '!$K$7,'Outcome Indicators - Section C '!$O$7,'Outcome Indicators - Section C '!$S$7,'Outcome Indicators - Section C '!$W$7),"")</f>
        <v/>
      </c>
      <c r="M692" s="514" t="str">
        <f t="shared" ca="1" si="86"/>
        <v/>
      </c>
      <c r="N692" s="503" t="str">
        <f t="shared" ca="1" si="87"/>
        <v/>
      </c>
      <c r="O692" s="497"/>
      <c r="P692" s="497">
        <f t="shared" si="91"/>
        <v>0</v>
      </c>
      <c r="Q692" s="503"/>
    </row>
    <row r="693" spans="1:17" x14ac:dyDescent="0.35">
      <c r="A693" s="497" t="b">
        <f t="shared" ca="1" si="82"/>
        <v>0</v>
      </c>
      <c r="B693" s="511">
        <f t="shared" si="88"/>
        <v>126</v>
      </c>
      <c r="C693" s="517" t="str">
        <f ca="1">IF(COUNTA(D$475:D692)=1,"",OFFSET(B691,-COUNTA(D$475:D692)+3,1))</f>
        <v>a1W3p000005vRjSEAU</v>
      </c>
      <c r="D693" s="497"/>
      <c r="E693" s="497">
        <f t="shared" ca="1" si="89"/>
        <v>6</v>
      </c>
      <c r="F693" s="516">
        <f ca="1">IF(COUNTA(D$475:D692)=1,"",OFFSET(F691,-COUNTA(D$475:D692)+3,0))</f>
        <v>6</v>
      </c>
      <c r="G693" s="497"/>
      <c r="H693" s="497">
        <f t="shared" ca="1" si="90"/>
        <v>19</v>
      </c>
      <c r="I693" s="512" t="str">
        <f t="shared" ca="1" si="83"/>
        <v/>
      </c>
      <c r="J693" s="502" t="str">
        <f t="shared" ca="1" si="84"/>
        <v/>
      </c>
      <c r="K693" s="500" t="str">
        <f t="shared" ca="1" si="85"/>
        <v/>
      </c>
      <c r="L693" s="503" t="str">
        <f ca="1">IFERROR(CHOOSE(E693,'Outcome Indicators - Section C '!$K$7,'Outcome Indicators - Section C '!$O$7,'Outcome Indicators - Section C '!$S$7,'Outcome Indicators - Section C '!$W$7),"")</f>
        <v/>
      </c>
      <c r="M693" s="514" t="str">
        <f t="shared" ca="1" si="86"/>
        <v/>
      </c>
      <c r="N693" s="503" t="str">
        <f t="shared" ca="1" si="87"/>
        <v/>
      </c>
      <c r="O693" s="497"/>
      <c r="P693" s="497">
        <f t="shared" si="91"/>
        <v>0</v>
      </c>
      <c r="Q693" s="503"/>
    </row>
    <row r="694" spans="1:17" x14ac:dyDescent="0.35">
      <c r="A694" s="497" t="b">
        <f t="shared" ca="1" si="82"/>
        <v>0</v>
      </c>
      <c r="B694" s="511">
        <f t="shared" si="88"/>
        <v>127</v>
      </c>
      <c r="C694" s="517" t="str">
        <f ca="1">IF(COUNTA(D$475:D693)=1,"",OFFSET(B692,-COUNTA(D$475:D693)+3,1))</f>
        <v>a1W3p000005vRh3EAE</v>
      </c>
      <c r="D694" s="497"/>
      <c r="E694" s="497">
        <f t="shared" ca="1" si="89"/>
        <v>1</v>
      </c>
      <c r="F694" s="516">
        <f ca="1">IF(COUNTA(D$475:D693)=1,"",OFFSET(F692,-COUNTA(D$475:D693)+3,0))</f>
        <v>7</v>
      </c>
      <c r="G694" s="497"/>
      <c r="H694" s="497">
        <f t="shared" ca="1" si="90"/>
        <v>21</v>
      </c>
      <c r="I694" s="512" t="str">
        <f t="shared" ca="1" si="83"/>
        <v/>
      </c>
      <c r="J694" s="502" t="str">
        <f t="shared" ca="1" si="84"/>
        <v/>
      </c>
      <c r="K694" s="500" t="str">
        <f t="shared" ca="1" si="85"/>
        <v/>
      </c>
      <c r="L694" s="503">
        <f ca="1">IFERROR(CHOOSE(E694,'Outcome Indicators - Section C '!$K$7,'Outcome Indicators - Section C '!$O$7,'Outcome Indicators - Section C '!$S$7,'Outcome Indicators - Section C '!$W$7),"")</f>
        <v>2022</v>
      </c>
      <c r="M694" s="514" t="str">
        <f t="shared" ca="1" si="86"/>
        <v/>
      </c>
      <c r="N694" s="503" t="str">
        <f t="shared" ca="1" si="87"/>
        <v/>
      </c>
      <c r="O694" s="497"/>
      <c r="P694" s="497">
        <f t="shared" si="91"/>
        <v>0</v>
      </c>
      <c r="Q694" s="503"/>
    </row>
    <row r="695" spans="1:17" x14ac:dyDescent="0.35">
      <c r="A695" s="497" t="b">
        <f t="shared" ca="1" si="82"/>
        <v>0</v>
      </c>
      <c r="B695" s="511">
        <f t="shared" si="88"/>
        <v>128</v>
      </c>
      <c r="C695" s="517" t="str">
        <f ca="1">IF(COUNTA(D$475:D694)=1,"",OFFSET(B693,-COUNTA(D$475:D694)+3,1))</f>
        <v>a1W3p000005vRhXEAU</v>
      </c>
      <c r="D695" s="497"/>
      <c r="E695" s="497">
        <f t="shared" ca="1" si="89"/>
        <v>2</v>
      </c>
      <c r="F695" s="516">
        <f ca="1">IF(COUNTA(D$475:D694)=1,"",OFFSET(F693,-COUNTA(D$475:D694)+3,0))</f>
        <v>7</v>
      </c>
      <c r="G695" s="497"/>
      <c r="H695" s="497">
        <f t="shared" ca="1" si="90"/>
        <v>21</v>
      </c>
      <c r="I695" s="512" t="str">
        <f t="shared" ca="1" si="83"/>
        <v/>
      </c>
      <c r="J695" s="502" t="str">
        <f t="shared" ca="1" si="84"/>
        <v/>
      </c>
      <c r="K695" s="500" t="str">
        <f t="shared" ca="1" si="85"/>
        <v/>
      </c>
      <c r="L695" s="503">
        <f ca="1">IFERROR(CHOOSE(E695,'Outcome Indicators - Section C '!$K$7,'Outcome Indicators - Section C '!$O$7,'Outcome Indicators - Section C '!$S$7,'Outcome Indicators - Section C '!$W$7),"")</f>
        <v>2023</v>
      </c>
      <c r="M695" s="514" t="str">
        <f t="shared" ca="1" si="86"/>
        <v/>
      </c>
      <c r="N695" s="503" t="str">
        <f t="shared" ca="1" si="87"/>
        <v/>
      </c>
      <c r="O695" s="497"/>
      <c r="P695" s="497">
        <f t="shared" si="91"/>
        <v>0</v>
      </c>
      <c r="Q695" s="503"/>
    </row>
    <row r="696" spans="1:17" x14ac:dyDescent="0.35">
      <c r="A696" s="497" t="b">
        <f t="shared" ca="1" si="82"/>
        <v>0</v>
      </c>
      <c r="B696" s="511">
        <f t="shared" si="88"/>
        <v>129</v>
      </c>
      <c r="C696" s="517" t="str">
        <f ca="1">IF(COUNTA(D$475:D695)=1,"",OFFSET(B694,-COUNTA(D$475:D695)+3,1))</f>
        <v>a1W3p000005vRi1EAE</v>
      </c>
      <c r="D696" s="497"/>
      <c r="E696" s="497">
        <f t="shared" ca="1" si="89"/>
        <v>3</v>
      </c>
      <c r="F696" s="516">
        <f ca="1">IF(COUNTA(D$475:D695)=1,"",OFFSET(F694,-COUNTA(D$475:D695)+3,0))</f>
        <v>7</v>
      </c>
      <c r="G696" s="497"/>
      <c r="H696" s="497">
        <f t="shared" ca="1" si="90"/>
        <v>21</v>
      </c>
      <c r="I696" s="512" t="str">
        <f t="shared" ca="1" si="83"/>
        <v/>
      </c>
      <c r="J696" s="502" t="str">
        <f t="shared" ca="1" si="84"/>
        <v/>
      </c>
      <c r="K696" s="500" t="str">
        <f t="shared" ca="1" si="85"/>
        <v/>
      </c>
      <c r="L696" s="503">
        <f ca="1">IFERROR(CHOOSE(E696,'Outcome Indicators - Section C '!$K$7,'Outcome Indicators - Section C '!$O$7,'Outcome Indicators - Section C '!$S$7,'Outcome Indicators - Section C '!$W$7),"")</f>
        <v>2024</v>
      </c>
      <c r="M696" s="514" t="str">
        <f t="shared" ca="1" si="86"/>
        <v/>
      </c>
      <c r="N696" s="503" t="str">
        <f t="shared" ca="1" si="87"/>
        <v/>
      </c>
      <c r="O696" s="497"/>
      <c r="P696" s="497">
        <f t="shared" si="91"/>
        <v>0</v>
      </c>
      <c r="Q696" s="503"/>
    </row>
    <row r="697" spans="1:17" x14ac:dyDescent="0.35">
      <c r="A697" s="497" t="b">
        <f t="shared" ca="1" si="82"/>
        <v>0</v>
      </c>
      <c r="B697" s="511">
        <f t="shared" si="88"/>
        <v>130</v>
      </c>
      <c r="C697" s="517" t="str">
        <f ca="1">IF(COUNTA(D$475:D696)=1,"",OFFSET(B695,-COUNTA(D$475:D696)+3,1))</f>
        <v>a1W3p000005vRiVEAU</v>
      </c>
      <c r="D697" s="497"/>
      <c r="E697" s="497">
        <f t="shared" ca="1" si="89"/>
        <v>4</v>
      </c>
      <c r="F697" s="516">
        <f ca="1">IF(COUNTA(D$475:D696)=1,"",OFFSET(F695,-COUNTA(D$475:D696)+3,0))</f>
        <v>7</v>
      </c>
      <c r="G697" s="497"/>
      <c r="H697" s="497">
        <f t="shared" ca="1" si="90"/>
        <v>21</v>
      </c>
      <c r="I697" s="512" t="str">
        <f t="shared" ca="1" si="83"/>
        <v/>
      </c>
      <c r="J697" s="502" t="str">
        <f t="shared" ca="1" si="84"/>
        <v/>
      </c>
      <c r="K697" s="500" t="str">
        <f t="shared" ca="1" si="85"/>
        <v/>
      </c>
      <c r="L697" s="503" t="str">
        <f ca="1">IFERROR(CHOOSE(E697,'Outcome Indicators - Section C '!$K$7,'Outcome Indicators - Section C '!$O$7,'Outcome Indicators - Section C '!$S$7,'Outcome Indicators - Section C '!$W$7),"")</f>
        <v/>
      </c>
      <c r="M697" s="514" t="str">
        <f t="shared" ca="1" si="86"/>
        <v/>
      </c>
      <c r="N697" s="503" t="str">
        <f t="shared" ca="1" si="87"/>
        <v/>
      </c>
      <c r="O697" s="497"/>
      <c r="P697" s="497">
        <f t="shared" si="91"/>
        <v>0</v>
      </c>
      <c r="Q697" s="503"/>
    </row>
    <row r="698" spans="1:17" x14ac:dyDescent="0.35">
      <c r="A698" s="497" t="b">
        <f t="shared" ca="1" si="82"/>
        <v>0</v>
      </c>
      <c r="B698" s="511">
        <f t="shared" si="88"/>
        <v>131</v>
      </c>
      <c r="C698" s="517" t="str">
        <f ca="1">IF(COUNTA(D$475:D697)=1,"",OFFSET(B696,-COUNTA(D$475:D697)+3,1))</f>
        <v>a1W3p000005vRizEAE</v>
      </c>
      <c r="D698" s="497"/>
      <c r="E698" s="497">
        <f t="shared" ca="1" si="89"/>
        <v>5</v>
      </c>
      <c r="F698" s="516">
        <f ca="1">IF(COUNTA(D$475:D697)=1,"",OFFSET(F696,-COUNTA(D$475:D697)+3,0))</f>
        <v>7</v>
      </c>
      <c r="G698" s="497"/>
      <c r="H698" s="497">
        <f t="shared" ca="1" si="90"/>
        <v>21</v>
      </c>
      <c r="I698" s="512" t="str">
        <f t="shared" ca="1" si="83"/>
        <v/>
      </c>
      <c r="J698" s="502" t="str">
        <f t="shared" ca="1" si="84"/>
        <v/>
      </c>
      <c r="K698" s="500" t="str">
        <f t="shared" ca="1" si="85"/>
        <v/>
      </c>
      <c r="L698" s="503" t="str">
        <f ca="1">IFERROR(CHOOSE(E698,'Outcome Indicators - Section C '!$K$7,'Outcome Indicators - Section C '!$O$7,'Outcome Indicators - Section C '!$S$7,'Outcome Indicators - Section C '!$W$7),"")</f>
        <v/>
      </c>
      <c r="M698" s="514" t="str">
        <f t="shared" ca="1" si="86"/>
        <v/>
      </c>
      <c r="N698" s="503" t="str">
        <f t="shared" ca="1" si="87"/>
        <v/>
      </c>
      <c r="O698" s="497"/>
      <c r="P698" s="497">
        <f t="shared" si="91"/>
        <v>0</v>
      </c>
      <c r="Q698" s="503"/>
    </row>
    <row r="699" spans="1:17" x14ac:dyDescent="0.35">
      <c r="A699" s="497" t="b">
        <f t="shared" ca="1" si="82"/>
        <v>0</v>
      </c>
      <c r="B699" s="511">
        <f t="shared" si="88"/>
        <v>132</v>
      </c>
      <c r="C699" s="517" t="str">
        <f ca="1">IF(COUNTA(D$475:D698)=1,"",OFFSET(B697,-COUNTA(D$475:D698)+3,1))</f>
        <v>a1W3p000005vRjTEAU</v>
      </c>
      <c r="D699" s="497"/>
      <c r="E699" s="497">
        <f t="shared" ca="1" si="89"/>
        <v>6</v>
      </c>
      <c r="F699" s="516">
        <f ca="1">IF(COUNTA(D$475:D698)=1,"",OFFSET(F697,-COUNTA(D$475:D698)+3,0))</f>
        <v>7</v>
      </c>
      <c r="G699" s="497"/>
      <c r="H699" s="497">
        <f t="shared" ca="1" si="90"/>
        <v>21</v>
      </c>
      <c r="I699" s="512" t="str">
        <f t="shared" ca="1" si="83"/>
        <v/>
      </c>
      <c r="J699" s="502" t="str">
        <f t="shared" ca="1" si="84"/>
        <v/>
      </c>
      <c r="K699" s="500" t="str">
        <f t="shared" ca="1" si="85"/>
        <v/>
      </c>
      <c r="L699" s="503" t="str">
        <f ca="1">IFERROR(CHOOSE(E699,'Outcome Indicators - Section C '!$K$7,'Outcome Indicators - Section C '!$O$7,'Outcome Indicators - Section C '!$S$7,'Outcome Indicators - Section C '!$W$7),"")</f>
        <v/>
      </c>
      <c r="M699" s="514" t="str">
        <f t="shared" ca="1" si="86"/>
        <v/>
      </c>
      <c r="N699" s="503" t="str">
        <f t="shared" ca="1" si="87"/>
        <v/>
      </c>
      <c r="O699" s="497"/>
      <c r="P699" s="497">
        <f t="shared" si="91"/>
        <v>0</v>
      </c>
      <c r="Q699" s="503"/>
    </row>
    <row r="700" spans="1:17" x14ac:dyDescent="0.35">
      <c r="A700" s="497" t="b">
        <f t="shared" ca="1" si="82"/>
        <v>0</v>
      </c>
      <c r="B700" s="511">
        <f t="shared" si="88"/>
        <v>133</v>
      </c>
      <c r="C700" s="517" t="str">
        <f ca="1">IF(COUNTA(D$475:D699)=1,"",OFFSET(B698,-COUNTA(D$475:D699)+3,1))</f>
        <v>a1W3p000005vRh4EAE</v>
      </c>
      <c r="D700" s="497"/>
      <c r="E700" s="497">
        <f t="shared" ca="1" si="89"/>
        <v>1</v>
      </c>
      <c r="F700" s="516">
        <f ca="1">IF(COUNTA(D$475:D699)=1,"",OFFSET(F698,-COUNTA(D$475:D699)+3,0))</f>
        <v>8</v>
      </c>
      <c r="G700" s="497"/>
      <c r="H700" s="497">
        <f t="shared" ca="1" si="90"/>
        <v>23</v>
      </c>
      <c r="I700" s="512" t="str">
        <f t="shared" ca="1" si="83"/>
        <v/>
      </c>
      <c r="J700" s="502" t="str">
        <f t="shared" ca="1" si="84"/>
        <v/>
      </c>
      <c r="K700" s="500" t="str">
        <f t="shared" ca="1" si="85"/>
        <v/>
      </c>
      <c r="L700" s="503">
        <f ca="1">IFERROR(CHOOSE(E700,'Outcome Indicators - Section C '!$K$7,'Outcome Indicators - Section C '!$O$7,'Outcome Indicators - Section C '!$S$7,'Outcome Indicators - Section C '!$W$7),"")</f>
        <v>2022</v>
      </c>
      <c r="M700" s="514" t="str">
        <f t="shared" ca="1" si="86"/>
        <v/>
      </c>
      <c r="N700" s="503" t="str">
        <f t="shared" ca="1" si="87"/>
        <v/>
      </c>
      <c r="O700" s="497"/>
      <c r="P700" s="497">
        <f t="shared" si="91"/>
        <v>0</v>
      </c>
      <c r="Q700" s="503"/>
    </row>
    <row r="701" spans="1:17" x14ac:dyDescent="0.35">
      <c r="A701" s="497" t="b">
        <f t="shared" ca="1" si="82"/>
        <v>0</v>
      </c>
      <c r="B701" s="511">
        <f t="shared" si="88"/>
        <v>134</v>
      </c>
      <c r="C701" s="517" t="str">
        <f ca="1">IF(COUNTA(D$475:D700)=1,"",OFFSET(B699,-COUNTA(D$475:D700)+3,1))</f>
        <v>a1W3p000005vRhYEAU</v>
      </c>
      <c r="D701" s="497"/>
      <c r="E701" s="497">
        <f t="shared" ca="1" si="89"/>
        <v>2</v>
      </c>
      <c r="F701" s="516">
        <f ca="1">IF(COUNTA(D$475:D700)=1,"",OFFSET(F699,-COUNTA(D$475:D700)+3,0))</f>
        <v>8</v>
      </c>
      <c r="G701" s="497"/>
      <c r="H701" s="497">
        <f t="shared" ca="1" si="90"/>
        <v>23</v>
      </c>
      <c r="I701" s="512" t="str">
        <f t="shared" ca="1" si="83"/>
        <v/>
      </c>
      <c r="J701" s="502" t="str">
        <f t="shared" ca="1" si="84"/>
        <v/>
      </c>
      <c r="K701" s="500" t="str">
        <f t="shared" ca="1" si="85"/>
        <v/>
      </c>
      <c r="L701" s="503">
        <f ca="1">IFERROR(CHOOSE(E701,'Outcome Indicators - Section C '!$K$7,'Outcome Indicators - Section C '!$O$7,'Outcome Indicators - Section C '!$S$7,'Outcome Indicators - Section C '!$W$7),"")</f>
        <v>2023</v>
      </c>
      <c r="M701" s="514" t="str">
        <f t="shared" ca="1" si="86"/>
        <v/>
      </c>
      <c r="N701" s="503" t="str">
        <f t="shared" ca="1" si="87"/>
        <v/>
      </c>
      <c r="O701" s="497"/>
      <c r="P701" s="497">
        <f t="shared" si="91"/>
        <v>0</v>
      </c>
      <c r="Q701" s="503"/>
    </row>
    <row r="702" spans="1:17" x14ac:dyDescent="0.35">
      <c r="A702" s="497" t="b">
        <f t="shared" ca="1" si="82"/>
        <v>0</v>
      </c>
      <c r="B702" s="511">
        <f t="shared" si="88"/>
        <v>135</v>
      </c>
      <c r="C702" s="517" t="str">
        <f ca="1">IF(COUNTA(D$475:D701)=1,"",OFFSET(B700,-COUNTA(D$475:D701)+3,1))</f>
        <v>a1W3p000005vRi2EAE</v>
      </c>
      <c r="D702" s="497"/>
      <c r="E702" s="497">
        <f t="shared" ca="1" si="89"/>
        <v>3</v>
      </c>
      <c r="F702" s="516">
        <f ca="1">IF(COUNTA(D$475:D701)=1,"",OFFSET(F700,-COUNTA(D$475:D701)+3,0))</f>
        <v>8</v>
      </c>
      <c r="G702" s="497"/>
      <c r="H702" s="497">
        <f t="shared" ca="1" si="90"/>
        <v>23</v>
      </c>
      <c r="I702" s="512" t="str">
        <f t="shared" ca="1" si="83"/>
        <v/>
      </c>
      <c r="J702" s="502" t="str">
        <f t="shared" ca="1" si="84"/>
        <v/>
      </c>
      <c r="K702" s="500" t="str">
        <f t="shared" ca="1" si="85"/>
        <v/>
      </c>
      <c r="L702" s="503">
        <f ca="1">IFERROR(CHOOSE(E702,'Outcome Indicators - Section C '!$K$7,'Outcome Indicators - Section C '!$O$7,'Outcome Indicators - Section C '!$S$7,'Outcome Indicators - Section C '!$W$7),"")</f>
        <v>2024</v>
      </c>
      <c r="M702" s="514" t="str">
        <f t="shared" ca="1" si="86"/>
        <v/>
      </c>
      <c r="N702" s="503" t="str">
        <f t="shared" ca="1" si="87"/>
        <v/>
      </c>
      <c r="O702" s="497"/>
      <c r="P702" s="497">
        <f t="shared" si="91"/>
        <v>0</v>
      </c>
      <c r="Q702" s="503"/>
    </row>
    <row r="703" spans="1:17" x14ac:dyDescent="0.35">
      <c r="A703" s="497" t="b">
        <f t="shared" ca="1" si="82"/>
        <v>0</v>
      </c>
      <c r="B703" s="511">
        <f t="shared" si="88"/>
        <v>136</v>
      </c>
      <c r="C703" s="517" t="str">
        <f ca="1">IF(COUNTA(D$475:D702)=1,"",OFFSET(B701,-COUNTA(D$475:D702)+3,1))</f>
        <v>a1W3p000005vRiWEAU</v>
      </c>
      <c r="D703" s="497"/>
      <c r="E703" s="497">
        <f t="shared" ca="1" si="89"/>
        <v>4</v>
      </c>
      <c r="F703" s="516">
        <f ca="1">IF(COUNTA(D$475:D702)=1,"",OFFSET(F701,-COUNTA(D$475:D702)+3,0))</f>
        <v>8</v>
      </c>
      <c r="G703" s="497"/>
      <c r="H703" s="497">
        <f t="shared" ca="1" si="90"/>
        <v>23</v>
      </c>
      <c r="I703" s="512" t="str">
        <f t="shared" ca="1" si="83"/>
        <v/>
      </c>
      <c r="J703" s="502" t="str">
        <f t="shared" ca="1" si="84"/>
        <v/>
      </c>
      <c r="K703" s="500" t="str">
        <f t="shared" ca="1" si="85"/>
        <v/>
      </c>
      <c r="L703" s="503" t="str">
        <f ca="1">IFERROR(CHOOSE(E703,'Outcome Indicators - Section C '!$K$7,'Outcome Indicators - Section C '!$O$7,'Outcome Indicators - Section C '!$S$7,'Outcome Indicators - Section C '!$W$7),"")</f>
        <v/>
      </c>
      <c r="M703" s="514" t="str">
        <f t="shared" ca="1" si="86"/>
        <v/>
      </c>
      <c r="N703" s="503" t="str">
        <f t="shared" ca="1" si="87"/>
        <v/>
      </c>
      <c r="O703" s="497"/>
      <c r="P703" s="497">
        <f t="shared" si="91"/>
        <v>0</v>
      </c>
      <c r="Q703" s="503"/>
    </row>
    <row r="704" spans="1:17" x14ac:dyDescent="0.35">
      <c r="A704" s="497" t="b">
        <f t="shared" ca="1" si="82"/>
        <v>0</v>
      </c>
      <c r="B704" s="511">
        <f t="shared" si="88"/>
        <v>137</v>
      </c>
      <c r="C704" s="517" t="str">
        <f ca="1">IF(COUNTA(D$475:D703)=1,"",OFFSET(B702,-COUNTA(D$475:D703)+3,1))</f>
        <v>a1W3p000005vRj0EAE</v>
      </c>
      <c r="D704" s="497"/>
      <c r="E704" s="497">
        <f t="shared" ca="1" si="89"/>
        <v>5</v>
      </c>
      <c r="F704" s="516">
        <f ca="1">IF(COUNTA(D$475:D703)=1,"",OFFSET(F702,-COUNTA(D$475:D703)+3,0))</f>
        <v>8</v>
      </c>
      <c r="G704" s="497"/>
      <c r="H704" s="497">
        <f t="shared" ca="1" si="90"/>
        <v>23</v>
      </c>
      <c r="I704" s="512" t="str">
        <f t="shared" ca="1" si="83"/>
        <v/>
      </c>
      <c r="J704" s="502" t="str">
        <f t="shared" ca="1" si="84"/>
        <v/>
      </c>
      <c r="K704" s="500" t="str">
        <f t="shared" ca="1" si="85"/>
        <v/>
      </c>
      <c r="L704" s="503" t="str">
        <f ca="1">IFERROR(CHOOSE(E704,'Outcome Indicators - Section C '!$K$7,'Outcome Indicators - Section C '!$O$7,'Outcome Indicators - Section C '!$S$7,'Outcome Indicators - Section C '!$W$7),"")</f>
        <v/>
      </c>
      <c r="M704" s="514" t="str">
        <f t="shared" ca="1" si="86"/>
        <v/>
      </c>
      <c r="N704" s="503" t="str">
        <f t="shared" ca="1" si="87"/>
        <v/>
      </c>
      <c r="O704" s="497"/>
      <c r="P704" s="497">
        <f t="shared" si="91"/>
        <v>0</v>
      </c>
      <c r="Q704" s="503"/>
    </row>
    <row r="705" spans="1:17" x14ac:dyDescent="0.35">
      <c r="A705" s="497" t="b">
        <f t="shared" ca="1" si="82"/>
        <v>0</v>
      </c>
      <c r="B705" s="511">
        <f t="shared" si="88"/>
        <v>138</v>
      </c>
      <c r="C705" s="517" t="str">
        <f ca="1">IF(COUNTA(D$475:D704)=1,"",OFFSET(B703,-COUNTA(D$475:D704)+3,1))</f>
        <v>a1W3p000005vRjUEAU</v>
      </c>
      <c r="D705" s="497"/>
      <c r="E705" s="497">
        <f t="shared" ca="1" si="89"/>
        <v>6</v>
      </c>
      <c r="F705" s="516">
        <f ca="1">IF(COUNTA(D$475:D704)=1,"",OFFSET(F703,-COUNTA(D$475:D704)+3,0))</f>
        <v>8</v>
      </c>
      <c r="G705" s="497"/>
      <c r="H705" s="497">
        <f t="shared" ca="1" si="90"/>
        <v>23</v>
      </c>
      <c r="I705" s="512" t="str">
        <f t="shared" ca="1" si="83"/>
        <v/>
      </c>
      <c r="J705" s="502" t="str">
        <f t="shared" ca="1" si="84"/>
        <v/>
      </c>
      <c r="K705" s="500" t="str">
        <f t="shared" ca="1" si="85"/>
        <v/>
      </c>
      <c r="L705" s="503" t="str">
        <f ca="1">IFERROR(CHOOSE(E705,'Outcome Indicators - Section C '!$K$7,'Outcome Indicators - Section C '!$O$7,'Outcome Indicators - Section C '!$S$7,'Outcome Indicators - Section C '!$W$7),"")</f>
        <v/>
      </c>
      <c r="M705" s="514" t="str">
        <f t="shared" ca="1" si="86"/>
        <v/>
      </c>
      <c r="N705" s="503" t="str">
        <f t="shared" ca="1" si="87"/>
        <v/>
      </c>
      <c r="O705" s="497"/>
      <c r="P705" s="497">
        <f t="shared" si="91"/>
        <v>0</v>
      </c>
      <c r="Q705" s="503"/>
    </row>
    <row r="706" spans="1:17" x14ac:dyDescent="0.35">
      <c r="A706" s="497" t="b">
        <f t="shared" ca="1" si="82"/>
        <v>0</v>
      </c>
      <c r="B706" s="511">
        <f t="shared" si="88"/>
        <v>139</v>
      </c>
      <c r="C706" s="517" t="str">
        <f ca="1">IF(COUNTA(D$475:D705)=1,"",OFFSET(B704,-COUNTA(D$475:D705)+3,1))</f>
        <v>a1W3p000005vRh5EAE</v>
      </c>
      <c r="D706" s="497"/>
      <c r="E706" s="497">
        <f t="shared" ca="1" si="89"/>
        <v>1</v>
      </c>
      <c r="F706" s="516">
        <f ca="1">IF(COUNTA(D$475:D705)=1,"",OFFSET(F704,-COUNTA(D$475:D705)+3,0))</f>
        <v>9</v>
      </c>
      <c r="G706" s="497"/>
      <c r="H706" s="497">
        <f t="shared" ca="1" si="90"/>
        <v>25</v>
      </c>
      <c r="I706" s="512" t="str">
        <f t="shared" ca="1" si="83"/>
        <v/>
      </c>
      <c r="J706" s="502" t="str">
        <f t="shared" ca="1" si="84"/>
        <v/>
      </c>
      <c r="K706" s="500" t="str">
        <f t="shared" ca="1" si="85"/>
        <v/>
      </c>
      <c r="L706" s="503">
        <f ca="1">IFERROR(CHOOSE(E706,'Outcome Indicators - Section C '!$K$7,'Outcome Indicators - Section C '!$O$7,'Outcome Indicators - Section C '!$S$7,'Outcome Indicators - Section C '!$W$7),"")</f>
        <v>2022</v>
      </c>
      <c r="M706" s="514" t="str">
        <f t="shared" ca="1" si="86"/>
        <v/>
      </c>
      <c r="N706" s="503" t="str">
        <f t="shared" ca="1" si="87"/>
        <v/>
      </c>
      <c r="O706" s="497"/>
      <c r="P706" s="497">
        <f t="shared" si="91"/>
        <v>0</v>
      </c>
      <c r="Q706" s="503"/>
    </row>
    <row r="707" spans="1:17" x14ac:dyDescent="0.35">
      <c r="A707" s="497" t="b">
        <f t="shared" ca="1" si="82"/>
        <v>0</v>
      </c>
      <c r="B707" s="511">
        <f t="shared" si="88"/>
        <v>140</v>
      </c>
      <c r="C707" s="517" t="str">
        <f ca="1">IF(COUNTA(D$475:D706)=1,"",OFFSET(B705,-COUNTA(D$475:D706)+3,1))</f>
        <v>a1W3p000005vRhZEAU</v>
      </c>
      <c r="D707" s="497"/>
      <c r="E707" s="497">
        <f t="shared" ca="1" si="89"/>
        <v>2</v>
      </c>
      <c r="F707" s="516">
        <f ca="1">IF(COUNTA(D$475:D706)=1,"",OFFSET(F705,-COUNTA(D$475:D706)+3,0))</f>
        <v>9</v>
      </c>
      <c r="G707" s="497"/>
      <c r="H707" s="497">
        <f t="shared" ca="1" si="90"/>
        <v>25</v>
      </c>
      <c r="I707" s="512" t="str">
        <f t="shared" ca="1" si="83"/>
        <v/>
      </c>
      <c r="J707" s="502" t="str">
        <f t="shared" ca="1" si="84"/>
        <v/>
      </c>
      <c r="K707" s="500" t="str">
        <f t="shared" ca="1" si="85"/>
        <v/>
      </c>
      <c r="L707" s="503">
        <f ca="1">IFERROR(CHOOSE(E707,'Outcome Indicators - Section C '!$K$7,'Outcome Indicators - Section C '!$O$7,'Outcome Indicators - Section C '!$S$7,'Outcome Indicators - Section C '!$W$7),"")</f>
        <v>2023</v>
      </c>
      <c r="M707" s="514" t="str">
        <f t="shared" ca="1" si="86"/>
        <v/>
      </c>
      <c r="N707" s="503" t="str">
        <f t="shared" ca="1" si="87"/>
        <v/>
      </c>
      <c r="O707" s="497"/>
      <c r="P707" s="497">
        <f t="shared" si="91"/>
        <v>0</v>
      </c>
      <c r="Q707" s="503"/>
    </row>
    <row r="708" spans="1:17" x14ac:dyDescent="0.35">
      <c r="A708" s="497" t="b">
        <f t="shared" ca="1" si="82"/>
        <v>0</v>
      </c>
      <c r="B708" s="511">
        <f t="shared" si="88"/>
        <v>141</v>
      </c>
      <c r="C708" s="517" t="str">
        <f ca="1">IF(COUNTA(D$475:D707)=1,"",OFFSET(B706,-COUNTA(D$475:D707)+3,1))</f>
        <v>a1W3p000005vRi3EAE</v>
      </c>
      <c r="D708" s="497"/>
      <c r="E708" s="497">
        <f t="shared" ca="1" si="89"/>
        <v>3</v>
      </c>
      <c r="F708" s="516">
        <f ca="1">IF(COUNTA(D$475:D707)=1,"",OFFSET(F706,-COUNTA(D$475:D707)+3,0))</f>
        <v>9</v>
      </c>
      <c r="G708" s="497"/>
      <c r="H708" s="497">
        <f t="shared" ca="1" si="90"/>
        <v>25</v>
      </c>
      <c r="I708" s="512" t="str">
        <f t="shared" ca="1" si="83"/>
        <v/>
      </c>
      <c r="J708" s="502" t="str">
        <f t="shared" ca="1" si="84"/>
        <v/>
      </c>
      <c r="K708" s="500" t="str">
        <f t="shared" ca="1" si="85"/>
        <v/>
      </c>
      <c r="L708" s="503">
        <f ca="1">IFERROR(CHOOSE(E708,'Outcome Indicators - Section C '!$K$7,'Outcome Indicators - Section C '!$O$7,'Outcome Indicators - Section C '!$S$7,'Outcome Indicators - Section C '!$W$7),"")</f>
        <v>2024</v>
      </c>
      <c r="M708" s="514" t="str">
        <f t="shared" ca="1" si="86"/>
        <v/>
      </c>
      <c r="N708" s="503" t="str">
        <f t="shared" ca="1" si="87"/>
        <v/>
      </c>
      <c r="O708" s="497"/>
      <c r="P708" s="497">
        <f t="shared" si="91"/>
        <v>0</v>
      </c>
      <c r="Q708" s="503"/>
    </row>
    <row r="709" spans="1:17" x14ac:dyDescent="0.35">
      <c r="A709" s="497" t="b">
        <f t="shared" ca="1" si="82"/>
        <v>0</v>
      </c>
      <c r="B709" s="511">
        <f t="shared" si="88"/>
        <v>142</v>
      </c>
      <c r="C709" s="517" t="str">
        <f ca="1">IF(COUNTA(D$475:D708)=1,"",OFFSET(B707,-COUNTA(D$475:D708)+3,1))</f>
        <v>a1W3p000005vRiXEAU</v>
      </c>
      <c r="D709" s="497"/>
      <c r="E709" s="497">
        <f t="shared" ca="1" si="89"/>
        <v>4</v>
      </c>
      <c r="F709" s="516">
        <f ca="1">IF(COUNTA(D$475:D708)=1,"",OFFSET(F707,-COUNTA(D$475:D708)+3,0))</f>
        <v>9</v>
      </c>
      <c r="G709" s="497"/>
      <c r="H709" s="497">
        <f t="shared" ca="1" si="90"/>
        <v>25</v>
      </c>
      <c r="I709" s="512" t="str">
        <f t="shared" ca="1" si="83"/>
        <v/>
      </c>
      <c r="J709" s="502" t="str">
        <f t="shared" ca="1" si="84"/>
        <v/>
      </c>
      <c r="K709" s="500" t="str">
        <f t="shared" ca="1" si="85"/>
        <v/>
      </c>
      <c r="L709" s="503" t="str">
        <f ca="1">IFERROR(CHOOSE(E709,'Outcome Indicators - Section C '!$K$7,'Outcome Indicators - Section C '!$O$7,'Outcome Indicators - Section C '!$S$7,'Outcome Indicators - Section C '!$W$7),"")</f>
        <v/>
      </c>
      <c r="M709" s="514" t="str">
        <f t="shared" ca="1" si="86"/>
        <v/>
      </c>
      <c r="N709" s="503" t="str">
        <f t="shared" ca="1" si="87"/>
        <v/>
      </c>
      <c r="O709" s="497"/>
      <c r="P709" s="497">
        <f t="shared" si="91"/>
        <v>0</v>
      </c>
      <c r="Q709" s="503"/>
    </row>
    <row r="710" spans="1:17" x14ac:dyDescent="0.35">
      <c r="A710" s="497" t="b">
        <f t="shared" ca="1" si="82"/>
        <v>0</v>
      </c>
      <c r="B710" s="511">
        <f t="shared" si="88"/>
        <v>143</v>
      </c>
      <c r="C710" s="517" t="str">
        <f ca="1">IF(COUNTA(D$475:D709)=1,"",OFFSET(B708,-COUNTA(D$475:D709)+3,1))</f>
        <v>a1W3p000005vRj1EAE</v>
      </c>
      <c r="D710" s="497"/>
      <c r="E710" s="497">
        <f t="shared" ca="1" si="89"/>
        <v>5</v>
      </c>
      <c r="F710" s="516">
        <f ca="1">IF(COUNTA(D$475:D709)=1,"",OFFSET(F708,-COUNTA(D$475:D709)+3,0))</f>
        <v>9</v>
      </c>
      <c r="G710" s="497"/>
      <c r="H710" s="497">
        <f t="shared" ca="1" si="90"/>
        <v>25</v>
      </c>
      <c r="I710" s="512" t="str">
        <f t="shared" ca="1" si="83"/>
        <v/>
      </c>
      <c r="J710" s="502" t="str">
        <f t="shared" ca="1" si="84"/>
        <v/>
      </c>
      <c r="K710" s="500" t="str">
        <f t="shared" ca="1" si="85"/>
        <v/>
      </c>
      <c r="L710" s="503" t="str">
        <f ca="1">IFERROR(CHOOSE(E710,'Outcome Indicators - Section C '!$K$7,'Outcome Indicators - Section C '!$O$7,'Outcome Indicators - Section C '!$S$7,'Outcome Indicators - Section C '!$W$7),"")</f>
        <v/>
      </c>
      <c r="M710" s="514" t="str">
        <f t="shared" ca="1" si="86"/>
        <v/>
      </c>
      <c r="N710" s="503" t="str">
        <f t="shared" ca="1" si="87"/>
        <v/>
      </c>
      <c r="O710" s="497"/>
      <c r="P710" s="497">
        <f t="shared" si="91"/>
        <v>0</v>
      </c>
      <c r="Q710" s="503"/>
    </row>
    <row r="711" spans="1:17" x14ac:dyDescent="0.35">
      <c r="A711" s="497" t="b">
        <f t="shared" ca="1" si="82"/>
        <v>0</v>
      </c>
      <c r="B711" s="511">
        <f t="shared" si="88"/>
        <v>144</v>
      </c>
      <c r="C711" s="517" t="str">
        <f ca="1">IF(COUNTA(D$475:D710)=1,"",OFFSET(B709,-COUNTA(D$475:D710)+3,1))</f>
        <v>a1W3p000005vRjVEAU</v>
      </c>
      <c r="D711" s="497"/>
      <c r="E711" s="497">
        <f t="shared" ca="1" si="89"/>
        <v>6</v>
      </c>
      <c r="F711" s="516">
        <f ca="1">IF(COUNTA(D$475:D710)=1,"",OFFSET(F709,-COUNTA(D$475:D710)+3,0))</f>
        <v>9</v>
      </c>
      <c r="G711" s="497"/>
      <c r="H711" s="497">
        <f t="shared" ca="1" si="90"/>
        <v>25</v>
      </c>
      <c r="I711" s="512" t="str">
        <f t="shared" ca="1" si="83"/>
        <v/>
      </c>
      <c r="J711" s="502" t="str">
        <f t="shared" ca="1" si="84"/>
        <v/>
      </c>
      <c r="K711" s="500" t="str">
        <f t="shared" ca="1" si="85"/>
        <v/>
      </c>
      <c r="L711" s="503" t="str">
        <f ca="1">IFERROR(CHOOSE(E711,'Outcome Indicators - Section C '!$K$7,'Outcome Indicators - Section C '!$O$7,'Outcome Indicators - Section C '!$S$7,'Outcome Indicators - Section C '!$W$7),"")</f>
        <v/>
      </c>
      <c r="M711" s="514" t="str">
        <f t="shared" ca="1" si="86"/>
        <v/>
      </c>
      <c r="N711" s="503" t="str">
        <f t="shared" ca="1" si="87"/>
        <v/>
      </c>
      <c r="O711" s="497"/>
      <c r="P711" s="497">
        <f t="shared" si="91"/>
        <v>0</v>
      </c>
      <c r="Q711" s="503"/>
    </row>
    <row r="712" spans="1:17" x14ac:dyDescent="0.35">
      <c r="A712" s="497" t="b">
        <f t="shared" ca="1" si="82"/>
        <v>0</v>
      </c>
      <c r="B712" s="511">
        <f t="shared" si="88"/>
        <v>145</v>
      </c>
      <c r="C712" s="517" t="str">
        <f ca="1">IF(COUNTA(D$475:D711)=1,"",OFFSET(B710,-COUNTA(D$475:D711)+3,1))</f>
        <v>a1W3p000005vRh6EAE</v>
      </c>
      <c r="D712" s="497"/>
      <c r="E712" s="497">
        <f t="shared" ca="1" si="89"/>
        <v>1</v>
      </c>
      <c r="F712" s="516">
        <f ca="1">IF(COUNTA(D$475:D711)=1,"",OFFSET(F710,-COUNTA(D$475:D711)+3,0))</f>
        <v>10</v>
      </c>
      <c r="G712" s="497"/>
      <c r="H712" s="497">
        <f t="shared" ca="1" si="90"/>
        <v>27</v>
      </c>
      <c r="I712" s="512" t="str">
        <f t="shared" ca="1" si="83"/>
        <v/>
      </c>
      <c r="J712" s="502" t="str">
        <f t="shared" ca="1" si="84"/>
        <v/>
      </c>
      <c r="K712" s="500" t="str">
        <f t="shared" ca="1" si="85"/>
        <v/>
      </c>
      <c r="L712" s="503">
        <f ca="1">IFERROR(CHOOSE(E712,'Outcome Indicators - Section C '!$K$7,'Outcome Indicators - Section C '!$O$7,'Outcome Indicators - Section C '!$S$7,'Outcome Indicators - Section C '!$W$7),"")</f>
        <v>2022</v>
      </c>
      <c r="M712" s="514" t="str">
        <f t="shared" ca="1" si="86"/>
        <v/>
      </c>
      <c r="N712" s="503" t="str">
        <f t="shared" ca="1" si="87"/>
        <v/>
      </c>
      <c r="O712" s="497"/>
      <c r="P712" s="497">
        <f t="shared" si="91"/>
        <v>0</v>
      </c>
      <c r="Q712" s="503"/>
    </row>
    <row r="713" spans="1:17" x14ac:dyDescent="0.35">
      <c r="A713" s="497" t="b">
        <f t="shared" ca="1" si="82"/>
        <v>0</v>
      </c>
      <c r="B713" s="511">
        <f t="shared" si="88"/>
        <v>146</v>
      </c>
      <c r="C713" s="517" t="str">
        <f ca="1">IF(COUNTA(D$475:D712)=1,"",OFFSET(B711,-COUNTA(D$475:D712)+3,1))</f>
        <v>a1W3p000005vRhaEAE</v>
      </c>
      <c r="D713" s="497"/>
      <c r="E713" s="497">
        <f t="shared" ca="1" si="89"/>
        <v>2</v>
      </c>
      <c r="F713" s="516">
        <f ca="1">IF(COUNTA(D$475:D712)=1,"",OFFSET(F711,-COUNTA(D$475:D712)+3,0))</f>
        <v>10</v>
      </c>
      <c r="G713" s="497"/>
      <c r="H713" s="497">
        <f t="shared" ca="1" si="90"/>
        <v>27</v>
      </c>
      <c r="I713" s="512" t="str">
        <f t="shared" ca="1" si="83"/>
        <v/>
      </c>
      <c r="J713" s="502" t="str">
        <f t="shared" ca="1" si="84"/>
        <v/>
      </c>
      <c r="K713" s="500" t="str">
        <f t="shared" ca="1" si="85"/>
        <v/>
      </c>
      <c r="L713" s="503">
        <f ca="1">IFERROR(CHOOSE(E713,'Outcome Indicators - Section C '!$K$7,'Outcome Indicators - Section C '!$O$7,'Outcome Indicators - Section C '!$S$7,'Outcome Indicators - Section C '!$W$7),"")</f>
        <v>2023</v>
      </c>
      <c r="M713" s="514" t="str">
        <f t="shared" ca="1" si="86"/>
        <v/>
      </c>
      <c r="N713" s="503" t="str">
        <f t="shared" ca="1" si="87"/>
        <v/>
      </c>
      <c r="O713" s="497"/>
      <c r="P713" s="497">
        <f t="shared" si="91"/>
        <v>0</v>
      </c>
      <c r="Q713" s="503"/>
    </row>
    <row r="714" spans="1:17" x14ac:dyDescent="0.35">
      <c r="A714" s="497" t="b">
        <f t="shared" ca="1" si="82"/>
        <v>0</v>
      </c>
      <c r="B714" s="511">
        <f t="shared" si="88"/>
        <v>147</v>
      </c>
      <c r="C714" s="517" t="str">
        <f ca="1">IF(COUNTA(D$475:D713)=1,"",OFFSET(B712,-COUNTA(D$475:D713)+3,1))</f>
        <v>a1W3p000005vRi4EAE</v>
      </c>
      <c r="D714" s="497"/>
      <c r="E714" s="497">
        <f t="shared" ca="1" si="89"/>
        <v>3</v>
      </c>
      <c r="F714" s="516">
        <f ca="1">IF(COUNTA(D$475:D713)=1,"",OFFSET(F712,-COUNTA(D$475:D713)+3,0))</f>
        <v>10</v>
      </c>
      <c r="G714" s="497"/>
      <c r="H714" s="497">
        <f t="shared" ca="1" si="90"/>
        <v>27</v>
      </c>
      <c r="I714" s="512" t="str">
        <f t="shared" ca="1" si="83"/>
        <v/>
      </c>
      <c r="J714" s="502" t="str">
        <f t="shared" ca="1" si="84"/>
        <v/>
      </c>
      <c r="K714" s="500" t="str">
        <f t="shared" ca="1" si="85"/>
        <v/>
      </c>
      <c r="L714" s="503">
        <f ca="1">IFERROR(CHOOSE(E714,'Outcome Indicators - Section C '!$K$7,'Outcome Indicators - Section C '!$O$7,'Outcome Indicators - Section C '!$S$7,'Outcome Indicators - Section C '!$W$7),"")</f>
        <v>2024</v>
      </c>
      <c r="M714" s="514" t="str">
        <f t="shared" ca="1" si="86"/>
        <v/>
      </c>
      <c r="N714" s="503" t="str">
        <f t="shared" ca="1" si="87"/>
        <v/>
      </c>
      <c r="O714" s="497"/>
      <c r="P714" s="497">
        <f t="shared" si="91"/>
        <v>0</v>
      </c>
      <c r="Q714" s="503"/>
    </row>
    <row r="715" spans="1:17" x14ac:dyDescent="0.35">
      <c r="A715" s="497" t="b">
        <f t="shared" ca="1" si="82"/>
        <v>0</v>
      </c>
      <c r="B715" s="511">
        <f t="shared" si="88"/>
        <v>148</v>
      </c>
      <c r="C715" s="517" t="str">
        <f ca="1">IF(COUNTA(D$475:D714)=1,"",OFFSET(B713,-COUNTA(D$475:D714)+3,1))</f>
        <v>a1W3p000005vRiYEAU</v>
      </c>
      <c r="D715" s="497"/>
      <c r="E715" s="497">
        <f t="shared" ca="1" si="89"/>
        <v>4</v>
      </c>
      <c r="F715" s="516">
        <f ca="1">IF(COUNTA(D$475:D714)=1,"",OFFSET(F713,-COUNTA(D$475:D714)+3,0))</f>
        <v>10</v>
      </c>
      <c r="G715" s="497"/>
      <c r="H715" s="497">
        <f t="shared" ca="1" si="90"/>
        <v>27</v>
      </c>
      <c r="I715" s="512" t="str">
        <f t="shared" ca="1" si="83"/>
        <v/>
      </c>
      <c r="J715" s="502" t="str">
        <f t="shared" ca="1" si="84"/>
        <v/>
      </c>
      <c r="K715" s="500" t="str">
        <f t="shared" ca="1" si="85"/>
        <v/>
      </c>
      <c r="L715" s="503" t="str">
        <f ca="1">IFERROR(CHOOSE(E715,'Outcome Indicators - Section C '!$K$7,'Outcome Indicators - Section C '!$O$7,'Outcome Indicators - Section C '!$S$7,'Outcome Indicators - Section C '!$W$7),"")</f>
        <v/>
      </c>
      <c r="M715" s="514" t="str">
        <f t="shared" ca="1" si="86"/>
        <v/>
      </c>
      <c r="N715" s="503" t="str">
        <f t="shared" ca="1" si="87"/>
        <v/>
      </c>
      <c r="O715" s="497"/>
      <c r="P715" s="497">
        <f t="shared" si="91"/>
        <v>0</v>
      </c>
      <c r="Q715" s="503"/>
    </row>
    <row r="716" spans="1:17" x14ac:dyDescent="0.35">
      <c r="A716" s="497" t="b">
        <f t="shared" ca="1" si="82"/>
        <v>0</v>
      </c>
      <c r="B716" s="511">
        <f t="shared" si="88"/>
        <v>149</v>
      </c>
      <c r="C716" s="517" t="str">
        <f ca="1">IF(COUNTA(D$475:D715)=1,"",OFFSET(B714,-COUNTA(D$475:D715)+3,1))</f>
        <v>a1W3p000005vRj2EAE</v>
      </c>
      <c r="D716" s="497"/>
      <c r="E716" s="497">
        <f t="shared" ca="1" si="89"/>
        <v>5</v>
      </c>
      <c r="F716" s="516">
        <f ca="1">IF(COUNTA(D$475:D715)=1,"",OFFSET(F714,-COUNTA(D$475:D715)+3,0))</f>
        <v>10</v>
      </c>
      <c r="G716" s="497"/>
      <c r="H716" s="497">
        <f t="shared" ca="1" si="90"/>
        <v>27</v>
      </c>
      <c r="I716" s="512" t="str">
        <f t="shared" ca="1" si="83"/>
        <v/>
      </c>
      <c r="J716" s="502" t="str">
        <f t="shared" ca="1" si="84"/>
        <v/>
      </c>
      <c r="K716" s="500" t="str">
        <f t="shared" ca="1" si="85"/>
        <v/>
      </c>
      <c r="L716" s="503" t="str">
        <f ca="1">IFERROR(CHOOSE(E716,'Outcome Indicators - Section C '!$K$7,'Outcome Indicators - Section C '!$O$7,'Outcome Indicators - Section C '!$S$7,'Outcome Indicators - Section C '!$W$7),"")</f>
        <v/>
      </c>
      <c r="M716" s="514" t="str">
        <f t="shared" ca="1" si="86"/>
        <v/>
      </c>
      <c r="N716" s="503" t="str">
        <f t="shared" ca="1" si="87"/>
        <v/>
      </c>
      <c r="O716" s="497"/>
      <c r="P716" s="497">
        <f t="shared" si="91"/>
        <v>0</v>
      </c>
      <c r="Q716" s="503"/>
    </row>
    <row r="717" spans="1:17" x14ac:dyDescent="0.35">
      <c r="A717" s="497" t="b">
        <f t="shared" ca="1" si="82"/>
        <v>0</v>
      </c>
      <c r="B717" s="511">
        <f t="shared" si="88"/>
        <v>150</v>
      </c>
      <c r="C717" s="517" t="str">
        <f ca="1">IF(COUNTA(D$475:D716)=1,"",OFFSET(B715,-COUNTA(D$475:D716)+3,1))</f>
        <v>a1W3p000005vRjWEAU</v>
      </c>
      <c r="D717" s="497"/>
      <c r="E717" s="497">
        <f t="shared" ca="1" si="89"/>
        <v>6</v>
      </c>
      <c r="F717" s="516">
        <f ca="1">IF(COUNTA(D$475:D716)=1,"",OFFSET(F715,-COUNTA(D$475:D716)+3,0))</f>
        <v>10</v>
      </c>
      <c r="G717" s="497"/>
      <c r="H717" s="497">
        <f t="shared" ca="1" si="90"/>
        <v>27</v>
      </c>
      <c r="I717" s="512" t="str">
        <f t="shared" ca="1" si="83"/>
        <v/>
      </c>
      <c r="J717" s="502" t="str">
        <f t="shared" ca="1" si="84"/>
        <v/>
      </c>
      <c r="K717" s="500" t="str">
        <f t="shared" ca="1" si="85"/>
        <v/>
      </c>
      <c r="L717" s="503" t="str">
        <f ca="1">IFERROR(CHOOSE(E717,'Outcome Indicators - Section C '!$K$7,'Outcome Indicators - Section C '!$O$7,'Outcome Indicators - Section C '!$S$7,'Outcome Indicators - Section C '!$W$7),"")</f>
        <v/>
      </c>
      <c r="M717" s="514" t="str">
        <f t="shared" ca="1" si="86"/>
        <v/>
      </c>
      <c r="N717" s="503" t="str">
        <f t="shared" ca="1" si="87"/>
        <v/>
      </c>
      <c r="O717" s="497"/>
      <c r="P717" s="497">
        <f t="shared" si="91"/>
        <v>0</v>
      </c>
      <c r="Q717" s="503"/>
    </row>
    <row r="718" spans="1:17" x14ac:dyDescent="0.35">
      <c r="A718" s="497" t="b">
        <f t="shared" ca="1" si="82"/>
        <v>0</v>
      </c>
      <c r="B718" s="511">
        <f t="shared" si="88"/>
        <v>151</v>
      </c>
      <c r="C718" s="517" t="str">
        <f ca="1">IF(COUNTA(D$475:D717)=1,"",OFFSET(B716,-COUNTA(D$475:D717)+3,1))</f>
        <v>a1W3p000005vRh7EAE</v>
      </c>
      <c r="D718" s="497"/>
      <c r="E718" s="497">
        <f t="shared" ca="1" si="89"/>
        <v>1</v>
      </c>
      <c r="F718" s="516">
        <f ca="1">IF(COUNTA(D$475:D717)=1,"",OFFSET(F716,-COUNTA(D$475:D717)+3,0))</f>
        <v>11</v>
      </c>
      <c r="G718" s="497"/>
      <c r="H718" s="497">
        <f t="shared" ca="1" si="90"/>
        <v>29</v>
      </c>
      <c r="I718" s="512" t="str">
        <f t="shared" ca="1" si="83"/>
        <v/>
      </c>
      <c r="J718" s="502" t="str">
        <f t="shared" ca="1" si="84"/>
        <v/>
      </c>
      <c r="K718" s="500" t="str">
        <f t="shared" ca="1" si="85"/>
        <v/>
      </c>
      <c r="L718" s="503">
        <f ca="1">IFERROR(CHOOSE(E718,'Outcome Indicators - Section C '!$K$7,'Outcome Indicators - Section C '!$O$7,'Outcome Indicators - Section C '!$S$7,'Outcome Indicators - Section C '!$W$7),"")</f>
        <v>2022</v>
      </c>
      <c r="M718" s="514" t="str">
        <f t="shared" ca="1" si="86"/>
        <v/>
      </c>
      <c r="N718" s="503" t="str">
        <f t="shared" ca="1" si="87"/>
        <v/>
      </c>
      <c r="O718" s="497"/>
      <c r="P718" s="497">
        <f t="shared" si="91"/>
        <v>0</v>
      </c>
      <c r="Q718" s="503"/>
    </row>
    <row r="719" spans="1:17" x14ac:dyDescent="0.35">
      <c r="A719" s="497" t="b">
        <f t="shared" ca="1" si="82"/>
        <v>0</v>
      </c>
      <c r="B719" s="511">
        <f t="shared" si="88"/>
        <v>152</v>
      </c>
      <c r="C719" s="517" t="str">
        <f ca="1">IF(COUNTA(D$475:D718)=1,"",OFFSET(B717,-COUNTA(D$475:D718)+3,1))</f>
        <v>a1W3p000005vRhbEAE</v>
      </c>
      <c r="D719" s="497"/>
      <c r="E719" s="497">
        <f t="shared" ca="1" si="89"/>
        <v>2</v>
      </c>
      <c r="F719" s="516">
        <f ca="1">IF(COUNTA(D$475:D718)=1,"",OFFSET(F717,-COUNTA(D$475:D718)+3,0))</f>
        <v>11</v>
      </c>
      <c r="G719" s="497"/>
      <c r="H719" s="497">
        <f t="shared" ca="1" si="90"/>
        <v>29</v>
      </c>
      <c r="I719" s="512" t="str">
        <f t="shared" ca="1" si="83"/>
        <v/>
      </c>
      <c r="J719" s="502" t="str">
        <f t="shared" ca="1" si="84"/>
        <v/>
      </c>
      <c r="K719" s="500" t="str">
        <f t="shared" ca="1" si="85"/>
        <v/>
      </c>
      <c r="L719" s="503">
        <f ca="1">IFERROR(CHOOSE(E719,'Outcome Indicators - Section C '!$K$7,'Outcome Indicators - Section C '!$O$7,'Outcome Indicators - Section C '!$S$7,'Outcome Indicators - Section C '!$W$7),"")</f>
        <v>2023</v>
      </c>
      <c r="M719" s="514" t="str">
        <f t="shared" ca="1" si="86"/>
        <v/>
      </c>
      <c r="N719" s="503" t="str">
        <f t="shared" ca="1" si="87"/>
        <v/>
      </c>
      <c r="O719" s="497"/>
      <c r="P719" s="497">
        <f t="shared" si="91"/>
        <v>0</v>
      </c>
      <c r="Q719" s="503"/>
    </row>
    <row r="720" spans="1:17" x14ac:dyDescent="0.35">
      <c r="A720" s="497" t="b">
        <f t="shared" ca="1" si="82"/>
        <v>0</v>
      </c>
      <c r="B720" s="511">
        <f t="shared" si="88"/>
        <v>153</v>
      </c>
      <c r="C720" s="517" t="str">
        <f ca="1">IF(COUNTA(D$475:D719)=1,"",OFFSET(B718,-COUNTA(D$475:D719)+3,1))</f>
        <v>a1W3p000005vRi5EAE</v>
      </c>
      <c r="D720" s="497"/>
      <c r="E720" s="497">
        <f t="shared" ca="1" si="89"/>
        <v>3</v>
      </c>
      <c r="F720" s="516">
        <f ca="1">IF(COUNTA(D$475:D719)=1,"",OFFSET(F718,-COUNTA(D$475:D719)+3,0))</f>
        <v>11</v>
      </c>
      <c r="G720" s="497"/>
      <c r="H720" s="497">
        <f t="shared" ca="1" si="90"/>
        <v>29</v>
      </c>
      <c r="I720" s="512" t="str">
        <f t="shared" ca="1" si="83"/>
        <v/>
      </c>
      <c r="J720" s="502" t="str">
        <f t="shared" ca="1" si="84"/>
        <v/>
      </c>
      <c r="K720" s="500" t="str">
        <f t="shared" ca="1" si="85"/>
        <v/>
      </c>
      <c r="L720" s="503">
        <f ca="1">IFERROR(CHOOSE(E720,'Outcome Indicators - Section C '!$K$7,'Outcome Indicators - Section C '!$O$7,'Outcome Indicators - Section C '!$S$7,'Outcome Indicators - Section C '!$W$7),"")</f>
        <v>2024</v>
      </c>
      <c r="M720" s="514" t="str">
        <f t="shared" ca="1" si="86"/>
        <v/>
      </c>
      <c r="N720" s="503" t="str">
        <f t="shared" ca="1" si="87"/>
        <v/>
      </c>
      <c r="O720" s="497"/>
      <c r="P720" s="497">
        <f t="shared" si="91"/>
        <v>0</v>
      </c>
      <c r="Q720" s="503"/>
    </row>
    <row r="721" spans="1:17" x14ac:dyDescent="0.35">
      <c r="A721" s="497" t="b">
        <f t="shared" ca="1" si="82"/>
        <v>0</v>
      </c>
      <c r="B721" s="511">
        <f t="shared" si="88"/>
        <v>154</v>
      </c>
      <c r="C721" s="517" t="str">
        <f ca="1">IF(COUNTA(D$475:D720)=1,"",OFFSET(B719,-COUNTA(D$475:D720)+3,1))</f>
        <v>a1W3p000005vRiZEAU</v>
      </c>
      <c r="D721" s="497"/>
      <c r="E721" s="497">
        <f t="shared" ca="1" si="89"/>
        <v>4</v>
      </c>
      <c r="F721" s="516">
        <f ca="1">IF(COUNTA(D$475:D720)=1,"",OFFSET(F719,-COUNTA(D$475:D720)+3,0))</f>
        <v>11</v>
      </c>
      <c r="G721" s="497"/>
      <c r="H721" s="497">
        <f t="shared" ca="1" si="90"/>
        <v>29</v>
      </c>
      <c r="I721" s="512" t="str">
        <f t="shared" ca="1" si="83"/>
        <v/>
      </c>
      <c r="J721" s="502" t="str">
        <f t="shared" ca="1" si="84"/>
        <v/>
      </c>
      <c r="K721" s="500" t="str">
        <f t="shared" ca="1" si="85"/>
        <v/>
      </c>
      <c r="L721" s="503" t="str">
        <f ca="1">IFERROR(CHOOSE(E721,'Outcome Indicators - Section C '!$K$7,'Outcome Indicators - Section C '!$O$7,'Outcome Indicators - Section C '!$S$7,'Outcome Indicators - Section C '!$W$7),"")</f>
        <v/>
      </c>
      <c r="M721" s="514" t="str">
        <f t="shared" ca="1" si="86"/>
        <v/>
      </c>
      <c r="N721" s="503" t="str">
        <f t="shared" ca="1" si="87"/>
        <v/>
      </c>
      <c r="O721" s="497"/>
      <c r="P721" s="497">
        <f t="shared" si="91"/>
        <v>0</v>
      </c>
      <c r="Q721" s="503"/>
    </row>
    <row r="722" spans="1:17" x14ac:dyDescent="0.35">
      <c r="A722" s="497" t="b">
        <f t="shared" ref="A722:A785" ca="1" si="92">IF(OR(I722&lt;&gt;"",J722&lt;&gt;"",K722&lt;&gt;"",M722&lt;&gt;"",N722&lt;&gt;""),TRUE,FALSE)</f>
        <v>0</v>
      </c>
      <c r="B722" s="511">
        <f t="shared" si="88"/>
        <v>155</v>
      </c>
      <c r="C722" s="517" t="str">
        <f ca="1">IF(COUNTA(D$475:D721)=1,"",OFFSET(B720,-COUNTA(D$475:D721)+3,1))</f>
        <v>a1W3p000005vRj3EAE</v>
      </c>
      <c r="D722" s="497"/>
      <c r="E722" s="497">
        <f t="shared" ca="1" si="89"/>
        <v>5</v>
      </c>
      <c r="F722" s="516">
        <f ca="1">IF(COUNTA(D$475:D721)=1,"",OFFSET(F720,-COUNTA(D$475:D721)+3,0))</f>
        <v>11</v>
      </c>
      <c r="G722" s="497"/>
      <c r="H722" s="497">
        <f t="shared" ca="1" si="90"/>
        <v>29</v>
      </c>
      <c r="I722" s="512" t="str">
        <f t="shared" ref="I722:I785" ca="1" si="93">IFERROR(CHOOSE(E722,IFERROR(IF(INDIRECT("'Outcome Indicators - Section C '!K"&amp;H722+1)="","",INDIRECT("'Outcome Indicators - Section C '!k"&amp;H722+1)),""),IFERROR(IF(INDIRECT("'Outcome Indicators - Section C '!O"&amp;H722+1)="","",INDIRECT("'Outcome Indicators - Section C '!O"&amp;H722+1)),""),IFERROR(IF(INDIRECT("'Outcome Indicators - Section C '!S"&amp;H722+1)="","",INDIRECT("'Outcome Indicators - Section C '!S"&amp;H722+1)),""),IFERROR(IF(INDIRECT("'Outcome Indicators - Section C '!W"&amp;H722+1)="","",INDIRECT("'Outcome Indicators - Section C '!W"&amp;H722+1)),"")),"")</f>
        <v/>
      </c>
      <c r="J722" s="502" t="str">
        <f t="shared" ref="J722:J785" ca="1" si="94">IFERROR(CHOOSE(E722,IFERROR(IF(INDIRECT("'Outcome Indicators - Section C '!K"&amp;H722)="","",INDIRECT("'Outcome Indicators - Section C '!k"&amp;H722)),""),IFERROR(IF(INDIRECT("'Outcome Indicators - Section C '!O"&amp;H722)="","",INDIRECT("'Outcome Indicators - Section C '!O"&amp;H722)),""),IFERROR(IF(INDIRECT("'Outcome Indicators - Section C '!S"&amp;H722)="","",INDIRECT("'Outcome Indicators - Section C '!S"&amp;H722)),""),IFERROR(IF(INDIRECT("'Outcome Indicators - Section C '!W"&amp;H722)="","",INDIRECT("'Outcome Indicators - Section C '!W"&amp;H722)),"")),"")</f>
        <v/>
      </c>
      <c r="K722" s="500" t="str">
        <f t="shared" ref="K722:K785" ca="1" si="95">IFERROR(CHOOSE(E722,IFERROR(IF(INDIRECT("'Outcome Indicators - Section C '!L"&amp;H722)="","",INDIRECT("'Outcome Indicators - Section C '!L"&amp;H722)*100),""),IFERROR(IF(INDIRECT("'Outcome Indicators - Section C '!P"&amp;H722)="","",INDIRECT("'Outcome Indicators - Section C '!P"&amp;H722)*100),""),IFERROR(IF(INDIRECT("'Outcome Indicators - Section C '!T"&amp;H722)="","",INDIRECT("'Outcome Indicators - Section C '!T"&amp;H722)*100),""),IFERROR(IF(INDIRECT("'Outcome Indicators - Section C '!X"&amp;H722)="","",INDIRECT("'Outcome Indicators - Section C '!X"&amp;H722)*100),"")),"")</f>
        <v/>
      </c>
      <c r="L722" s="503" t="str">
        <f ca="1">IFERROR(CHOOSE(E722,'Outcome Indicators - Section C '!$K$7,'Outcome Indicators - Section C '!$O$7,'Outcome Indicators - Section C '!$S$7,'Outcome Indicators - Section C '!$W$7),"")</f>
        <v/>
      </c>
      <c r="M722" s="514" t="str">
        <f t="shared" ref="M722:M785" ca="1" si="96">IFERROR(CHOOSE(E722,IFERROR(IF(INDIRECT("'Outcome Indicators - Section C '!M"&amp;H722)="","",INDIRECT("'Outcome Indicators - Section C '!M"&amp;H722)),""),IFERROR(IF(INDIRECT("'Outcome Indicators - Section C '!Q"&amp;H722)="","",INDIRECT("'Outcome Indicators - Section C '!Q"&amp;H722)),""),IFERROR(IF(INDIRECT("'Outcome Indicators - Section C '!U"&amp;H722)="","",INDIRECT("'Outcome Indicators - Section C '!U"&amp;H722)),""),IFERROR(IF(INDIRECT("'Outcome Indicators - Section C '!Y"&amp;H722)="","",INDIRECT("'Outcome Indicators - Section C '!Y"&amp;H722)),"")),"")</f>
        <v/>
      </c>
      <c r="N722" s="503" t="str">
        <f t="shared" ref="N722:N785" ca="1" si="97">IFERROR(CHOOSE(E722,IFERROR(IF(INDIRECT("'Outcome Indicators - Section C '!N"&amp;H722)=0,"",INDIRECT("'Outcome Indicators - Section C '!N"&amp;H722)),""),IFERROR(IF(INDIRECT("'Outcome Indicators - Section C '!R"&amp;H722)=0,"",INDIRECT("'Outcome Indicators - Section C '!R"&amp;H722)),""),IFERROR(IF(INDIRECT("'Outcome Indicators - Section C '!V"&amp;H722)=0,"",INDIRECT("'Outcome Indicators - Section C '!V"&amp;H722)),""),IFERROR(IF(INDIRECT("'Outcome Indicators - Section C '!Z"&amp;H722)=0,"",INDIRECT("'Outcome Indicators - Section C '!Z"&amp;H722)),"")),"")</f>
        <v/>
      </c>
      <c r="O722" s="497"/>
      <c r="P722" s="497">
        <f t="shared" si="91"/>
        <v>0</v>
      </c>
      <c r="Q722" s="503"/>
    </row>
    <row r="723" spans="1:17" x14ac:dyDescent="0.35">
      <c r="A723" s="497" t="b">
        <f t="shared" ca="1" si="92"/>
        <v>0</v>
      </c>
      <c r="B723" s="511">
        <f t="shared" si="88"/>
        <v>156</v>
      </c>
      <c r="C723" s="517" t="str">
        <f ca="1">IF(COUNTA(D$475:D722)=1,"",OFFSET(B721,-COUNTA(D$475:D722)+3,1))</f>
        <v>a1W3p000005vRjXEAU</v>
      </c>
      <c r="D723" s="497"/>
      <c r="E723" s="497">
        <f t="shared" ca="1" si="89"/>
        <v>6</v>
      </c>
      <c r="F723" s="516">
        <f ca="1">IF(COUNTA(D$475:D722)=1,"",OFFSET(F721,-COUNTA(D$475:D722)+3,0))</f>
        <v>11</v>
      </c>
      <c r="G723" s="497"/>
      <c r="H723" s="497">
        <f t="shared" ca="1" si="90"/>
        <v>29</v>
      </c>
      <c r="I723" s="512" t="str">
        <f t="shared" ca="1" si="93"/>
        <v/>
      </c>
      <c r="J723" s="502" t="str">
        <f t="shared" ca="1" si="94"/>
        <v/>
      </c>
      <c r="K723" s="500" t="str">
        <f t="shared" ca="1" si="95"/>
        <v/>
      </c>
      <c r="L723" s="503" t="str">
        <f ca="1">IFERROR(CHOOSE(E723,'Outcome Indicators - Section C '!$K$7,'Outcome Indicators - Section C '!$O$7,'Outcome Indicators - Section C '!$S$7,'Outcome Indicators - Section C '!$W$7),"")</f>
        <v/>
      </c>
      <c r="M723" s="514" t="str">
        <f t="shared" ca="1" si="96"/>
        <v/>
      </c>
      <c r="N723" s="503" t="str">
        <f t="shared" ca="1" si="97"/>
        <v/>
      </c>
      <c r="O723" s="497"/>
      <c r="P723" s="497">
        <f t="shared" si="91"/>
        <v>0</v>
      </c>
      <c r="Q723" s="503"/>
    </row>
    <row r="724" spans="1:17" x14ac:dyDescent="0.35">
      <c r="A724" s="497" t="b">
        <f t="shared" ca="1" si="92"/>
        <v>0</v>
      </c>
      <c r="B724" s="511">
        <f t="shared" si="88"/>
        <v>157</v>
      </c>
      <c r="C724" s="517" t="str">
        <f ca="1">IF(COUNTA(D$475:D723)=1,"",OFFSET(B722,-COUNTA(D$475:D723)+3,1))</f>
        <v>a1W3p000005vRh8EAE</v>
      </c>
      <c r="D724" s="497"/>
      <c r="E724" s="497">
        <f t="shared" ca="1" si="89"/>
        <v>1</v>
      </c>
      <c r="F724" s="516">
        <f ca="1">IF(COUNTA(D$475:D723)=1,"",OFFSET(F722,-COUNTA(D$475:D723)+3,0))</f>
        <v>12</v>
      </c>
      <c r="G724" s="497"/>
      <c r="H724" s="497">
        <f t="shared" ca="1" si="90"/>
        <v>31</v>
      </c>
      <c r="I724" s="512" t="str">
        <f t="shared" ca="1" si="93"/>
        <v/>
      </c>
      <c r="J724" s="502" t="str">
        <f t="shared" ca="1" si="94"/>
        <v/>
      </c>
      <c r="K724" s="500" t="str">
        <f t="shared" ca="1" si="95"/>
        <v/>
      </c>
      <c r="L724" s="503">
        <f ca="1">IFERROR(CHOOSE(E724,'Outcome Indicators - Section C '!$K$7,'Outcome Indicators - Section C '!$O$7,'Outcome Indicators - Section C '!$S$7,'Outcome Indicators - Section C '!$W$7),"")</f>
        <v>2022</v>
      </c>
      <c r="M724" s="514" t="str">
        <f t="shared" ca="1" si="96"/>
        <v/>
      </c>
      <c r="N724" s="503" t="str">
        <f t="shared" ca="1" si="97"/>
        <v/>
      </c>
      <c r="O724" s="497"/>
      <c r="P724" s="497">
        <f t="shared" si="91"/>
        <v>0</v>
      </c>
      <c r="Q724" s="503"/>
    </row>
    <row r="725" spans="1:17" x14ac:dyDescent="0.35">
      <c r="A725" s="497" t="b">
        <f t="shared" ca="1" si="92"/>
        <v>0</v>
      </c>
      <c r="B725" s="511">
        <f t="shared" si="88"/>
        <v>158</v>
      </c>
      <c r="C725" s="517" t="str">
        <f ca="1">IF(COUNTA(D$475:D724)=1,"",OFFSET(B723,-COUNTA(D$475:D724)+3,1))</f>
        <v>a1W3p000005vRhcEAE</v>
      </c>
      <c r="D725" s="497"/>
      <c r="E725" s="497">
        <f t="shared" ca="1" si="89"/>
        <v>2</v>
      </c>
      <c r="F725" s="516">
        <f ca="1">IF(COUNTA(D$475:D724)=1,"",OFFSET(F723,-COUNTA(D$475:D724)+3,0))</f>
        <v>12</v>
      </c>
      <c r="G725" s="497"/>
      <c r="H725" s="497">
        <f t="shared" ca="1" si="90"/>
        <v>31</v>
      </c>
      <c r="I725" s="512" t="str">
        <f t="shared" ca="1" si="93"/>
        <v/>
      </c>
      <c r="J725" s="502" t="str">
        <f t="shared" ca="1" si="94"/>
        <v/>
      </c>
      <c r="K725" s="500" t="str">
        <f t="shared" ca="1" si="95"/>
        <v/>
      </c>
      <c r="L725" s="503">
        <f ca="1">IFERROR(CHOOSE(E725,'Outcome Indicators - Section C '!$K$7,'Outcome Indicators - Section C '!$O$7,'Outcome Indicators - Section C '!$S$7,'Outcome Indicators - Section C '!$W$7),"")</f>
        <v>2023</v>
      </c>
      <c r="M725" s="514" t="str">
        <f t="shared" ca="1" si="96"/>
        <v/>
      </c>
      <c r="N725" s="503" t="str">
        <f t="shared" ca="1" si="97"/>
        <v/>
      </c>
      <c r="O725" s="497"/>
      <c r="P725" s="497">
        <f t="shared" si="91"/>
        <v>0</v>
      </c>
      <c r="Q725" s="503"/>
    </row>
    <row r="726" spans="1:17" x14ac:dyDescent="0.35">
      <c r="A726" s="497" t="b">
        <f t="shared" ca="1" si="92"/>
        <v>0</v>
      </c>
      <c r="B726" s="511">
        <f t="shared" si="88"/>
        <v>159</v>
      </c>
      <c r="C726" s="517" t="str">
        <f ca="1">IF(COUNTA(D$475:D725)=1,"",OFFSET(B724,-COUNTA(D$475:D725)+3,1))</f>
        <v>a1W3p000005vRi6EAE</v>
      </c>
      <c r="D726" s="497"/>
      <c r="E726" s="497">
        <f t="shared" ca="1" si="89"/>
        <v>3</v>
      </c>
      <c r="F726" s="516">
        <f ca="1">IF(COUNTA(D$475:D725)=1,"",OFFSET(F724,-COUNTA(D$475:D725)+3,0))</f>
        <v>12</v>
      </c>
      <c r="G726" s="497"/>
      <c r="H726" s="497">
        <f t="shared" ca="1" si="90"/>
        <v>31</v>
      </c>
      <c r="I726" s="512" t="str">
        <f t="shared" ca="1" si="93"/>
        <v/>
      </c>
      <c r="J726" s="502" t="str">
        <f t="shared" ca="1" si="94"/>
        <v/>
      </c>
      <c r="K726" s="500" t="str">
        <f t="shared" ca="1" si="95"/>
        <v/>
      </c>
      <c r="L726" s="503">
        <f ca="1">IFERROR(CHOOSE(E726,'Outcome Indicators - Section C '!$K$7,'Outcome Indicators - Section C '!$O$7,'Outcome Indicators - Section C '!$S$7,'Outcome Indicators - Section C '!$W$7),"")</f>
        <v>2024</v>
      </c>
      <c r="M726" s="514" t="str">
        <f t="shared" ca="1" si="96"/>
        <v/>
      </c>
      <c r="N726" s="503" t="str">
        <f t="shared" ca="1" si="97"/>
        <v/>
      </c>
      <c r="O726" s="497"/>
      <c r="P726" s="497">
        <f t="shared" si="91"/>
        <v>0</v>
      </c>
      <c r="Q726" s="503"/>
    </row>
    <row r="727" spans="1:17" x14ac:dyDescent="0.35">
      <c r="A727" s="497" t="b">
        <f t="shared" ca="1" si="92"/>
        <v>0</v>
      </c>
      <c r="B727" s="511">
        <f t="shared" si="88"/>
        <v>160</v>
      </c>
      <c r="C727" s="517" t="str">
        <f ca="1">IF(COUNTA(D$475:D726)=1,"",OFFSET(B725,-COUNTA(D$475:D726)+3,1))</f>
        <v>a1W3p000005vRiaEAE</v>
      </c>
      <c r="D727" s="497"/>
      <c r="E727" s="497">
        <f t="shared" ca="1" si="89"/>
        <v>4</v>
      </c>
      <c r="F727" s="516">
        <f ca="1">IF(COUNTA(D$475:D726)=1,"",OFFSET(F725,-COUNTA(D$475:D726)+3,0))</f>
        <v>12</v>
      </c>
      <c r="G727" s="497"/>
      <c r="H727" s="497">
        <f t="shared" ca="1" si="90"/>
        <v>31</v>
      </c>
      <c r="I727" s="512" t="str">
        <f t="shared" ca="1" si="93"/>
        <v/>
      </c>
      <c r="J727" s="502" t="str">
        <f t="shared" ca="1" si="94"/>
        <v/>
      </c>
      <c r="K727" s="500" t="str">
        <f t="shared" ca="1" si="95"/>
        <v/>
      </c>
      <c r="L727" s="503" t="str">
        <f ca="1">IFERROR(CHOOSE(E727,'Outcome Indicators - Section C '!$K$7,'Outcome Indicators - Section C '!$O$7,'Outcome Indicators - Section C '!$S$7,'Outcome Indicators - Section C '!$W$7),"")</f>
        <v/>
      </c>
      <c r="M727" s="514" t="str">
        <f t="shared" ca="1" si="96"/>
        <v/>
      </c>
      <c r="N727" s="503" t="str">
        <f t="shared" ca="1" si="97"/>
        <v/>
      </c>
      <c r="O727" s="497"/>
      <c r="P727" s="497">
        <f t="shared" si="91"/>
        <v>0</v>
      </c>
      <c r="Q727" s="503"/>
    </row>
    <row r="728" spans="1:17" x14ac:dyDescent="0.35">
      <c r="A728" s="497" t="b">
        <f t="shared" ca="1" si="92"/>
        <v>0</v>
      </c>
      <c r="B728" s="511">
        <f t="shared" si="88"/>
        <v>161</v>
      </c>
      <c r="C728" s="517" t="str">
        <f ca="1">IF(COUNTA(D$475:D727)=1,"",OFFSET(B726,-COUNTA(D$475:D727)+3,1))</f>
        <v>a1W3p000005vRj4EAE</v>
      </c>
      <c r="D728" s="497"/>
      <c r="E728" s="497">
        <f t="shared" ca="1" si="89"/>
        <v>5</v>
      </c>
      <c r="F728" s="516">
        <f ca="1">IF(COUNTA(D$475:D727)=1,"",OFFSET(F726,-COUNTA(D$475:D727)+3,0))</f>
        <v>12</v>
      </c>
      <c r="G728" s="497"/>
      <c r="H728" s="497">
        <f t="shared" ca="1" si="90"/>
        <v>31</v>
      </c>
      <c r="I728" s="512" t="str">
        <f t="shared" ca="1" si="93"/>
        <v/>
      </c>
      <c r="J728" s="502" t="str">
        <f t="shared" ca="1" si="94"/>
        <v/>
      </c>
      <c r="K728" s="500" t="str">
        <f t="shared" ca="1" si="95"/>
        <v/>
      </c>
      <c r="L728" s="503" t="str">
        <f ca="1">IFERROR(CHOOSE(E728,'Outcome Indicators - Section C '!$K$7,'Outcome Indicators - Section C '!$O$7,'Outcome Indicators - Section C '!$S$7,'Outcome Indicators - Section C '!$W$7),"")</f>
        <v/>
      </c>
      <c r="M728" s="514" t="str">
        <f t="shared" ca="1" si="96"/>
        <v/>
      </c>
      <c r="N728" s="503" t="str">
        <f t="shared" ca="1" si="97"/>
        <v/>
      </c>
      <c r="O728" s="497"/>
      <c r="P728" s="497">
        <f t="shared" si="91"/>
        <v>0</v>
      </c>
      <c r="Q728" s="503"/>
    </row>
    <row r="729" spans="1:17" x14ac:dyDescent="0.35">
      <c r="A729" s="497" t="b">
        <f t="shared" ca="1" si="92"/>
        <v>0</v>
      </c>
      <c r="B729" s="511">
        <f t="shared" si="88"/>
        <v>162</v>
      </c>
      <c r="C729" s="517" t="str">
        <f ca="1">IF(COUNTA(D$475:D728)=1,"",OFFSET(B727,-COUNTA(D$475:D728)+3,1))</f>
        <v>a1W3p000005vRjYEAU</v>
      </c>
      <c r="D729" s="497"/>
      <c r="E729" s="497">
        <f t="shared" ca="1" si="89"/>
        <v>6</v>
      </c>
      <c r="F729" s="516">
        <f ca="1">IF(COUNTA(D$475:D728)=1,"",OFFSET(F727,-COUNTA(D$475:D728)+3,0))</f>
        <v>12</v>
      </c>
      <c r="G729" s="497"/>
      <c r="H729" s="497">
        <f t="shared" ca="1" si="90"/>
        <v>31</v>
      </c>
      <c r="I729" s="512" t="str">
        <f t="shared" ca="1" si="93"/>
        <v/>
      </c>
      <c r="J729" s="502" t="str">
        <f t="shared" ca="1" si="94"/>
        <v/>
      </c>
      <c r="K729" s="500" t="str">
        <f t="shared" ca="1" si="95"/>
        <v/>
      </c>
      <c r="L729" s="503" t="str">
        <f ca="1">IFERROR(CHOOSE(E729,'Outcome Indicators - Section C '!$K$7,'Outcome Indicators - Section C '!$O$7,'Outcome Indicators - Section C '!$S$7,'Outcome Indicators - Section C '!$W$7),"")</f>
        <v/>
      </c>
      <c r="M729" s="514" t="str">
        <f t="shared" ca="1" si="96"/>
        <v/>
      </c>
      <c r="N729" s="503" t="str">
        <f t="shared" ca="1" si="97"/>
        <v/>
      </c>
      <c r="O729" s="497"/>
      <c r="P729" s="497">
        <f t="shared" si="91"/>
        <v>0</v>
      </c>
      <c r="Q729" s="503"/>
    </row>
    <row r="730" spans="1:17" x14ac:dyDescent="0.35">
      <c r="A730" s="497" t="b">
        <f t="shared" ca="1" si="92"/>
        <v>0</v>
      </c>
      <c r="B730" s="511">
        <f t="shared" si="88"/>
        <v>163</v>
      </c>
      <c r="C730" s="517" t="str">
        <f ca="1">IF(COUNTA(D$475:D729)=1,"",OFFSET(B728,-COUNTA(D$475:D729)+3,1))</f>
        <v>a1W3p000005vRh9EAE</v>
      </c>
      <c r="D730" s="497"/>
      <c r="E730" s="497">
        <f t="shared" ca="1" si="89"/>
        <v>1</v>
      </c>
      <c r="F730" s="516">
        <f ca="1">IF(COUNTA(D$475:D729)=1,"",OFFSET(F728,-COUNTA(D$475:D729)+3,0))</f>
        <v>13</v>
      </c>
      <c r="G730" s="497"/>
      <c r="H730" s="497">
        <f t="shared" ca="1" si="90"/>
        <v>33</v>
      </c>
      <c r="I730" s="512" t="str">
        <f t="shared" ca="1" si="93"/>
        <v/>
      </c>
      <c r="J730" s="502" t="str">
        <f t="shared" ca="1" si="94"/>
        <v/>
      </c>
      <c r="K730" s="500" t="str">
        <f t="shared" ca="1" si="95"/>
        <v/>
      </c>
      <c r="L730" s="503">
        <f ca="1">IFERROR(CHOOSE(E730,'Outcome Indicators - Section C '!$K$7,'Outcome Indicators - Section C '!$O$7,'Outcome Indicators - Section C '!$S$7,'Outcome Indicators - Section C '!$W$7),"")</f>
        <v>2022</v>
      </c>
      <c r="M730" s="514" t="str">
        <f t="shared" ca="1" si="96"/>
        <v/>
      </c>
      <c r="N730" s="503" t="str">
        <f t="shared" ca="1" si="97"/>
        <v/>
      </c>
      <c r="O730" s="497"/>
      <c r="P730" s="497">
        <f t="shared" si="91"/>
        <v>0</v>
      </c>
      <c r="Q730" s="503"/>
    </row>
    <row r="731" spans="1:17" x14ac:dyDescent="0.35">
      <c r="A731" s="497" t="b">
        <f t="shared" ca="1" si="92"/>
        <v>0</v>
      </c>
      <c r="B731" s="511">
        <f t="shared" si="88"/>
        <v>164</v>
      </c>
      <c r="C731" s="517" t="str">
        <f ca="1">IF(COUNTA(D$475:D730)=1,"",OFFSET(B729,-COUNTA(D$475:D730)+3,1))</f>
        <v>a1W3p000005vRhdEAE</v>
      </c>
      <c r="D731" s="497"/>
      <c r="E731" s="497">
        <f t="shared" ca="1" si="89"/>
        <v>2</v>
      </c>
      <c r="F731" s="516">
        <f ca="1">IF(COUNTA(D$475:D730)=1,"",OFFSET(F729,-COUNTA(D$475:D730)+3,0))</f>
        <v>13</v>
      </c>
      <c r="G731" s="497"/>
      <c r="H731" s="497">
        <f t="shared" ca="1" si="90"/>
        <v>33</v>
      </c>
      <c r="I731" s="512" t="str">
        <f t="shared" ca="1" si="93"/>
        <v/>
      </c>
      <c r="J731" s="502" t="str">
        <f t="shared" ca="1" si="94"/>
        <v/>
      </c>
      <c r="K731" s="500" t="str">
        <f t="shared" ca="1" si="95"/>
        <v/>
      </c>
      <c r="L731" s="503">
        <f ca="1">IFERROR(CHOOSE(E731,'Outcome Indicators - Section C '!$K$7,'Outcome Indicators - Section C '!$O$7,'Outcome Indicators - Section C '!$S$7,'Outcome Indicators - Section C '!$W$7),"")</f>
        <v>2023</v>
      </c>
      <c r="M731" s="514" t="str">
        <f t="shared" ca="1" si="96"/>
        <v/>
      </c>
      <c r="N731" s="503" t="str">
        <f t="shared" ca="1" si="97"/>
        <v/>
      </c>
      <c r="O731" s="497"/>
      <c r="P731" s="497">
        <f t="shared" si="91"/>
        <v>0</v>
      </c>
      <c r="Q731" s="503"/>
    </row>
    <row r="732" spans="1:17" x14ac:dyDescent="0.35">
      <c r="A732" s="497" t="b">
        <f t="shared" ca="1" si="92"/>
        <v>0</v>
      </c>
      <c r="B732" s="511">
        <f t="shared" si="88"/>
        <v>165</v>
      </c>
      <c r="C732" s="517" t="str">
        <f ca="1">IF(COUNTA(D$475:D731)=1,"",OFFSET(B730,-COUNTA(D$475:D731)+3,1))</f>
        <v>a1W3p000005vRi7EAE</v>
      </c>
      <c r="D732" s="497"/>
      <c r="E732" s="497">
        <f t="shared" ca="1" si="89"/>
        <v>3</v>
      </c>
      <c r="F732" s="516">
        <f ca="1">IF(COUNTA(D$475:D731)=1,"",OFFSET(F730,-COUNTA(D$475:D731)+3,0))</f>
        <v>13</v>
      </c>
      <c r="G732" s="497"/>
      <c r="H732" s="497">
        <f t="shared" ca="1" si="90"/>
        <v>33</v>
      </c>
      <c r="I732" s="512" t="str">
        <f t="shared" ca="1" si="93"/>
        <v/>
      </c>
      <c r="J732" s="502" t="str">
        <f t="shared" ca="1" si="94"/>
        <v/>
      </c>
      <c r="K732" s="500" t="str">
        <f t="shared" ca="1" si="95"/>
        <v/>
      </c>
      <c r="L732" s="503">
        <f ca="1">IFERROR(CHOOSE(E732,'Outcome Indicators - Section C '!$K$7,'Outcome Indicators - Section C '!$O$7,'Outcome Indicators - Section C '!$S$7,'Outcome Indicators - Section C '!$W$7),"")</f>
        <v>2024</v>
      </c>
      <c r="M732" s="514" t="str">
        <f t="shared" ca="1" si="96"/>
        <v/>
      </c>
      <c r="N732" s="503" t="str">
        <f t="shared" ca="1" si="97"/>
        <v/>
      </c>
      <c r="O732" s="497"/>
      <c r="P732" s="497">
        <f t="shared" si="91"/>
        <v>0</v>
      </c>
      <c r="Q732" s="503"/>
    </row>
    <row r="733" spans="1:17" x14ac:dyDescent="0.35">
      <c r="A733" s="497" t="b">
        <f t="shared" ca="1" si="92"/>
        <v>0</v>
      </c>
      <c r="B733" s="511">
        <f t="shared" si="88"/>
        <v>166</v>
      </c>
      <c r="C733" s="517" t="str">
        <f ca="1">IF(COUNTA(D$475:D732)=1,"",OFFSET(B731,-COUNTA(D$475:D732)+3,1))</f>
        <v>a1W3p000005vRibEAE</v>
      </c>
      <c r="D733" s="497"/>
      <c r="E733" s="497">
        <f t="shared" ca="1" si="89"/>
        <v>4</v>
      </c>
      <c r="F733" s="516">
        <f ca="1">IF(COUNTA(D$475:D732)=1,"",OFFSET(F731,-COUNTA(D$475:D732)+3,0))</f>
        <v>13</v>
      </c>
      <c r="G733" s="497"/>
      <c r="H733" s="497">
        <f t="shared" ca="1" si="90"/>
        <v>33</v>
      </c>
      <c r="I733" s="512" t="str">
        <f t="shared" ca="1" si="93"/>
        <v/>
      </c>
      <c r="J733" s="502" t="str">
        <f t="shared" ca="1" si="94"/>
        <v/>
      </c>
      <c r="K733" s="500" t="str">
        <f t="shared" ca="1" si="95"/>
        <v/>
      </c>
      <c r="L733" s="503" t="str">
        <f ca="1">IFERROR(CHOOSE(E733,'Outcome Indicators - Section C '!$K$7,'Outcome Indicators - Section C '!$O$7,'Outcome Indicators - Section C '!$S$7,'Outcome Indicators - Section C '!$W$7),"")</f>
        <v/>
      </c>
      <c r="M733" s="514" t="str">
        <f t="shared" ca="1" si="96"/>
        <v/>
      </c>
      <c r="N733" s="503" t="str">
        <f t="shared" ca="1" si="97"/>
        <v/>
      </c>
      <c r="O733" s="497"/>
      <c r="P733" s="497">
        <f t="shared" si="91"/>
        <v>0</v>
      </c>
      <c r="Q733" s="503"/>
    </row>
    <row r="734" spans="1:17" x14ac:dyDescent="0.35">
      <c r="A734" s="497" t="b">
        <f t="shared" ca="1" si="92"/>
        <v>0</v>
      </c>
      <c r="B734" s="511">
        <f t="shared" ref="B734:B797" si="98">B733+1</f>
        <v>167</v>
      </c>
      <c r="C734" s="517" t="str">
        <f ca="1">IF(COUNTA(D$475:D733)=1,"",OFFSET(B732,-COUNTA(D$475:D733)+3,1))</f>
        <v>a1W3p000005vRj5EAE</v>
      </c>
      <c r="D734" s="497"/>
      <c r="E734" s="497">
        <f t="shared" ref="E734:E797" ca="1" si="99">COUNTIF(F725:F734,F734)</f>
        <v>5</v>
      </c>
      <c r="F734" s="516">
        <f ca="1">IF(COUNTA(D$475:D733)=1,"",OFFSET(F732,-COUNTA(D$475:D733)+3,0))</f>
        <v>13</v>
      </c>
      <c r="G734" s="497"/>
      <c r="H734" s="497">
        <f t="shared" ref="H734:H797" ca="1" si="100">IF(F734=1,9,IF(E733=MAX(E732:E734),H732+2,H733))</f>
        <v>33</v>
      </c>
      <c r="I734" s="512" t="str">
        <f t="shared" ca="1" si="93"/>
        <v/>
      </c>
      <c r="J734" s="502" t="str">
        <f t="shared" ca="1" si="94"/>
        <v/>
      </c>
      <c r="K734" s="500" t="str">
        <f t="shared" ca="1" si="95"/>
        <v/>
      </c>
      <c r="L734" s="503" t="str">
        <f ca="1">IFERROR(CHOOSE(E734,'Outcome Indicators - Section C '!$K$7,'Outcome Indicators - Section C '!$O$7,'Outcome Indicators - Section C '!$S$7,'Outcome Indicators - Section C '!$W$7),"")</f>
        <v/>
      </c>
      <c r="M734" s="514" t="str">
        <f t="shared" ca="1" si="96"/>
        <v/>
      </c>
      <c r="N734" s="503" t="str">
        <f t="shared" ca="1" si="97"/>
        <v/>
      </c>
      <c r="O734" s="497"/>
      <c r="P734" s="497">
        <f t="shared" ref="P734:P797" si="101">IF(NOT(_xlfn.ISFORMULA(I734)),P733+1,0)</f>
        <v>0</v>
      </c>
      <c r="Q734" s="503"/>
    </row>
    <row r="735" spans="1:17" x14ac:dyDescent="0.35">
      <c r="A735" s="497" t="b">
        <f t="shared" ca="1" si="92"/>
        <v>0</v>
      </c>
      <c r="B735" s="511">
        <f t="shared" si="98"/>
        <v>168</v>
      </c>
      <c r="C735" s="517" t="str">
        <f ca="1">IF(COUNTA(D$475:D734)=1,"",OFFSET(B733,-COUNTA(D$475:D734)+3,1))</f>
        <v>a1W3p000005vRjZEAU</v>
      </c>
      <c r="D735" s="497"/>
      <c r="E735" s="497">
        <f t="shared" ca="1" si="99"/>
        <v>6</v>
      </c>
      <c r="F735" s="516">
        <f ca="1">IF(COUNTA(D$475:D734)=1,"",OFFSET(F733,-COUNTA(D$475:D734)+3,0))</f>
        <v>13</v>
      </c>
      <c r="G735" s="497"/>
      <c r="H735" s="497">
        <f t="shared" ca="1" si="100"/>
        <v>33</v>
      </c>
      <c r="I735" s="512" t="str">
        <f t="shared" ca="1" si="93"/>
        <v/>
      </c>
      <c r="J735" s="502" t="str">
        <f t="shared" ca="1" si="94"/>
        <v/>
      </c>
      <c r="K735" s="500" t="str">
        <f t="shared" ca="1" si="95"/>
        <v/>
      </c>
      <c r="L735" s="503" t="str">
        <f ca="1">IFERROR(CHOOSE(E735,'Outcome Indicators - Section C '!$K$7,'Outcome Indicators - Section C '!$O$7,'Outcome Indicators - Section C '!$S$7,'Outcome Indicators - Section C '!$W$7),"")</f>
        <v/>
      </c>
      <c r="M735" s="514" t="str">
        <f t="shared" ca="1" si="96"/>
        <v/>
      </c>
      <c r="N735" s="503" t="str">
        <f t="shared" ca="1" si="97"/>
        <v/>
      </c>
      <c r="O735" s="497"/>
      <c r="P735" s="497">
        <f t="shared" si="101"/>
        <v>0</v>
      </c>
      <c r="Q735" s="503"/>
    </row>
    <row r="736" spans="1:17" x14ac:dyDescent="0.35">
      <c r="A736" s="497" t="b">
        <f t="shared" ca="1" si="92"/>
        <v>0</v>
      </c>
      <c r="B736" s="511">
        <f t="shared" si="98"/>
        <v>169</v>
      </c>
      <c r="C736" s="517" t="str">
        <f ca="1">IF(COUNTA(D$475:D735)=1,"",OFFSET(B734,-COUNTA(D$475:D735)+3,1))</f>
        <v>a1W3p000005vRhAEAU</v>
      </c>
      <c r="D736" s="497"/>
      <c r="E736" s="497">
        <f t="shared" ca="1" si="99"/>
        <v>1</v>
      </c>
      <c r="F736" s="516">
        <f ca="1">IF(COUNTA(D$475:D735)=1,"",OFFSET(F734,-COUNTA(D$475:D735)+3,0))</f>
        <v>14</v>
      </c>
      <c r="G736" s="497"/>
      <c r="H736" s="497">
        <f t="shared" ca="1" si="100"/>
        <v>35</v>
      </c>
      <c r="I736" s="512" t="str">
        <f t="shared" ca="1" si="93"/>
        <v/>
      </c>
      <c r="J736" s="502" t="str">
        <f t="shared" ca="1" si="94"/>
        <v/>
      </c>
      <c r="K736" s="500" t="str">
        <f t="shared" ca="1" si="95"/>
        <v/>
      </c>
      <c r="L736" s="503">
        <f ca="1">IFERROR(CHOOSE(E736,'Outcome Indicators - Section C '!$K$7,'Outcome Indicators - Section C '!$O$7,'Outcome Indicators - Section C '!$S$7,'Outcome Indicators - Section C '!$W$7),"")</f>
        <v>2022</v>
      </c>
      <c r="M736" s="514" t="str">
        <f t="shared" ca="1" si="96"/>
        <v/>
      </c>
      <c r="N736" s="503" t="str">
        <f t="shared" ca="1" si="97"/>
        <v/>
      </c>
      <c r="O736" s="497"/>
      <c r="P736" s="497">
        <f t="shared" si="101"/>
        <v>0</v>
      </c>
      <c r="Q736" s="503"/>
    </row>
    <row r="737" spans="1:17" x14ac:dyDescent="0.35">
      <c r="A737" s="497" t="b">
        <f t="shared" ca="1" si="92"/>
        <v>0</v>
      </c>
      <c r="B737" s="511">
        <f t="shared" si="98"/>
        <v>170</v>
      </c>
      <c r="C737" s="517" t="str">
        <f ca="1">IF(COUNTA(D$475:D736)=1,"",OFFSET(B735,-COUNTA(D$475:D736)+3,1))</f>
        <v>a1W3p000005vRheEAE</v>
      </c>
      <c r="D737" s="497"/>
      <c r="E737" s="497">
        <f t="shared" ca="1" si="99"/>
        <v>2</v>
      </c>
      <c r="F737" s="516">
        <f ca="1">IF(COUNTA(D$475:D736)=1,"",OFFSET(F735,-COUNTA(D$475:D736)+3,0))</f>
        <v>14</v>
      </c>
      <c r="G737" s="497"/>
      <c r="H737" s="497">
        <f t="shared" ca="1" si="100"/>
        <v>35</v>
      </c>
      <c r="I737" s="512" t="str">
        <f t="shared" ca="1" si="93"/>
        <v/>
      </c>
      <c r="J737" s="502" t="str">
        <f t="shared" ca="1" si="94"/>
        <v/>
      </c>
      <c r="K737" s="500" t="str">
        <f t="shared" ca="1" si="95"/>
        <v/>
      </c>
      <c r="L737" s="503">
        <f ca="1">IFERROR(CHOOSE(E737,'Outcome Indicators - Section C '!$K$7,'Outcome Indicators - Section C '!$O$7,'Outcome Indicators - Section C '!$S$7,'Outcome Indicators - Section C '!$W$7),"")</f>
        <v>2023</v>
      </c>
      <c r="M737" s="514" t="str">
        <f t="shared" ca="1" si="96"/>
        <v/>
      </c>
      <c r="N737" s="503" t="str">
        <f t="shared" ca="1" si="97"/>
        <v/>
      </c>
      <c r="O737" s="497"/>
      <c r="P737" s="497">
        <f t="shared" si="101"/>
        <v>0</v>
      </c>
      <c r="Q737" s="503"/>
    </row>
    <row r="738" spans="1:17" x14ac:dyDescent="0.35">
      <c r="A738" s="497" t="b">
        <f t="shared" ca="1" si="92"/>
        <v>0</v>
      </c>
      <c r="B738" s="511">
        <f t="shared" si="98"/>
        <v>171</v>
      </c>
      <c r="C738" s="517" t="str">
        <f ca="1">IF(COUNTA(D$475:D737)=1,"",OFFSET(B736,-COUNTA(D$475:D737)+3,1))</f>
        <v>a1W3p000005vRi8EAE</v>
      </c>
      <c r="D738" s="497"/>
      <c r="E738" s="497">
        <f t="shared" ca="1" si="99"/>
        <v>3</v>
      </c>
      <c r="F738" s="516">
        <f ca="1">IF(COUNTA(D$475:D737)=1,"",OFFSET(F736,-COUNTA(D$475:D737)+3,0))</f>
        <v>14</v>
      </c>
      <c r="G738" s="497"/>
      <c r="H738" s="497">
        <f t="shared" ca="1" si="100"/>
        <v>35</v>
      </c>
      <c r="I738" s="512" t="str">
        <f t="shared" ca="1" si="93"/>
        <v/>
      </c>
      <c r="J738" s="502" t="str">
        <f t="shared" ca="1" si="94"/>
        <v/>
      </c>
      <c r="K738" s="500" t="str">
        <f t="shared" ca="1" si="95"/>
        <v/>
      </c>
      <c r="L738" s="503">
        <f ca="1">IFERROR(CHOOSE(E738,'Outcome Indicators - Section C '!$K$7,'Outcome Indicators - Section C '!$O$7,'Outcome Indicators - Section C '!$S$7,'Outcome Indicators - Section C '!$W$7),"")</f>
        <v>2024</v>
      </c>
      <c r="M738" s="514" t="str">
        <f t="shared" ca="1" si="96"/>
        <v/>
      </c>
      <c r="N738" s="503" t="str">
        <f t="shared" ca="1" si="97"/>
        <v/>
      </c>
      <c r="O738" s="497"/>
      <c r="P738" s="497">
        <f t="shared" si="101"/>
        <v>0</v>
      </c>
      <c r="Q738" s="503"/>
    </row>
    <row r="739" spans="1:17" x14ac:dyDescent="0.35">
      <c r="A739" s="497" t="b">
        <f t="shared" ca="1" si="92"/>
        <v>0</v>
      </c>
      <c r="B739" s="511">
        <f t="shared" si="98"/>
        <v>172</v>
      </c>
      <c r="C739" s="517" t="str">
        <f ca="1">IF(COUNTA(D$475:D738)=1,"",OFFSET(B737,-COUNTA(D$475:D738)+3,1))</f>
        <v>a1W3p000005vRicEAE</v>
      </c>
      <c r="D739" s="497"/>
      <c r="E739" s="497">
        <f t="shared" ca="1" si="99"/>
        <v>4</v>
      </c>
      <c r="F739" s="516">
        <f ca="1">IF(COUNTA(D$475:D738)=1,"",OFFSET(F737,-COUNTA(D$475:D738)+3,0))</f>
        <v>14</v>
      </c>
      <c r="G739" s="497"/>
      <c r="H739" s="497">
        <f t="shared" ca="1" si="100"/>
        <v>35</v>
      </c>
      <c r="I739" s="512" t="str">
        <f t="shared" ca="1" si="93"/>
        <v/>
      </c>
      <c r="J739" s="502" t="str">
        <f t="shared" ca="1" si="94"/>
        <v/>
      </c>
      <c r="K739" s="500" t="str">
        <f t="shared" ca="1" si="95"/>
        <v/>
      </c>
      <c r="L739" s="503" t="str">
        <f ca="1">IFERROR(CHOOSE(E739,'Outcome Indicators - Section C '!$K$7,'Outcome Indicators - Section C '!$O$7,'Outcome Indicators - Section C '!$S$7,'Outcome Indicators - Section C '!$W$7),"")</f>
        <v/>
      </c>
      <c r="M739" s="514" t="str">
        <f t="shared" ca="1" si="96"/>
        <v/>
      </c>
      <c r="N739" s="503" t="str">
        <f t="shared" ca="1" si="97"/>
        <v/>
      </c>
      <c r="O739" s="497"/>
      <c r="P739" s="497">
        <f t="shared" si="101"/>
        <v>0</v>
      </c>
      <c r="Q739" s="503"/>
    </row>
    <row r="740" spans="1:17" x14ac:dyDescent="0.35">
      <c r="A740" s="497" t="b">
        <f t="shared" ca="1" si="92"/>
        <v>0</v>
      </c>
      <c r="B740" s="511">
        <f t="shared" si="98"/>
        <v>173</v>
      </c>
      <c r="C740" s="517" t="str">
        <f ca="1">IF(COUNTA(D$475:D739)=1,"",OFFSET(B738,-COUNTA(D$475:D739)+3,1))</f>
        <v>a1W3p000005vRj6EAE</v>
      </c>
      <c r="D740" s="497"/>
      <c r="E740" s="497">
        <f t="shared" ca="1" si="99"/>
        <v>5</v>
      </c>
      <c r="F740" s="516">
        <f ca="1">IF(COUNTA(D$475:D739)=1,"",OFFSET(F738,-COUNTA(D$475:D739)+3,0))</f>
        <v>14</v>
      </c>
      <c r="G740" s="497"/>
      <c r="H740" s="497">
        <f t="shared" ca="1" si="100"/>
        <v>35</v>
      </c>
      <c r="I740" s="512" t="str">
        <f t="shared" ca="1" si="93"/>
        <v/>
      </c>
      <c r="J740" s="502" t="str">
        <f t="shared" ca="1" si="94"/>
        <v/>
      </c>
      <c r="K740" s="500" t="str">
        <f t="shared" ca="1" si="95"/>
        <v/>
      </c>
      <c r="L740" s="503" t="str">
        <f ca="1">IFERROR(CHOOSE(E740,'Outcome Indicators - Section C '!$K$7,'Outcome Indicators - Section C '!$O$7,'Outcome Indicators - Section C '!$S$7,'Outcome Indicators - Section C '!$W$7),"")</f>
        <v/>
      </c>
      <c r="M740" s="514" t="str">
        <f t="shared" ca="1" si="96"/>
        <v/>
      </c>
      <c r="N740" s="503" t="str">
        <f t="shared" ca="1" si="97"/>
        <v/>
      </c>
      <c r="O740" s="497"/>
      <c r="P740" s="497">
        <f t="shared" si="101"/>
        <v>0</v>
      </c>
      <c r="Q740" s="503"/>
    </row>
    <row r="741" spans="1:17" x14ac:dyDescent="0.35">
      <c r="A741" s="497" t="b">
        <f t="shared" ca="1" si="92"/>
        <v>0</v>
      </c>
      <c r="B741" s="511">
        <f t="shared" si="98"/>
        <v>174</v>
      </c>
      <c r="C741" s="517" t="str">
        <f ca="1">IF(COUNTA(D$475:D740)=1,"",OFFSET(B739,-COUNTA(D$475:D740)+3,1))</f>
        <v>a1W3p000005vRjaEAE</v>
      </c>
      <c r="D741" s="497"/>
      <c r="E741" s="497">
        <f t="shared" ca="1" si="99"/>
        <v>6</v>
      </c>
      <c r="F741" s="516">
        <f ca="1">IF(COUNTA(D$475:D740)=1,"",OFFSET(F739,-COUNTA(D$475:D740)+3,0))</f>
        <v>14</v>
      </c>
      <c r="G741" s="497"/>
      <c r="H741" s="497">
        <f t="shared" ca="1" si="100"/>
        <v>35</v>
      </c>
      <c r="I741" s="512" t="str">
        <f t="shared" ca="1" si="93"/>
        <v/>
      </c>
      <c r="J741" s="502" t="str">
        <f t="shared" ca="1" si="94"/>
        <v/>
      </c>
      <c r="K741" s="500" t="str">
        <f t="shared" ca="1" si="95"/>
        <v/>
      </c>
      <c r="L741" s="503" t="str">
        <f ca="1">IFERROR(CHOOSE(E741,'Outcome Indicators - Section C '!$K$7,'Outcome Indicators - Section C '!$O$7,'Outcome Indicators - Section C '!$S$7,'Outcome Indicators - Section C '!$W$7),"")</f>
        <v/>
      </c>
      <c r="M741" s="514" t="str">
        <f t="shared" ca="1" si="96"/>
        <v/>
      </c>
      <c r="N741" s="503" t="str">
        <f t="shared" ca="1" si="97"/>
        <v/>
      </c>
      <c r="O741" s="497"/>
      <c r="P741" s="497">
        <f t="shared" si="101"/>
        <v>0</v>
      </c>
      <c r="Q741" s="503"/>
    </row>
    <row r="742" spans="1:17" x14ac:dyDescent="0.35">
      <c r="A742" s="497" t="b">
        <f t="shared" ca="1" si="92"/>
        <v>0</v>
      </c>
      <c r="B742" s="511">
        <f t="shared" si="98"/>
        <v>175</v>
      </c>
      <c r="C742" s="517" t="str">
        <f ca="1">IF(COUNTA(D$475:D741)=1,"",OFFSET(B740,-COUNTA(D$475:D741)+3,1))</f>
        <v>a1W3p000005vRhBEAU</v>
      </c>
      <c r="D742" s="497"/>
      <c r="E742" s="497">
        <f t="shared" ca="1" si="99"/>
        <v>1</v>
      </c>
      <c r="F742" s="516">
        <f ca="1">IF(COUNTA(D$475:D741)=1,"",OFFSET(F740,-COUNTA(D$475:D741)+3,0))</f>
        <v>15</v>
      </c>
      <c r="G742" s="497"/>
      <c r="H742" s="497">
        <f t="shared" ca="1" si="100"/>
        <v>37</v>
      </c>
      <c r="I742" s="512" t="str">
        <f t="shared" ca="1" si="93"/>
        <v/>
      </c>
      <c r="J742" s="502" t="str">
        <f t="shared" ca="1" si="94"/>
        <v/>
      </c>
      <c r="K742" s="500" t="str">
        <f t="shared" ca="1" si="95"/>
        <v/>
      </c>
      <c r="L742" s="503">
        <f ca="1">IFERROR(CHOOSE(E742,'Outcome Indicators - Section C '!$K$7,'Outcome Indicators - Section C '!$O$7,'Outcome Indicators - Section C '!$S$7,'Outcome Indicators - Section C '!$W$7),"")</f>
        <v>2022</v>
      </c>
      <c r="M742" s="514" t="str">
        <f t="shared" ca="1" si="96"/>
        <v/>
      </c>
      <c r="N742" s="503" t="str">
        <f t="shared" ca="1" si="97"/>
        <v/>
      </c>
      <c r="O742" s="497"/>
      <c r="P742" s="497">
        <f t="shared" si="101"/>
        <v>0</v>
      </c>
      <c r="Q742" s="503"/>
    </row>
    <row r="743" spans="1:17" x14ac:dyDescent="0.35">
      <c r="A743" s="497" t="b">
        <f t="shared" ca="1" si="92"/>
        <v>0</v>
      </c>
      <c r="B743" s="511">
        <f t="shared" si="98"/>
        <v>176</v>
      </c>
      <c r="C743" s="517" t="str">
        <f ca="1">IF(COUNTA(D$475:D742)=1,"",OFFSET(B741,-COUNTA(D$475:D742)+3,1))</f>
        <v>a1W3p000005vRhfEAE</v>
      </c>
      <c r="D743" s="497"/>
      <c r="E743" s="497">
        <f t="shared" ca="1" si="99"/>
        <v>2</v>
      </c>
      <c r="F743" s="516">
        <f ca="1">IF(COUNTA(D$475:D742)=1,"",OFFSET(F741,-COUNTA(D$475:D742)+3,0))</f>
        <v>15</v>
      </c>
      <c r="G743" s="497"/>
      <c r="H743" s="497">
        <f t="shared" ca="1" si="100"/>
        <v>37</v>
      </c>
      <c r="I743" s="512" t="str">
        <f t="shared" ca="1" si="93"/>
        <v/>
      </c>
      <c r="J743" s="502" t="str">
        <f t="shared" ca="1" si="94"/>
        <v/>
      </c>
      <c r="K743" s="500" t="str">
        <f t="shared" ca="1" si="95"/>
        <v/>
      </c>
      <c r="L743" s="503">
        <f ca="1">IFERROR(CHOOSE(E743,'Outcome Indicators - Section C '!$K$7,'Outcome Indicators - Section C '!$O$7,'Outcome Indicators - Section C '!$S$7,'Outcome Indicators - Section C '!$W$7),"")</f>
        <v>2023</v>
      </c>
      <c r="M743" s="514" t="str">
        <f t="shared" ca="1" si="96"/>
        <v/>
      </c>
      <c r="N743" s="503" t="str">
        <f t="shared" ca="1" si="97"/>
        <v/>
      </c>
      <c r="O743" s="497"/>
      <c r="P743" s="497">
        <f t="shared" si="101"/>
        <v>0</v>
      </c>
      <c r="Q743" s="503"/>
    </row>
    <row r="744" spans="1:17" x14ac:dyDescent="0.35">
      <c r="A744" s="497" t="b">
        <f t="shared" ca="1" si="92"/>
        <v>0</v>
      </c>
      <c r="B744" s="511">
        <f t="shared" si="98"/>
        <v>177</v>
      </c>
      <c r="C744" s="517" t="str">
        <f ca="1">IF(COUNTA(D$475:D743)=1,"",OFFSET(B742,-COUNTA(D$475:D743)+3,1))</f>
        <v>a1W3p000005vRi9EAE</v>
      </c>
      <c r="D744" s="497"/>
      <c r="E744" s="497">
        <f t="shared" ca="1" si="99"/>
        <v>3</v>
      </c>
      <c r="F744" s="516">
        <f ca="1">IF(COUNTA(D$475:D743)=1,"",OFFSET(F742,-COUNTA(D$475:D743)+3,0))</f>
        <v>15</v>
      </c>
      <c r="G744" s="497"/>
      <c r="H744" s="497">
        <f t="shared" ca="1" si="100"/>
        <v>37</v>
      </c>
      <c r="I744" s="512" t="str">
        <f t="shared" ca="1" si="93"/>
        <v/>
      </c>
      <c r="J744" s="502" t="str">
        <f t="shared" ca="1" si="94"/>
        <v/>
      </c>
      <c r="K744" s="500" t="str">
        <f t="shared" ca="1" si="95"/>
        <v/>
      </c>
      <c r="L744" s="503">
        <f ca="1">IFERROR(CHOOSE(E744,'Outcome Indicators - Section C '!$K$7,'Outcome Indicators - Section C '!$O$7,'Outcome Indicators - Section C '!$S$7,'Outcome Indicators - Section C '!$W$7),"")</f>
        <v>2024</v>
      </c>
      <c r="M744" s="514" t="str">
        <f t="shared" ca="1" si="96"/>
        <v/>
      </c>
      <c r="N744" s="503" t="str">
        <f t="shared" ca="1" si="97"/>
        <v/>
      </c>
      <c r="O744" s="497"/>
      <c r="P744" s="497">
        <f t="shared" si="101"/>
        <v>0</v>
      </c>
      <c r="Q744" s="503"/>
    </row>
    <row r="745" spans="1:17" x14ac:dyDescent="0.35">
      <c r="A745" s="497" t="b">
        <f t="shared" ca="1" si="92"/>
        <v>0</v>
      </c>
      <c r="B745" s="511">
        <f t="shared" si="98"/>
        <v>178</v>
      </c>
      <c r="C745" s="517" t="str">
        <f ca="1">IF(COUNTA(D$475:D744)=1,"",OFFSET(B743,-COUNTA(D$475:D744)+3,1))</f>
        <v>a1W3p000005vRidEAE</v>
      </c>
      <c r="D745" s="497"/>
      <c r="E745" s="497">
        <f t="shared" ca="1" si="99"/>
        <v>4</v>
      </c>
      <c r="F745" s="516">
        <f ca="1">IF(COUNTA(D$475:D744)=1,"",OFFSET(F743,-COUNTA(D$475:D744)+3,0))</f>
        <v>15</v>
      </c>
      <c r="G745" s="497"/>
      <c r="H745" s="497">
        <f t="shared" ca="1" si="100"/>
        <v>37</v>
      </c>
      <c r="I745" s="512" t="str">
        <f t="shared" ca="1" si="93"/>
        <v/>
      </c>
      <c r="J745" s="502" t="str">
        <f t="shared" ca="1" si="94"/>
        <v/>
      </c>
      <c r="K745" s="500" t="str">
        <f t="shared" ca="1" si="95"/>
        <v/>
      </c>
      <c r="L745" s="503" t="str">
        <f ca="1">IFERROR(CHOOSE(E745,'Outcome Indicators - Section C '!$K$7,'Outcome Indicators - Section C '!$O$7,'Outcome Indicators - Section C '!$S$7,'Outcome Indicators - Section C '!$W$7),"")</f>
        <v/>
      </c>
      <c r="M745" s="514" t="str">
        <f t="shared" ca="1" si="96"/>
        <v/>
      </c>
      <c r="N745" s="503" t="str">
        <f t="shared" ca="1" si="97"/>
        <v/>
      </c>
      <c r="O745" s="497"/>
      <c r="P745" s="497">
        <f t="shared" si="101"/>
        <v>0</v>
      </c>
      <c r="Q745" s="503"/>
    </row>
    <row r="746" spans="1:17" x14ac:dyDescent="0.35">
      <c r="A746" s="497" t="b">
        <f t="shared" ca="1" si="92"/>
        <v>0</v>
      </c>
      <c r="B746" s="511">
        <f t="shared" si="98"/>
        <v>179</v>
      </c>
      <c r="C746" s="517" t="str">
        <f ca="1">IF(COUNTA(D$475:D745)=1,"",OFFSET(B744,-COUNTA(D$475:D745)+3,1))</f>
        <v>a1W3p000005vRj7EAE</v>
      </c>
      <c r="D746" s="497"/>
      <c r="E746" s="497">
        <f t="shared" ca="1" si="99"/>
        <v>5</v>
      </c>
      <c r="F746" s="516">
        <f ca="1">IF(COUNTA(D$475:D745)=1,"",OFFSET(F744,-COUNTA(D$475:D745)+3,0))</f>
        <v>15</v>
      </c>
      <c r="G746" s="497"/>
      <c r="H746" s="497">
        <f t="shared" ca="1" si="100"/>
        <v>37</v>
      </c>
      <c r="I746" s="512" t="str">
        <f t="shared" ca="1" si="93"/>
        <v/>
      </c>
      <c r="J746" s="502" t="str">
        <f t="shared" ca="1" si="94"/>
        <v/>
      </c>
      <c r="K746" s="500" t="str">
        <f t="shared" ca="1" si="95"/>
        <v/>
      </c>
      <c r="L746" s="503" t="str">
        <f ca="1">IFERROR(CHOOSE(E746,'Outcome Indicators - Section C '!$K$7,'Outcome Indicators - Section C '!$O$7,'Outcome Indicators - Section C '!$S$7,'Outcome Indicators - Section C '!$W$7),"")</f>
        <v/>
      </c>
      <c r="M746" s="514" t="str">
        <f t="shared" ca="1" si="96"/>
        <v/>
      </c>
      <c r="N746" s="503" t="str">
        <f t="shared" ca="1" si="97"/>
        <v/>
      </c>
      <c r="O746" s="497"/>
      <c r="P746" s="497">
        <f t="shared" si="101"/>
        <v>0</v>
      </c>
      <c r="Q746" s="503"/>
    </row>
    <row r="747" spans="1:17" x14ac:dyDescent="0.35">
      <c r="A747" s="497" t="b">
        <f t="shared" ca="1" si="92"/>
        <v>0</v>
      </c>
      <c r="B747" s="511">
        <f t="shared" si="98"/>
        <v>180</v>
      </c>
      <c r="C747" s="517" t="str">
        <f ca="1">IF(COUNTA(D$475:D746)=1,"",OFFSET(B745,-COUNTA(D$475:D746)+3,1))</f>
        <v>a1W3p000005vRjbEAE</v>
      </c>
      <c r="D747" s="497"/>
      <c r="E747" s="497">
        <f t="shared" ca="1" si="99"/>
        <v>6</v>
      </c>
      <c r="F747" s="516">
        <f ca="1">IF(COUNTA(D$475:D746)=1,"",OFFSET(F745,-COUNTA(D$475:D746)+3,0))</f>
        <v>15</v>
      </c>
      <c r="G747" s="497"/>
      <c r="H747" s="497">
        <f t="shared" ca="1" si="100"/>
        <v>37</v>
      </c>
      <c r="I747" s="512" t="str">
        <f t="shared" ca="1" si="93"/>
        <v/>
      </c>
      <c r="J747" s="502" t="str">
        <f t="shared" ca="1" si="94"/>
        <v/>
      </c>
      <c r="K747" s="500" t="str">
        <f t="shared" ca="1" si="95"/>
        <v/>
      </c>
      <c r="L747" s="503" t="str">
        <f ca="1">IFERROR(CHOOSE(E747,'Outcome Indicators - Section C '!$K$7,'Outcome Indicators - Section C '!$O$7,'Outcome Indicators - Section C '!$S$7,'Outcome Indicators - Section C '!$W$7),"")</f>
        <v/>
      </c>
      <c r="M747" s="514" t="str">
        <f t="shared" ca="1" si="96"/>
        <v/>
      </c>
      <c r="N747" s="503" t="str">
        <f t="shared" ca="1" si="97"/>
        <v/>
      </c>
      <c r="O747" s="497"/>
      <c r="P747" s="497">
        <f t="shared" si="101"/>
        <v>0</v>
      </c>
      <c r="Q747" s="503"/>
    </row>
    <row r="748" spans="1:17" x14ac:dyDescent="0.35">
      <c r="A748" s="497" t="b">
        <f t="shared" ca="1" si="92"/>
        <v>0</v>
      </c>
      <c r="B748" s="511">
        <f t="shared" si="98"/>
        <v>181</v>
      </c>
      <c r="C748" s="517" t="str">
        <f ca="1">IF(COUNTA(D$475:D747)=1,"",OFFSET(B746,-COUNTA(D$475:D747)+3,1))</f>
        <v>a1W3p000005vRhCEAU</v>
      </c>
      <c r="D748" s="497"/>
      <c r="E748" s="497">
        <f t="shared" ca="1" si="99"/>
        <v>1</v>
      </c>
      <c r="F748" s="516">
        <f ca="1">IF(COUNTA(D$475:D747)=1,"",OFFSET(F746,-COUNTA(D$475:D747)+3,0))</f>
        <v>16</v>
      </c>
      <c r="G748" s="497"/>
      <c r="H748" s="497">
        <f t="shared" ca="1" si="100"/>
        <v>39</v>
      </c>
      <c r="I748" s="512" t="str">
        <f t="shared" ca="1" si="93"/>
        <v/>
      </c>
      <c r="J748" s="502" t="str">
        <f t="shared" ca="1" si="94"/>
        <v/>
      </c>
      <c r="K748" s="500" t="str">
        <f t="shared" ca="1" si="95"/>
        <v/>
      </c>
      <c r="L748" s="503">
        <f ca="1">IFERROR(CHOOSE(E748,'Outcome Indicators - Section C '!$K$7,'Outcome Indicators - Section C '!$O$7,'Outcome Indicators - Section C '!$S$7,'Outcome Indicators - Section C '!$W$7),"")</f>
        <v>2022</v>
      </c>
      <c r="M748" s="514" t="str">
        <f t="shared" ca="1" si="96"/>
        <v/>
      </c>
      <c r="N748" s="503" t="str">
        <f t="shared" ca="1" si="97"/>
        <v/>
      </c>
      <c r="O748" s="497"/>
      <c r="P748" s="497">
        <f t="shared" si="101"/>
        <v>0</v>
      </c>
      <c r="Q748" s="503"/>
    </row>
    <row r="749" spans="1:17" x14ac:dyDescent="0.35">
      <c r="A749" s="497" t="b">
        <f t="shared" ca="1" si="92"/>
        <v>0</v>
      </c>
      <c r="B749" s="511">
        <f t="shared" si="98"/>
        <v>182</v>
      </c>
      <c r="C749" s="517" t="str">
        <f ca="1">IF(COUNTA(D$475:D748)=1,"",OFFSET(B747,-COUNTA(D$475:D748)+3,1))</f>
        <v>a1W3p000005vRhgEAE</v>
      </c>
      <c r="D749" s="497"/>
      <c r="E749" s="497">
        <f t="shared" ca="1" si="99"/>
        <v>2</v>
      </c>
      <c r="F749" s="516">
        <f ca="1">IF(COUNTA(D$475:D748)=1,"",OFFSET(F747,-COUNTA(D$475:D748)+3,0))</f>
        <v>16</v>
      </c>
      <c r="G749" s="497"/>
      <c r="H749" s="497">
        <f t="shared" ca="1" si="100"/>
        <v>39</v>
      </c>
      <c r="I749" s="512" t="str">
        <f t="shared" ca="1" si="93"/>
        <v/>
      </c>
      <c r="J749" s="502" t="str">
        <f t="shared" ca="1" si="94"/>
        <v/>
      </c>
      <c r="K749" s="500" t="str">
        <f t="shared" ca="1" si="95"/>
        <v/>
      </c>
      <c r="L749" s="503">
        <f ca="1">IFERROR(CHOOSE(E749,'Outcome Indicators - Section C '!$K$7,'Outcome Indicators - Section C '!$O$7,'Outcome Indicators - Section C '!$S$7,'Outcome Indicators - Section C '!$W$7),"")</f>
        <v>2023</v>
      </c>
      <c r="M749" s="514" t="str">
        <f t="shared" ca="1" si="96"/>
        <v/>
      </c>
      <c r="N749" s="503" t="str">
        <f t="shared" ca="1" si="97"/>
        <v/>
      </c>
      <c r="O749" s="497"/>
      <c r="P749" s="497">
        <f t="shared" si="101"/>
        <v>0</v>
      </c>
      <c r="Q749" s="503"/>
    </row>
    <row r="750" spans="1:17" x14ac:dyDescent="0.35">
      <c r="A750" s="497" t="b">
        <f t="shared" ca="1" si="92"/>
        <v>0</v>
      </c>
      <c r="B750" s="511">
        <f t="shared" si="98"/>
        <v>183</v>
      </c>
      <c r="C750" s="517" t="str">
        <f ca="1">IF(COUNTA(D$475:D749)=1,"",OFFSET(B748,-COUNTA(D$475:D749)+3,1))</f>
        <v>a1W3p000005vRiAEAU</v>
      </c>
      <c r="D750" s="497"/>
      <c r="E750" s="497">
        <f t="shared" ca="1" si="99"/>
        <v>3</v>
      </c>
      <c r="F750" s="516">
        <f ca="1">IF(COUNTA(D$475:D749)=1,"",OFFSET(F748,-COUNTA(D$475:D749)+3,0))</f>
        <v>16</v>
      </c>
      <c r="G750" s="497"/>
      <c r="H750" s="497">
        <f t="shared" ca="1" si="100"/>
        <v>39</v>
      </c>
      <c r="I750" s="512" t="str">
        <f t="shared" ca="1" si="93"/>
        <v/>
      </c>
      <c r="J750" s="502" t="str">
        <f t="shared" ca="1" si="94"/>
        <v/>
      </c>
      <c r="K750" s="500" t="str">
        <f t="shared" ca="1" si="95"/>
        <v/>
      </c>
      <c r="L750" s="503">
        <f ca="1">IFERROR(CHOOSE(E750,'Outcome Indicators - Section C '!$K$7,'Outcome Indicators - Section C '!$O$7,'Outcome Indicators - Section C '!$S$7,'Outcome Indicators - Section C '!$W$7),"")</f>
        <v>2024</v>
      </c>
      <c r="M750" s="514" t="str">
        <f t="shared" ca="1" si="96"/>
        <v/>
      </c>
      <c r="N750" s="503" t="str">
        <f t="shared" ca="1" si="97"/>
        <v/>
      </c>
      <c r="O750" s="497"/>
      <c r="P750" s="497">
        <f t="shared" si="101"/>
        <v>0</v>
      </c>
      <c r="Q750" s="503"/>
    </row>
    <row r="751" spans="1:17" x14ac:dyDescent="0.35">
      <c r="A751" s="497" t="b">
        <f t="shared" ca="1" si="92"/>
        <v>0</v>
      </c>
      <c r="B751" s="511">
        <f t="shared" si="98"/>
        <v>184</v>
      </c>
      <c r="C751" s="517" t="str">
        <f ca="1">IF(COUNTA(D$475:D750)=1,"",OFFSET(B749,-COUNTA(D$475:D750)+3,1))</f>
        <v>a1W3p000005vRieEAE</v>
      </c>
      <c r="D751" s="497"/>
      <c r="E751" s="497">
        <f t="shared" ca="1" si="99"/>
        <v>4</v>
      </c>
      <c r="F751" s="516">
        <f ca="1">IF(COUNTA(D$475:D750)=1,"",OFFSET(F749,-COUNTA(D$475:D750)+3,0))</f>
        <v>16</v>
      </c>
      <c r="G751" s="497"/>
      <c r="H751" s="497">
        <f t="shared" ca="1" si="100"/>
        <v>39</v>
      </c>
      <c r="I751" s="512" t="str">
        <f t="shared" ca="1" si="93"/>
        <v/>
      </c>
      <c r="J751" s="502" t="str">
        <f t="shared" ca="1" si="94"/>
        <v/>
      </c>
      <c r="K751" s="500" t="str">
        <f t="shared" ca="1" si="95"/>
        <v/>
      </c>
      <c r="L751" s="503" t="str">
        <f ca="1">IFERROR(CHOOSE(E751,'Outcome Indicators - Section C '!$K$7,'Outcome Indicators - Section C '!$O$7,'Outcome Indicators - Section C '!$S$7,'Outcome Indicators - Section C '!$W$7),"")</f>
        <v/>
      </c>
      <c r="M751" s="514" t="str">
        <f t="shared" ca="1" si="96"/>
        <v/>
      </c>
      <c r="N751" s="503" t="str">
        <f t="shared" ca="1" si="97"/>
        <v/>
      </c>
      <c r="O751" s="497"/>
      <c r="P751" s="497">
        <f t="shared" si="101"/>
        <v>0</v>
      </c>
      <c r="Q751" s="503"/>
    </row>
    <row r="752" spans="1:17" x14ac:dyDescent="0.35">
      <c r="A752" s="497" t="b">
        <f t="shared" ca="1" si="92"/>
        <v>0</v>
      </c>
      <c r="B752" s="511">
        <f t="shared" si="98"/>
        <v>185</v>
      </c>
      <c r="C752" s="517" t="str">
        <f ca="1">IF(COUNTA(D$475:D751)=1,"",OFFSET(B750,-COUNTA(D$475:D751)+3,1))</f>
        <v>a1W3p000005vRj8EAE</v>
      </c>
      <c r="D752" s="497"/>
      <c r="E752" s="497">
        <f t="shared" ca="1" si="99"/>
        <v>5</v>
      </c>
      <c r="F752" s="516">
        <f ca="1">IF(COUNTA(D$475:D751)=1,"",OFFSET(F750,-COUNTA(D$475:D751)+3,0))</f>
        <v>16</v>
      </c>
      <c r="G752" s="497"/>
      <c r="H752" s="497">
        <f t="shared" ca="1" si="100"/>
        <v>39</v>
      </c>
      <c r="I752" s="512" t="str">
        <f t="shared" ca="1" si="93"/>
        <v/>
      </c>
      <c r="J752" s="502" t="str">
        <f t="shared" ca="1" si="94"/>
        <v/>
      </c>
      <c r="K752" s="500" t="str">
        <f t="shared" ca="1" si="95"/>
        <v/>
      </c>
      <c r="L752" s="503" t="str">
        <f ca="1">IFERROR(CHOOSE(E752,'Outcome Indicators - Section C '!$K$7,'Outcome Indicators - Section C '!$O$7,'Outcome Indicators - Section C '!$S$7,'Outcome Indicators - Section C '!$W$7),"")</f>
        <v/>
      </c>
      <c r="M752" s="514" t="str">
        <f t="shared" ca="1" si="96"/>
        <v/>
      </c>
      <c r="N752" s="503" t="str">
        <f t="shared" ca="1" si="97"/>
        <v/>
      </c>
      <c r="O752" s="497"/>
      <c r="P752" s="497">
        <f t="shared" si="101"/>
        <v>0</v>
      </c>
      <c r="Q752" s="503"/>
    </row>
    <row r="753" spans="1:17" x14ac:dyDescent="0.35">
      <c r="A753" s="497" t="b">
        <f t="shared" ca="1" si="92"/>
        <v>0</v>
      </c>
      <c r="B753" s="511">
        <f t="shared" si="98"/>
        <v>186</v>
      </c>
      <c r="C753" s="517" t="str">
        <f ca="1">IF(COUNTA(D$475:D752)=1,"",OFFSET(B751,-COUNTA(D$475:D752)+3,1))</f>
        <v>a1W3p000005vRjcEAE</v>
      </c>
      <c r="D753" s="497"/>
      <c r="E753" s="497">
        <f t="shared" ca="1" si="99"/>
        <v>6</v>
      </c>
      <c r="F753" s="516">
        <f ca="1">IF(COUNTA(D$475:D752)=1,"",OFFSET(F751,-COUNTA(D$475:D752)+3,0))</f>
        <v>16</v>
      </c>
      <c r="G753" s="497"/>
      <c r="H753" s="497">
        <f t="shared" ca="1" si="100"/>
        <v>39</v>
      </c>
      <c r="I753" s="512" t="str">
        <f t="shared" ca="1" si="93"/>
        <v/>
      </c>
      <c r="J753" s="502" t="str">
        <f t="shared" ca="1" si="94"/>
        <v/>
      </c>
      <c r="K753" s="500" t="str">
        <f t="shared" ca="1" si="95"/>
        <v/>
      </c>
      <c r="L753" s="503" t="str">
        <f ca="1">IFERROR(CHOOSE(E753,'Outcome Indicators - Section C '!$K$7,'Outcome Indicators - Section C '!$O$7,'Outcome Indicators - Section C '!$S$7,'Outcome Indicators - Section C '!$W$7),"")</f>
        <v/>
      </c>
      <c r="M753" s="514" t="str">
        <f t="shared" ca="1" si="96"/>
        <v/>
      </c>
      <c r="N753" s="503" t="str">
        <f t="shared" ca="1" si="97"/>
        <v/>
      </c>
      <c r="O753" s="497"/>
      <c r="P753" s="497">
        <f t="shared" si="101"/>
        <v>0</v>
      </c>
      <c r="Q753" s="503"/>
    </row>
    <row r="754" spans="1:17" x14ac:dyDescent="0.35">
      <c r="A754" s="497" t="b">
        <f t="shared" ca="1" si="92"/>
        <v>0</v>
      </c>
      <c r="B754" s="511">
        <f t="shared" si="98"/>
        <v>187</v>
      </c>
      <c r="C754" s="517" t="str">
        <f ca="1">IF(COUNTA(D$475:D753)=1,"",OFFSET(B752,-COUNTA(D$475:D753)+3,1))</f>
        <v>a1W3p000005vRhDEAU</v>
      </c>
      <c r="D754" s="497"/>
      <c r="E754" s="497">
        <f t="shared" ca="1" si="99"/>
        <v>1</v>
      </c>
      <c r="F754" s="516">
        <f ca="1">IF(COUNTA(D$475:D753)=1,"",OFFSET(F752,-COUNTA(D$475:D753)+3,0))</f>
        <v>17</v>
      </c>
      <c r="G754" s="497"/>
      <c r="H754" s="497">
        <f t="shared" ca="1" si="100"/>
        <v>41</v>
      </c>
      <c r="I754" s="512" t="str">
        <f t="shared" ca="1" si="93"/>
        <v/>
      </c>
      <c r="J754" s="502" t="str">
        <f t="shared" ca="1" si="94"/>
        <v/>
      </c>
      <c r="K754" s="500" t="str">
        <f t="shared" ca="1" si="95"/>
        <v/>
      </c>
      <c r="L754" s="503">
        <f ca="1">IFERROR(CHOOSE(E754,'Outcome Indicators - Section C '!$K$7,'Outcome Indicators - Section C '!$O$7,'Outcome Indicators - Section C '!$S$7,'Outcome Indicators - Section C '!$W$7),"")</f>
        <v>2022</v>
      </c>
      <c r="M754" s="514" t="str">
        <f t="shared" ca="1" si="96"/>
        <v/>
      </c>
      <c r="N754" s="503" t="str">
        <f t="shared" ca="1" si="97"/>
        <v/>
      </c>
      <c r="O754" s="497"/>
      <c r="P754" s="497">
        <f t="shared" si="101"/>
        <v>0</v>
      </c>
      <c r="Q754" s="503"/>
    </row>
    <row r="755" spans="1:17" x14ac:dyDescent="0.35">
      <c r="A755" s="497" t="b">
        <f t="shared" ca="1" si="92"/>
        <v>0</v>
      </c>
      <c r="B755" s="511">
        <f t="shared" si="98"/>
        <v>188</v>
      </c>
      <c r="C755" s="517" t="str">
        <f ca="1">IF(COUNTA(D$475:D754)=1,"",OFFSET(B753,-COUNTA(D$475:D754)+3,1))</f>
        <v>a1W3p000005vRhhEAE</v>
      </c>
      <c r="D755" s="497"/>
      <c r="E755" s="497">
        <f t="shared" ca="1" si="99"/>
        <v>2</v>
      </c>
      <c r="F755" s="516">
        <f ca="1">IF(COUNTA(D$475:D754)=1,"",OFFSET(F753,-COUNTA(D$475:D754)+3,0))</f>
        <v>17</v>
      </c>
      <c r="G755" s="497"/>
      <c r="H755" s="497">
        <f t="shared" ca="1" si="100"/>
        <v>41</v>
      </c>
      <c r="I755" s="512" t="str">
        <f t="shared" ca="1" si="93"/>
        <v/>
      </c>
      <c r="J755" s="502" t="str">
        <f t="shared" ca="1" si="94"/>
        <v/>
      </c>
      <c r="K755" s="500" t="str">
        <f t="shared" ca="1" si="95"/>
        <v/>
      </c>
      <c r="L755" s="503">
        <f ca="1">IFERROR(CHOOSE(E755,'Outcome Indicators - Section C '!$K$7,'Outcome Indicators - Section C '!$O$7,'Outcome Indicators - Section C '!$S$7,'Outcome Indicators - Section C '!$W$7),"")</f>
        <v>2023</v>
      </c>
      <c r="M755" s="514" t="str">
        <f t="shared" ca="1" si="96"/>
        <v/>
      </c>
      <c r="N755" s="503" t="str">
        <f t="shared" ca="1" si="97"/>
        <v/>
      </c>
      <c r="O755" s="497"/>
      <c r="P755" s="497">
        <f t="shared" si="101"/>
        <v>0</v>
      </c>
      <c r="Q755" s="503"/>
    </row>
    <row r="756" spans="1:17" x14ac:dyDescent="0.35">
      <c r="A756" s="497" t="b">
        <f t="shared" ca="1" si="92"/>
        <v>0</v>
      </c>
      <c r="B756" s="511">
        <f t="shared" si="98"/>
        <v>189</v>
      </c>
      <c r="C756" s="517" t="str">
        <f ca="1">IF(COUNTA(D$475:D755)=1,"",OFFSET(B754,-COUNTA(D$475:D755)+3,1))</f>
        <v>a1W3p000005vRiBEAU</v>
      </c>
      <c r="D756" s="497"/>
      <c r="E756" s="497">
        <f t="shared" ca="1" si="99"/>
        <v>3</v>
      </c>
      <c r="F756" s="516">
        <f ca="1">IF(COUNTA(D$475:D755)=1,"",OFFSET(F754,-COUNTA(D$475:D755)+3,0))</f>
        <v>17</v>
      </c>
      <c r="G756" s="497"/>
      <c r="H756" s="497">
        <f t="shared" ca="1" si="100"/>
        <v>41</v>
      </c>
      <c r="I756" s="512" t="str">
        <f t="shared" ca="1" si="93"/>
        <v/>
      </c>
      <c r="J756" s="502" t="str">
        <f t="shared" ca="1" si="94"/>
        <v/>
      </c>
      <c r="K756" s="500" t="str">
        <f t="shared" ca="1" si="95"/>
        <v/>
      </c>
      <c r="L756" s="503">
        <f ca="1">IFERROR(CHOOSE(E756,'Outcome Indicators - Section C '!$K$7,'Outcome Indicators - Section C '!$O$7,'Outcome Indicators - Section C '!$S$7,'Outcome Indicators - Section C '!$W$7),"")</f>
        <v>2024</v>
      </c>
      <c r="M756" s="514" t="str">
        <f t="shared" ca="1" si="96"/>
        <v/>
      </c>
      <c r="N756" s="503" t="str">
        <f t="shared" ca="1" si="97"/>
        <v/>
      </c>
      <c r="O756" s="497"/>
      <c r="P756" s="497">
        <f t="shared" si="101"/>
        <v>0</v>
      </c>
      <c r="Q756" s="503"/>
    </row>
    <row r="757" spans="1:17" x14ac:dyDescent="0.35">
      <c r="A757" s="497" t="b">
        <f t="shared" ca="1" si="92"/>
        <v>0</v>
      </c>
      <c r="B757" s="511">
        <f t="shared" si="98"/>
        <v>190</v>
      </c>
      <c r="C757" s="517" t="str">
        <f ca="1">IF(COUNTA(D$475:D756)=1,"",OFFSET(B755,-COUNTA(D$475:D756)+3,1))</f>
        <v>a1W3p000005vRifEAE</v>
      </c>
      <c r="D757" s="497"/>
      <c r="E757" s="497">
        <f t="shared" ca="1" si="99"/>
        <v>4</v>
      </c>
      <c r="F757" s="516">
        <f ca="1">IF(COUNTA(D$475:D756)=1,"",OFFSET(F755,-COUNTA(D$475:D756)+3,0))</f>
        <v>17</v>
      </c>
      <c r="G757" s="497"/>
      <c r="H757" s="497">
        <f t="shared" ca="1" si="100"/>
        <v>41</v>
      </c>
      <c r="I757" s="512" t="str">
        <f t="shared" ca="1" si="93"/>
        <v/>
      </c>
      <c r="J757" s="502" t="str">
        <f t="shared" ca="1" si="94"/>
        <v/>
      </c>
      <c r="K757" s="500" t="str">
        <f t="shared" ca="1" si="95"/>
        <v/>
      </c>
      <c r="L757" s="503" t="str">
        <f ca="1">IFERROR(CHOOSE(E757,'Outcome Indicators - Section C '!$K$7,'Outcome Indicators - Section C '!$O$7,'Outcome Indicators - Section C '!$S$7,'Outcome Indicators - Section C '!$W$7),"")</f>
        <v/>
      </c>
      <c r="M757" s="514" t="str">
        <f t="shared" ca="1" si="96"/>
        <v/>
      </c>
      <c r="N757" s="503" t="str">
        <f t="shared" ca="1" si="97"/>
        <v/>
      </c>
      <c r="O757" s="497"/>
      <c r="P757" s="497">
        <f t="shared" si="101"/>
        <v>0</v>
      </c>
      <c r="Q757" s="503"/>
    </row>
    <row r="758" spans="1:17" x14ac:dyDescent="0.35">
      <c r="A758" s="497" t="b">
        <f t="shared" ca="1" si="92"/>
        <v>0</v>
      </c>
      <c r="B758" s="511">
        <f t="shared" si="98"/>
        <v>191</v>
      </c>
      <c r="C758" s="517" t="str">
        <f ca="1">IF(COUNTA(D$475:D757)=1,"",OFFSET(B756,-COUNTA(D$475:D757)+3,1))</f>
        <v>a1W3p000005vRj9EAE</v>
      </c>
      <c r="D758" s="497"/>
      <c r="E758" s="497">
        <f t="shared" ca="1" si="99"/>
        <v>5</v>
      </c>
      <c r="F758" s="516">
        <f ca="1">IF(COUNTA(D$475:D757)=1,"",OFFSET(F756,-COUNTA(D$475:D757)+3,0))</f>
        <v>17</v>
      </c>
      <c r="G758" s="497"/>
      <c r="H758" s="497">
        <f t="shared" ca="1" si="100"/>
        <v>41</v>
      </c>
      <c r="I758" s="512" t="str">
        <f t="shared" ca="1" si="93"/>
        <v/>
      </c>
      <c r="J758" s="502" t="str">
        <f t="shared" ca="1" si="94"/>
        <v/>
      </c>
      <c r="K758" s="500" t="str">
        <f t="shared" ca="1" si="95"/>
        <v/>
      </c>
      <c r="L758" s="503" t="str">
        <f ca="1">IFERROR(CHOOSE(E758,'Outcome Indicators - Section C '!$K$7,'Outcome Indicators - Section C '!$O$7,'Outcome Indicators - Section C '!$S$7,'Outcome Indicators - Section C '!$W$7),"")</f>
        <v/>
      </c>
      <c r="M758" s="514" t="str">
        <f t="shared" ca="1" si="96"/>
        <v/>
      </c>
      <c r="N758" s="503" t="str">
        <f t="shared" ca="1" si="97"/>
        <v/>
      </c>
      <c r="O758" s="497"/>
      <c r="P758" s="497">
        <f t="shared" si="101"/>
        <v>0</v>
      </c>
      <c r="Q758" s="503"/>
    </row>
    <row r="759" spans="1:17" x14ac:dyDescent="0.35">
      <c r="A759" s="497" t="b">
        <f t="shared" ca="1" si="92"/>
        <v>0</v>
      </c>
      <c r="B759" s="511">
        <f t="shared" si="98"/>
        <v>192</v>
      </c>
      <c r="C759" s="517" t="str">
        <f ca="1">IF(COUNTA(D$475:D758)=1,"",OFFSET(B757,-COUNTA(D$475:D758)+3,1))</f>
        <v>a1W3p000005vRjdEAE</v>
      </c>
      <c r="D759" s="497"/>
      <c r="E759" s="497">
        <f t="shared" ca="1" si="99"/>
        <v>6</v>
      </c>
      <c r="F759" s="516">
        <f ca="1">IF(COUNTA(D$475:D758)=1,"",OFFSET(F757,-COUNTA(D$475:D758)+3,0))</f>
        <v>17</v>
      </c>
      <c r="G759" s="497"/>
      <c r="H759" s="497">
        <f t="shared" ca="1" si="100"/>
        <v>41</v>
      </c>
      <c r="I759" s="512" t="str">
        <f t="shared" ca="1" si="93"/>
        <v/>
      </c>
      <c r="J759" s="502" t="str">
        <f t="shared" ca="1" si="94"/>
        <v/>
      </c>
      <c r="K759" s="500" t="str">
        <f t="shared" ca="1" si="95"/>
        <v/>
      </c>
      <c r="L759" s="503" t="str">
        <f ca="1">IFERROR(CHOOSE(E759,'Outcome Indicators - Section C '!$K$7,'Outcome Indicators - Section C '!$O$7,'Outcome Indicators - Section C '!$S$7,'Outcome Indicators - Section C '!$W$7),"")</f>
        <v/>
      </c>
      <c r="M759" s="514" t="str">
        <f t="shared" ca="1" si="96"/>
        <v/>
      </c>
      <c r="N759" s="503" t="str">
        <f t="shared" ca="1" si="97"/>
        <v/>
      </c>
      <c r="O759" s="497"/>
      <c r="P759" s="497">
        <f t="shared" si="101"/>
        <v>0</v>
      </c>
      <c r="Q759" s="503"/>
    </row>
    <row r="760" spans="1:17" x14ac:dyDescent="0.35">
      <c r="A760" s="497" t="b">
        <f t="shared" ca="1" si="92"/>
        <v>0</v>
      </c>
      <c r="B760" s="511">
        <f t="shared" si="98"/>
        <v>193</v>
      </c>
      <c r="C760" s="517" t="str">
        <f ca="1">IF(COUNTA(D$475:D759)=1,"",OFFSET(B758,-COUNTA(D$475:D759)+3,1))</f>
        <v>a1W3p000005vRhEEAU</v>
      </c>
      <c r="D760" s="497"/>
      <c r="E760" s="497">
        <f t="shared" ca="1" si="99"/>
        <v>1</v>
      </c>
      <c r="F760" s="516">
        <f ca="1">IF(COUNTA(D$475:D759)=1,"",OFFSET(F758,-COUNTA(D$475:D759)+3,0))</f>
        <v>18</v>
      </c>
      <c r="G760" s="497"/>
      <c r="H760" s="497">
        <f t="shared" ca="1" si="100"/>
        <v>43</v>
      </c>
      <c r="I760" s="512" t="str">
        <f t="shared" ca="1" si="93"/>
        <v/>
      </c>
      <c r="J760" s="502" t="str">
        <f t="shared" ca="1" si="94"/>
        <v/>
      </c>
      <c r="K760" s="500" t="str">
        <f t="shared" ca="1" si="95"/>
        <v/>
      </c>
      <c r="L760" s="503">
        <f ca="1">IFERROR(CHOOSE(E760,'Outcome Indicators - Section C '!$K$7,'Outcome Indicators - Section C '!$O$7,'Outcome Indicators - Section C '!$S$7,'Outcome Indicators - Section C '!$W$7),"")</f>
        <v>2022</v>
      </c>
      <c r="M760" s="514" t="str">
        <f t="shared" ca="1" si="96"/>
        <v/>
      </c>
      <c r="N760" s="503" t="str">
        <f t="shared" ca="1" si="97"/>
        <v/>
      </c>
      <c r="O760" s="497"/>
      <c r="P760" s="497">
        <f t="shared" si="101"/>
        <v>0</v>
      </c>
      <c r="Q760" s="503"/>
    </row>
    <row r="761" spans="1:17" x14ac:dyDescent="0.35">
      <c r="A761" s="497" t="b">
        <f t="shared" ca="1" si="92"/>
        <v>0</v>
      </c>
      <c r="B761" s="511">
        <f t="shared" si="98"/>
        <v>194</v>
      </c>
      <c r="C761" s="517" t="str">
        <f ca="1">IF(COUNTA(D$475:D760)=1,"",OFFSET(B759,-COUNTA(D$475:D760)+3,1))</f>
        <v>a1W3p000005vRhiEAE</v>
      </c>
      <c r="D761" s="497"/>
      <c r="E761" s="497">
        <f t="shared" ca="1" si="99"/>
        <v>2</v>
      </c>
      <c r="F761" s="516">
        <f ca="1">IF(COUNTA(D$475:D760)=1,"",OFFSET(F759,-COUNTA(D$475:D760)+3,0))</f>
        <v>18</v>
      </c>
      <c r="G761" s="497"/>
      <c r="H761" s="497">
        <f t="shared" ca="1" si="100"/>
        <v>43</v>
      </c>
      <c r="I761" s="512" t="str">
        <f t="shared" ca="1" si="93"/>
        <v/>
      </c>
      <c r="J761" s="502" t="str">
        <f t="shared" ca="1" si="94"/>
        <v/>
      </c>
      <c r="K761" s="500" t="str">
        <f t="shared" ca="1" si="95"/>
        <v/>
      </c>
      <c r="L761" s="503">
        <f ca="1">IFERROR(CHOOSE(E761,'Outcome Indicators - Section C '!$K$7,'Outcome Indicators - Section C '!$O$7,'Outcome Indicators - Section C '!$S$7,'Outcome Indicators - Section C '!$W$7),"")</f>
        <v>2023</v>
      </c>
      <c r="M761" s="514" t="str">
        <f t="shared" ca="1" si="96"/>
        <v/>
      </c>
      <c r="N761" s="503" t="str">
        <f t="shared" ca="1" si="97"/>
        <v/>
      </c>
      <c r="O761" s="497"/>
      <c r="P761" s="497">
        <f t="shared" si="101"/>
        <v>0</v>
      </c>
      <c r="Q761" s="503"/>
    </row>
    <row r="762" spans="1:17" x14ac:dyDescent="0.35">
      <c r="A762" s="497" t="b">
        <f t="shared" ca="1" si="92"/>
        <v>0</v>
      </c>
      <c r="B762" s="511">
        <f t="shared" si="98"/>
        <v>195</v>
      </c>
      <c r="C762" s="517" t="str">
        <f ca="1">IF(COUNTA(D$475:D761)=1,"",OFFSET(B760,-COUNTA(D$475:D761)+3,1))</f>
        <v>a1W3p000005vRiCEAU</v>
      </c>
      <c r="D762" s="497"/>
      <c r="E762" s="497">
        <f t="shared" ca="1" si="99"/>
        <v>3</v>
      </c>
      <c r="F762" s="516">
        <f ca="1">IF(COUNTA(D$475:D761)=1,"",OFFSET(F760,-COUNTA(D$475:D761)+3,0))</f>
        <v>18</v>
      </c>
      <c r="G762" s="497"/>
      <c r="H762" s="497">
        <f t="shared" ca="1" si="100"/>
        <v>43</v>
      </c>
      <c r="I762" s="512" t="str">
        <f t="shared" ca="1" si="93"/>
        <v/>
      </c>
      <c r="J762" s="502" t="str">
        <f t="shared" ca="1" si="94"/>
        <v/>
      </c>
      <c r="K762" s="500" t="str">
        <f t="shared" ca="1" si="95"/>
        <v/>
      </c>
      <c r="L762" s="503">
        <f ca="1">IFERROR(CHOOSE(E762,'Outcome Indicators - Section C '!$K$7,'Outcome Indicators - Section C '!$O$7,'Outcome Indicators - Section C '!$S$7,'Outcome Indicators - Section C '!$W$7),"")</f>
        <v>2024</v>
      </c>
      <c r="M762" s="514" t="str">
        <f t="shared" ca="1" si="96"/>
        <v/>
      </c>
      <c r="N762" s="503" t="str">
        <f t="shared" ca="1" si="97"/>
        <v/>
      </c>
      <c r="O762" s="497"/>
      <c r="P762" s="497">
        <f t="shared" si="101"/>
        <v>0</v>
      </c>
      <c r="Q762" s="503"/>
    </row>
    <row r="763" spans="1:17" x14ac:dyDescent="0.35">
      <c r="A763" s="497" t="b">
        <f t="shared" ca="1" si="92"/>
        <v>0</v>
      </c>
      <c r="B763" s="511">
        <f t="shared" si="98"/>
        <v>196</v>
      </c>
      <c r="C763" s="517" t="str">
        <f ca="1">IF(COUNTA(D$475:D762)=1,"",OFFSET(B761,-COUNTA(D$475:D762)+3,1))</f>
        <v>a1W3p000005vRigEAE</v>
      </c>
      <c r="D763" s="497"/>
      <c r="E763" s="497">
        <f t="shared" ca="1" si="99"/>
        <v>4</v>
      </c>
      <c r="F763" s="516">
        <f ca="1">IF(COUNTA(D$475:D762)=1,"",OFFSET(F761,-COUNTA(D$475:D762)+3,0))</f>
        <v>18</v>
      </c>
      <c r="G763" s="497"/>
      <c r="H763" s="497">
        <f t="shared" ca="1" si="100"/>
        <v>43</v>
      </c>
      <c r="I763" s="512" t="str">
        <f t="shared" ca="1" si="93"/>
        <v/>
      </c>
      <c r="J763" s="502" t="str">
        <f t="shared" ca="1" si="94"/>
        <v/>
      </c>
      <c r="K763" s="500" t="str">
        <f t="shared" ca="1" si="95"/>
        <v/>
      </c>
      <c r="L763" s="503" t="str">
        <f ca="1">IFERROR(CHOOSE(E763,'Outcome Indicators - Section C '!$K$7,'Outcome Indicators - Section C '!$O$7,'Outcome Indicators - Section C '!$S$7,'Outcome Indicators - Section C '!$W$7),"")</f>
        <v/>
      </c>
      <c r="M763" s="514" t="str">
        <f t="shared" ca="1" si="96"/>
        <v/>
      </c>
      <c r="N763" s="503" t="str">
        <f t="shared" ca="1" si="97"/>
        <v/>
      </c>
      <c r="O763" s="497"/>
      <c r="P763" s="497">
        <f t="shared" si="101"/>
        <v>0</v>
      </c>
      <c r="Q763" s="503"/>
    </row>
    <row r="764" spans="1:17" x14ac:dyDescent="0.35">
      <c r="A764" s="497" t="b">
        <f t="shared" ca="1" si="92"/>
        <v>0</v>
      </c>
      <c r="B764" s="511">
        <f t="shared" si="98"/>
        <v>197</v>
      </c>
      <c r="C764" s="517" t="str">
        <f ca="1">IF(COUNTA(D$475:D763)=1,"",OFFSET(B762,-COUNTA(D$475:D763)+3,1))</f>
        <v>a1W3p000005vRjAEAU</v>
      </c>
      <c r="D764" s="497"/>
      <c r="E764" s="497">
        <f t="shared" ca="1" si="99"/>
        <v>5</v>
      </c>
      <c r="F764" s="516">
        <f ca="1">IF(COUNTA(D$475:D763)=1,"",OFFSET(F762,-COUNTA(D$475:D763)+3,0))</f>
        <v>18</v>
      </c>
      <c r="G764" s="497"/>
      <c r="H764" s="497">
        <f t="shared" ca="1" si="100"/>
        <v>43</v>
      </c>
      <c r="I764" s="512" t="str">
        <f t="shared" ca="1" si="93"/>
        <v/>
      </c>
      <c r="J764" s="502" t="str">
        <f t="shared" ca="1" si="94"/>
        <v/>
      </c>
      <c r="K764" s="500" t="str">
        <f t="shared" ca="1" si="95"/>
        <v/>
      </c>
      <c r="L764" s="503" t="str">
        <f ca="1">IFERROR(CHOOSE(E764,'Outcome Indicators - Section C '!$K$7,'Outcome Indicators - Section C '!$O$7,'Outcome Indicators - Section C '!$S$7,'Outcome Indicators - Section C '!$W$7),"")</f>
        <v/>
      </c>
      <c r="M764" s="514" t="str">
        <f t="shared" ca="1" si="96"/>
        <v/>
      </c>
      <c r="N764" s="503" t="str">
        <f t="shared" ca="1" si="97"/>
        <v/>
      </c>
      <c r="O764" s="497"/>
      <c r="P764" s="497">
        <f t="shared" si="101"/>
        <v>0</v>
      </c>
      <c r="Q764" s="503"/>
    </row>
    <row r="765" spans="1:17" x14ac:dyDescent="0.35">
      <c r="A765" s="497" t="b">
        <f t="shared" ca="1" si="92"/>
        <v>0</v>
      </c>
      <c r="B765" s="511">
        <f t="shared" si="98"/>
        <v>198</v>
      </c>
      <c r="C765" s="517" t="str">
        <f ca="1">IF(COUNTA(D$475:D764)=1,"",OFFSET(B763,-COUNTA(D$475:D764)+3,1))</f>
        <v>a1W3p000005vRjeEAE</v>
      </c>
      <c r="D765" s="497"/>
      <c r="E765" s="497">
        <f t="shared" ca="1" si="99"/>
        <v>6</v>
      </c>
      <c r="F765" s="516">
        <f ca="1">IF(COUNTA(D$475:D764)=1,"",OFFSET(F763,-COUNTA(D$475:D764)+3,0))</f>
        <v>18</v>
      </c>
      <c r="G765" s="497"/>
      <c r="H765" s="497">
        <f t="shared" ca="1" si="100"/>
        <v>43</v>
      </c>
      <c r="I765" s="512" t="str">
        <f t="shared" ca="1" si="93"/>
        <v/>
      </c>
      <c r="J765" s="502" t="str">
        <f t="shared" ca="1" si="94"/>
        <v/>
      </c>
      <c r="K765" s="500" t="str">
        <f t="shared" ca="1" si="95"/>
        <v/>
      </c>
      <c r="L765" s="503" t="str">
        <f ca="1">IFERROR(CHOOSE(E765,'Outcome Indicators - Section C '!$K$7,'Outcome Indicators - Section C '!$O$7,'Outcome Indicators - Section C '!$S$7,'Outcome Indicators - Section C '!$W$7),"")</f>
        <v/>
      </c>
      <c r="M765" s="514" t="str">
        <f t="shared" ca="1" si="96"/>
        <v/>
      </c>
      <c r="N765" s="503" t="str">
        <f t="shared" ca="1" si="97"/>
        <v/>
      </c>
      <c r="O765" s="497"/>
      <c r="P765" s="497">
        <f t="shared" si="101"/>
        <v>0</v>
      </c>
      <c r="Q765" s="503"/>
    </row>
    <row r="766" spans="1:17" x14ac:dyDescent="0.35">
      <c r="A766" s="497" t="b">
        <f t="shared" ca="1" si="92"/>
        <v>0</v>
      </c>
      <c r="B766" s="511">
        <f t="shared" si="98"/>
        <v>199</v>
      </c>
      <c r="C766" s="517" t="str">
        <f ca="1">IF(COUNTA(D$475:D765)=1,"",OFFSET(B764,-COUNTA(D$475:D765)+3,1))</f>
        <v>a1W3p000005vRhFEAU</v>
      </c>
      <c r="D766" s="497"/>
      <c r="E766" s="497">
        <f t="shared" ca="1" si="99"/>
        <v>1</v>
      </c>
      <c r="F766" s="516">
        <f ca="1">IF(COUNTA(D$475:D765)=1,"",OFFSET(F764,-COUNTA(D$475:D765)+3,0))</f>
        <v>19</v>
      </c>
      <c r="G766" s="497"/>
      <c r="H766" s="497">
        <f t="shared" ca="1" si="100"/>
        <v>45</v>
      </c>
      <c r="I766" s="512" t="str">
        <f t="shared" ca="1" si="93"/>
        <v/>
      </c>
      <c r="J766" s="502" t="str">
        <f t="shared" ca="1" si="94"/>
        <v/>
      </c>
      <c r="K766" s="500" t="str">
        <f t="shared" ca="1" si="95"/>
        <v/>
      </c>
      <c r="L766" s="503">
        <f ca="1">IFERROR(CHOOSE(E766,'Outcome Indicators - Section C '!$K$7,'Outcome Indicators - Section C '!$O$7,'Outcome Indicators - Section C '!$S$7,'Outcome Indicators - Section C '!$W$7),"")</f>
        <v>2022</v>
      </c>
      <c r="M766" s="514" t="str">
        <f t="shared" ca="1" si="96"/>
        <v/>
      </c>
      <c r="N766" s="503" t="str">
        <f t="shared" ca="1" si="97"/>
        <v/>
      </c>
      <c r="O766" s="497"/>
      <c r="P766" s="497">
        <f t="shared" si="101"/>
        <v>0</v>
      </c>
      <c r="Q766" s="503"/>
    </row>
    <row r="767" spans="1:17" x14ac:dyDescent="0.35">
      <c r="A767" s="497" t="b">
        <f t="shared" ca="1" si="92"/>
        <v>0</v>
      </c>
      <c r="B767" s="511">
        <f t="shared" si="98"/>
        <v>200</v>
      </c>
      <c r="C767" s="517" t="str">
        <f ca="1">IF(COUNTA(D$475:D766)=1,"",OFFSET(B765,-COUNTA(D$475:D766)+3,1))</f>
        <v>a1W3p000005vRhjEAE</v>
      </c>
      <c r="D767" s="497"/>
      <c r="E767" s="497">
        <f t="shared" ca="1" si="99"/>
        <v>2</v>
      </c>
      <c r="F767" s="516">
        <f ca="1">IF(COUNTA(D$475:D766)=1,"",OFFSET(F765,-COUNTA(D$475:D766)+3,0))</f>
        <v>19</v>
      </c>
      <c r="G767" s="497"/>
      <c r="H767" s="497">
        <f t="shared" ca="1" si="100"/>
        <v>45</v>
      </c>
      <c r="I767" s="512" t="str">
        <f t="shared" ca="1" si="93"/>
        <v/>
      </c>
      <c r="J767" s="502" t="str">
        <f t="shared" ca="1" si="94"/>
        <v/>
      </c>
      <c r="K767" s="500" t="str">
        <f t="shared" ca="1" si="95"/>
        <v/>
      </c>
      <c r="L767" s="503">
        <f ca="1">IFERROR(CHOOSE(E767,'Outcome Indicators - Section C '!$K$7,'Outcome Indicators - Section C '!$O$7,'Outcome Indicators - Section C '!$S$7,'Outcome Indicators - Section C '!$W$7),"")</f>
        <v>2023</v>
      </c>
      <c r="M767" s="514" t="str">
        <f t="shared" ca="1" si="96"/>
        <v/>
      </c>
      <c r="N767" s="503" t="str">
        <f t="shared" ca="1" si="97"/>
        <v/>
      </c>
      <c r="O767" s="497"/>
      <c r="P767" s="497">
        <f t="shared" si="101"/>
        <v>0</v>
      </c>
      <c r="Q767" s="503"/>
    </row>
    <row r="768" spans="1:17" x14ac:dyDescent="0.35">
      <c r="A768" s="497" t="b">
        <f t="shared" ca="1" si="92"/>
        <v>0</v>
      </c>
      <c r="B768" s="511">
        <f t="shared" si="98"/>
        <v>201</v>
      </c>
      <c r="C768" s="517" t="str">
        <f ca="1">IF(COUNTA(D$475:D767)=1,"",OFFSET(B766,-COUNTA(D$475:D767)+3,1))</f>
        <v>a1W3p000005vRiDEAU</v>
      </c>
      <c r="D768" s="497"/>
      <c r="E768" s="497">
        <f t="shared" ca="1" si="99"/>
        <v>3</v>
      </c>
      <c r="F768" s="516">
        <f ca="1">IF(COUNTA(D$475:D767)=1,"",OFFSET(F766,-COUNTA(D$475:D767)+3,0))</f>
        <v>19</v>
      </c>
      <c r="G768" s="497"/>
      <c r="H768" s="497">
        <f t="shared" ca="1" si="100"/>
        <v>45</v>
      </c>
      <c r="I768" s="512" t="str">
        <f t="shared" ca="1" si="93"/>
        <v/>
      </c>
      <c r="J768" s="502" t="str">
        <f t="shared" ca="1" si="94"/>
        <v/>
      </c>
      <c r="K768" s="500" t="str">
        <f t="shared" ca="1" si="95"/>
        <v/>
      </c>
      <c r="L768" s="503">
        <f ca="1">IFERROR(CHOOSE(E768,'Outcome Indicators - Section C '!$K$7,'Outcome Indicators - Section C '!$O$7,'Outcome Indicators - Section C '!$S$7,'Outcome Indicators - Section C '!$W$7),"")</f>
        <v>2024</v>
      </c>
      <c r="M768" s="514" t="str">
        <f t="shared" ca="1" si="96"/>
        <v/>
      </c>
      <c r="N768" s="503" t="str">
        <f t="shared" ca="1" si="97"/>
        <v/>
      </c>
      <c r="O768" s="497"/>
      <c r="P768" s="497">
        <f t="shared" si="101"/>
        <v>0</v>
      </c>
      <c r="Q768" s="503"/>
    </row>
    <row r="769" spans="1:17" x14ac:dyDescent="0.35">
      <c r="A769" s="497" t="b">
        <f t="shared" ca="1" si="92"/>
        <v>0</v>
      </c>
      <c r="B769" s="511">
        <f t="shared" si="98"/>
        <v>202</v>
      </c>
      <c r="C769" s="517" t="str">
        <f ca="1">IF(COUNTA(D$475:D768)=1,"",OFFSET(B767,-COUNTA(D$475:D768)+3,1))</f>
        <v>a1W3p000005vRihEAE</v>
      </c>
      <c r="D769" s="497"/>
      <c r="E769" s="497">
        <f t="shared" ca="1" si="99"/>
        <v>4</v>
      </c>
      <c r="F769" s="516">
        <f ca="1">IF(COUNTA(D$475:D768)=1,"",OFFSET(F767,-COUNTA(D$475:D768)+3,0))</f>
        <v>19</v>
      </c>
      <c r="G769" s="497"/>
      <c r="H769" s="497">
        <f t="shared" ca="1" si="100"/>
        <v>45</v>
      </c>
      <c r="I769" s="512" t="str">
        <f t="shared" ca="1" si="93"/>
        <v/>
      </c>
      <c r="J769" s="502" t="str">
        <f t="shared" ca="1" si="94"/>
        <v/>
      </c>
      <c r="K769" s="500" t="str">
        <f t="shared" ca="1" si="95"/>
        <v/>
      </c>
      <c r="L769" s="503" t="str">
        <f ca="1">IFERROR(CHOOSE(E769,'Outcome Indicators - Section C '!$K$7,'Outcome Indicators - Section C '!$O$7,'Outcome Indicators - Section C '!$S$7,'Outcome Indicators - Section C '!$W$7),"")</f>
        <v/>
      </c>
      <c r="M769" s="514" t="str">
        <f t="shared" ca="1" si="96"/>
        <v/>
      </c>
      <c r="N769" s="503" t="str">
        <f t="shared" ca="1" si="97"/>
        <v/>
      </c>
      <c r="O769" s="497"/>
      <c r="P769" s="497">
        <f t="shared" si="101"/>
        <v>0</v>
      </c>
      <c r="Q769" s="503"/>
    </row>
    <row r="770" spans="1:17" x14ac:dyDescent="0.35">
      <c r="A770" s="497" t="b">
        <f t="shared" ca="1" si="92"/>
        <v>0</v>
      </c>
      <c r="B770" s="511">
        <f t="shared" si="98"/>
        <v>203</v>
      </c>
      <c r="C770" s="517" t="str">
        <f ca="1">IF(COUNTA(D$475:D769)=1,"",OFFSET(B768,-COUNTA(D$475:D769)+3,1))</f>
        <v>a1W3p000005vRjBEAU</v>
      </c>
      <c r="D770" s="497"/>
      <c r="E770" s="497">
        <f t="shared" ca="1" si="99"/>
        <v>5</v>
      </c>
      <c r="F770" s="516">
        <f ca="1">IF(COUNTA(D$475:D769)=1,"",OFFSET(F768,-COUNTA(D$475:D769)+3,0))</f>
        <v>19</v>
      </c>
      <c r="G770" s="497"/>
      <c r="H770" s="497">
        <f t="shared" ca="1" si="100"/>
        <v>45</v>
      </c>
      <c r="I770" s="512" t="str">
        <f t="shared" ca="1" si="93"/>
        <v/>
      </c>
      <c r="J770" s="502" t="str">
        <f t="shared" ca="1" si="94"/>
        <v/>
      </c>
      <c r="K770" s="500" t="str">
        <f t="shared" ca="1" si="95"/>
        <v/>
      </c>
      <c r="L770" s="503" t="str">
        <f ca="1">IFERROR(CHOOSE(E770,'Outcome Indicators - Section C '!$K$7,'Outcome Indicators - Section C '!$O$7,'Outcome Indicators - Section C '!$S$7,'Outcome Indicators - Section C '!$W$7),"")</f>
        <v/>
      </c>
      <c r="M770" s="514" t="str">
        <f t="shared" ca="1" si="96"/>
        <v/>
      </c>
      <c r="N770" s="503" t="str">
        <f t="shared" ca="1" si="97"/>
        <v/>
      </c>
      <c r="O770" s="497"/>
      <c r="P770" s="497">
        <f t="shared" si="101"/>
        <v>0</v>
      </c>
      <c r="Q770" s="503"/>
    </row>
    <row r="771" spans="1:17" x14ac:dyDescent="0.35">
      <c r="A771" s="497" t="b">
        <f t="shared" ca="1" si="92"/>
        <v>0</v>
      </c>
      <c r="B771" s="511">
        <f t="shared" si="98"/>
        <v>204</v>
      </c>
      <c r="C771" s="517" t="str">
        <f ca="1">IF(COUNTA(D$475:D770)=1,"",OFFSET(B769,-COUNTA(D$475:D770)+3,1))</f>
        <v>a1W3p000005vRjfEAE</v>
      </c>
      <c r="D771" s="497"/>
      <c r="E771" s="497">
        <f t="shared" ca="1" si="99"/>
        <v>6</v>
      </c>
      <c r="F771" s="516">
        <f ca="1">IF(COUNTA(D$475:D770)=1,"",OFFSET(F769,-COUNTA(D$475:D770)+3,0))</f>
        <v>19</v>
      </c>
      <c r="G771" s="497"/>
      <c r="H771" s="497">
        <f t="shared" ca="1" si="100"/>
        <v>45</v>
      </c>
      <c r="I771" s="512" t="str">
        <f t="shared" ca="1" si="93"/>
        <v/>
      </c>
      <c r="J771" s="502" t="str">
        <f t="shared" ca="1" si="94"/>
        <v/>
      </c>
      <c r="K771" s="500" t="str">
        <f t="shared" ca="1" si="95"/>
        <v/>
      </c>
      <c r="L771" s="503" t="str">
        <f ca="1">IFERROR(CHOOSE(E771,'Outcome Indicators - Section C '!$K$7,'Outcome Indicators - Section C '!$O$7,'Outcome Indicators - Section C '!$S$7,'Outcome Indicators - Section C '!$W$7),"")</f>
        <v/>
      </c>
      <c r="M771" s="514" t="str">
        <f t="shared" ca="1" si="96"/>
        <v/>
      </c>
      <c r="N771" s="503" t="str">
        <f t="shared" ca="1" si="97"/>
        <v/>
      </c>
      <c r="O771" s="497"/>
      <c r="P771" s="497">
        <f t="shared" si="101"/>
        <v>0</v>
      </c>
      <c r="Q771" s="503"/>
    </row>
    <row r="772" spans="1:17" x14ac:dyDescent="0.35">
      <c r="A772" s="497" t="b">
        <f t="shared" ca="1" si="92"/>
        <v>0</v>
      </c>
      <c r="B772" s="511">
        <f t="shared" si="98"/>
        <v>205</v>
      </c>
      <c r="C772" s="517" t="str">
        <f ca="1">IF(COUNTA(D$475:D771)=1,"",OFFSET(B770,-COUNTA(D$475:D771)+3,1))</f>
        <v>a1W3p000005vRhGEAU</v>
      </c>
      <c r="D772" s="497"/>
      <c r="E772" s="497">
        <f t="shared" ca="1" si="99"/>
        <v>1</v>
      </c>
      <c r="F772" s="516">
        <f ca="1">IF(COUNTA(D$475:D771)=1,"",OFFSET(F770,-COUNTA(D$475:D771)+3,0))</f>
        <v>20</v>
      </c>
      <c r="G772" s="497"/>
      <c r="H772" s="497">
        <f t="shared" ca="1" si="100"/>
        <v>47</v>
      </c>
      <c r="I772" s="512" t="str">
        <f t="shared" ca="1" si="93"/>
        <v/>
      </c>
      <c r="J772" s="502" t="str">
        <f t="shared" ca="1" si="94"/>
        <v/>
      </c>
      <c r="K772" s="500" t="str">
        <f t="shared" ca="1" si="95"/>
        <v/>
      </c>
      <c r="L772" s="503">
        <f ca="1">IFERROR(CHOOSE(E772,'Outcome Indicators - Section C '!$K$7,'Outcome Indicators - Section C '!$O$7,'Outcome Indicators - Section C '!$S$7,'Outcome Indicators - Section C '!$W$7),"")</f>
        <v>2022</v>
      </c>
      <c r="M772" s="514" t="str">
        <f t="shared" ca="1" si="96"/>
        <v/>
      </c>
      <c r="N772" s="503" t="str">
        <f t="shared" ca="1" si="97"/>
        <v/>
      </c>
      <c r="O772" s="497"/>
      <c r="P772" s="497">
        <f t="shared" si="101"/>
        <v>0</v>
      </c>
      <c r="Q772" s="503"/>
    </row>
    <row r="773" spans="1:17" x14ac:dyDescent="0.35">
      <c r="A773" s="497" t="b">
        <f t="shared" ca="1" si="92"/>
        <v>0</v>
      </c>
      <c r="B773" s="511">
        <f t="shared" si="98"/>
        <v>206</v>
      </c>
      <c r="C773" s="517" t="str">
        <f ca="1">IF(COUNTA(D$475:D772)=1,"",OFFSET(B771,-COUNTA(D$475:D772)+3,1))</f>
        <v>a1W3p000005vRhkEAE</v>
      </c>
      <c r="D773" s="497"/>
      <c r="E773" s="497">
        <f t="shared" ca="1" si="99"/>
        <v>2</v>
      </c>
      <c r="F773" s="516">
        <f ca="1">IF(COUNTA(D$475:D772)=1,"",OFFSET(F771,-COUNTA(D$475:D772)+3,0))</f>
        <v>20</v>
      </c>
      <c r="G773" s="497"/>
      <c r="H773" s="497">
        <f t="shared" ca="1" si="100"/>
        <v>47</v>
      </c>
      <c r="I773" s="512" t="str">
        <f t="shared" ca="1" si="93"/>
        <v/>
      </c>
      <c r="J773" s="502" t="str">
        <f t="shared" ca="1" si="94"/>
        <v/>
      </c>
      <c r="K773" s="500" t="str">
        <f t="shared" ca="1" si="95"/>
        <v/>
      </c>
      <c r="L773" s="503">
        <f ca="1">IFERROR(CHOOSE(E773,'Outcome Indicators - Section C '!$K$7,'Outcome Indicators - Section C '!$O$7,'Outcome Indicators - Section C '!$S$7,'Outcome Indicators - Section C '!$W$7),"")</f>
        <v>2023</v>
      </c>
      <c r="M773" s="514" t="str">
        <f t="shared" ca="1" si="96"/>
        <v/>
      </c>
      <c r="N773" s="503" t="str">
        <f t="shared" ca="1" si="97"/>
        <v/>
      </c>
      <c r="O773" s="497"/>
      <c r="P773" s="497">
        <f t="shared" si="101"/>
        <v>0</v>
      </c>
      <c r="Q773" s="503"/>
    </row>
    <row r="774" spans="1:17" x14ac:dyDescent="0.35">
      <c r="A774" s="497" t="b">
        <f t="shared" ca="1" si="92"/>
        <v>0</v>
      </c>
      <c r="B774" s="511">
        <f t="shared" si="98"/>
        <v>207</v>
      </c>
      <c r="C774" s="517" t="str">
        <f ca="1">IF(COUNTA(D$475:D773)=1,"",OFFSET(B772,-COUNTA(D$475:D773)+3,1))</f>
        <v>a1W3p000005vRiEEAU</v>
      </c>
      <c r="D774" s="497"/>
      <c r="E774" s="497">
        <f t="shared" ca="1" si="99"/>
        <v>3</v>
      </c>
      <c r="F774" s="516">
        <f ca="1">IF(COUNTA(D$475:D773)=1,"",OFFSET(F772,-COUNTA(D$475:D773)+3,0))</f>
        <v>20</v>
      </c>
      <c r="G774" s="497"/>
      <c r="H774" s="497">
        <f t="shared" ca="1" si="100"/>
        <v>47</v>
      </c>
      <c r="I774" s="512" t="str">
        <f t="shared" ca="1" si="93"/>
        <v/>
      </c>
      <c r="J774" s="502" t="str">
        <f t="shared" ca="1" si="94"/>
        <v/>
      </c>
      <c r="K774" s="500" t="str">
        <f t="shared" ca="1" si="95"/>
        <v/>
      </c>
      <c r="L774" s="503">
        <f ca="1">IFERROR(CHOOSE(E774,'Outcome Indicators - Section C '!$K$7,'Outcome Indicators - Section C '!$O$7,'Outcome Indicators - Section C '!$S$7,'Outcome Indicators - Section C '!$W$7),"")</f>
        <v>2024</v>
      </c>
      <c r="M774" s="514" t="str">
        <f t="shared" ca="1" si="96"/>
        <v/>
      </c>
      <c r="N774" s="503" t="str">
        <f t="shared" ca="1" si="97"/>
        <v/>
      </c>
      <c r="O774" s="497"/>
      <c r="P774" s="497">
        <f t="shared" si="101"/>
        <v>0</v>
      </c>
      <c r="Q774" s="503"/>
    </row>
    <row r="775" spans="1:17" x14ac:dyDescent="0.35">
      <c r="A775" s="497" t="b">
        <f t="shared" ca="1" si="92"/>
        <v>0</v>
      </c>
      <c r="B775" s="511">
        <f t="shared" si="98"/>
        <v>208</v>
      </c>
      <c r="C775" s="517" t="str">
        <f ca="1">IF(COUNTA(D$475:D774)=1,"",OFFSET(B773,-COUNTA(D$475:D774)+3,1))</f>
        <v>a1W3p000005vRiiEAE</v>
      </c>
      <c r="D775" s="497"/>
      <c r="E775" s="497">
        <f t="shared" ca="1" si="99"/>
        <v>4</v>
      </c>
      <c r="F775" s="516">
        <f ca="1">IF(COUNTA(D$475:D774)=1,"",OFFSET(F773,-COUNTA(D$475:D774)+3,0))</f>
        <v>20</v>
      </c>
      <c r="G775" s="497"/>
      <c r="H775" s="497">
        <f t="shared" ca="1" si="100"/>
        <v>47</v>
      </c>
      <c r="I775" s="512" t="str">
        <f t="shared" ca="1" si="93"/>
        <v/>
      </c>
      <c r="J775" s="502" t="str">
        <f t="shared" ca="1" si="94"/>
        <v/>
      </c>
      <c r="K775" s="500" t="str">
        <f t="shared" ca="1" si="95"/>
        <v/>
      </c>
      <c r="L775" s="503" t="str">
        <f ca="1">IFERROR(CHOOSE(E775,'Outcome Indicators - Section C '!$K$7,'Outcome Indicators - Section C '!$O$7,'Outcome Indicators - Section C '!$S$7,'Outcome Indicators - Section C '!$W$7),"")</f>
        <v/>
      </c>
      <c r="M775" s="514" t="str">
        <f t="shared" ca="1" si="96"/>
        <v/>
      </c>
      <c r="N775" s="503" t="str">
        <f t="shared" ca="1" si="97"/>
        <v/>
      </c>
      <c r="O775" s="497"/>
      <c r="P775" s="497">
        <f t="shared" si="101"/>
        <v>0</v>
      </c>
      <c r="Q775" s="503"/>
    </row>
    <row r="776" spans="1:17" x14ac:dyDescent="0.35">
      <c r="A776" s="497" t="b">
        <f t="shared" ca="1" si="92"/>
        <v>0</v>
      </c>
      <c r="B776" s="511">
        <f t="shared" si="98"/>
        <v>209</v>
      </c>
      <c r="C776" s="517" t="str">
        <f ca="1">IF(COUNTA(D$475:D775)=1,"",OFFSET(B774,-COUNTA(D$475:D775)+3,1))</f>
        <v>a1W3p000005vRjCEAU</v>
      </c>
      <c r="D776" s="497"/>
      <c r="E776" s="497">
        <f t="shared" ca="1" si="99"/>
        <v>5</v>
      </c>
      <c r="F776" s="516">
        <f ca="1">IF(COUNTA(D$475:D775)=1,"",OFFSET(F774,-COUNTA(D$475:D775)+3,0))</f>
        <v>20</v>
      </c>
      <c r="G776" s="497"/>
      <c r="H776" s="497">
        <f t="shared" ca="1" si="100"/>
        <v>47</v>
      </c>
      <c r="I776" s="512" t="str">
        <f t="shared" ca="1" si="93"/>
        <v/>
      </c>
      <c r="J776" s="502" t="str">
        <f t="shared" ca="1" si="94"/>
        <v/>
      </c>
      <c r="K776" s="500" t="str">
        <f t="shared" ca="1" si="95"/>
        <v/>
      </c>
      <c r="L776" s="503" t="str">
        <f ca="1">IFERROR(CHOOSE(E776,'Outcome Indicators - Section C '!$K$7,'Outcome Indicators - Section C '!$O$7,'Outcome Indicators - Section C '!$S$7,'Outcome Indicators - Section C '!$W$7),"")</f>
        <v/>
      </c>
      <c r="M776" s="514" t="str">
        <f t="shared" ca="1" si="96"/>
        <v/>
      </c>
      <c r="N776" s="503" t="str">
        <f t="shared" ca="1" si="97"/>
        <v/>
      </c>
      <c r="O776" s="497"/>
      <c r="P776" s="497">
        <f t="shared" si="101"/>
        <v>0</v>
      </c>
      <c r="Q776" s="503"/>
    </row>
    <row r="777" spans="1:17" x14ac:dyDescent="0.35">
      <c r="A777" s="497" t="b">
        <f t="shared" ca="1" si="92"/>
        <v>0</v>
      </c>
      <c r="B777" s="511">
        <f t="shared" si="98"/>
        <v>210</v>
      </c>
      <c r="C777" s="517" t="str">
        <f ca="1">IF(COUNTA(D$475:D776)=1,"",OFFSET(B775,-COUNTA(D$475:D776)+3,1))</f>
        <v>a1W3p000005vRjgEAE</v>
      </c>
      <c r="D777" s="497"/>
      <c r="E777" s="497">
        <f t="shared" ca="1" si="99"/>
        <v>6</v>
      </c>
      <c r="F777" s="516">
        <f ca="1">IF(COUNTA(D$475:D776)=1,"",OFFSET(F775,-COUNTA(D$475:D776)+3,0))</f>
        <v>20</v>
      </c>
      <c r="G777" s="497"/>
      <c r="H777" s="497">
        <f t="shared" ca="1" si="100"/>
        <v>47</v>
      </c>
      <c r="I777" s="512" t="str">
        <f t="shared" ca="1" si="93"/>
        <v/>
      </c>
      <c r="J777" s="502" t="str">
        <f t="shared" ca="1" si="94"/>
        <v/>
      </c>
      <c r="K777" s="500" t="str">
        <f t="shared" ca="1" si="95"/>
        <v/>
      </c>
      <c r="L777" s="503" t="str">
        <f ca="1">IFERROR(CHOOSE(E777,'Outcome Indicators - Section C '!$K$7,'Outcome Indicators - Section C '!$O$7,'Outcome Indicators - Section C '!$S$7,'Outcome Indicators - Section C '!$W$7),"")</f>
        <v/>
      </c>
      <c r="M777" s="514" t="str">
        <f t="shared" ca="1" si="96"/>
        <v/>
      </c>
      <c r="N777" s="503" t="str">
        <f t="shared" ca="1" si="97"/>
        <v/>
      </c>
      <c r="O777" s="497"/>
      <c r="P777" s="497">
        <f t="shared" si="101"/>
        <v>0</v>
      </c>
      <c r="Q777" s="503"/>
    </row>
    <row r="778" spans="1:17" x14ac:dyDescent="0.35">
      <c r="A778" s="497" t="b">
        <f t="shared" ca="1" si="92"/>
        <v>0</v>
      </c>
      <c r="B778" s="511">
        <f t="shared" si="98"/>
        <v>211</v>
      </c>
      <c r="C778" s="517" t="str">
        <f ca="1">IF(COUNTA(D$475:D777)=1,"",OFFSET(B776,-COUNTA(D$475:D777)+3,1))</f>
        <v>a1W3p000005vRhHEAU</v>
      </c>
      <c r="D778" s="497"/>
      <c r="E778" s="497">
        <f t="shared" ca="1" si="99"/>
        <v>1</v>
      </c>
      <c r="F778" s="516">
        <f ca="1">IF(COUNTA(D$475:D777)=1,"",OFFSET(F776,-COUNTA(D$475:D777)+3,0))</f>
        <v>21</v>
      </c>
      <c r="G778" s="497"/>
      <c r="H778" s="497">
        <f t="shared" ca="1" si="100"/>
        <v>49</v>
      </c>
      <c r="I778" s="512" t="str">
        <f t="shared" ca="1" si="93"/>
        <v/>
      </c>
      <c r="J778" s="502" t="str">
        <f t="shared" ca="1" si="94"/>
        <v/>
      </c>
      <c r="K778" s="500" t="str">
        <f t="shared" ca="1" si="95"/>
        <v/>
      </c>
      <c r="L778" s="503">
        <f ca="1">IFERROR(CHOOSE(E778,'Outcome Indicators - Section C '!$K$7,'Outcome Indicators - Section C '!$O$7,'Outcome Indicators - Section C '!$S$7,'Outcome Indicators - Section C '!$W$7),"")</f>
        <v>2022</v>
      </c>
      <c r="M778" s="514" t="str">
        <f t="shared" ca="1" si="96"/>
        <v/>
      </c>
      <c r="N778" s="503" t="str">
        <f t="shared" ca="1" si="97"/>
        <v/>
      </c>
      <c r="O778" s="497"/>
      <c r="P778" s="497">
        <f t="shared" si="101"/>
        <v>0</v>
      </c>
      <c r="Q778" s="503"/>
    </row>
    <row r="779" spans="1:17" x14ac:dyDescent="0.35">
      <c r="A779" s="497" t="b">
        <f t="shared" ca="1" si="92"/>
        <v>0</v>
      </c>
      <c r="B779" s="511">
        <f t="shared" si="98"/>
        <v>212</v>
      </c>
      <c r="C779" s="517" t="str">
        <f ca="1">IF(COUNTA(D$475:D778)=1,"",OFFSET(B777,-COUNTA(D$475:D778)+3,1))</f>
        <v>a1W3p000005vRhlEAE</v>
      </c>
      <c r="D779" s="497"/>
      <c r="E779" s="497">
        <f t="shared" ca="1" si="99"/>
        <v>2</v>
      </c>
      <c r="F779" s="516">
        <f ca="1">IF(COUNTA(D$475:D778)=1,"",OFFSET(F777,-COUNTA(D$475:D778)+3,0))</f>
        <v>21</v>
      </c>
      <c r="G779" s="497"/>
      <c r="H779" s="497">
        <f t="shared" ca="1" si="100"/>
        <v>49</v>
      </c>
      <c r="I779" s="512" t="str">
        <f t="shared" ca="1" si="93"/>
        <v/>
      </c>
      <c r="J779" s="502" t="str">
        <f t="shared" ca="1" si="94"/>
        <v/>
      </c>
      <c r="K779" s="500" t="str">
        <f t="shared" ca="1" si="95"/>
        <v/>
      </c>
      <c r="L779" s="503">
        <f ca="1">IFERROR(CHOOSE(E779,'Outcome Indicators - Section C '!$K$7,'Outcome Indicators - Section C '!$O$7,'Outcome Indicators - Section C '!$S$7,'Outcome Indicators - Section C '!$W$7),"")</f>
        <v>2023</v>
      </c>
      <c r="M779" s="514" t="str">
        <f t="shared" ca="1" si="96"/>
        <v/>
      </c>
      <c r="N779" s="503" t="str">
        <f t="shared" ca="1" si="97"/>
        <v/>
      </c>
      <c r="O779" s="497"/>
      <c r="P779" s="497">
        <f t="shared" si="101"/>
        <v>0</v>
      </c>
      <c r="Q779" s="503"/>
    </row>
    <row r="780" spans="1:17" x14ac:dyDescent="0.35">
      <c r="A780" s="497" t="b">
        <f t="shared" ca="1" si="92"/>
        <v>0</v>
      </c>
      <c r="B780" s="511">
        <f t="shared" si="98"/>
        <v>213</v>
      </c>
      <c r="C780" s="517" t="str">
        <f ca="1">IF(COUNTA(D$475:D779)=1,"",OFFSET(B778,-COUNTA(D$475:D779)+3,1))</f>
        <v>a1W3p000005vRiFEAU</v>
      </c>
      <c r="D780" s="497"/>
      <c r="E780" s="497">
        <f t="shared" ca="1" si="99"/>
        <v>3</v>
      </c>
      <c r="F780" s="516">
        <f ca="1">IF(COUNTA(D$475:D779)=1,"",OFFSET(F778,-COUNTA(D$475:D779)+3,0))</f>
        <v>21</v>
      </c>
      <c r="G780" s="497"/>
      <c r="H780" s="497">
        <f t="shared" ca="1" si="100"/>
        <v>49</v>
      </c>
      <c r="I780" s="512" t="str">
        <f t="shared" ca="1" si="93"/>
        <v/>
      </c>
      <c r="J780" s="502" t="str">
        <f t="shared" ca="1" si="94"/>
        <v/>
      </c>
      <c r="K780" s="500" t="str">
        <f t="shared" ca="1" si="95"/>
        <v/>
      </c>
      <c r="L780" s="503">
        <f ca="1">IFERROR(CHOOSE(E780,'Outcome Indicators - Section C '!$K$7,'Outcome Indicators - Section C '!$O$7,'Outcome Indicators - Section C '!$S$7,'Outcome Indicators - Section C '!$W$7),"")</f>
        <v>2024</v>
      </c>
      <c r="M780" s="514" t="str">
        <f t="shared" ca="1" si="96"/>
        <v/>
      </c>
      <c r="N780" s="503" t="str">
        <f t="shared" ca="1" si="97"/>
        <v/>
      </c>
      <c r="O780" s="497"/>
      <c r="P780" s="497">
        <f t="shared" si="101"/>
        <v>0</v>
      </c>
      <c r="Q780" s="503"/>
    </row>
    <row r="781" spans="1:17" x14ac:dyDescent="0.35">
      <c r="A781" s="497" t="b">
        <f t="shared" ca="1" si="92"/>
        <v>0</v>
      </c>
      <c r="B781" s="511">
        <f t="shared" si="98"/>
        <v>214</v>
      </c>
      <c r="C781" s="517" t="str">
        <f ca="1">IF(COUNTA(D$475:D780)=1,"",OFFSET(B779,-COUNTA(D$475:D780)+3,1))</f>
        <v>a1W3p000005vRijEAE</v>
      </c>
      <c r="D781" s="497"/>
      <c r="E781" s="497">
        <f t="shared" ca="1" si="99"/>
        <v>4</v>
      </c>
      <c r="F781" s="516">
        <f ca="1">IF(COUNTA(D$475:D780)=1,"",OFFSET(F779,-COUNTA(D$475:D780)+3,0))</f>
        <v>21</v>
      </c>
      <c r="G781" s="497"/>
      <c r="H781" s="497">
        <f t="shared" ca="1" si="100"/>
        <v>49</v>
      </c>
      <c r="I781" s="512" t="str">
        <f t="shared" ca="1" si="93"/>
        <v/>
      </c>
      <c r="J781" s="502" t="str">
        <f t="shared" ca="1" si="94"/>
        <v/>
      </c>
      <c r="K781" s="500" t="str">
        <f t="shared" ca="1" si="95"/>
        <v/>
      </c>
      <c r="L781" s="503" t="str">
        <f ca="1">IFERROR(CHOOSE(E781,'Outcome Indicators - Section C '!$K$7,'Outcome Indicators - Section C '!$O$7,'Outcome Indicators - Section C '!$S$7,'Outcome Indicators - Section C '!$W$7),"")</f>
        <v/>
      </c>
      <c r="M781" s="514" t="str">
        <f t="shared" ca="1" si="96"/>
        <v/>
      </c>
      <c r="N781" s="503" t="str">
        <f t="shared" ca="1" si="97"/>
        <v/>
      </c>
      <c r="O781" s="497"/>
      <c r="P781" s="497">
        <f t="shared" si="101"/>
        <v>0</v>
      </c>
      <c r="Q781" s="503"/>
    </row>
    <row r="782" spans="1:17" x14ac:dyDescent="0.35">
      <c r="A782" s="497" t="b">
        <f t="shared" ca="1" si="92"/>
        <v>0</v>
      </c>
      <c r="B782" s="511">
        <f t="shared" si="98"/>
        <v>215</v>
      </c>
      <c r="C782" s="517" t="str">
        <f ca="1">IF(COUNTA(D$475:D781)=1,"",OFFSET(B780,-COUNTA(D$475:D781)+3,1))</f>
        <v>a1W3p000005vRjDEAU</v>
      </c>
      <c r="D782" s="497"/>
      <c r="E782" s="497">
        <f t="shared" ca="1" si="99"/>
        <v>5</v>
      </c>
      <c r="F782" s="516">
        <f ca="1">IF(COUNTA(D$475:D781)=1,"",OFFSET(F780,-COUNTA(D$475:D781)+3,0))</f>
        <v>21</v>
      </c>
      <c r="G782" s="497"/>
      <c r="H782" s="497">
        <f t="shared" ca="1" si="100"/>
        <v>49</v>
      </c>
      <c r="I782" s="512" t="str">
        <f t="shared" ca="1" si="93"/>
        <v/>
      </c>
      <c r="J782" s="502" t="str">
        <f t="shared" ca="1" si="94"/>
        <v/>
      </c>
      <c r="K782" s="500" t="str">
        <f t="shared" ca="1" si="95"/>
        <v/>
      </c>
      <c r="L782" s="503" t="str">
        <f ca="1">IFERROR(CHOOSE(E782,'Outcome Indicators - Section C '!$K$7,'Outcome Indicators - Section C '!$O$7,'Outcome Indicators - Section C '!$S$7,'Outcome Indicators - Section C '!$W$7),"")</f>
        <v/>
      </c>
      <c r="M782" s="514" t="str">
        <f t="shared" ca="1" si="96"/>
        <v/>
      </c>
      <c r="N782" s="503" t="str">
        <f t="shared" ca="1" si="97"/>
        <v/>
      </c>
      <c r="O782" s="497"/>
      <c r="P782" s="497">
        <f t="shared" si="101"/>
        <v>0</v>
      </c>
      <c r="Q782" s="503"/>
    </row>
    <row r="783" spans="1:17" x14ac:dyDescent="0.35">
      <c r="A783" s="497" t="b">
        <f t="shared" ca="1" si="92"/>
        <v>0</v>
      </c>
      <c r="B783" s="511">
        <f t="shared" si="98"/>
        <v>216</v>
      </c>
      <c r="C783" s="517" t="str">
        <f ca="1">IF(COUNTA(D$475:D782)=1,"",OFFSET(B781,-COUNTA(D$475:D782)+3,1))</f>
        <v>a1W3p000005vRjhEAE</v>
      </c>
      <c r="D783" s="497"/>
      <c r="E783" s="497">
        <f t="shared" ca="1" si="99"/>
        <v>6</v>
      </c>
      <c r="F783" s="516">
        <f ca="1">IF(COUNTA(D$475:D782)=1,"",OFFSET(F781,-COUNTA(D$475:D782)+3,0))</f>
        <v>21</v>
      </c>
      <c r="G783" s="497"/>
      <c r="H783" s="497">
        <f t="shared" ca="1" si="100"/>
        <v>49</v>
      </c>
      <c r="I783" s="512" t="str">
        <f t="shared" ca="1" si="93"/>
        <v/>
      </c>
      <c r="J783" s="502" t="str">
        <f t="shared" ca="1" si="94"/>
        <v/>
      </c>
      <c r="K783" s="500" t="str">
        <f t="shared" ca="1" si="95"/>
        <v/>
      </c>
      <c r="L783" s="503" t="str">
        <f ca="1">IFERROR(CHOOSE(E783,'Outcome Indicators - Section C '!$K$7,'Outcome Indicators - Section C '!$O$7,'Outcome Indicators - Section C '!$S$7,'Outcome Indicators - Section C '!$W$7),"")</f>
        <v/>
      </c>
      <c r="M783" s="514" t="str">
        <f t="shared" ca="1" si="96"/>
        <v/>
      </c>
      <c r="N783" s="503" t="str">
        <f t="shared" ca="1" si="97"/>
        <v/>
      </c>
      <c r="O783" s="497"/>
      <c r="P783" s="497">
        <f t="shared" si="101"/>
        <v>0</v>
      </c>
      <c r="Q783" s="503"/>
    </row>
    <row r="784" spans="1:17" x14ac:dyDescent="0.35">
      <c r="A784" s="497" t="b">
        <f t="shared" ca="1" si="92"/>
        <v>0</v>
      </c>
      <c r="B784" s="511">
        <f t="shared" si="98"/>
        <v>217</v>
      </c>
      <c r="C784" s="517" t="str">
        <f ca="1">IF(COUNTA(D$475:D783)=1,"",OFFSET(B782,-COUNTA(D$475:D783)+3,1))</f>
        <v>a1W3p000005vRhIEAU</v>
      </c>
      <c r="D784" s="497"/>
      <c r="E784" s="497">
        <f t="shared" ca="1" si="99"/>
        <v>1</v>
      </c>
      <c r="F784" s="516">
        <f ca="1">IF(COUNTA(D$475:D783)=1,"",OFFSET(F782,-COUNTA(D$475:D783)+3,0))</f>
        <v>22</v>
      </c>
      <c r="G784" s="497"/>
      <c r="H784" s="497">
        <f t="shared" ca="1" si="100"/>
        <v>51</v>
      </c>
      <c r="I784" s="512" t="str">
        <f t="shared" ca="1" si="93"/>
        <v/>
      </c>
      <c r="J784" s="502" t="str">
        <f t="shared" ca="1" si="94"/>
        <v/>
      </c>
      <c r="K784" s="500" t="str">
        <f t="shared" ca="1" si="95"/>
        <v/>
      </c>
      <c r="L784" s="503">
        <f ca="1">IFERROR(CHOOSE(E784,'Outcome Indicators - Section C '!$K$7,'Outcome Indicators - Section C '!$O$7,'Outcome Indicators - Section C '!$S$7,'Outcome Indicators - Section C '!$W$7),"")</f>
        <v>2022</v>
      </c>
      <c r="M784" s="514" t="str">
        <f t="shared" ca="1" si="96"/>
        <v/>
      </c>
      <c r="N784" s="503" t="str">
        <f t="shared" ca="1" si="97"/>
        <v/>
      </c>
      <c r="O784" s="497"/>
      <c r="P784" s="497">
        <f t="shared" si="101"/>
        <v>0</v>
      </c>
      <c r="Q784" s="503"/>
    </row>
    <row r="785" spans="1:17" x14ac:dyDescent="0.35">
      <c r="A785" s="497" t="b">
        <f t="shared" ca="1" si="92"/>
        <v>0</v>
      </c>
      <c r="B785" s="511">
        <f t="shared" si="98"/>
        <v>218</v>
      </c>
      <c r="C785" s="517" t="str">
        <f ca="1">IF(COUNTA(D$475:D784)=1,"",OFFSET(B783,-COUNTA(D$475:D784)+3,1))</f>
        <v>a1W3p000005vRhmEAE</v>
      </c>
      <c r="D785" s="497"/>
      <c r="E785" s="497">
        <f t="shared" ca="1" si="99"/>
        <v>2</v>
      </c>
      <c r="F785" s="516">
        <f ca="1">IF(COUNTA(D$475:D784)=1,"",OFFSET(F783,-COUNTA(D$475:D784)+3,0))</f>
        <v>22</v>
      </c>
      <c r="G785" s="497"/>
      <c r="H785" s="497">
        <f t="shared" ca="1" si="100"/>
        <v>51</v>
      </c>
      <c r="I785" s="512" t="str">
        <f t="shared" ca="1" si="93"/>
        <v/>
      </c>
      <c r="J785" s="502" t="str">
        <f t="shared" ca="1" si="94"/>
        <v/>
      </c>
      <c r="K785" s="500" t="str">
        <f t="shared" ca="1" si="95"/>
        <v/>
      </c>
      <c r="L785" s="503">
        <f ca="1">IFERROR(CHOOSE(E785,'Outcome Indicators - Section C '!$K$7,'Outcome Indicators - Section C '!$O$7,'Outcome Indicators - Section C '!$S$7,'Outcome Indicators - Section C '!$W$7),"")</f>
        <v>2023</v>
      </c>
      <c r="M785" s="514" t="str">
        <f t="shared" ca="1" si="96"/>
        <v/>
      </c>
      <c r="N785" s="503" t="str">
        <f t="shared" ca="1" si="97"/>
        <v/>
      </c>
      <c r="O785" s="497"/>
      <c r="P785" s="497">
        <f t="shared" si="101"/>
        <v>0</v>
      </c>
      <c r="Q785" s="503"/>
    </row>
    <row r="786" spans="1:17" x14ac:dyDescent="0.35">
      <c r="A786" s="497" t="b">
        <f t="shared" ref="A786:A837" ca="1" si="102">IF(OR(I786&lt;&gt;"",J786&lt;&gt;"",K786&lt;&gt;"",M786&lt;&gt;"",N786&lt;&gt;""),TRUE,FALSE)</f>
        <v>0</v>
      </c>
      <c r="B786" s="511">
        <f t="shared" si="98"/>
        <v>219</v>
      </c>
      <c r="C786" s="517" t="str">
        <f ca="1">IF(COUNTA(D$475:D785)=1,"",OFFSET(B784,-COUNTA(D$475:D785)+3,1))</f>
        <v>a1W3p000005vRiGEAU</v>
      </c>
      <c r="D786" s="497"/>
      <c r="E786" s="497">
        <f t="shared" ca="1" si="99"/>
        <v>3</v>
      </c>
      <c r="F786" s="516">
        <f ca="1">IF(COUNTA(D$475:D785)=1,"",OFFSET(F784,-COUNTA(D$475:D785)+3,0))</f>
        <v>22</v>
      </c>
      <c r="G786" s="497"/>
      <c r="H786" s="497">
        <f t="shared" ca="1" si="100"/>
        <v>51</v>
      </c>
      <c r="I786" s="512" t="str">
        <f t="shared" ref="I786:I837" ca="1" si="103">IFERROR(CHOOSE(E786,IFERROR(IF(INDIRECT("'Outcome Indicators - Section C '!K"&amp;H786+1)="","",INDIRECT("'Outcome Indicators - Section C '!k"&amp;H786+1)),""),IFERROR(IF(INDIRECT("'Outcome Indicators - Section C '!O"&amp;H786+1)="","",INDIRECT("'Outcome Indicators - Section C '!O"&amp;H786+1)),""),IFERROR(IF(INDIRECT("'Outcome Indicators - Section C '!S"&amp;H786+1)="","",INDIRECT("'Outcome Indicators - Section C '!S"&amp;H786+1)),""),IFERROR(IF(INDIRECT("'Outcome Indicators - Section C '!W"&amp;H786+1)="","",INDIRECT("'Outcome Indicators - Section C '!W"&amp;H786+1)),"")),"")</f>
        <v/>
      </c>
      <c r="J786" s="502" t="str">
        <f t="shared" ref="J786:J837" ca="1" si="104">IFERROR(CHOOSE(E786,IFERROR(IF(INDIRECT("'Outcome Indicators - Section C '!K"&amp;H786)="","",INDIRECT("'Outcome Indicators - Section C '!k"&amp;H786)),""),IFERROR(IF(INDIRECT("'Outcome Indicators - Section C '!O"&amp;H786)="","",INDIRECT("'Outcome Indicators - Section C '!O"&amp;H786)),""),IFERROR(IF(INDIRECT("'Outcome Indicators - Section C '!S"&amp;H786)="","",INDIRECT("'Outcome Indicators - Section C '!S"&amp;H786)),""),IFERROR(IF(INDIRECT("'Outcome Indicators - Section C '!W"&amp;H786)="","",INDIRECT("'Outcome Indicators - Section C '!W"&amp;H786)),"")),"")</f>
        <v/>
      </c>
      <c r="K786" s="500" t="str">
        <f t="shared" ref="K786:K837" ca="1" si="105">IFERROR(CHOOSE(E786,IFERROR(IF(INDIRECT("'Outcome Indicators - Section C '!L"&amp;H786)="","",INDIRECT("'Outcome Indicators - Section C '!L"&amp;H786)*100),""),IFERROR(IF(INDIRECT("'Outcome Indicators - Section C '!P"&amp;H786)="","",INDIRECT("'Outcome Indicators - Section C '!P"&amp;H786)*100),""),IFERROR(IF(INDIRECT("'Outcome Indicators - Section C '!T"&amp;H786)="","",INDIRECT("'Outcome Indicators - Section C '!T"&amp;H786)*100),""),IFERROR(IF(INDIRECT("'Outcome Indicators - Section C '!X"&amp;H786)="","",INDIRECT("'Outcome Indicators - Section C '!X"&amp;H786)*100),"")),"")</f>
        <v/>
      </c>
      <c r="L786" s="503">
        <f ca="1">IFERROR(CHOOSE(E786,'Outcome Indicators - Section C '!$K$7,'Outcome Indicators - Section C '!$O$7,'Outcome Indicators - Section C '!$S$7,'Outcome Indicators - Section C '!$W$7),"")</f>
        <v>2024</v>
      </c>
      <c r="M786" s="514" t="str">
        <f t="shared" ref="M786:M837" ca="1" si="106">IFERROR(CHOOSE(E786,IFERROR(IF(INDIRECT("'Outcome Indicators - Section C '!M"&amp;H786)="","",INDIRECT("'Outcome Indicators - Section C '!M"&amp;H786)),""),IFERROR(IF(INDIRECT("'Outcome Indicators - Section C '!Q"&amp;H786)="","",INDIRECT("'Outcome Indicators - Section C '!Q"&amp;H786)),""),IFERROR(IF(INDIRECT("'Outcome Indicators - Section C '!U"&amp;H786)="","",INDIRECT("'Outcome Indicators - Section C '!U"&amp;H786)),""),IFERROR(IF(INDIRECT("'Outcome Indicators - Section C '!Y"&amp;H786)="","",INDIRECT("'Outcome Indicators - Section C '!Y"&amp;H786)),"")),"")</f>
        <v/>
      </c>
      <c r="N786" s="503" t="str">
        <f t="shared" ref="N786:N837" ca="1" si="107">IFERROR(CHOOSE(E786,IFERROR(IF(INDIRECT("'Outcome Indicators - Section C '!N"&amp;H786)=0,"",INDIRECT("'Outcome Indicators - Section C '!N"&amp;H786)),""),IFERROR(IF(INDIRECT("'Outcome Indicators - Section C '!R"&amp;H786)=0,"",INDIRECT("'Outcome Indicators - Section C '!R"&amp;H786)),""),IFERROR(IF(INDIRECT("'Outcome Indicators - Section C '!V"&amp;H786)=0,"",INDIRECT("'Outcome Indicators - Section C '!V"&amp;H786)),""),IFERROR(IF(INDIRECT("'Outcome Indicators - Section C '!Z"&amp;H786)=0,"",INDIRECT("'Outcome Indicators - Section C '!Z"&amp;H786)),"")),"")</f>
        <v/>
      </c>
      <c r="O786" s="497"/>
      <c r="P786" s="497">
        <f t="shared" si="101"/>
        <v>0</v>
      </c>
      <c r="Q786" s="503"/>
    </row>
    <row r="787" spans="1:17" x14ac:dyDescent="0.35">
      <c r="A787" s="497" t="b">
        <f t="shared" ca="1" si="102"/>
        <v>0</v>
      </c>
      <c r="B787" s="511">
        <f t="shared" si="98"/>
        <v>220</v>
      </c>
      <c r="C787" s="517" t="str">
        <f ca="1">IF(COUNTA(D$475:D786)=1,"",OFFSET(B785,-COUNTA(D$475:D786)+3,1))</f>
        <v>a1W3p000005vRikEAE</v>
      </c>
      <c r="D787" s="497"/>
      <c r="E787" s="497">
        <f t="shared" ca="1" si="99"/>
        <v>4</v>
      </c>
      <c r="F787" s="516">
        <f ca="1">IF(COUNTA(D$475:D786)=1,"",OFFSET(F785,-COUNTA(D$475:D786)+3,0))</f>
        <v>22</v>
      </c>
      <c r="G787" s="497"/>
      <c r="H787" s="497">
        <f t="shared" ca="1" si="100"/>
        <v>51</v>
      </c>
      <c r="I787" s="512" t="str">
        <f t="shared" ca="1" si="103"/>
        <v/>
      </c>
      <c r="J787" s="502" t="str">
        <f t="shared" ca="1" si="104"/>
        <v/>
      </c>
      <c r="K787" s="500" t="str">
        <f t="shared" ca="1" si="105"/>
        <v/>
      </c>
      <c r="L787" s="503" t="str">
        <f ca="1">IFERROR(CHOOSE(E787,'Outcome Indicators - Section C '!$K$7,'Outcome Indicators - Section C '!$O$7,'Outcome Indicators - Section C '!$S$7,'Outcome Indicators - Section C '!$W$7),"")</f>
        <v/>
      </c>
      <c r="M787" s="514" t="str">
        <f t="shared" ca="1" si="106"/>
        <v/>
      </c>
      <c r="N787" s="503" t="str">
        <f t="shared" ca="1" si="107"/>
        <v/>
      </c>
      <c r="O787" s="497"/>
      <c r="P787" s="497">
        <f t="shared" si="101"/>
        <v>0</v>
      </c>
      <c r="Q787" s="503"/>
    </row>
    <row r="788" spans="1:17" x14ac:dyDescent="0.35">
      <c r="A788" s="497" t="b">
        <f t="shared" ca="1" si="102"/>
        <v>0</v>
      </c>
      <c r="B788" s="511">
        <f t="shared" si="98"/>
        <v>221</v>
      </c>
      <c r="C788" s="517" t="str">
        <f ca="1">IF(COUNTA(D$475:D787)=1,"",OFFSET(B786,-COUNTA(D$475:D787)+3,1))</f>
        <v>a1W3p000005vRjEEAU</v>
      </c>
      <c r="D788" s="497"/>
      <c r="E788" s="497">
        <f t="shared" ca="1" si="99"/>
        <v>5</v>
      </c>
      <c r="F788" s="516">
        <f ca="1">IF(COUNTA(D$475:D787)=1,"",OFFSET(F786,-COUNTA(D$475:D787)+3,0))</f>
        <v>22</v>
      </c>
      <c r="G788" s="497"/>
      <c r="H788" s="497">
        <f t="shared" ca="1" si="100"/>
        <v>51</v>
      </c>
      <c r="I788" s="512" t="str">
        <f t="shared" ca="1" si="103"/>
        <v/>
      </c>
      <c r="J788" s="502" t="str">
        <f t="shared" ca="1" si="104"/>
        <v/>
      </c>
      <c r="K788" s="500" t="str">
        <f t="shared" ca="1" si="105"/>
        <v/>
      </c>
      <c r="L788" s="503" t="str">
        <f ca="1">IFERROR(CHOOSE(E788,'Outcome Indicators - Section C '!$K$7,'Outcome Indicators - Section C '!$O$7,'Outcome Indicators - Section C '!$S$7,'Outcome Indicators - Section C '!$W$7),"")</f>
        <v/>
      </c>
      <c r="M788" s="514" t="str">
        <f t="shared" ca="1" si="106"/>
        <v/>
      </c>
      <c r="N788" s="503" t="str">
        <f t="shared" ca="1" si="107"/>
        <v/>
      </c>
      <c r="O788" s="497"/>
      <c r="P788" s="497">
        <f t="shared" si="101"/>
        <v>0</v>
      </c>
      <c r="Q788" s="503"/>
    </row>
    <row r="789" spans="1:17" x14ac:dyDescent="0.35">
      <c r="A789" s="497" t="b">
        <f t="shared" ca="1" si="102"/>
        <v>0</v>
      </c>
      <c r="B789" s="511">
        <f t="shared" si="98"/>
        <v>222</v>
      </c>
      <c r="C789" s="517" t="str">
        <f ca="1">IF(COUNTA(D$475:D788)=1,"",OFFSET(B787,-COUNTA(D$475:D788)+3,1))</f>
        <v>a1W3p000005vRjiEAE</v>
      </c>
      <c r="D789" s="497"/>
      <c r="E789" s="497">
        <f t="shared" ca="1" si="99"/>
        <v>6</v>
      </c>
      <c r="F789" s="516">
        <f ca="1">IF(COUNTA(D$475:D788)=1,"",OFFSET(F787,-COUNTA(D$475:D788)+3,0))</f>
        <v>22</v>
      </c>
      <c r="G789" s="497"/>
      <c r="H789" s="497">
        <f t="shared" ca="1" si="100"/>
        <v>51</v>
      </c>
      <c r="I789" s="512" t="str">
        <f t="shared" ca="1" si="103"/>
        <v/>
      </c>
      <c r="J789" s="502" t="str">
        <f t="shared" ca="1" si="104"/>
        <v/>
      </c>
      <c r="K789" s="500" t="str">
        <f t="shared" ca="1" si="105"/>
        <v/>
      </c>
      <c r="L789" s="503" t="str">
        <f ca="1">IFERROR(CHOOSE(E789,'Outcome Indicators - Section C '!$K$7,'Outcome Indicators - Section C '!$O$7,'Outcome Indicators - Section C '!$S$7,'Outcome Indicators - Section C '!$W$7),"")</f>
        <v/>
      </c>
      <c r="M789" s="514" t="str">
        <f t="shared" ca="1" si="106"/>
        <v/>
      </c>
      <c r="N789" s="503" t="str">
        <f t="shared" ca="1" si="107"/>
        <v/>
      </c>
      <c r="O789" s="497"/>
      <c r="P789" s="497">
        <f t="shared" si="101"/>
        <v>0</v>
      </c>
      <c r="Q789" s="503"/>
    </row>
    <row r="790" spans="1:17" x14ac:dyDescent="0.35">
      <c r="A790" s="497" t="b">
        <f t="shared" ca="1" si="102"/>
        <v>0</v>
      </c>
      <c r="B790" s="511">
        <f t="shared" si="98"/>
        <v>223</v>
      </c>
      <c r="C790" s="517" t="str">
        <f ca="1">IF(COUNTA(D$475:D789)=1,"",OFFSET(B788,-COUNTA(D$475:D789)+3,1))</f>
        <v>a1W3p000005vRhJEAU</v>
      </c>
      <c r="D790" s="497"/>
      <c r="E790" s="497">
        <f t="shared" ca="1" si="99"/>
        <v>1</v>
      </c>
      <c r="F790" s="516">
        <f ca="1">IF(COUNTA(D$475:D789)=1,"",OFFSET(F788,-COUNTA(D$475:D789)+3,0))</f>
        <v>23</v>
      </c>
      <c r="G790" s="497"/>
      <c r="H790" s="497">
        <f t="shared" ca="1" si="100"/>
        <v>53</v>
      </c>
      <c r="I790" s="512" t="str">
        <f t="shared" ca="1" si="103"/>
        <v/>
      </c>
      <c r="J790" s="502" t="str">
        <f t="shared" ca="1" si="104"/>
        <v/>
      </c>
      <c r="K790" s="500" t="str">
        <f t="shared" ca="1" si="105"/>
        <v/>
      </c>
      <c r="L790" s="503">
        <f ca="1">IFERROR(CHOOSE(E790,'Outcome Indicators - Section C '!$K$7,'Outcome Indicators - Section C '!$O$7,'Outcome Indicators - Section C '!$S$7,'Outcome Indicators - Section C '!$W$7),"")</f>
        <v>2022</v>
      </c>
      <c r="M790" s="514" t="str">
        <f t="shared" ca="1" si="106"/>
        <v/>
      </c>
      <c r="N790" s="503" t="str">
        <f t="shared" ca="1" si="107"/>
        <v/>
      </c>
      <c r="O790" s="497"/>
      <c r="P790" s="497">
        <f t="shared" si="101"/>
        <v>0</v>
      </c>
      <c r="Q790" s="503"/>
    </row>
    <row r="791" spans="1:17" x14ac:dyDescent="0.35">
      <c r="A791" s="497" t="b">
        <f t="shared" ca="1" si="102"/>
        <v>0</v>
      </c>
      <c r="B791" s="511">
        <f t="shared" si="98"/>
        <v>224</v>
      </c>
      <c r="C791" s="517" t="str">
        <f ca="1">IF(COUNTA(D$475:D790)=1,"",OFFSET(B789,-COUNTA(D$475:D790)+3,1))</f>
        <v>a1W3p000005vRhnEAE</v>
      </c>
      <c r="D791" s="497"/>
      <c r="E791" s="497">
        <f t="shared" ca="1" si="99"/>
        <v>2</v>
      </c>
      <c r="F791" s="516">
        <f ca="1">IF(COUNTA(D$475:D790)=1,"",OFFSET(F789,-COUNTA(D$475:D790)+3,0))</f>
        <v>23</v>
      </c>
      <c r="G791" s="497"/>
      <c r="H791" s="497">
        <f t="shared" ca="1" si="100"/>
        <v>53</v>
      </c>
      <c r="I791" s="512" t="str">
        <f t="shared" ca="1" si="103"/>
        <v/>
      </c>
      <c r="J791" s="502" t="str">
        <f t="shared" ca="1" si="104"/>
        <v/>
      </c>
      <c r="K791" s="500" t="str">
        <f t="shared" ca="1" si="105"/>
        <v/>
      </c>
      <c r="L791" s="503">
        <f ca="1">IFERROR(CHOOSE(E791,'Outcome Indicators - Section C '!$K$7,'Outcome Indicators - Section C '!$O$7,'Outcome Indicators - Section C '!$S$7,'Outcome Indicators - Section C '!$W$7),"")</f>
        <v>2023</v>
      </c>
      <c r="M791" s="514" t="str">
        <f t="shared" ca="1" si="106"/>
        <v/>
      </c>
      <c r="N791" s="503" t="str">
        <f t="shared" ca="1" si="107"/>
        <v/>
      </c>
      <c r="O791" s="497"/>
      <c r="P791" s="497">
        <f t="shared" si="101"/>
        <v>0</v>
      </c>
      <c r="Q791" s="503"/>
    </row>
    <row r="792" spans="1:17" x14ac:dyDescent="0.35">
      <c r="A792" s="497" t="b">
        <f t="shared" ca="1" si="102"/>
        <v>0</v>
      </c>
      <c r="B792" s="511">
        <f t="shared" si="98"/>
        <v>225</v>
      </c>
      <c r="C792" s="517" t="str">
        <f ca="1">IF(COUNTA(D$475:D791)=1,"",OFFSET(B790,-COUNTA(D$475:D791)+3,1))</f>
        <v>a1W3p000005vRiHEAU</v>
      </c>
      <c r="D792" s="497"/>
      <c r="E792" s="497">
        <f t="shared" ca="1" si="99"/>
        <v>3</v>
      </c>
      <c r="F792" s="516">
        <f ca="1">IF(COUNTA(D$475:D791)=1,"",OFFSET(F790,-COUNTA(D$475:D791)+3,0))</f>
        <v>23</v>
      </c>
      <c r="G792" s="497"/>
      <c r="H792" s="497">
        <f t="shared" ca="1" si="100"/>
        <v>53</v>
      </c>
      <c r="I792" s="512" t="str">
        <f t="shared" ca="1" si="103"/>
        <v/>
      </c>
      <c r="J792" s="502" t="str">
        <f t="shared" ca="1" si="104"/>
        <v/>
      </c>
      <c r="K792" s="500" t="str">
        <f t="shared" ca="1" si="105"/>
        <v/>
      </c>
      <c r="L792" s="503">
        <f ca="1">IFERROR(CHOOSE(E792,'Outcome Indicators - Section C '!$K$7,'Outcome Indicators - Section C '!$O$7,'Outcome Indicators - Section C '!$S$7,'Outcome Indicators - Section C '!$W$7),"")</f>
        <v>2024</v>
      </c>
      <c r="M792" s="514" t="str">
        <f t="shared" ca="1" si="106"/>
        <v/>
      </c>
      <c r="N792" s="503" t="str">
        <f t="shared" ca="1" si="107"/>
        <v/>
      </c>
      <c r="O792" s="497"/>
      <c r="P792" s="497">
        <f t="shared" si="101"/>
        <v>0</v>
      </c>
      <c r="Q792" s="503"/>
    </row>
    <row r="793" spans="1:17" x14ac:dyDescent="0.35">
      <c r="A793" s="497" t="b">
        <f t="shared" ca="1" si="102"/>
        <v>0</v>
      </c>
      <c r="B793" s="511">
        <f t="shared" si="98"/>
        <v>226</v>
      </c>
      <c r="C793" s="517" t="str">
        <f ca="1">IF(COUNTA(D$475:D792)=1,"",OFFSET(B791,-COUNTA(D$475:D792)+3,1))</f>
        <v>a1W3p000005vRilEAE</v>
      </c>
      <c r="D793" s="497"/>
      <c r="E793" s="497">
        <f t="shared" ca="1" si="99"/>
        <v>4</v>
      </c>
      <c r="F793" s="516">
        <f ca="1">IF(COUNTA(D$475:D792)=1,"",OFFSET(F791,-COUNTA(D$475:D792)+3,0))</f>
        <v>23</v>
      </c>
      <c r="G793" s="497"/>
      <c r="H793" s="497">
        <f t="shared" ca="1" si="100"/>
        <v>53</v>
      </c>
      <c r="I793" s="512" t="str">
        <f t="shared" ca="1" si="103"/>
        <v/>
      </c>
      <c r="J793" s="502" t="str">
        <f t="shared" ca="1" si="104"/>
        <v/>
      </c>
      <c r="K793" s="500" t="str">
        <f t="shared" ca="1" si="105"/>
        <v/>
      </c>
      <c r="L793" s="503" t="str">
        <f ca="1">IFERROR(CHOOSE(E793,'Outcome Indicators - Section C '!$K$7,'Outcome Indicators - Section C '!$O$7,'Outcome Indicators - Section C '!$S$7,'Outcome Indicators - Section C '!$W$7),"")</f>
        <v/>
      </c>
      <c r="M793" s="514" t="str">
        <f t="shared" ca="1" si="106"/>
        <v/>
      </c>
      <c r="N793" s="503" t="str">
        <f t="shared" ca="1" si="107"/>
        <v/>
      </c>
      <c r="O793" s="497"/>
      <c r="P793" s="497">
        <f t="shared" si="101"/>
        <v>0</v>
      </c>
      <c r="Q793" s="503"/>
    </row>
    <row r="794" spans="1:17" x14ac:dyDescent="0.35">
      <c r="A794" s="497" t="b">
        <f t="shared" ca="1" si="102"/>
        <v>0</v>
      </c>
      <c r="B794" s="511">
        <f t="shared" si="98"/>
        <v>227</v>
      </c>
      <c r="C794" s="517" t="str">
        <f ca="1">IF(COUNTA(D$475:D793)=1,"",OFFSET(B792,-COUNTA(D$475:D793)+3,1))</f>
        <v>a1W3p000005vRjFEAU</v>
      </c>
      <c r="D794" s="497"/>
      <c r="E794" s="497">
        <f t="shared" ca="1" si="99"/>
        <v>5</v>
      </c>
      <c r="F794" s="516">
        <f ca="1">IF(COUNTA(D$475:D793)=1,"",OFFSET(F792,-COUNTA(D$475:D793)+3,0))</f>
        <v>23</v>
      </c>
      <c r="G794" s="497"/>
      <c r="H794" s="497">
        <f t="shared" ca="1" si="100"/>
        <v>53</v>
      </c>
      <c r="I794" s="512" t="str">
        <f t="shared" ca="1" si="103"/>
        <v/>
      </c>
      <c r="J794" s="502" t="str">
        <f t="shared" ca="1" si="104"/>
        <v/>
      </c>
      <c r="K794" s="500" t="str">
        <f t="shared" ca="1" si="105"/>
        <v/>
      </c>
      <c r="L794" s="503" t="str">
        <f ca="1">IFERROR(CHOOSE(E794,'Outcome Indicators - Section C '!$K$7,'Outcome Indicators - Section C '!$O$7,'Outcome Indicators - Section C '!$S$7,'Outcome Indicators - Section C '!$W$7),"")</f>
        <v/>
      </c>
      <c r="M794" s="514" t="str">
        <f t="shared" ca="1" si="106"/>
        <v/>
      </c>
      <c r="N794" s="503" t="str">
        <f t="shared" ca="1" si="107"/>
        <v/>
      </c>
      <c r="O794" s="497"/>
      <c r="P794" s="497">
        <f t="shared" si="101"/>
        <v>0</v>
      </c>
      <c r="Q794" s="503"/>
    </row>
    <row r="795" spans="1:17" x14ac:dyDescent="0.35">
      <c r="A795" s="497" t="b">
        <f t="shared" ca="1" si="102"/>
        <v>0</v>
      </c>
      <c r="B795" s="511">
        <f t="shared" si="98"/>
        <v>228</v>
      </c>
      <c r="C795" s="517" t="str">
        <f ca="1">IF(COUNTA(D$475:D794)=1,"",OFFSET(B793,-COUNTA(D$475:D794)+3,1))</f>
        <v>a1W3p000005vRjjEAE</v>
      </c>
      <c r="D795" s="497"/>
      <c r="E795" s="497">
        <f t="shared" ca="1" si="99"/>
        <v>6</v>
      </c>
      <c r="F795" s="516">
        <f ca="1">IF(COUNTA(D$475:D794)=1,"",OFFSET(F793,-COUNTA(D$475:D794)+3,0))</f>
        <v>23</v>
      </c>
      <c r="G795" s="497"/>
      <c r="H795" s="497">
        <f t="shared" ca="1" si="100"/>
        <v>53</v>
      </c>
      <c r="I795" s="512" t="str">
        <f t="shared" ca="1" si="103"/>
        <v/>
      </c>
      <c r="J795" s="502" t="str">
        <f t="shared" ca="1" si="104"/>
        <v/>
      </c>
      <c r="K795" s="500" t="str">
        <f t="shared" ca="1" si="105"/>
        <v/>
      </c>
      <c r="L795" s="503" t="str">
        <f ca="1">IFERROR(CHOOSE(E795,'Outcome Indicators - Section C '!$K$7,'Outcome Indicators - Section C '!$O$7,'Outcome Indicators - Section C '!$S$7,'Outcome Indicators - Section C '!$W$7),"")</f>
        <v/>
      </c>
      <c r="M795" s="514" t="str">
        <f t="shared" ca="1" si="106"/>
        <v/>
      </c>
      <c r="N795" s="503" t="str">
        <f t="shared" ca="1" si="107"/>
        <v/>
      </c>
      <c r="O795" s="497"/>
      <c r="P795" s="497">
        <f t="shared" si="101"/>
        <v>0</v>
      </c>
      <c r="Q795" s="503"/>
    </row>
    <row r="796" spans="1:17" x14ac:dyDescent="0.35">
      <c r="A796" s="497" t="b">
        <f t="shared" ca="1" si="102"/>
        <v>0</v>
      </c>
      <c r="B796" s="511">
        <f t="shared" si="98"/>
        <v>229</v>
      </c>
      <c r="C796" s="517" t="str">
        <f ca="1">IF(COUNTA(D$475:D795)=1,"",OFFSET(B794,-COUNTA(D$475:D795)+3,1))</f>
        <v>a1W3p000005vRhKEAU</v>
      </c>
      <c r="D796" s="497"/>
      <c r="E796" s="497">
        <f t="shared" ca="1" si="99"/>
        <v>1</v>
      </c>
      <c r="F796" s="516">
        <f ca="1">IF(COUNTA(D$475:D795)=1,"",OFFSET(F794,-COUNTA(D$475:D795)+3,0))</f>
        <v>24</v>
      </c>
      <c r="G796" s="497"/>
      <c r="H796" s="497">
        <f t="shared" ca="1" si="100"/>
        <v>55</v>
      </c>
      <c r="I796" s="512" t="str">
        <f t="shared" ca="1" si="103"/>
        <v/>
      </c>
      <c r="J796" s="502" t="str">
        <f t="shared" ca="1" si="104"/>
        <v/>
      </c>
      <c r="K796" s="500" t="str">
        <f t="shared" ca="1" si="105"/>
        <v/>
      </c>
      <c r="L796" s="503">
        <f ca="1">IFERROR(CHOOSE(E796,'Outcome Indicators - Section C '!$K$7,'Outcome Indicators - Section C '!$O$7,'Outcome Indicators - Section C '!$S$7,'Outcome Indicators - Section C '!$W$7),"")</f>
        <v>2022</v>
      </c>
      <c r="M796" s="514" t="str">
        <f t="shared" ca="1" si="106"/>
        <v/>
      </c>
      <c r="N796" s="503" t="str">
        <f t="shared" ca="1" si="107"/>
        <v/>
      </c>
      <c r="O796" s="497"/>
      <c r="P796" s="497">
        <f t="shared" si="101"/>
        <v>0</v>
      </c>
      <c r="Q796" s="503"/>
    </row>
    <row r="797" spans="1:17" x14ac:dyDescent="0.35">
      <c r="A797" s="497" t="b">
        <f t="shared" ca="1" si="102"/>
        <v>0</v>
      </c>
      <c r="B797" s="511">
        <f t="shared" si="98"/>
        <v>230</v>
      </c>
      <c r="C797" s="517" t="str">
        <f ca="1">IF(COUNTA(D$475:D796)=1,"",OFFSET(B795,-COUNTA(D$475:D796)+3,1))</f>
        <v>a1W3p000005vRhoEAE</v>
      </c>
      <c r="D797" s="497"/>
      <c r="E797" s="497">
        <f t="shared" ca="1" si="99"/>
        <v>2</v>
      </c>
      <c r="F797" s="516">
        <f ca="1">IF(COUNTA(D$475:D796)=1,"",OFFSET(F795,-COUNTA(D$475:D796)+3,0))</f>
        <v>24</v>
      </c>
      <c r="G797" s="497"/>
      <c r="H797" s="497">
        <f t="shared" ca="1" si="100"/>
        <v>55</v>
      </c>
      <c r="I797" s="512" t="str">
        <f t="shared" ca="1" si="103"/>
        <v/>
      </c>
      <c r="J797" s="502" t="str">
        <f t="shared" ca="1" si="104"/>
        <v/>
      </c>
      <c r="K797" s="500" t="str">
        <f t="shared" ca="1" si="105"/>
        <v/>
      </c>
      <c r="L797" s="503">
        <f ca="1">IFERROR(CHOOSE(E797,'Outcome Indicators - Section C '!$K$7,'Outcome Indicators - Section C '!$O$7,'Outcome Indicators - Section C '!$S$7,'Outcome Indicators - Section C '!$W$7),"")</f>
        <v>2023</v>
      </c>
      <c r="M797" s="514" t="str">
        <f t="shared" ca="1" si="106"/>
        <v/>
      </c>
      <c r="N797" s="503" t="str">
        <f t="shared" ca="1" si="107"/>
        <v/>
      </c>
      <c r="O797" s="497"/>
      <c r="P797" s="497">
        <f t="shared" si="101"/>
        <v>0</v>
      </c>
      <c r="Q797" s="503"/>
    </row>
    <row r="798" spans="1:17" x14ac:dyDescent="0.35">
      <c r="A798" s="497" t="b">
        <f t="shared" ca="1" si="102"/>
        <v>0</v>
      </c>
      <c r="B798" s="511">
        <f t="shared" ref="B798:B837" si="108">B797+1</f>
        <v>231</v>
      </c>
      <c r="C798" s="517" t="str">
        <f ca="1">IF(COUNTA(D$475:D797)=1,"",OFFSET(B796,-COUNTA(D$475:D797)+3,1))</f>
        <v>a1W3p000005vRiIEAU</v>
      </c>
      <c r="D798" s="497"/>
      <c r="E798" s="497">
        <f t="shared" ref="E798:E837" ca="1" si="109">COUNTIF(F789:F798,F798)</f>
        <v>3</v>
      </c>
      <c r="F798" s="516">
        <f ca="1">IF(COUNTA(D$475:D797)=1,"",OFFSET(F796,-COUNTA(D$475:D797)+3,0))</f>
        <v>24</v>
      </c>
      <c r="G798" s="497"/>
      <c r="H798" s="497">
        <f t="shared" ref="H798:H837" ca="1" si="110">IF(F798=1,9,IF(E797=MAX(E796:E798),H796+2,H797))</f>
        <v>55</v>
      </c>
      <c r="I798" s="512" t="str">
        <f t="shared" ca="1" si="103"/>
        <v/>
      </c>
      <c r="J798" s="502" t="str">
        <f t="shared" ca="1" si="104"/>
        <v/>
      </c>
      <c r="K798" s="500" t="str">
        <f t="shared" ca="1" si="105"/>
        <v/>
      </c>
      <c r="L798" s="503">
        <f ca="1">IFERROR(CHOOSE(E798,'Outcome Indicators - Section C '!$K$7,'Outcome Indicators - Section C '!$O$7,'Outcome Indicators - Section C '!$S$7,'Outcome Indicators - Section C '!$W$7),"")</f>
        <v>2024</v>
      </c>
      <c r="M798" s="514" t="str">
        <f t="shared" ca="1" si="106"/>
        <v/>
      </c>
      <c r="N798" s="503" t="str">
        <f t="shared" ca="1" si="107"/>
        <v/>
      </c>
      <c r="O798" s="497"/>
      <c r="P798" s="497">
        <f t="shared" ref="P798:P837" si="111">IF(NOT(_xlfn.ISFORMULA(I798)),P797+1,0)</f>
        <v>0</v>
      </c>
      <c r="Q798" s="503"/>
    </row>
    <row r="799" spans="1:17" x14ac:dyDescent="0.35">
      <c r="A799" s="497" t="b">
        <f t="shared" ca="1" si="102"/>
        <v>0</v>
      </c>
      <c r="B799" s="511">
        <f t="shared" si="108"/>
        <v>232</v>
      </c>
      <c r="C799" s="517" t="str">
        <f ca="1">IF(COUNTA(D$475:D798)=1,"",OFFSET(B797,-COUNTA(D$475:D798)+3,1))</f>
        <v>a1W3p000005vRimEAE</v>
      </c>
      <c r="D799" s="497"/>
      <c r="E799" s="497">
        <f t="shared" ca="1" si="109"/>
        <v>4</v>
      </c>
      <c r="F799" s="516">
        <f ca="1">IF(COUNTA(D$475:D798)=1,"",OFFSET(F797,-COUNTA(D$475:D798)+3,0))</f>
        <v>24</v>
      </c>
      <c r="G799" s="497"/>
      <c r="H799" s="497">
        <f t="shared" ca="1" si="110"/>
        <v>55</v>
      </c>
      <c r="I799" s="512" t="str">
        <f t="shared" ca="1" si="103"/>
        <v/>
      </c>
      <c r="J799" s="502" t="str">
        <f t="shared" ca="1" si="104"/>
        <v/>
      </c>
      <c r="K799" s="500" t="str">
        <f t="shared" ca="1" si="105"/>
        <v/>
      </c>
      <c r="L799" s="503" t="str">
        <f ca="1">IFERROR(CHOOSE(E799,'Outcome Indicators - Section C '!$K$7,'Outcome Indicators - Section C '!$O$7,'Outcome Indicators - Section C '!$S$7,'Outcome Indicators - Section C '!$W$7),"")</f>
        <v/>
      </c>
      <c r="M799" s="514" t="str">
        <f t="shared" ca="1" si="106"/>
        <v/>
      </c>
      <c r="N799" s="503" t="str">
        <f t="shared" ca="1" si="107"/>
        <v/>
      </c>
      <c r="O799" s="497"/>
      <c r="P799" s="497">
        <f t="shared" si="111"/>
        <v>0</v>
      </c>
      <c r="Q799" s="503"/>
    </row>
    <row r="800" spans="1:17" x14ac:dyDescent="0.35">
      <c r="A800" s="497" t="b">
        <f t="shared" ca="1" si="102"/>
        <v>0</v>
      </c>
      <c r="B800" s="511">
        <f t="shared" si="108"/>
        <v>233</v>
      </c>
      <c r="C800" s="517" t="str">
        <f ca="1">IF(COUNTA(D$475:D799)=1,"",OFFSET(B798,-COUNTA(D$475:D799)+3,1))</f>
        <v>a1W3p000005vRjGEAU</v>
      </c>
      <c r="D800" s="497"/>
      <c r="E800" s="497">
        <f t="shared" ca="1" si="109"/>
        <v>5</v>
      </c>
      <c r="F800" s="516">
        <f ca="1">IF(COUNTA(D$475:D799)=1,"",OFFSET(F798,-COUNTA(D$475:D799)+3,0))</f>
        <v>24</v>
      </c>
      <c r="G800" s="497"/>
      <c r="H800" s="497">
        <f t="shared" ca="1" si="110"/>
        <v>55</v>
      </c>
      <c r="I800" s="512" t="str">
        <f t="shared" ca="1" si="103"/>
        <v/>
      </c>
      <c r="J800" s="502" t="str">
        <f t="shared" ca="1" si="104"/>
        <v/>
      </c>
      <c r="K800" s="500" t="str">
        <f t="shared" ca="1" si="105"/>
        <v/>
      </c>
      <c r="L800" s="503" t="str">
        <f ca="1">IFERROR(CHOOSE(E800,'Outcome Indicators - Section C '!$K$7,'Outcome Indicators - Section C '!$O$7,'Outcome Indicators - Section C '!$S$7,'Outcome Indicators - Section C '!$W$7),"")</f>
        <v/>
      </c>
      <c r="M800" s="514" t="str">
        <f t="shared" ca="1" si="106"/>
        <v/>
      </c>
      <c r="N800" s="503" t="str">
        <f t="shared" ca="1" si="107"/>
        <v/>
      </c>
      <c r="O800" s="497"/>
      <c r="P800" s="497">
        <f t="shared" si="111"/>
        <v>0</v>
      </c>
      <c r="Q800" s="503"/>
    </row>
    <row r="801" spans="1:17" x14ac:dyDescent="0.35">
      <c r="A801" s="497" t="b">
        <f t="shared" ca="1" si="102"/>
        <v>0</v>
      </c>
      <c r="B801" s="511">
        <f t="shared" si="108"/>
        <v>234</v>
      </c>
      <c r="C801" s="517" t="str">
        <f ca="1">IF(COUNTA(D$475:D800)=1,"",OFFSET(B799,-COUNTA(D$475:D800)+3,1))</f>
        <v>a1W3p000005vRjkEAE</v>
      </c>
      <c r="D801" s="497"/>
      <c r="E801" s="497">
        <f t="shared" ca="1" si="109"/>
        <v>6</v>
      </c>
      <c r="F801" s="516">
        <f ca="1">IF(COUNTA(D$475:D800)=1,"",OFFSET(F799,-COUNTA(D$475:D800)+3,0))</f>
        <v>24</v>
      </c>
      <c r="G801" s="497"/>
      <c r="H801" s="497">
        <f t="shared" ca="1" si="110"/>
        <v>55</v>
      </c>
      <c r="I801" s="512" t="str">
        <f t="shared" ca="1" si="103"/>
        <v/>
      </c>
      <c r="J801" s="502" t="str">
        <f t="shared" ca="1" si="104"/>
        <v/>
      </c>
      <c r="K801" s="500" t="str">
        <f t="shared" ca="1" si="105"/>
        <v/>
      </c>
      <c r="L801" s="503" t="str">
        <f ca="1">IFERROR(CHOOSE(E801,'Outcome Indicators - Section C '!$K$7,'Outcome Indicators - Section C '!$O$7,'Outcome Indicators - Section C '!$S$7,'Outcome Indicators - Section C '!$W$7),"")</f>
        <v/>
      </c>
      <c r="M801" s="514" t="str">
        <f t="shared" ca="1" si="106"/>
        <v/>
      </c>
      <c r="N801" s="503" t="str">
        <f t="shared" ca="1" si="107"/>
        <v/>
      </c>
      <c r="O801" s="497"/>
      <c r="P801" s="497">
        <f t="shared" si="111"/>
        <v>0</v>
      </c>
      <c r="Q801" s="503"/>
    </row>
    <row r="802" spans="1:17" x14ac:dyDescent="0.35">
      <c r="A802" s="497" t="b">
        <f t="shared" ca="1" si="102"/>
        <v>0</v>
      </c>
      <c r="B802" s="511">
        <f t="shared" si="108"/>
        <v>235</v>
      </c>
      <c r="C802" s="517" t="str">
        <f ca="1">IF(COUNTA(D$475:D801)=1,"",OFFSET(B800,-COUNTA(D$475:D801)+3,1))</f>
        <v>a1W3p000005vRhLEAU</v>
      </c>
      <c r="D802" s="497"/>
      <c r="E802" s="497">
        <f t="shared" ca="1" si="109"/>
        <v>1</v>
      </c>
      <c r="F802" s="516">
        <f ca="1">IF(COUNTA(D$475:D801)=1,"",OFFSET(F800,-COUNTA(D$475:D801)+3,0))</f>
        <v>25</v>
      </c>
      <c r="G802" s="497"/>
      <c r="H802" s="497">
        <f t="shared" ca="1" si="110"/>
        <v>57</v>
      </c>
      <c r="I802" s="512" t="str">
        <f t="shared" ca="1" si="103"/>
        <v/>
      </c>
      <c r="J802" s="502" t="str">
        <f t="shared" ca="1" si="104"/>
        <v/>
      </c>
      <c r="K802" s="500" t="str">
        <f t="shared" ca="1" si="105"/>
        <v/>
      </c>
      <c r="L802" s="503">
        <f ca="1">IFERROR(CHOOSE(E802,'Outcome Indicators - Section C '!$K$7,'Outcome Indicators - Section C '!$O$7,'Outcome Indicators - Section C '!$S$7,'Outcome Indicators - Section C '!$W$7),"")</f>
        <v>2022</v>
      </c>
      <c r="M802" s="514" t="str">
        <f t="shared" ca="1" si="106"/>
        <v/>
      </c>
      <c r="N802" s="503" t="str">
        <f t="shared" ca="1" si="107"/>
        <v/>
      </c>
      <c r="O802" s="497"/>
      <c r="P802" s="497">
        <f t="shared" si="111"/>
        <v>0</v>
      </c>
      <c r="Q802" s="503"/>
    </row>
    <row r="803" spans="1:17" x14ac:dyDescent="0.35">
      <c r="A803" s="497" t="b">
        <f t="shared" ca="1" si="102"/>
        <v>0</v>
      </c>
      <c r="B803" s="511">
        <f t="shared" si="108"/>
        <v>236</v>
      </c>
      <c r="C803" s="517" t="str">
        <f ca="1">IF(COUNTA(D$475:D802)=1,"",OFFSET(B801,-COUNTA(D$475:D802)+3,1))</f>
        <v>a1W3p000005vRhpEAE</v>
      </c>
      <c r="D803" s="497"/>
      <c r="E803" s="497">
        <f t="shared" ca="1" si="109"/>
        <v>2</v>
      </c>
      <c r="F803" s="516">
        <f ca="1">IF(COUNTA(D$475:D802)=1,"",OFFSET(F801,-COUNTA(D$475:D802)+3,0))</f>
        <v>25</v>
      </c>
      <c r="G803" s="497"/>
      <c r="H803" s="497">
        <f t="shared" ca="1" si="110"/>
        <v>57</v>
      </c>
      <c r="I803" s="512" t="str">
        <f t="shared" ca="1" si="103"/>
        <v/>
      </c>
      <c r="J803" s="502" t="str">
        <f t="shared" ca="1" si="104"/>
        <v/>
      </c>
      <c r="K803" s="500" t="str">
        <f t="shared" ca="1" si="105"/>
        <v/>
      </c>
      <c r="L803" s="503">
        <f ca="1">IFERROR(CHOOSE(E803,'Outcome Indicators - Section C '!$K$7,'Outcome Indicators - Section C '!$O$7,'Outcome Indicators - Section C '!$S$7,'Outcome Indicators - Section C '!$W$7),"")</f>
        <v>2023</v>
      </c>
      <c r="M803" s="514" t="str">
        <f t="shared" ca="1" si="106"/>
        <v/>
      </c>
      <c r="N803" s="503" t="str">
        <f t="shared" ca="1" si="107"/>
        <v/>
      </c>
      <c r="O803" s="497"/>
      <c r="P803" s="497">
        <f t="shared" si="111"/>
        <v>0</v>
      </c>
      <c r="Q803" s="503"/>
    </row>
    <row r="804" spans="1:17" x14ac:dyDescent="0.35">
      <c r="A804" s="497" t="b">
        <f t="shared" ca="1" si="102"/>
        <v>0</v>
      </c>
      <c r="B804" s="511">
        <f t="shared" si="108"/>
        <v>237</v>
      </c>
      <c r="C804" s="517" t="str">
        <f ca="1">IF(COUNTA(D$475:D803)=1,"",OFFSET(B802,-COUNTA(D$475:D803)+3,1))</f>
        <v>a1W3p000005vRiJEAU</v>
      </c>
      <c r="D804" s="497"/>
      <c r="E804" s="497">
        <f t="shared" ca="1" si="109"/>
        <v>3</v>
      </c>
      <c r="F804" s="516">
        <f ca="1">IF(COUNTA(D$475:D803)=1,"",OFFSET(F802,-COUNTA(D$475:D803)+3,0))</f>
        <v>25</v>
      </c>
      <c r="G804" s="497"/>
      <c r="H804" s="497">
        <f t="shared" ca="1" si="110"/>
        <v>57</v>
      </c>
      <c r="I804" s="512" t="str">
        <f t="shared" ca="1" si="103"/>
        <v/>
      </c>
      <c r="J804" s="502" t="str">
        <f t="shared" ca="1" si="104"/>
        <v/>
      </c>
      <c r="K804" s="500" t="str">
        <f t="shared" ca="1" si="105"/>
        <v/>
      </c>
      <c r="L804" s="503">
        <f ca="1">IFERROR(CHOOSE(E804,'Outcome Indicators - Section C '!$K$7,'Outcome Indicators - Section C '!$O$7,'Outcome Indicators - Section C '!$S$7,'Outcome Indicators - Section C '!$W$7),"")</f>
        <v>2024</v>
      </c>
      <c r="M804" s="514" t="str">
        <f t="shared" ca="1" si="106"/>
        <v/>
      </c>
      <c r="N804" s="503" t="str">
        <f t="shared" ca="1" si="107"/>
        <v/>
      </c>
      <c r="O804" s="497"/>
      <c r="P804" s="497">
        <f t="shared" si="111"/>
        <v>0</v>
      </c>
      <c r="Q804" s="503"/>
    </row>
    <row r="805" spans="1:17" x14ac:dyDescent="0.35">
      <c r="A805" s="497" t="b">
        <f t="shared" ca="1" si="102"/>
        <v>0</v>
      </c>
      <c r="B805" s="511">
        <f t="shared" si="108"/>
        <v>238</v>
      </c>
      <c r="C805" s="517" t="str">
        <f ca="1">IF(COUNTA(D$475:D804)=1,"",OFFSET(B803,-COUNTA(D$475:D804)+3,1))</f>
        <v>a1W3p000005vRinEAE</v>
      </c>
      <c r="D805" s="497"/>
      <c r="E805" s="497">
        <f t="shared" ca="1" si="109"/>
        <v>4</v>
      </c>
      <c r="F805" s="516">
        <f ca="1">IF(COUNTA(D$475:D804)=1,"",OFFSET(F803,-COUNTA(D$475:D804)+3,0))</f>
        <v>25</v>
      </c>
      <c r="G805" s="497"/>
      <c r="H805" s="497">
        <f t="shared" ca="1" si="110"/>
        <v>57</v>
      </c>
      <c r="I805" s="512" t="str">
        <f t="shared" ca="1" si="103"/>
        <v/>
      </c>
      <c r="J805" s="502" t="str">
        <f t="shared" ca="1" si="104"/>
        <v/>
      </c>
      <c r="K805" s="500" t="str">
        <f t="shared" ca="1" si="105"/>
        <v/>
      </c>
      <c r="L805" s="503" t="str">
        <f ca="1">IFERROR(CHOOSE(E805,'Outcome Indicators - Section C '!$K$7,'Outcome Indicators - Section C '!$O$7,'Outcome Indicators - Section C '!$S$7,'Outcome Indicators - Section C '!$W$7),"")</f>
        <v/>
      </c>
      <c r="M805" s="514" t="str">
        <f t="shared" ca="1" si="106"/>
        <v/>
      </c>
      <c r="N805" s="503" t="str">
        <f t="shared" ca="1" si="107"/>
        <v/>
      </c>
      <c r="O805" s="497"/>
      <c r="P805" s="497">
        <f t="shared" si="111"/>
        <v>0</v>
      </c>
      <c r="Q805" s="503"/>
    </row>
    <row r="806" spans="1:17" x14ac:dyDescent="0.35">
      <c r="A806" s="497" t="b">
        <f t="shared" ca="1" si="102"/>
        <v>0</v>
      </c>
      <c r="B806" s="511">
        <f t="shared" si="108"/>
        <v>239</v>
      </c>
      <c r="C806" s="517" t="str">
        <f ca="1">IF(COUNTA(D$475:D805)=1,"",OFFSET(B804,-COUNTA(D$475:D805)+3,1))</f>
        <v>a1W3p000005vRjHEAU</v>
      </c>
      <c r="D806" s="497"/>
      <c r="E806" s="497">
        <f t="shared" ca="1" si="109"/>
        <v>5</v>
      </c>
      <c r="F806" s="516">
        <f ca="1">IF(COUNTA(D$475:D805)=1,"",OFFSET(F804,-COUNTA(D$475:D805)+3,0))</f>
        <v>25</v>
      </c>
      <c r="G806" s="497"/>
      <c r="H806" s="497">
        <f t="shared" ca="1" si="110"/>
        <v>57</v>
      </c>
      <c r="I806" s="512" t="str">
        <f t="shared" ca="1" si="103"/>
        <v/>
      </c>
      <c r="J806" s="502" t="str">
        <f t="shared" ca="1" si="104"/>
        <v/>
      </c>
      <c r="K806" s="500" t="str">
        <f t="shared" ca="1" si="105"/>
        <v/>
      </c>
      <c r="L806" s="503" t="str">
        <f ca="1">IFERROR(CHOOSE(E806,'Outcome Indicators - Section C '!$K$7,'Outcome Indicators - Section C '!$O$7,'Outcome Indicators - Section C '!$S$7,'Outcome Indicators - Section C '!$W$7),"")</f>
        <v/>
      </c>
      <c r="M806" s="514" t="str">
        <f t="shared" ca="1" si="106"/>
        <v/>
      </c>
      <c r="N806" s="503" t="str">
        <f t="shared" ca="1" si="107"/>
        <v/>
      </c>
      <c r="O806" s="497"/>
      <c r="P806" s="497">
        <f t="shared" si="111"/>
        <v>0</v>
      </c>
      <c r="Q806" s="503"/>
    </row>
    <row r="807" spans="1:17" x14ac:dyDescent="0.35">
      <c r="A807" s="497" t="b">
        <f t="shared" ca="1" si="102"/>
        <v>0</v>
      </c>
      <c r="B807" s="511">
        <f t="shared" si="108"/>
        <v>240</v>
      </c>
      <c r="C807" s="517" t="str">
        <f ca="1">IF(COUNTA(D$475:D806)=1,"",OFFSET(B805,-COUNTA(D$475:D806)+3,1))</f>
        <v>a1W3p000005vRjlEAE</v>
      </c>
      <c r="D807" s="497"/>
      <c r="E807" s="497">
        <f t="shared" ca="1" si="109"/>
        <v>6</v>
      </c>
      <c r="F807" s="516">
        <f ca="1">IF(COUNTA(D$475:D806)=1,"",OFFSET(F805,-COUNTA(D$475:D806)+3,0))</f>
        <v>25</v>
      </c>
      <c r="G807" s="497"/>
      <c r="H807" s="497">
        <f t="shared" ca="1" si="110"/>
        <v>57</v>
      </c>
      <c r="I807" s="512" t="str">
        <f t="shared" ca="1" si="103"/>
        <v/>
      </c>
      <c r="J807" s="502" t="str">
        <f t="shared" ca="1" si="104"/>
        <v/>
      </c>
      <c r="K807" s="500" t="str">
        <f t="shared" ca="1" si="105"/>
        <v/>
      </c>
      <c r="L807" s="503" t="str">
        <f ca="1">IFERROR(CHOOSE(E807,'Outcome Indicators - Section C '!$K$7,'Outcome Indicators - Section C '!$O$7,'Outcome Indicators - Section C '!$S$7,'Outcome Indicators - Section C '!$W$7),"")</f>
        <v/>
      </c>
      <c r="M807" s="514" t="str">
        <f t="shared" ca="1" si="106"/>
        <v/>
      </c>
      <c r="N807" s="503" t="str">
        <f t="shared" ca="1" si="107"/>
        <v/>
      </c>
      <c r="O807" s="497"/>
      <c r="P807" s="497">
        <f t="shared" si="111"/>
        <v>0</v>
      </c>
      <c r="Q807" s="503"/>
    </row>
    <row r="808" spans="1:17" x14ac:dyDescent="0.35">
      <c r="A808" s="497" t="b">
        <f t="shared" ca="1" si="102"/>
        <v>0</v>
      </c>
      <c r="B808" s="511">
        <f t="shared" si="108"/>
        <v>241</v>
      </c>
      <c r="C808" s="517" t="str">
        <f ca="1">IF(COUNTA(D$475:D807)=1,"",OFFSET(B806,-COUNTA(D$475:D807)+3,1))</f>
        <v>a1W3p000005vRhMEAU</v>
      </c>
      <c r="D808" s="497"/>
      <c r="E808" s="497">
        <f t="shared" ca="1" si="109"/>
        <v>1</v>
      </c>
      <c r="F808" s="516">
        <f ca="1">IF(COUNTA(D$475:D807)=1,"",OFFSET(F806,-COUNTA(D$475:D807)+3,0))</f>
        <v>26</v>
      </c>
      <c r="G808" s="497"/>
      <c r="H808" s="497">
        <f t="shared" ca="1" si="110"/>
        <v>59</v>
      </c>
      <c r="I808" s="512" t="str">
        <f t="shared" ca="1" si="103"/>
        <v/>
      </c>
      <c r="J808" s="502" t="str">
        <f t="shared" ca="1" si="104"/>
        <v/>
      </c>
      <c r="K808" s="500" t="str">
        <f t="shared" ca="1" si="105"/>
        <v/>
      </c>
      <c r="L808" s="503">
        <f ca="1">IFERROR(CHOOSE(E808,'Outcome Indicators - Section C '!$K$7,'Outcome Indicators - Section C '!$O$7,'Outcome Indicators - Section C '!$S$7,'Outcome Indicators - Section C '!$W$7),"")</f>
        <v>2022</v>
      </c>
      <c r="M808" s="514" t="str">
        <f t="shared" ca="1" si="106"/>
        <v/>
      </c>
      <c r="N808" s="503" t="str">
        <f t="shared" ca="1" si="107"/>
        <v/>
      </c>
      <c r="O808" s="497"/>
      <c r="P808" s="497">
        <f t="shared" si="111"/>
        <v>0</v>
      </c>
      <c r="Q808" s="503"/>
    </row>
    <row r="809" spans="1:17" x14ac:dyDescent="0.35">
      <c r="A809" s="497" t="b">
        <f t="shared" ca="1" si="102"/>
        <v>0</v>
      </c>
      <c r="B809" s="511">
        <f t="shared" si="108"/>
        <v>242</v>
      </c>
      <c r="C809" s="517" t="str">
        <f ca="1">IF(COUNTA(D$475:D808)=1,"",OFFSET(B807,-COUNTA(D$475:D808)+3,1))</f>
        <v>a1W3p000005vRhqEAE</v>
      </c>
      <c r="D809" s="497"/>
      <c r="E809" s="497">
        <f t="shared" ca="1" si="109"/>
        <v>2</v>
      </c>
      <c r="F809" s="516">
        <f ca="1">IF(COUNTA(D$475:D808)=1,"",OFFSET(F807,-COUNTA(D$475:D808)+3,0))</f>
        <v>26</v>
      </c>
      <c r="G809" s="497"/>
      <c r="H809" s="497">
        <f t="shared" ca="1" si="110"/>
        <v>59</v>
      </c>
      <c r="I809" s="512" t="str">
        <f t="shared" ca="1" si="103"/>
        <v/>
      </c>
      <c r="J809" s="502" t="str">
        <f t="shared" ca="1" si="104"/>
        <v/>
      </c>
      <c r="K809" s="500" t="str">
        <f t="shared" ca="1" si="105"/>
        <v/>
      </c>
      <c r="L809" s="503">
        <f ca="1">IFERROR(CHOOSE(E809,'Outcome Indicators - Section C '!$K$7,'Outcome Indicators - Section C '!$O$7,'Outcome Indicators - Section C '!$S$7,'Outcome Indicators - Section C '!$W$7),"")</f>
        <v>2023</v>
      </c>
      <c r="M809" s="514" t="str">
        <f t="shared" ca="1" si="106"/>
        <v/>
      </c>
      <c r="N809" s="503" t="str">
        <f t="shared" ca="1" si="107"/>
        <v/>
      </c>
      <c r="O809" s="497"/>
      <c r="P809" s="497">
        <f t="shared" si="111"/>
        <v>0</v>
      </c>
      <c r="Q809" s="503"/>
    </row>
    <row r="810" spans="1:17" x14ac:dyDescent="0.35">
      <c r="A810" s="497" t="b">
        <f t="shared" ca="1" si="102"/>
        <v>0</v>
      </c>
      <c r="B810" s="511">
        <f t="shared" si="108"/>
        <v>243</v>
      </c>
      <c r="C810" s="517" t="str">
        <f ca="1">IF(COUNTA(D$475:D809)=1,"",OFFSET(B808,-COUNTA(D$475:D809)+3,1))</f>
        <v>a1W3p000005vRiKEAU</v>
      </c>
      <c r="D810" s="497"/>
      <c r="E810" s="497">
        <f t="shared" ca="1" si="109"/>
        <v>3</v>
      </c>
      <c r="F810" s="516">
        <f ca="1">IF(COUNTA(D$475:D809)=1,"",OFFSET(F808,-COUNTA(D$475:D809)+3,0))</f>
        <v>26</v>
      </c>
      <c r="G810" s="497"/>
      <c r="H810" s="497">
        <f t="shared" ca="1" si="110"/>
        <v>59</v>
      </c>
      <c r="I810" s="512" t="str">
        <f t="shared" ca="1" si="103"/>
        <v/>
      </c>
      <c r="J810" s="502" t="str">
        <f t="shared" ca="1" si="104"/>
        <v/>
      </c>
      <c r="K810" s="500" t="str">
        <f t="shared" ca="1" si="105"/>
        <v/>
      </c>
      <c r="L810" s="503">
        <f ca="1">IFERROR(CHOOSE(E810,'Outcome Indicators - Section C '!$K$7,'Outcome Indicators - Section C '!$O$7,'Outcome Indicators - Section C '!$S$7,'Outcome Indicators - Section C '!$W$7),"")</f>
        <v>2024</v>
      </c>
      <c r="M810" s="514" t="str">
        <f t="shared" ca="1" si="106"/>
        <v/>
      </c>
      <c r="N810" s="503" t="str">
        <f t="shared" ca="1" si="107"/>
        <v/>
      </c>
      <c r="O810" s="497"/>
      <c r="P810" s="497">
        <f t="shared" si="111"/>
        <v>0</v>
      </c>
      <c r="Q810" s="503"/>
    </row>
    <row r="811" spans="1:17" x14ac:dyDescent="0.35">
      <c r="A811" s="497" t="b">
        <f t="shared" ca="1" si="102"/>
        <v>0</v>
      </c>
      <c r="B811" s="511">
        <f t="shared" si="108"/>
        <v>244</v>
      </c>
      <c r="C811" s="517" t="str">
        <f ca="1">IF(COUNTA(D$475:D810)=1,"",OFFSET(B809,-COUNTA(D$475:D810)+3,1))</f>
        <v>a1W3p000005vRioEAE</v>
      </c>
      <c r="D811" s="497"/>
      <c r="E811" s="497">
        <f t="shared" ca="1" si="109"/>
        <v>4</v>
      </c>
      <c r="F811" s="516">
        <f ca="1">IF(COUNTA(D$475:D810)=1,"",OFFSET(F809,-COUNTA(D$475:D810)+3,0))</f>
        <v>26</v>
      </c>
      <c r="G811" s="497"/>
      <c r="H811" s="497">
        <f t="shared" ca="1" si="110"/>
        <v>59</v>
      </c>
      <c r="I811" s="512" t="str">
        <f t="shared" ca="1" si="103"/>
        <v/>
      </c>
      <c r="J811" s="502" t="str">
        <f t="shared" ca="1" si="104"/>
        <v/>
      </c>
      <c r="K811" s="500" t="str">
        <f t="shared" ca="1" si="105"/>
        <v/>
      </c>
      <c r="L811" s="503" t="str">
        <f ca="1">IFERROR(CHOOSE(E811,'Outcome Indicators - Section C '!$K$7,'Outcome Indicators - Section C '!$O$7,'Outcome Indicators - Section C '!$S$7,'Outcome Indicators - Section C '!$W$7),"")</f>
        <v/>
      </c>
      <c r="M811" s="514" t="str">
        <f t="shared" ca="1" si="106"/>
        <v/>
      </c>
      <c r="N811" s="503" t="str">
        <f t="shared" ca="1" si="107"/>
        <v/>
      </c>
      <c r="O811" s="497"/>
      <c r="P811" s="497">
        <f t="shared" si="111"/>
        <v>0</v>
      </c>
      <c r="Q811" s="503"/>
    </row>
    <row r="812" spans="1:17" x14ac:dyDescent="0.35">
      <c r="A812" s="497" t="b">
        <f t="shared" ca="1" si="102"/>
        <v>0</v>
      </c>
      <c r="B812" s="511">
        <f t="shared" si="108"/>
        <v>245</v>
      </c>
      <c r="C812" s="517" t="str">
        <f ca="1">IF(COUNTA(D$475:D811)=1,"",OFFSET(B810,-COUNTA(D$475:D811)+3,1))</f>
        <v>a1W3p000005vRjIEAU</v>
      </c>
      <c r="D812" s="497"/>
      <c r="E812" s="497">
        <f t="shared" ca="1" si="109"/>
        <v>5</v>
      </c>
      <c r="F812" s="516">
        <f ca="1">IF(COUNTA(D$475:D811)=1,"",OFFSET(F810,-COUNTA(D$475:D811)+3,0))</f>
        <v>26</v>
      </c>
      <c r="G812" s="497"/>
      <c r="H812" s="497">
        <f t="shared" ca="1" si="110"/>
        <v>59</v>
      </c>
      <c r="I812" s="512" t="str">
        <f t="shared" ca="1" si="103"/>
        <v/>
      </c>
      <c r="J812" s="502" t="str">
        <f t="shared" ca="1" si="104"/>
        <v/>
      </c>
      <c r="K812" s="500" t="str">
        <f t="shared" ca="1" si="105"/>
        <v/>
      </c>
      <c r="L812" s="503" t="str">
        <f ca="1">IFERROR(CHOOSE(E812,'Outcome Indicators - Section C '!$K$7,'Outcome Indicators - Section C '!$O$7,'Outcome Indicators - Section C '!$S$7,'Outcome Indicators - Section C '!$W$7),"")</f>
        <v/>
      </c>
      <c r="M812" s="514" t="str">
        <f t="shared" ca="1" si="106"/>
        <v/>
      </c>
      <c r="N812" s="503" t="str">
        <f t="shared" ca="1" si="107"/>
        <v/>
      </c>
      <c r="O812" s="497"/>
      <c r="P812" s="497">
        <f t="shared" si="111"/>
        <v>0</v>
      </c>
      <c r="Q812" s="503"/>
    </row>
    <row r="813" spans="1:17" x14ac:dyDescent="0.35">
      <c r="A813" s="497" t="b">
        <f t="shared" ca="1" si="102"/>
        <v>0</v>
      </c>
      <c r="B813" s="511">
        <f t="shared" si="108"/>
        <v>246</v>
      </c>
      <c r="C813" s="517" t="str">
        <f ca="1">IF(COUNTA(D$475:D812)=1,"",OFFSET(B811,-COUNTA(D$475:D812)+3,1))</f>
        <v>a1W3p000005vRjmEAE</v>
      </c>
      <c r="D813" s="497"/>
      <c r="E813" s="497">
        <f t="shared" ca="1" si="109"/>
        <v>6</v>
      </c>
      <c r="F813" s="516">
        <f ca="1">IF(COUNTA(D$475:D812)=1,"",OFFSET(F811,-COUNTA(D$475:D812)+3,0))</f>
        <v>26</v>
      </c>
      <c r="G813" s="497"/>
      <c r="H813" s="497">
        <f t="shared" ca="1" si="110"/>
        <v>59</v>
      </c>
      <c r="I813" s="512" t="str">
        <f t="shared" ca="1" si="103"/>
        <v/>
      </c>
      <c r="J813" s="502" t="str">
        <f t="shared" ca="1" si="104"/>
        <v/>
      </c>
      <c r="K813" s="500" t="str">
        <f t="shared" ca="1" si="105"/>
        <v/>
      </c>
      <c r="L813" s="503" t="str">
        <f ca="1">IFERROR(CHOOSE(E813,'Outcome Indicators - Section C '!$K$7,'Outcome Indicators - Section C '!$O$7,'Outcome Indicators - Section C '!$S$7,'Outcome Indicators - Section C '!$W$7),"")</f>
        <v/>
      </c>
      <c r="M813" s="514" t="str">
        <f t="shared" ca="1" si="106"/>
        <v/>
      </c>
      <c r="N813" s="503" t="str">
        <f t="shared" ca="1" si="107"/>
        <v/>
      </c>
      <c r="O813" s="497"/>
      <c r="P813" s="497">
        <f t="shared" si="111"/>
        <v>0</v>
      </c>
      <c r="Q813" s="503"/>
    </row>
    <row r="814" spans="1:17" x14ac:dyDescent="0.35">
      <c r="A814" s="497" t="b">
        <f t="shared" ca="1" si="102"/>
        <v>0</v>
      </c>
      <c r="B814" s="511">
        <f t="shared" si="108"/>
        <v>247</v>
      </c>
      <c r="C814" s="517" t="str">
        <f ca="1">IF(COUNTA(D$475:D813)=1,"",OFFSET(B812,-COUNTA(D$475:D813)+3,1))</f>
        <v>a1W3p000005vRhNEAU</v>
      </c>
      <c r="D814" s="497"/>
      <c r="E814" s="497">
        <f t="shared" ca="1" si="109"/>
        <v>1</v>
      </c>
      <c r="F814" s="516">
        <f ca="1">IF(COUNTA(D$475:D813)=1,"",OFFSET(F812,-COUNTA(D$475:D813)+3,0))</f>
        <v>27</v>
      </c>
      <c r="G814" s="497"/>
      <c r="H814" s="497">
        <f t="shared" ca="1" si="110"/>
        <v>61</v>
      </c>
      <c r="I814" s="512" t="str">
        <f t="shared" ca="1" si="103"/>
        <v/>
      </c>
      <c r="J814" s="502" t="str">
        <f t="shared" ca="1" si="104"/>
        <v/>
      </c>
      <c r="K814" s="500" t="str">
        <f t="shared" ca="1" si="105"/>
        <v/>
      </c>
      <c r="L814" s="503">
        <f ca="1">IFERROR(CHOOSE(E814,'Outcome Indicators - Section C '!$K$7,'Outcome Indicators - Section C '!$O$7,'Outcome Indicators - Section C '!$S$7,'Outcome Indicators - Section C '!$W$7),"")</f>
        <v>2022</v>
      </c>
      <c r="M814" s="514" t="str">
        <f t="shared" ca="1" si="106"/>
        <v/>
      </c>
      <c r="N814" s="503" t="str">
        <f t="shared" ca="1" si="107"/>
        <v/>
      </c>
      <c r="O814" s="497"/>
      <c r="P814" s="497">
        <f t="shared" si="111"/>
        <v>0</v>
      </c>
      <c r="Q814" s="503"/>
    </row>
    <row r="815" spans="1:17" x14ac:dyDescent="0.35">
      <c r="A815" s="497" t="b">
        <f t="shared" ca="1" si="102"/>
        <v>0</v>
      </c>
      <c r="B815" s="511">
        <f t="shared" si="108"/>
        <v>248</v>
      </c>
      <c r="C815" s="517" t="str">
        <f ca="1">IF(COUNTA(D$475:D814)=1,"",OFFSET(B813,-COUNTA(D$475:D814)+3,1))</f>
        <v>a1W3p000005vRhrEAE</v>
      </c>
      <c r="D815" s="497"/>
      <c r="E815" s="497">
        <f t="shared" ca="1" si="109"/>
        <v>2</v>
      </c>
      <c r="F815" s="516">
        <f ca="1">IF(COUNTA(D$475:D814)=1,"",OFFSET(F813,-COUNTA(D$475:D814)+3,0))</f>
        <v>27</v>
      </c>
      <c r="G815" s="497"/>
      <c r="H815" s="497">
        <f t="shared" ca="1" si="110"/>
        <v>61</v>
      </c>
      <c r="I815" s="512" t="str">
        <f t="shared" ca="1" si="103"/>
        <v/>
      </c>
      <c r="J815" s="502" t="str">
        <f t="shared" ca="1" si="104"/>
        <v/>
      </c>
      <c r="K815" s="500" t="str">
        <f t="shared" ca="1" si="105"/>
        <v/>
      </c>
      <c r="L815" s="503">
        <f ca="1">IFERROR(CHOOSE(E815,'Outcome Indicators - Section C '!$K$7,'Outcome Indicators - Section C '!$O$7,'Outcome Indicators - Section C '!$S$7,'Outcome Indicators - Section C '!$W$7),"")</f>
        <v>2023</v>
      </c>
      <c r="M815" s="514" t="str">
        <f t="shared" ca="1" si="106"/>
        <v/>
      </c>
      <c r="N815" s="503" t="str">
        <f t="shared" ca="1" si="107"/>
        <v/>
      </c>
      <c r="O815" s="497"/>
      <c r="P815" s="497">
        <f t="shared" si="111"/>
        <v>0</v>
      </c>
      <c r="Q815" s="503"/>
    </row>
    <row r="816" spans="1:17" x14ac:dyDescent="0.35">
      <c r="A816" s="497" t="b">
        <f t="shared" ca="1" si="102"/>
        <v>0</v>
      </c>
      <c r="B816" s="511">
        <f t="shared" si="108"/>
        <v>249</v>
      </c>
      <c r="C816" s="517" t="str">
        <f ca="1">IF(COUNTA(D$475:D815)=1,"",OFFSET(B814,-COUNTA(D$475:D815)+3,1))</f>
        <v>a1W3p000005vRiLEAU</v>
      </c>
      <c r="D816" s="497"/>
      <c r="E816" s="497">
        <f t="shared" ca="1" si="109"/>
        <v>3</v>
      </c>
      <c r="F816" s="516">
        <f ca="1">IF(COUNTA(D$475:D815)=1,"",OFFSET(F814,-COUNTA(D$475:D815)+3,0))</f>
        <v>27</v>
      </c>
      <c r="G816" s="497"/>
      <c r="H816" s="497">
        <f t="shared" ca="1" si="110"/>
        <v>61</v>
      </c>
      <c r="I816" s="512" t="str">
        <f t="shared" ca="1" si="103"/>
        <v/>
      </c>
      <c r="J816" s="502" t="str">
        <f t="shared" ca="1" si="104"/>
        <v/>
      </c>
      <c r="K816" s="500" t="str">
        <f t="shared" ca="1" si="105"/>
        <v/>
      </c>
      <c r="L816" s="503">
        <f ca="1">IFERROR(CHOOSE(E816,'Outcome Indicators - Section C '!$K$7,'Outcome Indicators - Section C '!$O$7,'Outcome Indicators - Section C '!$S$7,'Outcome Indicators - Section C '!$W$7),"")</f>
        <v>2024</v>
      </c>
      <c r="M816" s="514" t="str">
        <f t="shared" ca="1" si="106"/>
        <v/>
      </c>
      <c r="N816" s="503" t="str">
        <f t="shared" ca="1" si="107"/>
        <v/>
      </c>
      <c r="O816" s="497"/>
      <c r="P816" s="497">
        <f t="shared" si="111"/>
        <v>0</v>
      </c>
      <c r="Q816" s="503"/>
    </row>
    <row r="817" spans="1:17" x14ac:dyDescent="0.35">
      <c r="A817" s="497" t="b">
        <f t="shared" ca="1" si="102"/>
        <v>0</v>
      </c>
      <c r="B817" s="511">
        <f t="shared" si="108"/>
        <v>250</v>
      </c>
      <c r="C817" s="517" t="str">
        <f ca="1">IF(COUNTA(D$475:D816)=1,"",OFFSET(B815,-COUNTA(D$475:D816)+3,1))</f>
        <v>a1W3p000005vRipEAE</v>
      </c>
      <c r="D817" s="497"/>
      <c r="E817" s="497">
        <f t="shared" ca="1" si="109"/>
        <v>4</v>
      </c>
      <c r="F817" s="516">
        <f ca="1">IF(COUNTA(D$475:D816)=1,"",OFFSET(F815,-COUNTA(D$475:D816)+3,0))</f>
        <v>27</v>
      </c>
      <c r="G817" s="497"/>
      <c r="H817" s="497">
        <f t="shared" ca="1" si="110"/>
        <v>61</v>
      </c>
      <c r="I817" s="512" t="str">
        <f t="shared" ca="1" si="103"/>
        <v/>
      </c>
      <c r="J817" s="502" t="str">
        <f t="shared" ca="1" si="104"/>
        <v/>
      </c>
      <c r="K817" s="500" t="str">
        <f t="shared" ca="1" si="105"/>
        <v/>
      </c>
      <c r="L817" s="503" t="str">
        <f ca="1">IFERROR(CHOOSE(E817,'Outcome Indicators - Section C '!$K$7,'Outcome Indicators - Section C '!$O$7,'Outcome Indicators - Section C '!$S$7,'Outcome Indicators - Section C '!$W$7),"")</f>
        <v/>
      </c>
      <c r="M817" s="514" t="str">
        <f t="shared" ca="1" si="106"/>
        <v/>
      </c>
      <c r="N817" s="503" t="str">
        <f t="shared" ca="1" si="107"/>
        <v/>
      </c>
      <c r="O817" s="497"/>
      <c r="P817" s="497">
        <f t="shared" si="111"/>
        <v>0</v>
      </c>
      <c r="Q817" s="503"/>
    </row>
    <row r="818" spans="1:17" x14ac:dyDescent="0.35">
      <c r="A818" s="497" t="b">
        <f t="shared" ca="1" si="102"/>
        <v>0</v>
      </c>
      <c r="B818" s="511">
        <f t="shared" si="108"/>
        <v>251</v>
      </c>
      <c r="C818" s="517" t="str">
        <f ca="1">IF(COUNTA(D$475:D817)=1,"",OFFSET(B816,-COUNTA(D$475:D817)+3,1))</f>
        <v>a1W3p000005vRjJEAU</v>
      </c>
      <c r="D818" s="497"/>
      <c r="E818" s="497">
        <f t="shared" ca="1" si="109"/>
        <v>5</v>
      </c>
      <c r="F818" s="516">
        <f ca="1">IF(COUNTA(D$475:D817)=1,"",OFFSET(F816,-COUNTA(D$475:D817)+3,0))</f>
        <v>27</v>
      </c>
      <c r="G818" s="497"/>
      <c r="H818" s="497">
        <f t="shared" ca="1" si="110"/>
        <v>61</v>
      </c>
      <c r="I818" s="512" t="str">
        <f t="shared" ca="1" si="103"/>
        <v/>
      </c>
      <c r="J818" s="502" t="str">
        <f t="shared" ca="1" si="104"/>
        <v/>
      </c>
      <c r="K818" s="500" t="str">
        <f t="shared" ca="1" si="105"/>
        <v/>
      </c>
      <c r="L818" s="503" t="str">
        <f ca="1">IFERROR(CHOOSE(E818,'Outcome Indicators - Section C '!$K$7,'Outcome Indicators - Section C '!$O$7,'Outcome Indicators - Section C '!$S$7,'Outcome Indicators - Section C '!$W$7),"")</f>
        <v/>
      </c>
      <c r="M818" s="514" t="str">
        <f t="shared" ca="1" si="106"/>
        <v/>
      </c>
      <c r="N818" s="503" t="str">
        <f t="shared" ca="1" si="107"/>
        <v/>
      </c>
      <c r="O818" s="497"/>
      <c r="P818" s="497">
        <f t="shared" si="111"/>
        <v>0</v>
      </c>
      <c r="Q818" s="503"/>
    </row>
    <row r="819" spans="1:17" x14ac:dyDescent="0.35">
      <c r="A819" s="497" t="b">
        <f t="shared" ca="1" si="102"/>
        <v>0</v>
      </c>
      <c r="B819" s="511">
        <f t="shared" si="108"/>
        <v>252</v>
      </c>
      <c r="C819" s="517" t="str">
        <f ca="1">IF(COUNTA(D$475:D818)=1,"",OFFSET(B817,-COUNTA(D$475:D818)+3,1))</f>
        <v>a1W3p000005vRjnEAE</v>
      </c>
      <c r="D819" s="497"/>
      <c r="E819" s="497">
        <f t="shared" ca="1" si="109"/>
        <v>6</v>
      </c>
      <c r="F819" s="516">
        <f ca="1">IF(COUNTA(D$475:D818)=1,"",OFFSET(F817,-COUNTA(D$475:D818)+3,0))</f>
        <v>27</v>
      </c>
      <c r="G819" s="497"/>
      <c r="H819" s="497">
        <f t="shared" ca="1" si="110"/>
        <v>61</v>
      </c>
      <c r="I819" s="512" t="str">
        <f t="shared" ca="1" si="103"/>
        <v/>
      </c>
      <c r="J819" s="502" t="str">
        <f t="shared" ca="1" si="104"/>
        <v/>
      </c>
      <c r="K819" s="500" t="str">
        <f t="shared" ca="1" si="105"/>
        <v/>
      </c>
      <c r="L819" s="503" t="str">
        <f ca="1">IFERROR(CHOOSE(E819,'Outcome Indicators - Section C '!$K$7,'Outcome Indicators - Section C '!$O$7,'Outcome Indicators - Section C '!$S$7,'Outcome Indicators - Section C '!$W$7),"")</f>
        <v/>
      </c>
      <c r="M819" s="514" t="str">
        <f t="shared" ca="1" si="106"/>
        <v/>
      </c>
      <c r="N819" s="503" t="str">
        <f t="shared" ca="1" si="107"/>
        <v/>
      </c>
      <c r="O819" s="497"/>
      <c r="P819" s="497">
        <f t="shared" si="111"/>
        <v>0</v>
      </c>
      <c r="Q819" s="503"/>
    </row>
    <row r="820" spans="1:17" x14ac:dyDescent="0.35">
      <c r="A820" s="497" t="b">
        <f t="shared" ca="1" si="102"/>
        <v>0</v>
      </c>
      <c r="B820" s="511">
        <f t="shared" si="108"/>
        <v>253</v>
      </c>
      <c r="C820" s="517" t="str">
        <f ca="1">IF(COUNTA(D$475:D819)=1,"",OFFSET(B818,-COUNTA(D$475:D819)+3,1))</f>
        <v>a1W3p000005vRhOEAU</v>
      </c>
      <c r="D820" s="497"/>
      <c r="E820" s="497">
        <f t="shared" ca="1" si="109"/>
        <v>1</v>
      </c>
      <c r="F820" s="516">
        <f ca="1">IF(COUNTA(D$475:D819)=1,"",OFFSET(F818,-COUNTA(D$475:D819)+3,0))</f>
        <v>28</v>
      </c>
      <c r="G820" s="497"/>
      <c r="H820" s="497">
        <f t="shared" ca="1" si="110"/>
        <v>63</v>
      </c>
      <c r="I820" s="512" t="str">
        <f t="shared" ca="1" si="103"/>
        <v/>
      </c>
      <c r="J820" s="502" t="str">
        <f t="shared" ca="1" si="104"/>
        <v/>
      </c>
      <c r="K820" s="500" t="str">
        <f t="shared" ca="1" si="105"/>
        <v/>
      </c>
      <c r="L820" s="503">
        <f ca="1">IFERROR(CHOOSE(E820,'Outcome Indicators - Section C '!$K$7,'Outcome Indicators - Section C '!$O$7,'Outcome Indicators - Section C '!$S$7,'Outcome Indicators - Section C '!$W$7),"")</f>
        <v>2022</v>
      </c>
      <c r="M820" s="514" t="str">
        <f t="shared" ca="1" si="106"/>
        <v/>
      </c>
      <c r="N820" s="503" t="str">
        <f t="shared" ca="1" si="107"/>
        <v/>
      </c>
      <c r="O820" s="497"/>
      <c r="P820" s="497">
        <f t="shared" si="111"/>
        <v>0</v>
      </c>
      <c r="Q820" s="503"/>
    </row>
    <row r="821" spans="1:17" x14ac:dyDescent="0.35">
      <c r="A821" s="497" t="b">
        <f t="shared" ca="1" si="102"/>
        <v>0</v>
      </c>
      <c r="B821" s="511">
        <f t="shared" si="108"/>
        <v>254</v>
      </c>
      <c r="C821" s="517" t="str">
        <f ca="1">IF(COUNTA(D$475:D820)=1,"",OFFSET(B819,-COUNTA(D$475:D820)+3,1))</f>
        <v>a1W3p000005vRhsEAE</v>
      </c>
      <c r="D821" s="497"/>
      <c r="E821" s="497">
        <f t="shared" ca="1" si="109"/>
        <v>2</v>
      </c>
      <c r="F821" s="516">
        <f ca="1">IF(COUNTA(D$475:D820)=1,"",OFFSET(F819,-COUNTA(D$475:D820)+3,0))</f>
        <v>28</v>
      </c>
      <c r="G821" s="497"/>
      <c r="H821" s="497">
        <f t="shared" ca="1" si="110"/>
        <v>63</v>
      </c>
      <c r="I821" s="512" t="str">
        <f t="shared" ca="1" si="103"/>
        <v/>
      </c>
      <c r="J821" s="502" t="str">
        <f t="shared" ca="1" si="104"/>
        <v/>
      </c>
      <c r="K821" s="500" t="str">
        <f t="shared" ca="1" si="105"/>
        <v/>
      </c>
      <c r="L821" s="503">
        <f ca="1">IFERROR(CHOOSE(E821,'Outcome Indicators - Section C '!$K$7,'Outcome Indicators - Section C '!$O$7,'Outcome Indicators - Section C '!$S$7,'Outcome Indicators - Section C '!$W$7),"")</f>
        <v>2023</v>
      </c>
      <c r="M821" s="514" t="str">
        <f t="shared" ca="1" si="106"/>
        <v/>
      </c>
      <c r="N821" s="503" t="str">
        <f t="shared" ca="1" si="107"/>
        <v/>
      </c>
      <c r="O821" s="497"/>
      <c r="P821" s="497">
        <f t="shared" si="111"/>
        <v>0</v>
      </c>
      <c r="Q821" s="503"/>
    </row>
    <row r="822" spans="1:17" x14ac:dyDescent="0.35">
      <c r="A822" s="497" t="b">
        <f t="shared" ca="1" si="102"/>
        <v>0</v>
      </c>
      <c r="B822" s="511">
        <f t="shared" si="108"/>
        <v>255</v>
      </c>
      <c r="C822" s="517" t="str">
        <f ca="1">IF(COUNTA(D$475:D821)=1,"",OFFSET(B820,-COUNTA(D$475:D821)+3,1))</f>
        <v>a1W3p000005vRiMEAU</v>
      </c>
      <c r="D822" s="497"/>
      <c r="E822" s="497">
        <f t="shared" ca="1" si="109"/>
        <v>3</v>
      </c>
      <c r="F822" s="516">
        <f ca="1">IF(COUNTA(D$475:D821)=1,"",OFFSET(F820,-COUNTA(D$475:D821)+3,0))</f>
        <v>28</v>
      </c>
      <c r="G822" s="497"/>
      <c r="H822" s="497">
        <f t="shared" ca="1" si="110"/>
        <v>63</v>
      </c>
      <c r="I822" s="512" t="str">
        <f t="shared" ca="1" si="103"/>
        <v/>
      </c>
      <c r="J822" s="502" t="str">
        <f t="shared" ca="1" si="104"/>
        <v/>
      </c>
      <c r="K822" s="500" t="str">
        <f t="shared" ca="1" si="105"/>
        <v/>
      </c>
      <c r="L822" s="503">
        <f ca="1">IFERROR(CHOOSE(E822,'Outcome Indicators - Section C '!$K$7,'Outcome Indicators - Section C '!$O$7,'Outcome Indicators - Section C '!$S$7,'Outcome Indicators - Section C '!$W$7),"")</f>
        <v>2024</v>
      </c>
      <c r="M822" s="514" t="str">
        <f t="shared" ca="1" si="106"/>
        <v/>
      </c>
      <c r="N822" s="503" t="str">
        <f t="shared" ca="1" si="107"/>
        <v/>
      </c>
      <c r="O822" s="497"/>
      <c r="P822" s="497">
        <f t="shared" si="111"/>
        <v>0</v>
      </c>
      <c r="Q822" s="503"/>
    </row>
    <row r="823" spans="1:17" x14ac:dyDescent="0.35">
      <c r="A823" s="497" t="b">
        <f t="shared" ca="1" si="102"/>
        <v>0</v>
      </c>
      <c r="B823" s="511">
        <f t="shared" si="108"/>
        <v>256</v>
      </c>
      <c r="C823" s="517" t="str">
        <f ca="1">IF(COUNTA(D$475:D822)=1,"",OFFSET(B821,-COUNTA(D$475:D822)+3,1))</f>
        <v>a1W3p000005vRiqEAE</v>
      </c>
      <c r="D823" s="497"/>
      <c r="E823" s="497">
        <f t="shared" ca="1" si="109"/>
        <v>4</v>
      </c>
      <c r="F823" s="516">
        <f ca="1">IF(COUNTA(D$475:D822)=1,"",OFFSET(F821,-COUNTA(D$475:D822)+3,0))</f>
        <v>28</v>
      </c>
      <c r="G823" s="497"/>
      <c r="H823" s="497">
        <f t="shared" ca="1" si="110"/>
        <v>63</v>
      </c>
      <c r="I823" s="512" t="str">
        <f t="shared" ca="1" si="103"/>
        <v/>
      </c>
      <c r="J823" s="502" t="str">
        <f t="shared" ca="1" si="104"/>
        <v/>
      </c>
      <c r="K823" s="500" t="str">
        <f t="shared" ca="1" si="105"/>
        <v/>
      </c>
      <c r="L823" s="503" t="str">
        <f ca="1">IFERROR(CHOOSE(E823,'Outcome Indicators - Section C '!$K$7,'Outcome Indicators - Section C '!$O$7,'Outcome Indicators - Section C '!$S$7,'Outcome Indicators - Section C '!$W$7),"")</f>
        <v/>
      </c>
      <c r="M823" s="514" t="str">
        <f t="shared" ca="1" si="106"/>
        <v/>
      </c>
      <c r="N823" s="503" t="str">
        <f t="shared" ca="1" si="107"/>
        <v/>
      </c>
      <c r="O823" s="497"/>
      <c r="P823" s="497">
        <f t="shared" si="111"/>
        <v>0</v>
      </c>
      <c r="Q823" s="503"/>
    </row>
    <row r="824" spans="1:17" x14ac:dyDescent="0.35">
      <c r="A824" s="497" t="b">
        <f t="shared" ca="1" si="102"/>
        <v>0</v>
      </c>
      <c r="B824" s="511">
        <f t="shared" si="108"/>
        <v>257</v>
      </c>
      <c r="C824" s="517" t="str">
        <f ca="1">IF(COUNTA(D$475:D823)=1,"",OFFSET(B822,-COUNTA(D$475:D823)+3,1))</f>
        <v>a1W3p000005vRjKEAU</v>
      </c>
      <c r="D824" s="497"/>
      <c r="E824" s="497">
        <f t="shared" ca="1" si="109"/>
        <v>5</v>
      </c>
      <c r="F824" s="516">
        <f ca="1">IF(COUNTA(D$475:D823)=1,"",OFFSET(F822,-COUNTA(D$475:D823)+3,0))</f>
        <v>28</v>
      </c>
      <c r="G824" s="497"/>
      <c r="H824" s="497">
        <f t="shared" ca="1" si="110"/>
        <v>63</v>
      </c>
      <c r="I824" s="512" t="str">
        <f t="shared" ca="1" si="103"/>
        <v/>
      </c>
      <c r="J824" s="502" t="str">
        <f t="shared" ca="1" si="104"/>
        <v/>
      </c>
      <c r="K824" s="500" t="str">
        <f t="shared" ca="1" si="105"/>
        <v/>
      </c>
      <c r="L824" s="503" t="str">
        <f ca="1">IFERROR(CHOOSE(E824,'Outcome Indicators - Section C '!$K$7,'Outcome Indicators - Section C '!$O$7,'Outcome Indicators - Section C '!$S$7,'Outcome Indicators - Section C '!$W$7),"")</f>
        <v/>
      </c>
      <c r="M824" s="514" t="str">
        <f t="shared" ca="1" si="106"/>
        <v/>
      </c>
      <c r="N824" s="503" t="str">
        <f t="shared" ca="1" si="107"/>
        <v/>
      </c>
      <c r="O824" s="497"/>
      <c r="P824" s="497">
        <f t="shared" si="111"/>
        <v>0</v>
      </c>
      <c r="Q824" s="503"/>
    </row>
    <row r="825" spans="1:17" x14ac:dyDescent="0.35">
      <c r="A825" s="497" t="b">
        <f t="shared" ca="1" si="102"/>
        <v>0</v>
      </c>
      <c r="B825" s="511">
        <f t="shared" si="108"/>
        <v>258</v>
      </c>
      <c r="C825" s="517" t="str">
        <f ca="1">IF(COUNTA(D$475:D824)=1,"",OFFSET(B823,-COUNTA(D$475:D824)+3,1))</f>
        <v>a1W3p000005vRjoEAE</v>
      </c>
      <c r="D825" s="497"/>
      <c r="E825" s="497">
        <f t="shared" ca="1" si="109"/>
        <v>6</v>
      </c>
      <c r="F825" s="516">
        <f ca="1">IF(COUNTA(D$475:D824)=1,"",OFFSET(F823,-COUNTA(D$475:D824)+3,0))</f>
        <v>28</v>
      </c>
      <c r="G825" s="497"/>
      <c r="H825" s="497">
        <f t="shared" ca="1" si="110"/>
        <v>63</v>
      </c>
      <c r="I825" s="512" t="str">
        <f t="shared" ca="1" si="103"/>
        <v/>
      </c>
      <c r="J825" s="502" t="str">
        <f t="shared" ca="1" si="104"/>
        <v/>
      </c>
      <c r="K825" s="500" t="str">
        <f t="shared" ca="1" si="105"/>
        <v/>
      </c>
      <c r="L825" s="503" t="str">
        <f ca="1">IFERROR(CHOOSE(E825,'Outcome Indicators - Section C '!$K$7,'Outcome Indicators - Section C '!$O$7,'Outcome Indicators - Section C '!$S$7,'Outcome Indicators - Section C '!$W$7),"")</f>
        <v/>
      </c>
      <c r="M825" s="514" t="str">
        <f t="shared" ca="1" si="106"/>
        <v/>
      </c>
      <c r="N825" s="503" t="str">
        <f t="shared" ca="1" si="107"/>
        <v/>
      </c>
      <c r="O825" s="497"/>
      <c r="P825" s="497">
        <f t="shared" si="111"/>
        <v>0</v>
      </c>
      <c r="Q825" s="503"/>
    </row>
    <row r="826" spans="1:17" x14ac:dyDescent="0.35">
      <c r="A826" s="497" t="b">
        <f t="shared" ca="1" si="102"/>
        <v>0</v>
      </c>
      <c r="B826" s="511">
        <f t="shared" si="108"/>
        <v>259</v>
      </c>
      <c r="C826" s="517" t="str">
        <f ca="1">IF(COUNTA(D$475:D825)=1,"",OFFSET(B824,-COUNTA(D$475:D825)+3,1))</f>
        <v>a1W3p000005vRhPEAU</v>
      </c>
      <c r="D826" s="497"/>
      <c r="E826" s="497">
        <f t="shared" ca="1" si="109"/>
        <v>1</v>
      </c>
      <c r="F826" s="516">
        <f ca="1">IF(COUNTA(D$475:D825)=1,"",OFFSET(F824,-COUNTA(D$475:D825)+3,0))</f>
        <v>29</v>
      </c>
      <c r="G826" s="497"/>
      <c r="H826" s="497">
        <f t="shared" ca="1" si="110"/>
        <v>65</v>
      </c>
      <c r="I826" s="512" t="str">
        <f t="shared" ca="1" si="103"/>
        <v/>
      </c>
      <c r="J826" s="502" t="str">
        <f t="shared" ca="1" si="104"/>
        <v/>
      </c>
      <c r="K826" s="500" t="str">
        <f t="shared" ca="1" si="105"/>
        <v/>
      </c>
      <c r="L826" s="503">
        <f ca="1">IFERROR(CHOOSE(E826,'Outcome Indicators - Section C '!$K$7,'Outcome Indicators - Section C '!$O$7,'Outcome Indicators - Section C '!$S$7,'Outcome Indicators - Section C '!$W$7),"")</f>
        <v>2022</v>
      </c>
      <c r="M826" s="514" t="str">
        <f t="shared" ca="1" si="106"/>
        <v/>
      </c>
      <c r="N826" s="503" t="str">
        <f t="shared" ca="1" si="107"/>
        <v/>
      </c>
      <c r="O826" s="497"/>
      <c r="P826" s="497">
        <f t="shared" si="111"/>
        <v>0</v>
      </c>
      <c r="Q826" s="503"/>
    </row>
    <row r="827" spans="1:17" x14ac:dyDescent="0.35">
      <c r="A827" s="497" t="b">
        <f t="shared" ca="1" si="102"/>
        <v>0</v>
      </c>
      <c r="B827" s="511">
        <f t="shared" si="108"/>
        <v>260</v>
      </c>
      <c r="C827" s="517" t="str">
        <f ca="1">IF(COUNTA(D$475:D826)=1,"",OFFSET(B825,-COUNTA(D$475:D826)+3,1))</f>
        <v>a1W3p000005vRhtEAE</v>
      </c>
      <c r="D827" s="497"/>
      <c r="E827" s="497">
        <f t="shared" ca="1" si="109"/>
        <v>2</v>
      </c>
      <c r="F827" s="516">
        <f ca="1">IF(COUNTA(D$475:D826)=1,"",OFFSET(F825,-COUNTA(D$475:D826)+3,0))</f>
        <v>29</v>
      </c>
      <c r="G827" s="497"/>
      <c r="H827" s="497">
        <f t="shared" ca="1" si="110"/>
        <v>65</v>
      </c>
      <c r="I827" s="512" t="str">
        <f t="shared" ca="1" si="103"/>
        <v/>
      </c>
      <c r="J827" s="502" t="str">
        <f t="shared" ca="1" si="104"/>
        <v/>
      </c>
      <c r="K827" s="500" t="str">
        <f t="shared" ca="1" si="105"/>
        <v/>
      </c>
      <c r="L827" s="503">
        <f ca="1">IFERROR(CHOOSE(E827,'Outcome Indicators - Section C '!$K$7,'Outcome Indicators - Section C '!$O$7,'Outcome Indicators - Section C '!$S$7,'Outcome Indicators - Section C '!$W$7),"")</f>
        <v>2023</v>
      </c>
      <c r="M827" s="514" t="str">
        <f t="shared" ca="1" si="106"/>
        <v/>
      </c>
      <c r="N827" s="503" t="str">
        <f t="shared" ca="1" si="107"/>
        <v/>
      </c>
      <c r="O827" s="497"/>
      <c r="P827" s="497">
        <f t="shared" si="111"/>
        <v>0</v>
      </c>
      <c r="Q827" s="503"/>
    </row>
    <row r="828" spans="1:17" x14ac:dyDescent="0.35">
      <c r="A828" s="497" t="b">
        <f t="shared" ca="1" si="102"/>
        <v>0</v>
      </c>
      <c r="B828" s="511">
        <f t="shared" si="108"/>
        <v>261</v>
      </c>
      <c r="C828" s="517" t="str">
        <f ca="1">IF(COUNTA(D$475:D827)=1,"",OFFSET(B826,-COUNTA(D$475:D827)+3,1))</f>
        <v>a1W3p000005vRiNEAU</v>
      </c>
      <c r="D828" s="497"/>
      <c r="E828" s="497">
        <f t="shared" ca="1" si="109"/>
        <v>3</v>
      </c>
      <c r="F828" s="516">
        <f ca="1">IF(COUNTA(D$475:D827)=1,"",OFFSET(F826,-COUNTA(D$475:D827)+3,0))</f>
        <v>29</v>
      </c>
      <c r="G828" s="497"/>
      <c r="H828" s="497">
        <f t="shared" ca="1" si="110"/>
        <v>65</v>
      </c>
      <c r="I828" s="512" t="str">
        <f t="shared" ca="1" si="103"/>
        <v/>
      </c>
      <c r="J828" s="502" t="str">
        <f t="shared" ca="1" si="104"/>
        <v/>
      </c>
      <c r="K828" s="500" t="str">
        <f t="shared" ca="1" si="105"/>
        <v/>
      </c>
      <c r="L828" s="503">
        <f ca="1">IFERROR(CHOOSE(E828,'Outcome Indicators - Section C '!$K$7,'Outcome Indicators - Section C '!$O$7,'Outcome Indicators - Section C '!$S$7,'Outcome Indicators - Section C '!$W$7),"")</f>
        <v>2024</v>
      </c>
      <c r="M828" s="514" t="str">
        <f t="shared" ca="1" si="106"/>
        <v/>
      </c>
      <c r="N828" s="503" t="str">
        <f t="shared" ca="1" si="107"/>
        <v/>
      </c>
      <c r="O828" s="497"/>
      <c r="P828" s="497">
        <f t="shared" si="111"/>
        <v>0</v>
      </c>
      <c r="Q828" s="503"/>
    </row>
    <row r="829" spans="1:17" x14ac:dyDescent="0.35">
      <c r="A829" s="497" t="b">
        <f t="shared" ca="1" si="102"/>
        <v>0</v>
      </c>
      <c r="B829" s="511">
        <f t="shared" si="108"/>
        <v>262</v>
      </c>
      <c r="C829" s="517" t="str">
        <f ca="1">IF(COUNTA(D$475:D828)=1,"",OFFSET(B827,-COUNTA(D$475:D828)+3,1))</f>
        <v>a1W3p000005vRirEAE</v>
      </c>
      <c r="D829" s="497"/>
      <c r="E829" s="497">
        <f t="shared" ca="1" si="109"/>
        <v>4</v>
      </c>
      <c r="F829" s="516">
        <f ca="1">IF(COUNTA(D$475:D828)=1,"",OFFSET(F827,-COUNTA(D$475:D828)+3,0))</f>
        <v>29</v>
      </c>
      <c r="G829" s="497"/>
      <c r="H829" s="497">
        <f t="shared" ca="1" si="110"/>
        <v>65</v>
      </c>
      <c r="I829" s="512" t="str">
        <f t="shared" ca="1" si="103"/>
        <v/>
      </c>
      <c r="J829" s="502" t="str">
        <f t="shared" ca="1" si="104"/>
        <v/>
      </c>
      <c r="K829" s="500" t="str">
        <f t="shared" ca="1" si="105"/>
        <v/>
      </c>
      <c r="L829" s="503" t="str">
        <f ca="1">IFERROR(CHOOSE(E829,'Outcome Indicators - Section C '!$K$7,'Outcome Indicators - Section C '!$O$7,'Outcome Indicators - Section C '!$S$7,'Outcome Indicators - Section C '!$W$7),"")</f>
        <v/>
      </c>
      <c r="M829" s="514" t="str">
        <f t="shared" ca="1" si="106"/>
        <v/>
      </c>
      <c r="N829" s="503" t="str">
        <f t="shared" ca="1" si="107"/>
        <v/>
      </c>
      <c r="O829" s="497"/>
      <c r="P829" s="497">
        <f t="shared" si="111"/>
        <v>0</v>
      </c>
      <c r="Q829" s="503"/>
    </row>
    <row r="830" spans="1:17" x14ac:dyDescent="0.35">
      <c r="A830" s="497" t="b">
        <f t="shared" ca="1" si="102"/>
        <v>0</v>
      </c>
      <c r="B830" s="511">
        <f t="shared" si="108"/>
        <v>263</v>
      </c>
      <c r="C830" s="517" t="str">
        <f ca="1">IF(COUNTA(D$475:D829)=1,"",OFFSET(B828,-COUNTA(D$475:D829)+3,1))</f>
        <v>a1W3p000005vRjLEAU</v>
      </c>
      <c r="D830" s="497"/>
      <c r="E830" s="497">
        <f t="shared" ca="1" si="109"/>
        <v>5</v>
      </c>
      <c r="F830" s="516">
        <f ca="1">IF(COUNTA(D$475:D829)=1,"",OFFSET(F828,-COUNTA(D$475:D829)+3,0))</f>
        <v>29</v>
      </c>
      <c r="G830" s="497"/>
      <c r="H830" s="497">
        <f t="shared" ca="1" si="110"/>
        <v>65</v>
      </c>
      <c r="I830" s="512" t="str">
        <f t="shared" ca="1" si="103"/>
        <v/>
      </c>
      <c r="J830" s="502" t="str">
        <f t="shared" ca="1" si="104"/>
        <v/>
      </c>
      <c r="K830" s="500" t="str">
        <f t="shared" ca="1" si="105"/>
        <v/>
      </c>
      <c r="L830" s="503" t="str">
        <f ca="1">IFERROR(CHOOSE(E830,'Outcome Indicators - Section C '!$K$7,'Outcome Indicators - Section C '!$O$7,'Outcome Indicators - Section C '!$S$7,'Outcome Indicators - Section C '!$W$7),"")</f>
        <v/>
      </c>
      <c r="M830" s="514" t="str">
        <f t="shared" ca="1" si="106"/>
        <v/>
      </c>
      <c r="N830" s="503" t="str">
        <f t="shared" ca="1" si="107"/>
        <v/>
      </c>
      <c r="O830" s="497"/>
      <c r="P830" s="497">
        <f t="shared" si="111"/>
        <v>0</v>
      </c>
      <c r="Q830" s="503"/>
    </row>
    <row r="831" spans="1:17" x14ac:dyDescent="0.35">
      <c r="A831" s="497" t="b">
        <f t="shared" ca="1" si="102"/>
        <v>0</v>
      </c>
      <c r="B831" s="511">
        <f t="shared" si="108"/>
        <v>264</v>
      </c>
      <c r="C831" s="517" t="str">
        <f ca="1">IF(COUNTA(D$475:D830)=1,"",OFFSET(B829,-COUNTA(D$475:D830)+3,1))</f>
        <v>a1W3p000005vRjpEAE</v>
      </c>
      <c r="D831" s="497"/>
      <c r="E831" s="497">
        <f t="shared" ca="1" si="109"/>
        <v>6</v>
      </c>
      <c r="F831" s="516">
        <f ca="1">IF(COUNTA(D$475:D830)=1,"",OFFSET(F829,-COUNTA(D$475:D830)+3,0))</f>
        <v>29</v>
      </c>
      <c r="G831" s="497"/>
      <c r="H831" s="497">
        <f t="shared" ca="1" si="110"/>
        <v>65</v>
      </c>
      <c r="I831" s="512" t="str">
        <f t="shared" ca="1" si="103"/>
        <v/>
      </c>
      <c r="J831" s="502" t="str">
        <f t="shared" ca="1" si="104"/>
        <v/>
      </c>
      <c r="K831" s="500" t="str">
        <f t="shared" ca="1" si="105"/>
        <v/>
      </c>
      <c r="L831" s="503" t="str">
        <f ca="1">IFERROR(CHOOSE(E831,'Outcome Indicators - Section C '!$K$7,'Outcome Indicators - Section C '!$O$7,'Outcome Indicators - Section C '!$S$7,'Outcome Indicators - Section C '!$W$7),"")</f>
        <v/>
      </c>
      <c r="M831" s="514" t="str">
        <f t="shared" ca="1" si="106"/>
        <v/>
      </c>
      <c r="N831" s="503" t="str">
        <f t="shared" ca="1" si="107"/>
        <v/>
      </c>
      <c r="O831" s="497"/>
      <c r="P831" s="497">
        <f t="shared" si="111"/>
        <v>0</v>
      </c>
      <c r="Q831" s="503"/>
    </row>
    <row r="832" spans="1:17" x14ac:dyDescent="0.35">
      <c r="A832" s="497" t="b">
        <f t="shared" ca="1" si="102"/>
        <v>0</v>
      </c>
      <c r="B832" s="511">
        <f t="shared" si="108"/>
        <v>265</v>
      </c>
      <c r="C832" s="517" t="str">
        <f ca="1">IF(COUNTA(D$475:D831)=1,"",OFFSET(B830,-COUNTA(D$475:D831)+3,1))</f>
        <v>a1W3p000005vRhQEAU</v>
      </c>
      <c r="D832" s="497"/>
      <c r="E832" s="497">
        <f t="shared" ca="1" si="109"/>
        <v>1</v>
      </c>
      <c r="F832" s="516">
        <f ca="1">IF(COUNTA(D$475:D831)=1,"",OFFSET(F830,-COUNTA(D$475:D831)+3,0))</f>
        <v>30</v>
      </c>
      <c r="G832" s="497"/>
      <c r="H832" s="497">
        <f t="shared" ca="1" si="110"/>
        <v>67</v>
      </c>
      <c r="I832" s="512" t="str">
        <f t="shared" ca="1" si="103"/>
        <v/>
      </c>
      <c r="J832" s="502" t="str">
        <f t="shared" ca="1" si="104"/>
        <v/>
      </c>
      <c r="K832" s="500" t="str">
        <f t="shared" ca="1" si="105"/>
        <v/>
      </c>
      <c r="L832" s="503">
        <f ca="1">IFERROR(CHOOSE(E832,'Outcome Indicators - Section C '!$K$7,'Outcome Indicators - Section C '!$O$7,'Outcome Indicators - Section C '!$S$7,'Outcome Indicators - Section C '!$W$7),"")</f>
        <v>2022</v>
      </c>
      <c r="M832" s="514" t="str">
        <f t="shared" ca="1" si="106"/>
        <v/>
      </c>
      <c r="N832" s="503" t="str">
        <f t="shared" ca="1" si="107"/>
        <v/>
      </c>
      <c r="O832" s="497"/>
      <c r="P832" s="497">
        <f t="shared" si="111"/>
        <v>0</v>
      </c>
      <c r="Q832" s="503"/>
    </row>
    <row r="833" spans="1:33" x14ac:dyDescent="0.35">
      <c r="A833" s="497" t="b">
        <f t="shared" ca="1" si="102"/>
        <v>0</v>
      </c>
      <c r="B833" s="511">
        <f t="shared" si="108"/>
        <v>266</v>
      </c>
      <c r="C833" s="517" t="str">
        <f ca="1">IF(COUNTA(D$475:D832)=1,"",OFFSET(B831,-COUNTA(D$475:D832)+3,1))</f>
        <v>a1W3p000005vRhuEAE</v>
      </c>
      <c r="D833" s="497"/>
      <c r="E833" s="497">
        <f t="shared" ca="1" si="109"/>
        <v>2</v>
      </c>
      <c r="F833" s="516">
        <f ca="1">IF(COUNTA(D$475:D832)=1,"",OFFSET(F831,-COUNTA(D$475:D832)+3,0))</f>
        <v>30</v>
      </c>
      <c r="G833" s="497"/>
      <c r="H833" s="497">
        <f t="shared" ca="1" si="110"/>
        <v>67</v>
      </c>
      <c r="I833" s="512" t="str">
        <f t="shared" ca="1" si="103"/>
        <v/>
      </c>
      <c r="J833" s="502" t="str">
        <f t="shared" ca="1" si="104"/>
        <v/>
      </c>
      <c r="K833" s="500" t="str">
        <f t="shared" ca="1" si="105"/>
        <v/>
      </c>
      <c r="L833" s="503">
        <f ca="1">IFERROR(CHOOSE(E833,'Outcome Indicators - Section C '!$K$7,'Outcome Indicators - Section C '!$O$7,'Outcome Indicators - Section C '!$S$7,'Outcome Indicators - Section C '!$W$7),"")</f>
        <v>2023</v>
      </c>
      <c r="M833" s="514" t="str">
        <f t="shared" ca="1" si="106"/>
        <v/>
      </c>
      <c r="N833" s="503" t="str">
        <f t="shared" ca="1" si="107"/>
        <v/>
      </c>
      <c r="O833" s="497"/>
      <c r="P833" s="497">
        <f t="shared" si="111"/>
        <v>0</v>
      </c>
      <c r="Q833" s="503"/>
    </row>
    <row r="834" spans="1:33" x14ac:dyDescent="0.35">
      <c r="A834" s="497" t="b">
        <f t="shared" ca="1" si="102"/>
        <v>0</v>
      </c>
      <c r="B834" s="511">
        <f t="shared" si="108"/>
        <v>267</v>
      </c>
      <c r="C834" s="517" t="str">
        <f ca="1">IF(COUNTA(D$475:D833)=1,"",OFFSET(B832,-COUNTA(D$475:D833)+3,1))</f>
        <v>a1W3p000005vRiOEAU</v>
      </c>
      <c r="D834" s="497"/>
      <c r="E834" s="497">
        <f t="shared" ca="1" si="109"/>
        <v>3</v>
      </c>
      <c r="F834" s="516">
        <f ca="1">IF(COUNTA(D$475:D833)=1,"",OFFSET(F832,-COUNTA(D$475:D833)+3,0))</f>
        <v>30</v>
      </c>
      <c r="G834" s="497"/>
      <c r="H834" s="497">
        <f t="shared" ca="1" si="110"/>
        <v>67</v>
      </c>
      <c r="I834" s="512" t="str">
        <f t="shared" ca="1" si="103"/>
        <v/>
      </c>
      <c r="J834" s="502" t="str">
        <f t="shared" ca="1" si="104"/>
        <v/>
      </c>
      <c r="K834" s="500" t="str">
        <f t="shared" ca="1" si="105"/>
        <v/>
      </c>
      <c r="L834" s="503">
        <f ca="1">IFERROR(CHOOSE(E834,'Outcome Indicators - Section C '!$K$7,'Outcome Indicators - Section C '!$O$7,'Outcome Indicators - Section C '!$S$7,'Outcome Indicators - Section C '!$W$7),"")</f>
        <v>2024</v>
      </c>
      <c r="M834" s="514" t="str">
        <f t="shared" ca="1" si="106"/>
        <v/>
      </c>
      <c r="N834" s="503" t="str">
        <f t="shared" ca="1" si="107"/>
        <v/>
      </c>
      <c r="O834" s="497"/>
      <c r="P834" s="497">
        <f t="shared" si="111"/>
        <v>0</v>
      </c>
      <c r="Q834" s="503"/>
    </row>
    <row r="835" spans="1:33" x14ac:dyDescent="0.35">
      <c r="A835" s="497" t="b">
        <f t="shared" ca="1" si="102"/>
        <v>0</v>
      </c>
      <c r="B835" s="511">
        <f t="shared" si="108"/>
        <v>268</v>
      </c>
      <c r="C835" s="517" t="str">
        <f ca="1">IF(COUNTA(D$475:D834)=1,"",OFFSET(B833,-COUNTA(D$475:D834)+3,1))</f>
        <v>a1W3p000005vRisEAE</v>
      </c>
      <c r="D835" s="497"/>
      <c r="E835" s="497">
        <f t="shared" ca="1" si="109"/>
        <v>4</v>
      </c>
      <c r="F835" s="516">
        <f ca="1">IF(COUNTA(D$475:D834)=1,"",OFFSET(F833,-COUNTA(D$475:D834)+3,0))</f>
        <v>30</v>
      </c>
      <c r="G835" s="497"/>
      <c r="H835" s="497">
        <f t="shared" ca="1" si="110"/>
        <v>67</v>
      </c>
      <c r="I835" s="512" t="str">
        <f t="shared" ca="1" si="103"/>
        <v/>
      </c>
      <c r="J835" s="502" t="str">
        <f t="shared" ca="1" si="104"/>
        <v/>
      </c>
      <c r="K835" s="500" t="str">
        <f t="shared" ca="1" si="105"/>
        <v/>
      </c>
      <c r="L835" s="503" t="str">
        <f ca="1">IFERROR(CHOOSE(E835,'Outcome Indicators - Section C '!$K$7,'Outcome Indicators - Section C '!$O$7,'Outcome Indicators - Section C '!$S$7,'Outcome Indicators - Section C '!$W$7),"")</f>
        <v/>
      </c>
      <c r="M835" s="514" t="str">
        <f t="shared" ca="1" si="106"/>
        <v/>
      </c>
      <c r="N835" s="503" t="str">
        <f t="shared" ca="1" si="107"/>
        <v/>
      </c>
      <c r="O835" s="497"/>
      <c r="P835" s="497">
        <f t="shared" si="111"/>
        <v>0</v>
      </c>
      <c r="Q835" s="503"/>
    </row>
    <row r="836" spans="1:33" x14ac:dyDescent="0.35">
      <c r="A836" s="497" t="b">
        <f t="shared" ca="1" si="102"/>
        <v>0</v>
      </c>
      <c r="B836" s="511">
        <f t="shared" si="108"/>
        <v>269</v>
      </c>
      <c r="C836" s="517" t="str">
        <f ca="1">IF(COUNTA(D$475:D835)=1,"",OFFSET(B834,-COUNTA(D$475:D835)+3,1))</f>
        <v>a1W3p000005vRjMEAU</v>
      </c>
      <c r="D836" s="497"/>
      <c r="E836" s="497">
        <f t="shared" ca="1" si="109"/>
        <v>5</v>
      </c>
      <c r="F836" s="516">
        <f ca="1">IF(COUNTA(D$475:D835)=1,"",OFFSET(F834,-COUNTA(D$475:D835)+3,0))</f>
        <v>30</v>
      </c>
      <c r="G836" s="497"/>
      <c r="H836" s="497">
        <f t="shared" ca="1" si="110"/>
        <v>67</v>
      </c>
      <c r="I836" s="512" t="str">
        <f t="shared" ca="1" si="103"/>
        <v/>
      </c>
      <c r="J836" s="502" t="str">
        <f t="shared" ca="1" si="104"/>
        <v/>
      </c>
      <c r="K836" s="500" t="str">
        <f t="shared" ca="1" si="105"/>
        <v/>
      </c>
      <c r="L836" s="503" t="str">
        <f ca="1">IFERROR(CHOOSE(E836,'Outcome Indicators - Section C '!$K$7,'Outcome Indicators - Section C '!$O$7,'Outcome Indicators - Section C '!$S$7,'Outcome Indicators - Section C '!$W$7),"")</f>
        <v/>
      </c>
      <c r="M836" s="514" t="str">
        <f t="shared" ca="1" si="106"/>
        <v/>
      </c>
      <c r="N836" s="503" t="str">
        <f t="shared" ca="1" si="107"/>
        <v/>
      </c>
      <c r="O836" s="497"/>
      <c r="P836" s="497">
        <f t="shared" si="111"/>
        <v>0</v>
      </c>
      <c r="Q836" s="503"/>
    </row>
    <row r="837" spans="1:33" x14ac:dyDescent="0.35">
      <c r="A837" s="497" t="b">
        <f t="shared" ca="1" si="102"/>
        <v>0</v>
      </c>
      <c r="B837" s="511">
        <f t="shared" si="108"/>
        <v>270</v>
      </c>
      <c r="C837" s="517" t="str">
        <f ca="1">IF(COUNTA(D$475:D836)=1,"",OFFSET(B835,-COUNTA(D$475:D836)+3,1))</f>
        <v>a1W3p000005vRjqEAE</v>
      </c>
      <c r="D837" s="497"/>
      <c r="E837" s="497">
        <f t="shared" ca="1" si="109"/>
        <v>6</v>
      </c>
      <c r="F837" s="516">
        <f ca="1">IF(COUNTA(D$475:D836)=1,"",OFFSET(F835,-COUNTA(D$475:D836)+3,0))</f>
        <v>30</v>
      </c>
      <c r="G837" s="497"/>
      <c r="H837" s="497">
        <f t="shared" ca="1" si="110"/>
        <v>67</v>
      </c>
      <c r="I837" s="512" t="str">
        <f t="shared" ca="1" si="103"/>
        <v/>
      </c>
      <c r="J837" s="502" t="str">
        <f t="shared" ca="1" si="104"/>
        <v/>
      </c>
      <c r="K837" s="500" t="str">
        <f t="shared" ca="1" si="105"/>
        <v/>
      </c>
      <c r="L837" s="503" t="str">
        <f ca="1">IFERROR(CHOOSE(E837,'Outcome Indicators - Section C '!$K$7,'Outcome Indicators - Section C '!$O$7,'Outcome Indicators - Section C '!$S$7,'Outcome Indicators - Section C '!$W$7),"")</f>
        <v/>
      </c>
      <c r="M837" s="514" t="str">
        <f t="shared" ca="1" si="106"/>
        <v/>
      </c>
      <c r="N837" s="503" t="str">
        <f t="shared" ca="1" si="107"/>
        <v/>
      </c>
      <c r="O837" s="497"/>
      <c r="P837" s="497">
        <f t="shared" si="111"/>
        <v>0</v>
      </c>
      <c r="Q837" s="503"/>
    </row>
    <row r="840" spans="1:33" x14ac:dyDescent="0.35">
      <c r="J840" s="496" t="str">
        <f ca="1">IF(ROW()&gt;'Impact Indicator Target Update'!A12,"",INDIRECT("'Impact Indicators - Section B'!A"&amp;'Impact Indicator Target Update'!D12))</f>
        <v/>
      </c>
    </row>
    <row r="841" spans="1:33" x14ac:dyDescent="0.35">
      <c r="A841" s="507" t="s">
        <v>318</v>
      </c>
      <c r="B841" s="496" t="s">
        <v>352</v>
      </c>
      <c r="H841" s="496" t="s">
        <v>963</v>
      </c>
      <c r="J841" s="496" t="str">
        <f ca="1">IF(ROW()&gt;'Impact Indicator Target Update'!A13,"",INDIRECT("'Impact Indicators - Section B'!A"&amp;'Impact Indicator Target Update'!D13))</f>
        <v/>
      </c>
    </row>
    <row r="842" spans="1:33" x14ac:dyDescent="0.35">
      <c r="A842" s="497" t="s">
        <v>46</v>
      </c>
      <c r="B842" s="498">
        <v>5</v>
      </c>
      <c r="C842" s="497" t="s">
        <v>48</v>
      </c>
      <c r="D842" s="497" t="s">
        <v>4</v>
      </c>
      <c r="E842" s="497" t="s">
        <v>3</v>
      </c>
      <c r="F842" s="497" t="s">
        <v>2</v>
      </c>
      <c r="G842" s="497" t="s">
        <v>18</v>
      </c>
      <c r="H842" s="497">
        <v>1</v>
      </c>
      <c r="I842" s="497" t="s">
        <v>327</v>
      </c>
      <c r="J842" s="497" t="s">
        <v>147</v>
      </c>
      <c r="K842" s="497" t="s">
        <v>343</v>
      </c>
      <c r="L842" s="497" t="s">
        <v>146</v>
      </c>
      <c r="M842" s="497" t="s">
        <v>345</v>
      </c>
      <c r="N842" s="497" t="s">
        <v>346</v>
      </c>
      <c r="O842" s="497" t="s">
        <v>39</v>
      </c>
      <c r="P842" s="497" t="s">
        <v>355</v>
      </c>
      <c r="Q842" s="497" t="s">
        <v>356</v>
      </c>
      <c r="R842" s="497" t="s">
        <v>358</v>
      </c>
      <c r="S842" s="497" t="s">
        <v>188</v>
      </c>
      <c r="T842" s="497" t="s">
        <v>471</v>
      </c>
      <c r="U842" s="497" t="s">
        <v>468</v>
      </c>
      <c r="V842" s="497" t="s">
        <v>469</v>
      </c>
      <c r="W842" s="497" t="s">
        <v>954</v>
      </c>
      <c r="X842" s="497" t="s">
        <v>956</v>
      </c>
      <c r="Y842" s="497"/>
      <c r="Z842" s="497"/>
      <c r="AA842" s="497" t="s">
        <v>965</v>
      </c>
      <c r="AB842" s="497" t="s">
        <v>967</v>
      </c>
      <c r="AC842" s="497"/>
      <c r="AD842" s="497" t="s">
        <v>349</v>
      </c>
      <c r="AE842" s="497"/>
      <c r="AF842" s="497" t="s">
        <v>25</v>
      </c>
      <c r="AG842" s="497" t="s">
        <v>60</v>
      </c>
    </row>
    <row r="843" spans="1:33" hidden="1" x14ac:dyDescent="0.35">
      <c r="A843" s="497" t="b">
        <f ca="1">IF(OR(J843&lt;&gt;"",T843&lt;&gt;""),TRUE,FALSE)</f>
        <v>0</v>
      </c>
      <c r="B843" s="498">
        <f>IF(_xlfn.ISFORMULA(I843),B842+2,B842)</f>
        <v>7</v>
      </c>
      <c r="C843" s="497" t="str">
        <f>IFERROR(IF(AND(H843=2,B843=7),"blank",INDEX(C$842:C843,H843,1)),"")</f>
        <v>blank</v>
      </c>
      <c r="D843" s="500" t="str">
        <f ca="1">IFERROR(IF(INDIRECT("'Coverage Indicators - Section D'!G"&amp;$B843)="","",INDIRECT("'Coverage Indicators - Section D'!G"&amp;$B843)*100),"")</f>
        <v/>
      </c>
      <c r="E843" s="512" t="str">
        <f ca="1">IFERROR(IF(INDIRECT("'Coverage Indicators - Section D'!F"&amp;$B843+1)="","",INDIRECT("'Coverage Indicators - Section D'!F"&amp;$B843+1)),"")</f>
        <v>Línea de base #N
Línea de base #D</v>
      </c>
      <c r="F843" s="512" t="str">
        <f ca="1">IFERROR(IF(INDIRECT("'Coverage Indicators - Section D'!F"&amp;$B843)="","",INDIRECT("'Coverage Indicators - Section D'!F"&amp;$B843)),"")</f>
        <v/>
      </c>
      <c r="G843" s="503" t="str">
        <f ca="1">IFERROR(IF(INDIRECT("'Coverage Indicators - Section D'!AO"&amp;$B843)="","",INDIRECT("'Coverage Indicators - Section D'!AO"&amp;$B843)),"")</f>
        <v/>
      </c>
      <c r="H843" s="498">
        <f>IF(_xlfn.ISFORMULA(I843),H842+1,H842)</f>
        <v>2</v>
      </c>
      <c r="I843" s="503" t="str">
        <f ca="1">IFERROR(IF(INDIRECT("'Coverage Indicators - Section D'!AP"&amp;$B843)=0,"",INDIRECT("'Coverage Indicators - Section D'!AP"&amp;$B843)),"")</f>
        <v/>
      </c>
      <c r="J843" s="497" t="str">
        <f t="array" aca="1" ref="J843" ca="1">IFERROR(VLOOKUP(LEFT(INDIRECT("'Coverage Indicators - Section D'!D"&amp;$B843),255),LEFT('Reference Records'!C1:F205,255),4,0),"")</f>
        <v/>
      </c>
      <c r="K843" s="497" t="str">
        <f ca="1">IFERROR(VLOOKUP(IF(INDIRECT("'Coverage Indicators - Section D'!B"&amp;$B843)="","--select--",INDIRECT("'Coverage Indicators - Section D'!B"&amp;$B843)),'Overview - Section A'!C$117:D118,2,0),"")</f>
        <v/>
      </c>
      <c r="L843" s="503" t="str">
        <f ca="1">IFERROR(IF(INDIRECT("'Coverage Indicators - Section D'!H"&amp;$B843)=0,"",INDIRECT("'Coverage Indicators - Section D'!H"&amp;$B843)),"")</f>
        <v/>
      </c>
      <c r="M843" s="497" t="str">
        <f ca="1">IFERROR(VLOOKUP(INDIRECT("'Coverage Indicators - Section D'!C"&amp;$B843),'Reference Records'!C$621:F719,3,0),"")</f>
        <v/>
      </c>
      <c r="N843" s="503" t="str">
        <f ca="1">IFERROR(IF(INDIRECT("'Coverage Indicators - Section D'!AN"&amp;$B843)=0,"",INDIRECT("'Coverage Indicators - Section D'!AN"&amp;$B843)),"")</f>
        <v/>
      </c>
      <c r="O843" s="497" t="str">
        <f ca="1">IFERROR(IF(INDIRECT("'Coverage Indicators - Section D'!M"&amp;$B843)=0,"",INDIRECT("'Coverage Indicators - Section D'!M"&amp;$B843)),"")</f>
        <v/>
      </c>
      <c r="P843" s="503" t="str">
        <f ca="1">IFERROR(IF(INDIRECT("'Coverage Indicators - Section D'!M"&amp;$B843+1)=0,"",INDIRECT("'Coverage Indicators - Section D'!M"&amp;$B843+1)),"")</f>
        <v>País / Alcance de las metas</v>
      </c>
      <c r="Q843" s="503" t="str">
        <f ca="1">IFERROR(IF(INDIRECT("'Coverage Indicators - Section D'!N"&amp;$B843)=0,"",INDIRECT("'Coverage Indicators - Section D'!N"&amp;$B843)),"")</f>
        <v/>
      </c>
      <c r="R843" s="497" t="str">
        <f ca="1">IFERROR(IF(INDIRECT("'Coverage Indicators - Section D'!K"&amp;$B843)=0,"FALSE",IF(INDIRECT("'Coverage Indicators - Section D'!K"&amp;$B843)="Yes",TRUE,FALSE)),"")</f>
        <v>FALSE</v>
      </c>
      <c r="S843" s="503" t="str">
        <f ca="1">IFERROR(VLOOKUP(INDIRECT("'Coverage Indicators - Section D'!L"&amp;$B843),'Overview - Section A'!M$31:P33,4,0),IFERROR(IF(VLOOKUP(INDIRECT("'Coverage Indicators - Section D'!L"&amp;$B843),'Overview - Section A'!E$27:I30,5,0)=0,"",VLOOKUP(INDIRECT("'Coverage Indicators - Section D'!L"&amp;$B843),'Overview - Section A'!E$27:I30,5,0)),""))</f>
        <v/>
      </c>
      <c r="T843" s="503" t="str">
        <f ca="1">IFERROR(IF(INDIRECT("'Coverage Indicators - Section D'!E"&amp;$B843)=0,"",INDIRECT("'Coverage Indicators - Section D'!E"&amp;$B843)),"")</f>
        <v/>
      </c>
      <c r="U843" s="503" t="str">
        <f ca="1">IFERROR(IF(INDIRECT("'Coverage Indicators - Section D'!I"&amp;$B843)=0,"",INDIRECT("'Coverage Indicators - Section D'!I"&amp;$B843)),"")</f>
        <v/>
      </c>
      <c r="V843" s="503" t="str">
        <f ca="1">IFERROR(IF(INDIRECT("'Coverage Indicators - Section D'!AM"&amp;$B843)=0,"",INDIRECT("'Coverage Indicators - Section D'!AM"&amp;$B843)),"")</f>
        <v/>
      </c>
      <c r="W843" s="503" t="s">
        <v>953</v>
      </c>
      <c r="X843" s="503" t="s">
        <v>955</v>
      </c>
      <c r="Y843" s="497"/>
      <c r="Z843" s="497"/>
      <c r="AA843" s="503" t="s">
        <v>964</v>
      </c>
      <c r="AB843" s="503" t="s">
        <v>966</v>
      </c>
      <c r="AC843" s="497"/>
      <c r="AD843" s="497" t="s">
        <v>348</v>
      </c>
      <c r="AE843" s="497"/>
      <c r="AF843" s="512" t="s">
        <v>980</v>
      </c>
      <c r="AG843" s="503" t="s">
        <v>981</v>
      </c>
    </row>
    <row r="844" spans="1:33" ht="409.5" x14ac:dyDescent="0.35">
      <c r="A844" s="497" t="b">
        <v>1</v>
      </c>
      <c r="B844" s="498">
        <f t="shared" ref="B844:B907" si="112">IF(_xlfn.ISFORMULA(I844),B843+2,B843)</f>
        <v>7</v>
      </c>
      <c r="C844" s="497" t="s">
        <v>9446</v>
      </c>
      <c r="D844" s="500">
        <v>1.70427395805681</v>
      </c>
      <c r="E844" s="512">
        <v>18835</v>
      </c>
      <c r="F844" s="512">
        <v>321</v>
      </c>
      <c r="G844" s="503" t="s">
        <v>9223</v>
      </c>
      <c r="H844" s="498">
        <f t="shared" ref="H844:H907" si="113">IF(_xlfn.ISFORMULA(I844),H843+1,H843)</f>
        <v>2</v>
      </c>
      <c r="I844" s="504" t="s">
        <v>9447</v>
      </c>
      <c r="J844" s="497"/>
      <c r="K844" s="497" t="s">
        <v>1139</v>
      </c>
      <c r="L844" s="503" t="s">
        <v>1032</v>
      </c>
      <c r="M844" s="497" t="s">
        <v>8882</v>
      </c>
      <c r="N844" s="503" t="s">
        <v>9448</v>
      </c>
      <c r="O844" s="497" t="s">
        <v>1070</v>
      </c>
      <c r="P844" s="503" t="s">
        <v>312</v>
      </c>
      <c r="Q844" s="503" t="s">
        <v>621</v>
      </c>
      <c r="R844" s="497" t="b">
        <v>1</v>
      </c>
      <c r="S844" s="503" t="s">
        <v>4030</v>
      </c>
      <c r="T844" s="503" t="s">
        <v>9449</v>
      </c>
      <c r="U844" s="503" t="s">
        <v>9223</v>
      </c>
      <c r="V844" s="504" t="s">
        <v>9450</v>
      </c>
      <c r="W844" s="503"/>
      <c r="X844" s="503"/>
      <c r="Y844" s="497"/>
      <c r="Z844" s="497"/>
      <c r="AA844" s="503" t="s">
        <v>2995</v>
      </c>
      <c r="AB844" s="503" t="s">
        <v>2996</v>
      </c>
      <c r="AC844" s="497"/>
      <c r="AD844" s="497" t="s">
        <v>4029</v>
      </c>
      <c r="AE844" s="497"/>
      <c r="AF844" s="512">
        <v>1</v>
      </c>
      <c r="AG844" s="503" t="s">
        <v>2992</v>
      </c>
    </row>
    <row r="845" spans="1:33" ht="409.5" x14ac:dyDescent="0.35">
      <c r="A845" s="497" t="b">
        <v>1</v>
      </c>
      <c r="B845" s="498">
        <f t="shared" si="112"/>
        <v>7</v>
      </c>
      <c r="C845" s="497" t="s">
        <v>9451</v>
      </c>
      <c r="D845" s="500">
        <v>81.190082644628106</v>
      </c>
      <c r="E845" s="512">
        <v>3025</v>
      </c>
      <c r="F845" s="512">
        <v>2456</v>
      </c>
      <c r="G845" s="503" t="s">
        <v>9452</v>
      </c>
      <c r="H845" s="498">
        <f t="shared" si="113"/>
        <v>2</v>
      </c>
      <c r="I845" s="504" t="s">
        <v>9453</v>
      </c>
      <c r="J845" s="497" t="s">
        <v>3307</v>
      </c>
      <c r="K845" s="497" t="s">
        <v>1159</v>
      </c>
      <c r="L845" s="503" t="s">
        <v>1032</v>
      </c>
      <c r="M845" s="497" t="s">
        <v>8914</v>
      </c>
      <c r="N845" s="503"/>
      <c r="O845" s="497" t="s">
        <v>1070</v>
      </c>
      <c r="P845" s="503" t="s">
        <v>312</v>
      </c>
      <c r="Q845" s="503" t="s">
        <v>621</v>
      </c>
      <c r="R845" s="497" t="b">
        <v>1</v>
      </c>
      <c r="S845" s="503" t="s">
        <v>4034</v>
      </c>
      <c r="T845" s="503"/>
      <c r="U845" s="503" t="s">
        <v>9454</v>
      </c>
      <c r="V845" s="504" t="s">
        <v>9455</v>
      </c>
      <c r="W845" s="503" t="s">
        <v>3310</v>
      </c>
      <c r="X845" s="503" t="s">
        <v>3311</v>
      </c>
      <c r="Y845" s="497"/>
      <c r="Z845" s="497"/>
      <c r="AA845" s="503" t="s">
        <v>3000</v>
      </c>
      <c r="AB845" s="503" t="s">
        <v>3001</v>
      </c>
      <c r="AC845" s="497"/>
      <c r="AD845" s="497" t="s">
        <v>4033</v>
      </c>
      <c r="AE845" s="497"/>
      <c r="AF845" s="512">
        <v>2</v>
      </c>
      <c r="AG845" s="503" t="s">
        <v>2997</v>
      </c>
    </row>
    <row r="846" spans="1:33" ht="409.5" x14ac:dyDescent="0.35">
      <c r="A846" s="497" t="b">
        <v>1</v>
      </c>
      <c r="B846" s="498">
        <f t="shared" si="112"/>
        <v>7</v>
      </c>
      <c r="C846" s="497" t="s">
        <v>9456</v>
      </c>
      <c r="D846" s="500">
        <v>2.0787746170678298</v>
      </c>
      <c r="E846" s="512">
        <v>914</v>
      </c>
      <c r="F846" s="512">
        <v>19</v>
      </c>
      <c r="G846" s="503" t="s">
        <v>9223</v>
      </c>
      <c r="H846" s="498">
        <f t="shared" si="113"/>
        <v>2</v>
      </c>
      <c r="I846" s="504" t="s">
        <v>9457</v>
      </c>
      <c r="J846" s="497"/>
      <c r="K846" s="497" t="s">
        <v>1139</v>
      </c>
      <c r="L846" s="503" t="s">
        <v>1032</v>
      </c>
      <c r="M846" s="497" t="s">
        <v>8882</v>
      </c>
      <c r="N846" s="503" t="s">
        <v>9458</v>
      </c>
      <c r="O846" s="497" t="s">
        <v>1070</v>
      </c>
      <c r="P846" s="503" t="s">
        <v>312</v>
      </c>
      <c r="Q846" s="503" t="s">
        <v>621</v>
      </c>
      <c r="R846" s="497" t="b">
        <v>1</v>
      </c>
      <c r="S846" s="503" t="s">
        <v>4030</v>
      </c>
      <c r="T846" s="503" t="s">
        <v>9459</v>
      </c>
      <c r="U846" s="503" t="s">
        <v>9223</v>
      </c>
      <c r="V846" s="504" t="s">
        <v>9460</v>
      </c>
      <c r="W846" s="503"/>
      <c r="X846" s="503"/>
      <c r="Y846" s="497"/>
      <c r="Z846" s="497"/>
      <c r="AA846" s="503" t="s">
        <v>2995</v>
      </c>
      <c r="AB846" s="503" t="s">
        <v>2996</v>
      </c>
      <c r="AC846" s="497"/>
      <c r="AD846" s="497" t="s">
        <v>4029</v>
      </c>
      <c r="AE846" s="497"/>
      <c r="AF846" s="512">
        <v>3</v>
      </c>
      <c r="AG846" s="503" t="s">
        <v>2992</v>
      </c>
    </row>
    <row r="847" spans="1:33" ht="409.5" x14ac:dyDescent="0.35">
      <c r="A847" s="497" t="b">
        <v>1</v>
      </c>
      <c r="B847" s="498">
        <f t="shared" si="112"/>
        <v>7</v>
      </c>
      <c r="C847" s="497" t="s">
        <v>9461</v>
      </c>
      <c r="D847" s="500"/>
      <c r="E847" s="512"/>
      <c r="F847" s="512">
        <v>21</v>
      </c>
      <c r="G847" s="503" t="s">
        <v>9462</v>
      </c>
      <c r="H847" s="498">
        <f t="shared" si="113"/>
        <v>2</v>
      </c>
      <c r="I847" s="504" t="s">
        <v>9463</v>
      </c>
      <c r="J847" s="497" t="s">
        <v>2442</v>
      </c>
      <c r="K847" s="497" t="s">
        <v>1159</v>
      </c>
      <c r="L847" s="503" t="s">
        <v>1032</v>
      </c>
      <c r="M847" s="497" t="s">
        <v>8914</v>
      </c>
      <c r="N847" s="503"/>
      <c r="O847" s="497" t="s">
        <v>1070</v>
      </c>
      <c r="P847" s="503" t="s">
        <v>312</v>
      </c>
      <c r="Q847" s="503" t="s">
        <v>621</v>
      </c>
      <c r="R847" s="497" t="b">
        <v>1</v>
      </c>
      <c r="S847" s="503" t="s">
        <v>4034</v>
      </c>
      <c r="T847" s="503"/>
      <c r="U847" s="503" t="s">
        <v>9462</v>
      </c>
      <c r="V847" s="504" t="s">
        <v>9464</v>
      </c>
      <c r="W847" s="503" t="s">
        <v>2452</v>
      </c>
      <c r="X847" s="503" t="s">
        <v>2453</v>
      </c>
      <c r="Y847" s="497"/>
      <c r="Z847" s="497"/>
      <c r="AA847" s="503" t="s">
        <v>3000</v>
      </c>
      <c r="AB847" s="503" t="s">
        <v>3001</v>
      </c>
      <c r="AC847" s="497"/>
      <c r="AD847" s="497" t="s">
        <v>4033</v>
      </c>
      <c r="AE847" s="497"/>
      <c r="AF847" s="512">
        <v>4</v>
      </c>
      <c r="AG847" s="503" t="s">
        <v>2997</v>
      </c>
    </row>
    <row r="848" spans="1:33" ht="409.5" x14ac:dyDescent="0.35">
      <c r="A848" s="497" t="b">
        <v>1</v>
      </c>
      <c r="B848" s="498">
        <f t="shared" si="112"/>
        <v>7</v>
      </c>
      <c r="C848" s="497" t="s">
        <v>9465</v>
      </c>
      <c r="D848" s="500">
        <v>0.23883113234054501</v>
      </c>
      <c r="E848" s="512">
        <v>7118</v>
      </c>
      <c r="F848" s="512">
        <v>17</v>
      </c>
      <c r="G848" s="503" t="s">
        <v>9223</v>
      </c>
      <c r="H848" s="498">
        <f t="shared" si="113"/>
        <v>2</v>
      </c>
      <c r="I848" s="504" t="s">
        <v>9466</v>
      </c>
      <c r="J848" s="497"/>
      <c r="K848" s="497" t="s">
        <v>1139</v>
      </c>
      <c r="L848" s="503" t="s">
        <v>1032</v>
      </c>
      <c r="M848" s="497" t="s">
        <v>8882</v>
      </c>
      <c r="N848" s="503" t="s">
        <v>9467</v>
      </c>
      <c r="O848" s="497" t="s">
        <v>1070</v>
      </c>
      <c r="P848" s="503" t="s">
        <v>312</v>
      </c>
      <c r="Q848" s="503" t="s">
        <v>621</v>
      </c>
      <c r="R848" s="497" t="b">
        <v>1</v>
      </c>
      <c r="S848" s="503" t="s">
        <v>4030</v>
      </c>
      <c r="T848" s="503" t="s">
        <v>9468</v>
      </c>
      <c r="U848" s="503" t="s">
        <v>9223</v>
      </c>
      <c r="V848" s="504" t="s">
        <v>9469</v>
      </c>
      <c r="W848" s="503"/>
      <c r="X848" s="503"/>
      <c r="Y848" s="497"/>
      <c r="Z848" s="497"/>
      <c r="AA848" s="503" t="s">
        <v>2995</v>
      </c>
      <c r="AB848" s="503" t="s">
        <v>2996</v>
      </c>
      <c r="AC848" s="497"/>
      <c r="AD848" s="497" t="s">
        <v>4029</v>
      </c>
      <c r="AE848" s="497"/>
      <c r="AF848" s="512">
        <v>5</v>
      </c>
      <c r="AG848" s="503" t="s">
        <v>2992</v>
      </c>
    </row>
    <row r="849" spans="1:33" ht="409.5" x14ac:dyDescent="0.35">
      <c r="A849" s="497" t="b">
        <v>1</v>
      </c>
      <c r="B849" s="498">
        <f t="shared" si="112"/>
        <v>7</v>
      </c>
      <c r="C849" s="497" t="s">
        <v>9470</v>
      </c>
      <c r="D849" s="500"/>
      <c r="E849" s="512"/>
      <c r="F849" s="512">
        <v>1328</v>
      </c>
      <c r="G849" s="503" t="s">
        <v>9471</v>
      </c>
      <c r="H849" s="498">
        <f t="shared" si="113"/>
        <v>2</v>
      </c>
      <c r="I849" s="504" t="s">
        <v>9472</v>
      </c>
      <c r="J849" s="497" t="s">
        <v>3266</v>
      </c>
      <c r="K849" s="497" t="s">
        <v>1151</v>
      </c>
      <c r="L849" s="503" t="s">
        <v>1032</v>
      </c>
      <c r="M849" s="497" t="s">
        <v>8914</v>
      </c>
      <c r="N849" s="503"/>
      <c r="O849" s="497" t="s">
        <v>1070</v>
      </c>
      <c r="P849" s="503" t="s">
        <v>312</v>
      </c>
      <c r="Q849" s="503" t="s">
        <v>621</v>
      </c>
      <c r="R849" s="497" t="b">
        <v>1</v>
      </c>
      <c r="S849" s="503" t="s">
        <v>4034</v>
      </c>
      <c r="T849" s="503"/>
      <c r="U849" s="503" t="s">
        <v>9473</v>
      </c>
      <c r="V849" s="504" t="s">
        <v>9474</v>
      </c>
      <c r="W849" s="503" t="s">
        <v>3269</v>
      </c>
      <c r="X849" s="503" t="s">
        <v>3270</v>
      </c>
      <c r="Y849" s="497"/>
      <c r="Z849" s="497"/>
      <c r="AA849" s="503" t="s">
        <v>3137</v>
      </c>
      <c r="AB849" s="503" t="s">
        <v>3138</v>
      </c>
      <c r="AC849" s="497"/>
      <c r="AD849" s="497" t="s">
        <v>4033</v>
      </c>
      <c r="AE849" s="497"/>
      <c r="AF849" s="512">
        <v>6</v>
      </c>
      <c r="AG849" s="503" t="s">
        <v>3134</v>
      </c>
    </row>
    <row r="850" spans="1:33" ht="409.5" x14ac:dyDescent="0.35">
      <c r="A850" s="497" t="b">
        <v>1</v>
      </c>
      <c r="B850" s="498">
        <f t="shared" si="112"/>
        <v>7</v>
      </c>
      <c r="C850" s="497" t="s">
        <v>9475</v>
      </c>
      <c r="D850" s="500">
        <v>45.448836350203202</v>
      </c>
      <c r="E850" s="512">
        <v>54140</v>
      </c>
      <c r="F850" s="512">
        <v>24606</v>
      </c>
      <c r="G850" s="503" t="s">
        <v>9476</v>
      </c>
      <c r="H850" s="498">
        <f t="shared" si="113"/>
        <v>2</v>
      </c>
      <c r="I850" s="504" t="s">
        <v>9477</v>
      </c>
      <c r="J850" s="497" t="s">
        <v>1995</v>
      </c>
      <c r="K850" s="497" t="s">
        <v>1155</v>
      </c>
      <c r="L850" s="503" t="s">
        <v>1032</v>
      </c>
      <c r="M850" s="497" t="s">
        <v>8852</v>
      </c>
      <c r="N850" s="503"/>
      <c r="O850" s="497" t="s">
        <v>1070</v>
      </c>
      <c r="P850" s="503" t="s">
        <v>312</v>
      </c>
      <c r="Q850" s="503" t="s">
        <v>621</v>
      </c>
      <c r="R850" s="497" t="b">
        <v>1</v>
      </c>
      <c r="S850" s="503" t="s">
        <v>4032</v>
      </c>
      <c r="T850" s="503"/>
      <c r="U850" s="503" t="s">
        <v>9476</v>
      </c>
      <c r="V850" s="504" t="s">
        <v>9478</v>
      </c>
      <c r="W850" s="503" t="s">
        <v>1999</v>
      </c>
      <c r="X850" s="503" t="s">
        <v>2000</v>
      </c>
      <c r="Y850" s="497"/>
      <c r="Z850" s="497"/>
      <c r="AA850" s="503" t="s">
        <v>3019</v>
      </c>
      <c r="AB850" s="503" t="s">
        <v>3020</v>
      </c>
      <c r="AC850" s="497"/>
      <c r="AD850" s="497" t="s">
        <v>4031</v>
      </c>
      <c r="AE850" s="497"/>
      <c r="AF850" s="512">
        <v>7</v>
      </c>
      <c r="AG850" s="503" t="s">
        <v>3016</v>
      </c>
    </row>
    <row r="851" spans="1:33" ht="409.5" x14ac:dyDescent="0.35">
      <c r="A851" s="497" t="b">
        <v>1</v>
      </c>
      <c r="B851" s="498">
        <f t="shared" si="112"/>
        <v>7</v>
      </c>
      <c r="C851" s="497" t="s">
        <v>9479</v>
      </c>
      <c r="D851" s="500">
        <v>93.753200204813098</v>
      </c>
      <c r="E851" s="512">
        <v>1953</v>
      </c>
      <c r="F851" s="512">
        <v>1831</v>
      </c>
      <c r="G851" s="503" t="s">
        <v>9471</v>
      </c>
      <c r="H851" s="498">
        <f t="shared" si="113"/>
        <v>2</v>
      </c>
      <c r="I851" s="504" t="s">
        <v>9480</v>
      </c>
      <c r="J851" s="497"/>
      <c r="K851" s="497" t="s">
        <v>1151</v>
      </c>
      <c r="L851" s="503" t="s">
        <v>1031</v>
      </c>
      <c r="M851" s="497" t="s">
        <v>8914</v>
      </c>
      <c r="N851" s="503" t="s">
        <v>9481</v>
      </c>
      <c r="O851" s="497" t="s">
        <v>1070</v>
      </c>
      <c r="P851" s="503" t="s">
        <v>312</v>
      </c>
      <c r="Q851" s="503" t="s">
        <v>621</v>
      </c>
      <c r="R851" s="497" t="b">
        <v>1</v>
      </c>
      <c r="S851" s="503" t="s">
        <v>4034</v>
      </c>
      <c r="T851" s="503" t="s">
        <v>9482</v>
      </c>
      <c r="U851" s="503" t="s">
        <v>9473</v>
      </c>
      <c r="V851" s="504" t="s">
        <v>9483</v>
      </c>
      <c r="W851" s="503"/>
      <c r="X851" s="503"/>
      <c r="Y851" s="497"/>
      <c r="Z851" s="497"/>
      <c r="AA851" s="503" t="s">
        <v>3137</v>
      </c>
      <c r="AB851" s="503" t="s">
        <v>3138</v>
      </c>
      <c r="AC851" s="497"/>
      <c r="AD851" s="497" t="s">
        <v>4033</v>
      </c>
      <c r="AE851" s="497"/>
      <c r="AF851" s="512">
        <v>8</v>
      </c>
      <c r="AG851" s="503" t="s">
        <v>3134</v>
      </c>
    </row>
    <row r="852" spans="1:33" ht="409.5" x14ac:dyDescent="0.35">
      <c r="A852" s="497" t="b">
        <v>1</v>
      </c>
      <c r="B852" s="498">
        <f t="shared" si="112"/>
        <v>7</v>
      </c>
      <c r="C852" s="497" t="s">
        <v>9484</v>
      </c>
      <c r="D852" s="500">
        <v>72.401790154152195</v>
      </c>
      <c r="E852" s="512">
        <v>2011</v>
      </c>
      <c r="F852" s="512">
        <v>1456</v>
      </c>
      <c r="G852" s="503" t="s">
        <v>9476</v>
      </c>
      <c r="H852" s="498">
        <f t="shared" si="113"/>
        <v>2</v>
      </c>
      <c r="I852" s="504" t="s">
        <v>9485</v>
      </c>
      <c r="J852" s="497" t="s">
        <v>2003</v>
      </c>
      <c r="K852" s="497" t="s">
        <v>1155</v>
      </c>
      <c r="L852" s="503" t="s">
        <v>1032</v>
      </c>
      <c r="M852" s="497" t="s">
        <v>8854</v>
      </c>
      <c r="N852" s="503"/>
      <c r="O852" s="497" t="s">
        <v>1070</v>
      </c>
      <c r="P852" s="503" t="s">
        <v>312</v>
      </c>
      <c r="Q852" s="503" t="s">
        <v>621</v>
      </c>
      <c r="R852" s="497" t="b">
        <v>0</v>
      </c>
      <c r="S852" s="503" t="s">
        <v>4032</v>
      </c>
      <c r="T852" s="503"/>
      <c r="U852" s="503" t="s">
        <v>9476</v>
      </c>
      <c r="V852" s="504" t="s">
        <v>9486</v>
      </c>
      <c r="W852" s="503" t="s">
        <v>2007</v>
      </c>
      <c r="X852" s="503" t="s">
        <v>2008</v>
      </c>
      <c r="Y852" s="497"/>
      <c r="Z852" s="497"/>
      <c r="AA852" s="503" t="s">
        <v>3019</v>
      </c>
      <c r="AB852" s="503" t="s">
        <v>3020</v>
      </c>
      <c r="AC852" s="497"/>
      <c r="AD852" s="497" t="s">
        <v>4031</v>
      </c>
      <c r="AE852" s="497"/>
      <c r="AF852" s="512">
        <v>9</v>
      </c>
      <c r="AG852" s="503" t="s">
        <v>3016</v>
      </c>
    </row>
    <row r="853" spans="1:33" ht="409.5" x14ac:dyDescent="0.35">
      <c r="A853" s="497" t="b">
        <v>1</v>
      </c>
      <c r="B853" s="498">
        <f t="shared" si="112"/>
        <v>7</v>
      </c>
      <c r="C853" s="497" t="s">
        <v>9487</v>
      </c>
      <c r="D853" s="500"/>
      <c r="E853" s="512"/>
      <c r="F853" s="512">
        <v>3009</v>
      </c>
      <c r="G853" s="503" t="s">
        <v>9471</v>
      </c>
      <c r="H853" s="498">
        <f t="shared" si="113"/>
        <v>2</v>
      </c>
      <c r="I853" s="504" t="s">
        <v>9488</v>
      </c>
      <c r="J853" s="497" t="s">
        <v>2361</v>
      </c>
      <c r="K853" s="497" t="s">
        <v>1151</v>
      </c>
      <c r="L853" s="503" t="s">
        <v>1032</v>
      </c>
      <c r="M853" s="497" t="s">
        <v>8914</v>
      </c>
      <c r="N853" s="503"/>
      <c r="O853" s="497" t="s">
        <v>1070</v>
      </c>
      <c r="P853" s="503" t="s">
        <v>312</v>
      </c>
      <c r="Q853" s="503" t="s">
        <v>621</v>
      </c>
      <c r="R853" s="497" t="b">
        <v>1</v>
      </c>
      <c r="S853" s="503" t="s">
        <v>4034</v>
      </c>
      <c r="T853" s="503"/>
      <c r="U853" s="503" t="s">
        <v>9473</v>
      </c>
      <c r="V853" s="504" t="s">
        <v>9489</v>
      </c>
      <c r="W853" s="503" t="s">
        <v>2369</v>
      </c>
      <c r="X853" s="503" t="s">
        <v>2370</v>
      </c>
      <c r="Y853" s="497"/>
      <c r="Z853" s="497"/>
      <c r="AA853" s="503" t="s">
        <v>3137</v>
      </c>
      <c r="AB853" s="503" t="s">
        <v>3138</v>
      </c>
      <c r="AC853" s="497"/>
      <c r="AD853" s="497" t="s">
        <v>4033</v>
      </c>
      <c r="AE853" s="497"/>
      <c r="AF853" s="512">
        <v>10</v>
      </c>
      <c r="AG853" s="503" t="s">
        <v>3134</v>
      </c>
    </row>
    <row r="854" spans="1:33" ht="409.5" x14ac:dyDescent="0.35">
      <c r="A854" s="497" t="b">
        <v>1</v>
      </c>
      <c r="B854" s="498">
        <f t="shared" si="112"/>
        <v>7</v>
      </c>
      <c r="C854" s="497" t="s">
        <v>9490</v>
      </c>
      <c r="D854" s="500">
        <v>17.266299030507898</v>
      </c>
      <c r="E854" s="512">
        <v>44972</v>
      </c>
      <c r="F854" s="512">
        <v>7765</v>
      </c>
      <c r="G854" s="503" t="s">
        <v>9476</v>
      </c>
      <c r="H854" s="498">
        <f t="shared" si="113"/>
        <v>2</v>
      </c>
      <c r="I854" s="504" t="s">
        <v>9491</v>
      </c>
      <c r="J854" s="497" t="s">
        <v>2011</v>
      </c>
      <c r="K854" s="497" t="s">
        <v>1155</v>
      </c>
      <c r="L854" s="503" t="s">
        <v>1032</v>
      </c>
      <c r="M854" s="497" t="s">
        <v>8856</v>
      </c>
      <c r="N854" s="503"/>
      <c r="O854" s="497" t="s">
        <v>1070</v>
      </c>
      <c r="P854" s="503" t="s">
        <v>312</v>
      </c>
      <c r="Q854" s="503" t="s">
        <v>621</v>
      </c>
      <c r="R854" s="497" t="b">
        <v>1</v>
      </c>
      <c r="S854" s="503" t="s">
        <v>4032</v>
      </c>
      <c r="T854" s="503"/>
      <c r="U854" s="503" t="s">
        <v>9476</v>
      </c>
      <c r="V854" s="504" t="s">
        <v>9492</v>
      </c>
      <c r="W854" s="503" t="s">
        <v>2015</v>
      </c>
      <c r="X854" s="503" t="s">
        <v>2016</v>
      </c>
      <c r="Y854" s="497"/>
      <c r="Z854" s="497"/>
      <c r="AA854" s="503" t="s">
        <v>3019</v>
      </c>
      <c r="AB854" s="503" t="s">
        <v>3020</v>
      </c>
      <c r="AC854" s="497"/>
      <c r="AD854" s="497" t="s">
        <v>4031</v>
      </c>
      <c r="AE854" s="497"/>
      <c r="AF854" s="512">
        <v>11</v>
      </c>
      <c r="AG854" s="503" t="s">
        <v>3016</v>
      </c>
    </row>
    <row r="855" spans="1:33" x14ac:dyDescent="0.35">
      <c r="A855" s="497" t="b">
        <v>0</v>
      </c>
      <c r="B855" s="498">
        <f t="shared" si="112"/>
        <v>7</v>
      </c>
      <c r="C855" s="497" t="s">
        <v>9493</v>
      </c>
      <c r="D855" s="500"/>
      <c r="E855" s="512"/>
      <c r="F855" s="512"/>
      <c r="G855" s="503"/>
      <c r="H855" s="498">
        <f t="shared" si="113"/>
        <v>2</v>
      </c>
      <c r="I855" s="503"/>
      <c r="J855" s="497"/>
      <c r="K855" s="497" t="s">
        <v>1167</v>
      </c>
      <c r="L855" s="503"/>
      <c r="M855" s="497"/>
      <c r="N855" s="503"/>
      <c r="O855" s="497"/>
      <c r="P855" s="503"/>
      <c r="Q855" s="503"/>
      <c r="R855" s="497" t="b">
        <v>0</v>
      </c>
      <c r="S855" s="503"/>
      <c r="T855" s="503"/>
      <c r="U855" s="503"/>
      <c r="V855" s="503"/>
      <c r="W855" s="503"/>
      <c r="X855" s="503"/>
      <c r="Y855" s="497"/>
      <c r="Z855" s="497"/>
      <c r="AA855" s="503"/>
      <c r="AB855" s="503"/>
      <c r="AC855" s="497"/>
      <c r="AD855" s="497"/>
      <c r="AE855" s="497"/>
      <c r="AF855" s="512">
        <v>12</v>
      </c>
      <c r="AG855" s="503"/>
    </row>
    <row r="856" spans="1:33" ht="409.5" x14ac:dyDescent="0.35">
      <c r="A856" s="497" t="b">
        <v>1</v>
      </c>
      <c r="B856" s="498">
        <f t="shared" si="112"/>
        <v>7</v>
      </c>
      <c r="C856" s="497" t="s">
        <v>9494</v>
      </c>
      <c r="D856" s="500">
        <v>55.117814171123001</v>
      </c>
      <c r="E856" s="512">
        <v>23936</v>
      </c>
      <c r="F856" s="512">
        <v>13193</v>
      </c>
      <c r="G856" s="503" t="s">
        <v>9223</v>
      </c>
      <c r="H856" s="498">
        <f t="shared" si="113"/>
        <v>2</v>
      </c>
      <c r="I856" s="504" t="s">
        <v>9495</v>
      </c>
      <c r="J856" s="497" t="s">
        <v>2257</v>
      </c>
      <c r="K856" s="497" t="s">
        <v>1163</v>
      </c>
      <c r="L856" s="503" t="s">
        <v>1032</v>
      </c>
      <c r="M856" s="497" t="s">
        <v>8908</v>
      </c>
      <c r="N856" s="503"/>
      <c r="O856" s="497" t="s">
        <v>1070</v>
      </c>
      <c r="P856" s="503" t="s">
        <v>312</v>
      </c>
      <c r="Q856" s="503" t="s">
        <v>622</v>
      </c>
      <c r="R856" s="497" t="b">
        <v>1</v>
      </c>
      <c r="S856" s="503" t="s">
        <v>4030</v>
      </c>
      <c r="T856" s="503"/>
      <c r="U856" s="503" t="s">
        <v>9223</v>
      </c>
      <c r="V856" s="504" t="s">
        <v>9496</v>
      </c>
      <c r="W856" s="503" t="s">
        <v>2261</v>
      </c>
      <c r="X856" s="503" t="s">
        <v>2262</v>
      </c>
      <c r="Y856" s="497"/>
      <c r="Z856" s="497"/>
      <c r="AA856" s="503" t="s">
        <v>3151</v>
      </c>
      <c r="AB856" s="503" t="s">
        <v>3152</v>
      </c>
      <c r="AC856" s="497"/>
      <c r="AD856" s="497" t="s">
        <v>4029</v>
      </c>
      <c r="AE856" s="497"/>
      <c r="AF856" s="512">
        <v>13</v>
      </c>
      <c r="AG856" s="503" t="s">
        <v>3148</v>
      </c>
    </row>
    <row r="857" spans="1:33" x14ac:dyDescent="0.35">
      <c r="A857" s="497" t="b">
        <v>0</v>
      </c>
      <c r="B857" s="498">
        <f t="shared" si="112"/>
        <v>7</v>
      </c>
      <c r="C857" s="497" t="s">
        <v>9497</v>
      </c>
      <c r="D857" s="500"/>
      <c r="E857" s="512"/>
      <c r="F857" s="512"/>
      <c r="G857" s="503"/>
      <c r="H857" s="498">
        <f t="shared" si="113"/>
        <v>2</v>
      </c>
      <c r="I857" s="503"/>
      <c r="J857" s="497"/>
      <c r="K857" s="497" t="s">
        <v>1167</v>
      </c>
      <c r="L857" s="503"/>
      <c r="M857" s="497"/>
      <c r="N857" s="503"/>
      <c r="O857" s="497"/>
      <c r="P857" s="503"/>
      <c r="Q857" s="503"/>
      <c r="R857" s="497" t="b">
        <v>0</v>
      </c>
      <c r="S857" s="503"/>
      <c r="T857" s="503"/>
      <c r="U857" s="503"/>
      <c r="V857" s="503"/>
      <c r="W857" s="503"/>
      <c r="X857" s="503"/>
      <c r="Y857" s="497"/>
      <c r="Z857" s="497"/>
      <c r="AA857" s="503"/>
      <c r="AB857" s="503"/>
      <c r="AC857" s="497"/>
      <c r="AD857" s="497"/>
      <c r="AE857" s="497"/>
      <c r="AF857" s="512">
        <v>14</v>
      </c>
      <c r="AG857" s="503"/>
    </row>
    <row r="858" spans="1:33" ht="409.5" x14ac:dyDescent="0.35">
      <c r="A858" s="497" t="b">
        <v>1</v>
      </c>
      <c r="B858" s="498">
        <f t="shared" si="112"/>
        <v>7</v>
      </c>
      <c r="C858" s="497" t="s">
        <v>9498</v>
      </c>
      <c r="D858" s="500">
        <v>0</v>
      </c>
      <c r="E858" s="512">
        <v>0</v>
      </c>
      <c r="F858" s="512">
        <v>0</v>
      </c>
      <c r="G858" s="503"/>
      <c r="H858" s="498">
        <f t="shared" si="113"/>
        <v>2</v>
      </c>
      <c r="I858" s="504" t="s">
        <v>9499</v>
      </c>
      <c r="J858" s="497" t="s">
        <v>3180</v>
      </c>
      <c r="K858" s="497" t="s">
        <v>1155</v>
      </c>
      <c r="L858" s="503"/>
      <c r="M858" s="497" t="s">
        <v>8852</v>
      </c>
      <c r="N858" s="503"/>
      <c r="O858" s="497" t="s">
        <v>1070</v>
      </c>
      <c r="P858" s="503" t="s">
        <v>312</v>
      </c>
      <c r="Q858" s="503" t="s">
        <v>621</v>
      </c>
      <c r="R858" s="497" t="b">
        <v>1</v>
      </c>
      <c r="S858" s="503" t="s">
        <v>4030</v>
      </c>
      <c r="T858" s="503"/>
      <c r="U858" s="503"/>
      <c r="V858" s="504" t="s">
        <v>9500</v>
      </c>
      <c r="W858" s="503" t="s">
        <v>3183</v>
      </c>
      <c r="X858" s="503" t="s">
        <v>3184</v>
      </c>
      <c r="Y858" s="497"/>
      <c r="Z858" s="497"/>
      <c r="AA858" s="503" t="s">
        <v>3019</v>
      </c>
      <c r="AB858" s="503" t="s">
        <v>3020</v>
      </c>
      <c r="AC858" s="497"/>
      <c r="AD858" s="497" t="s">
        <v>4029</v>
      </c>
      <c r="AE858" s="497"/>
      <c r="AF858" s="512">
        <v>15</v>
      </c>
      <c r="AG858" s="503" t="s">
        <v>3016</v>
      </c>
    </row>
    <row r="859" spans="1:33" x14ac:dyDescent="0.35">
      <c r="A859" s="497" t="b">
        <v>0</v>
      </c>
      <c r="B859" s="498">
        <f t="shared" si="112"/>
        <v>7</v>
      </c>
      <c r="C859" s="497" t="s">
        <v>9501</v>
      </c>
      <c r="D859" s="500"/>
      <c r="E859" s="512"/>
      <c r="F859" s="512"/>
      <c r="G859" s="503"/>
      <c r="H859" s="498">
        <f t="shared" si="113"/>
        <v>2</v>
      </c>
      <c r="I859" s="503"/>
      <c r="J859" s="497"/>
      <c r="K859" s="497" t="s">
        <v>1167</v>
      </c>
      <c r="L859" s="503"/>
      <c r="M859" s="497"/>
      <c r="N859" s="503"/>
      <c r="O859" s="497"/>
      <c r="P859" s="503"/>
      <c r="Q859" s="503"/>
      <c r="R859" s="497" t="b">
        <v>0</v>
      </c>
      <c r="S859" s="503"/>
      <c r="T859" s="503"/>
      <c r="U859" s="503"/>
      <c r="V859" s="503"/>
      <c r="W859" s="503"/>
      <c r="X859" s="503"/>
      <c r="Y859" s="497"/>
      <c r="Z859" s="497"/>
      <c r="AA859" s="503"/>
      <c r="AB859" s="503"/>
      <c r="AC859" s="497"/>
      <c r="AD859" s="497"/>
      <c r="AE859" s="497"/>
      <c r="AF859" s="512">
        <v>16</v>
      </c>
      <c r="AG859" s="503"/>
    </row>
    <row r="860" spans="1:33" ht="409.5" x14ac:dyDescent="0.35">
      <c r="A860" s="497" t="b">
        <v>1</v>
      </c>
      <c r="B860" s="498">
        <f t="shared" si="112"/>
        <v>7</v>
      </c>
      <c r="C860" s="497" t="s">
        <v>9502</v>
      </c>
      <c r="D860" s="500">
        <v>0</v>
      </c>
      <c r="E860" s="512">
        <v>0</v>
      </c>
      <c r="F860" s="512">
        <v>0</v>
      </c>
      <c r="G860" s="503"/>
      <c r="H860" s="498">
        <f t="shared" si="113"/>
        <v>2</v>
      </c>
      <c r="I860" s="504" t="s">
        <v>9503</v>
      </c>
      <c r="J860" s="497" t="s">
        <v>3185</v>
      </c>
      <c r="K860" s="497" t="s">
        <v>1155</v>
      </c>
      <c r="L860" s="503"/>
      <c r="M860" s="497" t="s">
        <v>8854</v>
      </c>
      <c r="N860" s="503"/>
      <c r="O860" s="497" t="s">
        <v>1070</v>
      </c>
      <c r="P860" s="503" t="s">
        <v>312</v>
      </c>
      <c r="Q860" s="503" t="s">
        <v>621</v>
      </c>
      <c r="R860" s="497" t="b">
        <v>1</v>
      </c>
      <c r="S860" s="503" t="s">
        <v>4030</v>
      </c>
      <c r="T860" s="503"/>
      <c r="U860" s="503"/>
      <c r="V860" s="504" t="s">
        <v>9504</v>
      </c>
      <c r="W860" s="503" t="s">
        <v>3188</v>
      </c>
      <c r="X860" s="503" t="s">
        <v>3189</v>
      </c>
      <c r="Y860" s="497"/>
      <c r="Z860" s="497"/>
      <c r="AA860" s="503" t="s">
        <v>3019</v>
      </c>
      <c r="AB860" s="503" t="s">
        <v>3020</v>
      </c>
      <c r="AC860" s="497"/>
      <c r="AD860" s="497" t="s">
        <v>4029</v>
      </c>
      <c r="AE860" s="497"/>
      <c r="AF860" s="512">
        <v>17</v>
      </c>
      <c r="AG860" s="503" t="s">
        <v>3016</v>
      </c>
    </row>
    <row r="861" spans="1:33" x14ac:dyDescent="0.35">
      <c r="A861" s="497" t="b">
        <v>0</v>
      </c>
      <c r="B861" s="498">
        <f t="shared" si="112"/>
        <v>7</v>
      </c>
      <c r="C861" s="497" t="s">
        <v>9505</v>
      </c>
      <c r="D861" s="500"/>
      <c r="E861" s="512"/>
      <c r="F861" s="512"/>
      <c r="G861" s="503"/>
      <c r="H861" s="498">
        <f t="shared" si="113"/>
        <v>2</v>
      </c>
      <c r="I861" s="503"/>
      <c r="J861" s="497"/>
      <c r="K861" s="497" t="s">
        <v>1167</v>
      </c>
      <c r="L861" s="503"/>
      <c r="M861" s="497"/>
      <c r="N861" s="503"/>
      <c r="O861" s="497"/>
      <c r="P861" s="503"/>
      <c r="Q861" s="503"/>
      <c r="R861" s="497" t="b">
        <v>0</v>
      </c>
      <c r="S861" s="503"/>
      <c r="T861" s="503"/>
      <c r="U861" s="503"/>
      <c r="V861" s="503"/>
      <c r="W861" s="503"/>
      <c r="X861" s="503"/>
      <c r="Y861" s="497"/>
      <c r="Z861" s="497"/>
      <c r="AA861" s="503"/>
      <c r="AB861" s="503"/>
      <c r="AC861" s="497"/>
      <c r="AD861" s="497"/>
      <c r="AE861" s="497"/>
      <c r="AF861" s="512">
        <v>18</v>
      </c>
      <c r="AG861" s="503"/>
    </row>
    <row r="862" spans="1:33" x14ac:dyDescent="0.35">
      <c r="A862" s="497" t="b">
        <v>0</v>
      </c>
      <c r="B862" s="498">
        <f t="shared" si="112"/>
        <v>7</v>
      </c>
      <c r="C862" s="497" t="s">
        <v>9506</v>
      </c>
      <c r="D862" s="500"/>
      <c r="E862" s="512"/>
      <c r="F862" s="512"/>
      <c r="G862" s="503"/>
      <c r="H862" s="498">
        <f t="shared" si="113"/>
        <v>2</v>
      </c>
      <c r="I862" s="503"/>
      <c r="J862" s="497"/>
      <c r="K862" s="497" t="s">
        <v>1169</v>
      </c>
      <c r="L862" s="503"/>
      <c r="M862" s="497"/>
      <c r="N862" s="503"/>
      <c r="O862" s="497"/>
      <c r="P862" s="503"/>
      <c r="Q862" s="503"/>
      <c r="R862" s="497" t="b">
        <v>0</v>
      </c>
      <c r="S862" s="503"/>
      <c r="T862" s="503"/>
      <c r="U862" s="503"/>
      <c r="V862" s="503"/>
      <c r="W862" s="503"/>
      <c r="X862" s="503"/>
      <c r="Y862" s="497"/>
      <c r="Z862" s="497"/>
      <c r="AA862" s="503"/>
      <c r="AB862" s="503"/>
      <c r="AC862" s="497"/>
      <c r="AD862" s="497"/>
      <c r="AE862" s="497"/>
      <c r="AF862" s="512">
        <v>19</v>
      </c>
      <c r="AG862" s="503"/>
    </row>
    <row r="863" spans="1:33" x14ac:dyDescent="0.35">
      <c r="A863" s="497" t="b">
        <v>0</v>
      </c>
      <c r="B863" s="498">
        <f t="shared" si="112"/>
        <v>7</v>
      </c>
      <c r="C863" s="497" t="s">
        <v>9507</v>
      </c>
      <c r="D863" s="500"/>
      <c r="E863" s="512"/>
      <c r="F863" s="512"/>
      <c r="G863" s="503"/>
      <c r="H863" s="498">
        <f t="shared" si="113"/>
        <v>2</v>
      </c>
      <c r="I863" s="503"/>
      <c r="J863" s="497"/>
      <c r="K863" s="497" t="s">
        <v>1167</v>
      </c>
      <c r="L863" s="503"/>
      <c r="M863" s="497"/>
      <c r="N863" s="503"/>
      <c r="O863" s="497"/>
      <c r="P863" s="503"/>
      <c r="Q863" s="503"/>
      <c r="R863" s="497" t="b">
        <v>0</v>
      </c>
      <c r="S863" s="503"/>
      <c r="T863" s="503"/>
      <c r="U863" s="503"/>
      <c r="V863" s="503"/>
      <c r="W863" s="503"/>
      <c r="X863" s="503"/>
      <c r="Y863" s="497"/>
      <c r="Z863" s="497"/>
      <c r="AA863" s="503"/>
      <c r="AB863" s="503"/>
      <c r="AC863" s="497"/>
      <c r="AD863" s="497"/>
      <c r="AE863" s="497"/>
      <c r="AF863" s="512">
        <v>20</v>
      </c>
      <c r="AG863" s="503"/>
    </row>
    <row r="864" spans="1:33" x14ac:dyDescent="0.35">
      <c r="A864" s="497" t="b">
        <v>0</v>
      </c>
      <c r="B864" s="498">
        <f t="shared" si="112"/>
        <v>7</v>
      </c>
      <c r="C864" s="497" t="s">
        <v>9508</v>
      </c>
      <c r="D864" s="500"/>
      <c r="E864" s="512"/>
      <c r="F864" s="512"/>
      <c r="G864" s="503"/>
      <c r="H864" s="498">
        <f t="shared" si="113"/>
        <v>2</v>
      </c>
      <c r="I864" s="503"/>
      <c r="J864" s="497"/>
      <c r="K864" s="497" t="s">
        <v>1169</v>
      </c>
      <c r="L864" s="503"/>
      <c r="M864" s="497"/>
      <c r="N864" s="503"/>
      <c r="O864" s="497"/>
      <c r="P864" s="503"/>
      <c r="Q864" s="503"/>
      <c r="R864" s="497" t="b">
        <v>0</v>
      </c>
      <c r="S864" s="503"/>
      <c r="T864" s="503"/>
      <c r="U864" s="503"/>
      <c r="V864" s="503"/>
      <c r="W864" s="503"/>
      <c r="X864" s="503"/>
      <c r="Y864" s="497"/>
      <c r="Z864" s="497"/>
      <c r="AA864" s="503"/>
      <c r="AB864" s="503"/>
      <c r="AC864" s="497"/>
      <c r="AD864" s="497"/>
      <c r="AE864" s="497"/>
      <c r="AF864" s="512">
        <v>21</v>
      </c>
      <c r="AG864" s="503"/>
    </row>
    <row r="865" spans="1:33" x14ac:dyDescent="0.35">
      <c r="A865" s="497" t="b">
        <v>0</v>
      </c>
      <c r="B865" s="498">
        <f t="shared" si="112"/>
        <v>7</v>
      </c>
      <c r="C865" s="497" t="s">
        <v>9509</v>
      </c>
      <c r="D865" s="500"/>
      <c r="E865" s="512"/>
      <c r="F865" s="512"/>
      <c r="G865" s="503"/>
      <c r="H865" s="498">
        <f t="shared" si="113"/>
        <v>2</v>
      </c>
      <c r="I865" s="503"/>
      <c r="J865" s="497"/>
      <c r="K865" s="497" t="s">
        <v>1167</v>
      </c>
      <c r="L865" s="503"/>
      <c r="M865" s="497"/>
      <c r="N865" s="503"/>
      <c r="O865" s="497"/>
      <c r="P865" s="503"/>
      <c r="Q865" s="503"/>
      <c r="R865" s="497" t="b">
        <v>0</v>
      </c>
      <c r="S865" s="503"/>
      <c r="T865" s="503"/>
      <c r="U865" s="503"/>
      <c r="V865" s="503"/>
      <c r="W865" s="503"/>
      <c r="X865" s="503"/>
      <c r="Y865" s="497"/>
      <c r="Z865" s="497"/>
      <c r="AA865" s="503"/>
      <c r="AB865" s="503"/>
      <c r="AC865" s="497"/>
      <c r="AD865" s="497"/>
      <c r="AE865" s="497"/>
      <c r="AF865" s="512">
        <v>22</v>
      </c>
      <c r="AG865" s="503"/>
    </row>
    <row r="866" spans="1:33" x14ac:dyDescent="0.35">
      <c r="A866" s="497" t="b">
        <v>0</v>
      </c>
      <c r="B866" s="498">
        <f t="shared" si="112"/>
        <v>7</v>
      </c>
      <c r="C866" s="497" t="s">
        <v>9510</v>
      </c>
      <c r="D866" s="500"/>
      <c r="E866" s="512"/>
      <c r="F866" s="512"/>
      <c r="G866" s="503"/>
      <c r="H866" s="498">
        <f t="shared" si="113"/>
        <v>2</v>
      </c>
      <c r="I866" s="503"/>
      <c r="J866" s="497"/>
      <c r="K866" s="497" t="s">
        <v>1169</v>
      </c>
      <c r="L866" s="503"/>
      <c r="M866" s="497"/>
      <c r="N866" s="503"/>
      <c r="O866" s="497"/>
      <c r="P866" s="503"/>
      <c r="Q866" s="503"/>
      <c r="R866" s="497" t="b">
        <v>0</v>
      </c>
      <c r="S866" s="503"/>
      <c r="T866" s="503"/>
      <c r="U866" s="503"/>
      <c r="V866" s="503"/>
      <c r="W866" s="503"/>
      <c r="X866" s="503"/>
      <c r="Y866" s="497"/>
      <c r="Z866" s="497"/>
      <c r="AA866" s="503"/>
      <c r="AB866" s="503"/>
      <c r="AC866" s="497"/>
      <c r="AD866" s="497"/>
      <c r="AE866" s="497"/>
      <c r="AF866" s="512">
        <v>23</v>
      </c>
      <c r="AG866" s="503"/>
    </row>
    <row r="867" spans="1:33" x14ac:dyDescent="0.35">
      <c r="A867" s="497" t="b">
        <v>0</v>
      </c>
      <c r="B867" s="498">
        <f t="shared" si="112"/>
        <v>7</v>
      </c>
      <c r="C867" s="497" t="s">
        <v>9511</v>
      </c>
      <c r="D867" s="500"/>
      <c r="E867" s="512"/>
      <c r="F867" s="512"/>
      <c r="G867" s="503"/>
      <c r="H867" s="498">
        <f t="shared" si="113"/>
        <v>2</v>
      </c>
      <c r="I867" s="503"/>
      <c r="J867" s="497"/>
      <c r="K867" s="497" t="s">
        <v>1167</v>
      </c>
      <c r="L867" s="503"/>
      <c r="M867" s="497"/>
      <c r="N867" s="503"/>
      <c r="O867" s="497"/>
      <c r="P867" s="503"/>
      <c r="Q867" s="503"/>
      <c r="R867" s="497" t="b">
        <v>0</v>
      </c>
      <c r="S867" s="503"/>
      <c r="T867" s="503"/>
      <c r="U867" s="503"/>
      <c r="V867" s="503"/>
      <c r="W867" s="503"/>
      <c r="X867" s="503"/>
      <c r="Y867" s="497"/>
      <c r="Z867" s="497"/>
      <c r="AA867" s="503"/>
      <c r="AB867" s="503"/>
      <c r="AC867" s="497"/>
      <c r="AD867" s="497"/>
      <c r="AE867" s="497"/>
      <c r="AF867" s="512">
        <v>24</v>
      </c>
      <c r="AG867" s="503"/>
    </row>
    <row r="868" spans="1:33" x14ac:dyDescent="0.35">
      <c r="A868" s="497" t="b">
        <v>0</v>
      </c>
      <c r="B868" s="498">
        <f t="shared" si="112"/>
        <v>7</v>
      </c>
      <c r="C868" s="497" t="s">
        <v>9512</v>
      </c>
      <c r="D868" s="500"/>
      <c r="E868" s="512"/>
      <c r="F868" s="512"/>
      <c r="G868" s="503"/>
      <c r="H868" s="498">
        <f t="shared" si="113"/>
        <v>2</v>
      </c>
      <c r="I868" s="503"/>
      <c r="J868" s="497"/>
      <c r="K868" s="497" t="s">
        <v>1169</v>
      </c>
      <c r="L868" s="503"/>
      <c r="M868" s="497"/>
      <c r="N868" s="503"/>
      <c r="O868" s="497"/>
      <c r="P868" s="503"/>
      <c r="Q868" s="503"/>
      <c r="R868" s="497" t="b">
        <v>0</v>
      </c>
      <c r="S868" s="503"/>
      <c r="T868" s="503"/>
      <c r="U868" s="503"/>
      <c r="V868" s="503"/>
      <c r="W868" s="503"/>
      <c r="X868" s="503"/>
      <c r="Y868" s="497"/>
      <c r="Z868" s="497"/>
      <c r="AA868" s="503"/>
      <c r="AB868" s="503"/>
      <c r="AC868" s="497"/>
      <c r="AD868" s="497"/>
      <c r="AE868" s="497"/>
      <c r="AF868" s="512">
        <v>25</v>
      </c>
      <c r="AG868" s="503"/>
    </row>
    <row r="869" spans="1:33" x14ac:dyDescent="0.35">
      <c r="A869" s="497" t="b">
        <v>0</v>
      </c>
      <c r="B869" s="498">
        <f t="shared" si="112"/>
        <v>7</v>
      </c>
      <c r="C869" s="497" t="s">
        <v>9513</v>
      </c>
      <c r="D869" s="500"/>
      <c r="E869" s="512"/>
      <c r="F869" s="512"/>
      <c r="G869" s="503"/>
      <c r="H869" s="498">
        <f t="shared" si="113"/>
        <v>2</v>
      </c>
      <c r="I869" s="503"/>
      <c r="J869" s="497"/>
      <c r="K869" s="497" t="s">
        <v>1167</v>
      </c>
      <c r="L869" s="503"/>
      <c r="M869" s="497"/>
      <c r="N869" s="503"/>
      <c r="O869" s="497"/>
      <c r="P869" s="503"/>
      <c r="Q869" s="503"/>
      <c r="R869" s="497" t="b">
        <v>0</v>
      </c>
      <c r="S869" s="503"/>
      <c r="T869" s="503"/>
      <c r="U869" s="503"/>
      <c r="V869" s="503"/>
      <c r="W869" s="503"/>
      <c r="X869" s="503"/>
      <c r="Y869" s="497"/>
      <c r="Z869" s="497"/>
      <c r="AA869" s="503"/>
      <c r="AB869" s="503"/>
      <c r="AC869" s="497"/>
      <c r="AD869" s="497"/>
      <c r="AE869" s="497"/>
      <c r="AF869" s="512">
        <v>26</v>
      </c>
      <c r="AG869" s="503"/>
    </row>
    <row r="870" spans="1:33" x14ac:dyDescent="0.35">
      <c r="A870" s="497" t="b">
        <v>0</v>
      </c>
      <c r="B870" s="498">
        <f t="shared" si="112"/>
        <v>7</v>
      </c>
      <c r="C870" s="497" t="s">
        <v>9514</v>
      </c>
      <c r="D870" s="500"/>
      <c r="E870" s="512"/>
      <c r="F870" s="512"/>
      <c r="G870" s="503"/>
      <c r="H870" s="498">
        <f t="shared" si="113"/>
        <v>2</v>
      </c>
      <c r="I870" s="503"/>
      <c r="J870" s="497"/>
      <c r="K870" s="497" t="s">
        <v>1169</v>
      </c>
      <c r="L870" s="503"/>
      <c r="M870" s="497"/>
      <c r="N870" s="503"/>
      <c r="O870" s="497"/>
      <c r="P870" s="503"/>
      <c r="Q870" s="503"/>
      <c r="R870" s="497" t="b">
        <v>0</v>
      </c>
      <c r="S870" s="503"/>
      <c r="T870" s="503"/>
      <c r="U870" s="503"/>
      <c r="V870" s="503"/>
      <c r="W870" s="503"/>
      <c r="X870" s="503"/>
      <c r="Y870" s="497"/>
      <c r="Z870" s="497"/>
      <c r="AA870" s="503"/>
      <c r="AB870" s="503"/>
      <c r="AC870" s="497"/>
      <c r="AD870" s="497"/>
      <c r="AE870" s="497"/>
      <c r="AF870" s="512">
        <v>27</v>
      </c>
      <c r="AG870" s="503"/>
    </row>
    <row r="871" spans="1:33" x14ac:dyDescent="0.35">
      <c r="A871" s="497" t="b">
        <v>0</v>
      </c>
      <c r="B871" s="498">
        <f t="shared" si="112"/>
        <v>7</v>
      </c>
      <c r="C871" s="497" t="s">
        <v>9515</v>
      </c>
      <c r="D871" s="500"/>
      <c r="E871" s="512"/>
      <c r="F871" s="512"/>
      <c r="G871" s="503"/>
      <c r="H871" s="498">
        <f t="shared" si="113"/>
        <v>2</v>
      </c>
      <c r="I871" s="503"/>
      <c r="J871" s="497"/>
      <c r="K871" s="497" t="s">
        <v>1167</v>
      </c>
      <c r="L871" s="503"/>
      <c r="M871" s="497"/>
      <c r="N871" s="503"/>
      <c r="O871" s="497"/>
      <c r="P871" s="503"/>
      <c r="Q871" s="503"/>
      <c r="R871" s="497" t="b">
        <v>0</v>
      </c>
      <c r="S871" s="503"/>
      <c r="T871" s="503"/>
      <c r="U871" s="503"/>
      <c r="V871" s="503"/>
      <c r="W871" s="503"/>
      <c r="X871" s="503"/>
      <c r="Y871" s="497"/>
      <c r="Z871" s="497"/>
      <c r="AA871" s="503"/>
      <c r="AB871" s="503"/>
      <c r="AC871" s="497"/>
      <c r="AD871" s="497"/>
      <c r="AE871" s="497"/>
      <c r="AF871" s="512">
        <v>28</v>
      </c>
      <c r="AG871" s="503"/>
    </row>
    <row r="872" spans="1:33" x14ac:dyDescent="0.35">
      <c r="A872" s="497" t="b">
        <v>0</v>
      </c>
      <c r="B872" s="498">
        <f t="shared" si="112"/>
        <v>7</v>
      </c>
      <c r="C872" s="497" t="s">
        <v>9516</v>
      </c>
      <c r="D872" s="500"/>
      <c r="E872" s="512"/>
      <c r="F872" s="512"/>
      <c r="G872" s="503"/>
      <c r="H872" s="498">
        <f t="shared" si="113"/>
        <v>2</v>
      </c>
      <c r="I872" s="503"/>
      <c r="J872" s="497"/>
      <c r="K872" s="497" t="s">
        <v>1169</v>
      </c>
      <c r="L872" s="503"/>
      <c r="M872" s="497"/>
      <c r="N872" s="503"/>
      <c r="O872" s="497"/>
      <c r="P872" s="503"/>
      <c r="Q872" s="503"/>
      <c r="R872" s="497" t="b">
        <v>0</v>
      </c>
      <c r="S872" s="503"/>
      <c r="T872" s="503"/>
      <c r="U872" s="503"/>
      <c r="V872" s="503"/>
      <c r="W872" s="503"/>
      <c r="X872" s="503"/>
      <c r="Y872" s="497"/>
      <c r="Z872" s="497"/>
      <c r="AA872" s="503"/>
      <c r="AB872" s="503"/>
      <c r="AC872" s="497"/>
      <c r="AD872" s="497"/>
      <c r="AE872" s="497"/>
      <c r="AF872" s="512">
        <v>29</v>
      </c>
      <c r="AG872" s="503"/>
    </row>
    <row r="873" spans="1:33" x14ac:dyDescent="0.35">
      <c r="A873" s="497" t="b">
        <v>0</v>
      </c>
      <c r="B873" s="498">
        <f t="shared" si="112"/>
        <v>7</v>
      </c>
      <c r="C873" s="497" t="s">
        <v>9517</v>
      </c>
      <c r="D873" s="500"/>
      <c r="E873" s="512"/>
      <c r="F873" s="512"/>
      <c r="G873" s="503"/>
      <c r="H873" s="498">
        <f t="shared" si="113"/>
        <v>2</v>
      </c>
      <c r="I873" s="503"/>
      <c r="J873" s="497"/>
      <c r="K873" s="497" t="s">
        <v>1167</v>
      </c>
      <c r="L873" s="503"/>
      <c r="M873" s="497"/>
      <c r="N873" s="503"/>
      <c r="O873" s="497"/>
      <c r="P873" s="503"/>
      <c r="Q873" s="503"/>
      <c r="R873" s="497" t="b">
        <v>0</v>
      </c>
      <c r="S873" s="503"/>
      <c r="T873" s="503"/>
      <c r="U873" s="503"/>
      <c r="V873" s="503"/>
      <c r="W873" s="503"/>
      <c r="X873" s="503"/>
      <c r="Y873" s="497"/>
      <c r="Z873" s="497"/>
      <c r="AA873" s="503"/>
      <c r="AB873" s="503"/>
      <c r="AC873" s="497"/>
      <c r="AD873" s="497"/>
      <c r="AE873" s="497"/>
      <c r="AF873" s="512">
        <v>30</v>
      </c>
      <c r="AG873" s="503"/>
    </row>
    <row r="874" spans="1:33" x14ac:dyDescent="0.35">
      <c r="A874" s="497" t="b">
        <v>0</v>
      </c>
      <c r="B874" s="498">
        <f t="shared" si="112"/>
        <v>7</v>
      </c>
      <c r="C874" s="497" t="s">
        <v>9518</v>
      </c>
      <c r="D874" s="500"/>
      <c r="E874" s="512"/>
      <c r="F874" s="512"/>
      <c r="G874" s="503"/>
      <c r="H874" s="498">
        <f t="shared" si="113"/>
        <v>2</v>
      </c>
      <c r="I874" s="503"/>
      <c r="J874" s="497"/>
      <c r="K874" s="497" t="s">
        <v>1169</v>
      </c>
      <c r="L874" s="503"/>
      <c r="M874" s="497"/>
      <c r="N874" s="503"/>
      <c r="O874" s="497"/>
      <c r="P874" s="503"/>
      <c r="Q874" s="503"/>
      <c r="R874" s="497" t="b">
        <v>0</v>
      </c>
      <c r="S874" s="503"/>
      <c r="T874" s="503"/>
      <c r="U874" s="503"/>
      <c r="V874" s="503"/>
      <c r="W874" s="503"/>
      <c r="X874" s="503"/>
      <c r="Y874" s="497"/>
      <c r="Z874" s="497"/>
      <c r="AA874" s="503"/>
      <c r="AB874" s="503"/>
      <c r="AC874" s="497"/>
      <c r="AD874" s="497"/>
      <c r="AE874" s="497"/>
      <c r="AF874" s="512">
        <v>31</v>
      </c>
      <c r="AG874" s="503"/>
    </row>
    <row r="875" spans="1:33" x14ac:dyDescent="0.35">
      <c r="A875" s="497" t="b">
        <v>0</v>
      </c>
      <c r="B875" s="498">
        <f t="shared" si="112"/>
        <v>7</v>
      </c>
      <c r="C875" s="497" t="s">
        <v>9519</v>
      </c>
      <c r="D875" s="500"/>
      <c r="E875" s="512"/>
      <c r="F875" s="512"/>
      <c r="G875" s="503"/>
      <c r="H875" s="498">
        <f t="shared" si="113"/>
        <v>2</v>
      </c>
      <c r="I875" s="503"/>
      <c r="J875" s="497"/>
      <c r="K875" s="497" t="s">
        <v>1167</v>
      </c>
      <c r="L875" s="503"/>
      <c r="M875" s="497"/>
      <c r="N875" s="503"/>
      <c r="O875" s="497"/>
      <c r="P875" s="503"/>
      <c r="Q875" s="503"/>
      <c r="R875" s="497" t="b">
        <v>0</v>
      </c>
      <c r="S875" s="503"/>
      <c r="T875" s="503"/>
      <c r="U875" s="503"/>
      <c r="V875" s="503"/>
      <c r="W875" s="503"/>
      <c r="X875" s="503"/>
      <c r="Y875" s="497"/>
      <c r="Z875" s="497"/>
      <c r="AA875" s="503"/>
      <c r="AB875" s="503"/>
      <c r="AC875" s="497"/>
      <c r="AD875" s="497"/>
      <c r="AE875" s="497"/>
      <c r="AF875" s="512">
        <v>32</v>
      </c>
      <c r="AG875" s="503"/>
    </row>
    <row r="876" spans="1:33" x14ac:dyDescent="0.35">
      <c r="A876" s="497" t="b">
        <v>0</v>
      </c>
      <c r="B876" s="498">
        <f t="shared" si="112"/>
        <v>7</v>
      </c>
      <c r="C876" s="497" t="s">
        <v>9520</v>
      </c>
      <c r="D876" s="500"/>
      <c r="E876" s="512"/>
      <c r="F876" s="512"/>
      <c r="G876" s="503"/>
      <c r="H876" s="498">
        <f t="shared" si="113"/>
        <v>2</v>
      </c>
      <c r="I876" s="503"/>
      <c r="J876" s="497"/>
      <c r="K876" s="497" t="s">
        <v>1169</v>
      </c>
      <c r="L876" s="503"/>
      <c r="M876" s="497"/>
      <c r="N876" s="503"/>
      <c r="O876" s="497"/>
      <c r="P876" s="503"/>
      <c r="Q876" s="503"/>
      <c r="R876" s="497" t="b">
        <v>0</v>
      </c>
      <c r="S876" s="503"/>
      <c r="T876" s="503"/>
      <c r="U876" s="503"/>
      <c r="V876" s="503"/>
      <c r="W876" s="503"/>
      <c r="X876" s="503"/>
      <c r="Y876" s="497"/>
      <c r="Z876" s="497"/>
      <c r="AA876" s="503"/>
      <c r="AB876" s="503"/>
      <c r="AC876" s="497"/>
      <c r="AD876" s="497"/>
      <c r="AE876" s="497"/>
      <c r="AF876" s="512">
        <v>33</v>
      </c>
      <c r="AG876" s="503"/>
    </row>
    <row r="877" spans="1:33" x14ac:dyDescent="0.35">
      <c r="A877" s="497" t="b">
        <v>0</v>
      </c>
      <c r="B877" s="498">
        <f t="shared" si="112"/>
        <v>7</v>
      </c>
      <c r="C877" s="497" t="s">
        <v>9521</v>
      </c>
      <c r="D877" s="500"/>
      <c r="E877" s="512"/>
      <c r="F877" s="512"/>
      <c r="G877" s="503"/>
      <c r="H877" s="498">
        <f t="shared" si="113"/>
        <v>2</v>
      </c>
      <c r="I877" s="503"/>
      <c r="J877" s="497"/>
      <c r="K877" s="497" t="s">
        <v>1167</v>
      </c>
      <c r="L877" s="503"/>
      <c r="M877" s="497"/>
      <c r="N877" s="503"/>
      <c r="O877" s="497"/>
      <c r="P877" s="503"/>
      <c r="Q877" s="503"/>
      <c r="R877" s="497" t="b">
        <v>0</v>
      </c>
      <c r="S877" s="503"/>
      <c r="T877" s="503"/>
      <c r="U877" s="503"/>
      <c r="V877" s="503"/>
      <c r="W877" s="503"/>
      <c r="X877" s="503"/>
      <c r="Y877" s="497"/>
      <c r="Z877" s="497"/>
      <c r="AA877" s="503"/>
      <c r="AB877" s="503"/>
      <c r="AC877" s="497"/>
      <c r="AD877" s="497"/>
      <c r="AE877" s="497"/>
      <c r="AF877" s="512">
        <v>34</v>
      </c>
      <c r="AG877" s="503"/>
    </row>
    <row r="878" spans="1:33" x14ac:dyDescent="0.35">
      <c r="A878" s="497" t="b">
        <v>0</v>
      </c>
      <c r="B878" s="498">
        <f t="shared" si="112"/>
        <v>7</v>
      </c>
      <c r="C878" s="497" t="s">
        <v>9522</v>
      </c>
      <c r="D878" s="500"/>
      <c r="E878" s="512"/>
      <c r="F878" s="512"/>
      <c r="G878" s="503"/>
      <c r="H878" s="498">
        <f t="shared" si="113"/>
        <v>2</v>
      </c>
      <c r="I878" s="503"/>
      <c r="J878" s="497"/>
      <c r="K878" s="497" t="s">
        <v>1169</v>
      </c>
      <c r="L878" s="503"/>
      <c r="M878" s="497"/>
      <c r="N878" s="503"/>
      <c r="O878" s="497"/>
      <c r="P878" s="503"/>
      <c r="Q878" s="503"/>
      <c r="R878" s="497" t="b">
        <v>0</v>
      </c>
      <c r="S878" s="503"/>
      <c r="T878" s="503"/>
      <c r="U878" s="503"/>
      <c r="V878" s="503"/>
      <c r="W878" s="503"/>
      <c r="X878" s="503"/>
      <c r="Y878" s="497"/>
      <c r="Z878" s="497"/>
      <c r="AA878" s="503"/>
      <c r="AB878" s="503"/>
      <c r="AC878" s="497"/>
      <c r="AD878" s="497"/>
      <c r="AE878" s="497"/>
      <c r="AF878" s="512">
        <v>35</v>
      </c>
      <c r="AG878" s="503"/>
    </row>
    <row r="879" spans="1:33" x14ac:dyDescent="0.35">
      <c r="A879" s="497" t="b">
        <v>0</v>
      </c>
      <c r="B879" s="498">
        <f t="shared" si="112"/>
        <v>7</v>
      </c>
      <c r="C879" s="497" t="s">
        <v>9523</v>
      </c>
      <c r="D879" s="500"/>
      <c r="E879" s="512"/>
      <c r="F879" s="512"/>
      <c r="G879" s="503"/>
      <c r="H879" s="498">
        <f t="shared" si="113"/>
        <v>2</v>
      </c>
      <c r="I879" s="503"/>
      <c r="J879" s="497"/>
      <c r="K879" s="497" t="s">
        <v>1167</v>
      </c>
      <c r="L879" s="503"/>
      <c r="M879" s="497"/>
      <c r="N879" s="503"/>
      <c r="O879" s="497"/>
      <c r="P879" s="503"/>
      <c r="Q879" s="503"/>
      <c r="R879" s="497" t="b">
        <v>0</v>
      </c>
      <c r="S879" s="503"/>
      <c r="T879" s="503"/>
      <c r="U879" s="503"/>
      <c r="V879" s="503"/>
      <c r="W879" s="503"/>
      <c r="X879" s="503"/>
      <c r="Y879" s="497"/>
      <c r="Z879" s="497"/>
      <c r="AA879" s="503"/>
      <c r="AB879" s="503"/>
      <c r="AC879" s="497"/>
      <c r="AD879" s="497"/>
      <c r="AE879" s="497"/>
      <c r="AF879" s="512">
        <v>36</v>
      </c>
      <c r="AG879" s="503"/>
    </row>
    <row r="880" spans="1:33" x14ac:dyDescent="0.35">
      <c r="A880" s="497" t="b">
        <v>0</v>
      </c>
      <c r="B880" s="498">
        <f t="shared" si="112"/>
        <v>7</v>
      </c>
      <c r="C880" s="497" t="s">
        <v>9524</v>
      </c>
      <c r="D880" s="500"/>
      <c r="E880" s="512"/>
      <c r="F880" s="512"/>
      <c r="G880" s="503"/>
      <c r="H880" s="498">
        <f t="shared" si="113"/>
        <v>2</v>
      </c>
      <c r="I880" s="503"/>
      <c r="J880" s="497"/>
      <c r="K880" s="497" t="s">
        <v>1169</v>
      </c>
      <c r="L880" s="503"/>
      <c r="M880" s="497"/>
      <c r="N880" s="503"/>
      <c r="O880" s="497"/>
      <c r="P880" s="503"/>
      <c r="Q880" s="503"/>
      <c r="R880" s="497" t="b">
        <v>0</v>
      </c>
      <c r="S880" s="503"/>
      <c r="T880" s="503"/>
      <c r="U880" s="503"/>
      <c r="V880" s="503"/>
      <c r="W880" s="503"/>
      <c r="X880" s="503"/>
      <c r="Y880" s="497"/>
      <c r="Z880" s="497"/>
      <c r="AA880" s="503"/>
      <c r="AB880" s="503"/>
      <c r="AC880" s="497"/>
      <c r="AD880" s="497"/>
      <c r="AE880" s="497"/>
      <c r="AF880" s="512">
        <v>37</v>
      </c>
      <c r="AG880" s="503"/>
    </row>
    <row r="881" spans="1:33" x14ac:dyDescent="0.35">
      <c r="A881" s="497" t="b">
        <v>0</v>
      </c>
      <c r="B881" s="498">
        <f t="shared" si="112"/>
        <v>7</v>
      </c>
      <c r="C881" s="497" t="s">
        <v>9525</v>
      </c>
      <c r="D881" s="500"/>
      <c r="E881" s="512"/>
      <c r="F881" s="512"/>
      <c r="G881" s="503"/>
      <c r="H881" s="498">
        <f t="shared" si="113"/>
        <v>2</v>
      </c>
      <c r="I881" s="503"/>
      <c r="J881" s="497"/>
      <c r="K881" s="497" t="s">
        <v>1167</v>
      </c>
      <c r="L881" s="503"/>
      <c r="M881" s="497"/>
      <c r="N881" s="503"/>
      <c r="O881" s="497"/>
      <c r="P881" s="503"/>
      <c r="Q881" s="503"/>
      <c r="R881" s="497" t="b">
        <v>0</v>
      </c>
      <c r="S881" s="503"/>
      <c r="T881" s="503"/>
      <c r="U881" s="503"/>
      <c r="V881" s="503"/>
      <c r="W881" s="503"/>
      <c r="X881" s="503"/>
      <c r="Y881" s="497"/>
      <c r="Z881" s="497"/>
      <c r="AA881" s="503"/>
      <c r="AB881" s="503"/>
      <c r="AC881" s="497"/>
      <c r="AD881" s="497"/>
      <c r="AE881" s="497"/>
      <c r="AF881" s="512">
        <v>38</v>
      </c>
      <c r="AG881" s="503"/>
    </row>
    <row r="882" spans="1:33" x14ac:dyDescent="0.35">
      <c r="A882" s="497" t="b">
        <v>0</v>
      </c>
      <c r="B882" s="498">
        <f t="shared" si="112"/>
        <v>7</v>
      </c>
      <c r="C882" s="497" t="s">
        <v>9526</v>
      </c>
      <c r="D882" s="500"/>
      <c r="E882" s="512"/>
      <c r="F882" s="512"/>
      <c r="G882" s="503"/>
      <c r="H882" s="498">
        <f t="shared" si="113"/>
        <v>2</v>
      </c>
      <c r="I882" s="503"/>
      <c r="J882" s="497"/>
      <c r="K882" s="497" t="s">
        <v>1169</v>
      </c>
      <c r="L882" s="503"/>
      <c r="M882" s="497"/>
      <c r="N882" s="503"/>
      <c r="O882" s="497"/>
      <c r="P882" s="503"/>
      <c r="Q882" s="503"/>
      <c r="R882" s="497" t="b">
        <v>0</v>
      </c>
      <c r="S882" s="503"/>
      <c r="T882" s="503"/>
      <c r="U882" s="503"/>
      <c r="V882" s="503"/>
      <c r="W882" s="503"/>
      <c r="X882" s="503"/>
      <c r="Y882" s="497"/>
      <c r="Z882" s="497"/>
      <c r="AA882" s="503"/>
      <c r="AB882" s="503"/>
      <c r="AC882" s="497"/>
      <c r="AD882" s="497"/>
      <c r="AE882" s="497"/>
      <c r="AF882" s="512">
        <v>39</v>
      </c>
      <c r="AG882" s="503"/>
    </row>
    <row r="883" spans="1:33" x14ac:dyDescent="0.35">
      <c r="A883" s="497" t="b">
        <v>0</v>
      </c>
      <c r="B883" s="498">
        <f t="shared" si="112"/>
        <v>7</v>
      </c>
      <c r="C883" s="497" t="s">
        <v>9527</v>
      </c>
      <c r="D883" s="500"/>
      <c r="E883" s="512"/>
      <c r="F883" s="512"/>
      <c r="G883" s="503"/>
      <c r="H883" s="498">
        <f t="shared" si="113"/>
        <v>2</v>
      </c>
      <c r="I883" s="503"/>
      <c r="J883" s="497"/>
      <c r="K883" s="497" t="s">
        <v>1167</v>
      </c>
      <c r="L883" s="503"/>
      <c r="M883" s="497"/>
      <c r="N883" s="503"/>
      <c r="O883" s="497"/>
      <c r="P883" s="503"/>
      <c r="Q883" s="503"/>
      <c r="R883" s="497" t="b">
        <v>0</v>
      </c>
      <c r="S883" s="503"/>
      <c r="T883" s="503"/>
      <c r="U883" s="503"/>
      <c r="V883" s="503"/>
      <c r="W883" s="503"/>
      <c r="X883" s="503"/>
      <c r="Y883" s="497"/>
      <c r="Z883" s="497"/>
      <c r="AA883" s="503"/>
      <c r="AB883" s="503"/>
      <c r="AC883" s="497"/>
      <c r="AD883" s="497"/>
      <c r="AE883" s="497"/>
      <c r="AF883" s="512">
        <v>40</v>
      </c>
      <c r="AG883" s="503"/>
    </row>
    <row r="884" spans="1:33" x14ac:dyDescent="0.35">
      <c r="A884" s="497" t="b">
        <v>0</v>
      </c>
      <c r="B884" s="498">
        <f t="shared" si="112"/>
        <v>7</v>
      </c>
      <c r="C884" s="497" t="s">
        <v>9528</v>
      </c>
      <c r="D884" s="500"/>
      <c r="E884" s="512"/>
      <c r="F884" s="512"/>
      <c r="G884" s="503"/>
      <c r="H884" s="498">
        <f t="shared" si="113"/>
        <v>2</v>
      </c>
      <c r="I884" s="503"/>
      <c r="J884" s="497"/>
      <c r="K884" s="497" t="s">
        <v>1169</v>
      </c>
      <c r="L884" s="503"/>
      <c r="M884" s="497"/>
      <c r="N884" s="503"/>
      <c r="O884" s="497"/>
      <c r="P884" s="503"/>
      <c r="Q884" s="503"/>
      <c r="R884" s="497" t="b">
        <v>0</v>
      </c>
      <c r="S884" s="503"/>
      <c r="T884" s="503"/>
      <c r="U884" s="503"/>
      <c r="V884" s="503"/>
      <c r="W884" s="503"/>
      <c r="X884" s="503"/>
      <c r="Y884" s="497"/>
      <c r="Z884" s="497"/>
      <c r="AA884" s="503"/>
      <c r="AB884" s="503"/>
      <c r="AC884" s="497"/>
      <c r="AD884" s="497"/>
      <c r="AE884" s="497"/>
      <c r="AF884" s="512">
        <v>41</v>
      </c>
      <c r="AG884" s="503"/>
    </row>
    <row r="885" spans="1:33" x14ac:dyDescent="0.35">
      <c r="A885" s="497" t="b">
        <v>0</v>
      </c>
      <c r="B885" s="498">
        <f t="shared" si="112"/>
        <v>7</v>
      </c>
      <c r="C885" s="497" t="s">
        <v>9529</v>
      </c>
      <c r="D885" s="500"/>
      <c r="E885" s="512"/>
      <c r="F885" s="512"/>
      <c r="G885" s="503"/>
      <c r="H885" s="498">
        <f t="shared" si="113"/>
        <v>2</v>
      </c>
      <c r="I885" s="503"/>
      <c r="J885" s="497"/>
      <c r="K885" s="497" t="s">
        <v>1167</v>
      </c>
      <c r="L885" s="503"/>
      <c r="M885" s="497"/>
      <c r="N885" s="503"/>
      <c r="O885" s="497"/>
      <c r="P885" s="503"/>
      <c r="Q885" s="503"/>
      <c r="R885" s="497" t="b">
        <v>0</v>
      </c>
      <c r="S885" s="503"/>
      <c r="T885" s="503"/>
      <c r="U885" s="503"/>
      <c r="V885" s="503"/>
      <c r="W885" s="503"/>
      <c r="X885" s="503"/>
      <c r="Y885" s="497"/>
      <c r="Z885" s="497"/>
      <c r="AA885" s="503"/>
      <c r="AB885" s="503"/>
      <c r="AC885" s="497"/>
      <c r="AD885" s="497"/>
      <c r="AE885" s="497"/>
      <c r="AF885" s="512">
        <v>42</v>
      </c>
      <c r="AG885" s="503"/>
    </row>
    <row r="886" spans="1:33" x14ac:dyDescent="0.35">
      <c r="A886" s="497" t="b">
        <v>0</v>
      </c>
      <c r="B886" s="498">
        <f t="shared" si="112"/>
        <v>7</v>
      </c>
      <c r="C886" s="497" t="s">
        <v>9530</v>
      </c>
      <c r="D886" s="500"/>
      <c r="E886" s="512"/>
      <c r="F886" s="512"/>
      <c r="G886" s="503"/>
      <c r="H886" s="498">
        <f t="shared" si="113"/>
        <v>2</v>
      </c>
      <c r="I886" s="503"/>
      <c r="J886" s="497"/>
      <c r="K886" s="497" t="s">
        <v>1169</v>
      </c>
      <c r="L886" s="503"/>
      <c r="M886" s="497"/>
      <c r="N886" s="503"/>
      <c r="O886" s="497"/>
      <c r="P886" s="503"/>
      <c r="Q886" s="503"/>
      <c r="R886" s="497" t="b">
        <v>0</v>
      </c>
      <c r="S886" s="503"/>
      <c r="T886" s="503"/>
      <c r="U886" s="503"/>
      <c r="V886" s="503"/>
      <c r="W886" s="503"/>
      <c r="X886" s="503"/>
      <c r="Y886" s="497"/>
      <c r="Z886" s="497"/>
      <c r="AA886" s="503"/>
      <c r="AB886" s="503"/>
      <c r="AC886" s="497"/>
      <c r="AD886" s="497"/>
      <c r="AE886" s="497"/>
      <c r="AF886" s="512">
        <v>43</v>
      </c>
      <c r="AG886" s="503"/>
    </row>
    <row r="887" spans="1:33" x14ac:dyDescent="0.35">
      <c r="A887" s="497" t="b">
        <v>0</v>
      </c>
      <c r="B887" s="498">
        <f t="shared" si="112"/>
        <v>7</v>
      </c>
      <c r="C887" s="497" t="s">
        <v>9531</v>
      </c>
      <c r="D887" s="500"/>
      <c r="E887" s="512"/>
      <c r="F887" s="512"/>
      <c r="G887" s="503"/>
      <c r="H887" s="498">
        <f t="shared" si="113"/>
        <v>2</v>
      </c>
      <c r="I887" s="503"/>
      <c r="J887" s="497"/>
      <c r="K887" s="497" t="s">
        <v>1167</v>
      </c>
      <c r="L887" s="503"/>
      <c r="M887" s="497"/>
      <c r="N887" s="503"/>
      <c r="O887" s="497"/>
      <c r="P887" s="503"/>
      <c r="Q887" s="503"/>
      <c r="R887" s="497" t="b">
        <v>0</v>
      </c>
      <c r="S887" s="503"/>
      <c r="T887" s="503"/>
      <c r="U887" s="503"/>
      <c r="V887" s="503"/>
      <c r="W887" s="503"/>
      <c r="X887" s="503"/>
      <c r="Y887" s="497"/>
      <c r="Z887" s="497"/>
      <c r="AA887" s="503"/>
      <c r="AB887" s="503"/>
      <c r="AC887" s="497"/>
      <c r="AD887" s="497"/>
      <c r="AE887" s="497"/>
      <c r="AF887" s="512">
        <v>44</v>
      </c>
      <c r="AG887" s="503"/>
    </row>
    <row r="888" spans="1:33" x14ac:dyDescent="0.35">
      <c r="A888" s="497" t="b">
        <v>0</v>
      </c>
      <c r="B888" s="498">
        <f t="shared" si="112"/>
        <v>7</v>
      </c>
      <c r="C888" s="497" t="s">
        <v>9532</v>
      </c>
      <c r="D888" s="500"/>
      <c r="E888" s="512"/>
      <c r="F888" s="512"/>
      <c r="G888" s="503"/>
      <c r="H888" s="498">
        <f t="shared" si="113"/>
        <v>2</v>
      </c>
      <c r="I888" s="503"/>
      <c r="J888" s="497"/>
      <c r="K888" s="497" t="s">
        <v>1169</v>
      </c>
      <c r="L888" s="503"/>
      <c r="M888" s="497"/>
      <c r="N888" s="503"/>
      <c r="O888" s="497"/>
      <c r="P888" s="503"/>
      <c r="Q888" s="503"/>
      <c r="R888" s="497" t="b">
        <v>0</v>
      </c>
      <c r="S888" s="503"/>
      <c r="T888" s="503"/>
      <c r="U888" s="503"/>
      <c r="V888" s="503"/>
      <c r="W888" s="503"/>
      <c r="X888" s="503"/>
      <c r="Y888" s="497"/>
      <c r="Z888" s="497"/>
      <c r="AA888" s="503"/>
      <c r="AB888" s="503"/>
      <c r="AC888" s="497"/>
      <c r="AD888" s="497"/>
      <c r="AE888" s="497"/>
      <c r="AF888" s="512">
        <v>45</v>
      </c>
      <c r="AG888" s="503"/>
    </row>
    <row r="889" spans="1:33" x14ac:dyDescent="0.35">
      <c r="A889" s="497" t="b">
        <v>0</v>
      </c>
      <c r="B889" s="498">
        <f t="shared" si="112"/>
        <v>7</v>
      </c>
      <c r="C889" s="497" t="s">
        <v>9533</v>
      </c>
      <c r="D889" s="500"/>
      <c r="E889" s="512"/>
      <c r="F889" s="512"/>
      <c r="G889" s="503"/>
      <c r="H889" s="498">
        <f t="shared" si="113"/>
        <v>2</v>
      </c>
      <c r="I889" s="503"/>
      <c r="J889" s="497"/>
      <c r="K889" s="497" t="s">
        <v>1167</v>
      </c>
      <c r="L889" s="503"/>
      <c r="M889" s="497"/>
      <c r="N889" s="503"/>
      <c r="O889" s="497"/>
      <c r="P889" s="503"/>
      <c r="Q889" s="503"/>
      <c r="R889" s="497" t="b">
        <v>0</v>
      </c>
      <c r="S889" s="503"/>
      <c r="T889" s="503"/>
      <c r="U889" s="503"/>
      <c r="V889" s="503"/>
      <c r="W889" s="503"/>
      <c r="X889" s="503"/>
      <c r="Y889" s="497"/>
      <c r="Z889" s="497"/>
      <c r="AA889" s="503"/>
      <c r="AB889" s="503"/>
      <c r="AC889" s="497"/>
      <c r="AD889" s="497"/>
      <c r="AE889" s="497"/>
      <c r="AF889" s="512">
        <v>46</v>
      </c>
      <c r="AG889" s="503"/>
    </row>
    <row r="890" spans="1:33" x14ac:dyDescent="0.35">
      <c r="A890" s="497" t="b">
        <v>0</v>
      </c>
      <c r="B890" s="498">
        <f t="shared" si="112"/>
        <v>7</v>
      </c>
      <c r="C890" s="497" t="s">
        <v>9534</v>
      </c>
      <c r="D890" s="500"/>
      <c r="E890" s="512"/>
      <c r="F890" s="512"/>
      <c r="G890" s="503"/>
      <c r="H890" s="498">
        <f t="shared" si="113"/>
        <v>2</v>
      </c>
      <c r="I890" s="503"/>
      <c r="J890" s="497"/>
      <c r="K890" s="497" t="s">
        <v>1169</v>
      </c>
      <c r="L890" s="503"/>
      <c r="M890" s="497"/>
      <c r="N890" s="503"/>
      <c r="O890" s="497"/>
      <c r="P890" s="503"/>
      <c r="Q890" s="503"/>
      <c r="R890" s="497" t="b">
        <v>0</v>
      </c>
      <c r="S890" s="503"/>
      <c r="T890" s="503"/>
      <c r="U890" s="503"/>
      <c r="V890" s="503"/>
      <c r="W890" s="503"/>
      <c r="X890" s="503"/>
      <c r="Y890" s="497"/>
      <c r="Z890" s="497"/>
      <c r="AA890" s="503"/>
      <c r="AB890" s="503"/>
      <c r="AC890" s="497"/>
      <c r="AD890" s="497"/>
      <c r="AE890" s="497"/>
      <c r="AF890" s="512">
        <v>47</v>
      </c>
      <c r="AG890" s="503"/>
    </row>
    <row r="891" spans="1:33" x14ac:dyDescent="0.35">
      <c r="A891" s="497" t="b">
        <v>0</v>
      </c>
      <c r="B891" s="498">
        <f t="shared" si="112"/>
        <v>7</v>
      </c>
      <c r="C891" s="497" t="s">
        <v>9535</v>
      </c>
      <c r="D891" s="500"/>
      <c r="E891" s="512"/>
      <c r="F891" s="512"/>
      <c r="G891" s="503"/>
      <c r="H891" s="498">
        <f t="shared" si="113"/>
        <v>2</v>
      </c>
      <c r="I891" s="503"/>
      <c r="J891" s="497"/>
      <c r="K891" s="497" t="s">
        <v>1167</v>
      </c>
      <c r="L891" s="503"/>
      <c r="M891" s="497"/>
      <c r="N891" s="503"/>
      <c r="O891" s="497"/>
      <c r="P891" s="503"/>
      <c r="Q891" s="503"/>
      <c r="R891" s="497" t="b">
        <v>0</v>
      </c>
      <c r="S891" s="503"/>
      <c r="T891" s="503"/>
      <c r="U891" s="503"/>
      <c r="V891" s="503"/>
      <c r="W891" s="503"/>
      <c r="X891" s="503"/>
      <c r="Y891" s="497"/>
      <c r="Z891" s="497"/>
      <c r="AA891" s="503"/>
      <c r="AB891" s="503"/>
      <c r="AC891" s="497"/>
      <c r="AD891" s="497"/>
      <c r="AE891" s="497"/>
      <c r="AF891" s="512">
        <v>48</v>
      </c>
      <c r="AG891" s="503"/>
    </row>
    <row r="892" spans="1:33" x14ac:dyDescent="0.35">
      <c r="A892" s="497" t="b">
        <v>0</v>
      </c>
      <c r="B892" s="498">
        <f t="shared" si="112"/>
        <v>7</v>
      </c>
      <c r="C892" s="497" t="s">
        <v>9536</v>
      </c>
      <c r="D892" s="500"/>
      <c r="E892" s="512"/>
      <c r="F892" s="512"/>
      <c r="G892" s="503"/>
      <c r="H892" s="498">
        <f t="shared" si="113"/>
        <v>2</v>
      </c>
      <c r="I892" s="503"/>
      <c r="J892" s="497"/>
      <c r="K892" s="497" t="s">
        <v>1169</v>
      </c>
      <c r="L892" s="503"/>
      <c r="M892" s="497"/>
      <c r="N892" s="503"/>
      <c r="O892" s="497"/>
      <c r="P892" s="503"/>
      <c r="Q892" s="503"/>
      <c r="R892" s="497" t="b">
        <v>0</v>
      </c>
      <c r="S892" s="503"/>
      <c r="T892" s="503"/>
      <c r="U892" s="503"/>
      <c r="V892" s="503"/>
      <c r="W892" s="503"/>
      <c r="X892" s="503"/>
      <c r="Y892" s="497"/>
      <c r="Z892" s="497"/>
      <c r="AA892" s="503"/>
      <c r="AB892" s="503"/>
      <c r="AC892" s="497"/>
      <c r="AD892" s="497"/>
      <c r="AE892" s="497"/>
      <c r="AF892" s="512">
        <v>49</v>
      </c>
      <c r="AG892" s="503"/>
    </row>
    <row r="893" spans="1:33" x14ac:dyDescent="0.35">
      <c r="A893" s="497" t="b">
        <v>0</v>
      </c>
      <c r="B893" s="498">
        <f t="shared" si="112"/>
        <v>7</v>
      </c>
      <c r="C893" s="497" t="s">
        <v>9537</v>
      </c>
      <c r="D893" s="500"/>
      <c r="E893" s="512"/>
      <c r="F893" s="512"/>
      <c r="G893" s="503"/>
      <c r="H893" s="498">
        <f t="shared" si="113"/>
        <v>2</v>
      </c>
      <c r="I893" s="503"/>
      <c r="J893" s="497"/>
      <c r="K893" s="497" t="s">
        <v>1167</v>
      </c>
      <c r="L893" s="503"/>
      <c r="M893" s="497"/>
      <c r="N893" s="503"/>
      <c r="O893" s="497"/>
      <c r="P893" s="503"/>
      <c r="Q893" s="503"/>
      <c r="R893" s="497" t="b">
        <v>0</v>
      </c>
      <c r="S893" s="503"/>
      <c r="T893" s="503"/>
      <c r="U893" s="503"/>
      <c r="V893" s="503"/>
      <c r="W893" s="503"/>
      <c r="X893" s="503"/>
      <c r="Y893" s="497"/>
      <c r="Z893" s="497"/>
      <c r="AA893" s="503"/>
      <c r="AB893" s="503"/>
      <c r="AC893" s="497"/>
      <c r="AD893" s="497"/>
      <c r="AE893" s="497"/>
      <c r="AF893" s="512">
        <v>50</v>
      </c>
      <c r="AG893" s="503"/>
    </row>
    <row r="894" spans="1:33" x14ac:dyDescent="0.35">
      <c r="A894" s="497" t="b">
        <v>0</v>
      </c>
      <c r="B894" s="498">
        <f t="shared" si="112"/>
        <v>7</v>
      </c>
      <c r="C894" s="497" t="s">
        <v>9538</v>
      </c>
      <c r="D894" s="500"/>
      <c r="E894" s="512"/>
      <c r="F894" s="512"/>
      <c r="G894" s="503"/>
      <c r="H894" s="498">
        <f t="shared" si="113"/>
        <v>2</v>
      </c>
      <c r="I894" s="503"/>
      <c r="J894" s="497"/>
      <c r="K894" s="497" t="s">
        <v>1169</v>
      </c>
      <c r="L894" s="503"/>
      <c r="M894" s="497"/>
      <c r="N894" s="503"/>
      <c r="O894" s="497"/>
      <c r="P894" s="503"/>
      <c r="Q894" s="503"/>
      <c r="R894" s="497" t="b">
        <v>0</v>
      </c>
      <c r="S894" s="503"/>
      <c r="T894" s="503"/>
      <c r="U894" s="503"/>
      <c r="V894" s="503"/>
      <c r="W894" s="503"/>
      <c r="X894" s="503"/>
      <c r="Y894" s="497"/>
      <c r="Z894" s="497"/>
      <c r="AA894" s="503"/>
      <c r="AB894" s="503"/>
      <c r="AC894" s="497"/>
      <c r="AD894" s="497"/>
      <c r="AE894" s="497"/>
      <c r="AF894" s="512">
        <v>51</v>
      </c>
      <c r="AG894" s="503"/>
    </row>
    <row r="895" spans="1:33" x14ac:dyDescent="0.35">
      <c r="A895" s="497" t="b">
        <v>0</v>
      </c>
      <c r="B895" s="498">
        <f t="shared" si="112"/>
        <v>7</v>
      </c>
      <c r="C895" s="497" t="s">
        <v>9539</v>
      </c>
      <c r="D895" s="500"/>
      <c r="E895" s="512"/>
      <c r="F895" s="512"/>
      <c r="G895" s="503"/>
      <c r="H895" s="498">
        <f t="shared" si="113"/>
        <v>2</v>
      </c>
      <c r="I895" s="503"/>
      <c r="J895" s="497"/>
      <c r="K895" s="497" t="s">
        <v>1167</v>
      </c>
      <c r="L895" s="503"/>
      <c r="M895" s="497"/>
      <c r="N895" s="503"/>
      <c r="O895" s="497"/>
      <c r="P895" s="503"/>
      <c r="Q895" s="503"/>
      <c r="R895" s="497" t="b">
        <v>0</v>
      </c>
      <c r="S895" s="503"/>
      <c r="T895" s="503"/>
      <c r="U895" s="503"/>
      <c r="V895" s="503"/>
      <c r="W895" s="503"/>
      <c r="X895" s="503"/>
      <c r="Y895" s="497"/>
      <c r="Z895" s="497"/>
      <c r="AA895" s="503"/>
      <c r="AB895" s="503"/>
      <c r="AC895" s="497"/>
      <c r="AD895" s="497"/>
      <c r="AE895" s="497"/>
      <c r="AF895" s="512">
        <v>52</v>
      </c>
      <c r="AG895" s="503"/>
    </row>
    <row r="896" spans="1:33" x14ac:dyDescent="0.35">
      <c r="A896" s="497" t="b">
        <v>0</v>
      </c>
      <c r="B896" s="498">
        <f t="shared" si="112"/>
        <v>7</v>
      </c>
      <c r="C896" s="497" t="s">
        <v>9540</v>
      </c>
      <c r="D896" s="500"/>
      <c r="E896" s="512"/>
      <c r="F896" s="512"/>
      <c r="G896" s="503"/>
      <c r="H896" s="498">
        <f t="shared" si="113"/>
        <v>2</v>
      </c>
      <c r="I896" s="503"/>
      <c r="J896" s="497"/>
      <c r="K896" s="497" t="s">
        <v>1169</v>
      </c>
      <c r="L896" s="503"/>
      <c r="M896" s="497"/>
      <c r="N896" s="503"/>
      <c r="O896" s="497"/>
      <c r="P896" s="503"/>
      <c r="Q896" s="503"/>
      <c r="R896" s="497" t="b">
        <v>0</v>
      </c>
      <c r="S896" s="503"/>
      <c r="T896" s="503"/>
      <c r="U896" s="503"/>
      <c r="V896" s="503"/>
      <c r="W896" s="503"/>
      <c r="X896" s="503"/>
      <c r="Y896" s="497"/>
      <c r="Z896" s="497"/>
      <c r="AA896" s="503"/>
      <c r="AB896" s="503"/>
      <c r="AC896" s="497"/>
      <c r="AD896" s="497"/>
      <c r="AE896" s="497"/>
      <c r="AF896" s="512">
        <v>53</v>
      </c>
      <c r="AG896" s="503"/>
    </row>
    <row r="897" spans="1:33" x14ac:dyDescent="0.35">
      <c r="A897" s="497" t="b">
        <v>0</v>
      </c>
      <c r="B897" s="498">
        <f t="shared" si="112"/>
        <v>7</v>
      </c>
      <c r="C897" s="497" t="s">
        <v>9541</v>
      </c>
      <c r="D897" s="500"/>
      <c r="E897" s="512"/>
      <c r="F897" s="512"/>
      <c r="G897" s="503"/>
      <c r="H897" s="498">
        <f t="shared" si="113"/>
        <v>2</v>
      </c>
      <c r="I897" s="503"/>
      <c r="J897" s="497"/>
      <c r="K897" s="497" t="s">
        <v>1167</v>
      </c>
      <c r="L897" s="503"/>
      <c r="M897" s="497"/>
      <c r="N897" s="503"/>
      <c r="O897" s="497"/>
      <c r="P897" s="503"/>
      <c r="Q897" s="503"/>
      <c r="R897" s="497" t="b">
        <v>0</v>
      </c>
      <c r="S897" s="503"/>
      <c r="T897" s="503"/>
      <c r="U897" s="503"/>
      <c r="V897" s="503"/>
      <c r="W897" s="503"/>
      <c r="X897" s="503"/>
      <c r="Y897" s="497"/>
      <c r="Z897" s="497"/>
      <c r="AA897" s="503"/>
      <c r="AB897" s="503"/>
      <c r="AC897" s="497"/>
      <c r="AD897" s="497"/>
      <c r="AE897" s="497"/>
      <c r="AF897" s="512">
        <v>54</v>
      </c>
      <c r="AG897" s="503"/>
    </row>
    <row r="898" spans="1:33" x14ac:dyDescent="0.35">
      <c r="A898" s="497" t="b">
        <v>0</v>
      </c>
      <c r="B898" s="498">
        <f t="shared" si="112"/>
        <v>7</v>
      </c>
      <c r="C898" s="497" t="s">
        <v>9542</v>
      </c>
      <c r="D898" s="500"/>
      <c r="E898" s="512"/>
      <c r="F898" s="512"/>
      <c r="G898" s="503"/>
      <c r="H898" s="498">
        <f t="shared" si="113"/>
        <v>2</v>
      </c>
      <c r="I898" s="503"/>
      <c r="J898" s="497"/>
      <c r="K898" s="497" t="s">
        <v>1169</v>
      </c>
      <c r="L898" s="503"/>
      <c r="M898" s="497"/>
      <c r="N898" s="503"/>
      <c r="O898" s="497"/>
      <c r="P898" s="503"/>
      <c r="Q898" s="503"/>
      <c r="R898" s="497" t="b">
        <v>0</v>
      </c>
      <c r="S898" s="503"/>
      <c r="T898" s="503"/>
      <c r="U898" s="503"/>
      <c r="V898" s="503"/>
      <c r="W898" s="503"/>
      <c r="X898" s="503"/>
      <c r="Y898" s="497"/>
      <c r="Z898" s="497"/>
      <c r="AA898" s="503"/>
      <c r="AB898" s="503"/>
      <c r="AC898" s="497"/>
      <c r="AD898" s="497"/>
      <c r="AE898" s="497"/>
      <c r="AF898" s="512">
        <v>55</v>
      </c>
      <c r="AG898" s="503"/>
    </row>
    <row r="899" spans="1:33" x14ac:dyDescent="0.35">
      <c r="A899" s="497" t="b">
        <v>0</v>
      </c>
      <c r="B899" s="498">
        <f t="shared" si="112"/>
        <v>7</v>
      </c>
      <c r="C899" s="497" t="s">
        <v>9543</v>
      </c>
      <c r="D899" s="500"/>
      <c r="E899" s="512"/>
      <c r="F899" s="512"/>
      <c r="G899" s="503"/>
      <c r="H899" s="498">
        <f t="shared" si="113"/>
        <v>2</v>
      </c>
      <c r="I899" s="503"/>
      <c r="J899" s="497"/>
      <c r="K899" s="497" t="s">
        <v>1167</v>
      </c>
      <c r="L899" s="503"/>
      <c r="M899" s="497"/>
      <c r="N899" s="503"/>
      <c r="O899" s="497"/>
      <c r="P899" s="503"/>
      <c r="Q899" s="503"/>
      <c r="R899" s="497" t="b">
        <v>0</v>
      </c>
      <c r="S899" s="503"/>
      <c r="T899" s="503"/>
      <c r="U899" s="503"/>
      <c r="V899" s="503"/>
      <c r="W899" s="503"/>
      <c r="X899" s="503"/>
      <c r="Y899" s="497"/>
      <c r="Z899" s="497"/>
      <c r="AA899" s="503"/>
      <c r="AB899" s="503"/>
      <c r="AC899" s="497"/>
      <c r="AD899" s="497"/>
      <c r="AE899" s="497"/>
      <c r="AF899" s="512">
        <v>56</v>
      </c>
      <c r="AG899" s="503"/>
    </row>
    <row r="900" spans="1:33" x14ac:dyDescent="0.35">
      <c r="A900" s="497" t="b">
        <v>0</v>
      </c>
      <c r="B900" s="498">
        <f t="shared" si="112"/>
        <v>7</v>
      </c>
      <c r="C900" s="497" t="s">
        <v>9544</v>
      </c>
      <c r="D900" s="500"/>
      <c r="E900" s="512"/>
      <c r="F900" s="512"/>
      <c r="G900" s="503"/>
      <c r="H900" s="498">
        <f t="shared" si="113"/>
        <v>2</v>
      </c>
      <c r="I900" s="503"/>
      <c r="J900" s="497"/>
      <c r="K900" s="497" t="s">
        <v>1169</v>
      </c>
      <c r="L900" s="503"/>
      <c r="M900" s="497"/>
      <c r="N900" s="503"/>
      <c r="O900" s="497"/>
      <c r="P900" s="503"/>
      <c r="Q900" s="503"/>
      <c r="R900" s="497" t="b">
        <v>0</v>
      </c>
      <c r="S900" s="503"/>
      <c r="T900" s="503"/>
      <c r="U900" s="503"/>
      <c r="V900" s="503"/>
      <c r="W900" s="503"/>
      <c r="X900" s="503"/>
      <c r="Y900" s="497"/>
      <c r="Z900" s="497"/>
      <c r="AA900" s="503"/>
      <c r="AB900" s="503"/>
      <c r="AC900" s="497"/>
      <c r="AD900" s="497"/>
      <c r="AE900" s="497"/>
      <c r="AF900" s="512">
        <v>57</v>
      </c>
      <c r="AG900" s="503"/>
    </row>
    <row r="901" spans="1:33" x14ac:dyDescent="0.35">
      <c r="A901" s="497" t="b">
        <v>0</v>
      </c>
      <c r="B901" s="498">
        <f t="shared" si="112"/>
        <v>7</v>
      </c>
      <c r="C901" s="497" t="s">
        <v>9545</v>
      </c>
      <c r="D901" s="500"/>
      <c r="E901" s="512"/>
      <c r="F901" s="512"/>
      <c r="G901" s="503"/>
      <c r="H901" s="498">
        <f t="shared" si="113"/>
        <v>2</v>
      </c>
      <c r="I901" s="503"/>
      <c r="J901" s="497"/>
      <c r="K901" s="497" t="s">
        <v>1167</v>
      </c>
      <c r="L901" s="503"/>
      <c r="M901" s="497"/>
      <c r="N901" s="503"/>
      <c r="O901" s="497"/>
      <c r="P901" s="503"/>
      <c r="Q901" s="503"/>
      <c r="R901" s="497" t="b">
        <v>0</v>
      </c>
      <c r="S901" s="503"/>
      <c r="T901" s="503"/>
      <c r="U901" s="503"/>
      <c r="V901" s="503"/>
      <c r="W901" s="503"/>
      <c r="X901" s="503"/>
      <c r="Y901" s="497"/>
      <c r="Z901" s="497"/>
      <c r="AA901" s="503"/>
      <c r="AB901" s="503"/>
      <c r="AC901" s="497"/>
      <c r="AD901" s="497"/>
      <c r="AE901" s="497"/>
      <c r="AF901" s="512">
        <v>58</v>
      </c>
      <c r="AG901" s="503"/>
    </row>
    <row r="902" spans="1:33" x14ac:dyDescent="0.35">
      <c r="A902" s="497" t="b">
        <v>0</v>
      </c>
      <c r="B902" s="498">
        <f t="shared" si="112"/>
        <v>7</v>
      </c>
      <c r="C902" s="497" t="s">
        <v>9546</v>
      </c>
      <c r="D902" s="500"/>
      <c r="E902" s="512"/>
      <c r="F902" s="512"/>
      <c r="G902" s="503"/>
      <c r="H902" s="498">
        <f t="shared" si="113"/>
        <v>2</v>
      </c>
      <c r="I902" s="503"/>
      <c r="J902" s="497"/>
      <c r="K902" s="497" t="s">
        <v>1169</v>
      </c>
      <c r="L902" s="503"/>
      <c r="M902" s="497"/>
      <c r="N902" s="503"/>
      <c r="O902" s="497"/>
      <c r="P902" s="503"/>
      <c r="Q902" s="503"/>
      <c r="R902" s="497" t="b">
        <v>0</v>
      </c>
      <c r="S902" s="503" t="s">
        <v>9547</v>
      </c>
      <c r="T902" s="503"/>
      <c r="U902" s="503"/>
      <c r="V902" s="503"/>
      <c r="W902" s="503"/>
      <c r="X902" s="503"/>
      <c r="Y902" s="497"/>
      <c r="Z902" s="497"/>
      <c r="AA902" s="503"/>
      <c r="AB902" s="503"/>
      <c r="AC902" s="497"/>
      <c r="AD902" s="497" t="s">
        <v>9548</v>
      </c>
      <c r="AE902" s="497"/>
      <c r="AF902" s="512">
        <v>59</v>
      </c>
      <c r="AG902" s="503"/>
    </row>
    <row r="903" spans="1:33" x14ac:dyDescent="0.35">
      <c r="A903" s="497" t="b">
        <v>0</v>
      </c>
      <c r="B903" s="498">
        <f t="shared" si="112"/>
        <v>7</v>
      </c>
      <c r="C903" s="497" t="s">
        <v>9549</v>
      </c>
      <c r="D903" s="500"/>
      <c r="E903" s="512"/>
      <c r="F903" s="512"/>
      <c r="G903" s="503"/>
      <c r="H903" s="498">
        <f t="shared" si="113"/>
        <v>2</v>
      </c>
      <c r="I903" s="503"/>
      <c r="J903" s="497"/>
      <c r="K903" s="497" t="s">
        <v>1167</v>
      </c>
      <c r="L903" s="503"/>
      <c r="M903" s="497"/>
      <c r="N903" s="503"/>
      <c r="O903" s="497"/>
      <c r="P903" s="503"/>
      <c r="Q903" s="503"/>
      <c r="R903" s="497" t="b">
        <v>0</v>
      </c>
      <c r="S903" s="503" t="s">
        <v>9550</v>
      </c>
      <c r="T903" s="503"/>
      <c r="U903" s="503"/>
      <c r="V903" s="503"/>
      <c r="W903" s="503"/>
      <c r="X903" s="503"/>
      <c r="Y903" s="497"/>
      <c r="Z903" s="497"/>
      <c r="AA903" s="503"/>
      <c r="AB903" s="503"/>
      <c r="AC903" s="497"/>
      <c r="AD903" s="497" t="s">
        <v>9551</v>
      </c>
      <c r="AE903" s="497"/>
      <c r="AF903" s="512">
        <v>60</v>
      </c>
      <c r="AG903" s="503"/>
    </row>
    <row r="904" spans="1:33" x14ac:dyDescent="0.35">
      <c r="A904" s="497" t="b">
        <f t="shared" ref="A904:A933" ca="1" si="114">IF(OR(J904&lt;&gt;"",T904&lt;&gt;""),TRUE,FALSE)</f>
        <v>1</v>
      </c>
      <c r="B904" s="498">
        <f t="shared" si="112"/>
        <v>9</v>
      </c>
      <c r="C904" s="510" t="str">
        <f>IFERROR(IF(AND(H904=2,B904=7),"blank",INDEX(C$842:C904,H904,1)),"")</f>
        <v>a183p000006ZUeWAAW</v>
      </c>
      <c r="D904" s="500">
        <f t="shared" ref="D904:D933" ca="1" si="115">IFERROR(IF(INDIRECT("'Coverage Indicators - Section D'!G"&amp;$B904)="","",INDIRECT("'Coverage Indicators - Section D'!G"&amp;$B904)*100),"")</f>
        <v>1.7042739580568091</v>
      </c>
      <c r="E904" s="512">
        <f t="shared" ref="E904:E933" ca="1" si="116">IFERROR(IF(INDIRECT("'Coverage Indicators - Section D'!F"&amp;$B904+1)="","",INDIRECT("'Coverage Indicators - Section D'!F"&amp;$B904+1)),"")</f>
        <v>18835</v>
      </c>
      <c r="F904" s="512">
        <f t="shared" ref="F904:F933" ca="1" si="117">IFERROR(IF(INDIRECT("'Coverage Indicators - Section D'!F"&amp;$B904)="","",INDIRECT("'Coverage Indicators - Section D'!F"&amp;$B904)),"")</f>
        <v>321</v>
      </c>
      <c r="G904" s="503" t="str">
        <f t="shared" ref="G904:G933" ca="1" si="118">IFERROR(IF(INDIRECT("'Coverage Indicators - Section D'!AO"&amp;$B904)="","",INDIRECT("'Coverage Indicators - Section D'!AO"&amp;$B904)),"")</f>
        <v>SUMEVE</v>
      </c>
      <c r="H904" s="498">
        <f t="shared" si="113"/>
        <v>3</v>
      </c>
      <c r="I904" s="503" t="str">
        <f t="shared" ref="I904:I933" ca="1" si="119">IFERROR(IF(INDIRECT("'Coverage Indicators - Section D'!AP"&amp;$B904)=0,"",INDIRECT("'Coverage Indicators - Section D'!AP"&amp;$B904)),"")</f>
        <v>Baseline for this indicator 1.70% coresponds to MSM diagnosed at VICITS clinics and PLAN mobile units during 2019. The reporting of this indicator will be shared between both PRs jointly during the period to be evaluated. For the scope of this indicator, several methodologies for offering the test will be carried out among them: the VICITS clinics, friendly clinics and mobile units, in addition to the strategy of assisted partner notification and contact tracing.
Numerator: Total number of MSM who tested positive for HIV in the national health system during the period to be evaluated. 
Denominator: Total number of MSM who tested positive for HIV in the national health system during the period to be evaluated.
Both numerator and denominator will be reported according to actual data registered in SUMEVE for the reporting period.
The country will report the number of tests performed in this population with the reporting of this indicator in each annual report (PUDR). 
Source:  SUMEVE 
Assumptions: Based on the prevention strategies that the country intends to initiate, assisted partner notification, contact tracing,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v>
      </c>
      <c r="J904" s="497" t="str">
        <f t="array" aca="1" ref="J904" ca="1">IFERROR(VLOOKUP(LEFT(INDIRECT("'Coverage Indicators - Section D'!D"&amp;$B904),255),LEFT('Reference Records'!C62:F266,255),4,0),"")</f>
        <v/>
      </c>
      <c r="K904" s="497" t="str">
        <f ca="1">IFERROR(VLOOKUP(IF(INDIRECT("'Coverage Indicators - Section D'!B"&amp;$B904)="","--select--",INDIRECT("'Coverage Indicators - Section D'!B"&amp;$B904)),'Overview - Section A'!C$117:D179,2,0),"")</f>
        <v>M-54180</v>
      </c>
      <c r="L904" s="503">
        <f t="shared" ref="L904:L933" ca="1" si="120">IFERROR(IF(INDIRECT("'Coverage Indicators - Section D'!H"&amp;$B904)=0,"",INDIRECT("'Coverage Indicators - Section D'!H"&amp;$B904)),"")</f>
        <v>2019</v>
      </c>
      <c r="M904" s="497" t="str">
        <f ca="1">IFERROR(VLOOKUP(INDIRECT("'Coverage Indicators - Section D'!C"&amp;$B904),'Reference Records'!C$621:F780,3,0),"")</f>
        <v>MCI-01153</v>
      </c>
      <c r="N904" s="503" t="str">
        <f t="shared" ref="N904:N933" ca="1" si="121">IFERROR(IF(INDIRECT("'Coverage Indicators - Section D'!AN"&amp;$B904)=0,"",INDIRECT("'Coverage Indicators - Section D'!AN"&amp;$B904)),"")</f>
        <v>HTS-Other 1 Percentage of HIV positive results among the total of HIV tests performed on HSH during the reporting period.</v>
      </c>
      <c r="O904" s="497" t="str">
        <f t="shared" ref="O904:O933" ca="1" si="122">IFERROR(IF(INDIRECT("'Coverage Indicators - Section D'!M"&amp;$B904)=0,"",INDIRECT("'Coverage Indicators - Section D'!M"&amp;$B904)),"")</f>
        <v>El Salvador</v>
      </c>
      <c r="P904" s="503" t="str">
        <f t="shared" ref="P904:P933" ca="1" si="123">IFERROR(IF(INDIRECT("'Coverage Indicators - Section D'!M"&amp;$B904+1)=0,"",INDIRECT("'Coverage Indicators - Section D'!M"&amp;$B904+1)),"")</f>
        <v>Geographic National, 100% of national program target</v>
      </c>
      <c r="Q904" s="503" t="str">
        <f t="shared" ref="Q904:Q933" ca="1" si="124">IFERROR(IF(INDIRECT("'Coverage Indicators - Section D'!N"&amp;$B904)=0,"",INDIRECT("'Coverage Indicators - Section D'!N"&amp;$B904)),"")</f>
        <v/>
      </c>
      <c r="R904" s="497" t="b">
        <f t="shared" ref="R904:R933" ca="1" si="125">IFERROR(IF(INDIRECT("'Coverage Indicators - Section D'!K"&amp;$B904)=0,"FALSE",IF(INDIRECT("'Coverage Indicators - Section D'!K"&amp;$B904)="Yes",TRUE,FALSE)),"")</f>
        <v>1</v>
      </c>
      <c r="S904" s="503" t="str">
        <f ca="1">IFERROR(VLOOKUP(INDIRECT("'Coverage Indicators - Section D'!L"&amp;$B904),'Overview - Section A'!M$31:P94,4,0),IFERROR(IF(VLOOKUP(INDIRECT("'Coverage Indicators - Section D'!L"&amp;$B904),'Overview - Section A'!E$27:I91,5,0)=0,"",VLOOKUP(INDIRECT("'Coverage Indicators - Section D'!L"&amp;$B904),'Overview - Section A'!E$27:I91,5,0)),""))</f>
        <v>a123p000007FHAgAAO</v>
      </c>
      <c r="T904" s="503" t="str">
        <f t="shared" ref="T904:T933" ca="1" si="126">IFERROR(IF(INDIRECT("'Coverage Indicators - Section D'!E"&amp;$B904)=0,"",INDIRECT("'Coverage Indicators - Section D'!E"&amp;$B904)),"")</f>
        <v>HTS-Other 1 Porcentaje de resultados de VIH positivos entre el total de pruebas de VIH realizadas en HSH</v>
      </c>
      <c r="U904" s="503" t="str">
        <f t="shared" ref="U904:U933" ca="1" si="127">IFERROR(IF(INDIRECT("'Coverage Indicators - Section D'!I"&amp;$B904)=0,"",INDIRECT("'Coverage Indicators - Section D'!I"&amp;$B904)),"")</f>
        <v>SUMEVE</v>
      </c>
      <c r="V904" s="503" t="str">
        <f t="shared" ref="V904:V933" ca="1" si="128">IFERROR(IF(INDIRECT("'Coverage Indicators - Section D'!AM"&amp;$B904)=0,"",INDIRECT("'Coverage Indicators - Section D'!AM"&amp;$B904)),"")</f>
        <v>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Numerador: Número total de HSH que resultaron positivos a realizarse  la prueba de VIH en el sistema nacional de salud durante el período a evaluar 
Denominador: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Fuente:  SUMEVE 
Supuestos: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W904" s="503"/>
      <c r="X904" s="503"/>
      <c r="Y904" s="497"/>
      <c r="Z904" s="497"/>
      <c r="AA904" s="503"/>
      <c r="AB904" s="503"/>
      <c r="AC904" s="497"/>
      <c r="AD904" s="497"/>
      <c r="AE904" s="497"/>
      <c r="AF904" s="512"/>
      <c r="AG904" s="503"/>
    </row>
    <row r="905" spans="1:33" x14ac:dyDescent="0.35">
      <c r="A905" s="497" t="b">
        <f t="shared" ca="1" si="114"/>
        <v>1</v>
      </c>
      <c r="B905" s="498">
        <f t="shared" si="112"/>
        <v>11</v>
      </c>
      <c r="C905" s="510" t="str">
        <f>IFERROR(IF(AND(H905=2,B905=7),"blank",INDEX(C$842:C905,H905,1)),"")</f>
        <v>a183p000006ZUf3AAG</v>
      </c>
      <c r="D905" s="500">
        <f t="shared" ca="1" si="115"/>
        <v>81.190082644628106</v>
      </c>
      <c r="E905" s="512">
        <f t="shared" ca="1" si="116"/>
        <v>3025</v>
      </c>
      <c r="F905" s="512">
        <f t="shared" ca="1" si="117"/>
        <v>2456</v>
      </c>
      <c r="G905" s="503" t="str">
        <f t="shared" ca="1" si="118"/>
        <v/>
      </c>
      <c r="H905" s="498">
        <f t="shared" si="113"/>
        <v>4</v>
      </c>
      <c r="I905" s="503" t="str">
        <f t="shared" ca="1" si="119"/>
        <v>Target Estimate Assumption: A good, accurate diagnosis is a critical component of TB care. Molecular rapid diagnostic tests help ensure early detection and timely treatment of TB. The country intends to perform rapid sensitivity tests for at least Rifampicin and to expand this capacity by 82, 83 and 85% for the three years of the grant; this capacity cannot be expanded beyond the proposed goals because there is a percentage of 10-15% of cases attributable to the pediatric population. Similarly, there are extrapulmonary cases in which this type of testing cannot be performed. 
Considering that the End TB strategy establishes the need to perform rapid drug susceptibility testing (DST) at least for Rifampicin, for the early detection of drug resistance, both in new and previously treated cases. The proposal to achieve the goals by 2025 according to the End TB strategy, is to progressively increase screening to all patients with suspected drug resistance including PPL, HIV, childhood TB, MDR - TB Contacts, among others. 
Measurement methods: 
Numerator: Number of reported cases (persons) who were tested for sensitivity by molecular testing or by the method of proportions, in the period to be evaluated.
Denominator: Number of cases (persons) notified all forms in the period to be evaluated. Expressed as a percentage 
The annual report will be reported with numbering/denominator and percentage, in each year of the subsidy according to the actual data of the reporting period.
Verification of this indicator will be subject to the verification method established for the results-based funding modality and set forth in the grant agreement.
Data source: GeneXpert database; sensitivity database and PCT - 9 (quarterly TB case detection report).</v>
      </c>
      <c r="J905" s="497" t="str">
        <f t="array" aca="1" ref="J905" ca="1">IFERROR(VLOOKUP(LEFT(INDIRECT("'Coverage Indicators - Section D'!D"&amp;$B905),255),LEFT('Reference Records'!C63:F267,255),4,0),"")</f>
        <v>MCI-01090</v>
      </c>
      <c r="K905" s="497" t="str">
        <f ca="1">IFERROR(VLOOKUP(IF(INDIRECT("'Coverage Indicators - Section D'!B"&amp;$B905)="","--select--",INDIRECT("'Coverage Indicators - Section D'!B"&amp;$B905)),'Overview - Section A'!C$117:D180,2,0),"")</f>
        <v>M-54195</v>
      </c>
      <c r="L905" s="503">
        <f t="shared" ca="1" si="120"/>
        <v>2019</v>
      </c>
      <c r="M905" s="497" t="str">
        <f ca="1">IFERROR(VLOOKUP(INDIRECT("'Coverage Indicators - Section D'!C"&amp;$B905),'Reference Records'!C$621:F781,3,0),"")</f>
        <v>MCI-01153</v>
      </c>
      <c r="N905" s="503" t="str">
        <f t="shared" ca="1" si="121"/>
        <v>GeneXpert database and sensitivity database.
PCT - 9 (Quarterly report on TB case detection).</v>
      </c>
      <c r="O905" s="497" t="str">
        <f t="shared" ca="1" si="122"/>
        <v>El Salvador</v>
      </c>
      <c r="P905" s="503" t="str">
        <f t="shared" ca="1" si="123"/>
        <v>Geographic National, 100% of national program target</v>
      </c>
      <c r="Q905" s="503" t="str">
        <f t="shared" ca="1" si="124"/>
        <v/>
      </c>
      <c r="R905" s="497" t="b">
        <f t="shared" ca="1" si="125"/>
        <v>1</v>
      </c>
      <c r="S905" s="503" t="str">
        <f ca="1">IFERROR(VLOOKUP(INDIRECT("'Coverage Indicators - Section D'!L"&amp;$B905),'Overview - Section A'!M$31:P95,4,0),IFERROR(IF(VLOOKUP(INDIRECT("'Coverage Indicators - Section D'!L"&amp;$B905),'Overview - Section A'!E$27:I92,5,0)=0,"",VLOOKUP(INDIRECT("'Coverage Indicators - Section D'!L"&amp;$B905),'Overview - Section A'!E$27:I92,5,0)),""))</f>
        <v>a123p000007FHAgAAO</v>
      </c>
      <c r="T905" s="503" t="str">
        <f t="shared" ca="1" si="126"/>
        <v/>
      </c>
      <c r="U905" s="503" t="str">
        <f t="shared" ca="1" si="127"/>
        <v>Base de datos de GeneXpert y base de datos de sensibilidad.</v>
      </c>
      <c r="V905" s="503" t="str">
        <f t="shared" ca="1" si="128"/>
        <v>Supuesto de estimación de meta: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y ampliar esta capacidad por lo que se propone alcanzar 82, 83 y 85% para los tres años de la subvención, no se puede ampliar esta capacidad más allá de las metas propuestas debidas a que existe un porcentaje de entre 10 a 15% de casos atribuibles a la población pediátrica. Del mismo modo existen casos extrapulmonares en los que no se pueden realizar este tipo de pruebas.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Métodos de medición: 
Numerador: Número de casos (personas) notificados a los que se les hizo prueba de sensibilidad por pruebas moleculares o  por método de las proporciones, en el periodo a evaluar
Denominador: Número de casos (personas) notificados todas las forma en el periodo a evaluar. Expresado en porcentaje 
El reporte anual se reportara con numerado/denominador y porcentaje, en cada año de la subvencion de acuerdo a los datos reales del periodo a reportar.
La verificación de este indicador estará sujeta al método de verificación establecido para la modalidad de financiamiento basado en resultados y establecido en el acuerdo de subvención.
Fuente de Información: Base de datos de GeneXpert; base de datos de sensibilidad y PCT - 9 (informe trimestral sobre la detección de casos de TB).</v>
      </c>
      <c r="W905" s="503"/>
      <c r="X905" s="503"/>
      <c r="Y905" s="497"/>
      <c r="Z905" s="497"/>
      <c r="AA905" s="503"/>
      <c r="AB905" s="503"/>
      <c r="AC905" s="497"/>
      <c r="AD905" s="497"/>
      <c r="AE905" s="497"/>
      <c r="AF905" s="512"/>
      <c r="AG905" s="503"/>
    </row>
    <row r="906" spans="1:33" x14ac:dyDescent="0.35">
      <c r="A906" s="497" t="b">
        <f t="shared" ca="1" si="114"/>
        <v>1</v>
      </c>
      <c r="B906" s="498">
        <f t="shared" si="112"/>
        <v>13</v>
      </c>
      <c r="C906" s="510" t="str">
        <f>IFERROR(IF(AND(H906=2,B906=7),"blank",INDEX(C$842:C906,H906,1)),"")</f>
        <v>a183p000006ZUeXAAW</v>
      </c>
      <c r="D906" s="500">
        <f t="shared" ca="1" si="115"/>
        <v>2.0787746170678334</v>
      </c>
      <c r="E906" s="512">
        <f t="shared" ca="1" si="116"/>
        <v>914</v>
      </c>
      <c r="F906" s="512">
        <f t="shared" ca="1" si="117"/>
        <v>19</v>
      </c>
      <c r="G906" s="503" t="str">
        <f t="shared" ca="1" si="118"/>
        <v>SUMEVE</v>
      </c>
      <c r="H906" s="498">
        <f t="shared" si="113"/>
        <v>5</v>
      </c>
      <c r="I906" s="503" t="str">
        <f t="shared" ca="1" si="119"/>
        <v>Baseline for this indicator 2.08% corresponds to trans women diagnosed in VICITS clinics during 2019.  The reporting of this indicator will be shared between both PRs jointly during the period to be evaluated. For the scope of this indicator, several methodologies will be used to offer the test among them: VICITS clinics, friendly clinics and mobile units.
Numerator: Total number of transgender women who tested positive for HIV in the national health system during the period under evaluation. 
Denominator: Total number of transgender women who were tested for HIV in the national health system during the period under evaluation.
The country will report the number of tests performed in this population with the reporting of this indicator in each annual report (PUDR). 
Both the numerator and denominator will be reported according to actual data recorded in SUMEVE corresponding to the period to be reported 
Source:  SUMEVE 
Assumptions: Based on the prevention strategies that the country intends to initiate,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v>
      </c>
      <c r="J906" s="497" t="str">
        <f t="array" aca="1" ref="J906" ca="1">IFERROR(VLOOKUP(LEFT(INDIRECT("'Coverage Indicators - Section D'!D"&amp;$B906),255),LEFT('Reference Records'!C64:F268,255),4,0),"")</f>
        <v/>
      </c>
      <c r="K906" s="497" t="str">
        <f ca="1">IFERROR(VLOOKUP(IF(INDIRECT("'Coverage Indicators - Section D'!B"&amp;$B906)="","--select--",INDIRECT("'Coverage Indicators - Section D'!B"&amp;$B906)),'Overview - Section A'!C$117:D181,2,0),"")</f>
        <v>M-54180</v>
      </c>
      <c r="L906" s="503">
        <f t="shared" ca="1" si="120"/>
        <v>2019</v>
      </c>
      <c r="M906" s="497" t="str">
        <f ca="1">IFERROR(VLOOKUP(INDIRECT("'Coverage Indicators - Section D'!C"&amp;$B906),'Reference Records'!C$621:F782,3,0),"")</f>
        <v>MCI-01153</v>
      </c>
      <c r="N906" s="503" t="str">
        <f t="shared" ca="1" si="121"/>
        <v>HTS-Other 2 Percentage of HIV positive results among the total of HIV tests performed in Trans people during the reporting period.</v>
      </c>
      <c r="O906" s="497" t="str">
        <f t="shared" ca="1" si="122"/>
        <v>El Salvador</v>
      </c>
      <c r="P906" s="503" t="str">
        <f t="shared" ca="1" si="123"/>
        <v>Geographic National, 100% of national program target</v>
      </c>
      <c r="Q906" s="503" t="str">
        <f t="shared" ca="1" si="124"/>
        <v/>
      </c>
      <c r="R906" s="497" t="b">
        <f t="shared" ca="1" si="125"/>
        <v>1</v>
      </c>
      <c r="S906" s="503" t="str">
        <f ca="1">IFERROR(VLOOKUP(INDIRECT("'Coverage Indicators - Section D'!L"&amp;$B906),'Overview - Section A'!M$31:P96,4,0),IFERROR(IF(VLOOKUP(INDIRECT("'Coverage Indicators - Section D'!L"&amp;$B906),'Overview - Section A'!E$27:I93,5,0)=0,"",VLOOKUP(INDIRECT("'Coverage Indicators - Section D'!L"&amp;$B906),'Overview - Section A'!E$27:I93,5,0)),""))</f>
        <v>a123p000007FHAgAAO</v>
      </c>
      <c r="T906" s="503" t="str">
        <f t="shared" ca="1" si="126"/>
        <v>HTS-Other 2 Porcentaje de resultados de VIH positivos entre el total de pruebas de VIH realizadas en personas Trans</v>
      </c>
      <c r="U906" s="503" t="str">
        <f t="shared" ca="1" si="127"/>
        <v>SUMEVE</v>
      </c>
      <c r="V906" s="503" t="str">
        <f t="shared" ca="1" si="128"/>
        <v>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W906" s="503"/>
      <c r="X906" s="503"/>
      <c r="Y906" s="497"/>
      <c r="Z906" s="497"/>
      <c r="AA906" s="503"/>
      <c r="AB906" s="503"/>
      <c r="AC906" s="497"/>
      <c r="AD906" s="497"/>
      <c r="AE906" s="497"/>
      <c r="AF906" s="512"/>
      <c r="AG906" s="503"/>
    </row>
    <row r="907" spans="1:33" x14ac:dyDescent="0.35">
      <c r="A907" s="497" t="b">
        <f t="shared" ca="1" si="114"/>
        <v>1</v>
      </c>
      <c r="B907" s="498">
        <f t="shared" si="112"/>
        <v>15</v>
      </c>
      <c r="C907" s="510" t="str">
        <f>IFERROR(IF(AND(H907=2,B907=7),"blank",INDEX(C$842:C907,H907,1)),"")</f>
        <v>a183p000006ZUf4AAG</v>
      </c>
      <c r="D907" s="500" t="str">
        <f t="shared" ca="1" si="115"/>
        <v/>
      </c>
      <c r="E907" s="512" t="str">
        <f t="shared" ca="1" si="116"/>
        <v/>
      </c>
      <c r="F907" s="512">
        <f t="shared" ca="1" si="117"/>
        <v>21</v>
      </c>
      <c r="G907" s="503" t="str">
        <f t="shared" ca="1" si="118"/>
        <v>Libro de registro de casos con TB fármacorresistente y tarjeta de tratamiento farmacorresistente.</v>
      </c>
      <c r="H907" s="498">
        <f t="shared" si="113"/>
        <v>6</v>
      </c>
      <c r="I907" s="503" t="str">
        <f t="shared" ca="1" si="119"/>
        <v>Target estimation assumption: the data reported for 2019 corresponds to 21 RR-TB/MDR-TB cases that started second-line treatment. For the projected targets, it has been estimated that 2% of the total TB cases of all forms for each year may present some pattern of multidrug resistance.  
The targets reflect the number of cases (absolute number) to be detected, since the goal is to treat 100% of those diagnosed with drug resistance with second-line treatment. It is expected that 100% of the diagnosed cases will be admitted and treated, except for those that due to violence, vulnerability, risk or death of these cases before starting treatment or that could not attend the clinic (e.g. TB - MDR in PPL, both inside the prison and those who regain their freedom, migrants) for which the health system (nurse or community health personnel) will make and document home visits in order to prevent as far as possible that these cases lose their treatment.
These targets may be adjusted, revised after the first year of implementation, according to WHO/PAHO adjustments.
Methods of measurement: 
Numerator: total cases of rifampicin-resistant tuberculosis and/or multidrug-resistant tuberculosis that have started second-line treatment in the period to be evaluated. reported in absolute number.
Verification of this indicator will be subject to the verification method established for the results-based funding modality and set forth in the grant agreement.
Source of information: Drug-resistant TB case record book and drug-resistant treatment card.</v>
      </c>
      <c r="J907" s="497" t="str">
        <f t="array" aca="1" ref="J907" ca="1">IFERROR(VLOOKUP(LEFT(INDIRECT("'Coverage Indicators - Section D'!D"&amp;$B907),255),LEFT('Reference Records'!C65:F269,255),4,0),"")</f>
        <v>MCI-01087</v>
      </c>
      <c r="K907" s="497" t="str">
        <f ca="1">IFERROR(VLOOKUP(IF(INDIRECT("'Coverage Indicators - Section D'!B"&amp;$B907)="","--select--",INDIRECT("'Coverage Indicators - Section D'!B"&amp;$B907)),'Overview - Section A'!C$117:D182,2,0),"")</f>
        <v>M-54195</v>
      </c>
      <c r="L907" s="503">
        <f t="shared" ca="1" si="120"/>
        <v>2019</v>
      </c>
      <c r="M907" s="497" t="str">
        <f ca="1">IFERROR(VLOOKUP(INDIRECT("'Coverage Indicators - Section D'!C"&amp;$B907),'Reference Records'!C$621:F783,3,0),"")</f>
        <v>MCI-01153</v>
      </c>
      <c r="N907" s="503" t="str">
        <f t="shared" ca="1" si="121"/>
        <v/>
      </c>
      <c r="O907" s="497" t="str">
        <f t="shared" ca="1" si="122"/>
        <v>El Salvador</v>
      </c>
      <c r="P907" s="503" t="str">
        <f t="shared" ca="1" si="123"/>
        <v>Geographic National, 100% of national program target</v>
      </c>
      <c r="Q907" s="503" t="str">
        <f t="shared" ca="1" si="124"/>
        <v/>
      </c>
      <c r="R907" s="497" t="b">
        <f t="shared" ca="1" si="125"/>
        <v>1</v>
      </c>
      <c r="S907" s="503" t="str">
        <f ca="1">IFERROR(VLOOKUP(INDIRECT("'Coverage Indicators - Section D'!L"&amp;$B907),'Overview - Section A'!M$31:P97,4,0),IFERROR(IF(VLOOKUP(INDIRECT("'Coverage Indicators - Section D'!L"&amp;$B907),'Overview - Section A'!E$27:I94,5,0)=0,"",VLOOKUP(INDIRECT("'Coverage Indicators - Section D'!L"&amp;$B907),'Overview - Section A'!E$27:I94,5,0)),""))</f>
        <v>a123p000007FHAgAAO</v>
      </c>
      <c r="T907" s="503" t="str">
        <f t="shared" ca="1" si="126"/>
        <v/>
      </c>
      <c r="U907" s="503" t="str">
        <f t="shared" ca="1" si="127"/>
        <v>Libro de registro de casos con TB fármacorresistente y tarjeta de tratamiento farmacorresistente.</v>
      </c>
      <c r="V907" s="503" t="str">
        <f t="shared" ca="1" si="128"/>
        <v>Supuesto de estimación de metas: el dato reportado para el año 2019 corresponde a 21 casos de TB-RR/TB-MDR que iniciaron tratamiento de segunda linea. Para las metas proyectadas, se ha estimado que el 2 %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Metodos de medicion: 
Numerador:  Total de casos de tuberculosis resistente a la rifampicina y/o tuberculosis multirresistente que han comenzado un tratamiento de segunda línea en el periodo a evaluar. se reporta en numero absoluto.
La verificación de este indicador estará sujeta al método de verificación establecido para la modalidad de financiamiento basado en resultados y establecido en el acuerdo de subvención.
Fuente de Información: Libro de registro de casos con TB fármacorresistente y tarjeta de tratamiento farmacorresistente.</v>
      </c>
      <c r="W907" s="503"/>
      <c r="X907" s="503"/>
      <c r="Y907" s="497"/>
      <c r="Z907" s="497"/>
      <c r="AA907" s="503"/>
      <c r="AB907" s="503"/>
      <c r="AC907" s="497"/>
      <c r="AD907" s="497"/>
      <c r="AE907" s="497"/>
      <c r="AF907" s="512"/>
      <c r="AG907" s="503"/>
    </row>
    <row r="908" spans="1:33" x14ac:dyDescent="0.35">
      <c r="A908" s="497" t="b">
        <f t="shared" ca="1" si="114"/>
        <v>1</v>
      </c>
      <c r="B908" s="498">
        <f t="shared" ref="B908:B933" si="129">IF(_xlfn.ISFORMULA(I908),B907+2,B907)</f>
        <v>17</v>
      </c>
      <c r="C908" s="510" t="str">
        <f>IFERROR(IF(AND(H908=2,B908=7),"blank",INDEX(C$842:C908,H908,1)),"")</f>
        <v>a183p000006ZUeYAAW</v>
      </c>
      <c r="D908" s="500">
        <f t="shared" ca="1" si="115"/>
        <v>0.23883113234054509</v>
      </c>
      <c r="E908" s="512">
        <f t="shared" ca="1" si="116"/>
        <v>7118</v>
      </c>
      <c r="F908" s="512">
        <f t="shared" ca="1" si="117"/>
        <v>17</v>
      </c>
      <c r="G908" s="503" t="str">
        <f t="shared" ca="1" si="118"/>
        <v>SUMEVE</v>
      </c>
      <c r="H908" s="498">
        <f t="shared" ref="H908:H933" si="130">IF(_xlfn.ISFORMULA(I908),H907+1,H907)</f>
        <v>7</v>
      </c>
      <c r="I908" s="503" t="str">
        <f t="shared" ca="1" si="119"/>
        <v>Baseline of this indicator 0.24% corresponds to the TS diagnosed in VICITS clinics during 2019. The report of this indicator will be shared between both PRs jointly during the period to be evaluated. For the scope of this indicator, several methodologies will be carried out to offer the test, among them: VICTS clinics, friendly clinics and mobile units.
Numerator: Total number of Sex Workers who were positive when taking the HIV test in the national health system during the period to be evaluated
Denominator: Total number of Sex Workers who were tested for HIV in the national system in the period to be evaluated.
The country will report the number of tests carried out in this population with the report of this indicator in each annual report (PUDR).
Both the numerator and the denominator will be reported according to real data registered in SUMEVE corresponding to the period to be reported.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
For the targets, an increase of 2% has been considered for each year; for years 2 and 3, these will be defined after the results of the population size studies and the analysis that will be carried out in conjunction with PAHO / WHO.</v>
      </c>
      <c r="J908" s="497" t="str">
        <f t="array" aca="1" ref="J908" ca="1">IFERROR(VLOOKUP(LEFT(INDIRECT("'Coverage Indicators - Section D'!D"&amp;$B908),255),LEFT('Reference Records'!C66:F270,255),4,0),"")</f>
        <v/>
      </c>
      <c r="K908" s="497" t="str">
        <f ca="1">IFERROR(VLOOKUP(IF(INDIRECT("'Coverage Indicators - Section D'!B"&amp;$B908)="","--select--",INDIRECT("'Coverage Indicators - Section D'!B"&amp;$B908)),'Overview - Section A'!C$117:D183,2,0),"")</f>
        <v>M-54180</v>
      </c>
      <c r="L908" s="503">
        <f t="shared" ca="1" si="120"/>
        <v>2019</v>
      </c>
      <c r="M908" s="497" t="str">
        <f ca="1">IFERROR(VLOOKUP(INDIRECT("'Coverage Indicators - Section D'!C"&amp;$B908),'Reference Records'!C$621:F784,3,0),"")</f>
        <v>MCI-01153</v>
      </c>
      <c r="N908" s="503" t="str">
        <f t="shared" ca="1" si="121"/>
        <v>HTS- Other 3 Percentage of HIV positive results among the total of HIV tests performed in FSW during the reporting period</v>
      </c>
      <c r="O908" s="497" t="str">
        <f t="shared" ca="1" si="122"/>
        <v>El Salvador</v>
      </c>
      <c r="P908" s="503" t="str">
        <f t="shared" ca="1" si="123"/>
        <v>Geographic National, 100% of national program target</v>
      </c>
      <c r="Q908" s="503" t="str">
        <f t="shared" ca="1" si="124"/>
        <v/>
      </c>
      <c r="R908" s="497" t="b">
        <f t="shared" ca="1" si="125"/>
        <v>1</v>
      </c>
      <c r="S908" s="503" t="str">
        <f ca="1">IFERROR(VLOOKUP(INDIRECT("'Coverage Indicators - Section D'!L"&amp;$B908),'Overview - Section A'!M$31:P98,4,0),IFERROR(IF(VLOOKUP(INDIRECT("'Coverage Indicators - Section D'!L"&amp;$B908),'Overview - Section A'!E$27:I95,5,0)=0,"",VLOOKUP(INDIRECT("'Coverage Indicators - Section D'!L"&amp;$B908),'Overview - Section A'!E$27:I95,5,0)),""))</f>
        <v>a123p000007FHAgAAO</v>
      </c>
      <c r="T908" s="503" t="str">
        <f t="shared" ca="1" si="126"/>
        <v>HTS-Other 3 Porcentaje de resultados de VIH positivos entre el total de pruebas de VIH realizadas en trabajadoras sexuales</v>
      </c>
      <c r="U908" s="503" t="str">
        <f t="shared" ca="1" si="127"/>
        <v>SUMEVE</v>
      </c>
      <c r="V908" s="503" t="str">
        <f t="shared" ca="1" si="128"/>
        <v xml:space="preserve">Línea de base de este indicador  0.24%  coorresponde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casi 1 punto porcentual,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
</v>
      </c>
      <c r="W908" s="503"/>
      <c r="X908" s="503"/>
      <c r="Y908" s="497"/>
      <c r="Z908" s="497"/>
      <c r="AA908" s="503"/>
      <c r="AB908" s="503"/>
      <c r="AC908" s="497"/>
      <c r="AD908" s="497"/>
      <c r="AE908" s="497"/>
      <c r="AF908" s="512"/>
      <c r="AG908" s="503"/>
    </row>
    <row r="909" spans="1:33" x14ac:dyDescent="0.35">
      <c r="A909" s="497" t="b">
        <f t="shared" ca="1" si="114"/>
        <v>1</v>
      </c>
      <c r="B909" s="498">
        <f t="shared" si="129"/>
        <v>19</v>
      </c>
      <c r="C909" s="510" t="str">
        <f>IFERROR(IF(AND(H909=2,B909=7),"blank",INDEX(C$842:C909,H909,1)),"")</f>
        <v>a183p000006ZUf0AAG</v>
      </c>
      <c r="D909" s="500" t="str">
        <f t="shared" ca="1" si="115"/>
        <v/>
      </c>
      <c r="E909" s="512" t="str">
        <f t="shared" ca="1" si="116"/>
        <v/>
      </c>
      <c r="F909" s="512">
        <f t="shared" ca="1" si="117"/>
        <v>1328</v>
      </c>
      <c r="G909" s="503" t="str">
        <f t="shared" ca="1" si="118"/>
        <v>Case Record Book (PCT-5)</v>
      </c>
      <c r="H909" s="498">
        <f t="shared" si="130"/>
        <v>8</v>
      </c>
      <c r="I909" s="503" t="str">
        <f t="shared" ca="1" si="119"/>
        <v>Target estimation assumption: The targets are established considering the contribution of TB cases of all forms in PPL estimated to be notified (728, 582 and 446) for the years 2022, 2023 and 2024, respectively. The TB burden in the prison system has been calculated based on the total incidence of the country according to the parameters of the End TB strategy, the percentage burden of TB in the PPL in recent years and considering the impact of the Covid - 19 pandemic; however, detection actions have continued with greater effort and seeking to resolve the limitations.  Notification data will be reviewed annually, since it is expected that the interventions of detection and success of sustained treatment in PPL impact cutting in the chain of transmission in these confinement centers, so the goals may require some adjustment.
Methods of measurement:
Numerator: total TB cases all forms (new and relapsed) reported in the population deprived of liberty in the period to be evaluated. expressed as a whole number.
Verification of this indicator will be subject to the verification method established for the results-based financing modality and set forth in the grant agreement.
Source of information: Case Log Book (PCT-5).
Periodicity annual NON-CUMULATIVE (absolute number), countrywide, entire prison system.</v>
      </c>
      <c r="J909" s="497" t="str">
        <f t="array" aca="1" ref="J909" ca="1">IFERROR(VLOOKUP(LEFT(INDIRECT("'Coverage Indicators - Section D'!D"&amp;$B909),255),LEFT('Reference Records'!C67:F271,255),4,0),"")</f>
        <v>MCI-01080</v>
      </c>
      <c r="K909" s="497" t="str">
        <f ca="1">IFERROR(VLOOKUP(IF(INDIRECT("'Coverage Indicators - Section D'!B"&amp;$B909)="","--select--",INDIRECT("'Coverage Indicators - Section D'!B"&amp;$B909)),'Overview - Section A'!C$117:D184,2,0),"")</f>
        <v>M-54195</v>
      </c>
      <c r="L909" s="503">
        <f t="shared" ca="1" si="120"/>
        <v>2019</v>
      </c>
      <c r="M909" s="497" t="str">
        <f ca="1">IFERROR(VLOOKUP(INDIRECT("'Coverage Indicators - Section D'!C"&amp;$B909),'Reference Records'!C$621:F785,3,0),"")</f>
        <v>MCI-01153</v>
      </c>
      <c r="N909" s="503" t="str">
        <f t="shared" ca="1" si="121"/>
        <v/>
      </c>
      <c r="O909" s="497" t="str">
        <f t="shared" ca="1" si="122"/>
        <v>El Salvador</v>
      </c>
      <c r="P909" s="503" t="str">
        <f t="shared" ca="1" si="123"/>
        <v>Geographic National, 100% of national program target</v>
      </c>
      <c r="Q909" s="503" t="str">
        <f t="shared" ca="1" si="124"/>
        <v/>
      </c>
      <c r="R909" s="497" t="b">
        <f t="shared" ca="1" si="125"/>
        <v>1</v>
      </c>
      <c r="S909" s="503" t="str">
        <f ca="1">IFERROR(VLOOKUP(INDIRECT("'Coverage Indicators - Section D'!L"&amp;$B909),'Overview - Section A'!M$31:P99,4,0),IFERROR(IF(VLOOKUP(INDIRECT("'Coverage Indicators - Section D'!L"&amp;$B909),'Overview - Section A'!E$27:I96,5,0)=0,"",VLOOKUP(INDIRECT("'Coverage Indicators - Section D'!L"&amp;$B909),'Overview - Section A'!E$27:I96,5,0)),""))</f>
        <v>a123p000007FHAgAAO</v>
      </c>
      <c r="T909" s="503" t="str">
        <f t="shared" ca="1" si="126"/>
        <v/>
      </c>
      <c r="U909" s="503" t="str">
        <f t="shared" ca="1" si="127"/>
        <v>Libro de Registro de Casos (PCT-5)</v>
      </c>
      <c r="V909" s="503" t="str">
        <f t="shared" ca="1" si="128"/>
        <v>Línea de base: corresponde al número total de casos de TB todas las formas en los PPL para el periodo de Enero a Diciembre 2019. (1,328)  fuente de información libro de registro de casos (PCT-5). 
Supuesto de estimación de metas: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Metodos de medición:
Numerador: total de casos de TB todas las formas (nuevos y recaídas) notificados en la población privada de libertad en el periodo a evaluar. se expresa en numero entero.
La verificación de este indicador estará sujeta al método de verificación establecido para la modalidad de financiamiento basado en resultados y establecido en el acuerdo de subvención.
Fuente de Información: Libro de Registro de Casos (PCT-5).
Periodicidad anual NO ACUMULATIVO (número absoluto), todo el país, todo el sistema penitenciario.</v>
      </c>
      <c r="W909" s="503"/>
      <c r="X909" s="503"/>
      <c r="Y909" s="497"/>
      <c r="Z909" s="497"/>
      <c r="AA909" s="503"/>
      <c r="AB909" s="503"/>
      <c r="AC909" s="497"/>
      <c r="AD909" s="497"/>
      <c r="AE909" s="497"/>
      <c r="AF909" s="512"/>
      <c r="AG909" s="503"/>
    </row>
    <row r="910" spans="1:33" x14ac:dyDescent="0.35">
      <c r="A910" s="497" t="b">
        <f t="shared" ca="1" si="114"/>
        <v>1</v>
      </c>
      <c r="B910" s="498">
        <f t="shared" si="129"/>
        <v>21</v>
      </c>
      <c r="C910" s="510" t="str">
        <f>IFERROR(IF(AND(H910=2,B910=7),"blank",INDEX(C$842:C910,H910,1)),"")</f>
        <v>a183p000006ZUeZAAW</v>
      </c>
      <c r="D910" s="500">
        <f t="shared" ca="1" si="115"/>
        <v>45.448836350203173</v>
      </c>
      <c r="E910" s="512">
        <f t="shared" ca="1" si="116"/>
        <v>54140</v>
      </c>
      <c r="F910" s="512">
        <f t="shared" ca="1" si="117"/>
        <v>24606</v>
      </c>
      <c r="G910" s="503" t="str">
        <f t="shared" ca="1" si="118"/>
        <v>SIGPRO</v>
      </c>
      <c r="H910" s="498">
        <f t="shared" si="130"/>
        <v>9</v>
      </c>
      <c r="I910" s="503" t="str">
        <f t="shared" ca="1" si="119"/>
        <v>Baseline: 45.45% this includes the efforts of FM and PEPFAR
Generated from the Project Management Information System (SIGPRO) computer system used by the PR PLAN to record and manage data in an integral way of all the components of the grant (financial, programmatic and administrative).
Numerator: Number of MSM covered by HIV prevention programs; defined package of services.
Denominator: corresponds to the estimate of the population size of MSM, with a national extrapolation, within the framework of the ECVC carried out in 2016. The denominator is considered stable because there are no measurements to know if it has increased or decreased, it is expected to have new data in 2023 with the study that is planned to be carried out during the year 2022.
Source: for the numerator it will be the Project Management Information System (SIGPRO) under the coordination of the PR Plan and SIAP / VICITS, for the denominator size estimation of MSM according to ECVC 2016. It is proposed that the updating of the data be considered for the denominator once the data from the population size study in 2023 are available.
Assumptions:
The targets reflect the national coverage to be achieved with prevention packages for MSM remaining for the 3 years as follows:
Year 1: Global Fund (68%) and with an estimated 32% for PEPFAR based on the last goal of the current fiscal period, 8,885 prevention packages; the following years will depend on the approval of each budget in the following years of PEPFAR, but a similar figure would be expected.
This intervention will be coordinated through prevention teams made up of peer educators, agents of change. For this proposal, it is expected to reach the MSM population through joint work between the 2 PRs and the SRs through two intervention strategies, one with a face-to-face approach and through a virtual / online strategy, being then the distribution for the three years: 18,726 for year 1, 21,433 for year 2 and 24,140 for year 3. Regarding the contribution of the indicator by PEPFAR, the PR Plan team would be coordinating with PEPFAR periodically to make the crossing of the Plan database with that of PEPFAR and thus verify and refine the UCIs lists, and complement the data for the final national report.
Key interventions:
A person reached is considered when a prevention package has been delivered that includes the delivery to one or more contacts of: 1 CCC intervention of combined prevention carried out in person or virtually online, plus the delivery of 48 condoms + 3 lubricants in tube + 20 lubricants in sachets in one year.
The primary source is the F1 form (CCC interventions and supplies) with a unique identification code (CUI) for each person who receives one or more services from the package. Form F2 and F4 (control of delivery of inputs to educators) will be used as a source of cross control.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v>
      </c>
      <c r="J910" s="497" t="str">
        <f t="array" aca="1" ref="J910" ca="1">IFERROR(VLOOKUP(LEFT(INDIRECT("'Coverage Indicators - Section D'!D"&amp;$B910),255),LEFT('Reference Records'!C68:F272,255),4,0),"")</f>
        <v>MCI-01045</v>
      </c>
      <c r="K910" s="497" t="str">
        <f ca="1">IFERROR(VLOOKUP(IF(INDIRECT("'Coverage Indicators - Section D'!B"&amp;$B910)="","--select--",INDIRECT("'Coverage Indicators - Section D'!B"&amp;$B910)),'Overview - Section A'!C$117:D185,2,0),"")</f>
        <v>M-54182</v>
      </c>
      <c r="L910" s="503">
        <f t="shared" ca="1" si="120"/>
        <v>2019</v>
      </c>
      <c r="M910" s="497" t="str">
        <f ca="1">IFERROR(VLOOKUP(INDIRECT("'Coverage Indicators - Section D'!C"&amp;$B910),'Reference Records'!C$621:F786,3,0),"")</f>
        <v>MCI-01138</v>
      </c>
      <c r="N910" s="503" t="str">
        <f t="shared" ca="1" si="121"/>
        <v/>
      </c>
      <c r="O910" s="497" t="str">
        <f t="shared" ca="1" si="122"/>
        <v>El Salvador</v>
      </c>
      <c r="P910" s="503" t="str">
        <f t="shared" ca="1" si="123"/>
        <v>Geographic National, 100% of national program target</v>
      </c>
      <c r="Q910" s="503" t="str">
        <f t="shared" ca="1" si="124"/>
        <v/>
      </c>
      <c r="R910" s="497" t="b">
        <f t="shared" ca="1" si="125"/>
        <v>0</v>
      </c>
      <c r="S910" s="503" t="str">
        <f ca="1">IFERROR(VLOOKUP(INDIRECT("'Coverage Indicators - Section D'!L"&amp;$B910),'Overview - Section A'!M$31:P100,4,0),IFERROR(IF(VLOOKUP(INDIRECT("'Coverage Indicators - Section D'!L"&amp;$B910),'Overview - Section A'!E$27:I97,5,0)=0,"",VLOOKUP(INDIRECT("'Coverage Indicators - Section D'!L"&amp;$B910),'Overview - Section A'!E$27:I97,5,0)),""))</f>
        <v>a123p000007FHAgAAO</v>
      </c>
      <c r="T910" s="503" t="str">
        <f t="shared" ca="1" si="126"/>
        <v/>
      </c>
      <c r="U910" s="503" t="str">
        <f t="shared" ca="1" si="127"/>
        <v>SIGPRO</v>
      </c>
      <c r="V910" s="503" t="str">
        <f t="shared" ca="1" si="128"/>
        <v>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posteriormente cuando se haya concretado los ajustes del módulo de prevención del SUMEVE, está información será brindada de esté sistema bajo la coordinación del RP Plan,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24 condones + 1 lubricantes en tubo + 20 lubricantes en sobres en un año, estas cantidades se han cambiado, ya que durante los dialogos comunitarios que se realizaron con las poblaciones claves, los HSH sugirieron las cantidades anteriormente descritas.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W910" s="503"/>
      <c r="X910" s="503"/>
      <c r="Y910" s="497"/>
      <c r="Z910" s="497"/>
      <c r="AA910" s="503"/>
      <c r="AB910" s="503"/>
      <c r="AC910" s="497"/>
      <c r="AD910" s="497"/>
      <c r="AE910" s="497"/>
      <c r="AF910" s="512"/>
      <c r="AG910" s="503"/>
    </row>
    <row r="911" spans="1:33" x14ac:dyDescent="0.35">
      <c r="A911" s="497" t="b">
        <f t="shared" ca="1" si="114"/>
        <v>1</v>
      </c>
      <c r="B911" s="498">
        <f t="shared" si="129"/>
        <v>23</v>
      </c>
      <c r="C911" s="510" t="str">
        <f>IFERROR(IF(AND(H911=2,B911=7),"blank",INDEX(C$842:C911,H911,1)),"")</f>
        <v>a183p000006ZUf1AAG</v>
      </c>
      <c r="D911" s="500">
        <f t="shared" ca="1" si="115"/>
        <v>93.753200204813098</v>
      </c>
      <c r="E911" s="512">
        <f t="shared" ca="1" si="116"/>
        <v>1953</v>
      </c>
      <c r="F911" s="512">
        <f t="shared" ca="1" si="117"/>
        <v>1831</v>
      </c>
      <c r="G911" s="503" t="str">
        <f t="shared" ca="1" si="118"/>
        <v>Case Record Book (PCT-5)</v>
      </c>
      <c r="H911" s="498">
        <f t="shared" si="130"/>
        <v>10</v>
      </c>
      <c r="I911" s="503" t="str">
        <f t="shared" ca="1" si="119"/>
        <v>Target Estimate Assumption: Having had a positive impact through the educational program within the prison system through actors and sectors (peers, volunteers, churches, MINED, among others) in order to improve the effectiveness of the treatment and thus impact on the decrease in drug resistance and mortality and increased treatment success; For this reason, not only search, treatment and education activities will be carried out; but at the highest political level to continue with the interventions, cut the chain of transmission and begin to reduce the incidence in the population deprived of liberty.
For the report of this indicator, the cohort available to report will be taken, which is that of the previous year, since those who entered from January to December 2020 will end their treatment in September 2021, therefore this cohort will be reported in March 2022 and so on.
The targets established for the PPL are different from those of the general population, due to being a population of high vulnerability and risk (violence, overcrowding, malnutrition, associated comorbidity). Therefore, in the treatment success cohorts, direct causes of death will be excluded, such as: violent death or whose direct basic cause of death is another pathology not associated with TB.
For this reason, the country undertakes to achieve  95% coverage as target for the three years of the grant.
The Global Fund's contribution to national targets corresponds to the following:
2022: 49.4%
2023: 49.5%
2024: 49.5%
Numerator: total of TB cases of all forms successfully treated (cured plus full treatment) in the population deprived of liberty in the period to be evaluated.
Denominator: total tuberculosis cases of all forms diagnosed in PPL and admitted to the treatment cohort in the period to be evaluated, expressed as a percentage.
Information Source: PCT-5 Case Registry Book.
Non-cumulative annual periodicity, the entire country, the entire prison system</v>
      </c>
      <c r="J911" s="497" t="str">
        <f t="array" aca="1" ref="J911" ca="1">IFERROR(VLOOKUP(LEFT(INDIRECT("'Coverage Indicators - Section D'!D"&amp;$B911),255),LEFT('Reference Records'!C69:F273,255),4,0),"")</f>
        <v/>
      </c>
      <c r="K911" s="497" t="str">
        <f ca="1">IFERROR(VLOOKUP(IF(INDIRECT("'Coverage Indicators - Section D'!B"&amp;$B911)="","--select--",INDIRECT("'Coverage Indicators - Section D'!B"&amp;$B911)),'Overview - Section A'!C$117:D186,2,0),"")</f>
        <v>M-54195</v>
      </c>
      <c r="L911" s="503">
        <f t="shared" ca="1" si="120"/>
        <v>2018</v>
      </c>
      <c r="M911" s="497" t="str">
        <f ca="1">IFERROR(VLOOKUP(INDIRECT("'Coverage Indicators - Section D'!C"&amp;$B911),'Reference Records'!C$621:F787,3,0),"")</f>
        <v>MCI-01153</v>
      </c>
      <c r="N911" s="503" t="str">
        <f t="shared" ca="1" si="121"/>
        <v>TCP - other -1: Percentage of all TB cases among PPL successfully treated among the total of all reported TB cases</v>
      </c>
      <c r="O911" s="497" t="str">
        <f t="shared" ca="1" si="122"/>
        <v>El Salvador</v>
      </c>
      <c r="P911" s="503" t="str">
        <f t="shared" ca="1" si="123"/>
        <v>Geographic National, 100% of national program target</v>
      </c>
      <c r="Q911" s="503" t="str">
        <f t="shared" ca="1" si="124"/>
        <v/>
      </c>
      <c r="R911" s="497" t="b">
        <f t="shared" ca="1" si="125"/>
        <v>1</v>
      </c>
      <c r="S911" s="503" t="str">
        <f ca="1">IFERROR(VLOOKUP(INDIRECT("'Coverage Indicators - Section D'!L"&amp;$B911),'Overview - Section A'!M$31:P101,4,0),IFERROR(IF(VLOOKUP(INDIRECT("'Coverage Indicators - Section D'!L"&amp;$B911),'Overview - Section A'!E$27:I98,5,0)=0,"",VLOOKUP(INDIRECT("'Coverage Indicators - Section D'!L"&amp;$B911),'Overview - Section A'!E$27:I98,5,0)),""))</f>
        <v>a123p000007FHAgAAO</v>
      </c>
      <c r="T911" s="503" t="str">
        <f t="shared" ca="1" si="126"/>
        <v>TCP - other -1: Porcentaje de casos todas las formas de TB entre PPL tratados exitosamente entre el total de casos todas las formas notificados</v>
      </c>
      <c r="U911" s="503" t="str">
        <f t="shared" ca="1" si="127"/>
        <v>Libro de Registro de Casos (PCT-5)</v>
      </c>
      <c r="V911" s="503" t="str">
        <f t="shared" ca="1" si="128"/>
        <v>Supuesto estimación de metas: El haber impactado positivamente a través del programa educativo al interior del sistema penitenciario por medio de actores y sectores (pares, voluntarios, iglesias, MINED, entre otros) a fin de que se mejore la eficacia del tratamiento y con ello impactar en la disminución de la farmacorresitencia y mortalidad y aumento de la curación; por este motivo se ejecutarán actividades no solo de búsqueda, tratamiento y educación; sino al más alto nivel político para continuar con las intervenciones, cortar la cadena de transmisión e iniciar la disminución de la incidencia en la población privada de libertad.
Para el reporte de este indicador, se tomará la cohorte disponible a reportar, la cual es la del año anterior, ya que, los que ingresaron de Enero a Diciembre 2020 finalizaran su tratamiento en Septiembre del año 2021, por lo tanto está cohorte será reportada en Marzo 2022 y así sucesivamente. 
Las metas establecidas para la PPL son diferentes a la de la población general, debido a ser una población de alta vulnerabilidad y riesgo (violencia, hacinamiento, desnutrición, comorbilidad asociada). Por lo que en las cohortes de éxito de tratamiento se excluirán las causas directas de muerte como: muerte violenta o cuya causa básica directa de muerte es otra patología no asociada a TB.
Por tal razón, el país se compromete a alcanzar una cobertura del  95% para los tres años de la subvención.
La contribución del Fondo Mundial a las metas nacionales corresponde a la siguiente:
2022: 49.4%
2023:49.5%
2024:49.5%
Numerador: total de casos de TB todas las formas tratados exitosamente (curados más tratamiento completo) en la población privada de libertad en el periodo a evaluar.
Denominador: total de casos de tuberculosis todas las formas diagnosticados en PPL  e ingresados a la cohorte de tratamiento en el periodo a evaluar expresado en porcentaje.
Fuente de Información: Libro de Registro de Casos PCT-5.
Periodicidad anual no acumulativo, todo el país, todo el sistema penitenciario</v>
      </c>
      <c r="W911" s="503"/>
      <c r="X911" s="503"/>
      <c r="Y911" s="497"/>
      <c r="Z911" s="497"/>
      <c r="AA911" s="503"/>
      <c r="AB911" s="503"/>
      <c r="AC911" s="497"/>
      <c r="AD911" s="497"/>
      <c r="AE911" s="497"/>
      <c r="AF911" s="512"/>
      <c r="AG911" s="503"/>
    </row>
    <row r="912" spans="1:33" x14ac:dyDescent="0.35">
      <c r="A912" s="497" t="b">
        <f t="shared" ca="1" si="114"/>
        <v>1</v>
      </c>
      <c r="B912" s="498">
        <f t="shared" si="129"/>
        <v>25</v>
      </c>
      <c r="C912" s="510" t="str">
        <f>IFERROR(IF(AND(H912=2,B912=7),"blank",INDEX(C$842:C912,H912,1)),"")</f>
        <v>a183p000006ZUeaAAG</v>
      </c>
      <c r="D912" s="500">
        <f t="shared" ca="1" si="115"/>
        <v>72.401790154152167</v>
      </c>
      <c r="E912" s="512">
        <f t="shared" ca="1" si="116"/>
        <v>2011</v>
      </c>
      <c r="F912" s="512">
        <f t="shared" ca="1" si="117"/>
        <v>1456</v>
      </c>
      <c r="G912" s="503" t="str">
        <f t="shared" ca="1" si="118"/>
        <v>SIGPRO</v>
      </c>
      <c r="H912" s="498">
        <f t="shared" si="130"/>
        <v>11</v>
      </c>
      <c r="I912" s="503" t="str">
        <f t="shared" ca="1" si="119"/>
        <v>Baseline: 72.4%
Generated from the Project Management Information System (SIGPRO) computer system used by the RP PLAN for the registration and management of data in an integral way of all the components of the grant (financial, programmatic and administrative).
Numerator: Number of transgender women covered by HIV prevention programs; defined package of services.
Denominator: corresponds to the estimate of the population size of transgender women, with a national extrapolation, within the framework of the ECVC carried out in 2014. The denominator is considered stable because there are no measurements to know if it has increased or decreased, it is expected to have new data in 2023 with the study that is planned to be carried out in 2022.
Source: for the numerator it will be the Project Management Information System (SIGPRO) under the coordination of the RP Plan and the denominator will be an estimate of the size of transgender women. It is proposed that the updating of the data for the denominator be considered once the data obtained from the population size study in 2023 is available.
Assumptions:
The targets reflect the national coverage to be achieved with prevention packages for trans women with resources from the Global Fund through prevention teams made up of peer educators. For this proposal, it is expected to reach the population of trans women through joint work between the 2 PRs and the SRs through two intervention strategies, one with face-to-face approaches and through a virtual / online strategy, being then the distribution for the three years: 1,709 for year 1, 1,729 for year 2 and 1,749 for year 3.
Key interventions:
A person reached is considered when a prevention package has been delivered that includes the delivery to one or more contacts of: 1 CCC intervention of combined prevention carried out in person or virtually online plus the delivery of 144 condoms + 6 lubricants in tube .
Measurement methods:
The primary source is form F1 (CCC interventions and supplies) with a unique identification code (UCI) for each person who receives one or more services from the package. Forms F2 and F4 (input delivery controls to educators) will be used as a source of cross-checking.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v>
      </c>
      <c r="J912" s="497" t="str">
        <f t="array" aca="1" ref="J912" ca="1">IFERROR(VLOOKUP(LEFT(INDIRECT("'Coverage Indicators - Section D'!D"&amp;$B912),255),LEFT('Reference Records'!C70:F274,255),4,0),"")</f>
        <v>MCI-01046</v>
      </c>
      <c r="K912" s="497" t="str">
        <f ca="1">IFERROR(VLOOKUP(IF(INDIRECT("'Coverage Indicators - Section D'!B"&amp;$B912)="","--select--",INDIRECT("'Coverage Indicators - Section D'!B"&amp;$B912)),'Overview - Section A'!C$117:D187,2,0),"")</f>
        <v>M-54182</v>
      </c>
      <c r="L912" s="503">
        <f t="shared" ca="1" si="120"/>
        <v>2019</v>
      </c>
      <c r="M912" s="497" t="str">
        <f ca="1">IFERROR(VLOOKUP(INDIRECT("'Coverage Indicators - Section D'!C"&amp;$B912),'Reference Records'!C$621:F788,3,0),"")</f>
        <v>MCI-01139</v>
      </c>
      <c r="N912" s="503" t="str">
        <f t="shared" ca="1" si="121"/>
        <v/>
      </c>
      <c r="O912" s="497" t="str">
        <f t="shared" ca="1" si="122"/>
        <v>El Salvador</v>
      </c>
      <c r="P912" s="503" t="str">
        <f t="shared" ca="1" si="123"/>
        <v>Geographic National, 100% of national program target</v>
      </c>
      <c r="Q912" s="503" t="str">
        <f t="shared" ca="1" si="124"/>
        <v/>
      </c>
      <c r="R912" s="497" t="b">
        <f t="shared" ca="1" si="125"/>
        <v>0</v>
      </c>
      <c r="S912" s="503" t="str">
        <f ca="1">IFERROR(VLOOKUP(INDIRECT("'Coverage Indicators - Section D'!L"&amp;$B912),'Overview - Section A'!M$31:P102,4,0),IFERROR(IF(VLOOKUP(INDIRECT("'Coverage Indicators - Section D'!L"&amp;$B912),'Overview - Section A'!E$27:I99,5,0)=0,"",VLOOKUP(INDIRECT("'Coverage Indicators - Section D'!L"&amp;$B912),'Overview - Section A'!E$27:I99,5,0)),""))</f>
        <v>a123p000007FHAgAAO</v>
      </c>
      <c r="T912" s="503" t="str">
        <f t="shared" ca="1" si="126"/>
        <v/>
      </c>
      <c r="U912" s="503" t="str">
        <f t="shared" ca="1" si="127"/>
        <v>SIGPRO</v>
      </c>
      <c r="V912" s="503" t="str">
        <f t="shared" ca="1" si="128"/>
        <v>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durante el primer año se reprotará los resultados registrados en el nuevo sistema de información  de Gestión de Proyectos (SIGPRO), posteriormente, cuando se haya concretado los ajustes del módulo de prevención del SUMEVE, está información será brindada de dicho sistema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288 condones + 15 lubricantes en tubo y además se les agregarán 20 sobres de lubricantes en sachet, estás cantidades, han sido sugeridas por las mujeres trans durante los dialogos comunitarios que se llevaron a cabo en la consultoría.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W912" s="503"/>
      <c r="X912" s="503"/>
      <c r="Y912" s="497"/>
      <c r="Z912" s="497"/>
      <c r="AA912" s="503"/>
      <c r="AB912" s="503"/>
      <c r="AC912" s="497"/>
      <c r="AD912" s="497"/>
      <c r="AE912" s="497"/>
      <c r="AF912" s="512"/>
      <c r="AG912" s="503"/>
    </row>
    <row r="913" spans="1:33" x14ac:dyDescent="0.35">
      <c r="A913" s="497" t="b">
        <f t="shared" ca="1" si="114"/>
        <v>1</v>
      </c>
      <c r="B913" s="498">
        <f t="shared" si="129"/>
        <v>27</v>
      </c>
      <c r="C913" s="510" t="str">
        <f>IFERROR(IF(AND(H913=2,B913=7),"blank",INDEX(C$842:C913,H913,1)),"")</f>
        <v>a183p000006ZUf2AAG</v>
      </c>
      <c r="D913" s="500" t="str">
        <f t="shared" ca="1" si="115"/>
        <v/>
      </c>
      <c r="E913" s="512" t="str">
        <f t="shared" ca="1" si="116"/>
        <v/>
      </c>
      <c r="F913" s="512">
        <f t="shared" ca="1" si="117"/>
        <v>3009</v>
      </c>
      <c r="G913" s="503" t="str">
        <f t="shared" ca="1" si="118"/>
        <v>Case Record Book (PCT-5)</v>
      </c>
      <c r="H913" s="498">
        <f t="shared" si="130"/>
        <v>12</v>
      </c>
      <c r="I913" s="503" t="str">
        <f t="shared" ca="1" si="119"/>
        <v>Baseline: corresponds to the total number of TB cases in all forms notified by the country for the period from January to December 2019. (3,009) source of information PCT - 5: case registry book.
Target estimate assumption: The estimated number of TB cases has been calculated based on the incidence for the years 2022 to 2026, taking as reference table 2.1 of the document: "Implementation of the End of TB strategy: Essential Aspects "from WHO and the estimated projection from the essential country data table. In which the year 2015 is taken as the reference year (2,452 cases and a rate of 39 per 100,000 inhabitants); and that in 2020 the reduction in the incidence rate is 5% less than in 2015; obtaining a rate of 34 per 100,000 inhabitants, which corresponds to 2,300 cases.
In this sense, the populations estimated by DIGESTYC for the years of the subsidy are: for the year 2022 a total population of 6,884,888 is estimated with an estimated rate of 30.2, giving us an estimated total incidence of TB cases of all forms of 2,080; For the year 2023 the projected population is 6,942,799 with an estimated rate of 27.9 gives us an estimated incidence of 1,940 cases of TB all forms and for the year 2024 with an estimated rate of 25.5 gives us an estimated incidence of TB cases all the forms of 1,785. It is worth mentioning that the targetss could require some adjustment to the report of the first year of execution of the grant.
Numerator: total TB cases of all forms (new and relapses) reported in the period to be evaluated. It is expressed as a whole number
Information Source: Case Registry Book (PCT-5).
NON-CUMULATIVE annual frequency (absolute number).</v>
      </c>
      <c r="J913" s="497" t="str">
        <f t="array" aca="1" ref="J913" ca="1">IFERROR(VLOOKUP(LEFT(INDIRECT("'Coverage Indicators - Section D'!D"&amp;$B913),255),LEFT('Reference Records'!C71:F275,255),4,0),"")</f>
        <v>MCI-01076</v>
      </c>
      <c r="K913" s="497" t="str">
        <f ca="1">IFERROR(VLOOKUP(IF(INDIRECT("'Coverage Indicators - Section D'!B"&amp;$B913)="","--select--",INDIRECT("'Coverage Indicators - Section D'!B"&amp;$B913)),'Overview - Section A'!C$117:D188,2,0),"")</f>
        <v>M-54195</v>
      </c>
      <c r="L913" s="503">
        <f t="shared" ca="1" si="120"/>
        <v>2019</v>
      </c>
      <c r="M913" s="497" t="str">
        <f ca="1">IFERROR(VLOOKUP(INDIRECT("'Coverage Indicators - Section D'!C"&amp;$B913),'Reference Records'!C$621:F789,3,0),"")</f>
        <v>MCI-01153</v>
      </c>
      <c r="N913" s="503" t="str">
        <f t="shared" ca="1" si="121"/>
        <v/>
      </c>
      <c r="O913" s="497" t="str">
        <f t="shared" ca="1" si="122"/>
        <v>El Salvador</v>
      </c>
      <c r="P913" s="503" t="str">
        <f t="shared" ca="1" si="123"/>
        <v>Geographic National, 100% of national program target</v>
      </c>
      <c r="Q913" s="503" t="str">
        <f t="shared" ca="1" si="124"/>
        <v/>
      </c>
      <c r="R913" s="497" t="b">
        <f t="shared" ca="1" si="125"/>
        <v>1</v>
      </c>
      <c r="S913" s="503" t="str">
        <f ca="1">IFERROR(VLOOKUP(INDIRECT("'Coverage Indicators - Section D'!L"&amp;$B913),'Overview - Section A'!M$31:P103,4,0),IFERROR(IF(VLOOKUP(INDIRECT("'Coverage Indicators - Section D'!L"&amp;$B913),'Overview - Section A'!E$27:I100,5,0)=0,"",VLOOKUP(INDIRECT("'Coverage Indicators - Section D'!L"&amp;$B913),'Overview - Section A'!E$27:I100,5,0)),""))</f>
        <v>a123p000007FHAgAAO</v>
      </c>
      <c r="T913" s="503" t="str">
        <f t="shared" ca="1" si="126"/>
        <v/>
      </c>
      <c r="U913" s="503" t="str">
        <f t="shared" ca="1" si="127"/>
        <v>Libro de Registro de Casos (PCT-5)</v>
      </c>
      <c r="V913" s="503" t="str">
        <f t="shared" ca="1" si="128"/>
        <v>Línea de base: corresponde al número total de casos de TB todas las formas notificados por el país para el periodo de Enero a Diciembre 2019. (3,009)  fuente de información PCT - 5: libro de registro de casos . 
Supuesto de estimación de metas: El número de casos de TB estimados, ha sido calculado con base a la incidencia para los años 2022 al 2026, tomando como  referencia el cuadro 2.1 del documento: "implementación de la estrategia Fin de la TB: Aspectos Esenciales" de la OMS y la proyeccion estimada de la tabla de datos esenciales de país. En el cual se toma como año de referencia el año 2015 (2,452 casos y una tasa de 39 por 100,000 hab ); y que en el año 2020 la reducción de la tasa de incidencia es del 5% menos en relación al año 2015; obteniendo una tasa de 34 por 100,000 hab, que corresponde a 2,300 casos.
En tal sentido las poblaciones estimadas por la DIGESTYC para los años de la subvencion son: para el año 2022 se estima una poblacion total de 6,884,888 con una tasa estimada de 30.2 dandonos una incidencia estimada total de casos de TB todas las formas de 2,080; para el año 2023 la poblacion proyectada es de 6,942,799 con una tasa estimada de 27.9 nos brinda una incidencia estimada de 1,940 casos de TB todas las formas y para el año 2024 con una tasa estimada de 25.5 nos da una incidencia estimada de casos de TB todas las formas de 1,785. Es de mencionar que las metas podrían requerir de algún ajuste al reporte del primer año de ejecucion de la subvencion.
Métodos de medición:
Numerador: total de casos de TB todas las formas (nuevos y recaídas) notificados en el periodo a evaluar. se expresa en numero entero
La verificación de este indicador estará sujeta al método de verificación establecido para la modalidad de financiamiento basado en resultados y establecido en el acuerdo de subvención.
Fuente de Información: Libro de Registro de Casos (PCT-5).
Periodicidad anual NO ACUMULATIVO (número absoluto).</v>
      </c>
      <c r="W913" s="503"/>
      <c r="X913" s="503"/>
      <c r="Y913" s="497"/>
      <c r="Z913" s="497"/>
      <c r="AA913" s="503"/>
      <c r="AB913" s="503"/>
      <c r="AC913" s="497"/>
      <c r="AD913" s="497"/>
      <c r="AE913" s="497"/>
      <c r="AF913" s="512"/>
      <c r="AG913" s="503"/>
    </row>
    <row r="914" spans="1:33" x14ac:dyDescent="0.35">
      <c r="A914" s="497" t="b">
        <f t="shared" ca="1" si="114"/>
        <v>1</v>
      </c>
      <c r="B914" s="498">
        <f t="shared" si="129"/>
        <v>29</v>
      </c>
      <c r="C914" s="510" t="str">
        <f>IFERROR(IF(AND(H914=2,B914=7),"blank",INDEX(C$842:C914,H914,1)),"")</f>
        <v>a183p000006ZUebAAG</v>
      </c>
      <c r="D914" s="500">
        <f t="shared" ca="1" si="115"/>
        <v>17.266299030507874</v>
      </c>
      <c r="E914" s="512">
        <f t="shared" ca="1" si="116"/>
        <v>44972</v>
      </c>
      <c r="F914" s="512">
        <f t="shared" ca="1" si="117"/>
        <v>7765</v>
      </c>
      <c r="G914" s="503" t="str">
        <f t="shared" ca="1" si="118"/>
        <v>SIGPRO</v>
      </c>
      <c r="H914" s="498">
        <f t="shared" si="130"/>
        <v>13</v>
      </c>
      <c r="I914" s="503" t="str">
        <f t="shared" ca="1" si="119"/>
        <v>Baseline: 17.27% this includes the efforts of FM and PEPFAR
Generated from the Project Management Information System (SIGPRO) computer system used by the PR PLAN for the registration and management of data in an integral way of all the components of the grant (financial, programmatic and administrative).
Numerator: Number of sex workers covered by HIV prevention programs (defined package of services)
Denominator: corresponds to the estimate of the population size of female sex workers, with a national extrapolation, within the framework of the ECVC carried out in 2016. The denominator is considered stable because there are no measurements to know if it has increased or decreased, it is expected have new data in 2023 with the study that is planned to be carried out in 2022.
Source: For the numerator it will be the Project Management Information System (SIGPRO) under the coordination of the RP Plan, for the denominator estimate of the population size of female sex workers according to ECVC 2016. It is proposed that the updating of the data be considered for the denominator once the data from the population size study in 2023 are available.
Assumptions:
The targets reflect the national coverage to be achieved with prevention packages for FSW with resources from the Global Fund through prevention teams made up of peer educators. For this proposal, it is expected to reach a larger population of HT because the target for this population turned out to be relatively low considering the demand of the population and the previous association between the prevention package with the HIV test, this is expected to be achieved through the joint work between the 2 PRs and the SRs through two intervention strategies, one with a face-to-face approach and the other through a virtual / online strategy, being then the distribution for the three years: 15,400 for year 1 , 17,500 for year 2 and 19,500 for year 3.
Key interventions:
A person reached is considered when a prevention package has been delivered that includes the delivery to one or more contacts of: 1 CCC intervention of combined prevention carried out in person or online virtually and the delivery of 144 condoms + 4 lubricants in tube + 26 lubricants in envelope.
Measurement methods:
The primary source is form F1 (CCC interventions and supplies) with a unique identification code (UCI) for each person who receives one or more services from the package. Form F2 and F4 (input delivery controls to educators) will be used as a source of cross control. The forms are digitized in SIGPRO to generate a database with the services provided by UCI, for deduplication and counting of people with complete packages electronically. For reporting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v>
      </c>
      <c r="J914" s="497" t="str">
        <f t="array" aca="1" ref="J914" ca="1">IFERROR(VLOOKUP(LEFT(INDIRECT("'Coverage Indicators - Section D'!D"&amp;$B914),255),LEFT('Reference Records'!C72:F276,255),4,0),"")</f>
        <v>MCI-01047</v>
      </c>
      <c r="K914" s="497" t="str">
        <f ca="1">IFERROR(VLOOKUP(IF(INDIRECT("'Coverage Indicators - Section D'!B"&amp;$B914)="","--select--",INDIRECT("'Coverage Indicators - Section D'!B"&amp;$B914)),'Overview - Section A'!C$117:D189,2,0),"")</f>
        <v>M-54182</v>
      </c>
      <c r="L914" s="503">
        <f t="shared" ca="1" si="120"/>
        <v>2019</v>
      </c>
      <c r="M914" s="497" t="str">
        <f ca="1">IFERROR(VLOOKUP(INDIRECT("'Coverage Indicators - Section D'!C"&amp;$B914),'Reference Records'!C$621:F790,3,0),"")</f>
        <v>MCI-01140</v>
      </c>
      <c r="N914" s="503" t="str">
        <f t="shared" ca="1" si="121"/>
        <v/>
      </c>
      <c r="O914" s="497" t="str">
        <f t="shared" ca="1" si="122"/>
        <v>El Salvador</v>
      </c>
      <c r="P914" s="503" t="str">
        <f t="shared" ca="1" si="123"/>
        <v>Geographic National, 100% of national program target</v>
      </c>
      <c r="Q914" s="503" t="str">
        <f t="shared" ca="1" si="124"/>
        <v/>
      </c>
      <c r="R914" s="497" t="b">
        <f t="shared" ca="1" si="125"/>
        <v>0</v>
      </c>
      <c r="S914" s="503" t="str">
        <f ca="1">IFERROR(VLOOKUP(INDIRECT("'Coverage Indicators - Section D'!L"&amp;$B914),'Overview - Section A'!M$31:P104,4,0),IFERROR(IF(VLOOKUP(INDIRECT("'Coverage Indicators - Section D'!L"&amp;$B914),'Overview - Section A'!E$27:I101,5,0)=0,"",VLOOKUP(INDIRECT("'Coverage Indicators - Section D'!L"&amp;$B914),'Overview - Section A'!E$27:I101,5,0)),""))</f>
        <v>a123p000007FHAgAAO</v>
      </c>
      <c r="T914" s="503" t="str">
        <f t="shared" ca="1" si="126"/>
        <v/>
      </c>
      <c r="U914" s="503" t="str">
        <f t="shared" ca="1" si="127"/>
        <v>SIGPRO</v>
      </c>
      <c r="V914" s="503" t="str">
        <f t="shared" ca="1" si="128"/>
        <v>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reprotará los resultados registrados en el nuevo sistema de información  de Gestión de Proyectos (SIGPRO), posteriormente, cuando se haya concretado los ajustes del módulo de prevención del SUMEVE, está información será brindada de dicho sistema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Para esta población, se mantiene las cantidades que se entregan actualmente, pues durante los dialogos comunitarios con las poblaciones claves, no se obtuvo comentarios que orientaran a realizar cambios de estos insumos.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W914" s="503"/>
      <c r="X914" s="503"/>
      <c r="Y914" s="497"/>
      <c r="Z914" s="497"/>
      <c r="AA914" s="503"/>
      <c r="AB914" s="503"/>
      <c r="AC914" s="497"/>
      <c r="AD914" s="497"/>
      <c r="AE914" s="497"/>
      <c r="AF914" s="512"/>
      <c r="AG914" s="503"/>
    </row>
    <row r="915" spans="1:33" x14ac:dyDescent="0.35">
      <c r="A915" s="497" t="b">
        <f t="shared" ca="1" si="114"/>
        <v>1</v>
      </c>
      <c r="B915" s="498">
        <f t="shared" si="129"/>
        <v>31</v>
      </c>
      <c r="C915" s="510" t="str">
        <f>IFERROR(IF(AND(H915=2,B915=7),"blank",INDEX(C$842:C915,H915,1)),"")</f>
        <v>a183p000006ZUf5AAG</v>
      </c>
      <c r="D915" s="500">
        <f t="shared" ca="1" si="115"/>
        <v>55.117814171122994</v>
      </c>
      <c r="E915" s="512">
        <f t="shared" ca="1" si="116"/>
        <v>23936</v>
      </c>
      <c r="F915" s="512">
        <f t="shared" ca="1" si="117"/>
        <v>13193</v>
      </c>
      <c r="G915" s="503" t="str">
        <f t="shared" ca="1" si="118"/>
        <v>SUMEVE</v>
      </c>
      <c r="H915" s="498">
        <f t="shared" si="130"/>
        <v>14</v>
      </c>
      <c r="I915" s="503" t="str">
        <f t="shared" ca="1" si="119"/>
        <v>Baseline: 55.12%
Generated by the unique system of monitoring, evaluation and epidemiological surveillance of HIV-AIDS (SUMEVE), this baseline includes the patients in ART of the Ministry of Health registered in SUMEVE which are reflected in the cascade of care, plus those of the ISSS that are not yet registered in SUMEVE are only registered under the information system of that institution.
Numerator: Number of people living with HIV receiving antiretroviral treatment at the time of the report.
Denominator: Estimated total number of people living with HIV based on Spectrum 2019 estimates and projections
The 2019 spectrum projections have been used for the denominators of the 3 years.
Source: SUMEVE for the numerator, the denominator will be reported as indicated in this performance framework.
Assumptions:
With the strategies proposed at the national level to find more HIV positive cases, it is estimated that each year approximately 1,400 new cases are diagnosed, to which ART will be initiated. Efforts are being made so that the Salvadoran Social Security Institute finishes incorporating its information into SUMEVE, since at the moment only the positives are diagnosed for it, the purification and crossing of information of the users that are currently being They are in ART in this institution, which will allow us to report a national data and with quality control of this indicator.
Because it is a focused country, no disaggregation is required.</v>
      </c>
      <c r="J915" s="497" t="str">
        <f t="array" aca="1" ref="J915" ca="1">IFERROR(VLOOKUP(LEFT(INDIRECT("'Coverage Indicators - Section D'!D"&amp;$B915),255),LEFT('Reference Records'!C73:F277,255),4,0),"")</f>
        <v>MCI-01073</v>
      </c>
      <c r="K915" s="497" t="str">
        <f ca="1">IFERROR(VLOOKUP(IF(INDIRECT("'Coverage Indicators - Section D'!B"&amp;$B915)="","--select--",INDIRECT("'Coverage Indicators - Section D'!B"&amp;$B915)),'Overview - Section A'!C$117:D190,2,0),"")</f>
        <v>M-54183</v>
      </c>
      <c r="L915" s="503">
        <f t="shared" ca="1" si="120"/>
        <v>2019</v>
      </c>
      <c r="M915" s="497" t="str">
        <f ca="1">IFERROR(VLOOKUP(INDIRECT("'Coverage Indicators - Section D'!C"&amp;$B915),'Reference Records'!C$621:F791,3,0),"")</f>
        <v>MCI-01166</v>
      </c>
      <c r="N915" s="503" t="str">
        <f t="shared" ca="1" si="121"/>
        <v/>
      </c>
      <c r="O915" s="497" t="str">
        <f t="shared" ca="1" si="122"/>
        <v>El Salvador</v>
      </c>
      <c r="P915" s="503" t="str">
        <f t="shared" ca="1" si="123"/>
        <v>Geographic National, 100% of national program target</v>
      </c>
      <c r="Q915" s="503" t="str">
        <f t="shared" ca="1" si="124"/>
        <v/>
      </c>
      <c r="R915" s="497" t="b">
        <f t="shared" ca="1" si="125"/>
        <v>1</v>
      </c>
      <c r="S915" s="503" t="str">
        <f ca="1">IFERROR(VLOOKUP(INDIRECT("'Coverage Indicators - Section D'!L"&amp;$B915),'Overview - Section A'!M$31:P105,4,0),IFERROR(IF(VLOOKUP(INDIRECT("'Coverage Indicators - Section D'!L"&amp;$B915),'Overview - Section A'!E$27:I102,5,0)=0,"",VLOOKUP(INDIRECT("'Coverage Indicators - Section D'!L"&amp;$B915),'Overview - Section A'!E$27:I102,5,0)),""))</f>
        <v>a123p000007FHAgAAO</v>
      </c>
      <c r="T915" s="503" t="str">
        <f t="shared" ca="1" si="126"/>
        <v/>
      </c>
      <c r="U915" s="503" t="str">
        <f t="shared" ca="1" si="127"/>
        <v>SUMEVE</v>
      </c>
      <c r="V915" s="503" t="str">
        <f t="shared" ca="1" si="128"/>
        <v>Línea de base: 55.12%
Generada por el Sistema único de monitoreo, evaluación y vigilancia epidemiológica del VIH-Sida (SUMEVE) , esta línea de base incluye los pacientes en TAR del Ministerio de Salud registrados en el SUMEVE los cuales se reflejan en la cascada de atención, más los del ISSS que aún no estan registrados en el SUMEVE solamente se encuentran registrados bajo el sistema de información de dicha institución.
Numerador: Número de personas que viven con el VIH que reciben tratamiento antirretroviral al momento del reporte.
Denominador: Número total de personas estimadas que viven con VIH según las estimaciones y proyecciones Spectrum 2019
Las proyecciones de spectrum 2019, se han utilizado para los denominadores de los 3 años.
Fuente: SUMEVE para el numerador,  el denominador será reportado como se indica en este marco de desempeño.
Supuestos:
Con las estrategias propuestas a nivel nacional para encontrar más casos VIH positivos, se estima que cada año se diagnostique un aproximado de 1400 nuevos casos, a  los cuales se les iniciará TAR. Se esta realizando esfuerzos para que el Instituto Salvadoreño del Seguro Social, termine de incorporar su información en el SUMEVE, ya que al momento solo se tiene los positivos diagnosticados por ello, se ha iniciado la depuración y cruce de información de los usuarios que actualmente se encuentran en TAR en dicha institución, lo que nos permitirá reportar un dato nacional y con control de calidad de este indicador.
Por ser país focalizado no se requiere desagregación.</v>
      </c>
      <c r="W915" s="503"/>
      <c r="X915" s="503"/>
      <c r="Y915" s="497"/>
      <c r="Z915" s="497"/>
      <c r="AA915" s="503"/>
      <c r="AB915" s="503"/>
      <c r="AC915" s="497"/>
      <c r="AD915" s="497"/>
      <c r="AE915" s="497"/>
      <c r="AF915" s="512"/>
      <c r="AG915" s="503"/>
    </row>
    <row r="916" spans="1:33" x14ac:dyDescent="0.35">
      <c r="A916" s="497" t="b">
        <f t="shared" ca="1" si="114"/>
        <v>1</v>
      </c>
      <c r="B916" s="498">
        <f t="shared" si="129"/>
        <v>33</v>
      </c>
      <c r="C916" s="510" t="str">
        <f>IFERROR(IF(AND(H916=2,B916=7),"blank",INDEX(C$842:C916,H916,1)),"")</f>
        <v>a183p000006ZUeeAAG</v>
      </c>
      <c r="D916" s="500" t="str">
        <f t="shared" ca="1" si="115"/>
        <v/>
      </c>
      <c r="E916" s="512" t="str">
        <f t="shared" ca="1" si="116"/>
        <v/>
      </c>
      <c r="F916" s="512" t="str">
        <f t="shared" ca="1" si="117"/>
        <v/>
      </c>
      <c r="G916" s="503" t="str">
        <f t="shared" ca="1" si="118"/>
        <v/>
      </c>
      <c r="H916" s="498">
        <f t="shared" si="130"/>
        <v>15</v>
      </c>
      <c r="I916" s="503" t="str">
        <f t="shared" ca="1" si="119"/>
        <v xml:space="preserve">Baseline: The PrEP implementation process will begin in 2022, so the country does not  have a baseline  available.
Numerator: Number of eligible men who have sex with men who started oral PrEP during the reporting period
Denominator: Number of eligible men who have sex with men who were recently offered PrEP during the reporting period
Source: The inclusion of PREP reporting variables in the SUMEVE will be managed for the report of this indicator,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MSM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not with 100% considering that this is a new intervention and that the demand and acceptance of this service  will not be complete from the start.
To start the implementation of this intervention, we will work with the offer of PrEP in the following VICTS, which are distributed in the geographical area where the greater demand and greater HIV prevalence are, these includes the following: San Miguelito, Concepción, San Jacinto, Barrios, Carlos Diaz del Pinal, Sonzacate, Tomás Pineda, Casa del Niño and San Miguel
• Behavior change and adherence will be monitored, as well as regular (3 months) HIV testing and STI screening to be performed every 6 months.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v>
      </c>
      <c r="J916" s="497" t="str">
        <f t="array" aca="1" ref="J916" ca="1">IFERROR(VLOOKUP(LEFT(INDIRECT("'Coverage Indicators - Section D'!D"&amp;$B916),255),LEFT('Reference Records'!C74:F278,255),4,0),"")</f>
        <v>MCI-01053</v>
      </c>
      <c r="K916" s="497" t="str">
        <f ca="1">IFERROR(VLOOKUP(IF(INDIRECT("'Coverage Indicators - Section D'!B"&amp;$B916)="","--select--",INDIRECT("'Coverage Indicators - Section D'!B"&amp;$B916)),'Overview - Section A'!C$117:D191,2,0),"")</f>
        <v>M-54182</v>
      </c>
      <c r="L916" s="503" t="str">
        <f t="shared" ca="1" si="120"/>
        <v/>
      </c>
      <c r="M916" s="497" t="str">
        <f ca="1">IFERROR(VLOOKUP(INDIRECT("'Coverage Indicators - Section D'!C"&amp;$B916),'Reference Records'!C$621:F792,3,0),"")</f>
        <v>MCI-01138</v>
      </c>
      <c r="N916" s="503" t="str">
        <f t="shared" ca="1" si="121"/>
        <v/>
      </c>
      <c r="O916" s="497" t="str">
        <f t="shared" ca="1" si="122"/>
        <v>El Salvador</v>
      </c>
      <c r="P916" s="503" t="str">
        <f t="shared" ca="1" si="123"/>
        <v>Geographic National, 100% of national program target</v>
      </c>
      <c r="Q916" s="503" t="str">
        <f t="shared" ca="1" si="124"/>
        <v/>
      </c>
      <c r="R916" s="497" t="b">
        <f t="shared" ca="1" si="125"/>
        <v>1</v>
      </c>
      <c r="S916" s="503" t="str">
        <f ca="1">IFERROR(VLOOKUP(INDIRECT("'Coverage Indicators - Section D'!L"&amp;$B916),'Overview - Section A'!M$31:P106,4,0),IFERROR(IF(VLOOKUP(INDIRECT("'Coverage Indicators - Section D'!L"&amp;$B916),'Overview - Section A'!E$27:I103,5,0)=0,"",VLOOKUP(INDIRECT("'Coverage Indicators - Section D'!L"&amp;$B916),'Overview - Section A'!E$27:I103,5,0)),""))</f>
        <v>a123p000007FHAgAAO</v>
      </c>
      <c r="T916" s="503" t="str">
        <f t="shared" ca="1" si="126"/>
        <v/>
      </c>
      <c r="U916" s="503" t="str">
        <f t="shared" ca="1" si="127"/>
        <v/>
      </c>
      <c r="V916" s="503" t="str">
        <f t="shared" ca="1" si="128"/>
        <v>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UCSF Unicentro Soyapango y San Miguel, apoyados con la referencia y promoción de la PrEP por las organizaciones de la sociedad civil y RP Plan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v>
      </c>
      <c r="W916" s="503"/>
      <c r="X916" s="503"/>
      <c r="Y916" s="497"/>
      <c r="Z916" s="497"/>
      <c r="AA916" s="503"/>
      <c r="AB916" s="503"/>
      <c r="AC916" s="497"/>
      <c r="AD916" s="497"/>
      <c r="AE916" s="497"/>
      <c r="AF916" s="512"/>
      <c r="AG916" s="503"/>
    </row>
    <row r="917" spans="1:33" x14ac:dyDescent="0.35">
      <c r="A917" s="497" t="b">
        <f t="shared" ca="1" si="114"/>
        <v>1</v>
      </c>
      <c r="B917" s="498">
        <f t="shared" si="129"/>
        <v>35</v>
      </c>
      <c r="C917" s="510" t="str">
        <f>IFERROR(IF(AND(H917=2,B917=7),"blank",INDEX(C$842:C917,H917,1)),"")</f>
        <v>a183p000006ZUf6AAG</v>
      </c>
      <c r="D917" s="500" t="str">
        <f t="shared" ca="1" si="115"/>
        <v/>
      </c>
      <c r="E917" s="512" t="str">
        <f t="shared" ca="1" si="116"/>
        <v/>
      </c>
      <c r="F917" s="512" t="str">
        <f t="shared" ca="1" si="117"/>
        <v/>
      </c>
      <c r="G917" s="503" t="str">
        <f t="shared" ca="1" si="118"/>
        <v/>
      </c>
      <c r="H917" s="498">
        <f t="shared" si="130"/>
        <v>16</v>
      </c>
      <c r="I917" s="503" t="str">
        <f t="shared" ca="1" si="119"/>
        <v xml:space="preserve">Baseline: The PrEP implementation process will begin in 2022, so the country does not have a baseline available.
Numerator: Number of eligible transgender people who started oral PrEP during the reporting period
Denominator: Number of eligible transgender people recently offered PrEP during the reporting period
Source: The inclusion of PREP reporting variables in the SUMEVE will be managed for the report of this indicator,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Trans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and not with 100%, considering that this is a new intervention and that the demand and acceptance of the service will not be complete from the start.
To start the implementation of this intervention, we will work with the offer of PrEP in the following VICTS which are distributed in the geographical area where greater demand and greater HIV prevalence are, these include  the following: San Miguelito, Concepción, San Jacinto, Barrios, Carlos Diaz del Pinal, Sonzacate, Tomás Pineda, Casa del Niño and San Miguel
• Behavior change and adherence will be monitored, as well as regular (3 months) HIV test and STI screening to be performed every 6 months.
-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v>
      </c>
      <c r="J917" s="497" t="str">
        <f t="array" aca="1" ref="J917" ca="1">IFERROR(VLOOKUP(LEFT(INDIRECT("'Coverage Indicators - Section D'!D"&amp;$B917),255),LEFT('Reference Records'!C75:F279,255),4,0),"")</f>
        <v>MCI-01054</v>
      </c>
      <c r="K917" s="497" t="str">
        <f ca="1">IFERROR(VLOOKUP(IF(INDIRECT("'Coverage Indicators - Section D'!B"&amp;$B917)="","--select--",INDIRECT("'Coverage Indicators - Section D'!B"&amp;$B917)),'Overview - Section A'!C$117:D192,2,0),"")</f>
        <v>M-54182</v>
      </c>
      <c r="L917" s="503" t="str">
        <f t="shared" ca="1" si="120"/>
        <v/>
      </c>
      <c r="M917" s="497" t="str">
        <f ca="1">IFERROR(VLOOKUP(INDIRECT("'Coverage Indicators - Section D'!C"&amp;$B917),'Reference Records'!C$621:F793,3,0),"")</f>
        <v>MCI-01139</v>
      </c>
      <c r="N917" s="503" t="str">
        <f t="shared" ca="1" si="121"/>
        <v/>
      </c>
      <c r="O917" s="497" t="str">
        <f t="shared" ca="1" si="122"/>
        <v>El Salvador</v>
      </c>
      <c r="P917" s="503" t="str">
        <f t="shared" ca="1" si="123"/>
        <v>Geographic National, 100% of national program target</v>
      </c>
      <c r="Q917" s="503" t="str">
        <f t="shared" ca="1" si="124"/>
        <v/>
      </c>
      <c r="R917" s="497" t="b">
        <f t="shared" ca="1" si="125"/>
        <v>1</v>
      </c>
      <c r="S917" s="503" t="str">
        <f ca="1">IFERROR(VLOOKUP(INDIRECT("'Coverage Indicators - Section D'!L"&amp;$B917),'Overview - Section A'!M$31:P107,4,0),IFERROR(IF(VLOOKUP(INDIRECT("'Coverage Indicators - Section D'!L"&amp;$B917),'Overview - Section A'!E$27:I104,5,0)=0,"",VLOOKUP(INDIRECT("'Coverage Indicators - Section D'!L"&amp;$B917),'Overview - Section A'!E$27:I104,5,0)),""))</f>
        <v>a123p000007FHAgAAO</v>
      </c>
      <c r="T917" s="503" t="str">
        <f t="shared" ca="1" si="126"/>
        <v/>
      </c>
      <c r="U917" s="503" t="str">
        <f t="shared" ca="1" si="127"/>
        <v/>
      </c>
      <c r="V917" s="503" t="str">
        <f t="shared" ca="1" si="128"/>
        <v>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UCSF Unicentro Soyapango y San Miguel, apoyados con la referencia y promoción de la PrEP por las organizaciones de la sociedad civil y RP Plan.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v>
      </c>
      <c r="W917" s="503"/>
      <c r="X917" s="503"/>
      <c r="Y917" s="497"/>
      <c r="Z917" s="497"/>
      <c r="AA917" s="503"/>
      <c r="AB917" s="503"/>
      <c r="AC917" s="497"/>
      <c r="AD917" s="497"/>
      <c r="AE917" s="497"/>
      <c r="AF917" s="512"/>
      <c r="AG917" s="503"/>
    </row>
    <row r="918" spans="1:33" x14ac:dyDescent="0.35">
      <c r="A918" s="497" t="b">
        <f t="shared" ca="1" si="114"/>
        <v>1</v>
      </c>
      <c r="B918" s="498">
        <f t="shared" si="129"/>
        <v>37</v>
      </c>
      <c r="C918" s="510" t="str">
        <f>IFERROR(IF(AND(H918=2,B918=7),"blank",INDEX(C$842:C918,H918,1)),"")</f>
        <v>a183p000006ZUecAAG</v>
      </c>
      <c r="D918" s="500">
        <f t="shared" ca="1" si="115"/>
        <v>18</v>
      </c>
      <c r="E918" s="512">
        <f t="shared" ca="1" si="116"/>
        <v>862</v>
      </c>
      <c r="F918" s="512">
        <f t="shared" ca="1" si="117"/>
        <v>153</v>
      </c>
      <c r="G918" s="503" t="str">
        <f t="shared" ca="1" si="118"/>
        <v>SUMEVE</v>
      </c>
      <c r="H918" s="498">
        <f t="shared" si="130"/>
        <v>17</v>
      </c>
      <c r="I918" s="503" t="str">
        <f t="shared" ca="1" si="119"/>
        <v>Baseline 17.7% corresponding to 2020, source SUMEVE.
Numerator: Number of people newly diagnosed with HIV and who started ART during the reporting period.
Denominator: Number of persons newly diagnosed with HIV during the reporting period.
Assumptions:  The targets have been considered with an annual increase of 5%, 7% and 10%, respectively and have been established under the criterion that starting in 2021 the clinical guidelines for the care of HIV patients will contemplate rapid initiation of treatment with UNAIDS recommendations. For the first year we are being conservative, due to the fact that the effects of the COVID-19 pandemic on health services are still being considered.
Methods of Measurement: For this indicator we will report the number of newly diagnosed persons who have been successfully initiated on ART within 7 days of diagnosis, as recorded in the information system. Both numerator and denominator will be reported according to actual data recorded in SUMEVE corresponding to the reporting period.
Source: SUMEVE</v>
      </c>
      <c r="J918" s="497" t="str">
        <f t="array" aca="1" ref="J918" ca="1">IFERROR(VLOOKUP(LEFT(INDIRECT("'Coverage Indicators - Section D'!D"&amp;$B918),255),LEFT('Reference Records'!C76:F280,255),4,0),"")</f>
        <v>MCI-01072</v>
      </c>
      <c r="K918" s="497" t="str">
        <f ca="1">IFERROR(VLOOKUP(IF(INDIRECT("'Coverage Indicators - Section D'!B"&amp;$B918)="","--select--",INDIRECT("'Coverage Indicators - Section D'!B"&amp;$B918)),'Overview - Section A'!C$117:D193,2,0),"")</f>
        <v>M-54180</v>
      </c>
      <c r="L918" s="503">
        <f t="shared" ca="1" si="120"/>
        <v>2020</v>
      </c>
      <c r="M918" s="497" t="str">
        <f ca="1">IFERROR(VLOOKUP(INDIRECT("'Coverage Indicators - Section D'!C"&amp;$B918),'Reference Records'!C$621:F794,3,0),"")</f>
        <v>MCI-01164</v>
      </c>
      <c r="N918" s="503" t="str">
        <f t="shared" ca="1" si="121"/>
        <v/>
      </c>
      <c r="O918" s="497" t="str">
        <f t="shared" ca="1" si="122"/>
        <v>El Salvador</v>
      </c>
      <c r="P918" s="503" t="str">
        <f t="shared" ca="1" si="123"/>
        <v>Geographic National, 100% of national program target</v>
      </c>
      <c r="Q918" s="503" t="str">
        <f t="shared" ca="1" si="124"/>
        <v/>
      </c>
      <c r="R918" s="497" t="b">
        <f t="shared" ca="1" si="125"/>
        <v>1</v>
      </c>
      <c r="S918" s="503" t="str">
        <f ca="1">IFERROR(VLOOKUP(INDIRECT("'Coverage Indicators - Section D'!L"&amp;$B918),'Overview - Section A'!M$31:P108,4,0),IFERROR(IF(VLOOKUP(INDIRECT("'Coverage Indicators - Section D'!L"&amp;$B918),'Overview - Section A'!E$27:I105,5,0)=0,"",VLOOKUP(INDIRECT("'Coverage Indicators - Section D'!L"&amp;$B918),'Overview - Section A'!E$27:I105,5,0)),""))</f>
        <v>a123p000007FHAgAAO</v>
      </c>
      <c r="T918" s="503" t="str">
        <f t="shared" ca="1" si="126"/>
        <v/>
      </c>
      <c r="U918" s="503" t="str">
        <f t="shared" ca="1" si="127"/>
        <v>SUMEVE</v>
      </c>
      <c r="V918" s="503" t="str">
        <f t="shared" ca="1" si="128"/>
        <v xml:space="preserve">Línea de base 17.7% correspondiente al año 2020, fuente SUMEVE.
Numerador: Número de personas recientemente diagnosticadas con el VIH y que comenzaron el TAR durante el período del informe
Denominador: Número de personas recién diagnosticadas con el VIH durante el período del informe.
Supuestos:  Las metas se han considerado con un incremento anual del 5%, 7% y 10%, respectivamente y se han establecidos bajo el criterio que a partir del año 2021 las guías clínicas de atención a pacientes con VIH contemplaran el inicio rápido de tratamiento con las recomendaciones de ONUSIDA. Para el primer año estamos siendo conservadores, debido a que se consideran aún los efectos de la pandemia de COVID-19 en las prestaciones de los servicios de salud.
Métodos de medición: Para este indicador se reportará el número de personas recién diagnosticadas que se le ha logrado iniciar TAR a los 7 días después del diagnóstico, cuyo registro se encuentra en el sistema de información. Tanto el numerador como el denominador será reportado según datos reales registrados en el SUMEVE correspondientes al período a reportar.
Fuente: SUMEVE
</v>
      </c>
      <c r="W918" s="503"/>
      <c r="X918" s="503"/>
      <c r="Y918" s="497"/>
      <c r="Z918" s="497"/>
      <c r="AA918" s="503"/>
      <c r="AB918" s="503"/>
      <c r="AC918" s="497"/>
      <c r="AD918" s="497"/>
      <c r="AE918" s="497"/>
      <c r="AF918" s="512"/>
      <c r="AG918" s="503"/>
    </row>
    <row r="919" spans="1:33" x14ac:dyDescent="0.35">
      <c r="A919" s="497" t="b">
        <f t="shared" ca="1" si="114"/>
        <v>0</v>
      </c>
      <c r="B919" s="498">
        <f t="shared" si="129"/>
        <v>39</v>
      </c>
      <c r="C919" s="510" t="str">
        <f>IFERROR(IF(AND(H919=2,B919=7),"blank",INDEX(C$842:C919,H919,1)),"")</f>
        <v>a183p000006ZUf7AAG</v>
      </c>
      <c r="D919" s="500" t="str">
        <f t="shared" ca="1" si="115"/>
        <v/>
      </c>
      <c r="E919" s="512" t="str">
        <f t="shared" ca="1" si="116"/>
        <v/>
      </c>
      <c r="F919" s="512" t="str">
        <f t="shared" ca="1" si="117"/>
        <v/>
      </c>
      <c r="G919" s="503" t="str">
        <f t="shared" ca="1" si="118"/>
        <v/>
      </c>
      <c r="H919" s="498">
        <f t="shared" si="130"/>
        <v>18</v>
      </c>
      <c r="I919" s="503" t="str">
        <f t="shared" ca="1" si="119"/>
        <v/>
      </c>
      <c r="J919" s="497" t="str">
        <f t="array" aca="1" ref="J919" ca="1">IFERROR(VLOOKUP(LEFT(INDIRECT("'Coverage Indicators - Section D'!D"&amp;$B919),255),LEFT('Reference Records'!C77:F281,255),4,0),"")</f>
        <v/>
      </c>
      <c r="K919" s="497" t="str">
        <f ca="1">IFERROR(VLOOKUP(IF(INDIRECT("'Coverage Indicators - Section D'!B"&amp;$B919)="","--select--",INDIRECT("'Coverage Indicators - Section D'!B"&amp;$B919)),'Overview - Section A'!C$117:D194,2,0),"")</f>
        <v>M-54184</v>
      </c>
      <c r="L919" s="503" t="str">
        <f t="shared" ca="1" si="120"/>
        <v/>
      </c>
      <c r="M919" s="497" t="str">
        <f ca="1">IFERROR(VLOOKUP(INDIRECT("'Coverage Indicators - Section D'!C"&amp;$B919),'Reference Records'!C$621:F795,3,0),"")</f>
        <v/>
      </c>
      <c r="N919" s="503" t="str">
        <f t="shared" ca="1" si="121"/>
        <v/>
      </c>
      <c r="O919" s="497" t="str">
        <f t="shared" ca="1" si="122"/>
        <v/>
      </c>
      <c r="P919" s="503" t="str">
        <f t="shared" ca="1" si="123"/>
        <v/>
      </c>
      <c r="Q919" s="503" t="str">
        <f t="shared" ca="1" si="124"/>
        <v/>
      </c>
      <c r="R919" s="497" t="str">
        <f t="shared" ca="1" si="125"/>
        <v>FALSE</v>
      </c>
      <c r="S919" s="503" t="str">
        <f ca="1">IFERROR(VLOOKUP(INDIRECT("'Coverage Indicators - Section D'!L"&amp;$B919),'Overview - Section A'!M$31:P109,4,0),IFERROR(IF(VLOOKUP(INDIRECT("'Coverage Indicators - Section D'!L"&amp;$B919),'Overview - Section A'!E$27:I106,5,0)=0,"",VLOOKUP(INDIRECT("'Coverage Indicators - Section D'!L"&amp;$B919),'Overview - Section A'!E$27:I106,5,0)),""))</f>
        <v/>
      </c>
      <c r="T919" s="503" t="str">
        <f t="shared" ca="1" si="126"/>
        <v/>
      </c>
      <c r="U919" s="503" t="str">
        <f t="shared" ca="1" si="127"/>
        <v/>
      </c>
      <c r="V919" s="503" t="str">
        <f t="shared" ca="1" si="128"/>
        <v/>
      </c>
      <c r="W919" s="503"/>
      <c r="X919" s="503"/>
      <c r="Y919" s="497"/>
      <c r="Z919" s="497"/>
      <c r="AA919" s="503"/>
      <c r="AB919" s="503"/>
      <c r="AC919" s="497"/>
      <c r="AD919" s="497"/>
      <c r="AE919" s="497"/>
      <c r="AF919" s="512"/>
      <c r="AG919" s="503"/>
    </row>
    <row r="920" spans="1:33" x14ac:dyDescent="0.35">
      <c r="A920" s="497" t="b">
        <f t="shared" ca="1" si="114"/>
        <v>1</v>
      </c>
      <c r="B920" s="498">
        <f t="shared" si="129"/>
        <v>41</v>
      </c>
      <c r="C920" s="510" t="str">
        <f>IFERROR(IF(AND(H920=2,B920=7),"blank",INDEX(C$842:C920,H920,1)),"")</f>
        <v>a183p000006ZUedAAG</v>
      </c>
      <c r="D920" s="500">
        <f t="shared" ca="1" si="115"/>
        <v>64</v>
      </c>
      <c r="E920" s="512">
        <f t="shared" ca="1" si="116"/>
        <v>13336</v>
      </c>
      <c r="F920" s="512">
        <f t="shared" ca="1" si="117"/>
        <v>8570</v>
      </c>
      <c r="G920" s="503" t="str">
        <f t="shared" ca="1" si="118"/>
        <v>SUMEVE</v>
      </c>
      <c r="H920" s="498">
        <f t="shared" si="130"/>
        <v>19</v>
      </c>
      <c r="I920" s="503" t="str">
        <f t="shared" ca="1" si="119"/>
        <v>Baseline 64.3% corresponding to the year 2020, source SUMEVE.
Numerator: Number of people on ART who have undergone a viral load test in the last 6 months during the reporting period.
Denominator: Total number of people on ART during the reporting period.
Assumptions: This indicator will report the number of people in ART who have been able to receive a VL test in the last 6 months during the reporting period that are registered in the information system and includes ISSS users.
An annual increase of 3% has been considered for each year of the grant, under the criteria that the ISSS data will be incorporated, the de-centralization of the sampling and processing of the VLT will continue and the incorporation of the test and treat approach in the national clinical guidelines for HIV care.
Both the numerator and the denominator will be reported according to real data registered in SUMEVE corresponding to the period to be reported.
Source: SUMEVE.</v>
      </c>
      <c r="J920" s="497" t="str">
        <f t="array" aca="1" ref="J920" ca="1">IFERROR(VLOOKUP(LEFT(INDIRECT("'Coverage Indicators - Section D'!D"&amp;$B920),255),LEFT('Reference Records'!C78:F282,255),4,0),"")</f>
        <v/>
      </c>
      <c r="K920" s="497" t="str">
        <f ca="1">IFERROR(VLOOKUP(IF(INDIRECT("'Coverage Indicators - Section D'!B"&amp;$B920)="","--select--",INDIRECT("'Coverage Indicators - Section D'!B"&amp;$B920)),'Overview - Section A'!C$117:D195,2,0),"")</f>
        <v>M-54183</v>
      </c>
      <c r="L920" s="503">
        <f t="shared" ca="1" si="120"/>
        <v>2020</v>
      </c>
      <c r="M920" s="497" t="str">
        <f ca="1">IFERROR(VLOOKUP(INDIRECT("'Coverage Indicators - Section D'!C"&amp;$B920),'Reference Records'!C$621:F796,3,0),"")</f>
        <v>MCI-01153</v>
      </c>
      <c r="N920" s="503" t="str">
        <f t="shared" ca="1" si="121"/>
        <v>TCS-Other1 Percentage of people on ART who have had a viral load test in the last 6 months.</v>
      </c>
      <c r="O920" s="497" t="str">
        <f t="shared" ca="1" si="122"/>
        <v>El Salvador</v>
      </c>
      <c r="P920" s="503" t="str">
        <f t="shared" ca="1" si="123"/>
        <v>Geographic National, 100% of national program target</v>
      </c>
      <c r="Q920" s="503" t="str">
        <f t="shared" ca="1" si="124"/>
        <v/>
      </c>
      <c r="R920" s="497" t="b">
        <f t="shared" ca="1" si="125"/>
        <v>1</v>
      </c>
      <c r="S920" s="503" t="str">
        <f ca="1">IFERROR(VLOOKUP(INDIRECT("'Coverage Indicators - Section D'!L"&amp;$B920),'Overview - Section A'!M$31:P110,4,0),IFERROR(IF(VLOOKUP(INDIRECT("'Coverage Indicators - Section D'!L"&amp;$B920),'Overview - Section A'!E$27:I107,5,0)=0,"",VLOOKUP(INDIRECT("'Coverage Indicators - Section D'!L"&amp;$B920),'Overview - Section A'!E$27:I107,5,0)),""))</f>
        <v>a123p000007FHAgAAO</v>
      </c>
      <c r="T920" s="503" t="str">
        <f t="shared" ca="1" si="126"/>
        <v>TCS-Other1 Porcentaje de personas en TARV a quienes se les ha realizado una prueba de carga viral en los últimos 6 meses.</v>
      </c>
      <c r="U920" s="503" t="str">
        <f t="shared" ca="1" si="127"/>
        <v>SUMEVE</v>
      </c>
      <c r="V920" s="503" t="str">
        <f t="shared" ca="1" si="128"/>
        <v xml:space="preserve">Línea de base 64.3% correspondiente al año 2020, fuente SUMEVE.
Numerador: Número de personas en TARV a quienes se les ha realizado una prueba de carga viral en los últimos 6 meses durante el periodo del informe.
Denominador: Número total de personas que se encuentran en TAR durante el periodo del informe.
Supuestos: Este indicador reportara el numero de personas en TAR al cual se le ha logrado realizar una prueba de CV en los últimos 6 meses durante el periodo del informe que se encuentren registradas en el sistema de información e incluye los usuarios del ISSS.
Se ha considerado un incremento anual del 3% para cada año de la subvención, bajo el criterio que se incorporaran los datos del ISSS, se continuara con la descetralización de la toma y procesamiento de la CV y la incorporación del inicio rápido de tratamiento en las guías clinicas nacionales de atención al VIH.
Tanto el numerador como el denominador será reportado según datos reales registrados en el SUMEVE correspondientes al período a reportar
Fuente: SUMEVE.
</v>
      </c>
      <c r="W920" s="503"/>
      <c r="X920" s="503"/>
      <c r="Y920" s="497"/>
      <c r="Z920" s="497"/>
      <c r="AA920" s="503"/>
      <c r="AB920" s="503"/>
      <c r="AC920" s="497"/>
      <c r="AD920" s="497"/>
      <c r="AE920" s="497"/>
      <c r="AF920" s="512"/>
      <c r="AG920" s="503"/>
    </row>
    <row r="921" spans="1:33" x14ac:dyDescent="0.35">
      <c r="A921" s="497" t="b">
        <f t="shared" ca="1" si="114"/>
        <v>1</v>
      </c>
      <c r="B921" s="498">
        <f t="shared" si="129"/>
        <v>43</v>
      </c>
      <c r="C921" s="510" t="str">
        <f>IFERROR(IF(AND(H921=2,B921=7),"blank",INDEX(C$842:C921,H921,1)),"")</f>
        <v>a183p000006ZUf8AAG</v>
      </c>
      <c r="D921" s="500">
        <f t="shared" ca="1" si="115"/>
        <v>20.555966014037679</v>
      </c>
      <c r="E921" s="512">
        <f t="shared" ca="1" si="116"/>
        <v>54140</v>
      </c>
      <c r="F921" s="512">
        <f t="shared" ca="1" si="117"/>
        <v>11129</v>
      </c>
      <c r="G921" s="503" t="str">
        <f t="shared" ca="1" si="118"/>
        <v>SUMEVE</v>
      </c>
      <c r="H921" s="498">
        <f t="shared" si="130"/>
        <v>20</v>
      </c>
      <c r="I921" s="503" t="str">
        <f t="shared" ca="1" si="119"/>
        <v>Baseline: 20.56% this includes FM and PEPFAR efforts.
Under the coordination of the PR Plan for the mobile units and the PR MINSAL, for the laboratories of the health services network and the private laboratories that work with PASMO.
This baseline is generated from SUMEVE.
Numerator: Number of MSM who have been tested for HIV during the reporting period and know the results.
Denominator: Corresponds to the MSM population size estimate, as part of the 2016 ECVC.The denominator is considered stable because there are no measurements to know if it has increased or decreased.
Source:  SUMEVE for numerator and denominator corresponds to MSM population size 2016.
Assumptions:
The targets reflect the national coverage to be achieved with HIV testing for MSM through 6 mobile units and the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38.73 % of the MSM population at the national level according to the population size study in MTS 2016.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For the reporting of targets, the denominator specified in this performance framework will be used.
The targets for this indicator will be reviewed during years 2 and 3, and will be revised after the results of the population size studies to be conducted during the first year.</v>
      </c>
      <c r="J921" s="497" t="str">
        <f t="array" aca="1" ref="J921" ca="1">IFERROR(VLOOKUP(LEFT(INDIRECT("'Coverage Indicators - Section D'!D"&amp;$B921),255),LEFT('Reference Records'!C79:F283,255),4,0),"")</f>
        <v>MCI-01065</v>
      </c>
      <c r="K921" s="497" t="str">
        <f ca="1">IFERROR(VLOOKUP(IF(INDIRECT("'Coverage Indicators - Section D'!B"&amp;$B921)="","--select--",INDIRECT("'Coverage Indicators - Section D'!B"&amp;$B921)),'Overview - Section A'!C$117:D196,2,0),"")</f>
        <v>M-54180</v>
      </c>
      <c r="L921" s="503">
        <f t="shared" ca="1" si="120"/>
        <v>2020</v>
      </c>
      <c r="M921" s="497" t="str">
        <f ca="1">IFERROR(VLOOKUP(INDIRECT("'Coverage Indicators - Section D'!C"&amp;$B921),'Reference Records'!C$621:F797,3,0),"")</f>
        <v>MCI-01138</v>
      </c>
      <c r="N921" s="503" t="str">
        <f t="shared" ca="1" si="121"/>
        <v/>
      </c>
      <c r="O921" s="497" t="str">
        <f t="shared" ca="1" si="122"/>
        <v>El Salvador</v>
      </c>
      <c r="P921" s="503" t="str">
        <f t="shared" ca="1" si="123"/>
        <v>Geographic National, 100% of national program target</v>
      </c>
      <c r="Q921" s="503" t="str">
        <f t="shared" ca="1" si="124"/>
        <v/>
      </c>
      <c r="R921" s="497" t="b">
        <f t="shared" ca="1" si="125"/>
        <v>1</v>
      </c>
      <c r="S921" s="503" t="str">
        <f ca="1">IFERROR(VLOOKUP(INDIRECT("'Coverage Indicators - Section D'!L"&amp;$B921),'Overview - Section A'!M$31:P111,4,0),IFERROR(IF(VLOOKUP(INDIRECT("'Coverage Indicators - Section D'!L"&amp;$B921),'Overview - Section A'!E$27:I108,5,0)=0,"",VLOOKUP(INDIRECT("'Coverage Indicators - Section D'!L"&amp;$B921),'Overview - Section A'!E$27:I108,5,0)),""))</f>
        <v>a123p000007FHAgAAO</v>
      </c>
      <c r="T921" s="503" t="str">
        <f t="shared" ca="1" si="126"/>
        <v/>
      </c>
      <c r="U921" s="503" t="str">
        <f t="shared" ca="1" si="127"/>
        <v>SUMEVE</v>
      </c>
      <c r="V921" s="503" t="str">
        <f t="shared" ca="1" si="128"/>
        <v>Línea de base: 20.56% esta incluye los esfuerzos de FM y PEPFAR
Bajo la coordinación del RP Plan para las unidades móviles y  el RP MINSAL ,  para los laboratorios de la red de servicios de salud y los laboratporios privados que trabajan con PASMO.
Dicha linea de base es generada del SUMEVE.
Numerador: Número de HSH que se han sometido a pruebas de VIH durante el período de informe y conocen los resultados
Denominador: Corresponde a la estimación de tamaño de población de HSH, como parte de la ECVC 2016.El denominador se considera estable porque no existe mediciones para conocer si ha aumentado o disminuido.
Fuente:  SUMEVE para el numerador y el denominador corresponde al tamaño de población de HSH 2016.
Supuestos:
Las metas reflejan la cobertura nacional a alcanzar con prueba de VIH para HSH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38.73 % de la población de HSH a nivel nacional de acuerdo al estudio de tamaño de población en MTS 2016.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
Las metas de este indicador se revisaran durante para los años 2 y 3, serán revisadas posterior a los resultados de los estudios de tamaño poblacional a realizarse durante el primer año.</v>
      </c>
      <c r="W921" s="503"/>
      <c r="X921" s="503"/>
      <c r="Y921" s="497"/>
      <c r="Z921" s="497"/>
      <c r="AA921" s="503"/>
      <c r="AB921" s="503"/>
      <c r="AC921" s="497"/>
      <c r="AD921" s="497"/>
      <c r="AE921" s="497"/>
      <c r="AF921" s="512"/>
      <c r="AG921" s="503"/>
    </row>
    <row r="922" spans="1:33" x14ac:dyDescent="0.35">
      <c r="A922" s="497" t="b">
        <f t="shared" ca="1" si="114"/>
        <v>0</v>
      </c>
      <c r="B922" s="498">
        <f t="shared" si="129"/>
        <v>45</v>
      </c>
      <c r="C922" s="510" t="str">
        <f>IFERROR(IF(AND(H922=2,B922=7),"blank",INDEX(C$842:C922,H922,1)),"")</f>
        <v>a183p000006ZUefAAG</v>
      </c>
      <c r="D922" s="500" t="str">
        <f t="shared" ca="1" si="115"/>
        <v/>
      </c>
      <c r="E922" s="512" t="str">
        <f t="shared" ca="1" si="116"/>
        <v/>
      </c>
      <c r="F922" s="512" t="str">
        <f t="shared" ca="1" si="117"/>
        <v/>
      </c>
      <c r="G922" s="503" t="str">
        <f t="shared" ca="1" si="118"/>
        <v/>
      </c>
      <c r="H922" s="498">
        <f t="shared" si="130"/>
        <v>21</v>
      </c>
      <c r="I922" s="503" t="str">
        <f t="shared" ca="1" si="119"/>
        <v/>
      </c>
      <c r="J922" s="497" t="str">
        <f t="array" aca="1" ref="J922" ca="1">IFERROR(VLOOKUP(LEFT(INDIRECT("'Coverage Indicators - Section D'!D"&amp;$B922),255),LEFT('Reference Records'!C80:F284,255),4,0),"")</f>
        <v/>
      </c>
      <c r="K922" s="497" t="str">
        <f ca="1">IFERROR(VLOOKUP(IF(INDIRECT("'Coverage Indicators - Section D'!B"&amp;$B922)="","--select--",INDIRECT("'Coverage Indicators - Section D'!B"&amp;$B922)),'Overview - Section A'!C$117:D197,2,0),"")</f>
        <v>M-54184</v>
      </c>
      <c r="L922" s="503" t="str">
        <f t="shared" ca="1" si="120"/>
        <v/>
      </c>
      <c r="M922" s="497" t="str">
        <f ca="1">IFERROR(VLOOKUP(INDIRECT("'Coverage Indicators - Section D'!C"&amp;$B922),'Reference Records'!C$621:F798,3,0),"")</f>
        <v/>
      </c>
      <c r="N922" s="503" t="str">
        <f t="shared" ca="1" si="121"/>
        <v/>
      </c>
      <c r="O922" s="497" t="str">
        <f t="shared" ca="1" si="122"/>
        <v/>
      </c>
      <c r="P922" s="503" t="str">
        <f t="shared" ca="1" si="123"/>
        <v/>
      </c>
      <c r="Q922" s="503" t="str">
        <f t="shared" ca="1" si="124"/>
        <v/>
      </c>
      <c r="R922" s="497" t="str">
        <f t="shared" ca="1" si="125"/>
        <v>FALSE</v>
      </c>
      <c r="S922" s="503" t="str">
        <f ca="1">IFERROR(VLOOKUP(INDIRECT("'Coverage Indicators - Section D'!L"&amp;$B922),'Overview - Section A'!M$31:P112,4,0),IFERROR(IF(VLOOKUP(INDIRECT("'Coverage Indicators - Section D'!L"&amp;$B922),'Overview - Section A'!E$27:I109,5,0)=0,"",VLOOKUP(INDIRECT("'Coverage Indicators - Section D'!L"&amp;$B922),'Overview - Section A'!E$27:I109,5,0)),""))</f>
        <v/>
      </c>
      <c r="T922" s="503" t="str">
        <f t="shared" ca="1" si="126"/>
        <v/>
      </c>
      <c r="U922" s="503" t="str">
        <f t="shared" ca="1" si="127"/>
        <v/>
      </c>
      <c r="V922" s="503" t="str">
        <f t="shared" ca="1" si="128"/>
        <v/>
      </c>
      <c r="W922" s="503"/>
      <c r="X922" s="503"/>
      <c r="Y922" s="497"/>
      <c r="Z922" s="497"/>
      <c r="AA922" s="503"/>
      <c r="AB922" s="503"/>
      <c r="AC922" s="497"/>
      <c r="AD922" s="497"/>
      <c r="AE922" s="497"/>
      <c r="AF922" s="512"/>
      <c r="AG922" s="503"/>
    </row>
    <row r="923" spans="1:33" x14ac:dyDescent="0.35">
      <c r="A923" s="497" t="b">
        <f t="shared" ca="1" si="114"/>
        <v>1</v>
      </c>
      <c r="B923" s="498">
        <f t="shared" si="129"/>
        <v>47</v>
      </c>
      <c r="C923" s="510" t="str">
        <f>IFERROR(IF(AND(H923=2,B923=7),"blank",INDEX(C$842:C923,H923,1)),"")</f>
        <v>a183p000006ZUf9AAG</v>
      </c>
      <c r="D923" s="500">
        <f t="shared" ca="1" si="115"/>
        <v>28.692192938836396</v>
      </c>
      <c r="E923" s="512">
        <f t="shared" ca="1" si="116"/>
        <v>2011</v>
      </c>
      <c r="F923" s="512">
        <f t="shared" ca="1" si="117"/>
        <v>577</v>
      </c>
      <c r="G923" s="503" t="str">
        <f t="shared" ca="1" si="118"/>
        <v>SUMEVE</v>
      </c>
      <c r="H923" s="498">
        <f t="shared" si="130"/>
        <v>22</v>
      </c>
      <c r="I923" s="503" t="str">
        <f t="shared" ca="1" si="119"/>
        <v>Baseline: 28.69%.
This includes FM and PEPFAR efforts.
Under the coordination of the PR Plan for the mobile units and the PR MINSAL , for the laboratories of the health services network and private laboratories working with PASMO.
This baseline is generated from SUMEVE.
Numerator: Number of transgender women who have undergone HIV testing during the reporting period and know the results.
Denominator: Corresponds to the population size estimate of trans women, as part of the 2014 ECVC. The denominator is considered stable because there are no measurements to know whether it has increased or decreased.
Source: For the numerator the SUMEVE and the denominator corresponds to the population size of trans women 2014.
Assumptions:
The targets reflect the national coverage to be achieved with HIV testing for Trans with Global Fund and national resources through 6 mobile units and the 175 laboratories distributed in the service network of priority municipalities, in 30 hospitals, 114 community family health units, 18 VICITS clinics and 12 friendly. This indicator is expected to be achieved between the MINSAL PR and the Plan, the percentages will vary from year 1 to year 3, so that the MINSAL PR can gradually absorb a higher percentage of this indicator. It is expected to reach at the end of the grant a coverage of 56.24% of the Trans population nationwide according to the 2014 Trans population size study. The targets for year 2 and 3 will be revised following the population size study to be conducted during the first year. Targets for this indicator may be adjusted subsequent to the PENM mid-term evaluation.
Key interventions:
Presumptive and confirmatory testing will be performed as applicable, with pre- and post-counseling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The denominator specified in this performance framework will be used for reporting targets.</v>
      </c>
      <c r="J923" s="497" t="str">
        <f t="array" aca="1" ref="J923" ca="1">IFERROR(VLOOKUP(LEFT(INDIRECT("'Coverage Indicators - Section D'!D"&amp;$B923),255),LEFT('Reference Records'!C81:F285,255),4,0),"")</f>
        <v>MCI-01066</v>
      </c>
      <c r="K923" s="497" t="str">
        <f ca="1">IFERROR(VLOOKUP(IF(INDIRECT("'Coverage Indicators - Section D'!B"&amp;$B923)="","--select--",INDIRECT("'Coverage Indicators - Section D'!B"&amp;$B923)),'Overview - Section A'!C$117:D198,2,0),"")</f>
        <v>M-54180</v>
      </c>
      <c r="L923" s="503">
        <f t="shared" ca="1" si="120"/>
        <v>2020</v>
      </c>
      <c r="M923" s="497" t="str">
        <f ca="1">IFERROR(VLOOKUP(INDIRECT("'Coverage Indicators - Section D'!C"&amp;$B923),'Reference Records'!C$621:F799,3,0),"")</f>
        <v>MCI-01139</v>
      </c>
      <c r="N923" s="503" t="str">
        <f t="shared" ca="1" si="121"/>
        <v/>
      </c>
      <c r="O923" s="497" t="str">
        <f t="shared" ca="1" si="122"/>
        <v>El Salvador</v>
      </c>
      <c r="P923" s="503" t="str">
        <f t="shared" ca="1" si="123"/>
        <v>Geographic National, 100% of national program target</v>
      </c>
      <c r="Q923" s="503" t="str">
        <f t="shared" ca="1" si="124"/>
        <v/>
      </c>
      <c r="R923" s="497" t="b">
        <f t="shared" ca="1" si="125"/>
        <v>1</v>
      </c>
      <c r="S923" s="503" t="str">
        <f ca="1">IFERROR(VLOOKUP(INDIRECT("'Coverage Indicators - Section D'!L"&amp;$B923),'Overview - Section A'!M$31:P113,4,0),IFERROR(IF(VLOOKUP(INDIRECT("'Coverage Indicators - Section D'!L"&amp;$B923),'Overview - Section A'!E$27:I110,5,0)=0,"",VLOOKUP(INDIRECT("'Coverage Indicators - Section D'!L"&amp;$B923),'Overview - Section A'!E$27:I110,5,0)),""))</f>
        <v>a123p000007FHAgAAO</v>
      </c>
      <c r="T923" s="503" t="str">
        <f t="shared" ca="1" si="126"/>
        <v/>
      </c>
      <c r="U923" s="503" t="str">
        <f t="shared" ca="1" si="127"/>
        <v>SUMEVE</v>
      </c>
      <c r="V923" s="503" t="str">
        <f t="shared" ca="1" si="128"/>
        <v>Línea de base: 28.69%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mujeres trans que se han sometido a pruebas de VIH durante el período de informe y conocen los resultados
Denominador: Corresponde a la estimación de tamaño de población de mujeres trans, como parte de la ECVC 2014. El denominador se considera estable porque no existe mediciones para conocer si ha aumentado o disminuido.
Fuente: Para el numerador el SUMEVE y el denominador corresponde al tamaño de población de mujeres trans 2014.
Supuestos:
Las metas reflejan la cobertura nacional a alcanzar con prueba de VIH para Trans con recursos del Fondo Mundial y nacionales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56.24% de la población de Trans a nivel nacional de acuerdo al estudio de tamaño de población en Trans 2014. Las metas para el año 2 y 3 serán revisados posterior al estudio de tamaño de población a realizarse durante el primer alo. Las metas para este indicador podrán ser ajustadas posterior a la evaluación de medio término del PENM.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v>
      </c>
      <c r="W923" s="503"/>
      <c r="X923" s="503"/>
      <c r="Y923" s="497"/>
      <c r="Z923" s="497"/>
      <c r="AA923" s="503"/>
      <c r="AB923" s="503"/>
      <c r="AC923" s="497"/>
      <c r="AD923" s="497"/>
      <c r="AE923" s="497"/>
      <c r="AF923" s="512"/>
      <c r="AG923" s="503"/>
    </row>
    <row r="924" spans="1:33" x14ac:dyDescent="0.35">
      <c r="A924" s="497" t="b">
        <f t="shared" ca="1" si="114"/>
        <v>0</v>
      </c>
      <c r="B924" s="498">
        <f t="shared" si="129"/>
        <v>49</v>
      </c>
      <c r="C924" s="510" t="str">
        <f>IFERROR(IF(AND(H924=2,B924=7),"blank",INDEX(C$842:C924,H924,1)),"")</f>
        <v>a183p000006ZUegAAG</v>
      </c>
      <c r="D924" s="500" t="str">
        <f t="shared" ca="1" si="115"/>
        <v/>
      </c>
      <c r="E924" s="512" t="str">
        <f t="shared" ca="1" si="116"/>
        <v/>
      </c>
      <c r="F924" s="512" t="str">
        <f t="shared" ca="1" si="117"/>
        <v/>
      </c>
      <c r="G924" s="503" t="str">
        <f t="shared" ca="1" si="118"/>
        <v/>
      </c>
      <c r="H924" s="498">
        <f t="shared" si="130"/>
        <v>23</v>
      </c>
      <c r="I924" s="503" t="str">
        <f t="shared" ca="1" si="119"/>
        <v/>
      </c>
      <c r="J924" s="497" t="str">
        <f t="array" aca="1" ref="J924" ca="1">IFERROR(VLOOKUP(LEFT(INDIRECT("'Coverage Indicators - Section D'!D"&amp;$B924),255),LEFT('Reference Records'!C82:F286,255),4,0),"")</f>
        <v/>
      </c>
      <c r="K924" s="497" t="str">
        <f ca="1">IFERROR(VLOOKUP(IF(INDIRECT("'Coverage Indicators - Section D'!B"&amp;$B924)="","--select--",INDIRECT("'Coverage Indicators - Section D'!B"&amp;$B924)),'Overview - Section A'!C$117:D199,2,0),"")</f>
        <v>M-54184</v>
      </c>
      <c r="L924" s="503" t="str">
        <f t="shared" ca="1" si="120"/>
        <v/>
      </c>
      <c r="M924" s="497" t="str">
        <f ca="1">IFERROR(VLOOKUP(INDIRECT("'Coverage Indicators - Section D'!C"&amp;$B924),'Reference Records'!C$621:F800,3,0),"")</f>
        <v/>
      </c>
      <c r="N924" s="503" t="str">
        <f t="shared" ca="1" si="121"/>
        <v/>
      </c>
      <c r="O924" s="497" t="str">
        <f t="shared" ca="1" si="122"/>
        <v/>
      </c>
      <c r="P924" s="503" t="str">
        <f t="shared" ca="1" si="123"/>
        <v/>
      </c>
      <c r="Q924" s="503" t="str">
        <f t="shared" ca="1" si="124"/>
        <v/>
      </c>
      <c r="R924" s="497" t="str">
        <f t="shared" ca="1" si="125"/>
        <v>FALSE</v>
      </c>
      <c r="S924" s="503" t="str">
        <f ca="1">IFERROR(VLOOKUP(INDIRECT("'Coverage Indicators - Section D'!L"&amp;$B924),'Overview - Section A'!M$31:P114,4,0),IFERROR(IF(VLOOKUP(INDIRECT("'Coverage Indicators - Section D'!L"&amp;$B924),'Overview - Section A'!E$27:I111,5,0)=0,"",VLOOKUP(INDIRECT("'Coverage Indicators - Section D'!L"&amp;$B924),'Overview - Section A'!E$27:I111,5,0)),""))</f>
        <v/>
      </c>
      <c r="T924" s="503" t="str">
        <f t="shared" ca="1" si="126"/>
        <v/>
      </c>
      <c r="U924" s="503" t="str">
        <f t="shared" ca="1" si="127"/>
        <v/>
      </c>
      <c r="V924" s="503" t="str">
        <f t="shared" ca="1" si="128"/>
        <v/>
      </c>
      <c r="W924" s="503"/>
      <c r="X924" s="503"/>
      <c r="Y924" s="497"/>
      <c r="Z924" s="497"/>
      <c r="AA924" s="503"/>
      <c r="AB924" s="503"/>
      <c r="AC924" s="497"/>
      <c r="AD924" s="497"/>
      <c r="AE924" s="497"/>
      <c r="AF924" s="512"/>
      <c r="AG924" s="503"/>
    </row>
    <row r="925" spans="1:33" x14ac:dyDescent="0.35">
      <c r="A925" s="497" t="b">
        <f t="shared" ca="1" si="114"/>
        <v>1</v>
      </c>
      <c r="B925" s="498">
        <f t="shared" si="129"/>
        <v>51</v>
      </c>
      <c r="C925" s="510" t="str">
        <f>IFERROR(IF(AND(H925=2,B925=7),"blank",INDEX(C$842:C925,H925,1)),"")</f>
        <v>a183p000006ZUfAAAW</v>
      </c>
      <c r="D925" s="500">
        <f t="shared" ca="1" si="115"/>
        <v>9.2279640665302853</v>
      </c>
      <c r="E925" s="512">
        <f t="shared" ca="1" si="116"/>
        <v>44972</v>
      </c>
      <c r="F925" s="512">
        <f t="shared" ca="1" si="117"/>
        <v>4150</v>
      </c>
      <c r="G925" s="503" t="str">
        <f t="shared" ca="1" si="118"/>
        <v>SUMEVE</v>
      </c>
      <c r="H925" s="498">
        <f t="shared" si="130"/>
        <v>24</v>
      </c>
      <c r="I925" s="503" t="str">
        <f t="shared" ca="1" si="119"/>
        <v>Baseline: 9.23% This includes FM and PEPFAR efforts.
Under the coordination of the PR Plan for the mobile units and the PR MINSAL , for the laboratories of the health services network and private laboratories working with PASMO.
This baseline is generated from SUMEVE.
Numerator: Number of female sex workers who have been tested for HIV during the reporting period and know the results.
Denominator: Corresponds to the population size estimate of female sex workers, as part of the 2016 ECVC.The denominator is considered stable because there are no measurements to know if it has increased or decreased.
Source: For the numerator the SUMEVE and the denominator corresponds to the population size of TS 2016.
Assumptions:
The targets reflect the national coverage to be achieved with HIV testing for MTS with Global Fund and national resources. These targets are expected to be achieved through the 6 mobile units and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21.92 % of the MTS population at the national level according to the study of population size in MTS 2016.
Year 2 and 3 targets, will be adjusted subsequent to the population size study to be conducted in 2022.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SIGPRO or SUMEVE, which will generate a database by CUI, to be electronically deduplicated to account for the total achieved in the period. The denominator specified in this performance framework will be used for reporting targets.</v>
      </c>
      <c r="J925" s="497" t="str">
        <f t="array" aca="1" ref="J925" ca="1">IFERROR(VLOOKUP(LEFT(INDIRECT("'Coverage Indicators - Section D'!D"&amp;$B925),255),LEFT('Reference Records'!C83:F287,255),4,0),"")</f>
        <v>MCI-01067</v>
      </c>
      <c r="K925" s="497" t="str">
        <f ca="1">IFERROR(VLOOKUP(IF(INDIRECT("'Coverage Indicators - Section D'!B"&amp;$B925)="","--select--",INDIRECT("'Coverage Indicators - Section D'!B"&amp;$B925)),'Overview - Section A'!C$117:D200,2,0),"")</f>
        <v>M-54180</v>
      </c>
      <c r="L925" s="503">
        <f t="shared" ca="1" si="120"/>
        <v>2020</v>
      </c>
      <c r="M925" s="497" t="str">
        <f ca="1">IFERROR(VLOOKUP(INDIRECT("'Coverage Indicators - Section D'!C"&amp;$B925),'Reference Records'!C$621:F801,3,0),"")</f>
        <v>MCI-01140</v>
      </c>
      <c r="N925" s="503" t="str">
        <f t="shared" ca="1" si="121"/>
        <v/>
      </c>
      <c r="O925" s="497" t="str">
        <f t="shared" ca="1" si="122"/>
        <v>El Salvador</v>
      </c>
      <c r="P925" s="503" t="str">
        <f t="shared" ca="1" si="123"/>
        <v>Geographic National, 100% of national program target</v>
      </c>
      <c r="Q925" s="503" t="str">
        <f t="shared" ca="1" si="124"/>
        <v/>
      </c>
      <c r="R925" s="497" t="b">
        <f t="shared" ca="1" si="125"/>
        <v>1</v>
      </c>
      <c r="S925" s="503" t="str">
        <f ca="1">IFERROR(VLOOKUP(INDIRECT("'Coverage Indicators - Section D'!L"&amp;$B925),'Overview - Section A'!M$31:P115,4,0),IFERROR(IF(VLOOKUP(INDIRECT("'Coverage Indicators - Section D'!L"&amp;$B925),'Overview - Section A'!E$27:I112,5,0)=0,"",VLOOKUP(INDIRECT("'Coverage Indicators - Section D'!L"&amp;$B925),'Overview - Section A'!E$27:I112,5,0)),""))</f>
        <v>a123p000007FHAgAAO</v>
      </c>
      <c r="T925" s="503" t="str">
        <f t="shared" ca="1" si="126"/>
        <v/>
      </c>
      <c r="U925" s="503" t="str">
        <f t="shared" ca="1" si="127"/>
        <v>SUMEVE</v>
      </c>
      <c r="V925" s="503" t="str">
        <f t="shared" ca="1" si="128"/>
        <v>Línea de base: 9.23%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trabajadoras sexuales que se han sometido a pruebas de VIH durante el período de informe y conocen los resultados
Denominador: Corresponde a la estimación de tamaño de población de mujeres trabajadoras sexuales, como parte de la ECVC 2016.El denominador se considera estable porque no existe mediciones para conocer si ha aumentado o disminuido.
Fuente: Para el numerador el SUMEVE  y el denominador corresponde al tamaño de población de TS 2016.
Supuestos:
Las metas reflejan la cobertura nacional a alcanzar con prueba de VIH para MTS con recursos del Fondo Mundial y nacionales. Se espera alcanzar estas metas a través de las 6 unidades móviles y los 175 laboratorios distribuidos en la red de servicios de los municipios prioritarios, en 30 hospitales, 114 unidades comunitarias de salud familiar ,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21.92 % de la población de MTS a nivel nacional de acuerdo al estudio de tamaño de población en MTS 2016.
Las metas del 2 y 3 año, serán ajustadas posterior al estudio de tamaño poblacional que se realizará en el 2022.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v>
      </c>
      <c r="W925" s="503"/>
      <c r="X925" s="503"/>
      <c r="Y925" s="497"/>
      <c r="Z925" s="497"/>
      <c r="AA925" s="503"/>
      <c r="AB925" s="503"/>
      <c r="AC925" s="497"/>
      <c r="AD925" s="497"/>
      <c r="AE925" s="497"/>
      <c r="AF925" s="512"/>
      <c r="AG925" s="503"/>
    </row>
    <row r="926" spans="1:33" x14ac:dyDescent="0.35">
      <c r="A926" s="497" t="b">
        <f t="shared" ca="1" si="114"/>
        <v>0</v>
      </c>
      <c r="B926" s="498">
        <f t="shared" si="129"/>
        <v>53</v>
      </c>
      <c r="C926" s="510" t="str">
        <f>IFERROR(IF(AND(H926=2,B926=7),"blank",INDEX(C$842:C926,H926,1)),"")</f>
        <v>a183p000006ZUehAAG</v>
      </c>
      <c r="D926" s="500" t="str">
        <f t="shared" ca="1" si="115"/>
        <v/>
      </c>
      <c r="E926" s="512" t="str">
        <f t="shared" ca="1" si="116"/>
        <v/>
      </c>
      <c r="F926" s="512" t="str">
        <f t="shared" ca="1" si="117"/>
        <v/>
      </c>
      <c r="G926" s="503" t="str">
        <f t="shared" ca="1" si="118"/>
        <v/>
      </c>
      <c r="H926" s="498">
        <f t="shared" si="130"/>
        <v>25</v>
      </c>
      <c r="I926" s="503" t="str">
        <f t="shared" ca="1" si="119"/>
        <v/>
      </c>
      <c r="J926" s="497" t="str">
        <f t="array" aca="1" ref="J926" ca="1">IFERROR(VLOOKUP(LEFT(INDIRECT("'Coverage Indicators - Section D'!D"&amp;$B926),255),LEFT('Reference Records'!C84:F288,255),4,0),"")</f>
        <v/>
      </c>
      <c r="K926" s="497" t="str">
        <f ca="1">IFERROR(VLOOKUP(IF(INDIRECT("'Coverage Indicators - Section D'!B"&amp;$B926)="","--select--",INDIRECT("'Coverage Indicators - Section D'!B"&amp;$B926)),'Overview - Section A'!C$117:D201,2,0),"")</f>
        <v>M-54184</v>
      </c>
      <c r="L926" s="503" t="str">
        <f t="shared" ca="1" si="120"/>
        <v/>
      </c>
      <c r="M926" s="497" t="str">
        <f ca="1">IFERROR(VLOOKUP(INDIRECT("'Coverage Indicators - Section D'!C"&amp;$B926),'Reference Records'!C$621:F802,3,0),"")</f>
        <v/>
      </c>
      <c r="N926" s="503" t="str">
        <f t="shared" ca="1" si="121"/>
        <v/>
      </c>
      <c r="O926" s="497" t="str">
        <f t="shared" ca="1" si="122"/>
        <v/>
      </c>
      <c r="P926" s="503" t="str">
        <f t="shared" ca="1" si="123"/>
        <v/>
      </c>
      <c r="Q926" s="503" t="str">
        <f t="shared" ca="1" si="124"/>
        <v/>
      </c>
      <c r="R926" s="497" t="str">
        <f t="shared" ca="1" si="125"/>
        <v>FALSE</v>
      </c>
      <c r="S926" s="503" t="str">
        <f ca="1">IFERROR(VLOOKUP(INDIRECT("'Coverage Indicators - Section D'!L"&amp;$B926),'Overview - Section A'!M$31:P116,4,0),IFERROR(IF(VLOOKUP(INDIRECT("'Coverage Indicators - Section D'!L"&amp;$B926),'Overview - Section A'!E$27:I113,5,0)=0,"",VLOOKUP(INDIRECT("'Coverage Indicators - Section D'!L"&amp;$B926),'Overview - Section A'!E$27:I113,5,0)),""))</f>
        <v/>
      </c>
      <c r="T926" s="503" t="str">
        <f t="shared" ca="1" si="126"/>
        <v/>
      </c>
      <c r="U926" s="503" t="str">
        <f t="shared" ca="1" si="127"/>
        <v/>
      </c>
      <c r="V926" s="503" t="str">
        <f t="shared" ca="1" si="128"/>
        <v/>
      </c>
      <c r="W926" s="503"/>
      <c r="X926" s="503"/>
      <c r="Y926" s="497"/>
      <c r="Z926" s="497"/>
      <c r="AA926" s="503"/>
      <c r="AB926" s="503"/>
      <c r="AC926" s="497"/>
      <c r="AD926" s="497"/>
      <c r="AE926" s="497"/>
      <c r="AF926" s="512"/>
      <c r="AG926" s="503"/>
    </row>
    <row r="927" spans="1:33" x14ac:dyDescent="0.35">
      <c r="A927" s="497" t="b">
        <f t="shared" ca="1" si="114"/>
        <v>0</v>
      </c>
      <c r="B927" s="498">
        <f t="shared" si="129"/>
        <v>55</v>
      </c>
      <c r="C927" s="510" t="str">
        <f>IFERROR(IF(AND(H927=2,B927=7),"blank",INDEX(C$842:C927,H927,1)),"")</f>
        <v>a183p000006ZUfBAAW</v>
      </c>
      <c r="D927" s="500" t="str">
        <f t="shared" ca="1" si="115"/>
        <v/>
      </c>
      <c r="E927" s="512" t="str">
        <f t="shared" ca="1" si="116"/>
        <v/>
      </c>
      <c r="F927" s="512" t="str">
        <f t="shared" ca="1" si="117"/>
        <v/>
      </c>
      <c r="G927" s="503" t="str">
        <f t="shared" ca="1" si="118"/>
        <v/>
      </c>
      <c r="H927" s="498">
        <f t="shared" si="130"/>
        <v>26</v>
      </c>
      <c r="I927" s="503" t="str">
        <f t="shared" ca="1" si="119"/>
        <v/>
      </c>
      <c r="J927" s="497" t="str">
        <f t="array" aca="1" ref="J927" ca="1">IFERROR(VLOOKUP(LEFT(INDIRECT("'Coverage Indicators - Section D'!D"&amp;$B927),255),LEFT('Reference Records'!C85:F289,255),4,0),"")</f>
        <v/>
      </c>
      <c r="K927" s="497" t="str">
        <f ca="1">IFERROR(VLOOKUP(IF(INDIRECT("'Coverage Indicators - Section D'!B"&amp;$B927)="","--select--",INDIRECT("'Coverage Indicators - Section D'!B"&amp;$B927)),'Overview - Section A'!C$117:D202,2,0),"")</f>
        <v>M-54184</v>
      </c>
      <c r="L927" s="503" t="str">
        <f t="shared" ca="1" si="120"/>
        <v/>
      </c>
      <c r="M927" s="497" t="str">
        <f ca="1">IFERROR(VLOOKUP(INDIRECT("'Coverage Indicators - Section D'!C"&amp;$B927),'Reference Records'!C$621:F803,3,0),"")</f>
        <v/>
      </c>
      <c r="N927" s="503" t="str">
        <f t="shared" ca="1" si="121"/>
        <v/>
      </c>
      <c r="O927" s="497" t="str">
        <f t="shared" ca="1" si="122"/>
        <v/>
      </c>
      <c r="P927" s="503" t="str">
        <f t="shared" ca="1" si="123"/>
        <v/>
      </c>
      <c r="Q927" s="503" t="str">
        <f t="shared" ca="1" si="124"/>
        <v/>
      </c>
      <c r="R927" s="497" t="str">
        <f t="shared" ca="1" si="125"/>
        <v>FALSE</v>
      </c>
      <c r="S927" s="503" t="str">
        <f ca="1">IFERROR(VLOOKUP(INDIRECT("'Coverage Indicators - Section D'!L"&amp;$B927),'Overview - Section A'!M$31:P117,4,0),IFERROR(IF(VLOOKUP(INDIRECT("'Coverage Indicators - Section D'!L"&amp;$B927),'Overview - Section A'!E$27:I114,5,0)=0,"",VLOOKUP(INDIRECT("'Coverage Indicators - Section D'!L"&amp;$B927),'Overview - Section A'!E$27:I114,5,0)),""))</f>
        <v/>
      </c>
      <c r="T927" s="503" t="str">
        <f t="shared" ca="1" si="126"/>
        <v/>
      </c>
      <c r="U927" s="503" t="str">
        <f t="shared" ca="1" si="127"/>
        <v/>
      </c>
      <c r="V927" s="503" t="str">
        <f t="shared" ca="1" si="128"/>
        <v/>
      </c>
      <c r="W927" s="503"/>
      <c r="X927" s="503"/>
      <c r="Y927" s="497"/>
      <c r="Z927" s="497"/>
      <c r="AA927" s="503"/>
      <c r="AB927" s="503"/>
      <c r="AC927" s="497"/>
      <c r="AD927" s="497"/>
      <c r="AE927" s="497"/>
      <c r="AF927" s="512"/>
      <c r="AG927" s="503"/>
    </row>
    <row r="928" spans="1:33" x14ac:dyDescent="0.35">
      <c r="A928" s="497" t="b">
        <f t="shared" ca="1" si="114"/>
        <v>0</v>
      </c>
      <c r="B928" s="498">
        <f t="shared" si="129"/>
        <v>57</v>
      </c>
      <c r="C928" s="510" t="str">
        <f>IFERROR(IF(AND(H928=2,B928=7),"blank",INDEX(C$842:C928,H928,1)),"")</f>
        <v>a183p000006ZUeiAAG</v>
      </c>
      <c r="D928" s="500" t="str">
        <f t="shared" ca="1" si="115"/>
        <v/>
      </c>
      <c r="E928" s="512" t="str">
        <f t="shared" ca="1" si="116"/>
        <v/>
      </c>
      <c r="F928" s="512" t="str">
        <f t="shared" ca="1" si="117"/>
        <v/>
      </c>
      <c r="G928" s="503" t="str">
        <f t="shared" ca="1" si="118"/>
        <v/>
      </c>
      <c r="H928" s="498">
        <f t="shared" si="130"/>
        <v>27</v>
      </c>
      <c r="I928" s="503" t="str">
        <f t="shared" ca="1" si="119"/>
        <v/>
      </c>
      <c r="J928" s="497" t="str">
        <f t="array" aca="1" ref="J928" ca="1">IFERROR(VLOOKUP(LEFT(INDIRECT("'Coverage Indicators - Section D'!D"&amp;$B928),255),LEFT('Reference Records'!C86:F290,255),4,0),"")</f>
        <v/>
      </c>
      <c r="K928" s="497" t="str">
        <f ca="1">IFERROR(VLOOKUP(IF(INDIRECT("'Coverage Indicators - Section D'!B"&amp;$B928)="","--select--",INDIRECT("'Coverage Indicators - Section D'!B"&amp;$B928)),'Overview - Section A'!C$117:D203,2,0),"")</f>
        <v>M-54184</v>
      </c>
      <c r="L928" s="503" t="str">
        <f t="shared" ca="1" si="120"/>
        <v/>
      </c>
      <c r="M928" s="497" t="str">
        <f ca="1">IFERROR(VLOOKUP(INDIRECT("'Coverage Indicators - Section D'!C"&amp;$B928),'Reference Records'!C$621:F804,3,0),"")</f>
        <v/>
      </c>
      <c r="N928" s="503" t="str">
        <f t="shared" ca="1" si="121"/>
        <v/>
      </c>
      <c r="O928" s="497" t="str">
        <f t="shared" ca="1" si="122"/>
        <v/>
      </c>
      <c r="P928" s="503" t="str">
        <f t="shared" ca="1" si="123"/>
        <v/>
      </c>
      <c r="Q928" s="503" t="str">
        <f t="shared" ca="1" si="124"/>
        <v/>
      </c>
      <c r="R928" s="497" t="str">
        <f t="shared" ca="1" si="125"/>
        <v>FALSE</v>
      </c>
      <c r="S928" s="503" t="str">
        <f ca="1">IFERROR(VLOOKUP(INDIRECT("'Coverage Indicators - Section D'!L"&amp;$B928),'Overview - Section A'!M$31:P118,4,0),IFERROR(IF(VLOOKUP(INDIRECT("'Coverage Indicators - Section D'!L"&amp;$B928),'Overview - Section A'!E$27:I115,5,0)=0,"",VLOOKUP(INDIRECT("'Coverage Indicators - Section D'!L"&amp;$B928),'Overview - Section A'!E$27:I115,5,0)),""))</f>
        <v/>
      </c>
      <c r="T928" s="503" t="str">
        <f t="shared" ca="1" si="126"/>
        <v/>
      </c>
      <c r="U928" s="503" t="str">
        <f t="shared" ca="1" si="127"/>
        <v/>
      </c>
      <c r="V928" s="503" t="str">
        <f t="shared" ca="1" si="128"/>
        <v/>
      </c>
      <c r="W928" s="503"/>
      <c r="X928" s="503"/>
      <c r="Y928" s="497"/>
      <c r="Z928" s="497"/>
      <c r="AA928" s="503"/>
      <c r="AB928" s="503"/>
      <c r="AC928" s="497"/>
      <c r="AD928" s="497"/>
      <c r="AE928" s="497"/>
      <c r="AF928" s="512"/>
      <c r="AG928" s="503"/>
    </row>
    <row r="929" spans="1:33" x14ac:dyDescent="0.35">
      <c r="A929" s="497" t="b">
        <f t="shared" ca="1" si="114"/>
        <v>0</v>
      </c>
      <c r="B929" s="498">
        <f t="shared" si="129"/>
        <v>59</v>
      </c>
      <c r="C929" s="510" t="str">
        <f>IFERROR(IF(AND(H929=2,B929=7),"blank",INDEX(C$842:C929,H929,1)),"")</f>
        <v>a183p000006ZUfCAAW</v>
      </c>
      <c r="D929" s="500" t="str">
        <f t="shared" ca="1" si="115"/>
        <v/>
      </c>
      <c r="E929" s="512" t="str">
        <f t="shared" ca="1" si="116"/>
        <v/>
      </c>
      <c r="F929" s="512" t="str">
        <f t="shared" ca="1" si="117"/>
        <v/>
      </c>
      <c r="G929" s="503" t="str">
        <f t="shared" ca="1" si="118"/>
        <v/>
      </c>
      <c r="H929" s="498">
        <f t="shared" si="130"/>
        <v>28</v>
      </c>
      <c r="I929" s="503" t="str">
        <f t="shared" ca="1" si="119"/>
        <v/>
      </c>
      <c r="J929" s="497" t="str">
        <f t="array" aca="1" ref="J929" ca="1">IFERROR(VLOOKUP(LEFT(INDIRECT("'Coverage Indicators - Section D'!D"&amp;$B929),255),LEFT('Reference Records'!C87:F291,255),4,0),"")</f>
        <v/>
      </c>
      <c r="K929" s="497" t="str">
        <f ca="1">IFERROR(VLOOKUP(IF(INDIRECT("'Coverage Indicators - Section D'!B"&amp;$B929)="","--select--",INDIRECT("'Coverage Indicators - Section D'!B"&amp;$B929)),'Overview - Section A'!C$117:D204,2,0),"")</f>
        <v>M-54184</v>
      </c>
      <c r="L929" s="503" t="str">
        <f t="shared" ca="1" si="120"/>
        <v/>
      </c>
      <c r="M929" s="497" t="str">
        <f ca="1">IFERROR(VLOOKUP(INDIRECT("'Coverage Indicators - Section D'!C"&amp;$B929),'Reference Records'!C$621:F805,3,0),"")</f>
        <v/>
      </c>
      <c r="N929" s="503" t="str">
        <f t="shared" ca="1" si="121"/>
        <v/>
      </c>
      <c r="O929" s="497" t="str">
        <f t="shared" ca="1" si="122"/>
        <v/>
      </c>
      <c r="P929" s="503" t="str">
        <f t="shared" ca="1" si="123"/>
        <v/>
      </c>
      <c r="Q929" s="503" t="str">
        <f t="shared" ca="1" si="124"/>
        <v/>
      </c>
      <c r="R929" s="497" t="str">
        <f t="shared" ca="1" si="125"/>
        <v>FALSE</v>
      </c>
      <c r="S929" s="503" t="str">
        <f ca="1">IFERROR(VLOOKUP(INDIRECT("'Coverage Indicators - Section D'!L"&amp;$B929),'Overview - Section A'!M$31:P119,4,0),IFERROR(IF(VLOOKUP(INDIRECT("'Coverage Indicators - Section D'!L"&amp;$B929),'Overview - Section A'!E$27:I116,5,0)=0,"",VLOOKUP(INDIRECT("'Coverage Indicators - Section D'!L"&amp;$B929),'Overview - Section A'!E$27:I116,5,0)),""))</f>
        <v/>
      </c>
      <c r="T929" s="503" t="str">
        <f t="shared" ca="1" si="126"/>
        <v/>
      </c>
      <c r="U929" s="503" t="str">
        <f t="shared" ca="1" si="127"/>
        <v/>
      </c>
      <c r="V929" s="503" t="str">
        <f t="shared" ca="1" si="128"/>
        <v/>
      </c>
      <c r="W929" s="503"/>
      <c r="X929" s="503"/>
      <c r="Y929" s="497"/>
      <c r="Z929" s="497"/>
      <c r="AA929" s="503"/>
      <c r="AB929" s="503"/>
      <c r="AC929" s="497"/>
      <c r="AD929" s="497"/>
      <c r="AE929" s="497"/>
      <c r="AF929" s="512"/>
      <c r="AG929" s="503"/>
    </row>
    <row r="930" spans="1:33" x14ac:dyDescent="0.35">
      <c r="A930" s="497" t="b">
        <f t="shared" ca="1" si="114"/>
        <v>0</v>
      </c>
      <c r="B930" s="498">
        <f t="shared" si="129"/>
        <v>61</v>
      </c>
      <c r="C930" s="510" t="str">
        <f>IFERROR(IF(AND(H930=2,B930=7),"blank",INDEX(C$842:C930,H930,1)),"")</f>
        <v>a183p000006ZUejAAG</v>
      </c>
      <c r="D930" s="500" t="str">
        <f t="shared" ca="1" si="115"/>
        <v/>
      </c>
      <c r="E930" s="512" t="str">
        <f t="shared" ca="1" si="116"/>
        <v/>
      </c>
      <c r="F930" s="512" t="str">
        <f t="shared" ca="1" si="117"/>
        <v/>
      </c>
      <c r="G930" s="503" t="str">
        <f t="shared" ca="1" si="118"/>
        <v/>
      </c>
      <c r="H930" s="498">
        <f t="shared" si="130"/>
        <v>29</v>
      </c>
      <c r="I930" s="503" t="str">
        <f t="shared" ca="1" si="119"/>
        <v/>
      </c>
      <c r="J930" s="497" t="str">
        <f t="array" aca="1" ref="J930" ca="1">IFERROR(VLOOKUP(LEFT(INDIRECT("'Coverage Indicators - Section D'!D"&amp;$B930),255),LEFT('Reference Records'!C88:F292,255),4,0),"")</f>
        <v/>
      </c>
      <c r="K930" s="497" t="str">
        <f ca="1">IFERROR(VLOOKUP(IF(INDIRECT("'Coverage Indicators - Section D'!B"&amp;$B930)="","--select--",INDIRECT("'Coverage Indicators - Section D'!B"&amp;$B930)),'Overview - Section A'!C$117:D205,2,0),"")</f>
        <v>M-54184</v>
      </c>
      <c r="L930" s="503" t="str">
        <f t="shared" ca="1" si="120"/>
        <v/>
      </c>
      <c r="M930" s="497" t="str">
        <f ca="1">IFERROR(VLOOKUP(INDIRECT("'Coverage Indicators - Section D'!C"&amp;$B930),'Reference Records'!C$621:F806,3,0),"")</f>
        <v/>
      </c>
      <c r="N930" s="503" t="str">
        <f t="shared" ca="1" si="121"/>
        <v/>
      </c>
      <c r="O930" s="497" t="str">
        <f t="shared" ca="1" si="122"/>
        <v/>
      </c>
      <c r="P930" s="503" t="str">
        <f t="shared" ca="1" si="123"/>
        <v/>
      </c>
      <c r="Q930" s="503" t="str">
        <f t="shared" ca="1" si="124"/>
        <v/>
      </c>
      <c r="R930" s="497" t="str">
        <f t="shared" ca="1" si="125"/>
        <v>FALSE</v>
      </c>
      <c r="S930" s="503" t="str">
        <f ca="1">IFERROR(VLOOKUP(INDIRECT("'Coverage Indicators - Section D'!L"&amp;$B930),'Overview - Section A'!M$31:P120,4,0),IFERROR(IF(VLOOKUP(INDIRECT("'Coverage Indicators - Section D'!L"&amp;$B930),'Overview - Section A'!E$27:I117,5,0)=0,"",VLOOKUP(INDIRECT("'Coverage Indicators - Section D'!L"&amp;$B930),'Overview - Section A'!E$27:I117,5,0)),""))</f>
        <v/>
      </c>
      <c r="T930" s="503" t="str">
        <f t="shared" ca="1" si="126"/>
        <v/>
      </c>
      <c r="U930" s="503" t="str">
        <f t="shared" ca="1" si="127"/>
        <v/>
      </c>
      <c r="V930" s="503" t="str">
        <f t="shared" ca="1" si="128"/>
        <v/>
      </c>
      <c r="W930" s="503"/>
      <c r="X930" s="503"/>
      <c r="Y930" s="497"/>
      <c r="Z930" s="497"/>
      <c r="AA930" s="503"/>
      <c r="AB930" s="503"/>
      <c r="AC930" s="497"/>
      <c r="AD930" s="497"/>
      <c r="AE930" s="497"/>
      <c r="AF930" s="512"/>
      <c r="AG930" s="503"/>
    </row>
    <row r="931" spans="1:33" x14ac:dyDescent="0.35">
      <c r="A931" s="497" t="b">
        <f t="shared" ca="1" si="114"/>
        <v>0</v>
      </c>
      <c r="B931" s="498">
        <f t="shared" si="129"/>
        <v>63</v>
      </c>
      <c r="C931" s="510" t="str">
        <f>IFERROR(IF(AND(H931=2,B931=7),"blank",INDEX(C$842:C931,H931,1)),"")</f>
        <v>a183p000006ZUfDAAW</v>
      </c>
      <c r="D931" s="500" t="str">
        <f t="shared" ca="1" si="115"/>
        <v/>
      </c>
      <c r="E931" s="512" t="str">
        <f t="shared" ca="1" si="116"/>
        <v/>
      </c>
      <c r="F931" s="512" t="str">
        <f t="shared" ca="1" si="117"/>
        <v/>
      </c>
      <c r="G931" s="503" t="str">
        <f t="shared" ca="1" si="118"/>
        <v/>
      </c>
      <c r="H931" s="498">
        <f t="shared" si="130"/>
        <v>30</v>
      </c>
      <c r="I931" s="503" t="str">
        <f t="shared" ca="1" si="119"/>
        <v/>
      </c>
      <c r="J931" s="497" t="str">
        <f t="array" aca="1" ref="J931" ca="1">IFERROR(VLOOKUP(LEFT(INDIRECT("'Coverage Indicators - Section D'!D"&amp;$B931),255),LEFT('Reference Records'!C89:F293,255),4,0),"")</f>
        <v/>
      </c>
      <c r="K931" s="497" t="str">
        <f ca="1">IFERROR(VLOOKUP(IF(INDIRECT("'Coverage Indicators - Section D'!B"&amp;$B931)="","--select--",INDIRECT("'Coverage Indicators - Section D'!B"&amp;$B931)),'Overview - Section A'!C$117:D206,2,0),"")</f>
        <v>M-54184</v>
      </c>
      <c r="L931" s="503" t="str">
        <f t="shared" ca="1" si="120"/>
        <v/>
      </c>
      <c r="M931" s="497" t="str">
        <f ca="1">IFERROR(VLOOKUP(INDIRECT("'Coverage Indicators - Section D'!C"&amp;$B931),'Reference Records'!C$621:F807,3,0),"")</f>
        <v/>
      </c>
      <c r="N931" s="503" t="str">
        <f t="shared" ca="1" si="121"/>
        <v/>
      </c>
      <c r="O931" s="497" t="str">
        <f t="shared" ca="1" si="122"/>
        <v/>
      </c>
      <c r="P931" s="503" t="str">
        <f t="shared" ca="1" si="123"/>
        <v/>
      </c>
      <c r="Q931" s="503" t="str">
        <f t="shared" ca="1" si="124"/>
        <v/>
      </c>
      <c r="R931" s="497" t="str">
        <f t="shared" ca="1" si="125"/>
        <v>FALSE</v>
      </c>
      <c r="S931" s="503" t="str">
        <f ca="1">IFERROR(VLOOKUP(INDIRECT("'Coverage Indicators - Section D'!L"&amp;$B931),'Overview - Section A'!M$31:P121,4,0),IFERROR(IF(VLOOKUP(INDIRECT("'Coverage Indicators - Section D'!L"&amp;$B931),'Overview - Section A'!E$27:I118,5,0)=0,"",VLOOKUP(INDIRECT("'Coverage Indicators - Section D'!L"&amp;$B931),'Overview - Section A'!E$27:I118,5,0)),""))</f>
        <v/>
      </c>
      <c r="T931" s="503" t="str">
        <f t="shared" ca="1" si="126"/>
        <v/>
      </c>
      <c r="U931" s="503" t="str">
        <f t="shared" ca="1" si="127"/>
        <v/>
      </c>
      <c r="V931" s="503" t="str">
        <f t="shared" ca="1" si="128"/>
        <v/>
      </c>
      <c r="W931" s="503"/>
      <c r="X931" s="503"/>
      <c r="Y931" s="497"/>
      <c r="Z931" s="497"/>
      <c r="AA931" s="503"/>
      <c r="AB931" s="503"/>
      <c r="AC931" s="497"/>
      <c r="AD931" s="497"/>
      <c r="AE931" s="497"/>
      <c r="AF931" s="512"/>
      <c r="AG931" s="503"/>
    </row>
    <row r="932" spans="1:33" x14ac:dyDescent="0.35">
      <c r="A932" s="497" t="b">
        <f t="shared" ca="1" si="114"/>
        <v>0</v>
      </c>
      <c r="B932" s="498">
        <f t="shared" si="129"/>
        <v>65</v>
      </c>
      <c r="C932" s="510" t="str">
        <f>IFERROR(IF(AND(H932=2,B932=7),"blank",INDEX(C$842:C932,H932,1)),"")</f>
        <v>a183p000006ZUekAAG</v>
      </c>
      <c r="D932" s="500" t="str">
        <f t="shared" ca="1" si="115"/>
        <v/>
      </c>
      <c r="E932" s="512" t="str">
        <f t="shared" ca="1" si="116"/>
        <v/>
      </c>
      <c r="F932" s="512" t="str">
        <f t="shared" ca="1" si="117"/>
        <v/>
      </c>
      <c r="G932" s="503" t="str">
        <f t="shared" ca="1" si="118"/>
        <v/>
      </c>
      <c r="H932" s="498">
        <f t="shared" si="130"/>
        <v>31</v>
      </c>
      <c r="I932" s="503" t="str">
        <f t="shared" ca="1" si="119"/>
        <v/>
      </c>
      <c r="J932" s="497" t="str">
        <f t="array" aca="1" ref="J932" ca="1">IFERROR(VLOOKUP(LEFT(INDIRECT("'Coverage Indicators - Section D'!D"&amp;$B932),255),LEFT('Reference Records'!C90:F294,255),4,0),"")</f>
        <v/>
      </c>
      <c r="K932" s="497" t="str">
        <f ca="1">IFERROR(VLOOKUP(IF(INDIRECT("'Coverage Indicators - Section D'!B"&amp;$B932)="","--select--",INDIRECT("'Coverage Indicators - Section D'!B"&amp;$B932)),'Overview - Section A'!C$117:D207,2,0),"")</f>
        <v>M-54184</v>
      </c>
      <c r="L932" s="503" t="str">
        <f t="shared" ca="1" si="120"/>
        <v/>
      </c>
      <c r="M932" s="497" t="str">
        <f ca="1">IFERROR(VLOOKUP(INDIRECT("'Coverage Indicators - Section D'!C"&amp;$B932),'Reference Records'!C$621:F808,3,0),"")</f>
        <v/>
      </c>
      <c r="N932" s="503" t="str">
        <f t="shared" ca="1" si="121"/>
        <v/>
      </c>
      <c r="O932" s="497" t="str">
        <f t="shared" ca="1" si="122"/>
        <v/>
      </c>
      <c r="P932" s="503" t="str">
        <f t="shared" ca="1" si="123"/>
        <v/>
      </c>
      <c r="Q932" s="503" t="str">
        <f t="shared" ca="1" si="124"/>
        <v/>
      </c>
      <c r="R932" s="497" t="str">
        <f t="shared" ca="1" si="125"/>
        <v>FALSE</v>
      </c>
      <c r="S932" s="503" t="str">
        <f ca="1">IFERROR(VLOOKUP(INDIRECT("'Coverage Indicators - Section D'!L"&amp;$B932),'Overview - Section A'!M$31:P122,4,0),IFERROR(IF(VLOOKUP(INDIRECT("'Coverage Indicators - Section D'!L"&amp;$B932),'Overview - Section A'!E$27:I119,5,0)=0,"",VLOOKUP(INDIRECT("'Coverage Indicators - Section D'!L"&amp;$B932),'Overview - Section A'!E$27:I119,5,0)),""))</f>
        <v/>
      </c>
      <c r="T932" s="503" t="str">
        <f t="shared" ca="1" si="126"/>
        <v/>
      </c>
      <c r="U932" s="503" t="str">
        <f t="shared" ca="1" si="127"/>
        <v/>
      </c>
      <c r="V932" s="503" t="str">
        <f t="shared" ca="1" si="128"/>
        <v/>
      </c>
      <c r="W932" s="503"/>
      <c r="X932" s="503"/>
      <c r="Y932" s="497"/>
      <c r="Z932" s="497"/>
      <c r="AA932" s="503"/>
      <c r="AB932" s="503"/>
      <c r="AC932" s="497"/>
      <c r="AD932" s="497"/>
      <c r="AE932" s="497"/>
      <c r="AF932" s="512"/>
      <c r="AG932" s="503"/>
    </row>
    <row r="933" spans="1:33" x14ac:dyDescent="0.35">
      <c r="A933" s="497" t="b">
        <f t="shared" ca="1" si="114"/>
        <v>0</v>
      </c>
      <c r="B933" s="498">
        <f t="shared" si="129"/>
        <v>67</v>
      </c>
      <c r="C933" s="510" t="str">
        <f>IFERROR(IF(AND(H933=2,B933=7),"blank",INDEX(C$842:C933,H933,1)),"")</f>
        <v>a183p000006ZUfEAAW</v>
      </c>
      <c r="D933" s="500" t="str">
        <f t="shared" ca="1" si="115"/>
        <v/>
      </c>
      <c r="E933" s="512" t="str">
        <f t="shared" ca="1" si="116"/>
        <v/>
      </c>
      <c r="F933" s="512" t="str">
        <f t="shared" ca="1" si="117"/>
        <v/>
      </c>
      <c r="G933" s="503" t="str">
        <f t="shared" ca="1" si="118"/>
        <v/>
      </c>
      <c r="H933" s="498">
        <f t="shared" si="130"/>
        <v>32</v>
      </c>
      <c r="I933" s="503" t="str">
        <f t="shared" ca="1" si="119"/>
        <v/>
      </c>
      <c r="J933" s="497" t="str">
        <f t="array" aca="1" ref="J933" ca="1">IFERROR(VLOOKUP(LEFT(INDIRECT("'Coverage Indicators - Section D'!D"&amp;$B933),255),LEFT('Reference Records'!C91:F295,255),4,0),"")</f>
        <v/>
      </c>
      <c r="K933" s="497" t="str">
        <f ca="1">IFERROR(VLOOKUP(IF(INDIRECT("'Coverage Indicators - Section D'!B"&amp;$B933)="","--select--",INDIRECT("'Coverage Indicators - Section D'!B"&amp;$B933)),'Overview - Section A'!C$117:D208,2,0),"")</f>
        <v>M-54184</v>
      </c>
      <c r="L933" s="503" t="str">
        <f t="shared" ca="1" si="120"/>
        <v/>
      </c>
      <c r="M933" s="497" t="str">
        <f ca="1">IFERROR(VLOOKUP(INDIRECT("'Coverage Indicators - Section D'!C"&amp;$B933),'Reference Records'!C$621:F809,3,0),"")</f>
        <v/>
      </c>
      <c r="N933" s="503" t="str">
        <f t="shared" ca="1" si="121"/>
        <v/>
      </c>
      <c r="O933" s="497" t="str">
        <f t="shared" ca="1" si="122"/>
        <v/>
      </c>
      <c r="P933" s="503" t="str">
        <f t="shared" ca="1" si="123"/>
        <v/>
      </c>
      <c r="Q933" s="503" t="str">
        <f t="shared" ca="1" si="124"/>
        <v/>
      </c>
      <c r="R933" s="497" t="b">
        <f t="shared" ca="1" si="125"/>
        <v>0</v>
      </c>
      <c r="S933" s="503" t="str">
        <f ca="1">IFERROR(VLOOKUP(INDIRECT("'Coverage Indicators - Section D'!L"&amp;$B933),'Overview - Section A'!M$31:P123,4,0),IFERROR(IF(VLOOKUP(INDIRECT("'Coverage Indicators - Section D'!L"&amp;$B933),'Overview - Section A'!E$27:I120,5,0)=0,"",VLOOKUP(INDIRECT("'Coverage Indicators - Section D'!L"&amp;$B933),'Overview - Section A'!E$27:I120,5,0)),""))</f>
        <v/>
      </c>
      <c r="T933" s="503" t="str">
        <f t="shared" ca="1" si="126"/>
        <v/>
      </c>
      <c r="U933" s="503" t="str">
        <f t="shared" ca="1" si="127"/>
        <v/>
      </c>
      <c r="V933" s="503" t="str">
        <f t="shared" ca="1" si="128"/>
        <v/>
      </c>
      <c r="W933" s="503"/>
      <c r="X933" s="503"/>
      <c r="Y933" s="497"/>
      <c r="Z933" s="497"/>
      <c r="AA933" s="503"/>
      <c r="AB933" s="503"/>
      <c r="AC933" s="497"/>
      <c r="AD933" s="497"/>
      <c r="AE933" s="497"/>
      <c r="AF933" s="512"/>
      <c r="AG933" s="503"/>
    </row>
    <row r="934" spans="1:33" x14ac:dyDescent="0.35">
      <c r="B934" s="506"/>
      <c r="H934" s="506"/>
    </row>
    <row r="935" spans="1:33" x14ac:dyDescent="0.35">
      <c r="B935" s="506"/>
      <c r="H935" s="506"/>
    </row>
    <row r="936" spans="1:33" x14ac:dyDescent="0.35">
      <c r="J936" s="496" t="str">
        <f ca="1">IF(ROW()&gt;'Impact Indicator Target Update'!A14,"",INDIRECT("'Impact Indicators - Section B'!A"&amp;'Impact Indicator Target Update'!D14))</f>
        <v/>
      </c>
    </row>
    <row r="937" spans="1:33" x14ac:dyDescent="0.35">
      <c r="A937" s="507" t="s">
        <v>319</v>
      </c>
      <c r="D937" s="509"/>
      <c r="J937" s="496" t="str">
        <f ca="1">IF(ROW()&gt;'Impact Indicator Target Update'!A15,"",INDIRECT("'Impact Indicators - Section B'!A"&amp;'Impact Indicator Target Update'!D15))</f>
        <v/>
      </c>
    </row>
    <row r="938" spans="1:33" x14ac:dyDescent="0.35">
      <c r="A938" s="497" t="s">
        <v>46</v>
      </c>
      <c r="B938" s="497">
        <f>-AB2*AC2-1</f>
        <v>-361</v>
      </c>
      <c r="C938" s="497" t="s">
        <v>48</v>
      </c>
      <c r="D938" s="497" t="s">
        <v>344</v>
      </c>
      <c r="E938" s="497" t="s">
        <v>339</v>
      </c>
      <c r="F938" s="497" t="s">
        <v>25</v>
      </c>
      <c r="G938" s="497" t="s">
        <v>18</v>
      </c>
      <c r="H938" s="497" t="s">
        <v>249</v>
      </c>
      <c r="I938" s="497" t="s">
        <v>8</v>
      </c>
      <c r="J938" s="497" t="s">
        <v>7</v>
      </c>
      <c r="K938" s="497" t="s">
        <v>6</v>
      </c>
      <c r="L938" s="497" t="s">
        <v>109</v>
      </c>
      <c r="M938" s="497" t="s">
        <v>381</v>
      </c>
      <c r="N938" s="497" t="s">
        <v>382</v>
      </c>
      <c r="O938" s="497"/>
      <c r="P938" s="497">
        <v>-1</v>
      </c>
      <c r="Q938" s="497"/>
      <c r="R938" s="497"/>
      <c r="S938" s="497"/>
      <c r="T938" s="497" t="s">
        <v>354</v>
      </c>
    </row>
    <row r="939" spans="1:33" hidden="1" x14ac:dyDescent="0.35">
      <c r="A939" s="497" t="e">
        <f ca="1">IF(OR(I939&lt;&gt;"",J939&lt;&gt;"",K939&lt;&gt;"",L939&lt;&gt;""),TRUE,FALSE)</f>
        <v>#VALUE!</v>
      </c>
      <c r="B939" s="497">
        <f>B938+1</f>
        <v>-360</v>
      </c>
      <c r="C939" s="518" t="str">
        <f ca="1">M939</f>
        <v/>
      </c>
      <c r="D939" s="497"/>
      <c r="E939" s="497">
        <f ca="1">COUNTIF(F842:F939,F939)</f>
        <v>65</v>
      </c>
      <c r="F939" s="516" t="str">
        <f ca="1">IF(COUNTA(D$938:D939)=1,"",OFFSET(F937,-COUNTA(D$938:D939)+3,0))</f>
        <v/>
      </c>
      <c r="G939" s="503" t="str">
        <f ca="1">IFERROR(IF(INDIRECT("'Coverage Indicators - Section I'!G"&amp;$I3)=0,"",INDIRECT("'Coverage Indicators - Section I'!G"&amp;$I3)),"")</f>
        <v/>
      </c>
      <c r="H939" s="497" t="str">
        <f ca="1">IF(F939=1,9,IF(E938=MAX(E937:E939),H937+2,H938))</f>
        <v>row number</v>
      </c>
      <c r="I939" s="500" t="str">
        <f ca="1">IFERROR(CHOOSE(E939,IFERROR(IF(INDIRECT("'Coverage Indicators - Section D'!P"&amp;H939)="","",INDIRECT("'Coverage Indicators - Section D'!P"&amp;H939)*100),""),IFERROR(IF(INDIRECT("'Coverage Indicators - Section D'!S"&amp;H939)="","",INDIRECT("'Coverage Indicators - Section D'!S"&amp;H939)*100),""),IFERROR(IF(INDIRECT("'Coverage Indicators - Section D'!V"&amp;H939)="","",INDIRECT("'Coverage Indicators - Section D'!V"&amp;H939)*100),""),IFERROR(IF(INDIRECT("'Coverage Indicators - Section D'!Y"&amp;H939)="","",INDIRECT("'Coverage Indicators - Section D'!Y"&amp;H939)*100),""),IFERROR(IF(INDIRECT("'Coverage Indicators - Section D'!AB"&amp;H939)="","",INDIRECT("'Coverage Indicators - Section D'!AB"&amp;H939)*100),""),IFERROR(IF(INDIRECT("'Coverage Indicators - Section D'!AE"&amp;H939)="","",INDIRECT("'Coverage Indicators - Section D'!AE"&amp;H939)*100),""),IFERROR(IF(INDIRECT("'Coverage Indicators - SectionD'!AH"&amp;H939)="","",INDIRECT("'CoverageIndicators-SectionD'!AH"&amp;H939)*100),"")),"")</f>
        <v/>
      </c>
      <c r="J939" s="512" t="str">
        <f ca="1">IFERROR(CHOOSE(E939,IFERROR(IF(INDIRECT("'Coverage Indicators - Section D'!O"&amp;H939+1)="","",INDIRECT("'Coverage Indicators - Section D'!O"&amp;H939+1)),""),IFERROR(IF(INDIRECT("'Coverage Indicators - Section D'!R"&amp;H939+1)="","",INDIRECT("'Coverage Indicators - Section D'!R"&amp;H939+1)),""),IFERROR(IF(INDIRECT("'Coverage Indicators - Section D'!U"&amp;H939+1)="","",INDIRECT("'Coverage Indicators - Section D'!U"&amp;H939+1)),""),IFERROR(IF(INDIRECT("'Coverage Indicators - Section D'!X"&amp;H939+1)="","",INDIRECT("'Coverage Indicators - Section D'!X"&amp;H939+1)),""),IFERROR(IF(INDIRECT("'Coverage Indicators - Section D'!AA"&amp;H939+1)="","",INDIRECT("'Coverage Indicators - Section D'!AA"&amp;H939+1)),""),IFERROR(IF(INDIRECT("'Coverage Indicators - Section D'!AD"&amp;H939+1)="","",INDIRECT("'Coverage Indicators - Section D'!AD"&amp;H939+1)),""),IFERROR(IF(INDIRECT("'Coverage Indicators - Section D'!AG"&amp;H939+1)="","",INDIRECT("'Coverage Indicators - Section D'!AG"&amp;H939+1)),""),IFERROR(IF(INDIRECT("'Coverage Indicators - Section D'!AJ"&amp;H939+1)="","",INDIRECT("'Coverage Indicators - Section D'!AJ"&amp;H939+1)),"")),"")</f>
        <v/>
      </c>
      <c r="K939" s="512" t="str">
        <f ca="1">IFERROR(CHOOSE(E939,IFERROR(IF(INDIRECT("'Coverage Indicators - Section D'!O"&amp;H939)="","",INDIRECT("'Coverage Indicators - Section D'!O"&amp;H939)),""),IFERROR(IF(INDIRECT("'Coverage Indicators - Section D'!R"&amp;H939)="","",INDIRECT("'Coverage Indicators - Section D'!R"&amp;H939)),""),IFERROR(IF(INDIRECT("'Coverage Indicators - Section D'!U"&amp;H939)="","",INDIRECT("'Coverage Indicators - Section D'!U"&amp;H939)),""),IFERROR(IF(INDIRECT("'Coverage Indicators - Section D'!X"&amp;H939)="","",INDIRECT("'Coverage Indicators - Section D'!X"&amp;H939)),""),IFERROR(IF(INDIRECT("'Coverage Indicators - Section D'!AA"&amp;H939)="","",INDIRECT("'Coverage Indicators - Section D'!AA"&amp;H939)),""),IFERROR(IF(INDIRECT("'Coverage Indicators - Section D'!AD"&amp;H939)="","",INDIRECT("'Coverage Indicators - Section D'!AD"&amp;H939)),""),IFERROR(IF(INDIRECT("'Coverage Indicators - Section D'!AG"&amp;H939)="","",INDIRECT("'Coverage Indicators - Section D'!AG"&amp;H939)),""),IFERROR(IF(INDIRECT("'Coverage Indicators - Section D'!AJ"&amp;H939)="","",INDIRECT("'Coverage Indicators - Section D'!AJ"&amp;H939)),"")),"")</f>
        <v/>
      </c>
      <c r="L939" s="503" t="e">
        <f ca="1">IF(IFERROR(CHOOSE(E939,IFERROR(IF(INDIRECT("'Coverage Indicators - Section D'!Q"&amp;H939)=0,"",INDIRECT("'Coverage Indicators - Section D'!Q"&amp;H939)),""),IFERROR(IF(INDIRECT("'Coverage Indicators - Section D'!T"&amp;H939)=0,"",INDIRECT("'Coverage Indicators - Section D'!T"&amp;H939)),""),IFERROR(IF(INDIRECT("'Coverage Indicators - Section D'!W"&amp;H939)=0,"",INDIRECT("'Coverage Indicators - Section D'!W"&amp;H939)),""),IFERROR(IF(INDIRECT("'Coverage Indicators - Section D'!Z"&amp;H939)=0,"",INDIRECT("'Coverage Indicators - Section D'!Z"&amp;H939)),""),IFERROR(IF(INDIRECT("'Coverage Indicators - Section D'!AC"&amp;H939)=0,"",INDIRECT("'Coverage Indicators - Section D'!AC"&amp;H939)),""),IFERROR(IF(INDIRECT("'Coverage Indicators - Section D'!AF"&amp;H939)=0,"",INDIRECT("'Coverage Indicators - Section D'!AF"&amp;H939)),""),IFERROR(IF(INDIRECT("'Coverage Indicators - Section D'!AI"&amp;H939)=0,"",INDIRECT("'Coverage Indicators - Section D'!AI"&amp;H939)),""),IFERROR(IF(INDIRECT("'Coverage Indicators - Section D'!AL"&amp;H939)=0,"",INDIRECT("'Coverage Indicators - Section D'!AL"&amp;H939)),"")),"")=0,"",CHOOSE(E939,IFERROR(IF(INDIRECT("'Coverage Indicators - Section D'!Q"&amp;H939)=0,"",INDIRECT("'Coverage Indicators - Section D'!Q"&amp;H939)),""),IFERROR(IF(INDIRECT("'Coverage Indicators - Section D'!T"&amp;H939)=0,"",INDIRECT("'Coverage Indicators - Section D'!T"&amp;H939)),""),IFERROR(IF(INDIRECT("'Coverage Indicators - Section D'!W"&amp;H939)=0,"",INDIRECT("'Coverage Indicators - Section D'!W"&amp;H939)),""),IFERROR(IF(INDIRECT("'Coverage Indicators - Section D'!Z"&amp;H939)=0,"",INDIRECT("'Coverage Indicators - Section D'!Z"&amp;H939)),""),IFERROR(IF(INDIRECT("'Coverage Indicators - Section D'!AC"&amp;H939)=0,"",INDIRECT("'Coverage Indicators - Section D'!AC"&amp;H939)),""),IFERROR(IF(INDIRECT("'Coverage Indicators - Section D'!AF"&amp;H939)=0,"",INDIRECT("'Coverage Indicators - Section D'!AF"&amp;H939)),""),IFERROR(IF(INDIRECT("'Coverage Indicators - Section D'!AI"&amp;H939)=0,"",INDIRECT("'Coverage Indicators - Section D'!AI"&amp;H939)),""),IFERROR(IF(INDIRECT("'Coverage Indicators - Section D'!AL"&amp;H939)=0,"",INDIRECT("'Coverage Indicators - Section D'!AL"&amp;H939)),"")))</f>
        <v>#VALUE!</v>
      </c>
      <c r="M939" s="515" t="str">
        <f ca="1">IFERROR(IF(COUNTIF($B$937:$B938,"&lt;0")&lt;&gt;1,OFFSET($C937,-COUNTIF($B$937:$B938,"&lt;0")+3,0),""),"")</f>
        <v/>
      </c>
      <c r="N939" s="515">
        <f ca="1">IFERROR(IF(COUNTA($D$937:D938)=1,0,OFFSET($F937,-COUNTA($D$937:D938)+3,0)),"")</f>
        <v>0</v>
      </c>
      <c r="O939" s="497"/>
      <c r="P939" s="497">
        <f>IF(NOT(_xlfn.ISFORMULA(I939)),P938+1,0)</f>
        <v>0</v>
      </c>
      <c r="Q939" s="497"/>
      <c r="R939" s="497"/>
      <c r="S939" s="497"/>
      <c r="T939" s="503" t="s">
        <v>353</v>
      </c>
    </row>
    <row r="940" spans="1:33" x14ac:dyDescent="0.35">
      <c r="A940" s="497" t="b">
        <v>0</v>
      </c>
      <c r="B940" s="497">
        <f t="shared" ref="B940:B1003" si="131">B939+1</f>
        <v>-359</v>
      </c>
      <c r="C940" s="518" t="s">
        <v>9552</v>
      </c>
      <c r="D940" s="497" t="s">
        <v>5299</v>
      </c>
      <c r="E940" s="497">
        <f t="shared" ref="E940:E1003" ca="1" si="132">COUNTIF(F843:F940,F940)</f>
        <v>1</v>
      </c>
      <c r="F940" s="516">
        <v>1</v>
      </c>
      <c r="G940" s="503" t="s">
        <v>9223</v>
      </c>
      <c r="H940" s="497">
        <f t="shared" ref="H940:H1003" si="133">IF(F940=1,9,IF(E939=MAX(E938:E940),H938+2,H939))</f>
        <v>9</v>
      </c>
      <c r="I940" s="500"/>
      <c r="J940" s="512"/>
      <c r="K940" s="512"/>
      <c r="L940" s="503"/>
      <c r="M940" s="515" t="str">
        <f ca="1">IFERROR(IF(COUNTIF($B$937:$B939,"&lt;0")&lt;&gt;1,OFFSET($C938,-COUNTIF($B$937:$B939,"&lt;0")+3,0),""),"")</f>
        <v/>
      </c>
      <c r="N940" s="515">
        <f ca="1">IFERROR(IF(COUNTA($D$937:D939)=1,0,OFFSET($F938,-COUNTA($D$937:D939)+3,0)),"")</f>
        <v>0</v>
      </c>
      <c r="O940" s="497"/>
      <c r="P940" s="497">
        <f t="shared" ref="P940:P1003" si="134">IF(NOT(_xlfn.ISFORMULA(I940)),P939+1,0)</f>
        <v>1</v>
      </c>
      <c r="Q940" s="497"/>
      <c r="R940" s="497"/>
      <c r="S940" s="497"/>
      <c r="T940" s="503"/>
    </row>
    <row r="941" spans="1:33" x14ac:dyDescent="0.35">
      <c r="A941" s="497" t="b">
        <v>0</v>
      </c>
      <c r="B941" s="497">
        <f t="shared" si="131"/>
        <v>-358</v>
      </c>
      <c r="C941" s="518" t="s">
        <v>9553</v>
      </c>
      <c r="D941" s="497" t="s">
        <v>5299</v>
      </c>
      <c r="E941" s="497">
        <f t="shared" ca="1" si="132"/>
        <v>2</v>
      </c>
      <c r="F941" s="516">
        <v>1</v>
      </c>
      <c r="G941" s="503" t="s">
        <v>9223</v>
      </c>
      <c r="H941" s="497">
        <f t="shared" si="133"/>
        <v>9</v>
      </c>
      <c r="I941" s="500"/>
      <c r="J941" s="512"/>
      <c r="K941" s="512"/>
      <c r="L941" s="503"/>
      <c r="M941" s="515" t="str">
        <f ca="1">IFERROR(IF(COUNTIF($B$937:$B940,"&lt;0")&lt;&gt;1,OFFSET($C939,-COUNTIF($B$937:$B940,"&lt;0")+3,0),""),"")</f>
        <v/>
      </c>
      <c r="N941" s="515">
        <f ca="1">IFERROR(IF(COUNTA($D$937:D940)=1,0,OFFSET($F939,-COUNTA($D$937:D940)+3,0)),"")</f>
        <v>1</v>
      </c>
      <c r="O941" s="497"/>
      <c r="P941" s="497">
        <f t="shared" si="134"/>
        <v>2</v>
      </c>
      <c r="Q941" s="497"/>
      <c r="R941" s="497"/>
      <c r="S941" s="497"/>
      <c r="T941" s="503"/>
    </row>
    <row r="942" spans="1:33" x14ac:dyDescent="0.35">
      <c r="A942" s="497" t="b">
        <v>0</v>
      </c>
      <c r="B942" s="497">
        <f t="shared" si="131"/>
        <v>-357</v>
      </c>
      <c r="C942" s="518" t="s">
        <v>9554</v>
      </c>
      <c r="D942" s="497" t="s">
        <v>5299</v>
      </c>
      <c r="E942" s="497">
        <f t="shared" ca="1" si="132"/>
        <v>3</v>
      </c>
      <c r="F942" s="516">
        <v>1</v>
      </c>
      <c r="G942" s="503" t="s">
        <v>9223</v>
      </c>
      <c r="H942" s="497">
        <f t="shared" si="133"/>
        <v>9</v>
      </c>
      <c r="I942" s="500"/>
      <c r="J942" s="512"/>
      <c r="K942" s="512"/>
      <c r="L942" s="503"/>
      <c r="M942" s="515" t="str">
        <f ca="1">IFERROR(IF(COUNTIF($B$937:$B941,"&lt;0")&lt;&gt;1,OFFSET($C940,-COUNTIF($B$937:$B941,"&lt;0")+3,0),""),"")</f>
        <v/>
      </c>
      <c r="N942" s="515">
        <f ca="1">IFERROR(IF(COUNTA($D$937:D941)=1,0,OFFSET($F940,-COUNTA($D$937:D941)+3,0)),"")</f>
        <v>1</v>
      </c>
      <c r="O942" s="497"/>
      <c r="P942" s="497">
        <f t="shared" si="134"/>
        <v>3</v>
      </c>
      <c r="Q942" s="497"/>
      <c r="R942" s="497"/>
      <c r="S942" s="497"/>
      <c r="T942" s="503"/>
    </row>
    <row r="943" spans="1:33" x14ac:dyDescent="0.35">
      <c r="A943" s="497" t="b">
        <v>0</v>
      </c>
      <c r="B943" s="497">
        <f t="shared" si="131"/>
        <v>-356</v>
      </c>
      <c r="C943" s="518" t="s">
        <v>9555</v>
      </c>
      <c r="D943" s="497" t="s">
        <v>5299</v>
      </c>
      <c r="E943" s="497">
        <f t="shared" ca="1" si="132"/>
        <v>4</v>
      </c>
      <c r="F943" s="516">
        <v>1</v>
      </c>
      <c r="G943" s="503" t="s">
        <v>9223</v>
      </c>
      <c r="H943" s="497">
        <f t="shared" si="133"/>
        <v>9</v>
      </c>
      <c r="I943" s="500"/>
      <c r="J943" s="512"/>
      <c r="K943" s="512"/>
      <c r="L943" s="503"/>
      <c r="M943" s="515" t="str">
        <f ca="1">IFERROR(IF(COUNTIF($B$937:$B942,"&lt;0")&lt;&gt;1,OFFSET($C941,-COUNTIF($B$937:$B942,"&lt;0")+3,0),""),"")</f>
        <v/>
      </c>
      <c r="N943" s="515">
        <f ca="1">IFERROR(IF(COUNTA($D$937:D942)=1,0,OFFSET($F941,-COUNTA($D$937:D942)+3,0)),"")</f>
        <v>1</v>
      </c>
      <c r="O943" s="497"/>
      <c r="P943" s="497">
        <f t="shared" si="134"/>
        <v>4</v>
      </c>
      <c r="Q943" s="497"/>
      <c r="R943" s="497"/>
      <c r="S943" s="497"/>
      <c r="T943" s="503"/>
    </row>
    <row r="944" spans="1:33" x14ac:dyDescent="0.35">
      <c r="A944" s="497" t="b">
        <v>0</v>
      </c>
      <c r="B944" s="497">
        <f t="shared" si="131"/>
        <v>-355</v>
      </c>
      <c r="C944" s="518" t="s">
        <v>9556</v>
      </c>
      <c r="D944" s="497" t="s">
        <v>5299</v>
      </c>
      <c r="E944" s="497">
        <f t="shared" ca="1" si="132"/>
        <v>5</v>
      </c>
      <c r="F944" s="516">
        <v>1</v>
      </c>
      <c r="G944" s="503" t="s">
        <v>9223</v>
      </c>
      <c r="H944" s="497">
        <f t="shared" si="133"/>
        <v>9</v>
      </c>
      <c r="I944" s="500"/>
      <c r="J944" s="512"/>
      <c r="K944" s="512"/>
      <c r="L944" s="503"/>
      <c r="M944" s="515" t="str">
        <f ca="1">IFERROR(IF(COUNTIF($B$937:$B943,"&lt;0")&lt;&gt;1,OFFSET($C942,-COUNTIF($B$937:$B943,"&lt;0")+3,0),""),"")</f>
        <v/>
      </c>
      <c r="N944" s="515">
        <f ca="1">IFERROR(IF(COUNTA($D$937:D943)=1,0,OFFSET($F942,-COUNTA($D$937:D943)+3,0)),"")</f>
        <v>1</v>
      </c>
      <c r="O944" s="497"/>
      <c r="P944" s="497">
        <f t="shared" si="134"/>
        <v>5</v>
      </c>
      <c r="Q944" s="497"/>
      <c r="R944" s="497"/>
      <c r="S944" s="497"/>
      <c r="T944" s="503"/>
    </row>
    <row r="945" spans="1:20" x14ac:dyDescent="0.35">
      <c r="A945" s="497" t="b">
        <v>0</v>
      </c>
      <c r="B945" s="497">
        <f t="shared" si="131"/>
        <v>-354</v>
      </c>
      <c r="C945" s="518" t="s">
        <v>9557</v>
      </c>
      <c r="D945" s="497" t="s">
        <v>5299</v>
      </c>
      <c r="E945" s="497">
        <f t="shared" ca="1" si="132"/>
        <v>6</v>
      </c>
      <c r="F945" s="516">
        <v>1</v>
      </c>
      <c r="G945" s="503" t="s">
        <v>9223</v>
      </c>
      <c r="H945" s="497">
        <f t="shared" si="133"/>
        <v>9</v>
      </c>
      <c r="I945" s="500"/>
      <c r="J945" s="512"/>
      <c r="K945" s="512"/>
      <c r="L945" s="503"/>
      <c r="M945" s="515" t="str">
        <f ca="1">IFERROR(IF(COUNTIF($B$937:$B944,"&lt;0")&lt;&gt;1,OFFSET($C943,-COUNTIF($B$937:$B944,"&lt;0")+3,0),""),"")</f>
        <v/>
      </c>
      <c r="N945" s="515">
        <f ca="1">IFERROR(IF(COUNTA($D$937:D944)=1,0,OFFSET($F943,-COUNTA($D$937:D944)+3,0)),"")</f>
        <v>1</v>
      </c>
      <c r="O945" s="497"/>
      <c r="P945" s="497">
        <f t="shared" si="134"/>
        <v>6</v>
      </c>
      <c r="Q945" s="497"/>
      <c r="R945" s="497"/>
      <c r="S945" s="497"/>
      <c r="T945" s="503"/>
    </row>
    <row r="946" spans="1:20" x14ac:dyDescent="0.35">
      <c r="A946" s="497" t="b">
        <v>0</v>
      </c>
      <c r="B946" s="497">
        <f t="shared" si="131"/>
        <v>-353</v>
      </c>
      <c r="C946" s="518" t="s">
        <v>9558</v>
      </c>
      <c r="D946" s="497" t="s">
        <v>6653</v>
      </c>
      <c r="E946" s="497">
        <f t="shared" ca="1" si="132"/>
        <v>1</v>
      </c>
      <c r="F946" s="516">
        <v>2</v>
      </c>
      <c r="G946" s="503" t="s">
        <v>9452</v>
      </c>
      <c r="H946" s="497">
        <f t="shared" ca="1" si="133"/>
        <v>11</v>
      </c>
      <c r="I946" s="500"/>
      <c r="J946" s="512"/>
      <c r="K946" s="512"/>
      <c r="L946" s="503"/>
      <c r="M946" s="515" t="str">
        <f ca="1">IFERROR(IF(COUNTIF($B$937:$B945,"&lt;0")&lt;&gt;1,OFFSET($C944,-COUNTIF($B$937:$B945,"&lt;0")+3,0),""),"")</f>
        <v/>
      </c>
      <c r="N946" s="515">
        <f ca="1">IFERROR(IF(COUNTA($D$937:D945)=1,0,OFFSET($F944,-COUNTA($D$937:D945)+3,0)),"")</f>
        <v>1</v>
      </c>
      <c r="O946" s="497"/>
      <c r="P946" s="497">
        <f t="shared" si="134"/>
        <v>7</v>
      </c>
      <c r="Q946" s="497"/>
      <c r="R946" s="497"/>
      <c r="S946" s="497"/>
      <c r="T946" s="503"/>
    </row>
    <row r="947" spans="1:20" x14ac:dyDescent="0.35">
      <c r="A947" s="497" t="b">
        <v>0</v>
      </c>
      <c r="B947" s="497">
        <f t="shared" si="131"/>
        <v>-352</v>
      </c>
      <c r="C947" s="518" t="s">
        <v>9559</v>
      </c>
      <c r="D947" s="497" t="s">
        <v>6653</v>
      </c>
      <c r="E947" s="497">
        <f t="shared" ca="1" si="132"/>
        <v>2</v>
      </c>
      <c r="F947" s="516">
        <v>2</v>
      </c>
      <c r="G947" s="503" t="s">
        <v>9452</v>
      </c>
      <c r="H947" s="497">
        <f t="shared" ca="1" si="133"/>
        <v>11</v>
      </c>
      <c r="I947" s="500"/>
      <c r="J947" s="512"/>
      <c r="K947" s="512"/>
      <c r="L947" s="503"/>
      <c r="M947" s="515" t="str">
        <f ca="1">IFERROR(IF(COUNTIF($B$937:$B946,"&lt;0")&lt;&gt;1,OFFSET($C945,-COUNTIF($B$937:$B946,"&lt;0")+3,0),""),"")</f>
        <v/>
      </c>
      <c r="N947" s="515">
        <f ca="1">IFERROR(IF(COUNTA($D$937:D946)=1,0,OFFSET($F945,-COUNTA($D$937:D946)+3,0)),"")</f>
        <v>1</v>
      </c>
      <c r="O947" s="497"/>
      <c r="P947" s="497">
        <f t="shared" si="134"/>
        <v>8</v>
      </c>
      <c r="Q947" s="497"/>
      <c r="R947" s="497"/>
      <c r="S947" s="497"/>
      <c r="T947" s="503"/>
    </row>
    <row r="948" spans="1:20" x14ac:dyDescent="0.35">
      <c r="A948" s="497" t="b">
        <v>0</v>
      </c>
      <c r="B948" s="497">
        <f t="shared" si="131"/>
        <v>-351</v>
      </c>
      <c r="C948" s="518" t="s">
        <v>9560</v>
      </c>
      <c r="D948" s="497" t="s">
        <v>6653</v>
      </c>
      <c r="E948" s="497">
        <f t="shared" ca="1" si="132"/>
        <v>3</v>
      </c>
      <c r="F948" s="516">
        <v>2</v>
      </c>
      <c r="G948" s="503" t="s">
        <v>9452</v>
      </c>
      <c r="H948" s="497">
        <f t="shared" ca="1" si="133"/>
        <v>11</v>
      </c>
      <c r="I948" s="500"/>
      <c r="J948" s="512"/>
      <c r="K948" s="512"/>
      <c r="L948" s="503"/>
      <c r="M948" s="515" t="str">
        <f ca="1">IFERROR(IF(COUNTIF($B$937:$B947,"&lt;0")&lt;&gt;1,OFFSET($C946,-COUNTIF($B$937:$B947,"&lt;0")+3,0),""),"")</f>
        <v/>
      </c>
      <c r="N948" s="515">
        <f ca="1">IFERROR(IF(COUNTA($D$937:D947)=1,0,OFFSET($F946,-COUNTA($D$937:D947)+3,0)),"")</f>
        <v>1</v>
      </c>
      <c r="O948" s="497"/>
      <c r="P948" s="497">
        <f t="shared" si="134"/>
        <v>9</v>
      </c>
      <c r="Q948" s="497"/>
      <c r="R948" s="497"/>
      <c r="S948" s="497"/>
      <c r="T948" s="503"/>
    </row>
    <row r="949" spans="1:20" x14ac:dyDescent="0.35">
      <c r="A949" s="497" t="b">
        <v>0</v>
      </c>
      <c r="B949" s="497">
        <f t="shared" si="131"/>
        <v>-350</v>
      </c>
      <c r="C949" s="518" t="s">
        <v>9561</v>
      </c>
      <c r="D949" s="497" t="s">
        <v>6653</v>
      </c>
      <c r="E949" s="497">
        <f t="shared" ca="1" si="132"/>
        <v>4</v>
      </c>
      <c r="F949" s="516">
        <v>2</v>
      </c>
      <c r="G949" s="503" t="s">
        <v>9452</v>
      </c>
      <c r="H949" s="497">
        <f t="shared" ca="1" si="133"/>
        <v>11</v>
      </c>
      <c r="I949" s="500"/>
      <c r="J949" s="512"/>
      <c r="K949" s="512"/>
      <c r="L949" s="503"/>
      <c r="M949" s="515" t="str">
        <f ca="1">IFERROR(IF(COUNTIF($B$937:$B948,"&lt;0")&lt;&gt;1,OFFSET($C947,-COUNTIF($B$937:$B948,"&lt;0")+3,0),""),"")</f>
        <v/>
      </c>
      <c r="N949" s="515">
        <f ca="1">IFERROR(IF(COUNTA($D$937:D948)=1,0,OFFSET($F947,-COUNTA($D$937:D948)+3,0)),"")</f>
        <v>1</v>
      </c>
      <c r="O949" s="497"/>
      <c r="P949" s="497">
        <f t="shared" si="134"/>
        <v>10</v>
      </c>
      <c r="Q949" s="497"/>
      <c r="R949" s="497"/>
      <c r="S949" s="497"/>
      <c r="T949" s="503"/>
    </row>
    <row r="950" spans="1:20" x14ac:dyDescent="0.35">
      <c r="A950" s="497" t="b">
        <v>0</v>
      </c>
      <c r="B950" s="497">
        <f t="shared" si="131"/>
        <v>-349</v>
      </c>
      <c r="C950" s="518" t="s">
        <v>9562</v>
      </c>
      <c r="D950" s="497" t="s">
        <v>6653</v>
      </c>
      <c r="E950" s="497">
        <f t="shared" ca="1" si="132"/>
        <v>5</v>
      </c>
      <c r="F950" s="516">
        <v>2</v>
      </c>
      <c r="G950" s="503" t="s">
        <v>9452</v>
      </c>
      <c r="H950" s="497">
        <f t="shared" ca="1" si="133"/>
        <v>11</v>
      </c>
      <c r="I950" s="500"/>
      <c r="J950" s="512"/>
      <c r="K950" s="512"/>
      <c r="L950" s="503"/>
      <c r="M950" s="515" t="str">
        <f ca="1">IFERROR(IF(COUNTIF($B$937:$B949,"&lt;0")&lt;&gt;1,OFFSET($C948,-COUNTIF($B$937:$B949,"&lt;0")+3,0),""),"")</f>
        <v/>
      </c>
      <c r="N950" s="515">
        <f ca="1">IFERROR(IF(COUNTA($D$937:D949)=1,0,OFFSET($F948,-COUNTA($D$937:D949)+3,0)),"")</f>
        <v>1</v>
      </c>
      <c r="O950" s="497"/>
      <c r="P950" s="497">
        <f t="shared" si="134"/>
        <v>11</v>
      </c>
      <c r="Q950" s="497"/>
      <c r="R950" s="497"/>
      <c r="S950" s="497"/>
      <c r="T950" s="503"/>
    </row>
    <row r="951" spans="1:20" x14ac:dyDescent="0.35">
      <c r="A951" s="497" t="b">
        <v>0</v>
      </c>
      <c r="B951" s="497">
        <f t="shared" si="131"/>
        <v>-348</v>
      </c>
      <c r="C951" s="518" t="s">
        <v>9563</v>
      </c>
      <c r="D951" s="497" t="s">
        <v>6653</v>
      </c>
      <c r="E951" s="497">
        <f t="shared" ca="1" si="132"/>
        <v>6</v>
      </c>
      <c r="F951" s="516">
        <v>2</v>
      </c>
      <c r="G951" s="503" t="s">
        <v>9452</v>
      </c>
      <c r="H951" s="497">
        <f t="shared" ca="1" si="133"/>
        <v>11</v>
      </c>
      <c r="I951" s="500"/>
      <c r="J951" s="512"/>
      <c r="K951" s="512"/>
      <c r="L951" s="503"/>
      <c r="M951" s="515" t="str">
        <f ca="1">IFERROR(IF(COUNTIF($B$937:$B950,"&lt;0")&lt;&gt;1,OFFSET($C949,-COUNTIF($B$937:$B950,"&lt;0")+3,0),""),"")</f>
        <v/>
      </c>
      <c r="N951" s="515">
        <f ca="1">IFERROR(IF(COUNTA($D$937:D950)=1,0,OFFSET($F949,-COUNTA($D$937:D950)+3,0)),"")</f>
        <v>1</v>
      </c>
      <c r="O951" s="497"/>
      <c r="P951" s="497">
        <f t="shared" si="134"/>
        <v>12</v>
      </c>
      <c r="Q951" s="497"/>
      <c r="R951" s="497"/>
      <c r="S951" s="497"/>
      <c r="T951" s="503"/>
    </row>
    <row r="952" spans="1:20" x14ac:dyDescent="0.35">
      <c r="A952" s="497" t="b">
        <v>0</v>
      </c>
      <c r="B952" s="497">
        <f t="shared" si="131"/>
        <v>-347</v>
      </c>
      <c r="C952" s="518" t="s">
        <v>9564</v>
      </c>
      <c r="D952" s="497" t="s">
        <v>5340</v>
      </c>
      <c r="E952" s="497">
        <f t="shared" ca="1" si="132"/>
        <v>1</v>
      </c>
      <c r="F952" s="516">
        <v>3</v>
      </c>
      <c r="G952" s="503" t="s">
        <v>9223</v>
      </c>
      <c r="H952" s="497">
        <f t="shared" ca="1" si="133"/>
        <v>13</v>
      </c>
      <c r="I952" s="500"/>
      <c r="J952" s="512"/>
      <c r="K952" s="512"/>
      <c r="L952" s="503"/>
      <c r="M952" s="515" t="str">
        <f ca="1">IFERROR(IF(COUNTIF($B$937:$B951,"&lt;0")&lt;&gt;1,OFFSET($C950,-COUNTIF($B$937:$B951,"&lt;0")+3,0),""),"")</f>
        <v/>
      </c>
      <c r="N952" s="515">
        <f ca="1">IFERROR(IF(COUNTA($D$937:D951)=1,0,OFFSET($F950,-COUNTA($D$937:D951)+3,0)),"")</f>
        <v>1</v>
      </c>
      <c r="O952" s="497"/>
      <c r="P952" s="497">
        <f t="shared" si="134"/>
        <v>13</v>
      </c>
      <c r="Q952" s="497"/>
      <c r="R952" s="497"/>
      <c r="S952" s="497"/>
      <c r="T952" s="503"/>
    </row>
    <row r="953" spans="1:20" x14ac:dyDescent="0.35">
      <c r="A953" s="497" t="b">
        <v>0</v>
      </c>
      <c r="B953" s="497">
        <f t="shared" si="131"/>
        <v>-346</v>
      </c>
      <c r="C953" s="518" t="s">
        <v>9565</v>
      </c>
      <c r="D953" s="497" t="s">
        <v>5340</v>
      </c>
      <c r="E953" s="497">
        <f t="shared" ca="1" si="132"/>
        <v>2</v>
      </c>
      <c r="F953" s="516">
        <v>3</v>
      </c>
      <c r="G953" s="503" t="s">
        <v>9223</v>
      </c>
      <c r="H953" s="497">
        <f t="shared" ca="1" si="133"/>
        <v>13</v>
      </c>
      <c r="I953" s="500"/>
      <c r="J953" s="512"/>
      <c r="K953" s="512"/>
      <c r="L953" s="503"/>
      <c r="M953" s="515" t="str">
        <f ca="1">IFERROR(IF(COUNTIF($B$937:$B952,"&lt;0")&lt;&gt;1,OFFSET($C951,-COUNTIF($B$937:$B952,"&lt;0")+3,0),""),"")</f>
        <v/>
      </c>
      <c r="N953" s="515">
        <f ca="1">IFERROR(IF(COUNTA($D$937:D952)=1,0,OFFSET($F951,-COUNTA($D$937:D952)+3,0)),"")</f>
        <v>1</v>
      </c>
      <c r="O953" s="497"/>
      <c r="P953" s="497">
        <f t="shared" si="134"/>
        <v>14</v>
      </c>
      <c r="Q953" s="497"/>
      <c r="R953" s="497"/>
      <c r="S953" s="497"/>
      <c r="T953" s="503"/>
    </row>
    <row r="954" spans="1:20" x14ac:dyDescent="0.35">
      <c r="A954" s="497" t="b">
        <v>0</v>
      </c>
      <c r="B954" s="497">
        <f t="shared" si="131"/>
        <v>-345</v>
      </c>
      <c r="C954" s="518" t="s">
        <v>9566</v>
      </c>
      <c r="D954" s="497" t="s">
        <v>5340</v>
      </c>
      <c r="E954" s="497">
        <f t="shared" ca="1" si="132"/>
        <v>3</v>
      </c>
      <c r="F954" s="516">
        <v>3</v>
      </c>
      <c r="G954" s="503" t="s">
        <v>9223</v>
      </c>
      <c r="H954" s="497">
        <f t="shared" ca="1" si="133"/>
        <v>13</v>
      </c>
      <c r="I954" s="500"/>
      <c r="J954" s="512"/>
      <c r="K954" s="512"/>
      <c r="L954" s="503"/>
      <c r="M954" s="515" t="str">
        <f ca="1">IFERROR(IF(COUNTIF($B$937:$B953,"&lt;0")&lt;&gt;1,OFFSET($C952,-COUNTIF($B$937:$B953,"&lt;0")+3,0),""),"")</f>
        <v/>
      </c>
      <c r="N954" s="515">
        <f ca="1">IFERROR(IF(COUNTA($D$937:D953)=1,0,OFFSET($F952,-COUNTA($D$937:D953)+3,0)),"")</f>
        <v>1</v>
      </c>
      <c r="O954" s="497"/>
      <c r="P954" s="497">
        <f t="shared" si="134"/>
        <v>15</v>
      </c>
      <c r="Q954" s="497"/>
      <c r="R954" s="497"/>
      <c r="S954" s="497"/>
      <c r="T954" s="503"/>
    </row>
    <row r="955" spans="1:20" x14ac:dyDescent="0.35">
      <c r="A955" s="497" t="b">
        <v>0</v>
      </c>
      <c r="B955" s="497">
        <f t="shared" si="131"/>
        <v>-344</v>
      </c>
      <c r="C955" s="518" t="s">
        <v>9567</v>
      </c>
      <c r="D955" s="497" t="s">
        <v>5340</v>
      </c>
      <c r="E955" s="497">
        <f t="shared" ca="1" si="132"/>
        <v>4</v>
      </c>
      <c r="F955" s="516">
        <v>3</v>
      </c>
      <c r="G955" s="503" t="s">
        <v>9223</v>
      </c>
      <c r="H955" s="497">
        <f t="shared" ca="1" si="133"/>
        <v>13</v>
      </c>
      <c r="I955" s="500"/>
      <c r="J955" s="512"/>
      <c r="K955" s="512"/>
      <c r="L955" s="503"/>
      <c r="M955" s="515" t="str">
        <f ca="1">IFERROR(IF(COUNTIF($B$937:$B954,"&lt;0")&lt;&gt;1,OFFSET($C953,-COUNTIF($B$937:$B954,"&lt;0")+3,0),""),"")</f>
        <v/>
      </c>
      <c r="N955" s="515">
        <f ca="1">IFERROR(IF(COUNTA($D$937:D954)=1,0,OFFSET($F953,-COUNTA($D$937:D954)+3,0)),"")</f>
        <v>1</v>
      </c>
      <c r="O955" s="497"/>
      <c r="P955" s="497">
        <f t="shared" si="134"/>
        <v>16</v>
      </c>
      <c r="Q955" s="497"/>
      <c r="R955" s="497"/>
      <c r="S955" s="497"/>
      <c r="T955" s="503"/>
    </row>
    <row r="956" spans="1:20" x14ac:dyDescent="0.35">
      <c r="A956" s="497" t="b">
        <v>0</v>
      </c>
      <c r="B956" s="497">
        <f t="shared" si="131"/>
        <v>-343</v>
      </c>
      <c r="C956" s="518" t="s">
        <v>9568</v>
      </c>
      <c r="D956" s="497" t="s">
        <v>5340</v>
      </c>
      <c r="E956" s="497">
        <f t="shared" ca="1" si="132"/>
        <v>5</v>
      </c>
      <c r="F956" s="516">
        <v>3</v>
      </c>
      <c r="G956" s="503" t="s">
        <v>9223</v>
      </c>
      <c r="H956" s="497">
        <f t="shared" ca="1" si="133"/>
        <v>13</v>
      </c>
      <c r="I956" s="500"/>
      <c r="J956" s="512"/>
      <c r="K956" s="512"/>
      <c r="L956" s="503"/>
      <c r="M956" s="515" t="str">
        <f ca="1">IFERROR(IF(COUNTIF($B$937:$B955,"&lt;0")&lt;&gt;1,OFFSET($C954,-COUNTIF($B$937:$B955,"&lt;0")+3,0),""),"")</f>
        <v/>
      </c>
      <c r="N956" s="515">
        <f ca="1">IFERROR(IF(COUNTA($D$937:D955)=1,0,OFFSET($F954,-COUNTA($D$937:D955)+3,0)),"")</f>
        <v>1</v>
      </c>
      <c r="O956" s="497"/>
      <c r="P956" s="497">
        <f t="shared" si="134"/>
        <v>17</v>
      </c>
      <c r="Q956" s="497"/>
      <c r="R956" s="497"/>
      <c r="S956" s="497"/>
      <c r="T956" s="503"/>
    </row>
    <row r="957" spans="1:20" x14ac:dyDescent="0.35">
      <c r="A957" s="497" t="b">
        <v>0</v>
      </c>
      <c r="B957" s="497">
        <f t="shared" si="131"/>
        <v>-342</v>
      </c>
      <c r="C957" s="518" t="s">
        <v>9569</v>
      </c>
      <c r="D957" s="497" t="s">
        <v>5340</v>
      </c>
      <c r="E957" s="497">
        <f t="shared" ca="1" si="132"/>
        <v>6</v>
      </c>
      <c r="F957" s="516">
        <v>3</v>
      </c>
      <c r="G957" s="503" t="s">
        <v>9223</v>
      </c>
      <c r="H957" s="497">
        <f t="shared" ca="1" si="133"/>
        <v>13</v>
      </c>
      <c r="I957" s="500"/>
      <c r="J957" s="512"/>
      <c r="K957" s="512"/>
      <c r="L957" s="503"/>
      <c r="M957" s="515" t="str">
        <f ca="1">IFERROR(IF(COUNTIF($B$937:$B956,"&lt;0")&lt;&gt;1,OFFSET($C955,-COUNTIF($B$937:$B956,"&lt;0")+3,0),""),"")</f>
        <v/>
      </c>
      <c r="N957" s="515">
        <f ca="1">IFERROR(IF(COUNTA($D$937:D956)=1,0,OFFSET($F955,-COUNTA($D$937:D956)+3,0)),"")</f>
        <v>1</v>
      </c>
      <c r="O957" s="497"/>
      <c r="P957" s="497">
        <f t="shared" si="134"/>
        <v>18</v>
      </c>
      <c r="Q957" s="497"/>
      <c r="R957" s="497"/>
      <c r="S957" s="497"/>
      <c r="T957" s="503"/>
    </row>
    <row r="958" spans="1:20" x14ac:dyDescent="0.35">
      <c r="A958" s="497" t="b">
        <v>0</v>
      </c>
      <c r="B958" s="497">
        <f t="shared" si="131"/>
        <v>-341</v>
      </c>
      <c r="C958" s="518" t="s">
        <v>9570</v>
      </c>
      <c r="D958" s="497" t="s">
        <v>6694</v>
      </c>
      <c r="E958" s="497">
        <f t="shared" ca="1" si="132"/>
        <v>1</v>
      </c>
      <c r="F958" s="516">
        <v>4</v>
      </c>
      <c r="G958" s="503" t="s">
        <v>9462</v>
      </c>
      <c r="H958" s="497">
        <f t="shared" ca="1" si="133"/>
        <v>15</v>
      </c>
      <c r="I958" s="500"/>
      <c r="J958" s="512"/>
      <c r="K958" s="512"/>
      <c r="L958" s="503"/>
      <c r="M958" s="515" t="str">
        <f ca="1">IFERROR(IF(COUNTIF($B$937:$B957,"&lt;0")&lt;&gt;1,OFFSET($C956,-COUNTIF($B$937:$B957,"&lt;0")+3,0),""),"")</f>
        <v/>
      </c>
      <c r="N958" s="515">
        <f ca="1">IFERROR(IF(COUNTA($D$937:D957)=1,0,OFFSET($F956,-COUNTA($D$937:D957)+3,0)),"")</f>
        <v>1</v>
      </c>
      <c r="O958" s="497"/>
      <c r="P958" s="497">
        <f t="shared" si="134"/>
        <v>19</v>
      </c>
      <c r="Q958" s="497"/>
      <c r="R958" s="497"/>
      <c r="S958" s="497"/>
      <c r="T958" s="503"/>
    </row>
    <row r="959" spans="1:20" x14ac:dyDescent="0.35">
      <c r="A959" s="497" t="b">
        <v>0</v>
      </c>
      <c r="B959" s="497">
        <f t="shared" si="131"/>
        <v>-340</v>
      </c>
      <c r="C959" s="518" t="s">
        <v>9571</v>
      </c>
      <c r="D959" s="497" t="s">
        <v>6694</v>
      </c>
      <c r="E959" s="497">
        <f t="shared" ca="1" si="132"/>
        <v>2</v>
      </c>
      <c r="F959" s="516">
        <v>4</v>
      </c>
      <c r="G959" s="503" t="s">
        <v>9462</v>
      </c>
      <c r="H959" s="497">
        <f t="shared" ca="1" si="133"/>
        <v>15</v>
      </c>
      <c r="I959" s="500"/>
      <c r="J959" s="512"/>
      <c r="K959" s="512"/>
      <c r="L959" s="503"/>
      <c r="M959" s="515" t="str">
        <f ca="1">IFERROR(IF(COUNTIF($B$937:$B958,"&lt;0")&lt;&gt;1,OFFSET($C957,-COUNTIF($B$937:$B958,"&lt;0")+3,0),""),"")</f>
        <v/>
      </c>
      <c r="N959" s="515">
        <f ca="1">IFERROR(IF(COUNTA($D$937:D958)=1,0,OFFSET($F957,-COUNTA($D$937:D958)+3,0)),"")</f>
        <v>1</v>
      </c>
      <c r="O959" s="497"/>
      <c r="P959" s="497">
        <f t="shared" si="134"/>
        <v>20</v>
      </c>
      <c r="Q959" s="497"/>
      <c r="R959" s="497"/>
      <c r="S959" s="497"/>
      <c r="T959" s="503"/>
    </row>
    <row r="960" spans="1:20" x14ac:dyDescent="0.35">
      <c r="A960" s="497" t="b">
        <v>0</v>
      </c>
      <c r="B960" s="497">
        <f t="shared" si="131"/>
        <v>-339</v>
      </c>
      <c r="C960" s="518" t="s">
        <v>9572</v>
      </c>
      <c r="D960" s="497" t="s">
        <v>6694</v>
      </c>
      <c r="E960" s="497">
        <f t="shared" ca="1" si="132"/>
        <v>3</v>
      </c>
      <c r="F960" s="516">
        <v>4</v>
      </c>
      <c r="G960" s="503" t="s">
        <v>9462</v>
      </c>
      <c r="H960" s="497">
        <f t="shared" ca="1" si="133"/>
        <v>15</v>
      </c>
      <c r="I960" s="500"/>
      <c r="J960" s="512"/>
      <c r="K960" s="512"/>
      <c r="L960" s="503"/>
      <c r="M960" s="515" t="str">
        <f ca="1">IFERROR(IF(COUNTIF($B$937:$B959,"&lt;0")&lt;&gt;1,OFFSET($C958,-COUNTIF($B$937:$B959,"&lt;0")+3,0),""),"")</f>
        <v/>
      </c>
      <c r="N960" s="515">
        <f ca="1">IFERROR(IF(COUNTA($D$937:D959)=1,0,OFFSET($F958,-COUNTA($D$937:D959)+3,0)),"")</f>
        <v>1</v>
      </c>
      <c r="O960" s="497"/>
      <c r="P960" s="497">
        <f t="shared" si="134"/>
        <v>21</v>
      </c>
      <c r="Q960" s="497"/>
      <c r="R960" s="497"/>
      <c r="S960" s="497"/>
      <c r="T960" s="503"/>
    </row>
    <row r="961" spans="1:20" x14ac:dyDescent="0.35">
      <c r="A961" s="497" t="b">
        <v>0</v>
      </c>
      <c r="B961" s="497">
        <f t="shared" si="131"/>
        <v>-338</v>
      </c>
      <c r="C961" s="518" t="s">
        <v>9573</v>
      </c>
      <c r="D961" s="497" t="s">
        <v>6694</v>
      </c>
      <c r="E961" s="497">
        <f t="shared" ca="1" si="132"/>
        <v>4</v>
      </c>
      <c r="F961" s="516">
        <v>4</v>
      </c>
      <c r="G961" s="503" t="s">
        <v>9462</v>
      </c>
      <c r="H961" s="497">
        <f t="shared" ca="1" si="133"/>
        <v>15</v>
      </c>
      <c r="I961" s="500"/>
      <c r="J961" s="512"/>
      <c r="K961" s="512"/>
      <c r="L961" s="503"/>
      <c r="M961" s="515" t="str">
        <f ca="1">IFERROR(IF(COUNTIF($B$937:$B960,"&lt;0")&lt;&gt;1,OFFSET($C959,-COUNTIF($B$937:$B960,"&lt;0")+3,0),""),"")</f>
        <v/>
      </c>
      <c r="N961" s="515">
        <f ca="1">IFERROR(IF(COUNTA($D$937:D960)=1,0,OFFSET($F959,-COUNTA($D$937:D960)+3,0)),"")</f>
        <v>1</v>
      </c>
      <c r="O961" s="497"/>
      <c r="P961" s="497">
        <f t="shared" si="134"/>
        <v>22</v>
      </c>
      <c r="Q961" s="497"/>
      <c r="R961" s="497"/>
      <c r="S961" s="497"/>
      <c r="T961" s="503"/>
    </row>
    <row r="962" spans="1:20" x14ac:dyDescent="0.35">
      <c r="A962" s="497" t="b">
        <v>0</v>
      </c>
      <c r="B962" s="497">
        <f t="shared" si="131"/>
        <v>-337</v>
      </c>
      <c r="C962" s="518" t="s">
        <v>9574</v>
      </c>
      <c r="D962" s="497" t="s">
        <v>6694</v>
      </c>
      <c r="E962" s="497">
        <f t="shared" ca="1" si="132"/>
        <v>5</v>
      </c>
      <c r="F962" s="516">
        <v>4</v>
      </c>
      <c r="G962" s="503" t="s">
        <v>9462</v>
      </c>
      <c r="H962" s="497">
        <f t="shared" ca="1" si="133"/>
        <v>15</v>
      </c>
      <c r="I962" s="500"/>
      <c r="J962" s="512"/>
      <c r="K962" s="512"/>
      <c r="L962" s="503"/>
      <c r="M962" s="515" t="str">
        <f ca="1">IFERROR(IF(COUNTIF($B$937:$B961,"&lt;0")&lt;&gt;1,OFFSET($C960,-COUNTIF($B$937:$B961,"&lt;0")+3,0),""),"")</f>
        <v/>
      </c>
      <c r="N962" s="515">
        <f ca="1">IFERROR(IF(COUNTA($D$937:D961)=1,0,OFFSET($F960,-COUNTA($D$937:D961)+3,0)),"")</f>
        <v>1</v>
      </c>
      <c r="O962" s="497"/>
      <c r="P962" s="497">
        <f t="shared" si="134"/>
        <v>23</v>
      </c>
      <c r="Q962" s="497"/>
      <c r="R962" s="497"/>
      <c r="S962" s="497"/>
      <c r="T962" s="503"/>
    </row>
    <row r="963" spans="1:20" x14ac:dyDescent="0.35">
      <c r="A963" s="497" t="b">
        <v>0</v>
      </c>
      <c r="B963" s="497">
        <f t="shared" si="131"/>
        <v>-336</v>
      </c>
      <c r="C963" s="518" t="s">
        <v>9575</v>
      </c>
      <c r="D963" s="497" t="s">
        <v>6694</v>
      </c>
      <c r="E963" s="497">
        <f t="shared" ca="1" si="132"/>
        <v>6</v>
      </c>
      <c r="F963" s="516">
        <v>4</v>
      </c>
      <c r="G963" s="503" t="s">
        <v>9462</v>
      </c>
      <c r="H963" s="497">
        <f t="shared" ca="1" si="133"/>
        <v>15</v>
      </c>
      <c r="I963" s="500"/>
      <c r="J963" s="512"/>
      <c r="K963" s="512"/>
      <c r="L963" s="503"/>
      <c r="M963" s="515" t="str">
        <f ca="1">IFERROR(IF(COUNTIF($B$937:$B962,"&lt;0")&lt;&gt;1,OFFSET($C961,-COUNTIF($B$937:$B962,"&lt;0")+3,0),""),"")</f>
        <v/>
      </c>
      <c r="N963" s="515">
        <f ca="1">IFERROR(IF(COUNTA($D$937:D962)=1,0,OFFSET($F961,-COUNTA($D$937:D962)+3,0)),"")</f>
        <v>1</v>
      </c>
      <c r="O963" s="497"/>
      <c r="P963" s="497">
        <f t="shared" si="134"/>
        <v>24</v>
      </c>
      <c r="Q963" s="497"/>
      <c r="R963" s="497"/>
      <c r="S963" s="497"/>
      <c r="T963" s="503"/>
    </row>
    <row r="964" spans="1:20" x14ac:dyDescent="0.35">
      <c r="A964" s="497" t="b">
        <v>0</v>
      </c>
      <c r="B964" s="497">
        <f t="shared" si="131"/>
        <v>-335</v>
      </c>
      <c r="C964" s="518" t="s">
        <v>9576</v>
      </c>
      <c r="D964" s="497" t="s">
        <v>5381</v>
      </c>
      <c r="E964" s="497">
        <f t="shared" ca="1" si="132"/>
        <v>1</v>
      </c>
      <c r="F964" s="516">
        <v>5</v>
      </c>
      <c r="G964" s="503" t="s">
        <v>9223</v>
      </c>
      <c r="H964" s="497">
        <f t="shared" ca="1" si="133"/>
        <v>17</v>
      </c>
      <c r="I964" s="500"/>
      <c r="J964" s="512"/>
      <c r="K964" s="512"/>
      <c r="L964" s="503"/>
      <c r="M964" s="515" t="str">
        <f ca="1">IFERROR(IF(COUNTIF($B$937:$B963,"&lt;0")&lt;&gt;1,OFFSET($C962,-COUNTIF($B$937:$B963,"&lt;0")+3,0),""),"")</f>
        <v/>
      </c>
      <c r="N964" s="515">
        <f ca="1">IFERROR(IF(COUNTA($D$937:D963)=1,0,OFFSET($F962,-COUNTA($D$937:D963)+3,0)),"")</f>
        <v>1</v>
      </c>
      <c r="O964" s="497"/>
      <c r="P964" s="497">
        <f t="shared" si="134"/>
        <v>25</v>
      </c>
      <c r="Q964" s="497"/>
      <c r="R964" s="497"/>
      <c r="S964" s="497"/>
      <c r="T964" s="503"/>
    </row>
    <row r="965" spans="1:20" x14ac:dyDescent="0.35">
      <c r="A965" s="497" t="b">
        <v>0</v>
      </c>
      <c r="B965" s="497">
        <f t="shared" si="131"/>
        <v>-334</v>
      </c>
      <c r="C965" s="518" t="s">
        <v>9577</v>
      </c>
      <c r="D965" s="497" t="s">
        <v>5381</v>
      </c>
      <c r="E965" s="497">
        <f t="shared" ca="1" si="132"/>
        <v>2</v>
      </c>
      <c r="F965" s="516">
        <v>5</v>
      </c>
      <c r="G965" s="503" t="s">
        <v>9223</v>
      </c>
      <c r="H965" s="497">
        <f t="shared" ca="1" si="133"/>
        <v>17</v>
      </c>
      <c r="I965" s="500"/>
      <c r="J965" s="512"/>
      <c r="K965" s="512"/>
      <c r="L965" s="503"/>
      <c r="M965" s="515" t="str">
        <f ca="1">IFERROR(IF(COUNTIF($B$937:$B964,"&lt;0")&lt;&gt;1,OFFSET($C963,-COUNTIF($B$937:$B964,"&lt;0")+3,0),""),"")</f>
        <v/>
      </c>
      <c r="N965" s="515">
        <f ca="1">IFERROR(IF(COUNTA($D$937:D964)=1,0,OFFSET($F963,-COUNTA($D$937:D964)+3,0)),"")</f>
        <v>1</v>
      </c>
      <c r="O965" s="497"/>
      <c r="P965" s="497">
        <f t="shared" si="134"/>
        <v>26</v>
      </c>
      <c r="Q965" s="497"/>
      <c r="R965" s="497"/>
      <c r="S965" s="497"/>
      <c r="T965" s="503"/>
    </row>
    <row r="966" spans="1:20" x14ac:dyDescent="0.35">
      <c r="A966" s="497" t="b">
        <v>0</v>
      </c>
      <c r="B966" s="497">
        <f t="shared" si="131"/>
        <v>-333</v>
      </c>
      <c r="C966" s="518" t="s">
        <v>9578</v>
      </c>
      <c r="D966" s="497" t="s">
        <v>5381</v>
      </c>
      <c r="E966" s="497">
        <f t="shared" ca="1" si="132"/>
        <v>3</v>
      </c>
      <c r="F966" s="516">
        <v>5</v>
      </c>
      <c r="G966" s="503" t="s">
        <v>9223</v>
      </c>
      <c r="H966" s="497">
        <f t="shared" ca="1" si="133"/>
        <v>17</v>
      </c>
      <c r="I966" s="500"/>
      <c r="J966" s="512"/>
      <c r="K966" s="512"/>
      <c r="L966" s="503"/>
      <c r="M966" s="515" t="str">
        <f ca="1">IFERROR(IF(COUNTIF($B$937:$B965,"&lt;0")&lt;&gt;1,OFFSET($C964,-COUNTIF($B$937:$B965,"&lt;0")+3,0),""),"")</f>
        <v/>
      </c>
      <c r="N966" s="515">
        <f ca="1">IFERROR(IF(COUNTA($D$937:D965)=1,0,OFFSET($F964,-COUNTA($D$937:D965)+3,0)),"")</f>
        <v>1</v>
      </c>
      <c r="O966" s="497"/>
      <c r="P966" s="497">
        <f t="shared" si="134"/>
        <v>27</v>
      </c>
      <c r="Q966" s="497"/>
      <c r="R966" s="497"/>
      <c r="S966" s="497"/>
      <c r="T966" s="503"/>
    </row>
    <row r="967" spans="1:20" x14ac:dyDescent="0.35">
      <c r="A967" s="497" t="b">
        <v>0</v>
      </c>
      <c r="B967" s="497">
        <f t="shared" si="131"/>
        <v>-332</v>
      </c>
      <c r="C967" s="518" t="s">
        <v>9579</v>
      </c>
      <c r="D967" s="497" t="s">
        <v>5381</v>
      </c>
      <c r="E967" s="497">
        <f t="shared" ca="1" si="132"/>
        <v>4</v>
      </c>
      <c r="F967" s="516">
        <v>5</v>
      </c>
      <c r="G967" s="503" t="s">
        <v>9223</v>
      </c>
      <c r="H967" s="497">
        <f t="shared" ca="1" si="133"/>
        <v>17</v>
      </c>
      <c r="I967" s="500"/>
      <c r="J967" s="512"/>
      <c r="K967" s="512"/>
      <c r="L967" s="503"/>
      <c r="M967" s="515" t="str">
        <f ca="1">IFERROR(IF(COUNTIF($B$937:$B966,"&lt;0")&lt;&gt;1,OFFSET($C965,-COUNTIF($B$937:$B966,"&lt;0")+3,0),""),"")</f>
        <v/>
      </c>
      <c r="N967" s="515">
        <f ca="1">IFERROR(IF(COUNTA($D$937:D966)=1,0,OFFSET($F965,-COUNTA($D$937:D966)+3,0)),"")</f>
        <v>1</v>
      </c>
      <c r="O967" s="497"/>
      <c r="P967" s="497">
        <f t="shared" si="134"/>
        <v>28</v>
      </c>
      <c r="Q967" s="497"/>
      <c r="R967" s="497"/>
      <c r="S967" s="497"/>
      <c r="T967" s="503"/>
    </row>
    <row r="968" spans="1:20" x14ac:dyDescent="0.35">
      <c r="A968" s="497" t="b">
        <v>0</v>
      </c>
      <c r="B968" s="497">
        <f t="shared" si="131"/>
        <v>-331</v>
      </c>
      <c r="C968" s="518" t="s">
        <v>9580</v>
      </c>
      <c r="D968" s="497" t="s">
        <v>5381</v>
      </c>
      <c r="E968" s="497">
        <f t="shared" ca="1" si="132"/>
        <v>5</v>
      </c>
      <c r="F968" s="516">
        <v>5</v>
      </c>
      <c r="G968" s="503" t="s">
        <v>9223</v>
      </c>
      <c r="H968" s="497">
        <f t="shared" ca="1" si="133"/>
        <v>17</v>
      </c>
      <c r="I968" s="500"/>
      <c r="J968" s="512"/>
      <c r="K968" s="512"/>
      <c r="L968" s="503"/>
      <c r="M968" s="515" t="str">
        <f ca="1">IFERROR(IF(COUNTIF($B$937:$B967,"&lt;0")&lt;&gt;1,OFFSET($C966,-COUNTIF($B$937:$B967,"&lt;0")+3,0),""),"")</f>
        <v/>
      </c>
      <c r="N968" s="515">
        <f ca="1">IFERROR(IF(COUNTA($D$937:D967)=1,0,OFFSET($F966,-COUNTA($D$937:D967)+3,0)),"")</f>
        <v>1</v>
      </c>
      <c r="O968" s="497"/>
      <c r="P968" s="497">
        <f t="shared" si="134"/>
        <v>29</v>
      </c>
      <c r="Q968" s="497"/>
      <c r="R968" s="497"/>
      <c r="S968" s="497"/>
      <c r="T968" s="503"/>
    </row>
    <row r="969" spans="1:20" x14ac:dyDescent="0.35">
      <c r="A969" s="497" t="b">
        <v>0</v>
      </c>
      <c r="B969" s="497">
        <f t="shared" si="131"/>
        <v>-330</v>
      </c>
      <c r="C969" s="518" t="s">
        <v>9581</v>
      </c>
      <c r="D969" s="497" t="s">
        <v>5381</v>
      </c>
      <c r="E969" s="497">
        <f t="shared" ca="1" si="132"/>
        <v>6</v>
      </c>
      <c r="F969" s="516">
        <v>5</v>
      </c>
      <c r="G969" s="503" t="s">
        <v>9223</v>
      </c>
      <c r="H969" s="497">
        <f t="shared" ca="1" si="133"/>
        <v>17</v>
      </c>
      <c r="I969" s="500"/>
      <c r="J969" s="512"/>
      <c r="K969" s="512"/>
      <c r="L969" s="503"/>
      <c r="M969" s="515" t="str">
        <f ca="1">IFERROR(IF(COUNTIF($B$937:$B968,"&lt;0")&lt;&gt;1,OFFSET($C967,-COUNTIF($B$937:$B968,"&lt;0")+3,0),""),"")</f>
        <v/>
      </c>
      <c r="N969" s="515">
        <f ca="1">IFERROR(IF(COUNTA($D$937:D968)=1,0,OFFSET($F967,-COUNTA($D$937:D968)+3,0)),"")</f>
        <v>1</v>
      </c>
      <c r="O969" s="497"/>
      <c r="P969" s="497">
        <f t="shared" si="134"/>
        <v>30</v>
      </c>
      <c r="Q969" s="497"/>
      <c r="R969" s="497"/>
      <c r="S969" s="497"/>
      <c r="T969" s="503"/>
    </row>
    <row r="970" spans="1:20" x14ac:dyDescent="0.35">
      <c r="A970" s="497" t="b">
        <v>0</v>
      </c>
      <c r="B970" s="497">
        <f t="shared" si="131"/>
        <v>-329</v>
      </c>
      <c r="C970" s="518" t="s">
        <v>9582</v>
      </c>
      <c r="D970" s="497" t="s">
        <v>6529</v>
      </c>
      <c r="E970" s="497">
        <f t="shared" ca="1" si="132"/>
        <v>1</v>
      </c>
      <c r="F970" s="516">
        <v>6</v>
      </c>
      <c r="G970" s="503" t="s">
        <v>9471</v>
      </c>
      <c r="H970" s="497">
        <f t="shared" ca="1" si="133"/>
        <v>19</v>
      </c>
      <c r="I970" s="500"/>
      <c r="J970" s="512"/>
      <c r="K970" s="512"/>
      <c r="L970" s="503"/>
      <c r="M970" s="515" t="str">
        <f ca="1">IFERROR(IF(COUNTIF($B$937:$B969,"&lt;0")&lt;&gt;1,OFFSET($C968,-COUNTIF($B$937:$B969,"&lt;0")+3,0),""),"")</f>
        <v/>
      </c>
      <c r="N970" s="515">
        <f ca="1">IFERROR(IF(COUNTA($D$937:D969)=1,0,OFFSET($F968,-COUNTA($D$937:D969)+3,0)),"")</f>
        <v>1</v>
      </c>
      <c r="O970" s="497"/>
      <c r="P970" s="497">
        <f t="shared" si="134"/>
        <v>31</v>
      </c>
      <c r="Q970" s="497"/>
      <c r="R970" s="497"/>
      <c r="S970" s="497"/>
      <c r="T970" s="503"/>
    </row>
    <row r="971" spans="1:20" x14ac:dyDescent="0.35">
      <c r="A971" s="497" t="b">
        <v>0</v>
      </c>
      <c r="B971" s="497">
        <f t="shared" si="131"/>
        <v>-328</v>
      </c>
      <c r="C971" s="518" t="s">
        <v>9583</v>
      </c>
      <c r="D971" s="497" t="s">
        <v>6529</v>
      </c>
      <c r="E971" s="497">
        <f t="shared" ca="1" si="132"/>
        <v>2</v>
      </c>
      <c r="F971" s="516">
        <v>6</v>
      </c>
      <c r="G971" s="503" t="s">
        <v>9471</v>
      </c>
      <c r="H971" s="497">
        <f t="shared" ca="1" si="133"/>
        <v>19</v>
      </c>
      <c r="I971" s="500"/>
      <c r="J971" s="512"/>
      <c r="K971" s="512"/>
      <c r="L971" s="503"/>
      <c r="M971" s="515" t="str">
        <f ca="1">IFERROR(IF(COUNTIF($B$937:$B970,"&lt;0")&lt;&gt;1,OFFSET($C969,-COUNTIF($B$937:$B970,"&lt;0")+3,0),""),"")</f>
        <v/>
      </c>
      <c r="N971" s="515">
        <f ca="1">IFERROR(IF(COUNTA($D$937:D970)=1,0,OFFSET($F969,-COUNTA($D$937:D970)+3,0)),"")</f>
        <v>1</v>
      </c>
      <c r="O971" s="497"/>
      <c r="P971" s="497">
        <f t="shared" si="134"/>
        <v>32</v>
      </c>
      <c r="Q971" s="497"/>
      <c r="R971" s="497"/>
      <c r="S971" s="497"/>
      <c r="T971" s="503"/>
    </row>
    <row r="972" spans="1:20" x14ac:dyDescent="0.35">
      <c r="A972" s="497" t="b">
        <v>0</v>
      </c>
      <c r="B972" s="497">
        <f t="shared" si="131"/>
        <v>-327</v>
      </c>
      <c r="C972" s="518" t="s">
        <v>9584</v>
      </c>
      <c r="D972" s="497" t="s">
        <v>6529</v>
      </c>
      <c r="E972" s="497">
        <f t="shared" ca="1" si="132"/>
        <v>3</v>
      </c>
      <c r="F972" s="516">
        <v>6</v>
      </c>
      <c r="G972" s="503" t="s">
        <v>9471</v>
      </c>
      <c r="H972" s="497">
        <f t="shared" ca="1" si="133"/>
        <v>19</v>
      </c>
      <c r="I972" s="500"/>
      <c r="J972" s="512"/>
      <c r="K972" s="512"/>
      <c r="L972" s="503"/>
      <c r="M972" s="515" t="str">
        <f ca="1">IFERROR(IF(COUNTIF($B$937:$B971,"&lt;0")&lt;&gt;1,OFFSET($C970,-COUNTIF($B$937:$B971,"&lt;0")+3,0),""),"")</f>
        <v/>
      </c>
      <c r="N972" s="515">
        <f ca="1">IFERROR(IF(COUNTA($D$937:D971)=1,0,OFFSET($F970,-COUNTA($D$937:D971)+3,0)),"")</f>
        <v>1</v>
      </c>
      <c r="O972" s="497"/>
      <c r="P972" s="497">
        <f t="shared" si="134"/>
        <v>33</v>
      </c>
      <c r="Q972" s="497"/>
      <c r="R972" s="497"/>
      <c r="S972" s="497"/>
      <c r="T972" s="503"/>
    </row>
    <row r="973" spans="1:20" x14ac:dyDescent="0.35">
      <c r="A973" s="497" t="b">
        <v>0</v>
      </c>
      <c r="B973" s="497">
        <f t="shared" si="131"/>
        <v>-326</v>
      </c>
      <c r="C973" s="518" t="s">
        <v>9585</v>
      </c>
      <c r="D973" s="497" t="s">
        <v>6529</v>
      </c>
      <c r="E973" s="497">
        <f t="shared" ca="1" si="132"/>
        <v>4</v>
      </c>
      <c r="F973" s="516">
        <v>6</v>
      </c>
      <c r="G973" s="503" t="s">
        <v>9471</v>
      </c>
      <c r="H973" s="497">
        <f t="shared" ca="1" si="133"/>
        <v>19</v>
      </c>
      <c r="I973" s="500"/>
      <c r="J973" s="512"/>
      <c r="K973" s="512"/>
      <c r="L973" s="503"/>
      <c r="M973" s="515" t="str">
        <f ca="1">IFERROR(IF(COUNTIF($B$937:$B972,"&lt;0")&lt;&gt;1,OFFSET($C971,-COUNTIF($B$937:$B972,"&lt;0")+3,0),""),"")</f>
        <v/>
      </c>
      <c r="N973" s="515">
        <f ca="1">IFERROR(IF(COUNTA($D$937:D972)=1,0,OFFSET($F971,-COUNTA($D$937:D972)+3,0)),"")</f>
        <v>1</v>
      </c>
      <c r="O973" s="497"/>
      <c r="P973" s="497">
        <f t="shared" si="134"/>
        <v>34</v>
      </c>
      <c r="Q973" s="497"/>
      <c r="R973" s="497"/>
      <c r="S973" s="497"/>
      <c r="T973" s="503"/>
    </row>
    <row r="974" spans="1:20" x14ac:dyDescent="0.35">
      <c r="A974" s="497" t="b">
        <v>0</v>
      </c>
      <c r="B974" s="497">
        <f t="shared" si="131"/>
        <v>-325</v>
      </c>
      <c r="C974" s="518" t="s">
        <v>9586</v>
      </c>
      <c r="D974" s="497" t="s">
        <v>6529</v>
      </c>
      <c r="E974" s="497">
        <f t="shared" ca="1" si="132"/>
        <v>5</v>
      </c>
      <c r="F974" s="516">
        <v>6</v>
      </c>
      <c r="G974" s="503" t="s">
        <v>9471</v>
      </c>
      <c r="H974" s="497">
        <f t="shared" ca="1" si="133"/>
        <v>19</v>
      </c>
      <c r="I974" s="500"/>
      <c r="J974" s="512"/>
      <c r="K974" s="512"/>
      <c r="L974" s="503"/>
      <c r="M974" s="515" t="str">
        <f ca="1">IFERROR(IF(COUNTIF($B$937:$B973,"&lt;0")&lt;&gt;1,OFFSET($C972,-COUNTIF($B$937:$B973,"&lt;0")+3,0),""),"")</f>
        <v/>
      </c>
      <c r="N974" s="515">
        <f ca="1">IFERROR(IF(COUNTA($D$937:D973)=1,0,OFFSET($F972,-COUNTA($D$937:D973)+3,0)),"")</f>
        <v>1</v>
      </c>
      <c r="O974" s="497"/>
      <c r="P974" s="497">
        <f t="shared" si="134"/>
        <v>35</v>
      </c>
      <c r="Q974" s="497"/>
      <c r="R974" s="497"/>
      <c r="S974" s="497"/>
      <c r="T974" s="503"/>
    </row>
    <row r="975" spans="1:20" x14ac:dyDescent="0.35">
      <c r="A975" s="497" t="b">
        <v>0</v>
      </c>
      <c r="B975" s="497">
        <f t="shared" si="131"/>
        <v>-324</v>
      </c>
      <c r="C975" s="518" t="s">
        <v>9587</v>
      </c>
      <c r="D975" s="497" t="s">
        <v>6529</v>
      </c>
      <c r="E975" s="497">
        <f t="shared" ca="1" si="132"/>
        <v>6</v>
      </c>
      <c r="F975" s="516">
        <v>6</v>
      </c>
      <c r="G975" s="503" t="s">
        <v>9471</v>
      </c>
      <c r="H975" s="497">
        <f t="shared" ca="1" si="133"/>
        <v>19</v>
      </c>
      <c r="I975" s="500"/>
      <c r="J975" s="512"/>
      <c r="K975" s="512"/>
      <c r="L975" s="503"/>
      <c r="M975" s="515" t="str">
        <f ca="1">IFERROR(IF(COUNTIF($B$937:$B974,"&lt;0")&lt;&gt;1,OFFSET($C973,-COUNTIF($B$937:$B974,"&lt;0")+3,0),""),"")</f>
        <v/>
      </c>
      <c r="N975" s="515">
        <f ca="1">IFERROR(IF(COUNTA($D$937:D974)=1,0,OFFSET($F973,-COUNTA($D$937:D974)+3,0)),"")</f>
        <v>1</v>
      </c>
      <c r="O975" s="497"/>
      <c r="P975" s="497">
        <f t="shared" si="134"/>
        <v>36</v>
      </c>
      <c r="Q975" s="497"/>
      <c r="R975" s="497"/>
      <c r="S975" s="497"/>
      <c r="T975" s="503"/>
    </row>
    <row r="976" spans="1:20" x14ac:dyDescent="0.35">
      <c r="A976" s="497" t="b">
        <v>0</v>
      </c>
      <c r="B976" s="497">
        <f t="shared" si="131"/>
        <v>-323</v>
      </c>
      <c r="C976" s="518" t="s">
        <v>9588</v>
      </c>
      <c r="D976" s="497" t="s">
        <v>5422</v>
      </c>
      <c r="E976" s="497">
        <f t="shared" ca="1" si="132"/>
        <v>1</v>
      </c>
      <c r="F976" s="516">
        <v>7</v>
      </c>
      <c r="G976" s="503" t="s">
        <v>9476</v>
      </c>
      <c r="H976" s="497">
        <f t="shared" ca="1" si="133"/>
        <v>21</v>
      </c>
      <c r="I976" s="500"/>
      <c r="J976" s="512"/>
      <c r="K976" s="512"/>
      <c r="L976" s="503"/>
      <c r="M976" s="515" t="str">
        <f ca="1">IFERROR(IF(COUNTIF($B$937:$B975,"&lt;0")&lt;&gt;1,OFFSET($C974,-COUNTIF($B$937:$B975,"&lt;0")+3,0),""),"")</f>
        <v/>
      </c>
      <c r="N976" s="515">
        <f ca="1">IFERROR(IF(COUNTA($D$937:D975)=1,0,OFFSET($F974,-COUNTA($D$937:D975)+3,0)),"")</f>
        <v>1</v>
      </c>
      <c r="O976" s="497"/>
      <c r="P976" s="497">
        <f t="shared" si="134"/>
        <v>37</v>
      </c>
      <c r="Q976" s="497"/>
      <c r="R976" s="497"/>
      <c r="S976" s="497"/>
      <c r="T976" s="503"/>
    </row>
    <row r="977" spans="1:20" x14ac:dyDescent="0.35">
      <c r="A977" s="497" t="b">
        <v>0</v>
      </c>
      <c r="B977" s="497">
        <f t="shared" si="131"/>
        <v>-322</v>
      </c>
      <c r="C977" s="518" t="s">
        <v>9589</v>
      </c>
      <c r="D977" s="497" t="s">
        <v>5422</v>
      </c>
      <c r="E977" s="497">
        <f t="shared" ca="1" si="132"/>
        <v>2</v>
      </c>
      <c r="F977" s="516">
        <v>7</v>
      </c>
      <c r="G977" s="503" t="s">
        <v>9476</v>
      </c>
      <c r="H977" s="497">
        <f t="shared" ca="1" si="133"/>
        <v>21</v>
      </c>
      <c r="I977" s="500"/>
      <c r="J977" s="512"/>
      <c r="K977" s="512"/>
      <c r="L977" s="503"/>
      <c r="M977" s="515" t="str">
        <f ca="1">IFERROR(IF(COUNTIF($B$937:$B976,"&lt;0")&lt;&gt;1,OFFSET($C975,-COUNTIF($B$937:$B976,"&lt;0")+3,0),""),"")</f>
        <v/>
      </c>
      <c r="N977" s="515">
        <f ca="1">IFERROR(IF(COUNTA($D$937:D976)=1,0,OFFSET($F975,-COUNTA($D$937:D976)+3,0)),"")</f>
        <v>1</v>
      </c>
      <c r="O977" s="497"/>
      <c r="P977" s="497">
        <f t="shared" si="134"/>
        <v>38</v>
      </c>
      <c r="Q977" s="497"/>
      <c r="R977" s="497"/>
      <c r="S977" s="497"/>
      <c r="T977" s="503"/>
    </row>
    <row r="978" spans="1:20" x14ac:dyDescent="0.35">
      <c r="A978" s="497" t="b">
        <v>0</v>
      </c>
      <c r="B978" s="497">
        <f t="shared" si="131"/>
        <v>-321</v>
      </c>
      <c r="C978" s="518" t="s">
        <v>9590</v>
      </c>
      <c r="D978" s="497" t="s">
        <v>5422</v>
      </c>
      <c r="E978" s="497">
        <f t="shared" ca="1" si="132"/>
        <v>3</v>
      </c>
      <c r="F978" s="516">
        <v>7</v>
      </c>
      <c r="G978" s="503" t="s">
        <v>9476</v>
      </c>
      <c r="H978" s="497">
        <f t="shared" ca="1" si="133"/>
        <v>21</v>
      </c>
      <c r="I978" s="500"/>
      <c r="J978" s="512"/>
      <c r="K978" s="512"/>
      <c r="L978" s="503"/>
      <c r="M978" s="515" t="str">
        <f ca="1">IFERROR(IF(COUNTIF($B$937:$B977,"&lt;0")&lt;&gt;1,OFFSET($C976,-COUNTIF($B$937:$B977,"&lt;0")+3,0),""),"")</f>
        <v/>
      </c>
      <c r="N978" s="515">
        <f ca="1">IFERROR(IF(COUNTA($D$937:D977)=1,0,OFFSET($F976,-COUNTA($D$937:D977)+3,0)),"")</f>
        <v>1</v>
      </c>
      <c r="O978" s="497"/>
      <c r="P978" s="497">
        <f t="shared" si="134"/>
        <v>39</v>
      </c>
      <c r="Q978" s="497"/>
      <c r="R978" s="497"/>
      <c r="S978" s="497"/>
      <c r="T978" s="503"/>
    </row>
    <row r="979" spans="1:20" x14ac:dyDescent="0.35">
      <c r="A979" s="497" t="b">
        <v>0</v>
      </c>
      <c r="B979" s="497">
        <f t="shared" si="131"/>
        <v>-320</v>
      </c>
      <c r="C979" s="518" t="s">
        <v>9591</v>
      </c>
      <c r="D979" s="497" t="s">
        <v>5422</v>
      </c>
      <c r="E979" s="497">
        <f t="shared" ca="1" si="132"/>
        <v>4</v>
      </c>
      <c r="F979" s="516">
        <v>7</v>
      </c>
      <c r="G979" s="503" t="s">
        <v>9476</v>
      </c>
      <c r="H979" s="497">
        <f t="shared" ca="1" si="133"/>
        <v>21</v>
      </c>
      <c r="I979" s="500"/>
      <c r="J979" s="512"/>
      <c r="K979" s="512"/>
      <c r="L979" s="503"/>
      <c r="M979" s="515" t="str">
        <f ca="1">IFERROR(IF(COUNTIF($B$937:$B978,"&lt;0")&lt;&gt;1,OFFSET($C977,-COUNTIF($B$937:$B978,"&lt;0")+3,0),""),"")</f>
        <v/>
      </c>
      <c r="N979" s="515">
        <f ca="1">IFERROR(IF(COUNTA($D$937:D978)=1,0,OFFSET($F977,-COUNTA($D$937:D978)+3,0)),"")</f>
        <v>1</v>
      </c>
      <c r="O979" s="497"/>
      <c r="P979" s="497">
        <f t="shared" si="134"/>
        <v>40</v>
      </c>
      <c r="Q979" s="497"/>
      <c r="R979" s="497"/>
      <c r="S979" s="497"/>
      <c r="T979" s="503"/>
    </row>
    <row r="980" spans="1:20" x14ac:dyDescent="0.35">
      <c r="A980" s="497" t="b">
        <v>0</v>
      </c>
      <c r="B980" s="497">
        <f t="shared" si="131"/>
        <v>-319</v>
      </c>
      <c r="C980" s="518" t="s">
        <v>9592</v>
      </c>
      <c r="D980" s="497" t="s">
        <v>5422</v>
      </c>
      <c r="E980" s="497">
        <f t="shared" ca="1" si="132"/>
        <v>5</v>
      </c>
      <c r="F980" s="516">
        <v>7</v>
      </c>
      <c r="G980" s="503" t="s">
        <v>9476</v>
      </c>
      <c r="H980" s="497">
        <f t="shared" ca="1" si="133"/>
        <v>21</v>
      </c>
      <c r="I980" s="500"/>
      <c r="J980" s="512"/>
      <c r="K980" s="512"/>
      <c r="L980" s="503"/>
      <c r="M980" s="515" t="str">
        <f ca="1">IFERROR(IF(COUNTIF($B$937:$B979,"&lt;0")&lt;&gt;1,OFFSET($C978,-COUNTIF($B$937:$B979,"&lt;0")+3,0),""),"")</f>
        <v/>
      </c>
      <c r="N980" s="515">
        <f ca="1">IFERROR(IF(COUNTA($D$937:D979)=1,0,OFFSET($F978,-COUNTA($D$937:D979)+3,0)),"")</f>
        <v>1</v>
      </c>
      <c r="O980" s="497"/>
      <c r="P980" s="497">
        <f t="shared" si="134"/>
        <v>41</v>
      </c>
      <c r="Q980" s="497"/>
      <c r="R980" s="497"/>
      <c r="S980" s="497"/>
      <c r="T980" s="503"/>
    </row>
    <row r="981" spans="1:20" x14ac:dyDescent="0.35">
      <c r="A981" s="497" t="b">
        <v>0</v>
      </c>
      <c r="B981" s="497">
        <f t="shared" si="131"/>
        <v>-318</v>
      </c>
      <c r="C981" s="518" t="s">
        <v>9593</v>
      </c>
      <c r="D981" s="497" t="s">
        <v>5422</v>
      </c>
      <c r="E981" s="497">
        <f t="shared" ca="1" si="132"/>
        <v>6</v>
      </c>
      <c r="F981" s="516">
        <v>7</v>
      </c>
      <c r="G981" s="503" t="s">
        <v>9476</v>
      </c>
      <c r="H981" s="497">
        <f t="shared" ca="1" si="133"/>
        <v>21</v>
      </c>
      <c r="I981" s="500"/>
      <c r="J981" s="512"/>
      <c r="K981" s="512"/>
      <c r="L981" s="503"/>
      <c r="M981" s="515" t="str">
        <f ca="1">IFERROR(IF(COUNTIF($B$937:$B980,"&lt;0")&lt;&gt;1,OFFSET($C979,-COUNTIF($B$937:$B980,"&lt;0")+3,0),""),"")</f>
        <v/>
      </c>
      <c r="N981" s="515">
        <f ca="1">IFERROR(IF(COUNTA($D$937:D980)=1,0,OFFSET($F979,-COUNTA($D$937:D980)+3,0)),"")</f>
        <v>1</v>
      </c>
      <c r="O981" s="497"/>
      <c r="P981" s="497">
        <f t="shared" si="134"/>
        <v>42</v>
      </c>
      <c r="Q981" s="497"/>
      <c r="R981" s="497"/>
      <c r="S981" s="497"/>
      <c r="T981" s="503"/>
    </row>
    <row r="982" spans="1:20" x14ac:dyDescent="0.35">
      <c r="A982" s="497" t="b">
        <v>0</v>
      </c>
      <c r="B982" s="497">
        <f t="shared" si="131"/>
        <v>-317</v>
      </c>
      <c r="C982" s="518" t="s">
        <v>9594</v>
      </c>
      <c r="D982" s="497" t="s">
        <v>6570</v>
      </c>
      <c r="E982" s="497">
        <f t="shared" ca="1" si="132"/>
        <v>1</v>
      </c>
      <c r="F982" s="516">
        <v>8</v>
      </c>
      <c r="G982" s="503" t="s">
        <v>9471</v>
      </c>
      <c r="H982" s="497">
        <f t="shared" ca="1" si="133"/>
        <v>23</v>
      </c>
      <c r="I982" s="500"/>
      <c r="J982" s="512"/>
      <c r="K982" s="512"/>
      <c r="L982" s="503"/>
      <c r="M982" s="515" t="str">
        <f ca="1">IFERROR(IF(COUNTIF($B$937:$B981,"&lt;0")&lt;&gt;1,OFFSET($C980,-COUNTIF($B$937:$B981,"&lt;0")+3,0),""),"")</f>
        <v/>
      </c>
      <c r="N982" s="515">
        <f ca="1">IFERROR(IF(COUNTA($D$937:D981)=1,0,OFFSET($F980,-COUNTA($D$937:D981)+3,0)),"")</f>
        <v>1</v>
      </c>
      <c r="O982" s="497"/>
      <c r="P982" s="497">
        <f t="shared" si="134"/>
        <v>43</v>
      </c>
      <c r="Q982" s="497"/>
      <c r="R982" s="497"/>
      <c r="S982" s="497"/>
      <c r="T982" s="503"/>
    </row>
    <row r="983" spans="1:20" x14ac:dyDescent="0.35">
      <c r="A983" s="497" t="b">
        <v>0</v>
      </c>
      <c r="B983" s="497">
        <f t="shared" si="131"/>
        <v>-316</v>
      </c>
      <c r="C983" s="518" t="s">
        <v>9595</v>
      </c>
      <c r="D983" s="497" t="s">
        <v>6570</v>
      </c>
      <c r="E983" s="497">
        <f t="shared" ca="1" si="132"/>
        <v>2</v>
      </c>
      <c r="F983" s="516">
        <v>8</v>
      </c>
      <c r="G983" s="503" t="s">
        <v>9471</v>
      </c>
      <c r="H983" s="497">
        <f t="shared" ca="1" si="133"/>
        <v>23</v>
      </c>
      <c r="I983" s="500"/>
      <c r="J983" s="512"/>
      <c r="K983" s="512"/>
      <c r="L983" s="503"/>
      <c r="M983" s="515" t="str">
        <f ca="1">IFERROR(IF(COUNTIF($B$937:$B982,"&lt;0")&lt;&gt;1,OFFSET($C981,-COUNTIF($B$937:$B982,"&lt;0")+3,0),""),"")</f>
        <v/>
      </c>
      <c r="N983" s="515">
        <f ca="1">IFERROR(IF(COUNTA($D$937:D982)=1,0,OFFSET($F981,-COUNTA($D$937:D982)+3,0)),"")</f>
        <v>1</v>
      </c>
      <c r="O983" s="497"/>
      <c r="P983" s="497">
        <f t="shared" si="134"/>
        <v>44</v>
      </c>
      <c r="Q983" s="497"/>
      <c r="R983" s="497"/>
      <c r="S983" s="497"/>
      <c r="T983" s="503"/>
    </row>
    <row r="984" spans="1:20" x14ac:dyDescent="0.35">
      <c r="A984" s="497" t="b">
        <v>0</v>
      </c>
      <c r="B984" s="497">
        <f t="shared" si="131"/>
        <v>-315</v>
      </c>
      <c r="C984" s="518" t="s">
        <v>9596</v>
      </c>
      <c r="D984" s="497" t="s">
        <v>6570</v>
      </c>
      <c r="E984" s="497">
        <f t="shared" ca="1" si="132"/>
        <v>3</v>
      </c>
      <c r="F984" s="516">
        <v>8</v>
      </c>
      <c r="G984" s="503" t="s">
        <v>9471</v>
      </c>
      <c r="H984" s="497">
        <f t="shared" ca="1" si="133"/>
        <v>23</v>
      </c>
      <c r="I984" s="500"/>
      <c r="J984" s="512"/>
      <c r="K984" s="512"/>
      <c r="L984" s="503"/>
      <c r="M984" s="515" t="str">
        <f ca="1">IFERROR(IF(COUNTIF($B$937:$B983,"&lt;0")&lt;&gt;1,OFFSET($C982,-COUNTIF($B$937:$B983,"&lt;0")+3,0),""),"")</f>
        <v/>
      </c>
      <c r="N984" s="515">
        <f ca="1">IFERROR(IF(COUNTA($D$937:D983)=1,0,OFFSET($F982,-COUNTA($D$937:D983)+3,0)),"")</f>
        <v>1</v>
      </c>
      <c r="O984" s="497"/>
      <c r="P984" s="497">
        <f t="shared" si="134"/>
        <v>45</v>
      </c>
      <c r="Q984" s="497"/>
      <c r="R984" s="497"/>
      <c r="S984" s="497"/>
      <c r="T984" s="503"/>
    </row>
    <row r="985" spans="1:20" x14ac:dyDescent="0.35">
      <c r="A985" s="497" t="b">
        <v>0</v>
      </c>
      <c r="B985" s="497">
        <f t="shared" si="131"/>
        <v>-314</v>
      </c>
      <c r="C985" s="518" t="s">
        <v>9597</v>
      </c>
      <c r="D985" s="497" t="s">
        <v>6570</v>
      </c>
      <c r="E985" s="497">
        <f t="shared" ca="1" si="132"/>
        <v>4</v>
      </c>
      <c r="F985" s="516">
        <v>8</v>
      </c>
      <c r="G985" s="503" t="s">
        <v>9471</v>
      </c>
      <c r="H985" s="497">
        <f t="shared" ca="1" si="133"/>
        <v>23</v>
      </c>
      <c r="I985" s="500"/>
      <c r="J985" s="512"/>
      <c r="K985" s="512"/>
      <c r="L985" s="503"/>
      <c r="M985" s="515" t="str">
        <f ca="1">IFERROR(IF(COUNTIF($B$937:$B984,"&lt;0")&lt;&gt;1,OFFSET($C983,-COUNTIF($B$937:$B984,"&lt;0")+3,0),""),"")</f>
        <v/>
      </c>
      <c r="N985" s="515">
        <f ca="1">IFERROR(IF(COUNTA($D$937:D984)=1,0,OFFSET($F983,-COUNTA($D$937:D984)+3,0)),"")</f>
        <v>1</v>
      </c>
      <c r="O985" s="497"/>
      <c r="P985" s="497">
        <f t="shared" si="134"/>
        <v>46</v>
      </c>
      <c r="Q985" s="497"/>
      <c r="R985" s="497"/>
      <c r="S985" s="497"/>
      <c r="T985" s="503"/>
    </row>
    <row r="986" spans="1:20" x14ac:dyDescent="0.35">
      <c r="A986" s="497" t="b">
        <v>0</v>
      </c>
      <c r="B986" s="497">
        <f t="shared" si="131"/>
        <v>-313</v>
      </c>
      <c r="C986" s="518" t="s">
        <v>9598</v>
      </c>
      <c r="D986" s="497" t="s">
        <v>6570</v>
      </c>
      <c r="E986" s="497">
        <f t="shared" ca="1" si="132"/>
        <v>5</v>
      </c>
      <c r="F986" s="516">
        <v>8</v>
      </c>
      <c r="G986" s="503" t="s">
        <v>9471</v>
      </c>
      <c r="H986" s="497">
        <f t="shared" ca="1" si="133"/>
        <v>23</v>
      </c>
      <c r="I986" s="500"/>
      <c r="J986" s="512"/>
      <c r="K986" s="512"/>
      <c r="L986" s="503"/>
      <c r="M986" s="515" t="str">
        <f ca="1">IFERROR(IF(COUNTIF($B$937:$B985,"&lt;0")&lt;&gt;1,OFFSET($C984,-COUNTIF($B$937:$B985,"&lt;0")+3,0),""),"")</f>
        <v/>
      </c>
      <c r="N986" s="515">
        <f ca="1">IFERROR(IF(COUNTA($D$937:D985)=1,0,OFFSET($F984,-COUNTA($D$937:D985)+3,0)),"")</f>
        <v>1</v>
      </c>
      <c r="O986" s="497"/>
      <c r="P986" s="497">
        <f t="shared" si="134"/>
        <v>47</v>
      </c>
      <c r="Q986" s="497"/>
      <c r="R986" s="497"/>
      <c r="S986" s="497"/>
      <c r="T986" s="503"/>
    </row>
    <row r="987" spans="1:20" x14ac:dyDescent="0.35">
      <c r="A987" s="497" t="b">
        <v>0</v>
      </c>
      <c r="B987" s="497">
        <f t="shared" si="131"/>
        <v>-312</v>
      </c>
      <c r="C987" s="518" t="s">
        <v>9599</v>
      </c>
      <c r="D987" s="497" t="s">
        <v>6570</v>
      </c>
      <c r="E987" s="497">
        <f t="shared" ca="1" si="132"/>
        <v>6</v>
      </c>
      <c r="F987" s="516">
        <v>8</v>
      </c>
      <c r="G987" s="503" t="s">
        <v>9471</v>
      </c>
      <c r="H987" s="497">
        <f t="shared" ca="1" si="133"/>
        <v>23</v>
      </c>
      <c r="I987" s="500"/>
      <c r="J987" s="512"/>
      <c r="K987" s="512"/>
      <c r="L987" s="503"/>
      <c r="M987" s="515" t="str">
        <f ca="1">IFERROR(IF(COUNTIF($B$937:$B986,"&lt;0")&lt;&gt;1,OFFSET($C985,-COUNTIF($B$937:$B986,"&lt;0")+3,0),""),"")</f>
        <v/>
      </c>
      <c r="N987" s="515">
        <f ca="1">IFERROR(IF(COUNTA($D$937:D986)=1,0,OFFSET($F985,-COUNTA($D$937:D986)+3,0)),"")</f>
        <v>1</v>
      </c>
      <c r="O987" s="497"/>
      <c r="P987" s="497">
        <f t="shared" si="134"/>
        <v>48</v>
      </c>
      <c r="Q987" s="497"/>
      <c r="R987" s="497"/>
      <c r="S987" s="497"/>
      <c r="T987" s="503"/>
    </row>
    <row r="988" spans="1:20" x14ac:dyDescent="0.35">
      <c r="A988" s="497" t="b">
        <v>0</v>
      </c>
      <c r="B988" s="497">
        <f t="shared" si="131"/>
        <v>-311</v>
      </c>
      <c r="C988" s="518" t="s">
        <v>9600</v>
      </c>
      <c r="D988" s="497" t="s">
        <v>5463</v>
      </c>
      <c r="E988" s="497">
        <f t="shared" ca="1" si="132"/>
        <v>1</v>
      </c>
      <c r="F988" s="516">
        <v>9</v>
      </c>
      <c r="G988" s="503" t="s">
        <v>9476</v>
      </c>
      <c r="H988" s="497">
        <f t="shared" ca="1" si="133"/>
        <v>25</v>
      </c>
      <c r="I988" s="500"/>
      <c r="J988" s="512"/>
      <c r="K988" s="512"/>
      <c r="L988" s="503"/>
      <c r="M988" s="515" t="str">
        <f ca="1">IFERROR(IF(COUNTIF($B$937:$B987,"&lt;0")&lt;&gt;1,OFFSET($C986,-COUNTIF($B$937:$B987,"&lt;0")+3,0),""),"")</f>
        <v/>
      </c>
      <c r="N988" s="515">
        <f ca="1">IFERROR(IF(COUNTA($D$937:D987)=1,0,OFFSET($F986,-COUNTA($D$937:D987)+3,0)),"")</f>
        <v>1</v>
      </c>
      <c r="O988" s="497"/>
      <c r="P988" s="497">
        <f t="shared" si="134"/>
        <v>49</v>
      </c>
      <c r="Q988" s="497"/>
      <c r="R988" s="497"/>
      <c r="S988" s="497"/>
      <c r="T988" s="503"/>
    </row>
    <row r="989" spans="1:20" x14ac:dyDescent="0.35">
      <c r="A989" s="497" t="b">
        <v>0</v>
      </c>
      <c r="B989" s="497">
        <f t="shared" si="131"/>
        <v>-310</v>
      </c>
      <c r="C989" s="518" t="s">
        <v>9601</v>
      </c>
      <c r="D989" s="497" t="s">
        <v>5463</v>
      </c>
      <c r="E989" s="497">
        <f t="shared" ca="1" si="132"/>
        <v>2</v>
      </c>
      <c r="F989" s="516">
        <v>9</v>
      </c>
      <c r="G989" s="503" t="s">
        <v>9476</v>
      </c>
      <c r="H989" s="497">
        <f t="shared" ca="1" si="133"/>
        <v>25</v>
      </c>
      <c r="I989" s="500"/>
      <c r="J989" s="512"/>
      <c r="K989" s="512"/>
      <c r="L989" s="503"/>
      <c r="M989" s="515" t="str">
        <f ca="1">IFERROR(IF(COUNTIF($B$937:$B988,"&lt;0")&lt;&gt;1,OFFSET($C987,-COUNTIF($B$937:$B988,"&lt;0")+3,0),""),"")</f>
        <v/>
      </c>
      <c r="N989" s="515">
        <f ca="1">IFERROR(IF(COUNTA($D$937:D988)=1,0,OFFSET($F987,-COUNTA($D$937:D988)+3,0)),"")</f>
        <v>1</v>
      </c>
      <c r="O989" s="497"/>
      <c r="P989" s="497">
        <f t="shared" si="134"/>
        <v>50</v>
      </c>
      <c r="Q989" s="497"/>
      <c r="R989" s="497"/>
      <c r="S989" s="497"/>
      <c r="T989" s="503"/>
    </row>
    <row r="990" spans="1:20" x14ac:dyDescent="0.35">
      <c r="A990" s="497" t="b">
        <v>0</v>
      </c>
      <c r="B990" s="497">
        <f t="shared" si="131"/>
        <v>-309</v>
      </c>
      <c r="C990" s="518" t="s">
        <v>9602</v>
      </c>
      <c r="D990" s="497" t="s">
        <v>5463</v>
      </c>
      <c r="E990" s="497">
        <f t="shared" ca="1" si="132"/>
        <v>3</v>
      </c>
      <c r="F990" s="516">
        <v>9</v>
      </c>
      <c r="G990" s="503" t="s">
        <v>9476</v>
      </c>
      <c r="H990" s="497">
        <f t="shared" ca="1" si="133"/>
        <v>25</v>
      </c>
      <c r="I990" s="500"/>
      <c r="J990" s="512"/>
      <c r="K990" s="512"/>
      <c r="L990" s="503"/>
      <c r="M990" s="515" t="str">
        <f ca="1">IFERROR(IF(COUNTIF($B$937:$B989,"&lt;0")&lt;&gt;1,OFFSET($C988,-COUNTIF($B$937:$B989,"&lt;0")+3,0),""),"")</f>
        <v/>
      </c>
      <c r="N990" s="515">
        <f ca="1">IFERROR(IF(COUNTA($D$937:D989)=1,0,OFFSET($F988,-COUNTA($D$937:D989)+3,0)),"")</f>
        <v>1</v>
      </c>
      <c r="O990" s="497"/>
      <c r="P990" s="497">
        <f t="shared" si="134"/>
        <v>51</v>
      </c>
      <c r="Q990" s="497"/>
      <c r="R990" s="497"/>
      <c r="S990" s="497"/>
      <c r="T990" s="503"/>
    </row>
    <row r="991" spans="1:20" x14ac:dyDescent="0.35">
      <c r="A991" s="497" t="b">
        <v>0</v>
      </c>
      <c r="B991" s="497">
        <f t="shared" si="131"/>
        <v>-308</v>
      </c>
      <c r="C991" s="518" t="s">
        <v>9603</v>
      </c>
      <c r="D991" s="497" t="s">
        <v>5463</v>
      </c>
      <c r="E991" s="497">
        <f t="shared" ca="1" si="132"/>
        <v>4</v>
      </c>
      <c r="F991" s="516">
        <v>9</v>
      </c>
      <c r="G991" s="503" t="s">
        <v>9476</v>
      </c>
      <c r="H991" s="497">
        <f t="shared" ca="1" si="133"/>
        <v>25</v>
      </c>
      <c r="I991" s="500"/>
      <c r="J991" s="512"/>
      <c r="K991" s="512"/>
      <c r="L991" s="503"/>
      <c r="M991" s="515" t="str">
        <f ca="1">IFERROR(IF(COUNTIF($B$937:$B990,"&lt;0")&lt;&gt;1,OFFSET($C989,-COUNTIF($B$937:$B990,"&lt;0")+3,0),""),"")</f>
        <v/>
      </c>
      <c r="N991" s="515">
        <f ca="1">IFERROR(IF(COUNTA($D$937:D990)=1,0,OFFSET($F989,-COUNTA($D$937:D990)+3,0)),"")</f>
        <v>1</v>
      </c>
      <c r="O991" s="497"/>
      <c r="P991" s="497">
        <f t="shared" si="134"/>
        <v>52</v>
      </c>
      <c r="Q991" s="497"/>
      <c r="R991" s="497"/>
      <c r="S991" s="497"/>
      <c r="T991" s="503"/>
    </row>
    <row r="992" spans="1:20" x14ac:dyDescent="0.35">
      <c r="A992" s="497" t="b">
        <v>0</v>
      </c>
      <c r="B992" s="497">
        <f t="shared" si="131"/>
        <v>-307</v>
      </c>
      <c r="C992" s="518" t="s">
        <v>9604</v>
      </c>
      <c r="D992" s="497" t="s">
        <v>5463</v>
      </c>
      <c r="E992" s="497">
        <f t="shared" ca="1" si="132"/>
        <v>5</v>
      </c>
      <c r="F992" s="516">
        <v>9</v>
      </c>
      <c r="G992" s="503" t="s">
        <v>9476</v>
      </c>
      <c r="H992" s="497">
        <f t="shared" ca="1" si="133"/>
        <v>25</v>
      </c>
      <c r="I992" s="500"/>
      <c r="J992" s="512"/>
      <c r="K992" s="512"/>
      <c r="L992" s="503"/>
      <c r="M992" s="515" t="str">
        <f ca="1">IFERROR(IF(COUNTIF($B$937:$B991,"&lt;0")&lt;&gt;1,OFFSET($C990,-COUNTIF($B$937:$B991,"&lt;0")+3,0),""),"")</f>
        <v/>
      </c>
      <c r="N992" s="515">
        <f ca="1">IFERROR(IF(COUNTA($D$937:D991)=1,0,OFFSET($F990,-COUNTA($D$937:D991)+3,0)),"")</f>
        <v>1</v>
      </c>
      <c r="O992" s="497"/>
      <c r="P992" s="497">
        <f t="shared" si="134"/>
        <v>53</v>
      </c>
      <c r="Q992" s="497"/>
      <c r="R992" s="497"/>
      <c r="S992" s="497"/>
      <c r="T992" s="503"/>
    </row>
    <row r="993" spans="1:20" x14ac:dyDescent="0.35">
      <c r="A993" s="497" t="b">
        <v>0</v>
      </c>
      <c r="B993" s="497">
        <f t="shared" si="131"/>
        <v>-306</v>
      </c>
      <c r="C993" s="518" t="s">
        <v>9605</v>
      </c>
      <c r="D993" s="497" t="s">
        <v>5463</v>
      </c>
      <c r="E993" s="497">
        <f t="shared" ca="1" si="132"/>
        <v>6</v>
      </c>
      <c r="F993" s="516">
        <v>9</v>
      </c>
      <c r="G993" s="503" t="s">
        <v>9476</v>
      </c>
      <c r="H993" s="497">
        <f t="shared" ca="1" si="133"/>
        <v>25</v>
      </c>
      <c r="I993" s="500"/>
      <c r="J993" s="512"/>
      <c r="K993" s="512"/>
      <c r="L993" s="503"/>
      <c r="M993" s="515" t="str">
        <f ca="1">IFERROR(IF(COUNTIF($B$937:$B992,"&lt;0")&lt;&gt;1,OFFSET($C991,-COUNTIF($B$937:$B992,"&lt;0")+3,0),""),"")</f>
        <v/>
      </c>
      <c r="N993" s="515">
        <f ca="1">IFERROR(IF(COUNTA($D$937:D992)=1,0,OFFSET($F991,-COUNTA($D$937:D992)+3,0)),"")</f>
        <v>1</v>
      </c>
      <c r="O993" s="497"/>
      <c r="P993" s="497">
        <f t="shared" si="134"/>
        <v>54</v>
      </c>
      <c r="Q993" s="497"/>
      <c r="R993" s="497"/>
      <c r="S993" s="497"/>
      <c r="T993" s="503"/>
    </row>
    <row r="994" spans="1:20" x14ac:dyDescent="0.35">
      <c r="A994" s="497" t="b">
        <v>0</v>
      </c>
      <c r="B994" s="497">
        <f t="shared" si="131"/>
        <v>-305</v>
      </c>
      <c r="C994" s="518" t="s">
        <v>9606</v>
      </c>
      <c r="D994" s="497" t="s">
        <v>6611</v>
      </c>
      <c r="E994" s="497">
        <f t="shared" ca="1" si="132"/>
        <v>1</v>
      </c>
      <c r="F994" s="516">
        <v>10</v>
      </c>
      <c r="G994" s="503" t="s">
        <v>9471</v>
      </c>
      <c r="H994" s="497">
        <f t="shared" ca="1" si="133"/>
        <v>27</v>
      </c>
      <c r="I994" s="500"/>
      <c r="J994" s="512"/>
      <c r="K994" s="512"/>
      <c r="L994" s="503"/>
      <c r="M994" s="515" t="str">
        <f ca="1">IFERROR(IF(COUNTIF($B$937:$B993,"&lt;0")&lt;&gt;1,OFFSET($C992,-COUNTIF($B$937:$B993,"&lt;0")+3,0),""),"")</f>
        <v/>
      </c>
      <c r="N994" s="515">
        <f ca="1">IFERROR(IF(COUNTA($D$937:D993)=1,0,OFFSET($F992,-COUNTA($D$937:D993)+3,0)),"")</f>
        <v>1</v>
      </c>
      <c r="O994" s="497"/>
      <c r="P994" s="497">
        <f t="shared" si="134"/>
        <v>55</v>
      </c>
      <c r="Q994" s="497"/>
      <c r="R994" s="497"/>
      <c r="S994" s="497"/>
      <c r="T994" s="503"/>
    </row>
    <row r="995" spans="1:20" x14ac:dyDescent="0.35">
      <c r="A995" s="497" t="b">
        <v>0</v>
      </c>
      <c r="B995" s="497">
        <f t="shared" si="131"/>
        <v>-304</v>
      </c>
      <c r="C995" s="518" t="s">
        <v>9607</v>
      </c>
      <c r="D995" s="497" t="s">
        <v>6611</v>
      </c>
      <c r="E995" s="497">
        <f t="shared" ca="1" si="132"/>
        <v>2</v>
      </c>
      <c r="F995" s="516">
        <v>10</v>
      </c>
      <c r="G995" s="503" t="s">
        <v>9471</v>
      </c>
      <c r="H995" s="497">
        <f t="shared" ca="1" si="133"/>
        <v>27</v>
      </c>
      <c r="I995" s="500"/>
      <c r="J995" s="512"/>
      <c r="K995" s="512"/>
      <c r="L995" s="503"/>
      <c r="M995" s="515" t="str">
        <f ca="1">IFERROR(IF(COUNTIF($B$937:$B994,"&lt;0")&lt;&gt;1,OFFSET($C993,-COUNTIF($B$937:$B994,"&lt;0")+3,0),""),"")</f>
        <v/>
      </c>
      <c r="N995" s="515">
        <f ca="1">IFERROR(IF(COUNTA($D$937:D994)=1,0,OFFSET($F993,-COUNTA($D$937:D994)+3,0)),"")</f>
        <v>1</v>
      </c>
      <c r="O995" s="497"/>
      <c r="P995" s="497">
        <f t="shared" si="134"/>
        <v>56</v>
      </c>
      <c r="Q995" s="497"/>
      <c r="R995" s="497"/>
      <c r="S995" s="497"/>
      <c r="T995" s="503"/>
    </row>
    <row r="996" spans="1:20" x14ac:dyDescent="0.35">
      <c r="A996" s="497" t="b">
        <v>0</v>
      </c>
      <c r="B996" s="497">
        <f t="shared" si="131"/>
        <v>-303</v>
      </c>
      <c r="C996" s="518" t="s">
        <v>9608</v>
      </c>
      <c r="D996" s="497" t="s">
        <v>6611</v>
      </c>
      <c r="E996" s="497">
        <f t="shared" ca="1" si="132"/>
        <v>3</v>
      </c>
      <c r="F996" s="516">
        <v>10</v>
      </c>
      <c r="G996" s="503" t="s">
        <v>9471</v>
      </c>
      <c r="H996" s="497">
        <f t="shared" ca="1" si="133"/>
        <v>27</v>
      </c>
      <c r="I996" s="500"/>
      <c r="J996" s="512"/>
      <c r="K996" s="512"/>
      <c r="L996" s="503"/>
      <c r="M996" s="515" t="str">
        <f ca="1">IFERROR(IF(COUNTIF($B$937:$B995,"&lt;0")&lt;&gt;1,OFFSET($C994,-COUNTIF($B$937:$B995,"&lt;0")+3,0),""),"")</f>
        <v/>
      </c>
      <c r="N996" s="515">
        <f ca="1">IFERROR(IF(COUNTA($D$937:D995)=1,0,OFFSET($F994,-COUNTA($D$937:D995)+3,0)),"")</f>
        <v>1</v>
      </c>
      <c r="O996" s="497"/>
      <c r="P996" s="497">
        <f t="shared" si="134"/>
        <v>57</v>
      </c>
      <c r="Q996" s="497"/>
      <c r="R996" s="497"/>
      <c r="S996" s="497"/>
      <c r="T996" s="503"/>
    </row>
    <row r="997" spans="1:20" x14ac:dyDescent="0.35">
      <c r="A997" s="497" t="b">
        <v>0</v>
      </c>
      <c r="B997" s="497">
        <f t="shared" si="131"/>
        <v>-302</v>
      </c>
      <c r="C997" s="518" t="s">
        <v>9609</v>
      </c>
      <c r="D997" s="497" t="s">
        <v>6611</v>
      </c>
      <c r="E997" s="497">
        <f t="shared" ca="1" si="132"/>
        <v>4</v>
      </c>
      <c r="F997" s="516">
        <v>10</v>
      </c>
      <c r="G997" s="503" t="s">
        <v>9471</v>
      </c>
      <c r="H997" s="497">
        <f t="shared" ca="1" si="133"/>
        <v>27</v>
      </c>
      <c r="I997" s="500"/>
      <c r="J997" s="512"/>
      <c r="K997" s="512"/>
      <c r="L997" s="503"/>
      <c r="M997" s="515" t="str">
        <f ca="1">IFERROR(IF(COUNTIF($B$937:$B996,"&lt;0")&lt;&gt;1,OFFSET($C995,-COUNTIF($B$937:$B996,"&lt;0")+3,0),""),"")</f>
        <v/>
      </c>
      <c r="N997" s="515">
        <f ca="1">IFERROR(IF(COUNTA($D$937:D996)=1,0,OFFSET($F995,-COUNTA($D$937:D996)+3,0)),"")</f>
        <v>1</v>
      </c>
      <c r="O997" s="497"/>
      <c r="P997" s="497">
        <f t="shared" si="134"/>
        <v>58</v>
      </c>
      <c r="Q997" s="497"/>
      <c r="R997" s="497"/>
      <c r="S997" s="497"/>
      <c r="T997" s="503"/>
    </row>
    <row r="998" spans="1:20" x14ac:dyDescent="0.35">
      <c r="A998" s="497" t="b">
        <v>0</v>
      </c>
      <c r="B998" s="497">
        <f t="shared" si="131"/>
        <v>-301</v>
      </c>
      <c r="C998" s="518" t="s">
        <v>9610</v>
      </c>
      <c r="D998" s="497" t="s">
        <v>6611</v>
      </c>
      <c r="E998" s="497">
        <f t="shared" ca="1" si="132"/>
        <v>5</v>
      </c>
      <c r="F998" s="516">
        <v>10</v>
      </c>
      <c r="G998" s="503" t="s">
        <v>9471</v>
      </c>
      <c r="H998" s="497">
        <f t="shared" ca="1" si="133"/>
        <v>27</v>
      </c>
      <c r="I998" s="500"/>
      <c r="J998" s="512"/>
      <c r="K998" s="512"/>
      <c r="L998" s="503"/>
      <c r="M998" s="515" t="str">
        <f ca="1">IFERROR(IF(COUNTIF($B$937:$B997,"&lt;0")&lt;&gt;1,OFFSET($C996,-COUNTIF($B$937:$B997,"&lt;0")+3,0),""),"")</f>
        <v/>
      </c>
      <c r="N998" s="515">
        <f ca="1">IFERROR(IF(COUNTA($D$937:D997)=1,0,OFFSET($F996,-COUNTA($D$937:D997)+3,0)),"")</f>
        <v>1</v>
      </c>
      <c r="O998" s="497"/>
      <c r="P998" s="497">
        <f t="shared" si="134"/>
        <v>59</v>
      </c>
      <c r="Q998" s="497"/>
      <c r="R998" s="497"/>
      <c r="S998" s="497"/>
      <c r="T998" s="503"/>
    </row>
    <row r="999" spans="1:20" x14ac:dyDescent="0.35">
      <c r="A999" s="497" t="b">
        <v>0</v>
      </c>
      <c r="B999" s="497">
        <f t="shared" si="131"/>
        <v>-300</v>
      </c>
      <c r="C999" s="518" t="s">
        <v>9611</v>
      </c>
      <c r="D999" s="497" t="s">
        <v>6611</v>
      </c>
      <c r="E999" s="497">
        <f t="shared" ca="1" si="132"/>
        <v>6</v>
      </c>
      <c r="F999" s="516">
        <v>10</v>
      </c>
      <c r="G999" s="503" t="s">
        <v>9471</v>
      </c>
      <c r="H999" s="497">
        <f t="shared" ca="1" si="133"/>
        <v>27</v>
      </c>
      <c r="I999" s="500"/>
      <c r="J999" s="512"/>
      <c r="K999" s="512"/>
      <c r="L999" s="503"/>
      <c r="M999" s="515" t="str">
        <f ca="1">IFERROR(IF(COUNTIF($B$937:$B998,"&lt;0")&lt;&gt;1,OFFSET($C997,-COUNTIF($B$937:$B998,"&lt;0")+3,0),""),"")</f>
        <v/>
      </c>
      <c r="N999" s="515">
        <f ca="1">IFERROR(IF(COUNTA($D$937:D998)=1,0,OFFSET($F997,-COUNTA($D$937:D998)+3,0)),"")</f>
        <v>1</v>
      </c>
      <c r="O999" s="497"/>
      <c r="P999" s="497">
        <f t="shared" si="134"/>
        <v>60</v>
      </c>
      <c r="Q999" s="497"/>
      <c r="R999" s="497"/>
      <c r="S999" s="497"/>
      <c r="T999" s="503"/>
    </row>
    <row r="1000" spans="1:20" x14ac:dyDescent="0.35">
      <c r="A1000" s="497" t="b">
        <v>0</v>
      </c>
      <c r="B1000" s="497">
        <f t="shared" si="131"/>
        <v>-299</v>
      </c>
      <c r="C1000" s="518" t="s">
        <v>9612</v>
      </c>
      <c r="D1000" s="497" t="s">
        <v>5504</v>
      </c>
      <c r="E1000" s="497">
        <f t="shared" ca="1" si="132"/>
        <v>1</v>
      </c>
      <c r="F1000" s="516">
        <v>11</v>
      </c>
      <c r="G1000" s="503" t="s">
        <v>9476</v>
      </c>
      <c r="H1000" s="497">
        <f t="shared" ca="1" si="133"/>
        <v>29</v>
      </c>
      <c r="I1000" s="500"/>
      <c r="J1000" s="512"/>
      <c r="K1000" s="512"/>
      <c r="L1000" s="503"/>
      <c r="M1000" s="515" t="str">
        <f ca="1">IFERROR(IF(COUNTIF($B$937:$B999,"&lt;0")&lt;&gt;1,OFFSET($C998,-COUNTIF($B$937:$B999,"&lt;0")+3,0),""),"")</f>
        <v/>
      </c>
      <c r="N1000" s="515">
        <f ca="1">IFERROR(IF(COUNTA($D$937:D999)=1,0,OFFSET($F998,-COUNTA($D$937:D999)+3,0)),"")</f>
        <v>1</v>
      </c>
      <c r="O1000" s="497"/>
      <c r="P1000" s="497">
        <f t="shared" si="134"/>
        <v>61</v>
      </c>
      <c r="Q1000" s="497"/>
      <c r="R1000" s="497"/>
      <c r="S1000" s="497"/>
      <c r="T1000" s="503"/>
    </row>
    <row r="1001" spans="1:20" x14ac:dyDescent="0.35">
      <c r="A1001" s="497" t="b">
        <v>0</v>
      </c>
      <c r="B1001" s="497">
        <f t="shared" si="131"/>
        <v>-298</v>
      </c>
      <c r="C1001" s="518" t="s">
        <v>9613</v>
      </c>
      <c r="D1001" s="497" t="s">
        <v>5504</v>
      </c>
      <c r="E1001" s="497">
        <f t="shared" ca="1" si="132"/>
        <v>2</v>
      </c>
      <c r="F1001" s="516">
        <v>11</v>
      </c>
      <c r="G1001" s="503" t="s">
        <v>9476</v>
      </c>
      <c r="H1001" s="497">
        <f t="shared" ca="1" si="133"/>
        <v>29</v>
      </c>
      <c r="I1001" s="500"/>
      <c r="J1001" s="512"/>
      <c r="K1001" s="512"/>
      <c r="L1001" s="503"/>
      <c r="M1001" s="515" t="str">
        <f ca="1">IFERROR(IF(COUNTIF($B$937:$B1000,"&lt;0")&lt;&gt;1,OFFSET($C999,-COUNTIF($B$937:$B1000,"&lt;0")+3,0),""),"")</f>
        <v/>
      </c>
      <c r="N1001" s="515">
        <f ca="1">IFERROR(IF(COUNTA($D$937:D1000)=1,0,OFFSET($F999,-COUNTA($D$937:D1000)+3,0)),"")</f>
        <v>1</v>
      </c>
      <c r="O1001" s="497"/>
      <c r="P1001" s="497">
        <f t="shared" si="134"/>
        <v>62</v>
      </c>
      <c r="Q1001" s="497"/>
      <c r="R1001" s="497"/>
      <c r="S1001" s="497"/>
      <c r="T1001" s="503"/>
    </row>
    <row r="1002" spans="1:20" x14ac:dyDescent="0.35">
      <c r="A1002" s="497" t="b">
        <v>0</v>
      </c>
      <c r="B1002" s="497">
        <f t="shared" si="131"/>
        <v>-297</v>
      </c>
      <c r="C1002" s="518" t="s">
        <v>9614</v>
      </c>
      <c r="D1002" s="497" t="s">
        <v>5504</v>
      </c>
      <c r="E1002" s="497">
        <f t="shared" ca="1" si="132"/>
        <v>3</v>
      </c>
      <c r="F1002" s="516">
        <v>11</v>
      </c>
      <c r="G1002" s="503" t="s">
        <v>9476</v>
      </c>
      <c r="H1002" s="497">
        <f t="shared" ca="1" si="133"/>
        <v>29</v>
      </c>
      <c r="I1002" s="500"/>
      <c r="J1002" s="512"/>
      <c r="K1002" s="512"/>
      <c r="L1002" s="503"/>
      <c r="M1002" s="515" t="str">
        <f ca="1">IFERROR(IF(COUNTIF($B$937:$B1001,"&lt;0")&lt;&gt;1,OFFSET($C1000,-COUNTIF($B$937:$B1001,"&lt;0")+3,0),""),"")</f>
        <v/>
      </c>
      <c r="N1002" s="515">
        <f ca="1">IFERROR(IF(COUNTA($D$937:D1001)=1,0,OFFSET($F1000,-COUNTA($D$937:D1001)+3,0)),"")</f>
        <v>1</v>
      </c>
      <c r="O1002" s="497"/>
      <c r="P1002" s="497">
        <f t="shared" si="134"/>
        <v>63</v>
      </c>
      <c r="Q1002" s="497"/>
      <c r="R1002" s="497"/>
      <c r="S1002" s="497"/>
      <c r="T1002" s="503"/>
    </row>
    <row r="1003" spans="1:20" x14ac:dyDescent="0.35">
      <c r="A1003" s="497" t="b">
        <v>0</v>
      </c>
      <c r="B1003" s="497">
        <f t="shared" si="131"/>
        <v>-296</v>
      </c>
      <c r="C1003" s="518" t="s">
        <v>9615</v>
      </c>
      <c r="D1003" s="497" t="s">
        <v>5504</v>
      </c>
      <c r="E1003" s="497">
        <f t="shared" ca="1" si="132"/>
        <v>4</v>
      </c>
      <c r="F1003" s="516">
        <v>11</v>
      </c>
      <c r="G1003" s="503" t="s">
        <v>9476</v>
      </c>
      <c r="H1003" s="497">
        <f t="shared" ca="1" si="133"/>
        <v>29</v>
      </c>
      <c r="I1003" s="500"/>
      <c r="J1003" s="512"/>
      <c r="K1003" s="512"/>
      <c r="L1003" s="503"/>
      <c r="M1003" s="515" t="str">
        <f ca="1">IFERROR(IF(COUNTIF($B$937:$B1002,"&lt;0")&lt;&gt;1,OFFSET($C1001,-COUNTIF($B$937:$B1002,"&lt;0")+3,0),""),"")</f>
        <v/>
      </c>
      <c r="N1003" s="515">
        <f ca="1">IFERROR(IF(COUNTA($D$937:D1002)=1,0,OFFSET($F1001,-COUNTA($D$937:D1002)+3,0)),"")</f>
        <v>1</v>
      </c>
      <c r="O1003" s="497"/>
      <c r="P1003" s="497">
        <f t="shared" si="134"/>
        <v>64</v>
      </c>
      <c r="Q1003" s="497"/>
      <c r="R1003" s="497"/>
      <c r="S1003" s="497"/>
      <c r="T1003" s="503"/>
    </row>
    <row r="1004" spans="1:20" x14ac:dyDescent="0.35">
      <c r="A1004" s="497" t="b">
        <v>0</v>
      </c>
      <c r="B1004" s="497">
        <f t="shared" ref="B1004:B1067" si="135">B1003+1</f>
        <v>-295</v>
      </c>
      <c r="C1004" s="518" t="s">
        <v>9616</v>
      </c>
      <c r="D1004" s="497" t="s">
        <v>5504</v>
      </c>
      <c r="E1004" s="497">
        <f t="shared" ref="E1004:E1067" ca="1" si="136">COUNTIF(F907:F1004,F1004)</f>
        <v>5</v>
      </c>
      <c r="F1004" s="516">
        <v>11</v>
      </c>
      <c r="G1004" s="503" t="s">
        <v>9476</v>
      </c>
      <c r="H1004" s="497">
        <f t="shared" ref="H1004:H1067" ca="1" si="137">IF(F1004=1,9,IF(E1003=MAX(E1002:E1004),H1002+2,H1003))</f>
        <v>29</v>
      </c>
      <c r="I1004" s="500"/>
      <c r="J1004" s="512"/>
      <c r="K1004" s="512"/>
      <c r="L1004" s="503"/>
      <c r="M1004" s="515" t="str">
        <f ca="1">IFERROR(IF(COUNTIF($B$937:$B1003,"&lt;0")&lt;&gt;1,OFFSET($C1002,-COUNTIF($B$937:$B1003,"&lt;0")+3,0),""),"")</f>
        <v/>
      </c>
      <c r="N1004" s="515">
        <f ca="1">IFERROR(IF(COUNTA($D$937:D1003)=1,0,OFFSET($F1002,-COUNTA($D$937:D1003)+3,0)),"")</f>
        <v>1</v>
      </c>
      <c r="O1004" s="497"/>
      <c r="P1004" s="497">
        <f t="shared" ref="P1004:P1067" si="138">IF(NOT(_xlfn.ISFORMULA(I1004)),P1003+1,0)</f>
        <v>65</v>
      </c>
      <c r="Q1004" s="497"/>
      <c r="R1004" s="497"/>
      <c r="S1004" s="497"/>
      <c r="T1004" s="503"/>
    </row>
    <row r="1005" spans="1:20" x14ac:dyDescent="0.35">
      <c r="A1005" s="497" t="b">
        <v>0</v>
      </c>
      <c r="B1005" s="497">
        <f t="shared" si="135"/>
        <v>-294</v>
      </c>
      <c r="C1005" s="518" t="s">
        <v>9617</v>
      </c>
      <c r="D1005" s="497" t="s">
        <v>5504</v>
      </c>
      <c r="E1005" s="497">
        <f t="shared" ca="1" si="136"/>
        <v>6</v>
      </c>
      <c r="F1005" s="516">
        <v>11</v>
      </c>
      <c r="G1005" s="503" t="s">
        <v>9476</v>
      </c>
      <c r="H1005" s="497">
        <f t="shared" ca="1" si="137"/>
        <v>29</v>
      </c>
      <c r="I1005" s="500"/>
      <c r="J1005" s="512"/>
      <c r="K1005" s="512"/>
      <c r="L1005" s="503"/>
      <c r="M1005" s="515" t="str">
        <f ca="1">IFERROR(IF(COUNTIF($B$937:$B1004,"&lt;0")&lt;&gt;1,OFFSET($C1003,-COUNTIF($B$937:$B1004,"&lt;0")+3,0),""),"")</f>
        <v/>
      </c>
      <c r="N1005" s="515">
        <f ca="1">IFERROR(IF(COUNTA($D$937:D1004)=1,0,OFFSET($F1003,-COUNTA($D$937:D1004)+3,0)),"")</f>
        <v>1</v>
      </c>
      <c r="O1005" s="497"/>
      <c r="P1005" s="497">
        <f t="shared" si="138"/>
        <v>66</v>
      </c>
      <c r="Q1005" s="497"/>
      <c r="R1005" s="497"/>
      <c r="S1005" s="497"/>
      <c r="T1005" s="503"/>
    </row>
    <row r="1006" spans="1:20" x14ac:dyDescent="0.35">
      <c r="A1006" s="497" t="b">
        <v>0</v>
      </c>
      <c r="B1006" s="497">
        <f t="shared" si="135"/>
        <v>-293</v>
      </c>
      <c r="C1006" s="518" t="s">
        <v>9618</v>
      </c>
      <c r="D1006" s="497" t="s">
        <v>6735</v>
      </c>
      <c r="E1006" s="497">
        <f t="shared" ca="1" si="136"/>
        <v>1</v>
      </c>
      <c r="F1006" s="516">
        <v>12</v>
      </c>
      <c r="G1006" s="503"/>
      <c r="H1006" s="497">
        <f t="shared" ca="1" si="137"/>
        <v>31</v>
      </c>
      <c r="I1006" s="500"/>
      <c r="J1006" s="512"/>
      <c r="K1006" s="512"/>
      <c r="L1006" s="503"/>
      <c r="M1006" s="515" t="str">
        <f ca="1">IFERROR(IF(COUNTIF($B$937:$B1005,"&lt;0")&lt;&gt;1,OFFSET($C1004,-COUNTIF($B$937:$B1005,"&lt;0")+3,0),""),"")</f>
        <v/>
      </c>
      <c r="N1006" s="515">
        <f ca="1">IFERROR(IF(COUNTA($D$937:D1005)=1,0,OFFSET($F1004,-COUNTA($D$937:D1005)+3,0)),"")</f>
        <v>1</v>
      </c>
      <c r="O1006" s="497"/>
      <c r="P1006" s="497">
        <f t="shared" si="138"/>
        <v>67</v>
      </c>
      <c r="Q1006" s="497"/>
      <c r="R1006" s="497"/>
      <c r="S1006" s="497"/>
      <c r="T1006" s="503"/>
    </row>
    <row r="1007" spans="1:20" x14ac:dyDescent="0.35">
      <c r="A1007" s="497" t="b">
        <v>0</v>
      </c>
      <c r="B1007" s="497">
        <f t="shared" si="135"/>
        <v>-292</v>
      </c>
      <c r="C1007" s="518" t="s">
        <v>9619</v>
      </c>
      <c r="D1007" s="497" t="s">
        <v>6735</v>
      </c>
      <c r="E1007" s="497">
        <f t="shared" ca="1" si="136"/>
        <v>2</v>
      </c>
      <c r="F1007" s="516">
        <v>12</v>
      </c>
      <c r="G1007" s="503"/>
      <c r="H1007" s="497">
        <f t="shared" ca="1" si="137"/>
        <v>31</v>
      </c>
      <c r="I1007" s="500"/>
      <c r="J1007" s="512"/>
      <c r="K1007" s="512"/>
      <c r="L1007" s="503"/>
      <c r="M1007" s="515" t="str">
        <f ca="1">IFERROR(IF(COUNTIF($B$937:$B1006,"&lt;0")&lt;&gt;1,OFFSET($C1005,-COUNTIF($B$937:$B1006,"&lt;0")+3,0),""),"")</f>
        <v/>
      </c>
      <c r="N1007" s="515">
        <f ca="1">IFERROR(IF(COUNTA($D$937:D1006)=1,0,OFFSET($F1005,-COUNTA($D$937:D1006)+3,0)),"")</f>
        <v>1</v>
      </c>
      <c r="O1007" s="497"/>
      <c r="P1007" s="497">
        <f t="shared" si="138"/>
        <v>68</v>
      </c>
      <c r="Q1007" s="497"/>
      <c r="R1007" s="497"/>
      <c r="S1007" s="497"/>
      <c r="T1007" s="503"/>
    </row>
    <row r="1008" spans="1:20" x14ac:dyDescent="0.35">
      <c r="A1008" s="497" t="b">
        <v>0</v>
      </c>
      <c r="B1008" s="497">
        <f t="shared" si="135"/>
        <v>-291</v>
      </c>
      <c r="C1008" s="518" t="s">
        <v>9620</v>
      </c>
      <c r="D1008" s="497" t="s">
        <v>6735</v>
      </c>
      <c r="E1008" s="497">
        <f t="shared" ca="1" si="136"/>
        <v>3</v>
      </c>
      <c r="F1008" s="516">
        <v>12</v>
      </c>
      <c r="G1008" s="503"/>
      <c r="H1008" s="497">
        <f t="shared" ca="1" si="137"/>
        <v>31</v>
      </c>
      <c r="I1008" s="500"/>
      <c r="J1008" s="512"/>
      <c r="K1008" s="512"/>
      <c r="L1008" s="503"/>
      <c r="M1008" s="515" t="str">
        <f ca="1">IFERROR(IF(COUNTIF($B$937:$B1007,"&lt;0")&lt;&gt;1,OFFSET($C1006,-COUNTIF($B$937:$B1007,"&lt;0")+3,0),""),"")</f>
        <v/>
      </c>
      <c r="N1008" s="515">
        <f ca="1">IFERROR(IF(COUNTA($D$937:D1007)=1,0,OFFSET($F1006,-COUNTA($D$937:D1007)+3,0)),"")</f>
        <v>1</v>
      </c>
      <c r="O1008" s="497"/>
      <c r="P1008" s="497">
        <f t="shared" si="138"/>
        <v>69</v>
      </c>
      <c r="Q1008" s="497"/>
      <c r="R1008" s="497"/>
      <c r="S1008" s="497"/>
      <c r="T1008" s="503"/>
    </row>
    <row r="1009" spans="1:20" x14ac:dyDescent="0.35">
      <c r="A1009" s="497" t="b">
        <v>0</v>
      </c>
      <c r="B1009" s="497">
        <f t="shared" si="135"/>
        <v>-290</v>
      </c>
      <c r="C1009" s="518" t="s">
        <v>9621</v>
      </c>
      <c r="D1009" s="497" t="s">
        <v>6735</v>
      </c>
      <c r="E1009" s="497">
        <f t="shared" ca="1" si="136"/>
        <v>4</v>
      </c>
      <c r="F1009" s="516">
        <v>12</v>
      </c>
      <c r="G1009" s="503"/>
      <c r="H1009" s="497">
        <f t="shared" ca="1" si="137"/>
        <v>31</v>
      </c>
      <c r="I1009" s="500"/>
      <c r="J1009" s="512"/>
      <c r="K1009" s="512"/>
      <c r="L1009" s="503"/>
      <c r="M1009" s="515" t="str">
        <f ca="1">IFERROR(IF(COUNTIF($B$937:$B1008,"&lt;0")&lt;&gt;1,OFFSET($C1007,-COUNTIF($B$937:$B1008,"&lt;0")+3,0),""),"")</f>
        <v/>
      </c>
      <c r="N1009" s="515">
        <f ca="1">IFERROR(IF(COUNTA($D$937:D1008)=1,0,OFFSET($F1007,-COUNTA($D$937:D1008)+3,0)),"")</f>
        <v>1</v>
      </c>
      <c r="O1009" s="497"/>
      <c r="P1009" s="497">
        <f t="shared" si="138"/>
        <v>70</v>
      </c>
      <c r="Q1009" s="497"/>
      <c r="R1009" s="497"/>
      <c r="S1009" s="497"/>
      <c r="T1009" s="503"/>
    </row>
    <row r="1010" spans="1:20" x14ac:dyDescent="0.35">
      <c r="A1010" s="497" t="b">
        <v>0</v>
      </c>
      <c r="B1010" s="497">
        <f t="shared" si="135"/>
        <v>-289</v>
      </c>
      <c r="C1010" s="518" t="s">
        <v>9622</v>
      </c>
      <c r="D1010" s="497" t="s">
        <v>6735</v>
      </c>
      <c r="E1010" s="497">
        <f t="shared" ca="1" si="136"/>
        <v>5</v>
      </c>
      <c r="F1010" s="516">
        <v>12</v>
      </c>
      <c r="G1010" s="503"/>
      <c r="H1010" s="497">
        <f t="shared" ca="1" si="137"/>
        <v>31</v>
      </c>
      <c r="I1010" s="500"/>
      <c r="J1010" s="512"/>
      <c r="K1010" s="512"/>
      <c r="L1010" s="503"/>
      <c r="M1010" s="515" t="str">
        <f ca="1">IFERROR(IF(COUNTIF($B$937:$B1009,"&lt;0")&lt;&gt;1,OFFSET($C1008,-COUNTIF($B$937:$B1009,"&lt;0")+3,0),""),"")</f>
        <v/>
      </c>
      <c r="N1010" s="515">
        <f ca="1">IFERROR(IF(COUNTA($D$937:D1009)=1,0,OFFSET($F1008,-COUNTA($D$937:D1009)+3,0)),"")</f>
        <v>1</v>
      </c>
      <c r="O1010" s="497"/>
      <c r="P1010" s="497">
        <f t="shared" si="138"/>
        <v>71</v>
      </c>
      <c r="Q1010" s="497"/>
      <c r="R1010" s="497"/>
      <c r="S1010" s="497"/>
      <c r="T1010" s="503"/>
    </row>
    <row r="1011" spans="1:20" x14ac:dyDescent="0.35">
      <c r="A1011" s="497" t="b">
        <v>0</v>
      </c>
      <c r="B1011" s="497">
        <f t="shared" si="135"/>
        <v>-288</v>
      </c>
      <c r="C1011" s="518" t="s">
        <v>9623</v>
      </c>
      <c r="D1011" s="497" t="s">
        <v>6735</v>
      </c>
      <c r="E1011" s="497">
        <f t="shared" ca="1" si="136"/>
        <v>6</v>
      </c>
      <c r="F1011" s="516">
        <v>12</v>
      </c>
      <c r="G1011" s="503"/>
      <c r="H1011" s="497">
        <f t="shared" ca="1" si="137"/>
        <v>31</v>
      </c>
      <c r="I1011" s="500"/>
      <c r="J1011" s="512"/>
      <c r="K1011" s="512"/>
      <c r="L1011" s="503"/>
      <c r="M1011" s="515" t="str">
        <f ca="1">IFERROR(IF(COUNTIF($B$937:$B1010,"&lt;0")&lt;&gt;1,OFFSET($C1009,-COUNTIF($B$937:$B1010,"&lt;0")+3,0),""),"")</f>
        <v/>
      </c>
      <c r="N1011" s="515">
        <f ca="1">IFERROR(IF(COUNTA($D$937:D1010)=1,0,OFFSET($F1009,-COUNTA($D$937:D1010)+3,0)),"")</f>
        <v>1</v>
      </c>
      <c r="O1011" s="497"/>
      <c r="P1011" s="497">
        <f t="shared" si="138"/>
        <v>72</v>
      </c>
      <c r="Q1011" s="497"/>
      <c r="R1011" s="497"/>
      <c r="S1011" s="497"/>
      <c r="T1011" s="503"/>
    </row>
    <row r="1012" spans="1:20" x14ac:dyDescent="0.35">
      <c r="A1012" s="497" t="b">
        <v>0</v>
      </c>
      <c r="B1012" s="497">
        <f t="shared" si="135"/>
        <v>-287</v>
      </c>
      <c r="C1012" s="518" t="s">
        <v>9624</v>
      </c>
      <c r="D1012" s="497" t="s">
        <v>5627</v>
      </c>
      <c r="E1012" s="497">
        <f t="shared" ca="1" si="136"/>
        <v>1</v>
      </c>
      <c r="F1012" s="516">
        <v>13</v>
      </c>
      <c r="G1012" s="503" t="s">
        <v>9223</v>
      </c>
      <c r="H1012" s="497">
        <f t="shared" ca="1" si="137"/>
        <v>33</v>
      </c>
      <c r="I1012" s="500"/>
      <c r="J1012" s="512"/>
      <c r="K1012" s="512"/>
      <c r="L1012" s="503"/>
      <c r="M1012" s="515" t="str">
        <f ca="1">IFERROR(IF(COUNTIF($B$937:$B1011,"&lt;0")&lt;&gt;1,OFFSET($C1010,-COUNTIF($B$937:$B1011,"&lt;0")+3,0),""),"")</f>
        <v/>
      </c>
      <c r="N1012" s="515">
        <f ca="1">IFERROR(IF(COUNTA($D$937:D1011)=1,0,OFFSET($F1010,-COUNTA($D$937:D1011)+3,0)),"")</f>
        <v>1</v>
      </c>
      <c r="O1012" s="497"/>
      <c r="P1012" s="497">
        <f t="shared" si="138"/>
        <v>73</v>
      </c>
      <c r="Q1012" s="497"/>
      <c r="R1012" s="497"/>
      <c r="S1012" s="497"/>
      <c r="T1012" s="503"/>
    </row>
    <row r="1013" spans="1:20" x14ac:dyDescent="0.35">
      <c r="A1013" s="497" t="b">
        <v>0</v>
      </c>
      <c r="B1013" s="497">
        <f t="shared" si="135"/>
        <v>-286</v>
      </c>
      <c r="C1013" s="518" t="s">
        <v>9625</v>
      </c>
      <c r="D1013" s="497" t="s">
        <v>5627</v>
      </c>
      <c r="E1013" s="497">
        <f t="shared" ca="1" si="136"/>
        <v>2</v>
      </c>
      <c r="F1013" s="516">
        <v>13</v>
      </c>
      <c r="G1013" s="503" t="s">
        <v>9223</v>
      </c>
      <c r="H1013" s="497">
        <f t="shared" ca="1" si="137"/>
        <v>33</v>
      </c>
      <c r="I1013" s="500"/>
      <c r="J1013" s="512"/>
      <c r="K1013" s="512"/>
      <c r="L1013" s="503"/>
      <c r="M1013" s="515" t="str">
        <f ca="1">IFERROR(IF(COUNTIF($B$937:$B1012,"&lt;0")&lt;&gt;1,OFFSET($C1011,-COUNTIF($B$937:$B1012,"&lt;0")+3,0),""),"")</f>
        <v/>
      </c>
      <c r="N1013" s="515">
        <f ca="1">IFERROR(IF(COUNTA($D$937:D1012)=1,0,OFFSET($F1011,-COUNTA($D$937:D1012)+3,0)),"")</f>
        <v>1</v>
      </c>
      <c r="O1013" s="497"/>
      <c r="P1013" s="497">
        <f t="shared" si="138"/>
        <v>74</v>
      </c>
      <c r="Q1013" s="497"/>
      <c r="R1013" s="497"/>
      <c r="S1013" s="497"/>
      <c r="T1013" s="503"/>
    </row>
    <row r="1014" spans="1:20" x14ac:dyDescent="0.35">
      <c r="A1014" s="497" t="b">
        <v>0</v>
      </c>
      <c r="B1014" s="497">
        <f t="shared" si="135"/>
        <v>-285</v>
      </c>
      <c r="C1014" s="518" t="s">
        <v>9626</v>
      </c>
      <c r="D1014" s="497" t="s">
        <v>5627</v>
      </c>
      <c r="E1014" s="497">
        <f t="shared" ca="1" si="136"/>
        <v>3</v>
      </c>
      <c r="F1014" s="516">
        <v>13</v>
      </c>
      <c r="G1014" s="503" t="s">
        <v>9223</v>
      </c>
      <c r="H1014" s="497">
        <f t="shared" ca="1" si="137"/>
        <v>33</v>
      </c>
      <c r="I1014" s="500"/>
      <c r="J1014" s="512"/>
      <c r="K1014" s="512"/>
      <c r="L1014" s="503"/>
      <c r="M1014" s="515" t="str">
        <f ca="1">IFERROR(IF(COUNTIF($B$937:$B1013,"&lt;0")&lt;&gt;1,OFFSET($C1012,-COUNTIF($B$937:$B1013,"&lt;0")+3,0),""),"")</f>
        <v/>
      </c>
      <c r="N1014" s="515">
        <f ca="1">IFERROR(IF(COUNTA($D$937:D1013)=1,0,OFFSET($F1012,-COUNTA($D$937:D1013)+3,0)),"")</f>
        <v>1</v>
      </c>
      <c r="O1014" s="497"/>
      <c r="P1014" s="497">
        <f t="shared" si="138"/>
        <v>75</v>
      </c>
      <c r="Q1014" s="497"/>
      <c r="R1014" s="497"/>
      <c r="S1014" s="497"/>
      <c r="T1014" s="503"/>
    </row>
    <row r="1015" spans="1:20" x14ac:dyDescent="0.35">
      <c r="A1015" s="497" t="b">
        <v>0</v>
      </c>
      <c r="B1015" s="497">
        <f t="shared" si="135"/>
        <v>-284</v>
      </c>
      <c r="C1015" s="518" t="s">
        <v>9627</v>
      </c>
      <c r="D1015" s="497" t="s">
        <v>5627</v>
      </c>
      <c r="E1015" s="497">
        <f t="shared" ca="1" si="136"/>
        <v>4</v>
      </c>
      <c r="F1015" s="516">
        <v>13</v>
      </c>
      <c r="G1015" s="503" t="s">
        <v>9223</v>
      </c>
      <c r="H1015" s="497">
        <f t="shared" ca="1" si="137"/>
        <v>33</v>
      </c>
      <c r="I1015" s="500"/>
      <c r="J1015" s="512"/>
      <c r="K1015" s="512"/>
      <c r="L1015" s="503"/>
      <c r="M1015" s="515" t="str">
        <f ca="1">IFERROR(IF(COUNTIF($B$937:$B1014,"&lt;0")&lt;&gt;1,OFFSET($C1013,-COUNTIF($B$937:$B1014,"&lt;0")+3,0),""),"")</f>
        <v/>
      </c>
      <c r="N1015" s="515">
        <f ca="1">IFERROR(IF(COUNTA($D$937:D1014)=1,0,OFFSET($F1013,-COUNTA($D$937:D1014)+3,0)),"")</f>
        <v>1</v>
      </c>
      <c r="O1015" s="497"/>
      <c r="P1015" s="497">
        <f t="shared" si="138"/>
        <v>76</v>
      </c>
      <c r="Q1015" s="497"/>
      <c r="R1015" s="497"/>
      <c r="S1015" s="497"/>
      <c r="T1015" s="503"/>
    </row>
    <row r="1016" spans="1:20" x14ac:dyDescent="0.35">
      <c r="A1016" s="497" t="b">
        <v>0</v>
      </c>
      <c r="B1016" s="497">
        <f t="shared" si="135"/>
        <v>-283</v>
      </c>
      <c r="C1016" s="518" t="s">
        <v>9628</v>
      </c>
      <c r="D1016" s="497" t="s">
        <v>5627</v>
      </c>
      <c r="E1016" s="497">
        <f t="shared" ca="1" si="136"/>
        <v>5</v>
      </c>
      <c r="F1016" s="516">
        <v>13</v>
      </c>
      <c r="G1016" s="503" t="s">
        <v>9223</v>
      </c>
      <c r="H1016" s="497">
        <f t="shared" ca="1" si="137"/>
        <v>33</v>
      </c>
      <c r="I1016" s="500"/>
      <c r="J1016" s="512"/>
      <c r="K1016" s="512"/>
      <c r="L1016" s="503"/>
      <c r="M1016" s="515" t="str">
        <f ca="1">IFERROR(IF(COUNTIF($B$937:$B1015,"&lt;0")&lt;&gt;1,OFFSET($C1014,-COUNTIF($B$937:$B1015,"&lt;0")+3,0),""),"")</f>
        <v/>
      </c>
      <c r="N1016" s="515">
        <f ca="1">IFERROR(IF(COUNTA($D$937:D1015)=1,0,OFFSET($F1014,-COUNTA($D$937:D1015)+3,0)),"")</f>
        <v>1</v>
      </c>
      <c r="O1016" s="497"/>
      <c r="P1016" s="497">
        <f t="shared" si="138"/>
        <v>77</v>
      </c>
      <c r="Q1016" s="497"/>
      <c r="R1016" s="497"/>
      <c r="S1016" s="497"/>
      <c r="T1016" s="503"/>
    </row>
    <row r="1017" spans="1:20" x14ac:dyDescent="0.35">
      <c r="A1017" s="497" t="b">
        <v>0</v>
      </c>
      <c r="B1017" s="497">
        <f t="shared" si="135"/>
        <v>-282</v>
      </c>
      <c r="C1017" s="518" t="s">
        <v>9629</v>
      </c>
      <c r="D1017" s="497" t="s">
        <v>5627</v>
      </c>
      <c r="E1017" s="497">
        <f t="shared" ca="1" si="136"/>
        <v>6</v>
      </c>
      <c r="F1017" s="516">
        <v>13</v>
      </c>
      <c r="G1017" s="503" t="s">
        <v>9223</v>
      </c>
      <c r="H1017" s="497">
        <f t="shared" ca="1" si="137"/>
        <v>33</v>
      </c>
      <c r="I1017" s="500"/>
      <c r="J1017" s="512"/>
      <c r="K1017" s="512"/>
      <c r="L1017" s="503"/>
      <c r="M1017" s="515" t="str">
        <f ca="1">IFERROR(IF(COUNTIF($B$937:$B1016,"&lt;0")&lt;&gt;1,OFFSET($C1015,-COUNTIF($B$937:$B1016,"&lt;0")+3,0),""),"")</f>
        <v/>
      </c>
      <c r="N1017" s="515">
        <f ca="1">IFERROR(IF(COUNTA($D$937:D1016)=1,0,OFFSET($F1015,-COUNTA($D$937:D1016)+3,0)),"")</f>
        <v>1</v>
      </c>
      <c r="O1017" s="497"/>
      <c r="P1017" s="497">
        <f t="shared" si="138"/>
        <v>78</v>
      </c>
      <c r="Q1017" s="497"/>
      <c r="R1017" s="497"/>
      <c r="S1017" s="497"/>
      <c r="T1017" s="503"/>
    </row>
    <row r="1018" spans="1:20" x14ac:dyDescent="0.35">
      <c r="A1018" s="497" t="b">
        <v>0</v>
      </c>
      <c r="B1018" s="497">
        <f t="shared" si="135"/>
        <v>-281</v>
      </c>
      <c r="C1018" s="518" t="s">
        <v>9630</v>
      </c>
      <c r="D1018" s="497" t="s">
        <v>6776</v>
      </c>
      <c r="E1018" s="497">
        <f t="shared" ca="1" si="136"/>
        <v>1</v>
      </c>
      <c r="F1018" s="516">
        <v>14</v>
      </c>
      <c r="G1018" s="503"/>
      <c r="H1018" s="497">
        <f t="shared" ca="1" si="137"/>
        <v>35</v>
      </c>
      <c r="I1018" s="500"/>
      <c r="J1018" s="512"/>
      <c r="K1018" s="512"/>
      <c r="L1018" s="503"/>
      <c r="M1018" s="515" t="str">
        <f ca="1">IFERROR(IF(COUNTIF($B$937:$B1017,"&lt;0")&lt;&gt;1,OFFSET($C1016,-COUNTIF($B$937:$B1017,"&lt;0")+3,0),""),"")</f>
        <v/>
      </c>
      <c r="N1018" s="515">
        <f ca="1">IFERROR(IF(COUNTA($D$937:D1017)=1,0,OFFSET($F1016,-COUNTA($D$937:D1017)+3,0)),"")</f>
        <v>1</v>
      </c>
      <c r="O1018" s="497"/>
      <c r="P1018" s="497">
        <f t="shared" si="138"/>
        <v>79</v>
      </c>
      <c r="Q1018" s="497"/>
      <c r="R1018" s="497"/>
      <c r="S1018" s="497"/>
      <c r="T1018" s="503"/>
    </row>
    <row r="1019" spans="1:20" x14ac:dyDescent="0.35">
      <c r="A1019" s="497" t="b">
        <v>0</v>
      </c>
      <c r="B1019" s="497">
        <f t="shared" si="135"/>
        <v>-280</v>
      </c>
      <c r="C1019" s="518" t="s">
        <v>9631</v>
      </c>
      <c r="D1019" s="497" t="s">
        <v>6776</v>
      </c>
      <c r="E1019" s="497">
        <f t="shared" ca="1" si="136"/>
        <v>2</v>
      </c>
      <c r="F1019" s="516">
        <v>14</v>
      </c>
      <c r="G1019" s="503"/>
      <c r="H1019" s="497">
        <f t="shared" ca="1" si="137"/>
        <v>35</v>
      </c>
      <c r="I1019" s="500"/>
      <c r="J1019" s="512"/>
      <c r="K1019" s="512"/>
      <c r="L1019" s="503"/>
      <c r="M1019" s="515" t="str">
        <f ca="1">IFERROR(IF(COUNTIF($B$937:$B1018,"&lt;0")&lt;&gt;1,OFFSET($C1017,-COUNTIF($B$937:$B1018,"&lt;0")+3,0),""),"")</f>
        <v/>
      </c>
      <c r="N1019" s="515">
        <f ca="1">IFERROR(IF(COUNTA($D$937:D1018)=1,0,OFFSET($F1017,-COUNTA($D$937:D1018)+3,0)),"")</f>
        <v>1</v>
      </c>
      <c r="O1019" s="497"/>
      <c r="P1019" s="497">
        <f t="shared" si="138"/>
        <v>80</v>
      </c>
      <c r="Q1019" s="497"/>
      <c r="R1019" s="497"/>
      <c r="S1019" s="497"/>
      <c r="T1019" s="503"/>
    </row>
    <row r="1020" spans="1:20" x14ac:dyDescent="0.35">
      <c r="A1020" s="497" t="b">
        <v>0</v>
      </c>
      <c r="B1020" s="497">
        <f t="shared" si="135"/>
        <v>-279</v>
      </c>
      <c r="C1020" s="518" t="s">
        <v>9632</v>
      </c>
      <c r="D1020" s="497" t="s">
        <v>6776</v>
      </c>
      <c r="E1020" s="497">
        <f t="shared" ca="1" si="136"/>
        <v>3</v>
      </c>
      <c r="F1020" s="516">
        <v>14</v>
      </c>
      <c r="G1020" s="503"/>
      <c r="H1020" s="497">
        <f t="shared" ca="1" si="137"/>
        <v>35</v>
      </c>
      <c r="I1020" s="500"/>
      <c r="J1020" s="512"/>
      <c r="K1020" s="512"/>
      <c r="L1020" s="503"/>
      <c r="M1020" s="515" t="str">
        <f ca="1">IFERROR(IF(COUNTIF($B$937:$B1019,"&lt;0")&lt;&gt;1,OFFSET($C1018,-COUNTIF($B$937:$B1019,"&lt;0")+3,0),""),"")</f>
        <v/>
      </c>
      <c r="N1020" s="515">
        <f ca="1">IFERROR(IF(COUNTA($D$937:D1019)=1,0,OFFSET($F1018,-COUNTA($D$937:D1019)+3,0)),"")</f>
        <v>1</v>
      </c>
      <c r="O1020" s="497"/>
      <c r="P1020" s="497">
        <f t="shared" si="138"/>
        <v>81</v>
      </c>
      <c r="Q1020" s="497"/>
      <c r="R1020" s="497"/>
      <c r="S1020" s="497"/>
      <c r="T1020" s="503"/>
    </row>
    <row r="1021" spans="1:20" x14ac:dyDescent="0.35">
      <c r="A1021" s="497" t="b">
        <v>0</v>
      </c>
      <c r="B1021" s="497">
        <f t="shared" si="135"/>
        <v>-278</v>
      </c>
      <c r="C1021" s="518" t="s">
        <v>9633</v>
      </c>
      <c r="D1021" s="497" t="s">
        <v>6776</v>
      </c>
      <c r="E1021" s="497">
        <f t="shared" ca="1" si="136"/>
        <v>4</v>
      </c>
      <c r="F1021" s="516">
        <v>14</v>
      </c>
      <c r="G1021" s="503"/>
      <c r="H1021" s="497">
        <f t="shared" ca="1" si="137"/>
        <v>35</v>
      </c>
      <c r="I1021" s="500"/>
      <c r="J1021" s="512"/>
      <c r="K1021" s="512"/>
      <c r="L1021" s="503"/>
      <c r="M1021" s="515" t="str">
        <f ca="1">IFERROR(IF(COUNTIF($B$937:$B1020,"&lt;0")&lt;&gt;1,OFFSET($C1019,-COUNTIF($B$937:$B1020,"&lt;0")+3,0),""),"")</f>
        <v/>
      </c>
      <c r="N1021" s="515">
        <f ca="1">IFERROR(IF(COUNTA($D$937:D1020)=1,0,OFFSET($F1019,-COUNTA($D$937:D1020)+3,0)),"")</f>
        <v>1</v>
      </c>
      <c r="O1021" s="497"/>
      <c r="P1021" s="497">
        <f t="shared" si="138"/>
        <v>82</v>
      </c>
      <c r="Q1021" s="497"/>
      <c r="R1021" s="497"/>
      <c r="S1021" s="497"/>
      <c r="T1021" s="503"/>
    </row>
    <row r="1022" spans="1:20" x14ac:dyDescent="0.35">
      <c r="A1022" s="497" t="b">
        <v>0</v>
      </c>
      <c r="B1022" s="497">
        <f t="shared" si="135"/>
        <v>-277</v>
      </c>
      <c r="C1022" s="518" t="s">
        <v>9634</v>
      </c>
      <c r="D1022" s="497" t="s">
        <v>6776</v>
      </c>
      <c r="E1022" s="497">
        <f t="shared" ca="1" si="136"/>
        <v>5</v>
      </c>
      <c r="F1022" s="516">
        <v>14</v>
      </c>
      <c r="G1022" s="503"/>
      <c r="H1022" s="497">
        <f t="shared" ca="1" si="137"/>
        <v>35</v>
      </c>
      <c r="I1022" s="500"/>
      <c r="J1022" s="512"/>
      <c r="K1022" s="512"/>
      <c r="L1022" s="503"/>
      <c r="M1022" s="515" t="str">
        <f ca="1">IFERROR(IF(COUNTIF($B$937:$B1021,"&lt;0")&lt;&gt;1,OFFSET($C1020,-COUNTIF($B$937:$B1021,"&lt;0")+3,0),""),"")</f>
        <v/>
      </c>
      <c r="N1022" s="515">
        <f ca="1">IFERROR(IF(COUNTA($D$937:D1021)=1,0,OFFSET($F1020,-COUNTA($D$937:D1021)+3,0)),"")</f>
        <v>1</v>
      </c>
      <c r="O1022" s="497"/>
      <c r="P1022" s="497">
        <f t="shared" si="138"/>
        <v>83</v>
      </c>
      <c r="Q1022" s="497"/>
      <c r="R1022" s="497"/>
      <c r="S1022" s="497"/>
      <c r="T1022" s="503"/>
    </row>
    <row r="1023" spans="1:20" x14ac:dyDescent="0.35">
      <c r="A1023" s="497" t="b">
        <v>0</v>
      </c>
      <c r="B1023" s="497">
        <f t="shared" si="135"/>
        <v>-276</v>
      </c>
      <c r="C1023" s="518" t="s">
        <v>9635</v>
      </c>
      <c r="D1023" s="497" t="s">
        <v>6776</v>
      </c>
      <c r="E1023" s="497">
        <f t="shared" ca="1" si="136"/>
        <v>6</v>
      </c>
      <c r="F1023" s="516">
        <v>14</v>
      </c>
      <c r="G1023" s="503"/>
      <c r="H1023" s="497">
        <f t="shared" ca="1" si="137"/>
        <v>35</v>
      </c>
      <c r="I1023" s="500"/>
      <c r="J1023" s="512"/>
      <c r="K1023" s="512"/>
      <c r="L1023" s="503"/>
      <c r="M1023" s="515" t="str">
        <f ca="1">IFERROR(IF(COUNTIF($B$937:$B1022,"&lt;0")&lt;&gt;1,OFFSET($C1021,-COUNTIF($B$937:$B1022,"&lt;0")+3,0),""),"")</f>
        <v/>
      </c>
      <c r="N1023" s="515">
        <f ca="1">IFERROR(IF(COUNTA($D$937:D1022)=1,0,OFFSET($F1021,-COUNTA($D$937:D1022)+3,0)),"")</f>
        <v>1</v>
      </c>
      <c r="O1023" s="497"/>
      <c r="P1023" s="497">
        <f t="shared" si="138"/>
        <v>84</v>
      </c>
      <c r="Q1023" s="497"/>
      <c r="R1023" s="497"/>
      <c r="S1023" s="497"/>
      <c r="T1023" s="503"/>
    </row>
    <row r="1024" spans="1:20" x14ac:dyDescent="0.35">
      <c r="A1024" s="497" t="b">
        <v>0</v>
      </c>
      <c r="B1024" s="497">
        <f t="shared" si="135"/>
        <v>-275</v>
      </c>
      <c r="C1024" s="518" t="s">
        <v>9636</v>
      </c>
      <c r="D1024" s="497" t="s">
        <v>5545</v>
      </c>
      <c r="E1024" s="497">
        <f t="shared" ca="1" si="136"/>
        <v>1</v>
      </c>
      <c r="F1024" s="516">
        <v>15</v>
      </c>
      <c r="G1024" s="503"/>
      <c r="H1024" s="497">
        <f t="shared" ca="1" si="137"/>
        <v>37</v>
      </c>
      <c r="I1024" s="500"/>
      <c r="J1024" s="512"/>
      <c r="K1024" s="512"/>
      <c r="L1024" s="503"/>
      <c r="M1024" s="515" t="str">
        <f ca="1">IFERROR(IF(COUNTIF($B$937:$B1023,"&lt;0")&lt;&gt;1,OFFSET($C1022,-COUNTIF($B$937:$B1023,"&lt;0")+3,0),""),"")</f>
        <v/>
      </c>
      <c r="N1024" s="515">
        <f ca="1">IFERROR(IF(COUNTA($D$937:D1023)=1,0,OFFSET($F1022,-COUNTA($D$937:D1023)+3,0)),"")</f>
        <v>1</v>
      </c>
      <c r="O1024" s="497"/>
      <c r="P1024" s="497">
        <f t="shared" si="138"/>
        <v>85</v>
      </c>
      <c r="Q1024" s="497"/>
      <c r="R1024" s="497"/>
      <c r="S1024" s="497"/>
      <c r="T1024" s="503"/>
    </row>
    <row r="1025" spans="1:20" x14ac:dyDescent="0.35">
      <c r="A1025" s="497" t="b">
        <v>0</v>
      </c>
      <c r="B1025" s="497">
        <f t="shared" si="135"/>
        <v>-274</v>
      </c>
      <c r="C1025" s="518" t="s">
        <v>9637</v>
      </c>
      <c r="D1025" s="497" t="s">
        <v>5545</v>
      </c>
      <c r="E1025" s="497">
        <f t="shared" ca="1" si="136"/>
        <v>2</v>
      </c>
      <c r="F1025" s="516">
        <v>15</v>
      </c>
      <c r="G1025" s="503"/>
      <c r="H1025" s="497">
        <f t="shared" ca="1" si="137"/>
        <v>37</v>
      </c>
      <c r="I1025" s="500"/>
      <c r="J1025" s="512"/>
      <c r="K1025" s="512"/>
      <c r="L1025" s="503"/>
      <c r="M1025" s="515" t="str">
        <f ca="1">IFERROR(IF(COUNTIF($B$937:$B1024,"&lt;0")&lt;&gt;1,OFFSET($C1023,-COUNTIF($B$937:$B1024,"&lt;0")+3,0),""),"")</f>
        <v/>
      </c>
      <c r="N1025" s="515">
        <f ca="1">IFERROR(IF(COUNTA($D$937:D1024)=1,0,OFFSET($F1023,-COUNTA($D$937:D1024)+3,0)),"")</f>
        <v>1</v>
      </c>
      <c r="O1025" s="497"/>
      <c r="P1025" s="497">
        <f t="shared" si="138"/>
        <v>86</v>
      </c>
      <c r="Q1025" s="497"/>
      <c r="R1025" s="497"/>
      <c r="S1025" s="497"/>
      <c r="T1025" s="503"/>
    </row>
    <row r="1026" spans="1:20" x14ac:dyDescent="0.35">
      <c r="A1026" s="497" t="b">
        <v>0</v>
      </c>
      <c r="B1026" s="497">
        <f t="shared" si="135"/>
        <v>-273</v>
      </c>
      <c r="C1026" s="518" t="s">
        <v>9638</v>
      </c>
      <c r="D1026" s="497" t="s">
        <v>5545</v>
      </c>
      <c r="E1026" s="497">
        <f t="shared" ca="1" si="136"/>
        <v>3</v>
      </c>
      <c r="F1026" s="516">
        <v>15</v>
      </c>
      <c r="G1026" s="503"/>
      <c r="H1026" s="497">
        <f t="shared" ca="1" si="137"/>
        <v>37</v>
      </c>
      <c r="I1026" s="500"/>
      <c r="J1026" s="512"/>
      <c r="K1026" s="512"/>
      <c r="L1026" s="503"/>
      <c r="M1026" s="515" t="str">
        <f ca="1">IFERROR(IF(COUNTIF($B$937:$B1025,"&lt;0")&lt;&gt;1,OFFSET($C1024,-COUNTIF($B$937:$B1025,"&lt;0")+3,0),""),"")</f>
        <v/>
      </c>
      <c r="N1026" s="515">
        <f ca="1">IFERROR(IF(COUNTA($D$937:D1025)=1,0,OFFSET($F1024,-COUNTA($D$937:D1025)+3,0)),"")</f>
        <v>1</v>
      </c>
      <c r="O1026" s="497"/>
      <c r="P1026" s="497">
        <f t="shared" si="138"/>
        <v>87</v>
      </c>
      <c r="Q1026" s="497"/>
      <c r="R1026" s="497"/>
      <c r="S1026" s="497"/>
      <c r="T1026" s="503"/>
    </row>
    <row r="1027" spans="1:20" x14ac:dyDescent="0.35">
      <c r="A1027" s="497" t="b">
        <v>0</v>
      </c>
      <c r="B1027" s="497">
        <f t="shared" si="135"/>
        <v>-272</v>
      </c>
      <c r="C1027" s="518" t="s">
        <v>9639</v>
      </c>
      <c r="D1027" s="497" t="s">
        <v>5545</v>
      </c>
      <c r="E1027" s="497">
        <f t="shared" ca="1" si="136"/>
        <v>4</v>
      </c>
      <c r="F1027" s="516">
        <v>15</v>
      </c>
      <c r="G1027" s="503"/>
      <c r="H1027" s="497">
        <f t="shared" ca="1" si="137"/>
        <v>37</v>
      </c>
      <c r="I1027" s="500"/>
      <c r="J1027" s="512"/>
      <c r="K1027" s="512"/>
      <c r="L1027" s="503"/>
      <c r="M1027" s="515" t="str">
        <f ca="1">IFERROR(IF(COUNTIF($B$937:$B1026,"&lt;0")&lt;&gt;1,OFFSET($C1025,-COUNTIF($B$937:$B1026,"&lt;0")+3,0),""),"")</f>
        <v/>
      </c>
      <c r="N1027" s="515">
        <f ca="1">IFERROR(IF(COUNTA($D$937:D1026)=1,0,OFFSET($F1025,-COUNTA($D$937:D1026)+3,0)),"")</f>
        <v>1</v>
      </c>
      <c r="O1027" s="497"/>
      <c r="P1027" s="497">
        <f t="shared" si="138"/>
        <v>88</v>
      </c>
      <c r="Q1027" s="497"/>
      <c r="R1027" s="497"/>
      <c r="S1027" s="497"/>
      <c r="T1027" s="503"/>
    </row>
    <row r="1028" spans="1:20" x14ac:dyDescent="0.35">
      <c r="A1028" s="497" t="b">
        <v>0</v>
      </c>
      <c r="B1028" s="497">
        <f t="shared" si="135"/>
        <v>-271</v>
      </c>
      <c r="C1028" s="518" t="s">
        <v>9640</v>
      </c>
      <c r="D1028" s="497" t="s">
        <v>5545</v>
      </c>
      <c r="E1028" s="497">
        <f t="shared" ca="1" si="136"/>
        <v>5</v>
      </c>
      <c r="F1028" s="516">
        <v>15</v>
      </c>
      <c r="G1028" s="503"/>
      <c r="H1028" s="497">
        <f t="shared" ca="1" si="137"/>
        <v>37</v>
      </c>
      <c r="I1028" s="500"/>
      <c r="J1028" s="512"/>
      <c r="K1028" s="512"/>
      <c r="L1028" s="503"/>
      <c r="M1028" s="515" t="str">
        <f ca="1">IFERROR(IF(COUNTIF($B$937:$B1027,"&lt;0")&lt;&gt;1,OFFSET($C1026,-COUNTIF($B$937:$B1027,"&lt;0")+3,0),""),"")</f>
        <v/>
      </c>
      <c r="N1028" s="515">
        <f ca="1">IFERROR(IF(COUNTA($D$937:D1027)=1,0,OFFSET($F1026,-COUNTA($D$937:D1027)+3,0)),"")</f>
        <v>1</v>
      </c>
      <c r="O1028" s="497"/>
      <c r="P1028" s="497">
        <f t="shared" si="138"/>
        <v>89</v>
      </c>
      <c r="Q1028" s="497"/>
      <c r="R1028" s="497"/>
      <c r="S1028" s="497"/>
      <c r="T1028" s="503"/>
    </row>
    <row r="1029" spans="1:20" x14ac:dyDescent="0.35">
      <c r="A1029" s="497" t="b">
        <v>0</v>
      </c>
      <c r="B1029" s="497">
        <f t="shared" si="135"/>
        <v>-270</v>
      </c>
      <c r="C1029" s="518" t="s">
        <v>9641</v>
      </c>
      <c r="D1029" s="497" t="s">
        <v>5545</v>
      </c>
      <c r="E1029" s="497">
        <f t="shared" ca="1" si="136"/>
        <v>6</v>
      </c>
      <c r="F1029" s="516">
        <v>15</v>
      </c>
      <c r="G1029" s="503"/>
      <c r="H1029" s="497">
        <f t="shared" ca="1" si="137"/>
        <v>37</v>
      </c>
      <c r="I1029" s="500"/>
      <c r="J1029" s="512"/>
      <c r="K1029" s="512"/>
      <c r="L1029" s="503"/>
      <c r="M1029" s="515" t="str">
        <f ca="1">IFERROR(IF(COUNTIF($B$937:$B1028,"&lt;0")&lt;&gt;1,OFFSET($C1027,-COUNTIF($B$937:$B1028,"&lt;0")+3,0),""),"")</f>
        <v/>
      </c>
      <c r="N1029" s="515">
        <f ca="1">IFERROR(IF(COUNTA($D$937:D1028)=1,0,OFFSET($F1027,-COUNTA($D$937:D1028)+3,0)),"")</f>
        <v>1</v>
      </c>
      <c r="O1029" s="497"/>
      <c r="P1029" s="497">
        <f t="shared" si="138"/>
        <v>90</v>
      </c>
      <c r="Q1029" s="497"/>
      <c r="R1029" s="497"/>
      <c r="S1029" s="497"/>
      <c r="T1029" s="503"/>
    </row>
    <row r="1030" spans="1:20" x14ac:dyDescent="0.35">
      <c r="A1030" s="497" t="b">
        <v>0</v>
      </c>
      <c r="B1030" s="497">
        <f t="shared" si="135"/>
        <v>-269</v>
      </c>
      <c r="C1030" s="518" t="s">
        <v>9642</v>
      </c>
      <c r="D1030" s="497" t="s">
        <v>6817</v>
      </c>
      <c r="E1030" s="497">
        <f t="shared" ca="1" si="136"/>
        <v>1</v>
      </c>
      <c r="F1030" s="516">
        <v>16</v>
      </c>
      <c r="G1030" s="503"/>
      <c r="H1030" s="497">
        <f t="shared" ca="1" si="137"/>
        <v>39</v>
      </c>
      <c r="I1030" s="500"/>
      <c r="J1030" s="512"/>
      <c r="K1030" s="512"/>
      <c r="L1030" s="503"/>
      <c r="M1030" s="515" t="str">
        <f ca="1">IFERROR(IF(COUNTIF($B$937:$B1029,"&lt;0")&lt;&gt;1,OFFSET($C1028,-COUNTIF($B$937:$B1029,"&lt;0")+3,0),""),"")</f>
        <v/>
      </c>
      <c r="N1030" s="515">
        <f ca="1">IFERROR(IF(COUNTA($D$937:D1029)=1,0,OFFSET($F1028,-COUNTA($D$937:D1029)+3,0)),"")</f>
        <v>1</v>
      </c>
      <c r="O1030" s="497"/>
      <c r="P1030" s="497">
        <f t="shared" si="138"/>
        <v>91</v>
      </c>
      <c r="Q1030" s="497"/>
      <c r="R1030" s="497"/>
      <c r="S1030" s="497"/>
      <c r="T1030" s="503"/>
    </row>
    <row r="1031" spans="1:20" x14ac:dyDescent="0.35">
      <c r="A1031" s="497" t="b">
        <v>0</v>
      </c>
      <c r="B1031" s="497">
        <f t="shared" si="135"/>
        <v>-268</v>
      </c>
      <c r="C1031" s="518" t="s">
        <v>9643</v>
      </c>
      <c r="D1031" s="497" t="s">
        <v>6817</v>
      </c>
      <c r="E1031" s="497">
        <f t="shared" ca="1" si="136"/>
        <v>2</v>
      </c>
      <c r="F1031" s="516">
        <v>16</v>
      </c>
      <c r="G1031" s="503"/>
      <c r="H1031" s="497">
        <f t="shared" ca="1" si="137"/>
        <v>39</v>
      </c>
      <c r="I1031" s="500"/>
      <c r="J1031" s="512"/>
      <c r="K1031" s="512"/>
      <c r="L1031" s="503"/>
      <c r="M1031" s="515" t="str">
        <f ca="1">IFERROR(IF(COUNTIF($B$937:$B1030,"&lt;0")&lt;&gt;1,OFFSET($C1029,-COUNTIF($B$937:$B1030,"&lt;0")+3,0),""),"")</f>
        <v/>
      </c>
      <c r="N1031" s="515">
        <f ca="1">IFERROR(IF(COUNTA($D$937:D1030)=1,0,OFFSET($F1029,-COUNTA($D$937:D1030)+3,0)),"")</f>
        <v>1</v>
      </c>
      <c r="O1031" s="497"/>
      <c r="P1031" s="497">
        <f t="shared" si="138"/>
        <v>92</v>
      </c>
      <c r="Q1031" s="497"/>
      <c r="R1031" s="497"/>
      <c r="S1031" s="497"/>
      <c r="T1031" s="503"/>
    </row>
    <row r="1032" spans="1:20" x14ac:dyDescent="0.35">
      <c r="A1032" s="497" t="b">
        <v>0</v>
      </c>
      <c r="B1032" s="497">
        <f t="shared" si="135"/>
        <v>-267</v>
      </c>
      <c r="C1032" s="518" t="s">
        <v>9644</v>
      </c>
      <c r="D1032" s="497" t="s">
        <v>6817</v>
      </c>
      <c r="E1032" s="497">
        <f t="shared" ca="1" si="136"/>
        <v>3</v>
      </c>
      <c r="F1032" s="516">
        <v>16</v>
      </c>
      <c r="G1032" s="503"/>
      <c r="H1032" s="497">
        <f t="shared" ca="1" si="137"/>
        <v>39</v>
      </c>
      <c r="I1032" s="500"/>
      <c r="J1032" s="512"/>
      <c r="K1032" s="512"/>
      <c r="L1032" s="503"/>
      <c r="M1032" s="515" t="str">
        <f ca="1">IFERROR(IF(COUNTIF($B$937:$B1031,"&lt;0")&lt;&gt;1,OFFSET($C1030,-COUNTIF($B$937:$B1031,"&lt;0")+3,0),""),"")</f>
        <v/>
      </c>
      <c r="N1032" s="515">
        <f ca="1">IFERROR(IF(COUNTA($D$937:D1031)=1,0,OFFSET($F1030,-COUNTA($D$937:D1031)+3,0)),"")</f>
        <v>1</v>
      </c>
      <c r="O1032" s="497"/>
      <c r="P1032" s="497">
        <f t="shared" si="138"/>
        <v>93</v>
      </c>
      <c r="Q1032" s="497"/>
      <c r="R1032" s="497"/>
      <c r="S1032" s="497"/>
      <c r="T1032" s="503"/>
    </row>
    <row r="1033" spans="1:20" x14ac:dyDescent="0.35">
      <c r="A1033" s="497" t="b">
        <v>0</v>
      </c>
      <c r="B1033" s="497">
        <f t="shared" si="135"/>
        <v>-266</v>
      </c>
      <c r="C1033" s="518" t="s">
        <v>9645</v>
      </c>
      <c r="D1033" s="497" t="s">
        <v>6817</v>
      </c>
      <c r="E1033" s="497">
        <f t="shared" ca="1" si="136"/>
        <v>4</v>
      </c>
      <c r="F1033" s="516">
        <v>16</v>
      </c>
      <c r="G1033" s="503"/>
      <c r="H1033" s="497">
        <f t="shared" ca="1" si="137"/>
        <v>39</v>
      </c>
      <c r="I1033" s="500"/>
      <c r="J1033" s="512"/>
      <c r="K1033" s="512"/>
      <c r="L1033" s="503"/>
      <c r="M1033" s="515" t="str">
        <f ca="1">IFERROR(IF(COUNTIF($B$937:$B1032,"&lt;0")&lt;&gt;1,OFFSET($C1031,-COUNTIF($B$937:$B1032,"&lt;0")+3,0),""),"")</f>
        <v/>
      </c>
      <c r="N1033" s="515">
        <f ca="1">IFERROR(IF(COUNTA($D$937:D1032)=1,0,OFFSET($F1031,-COUNTA($D$937:D1032)+3,0)),"")</f>
        <v>1</v>
      </c>
      <c r="O1033" s="497"/>
      <c r="P1033" s="497">
        <f t="shared" si="138"/>
        <v>94</v>
      </c>
      <c r="Q1033" s="497"/>
      <c r="R1033" s="497"/>
      <c r="S1033" s="497"/>
      <c r="T1033" s="503"/>
    </row>
    <row r="1034" spans="1:20" x14ac:dyDescent="0.35">
      <c r="A1034" s="497" t="b">
        <v>0</v>
      </c>
      <c r="B1034" s="497">
        <f t="shared" si="135"/>
        <v>-265</v>
      </c>
      <c r="C1034" s="518" t="s">
        <v>9646</v>
      </c>
      <c r="D1034" s="497" t="s">
        <v>6817</v>
      </c>
      <c r="E1034" s="497">
        <f t="shared" ca="1" si="136"/>
        <v>5</v>
      </c>
      <c r="F1034" s="516">
        <v>16</v>
      </c>
      <c r="G1034" s="503"/>
      <c r="H1034" s="497">
        <f t="shared" ca="1" si="137"/>
        <v>39</v>
      </c>
      <c r="I1034" s="500"/>
      <c r="J1034" s="512"/>
      <c r="K1034" s="512"/>
      <c r="L1034" s="503"/>
      <c r="M1034" s="515" t="str">
        <f ca="1">IFERROR(IF(COUNTIF($B$937:$B1033,"&lt;0")&lt;&gt;1,OFFSET($C1032,-COUNTIF($B$937:$B1033,"&lt;0")+3,0),""),"")</f>
        <v/>
      </c>
      <c r="N1034" s="515">
        <f ca="1">IFERROR(IF(COUNTA($D$937:D1033)=1,0,OFFSET($F1032,-COUNTA($D$937:D1033)+3,0)),"")</f>
        <v>1</v>
      </c>
      <c r="O1034" s="497"/>
      <c r="P1034" s="497">
        <f t="shared" si="138"/>
        <v>95</v>
      </c>
      <c r="Q1034" s="497"/>
      <c r="R1034" s="497"/>
      <c r="S1034" s="497"/>
      <c r="T1034" s="503"/>
    </row>
    <row r="1035" spans="1:20" x14ac:dyDescent="0.35">
      <c r="A1035" s="497" t="b">
        <v>0</v>
      </c>
      <c r="B1035" s="497">
        <f t="shared" si="135"/>
        <v>-264</v>
      </c>
      <c r="C1035" s="518" t="s">
        <v>9647</v>
      </c>
      <c r="D1035" s="497" t="s">
        <v>6817</v>
      </c>
      <c r="E1035" s="497">
        <f t="shared" ca="1" si="136"/>
        <v>6</v>
      </c>
      <c r="F1035" s="516">
        <v>16</v>
      </c>
      <c r="G1035" s="503"/>
      <c r="H1035" s="497">
        <f t="shared" ca="1" si="137"/>
        <v>39</v>
      </c>
      <c r="I1035" s="500"/>
      <c r="J1035" s="512"/>
      <c r="K1035" s="512"/>
      <c r="L1035" s="503"/>
      <c r="M1035" s="515" t="str">
        <f ca="1">IFERROR(IF(COUNTIF($B$937:$B1034,"&lt;0")&lt;&gt;1,OFFSET($C1033,-COUNTIF($B$937:$B1034,"&lt;0")+3,0),""),"")</f>
        <v/>
      </c>
      <c r="N1035" s="515">
        <f ca="1">IFERROR(IF(COUNTA($D$937:D1034)=1,0,OFFSET($F1033,-COUNTA($D$937:D1034)+3,0)),"")</f>
        <v>1</v>
      </c>
      <c r="O1035" s="497"/>
      <c r="P1035" s="497">
        <f t="shared" si="138"/>
        <v>96</v>
      </c>
      <c r="Q1035" s="497"/>
      <c r="R1035" s="497"/>
      <c r="S1035" s="497"/>
      <c r="T1035" s="503"/>
    </row>
    <row r="1036" spans="1:20" x14ac:dyDescent="0.35">
      <c r="A1036" s="497" t="b">
        <v>0</v>
      </c>
      <c r="B1036" s="497">
        <f t="shared" si="135"/>
        <v>-263</v>
      </c>
      <c r="C1036" s="518" t="s">
        <v>9648</v>
      </c>
      <c r="D1036" s="497" t="s">
        <v>5586</v>
      </c>
      <c r="E1036" s="497">
        <f t="shared" ca="1" si="136"/>
        <v>1</v>
      </c>
      <c r="F1036" s="516">
        <v>17</v>
      </c>
      <c r="G1036" s="503"/>
      <c r="H1036" s="497">
        <f t="shared" ca="1" si="137"/>
        <v>41</v>
      </c>
      <c r="I1036" s="500"/>
      <c r="J1036" s="512"/>
      <c r="K1036" s="512"/>
      <c r="L1036" s="503"/>
      <c r="M1036" s="515" t="str">
        <f ca="1">IFERROR(IF(COUNTIF($B$937:$B1035,"&lt;0")&lt;&gt;1,OFFSET($C1034,-COUNTIF($B$937:$B1035,"&lt;0")+3,0),""),"")</f>
        <v/>
      </c>
      <c r="N1036" s="515">
        <f ca="1">IFERROR(IF(COUNTA($D$937:D1035)=1,0,OFFSET($F1034,-COUNTA($D$937:D1035)+3,0)),"")</f>
        <v>1</v>
      </c>
      <c r="O1036" s="497"/>
      <c r="P1036" s="497">
        <f t="shared" si="138"/>
        <v>97</v>
      </c>
      <c r="Q1036" s="497"/>
      <c r="R1036" s="497"/>
      <c r="S1036" s="497"/>
      <c r="T1036" s="503"/>
    </row>
    <row r="1037" spans="1:20" x14ac:dyDescent="0.35">
      <c r="A1037" s="497" t="b">
        <v>0</v>
      </c>
      <c r="B1037" s="497">
        <f t="shared" si="135"/>
        <v>-262</v>
      </c>
      <c r="C1037" s="518" t="s">
        <v>9649</v>
      </c>
      <c r="D1037" s="497" t="s">
        <v>5586</v>
      </c>
      <c r="E1037" s="497">
        <f t="shared" si="136"/>
        <v>2</v>
      </c>
      <c r="F1037" s="516">
        <v>17</v>
      </c>
      <c r="G1037" s="503"/>
      <c r="H1037" s="497">
        <f t="shared" ca="1" si="137"/>
        <v>41</v>
      </c>
      <c r="I1037" s="500"/>
      <c r="J1037" s="512"/>
      <c r="K1037" s="512"/>
      <c r="L1037" s="503"/>
      <c r="M1037" s="515" t="str">
        <f ca="1">IFERROR(IF(COUNTIF($B$937:$B1036,"&lt;0")&lt;&gt;1,OFFSET($C1035,-COUNTIF($B$937:$B1036,"&lt;0")+3,0),""),"")</f>
        <v/>
      </c>
      <c r="N1037" s="515">
        <f ca="1">IFERROR(IF(COUNTA($D$937:D1036)=1,0,OFFSET($F1035,-COUNTA($D$937:D1036)+3,0)),"")</f>
        <v>1</v>
      </c>
      <c r="O1037" s="497"/>
      <c r="P1037" s="497">
        <f t="shared" si="138"/>
        <v>98</v>
      </c>
      <c r="Q1037" s="497"/>
      <c r="R1037" s="497"/>
      <c r="S1037" s="497"/>
      <c r="T1037" s="503"/>
    </row>
    <row r="1038" spans="1:20" x14ac:dyDescent="0.35">
      <c r="A1038" s="497" t="b">
        <v>0</v>
      </c>
      <c r="B1038" s="497">
        <f t="shared" si="135"/>
        <v>-261</v>
      </c>
      <c r="C1038" s="518" t="s">
        <v>9650</v>
      </c>
      <c r="D1038" s="497" t="s">
        <v>5586</v>
      </c>
      <c r="E1038" s="497">
        <f t="shared" si="136"/>
        <v>3</v>
      </c>
      <c r="F1038" s="516">
        <v>17</v>
      </c>
      <c r="G1038" s="503"/>
      <c r="H1038" s="497">
        <f t="shared" ca="1" si="137"/>
        <v>41</v>
      </c>
      <c r="I1038" s="500"/>
      <c r="J1038" s="512"/>
      <c r="K1038" s="512"/>
      <c r="L1038" s="503"/>
      <c r="M1038" s="515" t="str">
        <f ca="1">IFERROR(IF(COUNTIF($B$937:$B1037,"&lt;0")&lt;&gt;1,OFFSET($C1036,-COUNTIF($B$937:$B1037,"&lt;0")+3,0),""),"")</f>
        <v/>
      </c>
      <c r="N1038" s="515">
        <f ca="1">IFERROR(IF(COUNTA($D$937:D1037)=1,0,OFFSET($F1036,-COUNTA($D$937:D1037)+3,0)),"")</f>
        <v>1</v>
      </c>
      <c r="O1038" s="497"/>
      <c r="P1038" s="497">
        <f t="shared" si="138"/>
        <v>99</v>
      </c>
      <c r="Q1038" s="497"/>
      <c r="R1038" s="497"/>
      <c r="S1038" s="497"/>
      <c r="T1038" s="503"/>
    </row>
    <row r="1039" spans="1:20" x14ac:dyDescent="0.35">
      <c r="A1039" s="497" t="b">
        <v>0</v>
      </c>
      <c r="B1039" s="497">
        <f t="shared" si="135"/>
        <v>-260</v>
      </c>
      <c r="C1039" s="518" t="s">
        <v>9651</v>
      </c>
      <c r="D1039" s="497" t="s">
        <v>5586</v>
      </c>
      <c r="E1039" s="497">
        <f t="shared" si="136"/>
        <v>4</v>
      </c>
      <c r="F1039" s="516">
        <v>17</v>
      </c>
      <c r="G1039" s="503"/>
      <c r="H1039" s="497">
        <f t="shared" ca="1" si="137"/>
        <v>41</v>
      </c>
      <c r="I1039" s="500"/>
      <c r="J1039" s="512"/>
      <c r="K1039" s="512"/>
      <c r="L1039" s="503"/>
      <c r="M1039" s="515" t="str">
        <f ca="1">IFERROR(IF(COUNTIF($B$937:$B1038,"&lt;0")&lt;&gt;1,OFFSET($C1037,-COUNTIF($B$937:$B1038,"&lt;0")+3,0),""),"")</f>
        <v/>
      </c>
      <c r="N1039" s="515">
        <f ca="1">IFERROR(IF(COUNTA($D$937:D1038)=1,0,OFFSET($F1037,-COUNTA($D$937:D1038)+3,0)),"")</f>
        <v>1</v>
      </c>
      <c r="O1039" s="497"/>
      <c r="P1039" s="497">
        <f t="shared" si="138"/>
        <v>100</v>
      </c>
      <c r="Q1039" s="497"/>
      <c r="R1039" s="497"/>
      <c r="S1039" s="497"/>
      <c r="T1039" s="503"/>
    </row>
    <row r="1040" spans="1:20" x14ac:dyDescent="0.35">
      <c r="A1040" s="497" t="b">
        <v>0</v>
      </c>
      <c r="B1040" s="497">
        <f t="shared" si="135"/>
        <v>-259</v>
      </c>
      <c r="C1040" s="518" t="s">
        <v>9652</v>
      </c>
      <c r="D1040" s="497" t="s">
        <v>5586</v>
      </c>
      <c r="E1040" s="497">
        <f t="shared" si="136"/>
        <v>5</v>
      </c>
      <c r="F1040" s="516">
        <v>17</v>
      </c>
      <c r="G1040" s="503"/>
      <c r="H1040" s="497">
        <f t="shared" ca="1" si="137"/>
        <v>41</v>
      </c>
      <c r="I1040" s="500"/>
      <c r="J1040" s="512"/>
      <c r="K1040" s="512"/>
      <c r="L1040" s="503"/>
      <c r="M1040" s="515" t="str">
        <f ca="1">IFERROR(IF(COUNTIF($B$937:$B1039,"&lt;0")&lt;&gt;1,OFFSET($C1038,-COUNTIF($B$937:$B1039,"&lt;0")+3,0),""),"")</f>
        <v/>
      </c>
      <c r="N1040" s="515">
        <f ca="1">IFERROR(IF(COUNTA($D$937:D1039)=1,0,OFFSET($F1038,-COUNTA($D$937:D1039)+3,0)),"")</f>
        <v>1</v>
      </c>
      <c r="O1040" s="497"/>
      <c r="P1040" s="497">
        <f t="shared" si="138"/>
        <v>101</v>
      </c>
      <c r="Q1040" s="497"/>
      <c r="R1040" s="497"/>
      <c r="S1040" s="497"/>
      <c r="T1040" s="503"/>
    </row>
    <row r="1041" spans="1:20" x14ac:dyDescent="0.35">
      <c r="A1041" s="497" t="b">
        <v>0</v>
      </c>
      <c r="B1041" s="497">
        <f t="shared" si="135"/>
        <v>-258</v>
      </c>
      <c r="C1041" s="518" t="s">
        <v>9653</v>
      </c>
      <c r="D1041" s="497" t="s">
        <v>5586</v>
      </c>
      <c r="E1041" s="497">
        <f t="shared" si="136"/>
        <v>6</v>
      </c>
      <c r="F1041" s="516">
        <v>17</v>
      </c>
      <c r="G1041" s="503"/>
      <c r="H1041" s="497">
        <f t="shared" ca="1" si="137"/>
        <v>41</v>
      </c>
      <c r="I1041" s="500"/>
      <c r="J1041" s="512"/>
      <c r="K1041" s="512"/>
      <c r="L1041" s="503"/>
      <c r="M1041" s="515" t="str">
        <f ca="1">IFERROR(IF(COUNTIF($B$937:$B1040,"&lt;0")&lt;&gt;1,OFFSET($C1039,-COUNTIF($B$937:$B1040,"&lt;0")+3,0),""),"")</f>
        <v/>
      </c>
      <c r="N1041" s="515">
        <f ca="1">IFERROR(IF(COUNTA($D$937:D1040)=1,0,OFFSET($F1039,-COUNTA($D$937:D1040)+3,0)),"")</f>
        <v>1</v>
      </c>
      <c r="O1041" s="497"/>
      <c r="P1041" s="497">
        <f t="shared" si="138"/>
        <v>102</v>
      </c>
      <c r="Q1041" s="497"/>
      <c r="R1041" s="497"/>
      <c r="S1041" s="497"/>
      <c r="T1041" s="503"/>
    </row>
    <row r="1042" spans="1:20" x14ac:dyDescent="0.35">
      <c r="A1042" s="497" t="b">
        <v>0</v>
      </c>
      <c r="B1042" s="497">
        <f t="shared" si="135"/>
        <v>-257</v>
      </c>
      <c r="C1042" s="518" t="s">
        <v>9654</v>
      </c>
      <c r="D1042" s="497" t="s">
        <v>6858</v>
      </c>
      <c r="E1042" s="497">
        <f t="shared" si="136"/>
        <v>1</v>
      </c>
      <c r="F1042" s="516">
        <v>18</v>
      </c>
      <c r="G1042" s="503"/>
      <c r="H1042" s="497">
        <f t="shared" ca="1" si="137"/>
        <v>43</v>
      </c>
      <c r="I1042" s="500"/>
      <c r="J1042" s="512"/>
      <c r="K1042" s="512"/>
      <c r="L1042" s="503"/>
      <c r="M1042" s="515" t="str">
        <f ca="1">IFERROR(IF(COUNTIF($B$937:$B1041,"&lt;0")&lt;&gt;1,OFFSET($C1040,-COUNTIF($B$937:$B1041,"&lt;0")+3,0),""),"")</f>
        <v/>
      </c>
      <c r="N1042" s="515">
        <f ca="1">IFERROR(IF(COUNTA($D$937:D1041)=1,0,OFFSET($F1040,-COUNTA($D$937:D1041)+3,0)),"")</f>
        <v>1</v>
      </c>
      <c r="O1042" s="497"/>
      <c r="P1042" s="497">
        <f t="shared" si="138"/>
        <v>103</v>
      </c>
      <c r="Q1042" s="497"/>
      <c r="R1042" s="497"/>
      <c r="S1042" s="497"/>
      <c r="T1042" s="503"/>
    </row>
    <row r="1043" spans="1:20" x14ac:dyDescent="0.35">
      <c r="A1043" s="497" t="b">
        <v>0</v>
      </c>
      <c r="B1043" s="497">
        <f t="shared" si="135"/>
        <v>-256</v>
      </c>
      <c r="C1043" s="518" t="s">
        <v>9655</v>
      </c>
      <c r="D1043" s="497" t="s">
        <v>6858</v>
      </c>
      <c r="E1043" s="497">
        <f t="shared" si="136"/>
        <v>2</v>
      </c>
      <c r="F1043" s="516">
        <v>18</v>
      </c>
      <c r="G1043" s="503"/>
      <c r="H1043" s="497">
        <f t="shared" ca="1" si="137"/>
        <v>43</v>
      </c>
      <c r="I1043" s="500"/>
      <c r="J1043" s="512"/>
      <c r="K1043" s="512"/>
      <c r="L1043" s="503"/>
      <c r="M1043" s="515" t="str">
        <f ca="1">IFERROR(IF(COUNTIF($B$937:$B1042,"&lt;0")&lt;&gt;1,OFFSET($C1041,-COUNTIF($B$937:$B1042,"&lt;0")+3,0),""),"")</f>
        <v/>
      </c>
      <c r="N1043" s="515">
        <f ca="1">IFERROR(IF(COUNTA($D$937:D1042)=1,0,OFFSET($F1041,-COUNTA($D$937:D1042)+3,0)),"")</f>
        <v>1</v>
      </c>
      <c r="O1043" s="497"/>
      <c r="P1043" s="497">
        <f t="shared" si="138"/>
        <v>104</v>
      </c>
      <c r="Q1043" s="497"/>
      <c r="R1043" s="497"/>
      <c r="S1043" s="497"/>
      <c r="T1043" s="503"/>
    </row>
    <row r="1044" spans="1:20" x14ac:dyDescent="0.35">
      <c r="A1044" s="497" t="b">
        <v>0</v>
      </c>
      <c r="B1044" s="497">
        <f t="shared" si="135"/>
        <v>-255</v>
      </c>
      <c r="C1044" s="518" t="s">
        <v>9656</v>
      </c>
      <c r="D1044" s="497" t="s">
        <v>6858</v>
      </c>
      <c r="E1044" s="497">
        <f t="shared" si="136"/>
        <v>3</v>
      </c>
      <c r="F1044" s="516">
        <v>18</v>
      </c>
      <c r="G1044" s="503"/>
      <c r="H1044" s="497">
        <f t="shared" ca="1" si="137"/>
        <v>43</v>
      </c>
      <c r="I1044" s="500"/>
      <c r="J1044" s="512"/>
      <c r="K1044" s="512"/>
      <c r="L1044" s="503"/>
      <c r="M1044" s="515" t="str">
        <f ca="1">IFERROR(IF(COUNTIF($B$937:$B1043,"&lt;0")&lt;&gt;1,OFFSET($C1042,-COUNTIF($B$937:$B1043,"&lt;0")+3,0),""),"")</f>
        <v/>
      </c>
      <c r="N1044" s="515">
        <f ca="1">IFERROR(IF(COUNTA($D$937:D1043)=1,0,OFFSET($F1042,-COUNTA($D$937:D1043)+3,0)),"")</f>
        <v>1</v>
      </c>
      <c r="O1044" s="497"/>
      <c r="P1044" s="497">
        <f t="shared" si="138"/>
        <v>105</v>
      </c>
      <c r="Q1044" s="497"/>
      <c r="R1044" s="497"/>
      <c r="S1044" s="497"/>
      <c r="T1044" s="503"/>
    </row>
    <row r="1045" spans="1:20" x14ac:dyDescent="0.35">
      <c r="A1045" s="497" t="b">
        <v>0</v>
      </c>
      <c r="B1045" s="497">
        <f t="shared" si="135"/>
        <v>-254</v>
      </c>
      <c r="C1045" s="518" t="s">
        <v>9657</v>
      </c>
      <c r="D1045" s="497" t="s">
        <v>6858</v>
      </c>
      <c r="E1045" s="497">
        <f t="shared" si="136"/>
        <v>4</v>
      </c>
      <c r="F1045" s="516">
        <v>18</v>
      </c>
      <c r="G1045" s="503"/>
      <c r="H1045" s="497">
        <f t="shared" ca="1" si="137"/>
        <v>43</v>
      </c>
      <c r="I1045" s="500"/>
      <c r="J1045" s="512"/>
      <c r="K1045" s="512"/>
      <c r="L1045" s="503"/>
      <c r="M1045" s="515" t="str">
        <f ca="1">IFERROR(IF(COUNTIF($B$937:$B1044,"&lt;0")&lt;&gt;1,OFFSET($C1043,-COUNTIF($B$937:$B1044,"&lt;0")+3,0),""),"")</f>
        <v/>
      </c>
      <c r="N1045" s="515">
        <f ca="1">IFERROR(IF(COUNTA($D$937:D1044)=1,0,OFFSET($F1043,-COUNTA($D$937:D1044)+3,0)),"")</f>
        <v>1</v>
      </c>
      <c r="O1045" s="497"/>
      <c r="P1045" s="497">
        <f t="shared" si="138"/>
        <v>106</v>
      </c>
      <c r="Q1045" s="497"/>
      <c r="R1045" s="497"/>
      <c r="S1045" s="497"/>
      <c r="T1045" s="503"/>
    </row>
    <row r="1046" spans="1:20" x14ac:dyDescent="0.35">
      <c r="A1046" s="497" t="b">
        <v>0</v>
      </c>
      <c r="B1046" s="497">
        <f t="shared" si="135"/>
        <v>-253</v>
      </c>
      <c r="C1046" s="518" t="s">
        <v>9658</v>
      </c>
      <c r="D1046" s="497" t="s">
        <v>6858</v>
      </c>
      <c r="E1046" s="497">
        <f t="shared" si="136"/>
        <v>5</v>
      </c>
      <c r="F1046" s="516">
        <v>18</v>
      </c>
      <c r="G1046" s="503"/>
      <c r="H1046" s="497">
        <f t="shared" ca="1" si="137"/>
        <v>43</v>
      </c>
      <c r="I1046" s="500"/>
      <c r="J1046" s="512"/>
      <c r="K1046" s="512"/>
      <c r="L1046" s="503"/>
      <c r="M1046" s="515" t="str">
        <f ca="1">IFERROR(IF(COUNTIF($B$937:$B1045,"&lt;0")&lt;&gt;1,OFFSET($C1044,-COUNTIF($B$937:$B1045,"&lt;0")+3,0),""),"")</f>
        <v/>
      </c>
      <c r="N1046" s="515">
        <f ca="1">IFERROR(IF(COUNTA($D$937:D1045)=1,0,OFFSET($F1044,-COUNTA($D$937:D1045)+3,0)),"")</f>
        <v>1</v>
      </c>
      <c r="O1046" s="497"/>
      <c r="P1046" s="497">
        <f t="shared" si="138"/>
        <v>107</v>
      </c>
      <c r="Q1046" s="497"/>
      <c r="R1046" s="497"/>
      <c r="S1046" s="497"/>
      <c r="T1046" s="503"/>
    </row>
    <row r="1047" spans="1:20" x14ac:dyDescent="0.35">
      <c r="A1047" s="497" t="b">
        <v>0</v>
      </c>
      <c r="B1047" s="497">
        <f t="shared" si="135"/>
        <v>-252</v>
      </c>
      <c r="C1047" s="518" t="s">
        <v>9659</v>
      </c>
      <c r="D1047" s="497" t="s">
        <v>6858</v>
      </c>
      <c r="E1047" s="497">
        <f t="shared" si="136"/>
        <v>6</v>
      </c>
      <c r="F1047" s="516">
        <v>18</v>
      </c>
      <c r="G1047" s="503"/>
      <c r="H1047" s="497">
        <f t="shared" ca="1" si="137"/>
        <v>43</v>
      </c>
      <c r="I1047" s="500"/>
      <c r="J1047" s="512"/>
      <c r="K1047" s="512"/>
      <c r="L1047" s="503"/>
      <c r="M1047" s="515" t="str">
        <f ca="1">IFERROR(IF(COUNTIF($B$937:$B1046,"&lt;0")&lt;&gt;1,OFFSET($C1045,-COUNTIF($B$937:$B1046,"&lt;0")+3,0),""),"")</f>
        <v/>
      </c>
      <c r="N1047" s="515">
        <f ca="1">IFERROR(IF(COUNTA($D$937:D1046)=1,0,OFFSET($F1045,-COUNTA($D$937:D1046)+3,0)),"")</f>
        <v>1</v>
      </c>
      <c r="O1047" s="497"/>
      <c r="P1047" s="497">
        <f t="shared" si="138"/>
        <v>108</v>
      </c>
      <c r="Q1047" s="497"/>
      <c r="R1047" s="497"/>
      <c r="S1047" s="497"/>
      <c r="T1047" s="503"/>
    </row>
    <row r="1048" spans="1:20" x14ac:dyDescent="0.35">
      <c r="A1048" s="497" t="b">
        <v>0</v>
      </c>
      <c r="B1048" s="497">
        <f t="shared" si="135"/>
        <v>-251</v>
      </c>
      <c r="C1048" s="518" t="s">
        <v>9660</v>
      </c>
      <c r="D1048" s="497" t="s">
        <v>5668</v>
      </c>
      <c r="E1048" s="497">
        <f t="shared" si="136"/>
        <v>1</v>
      </c>
      <c r="F1048" s="516">
        <v>19</v>
      </c>
      <c r="G1048" s="503"/>
      <c r="H1048" s="497">
        <f t="shared" ca="1" si="137"/>
        <v>45</v>
      </c>
      <c r="I1048" s="500"/>
      <c r="J1048" s="512"/>
      <c r="K1048" s="512"/>
      <c r="L1048" s="503"/>
      <c r="M1048" s="515" t="str">
        <f ca="1">IFERROR(IF(COUNTIF($B$937:$B1047,"&lt;0")&lt;&gt;1,OFFSET($C1046,-COUNTIF($B$937:$B1047,"&lt;0")+3,0),""),"")</f>
        <v/>
      </c>
      <c r="N1048" s="515">
        <f ca="1">IFERROR(IF(COUNTA($D$937:D1047)=1,0,OFFSET($F1046,-COUNTA($D$937:D1047)+3,0)),"")</f>
        <v>1</v>
      </c>
      <c r="O1048" s="497"/>
      <c r="P1048" s="497">
        <f t="shared" si="138"/>
        <v>109</v>
      </c>
      <c r="Q1048" s="497"/>
      <c r="R1048" s="497"/>
      <c r="S1048" s="497"/>
      <c r="T1048" s="503"/>
    </row>
    <row r="1049" spans="1:20" x14ac:dyDescent="0.35">
      <c r="A1049" s="497" t="b">
        <v>0</v>
      </c>
      <c r="B1049" s="497">
        <f t="shared" si="135"/>
        <v>-250</v>
      </c>
      <c r="C1049" s="518" t="s">
        <v>9661</v>
      </c>
      <c r="D1049" s="497" t="s">
        <v>5668</v>
      </c>
      <c r="E1049" s="497">
        <f t="shared" si="136"/>
        <v>2</v>
      </c>
      <c r="F1049" s="516">
        <v>19</v>
      </c>
      <c r="G1049" s="503"/>
      <c r="H1049" s="497">
        <f t="shared" ca="1" si="137"/>
        <v>45</v>
      </c>
      <c r="I1049" s="500"/>
      <c r="J1049" s="512"/>
      <c r="K1049" s="512"/>
      <c r="L1049" s="503"/>
      <c r="M1049" s="515" t="str">
        <f ca="1">IFERROR(IF(COUNTIF($B$937:$B1048,"&lt;0")&lt;&gt;1,OFFSET($C1047,-COUNTIF($B$937:$B1048,"&lt;0")+3,0),""),"")</f>
        <v/>
      </c>
      <c r="N1049" s="515">
        <f ca="1">IFERROR(IF(COUNTA($D$937:D1048)=1,0,OFFSET($F1047,-COUNTA($D$937:D1048)+3,0)),"")</f>
        <v>1</v>
      </c>
      <c r="O1049" s="497"/>
      <c r="P1049" s="497">
        <f t="shared" si="138"/>
        <v>110</v>
      </c>
      <c r="Q1049" s="497"/>
      <c r="R1049" s="497"/>
      <c r="S1049" s="497"/>
      <c r="T1049" s="503"/>
    </row>
    <row r="1050" spans="1:20" x14ac:dyDescent="0.35">
      <c r="A1050" s="497" t="b">
        <v>0</v>
      </c>
      <c r="B1050" s="497">
        <f t="shared" si="135"/>
        <v>-249</v>
      </c>
      <c r="C1050" s="518" t="s">
        <v>9662</v>
      </c>
      <c r="D1050" s="497" t="s">
        <v>5668</v>
      </c>
      <c r="E1050" s="497">
        <f t="shared" si="136"/>
        <v>3</v>
      </c>
      <c r="F1050" s="516">
        <v>19</v>
      </c>
      <c r="G1050" s="503"/>
      <c r="H1050" s="497">
        <f t="shared" ca="1" si="137"/>
        <v>45</v>
      </c>
      <c r="I1050" s="500"/>
      <c r="J1050" s="512"/>
      <c r="K1050" s="512"/>
      <c r="L1050" s="503"/>
      <c r="M1050" s="515" t="str">
        <f ca="1">IFERROR(IF(COUNTIF($B$937:$B1049,"&lt;0")&lt;&gt;1,OFFSET($C1048,-COUNTIF($B$937:$B1049,"&lt;0")+3,0),""),"")</f>
        <v/>
      </c>
      <c r="N1050" s="515">
        <f ca="1">IFERROR(IF(COUNTA($D$937:D1049)=1,0,OFFSET($F1048,-COUNTA($D$937:D1049)+3,0)),"")</f>
        <v>1</v>
      </c>
      <c r="O1050" s="497"/>
      <c r="P1050" s="497">
        <f t="shared" si="138"/>
        <v>111</v>
      </c>
      <c r="Q1050" s="497"/>
      <c r="R1050" s="497"/>
      <c r="S1050" s="497"/>
      <c r="T1050" s="503"/>
    </row>
    <row r="1051" spans="1:20" x14ac:dyDescent="0.35">
      <c r="A1051" s="497" t="b">
        <v>0</v>
      </c>
      <c r="B1051" s="497">
        <f t="shared" si="135"/>
        <v>-248</v>
      </c>
      <c r="C1051" s="518" t="s">
        <v>9663</v>
      </c>
      <c r="D1051" s="497" t="s">
        <v>5668</v>
      </c>
      <c r="E1051" s="497">
        <f t="shared" si="136"/>
        <v>4</v>
      </c>
      <c r="F1051" s="516">
        <v>19</v>
      </c>
      <c r="G1051" s="503"/>
      <c r="H1051" s="497">
        <f t="shared" ca="1" si="137"/>
        <v>45</v>
      </c>
      <c r="I1051" s="500"/>
      <c r="J1051" s="512"/>
      <c r="K1051" s="512"/>
      <c r="L1051" s="503"/>
      <c r="M1051" s="515" t="str">
        <f ca="1">IFERROR(IF(COUNTIF($B$937:$B1050,"&lt;0")&lt;&gt;1,OFFSET($C1049,-COUNTIF($B$937:$B1050,"&lt;0")+3,0),""),"")</f>
        <v/>
      </c>
      <c r="N1051" s="515">
        <f ca="1">IFERROR(IF(COUNTA($D$937:D1050)=1,0,OFFSET($F1049,-COUNTA($D$937:D1050)+3,0)),"")</f>
        <v>1</v>
      </c>
      <c r="O1051" s="497"/>
      <c r="P1051" s="497">
        <f t="shared" si="138"/>
        <v>112</v>
      </c>
      <c r="Q1051" s="497"/>
      <c r="R1051" s="497"/>
      <c r="S1051" s="497"/>
      <c r="T1051" s="503"/>
    </row>
    <row r="1052" spans="1:20" x14ac:dyDescent="0.35">
      <c r="A1052" s="497" t="b">
        <v>0</v>
      </c>
      <c r="B1052" s="497">
        <f t="shared" si="135"/>
        <v>-247</v>
      </c>
      <c r="C1052" s="518" t="s">
        <v>9664</v>
      </c>
      <c r="D1052" s="497" t="s">
        <v>5668</v>
      </c>
      <c r="E1052" s="497">
        <f t="shared" si="136"/>
        <v>5</v>
      </c>
      <c r="F1052" s="516">
        <v>19</v>
      </c>
      <c r="G1052" s="503"/>
      <c r="H1052" s="497">
        <f t="shared" ca="1" si="137"/>
        <v>45</v>
      </c>
      <c r="I1052" s="500"/>
      <c r="J1052" s="512"/>
      <c r="K1052" s="512"/>
      <c r="L1052" s="503"/>
      <c r="M1052" s="515" t="str">
        <f ca="1">IFERROR(IF(COUNTIF($B$937:$B1051,"&lt;0")&lt;&gt;1,OFFSET($C1050,-COUNTIF($B$937:$B1051,"&lt;0")+3,0),""),"")</f>
        <v/>
      </c>
      <c r="N1052" s="515">
        <f ca="1">IFERROR(IF(COUNTA($D$937:D1051)=1,0,OFFSET($F1050,-COUNTA($D$937:D1051)+3,0)),"")</f>
        <v>1</v>
      </c>
      <c r="O1052" s="497"/>
      <c r="P1052" s="497">
        <f t="shared" si="138"/>
        <v>113</v>
      </c>
      <c r="Q1052" s="497"/>
      <c r="R1052" s="497"/>
      <c r="S1052" s="497"/>
      <c r="T1052" s="503"/>
    </row>
    <row r="1053" spans="1:20" x14ac:dyDescent="0.35">
      <c r="A1053" s="497" t="b">
        <v>0</v>
      </c>
      <c r="B1053" s="497">
        <f t="shared" si="135"/>
        <v>-246</v>
      </c>
      <c r="C1053" s="518" t="s">
        <v>9665</v>
      </c>
      <c r="D1053" s="497" t="s">
        <v>5668</v>
      </c>
      <c r="E1053" s="497">
        <f t="shared" si="136"/>
        <v>6</v>
      </c>
      <c r="F1053" s="516">
        <v>19</v>
      </c>
      <c r="G1053" s="503"/>
      <c r="H1053" s="497">
        <f t="shared" ca="1" si="137"/>
        <v>45</v>
      </c>
      <c r="I1053" s="500"/>
      <c r="J1053" s="512"/>
      <c r="K1053" s="512"/>
      <c r="L1053" s="503"/>
      <c r="M1053" s="515" t="str">
        <f ca="1">IFERROR(IF(COUNTIF($B$937:$B1052,"&lt;0")&lt;&gt;1,OFFSET($C1051,-COUNTIF($B$937:$B1052,"&lt;0")+3,0),""),"")</f>
        <v/>
      </c>
      <c r="N1053" s="515">
        <f ca="1">IFERROR(IF(COUNTA($D$937:D1052)=1,0,OFFSET($F1051,-COUNTA($D$937:D1052)+3,0)),"")</f>
        <v>1</v>
      </c>
      <c r="O1053" s="497"/>
      <c r="P1053" s="497">
        <f t="shared" si="138"/>
        <v>114</v>
      </c>
      <c r="Q1053" s="497"/>
      <c r="R1053" s="497"/>
      <c r="S1053" s="497"/>
      <c r="T1053" s="503"/>
    </row>
    <row r="1054" spans="1:20" x14ac:dyDescent="0.35">
      <c r="A1054" s="497" t="b">
        <v>0</v>
      </c>
      <c r="B1054" s="497">
        <f t="shared" si="135"/>
        <v>-245</v>
      </c>
      <c r="C1054" s="518" t="s">
        <v>9666</v>
      </c>
      <c r="D1054" s="497" t="s">
        <v>6899</v>
      </c>
      <c r="E1054" s="497">
        <f t="shared" si="136"/>
        <v>1</v>
      </c>
      <c r="F1054" s="516">
        <v>20</v>
      </c>
      <c r="G1054" s="503"/>
      <c r="H1054" s="497">
        <f t="shared" ca="1" si="137"/>
        <v>47</v>
      </c>
      <c r="I1054" s="500"/>
      <c r="J1054" s="512"/>
      <c r="K1054" s="512"/>
      <c r="L1054" s="503"/>
      <c r="M1054" s="515" t="str">
        <f ca="1">IFERROR(IF(COUNTIF($B$937:$B1053,"&lt;0")&lt;&gt;1,OFFSET($C1052,-COUNTIF($B$937:$B1053,"&lt;0")+3,0),""),"")</f>
        <v/>
      </c>
      <c r="N1054" s="515">
        <f ca="1">IFERROR(IF(COUNTA($D$937:D1053)=1,0,OFFSET($F1052,-COUNTA($D$937:D1053)+3,0)),"")</f>
        <v>1</v>
      </c>
      <c r="O1054" s="497"/>
      <c r="P1054" s="497">
        <f t="shared" si="138"/>
        <v>115</v>
      </c>
      <c r="Q1054" s="497"/>
      <c r="R1054" s="497"/>
      <c r="S1054" s="497"/>
      <c r="T1054" s="503"/>
    </row>
    <row r="1055" spans="1:20" x14ac:dyDescent="0.35">
      <c r="A1055" s="497" t="b">
        <v>0</v>
      </c>
      <c r="B1055" s="497">
        <f t="shared" si="135"/>
        <v>-244</v>
      </c>
      <c r="C1055" s="518" t="s">
        <v>9667</v>
      </c>
      <c r="D1055" s="497" t="s">
        <v>6899</v>
      </c>
      <c r="E1055" s="497">
        <f t="shared" si="136"/>
        <v>2</v>
      </c>
      <c r="F1055" s="516">
        <v>20</v>
      </c>
      <c r="G1055" s="503"/>
      <c r="H1055" s="497">
        <f t="shared" ca="1" si="137"/>
        <v>47</v>
      </c>
      <c r="I1055" s="500"/>
      <c r="J1055" s="512"/>
      <c r="K1055" s="512"/>
      <c r="L1055" s="503"/>
      <c r="M1055" s="515" t="str">
        <f ca="1">IFERROR(IF(COUNTIF($B$937:$B1054,"&lt;0")&lt;&gt;1,OFFSET($C1053,-COUNTIF($B$937:$B1054,"&lt;0")+3,0),""),"")</f>
        <v/>
      </c>
      <c r="N1055" s="515">
        <f ca="1">IFERROR(IF(COUNTA($D$937:D1054)=1,0,OFFSET($F1053,-COUNTA($D$937:D1054)+3,0)),"")</f>
        <v>1</v>
      </c>
      <c r="O1055" s="497"/>
      <c r="P1055" s="497">
        <f t="shared" si="138"/>
        <v>116</v>
      </c>
      <c r="Q1055" s="497"/>
      <c r="R1055" s="497"/>
      <c r="S1055" s="497"/>
      <c r="T1055" s="503"/>
    </row>
    <row r="1056" spans="1:20" x14ac:dyDescent="0.35">
      <c r="A1056" s="497" t="b">
        <v>0</v>
      </c>
      <c r="B1056" s="497">
        <f t="shared" si="135"/>
        <v>-243</v>
      </c>
      <c r="C1056" s="518" t="s">
        <v>9668</v>
      </c>
      <c r="D1056" s="497" t="s">
        <v>6899</v>
      </c>
      <c r="E1056" s="497">
        <f t="shared" si="136"/>
        <v>3</v>
      </c>
      <c r="F1056" s="516">
        <v>20</v>
      </c>
      <c r="G1056" s="503"/>
      <c r="H1056" s="497">
        <f t="shared" ca="1" si="137"/>
        <v>47</v>
      </c>
      <c r="I1056" s="500"/>
      <c r="J1056" s="512"/>
      <c r="K1056" s="512"/>
      <c r="L1056" s="503"/>
      <c r="M1056" s="515" t="str">
        <f ca="1">IFERROR(IF(COUNTIF($B$937:$B1055,"&lt;0")&lt;&gt;1,OFFSET($C1054,-COUNTIF($B$937:$B1055,"&lt;0")+3,0),""),"")</f>
        <v/>
      </c>
      <c r="N1056" s="515">
        <f ca="1">IFERROR(IF(COUNTA($D$937:D1055)=1,0,OFFSET($F1054,-COUNTA($D$937:D1055)+3,0)),"")</f>
        <v>1</v>
      </c>
      <c r="O1056" s="497"/>
      <c r="P1056" s="497">
        <f t="shared" si="138"/>
        <v>117</v>
      </c>
      <c r="Q1056" s="497"/>
      <c r="R1056" s="497"/>
      <c r="S1056" s="497"/>
      <c r="T1056" s="503"/>
    </row>
    <row r="1057" spans="1:20" x14ac:dyDescent="0.35">
      <c r="A1057" s="497" t="b">
        <v>0</v>
      </c>
      <c r="B1057" s="497">
        <f t="shared" si="135"/>
        <v>-242</v>
      </c>
      <c r="C1057" s="518" t="s">
        <v>9669</v>
      </c>
      <c r="D1057" s="497" t="s">
        <v>6899</v>
      </c>
      <c r="E1057" s="497">
        <f t="shared" si="136"/>
        <v>4</v>
      </c>
      <c r="F1057" s="516">
        <v>20</v>
      </c>
      <c r="G1057" s="503"/>
      <c r="H1057" s="497">
        <f t="shared" ca="1" si="137"/>
        <v>47</v>
      </c>
      <c r="I1057" s="500"/>
      <c r="J1057" s="512"/>
      <c r="K1057" s="512"/>
      <c r="L1057" s="503"/>
      <c r="M1057" s="515" t="str">
        <f ca="1">IFERROR(IF(COUNTIF($B$937:$B1056,"&lt;0")&lt;&gt;1,OFFSET($C1055,-COUNTIF($B$937:$B1056,"&lt;0")+3,0),""),"")</f>
        <v/>
      </c>
      <c r="N1057" s="515">
        <f ca="1">IFERROR(IF(COUNTA($D$937:D1056)=1,0,OFFSET($F1055,-COUNTA($D$937:D1056)+3,0)),"")</f>
        <v>1</v>
      </c>
      <c r="O1057" s="497"/>
      <c r="P1057" s="497">
        <f t="shared" si="138"/>
        <v>118</v>
      </c>
      <c r="Q1057" s="497"/>
      <c r="R1057" s="497"/>
      <c r="S1057" s="497"/>
      <c r="T1057" s="503"/>
    </row>
    <row r="1058" spans="1:20" x14ac:dyDescent="0.35">
      <c r="A1058" s="497" t="b">
        <v>0</v>
      </c>
      <c r="B1058" s="497">
        <f t="shared" si="135"/>
        <v>-241</v>
      </c>
      <c r="C1058" s="518" t="s">
        <v>9670</v>
      </c>
      <c r="D1058" s="497" t="s">
        <v>6899</v>
      </c>
      <c r="E1058" s="497">
        <f t="shared" si="136"/>
        <v>5</v>
      </c>
      <c r="F1058" s="516">
        <v>20</v>
      </c>
      <c r="G1058" s="503"/>
      <c r="H1058" s="497">
        <f t="shared" ca="1" si="137"/>
        <v>47</v>
      </c>
      <c r="I1058" s="500"/>
      <c r="J1058" s="512"/>
      <c r="K1058" s="512"/>
      <c r="L1058" s="503"/>
      <c r="M1058" s="515" t="str">
        <f ca="1">IFERROR(IF(COUNTIF($B$937:$B1057,"&lt;0")&lt;&gt;1,OFFSET($C1056,-COUNTIF($B$937:$B1057,"&lt;0")+3,0),""),"")</f>
        <v/>
      </c>
      <c r="N1058" s="515">
        <f ca="1">IFERROR(IF(COUNTA($D$937:D1057)=1,0,OFFSET($F1056,-COUNTA($D$937:D1057)+3,0)),"")</f>
        <v>1</v>
      </c>
      <c r="O1058" s="497"/>
      <c r="P1058" s="497">
        <f t="shared" si="138"/>
        <v>119</v>
      </c>
      <c r="Q1058" s="497"/>
      <c r="R1058" s="497"/>
      <c r="S1058" s="497"/>
      <c r="T1058" s="503"/>
    </row>
    <row r="1059" spans="1:20" x14ac:dyDescent="0.35">
      <c r="A1059" s="497" t="b">
        <v>0</v>
      </c>
      <c r="B1059" s="497">
        <f t="shared" si="135"/>
        <v>-240</v>
      </c>
      <c r="C1059" s="518" t="s">
        <v>9671</v>
      </c>
      <c r="D1059" s="497" t="s">
        <v>6899</v>
      </c>
      <c r="E1059" s="497">
        <f t="shared" si="136"/>
        <v>6</v>
      </c>
      <c r="F1059" s="516">
        <v>20</v>
      </c>
      <c r="G1059" s="503"/>
      <c r="H1059" s="497">
        <f t="shared" ca="1" si="137"/>
        <v>47</v>
      </c>
      <c r="I1059" s="500"/>
      <c r="J1059" s="512"/>
      <c r="K1059" s="512"/>
      <c r="L1059" s="503"/>
      <c r="M1059" s="515" t="str">
        <f ca="1">IFERROR(IF(COUNTIF($B$937:$B1058,"&lt;0")&lt;&gt;1,OFFSET($C1057,-COUNTIF($B$937:$B1058,"&lt;0")+3,0),""),"")</f>
        <v/>
      </c>
      <c r="N1059" s="515">
        <f ca="1">IFERROR(IF(COUNTA($D$937:D1058)=1,0,OFFSET($F1057,-COUNTA($D$937:D1058)+3,0)),"")</f>
        <v>1</v>
      </c>
      <c r="O1059" s="497"/>
      <c r="P1059" s="497">
        <f t="shared" si="138"/>
        <v>120</v>
      </c>
      <c r="Q1059" s="497"/>
      <c r="R1059" s="497"/>
      <c r="S1059" s="497"/>
      <c r="T1059" s="503"/>
    </row>
    <row r="1060" spans="1:20" x14ac:dyDescent="0.35">
      <c r="A1060" s="497" t="b">
        <v>0</v>
      </c>
      <c r="B1060" s="497">
        <f t="shared" si="135"/>
        <v>-239</v>
      </c>
      <c r="C1060" s="518" t="s">
        <v>9672</v>
      </c>
      <c r="D1060" s="497" t="s">
        <v>5709</v>
      </c>
      <c r="E1060" s="497">
        <f t="shared" si="136"/>
        <v>1</v>
      </c>
      <c r="F1060" s="516">
        <v>21</v>
      </c>
      <c r="G1060" s="503"/>
      <c r="H1060" s="497">
        <f t="shared" ca="1" si="137"/>
        <v>49</v>
      </c>
      <c r="I1060" s="500"/>
      <c r="J1060" s="512"/>
      <c r="K1060" s="512"/>
      <c r="L1060" s="503"/>
      <c r="M1060" s="515" t="str">
        <f ca="1">IFERROR(IF(COUNTIF($B$937:$B1059,"&lt;0")&lt;&gt;1,OFFSET($C1058,-COUNTIF($B$937:$B1059,"&lt;0")+3,0),""),"")</f>
        <v/>
      </c>
      <c r="N1060" s="515">
        <f ca="1">IFERROR(IF(COUNTA($D$937:D1059)=1,0,OFFSET($F1058,-COUNTA($D$937:D1059)+3,0)),"")</f>
        <v>1</v>
      </c>
      <c r="O1060" s="497"/>
      <c r="P1060" s="497">
        <f t="shared" si="138"/>
        <v>121</v>
      </c>
      <c r="Q1060" s="497"/>
      <c r="R1060" s="497"/>
      <c r="S1060" s="497"/>
      <c r="T1060" s="503"/>
    </row>
    <row r="1061" spans="1:20" x14ac:dyDescent="0.35">
      <c r="A1061" s="497" t="b">
        <v>0</v>
      </c>
      <c r="B1061" s="497">
        <f t="shared" si="135"/>
        <v>-238</v>
      </c>
      <c r="C1061" s="518" t="s">
        <v>9673</v>
      </c>
      <c r="D1061" s="497" t="s">
        <v>5709</v>
      </c>
      <c r="E1061" s="497">
        <f t="shared" si="136"/>
        <v>2</v>
      </c>
      <c r="F1061" s="516">
        <v>21</v>
      </c>
      <c r="G1061" s="503"/>
      <c r="H1061" s="497">
        <f t="shared" ca="1" si="137"/>
        <v>49</v>
      </c>
      <c r="I1061" s="500"/>
      <c r="J1061" s="512"/>
      <c r="K1061" s="512"/>
      <c r="L1061" s="503"/>
      <c r="M1061" s="515" t="str">
        <f ca="1">IFERROR(IF(COUNTIF($B$937:$B1060,"&lt;0")&lt;&gt;1,OFFSET($C1059,-COUNTIF($B$937:$B1060,"&lt;0")+3,0),""),"")</f>
        <v/>
      </c>
      <c r="N1061" s="515">
        <f ca="1">IFERROR(IF(COUNTA($D$937:D1060)=1,0,OFFSET($F1059,-COUNTA($D$937:D1060)+3,0)),"")</f>
        <v>1</v>
      </c>
      <c r="O1061" s="497"/>
      <c r="P1061" s="497">
        <f t="shared" si="138"/>
        <v>122</v>
      </c>
      <c r="Q1061" s="497"/>
      <c r="R1061" s="497"/>
      <c r="S1061" s="497"/>
      <c r="T1061" s="503"/>
    </row>
    <row r="1062" spans="1:20" x14ac:dyDescent="0.35">
      <c r="A1062" s="497" t="b">
        <v>0</v>
      </c>
      <c r="B1062" s="497">
        <f t="shared" si="135"/>
        <v>-237</v>
      </c>
      <c r="C1062" s="518" t="s">
        <v>9674</v>
      </c>
      <c r="D1062" s="497" t="s">
        <v>5709</v>
      </c>
      <c r="E1062" s="497">
        <f t="shared" si="136"/>
        <v>3</v>
      </c>
      <c r="F1062" s="516">
        <v>21</v>
      </c>
      <c r="G1062" s="503"/>
      <c r="H1062" s="497">
        <f t="shared" ca="1" si="137"/>
        <v>49</v>
      </c>
      <c r="I1062" s="500"/>
      <c r="J1062" s="512"/>
      <c r="K1062" s="512"/>
      <c r="L1062" s="503"/>
      <c r="M1062" s="515" t="str">
        <f ca="1">IFERROR(IF(COUNTIF($B$937:$B1061,"&lt;0")&lt;&gt;1,OFFSET($C1060,-COUNTIF($B$937:$B1061,"&lt;0")+3,0),""),"")</f>
        <v/>
      </c>
      <c r="N1062" s="515">
        <f ca="1">IFERROR(IF(COUNTA($D$937:D1061)=1,0,OFFSET($F1060,-COUNTA($D$937:D1061)+3,0)),"")</f>
        <v>1</v>
      </c>
      <c r="O1062" s="497"/>
      <c r="P1062" s="497">
        <f t="shared" si="138"/>
        <v>123</v>
      </c>
      <c r="Q1062" s="497"/>
      <c r="R1062" s="497"/>
      <c r="S1062" s="497"/>
      <c r="T1062" s="503"/>
    </row>
    <row r="1063" spans="1:20" x14ac:dyDescent="0.35">
      <c r="A1063" s="497" t="b">
        <v>0</v>
      </c>
      <c r="B1063" s="497">
        <f t="shared" si="135"/>
        <v>-236</v>
      </c>
      <c r="C1063" s="518" t="s">
        <v>9675</v>
      </c>
      <c r="D1063" s="497" t="s">
        <v>5709</v>
      </c>
      <c r="E1063" s="497">
        <f t="shared" si="136"/>
        <v>4</v>
      </c>
      <c r="F1063" s="516">
        <v>21</v>
      </c>
      <c r="G1063" s="503"/>
      <c r="H1063" s="497">
        <f t="shared" ca="1" si="137"/>
        <v>49</v>
      </c>
      <c r="I1063" s="500"/>
      <c r="J1063" s="512"/>
      <c r="K1063" s="512"/>
      <c r="L1063" s="503"/>
      <c r="M1063" s="515" t="str">
        <f ca="1">IFERROR(IF(COUNTIF($B$937:$B1062,"&lt;0")&lt;&gt;1,OFFSET($C1061,-COUNTIF($B$937:$B1062,"&lt;0")+3,0),""),"")</f>
        <v/>
      </c>
      <c r="N1063" s="515">
        <f ca="1">IFERROR(IF(COUNTA($D$937:D1062)=1,0,OFFSET($F1061,-COUNTA($D$937:D1062)+3,0)),"")</f>
        <v>1</v>
      </c>
      <c r="O1063" s="497"/>
      <c r="P1063" s="497">
        <f t="shared" si="138"/>
        <v>124</v>
      </c>
      <c r="Q1063" s="497"/>
      <c r="R1063" s="497"/>
      <c r="S1063" s="497"/>
      <c r="T1063" s="503"/>
    </row>
    <row r="1064" spans="1:20" x14ac:dyDescent="0.35">
      <c r="A1064" s="497" t="b">
        <v>0</v>
      </c>
      <c r="B1064" s="497">
        <f t="shared" si="135"/>
        <v>-235</v>
      </c>
      <c r="C1064" s="518" t="s">
        <v>9676</v>
      </c>
      <c r="D1064" s="497" t="s">
        <v>5709</v>
      </c>
      <c r="E1064" s="497">
        <f t="shared" si="136"/>
        <v>5</v>
      </c>
      <c r="F1064" s="516">
        <v>21</v>
      </c>
      <c r="G1064" s="503"/>
      <c r="H1064" s="497">
        <f t="shared" ca="1" si="137"/>
        <v>49</v>
      </c>
      <c r="I1064" s="500"/>
      <c r="J1064" s="512"/>
      <c r="K1064" s="512"/>
      <c r="L1064" s="503"/>
      <c r="M1064" s="515" t="str">
        <f ca="1">IFERROR(IF(COUNTIF($B$937:$B1063,"&lt;0")&lt;&gt;1,OFFSET($C1062,-COUNTIF($B$937:$B1063,"&lt;0")+3,0),""),"")</f>
        <v/>
      </c>
      <c r="N1064" s="515">
        <f ca="1">IFERROR(IF(COUNTA($D$937:D1063)=1,0,OFFSET($F1062,-COUNTA($D$937:D1063)+3,0)),"")</f>
        <v>1</v>
      </c>
      <c r="O1064" s="497"/>
      <c r="P1064" s="497">
        <f t="shared" si="138"/>
        <v>125</v>
      </c>
      <c r="Q1064" s="497"/>
      <c r="R1064" s="497"/>
      <c r="S1064" s="497"/>
      <c r="T1064" s="503"/>
    </row>
    <row r="1065" spans="1:20" x14ac:dyDescent="0.35">
      <c r="A1065" s="497" t="b">
        <v>0</v>
      </c>
      <c r="B1065" s="497">
        <f t="shared" si="135"/>
        <v>-234</v>
      </c>
      <c r="C1065" s="518" t="s">
        <v>9677</v>
      </c>
      <c r="D1065" s="497" t="s">
        <v>5709</v>
      </c>
      <c r="E1065" s="497">
        <f t="shared" si="136"/>
        <v>6</v>
      </c>
      <c r="F1065" s="516">
        <v>21</v>
      </c>
      <c r="G1065" s="503"/>
      <c r="H1065" s="497">
        <f t="shared" ca="1" si="137"/>
        <v>49</v>
      </c>
      <c r="I1065" s="500"/>
      <c r="J1065" s="512"/>
      <c r="K1065" s="512"/>
      <c r="L1065" s="503"/>
      <c r="M1065" s="515" t="str">
        <f ca="1">IFERROR(IF(COUNTIF($B$937:$B1064,"&lt;0")&lt;&gt;1,OFFSET($C1063,-COUNTIF($B$937:$B1064,"&lt;0")+3,0),""),"")</f>
        <v/>
      </c>
      <c r="N1065" s="515">
        <f ca="1">IFERROR(IF(COUNTA($D$937:D1064)=1,0,OFFSET($F1063,-COUNTA($D$937:D1064)+3,0)),"")</f>
        <v>1</v>
      </c>
      <c r="O1065" s="497"/>
      <c r="P1065" s="497">
        <f t="shared" si="138"/>
        <v>126</v>
      </c>
      <c r="Q1065" s="497"/>
      <c r="R1065" s="497"/>
      <c r="S1065" s="497"/>
      <c r="T1065" s="503"/>
    </row>
    <row r="1066" spans="1:20" x14ac:dyDescent="0.35">
      <c r="A1066" s="497" t="b">
        <v>0</v>
      </c>
      <c r="B1066" s="497">
        <f t="shared" si="135"/>
        <v>-233</v>
      </c>
      <c r="C1066" s="518" t="s">
        <v>9678</v>
      </c>
      <c r="D1066" s="497" t="s">
        <v>6940</v>
      </c>
      <c r="E1066" s="497">
        <f t="shared" si="136"/>
        <v>1</v>
      </c>
      <c r="F1066" s="516">
        <v>22</v>
      </c>
      <c r="G1066" s="503"/>
      <c r="H1066" s="497">
        <f t="shared" ca="1" si="137"/>
        <v>51</v>
      </c>
      <c r="I1066" s="500"/>
      <c r="J1066" s="512"/>
      <c r="K1066" s="512"/>
      <c r="L1066" s="503"/>
      <c r="M1066" s="515" t="str">
        <f ca="1">IFERROR(IF(COUNTIF($B$937:$B1065,"&lt;0")&lt;&gt;1,OFFSET($C1064,-COUNTIF($B$937:$B1065,"&lt;0")+3,0),""),"")</f>
        <v/>
      </c>
      <c r="N1066" s="515">
        <f ca="1">IFERROR(IF(COUNTA($D$937:D1065)=1,0,OFFSET($F1064,-COUNTA($D$937:D1065)+3,0)),"")</f>
        <v>1</v>
      </c>
      <c r="O1066" s="497"/>
      <c r="P1066" s="497">
        <f t="shared" si="138"/>
        <v>127</v>
      </c>
      <c r="Q1066" s="497"/>
      <c r="R1066" s="497"/>
      <c r="S1066" s="497"/>
      <c r="T1066" s="503"/>
    </row>
    <row r="1067" spans="1:20" x14ac:dyDescent="0.35">
      <c r="A1067" s="497" t="b">
        <v>0</v>
      </c>
      <c r="B1067" s="497">
        <f t="shared" si="135"/>
        <v>-232</v>
      </c>
      <c r="C1067" s="518" t="s">
        <v>9679</v>
      </c>
      <c r="D1067" s="497" t="s">
        <v>6940</v>
      </c>
      <c r="E1067" s="497">
        <f t="shared" si="136"/>
        <v>2</v>
      </c>
      <c r="F1067" s="516">
        <v>22</v>
      </c>
      <c r="G1067" s="503"/>
      <c r="H1067" s="497">
        <f t="shared" ca="1" si="137"/>
        <v>51</v>
      </c>
      <c r="I1067" s="500"/>
      <c r="J1067" s="512"/>
      <c r="K1067" s="512"/>
      <c r="L1067" s="503"/>
      <c r="M1067" s="515" t="str">
        <f ca="1">IFERROR(IF(COUNTIF($B$937:$B1066,"&lt;0")&lt;&gt;1,OFFSET($C1065,-COUNTIF($B$937:$B1066,"&lt;0")+3,0),""),"")</f>
        <v/>
      </c>
      <c r="N1067" s="515">
        <f ca="1">IFERROR(IF(COUNTA($D$937:D1066)=1,0,OFFSET($F1065,-COUNTA($D$937:D1066)+3,0)),"")</f>
        <v>1</v>
      </c>
      <c r="O1067" s="497"/>
      <c r="P1067" s="497">
        <f t="shared" si="138"/>
        <v>128</v>
      </c>
      <c r="Q1067" s="497"/>
      <c r="R1067" s="497"/>
      <c r="S1067" s="497"/>
      <c r="T1067" s="503"/>
    </row>
    <row r="1068" spans="1:20" x14ac:dyDescent="0.35">
      <c r="A1068" s="497" t="b">
        <v>0</v>
      </c>
      <c r="B1068" s="497">
        <f t="shared" ref="B1068:B1131" si="139">B1067+1</f>
        <v>-231</v>
      </c>
      <c r="C1068" s="518" t="s">
        <v>9680</v>
      </c>
      <c r="D1068" s="497" t="s">
        <v>6940</v>
      </c>
      <c r="E1068" s="497">
        <f t="shared" ref="E1068:E1131" si="140">COUNTIF(F971:F1068,F1068)</f>
        <v>3</v>
      </c>
      <c r="F1068" s="516">
        <v>22</v>
      </c>
      <c r="G1068" s="503"/>
      <c r="H1068" s="497">
        <f t="shared" ref="H1068:H1131" ca="1" si="141">IF(F1068=1,9,IF(E1067=MAX(E1066:E1068),H1066+2,H1067))</f>
        <v>51</v>
      </c>
      <c r="I1068" s="500"/>
      <c r="J1068" s="512"/>
      <c r="K1068" s="512"/>
      <c r="L1068" s="503"/>
      <c r="M1068" s="515" t="str">
        <f ca="1">IFERROR(IF(COUNTIF($B$937:$B1067,"&lt;0")&lt;&gt;1,OFFSET($C1066,-COUNTIF($B$937:$B1067,"&lt;0")+3,0),""),"")</f>
        <v/>
      </c>
      <c r="N1068" s="515">
        <f ca="1">IFERROR(IF(COUNTA($D$937:D1067)=1,0,OFFSET($F1066,-COUNTA($D$937:D1067)+3,0)),"")</f>
        <v>1</v>
      </c>
      <c r="O1068" s="497"/>
      <c r="P1068" s="497">
        <f t="shared" ref="P1068:P1131" si="142">IF(NOT(_xlfn.ISFORMULA(I1068)),P1067+1,0)</f>
        <v>129</v>
      </c>
      <c r="Q1068" s="497"/>
      <c r="R1068" s="497"/>
      <c r="S1068" s="497"/>
      <c r="T1068" s="503"/>
    </row>
    <row r="1069" spans="1:20" x14ac:dyDescent="0.35">
      <c r="A1069" s="497" t="b">
        <v>0</v>
      </c>
      <c r="B1069" s="497">
        <f t="shared" si="139"/>
        <v>-230</v>
      </c>
      <c r="C1069" s="518" t="s">
        <v>9681</v>
      </c>
      <c r="D1069" s="497" t="s">
        <v>6940</v>
      </c>
      <c r="E1069" s="497">
        <f t="shared" si="140"/>
        <v>4</v>
      </c>
      <c r="F1069" s="516">
        <v>22</v>
      </c>
      <c r="G1069" s="503"/>
      <c r="H1069" s="497">
        <f t="shared" ca="1" si="141"/>
        <v>51</v>
      </c>
      <c r="I1069" s="500"/>
      <c r="J1069" s="512"/>
      <c r="K1069" s="512"/>
      <c r="L1069" s="503"/>
      <c r="M1069" s="515" t="str">
        <f ca="1">IFERROR(IF(COUNTIF($B$937:$B1068,"&lt;0")&lt;&gt;1,OFFSET($C1067,-COUNTIF($B$937:$B1068,"&lt;0")+3,0),""),"")</f>
        <v/>
      </c>
      <c r="N1069" s="515">
        <f ca="1">IFERROR(IF(COUNTA($D$937:D1068)=1,0,OFFSET($F1067,-COUNTA($D$937:D1068)+3,0)),"")</f>
        <v>1</v>
      </c>
      <c r="O1069" s="497"/>
      <c r="P1069" s="497">
        <f t="shared" si="142"/>
        <v>130</v>
      </c>
      <c r="Q1069" s="497"/>
      <c r="R1069" s="497"/>
      <c r="S1069" s="497"/>
      <c r="T1069" s="503"/>
    </row>
    <row r="1070" spans="1:20" x14ac:dyDescent="0.35">
      <c r="A1070" s="497" t="b">
        <v>0</v>
      </c>
      <c r="B1070" s="497">
        <f t="shared" si="139"/>
        <v>-229</v>
      </c>
      <c r="C1070" s="518" t="s">
        <v>9682</v>
      </c>
      <c r="D1070" s="497" t="s">
        <v>6940</v>
      </c>
      <c r="E1070" s="497">
        <f t="shared" si="140"/>
        <v>5</v>
      </c>
      <c r="F1070" s="516">
        <v>22</v>
      </c>
      <c r="G1070" s="503"/>
      <c r="H1070" s="497">
        <f t="shared" ca="1" si="141"/>
        <v>51</v>
      </c>
      <c r="I1070" s="500"/>
      <c r="J1070" s="512"/>
      <c r="K1070" s="512"/>
      <c r="L1070" s="503"/>
      <c r="M1070" s="515" t="str">
        <f ca="1">IFERROR(IF(COUNTIF($B$937:$B1069,"&lt;0")&lt;&gt;1,OFFSET($C1068,-COUNTIF($B$937:$B1069,"&lt;0")+3,0),""),"")</f>
        <v/>
      </c>
      <c r="N1070" s="515">
        <f ca="1">IFERROR(IF(COUNTA($D$937:D1069)=1,0,OFFSET($F1068,-COUNTA($D$937:D1069)+3,0)),"")</f>
        <v>1</v>
      </c>
      <c r="O1070" s="497"/>
      <c r="P1070" s="497">
        <f t="shared" si="142"/>
        <v>131</v>
      </c>
      <c r="Q1070" s="497"/>
      <c r="R1070" s="497"/>
      <c r="S1070" s="497"/>
      <c r="T1070" s="503"/>
    </row>
    <row r="1071" spans="1:20" x14ac:dyDescent="0.35">
      <c r="A1071" s="497" t="b">
        <v>0</v>
      </c>
      <c r="B1071" s="497">
        <f t="shared" si="139"/>
        <v>-228</v>
      </c>
      <c r="C1071" s="518" t="s">
        <v>9683</v>
      </c>
      <c r="D1071" s="497" t="s">
        <v>6940</v>
      </c>
      <c r="E1071" s="497">
        <f t="shared" si="140"/>
        <v>6</v>
      </c>
      <c r="F1071" s="516">
        <v>22</v>
      </c>
      <c r="G1071" s="503"/>
      <c r="H1071" s="497">
        <f t="shared" ca="1" si="141"/>
        <v>51</v>
      </c>
      <c r="I1071" s="500"/>
      <c r="J1071" s="512"/>
      <c r="K1071" s="512"/>
      <c r="L1071" s="503"/>
      <c r="M1071" s="515" t="str">
        <f ca="1">IFERROR(IF(COUNTIF($B$937:$B1070,"&lt;0")&lt;&gt;1,OFFSET($C1069,-COUNTIF($B$937:$B1070,"&lt;0")+3,0),""),"")</f>
        <v/>
      </c>
      <c r="N1071" s="515">
        <f ca="1">IFERROR(IF(COUNTA($D$937:D1070)=1,0,OFFSET($F1069,-COUNTA($D$937:D1070)+3,0)),"")</f>
        <v>1</v>
      </c>
      <c r="O1071" s="497"/>
      <c r="P1071" s="497">
        <f t="shared" si="142"/>
        <v>132</v>
      </c>
      <c r="Q1071" s="497"/>
      <c r="R1071" s="497"/>
      <c r="S1071" s="497"/>
      <c r="T1071" s="503"/>
    </row>
    <row r="1072" spans="1:20" x14ac:dyDescent="0.35">
      <c r="A1072" s="497" t="b">
        <v>0</v>
      </c>
      <c r="B1072" s="497">
        <f t="shared" si="139"/>
        <v>-227</v>
      </c>
      <c r="C1072" s="518" t="s">
        <v>9684</v>
      </c>
      <c r="D1072" s="497" t="s">
        <v>5750</v>
      </c>
      <c r="E1072" s="497">
        <f t="shared" si="140"/>
        <v>1</v>
      </c>
      <c r="F1072" s="516">
        <v>23</v>
      </c>
      <c r="G1072" s="503"/>
      <c r="H1072" s="497">
        <f t="shared" ca="1" si="141"/>
        <v>53</v>
      </c>
      <c r="I1072" s="500"/>
      <c r="J1072" s="512"/>
      <c r="K1072" s="512"/>
      <c r="L1072" s="503"/>
      <c r="M1072" s="515" t="str">
        <f ca="1">IFERROR(IF(COUNTIF($B$937:$B1071,"&lt;0")&lt;&gt;1,OFFSET($C1070,-COUNTIF($B$937:$B1071,"&lt;0")+3,0),""),"")</f>
        <v/>
      </c>
      <c r="N1072" s="515">
        <f ca="1">IFERROR(IF(COUNTA($D$937:D1071)=1,0,OFFSET($F1070,-COUNTA($D$937:D1071)+3,0)),"")</f>
        <v>1</v>
      </c>
      <c r="O1072" s="497"/>
      <c r="P1072" s="497">
        <f t="shared" si="142"/>
        <v>133</v>
      </c>
      <c r="Q1072" s="497"/>
      <c r="R1072" s="497"/>
      <c r="S1072" s="497"/>
      <c r="T1072" s="503"/>
    </row>
    <row r="1073" spans="1:20" x14ac:dyDescent="0.35">
      <c r="A1073" s="497" t="b">
        <v>0</v>
      </c>
      <c r="B1073" s="497">
        <f t="shared" si="139"/>
        <v>-226</v>
      </c>
      <c r="C1073" s="518" t="s">
        <v>9685</v>
      </c>
      <c r="D1073" s="497" t="s">
        <v>5750</v>
      </c>
      <c r="E1073" s="497">
        <f t="shared" si="140"/>
        <v>2</v>
      </c>
      <c r="F1073" s="516">
        <v>23</v>
      </c>
      <c r="G1073" s="503"/>
      <c r="H1073" s="497">
        <f t="shared" ca="1" si="141"/>
        <v>53</v>
      </c>
      <c r="I1073" s="500"/>
      <c r="J1073" s="512"/>
      <c r="K1073" s="512"/>
      <c r="L1073" s="503"/>
      <c r="M1073" s="515" t="str">
        <f ca="1">IFERROR(IF(COUNTIF($B$937:$B1072,"&lt;0")&lt;&gt;1,OFFSET($C1071,-COUNTIF($B$937:$B1072,"&lt;0")+3,0),""),"")</f>
        <v/>
      </c>
      <c r="N1073" s="515">
        <f ca="1">IFERROR(IF(COUNTA($D$937:D1072)=1,0,OFFSET($F1071,-COUNTA($D$937:D1072)+3,0)),"")</f>
        <v>1</v>
      </c>
      <c r="O1073" s="497"/>
      <c r="P1073" s="497">
        <f t="shared" si="142"/>
        <v>134</v>
      </c>
      <c r="Q1073" s="497"/>
      <c r="R1073" s="497"/>
      <c r="S1073" s="497"/>
      <c r="T1073" s="503"/>
    </row>
    <row r="1074" spans="1:20" x14ac:dyDescent="0.35">
      <c r="A1074" s="497" t="b">
        <v>0</v>
      </c>
      <c r="B1074" s="497">
        <f t="shared" si="139"/>
        <v>-225</v>
      </c>
      <c r="C1074" s="518" t="s">
        <v>9686</v>
      </c>
      <c r="D1074" s="497" t="s">
        <v>5750</v>
      </c>
      <c r="E1074" s="497">
        <f t="shared" si="140"/>
        <v>3</v>
      </c>
      <c r="F1074" s="516">
        <v>23</v>
      </c>
      <c r="G1074" s="503"/>
      <c r="H1074" s="497">
        <f t="shared" ca="1" si="141"/>
        <v>53</v>
      </c>
      <c r="I1074" s="500"/>
      <c r="J1074" s="512"/>
      <c r="K1074" s="512"/>
      <c r="L1074" s="503"/>
      <c r="M1074" s="515" t="str">
        <f ca="1">IFERROR(IF(COUNTIF($B$937:$B1073,"&lt;0")&lt;&gt;1,OFFSET($C1072,-COUNTIF($B$937:$B1073,"&lt;0")+3,0),""),"")</f>
        <v/>
      </c>
      <c r="N1074" s="515">
        <f ca="1">IFERROR(IF(COUNTA($D$937:D1073)=1,0,OFFSET($F1072,-COUNTA($D$937:D1073)+3,0)),"")</f>
        <v>1</v>
      </c>
      <c r="O1074" s="497"/>
      <c r="P1074" s="497">
        <f t="shared" si="142"/>
        <v>135</v>
      </c>
      <c r="Q1074" s="497"/>
      <c r="R1074" s="497"/>
      <c r="S1074" s="497"/>
      <c r="T1074" s="503"/>
    </row>
    <row r="1075" spans="1:20" x14ac:dyDescent="0.35">
      <c r="A1075" s="497" t="b">
        <v>0</v>
      </c>
      <c r="B1075" s="497">
        <f t="shared" si="139"/>
        <v>-224</v>
      </c>
      <c r="C1075" s="518" t="s">
        <v>9687</v>
      </c>
      <c r="D1075" s="497" t="s">
        <v>5750</v>
      </c>
      <c r="E1075" s="497">
        <f t="shared" si="140"/>
        <v>4</v>
      </c>
      <c r="F1075" s="516">
        <v>23</v>
      </c>
      <c r="G1075" s="503"/>
      <c r="H1075" s="497">
        <f t="shared" ca="1" si="141"/>
        <v>53</v>
      </c>
      <c r="I1075" s="500"/>
      <c r="J1075" s="512"/>
      <c r="K1075" s="512"/>
      <c r="L1075" s="503"/>
      <c r="M1075" s="515" t="str">
        <f ca="1">IFERROR(IF(COUNTIF($B$937:$B1074,"&lt;0")&lt;&gt;1,OFFSET($C1073,-COUNTIF($B$937:$B1074,"&lt;0")+3,0),""),"")</f>
        <v/>
      </c>
      <c r="N1075" s="515">
        <f ca="1">IFERROR(IF(COUNTA($D$937:D1074)=1,0,OFFSET($F1073,-COUNTA($D$937:D1074)+3,0)),"")</f>
        <v>1</v>
      </c>
      <c r="O1075" s="497"/>
      <c r="P1075" s="497">
        <f t="shared" si="142"/>
        <v>136</v>
      </c>
      <c r="Q1075" s="497"/>
      <c r="R1075" s="497"/>
      <c r="S1075" s="497"/>
      <c r="T1075" s="503"/>
    </row>
    <row r="1076" spans="1:20" x14ac:dyDescent="0.35">
      <c r="A1076" s="497" t="b">
        <v>0</v>
      </c>
      <c r="B1076" s="497">
        <f t="shared" si="139"/>
        <v>-223</v>
      </c>
      <c r="C1076" s="518" t="s">
        <v>9688</v>
      </c>
      <c r="D1076" s="497" t="s">
        <v>5750</v>
      </c>
      <c r="E1076" s="497">
        <f t="shared" si="140"/>
        <v>5</v>
      </c>
      <c r="F1076" s="516">
        <v>23</v>
      </c>
      <c r="G1076" s="503"/>
      <c r="H1076" s="497">
        <f t="shared" ca="1" si="141"/>
        <v>53</v>
      </c>
      <c r="I1076" s="500"/>
      <c r="J1076" s="512"/>
      <c r="K1076" s="512"/>
      <c r="L1076" s="503"/>
      <c r="M1076" s="515" t="str">
        <f ca="1">IFERROR(IF(COUNTIF($B$937:$B1075,"&lt;0")&lt;&gt;1,OFFSET($C1074,-COUNTIF($B$937:$B1075,"&lt;0")+3,0),""),"")</f>
        <v/>
      </c>
      <c r="N1076" s="515">
        <f ca="1">IFERROR(IF(COUNTA($D$937:D1075)=1,0,OFFSET($F1074,-COUNTA($D$937:D1075)+3,0)),"")</f>
        <v>1</v>
      </c>
      <c r="O1076" s="497"/>
      <c r="P1076" s="497">
        <f t="shared" si="142"/>
        <v>137</v>
      </c>
      <c r="Q1076" s="497"/>
      <c r="R1076" s="497"/>
      <c r="S1076" s="497"/>
      <c r="T1076" s="503"/>
    </row>
    <row r="1077" spans="1:20" x14ac:dyDescent="0.35">
      <c r="A1077" s="497" t="b">
        <v>0</v>
      </c>
      <c r="B1077" s="497">
        <f t="shared" si="139"/>
        <v>-222</v>
      </c>
      <c r="C1077" s="518" t="s">
        <v>9689</v>
      </c>
      <c r="D1077" s="497" t="s">
        <v>5750</v>
      </c>
      <c r="E1077" s="497">
        <f t="shared" si="140"/>
        <v>6</v>
      </c>
      <c r="F1077" s="516">
        <v>23</v>
      </c>
      <c r="G1077" s="503"/>
      <c r="H1077" s="497">
        <f t="shared" ca="1" si="141"/>
        <v>53</v>
      </c>
      <c r="I1077" s="500"/>
      <c r="J1077" s="512"/>
      <c r="K1077" s="512"/>
      <c r="L1077" s="503"/>
      <c r="M1077" s="515" t="str">
        <f ca="1">IFERROR(IF(COUNTIF($B$937:$B1076,"&lt;0")&lt;&gt;1,OFFSET($C1075,-COUNTIF($B$937:$B1076,"&lt;0")+3,0),""),"")</f>
        <v/>
      </c>
      <c r="N1077" s="515">
        <f ca="1">IFERROR(IF(COUNTA($D$937:D1076)=1,0,OFFSET($F1075,-COUNTA($D$937:D1076)+3,0)),"")</f>
        <v>1</v>
      </c>
      <c r="O1077" s="497"/>
      <c r="P1077" s="497">
        <f t="shared" si="142"/>
        <v>138</v>
      </c>
      <c r="Q1077" s="497"/>
      <c r="R1077" s="497"/>
      <c r="S1077" s="497"/>
      <c r="T1077" s="503"/>
    </row>
    <row r="1078" spans="1:20" x14ac:dyDescent="0.35">
      <c r="A1078" s="497" t="b">
        <v>0</v>
      </c>
      <c r="B1078" s="497">
        <f t="shared" si="139"/>
        <v>-221</v>
      </c>
      <c r="C1078" s="518" t="s">
        <v>9690</v>
      </c>
      <c r="D1078" s="497" t="s">
        <v>6981</v>
      </c>
      <c r="E1078" s="497">
        <f t="shared" si="140"/>
        <v>1</v>
      </c>
      <c r="F1078" s="516">
        <v>24</v>
      </c>
      <c r="G1078" s="503"/>
      <c r="H1078" s="497">
        <f t="shared" ca="1" si="141"/>
        <v>55</v>
      </c>
      <c r="I1078" s="500"/>
      <c r="J1078" s="512"/>
      <c r="K1078" s="512"/>
      <c r="L1078" s="503"/>
      <c r="M1078" s="515" t="str">
        <f ca="1">IFERROR(IF(COUNTIF($B$937:$B1077,"&lt;0")&lt;&gt;1,OFFSET($C1076,-COUNTIF($B$937:$B1077,"&lt;0")+3,0),""),"")</f>
        <v/>
      </c>
      <c r="N1078" s="515">
        <f ca="1">IFERROR(IF(COUNTA($D$937:D1077)=1,0,OFFSET($F1076,-COUNTA($D$937:D1077)+3,0)),"")</f>
        <v>1</v>
      </c>
      <c r="O1078" s="497"/>
      <c r="P1078" s="497">
        <f t="shared" si="142"/>
        <v>139</v>
      </c>
      <c r="Q1078" s="497"/>
      <c r="R1078" s="497"/>
      <c r="S1078" s="497"/>
      <c r="T1078" s="503"/>
    </row>
    <row r="1079" spans="1:20" x14ac:dyDescent="0.35">
      <c r="A1079" s="497" t="b">
        <v>0</v>
      </c>
      <c r="B1079" s="497">
        <f t="shared" si="139"/>
        <v>-220</v>
      </c>
      <c r="C1079" s="518" t="s">
        <v>9691</v>
      </c>
      <c r="D1079" s="497" t="s">
        <v>6981</v>
      </c>
      <c r="E1079" s="497">
        <f t="shared" si="140"/>
        <v>2</v>
      </c>
      <c r="F1079" s="516">
        <v>24</v>
      </c>
      <c r="G1079" s="503"/>
      <c r="H1079" s="497">
        <f t="shared" ca="1" si="141"/>
        <v>55</v>
      </c>
      <c r="I1079" s="500"/>
      <c r="J1079" s="512"/>
      <c r="K1079" s="512"/>
      <c r="L1079" s="503"/>
      <c r="M1079" s="515" t="str">
        <f ca="1">IFERROR(IF(COUNTIF($B$937:$B1078,"&lt;0")&lt;&gt;1,OFFSET($C1077,-COUNTIF($B$937:$B1078,"&lt;0")+3,0),""),"")</f>
        <v/>
      </c>
      <c r="N1079" s="515">
        <f ca="1">IFERROR(IF(COUNTA($D$937:D1078)=1,0,OFFSET($F1077,-COUNTA($D$937:D1078)+3,0)),"")</f>
        <v>1</v>
      </c>
      <c r="O1079" s="497"/>
      <c r="P1079" s="497">
        <f t="shared" si="142"/>
        <v>140</v>
      </c>
      <c r="Q1079" s="497"/>
      <c r="R1079" s="497"/>
      <c r="S1079" s="497"/>
      <c r="T1079" s="503"/>
    </row>
    <row r="1080" spans="1:20" x14ac:dyDescent="0.35">
      <c r="A1080" s="497" t="b">
        <v>0</v>
      </c>
      <c r="B1080" s="497">
        <f t="shared" si="139"/>
        <v>-219</v>
      </c>
      <c r="C1080" s="518" t="s">
        <v>9692</v>
      </c>
      <c r="D1080" s="497" t="s">
        <v>6981</v>
      </c>
      <c r="E1080" s="497">
        <f t="shared" si="140"/>
        <v>3</v>
      </c>
      <c r="F1080" s="516">
        <v>24</v>
      </c>
      <c r="G1080" s="503"/>
      <c r="H1080" s="497">
        <f t="shared" ca="1" si="141"/>
        <v>55</v>
      </c>
      <c r="I1080" s="500"/>
      <c r="J1080" s="512"/>
      <c r="K1080" s="512"/>
      <c r="L1080" s="503"/>
      <c r="M1080" s="515" t="str">
        <f ca="1">IFERROR(IF(COUNTIF($B$937:$B1079,"&lt;0")&lt;&gt;1,OFFSET($C1078,-COUNTIF($B$937:$B1079,"&lt;0")+3,0),""),"")</f>
        <v/>
      </c>
      <c r="N1080" s="515">
        <f ca="1">IFERROR(IF(COUNTA($D$937:D1079)=1,0,OFFSET($F1078,-COUNTA($D$937:D1079)+3,0)),"")</f>
        <v>1</v>
      </c>
      <c r="O1080" s="497"/>
      <c r="P1080" s="497">
        <f t="shared" si="142"/>
        <v>141</v>
      </c>
      <c r="Q1080" s="497"/>
      <c r="R1080" s="497"/>
      <c r="S1080" s="497"/>
      <c r="T1080" s="503"/>
    </row>
    <row r="1081" spans="1:20" x14ac:dyDescent="0.35">
      <c r="A1081" s="497" t="b">
        <v>0</v>
      </c>
      <c r="B1081" s="497">
        <f t="shared" si="139"/>
        <v>-218</v>
      </c>
      <c r="C1081" s="518" t="s">
        <v>9693</v>
      </c>
      <c r="D1081" s="497" t="s">
        <v>6981</v>
      </c>
      <c r="E1081" s="497">
        <f t="shared" si="140"/>
        <v>4</v>
      </c>
      <c r="F1081" s="516">
        <v>24</v>
      </c>
      <c r="G1081" s="503"/>
      <c r="H1081" s="497">
        <f t="shared" ca="1" si="141"/>
        <v>55</v>
      </c>
      <c r="I1081" s="500"/>
      <c r="J1081" s="512"/>
      <c r="K1081" s="512"/>
      <c r="L1081" s="503"/>
      <c r="M1081" s="515" t="str">
        <f ca="1">IFERROR(IF(COUNTIF($B$937:$B1080,"&lt;0")&lt;&gt;1,OFFSET($C1079,-COUNTIF($B$937:$B1080,"&lt;0")+3,0),""),"")</f>
        <v/>
      </c>
      <c r="N1081" s="515">
        <f ca="1">IFERROR(IF(COUNTA($D$937:D1080)=1,0,OFFSET($F1079,-COUNTA($D$937:D1080)+3,0)),"")</f>
        <v>1</v>
      </c>
      <c r="O1081" s="497"/>
      <c r="P1081" s="497">
        <f t="shared" si="142"/>
        <v>142</v>
      </c>
      <c r="Q1081" s="497"/>
      <c r="R1081" s="497"/>
      <c r="S1081" s="497"/>
      <c r="T1081" s="503"/>
    </row>
    <row r="1082" spans="1:20" x14ac:dyDescent="0.35">
      <c r="A1082" s="497" t="b">
        <v>0</v>
      </c>
      <c r="B1082" s="497">
        <f t="shared" si="139"/>
        <v>-217</v>
      </c>
      <c r="C1082" s="518" t="s">
        <v>9694</v>
      </c>
      <c r="D1082" s="497" t="s">
        <v>6981</v>
      </c>
      <c r="E1082" s="497">
        <f t="shared" si="140"/>
        <v>5</v>
      </c>
      <c r="F1082" s="516">
        <v>24</v>
      </c>
      <c r="G1082" s="503"/>
      <c r="H1082" s="497">
        <f t="shared" ca="1" si="141"/>
        <v>55</v>
      </c>
      <c r="I1082" s="500"/>
      <c r="J1082" s="512"/>
      <c r="K1082" s="512"/>
      <c r="L1082" s="503"/>
      <c r="M1082" s="515" t="str">
        <f ca="1">IFERROR(IF(COUNTIF($B$937:$B1081,"&lt;0")&lt;&gt;1,OFFSET($C1080,-COUNTIF($B$937:$B1081,"&lt;0")+3,0),""),"")</f>
        <v/>
      </c>
      <c r="N1082" s="515">
        <f ca="1">IFERROR(IF(COUNTA($D$937:D1081)=1,0,OFFSET($F1080,-COUNTA($D$937:D1081)+3,0)),"")</f>
        <v>1</v>
      </c>
      <c r="O1082" s="497"/>
      <c r="P1082" s="497">
        <f t="shared" si="142"/>
        <v>143</v>
      </c>
      <c r="Q1082" s="497"/>
      <c r="R1082" s="497"/>
      <c r="S1082" s="497"/>
      <c r="T1082" s="503"/>
    </row>
    <row r="1083" spans="1:20" x14ac:dyDescent="0.35">
      <c r="A1083" s="497" t="b">
        <v>0</v>
      </c>
      <c r="B1083" s="497">
        <f t="shared" si="139"/>
        <v>-216</v>
      </c>
      <c r="C1083" s="518" t="s">
        <v>9695</v>
      </c>
      <c r="D1083" s="497" t="s">
        <v>6981</v>
      </c>
      <c r="E1083" s="497">
        <f t="shared" si="140"/>
        <v>6</v>
      </c>
      <c r="F1083" s="516">
        <v>24</v>
      </c>
      <c r="G1083" s="503"/>
      <c r="H1083" s="497">
        <f t="shared" ca="1" si="141"/>
        <v>55</v>
      </c>
      <c r="I1083" s="500"/>
      <c r="J1083" s="512"/>
      <c r="K1083" s="512"/>
      <c r="L1083" s="503"/>
      <c r="M1083" s="515" t="str">
        <f ca="1">IFERROR(IF(COUNTIF($B$937:$B1082,"&lt;0")&lt;&gt;1,OFFSET($C1081,-COUNTIF($B$937:$B1082,"&lt;0")+3,0),""),"")</f>
        <v/>
      </c>
      <c r="N1083" s="515">
        <f ca="1">IFERROR(IF(COUNTA($D$937:D1082)=1,0,OFFSET($F1081,-COUNTA($D$937:D1082)+3,0)),"")</f>
        <v>1</v>
      </c>
      <c r="O1083" s="497"/>
      <c r="P1083" s="497">
        <f t="shared" si="142"/>
        <v>144</v>
      </c>
      <c r="Q1083" s="497"/>
      <c r="R1083" s="497"/>
      <c r="S1083" s="497"/>
      <c r="T1083" s="503"/>
    </row>
    <row r="1084" spans="1:20" x14ac:dyDescent="0.35">
      <c r="A1084" s="497" t="b">
        <v>0</v>
      </c>
      <c r="B1084" s="497">
        <f t="shared" si="139"/>
        <v>-215</v>
      </c>
      <c r="C1084" s="518" t="s">
        <v>9696</v>
      </c>
      <c r="D1084" s="497" t="s">
        <v>5791</v>
      </c>
      <c r="E1084" s="497">
        <f t="shared" si="140"/>
        <v>1</v>
      </c>
      <c r="F1084" s="516">
        <v>25</v>
      </c>
      <c r="G1084" s="503"/>
      <c r="H1084" s="497">
        <f t="shared" ca="1" si="141"/>
        <v>57</v>
      </c>
      <c r="I1084" s="500"/>
      <c r="J1084" s="512"/>
      <c r="K1084" s="512"/>
      <c r="L1084" s="503"/>
      <c r="M1084" s="515" t="str">
        <f ca="1">IFERROR(IF(COUNTIF($B$937:$B1083,"&lt;0")&lt;&gt;1,OFFSET($C1082,-COUNTIF($B$937:$B1083,"&lt;0")+3,0),""),"")</f>
        <v/>
      </c>
      <c r="N1084" s="515">
        <f ca="1">IFERROR(IF(COUNTA($D$937:D1083)=1,0,OFFSET($F1082,-COUNTA($D$937:D1083)+3,0)),"")</f>
        <v>1</v>
      </c>
      <c r="O1084" s="497"/>
      <c r="P1084" s="497">
        <f t="shared" si="142"/>
        <v>145</v>
      </c>
      <c r="Q1084" s="497"/>
      <c r="R1084" s="497"/>
      <c r="S1084" s="497"/>
      <c r="T1084" s="503"/>
    </row>
    <row r="1085" spans="1:20" x14ac:dyDescent="0.35">
      <c r="A1085" s="497" t="b">
        <v>0</v>
      </c>
      <c r="B1085" s="497">
        <f t="shared" si="139"/>
        <v>-214</v>
      </c>
      <c r="C1085" s="518" t="s">
        <v>9697</v>
      </c>
      <c r="D1085" s="497" t="s">
        <v>5791</v>
      </c>
      <c r="E1085" s="497">
        <f t="shared" si="140"/>
        <v>2</v>
      </c>
      <c r="F1085" s="516">
        <v>25</v>
      </c>
      <c r="G1085" s="503"/>
      <c r="H1085" s="497">
        <f t="shared" ca="1" si="141"/>
        <v>57</v>
      </c>
      <c r="I1085" s="500"/>
      <c r="J1085" s="512"/>
      <c r="K1085" s="512"/>
      <c r="L1085" s="503"/>
      <c r="M1085" s="515" t="str">
        <f ca="1">IFERROR(IF(COUNTIF($B$937:$B1084,"&lt;0")&lt;&gt;1,OFFSET($C1083,-COUNTIF($B$937:$B1084,"&lt;0")+3,0),""),"")</f>
        <v/>
      </c>
      <c r="N1085" s="515">
        <f ca="1">IFERROR(IF(COUNTA($D$937:D1084)=1,0,OFFSET($F1083,-COUNTA($D$937:D1084)+3,0)),"")</f>
        <v>1</v>
      </c>
      <c r="O1085" s="497"/>
      <c r="P1085" s="497">
        <f t="shared" si="142"/>
        <v>146</v>
      </c>
      <c r="Q1085" s="497"/>
      <c r="R1085" s="497"/>
      <c r="S1085" s="497"/>
      <c r="T1085" s="503"/>
    </row>
    <row r="1086" spans="1:20" x14ac:dyDescent="0.35">
      <c r="A1086" s="497" t="b">
        <v>0</v>
      </c>
      <c r="B1086" s="497">
        <f t="shared" si="139"/>
        <v>-213</v>
      </c>
      <c r="C1086" s="518" t="s">
        <v>9698</v>
      </c>
      <c r="D1086" s="497" t="s">
        <v>5791</v>
      </c>
      <c r="E1086" s="497">
        <f t="shared" si="140"/>
        <v>3</v>
      </c>
      <c r="F1086" s="516">
        <v>25</v>
      </c>
      <c r="G1086" s="503"/>
      <c r="H1086" s="497">
        <f t="shared" ca="1" si="141"/>
        <v>57</v>
      </c>
      <c r="I1086" s="500"/>
      <c r="J1086" s="512"/>
      <c r="K1086" s="512"/>
      <c r="L1086" s="503"/>
      <c r="M1086" s="515" t="str">
        <f ca="1">IFERROR(IF(COUNTIF($B$937:$B1085,"&lt;0")&lt;&gt;1,OFFSET($C1084,-COUNTIF($B$937:$B1085,"&lt;0")+3,0),""),"")</f>
        <v/>
      </c>
      <c r="N1086" s="515">
        <f ca="1">IFERROR(IF(COUNTA($D$937:D1085)=1,0,OFFSET($F1084,-COUNTA($D$937:D1085)+3,0)),"")</f>
        <v>1</v>
      </c>
      <c r="O1086" s="497"/>
      <c r="P1086" s="497">
        <f t="shared" si="142"/>
        <v>147</v>
      </c>
      <c r="Q1086" s="497"/>
      <c r="R1086" s="497"/>
      <c r="S1086" s="497"/>
      <c r="T1086" s="503"/>
    </row>
    <row r="1087" spans="1:20" x14ac:dyDescent="0.35">
      <c r="A1087" s="497" t="b">
        <v>0</v>
      </c>
      <c r="B1087" s="497">
        <f t="shared" si="139"/>
        <v>-212</v>
      </c>
      <c r="C1087" s="518" t="s">
        <v>9699</v>
      </c>
      <c r="D1087" s="497" t="s">
        <v>5791</v>
      </c>
      <c r="E1087" s="497">
        <f t="shared" si="140"/>
        <v>4</v>
      </c>
      <c r="F1087" s="516">
        <v>25</v>
      </c>
      <c r="G1087" s="503"/>
      <c r="H1087" s="497">
        <f t="shared" ca="1" si="141"/>
        <v>57</v>
      </c>
      <c r="I1087" s="500"/>
      <c r="J1087" s="512"/>
      <c r="K1087" s="512"/>
      <c r="L1087" s="503"/>
      <c r="M1087" s="515" t="str">
        <f ca="1">IFERROR(IF(COUNTIF($B$937:$B1086,"&lt;0")&lt;&gt;1,OFFSET($C1085,-COUNTIF($B$937:$B1086,"&lt;0")+3,0),""),"")</f>
        <v/>
      </c>
      <c r="N1087" s="515">
        <f ca="1">IFERROR(IF(COUNTA($D$937:D1086)=1,0,OFFSET($F1085,-COUNTA($D$937:D1086)+3,0)),"")</f>
        <v>1</v>
      </c>
      <c r="O1087" s="497"/>
      <c r="P1087" s="497">
        <f t="shared" si="142"/>
        <v>148</v>
      </c>
      <c r="Q1087" s="497"/>
      <c r="R1087" s="497"/>
      <c r="S1087" s="497"/>
      <c r="T1087" s="503"/>
    </row>
    <row r="1088" spans="1:20" x14ac:dyDescent="0.35">
      <c r="A1088" s="497" t="b">
        <v>0</v>
      </c>
      <c r="B1088" s="497">
        <f t="shared" si="139"/>
        <v>-211</v>
      </c>
      <c r="C1088" s="518" t="s">
        <v>9700</v>
      </c>
      <c r="D1088" s="497" t="s">
        <v>5791</v>
      </c>
      <c r="E1088" s="497">
        <f t="shared" si="140"/>
        <v>5</v>
      </c>
      <c r="F1088" s="516">
        <v>25</v>
      </c>
      <c r="G1088" s="503"/>
      <c r="H1088" s="497">
        <f t="shared" ca="1" si="141"/>
        <v>57</v>
      </c>
      <c r="I1088" s="500"/>
      <c r="J1088" s="512"/>
      <c r="K1088" s="512"/>
      <c r="L1088" s="503"/>
      <c r="M1088" s="515" t="str">
        <f ca="1">IFERROR(IF(COUNTIF($B$937:$B1087,"&lt;0")&lt;&gt;1,OFFSET($C1086,-COUNTIF($B$937:$B1087,"&lt;0")+3,0),""),"")</f>
        <v/>
      </c>
      <c r="N1088" s="515">
        <f ca="1">IFERROR(IF(COUNTA($D$937:D1087)=1,0,OFFSET($F1086,-COUNTA($D$937:D1087)+3,0)),"")</f>
        <v>1</v>
      </c>
      <c r="O1088" s="497"/>
      <c r="P1088" s="497">
        <f t="shared" si="142"/>
        <v>149</v>
      </c>
      <c r="Q1088" s="497"/>
      <c r="R1088" s="497"/>
      <c r="S1088" s="497"/>
      <c r="T1088" s="503"/>
    </row>
    <row r="1089" spans="1:20" x14ac:dyDescent="0.35">
      <c r="A1089" s="497" t="b">
        <v>0</v>
      </c>
      <c r="B1089" s="497">
        <f t="shared" si="139"/>
        <v>-210</v>
      </c>
      <c r="C1089" s="518" t="s">
        <v>9701</v>
      </c>
      <c r="D1089" s="497" t="s">
        <v>5791</v>
      </c>
      <c r="E1089" s="497">
        <f t="shared" si="140"/>
        <v>6</v>
      </c>
      <c r="F1089" s="516">
        <v>25</v>
      </c>
      <c r="G1089" s="503"/>
      <c r="H1089" s="497">
        <f t="shared" ca="1" si="141"/>
        <v>57</v>
      </c>
      <c r="I1089" s="500"/>
      <c r="J1089" s="512"/>
      <c r="K1089" s="512"/>
      <c r="L1089" s="503"/>
      <c r="M1089" s="515" t="str">
        <f ca="1">IFERROR(IF(COUNTIF($B$937:$B1088,"&lt;0")&lt;&gt;1,OFFSET($C1087,-COUNTIF($B$937:$B1088,"&lt;0")+3,0),""),"")</f>
        <v/>
      </c>
      <c r="N1089" s="515">
        <f ca="1">IFERROR(IF(COUNTA($D$937:D1088)=1,0,OFFSET($F1087,-COUNTA($D$937:D1088)+3,0)),"")</f>
        <v>1</v>
      </c>
      <c r="O1089" s="497"/>
      <c r="P1089" s="497">
        <f t="shared" si="142"/>
        <v>150</v>
      </c>
      <c r="Q1089" s="497"/>
      <c r="R1089" s="497"/>
      <c r="S1089" s="497"/>
      <c r="T1089" s="503"/>
    </row>
    <row r="1090" spans="1:20" x14ac:dyDescent="0.35">
      <c r="A1090" s="497" t="b">
        <v>0</v>
      </c>
      <c r="B1090" s="497">
        <f t="shared" si="139"/>
        <v>-209</v>
      </c>
      <c r="C1090" s="518" t="s">
        <v>9702</v>
      </c>
      <c r="D1090" s="497" t="s">
        <v>7022</v>
      </c>
      <c r="E1090" s="497">
        <f t="shared" si="140"/>
        <v>1</v>
      </c>
      <c r="F1090" s="516">
        <v>26</v>
      </c>
      <c r="G1090" s="503"/>
      <c r="H1090" s="497">
        <f t="shared" ca="1" si="141"/>
        <v>59</v>
      </c>
      <c r="I1090" s="500"/>
      <c r="J1090" s="512"/>
      <c r="K1090" s="512"/>
      <c r="L1090" s="503"/>
      <c r="M1090" s="515" t="str">
        <f ca="1">IFERROR(IF(COUNTIF($B$937:$B1089,"&lt;0")&lt;&gt;1,OFFSET($C1088,-COUNTIF($B$937:$B1089,"&lt;0")+3,0),""),"")</f>
        <v/>
      </c>
      <c r="N1090" s="515">
        <f ca="1">IFERROR(IF(COUNTA($D$937:D1089)=1,0,OFFSET($F1088,-COUNTA($D$937:D1089)+3,0)),"")</f>
        <v>1</v>
      </c>
      <c r="O1090" s="497"/>
      <c r="P1090" s="497">
        <f t="shared" si="142"/>
        <v>151</v>
      </c>
      <c r="Q1090" s="497"/>
      <c r="R1090" s="497"/>
      <c r="S1090" s="497"/>
      <c r="T1090" s="503"/>
    </row>
    <row r="1091" spans="1:20" x14ac:dyDescent="0.35">
      <c r="A1091" s="497" t="b">
        <v>0</v>
      </c>
      <c r="B1091" s="497">
        <f t="shared" si="139"/>
        <v>-208</v>
      </c>
      <c r="C1091" s="518" t="s">
        <v>9703</v>
      </c>
      <c r="D1091" s="497" t="s">
        <v>7022</v>
      </c>
      <c r="E1091" s="497">
        <f t="shared" si="140"/>
        <v>2</v>
      </c>
      <c r="F1091" s="516">
        <v>26</v>
      </c>
      <c r="G1091" s="503"/>
      <c r="H1091" s="497">
        <f t="shared" ca="1" si="141"/>
        <v>59</v>
      </c>
      <c r="I1091" s="500"/>
      <c r="J1091" s="512"/>
      <c r="K1091" s="512"/>
      <c r="L1091" s="503"/>
      <c r="M1091" s="515" t="str">
        <f ca="1">IFERROR(IF(COUNTIF($B$937:$B1090,"&lt;0")&lt;&gt;1,OFFSET($C1089,-COUNTIF($B$937:$B1090,"&lt;0")+3,0),""),"")</f>
        <v/>
      </c>
      <c r="N1091" s="515">
        <f ca="1">IFERROR(IF(COUNTA($D$937:D1090)=1,0,OFFSET($F1089,-COUNTA($D$937:D1090)+3,0)),"")</f>
        <v>1</v>
      </c>
      <c r="O1091" s="497"/>
      <c r="P1091" s="497">
        <f t="shared" si="142"/>
        <v>152</v>
      </c>
      <c r="Q1091" s="497"/>
      <c r="R1091" s="497"/>
      <c r="S1091" s="497"/>
      <c r="T1091" s="503"/>
    </row>
    <row r="1092" spans="1:20" x14ac:dyDescent="0.35">
      <c r="A1092" s="497" t="b">
        <v>0</v>
      </c>
      <c r="B1092" s="497">
        <f t="shared" si="139"/>
        <v>-207</v>
      </c>
      <c r="C1092" s="518" t="s">
        <v>9704</v>
      </c>
      <c r="D1092" s="497" t="s">
        <v>7022</v>
      </c>
      <c r="E1092" s="497">
        <f t="shared" si="140"/>
        <v>3</v>
      </c>
      <c r="F1092" s="516">
        <v>26</v>
      </c>
      <c r="G1092" s="503"/>
      <c r="H1092" s="497">
        <f t="shared" ca="1" si="141"/>
        <v>59</v>
      </c>
      <c r="I1092" s="500"/>
      <c r="J1092" s="512"/>
      <c r="K1092" s="512"/>
      <c r="L1092" s="503"/>
      <c r="M1092" s="515" t="str">
        <f ca="1">IFERROR(IF(COUNTIF($B$937:$B1091,"&lt;0")&lt;&gt;1,OFFSET($C1090,-COUNTIF($B$937:$B1091,"&lt;0")+3,0),""),"")</f>
        <v/>
      </c>
      <c r="N1092" s="515">
        <f ca="1">IFERROR(IF(COUNTA($D$937:D1091)=1,0,OFFSET($F1090,-COUNTA($D$937:D1091)+3,0)),"")</f>
        <v>1</v>
      </c>
      <c r="O1092" s="497"/>
      <c r="P1092" s="497">
        <f t="shared" si="142"/>
        <v>153</v>
      </c>
      <c r="Q1092" s="497"/>
      <c r="R1092" s="497"/>
      <c r="S1092" s="497"/>
      <c r="T1092" s="503"/>
    </row>
    <row r="1093" spans="1:20" x14ac:dyDescent="0.35">
      <c r="A1093" s="497" t="b">
        <v>0</v>
      </c>
      <c r="B1093" s="497">
        <f t="shared" si="139"/>
        <v>-206</v>
      </c>
      <c r="C1093" s="518" t="s">
        <v>9705</v>
      </c>
      <c r="D1093" s="497" t="s">
        <v>7022</v>
      </c>
      <c r="E1093" s="497">
        <f t="shared" si="140"/>
        <v>4</v>
      </c>
      <c r="F1093" s="516">
        <v>26</v>
      </c>
      <c r="G1093" s="503"/>
      <c r="H1093" s="497">
        <f t="shared" ca="1" si="141"/>
        <v>59</v>
      </c>
      <c r="I1093" s="500"/>
      <c r="J1093" s="512"/>
      <c r="K1093" s="512"/>
      <c r="L1093" s="503"/>
      <c r="M1093" s="515" t="str">
        <f ca="1">IFERROR(IF(COUNTIF($B$937:$B1092,"&lt;0")&lt;&gt;1,OFFSET($C1091,-COUNTIF($B$937:$B1092,"&lt;0")+3,0),""),"")</f>
        <v/>
      </c>
      <c r="N1093" s="515">
        <f ca="1">IFERROR(IF(COUNTA($D$937:D1092)=1,0,OFFSET($F1091,-COUNTA($D$937:D1092)+3,0)),"")</f>
        <v>1</v>
      </c>
      <c r="O1093" s="497"/>
      <c r="P1093" s="497">
        <f t="shared" si="142"/>
        <v>154</v>
      </c>
      <c r="Q1093" s="497"/>
      <c r="R1093" s="497"/>
      <c r="S1093" s="497"/>
      <c r="T1093" s="503"/>
    </row>
    <row r="1094" spans="1:20" x14ac:dyDescent="0.35">
      <c r="A1094" s="497" t="b">
        <v>0</v>
      </c>
      <c r="B1094" s="497">
        <f t="shared" si="139"/>
        <v>-205</v>
      </c>
      <c r="C1094" s="518" t="s">
        <v>9706</v>
      </c>
      <c r="D1094" s="497" t="s">
        <v>7022</v>
      </c>
      <c r="E1094" s="497">
        <f t="shared" si="140"/>
        <v>5</v>
      </c>
      <c r="F1094" s="516">
        <v>26</v>
      </c>
      <c r="G1094" s="503"/>
      <c r="H1094" s="497">
        <f t="shared" ca="1" si="141"/>
        <v>59</v>
      </c>
      <c r="I1094" s="500"/>
      <c r="J1094" s="512"/>
      <c r="K1094" s="512"/>
      <c r="L1094" s="503"/>
      <c r="M1094" s="515" t="str">
        <f ca="1">IFERROR(IF(COUNTIF($B$937:$B1093,"&lt;0")&lt;&gt;1,OFFSET($C1092,-COUNTIF($B$937:$B1093,"&lt;0")+3,0),""),"")</f>
        <v/>
      </c>
      <c r="N1094" s="515">
        <f ca="1">IFERROR(IF(COUNTA($D$937:D1093)=1,0,OFFSET($F1092,-COUNTA($D$937:D1093)+3,0)),"")</f>
        <v>1</v>
      </c>
      <c r="O1094" s="497"/>
      <c r="P1094" s="497">
        <f t="shared" si="142"/>
        <v>155</v>
      </c>
      <c r="Q1094" s="497"/>
      <c r="R1094" s="497"/>
      <c r="S1094" s="497"/>
      <c r="T1094" s="503"/>
    </row>
    <row r="1095" spans="1:20" x14ac:dyDescent="0.35">
      <c r="A1095" s="497" t="b">
        <v>0</v>
      </c>
      <c r="B1095" s="497">
        <f t="shared" si="139"/>
        <v>-204</v>
      </c>
      <c r="C1095" s="518" t="s">
        <v>9707</v>
      </c>
      <c r="D1095" s="497" t="s">
        <v>7022</v>
      </c>
      <c r="E1095" s="497">
        <f t="shared" si="140"/>
        <v>6</v>
      </c>
      <c r="F1095" s="516">
        <v>26</v>
      </c>
      <c r="G1095" s="503"/>
      <c r="H1095" s="497">
        <f t="shared" ca="1" si="141"/>
        <v>59</v>
      </c>
      <c r="I1095" s="500"/>
      <c r="J1095" s="512"/>
      <c r="K1095" s="512"/>
      <c r="L1095" s="503"/>
      <c r="M1095" s="515" t="str">
        <f ca="1">IFERROR(IF(COUNTIF($B$937:$B1094,"&lt;0")&lt;&gt;1,OFFSET($C1093,-COUNTIF($B$937:$B1094,"&lt;0")+3,0),""),"")</f>
        <v/>
      </c>
      <c r="N1095" s="515">
        <f ca="1">IFERROR(IF(COUNTA($D$937:D1094)=1,0,OFFSET($F1093,-COUNTA($D$937:D1094)+3,0)),"")</f>
        <v>1</v>
      </c>
      <c r="O1095" s="497"/>
      <c r="P1095" s="497">
        <f t="shared" si="142"/>
        <v>156</v>
      </c>
      <c r="Q1095" s="497"/>
      <c r="R1095" s="497"/>
      <c r="S1095" s="497"/>
      <c r="T1095" s="503"/>
    </row>
    <row r="1096" spans="1:20" x14ac:dyDescent="0.35">
      <c r="A1096" s="497" t="b">
        <v>0</v>
      </c>
      <c r="B1096" s="497">
        <f t="shared" si="139"/>
        <v>-203</v>
      </c>
      <c r="C1096" s="518" t="s">
        <v>9708</v>
      </c>
      <c r="D1096" s="497" t="s">
        <v>5832</v>
      </c>
      <c r="E1096" s="497">
        <f t="shared" si="140"/>
        <v>1</v>
      </c>
      <c r="F1096" s="516">
        <v>27</v>
      </c>
      <c r="G1096" s="503"/>
      <c r="H1096" s="497">
        <f t="shared" ca="1" si="141"/>
        <v>61</v>
      </c>
      <c r="I1096" s="500"/>
      <c r="J1096" s="512"/>
      <c r="K1096" s="512"/>
      <c r="L1096" s="503"/>
      <c r="M1096" s="515" t="str">
        <f ca="1">IFERROR(IF(COUNTIF($B$937:$B1095,"&lt;0")&lt;&gt;1,OFFSET($C1094,-COUNTIF($B$937:$B1095,"&lt;0")+3,0),""),"")</f>
        <v/>
      </c>
      <c r="N1096" s="515">
        <f ca="1">IFERROR(IF(COUNTA($D$937:D1095)=1,0,OFFSET($F1094,-COUNTA($D$937:D1095)+3,0)),"")</f>
        <v>1</v>
      </c>
      <c r="O1096" s="497"/>
      <c r="P1096" s="497">
        <f t="shared" si="142"/>
        <v>157</v>
      </c>
      <c r="Q1096" s="497"/>
      <c r="R1096" s="497"/>
      <c r="S1096" s="497"/>
      <c r="T1096" s="503"/>
    </row>
    <row r="1097" spans="1:20" x14ac:dyDescent="0.35">
      <c r="A1097" s="497" t="b">
        <v>0</v>
      </c>
      <c r="B1097" s="497">
        <f t="shared" si="139"/>
        <v>-202</v>
      </c>
      <c r="C1097" s="518" t="s">
        <v>9709</v>
      </c>
      <c r="D1097" s="497" t="s">
        <v>5832</v>
      </c>
      <c r="E1097" s="497">
        <f t="shared" si="140"/>
        <v>2</v>
      </c>
      <c r="F1097" s="516">
        <v>27</v>
      </c>
      <c r="G1097" s="503"/>
      <c r="H1097" s="497">
        <f t="shared" ca="1" si="141"/>
        <v>61</v>
      </c>
      <c r="I1097" s="500"/>
      <c r="J1097" s="512"/>
      <c r="K1097" s="512"/>
      <c r="L1097" s="503"/>
      <c r="M1097" s="515" t="str">
        <f ca="1">IFERROR(IF(COUNTIF($B$937:$B1096,"&lt;0")&lt;&gt;1,OFFSET($C1095,-COUNTIF($B$937:$B1096,"&lt;0")+3,0),""),"")</f>
        <v/>
      </c>
      <c r="N1097" s="515">
        <f ca="1">IFERROR(IF(COUNTA($D$937:D1096)=1,0,OFFSET($F1095,-COUNTA($D$937:D1096)+3,0)),"")</f>
        <v>1</v>
      </c>
      <c r="O1097" s="497"/>
      <c r="P1097" s="497">
        <f t="shared" si="142"/>
        <v>158</v>
      </c>
      <c r="Q1097" s="497"/>
      <c r="R1097" s="497"/>
      <c r="S1097" s="497"/>
      <c r="T1097" s="503"/>
    </row>
    <row r="1098" spans="1:20" x14ac:dyDescent="0.35">
      <c r="A1098" s="497" t="b">
        <v>0</v>
      </c>
      <c r="B1098" s="497">
        <f t="shared" si="139"/>
        <v>-201</v>
      </c>
      <c r="C1098" s="518" t="s">
        <v>9710</v>
      </c>
      <c r="D1098" s="497" t="s">
        <v>5832</v>
      </c>
      <c r="E1098" s="497">
        <f t="shared" si="140"/>
        <v>3</v>
      </c>
      <c r="F1098" s="516">
        <v>27</v>
      </c>
      <c r="G1098" s="503"/>
      <c r="H1098" s="497">
        <f t="shared" ca="1" si="141"/>
        <v>61</v>
      </c>
      <c r="I1098" s="500"/>
      <c r="J1098" s="512"/>
      <c r="K1098" s="512"/>
      <c r="L1098" s="503"/>
      <c r="M1098" s="515" t="str">
        <f ca="1">IFERROR(IF(COUNTIF($B$937:$B1097,"&lt;0")&lt;&gt;1,OFFSET($C1096,-COUNTIF($B$937:$B1097,"&lt;0")+3,0),""),"")</f>
        <v/>
      </c>
      <c r="N1098" s="515">
        <f ca="1">IFERROR(IF(COUNTA($D$937:D1097)=1,0,OFFSET($F1096,-COUNTA($D$937:D1097)+3,0)),"")</f>
        <v>1</v>
      </c>
      <c r="O1098" s="497"/>
      <c r="P1098" s="497">
        <f t="shared" si="142"/>
        <v>159</v>
      </c>
      <c r="Q1098" s="497"/>
      <c r="R1098" s="497"/>
      <c r="S1098" s="497"/>
      <c r="T1098" s="503"/>
    </row>
    <row r="1099" spans="1:20" x14ac:dyDescent="0.35">
      <c r="A1099" s="497" t="b">
        <v>0</v>
      </c>
      <c r="B1099" s="497">
        <f t="shared" si="139"/>
        <v>-200</v>
      </c>
      <c r="C1099" s="518" t="s">
        <v>9711</v>
      </c>
      <c r="D1099" s="497" t="s">
        <v>5832</v>
      </c>
      <c r="E1099" s="497">
        <f t="shared" si="140"/>
        <v>4</v>
      </c>
      <c r="F1099" s="516">
        <v>27</v>
      </c>
      <c r="G1099" s="503"/>
      <c r="H1099" s="497">
        <f t="shared" ca="1" si="141"/>
        <v>61</v>
      </c>
      <c r="I1099" s="500"/>
      <c r="J1099" s="512"/>
      <c r="K1099" s="512"/>
      <c r="L1099" s="503"/>
      <c r="M1099" s="515" t="str">
        <f ca="1">IFERROR(IF(COUNTIF($B$937:$B1098,"&lt;0")&lt;&gt;1,OFFSET($C1097,-COUNTIF($B$937:$B1098,"&lt;0")+3,0),""),"")</f>
        <v/>
      </c>
      <c r="N1099" s="515">
        <f ca="1">IFERROR(IF(COUNTA($D$937:D1098)=1,0,OFFSET($F1097,-COUNTA($D$937:D1098)+3,0)),"")</f>
        <v>1</v>
      </c>
      <c r="O1099" s="497"/>
      <c r="P1099" s="497">
        <f t="shared" si="142"/>
        <v>160</v>
      </c>
      <c r="Q1099" s="497"/>
      <c r="R1099" s="497"/>
      <c r="S1099" s="497"/>
      <c r="T1099" s="503"/>
    </row>
    <row r="1100" spans="1:20" x14ac:dyDescent="0.35">
      <c r="A1100" s="497" t="b">
        <v>0</v>
      </c>
      <c r="B1100" s="497">
        <f t="shared" si="139"/>
        <v>-199</v>
      </c>
      <c r="C1100" s="518" t="s">
        <v>9712</v>
      </c>
      <c r="D1100" s="497" t="s">
        <v>5832</v>
      </c>
      <c r="E1100" s="497">
        <f t="shared" si="140"/>
        <v>5</v>
      </c>
      <c r="F1100" s="516">
        <v>27</v>
      </c>
      <c r="G1100" s="503"/>
      <c r="H1100" s="497">
        <f t="shared" ca="1" si="141"/>
        <v>61</v>
      </c>
      <c r="I1100" s="500"/>
      <c r="J1100" s="512"/>
      <c r="K1100" s="512"/>
      <c r="L1100" s="503"/>
      <c r="M1100" s="515" t="str">
        <f ca="1">IFERROR(IF(COUNTIF($B$937:$B1099,"&lt;0")&lt;&gt;1,OFFSET($C1098,-COUNTIF($B$937:$B1099,"&lt;0")+3,0),""),"")</f>
        <v/>
      </c>
      <c r="N1100" s="515">
        <f ca="1">IFERROR(IF(COUNTA($D$937:D1099)=1,0,OFFSET($F1098,-COUNTA($D$937:D1099)+3,0)),"")</f>
        <v>1</v>
      </c>
      <c r="O1100" s="497"/>
      <c r="P1100" s="497">
        <f t="shared" si="142"/>
        <v>161</v>
      </c>
      <c r="Q1100" s="497"/>
      <c r="R1100" s="497"/>
      <c r="S1100" s="497"/>
      <c r="T1100" s="503"/>
    </row>
    <row r="1101" spans="1:20" x14ac:dyDescent="0.35">
      <c r="A1101" s="497" t="b">
        <v>0</v>
      </c>
      <c r="B1101" s="497">
        <f t="shared" si="139"/>
        <v>-198</v>
      </c>
      <c r="C1101" s="518" t="s">
        <v>9713</v>
      </c>
      <c r="D1101" s="497" t="s">
        <v>5832</v>
      </c>
      <c r="E1101" s="497">
        <f t="shared" si="140"/>
        <v>6</v>
      </c>
      <c r="F1101" s="516">
        <v>27</v>
      </c>
      <c r="G1101" s="503"/>
      <c r="H1101" s="497">
        <f t="shared" ca="1" si="141"/>
        <v>61</v>
      </c>
      <c r="I1101" s="500"/>
      <c r="J1101" s="512"/>
      <c r="K1101" s="512"/>
      <c r="L1101" s="503"/>
      <c r="M1101" s="515" t="str">
        <f ca="1">IFERROR(IF(COUNTIF($B$937:$B1100,"&lt;0")&lt;&gt;1,OFFSET($C1099,-COUNTIF($B$937:$B1100,"&lt;0")+3,0),""),"")</f>
        <v/>
      </c>
      <c r="N1101" s="515">
        <f ca="1">IFERROR(IF(COUNTA($D$937:D1100)=1,0,OFFSET($F1099,-COUNTA($D$937:D1100)+3,0)),"")</f>
        <v>1</v>
      </c>
      <c r="O1101" s="497"/>
      <c r="P1101" s="497">
        <f t="shared" si="142"/>
        <v>162</v>
      </c>
      <c r="Q1101" s="497"/>
      <c r="R1101" s="497"/>
      <c r="S1101" s="497"/>
      <c r="T1101" s="503"/>
    </row>
    <row r="1102" spans="1:20" x14ac:dyDescent="0.35">
      <c r="A1102" s="497" t="b">
        <v>0</v>
      </c>
      <c r="B1102" s="497">
        <f t="shared" si="139"/>
        <v>-197</v>
      </c>
      <c r="C1102" s="518" t="s">
        <v>9714</v>
      </c>
      <c r="D1102" s="497" t="s">
        <v>7063</v>
      </c>
      <c r="E1102" s="497">
        <f t="shared" si="140"/>
        <v>1</v>
      </c>
      <c r="F1102" s="516">
        <v>28</v>
      </c>
      <c r="G1102" s="503"/>
      <c r="H1102" s="497">
        <f t="shared" ca="1" si="141"/>
        <v>63</v>
      </c>
      <c r="I1102" s="500"/>
      <c r="J1102" s="512"/>
      <c r="K1102" s="512"/>
      <c r="L1102" s="503"/>
      <c r="M1102" s="515" t="str">
        <f ca="1">IFERROR(IF(COUNTIF($B$937:$B1101,"&lt;0")&lt;&gt;1,OFFSET($C1100,-COUNTIF($B$937:$B1101,"&lt;0")+3,0),""),"")</f>
        <v/>
      </c>
      <c r="N1102" s="515">
        <f ca="1">IFERROR(IF(COUNTA($D$937:D1101)=1,0,OFFSET($F1100,-COUNTA($D$937:D1101)+3,0)),"")</f>
        <v>1</v>
      </c>
      <c r="O1102" s="497"/>
      <c r="P1102" s="497">
        <f t="shared" si="142"/>
        <v>163</v>
      </c>
      <c r="Q1102" s="497"/>
      <c r="R1102" s="497"/>
      <c r="S1102" s="497"/>
      <c r="T1102" s="503"/>
    </row>
    <row r="1103" spans="1:20" x14ac:dyDescent="0.35">
      <c r="A1103" s="497" t="b">
        <v>0</v>
      </c>
      <c r="B1103" s="497">
        <f t="shared" si="139"/>
        <v>-196</v>
      </c>
      <c r="C1103" s="518" t="s">
        <v>9715</v>
      </c>
      <c r="D1103" s="497" t="s">
        <v>7063</v>
      </c>
      <c r="E1103" s="497">
        <f t="shared" si="140"/>
        <v>2</v>
      </c>
      <c r="F1103" s="516">
        <v>28</v>
      </c>
      <c r="G1103" s="503"/>
      <c r="H1103" s="497">
        <f t="shared" ca="1" si="141"/>
        <v>63</v>
      </c>
      <c r="I1103" s="500"/>
      <c r="J1103" s="512"/>
      <c r="K1103" s="512"/>
      <c r="L1103" s="503"/>
      <c r="M1103" s="515" t="str">
        <f ca="1">IFERROR(IF(COUNTIF($B$937:$B1102,"&lt;0")&lt;&gt;1,OFFSET($C1101,-COUNTIF($B$937:$B1102,"&lt;0")+3,0),""),"")</f>
        <v/>
      </c>
      <c r="N1103" s="515">
        <f ca="1">IFERROR(IF(COUNTA($D$937:D1102)=1,0,OFFSET($F1101,-COUNTA($D$937:D1102)+3,0)),"")</f>
        <v>1</v>
      </c>
      <c r="O1103" s="497"/>
      <c r="P1103" s="497">
        <f t="shared" si="142"/>
        <v>164</v>
      </c>
      <c r="Q1103" s="497"/>
      <c r="R1103" s="497"/>
      <c r="S1103" s="497"/>
      <c r="T1103" s="503"/>
    </row>
    <row r="1104" spans="1:20" x14ac:dyDescent="0.35">
      <c r="A1104" s="497" t="b">
        <v>0</v>
      </c>
      <c r="B1104" s="497">
        <f t="shared" si="139"/>
        <v>-195</v>
      </c>
      <c r="C1104" s="518" t="s">
        <v>9716</v>
      </c>
      <c r="D1104" s="497" t="s">
        <v>7063</v>
      </c>
      <c r="E1104" s="497">
        <f t="shared" si="140"/>
        <v>3</v>
      </c>
      <c r="F1104" s="516">
        <v>28</v>
      </c>
      <c r="G1104" s="503"/>
      <c r="H1104" s="497">
        <f t="shared" ca="1" si="141"/>
        <v>63</v>
      </c>
      <c r="I1104" s="500"/>
      <c r="J1104" s="512"/>
      <c r="K1104" s="512"/>
      <c r="L1104" s="503"/>
      <c r="M1104" s="515" t="str">
        <f ca="1">IFERROR(IF(COUNTIF($B$937:$B1103,"&lt;0")&lt;&gt;1,OFFSET($C1102,-COUNTIF($B$937:$B1103,"&lt;0")+3,0),""),"")</f>
        <v/>
      </c>
      <c r="N1104" s="515">
        <f ca="1">IFERROR(IF(COUNTA($D$937:D1103)=1,0,OFFSET($F1102,-COUNTA($D$937:D1103)+3,0)),"")</f>
        <v>1</v>
      </c>
      <c r="O1104" s="497"/>
      <c r="P1104" s="497">
        <f t="shared" si="142"/>
        <v>165</v>
      </c>
      <c r="Q1104" s="497"/>
      <c r="R1104" s="497"/>
      <c r="S1104" s="497"/>
      <c r="T1104" s="503"/>
    </row>
    <row r="1105" spans="1:20" x14ac:dyDescent="0.35">
      <c r="A1105" s="497" t="b">
        <v>0</v>
      </c>
      <c r="B1105" s="497">
        <f t="shared" si="139"/>
        <v>-194</v>
      </c>
      <c r="C1105" s="518" t="s">
        <v>9717</v>
      </c>
      <c r="D1105" s="497" t="s">
        <v>7063</v>
      </c>
      <c r="E1105" s="497">
        <f t="shared" si="140"/>
        <v>4</v>
      </c>
      <c r="F1105" s="516">
        <v>28</v>
      </c>
      <c r="G1105" s="503"/>
      <c r="H1105" s="497">
        <f t="shared" ca="1" si="141"/>
        <v>63</v>
      </c>
      <c r="I1105" s="500"/>
      <c r="J1105" s="512"/>
      <c r="K1105" s="512"/>
      <c r="L1105" s="503"/>
      <c r="M1105" s="515" t="str">
        <f ca="1">IFERROR(IF(COUNTIF($B$937:$B1104,"&lt;0")&lt;&gt;1,OFFSET($C1103,-COUNTIF($B$937:$B1104,"&lt;0")+3,0),""),"")</f>
        <v/>
      </c>
      <c r="N1105" s="515">
        <f ca="1">IFERROR(IF(COUNTA($D$937:D1104)=1,0,OFFSET($F1103,-COUNTA($D$937:D1104)+3,0)),"")</f>
        <v>1</v>
      </c>
      <c r="O1105" s="497"/>
      <c r="P1105" s="497">
        <f t="shared" si="142"/>
        <v>166</v>
      </c>
      <c r="Q1105" s="497"/>
      <c r="R1105" s="497"/>
      <c r="S1105" s="497"/>
      <c r="T1105" s="503"/>
    </row>
    <row r="1106" spans="1:20" x14ac:dyDescent="0.35">
      <c r="A1106" s="497" t="b">
        <v>0</v>
      </c>
      <c r="B1106" s="497">
        <f t="shared" si="139"/>
        <v>-193</v>
      </c>
      <c r="C1106" s="518" t="s">
        <v>9718</v>
      </c>
      <c r="D1106" s="497" t="s">
        <v>7063</v>
      </c>
      <c r="E1106" s="497">
        <f t="shared" si="140"/>
        <v>5</v>
      </c>
      <c r="F1106" s="516">
        <v>28</v>
      </c>
      <c r="G1106" s="503"/>
      <c r="H1106" s="497">
        <f t="shared" ca="1" si="141"/>
        <v>63</v>
      </c>
      <c r="I1106" s="500"/>
      <c r="J1106" s="512"/>
      <c r="K1106" s="512"/>
      <c r="L1106" s="503"/>
      <c r="M1106" s="515" t="str">
        <f ca="1">IFERROR(IF(COUNTIF($B$937:$B1105,"&lt;0")&lt;&gt;1,OFFSET($C1104,-COUNTIF($B$937:$B1105,"&lt;0")+3,0),""),"")</f>
        <v/>
      </c>
      <c r="N1106" s="515">
        <f ca="1">IFERROR(IF(COUNTA($D$937:D1105)=1,0,OFFSET($F1104,-COUNTA($D$937:D1105)+3,0)),"")</f>
        <v>1</v>
      </c>
      <c r="O1106" s="497"/>
      <c r="P1106" s="497">
        <f t="shared" si="142"/>
        <v>167</v>
      </c>
      <c r="Q1106" s="497"/>
      <c r="R1106" s="497"/>
      <c r="S1106" s="497"/>
      <c r="T1106" s="503"/>
    </row>
    <row r="1107" spans="1:20" x14ac:dyDescent="0.35">
      <c r="A1107" s="497" t="b">
        <v>0</v>
      </c>
      <c r="B1107" s="497">
        <f t="shared" si="139"/>
        <v>-192</v>
      </c>
      <c r="C1107" s="518" t="s">
        <v>9719</v>
      </c>
      <c r="D1107" s="497" t="s">
        <v>7063</v>
      </c>
      <c r="E1107" s="497">
        <f t="shared" si="140"/>
        <v>6</v>
      </c>
      <c r="F1107" s="516">
        <v>28</v>
      </c>
      <c r="G1107" s="503"/>
      <c r="H1107" s="497">
        <f t="shared" ca="1" si="141"/>
        <v>63</v>
      </c>
      <c r="I1107" s="500"/>
      <c r="J1107" s="512"/>
      <c r="K1107" s="512"/>
      <c r="L1107" s="503"/>
      <c r="M1107" s="515" t="str">
        <f ca="1">IFERROR(IF(COUNTIF($B$937:$B1106,"&lt;0")&lt;&gt;1,OFFSET($C1105,-COUNTIF($B$937:$B1106,"&lt;0")+3,0),""),"")</f>
        <v/>
      </c>
      <c r="N1107" s="515">
        <f ca="1">IFERROR(IF(COUNTA($D$937:D1106)=1,0,OFFSET($F1105,-COUNTA($D$937:D1106)+3,0)),"")</f>
        <v>1</v>
      </c>
      <c r="O1107" s="497"/>
      <c r="P1107" s="497">
        <f t="shared" si="142"/>
        <v>168</v>
      </c>
      <c r="Q1107" s="497"/>
      <c r="R1107" s="497"/>
      <c r="S1107" s="497"/>
      <c r="T1107" s="503"/>
    </row>
    <row r="1108" spans="1:20" x14ac:dyDescent="0.35">
      <c r="A1108" s="497" t="b">
        <v>0</v>
      </c>
      <c r="B1108" s="497">
        <f t="shared" si="139"/>
        <v>-191</v>
      </c>
      <c r="C1108" s="518" t="s">
        <v>9720</v>
      </c>
      <c r="D1108" s="497" t="s">
        <v>5873</v>
      </c>
      <c r="E1108" s="497">
        <f t="shared" si="140"/>
        <v>1</v>
      </c>
      <c r="F1108" s="516">
        <v>29</v>
      </c>
      <c r="G1108" s="503"/>
      <c r="H1108" s="497">
        <f t="shared" ca="1" si="141"/>
        <v>65</v>
      </c>
      <c r="I1108" s="500"/>
      <c r="J1108" s="512"/>
      <c r="K1108" s="512"/>
      <c r="L1108" s="503"/>
      <c r="M1108" s="515" t="str">
        <f ca="1">IFERROR(IF(COUNTIF($B$937:$B1107,"&lt;0")&lt;&gt;1,OFFSET($C1106,-COUNTIF($B$937:$B1107,"&lt;0")+3,0),""),"")</f>
        <v/>
      </c>
      <c r="N1108" s="515">
        <f ca="1">IFERROR(IF(COUNTA($D$937:D1107)=1,0,OFFSET($F1106,-COUNTA($D$937:D1107)+3,0)),"")</f>
        <v>1</v>
      </c>
      <c r="O1108" s="497"/>
      <c r="P1108" s="497">
        <f t="shared" si="142"/>
        <v>169</v>
      </c>
      <c r="Q1108" s="497"/>
      <c r="R1108" s="497"/>
      <c r="S1108" s="497"/>
      <c r="T1108" s="503"/>
    </row>
    <row r="1109" spans="1:20" x14ac:dyDescent="0.35">
      <c r="A1109" s="497" t="b">
        <v>0</v>
      </c>
      <c r="B1109" s="497">
        <f t="shared" si="139"/>
        <v>-190</v>
      </c>
      <c r="C1109" s="518" t="s">
        <v>9721</v>
      </c>
      <c r="D1109" s="497" t="s">
        <v>5873</v>
      </c>
      <c r="E1109" s="497">
        <f t="shared" si="140"/>
        <v>2</v>
      </c>
      <c r="F1109" s="516">
        <v>29</v>
      </c>
      <c r="G1109" s="503"/>
      <c r="H1109" s="497">
        <f t="shared" ca="1" si="141"/>
        <v>65</v>
      </c>
      <c r="I1109" s="500"/>
      <c r="J1109" s="512"/>
      <c r="K1109" s="512"/>
      <c r="L1109" s="503"/>
      <c r="M1109" s="515" t="str">
        <f ca="1">IFERROR(IF(COUNTIF($B$937:$B1108,"&lt;0")&lt;&gt;1,OFFSET($C1107,-COUNTIF($B$937:$B1108,"&lt;0")+3,0),""),"")</f>
        <v/>
      </c>
      <c r="N1109" s="515">
        <f ca="1">IFERROR(IF(COUNTA($D$937:D1108)=1,0,OFFSET($F1107,-COUNTA($D$937:D1108)+3,0)),"")</f>
        <v>1</v>
      </c>
      <c r="O1109" s="497"/>
      <c r="P1109" s="497">
        <f t="shared" si="142"/>
        <v>170</v>
      </c>
      <c r="Q1109" s="497"/>
      <c r="R1109" s="497"/>
      <c r="S1109" s="497"/>
      <c r="T1109" s="503"/>
    </row>
    <row r="1110" spans="1:20" x14ac:dyDescent="0.35">
      <c r="A1110" s="497" t="b">
        <v>0</v>
      </c>
      <c r="B1110" s="497">
        <f t="shared" si="139"/>
        <v>-189</v>
      </c>
      <c r="C1110" s="518" t="s">
        <v>9722</v>
      </c>
      <c r="D1110" s="497" t="s">
        <v>5873</v>
      </c>
      <c r="E1110" s="497">
        <f t="shared" si="140"/>
        <v>3</v>
      </c>
      <c r="F1110" s="516">
        <v>29</v>
      </c>
      <c r="G1110" s="503"/>
      <c r="H1110" s="497">
        <f t="shared" ca="1" si="141"/>
        <v>65</v>
      </c>
      <c r="I1110" s="500"/>
      <c r="J1110" s="512"/>
      <c r="K1110" s="512"/>
      <c r="L1110" s="503"/>
      <c r="M1110" s="515" t="str">
        <f ca="1">IFERROR(IF(COUNTIF($B$937:$B1109,"&lt;0")&lt;&gt;1,OFFSET($C1108,-COUNTIF($B$937:$B1109,"&lt;0")+3,0),""),"")</f>
        <v/>
      </c>
      <c r="N1110" s="515">
        <f ca="1">IFERROR(IF(COUNTA($D$937:D1109)=1,0,OFFSET($F1108,-COUNTA($D$937:D1109)+3,0)),"")</f>
        <v>1</v>
      </c>
      <c r="O1110" s="497"/>
      <c r="P1110" s="497">
        <f t="shared" si="142"/>
        <v>171</v>
      </c>
      <c r="Q1110" s="497"/>
      <c r="R1110" s="497"/>
      <c r="S1110" s="497"/>
      <c r="T1110" s="503"/>
    </row>
    <row r="1111" spans="1:20" x14ac:dyDescent="0.35">
      <c r="A1111" s="497" t="b">
        <v>0</v>
      </c>
      <c r="B1111" s="497">
        <f t="shared" si="139"/>
        <v>-188</v>
      </c>
      <c r="C1111" s="518" t="s">
        <v>9723</v>
      </c>
      <c r="D1111" s="497" t="s">
        <v>5873</v>
      </c>
      <c r="E1111" s="497">
        <f t="shared" si="140"/>
        <v>4</v>
      </c>
      <c r="F1111" s="516">
        <v>29</v>
      </c>
      <c r="G1111" s="503"/>
      <c r="H1111" s="497">
        <f t="shared" ca="1" si="141"/>
        <v>65</v>
      </c>
      <c r="I1111" s="500"/>
      <c r="J1111" s="512"/>
      <c r="K1111" s="512"/>
      <c r="L1111" s="503"/>
      <c r="M1111" s="515" t="str">
        <f ca="1">IFERROR(IF(COUNTIF($B$937:$B1110,"&lt;0")&lt;&gt;1,OFFSET($C1109,-COUNTIF($B$937:$B1110,"&lt;0")+3,0),""),"")</f>
        <v/>
      </c>
      <c r="N1111" s="515">
        <f ca="1">IFERROR(IF(COUNTA($D$937:D1110)=1,0,OFFSET($F1109,-COUNTA($D$937:D1110)+3,0)),"")</f>
        <v>1</v>
      </c>
      <c r="O1111" s="497"/>
      <c r="P1111" s="497">
        <f t="shared" si="142"/>
        <v>172</v>
      </c>
      <c r="Q1111" s="497"/>
      <c r="R1111" s="497"/>
      <c r="S1111" s="497"/>
      <c r="T1111" s="503"/>
    </row>
    <row r="1112" spans="1:20" x14ac:dyDescent="0.35">
      <c r="A1112" s="497" t="b">
        <v>0</v>
      </c>
      <c r="B1112" s="497">
        <f t="shared" si="139"/>
        <v>-187</v>
      </c>
      <c r="C1112" s="518" t="s">
        <v>9724</v>
      </c>
      <c r="D1112" s="497" t="s">
        <v>5873</v>
      </c>
      <c r="E1112" s="497">
        <f t="shared" si="140"/>
        <v>5</v>
      </c>
      <c r="F1112" s="516">
        <v>29</v>
      </c>
      <c r="G1112" s="503"/>
      <c r="H1112" s="497">
        <f t="shared" ca="1" si="141"/>
        <v>65</v>
      </c>
      <c r="I1112" s="500"/>
      <c r="J1112" s="512"/>
      <c r="K1112" s="512"/>
      <c r="L1112" s="503"/>
      <c r="M1112" s="515" t="str">
        <f ca="1">IFERROR(IF(COUNTIF($B$937:$B1111,"&lt;0")&lt;&gt;1,OFFSET($C1110,-COUNTIF($B$937:$B1111,"&lt;0")+3,0),""),"")</f>
        <v/>
      </c>
      <c r="N1112" s="515">
        <f ca="1">IFERROR(IF(COUNTA($D$937:D1111)=1,0,OFFSET($F1110,-COUNTA($D$937:D1111)+3,0)),"")</f>
        <v>1</v>
      </c>
      <c r="O1112" s="497"/>
      <c r="P1112" s="497">
        <f t="shared" si="142"/>
        <v>173</v>
      </c>
      <c r="Q1112" s="497"/>
      <c r="R1112" s="497"/>
      <c r="S1112" s="497"/>
      <c r="T1112" s="503"/>
    </row>
    <row r="1113" spans="1:20" x14ac:dyDescent="0.35">
      <c r="A1113" s="497" t="b">
        <v>0</v>
      </c>
      <c r="B1113" s="497">
        <f t="shared" si="139"/>
        <v>-186</v>
      </c>
      <c r="C1113" s="518" t="s">
        <v>9725</v>
      </c>
      <c r="D1113" s="497" t="s">
        <v>5873</v>
      </c>
      <c r="E1113" s="497">
        <f t="shared" si="140"/>
        <v>6</v>
      </c>
      <c r="F1113" s="516">
        <v>29</v>
      </c>
      <c r="G1113" s="503"/>
      <c r="H1113" s="497">
        <f t="shared" ca="1" si="141"/>
        <v>65</v>
      </c>
      <c r="I1113" s="500"/>
      <c r="J1113" s="512"/>
      <c r="K1113" s="512"/>
      <c r="L1113" s="503"/>
      <c r="M1113" s="515" t="str">
        <f ca="1">IFERROR(IF(COUNTIF($B$937:$B1112,"&lt;0")&lt;&gt;1,OFFSET($C1111,-COUNTIF($B$937:$B1112,"&lt;0")+3,0),""),"")</f>
        <v/>
      </c>
      <c r="N1113" s="515">
        <f ca="1">IFERROR(IF(COUNTA($D$937:D1112)=1,0,OFFSET($F1111,-COUNTA($D$937:D1112)+3,0)),"")</f>
        <v>1</v>
      </c>
      <c r="O1113" s="497"/>
      <c r="P1113" s="497">
        <f t="shared" si="142"/>
        <v>174</v>
      </c>
      <c r="Q1113" s="497"/>
      <c r="R1113" s="497"/>
      <c r="S1113" s="497"/>
      <c r="T1113" s="503"/>
    </row>
    <row r="1114" spans="1:20" x14ac:dyDescent="0.35">
      <c r="A1114" s="497" t="b">
        <v>0</v>
      </c>
      <c r="B1114" s="497">
        <f t="shared" si="139"/>
        <v>-185</v>
      </c>
      <c r="C1114" s="518" t="s">
        <v>9726</v>
      </c>
      <c r="D1114" s="497" t="s">
        <v>7104</v>
      </c>
      <c r="E1114" s="497">
        <f t="shared" si="140"/>
        <v>1</v>
      </c>
      <c r="F1114" s="516">
        <v>30</v>
      </c>
      <c r="G1114" s="503"/>
      <c r="H1114" s="497">
        <f t="shared" ca="1" si="141"/>
        <v>67</v>
      </c>
      <c r="I1114" s="500"/>
      <c r="J1114" s="512"/>
      <c r="K1114" s="512"/>
      <c r="L1114" s="503"/>
      <c r="M1114" s="515" t="str">
        <f ca="1">IFERROR(IF(COUNTIF($B$937:$B1113,"&lt;0")&lt;&gt;1,OFFSET($C1112,-COUNTIF($B$937:$B1113,"&lt;0")+3,0),""),"")</f>
        <v/>
      </c>
      <c r="N1114" s="515">
        <f ca="1">IFERROR(IF(COUNTA($D$937:D1113)=1,0,OFFSET($F1112,-COUNTA($D$937:D1113)+3,0)),"")</f>
        <v>1</v>
      </c>
      <c r="O1114" s="497"/>
      <c r="P1114" s="497">
        <f t="shared" si="142"/>
        <v>175</v>
      </c>
      <c r="Q1114" s="497"/>
      <c r="R1114" s="497"/>
      <c r="S1114" s="497"/>
      <c r="T1114" s="503"/>
    </row>
    <row r="1115" spans="1:20" x14ac:dyDescent="0.35">
      <c r="A1115" s="497" t="b">
        <v>0</v>
      </c>
      <c r="B1115" s="497">
        <f t="shared" si="139"/>
        <v>-184</v>
      </c>
      <c r="C1115" s="518" t="s">
        <v>9727</v>
      </c>
      <c r="D1115" s="497" t="s">
        <v>7104</v>
      </c>
      <c r="E1115" s="497">
        <f t="shared" si="140"/>
        <v>2</v>
      </c>
      <c r="F1115" s="516">
        <v>30</v>
      </c>
      <c r="G1115" s="503"/>
      <c r="H1115" s="497">
        <f t="shared" ca="1" si="141"/>
        <v>67</v>
      </c>
      <c r="I1115" s="500"/>
      <c r="J1115" s="512"/>
      <c r="K1115" s="512"/>
      <c r="L1115" s="503"/>
      <c r="M1115" s="515" t="str">
        <f ca="1">IFERROR(IF(COUNTIF($B$937:$B1114,"&lt;0")&lt;&gt;1,OFFSET($C1113,-COUNTIF($B$937:$B1114,"&lt;0")+3,0),""),"")</f>
        <v/>
      </c>
      <c r="N1115" s="515">
        <f ca="1">IFERROR(IF(COUNTA($D$937:D1114)=1,0,OFFSET($F1113,-COUNTA($D$937:D1114)+3,0)),"")</f>
        <v>1</v>
      </c>
      <c r="O1115" s="497"/>
      <c r="P1115" s="497">
        <f t="shared" si="142"/>
        <v>176</v>
      </c>
      <c r="Q1115" s="497"/>
      <c r="R1115" s="497"/>
      <c r="S1115" s="497"/>
      <c r="T1115" s="503"/>
    </row>
    <row r="1116" spans="1:20" x14ac:dyDescent="0.35">
      <c r="A1116" s="497" t="b">
        <v>0</v>
      </c>
      <c r="B1116" s="497">
        <f t="shared" si="139"/>
        <v>-183</v>
      </c>
      <c r="C1116" s="518" t="s">
        <v>9728</v>
      </c>
      <c r="D1116" s="497" t="s">
        <v>7104</v>
      </c>
      <c r="E1116" s="497">
        <f t="shared" si="140"/>
        <v>3</v>
      </c>
      <c r="F1116" s="516">
        <v>30</v>
      </c>
      <c r="G1116" s="503"/>
      <c r="H1116" s="497">
        <f t="shared" ca="1" si="141"/>
        <v>67</v>
      </c>
      <c r="I1116" s="500"/>
      <c r="J1116" s="512"/>
      <c r="K1116" s="512"/>
      <c r="L1116" s="503"/>
      <c r="M1116" s="515" t="str">
        <f ca="1">IFERROR(IF(COUNTIF($B$937:$B1115,"&lt;0")&lt;&gt;1,OFFSET($C1114,-COUNTIF($B$937:$B1115,"&lt;0")+3,0),""),"")</f>
        <v/>
      </c>
      <c r="N1116" s="515">
        <f ca="1">IFERROR(IF(COUNTA($D$937:D1115)=1,0,OFFSET($F1114,-COUNTA($D$937:D1115)+3,0)),"")</f>
        <v>1</v>
      </c>
      <c r="O1116" s="497"/>
      <c r="P1116" s="497">
        <f t="shared" si="142"/>
        <v>177</v>
      </c>
      <c r="Q1116" s="497"/>
      <c r="R1116" s="497"/>
      <c r="S1116" s="497"/>
      <c r="T1116" s="503"/>
    </row>
    <row r="1117" spans="1:20" x14ac:dyDescent="0.35">
      <c r="A1117" s="497" t="b">
        <v>0</v>
      </c>
      <c r="B1117" s="497">
        <f t="shared" si="139"/>
        <v>-182</v>
      </c>
      <c r="C1117" s="518" t="s">
        <v>9729</v>
      </c>
      <c r="D1117" s="497" t="s">
        <v>7104</v>
      </c>
      <c r="E1117" s="497">
        <f t="shared" si="140"/>
        <v>4</v>
      </c>
      <c r="F1117" s="516">
        <v>30</v>
      </c>
      <c r="G1117" s="503"/>
      <c r="H1117" s="497">
        <f t="shared" ca="1" si="141"/>
        <v>67</v>
      </c>
      <c r="I1117" s="500"/>
      <c r="J1117" s="512"/>
      <c r="K1117" s="512"/>
      <c r="L1117" s="503"/>
      <c r="M1117" s="515" t="str">
        <f ca="1">IFERROR(IF(COUNTIF($B$937:$B1116,"&lt;0")&lt;&gt;1,OFFSET($C1115,-COUNTIF($B$937:$B1116,"&lt;0")+3,0),""),"")</f>
        <v/>
      </c>
      <c r="N1117" s="515">
        <f ca="1">IFERROR(IF(COUNTA($D$937:D1116)=1,0,OFFSET($F1115,-COUNTA($D$937:D1116)+3,0)),"")</f>
        <v>1</v>
      </c>
      <c r="O1117" s="497"/>
      <c r="P1117" s="497">
        <f t="shared" si="142"/>
        <v>178</v>
      </c>
      <c r="Q1117" s="497"/>
      <c r="R1117" s="497"/>
      <c r="S1117" s="497"/>
      <c r="T1117" s="503"/>
    </row>
    <row r="1118" spans="1:20" x14ac:dyDescent="0.35">
      <c r="A1118" s="497" t="b">
        <v>0</v>
      </c>
      <c r="B1118" s="497">
        <f t="shared" si="139"/>
        <v>-181</v>
      </c>
      <c r="C1118" s="518" t="s">
        <v>9730</v>
      </c>
      <c r="D1118" s="497" t="s">
        <v>7104</v>
      </c>
      <c r="E1118" s="497">
        <f t="shared" si="140"/>
        <v>5</v>
      </c>
      <c r="F1118" s="516">
        <v>30</v>
      </c>
      <c r="G1118" s="503"/>
      <c r="H1118" s="497">
        <f t="shared" ca="1" si="141"/>
        <v>67</v>
      </c>
      <c r="I1118" s="500"/>
      <c r="J1118" s="512"/>
      <c r="K1118" s="512"/>
      <c r="L1118" s="503"/>
      <c r="M1118" s="515" t="str">
        <f ca="1">IFERROR(IF(COUNTIF($B$937:$B1117,"&lt;0")&lt;&gt;1,OFFSET($C1116,-COUNTIF($B$937:$B1117,"&lt;0")+3,0),""),"")</f>
        <v/>
      </c>
      <c r="N1118" s="515">
        <f ca="1">IFERROR(IF(COUNTA($D$937:D1117)=1,0,OFFSET($F1116,-COUNTA($D$937:D1117)+3,0)),"")</f>
        <v>1</v>
      </c>
      <c r="O1118" s="497"/>
      <c r="P1118" s="497">
        <f t="shared" si="142"/>
        <v>179</v>
      </c>
      <c r="Q1118" s="497"/>
      <c r="R1118" s="497"/>
      <c r="S1118" s="497"/>
      <c r="T1118" s="503"/>
    </row>
    <row r="1119" spans="1:20" x14ac:dyDescent="0.35">
      <c r="A1119" s="497" t="b">
        <v>0</v>
      </c>
      <c r="B1119" s="497">
        <f t="shared" si="139"/>
        <v>-180</v>
      </c>
      <c r="C1119" s="518" t="s">
        <v>9731</v>
      </c>
      <c r="D1119" s="497" t="s">
        <v>7104</v>
      </c>
      <c r="E1119" s="497">
        <f t="shared" si="140"/>
        <v>6</v>
      </c>
      <c r="F1119" s="516">
        <v>30</v>
      </c>
      <c r="G1119" s="503"/>
      <c r="H1119" s="497">
        <f t="shared" ca="1" si="141"/>
        <v>67</v>
      </c>
      <c r="I1119" s="500"/>
      <c r="J1119" s="512"/>
      <c r="K1119" s="512"/>
      <c r="L1119" s="503"/>
      <c r="M1119" s="515" t="str">
        <f ca="1">IFERROR(IF(COUNTIF($B$937:$B1118,"&lt;0")&lt;&gt;1,OFFSET($C1117,-COUNTIF($B$937:$B1118,"&lt;0")+3,0),""),"")</f>
        <v/>
      </c>
      <c r="N1119" s="515">
        <f ca="1">IFERROR(IF(COUNTA($D$937:D1118)=1,0,OFFSET($F1117,-COUNTA($D$937:D1118)+3,0)),"")</f>
        <v>1</v>
      </c>
      <c r="O1119" s="497"/>
      <c r="P1119" s="497">
        <f t="shared" si="142"/>
        <v>180</v>
      </c>
      <c r="Q1119" s="497"/>
      <c r="R1119" s="497"/>
      <c r="S1119" s="497"/>
      <c r="T1119" s="503"/>
    </row>
    <row r="1120" spans="1:20" x14ac:dyDescent="0.35">
      <c r="A1120" s="497" t="b">
        <v>0</v>
      </c>
      <c r="B1120" s="497">
        <f t="shared" si="139"/>
        <v>-179</v>
      </c>
      <c r="C1120" s="518" t="s">
        <v>9732</v>
      </c>
      <c r="D1120" s="497" t="s">
        <v>5914</v>
      </c>
      <c r="E1120" s="497">
        <f t="shared" si="140"/>
        <v>1</v>
      </c>
      <c r="F1120" s="516">
        <v>31</v>
      </c>
      <c r="G1120" s="503"/>
      <c r="H1120" s="497">
        <f t="shared" ca="1" si="141"/>
        <v>69</v>
      </c>
      <c r="I1120" s="500"/>
      <c r="J1120" s="512"/>
      <c r="K1120" s="512"/>
      <c r="L1120" s="503"/>
      <c r="M1120" s="515" t="str">
        <f ca="1">IFERROR(IF(COUNTIF($B$937:$B1119,"&lt;0")&lt;&gt;1,OFFSET($C1118,-COUNTIF($B$937:$B1119,"&lt;0")+3,0),""),"")</f>
        <v/>
      </c>
      <c r="N1120" s="515">
        <f ca="1">IFERROR(IF(COUNTA($D$937:D1119)=1,0,OFFSET($F1118,-COUNTA($D$937:D1119)+3,0)),"")</f>
        <v>1</v>
      </c>
      <c r="O1120" s="497"/>
      <c r="P1120" s="497">
        <f t="shared" si="142"/>
        <v>181</v>
      </c>
      <c r="Q1120" s="497"/>
      <c r="R1120" s="497"/>
      <c r="S1120" s="497"/>
      <c r="T1120" s="503"/>
    </row>
    <row r="1121" spans="1:20" x14ac:dyDescent="0.35">
      <c r="A1121" s="497" t="b">
        <v>0</v>
      </c>
      <c r="B1121" s="497">
        <f t="shared" si="139"/>
        <v>-178</v>
      </c>
      <c r="C1121" s="518" t="s">
        <v>9733</v>
      </c>
      <c r="D1121" s="497" t="s">
        <v>5914</v>
      </c>
      <c r="E1121" s="497">
        <f t="shared" si="140"/>
        <v>2</v>
      </c>
      <c r="F1121" s="516">
        <v>31</v>
      </c>
      <c r="G1121" s="503"/>
      <c r="H1121" s="497">
        <f t="shared" ca="1" si="141"/>
        <v>69</v>
      </c>
      <c r="I1121" s="500"/>
      <c r="J1121" s="512"/>
      <c r="K1121" s="512"/>
      <c r="L1121" s="503"/>
      <c r="M1121" s="515" t="str">
        <f ca="1">IFERROR(IF(COUNTIF($B$937:$B1120,"&lt;0")&lt;&gt;1,OFFSET($C1119,-COUNTIF($B$937:$B1120,"&lt;0")+3,0),""),"")</f>
        <v/>
      </c>
      <c r="N1121" s="515">
        <f ca="1">IFERROR(IF(COUNTA($D$937:D1120)=1,0,OFFSET($F1119,-COUNTA($D$937:D1120)+3,0)),"")</f>
        <v>1</v>
      </c>
      <c r="O1121" s="497"/>
      <c r="P1121" s="497">
        <f t="shared" si="142"/>
        <v>182</v>
      </c>
      <c r="Q1121" s="497"/>
      <c r="R1121" s="497"/>
      <c r="S1121" s="497"/>
      <c r="T1121" s="503"/>
    </row>
    <row r="1122" spans="1:20" x14ac:dyDescent="0.35">
      <c r="A1122" s="497" t="b">
        <v>0</v>
      </c>
      <c r="B1122" s="497">
        <f t="shared" si="139"/>
        <v>-177</v>
      </c>
      <c r="C1122" s="518" t="s">
        <v>9734</v>
      </c>
      <c r="D1122" s="497" t="s">
        <v>5914</v>
      </c>
      <c r="E1122" s="497">
        <f t="shared" si="140"/>
        <v>3</v>
      </c>
      <c r="F1122" s="516">
        <v>31</v>
      </c>
      <c r="G1122" s="503"/>
      <c r="H1122" s="497">
        <f t="shared" ca="1" si="141"/>
        <v>69</v>
      </c>
      <c r="I1122" s="500"/>
      <c r="J1122" s="512"/>
      <c r="K1122" s="512"/>
      <c r="L1122" s="503"/>
      <c r="M1122" s="515" t="str">
        <f ca="1">IFERROR(IF(COUNTIF($B$937:$B1121,"&lt;0")&lt;&gt;1,OFFSET($C1120,-COUNTIF($B$937:$B1121,"&lt;0")+3,0),""),"")</f>
        <v/>
      </c>
      <c r="N1122" s="515">
        <f ca="1">IFERROR(IF(COUNTA($D$937:D1121)=1,0,OFFSET($F1120,-COUNTA($D$937:D1121)+3,0)),"")</f>
        <v>1</v>
      </c>
      <c r="O1122" s="497"/>
      <c r="P1122" s="497">
        <f t="shared" si="142"/>
        <v>183</v>
      </c>
      <c r="Q1122" s="497"/>
      <c r="R1122" s="497"/>
      <c r="S1122" s="497"/>
      <c r="T1122" s="503"/>
    </row>
    <row r="1123" spans="1:20" x14ac:dyDescent="0.35">
      <c r="A1123" s="497" t="b">
        <v>0</v>
      </c>
      <c r="B1123" s="497">
        <f t="shared" si="139"/>
        <v>-176</v>
      </c>
      <c r="C1123" s="518" t="s">
        <v>9735</v>
      </c>
      <c r="D1123" s="497" t="s">
        <v>5914</v>
      </c>
      <c r="E1123" s="497">
        <f t="shared" si="140"/>
        <v>4</v>
      </c>
      <c r="F1123" s="516">
        <v>31</v>
      </c>
      <c r="G1123" s="503"/>
      <c r="H1123" s="497">
        <f t="shared" ca="1" si="141"/>
        <v>69</v>
      </c>
      <c r="I1123" s="500"/>
      <c r="J1123" s="512"/>
      <c r="K1123" s="512"/>
      <c r="L1123" s="503"/>
      <c r="M1123" s="515" t="str">
        <f ca="1">IFERROR(IF(COUNTIF($B$937:$B1122,"&lt;0")&lt;&gt;1,OFFSET($C1121,-COUNTIF($B$937:$B1122,"&lt;0")+3,0),""),"")</f>
        <v/>
      </c>
      <c r="N1123" s="515">
        <f ca="1">IFERROR(IF(COUNTA($D$937:D1122)=1,0,OFFSET($F1121,-COUNTA($D$937:D1122)+3,0)),"")</f>
        <v>1</v>
      </c>
      <c r="O1123" s="497"/>
      <c r="P1123" s="497">
        <f t="shared" si="142"/>
        <v>184</v>
      </c>
      <c r="Q1123" s="497"/>
      <c r="R1123" s="497"/>
      <c r="S1123" s="497"/>
      <c r="T1123" s="503"/>
    </row>
    <row r="1124" spans="1:20" x14ac:dyDescent="0.35">
      <c r="A1124" s="497" t="b">
        <v>0</v>
      </c>
      <c r="B1124" s="497">
        <f t="shared" si="139"/>
        <v>-175</v>
      </c>
      <c r="C1124" s="518" t="s">
        <v>9736</v>
      </c>
      <c r="D1124" s="497" t="s">
        <v>5914</v>
      </c>
      <c r="E1124" s="497">
        <f t="shared" si="140"/>
        <v>5</v>
      </c>
      <c r="F1124" s="516">
        <v>31</v>
      </c>
      <c r="G1124" s="503"/>
      <c r="H1124" s="497">
        <f t="shared" ca="1" si="141"/>
        <v>69</v>
      </c>
      <c r="I1124" s="500"/>
      <c r="J1124" s="512"/>
      <c r="K1124" s="512"/>
      <c r="L1124" s="503"/>
      <c r="M1124" s="515" t="str">
        <f ca="1">IFERROR(IF(COUNTIF($B$937:$B1123,"&lt;0")&lt;&gt;1,OFFSET($C1122,-COUNTIF($B$937:$B1123,"&lt;0")+3,0),""),"")</f>
        <v/>
      </c>
      <c r="N1124" s="515">
        <f ca="1">IFERROR(IF(COUNTA($D$937:D1123)=1,0,OFFSET($F1122,-COUNTA($D$937:D1123)+3,0)),"")</f>
        <v>1</v>
      </c>
      <c r="O1124" s="497"/>
      <c r="P1124" s="497">
        <f t="shared" si="142"/>
        <v>185</v>
      </c>
      <c r="Q1124" s="497"/>
      <c r="R1124" s="497"/>
      <c r="S1124" s="497"/>
      <c r="T1124" s="503"/>
    </row>
    <row r="1125" spans="1:20" x14ac:dyDescent="0.35">
      <c r="A1125" s="497" t="b">
        <v>0</v>
      </c>
      <c r="B1125" s="497">
        <f t="shared" si="139"/>
        <v>-174</v>
      </c>
      <c r="C1125" s="518" t="s">
        <v>9737</v>
      </c>
      <c r="D1125" s="497" t="s">
        <v>5914</v>
      </c>
      <c r="E1125" s="497">
        <f t="shared" si="140"/>
        <v>6</v>
      </c>
      <c r="F1125" s="516">
        <v>31</v>
      </c>
      <c r="G1125" s="503"/>
      <c r="H1125" s="497">
        <f t="shared" ca="1" si="141"/>
        <v>69</v>
      </c>
      <c r="I1125" s="500"/>
      <c r="J1125" s="512"/>
      <c r="K1125" s="512"/>
      <c r="L1125" s="503"/>
      <c r="M1125" s="515" t="str">
        <f ca="1">IFERROR(IF(COUNTIF($B$937:$B1124,"&lt;0")&lt;&gt;1,OFFSET($C1123,-COUNTIF($B$937:$B1124,"&lt;0")+3,0),""),"")</f>
        <v/>
      </c>
      <c r="N1125" s="515">
        <f ca="1">IFERROR(IF(COUNTA($D$937:D1124)=1,0,OFFSET($F1123,-COUNTA($D$937:D1124)+3,0)),"")</f>
        <v>1</v>
      </c>
      <c r="O1125" s="497"/>
      <c r="P1125" s="497">
        <f t="shared" si="142"/>
        <v>186</v>
      </c>
      <c r="Q1125" s="497"/>
      <c r="R1125" s="497"/>
      <c r="S1125" s="497"/>
      <c r="T1125" s="503"/>
    </row>
    <row r="1126" spans="1:20" x14ac:dyDescent="0.35">
      <c r="A1126" s="497" t="b">
        <v>0</v>
      </c>
      <c r="B1126" s="497">
        <f t="shared" si="139"/>
        <v>-173</v>
      </c>
      <c r="C1126" s="518" t="s">
        <v>9738</v>
      </c>
      <c r="D1126" s="497" t="s">
        <v>7145</v>
      </c>
      <c r="E1126" s="497">
        <f t="shared" si="140"/>
        <v>1</v>
      </c>
      <c r="F1126" s="516">
        <v>32</v>
      </c>
      <c r="G1126" s="503"/>
      <c r="H1126" s="497">
        <f t="shared" ca="1" si="141"/>
        <v>71</v>
      </c>
      <c r="I1126" s="500"/>
      <c r="J1126" s="512"/>
      <c r="K1126" s="512"/>
      <c r="L1126" s="503"/>
      <c r="M1126" s="515" t="str">
        <f ca="1">IFERROR(IF(COUNTIF($B$937:$B1125,"&lt;0")&lt;&gt;1,OFFSET($C1124,-COUNTIF($B$937:$B1125,"&lt;0")+3,0),""),"")</f>
        <v/>
      </c>
      <c r="N1126" s="515">
        <f ca="1">IFERROR(IF(COUNTA($D$937:D1125)=1,0,OFFSET($F1124,-COUNTA($D$937:D1125)+3,0)),"")</f>
        <v>1</v>
      </c>
      <c r="O1126" s="497"/>
      <c r="P1126" s="497">
        <f t="shared" si="142"/>
        <v>187</v>
      </c>
      <c r="Q1126" s="497"/>
      <c r="R1126" s="497"/>
      <c r="S1126" s="497"/>
      <c r="T1126" s="503"/>
    </row>
    <row r="1127" spans="1:20" x14ac:dyDescent="0.35">
      <c r="A1127" s="497" t="b">
        <v>0</v>
      </c>
      <c r="B1127" s="497">
        <f t="shared" si="139"/>
        <v>-172</v>
      </c>
      <c r="C1127" s="518" t="s">
        <v>9739</v>
      </c>
      <c r="D1127" s="497" t="s">
        <v>7145</v>
      </c>
      <c r="E1127" s="497">
        <f t="shared" si="140"/>
        <v>2</v>
      </c>
      <c r="F1127" s="516">
        <v>32</v>
      </c>
      <c r="G1127" s="503"/>
      <c r="H1127" s="497">
        <f t="shared" ca="1" si="141"/>
        <v>71</v>
      </c>
      <c r="I1127" s="500"/>
      <c r="J1127" s="512"/>
      <c r="K1127" s="512"/>
      <c r="L1127" s="503"/>
      <c r="M1127" s="515" t="str">
        <f ca="1">IFERROR(IF(COUNTIF($B$937:$B1126,"&lt;0")&lt;&gt;1,OFFSET($C1125,-COUNTIF($B$937:$B1126,"&lt;0")+3,0),""),"")</f>
        <v/>
      </c>
      <c r="N1127" s="515">
        <f ca="1">IFERROR(IF(COUNTA($D$937:D1126)=1,0,OFFSET($F1125,-COUNTA($D$937:D1126)+3,0)),"")</f>
        <v>1</v>
      </c>
      <c r="O1127" s="497"/>
      <c r="P1127" s="497">
        <f t="shared" si="142"/>
        <v>188</v>
      </c>
      <c r="Q1127" s="497"/>
      <c r="R1127" s="497"/>
      <c r="S1127" s="497"/>
      <c r="T1127" s="503"/>
    </row>
    <row r="1128" spans="1:20" x14ac:dyDescent="0.35">
      <c r="A1128" s="497" t="b">
        <v>0</v>
      </c>
      <c r="B1128" s="497">
        <f t="shared" si="139"/>
        <v>-171</v>
      </c>
      <c r="C1128" s="518" t="s">
        <v>9740</v>
      </c>
      <c r="D1128" s="497" t="s">
        <v>7145</v>
      </c>
      <c r="E1128" s="497">
        <f t="shared" si="140"/>
        <v>3</v>
      </c>
      <c r="F1128" s="516">
        <v>32</v>
      </c>
      <c r="G1128" s="503"/>
      <c r="H1128" s="497">
        <f t="shared" ca="1" si="141"/>
        <v>71</v>
      </c>
      <c r="I1128" s="500"/>
      <c r="J1128" s="512"/>
      <c r="K1128" s="512"/>
      <c r="L1128" s="503"/>
      <c r="M1128" s="515" t="str">
        <f ca="1">IFERROR(IF(COUNTIF($B$937:$B1127,"&lt;0")&lt;&gt;1,OFFSET($C1126,-COUNTIF($B$937:$B1127,"&lt;0")+3,0),""),"")</f>
        <v/>
      </c>
      <c r="N1128" s="515">
        <f ca="1">IFERROR(IF(COUNTA($D$937:D1127)=1,0,OFFSET($F1126,-COUNTA($D$937:D1127)+3,0)),"")</f>
        <v>1</v>
      </c>
      <c r="O1128" s="497"/>
      <c r="P1128" s="497">
        <f t="shared" si="142"/>
        <v>189</v>
      </c>
      <c r="Q1128" s="497"/>
      <c r="R1128" s="497"/>
      <c r="S1128" s="497"/>
      <c r="T1128" s="503"/>
    </row>
    <row r="1129" spans="1:20" x14ac:dyDescent="0.35">
      <c r="A1129" s="497" t="b">
        <v>0</v>
      </c>
      <c r="B1129" s="497">
        <f t="shared" si="139"/>
        <v>-170</v>
      </c>
      <c r="C1129" s="518" t="s">
        <v>9741</v>
      </c>
      <c r="D1129" s="497" t="s">
        <v>7145</v>
      </c>
      <c r="E1129" s="497">
        <f t="shared" si="140"/>
        <v>4</v>
      </c>
      <c r="F1129" s="516">
        <v>32</v>
      </c>
      <c r="G1129" s="503"/>
      <c r="H1129" s="497">
        <f t="shared" ca="1" si="141"/>
        <v>71</v>
      </c>
      <c r="I1129" s="500"/>
      <c r="J1129" s="512"/>
      <c r="K1129" s="512"/>
      <c r="L1129" s="503"/>
      <c r="M1129" s="515" t="str">
        <f ca="1">IFERROR(IF(COUNTIF($B$937:$B1128,"&lt;0")&lt;&gt;1,OFFSET($C1127,-COUNTIF($B$937:$B1128,"&lt;0")+3,0),""),"")</f>
        <v/>
      </c>
      <c r="N1129" s="515">
        <f ca="1">IFERROR(IF(COUNTA($D$937:D1128)=1,0,OFFSET($F1127,-COUNTA($D$937:D1128)+3,0)),"")</f>
        <v>1</v>
      </c>
      <c r="O1129" s="497"/>
      <c r="P1129" s="497">
        <f t="shared" si="142"/>
        <v>190</v>
      </c>
      <c r="Q1129" s="497"/>
      <c r="R1129" s="497"/>
      <c r="S1129" s="497"/>
      <c r="T1129" s="503"/>
    </row>
    <row r="1130" spans="1:20" x14ac:dyDescent="0.35">
      <c r="A1130" s="497" t="b">
        <v>0</v>
      </c>
      <c r="B1130" s="497">
        <f t="shared" si="139"/>
        <v>-169</v>
      </c>
      <c r="C1130" s="518" t="s">
        <v>9742</v>
      </c>
      <c r="D1130" s="497" t="s">
        <v>7145</v>
      </c>
      <c r="E1130" s="497">
        <f t="shared" si="140"/>
        <v>5</v>
      </c>
      <c r="F1130" s="516">
        <v>32</v>
      </c>
      <c r="G1130" s="503"/>
      <c r="H1130" s="497">
        <f t="shared" ca="1" si="141"/>
        <v>71</v>
      </c>
      <c r="I1130" s="500"/>
      <c r="J1130" s="512"/>
      <c r="K1130" s="512"/>
      <c r="L1130" s="503"/>
      <c r="M1130" s="515" t="str">
        <f ca="1">IFERROR(IF(COUNTIF($B$937:$B1129,"&lt;0")&lt;&gt;1,OFFSET($C1128,-COUNTIF($B$937:$B1129,"&lt;0")+3,0),""),"")</f>
        <v/>
      </c>
      <c r="N1130" s="515">
        <f ca="1">IFERROR(IF(COUNTA($D$937:D1129)=1,0,OFFSET($F1128,-COUNTA($D$937:D1129)+3,0)),"")</f>
        <v>1</v>
      </c>
      <c r="O1130" s="497"/>
      <c r="P1130" s="497">
        <f t="shared" si="142"/>
        <v>191</v>
      </c>
      <c r="Q1130" s="497"/>
      <c r="R1130" s="497"/>
      <c r="S1130" s="497"/>
      <c r="T1130" s="503"/>
    </row>
    <row r="1131" spans="1:20" x14ac:dyDescent="0.35">
      <c r="A1131" s="497" t="b">
        <v>0</v>
      </c>
      <c r="B1131" s="497">
        <f t="shared" si="139"/>
        <v>-168</v>
      </c>
      <c r="C1131" s="518" t="s">
        <v>9743</v>
      </c>
      <c r="D1131" s="497" t="s">
        <v>7145</v>
      </c>
      <c r="E1131" s="497">
        <f t="shared" si="140"/>
        <v>6</v>
      </c>
      <c r="F1131" s="516">
        <v>32</v>
      </c>
      <c r="G1131" s="503"/>
      <c r="H1131" s="497">
        <f t="shared" ca="1" si="141"/>
        <v>71</v>
      </c>
      <c r="I1131" s="500"/>
      <c r="J1131" s="512"/>
      <c r="K1131" s="512"/>
      <c r="L1131" s="503"/>
      <c r="M1131" s="515" t="str">
        <f ca="1">IFERROR(IF(COUNTIF($B$937:$B1130,"&lt;0")&lt;&gt;1,OFFSET($C1129,-COUNTIF($B$937:$B1130,"&lt;0")+3,0),""),"")</f>
        <v/>
      </c>
      <c r="N1131" s="515">
        <f ca="1">IFERROR(IF(COUNTA($D$937:D1130)=1,0,OFFSET($F1129,-COUNTA($D$937:D1130)+3,0)),"")</f>
        <v>1</v>
      </c>
      <c r="O1131" s="497"/>
      <c r="P1131" s="497">
        <f t="shared" si="142"/>
        <v>192</v>
      </c>
      <c r="Q1131" s="497"/>
      <c r="R1131" s="497"/>
      <c r="S1131" s="497"/>
      <c r="T1131" s="503"/>
    </row>
    <row r="1132" spans="1:20" x14ac:dyDescent="0.35">
      <c r="A1132" s="497" t="b">
        <v>0</v>
      </c>
      <c r="B1132" s="497">
        <f t="shared" ref="B1132:B1195" si="143">B1131+1</f>
        <v>-167</v>
      </c>
      <c r="C1132" s="518" t="s">
        <v>9744</v>
      </c>
      <c r="D1132" s="497" t="s">
        <v>5955</v>
      </c>
      <c r="E1132" s="497">
        <f t="shared" ref="E1132:E1195" si="144">COUNTIF(F1035:F1132,F1132)</f>
        <v>1</v>
      </c>
      <c r="F1132" s="516">
        <v>33</v>
      </c>
      <c r="G1132" s="503"/>
      <c r="H1132" s="497">
        <f t="shared" ref="H1132:H1195" ca="1" si="145">IF(F1132=1,9,IF(E1131=MAX(E1130:E1132),H1130+2,H1131))</f>
        <v>73</v>
      </c>
      <c r="I1132" s="500"/>
      <c r="J1132" s="512"/>
      <c r="K1132" s="512"/>
      <c r="L1132" s="503"/>
      <c r="M1132" s="515" t="str">
        <f ca="1">IFERROR(IF(COUNTIF($B$937:$B1131,"&lt;0")&lt;&gt;1,OFFSET($C1130,-COUNTIF($B$937:$B1131,"&lt;0")+3,0),""),"")</f>
        <v/>
      </c>
      <c r="N1132" s="515">
        <f ca="1">IFERROR(IF(COUNTA($D$937:D1131)=1,0,OFFSET($F1130,-COUNTA($D$937:D1131)+3,0)),"")</f>
        <v>1</v>
      </c>
      <c r="O1132" s="497"/>
      <c r="P1132" s="497">
        <f t="shared" ref="P1132:P1195" si="146">IF(NOT(_xlfn.ISFORMULA(I1132)),P1131+1,0)</f>
        <v>193</v>
      </c>
      <c r="Q1132" s="497"/>
      <c r="R1132" s="497"/>
      <c r="S1132" s="497"/>
      <c r="T1132" s="503"/>
    </row>
    <row r="1133" spans="1:20" x14ac:dyDescent="0.35">
      <c r="A1133" s="497" t="b">
        <v>0</v>
      </c>
      <c r="B1133" s="497">
        <f t="shared" si="143"/>
        <v>-166</v>
      </c>
      <c r="C1133" s="518" t="s">
        <v>9745</v>
      </c>
      <c r="D1133" s="497" t="s">
        <v>5955</v>
      </c>
      <c r="E1133" s="497">
        <f t="shared" si="144"/>
        <v>2</v>
      </c>
      <c r="F1133" s="516">
        <v>33</v>
      </c>
      <c r="G1133" s="503"/>
      <c r="H1133" s="497">
        <f t="shared" ca="1" si="145"/>
        <v>73</v>
      </c>
      <c r="I1133" s="500"/>
      <c r="J1133" s="512"/>
      <c r="K1133" s="512"/>
      <c r="L1133" s="503"/>
      <c r="M1133" s="515" t="str">
        <f ca="1">IFERROR(IF(COUNTIF($B$937:$B1132,"&lt;0")&lt;&gt;1,OFFSET($C1131,-COUNTIF($B$937:$B1132,"&lt;0")+3,0),""),"")</f>
        <v/>
      </c>
      <c r="N1133" s="515">
        <f ca="1">IFERROR(IF(COUNTA($D$937:D1132)=1,0,OFFSET($F1131,-COUNTA($D$937:D1132)+3,0)),"")</f>
        <v>1</v>
      </c>
      <c r="O1133" s="497"/>
      <c r="P1133" s="497">
        <f t="shared" si="146"/>
        <v>194</v>
      </c>
      <c r="Q1133" s="497"/>
      <c r="R1133" s="497"/>
      <c r="S1133" s="497"/>
      <c r="T1133" s="503"/>
    </row>
    <row r="1134" spans="1:20" x14ac:dyDescent="0.35">
      <c r="A1134" s="497" t="b">
        <v>0</v>
      </c>
      <c r="B1134" s="497">
        <f t="shared" si="143"/>
        <v>-165</v>
      </c>
      <c r="C1134" s="518" t="s">
        <v>9746</v>
      </c>
      <c r="D1134" s="497" t="s">
        <v>5955</v>
      </c>
      <c r="E1134" s="497">
        <f t="shared" si="144"/>
        <v>3</v>
      </c>
      <c r="F1134" s="516">
        <v>33</v>
      </c>
      <c r="G1134" s="503"/>
      <c r="H1134" s="497">
        <f t="shared" ca="1" si="145"/>
        <v>73</v>
      </c>
      <c r="I1134" s="500"/>
      <c r="J1134" s="512"/>
      <c r="K1134" s="512"/>
      <c r="L1134" s="503"/>
      <c r="M1134" s="515" t="str">
        <f ca="1">IFERROR(IF(COUNTIF($B$937:$B1133,"&lt;0")&lt;&gt;1,OFFSET($C1132,-COUNTIF($B$937:$B1133,"&lt;0")+3,0),""),"")</f>
        <v/>
      </c>
      <c r="N1134" s="515">
        <f ca="1">IFERROR(IF(COUNTA($D$937:D1133)=1,0,OFFSET($F1132,-COUNTA($D$937:D1133)+3,0)),"")</f>
        <v>1</v>
      </c>
      <c r="O1134" s="497"/>
      <c r="P1134" s="497">
        <f t="shared" si="146"/>
        <v>195</v>
      </c>
      <c r="Q1134" s="497"/>
      <c r="R1134" s="497"/>
      <c r="S1134" s="497"/>
      <c r="T1134" s="503"/>
    </row>
    <row r="1135" spans="1:20" x14ac:dyDescent="0.35">
      <c r="A1135" s="497" t="b">
        <v>0</v>
      </c>
      <c r="B1135" s="497">
        <f t="shared" si="143"/>
        <v>-164</v>
      </c>
      <c r="C1135" s="518" t="s">
        <v>9747</v>
      </c>
      <c r="D1135" s="497" t="s">
        <v>5955</v>
      </c>
      <c r="E1135" s="497">
        <f t="shared" si="144"/>
        <v>4</v>
      </c>
      <c r="F1135" s="516">
        <v>33</v>
      </c>
      <c r="G1135" s="503"/>
      <c r="H1135" s="497">
        <f t="shared" ca="1" si="145"/>
        <v>73</v>
      </c>
      <c r="I1135" s="500"/>
      <c r="J1135" s="512"/>
      <c r="K1135" s="512"/>
      <c r="L1135" s="503"/>
      <c r="M1135" s="515" t="str">
        <f ca="1">IFERROR(IF(COUNTIF($B$937:$B1134,"&lt;0")&lt;&gt;1,OFFSET($C1133,-COUNTIF($B$937:$B1134,"&lt;0")+3,0),""),"")</f>
        <v/>
      </c>
      <c r="N1135" s="515">
        <f ca="1">IFERROR(IF(COUNTA($D$937:D1134)=1,0,OFFSET($F1133,-COUNTA($D$937:D1134)+3,0)),"")</f>
        <v>1</v>
      </c>
      <c r="O1135" s="497"/>
      <c r="P1135" s="497">
        <f t="shared" si="146"/>
        <v>196</v>
      </c>
      <c r="Q1135" s="497"/>
      <c r="R1135" s="497"/>
      <c r="S1135" s="497"/>
      <c r="T1135" s="503"/>
    </row>
    <row r="1136" spans="1:20" x14ac:dyDescent="0.35">
      <c r="A1136" s="497" t="b">
        <v>0</v>
      </c>
      <c r="B1136" s="497">
        <f t="shared" si="143"/>
        <v>-163</v>
      </c>
      <c r="C1136" s="518" t="s">
        <v>9748</v>
      </c>
      <c r="D1136" s="497" t="s">
        <v>5955</v>
      </c>
      <c r="E1136" s="497">
        <f t="shared" si="144"/>
        <v>5</v>
      </c>
      <c r="F1136" s="516">
        <v>33</v>
      </c>
      <c r="G1136" s="503"/>
      <c r="H1136" s="497">
        <f t="shared" ca="1" si="145"/>
        <v>73</v>
      </c>
      <c r="I1136" s="500"/>
      <c r="J1136" s="512"/>
      <c r="K1136" s="512"/>
      <c r="L1136" s="503"/>
      <c r="M1136" s="515" t="str">
        <f ca="1">IFERROR(IF(COUNTIF($B$937:$B1135,"&lt;0")&lt;&gt;1,OFFSET($C1134,-COUNTIF($B$937:$B1135,"&lt;0")+3,0),""),"")</f>
        <v/>
      </c>
      <c r="N1136" s="515">
        <f ca="1">IFERROR(IF(COUNTA($D$937:D1135)=1,0,OFFSET($F1134,-COUNTA($D$937:D1135)+3,0)),"")</f>
        <v>1</v>
      </c>
      <c r="O1136" s="497"/>
      <c r="P1136" s="497">
        <f t="shared" si="146"/>
        <v>197</v>
      </c>
      <c r="Q1136" s="497"/>
      <c r="R1136" s="497"/>
      <c r="S1136" s="497"/>
      <c r="T1136" s="503"/>
    </row>
    <row r="1137" spans="1:20" x14ac:dyDescent="0.35">
      <c r="A1137" s="497" t="b">
        <v>0</v>
      </c>
      <c r="B1137" s="497">
        <f t="shared" si="143"/>
        <v>-162</v>
      </c>
      <c r="C1137" s="518" t="s">
        <v>9749</v>
      </c>
      <c r="D1137" s="497" t="s">
        <v>5955</v>
      </c>
      <c r="E1137" s="497">
        <f t="shared" si="144"/>
        <v>6</v>
      </c>
      <c r="F1137" s="516">
        <v>33</v>
      </c>
      <c r="G1137" s="503"/>
      <c r="H1137" s="497">
        <f t="shared" ca="1" si="145"/>
        <v>73</v>
      </c>
      <c r="I1137" s="500"/>
      <c r="J1137" s="512"/>
      <c r="K1137" s="512"/>
      <c r="L1137" s="503"/>
      <c r="M1137" s="515" t="str">
        <f ca="1">IFERROR(IF(COUNTIF($B$937:$B1136,"&lt;0")&lt;&gt;1,OFFSET($C1135,-COUNTIF($B$937:$B1136,"&lt;0")+3,0),""),"")</f>
        <v/>
      </c>
      <c r="N1137" s="515">
        <f ca="1">IFERROR(IF(COUNTA($D$937:D1136)=1,0,OFFSET($F1135,-COUNTA($D$937:D1136)+3,0)),"")</f>
        <v>1</v>
      </c>
      <c r="O1137" s="497"/>
      <c r="P1137" s="497">
        <f t="shared" si="146"/>
        <v>198</v>
      </c>
      <c r="Q1137" s="497"/>
      <c r="R1137" s="497"/>
      <c r="S1137" s="497"/>
      <c r="T1137" s="503"/>
    </row>
    <row r="1138" spans="1:20" x14ac:dyDescent="0.35">
      <c r="A1138" s="497" t="b">
        <v>0</v>
      </c>
      <c r="B1138" s="497">
        <f t="shared" si="143"/>
        <v>-161</v>
      </c>
      <c r="C1138" s="518" t="s">
        <v>9750</v>
      </c>
      <c r="D1138" s="497" t="s">
        <v>7186</v>
      </c>
      <c r="E1138" s="497">
        <f t="shared" si="144"/>
        <v>1</v>
      </c>
      <c r="F1138" s="516">
        <v>34</v>
      </c>
      <c r="G1138" s="503"/>
      <c r="H1138" s="497">
        <f t="shared" ca="1" si="145"/>
        <v>75</v>
      </c>
      <c r="I1138" s="500"/>
      <c r="J1138" s="512"/>
      <c r="K1138" s="512"/>
      <c r="L1138" s="503"/>
      <c r="M1138" s="515" t="str">
        <f ca="1">IFERROR(IF(COUNTIF($B$937:$B1137,"&lt;0")&lt;&gt;1,OFFSET($C1136,-COUNTIF($B$937:$B1137,"&lt;0")+3,0),""),"")</f>
        <v/>
      </c>
      <c r="N1138" s="515">
        <f ca="1">IFERROR(IF(COUNTA($D$937:D1137)=1,0,OFFSET($F1136,-COUNTA($D$937:D1137)+3,0)),"")</f>
        <v>1</v>
      </c>
      <c r="O1138" s="497"/>
      <c r="P1138" s="497">
        <f t="shared" si="146"/>
        <v>199</v>
      </c>
      <c r="Q1138" s="497"/>
      <c r="R1138" s="497"/>
      <c r="S1138" s="497"/>
      <c r="T1138" s="503"/>
    </row>
    <row r="1139" spans="1:20" x14ac:dyDescent="0.35">
      <c r="A1139" s="497" t="b">
        <v>0</v>
      </c>
      <c r="B1139" s="497">
        <f t="shared" si="143"/>
        <v>-160</v>
      </c>
      <c r="C1139" s="518" t="s">
        <v>9751</v>
      </c>
      <c r="D1139" s="497" t="s">
        <v>7186</v>
      </c>
      <c r="E1139" s="497">
        <f t="shared" si="144"/>
        <v>2</v>
      </c>
      <c r="F1139" s="516">
        <v>34</v>
      </c>
      <c r="G1139" s="503"/>
      <c r="H1139" s="497">
        <f t="shared" ca="1" si="145"/>
        <v>75</v>
      </c>
      <c r="I1139" s="500"/>
      <c r="J1139" s="512"/>
      <c r="K1139" s="512"/>
      <c r="L1139" s="503"/>
      <c r="M1139" s="515" t="str">
        <f ca="1">IFERROR(IF(COUNTIF($B$937:$B1138,"&lt;0")&lt;&gt;1,OFFSET($C1137,-COUNTIF($B$937:$B1138,"&lt;0")+3,0),""),"")</f>
        <v/>
      </c>
      <c r="N1139" s="515">
        <f ca="1">IFERROR(IF(COUNTA($D$937:D1138)=1,0,OFFSET($F1137,-COUNTA($D$937:D1138)+3,0)),"")</f>
        <v>1</v>
      </c>
      <c r="O1139" s="497"/>
      <c r="P1139" s="497">
        <f t="shared" si="146"/>
        <v>200</v>
      </c>
      <c r="Q1139" s="497"/>
      <c r="R1139" s="497"/>
      <c r="S1139" s="497"/>
      <c r="T1139" s="503"/>
    </row>
    <row r="1140" spans="1:20" x14ac:dyDescent="0.35">
      <c r="A1140" s="497" t="b">
        <v>0</v>
      </c>
      <c r="B1140" s="497">
        <f t="shared" si="143"/>
        <v>-159</v>
      </c>
      <c r="C1140" s="518" t="s">
        <v>9752</v>
      </c>
      <c r="D1140" s="497" t="s">
        <v>7186</v>
      </c>
      <c r="E1140" s="497">
        <f t="shared" si="144"/>
        <v>3</v>
      </c>
      <c r="F1140" s="516">
        <v>34</v>
      </c>
      <c r="G1140" s="503"/>
      <c r="H1140" s="497">
        <f t="shared" ca="1" si="145"/>
        <v>75</v>
      </c>
      <c r="I1140" s="500"/>
      <c r="J1140" s="512"/>
      <c r="K1140" s="512"/>
      <c r="L1140" s="503"/>
      <c r="M1140" s="515" t="str">
        <f ca="1">IFERROR(IF(COUNTIF($B$937:$B1139,"&lt;0")&lt;&gt;1,OFFSET($C1138,-COUNTIF($B$937:$B1139,"&lt;0")+3,0),""),"")</f>
        <v/>
      </c>
      <c r="N1140" s="515">
        <f ca="1">IFERROR(IF(COUNTA($D$937:D1139)=1,0,OFFSET($F1138,-COUNTA($D$937:D1139)+3,0)),"")</f>
        <v>1</v>
      </c>
      <c r="O1140" s="497"/>
      <c r="P1140" s="497">
        <f t="shared" si="146"/>
        <v>201</v>
      </c>
      <c r="Q1140" s="497"/>
      <c r="R1140" s="497"/>
      <c r="S1140" s="497"/>
      <c r="T1140" s="503"/>
    </row>
    <row r="1141" spans="1:20" x14ac:dyDescent="0.35">
      <c r="A1141" s="497" t="b">
        <v>0</v>
      </c>
      <c r="B1141" s="497">
        <f t="shared" si="143"/>
        <v>-158</v>
      </c>
      <c r="C1141" s="518" t="s">
        <v>9753</v>
      </c>
      <c r="D1141" s="497" t="s">
        <v>7186</v>
      </c>
      <c r="E1141" s="497">
        <f t="shared" si="144"/>
        <v>4</v>
      </c>
      <c r="F1141" s="516">
        <v>34</v>
      </c>
      <c r="G1141" s="503"/>
      <c r="H1141" s="497">
        <f t="shared" ca="1" si="145"/>
        <v>75</v>
      </c>
      <c r="I1141" s="500"/>
      <c r="J1141" s="512"/>
      <c r="K1141" s="512"/>
      <c r="L1141" s="503"/>
      <c r="M1141" s="515" t="str">
        <f ca="1">IFERROR(IF(COUNTIF($B$937:$B1140,"&lt;0")&lt;&gt;1,OFFSET($C1139,-COUNTIF($B$937:$B1140,"&lt;0")+3,0),""),"")</f>
        <v/>
      </c>
      <c r="N1141" s="515">
        <f ca="1">IFERROR(IF(COUNTA($D$937:D1140)=1,0,OFFSET($F1139,-COUNTA($D$937:D1140)+3,0)),"")</f>
        <v>1</v>
      </c>
      <c r="O1141" s="497"/>
      <c r="P1141" s="497">
        <f t="shared" si="146"/>
        <v>202</v>
      </c>
      <c r="Q1141" s="497"/>
      <c r="R1141" s="497"/>
      <c r="S1141" s="497"/>
      <c r="T1141" s="503"/>
    </row>
    <row r="1142" spans="1:20" x14ac:dyDescent="0.35">
      <c r="A1142" s="497" t="b">
        <v>0</v>
      </c>
      <c r="B1142" s="497">
        <f t="shared" si="143"/>
        <v>-157</v>
      </c>
      <c r="C1142" s="518" t="s">
        <v>9754</v>
      </c>
      <c r="D1142" s="497" t="s">
        <v>7186</v>
      </c>
      <c r="E1142" s="497">
        <f t="shared" si="144"/>
        <v>5</v>
      </c>
      <c r="F1142" s="516">
        <v>34</v>
      </c>
      <c r="G1142" s="503"/>
      <c r="H1142" s="497">
        <f t="shared" ca="1" si="145"/>
        <v>75</v>
      </c>
      <c r="I1142" s="500"/>
      <c r="J1142" s="512"/>
      <c r="K1142" s="512"/>
      <c r="L1142" s="503"/>
      <c r="M1142" s="515" t="str">
        <f ca="1">IFERROR(IF(COUNTIF($B$937:$B1141,"&lt;0")&lt;&gt;1,OFFSET($C1140,-COUNTIF($B$937:$B1141,"&lt;0")+3,0),""),"")</f>
        <v/>
      </c>
      <c r="N1142" s="515">
        <f ca="1">IFERROR(IF(COUNTA($D$937:D1141)=1,0,OFFSET($F1140,-COUNTA($D$937:D1141)+3,0)),"")</f>
        <v>1</v>
      </c>
      <c r="O1142" s="497"/>
      <c r="P1142" s="497">
        <f t="shared" si="146"/>
        <v>203</v>
      </c>
      <c r="Q1142" s="497"/>
      <c r="R1142" s="497"/>
      <c r="S1142" s="497"/>
      <c r="T1142" s="503"/>
    </row>
    <row r="1143" spans="1:20" x14ac:dyDescent="0.35">
      <c r="A1143" s="497" t="b">
        <v>0</v>
      </c>
      <c r="B1143" s="497">
        <f t="shared" si="143"/>
        <v>-156</v>
      </c>
      <c r="C1143" s="518" t="s">
        <v>9755</v>
      </c>
      <c r="D1143" s="497" t="s">
        <v>7186</v>
      </c>
      <c r="E1143" s="497">
        <f t="shared" si="144"/>
        <v>6</v>
      </c>
      <c r="F1143" s="516">
        <v>34</v>
      </c>
      <c r="G1143" s="503"/>
      <c r="H1143" s="497">
        <f t="shared" ca="1" si="145"/>
        <v>75</v>
      </c>
      <c r="I1143" s="500"/>
      <c r="J1143" s="512"/>
      <c r="K1143" s="512"/>
      <c r="L1143" s="503"/>
      <c r="M1143" s="515" t="str">
        <f ca="1">IFERROR(IF(COUNTIF($B$937:$B1142,"&lt;0")&lt;&gt;1,OFFSET($C1141,-COUNTIF($B$937:$B1142,"&lt;0")+3,0),""),"")</f>
        <v/>
      </c>
      <c r="N1143" s="515">
        <f ca="1">IFERROR(IF(COUNTA($D$937:D1142)=1,0,OFFSET($F1141,-COUNTA($D$937:D1142)+3,0)),"")</f>
        <v>1</v>
      </c>
      <c r="O1143" s="497"/>
      <c r="P1143" s="497">
        <f t="shared" si="146"/>
        <v>204</v>
      </c>
      <c r="Q1143" s="497"/>
      <c r="R1143" s="497"/>
      <c r="S1143" s="497"/>
      <c r="T1143" s="503"/>
    </row>
    <row r="1144" spans="1:20" x14ac:dyDescent="0.35">
      <c r="A1144" s="497" t="b">
        <v>0</v>
      </c>
      <c r="B1144" s="497">
        <f t="shared" si="143"/>
        <v>-155</v>
      </c>
      <c r="C1144" s="518" t="s">
        <v>9756</v>
      </c>
      <c r="D1144" s="497" t="s">
        <v>5996</v>
      </c>
      <c r="E1144" s="497">
        <f t="shared" si="144"/>
        <v>1</v>
      </c>
      <c r="F1144" s="516">
        <v>35</v>
      </c>
      <c r="G1144" s="503"/>
      <c r="H1144" s="497">
        <f t="shared" ca="1" si="145"/>
        <v>77</v>
      </c>
      <c r="I1144" s="500"/>
      <c r="J1144" s="512"/>
      <c r="K1144" s="512"/>
      <c r="L1144" s="503"/>
      <c r="M1144" s="515" t="str">
        <f ca="1">IFERROR(IF(COUNTIF($B$937:$B1143,"&lt;0")&lt;&gt;1,OFFSET($C1142,-COUNTIF($B$937:$B1143,"&lt;0")+3,0),""),"")</f>
        <v/>
      </c>
      <c r="N1144" s="515">
        <f ca="1">IFERROR(IF(COUNTA($D$937:D1143)=1,0,OFFSET($F1142,-COUNTA($D$937:D1143)+3,0)),"")</f>
        <v>1</v>
      </c>
      <c r="O1144" s="497"/>
      <c r="P1144" s="497">
        <f t="shared" si="146"/>
        <v>205</v>
      </c>
      <c r="Q1144" s="497"/>
      <c r="R1144" s="497"/>
      <c r="S1144" s="497"/>
      <c r="T1144" s="503"/>
    </row>
    <row r="1145" spans="1:20" x14ac:dyDescent="0.35">
      <c r="A1145" s="497" t="b">
        <v>0</v>
      </c>
      <c r="B1145" s="497">
        <f t="shared" si="143"/>
        <v>-154</v>
      </c>
      <c r="C1145" s="518" t="s">
        <v>9757</v>
      </c>
      <c r="D1145" s="497" t="s">
        <v>5996</v>
      </c>
      <c r="E1145" s="497">
        <f t="shared" si="144"/>
        <v>2</v>
      </c>
      <c r="F1145" s="516">
        <v>35</v>
      </c>
      <c r="G1145" s="503"/>
      <c r="H1145" s="497">
        <f t="shared" ca="1" si="145"/>
        <v>77</v>
      </c>
      <c r="I1145" s="500"/>
      <c r="J1145" s="512"/>
      <c r="K1145" s="512"/>
      <c r="L1145" s="503"/>
      <c r="M1145" s="515" t="str">
        <f ca="1">IFERROR(IF(COUNTIF($B$937:$B1144,"&lt;0")&lt;&gt;1,OFFSET($C1143,-COUNTIF($B$937:$B1144,"&lt;0")+3,0),""),"")</f>
        <v/>
      </c>
      <c r="N1145" s="515">
        <f ca="1">IFERROR(IF(COUNTA($D$937:D1144)=1,0,OFFSET($F1143,-COUNTA($D$937:D1144)+3,0)),"")</f>
        <v>1</v>
      </c>
      <c r="O1145" s="497"/>
      <c r="P1145" s="497">
        <f t="shared" si="146"/>
        <v>206</v>
      </c>
      <c r="Q1145" s="497"/>
      <c r="R1145" s="497"/>
      <c r="S1145" s="497"/>
      <c r="T1145" s="503"/>
    </row>
    <row r="1146" spans="1:20" x14ac:dyDescent="0.35">
      <c r="A1146" s="497" t="b">
        <v>0</v>
      </c>
      <c r="B1146" s="497">
        <f t="shared" si="143"/>
        <v>-153</v>
      </c>
      <c r="C1146" s="518" t="s">
        <v>9758</v>
      </c>
      <c r="D1146" s="497" t="s">
        <v>5996</v>
      </c>
      <c r="E1146" s="497">
        <f t="shared" si="144"/>
        <v>3</v>
      </c>
      <c r="F1146" s="516">
        <v>35</v>
      </c>
      <c r="G1146" s="503"/>
      <c r="H1146" s="497">
        <f t="shared" ca="1" si="145"/>
        <v>77</v>
      </c>
      <c r="I1146" s="500"/>
      <c r="J1146" s="512"/>
      <c r="K1146" s="512"/>
      <c r="L1146" s="503"/>
      <c r="M1146" s="515" t="str">
        <f ca="1">IFERROR(IF(COUNTIF($B$937:$B1145,"&lt;0")&lt;&gt;1,OFFSET($C1144,-COUNTIF($B$937:$B1145,"&lt;0")+3,0),""),"")</f>
        <v/>
      </c>
      <c r="N1146" s="515">
        <f ca="1">IFERROR(IF(COUNTA($D$937:D1145)=1,0,OFFSET($F1144,-COUNTA($D$937:D1145)+3,0)),"")</f>
        <v>1</v>
      </c>
      <c r="O1146" s="497"/>
      <c r="P1146" s="497">
        <f t="shared" si="146"/>
        <v>207</v>
      </c>
      <c r="Q1146" s="497"/>
      <c r="R1146" s="497"/>
      <c r="S1146" s="497"/>
      <c r="T1146" s="503"/>
    </row>
    <row r="1147" spans="1:20" x14ac:dyDescent="0.35">
      <c r="A1147" s="497" t="b">
        <v>0</v>
      </c>
      <c r="B1147" s="497">
        <f t="shared" si="143"/>
        <v>-152</v>
      </c>
      <c r="C1147" s="518" t="s">
        <v>9759</v>
      </c>
      <c r="D1147" s="497" t="s">
        <v>5996</v>
      </c>
      <c r="E1147" s="497">
        <f t="shared" si="144"/>
        <v>4</v>
      </c>
      <c r="F1147" s="516">
        <v>35</v>
      </c>
      <c r="G1147" s="503"/>
      <c r="H1147" s="497">
        <f t="shared" ca="1" si="145"/>
        <v>77</v>
      </c>
      <c r="I1147" s="500"/>
      <c r="J1147" s="512"/>
      <c r="K1147" s="512"/>
      <c r="L1147" s="503"/>
      <c r="M1147" s="515" t="str">
        <f ca="1">IFERROR(IF(COUNTIF($B$937:$B1146,"&lt;0")&lt;&gt;1,OFFSET($C1145,-COUNTIF($B$937:$B1146,"&lt;0")+3,0),""),"")</f>
        <v/>
      </c>
      <c r="N1147" s="515">
        <f ca="1">IFERROR(IF(COUNTA($D$937:D1146)=1,0,OFFSET($F1145,-COUNTA($D$937:D1146)+3,0)),"")</f>
        <v>1</v>
      </c>
      <c r="O1147" s="497"/>
      <c r="P1147" s="497">
        <f t="shared" si="146"/>
        <v>208</v>
      </c>
      <c r="Q1147" s="497"/>
      <c r="R1147" s="497"/>
      <c r="S1147" s="497"/>
      <c r="T1147" s="503"/>
    </row>
    <row r="1148" spans="1:20" x14ac:dyDescent="0.35">
      <c r="A1148" s="497" t="b">
        <v>0</v>
      </c>
      <c r="B1148" s="497">
        <f t="shared" si="143"/>
        <v>-151</v>
      </c>
      <c r="C1148" s="518" t="s">
        <v>9760</v>
      </c>
      <c r="D1148" s="497" t="s">
        <v>5996</v>
      </c>
      <c r="E1148" s="497">
        <f t="shared" si="144"/>
        <v>5</v>
      </c>
      <c r="F1148" s="516">
        <v>35</v>
      </c>
      <c r="G1148" s="503"/>
      <c r="H1148" s="497">
        <f t="shared" ca="1" si="145"/>
        <v>77</v>
      </c>
      <c r="I1148" s="500"/>
      <c r="J1148" s="512"/>
      <c r="K1148" s="512"/>
      <c r="L1148" s="503"/>
      <c r="M1148" s="515" t="str">
        <f ca="1">IFERROR(IF(COUNTIF($B$937:$B1147,"&lt;0")&lt;&gt;1,OFFSET($C1146,-COUNTIF($B$937:$B1147,"&lt;0")+3,0),""),"")</f>
        <v/>
      </c>
      <c r="N1148" s="515">
        <f ca="1">IFERROR(IF(COUNTA($D$937:D1147)=1,0,OFFSET($F1146,-COUNTA($D$937:D1147)+3,0)),"")</f>
        <v>1</v>
      </c>
      <c r="O1148" s="497"/>
      <c r="P1148" s="497">
        <f t="shared" si="146"/>
        <v>209</v>
      </c>
      <c r="Q1148" s="497"/>
      <c r="R1148" s="497"/>
      <c r="S1148" s="497"/>
      <c r="T1148" s="503"/>
    </row>
    <row r="1149" spans="1:20" x14ac:dyDescent="0.35">
      <c r="A1149" s="497" t="b">
        <v>0</v>
      </c>
      <c r="B1149" s="497">
        <f t="shared" si="143"/>
        <v>-150</v>
      </c>
      <c r="C1149" s="518" t="s">
        <v>9761</v>
      </c>
      <c r="D1149" s="497" t="s">
        <v>5996</v>
      </c>
      <c r="E1149" s="497">
        <f t="shared" si="144"/>
        <v>6</v>
      </c>
      <c r="F1149" s="516">
        <v>35</v>
      </c>
      <c r="G1149" s="503"/>
      <c r="H1149" s="497">
        <f t="shared" ca="1" si="145"/>
        <v>77</v>
      </c>
      <c r="I1149" s="500"/>
      <c r="J1149" s="512"/>
      <c r="K1149" s="512"/>
      <c r="L1149" s="503"/>
      <c r="M1149" s="515" t="str">
        <f ca="1">IFERROR(IF(COUNTIF($B$937:$B1148,"&lt;0")&lt;&gt;1,OFFSET($C1147,-COUNTIF($B$937:$B1148,"&lt;0")+3,0),""),"")</f>
        <v/>
      </c>
      <c r="N1149" s="515">
        <f ca="1">IFERROR(IF(COUNTA($D$937:D1148)=1,0,OFFSET($F1147,-COUNTA($D$937:D1148)+3,0)),"")</f>
        <v>1</v>
      </c>
      <c r="O1149" s="497"/>
      <c r="P1149" s="497">
        <f t="shared" si="146"/>
        <v>210</v>
      </c>
      <c r="Q1149" s="497"/>
      <c r="R1149" s="497"/>
      <c r="S1149" s="497"/>
      <c r="T1149" s="503"/>
    </row>
    <row r="1150" spans="1:20" x14ac:dyDescent="0.35">
      <c r="A1150" s="497" t="b">
        <v>0</v>
      </c>
      <c r="B1150" s="497">
        <f t="shared" si="143"/>
        <v>-149</v>
      </c>
      <c r="C1150" s="518" t="s">
        <v>9762</v>
      </c>
      <c r="D1150" s="497" t="s">
        <v>7227</v>
      </c>
      <c r="E1150" s="497">
        <f t="shared" si="144"/>
        <v>1</v>
      </c>
      <c r="F1150" s="516">
        <v>36</v>
      </c>
      <c r="G1150" s="503"/>
      <c r="H1150" s="497">
        <f t="shared" ca="1" si="145"/>
        <v>79</v>
      </c>
      <c r="I1150" s="500"/>
      <c r="J1150" s="512"/>
      <c r="K1150" s="512"/>
      <c r="L1150" s="503"/>
      <c r="M1150" s="515" t="str">
        <f ca="1">IFERROR(IF(COUNTIF($B$937:$B1149,"&lt;0")&lt;&gt;1,OFFSET($C1148,-COUNTIF($B$937:$B1149,"&lt;0")+3,0),""),"")</f>
        <v/>
      </c>
      <c r="N1150" s="515">
        <f ca="1">IFERROR(IF(COUNTA($D$937:D1149)=1,0,OFFSET($F1148,-COUNTA($D$937:D1149)+3,0)),"")</f>
        <v>1</v>
      </c>
      <c r="O1150" s="497"/>
      <c r="P1150" s="497">
        <f t="shared" si="146"/>
        <v>211</v>
      </c>
      <c r="Q1150" s="497"/>
      <c r="R1150" s="497"/>
      <c r="S1150" s="497"/>
      <c r="T1150" s="503"/>
    </row>
    <row r="1151" spans="1:20" x14ac:dyDescent="0.35">
      <c r="A1151" s="497" t="b">
        <v>0</v>
      </c>
      <c r="B1151" s="497">
        <f t="shared" si="143"/>
        <v>-148</v>
      </c>
      <c r="C1151" s="518" t="s">
        <v>9763</v>
      </c>
      <c r="D1151" s="497" t="s">
        <v>7227</v>
      </c>
      <c r="E1151" s="497">
        <f t="shared" si="144"/>
        <v>2</v>
      </c>
      <c r="F1151" s="516">
        <v>36</v>
      </c>
      <c r="G1151" s="503"/>
      <c r="H1151" s="497">
        <f t="shared" ca="1" si="145"/>
        <v>79</v>
      </c>
      <c r="I1151" s="500"/>
      <c r="J1151" s="512"/>
      <c r="K1151" s="512"/>
      <c r="L1151" s="503"/>
      <c r="M1151" s="515" t="str">
        <f ca="1">IFERROR(IF(COUNTIF($B$937:$B1150,"&lt;0")&lt;&gt;1,OFFSET($C1149,-COUNTIF($B$937:$B1150,"&lt;0")+3,0),""),"")</f>
        <v/>
      </c>
      <c r="N1151" s="515">
        <f ca="1">IFERROR(IF(COUNTA($D$937:D1150)=1,0,OFFSET($F1149,-COUNTA($D$937:D1150)+3,0)),"")</f>
        <v>1</v>
      </c>
      <c r="O1151" s="497"/>
      <c r="P1151" s="497">
        <f t="shared" si="146"/>
        <v>212</v>
      </c>
      <c r="Q1151" s="497"/>
      <c r="R1151" s="497"/>
      <c r="S1151" s="497"/>
      <c r="T1151" s="503"/>
    </row>
    <row r="1152" spans="1:20" x14ac:dyDescent="0.35">
      <c r="A1152" s="497" t="b">
        <v>0</v>
      </c>
      <c r="B1152" s="497">
        <f t="shared" si="143"/>
        <v>-147</v>
      </c>
      <c r="C1152" s="518" t="s">
        <v>9764</v>
      </c>
      <c r="D1152" s="497" t="s">
        <v>7227</v>
      </c>
      <c r="E1152" s="497">
        <f t="shared" si="144"/>
        <v>3</v>
      </c>
      <c r="F1152" s="516">
        <v>36</v>
      </c>
      <c r="G1152" s="503"/>
      <c r="H1152" s="497">
        <f t="shared" ca="1" si="145"/>
        <v>79</v>
      </c>
      <c r="I1152" s="500"/>
      <c r="J1152" s="512"/>
      <c r="K1152" s="512"/>
      <c r="L1152" s="503"/>
      <c r="M1152" s="515" t="str">
        <f ca="1">IFERROR(IF(COUNTIF($B$937:$B1151,"&lt;0")&lt;&gt;1,OFFSET($C1150,-COUNTIF($B$937:$B1151,"&lt;0")+3,0),""),"")</f>
        <v/>
      </c>
      <c r="N1152" s="515">
        <f ca="1">IFERROR(IF(COUNTA($D$937:D1151)=1,0,OFFSET($F1150,-COUNTA($D$937:D1151)+3,0)),"")</f>
        <v>1</v>
      </c>
      <c r="O1152" s="497"/>
      <c r="P1152" s="497">
        <f t="shared" si="146"/>
        <v>213</v>
      </c>
      <c r="Q1152" s="497"/>
      <c r="R1152" s="497"/>
      <c r="S1152" s="497"/>
      <c r="T1152" s="503"/>
    </row>
    <row r="1153" spans="1:20" x14ac:dyDescent="0.35">
      <c r="A1153" s="497" t="b">
        <v>0</v>
      </c>
      <c r="B1153" s="497">
        <f t="shared" si="143"/>
        <v>-146</v>
      </c>
      <c r="C1153" s="518" t="s">
        <v>9765</v>
      </c>
      <c r="D1153" s="497" t="s">
        <v>7227</v>
      </c>
      <c r="E1153" s="497">
        <f t="shared" si="144"/>
        <v>4</v>
      </c>
      <c r="F1153" s="516">
        <v>36</v>
      </c>
      <c r="G1153" s="503"/>
      <c r="H1153" s="497">
        <f t="shared" ca="1" si="145"/>
        <v>79</v>
      </c>
      <c r="I1153" s="500"/>
      <c r="J1153" s="512"/>
      <c r="K1153" s="512"/>
      <c r="L1153" s="503"/>
      <c r="M1153" s="515" t="str">
        <f ca="1">IFERROR(IF(COUNTIF($B$937:$B1152,"&lt;0")&lt;&gt;1,OFFSET($C1151,-COUNTIF($B$937:$B1152,"&lt;0")+3,0),""),"")</f>
        <v/>
      </c>
      <c r="N1153" s="515">
        <f ca="1">IFERROR(IF(COUNTA($D$937:D1152)=1,0,OFFSET($F1151,-COUNTA($D$937:D1152)+3,0)),"")</f>
        <v>1</v>
      </c>
      <c r="O1153" s="497"/>
      <c r="P1153" s="497">
        <f t="shared" si="146"/>
        <v>214</v>
      </c>
      <c r="Q1153" s="497"/>
      <c r="R1153" s="497"/>
      <c r="S1153" s="497"/>
      <c r="T1153" s="503"/>
    </row>
    <row r="1154" spans="1:20" x14ac:dyDescent="0.35">
      <c r="A1154" s="497" t="b">
        <v>0</v>
      </c>
      <c r="B1154" s="497">
        <f t="shared" si="143"/>
        <v>-145</v>
      </c>
      <c r="C1154" s="518" t="s">
        <v>9766</v>
      </c>
      <c r="D1154" s="497" t="s">
        <v>7227</v>
      </c>
      <c r="E1154" s="497">
        <f t="shared" si="144"/>
        <v>5</v>
      </c>
      <c r="F1154" s="516">
        <v>36</v>
      </c>
      <c r="G1154" s="503"/>
      <c r="H1154" s="497">
        <f t="shared" ca="1" si="145"/>
        <v>79</v>
      </c>
      <c r="I1154" s="500"/>
      <c r="J1154" s="512"/>
      <c r="K1154" s="512"/>
      <c r="L1154" s="503"/>
      <c r="M1154" s="515" t="str">
        <f ca="1">IFERROR(IF(COUNTIF($B$937:$B1153,"&lt;0")&lt;&gt;1,OFFSET($C1152,-COUNTIF($B$937:$B1153,"&lt;0")+3,0),""),"")</f>
        <v/>
      </c>
      <c r="N1154" s="515">
        <f ca="1">IFERROR(IF(COUNTA($D$937:D1153)=1,0,OFFSET($F1152,-COUNTA($D$937:D1153)+3,0)),"")</f>
        <v>1</v>
      </c>
      <c r="O1154" s="497"/>
      <c r="P1154" s="497">
        <f t="shared" si="146"/>
        <v>215</v>
      </c>
      <c r="Q1154" s="497"/>
      <c r="R1154" s="497"/>
      <c r="S1154" s="497"/>
      <c r="T1154" s="503"/>
    </row>
    <row r="1155" spans="1:20" x14ac:dyDescent="0.35">
      <c r="A1155" s="497" t="b">
        <v>0</v>
      </c>
      <c r="B1155" s="497">
        <f t="shared" si="143"/>
        <v>-144</v>
      </c>
      <c r="C1155" s="518" t="s">
        <v>9767</v>
      </c>
      <c r="D1155" s="497" t="s">
        <v>7227</v>
      </c>
      <c r="E1155" s="497">
        <f t="shared" si="144"/>
        <v>6</v>
      </c>
      <c r="F1155" s="516">
        <v>36</v>
      </c>
      <c r="G1155" s="503"/>
      <c r="H1155" s="497">
        <f t="shared" ca="1" si="145"/>
        <v>79</v>
      </c>
      <c r="I1155" s="500"/>
      <c r="J1155" s="512"/>
      <c r="K1155" s="512"/>
      <c r="L1155" s="503"/>
      <c r="M1155" s="515" t="str">
        <f ca="1">IFERROR(IF(COUNTIF($B$937:$B1154,"&lt;0")&lt;&gt;1,OFFSET($C1153,-COUNTIF($B$937:$B1154,"&lt;0")+3,0),""),"")</f>
        <v/>
      </c>
      <c r="N1155" s="515">
        <f ca="1">IFERROR(IF(COUNTA($D$937:D1154)=1,0,OFFSET($F1153,-COUNTA($D$937:D1154)+3,0)),"")</f>
        <v>1</v>
      </c>
      <c r="O1155" s="497"/>
      <c r="P1155" s="497">
        <f t="shared" si="146"/>
        <v>216</v>
      </c>
      <c r="Q1155" s="497"/>
      <c r="R1155" s="497"/>
      <c r="S1155" s="497"/>
      <c r="T1155" s="503"/>
    </row>
    <row r="1156" spans="1:20" x14ac:dyDescent="0.35">
      <c r="A1156" s="497" t="b">
        <v>0</v>
      </c>
      <c r="B1156" s="497">
        <f t="shared" si="143"/>
        <v>-143</v>
      </c>
      <c r="C1156" s="518" t="s">
        <v>9768</v>
      </c>
      <c r="D1156" s="497" t="s">
        <v>6037</v>
      </c>
      <c r="E1156" s="497">
        <f t="shared" si="144"/>
        <v>1</v>
      </c>
      <c r="F1156" s="516">
        <v>37</v>
      </c>
      <c r="G1156" s="503"/>
      <c r="H1156" s="497">
        <f t="shared" ca="1" si="145"/>
        <v>81</v>
      </c>
      <c r="I1156" s="500"/>
      <c r="J1156" s="512"/>
      <c r="K1156" s="512"/>
      <c r="L1156" s="503"/>
      <c r="M1156" s="515" t="str">
        <f ca="1">IFERROR(IF(COUNTIF($B$937:$B1155,"&lt;0")&lt;&gt;1,OFFSET($C1154,-COUNTIF($B$937:$B1155,"&lt;0")+3,0),""),"")</f>
        <v/>
      </c>
      <c r="N1156" s="515">
        <f ca="1">IFERROR(IF(COUNTA($D$937:D1155)=1,0,OFFSET($F1154,-COUNTA($D$937:D1155)+3,0)),"")</f>
        <v>1</v>
      </c>
      <c r="O1156" s="497"/>
      <c r="P1156" s="497">
        <f t="shared" si="146"/>
        <v>217</v>
      </c>
      <c r="Q1156" s="497"/>
      <c r="R1156" s="497"/>
      <c r="S1156" s="497"/>
      <c r="T1156" s="503"/>
    </row>
    <row r="1157" spans="1:20" x14ac:dyDescent="0.35">
      <c r="A1157" s="497" t="b">
        <v>0</v>
      </c>
      <c r="B1157" s="497">
        <f t="shared" si="143"/>
        <v>-142</v>
      </c>
      <c r="C1157" s="518" t="s">
        <v>9769</v>
      </c>
      <c r="D1157" s="497" t="s">
        <v>6037</v>
      </c>
      <c r="E1157" s="497">
        <f t="shared" si="144"/>
        <v>2</v>
      </c>
      <c r="F1157" s="516">
        <v>37</v>
      </c>
      <c r="G1157" s="503"/>
      <c r="H1157" s="497">
        <f t="shared" ca="1" si="145"/>
        <v>81</v>
      </c>
      <c r="I1157" s="500"/>
      <c r="J1157" s="512"/>
      <c r="K1157" s="512"/>
      <c r="L1157" s="503"/>
      <c r="M1157" s="515" t="str">
        <f ca="1">IFERROR(IF(COUNTIF($B$937:$B1156,"&lt;0")&lt;&gt;1,OFFSET($C1155,-COUNTIF($B$937:$B1156,"&lt;0")+3,0),""),"")</f>
        <v/>
      </c>
      <c r="N1157" s="515">
        <f ca="1">IFERROR(IF(COUNTA($D$937:D1156)=1,0,OFFSET($F1155,-COUNTA($D$937:D1156)+3,0)),"")</f>
        <v>1</v>
      </c>
      <c r="O1157" s="497"/>
      <c r="P1157" s="497">
        <f t="shared" si="146"/>
        <v>218</v>
      </c>
      <c r="Q1157" s="497"/>
      <c r="R1157" s="497"/>
      <c r="S1157" s="497"/>
      <c r="T1157" s="503"/>
    </row>
    <row r="1158" spans="1:20" x14ac:dyDescent="0.35">
      <c r="A1158" s="497" t="b">
        <v>0</v>
      </c>
      <c r="B1158" s="497">
        <f t="shared" si="143"/>
        <v>-141</v>
      </c>
      <c r="C1158" s="518" t="s">
        <v>9770</v>
      </c>
      <c r="D1158" s="497" t="s">
        <v>6037</v>
      </c>
      <c r="E1158" s="497">
        <f t="shared" si="144"/>
        <v>3</v>
      </c>
      <c r="F1158" s="516">
        <v>37</v>
      </c>
      <c r="G1158" s="503"/>
      <c r="H1158" s="497">
        <f t="shared" ca="1" si="145"/>
        <v>81</v>
      </c>
      <c r="I1158" s="500"/>
      <c r="J1158" s="512"/>
      <c r="K1158" s="512"/>
      <c r="L1158" s="503"/>
      <c r="M1158" s="515" t="str">
        <f ca="1">IFERROR(IF(COUNTIF($B$937:$B1157,"&lt;0")&lt;&gt;1,OFFSET($C1156,-COUNTIF($B$937:$B1157,"&lt;0")+3,0),""),"")</f>
        <v/>
      </c>
      <c r="N1158" s="515">
        <f ca="1">IFERROR(IF(COUNTA($D$937:D1157)=1,0,OFFSET($F1156,-COUNTA($D$937:D1157)+3,0)),"")</f>
        <v>1</v>
      </c>
      <c r="O1158" s="497"/>
      <c r="P1158" s="497">
        <f t="shared" si="146"/>
        <v>219</v>
      </c>
      <c r="Q1158" s="497"/>
      <c r="R1158" s="497"/>
      <c r="S1158" s="497"/>
      <c r="T1158" s="503"/>
    </row>
    <row r="1159" spans="1:20" x14ac:dyDescent="0.35">
      <c r="A1159" s="497" t="b">
        <v>0</v>
      </c>
      <c r="B1159" s="497">
        <f t="shared" si="143"/>
        <v>-140</v>
      </c>
      <c r="C1159" s="518" t="s">
        <v>9771</v>
      </c>
      <c r="D1159" s="497" t="s">
        <v>6037</v>
      </c>
      <c r="E1159" s="497">
        <f t="shared" si="144"/>
        <v>4</v>
      </c>
      <c r="F1159" s="516">
        <v>37</v>
      </c>
      <c r="G1159" s="503"/>
      <c r="H1159" s="497">
        <f t="shared" ca="1" si="145"/>
        <v>81</v>
      </c>
      <c r="I1159" s="500"/>
      <c r="J1159" s="512"/>
      <c r="K1159" s="512"/>
      <c r="L1159" s="503"/>
      <c r="M1159" s="515" t="str">
        <f ca="1">IFERROR(IF(COUNTIF($B$937:$B1158,"&lt;0")&lt;&gt;1,OFFSET($C1157,-COUNTIF($B$937:$B1158,"&lt;0")+3,0),""),"")</f>
        <v/>
      </c>
      <c r="N1159" s="515">
        <f ca="1">IFERROR(IF(COUNTA($D$937:D1158)=1,0,OFFSET($F1157,-COUNTA($D$937:D1158)+3,0)),"")</f>
        <v>1</v>
      </c>
      <c r="O1159" s="497"/>
      <c r="P1159" s="497">
        <f t="shared" si="146"/>
        <v>220</v>
      </c>
      <c r="Q1159" s="497"/>
      <c r="R1159" s="497"/>
      <c r="S1159" s="497"/>
      <c r="T1159" s="503"/>
    </row>
    <row r="1160" spans="1:20" x14ac:dyDescent="0.35">
      <c r="A1160" s="497" t="b">
        <v>0</v>
      </c>
      <c r="B1160" s="497">
        <f t="shared" si="143"/>
        <v>-139</v>
      </c>
      <c r="C1160" s="518" t="s">
        <v>9772</v>
      </c>
      <c r="D1160" s="497" t="s">
        <v>6037</v>
      </c>
      <c r="E1160" s="497">
        <f t="shared" si="144"/>
        <v>5</v>
      </c>
      <c r="F1160" s="516">
        <v>37</v>
      </c>
      <c r="G1160" s="503"/>
      <c r="H1160" s="497">
        <f t="shared" ca="1" si="145"/>
        <v>81</v>
      </c>
      <c r="I1160" s="500"/>
      <c r="J1160" s="512"/>
      <c r="K1160" s="512"/>
      <c r="L1160" s="503"/>
      <c r="M1160" s="515" t="str">
        <f ca="1">IFERROR(IF(COUNTIF($B$937:$B1159,"&lt;0")&lt;&gt;1,OFFSET($C1158,-COUNTIF($B$937:$B1159,"&lt;0")+3,0),""),"")</f>
        <v/>
      </c>
      <c r="N1160" s="515">
        <f ca="1">IFERROR(IF(COUNTA($D$937:D1159)=1,0,OFFSET($F1158,-COUNTA($D$937:D1159)+3,0)),"")</f>
        <v>1</v>
      </c>
      <c r="O1160" s="497"/>
      <c r="P1160" s="497">
        <f t="shared" si="146"/>
        <v>221</v>
      </c>
      <c r="Q1160" s="497"/>
      <c r="R1160" s="497"/>
      <c r="S1160" s="497"/>
      <c r="T1160" s="503"/>
    </row>
    <row r="1161" spans="1:20" x14ac:dyDescent="0.35">
      <c r="A1161" s="497" t="b">
        <v>0</v>
      </c>
      <c r="B1161" s="497">
        <f t="shared" si="143"/>
        <v>-138</v>
      </c>
      <c r="C1161" s="518" t="s">
        <v>9773</v>
      </c>
      <c r="D1161" s="497" t="s">
        <v>6037</v>
      </c>
      <c r="E1161" s="497">
        <f t="shared" si="144"/>
        <v>6</v>
      </c>
      <c r="F1161" s="516">
        <v>37</v>
      </c>
      <c r="G1161" s="503"/>
      <c r="H1161" s="497">
        <f t="shared" ca="1" si="145"/>
        <v>81</v>
      </c>
      <c r="I1161" s="500"/>
      <c r="J1161" s="512"/>
      <c r="K1161" s="512"/>
      <c r="L1161" s="503"/>
      <c r="M1161" s="515" t="str">
        <f ca="1">IFERROR(IF(COUNTIF($B$937:$B1160,"&lt;0")&lt;&gt;1,OFFSET($C1159,-COUNTIF($B$937:$B1160,"&lt;0")+3,0),""),"")</f>
        <v/>
      </c>
      <c r="N1161" s="515">
        <f ca="1">IFERROR(IF(COUNTA($D$937:D1160)=1,0,OFFSET($F1159,-COUNTA($D$937:D1160)+3,0)),"")</f>
        <v>1</v>
      </c>
      <c r="O1161" s="497"/>
      <c r="P1161" s="497">
        <f t="shared" si="146"/>
        <v>222</v>
      </c>
      <c r="Q1161" s="497"/>
      <c r="R1161" s="497"/>
      <c r="S1161" s="497"/>
      <c r="T1161" s="503"/>
    </row>
    <row r="1162" spans="1:20" x14ac:dyDescent="0.35">
      <c r="A1162" s="497" t="b">
        <v>0</v>
      </c>
      <c r="B1162" s="497">
        <f t="shared" si="143"/>
        <v>-137</v>
      </c>
      <c r="C1162" s="518" t="s">
        <v>9774</v>
      </c>
      <c r="D1162" s="497" t="s">
        <v>7268</v>
      </c>
      <c r="E1162" s="497">
        <f t="shared" si="144"/>
        <v>1</v>
      </c>
      <c r="F1162" s="516">
        <v>38</v>
      </c>
      <c r="G1162" s="503"/>
      <c r="H1162" s="497">
        <f t="shared" ca="1" si="145"/>
        <v>83</v>
      </c>
      <c r="I1162" s="500"/>
      <c r="J1162" s="512"/>
      <c r="K1162" s="512"/>
      <c r="L1162" s="503"/>
      <c r="M1162" s="515" t="str">
        <f ca="1">IFERROR(IF(COUNTIF($B$937:$B1161,"&lt;0")&lt;&gt;1,OFFSET($C1160,-COUNTIF($B$937:$B1161,"&lt;0")+3,0),""),"")</f>
        <v/>
      </c>
      <c r="N1162" s="515">
        <f ca="1">IFERROR(IF(COUNTA($D$937:D1161)=1,0,OFFSET($F1160,-COUNTA($D$937:D1161)+3,0)),"")</f>
        <v>1</v>
      </c>
      <c r="O1162" s="497"/>
      <c r="P1162" s="497">
        <f t="shared" si="146"/>
        <v>223</v>
      </c>
      <c r="Q1162" s="497"/>
      <c r="R1162" s="497"/>
      <c r="S1162" s="497"/>
      <c r="T1162" s="503"/>
    </row>
    <row r="1163" spans="1:20" x14ac:dyDescent="0.35">
      <c r="A1163" s="497" t="b">
        <v>0</v>
      </c>
      <c r="B1163" s="497">
        <f t="shared" si="143"/>
        <v>-136</v>
      </c>
      <c r="C1163" s="518" t="s">
        <v>9775</v>
      </c>
      <c r="D1163" s="497" t="s">
        <v>7268</v>
      </c>
      <c r="E1163" s="497">
        <f t="shared" si="144"/>
        <v>2</v>
      </c>
      <c r="F1163" s="516">
        <v>38</v>
      </c>
      <c r="G1163" s="503"/>
      <c r="H1163" s="497">
        <f t="shared" ca="1" si="145"/>
        <v>83</v>
      </c>
      <c r="I1163" s="500"/>
      <c r="J1163" s="512"/>
      <c r="K1163" s="512"/>
      <c r="L1163" s="503"/>
      <c r="M1163" s="515" t="str">
        <f ca="1">IFERROR(IF(COUNTIF($B$937:$B1162,"&lt;0")&lt;&gt;1,OFFSET($C1161,-COUNTIF($B$937:$B1162,"&lt;0")+3,0),""),"")</f>
        <v/>
      </c>
      <c r="N1163" s="515">
        <f ca="1">IFERROR(IF(COUNTA($D$937:D1162)=1,0,OFFSET($F1161,-COUNTA($D$937:D1162)+3,0)),"")</f>
        <v>1</v>
      </c>
      <c r="O1163" s="497"/>
      <c r="P1163" s="497">
        <f t="shared" si="146"/>
        <v>224</v>
      </c>
      <c r="Q1163" s="497"/>
      <c r="R1163" s="497"/>
      <c r="S1163" s="497"/>
      <c r="T1163" s="503"/>
    </row>
    <row r="1164" spans="1:20" x14ac:dyDescent="0.35">
      <c r="A1164" s="497" t="b">
        <v>0</v>
      </c>
      <c r="B1164" s="497">
        <f t="shared" si="143"/>
        <v>-135</v>
      </c>
      <c r="C1164" s="518" t="s">
        <v>9776</v>
      </c>
      <c r="D1164" s="497" t="s">
        <v>7268</v>
      </c>
      <c r="E1164" s="497">
        <f t="shared" si="144"/>
        <v>3</v>
      </c>
      <c r="F1164" s="516">
        <v>38</v>
      </c>
      <c r="G1164" s="503"/>
      <c r="H1164" s="497">
        <f t="shared" ca="1" si="145"/>
        <v>83</v>
      </c>
      <c r="I1164" s="500"/>
      <c r="J1164" s="512"/>
      <c r="K1164" s="512"/>
      <c r="L1164" s="503"/>
      <c r="M1164" s="515" t="str">
        <f ca="1">IFERROR(IF(COUNTIF($B$937:$B1163,"&lt;0")&lt;&gt;1,OFFSET($C1162,-COUNTIF($B$937:$B1163,"&lt;0")+3,0),""),"")</f>
        <v/>
      </c>
      <c r="N1164" s="515">
        <f ca="1">IFERROR(IF(COUNTA($D$937:D1163)=1,0,OFFSET($F1162,-COUNTA($D$937:D1163)+3,0)),"")</f>
        <v>1</v>
      </c>
      <c r="O1164" s="497"/>
      <c r="P1164" s="497">
        <f t="shared" si="146"/>
        <v>225</v>
      </c>
      <c r="Q1164" s="497"/>
      <c r="R1164" s="497"/>
      <c r="S1164" s="497"/>
      <c r="T1164" s="503"/>
    </row>
    <row r="1165" spans="1:20" x14ac:dyDescent="0.35">
      <c r="A1165" s="497" t="b">
        <v>0</v>
      </c>
      <c r="B1165" s="497">
        <f t="shared" si="143"/>
        <v>-134</v>
      </c>
      <c r="C1165" s="518" t="s">
        <v>9777</v>
      </c>
      <c r="D1165" s="497" t="s">
        <v>7268</v>
      </c>
      <c r="E1165" s="497">
        <f t="shared" si="144"/>
        <v>4</v>
      </c>
      <c r="F1165" s="516">
        <v>38</v>
      </c>
      <c r="G1165" s="503"/>
      <c r="H1165" s="497">
        <f t="shared" ca="1" si="145"/>
        <v>83</v>
      </c>
      <c r="I1165" s="500"/>
      <c r="J1165" s="512"/>
      <c r="K1165" s="512"/>
      <c r="L1165" s="503"/>
      <c r="M1165" s="515" t="str">
        <f ca="1">IFERROR(IF(COUNTIF($B$937:$B1164,"&lt;0")&lt;&gt;1,OFFSET($C1163,-COUNTIF($B$937:$B1164,"&lt;0")+3,0),""),"")</f>
        <v/>
      </c>
      <c r="N1165" s="515">
        <f ca="1">IFERROR(IF(COUNTA($D$937:D1164)=1,0,OFFSET($F1163,-COUNTA($D$937:D1164)+3,0)),"")</f>
        <v>1</v>
      </c>
      <c r="O1165" s="497"/>
      <c r="P1165" s="497">
        <f t="shared" si="146"/>
        <v>226</v>
      </c>
      <c r="Q1165" s="497"/>
      <c r="R1165" s="497"/>
      <c r="S1165" s="497"/>
      <c r="T1165" s="503"/>
    </row>
    <row r="1166" spans="1:20" x14ac:dyDescent="0.35">
      <c r="A1166" s="497" t="b">
        <v>0</v>
      </c>
      <c r="B1166" s="497">
        <f t="shared" si="143"/>
        <v>-133</v>
      </c>
      <c r="C1166" s="518" t="s">
        <v>9778</v>
      </c>
      <c r="D1166" s="497" t="s">
        <v>7268</v>
      </c>
      <c r="E1166" s="497">
        <f t="shared" si="144"/>
        <v>5</v>
      </c>
      <c r="F1166" s="516">
        <v>38</v>
      </c>
      <c r="G1166" s="503"/>
      <c r="H1166" s="497">
        <f t="shared" ca="1" si="145"/>
        <v>83</v>
      </c>
      <c r="I1166" s="500"/>
      <c r="J1166" s="512"/>
      <c r="K1166" s="512"/>
      <c r="L1166" s="503"/>
      <c r="M1166" s="515" t="str">
        <f ca="1">IFERROR(IF(COUNTIF($B$937:$B1165,"&lt;0")&lt;&gt;1,OFFSET($C1164,-COUNTIF($B$937:$B1165,"&lt;0")+3,0),""),"")</f>
        <v/>
      </c>
      <c r="N1166" s="515">
        <f ca="1">IFERROR(IF(COUNTA($D$937:D1165)=1,0,OFFSET($F1164,-COUNTA($D$937:D1165)+3,0)),"")</f>
        <v>1</v>
      </c>
      <c r="O1166" s="497"/>
      <c r="P1166" s="497">
        <f t="shared" si="146"/>
        <v>227</v>
      </c>
      <c r="Q1166" s="497"/>
      <c r="R1166" s="497"/>
      <c r="S1166" s="497"/>
      <c r="T1166" s="503"/>
    </row>
    <row r="1167" spans="1:20" x14ac:dyDescent="0.35">
      <c r="A1167" s="497" t="b">
        <v>0</v>
      </c>
      <c r="B1167" s="497">
        <f t="shared" si="143"/>
        <v>-132</v>
      </c>
      <c r="C1167" s="518" t="s">
        <v>9779</v>
      </c>
      <c r="D1167" s="497" t="s">
        <v>7268</v>
      </c>
      <c r="E1167" s="497">
        <f t="shared" si="144"/>
        <v>6</v>
      </c>
      <c r="F1167" s="516">
        <v>38</v>
      </c>
      <c r="G1167" s="503"/>
      <c r="H1167" s="497">
        <f t="shared" ca="1" si="145"/>
        <v>83</v>
      </c>
      <c r="I1167" s="500"/>
      <c r="J1167" s="512"/>
      <c r="K1167" s="512"/>
      <c r="L1167" s="503"/>
      <c r="M1167" s="515" t="str">
        <f ca="1">IFERROR(IF(COUNTIF($B$937:$B1166,"&lt;0")&lt;&gt;1,OFFSET($C1165,-COUNTIF($B$937:$B1166,"&lt;0")+3,0),""),"")</f>
        <v/>
      </c>
      <c r="N1167" s="515">
        <f ca="1">IFERROR(IF(COUNTA($D$937:D1166)=1,0,OFFSET($F1165,-COUNTA($D$937:D1166)+3,0)),"")</f>
        <v>1</v>
      </c>
      <c r="O1167" s="497"/>
      <c r="P1167" s="497">
        <f t="shared" si="146"/>
        <v>228</v>
      </c>
      <c r="Q1167" s="497"/>
      <c r="R1167" s="497"/>
      <c r="S1167" s="497"/>
      <c r="T1167" s="503"/>
    </row>
    <row r="1168" spans="1:20" x14ac:dyDescent="0.35">
      <c r="A1168" s="497" t="b">
        <v>0</v>
      </c>
      <c r="B1168" s="497">
        <f t="shared" si="143"/>
        <v>-131</v>
      </c>
      <c r="C1168" s="518" t="s">
        <v>9780</v>
      </c>
      <c r="D1168" s="497" t="s">
        <v>6078</v>
      </c>
      <c r="E1168" s="497">
        <f t="shared" si="144"/>
        <v>1</v>
      </c>
      <c r="F1168" s="516">
        <v>39</v>
      </c>
      <c r="G1168" s="503"/>
      <c r="H1168" s="497">
        <f t="shared" ca="1" si="145"/>
        <v>85</v>
      </c>
      <c r="I1168" s="500"/>
      <c r="J1168" s="512"/>
      <c r="K1168" s="512"/>
      <c r="L1168" s="503"/>
      <c r="M1168" s="515" t="str">
        <f ca="1">IFERROR(IF(COUNTIF($B$937:$B1167,"&lt;0")&lt;&gt;1,OFFSET($C1166,-COUNTIF($B$937:$B1167,"&lt;0")+3,0),""),"")</f>
        <v/>
      </c>
      <c r="N1168" s="515">
        <f ca="1">IFERROR(IF(COUNTA($D$937:D1167)=1,0,OFFSET($F1166,-COUNTA($D$937:D1167)+3,0)),"")</f>
        <v>1</v>
      </c>
      <c r="O1168" s="497"/>
      <c r="P1168" s="497">
        <f t="shared" si="146"/>
        <v>229</v>
      </c>
      <c r="Q1168" s="497"/>
      <c r="R1168" s="497"/>
      <c r="S1168" s="497"/>
      <c r="T1168" s="503"/>
    </row>
    <row r="1169" spans="1:20" x14ac:dyDescent="0.35">
      <c r="A1169" s="497" t="b">
        <v>0</v>
      </c>
      <c r="B1169" s="497">
        <f t="shared" si="143"/>
        <v>-130</v>
      </c>
      <c r="C1169" s="518" t="s">
        <v>9781</v>
      </c>
      <c r="D1169" s="497" t="s">
        <v>6078</v>
      </c>
      <c r="E1169" s="497">
        <f t="shared" si="144"/>
        <v>2</v>
      </c>
      <c r="F1169" s="516">
        <v>39</v>
      </c>
      <c r="G1169" s="503"/>
      <c r="H1169" s="497">
        <f t="shared" ca="1" si="145"/>
        <v>85</v>
      </c>
      <c r="I1169" s="500"/>
      <c r="J1169" s="512"/>
      <c r="K1169" s="512"/>
      <c r="L1169" s="503"/>
      <c r="M1169" s="515" t="str">
        <f ca="1">IFERROR(IF(COUNTIF($B$937:$B1168,"&lt;0")&lt;&gt;1,OFFSET($C1167,-COUNTIF($B$937:$B1168,"&lt;0")+3,0),""),"")</f>
        <v/>
      </c>
      <c r="N1169" s="515">
        <f ca="1">IFERROR(IF(COUNTA($D$937:D1168)=1,0,OFFSET($F1167,-COUNTA($D$937:D1168)+3,0)),"")</f>
        <v>1</v>
      </c>
      <c r="O1169" s="497"/>
      <c r="P1169" s="497">
        <f t="shared" si="146"/>
        <v>230</v>
      </c>
      <c r="Q1169" s="497"/>
      <c r="R1169" s="497"/>
      <c r="S1169" s="497"/>
      <c r="T1169" s="503"/>
    </row>
    <row r="1170" spans="1:20" x14ac:dyDescent="0.35">
      <c r="A1170" s="497" t="b">
        <v>0</v>
      </c>
      <c r="B1170" s="497">
        <f t="shared" si="143"/>
        <v>-129</v>
      </c>
      <c r="C1170" s="518" t="s">
        <v>9782</v>
      </c>
      <c r="D1170" s="497" t="s">
        <v>6078</v>
      </c>
      <c r="E1170" s="497">
        <f t="shared" si="144"/>
        <v>3</v>
      </c>
      <c r="F1170" s="516">
        <v>39</v>
      </c>
      <c r="G1170" s="503"/>
      <c r="H1170" s="497">
        <f t="shared" ca="1" si="145"/>
        <v>85</v>
      </c>
      <c r="I1170" s="500"/>
      <c r="J1170" s="512"/>
      <c r="K1170" s="512"/>
      <c r="L1170" s="503"/>
      <c r="M1170" s="515" t="str">
        <f ca="1">IFERROR(IF(COUNTIF($B$937:$B1169,"&lt;0")&lt;&gt;1,OFFSET($C1168,-COUNTIF($B$937:$B1169,"&lt;0")+3,0),""),"")</f>
        <v/>
      </c>
      <c r="N1170" s="515">
        <f ca="1">IFERROR(IF(COUNTA($D$937:D1169)=1,0,OFFSET($F1168,-COUNTA($D$937:D1169)+3,0)),"")</f>
        <v>1</v>
      </c>
      <c r="O1170" s="497"/>
      <c r="P1170" s="497">
        <f t="shared" si="146"/>
        <v>231</v>
      </c>
      <c r="Q1170" s="497"/>
      <c r="R1170" s="497"/>
      <c r="S1170" s="497"/>
      <c r="T1170" s="503"/>
    </row>
    <row r="1171" spans="1:20" x14ac:dyDescent="0.35">
      <c r="A1171" s="497" t="b">
        <v>0</v>
      </c>
      <c r="B1171" s="497">
        <f t="shared" si="143"/>
        <v>-128</v>
      </c>
      <c r="C1171" s="518" t="s">
        <v>9783</v>
      </c>
      <c r="D1171" s="497" t="s">
        <v>6078</v>
      </c>
      <c r="E1171" s="497">
        <f t="shared" si="144"/>
        <v>4</v>
      </c>
      <c r="F1171" s="516">
        <v>39</v>
      </c>
      <c r="G1171" s="503"/>
      <c r="H1171" s="497">
        <f t="shared" ca="1" si="145"/>
        <v>85</v>
      </c>
      <c r="I1171" s="500"/>
      <c r="J1171" s="512"/>
      <c r="K1171" s="512"/>
      <c r="L1171" s="503"/>
      <c r="M1171" s="515" t="str">
        <f ca="1">IFERROR(IF(COUNTIF($B$937:$B1170,"&lt;0")&lt;&gt;1,OFFSET($C1169,-COUNTIF($B$937:$B1170,"&lt;0")+3,0),""),"")</f>
        <v/>
      </c>
      <c r="N1171" s="515">
        <f ca="1">IFERROR(IF(COUNTA($D$937:D1170)=1,0,OFFSET($F1169,-COUNTA($D$937:D1170)+3,0)),"")</f>
        <v>1</v>
      </c>
      <c r="O1171" s="497"/>
      <c r="P1171" s="497">
        <f t="shared" si="146"/>
        <v>232</v>
      </c>
      <c r="Q1171" s="497"/>
      <c r="R1171" s="497"/>
      <c r="S1171" s="497"/>
      <c r="T1171" s="503"/>
    </row>
    <row r="1172" spans="1:20" x14ac:dyDescent="0.35">
      <c r="A1172" s="497" t="b">
        <v>0</v>
      </c>
      <c r="B1172" s="497">
        <f t="shared" si="143"/>
        <v>-127</v>
      </c>
      <c r="C1172" s="518" t="s">
        <v>9784</v>
      </c>
      <c r="D1172" s="497" t="s">
        <v>6078</v>
      </c>
      <c r="E1172" s="497">
        <f t="shared" si="144"/>
        <v>5</v>
      </c>
      <c r="F1172" s="516">
        <v>39</v>
      </c>
      <c r="G1172" s="503"/>
      <c r="H1172" s="497">
        <f t="shared" ca="1" si="145"/>
        <v>85</v>
      </c>
      <c r="I1172" s="500"/>
      <c r="J1172" s="512"/>
      <c r="K1172" s="512"/>
      <c r="L1172" s="503"/>
      <c r="M1172" s="515" t="str">
        <f ca="1">IFERROR(IF(COUNTIF($B$937:$B1171,"&lt;0")&lt;&gt;1,OFFSET($C1170,-COUNTIF($B$937:$B1171,"&lt;0")+3,0),""),"")</f>
        <v/>
      </c>
      <c r="N1172" s="515">
        <f ca="1">IFERROR(IF(COUNTA($D$937:D1171)=1,0,OFFSET($F1170,-COUNTA($D$937:D1171)+3,0)),"")</f>
        <v>1</v>
      </c>
      <c r="O1172" s="497"/>
      <c r="P1172" s="497">
        <f t="shared" si="146"/>
        <v>233</v>
      </c>
      <c r="Q1172" s="497"/>
      <c r="R1172" s="497"/>
      <c r="S1172" s="497"/>
      <c r="T1172" s="503"/>
    </row>
    <row r="1173" spans="1:20" x14ac:dyDescent="0.35">
      <c r="A1173" s="497" t="b">
        <v>0</v>
      </c>
      <c r="B1173" s="497">
        <f t="shared" si="143"/>
        <v>-126</v>
      </c>
      <c r="C1173" s="518" t="s">
        <v>9785</v>
      </c>
      <c r="D1173" s="497" t="s">
        <v>6078</v>
      </c>
      <c r="E1173" s="497">
        <f t="shared" si="144"/>
        <v>6</v>
      </c>
      <c r="F1173" s="516">
        <v>39</v>
      </c>
      <c r="G1173" s="503"/>
      <c r="H1173" s="497">
        <f t="shared" ca="1" si="145"/>
        <v>85</v>
      </c>
      <c r="I1173" s="500"/>
      <c r="J1173" s="512"/>
      <c r="K1173" s="512"/>
      <c r="L1173" s="503"/>
      <c r="M1173" s="515" t="str">
        <f ca="1">IFERROR(IF(COUNTIF($B$937:$B1172,"&lt;0")&lt;&gt;1,OFFSET($C1171,-COUNTIF($B$937:$B1172,"&lt;0")+3,0),""),"")</f>
        <v/>
      </c>
      <c r="N1173" s="515">
        <f ca="1">IFERROR(IF(COUNTA($D$937:D1172)=1,0,OFFSET($F1171,-COUNTA($D$937:D1172)+3,0)),"")</f>
        <v>1</v>
      </c>
      <c r="O1173" s="497"/>
      <c r="P1173" s="497">
        <f t="shared" si="146"/>
        <v>234</v>
      </c>
      <c r="Q1173" s="497"/>
      <c r="R1173" s="497"/>
      <c r="S1173" s="497"/>
      <c r="T1173" s="503"/>
    </row>
    <row r="1174" spans="1:20" x14ac:dyDescent="0.35">
      <c r="A1174" s="497" t="b">
        <v>0</v>
      </c>
      <c r="B1174" s="497">
        <f t="shared" si="143"/>
        <v>-125</v>
      </c>
      <c r="C1174" s="518" t="s">
        <v>9786</v>
      </c>
      <c r="D1174" s="497" t="s">
        <v>7309</v>
      </c>
      <c r="E1174" s="497">
        <f t="shared" si="144"/>
        <v>1</v>
      </c>
      <c r="F1174" s="516">
        <v>40</v>
      </c>
      <c r="G1174" s="503"/>
      <c r="H1174" s="497">
        <f t="shared" ca="1" si="145"/>
        <v>87</v>
      </c>
      <c r="I1174" s="500"/>
      <c r="J1174" s="512"/>
      <c r="K1174" s="512"/>
      <c r="L1174" s="503"/>
      <c r="M1174" s="515" t="str">
        <f ca="1">IFERROR(IF(COUNTIF($B$937:$B1173,"&lt;0")&lt;&gt;1,OFFSET($C1172,-COUNTIF($B$937:$B1173,"&lt;0")+3,0),""),"")</f>
        <v/>
      </c>
      <c r="N1174" s="515">
        <f ca="1">IFERROR(IF(COUNTA($D$937:D1173)=1,0,OFFSET($F1172,-COUNTA($D$937:D1173)+3,0)),"")</f>
        <v>1</v>
      </c>
      <c r="O1174" s="497"/>
      <c r="P1174" s="497">
        <f t="shared" si="146"/>
        <v>235</v>
      </c>
      <c r="Q1174" s="497"/>
      <c r="R1174" s="497"/>
      <c r="S1174" s="497"/>
      <c r="T1174" s="503"/>
    </row>
    <row r="1175" spans="1:20" x14ac:dyDescent="0.35">
      <c r="A1175" s="497" t="b">
        <v>0</v>
      </c>
      <c r="B1175" s="497">
        <f t="shared" si="143"/>
        <v>-124</v>
      </c>
      <c r="C1175" s="518" t="s">
        <v>9787</v>
      </c>
      <c r="D1175" s="497" t="s">
        <v>7309</v>
      </c>
      <c r="E1175" s="497">
        <f t="shared" si="144"/>
        <v>2</v>
      </c>
      <c r="F1175" s="516">
        <v>40</v>
      </c>
      <c r="G1175" s="503"/>
      <c r="H1175" s="497">
        <f t="shared" ca="1" si="145"/>
        <v>87</v>
      </c>
      <c r="I1175" s="500"/>
      <c r="J1175" s="512"/>
      <c r="K1175" s="512"/>
      <c r="L1175" s="503"/>
      <c r="M1175" s="515" t="str">
        <f ca="1">IFERROR(IF(COUNTIF($B$937:$B1174,"&lt;0")&lt;&gt;1,OFFSET($C1173,-COUNTIF($B$937:$B1174,"&lt;0")+3,0),""),"")</f>
        <v/>
      </c>
      <c r="N1175" s="515">
        <f ca="1">IFERROR(IF(COUNTA($D$937:D1174)=1,0,OFFSET($F1173,-COUNTA($D$937:D1174)+3,0)),"")</f>
        <v>1</v>
      </c>
      <c r="O1175" s="497"/>
      <c r="P1175" s="497">
        <f t="shared" si="146"/>
        <v>236</v>
      </c>
      <c r="Q1175" s="497"/>
      <c r="R1175" s="497"/>
      <c r="S1175" s="497"/>
      <c r="T1175" s="503"/>
    </row>
    <row r="1176" spans="1:20" x14ac:dyDescent="0.35">
      <c r="A1176" s="497" t="b">
        <v>0</v>
      </c>
      <c r="B1176" s="497">
        <f t="shared" si="143"/>
        <v>-123</v>
      </c>
      <c r="C1176" s="518" t="s">
        <v>9788</v>
      </c>
      <c r="D1176" s="497" t="s">
        <v>7309</v>
      </c>
      <c r="E1176" s="497">
        <f t="shared" si="144"/>
        <v>3</v>
      </c>
      <c r="F1176" s="516">
        <v>40</v>
      </c>
      <c r="G1176" s="503"/>
      <c r="H1176" s="497">
        <f t="shared" ca="1" si="145"/>
        <v>87</v>
      </c>
      <c r="I1176" s="500"/>
      <c r="J1176" s="512"/>
      <c r="K1176" s="512"/>
      <c r="L1176" s="503"/>
      <c r="M1176" s="515" t="str">
        <f ca="1">IFERROR(IF(COUNTIF($B$937:$B1175,"&lt;0")&lt;&gt;1,OFFSET($C1174,-COUNTIF($B$937:$B1175,"&lt;0")+3,0),""),"")</f>
        <v/>
      </c>
      <c r="N1176" s="515">
        <f ca="1">IFERROR(IF(COUNTA($D$937:D1175)=1,0,OFFSET($F1174,-COUNTA($D$937:D1175)+3,0)),"")</f>
        <v>1</v>
      </c>
      <c r="O1176" s="497"/>
      <c r="P1176" s="497">
        <f t="shared" si="146"/>
        <v>237</v>
      </c>
      <c r="Q1176" s="497"/>
      <c r="R1176" s="497"/>
      <c r="S1176" s="497"/>
      <c r="T1176" s="503"/>
    </row>
    <row r="1177" spans="1:20" x14ac:dyDescent="0.35">
      <c r="A1177" s="497" t="b">
        <v>0</v>
      </c>
      <c r="B1177" s="497">
        <f t="shared" si="143"/>
        <v>-122</v>
      </c>
      <c r="C1177" s="518" t="s">
        <v>9789</v>
      </c>
      <c r="D1177" s="497" t="s">
        <v>7309</v>
      </c>
      <c r="E1177" s="497">
        <f t="shared" si="144"/>
        <v>4</v>
      </c>
      <c r="F1177" s="516">
        <v>40</v>
      </c>
      <c r="G1177" s="503"/>
      <c r="H1177" s="497">
        <f t="shared" ca="1" si="145"/>
        <v>87</v>
      </c>
      <c r="I1177" s="500"/>
      <c r="J1177" s="512"/>
      <c r="K1177" s="512"/>
      <c r="L1177" s="503"/>
      <c r="M1177" s="515" t="str">
        <f ca="1">IFERROR(IF(COUNTIF($B$937:$B1176,"&lt;0")&lt;&gt;1,OFFSET($C1175,-COUNTIF($B$937:$B1176,"&lt;0")+3,0),""),"")</f>
        <v/>
      </c>
      <c r="N1177" s="515">
        <f ca="1">IFERROR(IF(COUNTA($D$937:D1176)=1,0,OFFSET($F1175,-COUNTA($D$937:D1176)+3,0)),"")</f>
        <v>1</v>
      </c>
      <c r="O1177" s="497"/>
      <c r="P1177" s="497">
        <f t="shared" si="146"/>
        <v>238</v>
      </c>
      <c r="Q1177" s="497"/>
      <c r="R1177" s="497"/>
      <c r="S1177" s="497"/>
      <c r="T1177" s="503"/>
    </row>
    <row r="1178" spans="1:20" x14ac:dyDescent="0.35">
      <c r="A1178" s="497" t="b">
        <v>0</v>
      </c>
      <c r="B1178" s="497">
        <f t="shared" si="143"/>
        <v>-121</v>
      </c>
      <c r="C1178" s="518" t="s">
        <v>9790</v>
      </c>
      <c r="D1178" s="497" t="s">
        <v>7309</v>
      </c>
      <c r="E1178" s="497">
        <f t="shared" si="144"/>
        <v>5</v>
      </c>
      <c r="F1178" s="516">
        <v>40</v>
      </c>
      <c r="G1178" s="503"/>
      <c r="H1178" s="497">
        <f t="shared" ca="1" si="145"/>
        <v>87</v>
      </c>
      <c r="I1178" s="500"/>
      <c r="J1178" s="512"/>
      <c r="K1178" s="512"/>
      <c r="L1178" s="503"/>
      <c r="M1178" s="515" t="str">
        <f ca="1">IFERROR(IF(COUNTIF($B$937:$B1177,"&lt;0")&lt;&gt;1,OFFSET($C1176,-COUNTIF($B$937:$B1177,"&lt;0")+3,0),""),"")</f>
        <v/>
      </c>
      <c r="N1178" s="515">
        <f ca="1">IFERROR(IF(COUNTA($D$937:D1177)=1,0,OFFSET($F1176,-COUNTA($D$937:D1177)+3,0)),"")</f>
        <v>1</v>
      </c>
      <c r="O1178" s="497"/>
      <c r="P1178" s="497">
        <f t="shared" si="146"/>
        <v>239</v>
      </c>
      <c r="Q1178" s="497"/>
      <c r="R1178" s="497"/>
      <c r="S1178" s="497"/>
      <c r="T1178" s="503"/>
    </row>
    <row r="1179" spans="1:20" x14ac:dyDescent="0.35">
      <c r="A1179" s="497" t="b">
        <v>0</v>
      </c>
      <c r="B1179" s="497">
        <f t="shared" si="143"/>
        <v>-120</v>
      </c>
      <c r="C1179" s="518" t="s">
        <v>9791</v>
      </c>
      <c r="D1179" s="497" t="s">
        <v>7309</v>
      </c>
      <c r="E1179" s="497">
        <f t="shared" si="144"/>
        <v>6</v>
      </c>
      <c r="F1179" s="516">
        <v>40</v>
      </c>
      <c r="G1179" s="503"/>
      <c r="H1179" s="497">
        <f t="shared" ca="1" si="145"/>
        <v>87</v>
      </c>
      <c r="I1179" s="500"/>
      <c r="J1179" s="512"/>
      <c r="K1179" s="512"/>
      <c r="L1179" s="503"/>
      <c r="M1179" s="515" t="str">
        <f ca="1">IFERROR(IF(COUNTIF($B$937:$B1178,"&lt;0")&lt;&gt;1,OFFSET($C1177,-COUNTIF($B$937:$B1178,"&lt;0")+3,0),""),"")</f>
        <v/>
      </c>
      <c r="N1179" s="515">
        <f ca="1">IFERROR(IF(COUNTA($D$937:D1178)=1,0,OFFSET($F1177,-COUNTA($D$937:D1178)+3,0)),"")</f>
        <v>1</v>
      </c>
      <c r="O1179" s="497"/>
      <c r="P1179" s="497">
        <f t="shared" si="146"/>
        <v>240</v>
      </c>
      <c r="Q1179" s="497"/>
      <c r="R1179" s="497"/>
      <c r="S1179" s="497"/>
      <c r="T1179" s="503"/>
    </row>
    <row r="1180" spans="1:20" x14ac:dyDescent="0.35">
      <c r="A1180" s="497" t="b">
        <v>0</v>
      </c>
      <c r="B1180" s="497">
        <f t="shared" si="143"/>
        <v>-119</v>
      </c>
      <c r="C1180" s="518" t="s">
        <v>9792</v>
      </c>
      <c r="D1180" s="497" t="s">
        <v>6119</v>
      </c>
      <c r="E1180" s="497">
        <f t="shared" si="144"/>
        <v>1</v>
      </c>
      <c r="F1180" s="516">
        <v>41</v>
      </c>
      <c r="G1180" s="503"/>
      <c r="H1180" s="497">
        <f t="shared" ca="1" si="145"/>
        <v>89</v>
      </c>
      <c r="I1180" s="500"/>
      <c r="J1180" s="512"/>
      <c r="K1180" s="512"/>
      <c r="L1180" s="503"/>
      <c r="M1180" s="515" t="str">
        <f ca="1">IFERROR(IF(COUNTIF($B$937:$B1179,"&lt;0")&lt;&gt;1,OFFSET($C1178,-COUNTIF($B$937:$B1179,"&lt;0")+3,0),""),"")</f>
        <v/>
      </c>
      <c r="N1180" s="515">
        <f ca="1">IFERROR(IF(COUNTA($D$937:D1179)=1,0,OFFSET($F1178,-COUNTA($D$937:D1179)+3,0)),"")</f>
        <v>1</v>
      </c>
      <c r="O1180" s="497"/>
      <c r="P1180" s="497">
        <f t="shared" si="146"/>
        <v>241</v>
      </c>
      <c r="Q1180" s="497"/>
      <c r="R1180" s="497"/>
      <c r="S1180" s="497"/>
      <c r="T1180" s="503"/>
    </row>
    <row r="1181" spans="1:20" x14ac:dyDescent="0.35">
      <c r="A1181" s="497" t="b">
        <v>0</v>
      </c>
      <c r="B1181" s="497">
        <f t="shared" si="143"/>
        <v>-118</v>
      </c>
      <c r="C1181" s="518" t="s">
        <v>9793</v>
      </c>
      <c r="D1181" s="497" t="s">
        <v>6119</v>
      </c>
      <c r="E1181" s="497">
        <f t="shared" si="144"/>
        <v>2</v>
      </c>
      <c r="F1181" s="516">
        <v>41</v>
      </c>
      <c r="G1181" s="503"/>
      <c r="H1181" s="497">
        <f t="shared" ca="1" si="145"/>
        <v>89</v>
      </c>
      <c r="I1181" s="500"/>
      <c r="J1181" s="512"/>
      <c r="K1181" s="512"/>
      <c r="L1181" s="503"/>
      <c r="M1181" s="515" t="str">
        <f ca="1">IFERROR(IF(COUNTIF($B$937:$B1180,"&lt;0")&lt;&gt;1,OFFSET($C1179,-COUNTIF($B$937:$B1180,"&lt;0")+3,0),""),"")</f>
        <v/>
      </c>
      <c r="N1181" s="515">
        <f ca="1">IFERROR(IF(COUNTA($D$937:D1180)=1,0,OFFSET($F1179,-COUNTA($D$937:D1180)+3,0)),"")</f>
        <v>1</v>
      </c>
      <c r="O1181" s="497"/>
      <c r="P1181" s="497">
        <f t="shared" si="146"/>
        <v>242</v>
      </c>
      <c r="Q1181" s="497"/>
      <c r="R1181" s="497"/>
      <c r="S1181" s="497"/>
      <c r="T1181" s="503"/>
    </row>
    <row r="1182" spans="1:20" x14ac:dyDescent="0.35">
      <c r="A1182" s="497" t="b">
        <v>0</v>
      </c>
      <c r="B1182" s="497">
        <f t="shared" si="143"/>
        <v>-117</v>
      </c>
      <c r="C1182" s="518" t="s">
        <v>9794</v>
      </c>
      <c r="D1182" s="497" t="s">
        <v>6119</v>
      </c>
      <c r="E1182" s="497">
        <f t="shared" si="144"/>
        <v>3</v>
      </c>
      <c r="F1182" s="516">
        <v>41</v>
      </c>
      <c r="G1182" s="503"/>
      <c r="H1182" s="497">
        <f t="shared" ca="1" si="145"/>
        <v>89</v>
      </c>
      <c r="I1182" s="500"/>
      <c r="J1182" s="512"/>
      <c r="K1182" s="512"/>
      <c r="L1182" s="503"/>
      <c r="M1182" s="515" t="str">
        <f ca="1">IFERROR(IF(COUNTIF($B$937:$B1181,"&lt;0")&lt;&gt;1,OFFSET($C1180,-COUNTIF($B$937:$B1181,"&lt;0")+3,0),""),"")</f>
        <v/>
      </c>
      <c r="N1182" s="515">
        <f ca="1">IFERROR(IF(COUNTA($D$937:D1181)=1,0,OFFSET($F1180,-COUNTA($D$937:D1181)+3,0)),"")</f>
        <v>1</v>
      </c>
      <c r="O1182" s="497"/>
      <c r="P1182" s="497">
        <f t="shared" si="146"/>
        <v>243</v>
      </c>
      <c r="Q1182" s="497"/>
      <c r="R1182" s="497"/>
      <c r="S1182" s="497"/>
      <c r="T1182" s="503"/>
    </row>
    <row r="1183" spans="1:20" x14ac:dyDescent="0.35">
      <c r="A1183" s="497" t="b">
        <v>0</v>
      </c>
      <c r="B1183" s="497">
        <f t="shared" si="143"/>
        <v>-116</v>
      </c>
      <c r="C1183" s="518" t="s">
        <v>9795</v>
      </c>
      <c r="D1183" s="497" t="s">
        <v>6119</v>
      </c>
      <c r="E1183" s="497">
        <f t="shared" si="144"/>
        <v>4</v>
      </c>
      <c r="F1183" s="516">
        <v>41</v>
      </c>
      <c r="G1183" s="503"/>
      <c r="H1183" s="497">
        <f t="shared" ca="1" si="145"/>
        <v>89</v>
      </c>
      <c r="I1183" s="500"/>
      <c r="J1183" s="512"/>
      <c r="K1183" s="512"/>
      <c r="L1183" s="503"/>
      <c r="M1183" s="515" t="str">
        <f ca="1">IFERROR(IF(COUNTIF($B$937:$B1182,"&lt;0")&lt;&gt;1,OFFSET($C1181,-COUNTIF($B$937:$B1182,"&lt;0")+3,0),""),"")</f>
        <v/>
      </c>
      <c r="N1183" s="515">
        <f ca="1">IFERROR(IF(COUNTA($D$937:D1182)=1,0,OFFSET($F1181,-COUNTA($D$937:D1182)+3,0)),"")</f>
        <v>1</v>
      </c>
      <c r="O1183" s="497"/>
      <c r="P1183" s="497">
        <f t="shared" si="146"/>
        <v>244</v>
      </c>
      <c r="Q1183" s="497"/>
      <c r="R1183" s="497"/>
      <c r="S1183" s="497"/>
      <c r="T1183" s="503"/>
    </row>
    <row r="1184" spans="1:20" x14ac:dyDescent="0.35">
      <c r="A1184" s="497" t="b">
        <v>0</v>
      </c>
      <c r="B1184" s="497">
        <f t="shared" si="143"/>
        <v>-115</v>
      </c>
      <c r="C1184" s="518" t="s">
        <v>9796</v>
      </c>
      <c r="D1184" s="497" t="s">
        <v>6119</v>
      </c>
      <c r="E1184" s="497">
        <f t="shared" si="144"/>
        <v>5</v>
      </c>
      <c r="F1184" s="516">
        <v>41</v>
      </c>
      <c r="G1184" s="503"/>
      <c r="H1184" s="497">
        <f t="shared" ca="1" si="145"/>
        <v>89</v>
      </c>
      <c r="I1184" s="500"/>
      <c r="J1184" s="512"/>
      <c r="K1184" s="512"/>
      <c r="L1184" s="503"/>
      <c r="M1184" s="515" t="str">
        <f ca="1">IFERROR(IF(COUNTIF($B$937:$B1183,"&lt;0")&lt;&gt;1,OFFSET($C1182,-COUNTIF($B$937:$B1183,"&lt;0")+3,0),""),"")</f>
        <v/>
      </c>
      <c r="N1184" s="515">
        <f ca="1">IFERROR(IF(COUNTA($D$937:D1183)=1,0,OFFSET($F1182,-COUNTA($D$937:D1183)+3,0)),"")</f>
        <v>1</v>
      </c>
      <c r="O1184" s="497"/>
      <c r="P1184" s="497">
        <f t="shared" si="146"/>
        <v>245</v>
      </c>
      <c r="Q1184" s="497"/>
      <c r="R1184" s="497"/>
      <c r="S1184" s="497"/>
      <c r="T1184" s="503"/>
    </row>
    <row r="1185" spans="1:20" x14ac:dyDescent="0.35">
      <c r="A1185" s="497" t="b">
        <v>0</v>
      </c>
      <c r="B1185" s="497">
        <f t="shared" si="143"/>
        <v>-114</v>
      </c>
      <c r="C1185" s="518" t="s">
        <v>9797</v>
      </c>
      <c r="D1185" s="497" t="s">
        <v>6119</v>
      </c>
      <c r="E1185" s="497">
        <f t="shared" si="144"/>
        <v>6</v>
      </c>
      <c r="F1185" s="516">
        <v>41</v>
      </c>
      <c r="G1185" s="503"/>
      <c r="H1185" s="497">
        <f t="shared" ca="1" si="145"/>
        <v>89</v>
      </c>
      <c r="I1185" s="500"/>
      <c r="J1185" s="512"/>
      <c r="K1185" s="512"/>
      <c r="L1185" s="503"/>
      <c r="M1185" s="515" t="str">
        <f ca="1">IFERROR(IF(COUNTIF($B$937:$B1184,"&lt;0")&lt;&gt;1,OFFSET($C1183,-COUNTIF($B$937:$B1184,"&lt;0")+3,0),""),"")</f>
        <v/>
      </c>
      <c r="N1185" s="515">
        <f ca="1">IFERROR(IF(COUNTA($D$937:D1184)=1,0,OFFSET($F1183,-COUNTA($D$937:D1184)+3,0)),"")</f>
        <v>1</v>
      </c>
      <c r="O1185" s="497"/>
      <c r="P1185" s="497">
        <f t="shared" si="146"/>
        <v>246</v>
      </c>
      <c r="Q1185" s="497"/>
      <c r="R1185" s="497"/>
      <c r="S1185" s="497"/>
      <c r="T1185" s="503"/>
    </row>
    <row r="1186" spans="1:20" x14ac:dyDescent="0.35">
      <c r="A1186" s="497" t="b">
        <v>0</v>
      </c>
      <c r="B1186" s="497">
        <f t="shared" si="143"/>
        <v>-113</v>
      </c>
      <c r="C1186" s="518" t="s">
        <v>9798</v>
      </c>
      <c r="D1186" s="497" t="s">
        <v>7391</v>
      </c>
      <c r="E1186" s="497">
        <f t="shared" si="144"/>
        <v>1</v>
      </c>
      <c r="F1186" s="516">
        <v>42</v>
      </c>
      <c r="G1186" s="503"/>
      <c r="H1186" s="497">
        <f t="shared" ca="1" si="145"/>
        <v>91</v>
      </c>
      <c r="I1186" s="500"/>
      <c r="J1186" s="512"/>
      <c r="K1186" s="512"/>
      <c r="L1186" s="503"/>
      <c r="M1186" s="515" t="str">
        <f ca="1">IFERROR(IF(COUNTIF($B$937:$B1185,"&lt;0")&lt;&gt;1,OFFSET($C1184,-COUNTIF($B$937:$B1185,"&lt;0")+3,0),""),"")</f>
        <v/>
      </c>
      <c r="N1186" s="515">
        <f ca="1">IFERROR(IF(COUNTA($D$937:D1185)=1,0,OFFSET($F1184,-COUNTA($D$937:D1185)+3,0)),"")</f>
        <v>1</v>
      </c>
      <c r="O1186" s="497"/>
      <c r="P1186" s="497">
        <f t="shared" si="146"/>
        <v>247</v>
      </c>
      <c r="Q1186" s="497"/>
      <c r="R1186" s="497"/>
      <c r="S1186" s="497"/>
      <c r="T1186" s="503"/>
    </row>
    <row r="1187" spans="1:20" x14ac:dyDescent="0.35">
      <c r="A1187" s="497" t="b">
        <v>0</v>
      </c>
      <c r="B1187" s="497">
        <f t="shared" si="143"/>
        <v>-112</v>
      </c>
      <c r="C1187" s="518" t="s">
        <v>9799</v>
      </c>
      <c r="D1187" s="497" t="s">
        <v>7391</v>
      </c>
      <c r="E1187" s="497">
        <f t="shared" si="144"/>
        <v>2</v>
      </c>
      <c r="F1187" s="516">
        <v>42</v>
      </c>
      <c r="G1187" s="503"/>
      <c r="H1187" s="497">
        <f t="shared" ca="1" si="145"/>
        <v>91</v>
      </c>
      <c r="I1187" s="500"/>
      <c r="J1187" s="512"/>
      <c r="K1187" s="512"/>
      <c r="L1187" s="503"/>
      <c r="M1187" s="515" t="str">
        <f ca="1">IFERROR(IF(COUNTIF($B$937:$B1186,"&lt;0")&lt;&gt;1,OFFSET($C1185,-COUNTIF($B$937:$B1186,"&lt;0")+3,0),""),"")</f>
        <v/>
      </c>
      <c r="N1187" s="515">
        <f ca="1">IFERROR(IF(COUNTA($D$937:D1186)=1,0,OFFSET($F1185,-COUNTA($D$937:D1186)+3,0)),"")</f>
        <v>1</v>
      </c>
      <c r="O1187" s="497"/>
      <c r="P1187" s="497">
        <f t="shared" si="146"/>
        <v>248</v>
      </c>
      <c r="Q1187" s="497"/>
      <c r="R1187" s="497"/>
      <c r="S1187" s="497"/>
      <c r="T1187" s="503"/>
    </row>
    <row r="1188" spans="1:20" x14ac:dyDescent="0.35">
      <c r="A1188" s="497" t="b">
        <v>0</v>
      </c>
      <c r="B1188" s="497">
        <f t="shared" si="143"/>
        <v>-111</v>
      </c>
      <c r="C1188" s="518" t="s">
        <v>9800</v>
      </c>
      <c r="D1188" s="497" t="s">
        <v>7391</v>
      </c>
      <c r="E1188" s="497">
        <f t="shared" si="144"/>
        <v>3</v>
      </c>
      <c r="F1188" s="516">
        <v>42</v>
      </c>
      <c r="G1188" s="503"/>
      <c r="H1188" s="497">
        <f t="shared" ca="1" si="145"/>
        <v>91</v>
      </c>
      <c r="I1188" s="500"/>
      <c r="J1188" s="512"/>
      <c r="K1188" s="512"/>
      <c r="L1188" s="503"/>
      <c r="M1188" s="515" t="str">
        <f ca="1">IFERROR(IF(COUNTIF($B$937:$B1187,"&lt;0")&lt;&gt;1,OFFSET($C1186,-COUNTIF($B$937:$B1187,"&lt;0")+3,0),""),"")</f>
        <v/>
      </c>
      <c r="N1188" s="515">
        <f ca="1">IFERROR(IF(COUNTA($D$937:D1187)=1,0,OFFSET($F1186,-COUNTA($D$937:D1187)+3,0)),"")</f>
        <v>1</v>
      </c>
      <c r="O1188" s="497"/>
      <c r="P1188" s="497">
        <f t="shared" si="146"/>
        <v>249</v>
      </c>
      <c r="Q1188" s="497"/>
      <c r="R1188" s="497"/>
      <c r="S1188" s="497"/>
      <c r="T1188" s="503"/>
    </row>
    <row r="1189" spans="1:20" x14ac:dyDescent="0.35">
      <c r="A1189" s="497" t="b">
        <v>0</v>
      </c>
      <c r="B1189" s="497">
        <f t="shared" si="143"/>
        <v>-110</v>
      </c>
      <c r="C1189" s="518" t="s">
        <v>9801</v>
      </c>
      <c r="D1189" s="497" t="s">
        <v>7391</v>
      </c>
      <c r="E1189" s="497">
        <f t="shared" si="144"/>
        <v>4</v>
      </c>
      <c r="F1189" s="516">
        <v>42</v>
      </c>
      <c r="G1189" s="503"/>
      <c r="H1189" s="497">
        <f t="shared" ca="1" si="145"/>
        <v>91</v>
      </c>
      <c r="I1189" s="500"/>
      <c r="J1189" s="512"/>
      <c r="K1189" s="512"/>
      <c r="L1189" s="503"/>
      <c r="M1189" s="515" t="str">
        <f ca="1">IFERROR(IF(COUNTIF($B$937:$B1188,"&lt;0")&lt;&gt;1,OFFSET($C1187,-COUNTIF($B$937:$B1188,"&lt;0")+3,0),""),"")</f>
        <v/>
      </c>
      <c r="N1189" s="515">
        <f ca="1">IFERROR(IF(COUNTA($D$937:D1188)=1,0,OFFSET($F1187,-COUNTA($D$937:D1188)+3,0)),"")</f>
        <v>1</v>
      </c>
      <c r="O1189" s="497"/>
      <c r="P1189" s="497">
        <f t="shared" si="146"/>
        <v>250</v>
      </c>
      <c r="Q1189" s="497"/>
      <c r="R1189" s="497"/>
      <c r="S1189" s="497"/>
      <c r="T1189" s="503"/>
    </row>
    <row r="1190" spans="1:20" x14ac:dyDescent="0.35">
      <c r="A1190" s="497" t="b">
        <v>0</v>
      </c>
      <c r="B1190" s="497">
        <f t="shared" si="143"/>
        <v>-109</v>
      </c>
      <c r="C1190" s="518" t="s">
        <v>9802</v>
      </c>
      <c r="D1190" s="497" t="s">
        <v>7391</v>
      </c>
      <c r="E1190" s="497">
        <f t="shared" si="144"/>
        <v>5</v>
      </c>
      <c r="F1190" s="516">
        <v>42</v>
      </c>
      <c r="G1190" s="503"/>
      <c r="H1190" s="497">
        <f t="shared" ca="1" si="145"/>
        <v>91</v>
      </c>
      <c r="I1190" s="500"/>
      <c r="J1190" s="512"/>
      <c r="K1190" s="512"/>
      <c r="L1190" s="503"/>
      <c r="M1190" s="515" t="str">
        <f ca="1">IFERROR(IF(COUNTIF($B$937:$B1189,"&lt;0")&lt;&gt;1,OFFSET($C1188,-COUNTIF($B$937:$B1189,"&lt;0")+3,0),""),"")</f>
        <v/>
      </c>
      <c r="N1190" s="515">
        <f ca="1">IFERROR(IF(COUNTA($D$937:D1189)=1,0,OFFSET($F1188,-COUNTA($D$937:D1189)+3,0)),"")</f>
        <v>1</v>
      </c>
      <c r="O1190" s="497"/>
      <c r="P1190" s="497">
        <f t="shared" si="146"/>
        <v>251</v>
      </c>
      <c r="Q1190" s="497"/>
      <c r="R1190" s="497"/>
      <c r="S1190" s="497"/>
      <c r="T1190" s="503"/>
    </row>
    <row r="1191" spans="1:20" x14ac:dyDescent="0.35">
      <c r="A1191" s="497" t="b">
        <v>0</v>
      </c>
      <c r="B1191" s="497">
        <f t="shared" si="143"/>
        <v>-108</v>
      </c>
      <c r="C1191" s="518" t="s">
        <v>9803</v>
      </c>
      <c r="D1191" s="497" t="s">
        <v>7391</v>
      </c>
      <c r="E1191" s="497">
        <f t="shared" si="144"/>
        <v>6</v>
      </c>
      <c r="F1191" s="516">
        <v>42</v>
      </c>
      <c r="G1191" s="503"/>
      <c r="H1191" s="497">
        <f t="shared" ca="1" si="145"/>
        <v>91</v>
      </c>
      <c r="I1191" s="500"/>
      <c r="J1191" s="512"/>
      <c r="K1191" s="512"/>
      <c r="L1191" s="503"/>
      <c r="M1191" s="515" t="str">
        <f ca="1">IFERROR(IF(COUNTIF($B$937:$B1190,"&lt;0")&lt;&gt;1,OFFSET($C1189,-COUNTIF($B$937:$B1190,"&lt;0")+3,0),""),"")</f>
        <v/>
      </c>
      <c r="N1191" s="515">
        <f ca="1">IFERROR(IF(COUNTA($D$937:D1190)=1,0,OFFSET($F1189,-COUNTA($D$937:D1190)+3,0)),"")</f>
        <v>1</v>
      </c>
      <c r="O1191" s="497"/>
      <c r="P1191" s="497">
        <f t="shared" si="146"/>
        <v>252</v>
      </c>
      <c r="Q1191" s="497"/>
      <c r="R1191" s="497"/>
      <c r="S1191" s="497"/>
      <c r="T1191" s="503"/>
    </row>
    <row r="1192" spans="1:20" x14ac:dyDescent="0.35">
      <c r="A1192" s="497" t="b">
        <v>0</v>
      </c>
      <c r="B1192" s="497">
        <f t="shared" si="143"/>
        <v>-107</v>
      </c>
      <c r="C1192" s="518" t="s">
        <v>9804</v>
      </c>
      <c r="D1192" s="497" t="s">
        <v>6160</v>
      </c>
      <c r="E1192" s="497">
        <f t="shared" si="144"/>
        <v>1</v>
      </c>
      <c r="F1192" s="516">
        <v>43</v>
      </c>
      <c r="G1192" s="503"/>
      <c r="H1192" s="497">
        <f t="shared" ca="1" si="145"/>
        <v>93</v>
      </c>
      <c r="I1192" s="500"/>
      <c r="J1192" s="512"/>
      <c r="K1192" s="512"/>
      <c r="L1192" s="503"/>
      <c r="M1192" s="515" t="str">
        <f ca="1">IFERROR(IF(COUNTIF($B$937:$B1191,"&lt;0")&lt;&gt;1,OFFSET($C1190,-COUNTIF($B$937:$B1191,"&lt;0")+3,0),""),"")</f>
        <v/>
      </c>
      <c r="N1192" s="515">
        <f ca="1">IFERROR(IF(COUNTA($D$937:D1191)=1,0,OFFSET($F1190,-COUNTA($D$937:D1191)+3,0)),"")</f>
        <v>1</v>
      </c>
      <c r="O1192" s="497"/>
      <c r="P1192" s="497">
        <f t="shared" si="146"/>
        <v>253</v>
      </c>
      <c r="Q1192" s="497"/>
      <c r="R1192" s="497"/>
      <c r="S1192" s="497"/>
      <c r="T1192" s="503"/>
    </row>
    <row r="1193" spans="1:20" x14ac:dyDescent="0.35">
      <c r="A1193" s="497" t="b">
        <v>0</v>
      </c>
      <c r="B1193" s="497">
        <f t="shared" si="143"/>
        <v>-106</v>
      </c>
      <c r="C1193" s="518" t="s">
        <v>9805</v>
      </c>
      <c r="D1193" s="497" t="s">
        <v>6160</v>
      </c>
      <c r="E1193" s="497">
        <f t="shared" si="144"/>
        <v>2</v>
      </c>
      <c r="F1193" s="516">
        <v>43</v>
      </c>
      <c r="G1193" s="503"/>
      <c r="H1193" s="497">
        <f t="shared" ca="1" si="145"/>
        <v>93</v>
      </c>
      <c r="I1193" s="500"/>
      <c r="J1193" s="512"/>
      <c r="K1193" s="512"/>
      <c r="L1193" s="503"/>
      <c r="M1193" s="515" t="str">
        <f ca="1">IFERROR(IF(COUNTIF($B$937:$B1192,"&lt;0")&lt;&gt;1,OFFSET($C1191,-COUNTIF($B$937:$B1192,"&lt;0")+3,0),""),"")</f>
        <v/>
      </c>
      <c r="N1193" s="515">
        <f ca="1">IFERROR(IF(COUNTA($D$937:D1192)=1,0,OFFSET($F1191,-COUNTA($D$937:D1192)+3,0)),"")</f>
        <v>1</v>
      </c>
      <c r="O1193" s="497"/>
      <c r="P1193" s="497">
        <f t="shared" si="146"/>
        <v>254</v>
      </c>
      <c r="Q1193" s="497"/>
      <c r="R1193" s="497"/>
      <c r="S1193" s="497"/>
      <c r="T1193" s="503"/>
    </row>
    <row r="1194" spans="1:20" x14ac:dyDescent="0.35">
      <c r="A1194" s="497" t="b">
        <v>0</v>
      </c>
      <c r="B1194" s="497">
        <f t="shared" si="143"/>
        <v>-105</v>
      </c>
      <c r="C1194" s="518" t="s">
        <v>9806</v>
      </c>
      <c r="D1194" s="497" t="s">
        <v>6160</v>
      </c>
      <c r="E1194" s="497">
        <f t="shared" si="144"/>
        <v>3</v>
      </c>
      <c r="F1194" s="516">
        <v>43</v>
      </c>
      <c r="G1194" s="503"/>
      <c r="H1194" s="497">
        <f t="shared" ca="1" si="145"/>
        <v>93</v>
      </c>
      <c r="I1194" s="500"/>
      <c r="J1194" s="512"/>
      <c r="K1194" s="512"/>
      <c r="L1194" s="503"/>
      <c r="M1194" s="515" t="str">
        <f ca="1">IFERROR(IF(COUNTIF($B$937:$B1193,"&lt;0")&lt;&gt;1,OFFSET($C1192,-COUNTIF($B$937:$B1193,"&lt;0")+3,0),""),"")</f>
        <v/>
      </c>
      <c r="N1194" s="515">
        <f ca="1">IFERROR(IF(COUNTA($D$937:D1193)=1,0,OFFSET($F1192,-COUNTA($D$937:D1193)+3,0)),"")</f>
        <v>1</v>
      </c>
      <c r="O1194" s="497"/>
      <c r="P1194" s="497">
        <f t="shared" si="146"/>
        <v>255</v>
      </c>
      <c r="Q1194" s="497"/>
      <c r="R1194" s="497"/>
      <c r="S1194" s="497"/>
      <c r="T1194" s="503"/>
    </row>
    <row r="1195" spans="1:20" x14ac:dyDescent="0.35">
      <c r="A1195" s="497" t="b">
        <v>0</v>
      </c>
      <c r="B1195" s="497">
        <f t="shared" si="143"/>
        <v>-104</v>
      </c>
      <c r="C1195" s="518" t="s">
        <v>9807</v>
      </c>
      <c r="D1195" s="497" t="s">
        <v>6160</v>
      </c>
      <c r="E1195" s="497">
        <f t="shared" si="144"/>
        <v>4</v>
      </c>
      <c r="F1195" s="516">
        <v>43</v>
      </c>
      <c r="G1195" s="503"/>
      <c r="H1195" s="497">
        <f t="shared" ca="1" si="145"/>
        <v>93</v>
      </c>
      <c r="I1195" s="500"/>
      <c r="J1195" s="512"/>
      <c r="K1195" s="512"/>
      <c r="L1195" s="503"/>
      <c r="M1195" s="515" t="str">
        <f ca="1">IFERROR(IF(COUNTIF($B$937:$B1194,"&lt;0")&lt;&gt;1,OFFSET($C1193,-COUNTIF($B$937:$B1194,"&lt;0")+3,0),""),"")</f>
        <v/>
      </c>
      <c r="N1195" s="515">
        <f ca="1">IFERROR(IF(COUNTA($D$937:D1194)=1,0,OFFSET($F1193,-COUNTA($D$937:D1194)+3,0)),"")</f>
        <v>1</v>
      </c>
      <c r="O1195" s="497"/>
      <c r="P1195" s="497">
        <f t="shared" si="146"/>
        <v>256</v>
      </c>
      <c r="Q1195" s="497"/>
      <c r="R1195" s="497"/>
      <c r="S1195" s="497"/>
      <c r="T1195" s="503"/>
    </row>
    <row r="1196" spans="1:20" x14ac:dyDescent="0.35">
      <c r="A1196" s="497" t="b">
        <v>0</v>
      </c>
      <c r="B1196" s="497">
        <f t="shared" ref="B1196:B1259" si="147">B1195+1</f>
        <v>-103</v>
      </c>
      <c r="C1196" s="518" t="s">
        <v>9808</v>
      </c>
      <c r="D1196" s="497" t="s">
        <v>6160</v>
      </c>
      <c r="E1196" s="497">
        <f t="shared" ref="E1196:E1259" si="148">COUNTIF(F1099:F1196,F1196)</f>
        <v>5</v>
      </c>
      <c r="F1196" s="516">
        <v>43</v>
      </c>
      <c r="G1196" s="503"/>
      <c r="H1196" s="497">
        <f t="shared" ref="H1196:H1259" ca="1" si="149">IF(F1196=1,9,IF(E1195=MAX(E1194:E1196),H1194+2,H1195))</f>
        <v>93</v>
      </c>
      <c r="I1196" s="500"/>
      <c r="J1196" s="512"/>
      <c r="K1196" s="512"/>
      <c r="L1196" s="503"/>
      <c r="M1196" s="515" t="str">
        <f ca="1">IFERROR(IF(COUNTIF($B$937:$B1195,"&lt;0")&lt;&gt;1,OFFSET($C1194,-COUNTIF($B$937:$B1195,"&lt;0")+3,0),""),"")</f>
        <v/>
      </c>
      <c r="N1196" s="515">
        <f ca="1">IFERROR(IF(COUNTA($D$937:D1195)=1,0,OFFSET($F1194,-COUNTA($D$937:D1195)+3,0)),"")</f>
        <v>1</v>
      </c>
      <c r="O1196" s="497"/>
      <c r="P1196" s="497">
        <f t="shared" ref="P1196:P1259" si="150">IF(NOT(_xlfn.ISFORMULA(I1196)),P1195+1,0)</f>
        <v>257</v>
      </c>
      <c r="Q1196" s="497"/>
      <c r="R1196" s="497"/>
      <c r="S1196" s="497"/>
      <c r="T1196" s="503"/>
    </row>
    <row r="1197" spans="1:20" x14ac:dyDescent="0.35">
      <c r="A1197" s="497" t="b">
        <v>0</v>
      </c>
      <c r="B1197" s="497">
        <f t="shared" si="147"/>
        <v>-102</v>
      </c>
      <c r="C1197" s="518" t="s">
        <v>9809</v>
      </c>
      <c r="D1197" s="497" t="s">
        <v>6160</v>
      </c>
      <c r="E1197" s="497">
        <f t="shared" si="148"/>
        <v>6</v>
      </c>
      <c r="F1197" s="516">
        <v>43</v>
      </c>
      <c r="G1197" s="503"/>
      <c r="H1197" s="497">
        <f t="shared" ca="1" si="149"/>
        <v>93</v>
      </c>
      <c r="I1197" s="500"/>
      <c r="J1197" s="512"/>
      <c r="K1197" s="512"/>
      <c r="L1197" s="503"/>
      <c r="M1197" s="515" t="str">
        <f ca="1">IFERROR(IF(COUNTIF($B$937:$B1196,"&lt;0")&lt;&gt;1,OFFSET($C1195,-COUNTIF($B$937:$B1196,"&lt;0")+3,0),""),"")</f>
        <v/>
      </c>
      <c r="N1197" s="515">
        <f ca="1">IFERROR(IF(COUNTA($D$937:D1196)=1,0,OFFSET($F1195,-COUNTA($D$937:D1196)+3,0)),"")</f>
        <v>1</v>
      </c>
      <c r="O1197" s="497"/>
      <c r="P1197" s="497">
        <f t="shared" si="150"/>
        <v>258</v>
      </c>
      <c r="Q1197" s="497"/>
      <c r="R1197" s="497"/>
      <c r="S1197" s="497"/>
      <c r="T1197" s="503"/>
    </row>
    <row r="1198" spans="1:20" x14ac:dyDescent="0.35">
      <c r="A1198" s="497" t="b">
        <v>0</v>
      </c>
      <c r="B1198" s="497">
        <f t="shared" si="147"/>
        <v>-101</v>
      </c>
      <c r="C1198" s="518" t="s">
        <v>9810</v>
      </c>
      <c r="D1198" s="497" t="s">
        <v>7432</v>
      </c>
      <c r="E1198" s="497">
        <f t="shared" si="148"/>
        <v>1</v>
      </c>
      <c r="F1198" s="516">
        <v>44</v>
      </c>
      <c r="G1198" s="503"/>
      <c r="H1198" s="497">
        <f t="shared" ca="1" si="149"/>
        <v>95</v>
      </c>
      <c r="I1198" s="500"/>
      <c r="J1198" s="512"/>
      <c r="K1198" s="512"/>
      <c r="L1198" s="503"/>
      <c r="M1198" s="515" t="str">
        <f ca="1">IFERROR(IF(COUNTIF($B$937:$B1197,"&lt;0")&lt;&gt;1,OFFSET($C1196,-COUNTIF($B$937:$B1197,"&lt;0")+3,0),""),"")</f>
        <v/>
      </c>
      <c r="N1198" s="515">
        <f ca="1">IFERROR(IF(COUNTA($D$937:D1197)=1,0,OFFSET($F1196,-COUNTA($D$937:D1197)+3,0)),"")</f>
        <v>1</v>
      </c>
      <c r="O1198" s="497"/>
      <c r="P1198" s="497">
        <f t="shared" si="150"/>
        <v>259</v>
      </c>
      <c r="Q1198" s="497"/>
      <c r="R1198" s="497"/>
      <c r="S1198" s="497"/>
      <c r="T1198" s="503"/>
    </row>
    <row r="1199" spans="1:20" x14ac:dyDescent="0.35">
      <c r="A1199" s="497" t="b">
        <v>0</v>
      </c>
      <c r="B1199" s="497">
        <f t="shared" si="147"/>
        <v>-100</v>
      </c>
      <c r="C1199" s="518" t="s">
        <v>9811</v>
      </c>
      <c r="D1199" s="497" t="s">
        <v>7432</v>
      </c>
      <c r="E1199" s="497">
        <f t="shared" si="148"/>
        <v>2</v>
      </c>
      <c r="F1199" s="516">
        <v>44</v>
      </c>
      <c r="G1199" s="503"/>
      <c r="H1199" s="497">
        <f t="shared" ca="1" si="149"/>
        <v>95</v>
      </c>
      <c r="I1199" s="500"/>
      <c r="J1199" s="512"/>
      <c r="K1199" s="512"/>
      <c r="L1199" s="503"/>
      <c r="M1199" s="515" t="str">
        <f ca="1">IFERROR(IF(COUNTIF($B$937:$B1198,"&lt;0")&lt;&gt;1,OFFSET($C1197,-COUNTIF($B$937:$B1198,"&lt;0")+3,0),""),"")</f>
        <v/>
      </c>
      <c r="N1199" s="515">
        <f ca="1">IFERROR(IF(COUNTA($D$937:D1198)=1,0,OFFSET($F1197,-COUNTA($D$937:D1198)+3,0)),"")</f>
        <v>1</v>
      </c>
      <c r="O1199" s="497"/>
      <c r="P1199" s="497">
        <f t="shared" si="150"/>
        <v>260</v>
      </c>
      <c r="Q1199" s="497"/>
      <c r="R1199" s="497"/>
      <c r="S1199" s="497"/>
      <c r="T1199" s="503"/>
    </row>
    <row r="1200" spans="1:20" x14ac:dyDescent="0.35">
      <c r="A1200" s="497" t="b">
        <v>0</v>
      </c>
      <c r="B1200" s="497">
        <f t="shared" si="147"/>
        <v>-99</v>
      </c>
      <c r="C1200" s="518" t="s">
        <v>9812</v>
      </c>
      <c r="D1200" s="497" t="s">
        <v>7432</v>
      </c>
      <c r="E1200" s="497">
        <f t="shared" si="148"/>
        <v>3</v>
      </c>
      <c r="F1200" s="516">
        <v>44</v>
      </c>
      <c r="G1200" s="503"/>
      <c r="H1200" s="497">
        <f t="shared" ca="1" si="149"/>
        <v>95</v>
      </c>
      <c r="I1200" s="500"/>
      <c r="J1200" s="512"/>
      <c r="K1200" s="512"/>
      <c r="L1200" s="503"/>
      <c r="M1200" s="515" t="str">
        <f ca="1">IFERROR(IF(COUNTIF($B$937:$B1199,"&lt;0")&lt;&gt;1,OFFSET($C1198,-COUNTIF($B$937:$B1199,"&lt;0")+3,0),""),"")</f>
        <v/>
      </c>
      <c r="N1200" s="515">
        <f ca="1">IFERROR(IF(COUNTA($D$937:D1199)=1,0,OFFSET($F1198,-COUNTA($D$937:D1199)+3,0)),"")</f>
        <v>1</v>
      </c>
      <c r="O1200" s="497"/>
      <c r="P1200" s="497">
        <f t="shared" si="150"/>
        <v>261</v>
      </c>
      <c r="Q1200" s="497"/>
      <c r="R1200" s="497"/>
      <c r="S1200" s="497"/>
      <c r="T1200" s="503"/>
    </row>
    <row r="1201" spans="1:20" x14ac:dyDescent="0.35">
      <c r="A1201" s="497" t="b">
        <v>0</v>
      </c>
      <c r="B1201" s="497">
        <f t="shared" si="147"/>
        <v>-98</v>
      </c>
      <c r="C1201" s="518" t="s">
        <v>9813</v>
      </c>
      <c r="D1201" s="497" t="s">
        <v>7432</v>
      </c>
      <c r="E1201" s="497">
        <f t="shared" si="148"/>
        <v>4</v>
      </c>
      <c r="F1201" s="516">
        <v>44</v>
      </c>
      <c r="G1201" s="503"/>
      <c r="H1201" s="497">
        <f t="shared" ca="1" si="149"/>
        <v>95</v>
      </c>
      <c r="I1201" s="500"/>
      <c r="J1201" s="512"/>
      <c r="K1201" s="512"/>
      <c r="L1201" s="503"/>
      <c r="M1201" s="515" t="str">
        <f ca="1">IFERROR(IF(COUNTIF($B$937:$B1200,"&lt;0")&lt;&gt;1,OFFSET($C1199,-COUNTIF($B$937:$B1200,"&lt;0")+3,0),""),"")</f>
        <v/>
      </c>
      <c r="N1201" s="515">
        <f ca="1">IFERROR(IF(COUNTA($D$937:D1200)=1,0,OFFSET($F1199,-COUNTA($D$937:D1200)+3,0)),"")</f>
        <v>1</v>
      </c>
      <c r="O1201" s="497"/>
      <c r="P1201" s="497">
        <f t="shared" si="150"/>
        <v>262</v>
      </c>
      <c r="Q1201" s="497"/>
      <c r="R1201" s="497"/>
      <c r="S1201" s="497"/>
      <c r="T1201" s="503"/>
    </row>
    <row r="1202" spans="1:20" x14ac:dyDescent="0.35">
      <c r="A1202" s="497" t="b">
        <v>0</v>
      </c>
      <c r="B1202" s="497">
        <f t="shared" si="147"/>
        <v>-97</v>
      </c>
      <c r="C1202" s="518" t="s">
        <v>9814</v>
      </c>
      <c r="D1202" s="497" t="s">
        <v>7432</v>
      </c>
      <c r="E1202" s="497">
        <f t="shared" si="148"/>
        <v>5</v>
      </c>
      <c r="F1202" s="516">
        <v>44</v>
      </c>
      <c r="G1202" s="503"/>
      <c r="H1202" s="497">
        <f t="shared" ca="1" si="149"/>
        <v>95</v>
      </c>
      <c r="I1202" s="500"/>
      <c r="J1202" s="512"/>
      <c r="K1202" s="512"/>
      <c r="L1202" s="503"/>
      <c r="M1202" s="515" t="str">
        <f ca="1">IFERROR(IF(COUNTIF($B$937:$B1201,"&lt;0")&lt;&gt;1,OFFSET($C1200,-COUNTIF($B$937:$B1201,"&lt;0")+3,0),""),"")</f>
        <v/>
      </c>
      <c r="N1202" s="515">
        <f ca="1">IFERROR(IF(COUNTA($D$937:D1201)=1,0,OFFSET($F1200,-COUNTA($D$937:D1201)+3,0)),"")</f>
        <v>1</v>
      </c>
      <c r="O1202" s="497"/>
      <c r="P1202" s="497">
        <f t="shared" si="150"/>
        <v>263</v>
      </c>
      <c r="Q1202" s="497"/>
      <c r="R1202" s="497"/>
      <c r="S1202" s="497"/>
      <c r="T1202" s="503"/>
    </row>
    <row r="1203" spans="1:20" x14ac:dyDescent="0.35">
      <c r="A1203" s="497" t="b">
        <v>0</v>
      </c>
      <c r="B1203" s="497">
        <f t="shared" si="147"/>
        <v>-96</v>
      </c>
      <c r="C1203" s="518" t="s">
        <v>9815</v>
      </c>
      <c r="D1203" s="497" t="s">
        <v>7432</v>
      </c>
      <c r="E1203" s="497">
        <f t="shared" si="148"/>
        <v>6</v>
      </c>
      <c r="F1203" s="516">
        <v>44</v>
      </c>
      <c r="G1203" s="503"/>
      <c r="H1203" s="497">
        <f t="shared" ca="1" si="149"/>
        <v>95</v>
      </c>
      <c r="I1203" s="500"/>
      <c r="J1203" s="512"/>
      <c r="K1203" s="512"/>
      <c r="L1203" s="503"/>
      <c r="M1203" s="515" t="str">
        <f ca="1">IFERROR(IF(COUNTIF($B$937:$B1202,"&lt;0")&lt;&gt;1,OFFSET($C1201,-COUNTIF($B$937:$B1202,"&lt;0")+3,0),""),"")</f>
        <v/>
      </c>
      <c r="N1203" s="515">
        <f ca="1">IFERROR(IF(COUNTA($D$937:D1202)=1,0,OFFSET($F1201,-COUNTA($D$937:D1202)+3,0)),"")</f>
        <v>1</v>
      </c>
      <c r="O1203" s="497"/>
      <c r="P1203" s="497">
        <f t="shared" si="150"/>
        <v>264</v>
      </c>
      <c r="Q1203" s="497"/>
      <c r="R1203" s="497"/>
      <c r="S1203" s="497"/>
      <c r="T1203" s="503"/>
    </row>
    <row r="1204" spans="1:20" x14ac:dyDescent="0.35">
      <c r="A1204" s="497" t="b">
        <v>0</v>
      </c>
      <c r="B1204" s="497">
        <f t="shared" si="147"/>
        <v>-95</v>
      </c>
      <c r="C1204" s="518" t="s">
        <v>9816</v>
      </c>
      <c r="D1204" s="497" t="s">
        <v>6201</v>
      </c>
      <c r="E1204" s="497">
        <f t="shared" si="148"/>
        <v>1</v>
      </c>
      <c r="F1204" s="516">
        <v>45</v>
      </c>
      <c r="G1204" s="503"/>
      <c r="H1204" s="497">
        <f t="shared" ca="1" si="149"/>
        <v>97</v>
      </c>
      <c r="I1204" s="500"/>
      <c r="J1204" s="512"/>
      <c r="K1204" s="512"/>
      <c r="L1204" s="503"/>
      <c r="M1204" s="515" t="str">
        <f ca="1">IFERROR(IF(COUNTIF($B$937:$B1203,"&lt;0")&lt;&gt;1,OFFSET($C1202,-COUNTIF($B$937:$B1203,"&lt;0")+3,0),""),"")</f>
        <v/>
      </c>
      <c r="N1204" s="515">
        <f ca="1">IFERROR(IF(COUNTA($D$937:D1203)=1,0,OFFSET($F1202,-COUNTA($D$937:D1203)+3,0)),"")</f>
        <v>1</v>
      </c>
      <c r="O1204" s="497"/>
      <c r="P1204" s="497">
        <f t="shared" si="150"/>
        <v>265</v>
      </c>
      <c r="Q1204" s="497"/>
      <c r="R1204" s="497"/>
      <c r="S1204" s="497"/>
      <c r="T1204" s="503"/>
    </row>
    <row r="1205" spans="1:20" x14ac:dyDescent="0.35">
      <c r="A1205" s="497" t="b">
        <v>0</v>
      </c>
      <c r="B1205" s="497">
        <f t="shared" si="147"/>
        <v>-94</v>
      </c>
      <c r="C1205" s="518" t="s">
        <v>9817</v>
      </c>
      <c r="D1205" s="497" t="s">
        <v>6201</v>
      </c>
      <c r="E1205" s="497">
        <f t="shared" si="148"/>
        <v>2</v>
      </c>
      <c r="F1205" s="516">
        <v>45</v>
      </c>
      <c r="G1205" s="503"/>
      <c r="H1205" s="497">
        <f t="shared" ca="1" si="149"/>
        <v>97</v>
      </c>
      <c r="I1205" s="500"/>
      <c r="J1205" s="512"/>
      <c r="K1205" s="512"/>
      <c r="L1205" s="503"/>
      <c r="M1205" s="515" t="str">
        <f ca="1">IFERROR(IF(COUNTIF($B$937:$B1204,"&lt;0")&lt;&gt;1,OFFSET($C1203,-COUNTIF($B$937:$B1204,"&lt;0")+3,0),""),"")</f>
        <v/>
      </c>
      <c r="N1205" s="515">
        <f ca="1">IFERROR(IF(COUNTA($D$937:D1204)=1,0,OFFSET($F1203,-COUNTA($D$937:D1204)+3,0)),"")</f>
        <v>1</v>
      </c>
      <c r="O1205" s="497"/>
      <c r="P1205" s="497">
        <f t="shared" si="150"/>
        <v>266</v>
      </c>
      <c r="Q1205" s="497"/>
      <c r="R1205" s="497"/>
      <c r="S1205" s="497"/>
      <c r="T1205" s="503"/>
    </row>
    <row r="1206" spans="1:20" x14ac:dyDescent="0.35">
      <c r="A1206" s="497" t="b">
        <v>0</v>
      </c>
      <c r="B1206" s="497">
        <f t="shared" si="147"/>
        <v>-93</v>
      </c>
      <c r="C1206" s="518" t="s">
        <v>9818</v>
      </c>
      <c r="D1206" s="497" t="s">
        <v>6201</v>
      </c>
      <c r="E1206" s="497">
        <f t="shared" si="148"/>
        <v>3</v>
      </c>
      <c r="F1206" s="516">
        <v>45</v>
      </c>
      <c r="G1206" s="503"/>
      <c r="H1206" s="497">
        <f t="shared" ca="1" si="149"/>
        <v>97</v>
      </c>
      <c r="I1206" s="500"/>
      <c r="J1206" s="512"/>
      <c r="K1206" s="512"/>
      <c r="L1206" s="503"/>
      <c r="M1206" s="515" t="str">
        <f ca="1">IFERROR(IF(COUNTIF($B$937:$B1205,"&lt;0")&lt;&gt;1,OFFSET($C1204,-COUNTIF($B$937:$B1205,"&lt;0")+3,0),""),"")</f>
        <v/>
      </c>
      <c r="N1206" s="515">
        <f ca="1">IFERROR(IF(COUNTA($D$937:D1205)=1,0,OFFSET($F1204,-COUNTA($D$937:D1205)+3,0)),"")</f>
        <v>1</v>
      </c>
      <c r="O1206" s="497"/>
      <c r="P1206" s="497">
        <f t="shared" si="150"/>
        <v>267</v>
      </c>
      <c r="Q1206" s="497"/>
      <c r="R1206" s="497"/>
      <c r="S1206" s="497"/>
      <c r="T1206" s="503"/>
    </row>
    <row r="1207" spans="1:20" x14ac:dyDescent="0.35">
      <c r="A1207" s="497" t="b">
        <v>0</v>
      </c>
      <c r="B1207" s="497">
        <f t="shared" si="147"/>
        <v>-92</v>
      </c>
      <c r="C1207" s="518" t="s">
        <v>9819</v>
      </c>
      <c r="D1207" s="497" t="s">
        <v>6201</v>
      </c>
      <c r="E1207" s="497">
        <f t="shared" si="148"/>
        <v>4</v>
      </c>
      <c r="F1207" s="516">
        <v>45</v>
      </c>
      <c r="G1207" s="503"/>
      <c r="H1207" s="497">
        <f t="shared" ca="1" si="149"/>
        <v>97</v>
      </c>
      <c r="I1207" s="500"/>
      <c r="J1207" s="512"/>
      <c r="K1207" s="512"/>
      <c r="L1207" s="503"/>
      <c r="M1207" s="515" t="str">
        <f ca="1">IFERROR(IF(COUNTIF($B$937:$B1206,"&lt;0")&lt;&gt;1,OFFSET($C1205,-COUNTIF($B$937:$B1206,"&lt;0")+3,0),""),"")</f>
        <v/>
      </c>
      <c r="N1207" s="515">
        <f ca="1">IFERROR(IF(COUNTA($D$937:D1206)=1,0,OFFSET($F1205,-COUNTA($D$937:D1206)+3,0)),"")</f>
        <v>1</v>
      </c>
      <c r="O1207" s="497"/>
      <c r="P1207" s="497">
        <f t="shared" si="150"/>
        <v>268</v>
      </c>
      <c r="Q1207" s="497"/>
      <c r="R1207" s="497"/>
      <c r="S1207" s="497"/>
      <c r="T1207" s="503"/>
    </row>
    <row r="1208" spans="1:20" x14ac:dyDescent="0.35">
      <c r="A1208" s="497" t="b">
        <v>0</v>
      </c>
      <c r="B1208" s="497">
        <f t="shared" si="147"/>
        <v>-91</v>
      </c>
      <c r="C1208" s="518" t="s">
        <v>9820</v>
      </c>
      <c r="D1208" s="497" t="s">
        <v>6201</v>
      </c>
      <c r="E1208" s="497">
        <f t="shared" si="148"/>
        <v>5</v>
      </c>
      <c r="F1208" s="516">
        <v>45</v>
      </c>
      <c r="G1208" s="503"/>
      <c r="H1208" s="497">
        <f t="shared" ca="1" si="149"/>
        <v>97</v>
      </c>
      <c r="I1208" s="500"/>
      <c r="J1208" s="512"/>
      <c r="K1208" s="512"/>
      <c r="L1208" s="503"/>
      <c r="M1208" s="515" t="str">
        <f ca="1">IFERROR(IF(COUNTIF($B$937:$B1207,"&lt;0")&lt;&gt;1,OFFSET($C1206,-COUNTIF($B$937:$B1207,"&lt;0")+3,0),""),"")</f>
        <v/>
      </c>
      <c r="N1208" s="515">
        <f ca="1">IFERROR(IF(COUNTA($D$937:D1207)=1,0,OFFSET($F1206,-COUNTA($D$937:D1207)+3,0)),"")</f>
        <v>1</v>
      </c>
      <c r="O1208" s="497"/>
      <c r="P1208" s="497">
        <f t="shared" si="150"/>
        <v>269</v>
      </c>
      <c r="Q1208" s="497"/>
      <c r="R1208" s="497"/>
      <c r="S1208" s="497"/>
      <c r="T1208" s="503"/>
    </row>
    <row r="1209" spans="1:20" x14ac:dyDescent="0.35">
      <c r="A1209" s="497" t="b">
        <v>0</v>
      </c>
      <c r="B1209" s="497">
        <f t="shared" si="147"/>
        <v>-90</v>
      </c>
      <c r="C1209" s="518" t="s">
        <v>9821</v>
      </c>
      <c r="D1209" s="497" t="s">
        <v>6201</v>
      </c>
      <c r="E1209" s="497">
        <f t="shared" si="148"/>
        <v>6</v>
      </c>
      <c r="F1209" s="516">
        <v>45</v>
      </c>
      <c r="G1209" s="503"/>
      <c r="H1209" s="497">
        <f t="shared" ca="1" si="149"/>
        <v>97</v>
      </c>
      <c r="I1209" s="500"/>
      <c r="J1209" s="512"/>
      <c r="K1209" s="512"/>
      <c r="L1209" s="503"/>
      <c r="M1209" s="515" t="str">
        <f ca="1">IFERROR(IF(COUNTIF($B$937:$B1208,"&lt;0")&lt;&gt;1,OFFSET($C1207,-COUNTIF($B$937:$B1208,"&lt;0")+3,0),""),"")</f>
        <v/>
      </c>
      <c r="N1209" s="515">
        <f ca="1">IFERROR(IF(COUNTA($D$937:D1208)=1,0,OFFSET($F1207,-COUNTA($D$937:D1208)+3,0)),"")</f>
        <v>1</v>
      </c>
      <c r="O1209" s="497"/>
      <c r="P1209" s="497">
        <f t="shared" si="150"/>
        <v>270</v>
      </c>
      <c r="Q1209" s="497"/>
      <c r="R1209" s="497"/>
      <c r="S1209" s="497"/>
      <c r="T1209" s="503"/>
    </row>
    <row r="1210" spans="1:20" x14ac:dyDescent="0.35">
      <c r="A1210" s="497" t="b">
        <v>0</v>
      </c>
      <c r="B1210" s="497">
        <f t="shared" si="147"/>
        <v>-89</v>
      </c>
      <c r="C1210" s="518" t="s">
        <v>9822</v>
      </c>
      <c r="D1210" s="497" t="s">
        <v>7473</v>
      </c>
      <c r="E1210" s="497">
        <f t="shared" si="148"/>
        <v>1</v>
      </c>
      <c r="F1210" s="516">
        <v>46</v>
      </c>
      <c r="G1210" s="503"/>
      <c r="H1210" s="497">
        <f t="shared" ca="1" si="149"/>
        <v>99</v>
      </c>
      <c r="I1210" s="500"/>
      <c r="J1210" s="512"/>
      <c r="K1210" s="512"/>
      <c r="L1210" s="503"/>
      <c r="M1210" s="515" t="str">
        <f ca="1">IFERROR(IF(COUNTIF($B$937:$B1209,"&lt;0")&lt;&gt;1,OFFSET($C1208,-COUNTIF($B$937:$B1209,"&lt;0")+3,0),""),"")</f>
        <v/>
      </c>
      <c r="N1210" s="515">
        <f ca="1">IFERROR(IF(COUNTA($D$937:D1209)=1,0,OFFSET($F1208,-COUNTA($D$937:D1209)+3,0)),"")</f>
        <v>1</v>
      </c>
      <c r="O1210" s="497"/>
      <c r="P1210" s="497">
        <f t="shared" si="150"/>
        <v>271</v>
      </c>
      <c r="Q1210" s="497"/>
      <c r="R1210" s="497"/>
      <c r="S1210" s="497"/>
      <c r="T1210" s="503"/>
    </row>
    <row r="1211" spans="1:20" x14ac:dyDescent="0.35">
      <c r="A1211" s="497" t="b">
        <v>0</v>
      </c>
      <c r="B1211" s="497">
        <f t="shared" si="147"/>
        <v>-88</v>
      </c>
      <c r="C1211" s="518" t="s">
        <v>9823</v>
      </c>
      <c r="D1211" s="497" t="s">
        <v>7473</v>
      </c>
      <c r="E1211" s="497">
        <f t="shared" si="148"/>
        <v>2</v>
      </c>
      <c r="F1211" s="516">
        <v>46</v>
      </c>
      <c r="G1211" s="503"/>
      <c r="H1211" s="497">
        <f t="shared" ca="1" si="149"/>
        <v>99</v>
      </c>
      <c r="I1211" s="500"/>
      <c r="J1211" s="512"/>
      <c r="K1211" s="512"/>
      <c r="L1211" s="503"/>
      <c r="M1211" s="515" t="str">
        <f ca="1">IFERROR(IF(COUNTIF($B$937:$B1210,"&lt;0")&lt;&gt;1,OFFSET($C1209,-COUNTIF($B$937:$B1210,"&lt;0")+3,0),""),"")</f>
        <v/>
      </c>
      <c r="N1211" s="515">
        <f ca="1">IFERROR(IF(COUNTA($D$937:D1210)=1,0,OFFSET($F1209,-COUNTA($D$937:D1210)+3,0)),"")</f>
        <v>1</v>
      </c>
      <c r="O1211" s="497"/>
      <c r="P1211" s="497">
        <f t="shared" si="150"/>
        <v>272</v>
      </c>
      <c r="Q1211" s="497"/>
      <c r="R1211" s="497"/>
      <c r="S1211" s="497"/>
      <c r="T1211" s="503"/>
    </row>
    <row r="1212" spans="1:20" x14ac:dyDescent="0.35">
      <c r="A1212" s="497" t="b">
        <v>0</v>
      </c>
      <c r="B1212" s="497">
        <f t="shared" si="147"/>
        <v>-87</v>
      </c>
      <c r="C1212" s="518" t="s">
        <v>9824</v>
      </c>
      <c r="D1212" s="497" t="s">
        <v>7473</v>
      </c>
      <c r="E1212" s="497">
        <f t="shared" si="148"/>
        <v>3</v>
      </c>
      <c r="F1212" s="516">
        <v>46</v>
      </c>
      <c r="G1212" s="503"/>
      <c r="H1212" s="497">
        <f t="shared" ca="1" si="149"/>
        <v>99</v>
      </c>
      <c r="I1212" s="500"/>
      <c r="J1212" s="512"/>
      <c r="K1212" s="512"/>
      <c r="L1212" s="503"/>
      <c r="M1212" s="515" t="str">
        <f ca="1">IFERROR(IF(COUNTIF($B$937:$B1211,"&lt;0")&lt;&gt;1,OFFSET($C1210,-COUNTIF($B$937:$B1211,"&lt;0")+3,0),""),"")</f>
        <v/>
      </c>
      <c r="N1212" s="515">
        <f ca="1">IFERROR(IF(COUNTA($D$937:D1211)=1,0,OFFSET($F1210,-COUNTA($D$937:D1211)+3,0)),"")</f>
        <v>1</v>
      </c>
      <c r="O1212" s="497"/>
      <c r="P1212" s="497">
        <f t="shared" si="150"/>
        <v>273</v>
      </c>
      <c r="Q1212" s="497"/>
      <c r="R1212" s="497"/>
      <c r="S1212" s="497"/>
      <c r="T1212" s="503"/>
    </row>
    <row r="1213" spans="1:20" x14ac:dyDescent="0.35">
      <c r="A1213" s="497" t="b">
        <v>0</v>
      </c>
      <c r="B1213" s="497">
        <f t="shared" si="147"/>
        <v>-86</v>
      </c>
      <c r="C1213" s="518" t="s">
        <v>9825</v>
      </c>
      <c r="D1213" s="497" t="s">
        <v>7473</v>
      </c>
      <c r="E1213" s="497">
        <f t="shared" si="148"/>
        <v>4</v>
      </c>
      <c r="F1213" s="516">
        <v>46</v>
      </c>
      <c r="G1213" s="503"/>
      <c r="H1213" s="497">
        <f t="shared" ca="1" si="149"/>
        <v>99</v>
      </c>
      <c r="I1213" s="500"/>
      <c r="J1213" s="512"/>
      <c r="K1213" s="512"/>
      <c r="L1213" s="503"/>
      <c r="M1213" s="515" t="str">
        <f ca="1">IFERROR(IF(COUNTIF($B$937:$B1212,"&lt;0")&lt;&gt;1,OFFSET($C1211,-COUNTIF($B$937:$B1212,"&lt;0")+3,0),""),"")</f>
        <v/>
      </c>
      <c r="N1213" s="515">
        <f ca="1">IFERROR(IF(COUNTA($D$937:D1212)=1,0,OFFSET($F1211,-COUNTA($D$937:D1212)+3,0)),"")</f>
        <v>1</v>
      </c>
      <c r="O1213" s="497"/>
      <c r="P1213" s="497">
        <f t="shared" si="150"/>
        <v>274</v>
      </c>
      <c r="Q1213" s="497"/>
      <c r="R1213" s="497"/>
      <c r="S1213" s="497"/>
      <c r="T1213" s="503"/>
    </row>
    <row r="1214" spans="1:20" x14ac:dyDescent="0.35">
      <c r="A1214" s="497" t="b">
        <v>0</v>
      </c>
      <c r="B1214" s="497">
        <f t="shared" si="147"/>
        <v>-85</v>
      </c>
      <c r="C1214" s="518" t="s">
        <v>9826</v>
      </c>
      <c r="D1214" s="497" t="s">
        <v>7473</v>
      </c>
      <c r="E1214" s="497">
        <f t="shared" si="148"/>
        <v>5</v>
      </c>
      <c r="F1214" s="516">
        <v>46</v>
      </c>
      <c r="G1214" s="503"/>
      <c r="H1214" s="497">
        <f t="shared" ca="1" si="149"/>
        <v>99</v>
      </c>
      <c r="I1214" s="500"/>
      <c r="J1214" s="512"/>
      <c r="K1214" s="512"/>
      <c r="L1214" s="503"/>
      <c r="M1214" s="515" t="str">
        <f ca="1">IFERROR(IF(COUNTIF($B$937:$B1213,"&lt;0")&lt;&gt;1,OFFSET($C1212,-COUNTIF($B$937:$B1213,"&lt;0")+3,0),""),"")</f>
        <v/>
      </c>
      <c r="N1214" s="515">
        <f ca="1">IFERROR(IF(COUNTA($D$937:D1213)=1,0,OFFSET($F1212,-COUNTA($D$937:D1213)+3,0)),"")</f>
        <v>1</v>
      </c>
      <c r="O1214" s="497"/>
      <c r="P1214" s="497">
        <f t="shared" si="150"/>
        <v>275</v>
      </c>
      <c r="Q1214" s="497"/>
      <c r="R1214" s="497"/>
      <c r="S1214" s="497"/>
      <c r="T1214" s="503"/>
    </row>
    <row r="1215" spans="1:20" x14ac:dyDescent="0.35">
      <c r="A1215" s="497" t="b">
        <v>0</v>
      </c>
      <c r="B1215" s="497">
        <f t="shared" si="147"/>
        <v>-84</v>
      </c>
      <c r="C1215" s="518" t="s">
        <v>9827</v>
      </c>
      <c r="D1215" s="497" t="s">
        <v>7473</v>
      </c>
      <c r="E1215" s="497">
        <f t="shared" si="148"/>
        <v>6</v>
      </c>
      <c r="F1215" s="516">
        <v>46</v>
      </c>
      <c r="G1215" s="503"/>
      <c r="H1215" s="497">
        <f t="shared" ca="1" si="149"/>
        <v>99</v>
      </c>
      <c r="I1215" s="500"/>
      <c r="J1215" s="512"/>
      <c r="K1215" s="512"/>
      <c r="L1215" s="503"/>
      <c r="M1215" s="515" t="str">
        <f ca="1">IFERROR(IF(COUNTIF($B$937:$B1214,"&lt;0")&lt;&gt;1,OFFSET($C1213,-COUNTIF($B$937:$B1214,"&lt;0")+3,0),""),"")</f>
        <v/>
      </c>
      <c r="N1215" s="515">
        <f ca="1">IFERROR(IF(COUNTA($D$937:D1214)=1,0,OFFSET($F1213,-COUNTA($D$937:D1214)+3,0)),"")</f>
        <v>1</v>
      </c>
      <c r="O1215" s="497"/>
      <c r="P1215" s="497">
        <f t="shared" si="150"/>
        <v>276</v>
      </c>
      <c r="Q1215" s="497"/>
      <c r="R1215" s="497"/>
      <c r="S1215" s="497"/>
      <c r="T1215" s="503"/>
    </row>
    <row r="1216" spans="1:20" x14ac:dyDescent="0.35">
      <c r="A1216" s="497" t="b">
        <v>0</v>
      </c>
      <c r="B1216" s="497">
        <f t="shared" si="147"/>
        <v>-83</v>
      </c>
      <c r="C1216" s="518" t="s">
        <v>9828</v>
      </c>
      <c r="D1216" s="497" t="s">
        <v>6242</v>
      </c>
      <c r="E1216" s="497">
        <f t="shared" si="148"/>
        <v>1</v>
      </c>
      <c r="F1216" s="516">
        <v>47</v>
      </c>
      <c r="G1216" s="503"/>
      <c r="H1216" s="497">
        <f t="shared" ca="1" si="149"/>
        <v>101</v>
      </c>
      <c r="I1216" s="500"/>
      <c r="J1216" s="512"/>
      <c r="K1216" s="512"/>
      <c r="L1216" s="503"/>
      <c r="M1216" s="515" t="str">
        <f ca="1">IFERROR(IF(COUNTIF($B$937:$B1215,"&lt;0")&lt;&gt;1,OFFSET($C1214,-COUNTIF($B$937:$B1215,"&lt;0")+3,0),""),"")</f>
        <v/>
      </c>
      <c r="N1216" s="515">
        <f ca="1">IFERROR(IF(COUNTA($D$937:D1215)=1,0,OFFSET($F1214,-COUNTA($D$937:D1215)+3,0)),"")</f>
        <v>1</v>
      </c>
      <c r="O1216" s="497"/>
      <c r="P1216" s="497">
        <f t="shared" si="150"/>
        <v>277</v>
      </c>
      <c r="Q1216" s="497"/>
      <c r="R1216" s="497"/>
      <c r="S1216" s="497"/>
      <c r="T1216" s="503"/>
    </row>
    <row r="1217" spans="1:20" x14ac:dyDescent="0.35">
      <c r="A1217" s="497" t="b">
        <v>0</v>
      </c>
      <c r="B1217" s="497">
        <f t="shared" si="147"/>
        <v>-82</v>
      </c>
      <c r="C1217" s="518" t="s">
        <v>9829</v>
      </c>
      <c r="D1217" s="497" t="s">
        <v>6242</v>
      </c>
      <c r="E1217" s="497">
        <f t="shared" si="148"/>
        <v>2</v>
      </c>
      <c r="F1217" s="516">
        <v>47</v>
      </c>
      <c r="G1217" s="503"/>
      <c r="H1217" s="497">
        <f t="shared" ca="1" si="149"/>
        <v>101</v>
      </c>
      <c r="I1217" s="500"/>
      <c r="J1217" s="512"/>
      <c r="K1217" s="512"/>
      <c r="L1217" s="503"/>
      <c r="M1217" s="515" t="str">
        <f ca="1">IFERROR(IF(COUNTIF($B$937:$B1216,"&lt;0")&lt;&gt;1,OFFSET($C1215,-COUNTIF($B$937:$B1216,"&lt;0")+3,0),""),"")</f>
        <v/>
      </c>
      <c r="N1217" s="515">
        <f ca="1">IFERROR(IF(COUNTA($D$937:D1216)=1,0,OFFSET($F1215,-COUNTA($D$937:D1216)+3,0)),"")</f>
        <v>1</v>
      </c>
      <c r="O1217" s="497"/>
      <c r="P1217" s="497">
        <f t="shared" si="150"/>
        <v>278</v>
      </c>
      <c r="Q1217" s="497"/>
      <c r="R1217" s="497"/>
      <c r="S1217" s="497"/>
      <c r="T1217" s="503"/>
    </row>
    <row r="1218" spans="1:20" x14ac:dyDescent="0.35">
      <c r="A1218" s="497" t="b">
        <v>0</v>
      </c>
      <c r="B1218" s="497">
        <f t="shared" si="147"/>
        <v>-81</v>
      </c>
      <c r="C1218" s="518" t="s">
        <v>9830</v>
      </c>
      <c r="D1218" s="497" t="s">
        <v>6242</v>
      </c>
      <c r="E1218" s="497">
        <f t="shared" si="148"/>
        <v>3</v>
      </c>
      <c r="F1218" s="516">
        <v>47</v>
      </c>
      <c r="G1218" s="503"/>
      <c r="H1218" s="497">
        <f t="shared" ca="1" si="149"/>
        <v>101</v>
      </c>
      <c r="I1218" s="500"/>
      <c r="J1218" s="512"/>
      <c r="K1218" s="512"/>
      <c r="L1218" s="503"/>
      <c r="M1218" s="515" t="str">
        <f ca="1">IFERROR(IF(COUNTIF($B$937:$B1217,"&lt;0")&lt;&gt;1,OFFSET($C1216,-COUNTIF($B$937:$B1217,"&lt;0")+3,0),""),"")</f>
        <v/>
      </c>
      <c r="N1218" s="515">
        <f ca="1">IFERROR(IF(COUNTA($D$937:D1217)=1,0,OFFSET($F1216,-COUNTA($D$937:D1217)+3,0)),"")</f>
        <v>1</v>
      </c>
      <c r="O1218" s="497"/>
      <c r="P1218" s="497">
        <f t="shared" si="150"/>
        <v>279</v>
      </c>
      <c r="Q1218" s="497"/>
      <c r="R1218" s="497"/>
      <c r="S1218" s="497"/>
      <c r="T1218" s="503"/>
    </row>
    <row r="1219" spans="1:20" x14ac:dyDescent="0.35">
      <c r="A1219" s="497" t="b">
        <v>0</v>
      </c>
      <c r="B1219" s="497">
        <f t="shared" si="147"/>
        <v>-80</v>
      </c>
      <c r="C1219" s="518" t="s">
        <v>9831</v>
      </c>
      <c r="D1219" s="497" t="s">
        <v>6242</v>
      </c>
      <c r="E1219" s="497">
        <f t="shared" si="148"/>
        <v>4</v>
      </c>
      <c r="F1219" s="516">
        <v>47</v>
      </c>
      <c r="G1219" s="503"/>
      <c r="H1219" s="497">
        <f t="shared" ca="1" si="149"/>
        <v>101</v>
      </c>
      <c r="I1219" s="500"/>
      <c r="J1219" s="512"/>
      <c r="K1219" s="512"/>
      <c r="L1219" s="503"/>
      <c r="M1219" s="515" t="str">
        <f ca="1">IFERROR(IF(COUNTIF($B$937:$B1218,"&lt;0")&lt;&gt;1,OFFSET($C1217,-COUNTIF($B$937:$B1218,"&lt;0")+3,0),""),"")</f>
        <v/>
      </c>
      <c r="N1219" s="515">
        <f ca="1">IFERROR(IF(COUNTA($D$937:D1218)=1,0,OFFSET($F1217,-COUNTA($D$937:D1218)+3,0)),"")</f>
        <v>1</v>
      </c>
      <c r="O1219" s="497"/>
      <c r="P1219" s="497">
        <f t="shared" si="150"/>
        <v>280</v>
      </c>
      <c r="Q1219" s="497"/>
      <c r="R1219" s="497"/>
      <c r="S1219" s="497"/>
      <c r="T1219" s="503"/>
    </row>
    <row r="1220" spans="1:20" x14ac:dyDescent="0.35">
      <c r="A1220" s="497" t="b">
        <v>0</v>
      </c>
      <c r="B1220" s="497">
        <f t="shared" si="147"/>
        <v>-79</v>
      </c>
      <c r="C1220" s="518" t="s">
        <v>9832</v>
      </c>
      <c r="D1220" s="497" t="s">
        <v>6242</v>
      </c>
      <c r="E1220" s="497">
        <f t="shared" si="148"/>
        <v>5</v>
      </c>
      <c r="F1220" s="516">
        <v>47</v>
      </c>
      <c r="G1220" s="503"/>
      <c r="H1220" s="497">
        <f t="shared" ca="1" si="149"/>
        <v>101</v>
      </c>
      <c r="I1220" s="500"/>
      <c r="J1220" s="512"/>
      <c r="K1220" s="512"/>
      <c r="L1220" s="503"/>
      <c r="M1220" s="515" t="str">
        <f ca="1">IFERROR(IF(COUNTIF($B$937:$B1219,"&lt;0")&lt;&gt;1,OFFSET($C1218,-COUNTIF($B$937:$B1219,"&lt;0")+3,0),""),"")</f>
        <v/>
      </c>
      <c r="N1220" s="515">
        <f ca="1">IFERROR(IF(COUNTA($D$937:D1219)=1,0,OFFSET($F1218,-COUNTA($D$937:D1219)+3,0)),"")</f>
        <v>1</v>
      </c>
      <c r="O1220" s="497"/>
      <c r="P1220" s="497">
        <f t="shared" si="150"/>
        <v>281</v>
      </c>
      <c r="Q1220" s="497"/>
      <c r="R1220" s="497"/>
      <c r="S1220" s="497"/>
      <c r="T1220" s="503"/>
    </row>
    <row r="1221" spans="1:20" x14ac:dyDescent="0.35">
      <c r="A1221" s="497" t="b">
        <v>0</v>
      </c>
      <c r="B1221" s="497">
        <f t="shared" si="147"/>
        <v>-78</v>
      </c>
      <c r="C1221" s="518" t="s">
        <v>9833</v>
      </c>
      <c r="D1221" s="497" t="s">
        <v>6242</v>
      </c>
      <c r="E1221" s="497">
        <f t="shared" si="148"/>
        <v>6</v>
      </c>
      <c r="F1221" s="516">
        <v>47</v>
      </c>
      <c r="G1221" s="503"/>
      <c r="H1221" s="497">
        <f t="shared" ca="1" si="149"/>
        <v>101</v>
      </c>
      <c r="I1221" s="500"/>
      <c r="J1221" s="512"/>
      <c r="K1221" s="512"/>
      <c r="L1221" s="503"/>
      <c r="M1221" s="515" t="str">
        <f ca="1">IFERROR(IF(COUNTIF($B$937:$B1220,"&lt;0")&lt;&gt;1,OFFSET($C1219,-COUNTIF($B$937:$B1220,"&lt;0")+3,0),""),"")</f>
        <v/>
      </c>
      <c r="N1221" s="515">
        <f ca="1">IFERROR(IF(COUNTA($D$937:D1220)=1,0,OFFSET($F1219,-COUNTA($D$937:D1220)+3,0)),"")</f>
        <v>1</v>
      </c>
      <c r="O1221" s="497"/>
      <c r="P1221" s="497">
        <f t="shared" si="150"/>
        <v>282</v>
      </c>
      <c r="Q1221" s="497"/>
      <c r="R1221" s="497"/>
      <c r="S1221" s="497"/>
      <c r="T1221" s="503"/>
    </row>
    <row r="1222" spans="1:20" x14ac:dyDescent="0.35">
      <c r="A1222" s="497" t="b">
        <v>0</v>
      </c>
      <c r="B1222" s="497">
        <f t="shared" si="147"/>
        <v>-77</v>
      </c>
      <c r="C1222" s="518" t="s">
        <v>9834</v>
      </c>
      <c r="D1222" s="497" t="s">
        <v>7350</v>
      </c>
      <c r="E1222" s="497">
        <f t="shared" si="148"/>
        <v>1</v>
      </c>
      <c r="F1222" s="516">
        <v>48</v>
      </c>
      <c r="G1222" s="503"/>
      <c r="H1222" s="497">
        <f t="shared" ca="1" si="149"/>
        <v>103</v>
      </c>
      <c r="I1222" s="500"/>
      <c r="J1222" s="512"/>
      <c r="K1222" s="512"/>
      <c r="L1222" s="503"/>
      <c r="M1222" s="515" t="str">
        <f ca="1">IFERROR(IF(COUNTIF($B$937:$B1221,"&lt;0")&lt;&gt;1,OFFSET($C1220,-COUNTIF($B$937:$B1221,"&lt;0")+3,0),""),"")</f>
        <v/>
      </c>
      <c r="N1222" s="515">
        <f ca="1">IFERROR(IF(COUNTA($D$937:D1221)=1,0,OFFSET($F1220,-COUNTA($D$937:D1221)+3,0)),"")</f>
        <v>1</v>
      </c>
      <c r="O1222" s="497"/>
      <c r="P1222" s="497">
        <f t="shared" si="150"/>
        <v>283</v>
      </c>
      <c r="Q1222" s="497"/>
      <c r="R1222" s="497"/>
      <c r="S1222" s="497"/>
      <c r="T1222" s="503"/>
    </row>
    <row r="1223" spans="1:20" x14ac:dyDescent="0.35">
      <c r="A1223" s="497" t="b">
        <v>0</v>
      </c>
      <c r="B1223" s="497">
        <f t="shared" si="147"/>
        <v>-76</v>
      </c>
      <c r="C1223" s="518" t="s">
        <v>9835</v>
      </c>
      <c r="D1223" s="497" t="s">
        <v>7350</v>
      </c>
      <c r="E1223" s="497">
        <f t="shared" si="148"/>
        <v>2</v>
      </c>
      <c r="F1223" s="516">
        <v>48</v>
      </c>
      <c r="G1223" s="503"/>
      <c r="H1223" s="497">
        <f t="shared" ca="1" si="149"/>
        <v>103</v>
      </c>
      <c r="I1223" s="500"/>
      <c r="J1223" s="512"/>
      <c r="K1223" s="512"/>
      <c r="L1223" s="503"/>
      <c r="M1223" s="515" t="str">
        <f ca="1">IFERROR(IF(COUNTIF($B$937:$B1222,"&lt;0")&lt;&gt;1,OFFSET($C1221,-COUNTIF($B$937:$B1222,"&lt;0")+3,0),""),"")</f>
        <v/>
      </c>
      <c r="N1223" s="515">
        <f ca="1">IFERROR(IF(COUNTA($D$937:D1222)=1,0,OFFSET($F1221,-COUNTA($D$937:D1222)+3,0)),"")</f>
        <v>1</v>
      </c>
      <c r="O1223" s="497"/>
      <c r="P1223" s="497">
        <f t="shared" si="150"/>
        <v>284</v>
      </c>
      <c r="Q1223" s="497"/>
      <c r="R1223" s="497"/>
      <c r="S1223" s="497"/>
      <c r="T1223" s="503"/>
    </row>
    <row r="1224" spans="1:20" x14ac:dyDescent="0.35">
      <c r="A1224" s="497" t="b">
        <v>0</v>
      </c>
      <c r="B1224" s="497">
        <f t="shared" si="147"/>
        <v>-75</v>
      </c>
      <c r="C1224" s="518" t="s">
        <v>9836</v>
      </c>
      <c r="D1224" s="497" t="s">
        <v>7350</v>
      </c>
      <c r="E1224" s="497">
        <f t="shared" si="148"/>
        <v>3</v>
      </c>
      <c r="F1224" s="516">
        <v>48</v>
      </c>
      <c r="G1224" s="503"/>
      <c r="H1224" s="497">
        <f t="shared" ca="1" si="149"/>
        <v>103</v>
      </c>
      <c r="I1224" s="500"/>
      <c r="J1224" s="512"/>
      <c r="K1224" s="512"/>
      <c r="L1224" s="503"/>
      <c r="M1224" s="515" t="str">
        <f ca="1">IFERROR(IF(COUNTIF($B$937:$B1223,"&lt;0")&lt;&gt;1,OFFSET($C1222,-COUNTIF($B$937:$B1223,"&lt;0")+3,0),""),"")</f>
        <v/>
      </c>
      <c r="N1224" s="515">
        <f ca="1">IFERROR(IF(COUNTA($D$937:D1223)=1,0,OFFSET($F1222,-COUNTA($D$937:D1223)+3,0)),"")</f>
        <v>1</v>
      </c>
      <c r="O1224" s="497"/>
      <c r="P1224" s="497">
        <f t="shared" si="150"/>
        <v>285</v>
      </c>
      <c r="Q1224" s="497"/>
      <c r="R1224" s="497"/>
      <c r="S1224" s="497"/>
      <c r="T1224" s="503"/>
    </row>
    <row r="1225" spans="1:20" x14ac:dyDescent="0.35">
      <c r="A1225" s="497" t="b">
        <v>0</v>
      </c>
      <c r="B1225" s="497">
        <f t="shared" si="147"/>
        <v>-74</v>
      </c>
      <c r="C1225" s="518" t="s">
        <v>9837</v>
      </c>
      <c r="D1225" s="497" t="s">
        <v>7350</v>
      </c>
      <c r="E1225" s="497">
        <f t="shared" si="148"/>
        <v>4</v>
      </c>
      <c r="F1225" s="516">
        <v>48</v>
      </c>
      <c r="G1225" s="503"/>
      <c r="H1225" s="497">
        <f t="shared" ca="1" si="149"/>
        <v>103</v>
      </c>
      <c r="I1225" s="500"/>
      <c r="J1225" s="512"/>
      <c r="K1225" s="512"/>
      <c r="L1225" s="503"/>
      <c r="M1225" s="515" t="str">
        <f ca="1">IFERROR(IF(COUNTIF($B$937:$B1224,"&lt;0")&lt;&gt;1,OFFSET($C1223,-COUNTIF($B$937:$B1224,"&lt;0")+3,0),""),"")</f>
        <v/>
      </c>
      <c r="N1225" s="515">
        <f ca="1">IFERROR(IF(COUNTA($D$937:D1224)=1,0,OFFSET($F1223,-COUNTA($D$937:D1224)+3,0)),"")</f>
        <v>1</v>
      </c>
      <c r="O1225" s="497"/>
      <c r="P1225" s="497">
        <f t="shared" si="150"/>
        <v>286</v>
      </c>
      <c r="Q1225" s="497"/>
      <c r="R1225" s="497"/>
      <c r="S1225" s="497"/>
      <c r="T1225" s="503"/>
    </row>
    <row r="1226" spans="1:20" x14ac:dyDescent="0.35">
      <c r="A1226" s="497" t="b">
        <v>0</v>
      </c>
      <c r="B1226" s="497">
        <f t="shared" si="147"/>
        <v>-73</v>
      </c>
      <c r="C1226" s="518" t="s">
        <v>9838</v>
      </c>
      <c r="D1226" s="497" t="s">
        <v>7350</v>
      </c>
      <c r="E1226" s="497">
        <f t="shared" si="148"/>
        <v>5</v>
      </c>
      <c r="F1226" s="516">
        <v>48</v>
      </c>
      <c r="G1226" s="503"/>
      <c r="H1226" s="497">
        <f t="shared" ca="1" si="149"/>
        <v>103</v>
      </c>
      <c r="I1226" s="500"/>
      <c r="J1226" s="512"/>
      <c r="K1226" s="512"/>
      <c r="L1226" s="503"/>
      <c r="M1226" s="515" t="str">
        <f ca="1">IFERROR(IF(COUNTIF($B$937:$B1225,"&lt;0")&lt;&gt;1,OFFSET($C1224,-COUNTIF($B$937:$B1225,"&lt;0")+3,0),""),"")</f>
        <v/>
      </c>
      <c r="N1226" s="515">
        <f ca="1">IFERROR(IF(COUNTA($D$937:D1225)=1,0,OFFSET($F1224,-COUNTA($D$937:D1225)+3,0)),"")</f>
        <v>1</v>
      </c>
      <c r="O1226" s="497"/>
      <c r="P1226" s="497">
        <f t="shared" si="150"/>
        <v>287</v>
      </c>
      <c r="Q1226" s="497"/>
      <c r="R1226" s="497"/>
      <c r="S1226" s="497"/>
      <c r="T1226" s="503"/>
    </row>
    <row r="1227" spans="1:20" x14ac:dyDescent="0.35">
      <c r="A1227" s="497" t="b">
        <v>0</v>
      </c>
      <c r="B1227" s="497">
        <f t="shared" si="147"/>
        <v>-72</v>
      </c>
      <c r="C1227" s="518" t="s">
        <v>9839</v>
      </c>
      <c r="D1227" s="497" t="s">
        <v>7350</v>
      </c>
      <c r="E1227" s="497">
        <f t="shared" si="148"/>
        <v>6</v>
      </c>
      <c r="F1227" s="516">
        <v>48</v>
      </c>
      <c r="G1227" s="503"/>
      <c r="H1227" s="497">
        <f t="shared" ca="1" si="149"/>
        <v>103</v>
      </c>
      <c r="I1227" s="500"/>
      <c r="J1227" s="512"/>
      <c r="K1227" s="512"/>
      <c r="L1227" s="503"/>
      <c r="M1227" s="515" t="str">
        <f ca="1">IFERROR(IF(COUNTIF($B$937:$B1226,"&lt;0")&lt;&gt;1,OFFSET($C1225,-COUNTIF($B$937:$B1226,"&lt;0")+3,0),""),"")</f>
        <v/>
      </c>
      <c r="N1227" s="515">
        <f ca="1">IFERROR(IF(COUNTA($D$937:D1226)=1,0,OFFSET($F1225,-COUNTA($D$937:D1226)+3,0)),"")</f>
        <v>1</v>
      </c>
      <c r="O1227" s="497"/>
      <c r="P1227" s="497">
        <f t="shared" si="150"/>
        <v>288</v>
      </c>
      <c r="Q1227" s="497"/>
      <c r="R1227" s="497"/>
      <c r="S1227" s="497"/>
      <c r="T1227" s="503"/>
    </row>
    <row r="1228" spans="1:20" x14ac:dyDescent="0.35">
      <c r="A1228" s="497" t="b">
        <v>0</v>
      </c>
      <c r="B1228" s="497">
        <f t="shared" si="147"/>
        <v>-71</v>
      </c>
      <c r="C1228" s="518" t="s">
        <v>9840</v>
      </c>
      <c r="D1228" s="497" t="s">
        <v>6283</v>
      </c>
      <c r="E1228" s="497">
        <f t="shared" si="148"/>
        <v>1</v>
      </c>
      <c r="F1228" s="516">
        <v>49</v>
      </c>
      <c r="G1228" s="503"/>
      <c r="H1228" s="497">
        <f t="shared" ca="1" si="149"/>
        <v>105</v>
      </c>
      <c r="I1228" s="500"/>
      <c r="J1228" s="512"/>
      <c r="K1228" s="512"/>
      <c r="L1228" s="503"/>
      <c r="M1228" s="515" t="str">
        <f ca="1">IFERROR(IF(COUNTIF($B$937:$B1227,"&lt;0")&lt;&gt;1,OFFSET($C1226,-COUNTIF($B$937:$B1227,"&lt;0")+3,0),""),"")</f>
        <v/>
      </c>
      <c r="N1228" s="515">
        <f ca="1">IFERROR(IF(COUNTA($D$937:D1227)=1,0,OFFSET($F1226,-COUNTA($D$937:D1227)+3,0)),"")</f>
        <v>1</v>
      </c>
      <c r="O1228" s="497"/>
      <c r="P1228" s="497">
        <f t="shared" si="150"/>
        <v>289</v>
      </c>
      <c r="Q1228" s="497"/>
      <c r="R1228" s="497"/>
      <c r="S1228" s="497"/>
      <c r="T1228" s="503"/>
    </row>
    <row r="1229" spans="1:20" x14ac:dyDescent="0.35">
      <c r="A1229" s="497" t="b">
        <v>0</v>
      </c>
      <c r="B1229" s="497">
        <f t="shared" si="147"/>
        <v>-70</v>
      </c>
      <c r="C1229" s="518" t="s">
        <v>9841</v>
      </c>
      <c r="D1229" s="497" t="s">
        <v>6283</v>
      </c>
      <c r="E1229" s="497">
        <f t="shared" si="148"/>
        <v>2</v>
      </c>
      <c r="F1229" s="516">
        <v>49</v>
      </c>
      <c r="G1229" s="503"/>
      <c r="H1229" s="497">
        <f t="shared" ca="1" si="149"/>
        <v>105</v>
      </c>
      <c r="I1229" s="500"/>
      <c r="J1229" s="512"/>
      <c r="K1229" s="512"/>
      <c r="L1229" s="503"/>
      <c r="M1229" s="515" t="str">
        <f ca="1">IFERROR(IF(COUNTIF($B$937:$B1228,"&lt;0")&lt;&gt;1,OFFSET($C1227,-COUNTIF($B$937:$B1228,"&lt;0")+3,0),""),"")</f>
        <v/>
      </c>
      <c r="N1229" s="515">
        <f ca="1">IFERROR(IF(COUNTA($D$937:D1228)=1,0,OFFSET($F1227,-COUNTA($D$937:D1228)+3,0)),"")</f>
        <v>1</v>
      </c>
      <c r="O1229" s="497"/>
      <c r="P1229" s="497">
        <f t="shared" si="150"/>
        <v>290</v>
      </c>
      <c r="Q1229" s="497"/>
      <c r="R1229" s="497"/>
      <c r="S1229" s="497"/>
      <c r="T1229" s="503"/>
    </row>
    <row r="1230" spans="1:20" x14ac:dyDescent="0.35">
      <c r="A1230" s="497" t="b">
        <v>0</v>
      </c>
      <c r="B1230" s="497">
        <f t="shared" si="147"/>
        <v>-69</v>
      </c>
      <c r="C1230" s="518" t="s">
        <v>9842</v>
      </c>
      <c r="D1230" s="497" t="s">
        <v>6283</v>
      </c>
      <c r="E1230" s="497">
        <f t="shared" si="148"/>
        <v>3</v>
      </c>
      <c r="F1230" s="516">
        <v>49</v>
      </c>
      <c r="G1230" s="503"/>
      <c r="H1230" s="497">
        <f t="shared" ca="1" si="149"/>
        <v>105</v>
      </c>
      <c r="I1230" s="500"/>
      <c r="J1230" s="512"/>
      <c r="K1230" s="512"/>
      <c r="L1230" s="503"/>
      <c r="M1230" s="515" t="str">
        <f ca="1">IFERROR(IF(COUNTIF($B$937:$B1229,"&lt;0")&lt;&gt;1,OFFSET($C1228,-COUNTIF($B$937:$B1229,"&lt;0")+3,0),""),"")</f>
        <v/>
      </c>
      <c r="N1230" s="515">
        <f ca="1">IFERROR(IF(COUNTA($D$937:D1229)=1,0,OFFSET($F1228,-COUNTA($D$937:D1229)+3,0)),"")</f>
        <v>1</v>
      </c>
      <c r="O1230" s="497"/>
      <c r="P1230" s="497">
        <f t="shared" si="150"/>
        <v>291</v>
      </c>
      <c r="Q1230" s="497"/>
      <c r="R1230" s="497"/>
      <c r="S1230" s="497"/>
      <c r="T1230" s="503"/>
    </row>
    <row r="1231" spans="1:20" x14ac:dyDescent="0.35">
      <c r="A1231" s="497" t="b">
        <v>0</v>
      </c>
      <c r="B1231" s="497">
        <f t="shared" si="147"/>
        <v>-68</v>
      </c>
      <c r="C1231" s="518" t="s">
        <v>9843</v>
      </c>
      <c r="D1231" s="497" t="s">
        <v>6283</v>
      </c>
      <c r="E1231" s="497">
        <f t="shared" si="148"/>
        <v>4</v>
      </c>
      <c r="F1231" s="516">
        <v>49</v>
      </c>
      <c r="G1231" s="503"/>
      <c r="H1231" s="497">
        <f t="shared" ca="1" si="149"/>
        <v>105</v>
      </c>
      <c r="I1231" s="500"/>
      <c r="J1231" s="512"/>
      <c r="K1231" s="512"/>
      <c r="L1231" s="503"/>
      <c r="M1231" s="515" t="str">
        <f ca="1">IFERROR(IF(COUNTIF($B$937:$B1230,"&lt;0")&lt;&gt;1,OFFSET($C1229,-COUNTIF($B$937:$B1230,"&lt;0")+3,0),""),"")</f>
        <v/>
      </c>
      <c r="N1231" s="515">
        <f ca="1">IFERROR(IF(COUNTA($D$937:D1230)=1,0,OFFSET($F1229,-COUNTA($D$937:D1230)+3,0)),"")</f>
        <v>1</v>
      </c>
      <c r="O1231" s="497"/>
      <c r="P1231" s="497">
        <f t="shared" si="150"/>
        <v>292</v>
      </c>
      <c r="Q1231" s="497"/>
      <c r="R1231" s="497"/>
      <c r="S1231" s="497"/>
      <c r="T1231" s="503"/>
    </row>
    <row r="1232" spans="1:20" x14ac:dyDescent="0.35">
      <c r="A1232" s="497" t="b">
        <v>0</v>
      </c>
      <c r="B1232" s="497">
        <f t="shared" si="147"/>
        <v>-67</v>
      </c>
      <c r="C1232" s="518" t="s">
        <v>9844</v>
      </c>
      <c r="D1232" s="497" t="s">
        <v>6283</v>
      </c>
      <c r="E1232" s="497">
        <f t="shared" si="148"/>
        <v>5</v>
      </c>
      <c r="F1232" s="516">
        <v>49</v>
      </c>
      <c r="G1232" s="503"/>
      <c r="H1232" s="497">
        <f t="shared" ca="1" si="149"/>
        <v>105</v>
      </c>
      <c r="I1232" s="500"/>
      <c r="J1232" s="512"/>
      <c r="K1232" s="512"/>
      <c r="L1232" s="503"/>
      <c r="M1232" s="515" t="str">
        <f ca="1">IFERROR(IF(COUNTIF($B$937:$B1231,"&lt;0")&lt;&gt;1,OFFSET($C1230,-COUNTIF($B$937:$B1231,"&lt;0")+3,0),""),"")</f>
        <v/>
      </c>
      <c r="N1232" s="515">
        <f ca="1">IFERROR(IF(COUNTA($D$937:D1231)=1,0,OFFSET($F1230,-COUNTA($D$937:D1231)+3,0)),"")</f>
        <v>1</v>
      </c>
      <c r="O1232" s="497"/>
      <c r="P1232" s="497">
        <f t="shared" si="150"/>
        <v>293</v>
      </c>
      <c r="Q1232" s="497"/>
      <c r="R1232" s="497"/>
      <c r="S1232" s="497"/>
      <c r="T1232" s="503"/>
    </row>
    <row r="1233" spans="1:20" x14ac:dyDescent="0.35">
      <c r="A1233" s="497" t="b">
        <v>0</v>
      </c>
      <c r="B1233" s="497">
        <f t="shared" si="147"/>
        <v>-66</v>
      </c>
      <c r="C1233" s="518" t="s">
        <v>9845</v>
      </c>
      <c r="D1233" s="497" t="s">
        <v>6283</v>
      </c>
      <c r="E1233" s="497">
        <f t="shared" si="148"/>
        <v>6</v>
      </c>
      <c r="F1233" s="516">
        <v>49</v>
      </c>
      <c r="G1233" s="503"/>
      <c r="H1233" s="497">
        <f t="shared" ca="1" si="149"/>
        <v>105</v>
      </c>
      <c r="I1233" s="500"/>
      <c r="J1233" s="512"/>
      <c r="K1233" s="512"/>
      <c r="L1233" s="503"/>
      <c r="M1233" s="515" t="str">
        <f ca="1">IFERROR(IF(COUNTIF($B$937:$B1232,"&lt;0")&lt;&gt;1,OFFSET($C1231,-COUNTIF($B$937:$B1232,"&lt;0")+3,0),""),"")</f>
        <v/>
      </c>
      <c r="N1233" s="515">
        <f ca="1">IFERROR(IF(COUNTA($D$937:D1232)=1,0,OFFSET($F1231,-COUNTA($D$937:D1232)+3,0)),"")</f>
        <v>1</v>
      </c>
      <c r="O1233" s="497"/>
      <c r="P1233" s="497">
        <f t="shared" si="150"/>
        <v>294</v>
      </c>
      <c r="Q1233" s="497"/>
      <c r="R1233" s="497"/>
      <c r="S1233" s="497"/>
      <c r="T1233" s="503"/>
    </row>
    <row r="1234" spans="1:20" x14ac:dyDescent="0.35">
      <c r="A1234" s="497" t="b">
        <v>0</v>
      </c>
      <c r="B1234" s="497">
        <f t="shared" si="147"/>
        <v>-65</v>
      </c>
      <c r="C1234" s="518" t="s">
        <v>9846</v>
      </c>
      <c r="D1234" s="497" t="s">
        <v>7514</v>
      </c>
      <c r="E1234" s="497">
        <f t="shared" si="148"/>
        <v>1</v>
      </c>
      <c r="F1234" s="516">
        <v>50</v>
      </c>
      <c r="G1234" s="503"/>
      <c r="H1234" s="497">
        <f t="shared" ca="1" si="149"/>
        <v>107</v>
      </c>
      <c r="I1234" s="500"/>
      <c r="J1234" s="512"/>
      <c r="K1234" s="512"/>
      <c r="L1234" s="503"/>
      <c r="M1234" s="515" t="str">
        <f ca="1">IFERROR(IF(COUNTIF($B$937:$B1233,"&lt;0")&lt;&gt;1,OFFSET($C1232,-COUNTIF($B$937:$B1233,"&lt;0")+3,0),""),"")</f>
        <v/>
      </c>
      <c r="N1234" s="515">
        <f ca="1">IFERROR(IF(COUNTA($D$937:D1233)=1,0,OFFSET($F1232,-COUNTA($D$937:D1233)+3,0)),"")</f>
        <v>1</v>
      </c>
      <c r="O1234" s="497"/>
      <c r="P1234" s="497">
        <f t="shared" si="150"/>
        <v>295</v>
      </c>
      <c r="Q1234" s="497"/>
      <c r="R1234" s="497"/>
      <c r="S1234" s="497"/>
      <c r="T1234" s="503"/>
    </row>
    <row r="1235" spans="1:20" x14ac:dyDescent="0.35">
      <c r="A1235" s="497" t="b">
        <v>0</v>
      </c>
      <c r="B1235" s="497">
        <f t="shared" si="147"/>
        <v>-64</v>
      </c>
      <c r="C1235" s="518" t="s">
        <v>9847</v>
      </c>
      <c r="D1235" s="497" t="s">
        <v>7514</v>
      </c>
      <c r="E1235" s="497">
        <f t="shared" si="148"/>
        <v>2</v>
      </c>
      <c r="F1235" s="516">
        <v>50</v>
      </c>
      <c r="G1235" s="503"/>
      <c r="H1235" s="497">
        <f t="shared" ca="1" si="149"/>
        <v>107</v>
      </c>
      <c r="I1235" s="500"/>
      <c r="J1235" s="512"/>
      <c r="K1235" s="512"/>
      <c r="L1235" s="503"/>
      <c r="M1235" s="515" t="str">
        <f ca="1">IFERROR(IF(COUNTIF($B$937:$B1234,"&lt;0")&lt;&gt;1,OFFSET($C1233,-COUNTIF($B$937:$B1234,"&lt;0")+3,0),""),"")</f>
        <v/>
      </c>
      <c r="N1235" s="515">
        <f ca="1">IFERROR(IF(COUNTA($D$937:D1234)=1,0,OFFSET($F1233,-COUNTA($D$937:D1234)+3,0)),"")</f>
        <v>1</v>
      </c>
      <c r="O1235" s="497"/>
      <c r="P1235" s="497">
        <f t="shared" si="150"/>
        <v>296</v>
      </c>
      <c r="Q1235" s="497"/>
      <c r="R1235" s="497"/>
      <c r="S1235" s="497"/>
      <c r="T1235" s="503"/>
    </row>
    <row r="1236" spans="1:20" x14ac:dyDescent="0.35">
      <c r="A1236" s="497" t="b">
        <v>0</v>
      </c>
      <c r="B1236" s="497">
        <f t="shared" si="147"/>
        <v>-63</v>
      </c>
      <c r="C1236" s="518" t="s">
        <v>9848</v>
      </c>
      <c r="D1236" s="497" t="s">
        <v>7514</v>
      </c>
      <c r="E1236" s="497">
        <f t="shared" si="148"/>
        <v>3</v>
      </c>
      <c r="F1236" s="516">
        <v>50</v>
      </c>
      <c r="G1236" s="503"/>
      <c r="H1236" s="497">
        <f t="shared" ca="1" si="149"/>
        <v>107</v>
      </c>
      <c r="I1236" s="500"/>
      <c r="J1236" s="512"/>
      <c r="K1236" s="512"/>
      <c r="L1236" s="503"/>
      <c r="M1236" s="515" t="str">
        <f ca="1">IFERROR(IF(COUNTIF($B$937:$B1235,"&lt;0")&lt;&gt;1,OFFSET($C1234,-COUNTIF($B$937:$B1235,"&lt;0")+3,0),""),"")</f>
        <v/>
      </c>
      <c r="N1236" s="515">
        <f ca="1">IFERROR(IF(COUNTA($D$937:D1235)=1,0,OFFSET($F1234,-COUNTA($D$937:D1235)+3,0)),"")</f>
        <v>1</v>
      </c>
      <c r="O1236" s="497"/>
      <c r="P1236" s="497">
        <f t="shared" si="150"/>
        <v>297</v>
      </c>
      <c r="Q1236" s="497"/>
      <c r="R1236" s="497"/>
      <c r="S1236" s="497"/>
      <c r="T1236" s="503"/>
    </row>
    <row r="1237" spans="1:20" x14ac:dyDescent="0.35">
      <c r="A1237" s="497" t="b">
        <v>0</v>
      </c>
      <c r="B1237" s="497">
        <f t="shared" si="147"/>
        <v>-62</v>
      </c>
      <c r="C1237" s="518" t="s">
        <v>9849</v>
      </c>
      <c r="D1237" s="497" t="s">
        <v>7514</v>
      </c>
      <c r="E1237" s="497">
        <f t="shared" si="148"/>
        <v>4</v>
      </c>
      <c r="F1237" s="516">
        <v>50</v>
      </c>
      <c r="G1237" s="503"/>
      <c r="H1237" s="497">
        <f t="shared" ca="1" si="149"/>
        <v>107</v>
      </c>
      <c r="I1237" s="500"/>
      <c r="J1237" s="512"/>
      <c r="K1237" s="512"/>
      <c r="L1237" s="503"/>
      <c r="M1237" s="515" t="str">
        <f ca="1">IFERROR(IF(COUNTIF($B$937:$B1236,"&lt;0")&lt;&gt;1,OFFSET($C1235,-COUNTIF($B$937:$B1236,"&lt;0")+3,0),""),"")</f>
        <v/>
      </c>
      <c r="N1237" s="515">
        <f ca="1">IFERROR(IF(COUNTA($D$937:D1236)=1,0,OFFSET($F1235,-COUNTA($D$937:D1236)+3,0)),"")</f>
        <v>1</v>
      </c>
      <c r="O1237" s="497"/>
      <c r="P1237" s="497">
        <f t="shared" si="150"/>
        <v>298</v>
      </c>
      <c r="Q1237" s="497"/>
      <c r="R1237" s="497"/>
      <c r="S1237" s="497"/>
      <c r="T1237" s="503"/>
    </row>
    <row r="1238" spans="1:20" x14ac:dyDescent="0.35">
      <c r="A1238" s="497" t="b">
        <v>0</v>
      </c>
      <c r="B1238" s="497">
        <f t="shared" si="147"/>
        <v>-61</v>
      </c>
      <c r="C1238" s="518" t="s">
        <v>9850</v>
      </c>
      <c r="D1238" s="497" t="s">
        <v>7514</v>
      </c>
      <c r="E1238" s="497">
        <f t="shared" si="148"/>
        <v>5</v>
      </c>
      <c r="F1238" s="516">
        <v>50</v>
      </c>
      <c r="G1238" s="503"/>
      <c r="H1238" s="497">
        <f t="shared" ca="1" si="149"/>
        <v>107</v>
      </c>
      <c r="I1238" s="500"/>
      <c r="J1238" s="512"/>
      <c r="K1238" s="512"/>
      <c r="L1238" s="503"/>
      <c r="M1238" s="515" t="str">
        <f ca="1">IFERROR(IF(COUNTIF($B$937:$B1237,"&lt;0")&lt;&gt;1,OFFSET($C1236,-COUNTIF($B$937:$B1237,"&lt;0")+3,0),""),"")</f>
        <v/>
      </c>
      <c r="N1238" s="515">
        <f ca="1">IFERROR(IF(COUNTA($D$937:D1237)=1,0,OFFSET($F1236,-COUNTA($D$937:D1237)+3,0)),"")</f>
        <v>1</v>
      </c>
      <c r="O1238" s="497"/>
      <c r="P1238" s="497">
        <f t="shared" si="150"/>
        <v>299</v>
      </c>
      <c r="Q1238" s="497"/>
      <c r="R1238" s="497"/>
      <c r="S1238" s="497"/>
      <c r="T1238" s="503"/>
    </row>
    <row r="1239" spans="1:20" x14ac:dyDescent="0.35">
      <c r="A1239" s="497" t="b">
        <v>0</v>
      </c>
      <c r="B1239" s="497">
        <f t="shared" si="147"/>
        <v>-60</v>
      </c>
      <c r="C1239" s="518" t="s">
        <v>9851</v>
      </c>
      <c r="D1239" s="497" t="s">
        <v>7514</v>
      </c>
      <c r="E1239" s="497">
        <f t="shared" si="148"/>
        <v>6</v>
      </c>
      <c r="F1239" s="516">
        <v>50</v>
      </c>
      <c r="G1239" s="503"/>
      <c r="H1239" s="497">
        <f t="shared" ca="1" si="149"/>
        <v>107</v>
      </c>
      <c r="I1239" s="500"/>
      <c r="J1239" s="512"/>
      <c r="K1239" s="512"/>
      <c r="L1239" s="503"/>
      <c r="M1239" s="515" t="str">
        <f ca="1">IFERROR(IF(COUNTIF($B$937:$B1238,"&lt;0")&lt;&gt;1,OFFSET($C1237,-COUNTIF($B$937:$B1238,"&lt;0")+3,0),""),"")</f>
        <v/>
      </c>
      <c r="N1239" s="515">
        <f ca="1">IFERROR(IF(COUNTA($D$937:D1238)=1,0,OFFSET($F1237,-COUNTA($D$937:D1238)+3,0)),"")</f>
        <v>1</v>
      </c>
      <c r="O1239" s="497"/>
      <c r="P1239" s="497">
        <f t="shared" si="150"/>
        <v>300</v>
      </c>
      <c r="Q1239" s="497"/>
      <c r="R1239" s="497"/>
      <c r="S1239" s="497"/>
      <c r="T1239" s="503"/>
    </row>
    <row r="1240" spans="1:20" x14ac:dyDescent="0.35">
      <c r="A1240" s="497" t="b">
        <v>0</v>
      </c>
      <c r="B1240" s="497">
        <f t="shared" si="147"/>
        <v>-59</v>
      </c>
      <c r="C1240" s="518" t="s">
        <v>9852</v>
      </c>
      <c r="D1240" s="497" t="s">
        <v>6324</v>
      </c>
      <c r="E1240" s="497">
        <f t="shared" si="148"/>
        <v>1</v>
      </c>
      <c r="F1240" s="516">
        <v>51</v>
      </c>
      <c r="G1240" s="503"/>
      <c r="H1240" s="497">
        <f t="shared" ca="1" si="149"/>
        <v>109</v>
      </c>
      <c r="I1240" s="500"/>
      <c r="J1240" s="512"/>
      <c r="K1240" s="512"/>
      <c r="L1240" s="503"/>
      <c r="M1240" s="515" t="str">
        <f ca="1">IFERROR(IF(COUNTIF($B$937:$B1239,"&lt;0")&lt;&gt;1,OFFSET($C1238,-COUNTIF($B$937:$B1239,"&lt;0")+3,0),""),"")</f>
        <v/>
      </c>
      <c r="N1240" s="515">
        <f ca="1">IFERROR(IF(COUNTA($D$937:D1239)=1,0,OFFSET($F1238,-COUNTA($D$937:D1239)+3,0)),"")</f>
        <v>1</v>
      </c>
      <c r="O1240" s="497"/>
      <c r="P1240" s="497">
        <f t="shared" si="150"/>
        <v>301</v>
      </c>
      <c r="Q1240" s="497"/>
      <c r="R1240" s="497"/>
      <c r="S1240" s="497"/>
      <c r="T1240" s="503"/>
    </row>
    <row r="1241" spans="1:20" x14ac:dyDescent="0.35">
      <c r="A1241" s="497" t="b">
        <v>0</v>
      </c>
      <c r="B1241" s="497">
        <f t="shared" si="147"/>
        <v>-58</v>
      </c>
      <c r="C1241" s="518" t="s">
        <v>9853</v>
      </c>
      <c r="D1241" s="497" t="s">
        <v>6324</v>
      </c>
      <c r="E1241" s="497">
        <f t="shared" si="148"/>
        <v>2</v>
      </c>
      <c r="F1241" s="516">
        <v>51</v>
      </c>
      <c r="G1241" s="503"/>
      <c r="H1241" s="497">
        <f t="shared" ca="1" si="149"/>
        <v>109</v>
      </c>
      <c r="I1241" s="500"/>
      <c r="J1241" s="512"/>
      <c r="K1241" s="512"/>
      <c r="L1241" s="503"/>
      <c r="M1241" s="515" t="str">
        <f ca="1">IFERROR(IF(COUNTIF($B$937:$B1240,"&lt;0")&lt;&gt;1,OFFSET($C1239,-COUNTIF($B$937:$B1240,"&lt;0")+3,0),""),"")</f>
        <v/>
      </c>
      <c r="N1241" s="515">
        <f ca="1">IFERROR(IF(COUNTA($D$937:D1240)=1,0,OFFSET($F1239,-COUNTA($D$937:D1240)+3,0)),"")</f>
        <v>1</v>
      </c>
      <c r="O1241" s="497"/>
      <c r="P1241" s="497">
        <f t="shared" si="150"/>
        <v>302</v>
      </c>
      <c r="Q1241" s="497"/>
      <c r="R1241" s="497"/>
      <c r="S1241" s="497"/>
      <c r="T1241" s="503"/>
    </row>
    <row r="1242" spans="1:20" x14ac:dyDescent="0.35">
      <c r="A1242" s="497" t="b">
        <v>0</v>
      </c>
      <c r="B1242" s="497">
        <f t="shared" si="147"/>
        <v>-57</v>
      </c>
      <c r="C1242" s="518" t="s">
        <v>9854</v>
      </c>
      <c r="D1242" s="497" t="s">
        <v>6324</v>
      </c>
      <c r="E1242" s="497">
        <f t="shared" si="148"/>
        <v>3</v>
      </c>
      <c r="F1242" s="516">
        <v>51</v>
      </c>
      <c r="G1242" s="503"/>
      <c r="H1242" s="497">
        <f t="shared" ca="1" si="149"/>
        <v>109</v>
      </c>
      <c r="I1242" s="500"/>
      <c r="J1242" s="512"/>
      <c r="K1242" s="512"/>
      <c r="L1242" s="503"/>
      <c r="M1242" s="515" t="str">
        <f ca="1">IFERROR(IF(COUNTIF($B$937:$B1241,"&lt;0")&lt;&gt;1,OFFSET($C1240,-COUNTIF($B$937:$B1241,"&lt;0")+3,0),""),"")</f>
        <v/>
      </c>
      <c r="N1242" s="515">
        <f ca="1">IFERROR(IF(COUNTA($D$937:D1241)=1,0,OFFSET($F1240,-COUNTA($D$937:D1241)+3,0)),"")</f>
        <v>1</v>
      </c>
      <c r="O1242" s="497"/>
      <c r="P1242" s="497">
        <f t="shared" si="150"/>
        <v>303</v>
      </c>
      <c r="Q1242" s="497"/>
      <c r="R1242" s="497"/>
      <c r="S1242" s="497"/>
      <c r="T1242" s="503"/>
    </row>
    <row r="1243" spans="1:20" x14ac:dyDescent="0.35">
      <c r="A1243" s="497" t="b">
        <v>0</v>
      </c>
      <c r="B1243" s="497">
        <f t="shared" si="147"/>
        <v>-56</v>
      </c>
      <c r="C1243" s="518" t="s">
        <v>9855</v>
      </c>
      <c r="D1243" s="497" t="s">
        <v>6324</v>
      </c>
      <c r="E1243" s="497">
        <f t="shared" si="148"/>
        <v>4</v>
      </c>
      <c r="F1243" s="516">
        <v>51</v>
      </c>
      <c r="G1243" s="503"/>
      <c r="H1243" s="497">
        <f t="shared" ca="1" si="149"/>
        <v>109</v>
      </c>
      <c r="I1243" s="500"/>
      <c r="J1243" s="512"/>
      <c r="K1243" s="512"/>
      <c r="L1243" s="503"/>
      <c r="M1243" s="515" t="str">
        <f ca="1">IFERROR(IF(COUNTIF($B$937:$B1242,"&lt;0")&lt;&gt;1,OFFSET($C1241,-COUNTIF($B$937:$B1242,"&lt;0")+3,0),""),"")</f>
        <v/>
      </c>
      <c r="N1243" s="515">
        <f ca="1">IFERROR(IF(COUNTA($D$937:D1242)=1,0,OFFSET($F1241,-COUNTA($D$937:D1242)+3,0)),"")</f>
        <v>1</v>
      </c>
      <c r="O1243" s="497"/>
      <c r="P1243" s="497">
        <f t="shared" si="150"/>
        <v>304</v>
      </c>
      <c r="Q1243" s="497"/>
      <c r="R1243" s="497"/>
      <c r="S1243" s="497"/>
      <c r="T1243" s="503"/>
    </row>
    <row r="1244" spans="1:20" x14ac:dyDescent="0.35">
      <c r="A1244" s="497" t="b">
        <v>0</v>
      </c>
      <c r="B1244" s="497">
        <f t="shared" si="147"/>
        <v>-55</v>
      </c>
      <c r="C1244" s="518" t="s">
        <v>9856</v>
      </c>
      <c r="D1244" s="497" t="s">
        <v>6324</v>
      </c>
      <c r="E1244" s="497">
        <f t="shared" si="148"/>
        <v>5</v>
      </c>
      <c r="F1244" s="516">
        <v>51</v>
      </c>
      <c r="G1244" s="503"/>
      <c r="H1244" s="497">
        <f t="shared" ca="1" si="149"/>
        <v>109</v>
      </c>
      <c r="I1244" s="500"/>
      <c r="J1244" s="512"/>
      <c r="K1244" s="512"/>
      <c r="L1244" s="503"/>
      <c r="M1244" s="515" t="str">
        <f ca="1">IFERROR(IF(COUNTIF($B$937:$B1243,"&lt;0")&lt;&gt;1,OFFSET($C1242,-COUNTIF($B$937:$B1243,"&lt;0")+3,0),""),"")</f>
        <v/>
      </c>
      <c r="N1244" s="515">
        <f ca="1">IFERROR(IF(COUNTA($D$937:D1243)=1,0,OFFSET($F1242,-COUNTA($D$937:D1243)+3,0)),"")</f>
        <v>1</v>
      </c>
      <c r="O1244" s="497"/>
      <c r="P1244" s="497">
        <f t="shared" si="150"/>
        <v>305</v>
      </c>
      <c r="Q1244" s="497"/>
      <c r="R1244" s="497"/>
      <c r="S1244" s="497"/>
      <c r="T1244" s="503"/>
    </row>
    <row r="1245" spans="1:20" x14ac:dyDescent="0.35">
      <c r="A1245" s="497" t="b">
        <v>0</v>
      </c>
      <c r="B1245" s="497">
        <f t="shared" si="147"/>
        <v>-54</v>
      </c>
      <c r="C1245" s="518" t="s">
        <v>9857</v>
      </c>
      <c r="D1245" s="497" t="s">
        <v>6324</v>
      </c>
      <c r="E1245" s="497">
        <f t="shared" si="148"/>
        <v>6</v>
      </c>
      <c r="F1245" s="516">
        <v>51</v>
      </c>
      <c r="G1245" s="503"/>
      <c r="H1245" s="497">
        <f t="shared" ca="1" si="149"/>
        <v>109</v>
      </c>
      <c r="I1245" s="500"/>
      <c r="J1245" s="512"/>
      <c r="K1245" s="512"/>
      <c r="L1245" s="503"/>
      <c r="M1245" s="515" t="str">
        <f ca="1">IFERROR(IF(COUNTIF($B$937:$B1244,"&lt;0")&lt;&gt;1,OFFSET($C1243,-COUNTIF($B$937:$B1244,"&lt;0")+3,0),""),"")</f>
        <v/>
      </c>
      <c r="N1245" s="515">
        <f ca="1">IFERROR(IF(COUNTA($D$937:D1244)=1,0,OFFSET($F1243,-COUNTA($D$937:D1244)+3,0)),"")</f>
        <v>1</v>
      </c>
      <c r="O1245" s="497"/>
      <c r="P1245" s="497">
        <f t="shared" si="150"/>
        <v>306</v>
      </c>
      <c r="Q1245" s="497"/>
      <c r="R1245" s="497"/>
      <c r="S1245" s="497"/>
      <c r="T1245" s="503"/>
    </row>
    <row r="1246" spans="1:20" x14ac:dyDescent="0.35">
      <c r="A1246" s="497" t="b">
        <v>0</v>
      </c>
      <c r="B1246" s="497">
        <f t="shared" si="147"/>
        <v>-53</v>
      </c>
      <c r="C1246" s="518" t="s">
        <v>9858</v>
      </c>
      <c r="D1246" s="497" t="s">
        <v>7555</v>
      </c>
      <c r="E1246" s="497">
        <f t="shared" si="148"/>
        <v>1</v>
      </c>
      <c r="F1246" s="516">
        <v>52</v>
      </c>
      <c r="G1246" s="503"/>
      <c r="H1246" s="497">
        <f t="shared" ca="1" si="149"/>
        <v>111</v>
      </c>
      <c r="I1246" s="500"/>
      <c r="J1246" s="512"/>
      <c r="K1246" s="512"/>
      <c r="L1246" s="503"/>
      <c r="M1246" s="515" t="str">
        <f ca="1">IFERROR(IF(COUNTIF($B$937:$B1245,"&lt;0")&lt;&gt;1,OFFSET($C1244,-COUNTIF($B$937:$B1245,"&lt;0")+3,0),""),"")</f>
        <v/>
      </c>
      <c r="N1246" s="515">
        <f ca="1">IFERROR(IF(COUNTA($D$937:D1245)=1,0,OFFSET($F1244,-COUNTA($D$937:D1245)+3,0)),"")</f>
        <v>1</v>
      </c>
      <c r="O1246" s="497"/>
      <c r="P1246" s="497">
        <f t="shared" si="150"/>
        <v>307</v>
      </c>
      <c r="Q1246" s="497"/>
      <c r="R1246" s="497"/>
      <c r="S1246" s="497"/>
      <c r="T1246" s="503"/>
    </row>
    <row r="1247" spans="1:20" x14ac:dyDescent="0.35">
      <c r="A1247" s="497" t="b">
        <v>0</v>
      </c>
      <c r="B1247" s="497">
        <f t="shared" si="147"/>
        <v>-52</v>
      </c>
      <c r="C1247" s="518" t="s">
        <v>9859</v>
      </c>
      <c r="D1247" s="497" t="s">
        <v>7555</v>
      </c>
      <c r="E1247" s="497">
        <f t="shared" si="148"/>
        <v>2</v>
      </c>
      <c r="F1247" s="516">
        <v>52</v>
      </c>
      <c r="G1247" s="503"/>
      <c r="H1247" s="497">
        <f t="shared" ca="1" si="149"/>
        <v>111</v>
      </c>
      <c r="I1247" s="500"/>
      <c r="J1247" s="512"/>
      <c r="K1247" s="512"/>
      <c r="L1247" s="503"/>
      <c r="M1247" s="515" t="str">
        <f ca="1">IFERROR(IF(COUNTIF($B$937:$B1246,"&lt;0")&lt;&gt;1,OFFSET($C1245,-COUNTIF($B$937:$B1246,"&lt;0")+3,0),""),"")</f>
        <v/>
      </c>
      <c r="N1247" s="515">
        <f ca="1">IFERROR(IF(COUNTA($D$937:D1246)=1,0,OFFSET($F1245,-COUNTA($D$937:D1246)+3,0)),"")</f>
        <v>1</v>
      </c>
      <c r="O1247" s="497"/>
      <c r="P1247" s="497">
        <f t="shared" si="150"/>
        <v>308</v>
      </c>
      <c r="Q1247" s="497"/>
      <c r="R1247" s="497"/>
      <c r="S1247" s="497"/>
      <c r="T1247" s="503"/>
    </row>
    <row r="1248" spans="1:20" x14ac:dyDescent="0.35">
      <c r="A1248" s="497" t="b">
        <v>0</v>
      </c>
      <c r="B1248" s="497">
        <f t="shared" si="147"/>
        <v>-51</v>
      </c>
      <c r="C1248" s="518" t="s">
        <v>9860</v>
      </c>
      <c r="D1248" s="497" t="s">
        <v>7555</v>
      </c>
      <c r="E1248" s="497">
        <f t="shared" si="148"/>
        <v>3</v>
      </c>
      <c r="F1248" s="516">
        <v>52</v>
      </c>
      <c r="G1248" s="503"/>
      <c r="H1248" s="497">
        <f t="shared" ca="1" si="149"/>
        <v>111</v>
      </c>
      <c r="I1248" s="500"/>
      <c r="J1248" s="512"/>
      <c r="K1248" s="512"/>
      <c r="L1248" s="503"/>
      <c r="M1248" s="515" t="str">
        <f ca="1">IFERROR(IF(COUNTIF($B$937:$B1247,"&lt;0")&lt;&gt;1,OFFSET($C1246,-COUNTIF($B$937:$B1247,"&lt;0")+3,0),""),"")</f>
        <v/>
      </c>
      <c r="N1248" s="515">
        <f ca="1">IFERROR(IF(COUNTA($D$937:D1247)=1,0,OFFSET($F1246,-COUNTA($D$937:D1247)+3,0)),"")</f>
        <v>1</v>
      </c>
      <c r="O1248" s="497"/>
      <c r="P1248" s="497">
        <f t="shared" si="150"/>
        <v>309</v>
      </c>
      <c r="Q1248" s="497"/>
      <c r="R1248" s="497"/>
      <c r="S1248" s="497"/>
      <c r="T1248" s="503"/>
    </row>
    <row r="1249" spans="1:20" x14ac:dyDescent="0.35">
      <c r="A1249" s="497" t="b">
        <v>0</v>
      </c>
      <c r="B1249" s="497">
        <f t="shared" si="147"/>
        <v>-50</v>
      </c>
      <c r="C1249" s="518" t="s">
        <v>9861</v>
      </c>
      <c r="D1249" s="497" t="s">
        <v>7555</v>
      </c>
      <c r="E1249" s="497">
        <f t="shared" si="148"/>
        <v>4</v>
      </c>
      <c r="F1249" s="516">
        <v>52</v>
      </c>
      <c r="G1249" s="503"/>
      <c r="H1249" s="497">
        <f t="shared" ca="1" si="149"/>
        <v>111</v>
      </c>
      <c r="I1249" s="500"/>
      <c r="J1249" s="512"/>
      <c r="K1249" s="512"/>
      <c r="L1249" s="503"/>
      <c r="M1249" s="515" t="str">
        <f ca="1">IFERROR(IF(COUNTIF($B$937:$B1248,"&lt;0")&lt;&gt;1,OFFSET($C1247,-COUNTIF($B$937:$B1248,"&lt;0")+3,0),""),"")</f>
        <v/>
      </c>
      <c r="N1249" s="515">
        <f ca="1">IFERROR(IF(COUNTA($D$937:D1248)=1,0,OFFSET($F1247,-COUNTA($D$937:D1248)+3,0)),"")</f>
        <v>1</v>
      </c>
      <c r="O1249" s="497"/>
      <c r="P1249" s="497">
        <f t="shared" si="150"/>
        <v>310</v>
      </c>
      <c r="Q1249" s="497"/>
      <c r="R1249" s="497"/>
      <c r="S1249" s="497"/>
      <c r="T1249" s="503"/>
    </row>
    <row r="1250" spans="1:20" x14ac:dyDescent="0.35">
      <c r="A1250" s="497" t="b">
        <v>0</v>
      </c>
      <c r="B1250" s="497">
        <f t="shared" si="147"/>
        <v>-49</v>
      </c>
      <c r="C1250" s="518" t="s">
        <v>9862</v>
      </c>
      <c r="D1250" s="497" t="s">
        <v>7555</v>
      </c>
      <c r="E1250" s="497">
        <f t="shared" si="148"/>
        <v>5</v>
      </c>
      <c r="F1250" s="516">
        <v>52</v>
      </c>
      <c r="G1250" s="503"/>
      <c r="H1250" s="497">
        <f t="shared" ca="1" si="149"/>
        <v>111</v>
      </c>
      <c r="I1250" s="500"/>
      <c r="J1250" s="512"/>
      <c r="K1250" s="512"/>
      <c r="L1250" s="503"/>
      <c r="M1250" s="515" t="str">
        <f ca="1">IFERROR(IF(COUNTIF($B$937:$B1249,"&lt;0")&lt;&gt;1,OFFSET($C1248,-COUNTIF($B$937:$B1249,"&lt;0")+3,0),""),"")</f>
        <v/>
      </c>
      <c r="N1250" s="515">
        <f ca="1">IFERROR(IF(COUNTA($D$937:D1249)=1,0,OFFSET($F1248,-COUNTA($D$937:D1249)+3,0)),"")</f>
        <v>1</v>
      </c>
      <c r="O1250" s="497"/>
      <c r="P1250" s="497">
        <f t="shared" si="150"/>
        <v>311</v>
      </c>
      <c r="Q1250" s="497"/>
      <c r="R1250" s="497"/>
      <c r="S1250" s="497"/>
      <c r="T1250" s="503"/>
    </row>
    <row r="1251" spans="1:20" x14ac:dyDescent="0.35">
      <c r="A1251" s="497" t="b">
        <v>0</v>
      </c>
      <c r="B1251" s="497">
        <f t="shared" si="147"/>
        <v>-48</v>
      </c>
      <c r="C1251" s="518" t="s">
        <v>9863</v>
      </c>
      <c r="D1251" s="497" t="s">
        <v>7555</v>
      </c>
      <c r="E1251" s="497">
        <f t="shared" si="148"/>
        <v>6</v>
      </c>
      <c r="F1251" s="516">
        <v>52</v>
      </c>
      <c r="G1251" s="503"/>
      <c r="H1251" s="497">
        <f t="shared" ca="1" si="149"/>
        <v>111</v>
      </c>
      <c r="I1251" s="500"/>
      <c r="J1251" s="512"/>
      <c r="K1251" s="512"/>
      <c r="L1251" s="503"/>
      <c r="M1251" s="515" t="str">
        <f ca="1">IFERROR(IF(COUNTIF($B$937:$B1250,"&lt;0")&lt;&gt;1,OFFSET($C1249,-COUNTIF($B$937:$B1250,"&lt;0")+3,0),""),"")</f>
        <v/>
      </c>
      <c r="N1251" s="515">
        <f ca="1">IFERROR(IF(COUNTA($D$937:D1250)=1,0,OFFSET($F1249,-COUNTA($D$937:D1250)+3,0)),"")</f>
        <v>1</v>
      </c>
      <c r="O1251" s="497"/>
      <c r="P1251" s="497">
        <f t="shared" si="150"/>
        <v>312</v>
      </c>
      <c r="Q1251" s="497"/>
      <c r="R1251" s="497"/>
      <c r="S1251" s="497"/>
      <c r="T1251" s="503"/>
    </row>
    <row r="1252" spans="1:20" x14ac:dyDescent="0.35">
      <c r="A1252" s="497" t="b">
        <v>0</v>
      </c>
      <c r="B1252" s="497">
        <f t="shared" si="147"/>
        <v>-47</v>
      </c>
      <c r="C1252" s="518" t="s">
        <v>9864</v>
      </c>
      <c r="D1252" s="497" t="s">
        <v>6365</v>
      </c>
      <c r="E1252" s="497">
        <f t="shared" si="148"/>
        <v>1</v>
      </c>
      <c r="F1252" s="516">
        <v>53</v>
      </c>
      <c r="G1252" s="503"/>
      <c r="H1252" s="497">
        <f t="shared" ca="1" si="149"/>
        <v>113</v>
      </c>
      <c r="I1252" s="500"/>
      <c r="J1252" s="512"/>
      <c r="K1252" s="512"/>
      <c r="L1252" s="503"/>
      <c r="M1252" s="515" t="str">
        <f ca="1">IFERROR(IF(COUNTIF($B$937:$B1251,"&lt;0")&lt;&gt;1,OFFSET($C1250,-COUNTIF($B$937:$B1251,"&lt;0")+3,0),""),"")</f>
        <v/>
      </c>
      <c r="N1252" s="515">
        <f ca="1">IFERROR(IF(COUNTA($D$937:D1251)=1,0,OFFSET($F1250,-COUNTA($D$937:D1251)+3,0)),"")</f>
        <v>1</v>
      </c>
      <c r="O1252" s="497"/>
      <c r="P1252" s="497">
        <f t="shared" si="150"/>
        <v>313</v>
      </c>
      <c r="Q1252" s="497"/>
      <c r="R1252" s="497"/>
      <c r="S1252" s="497"/>
      <c r="T1252" s="503"/>
    </row>
    <row r="1253" spans="1:20" x14ac:dyDescent="0.35">
      <c r="A1253" s="497" t="b">
        <v>0</v>
      </c>
      <c r="B1253" s="497">
        <f t="shared" si="147"/>
        <v>-46</v>
      </c>
      <c r="C1253" s="518" t="s">
        <v>9865</v>
      </c>
      <c r="D1253" s="497" t="s">
        <v>6365</v>
      </c>
      <c r="E1253" s="497">
        <f t="shared" si="148"/>
        <v>2</v>
      </c>
      <c r="F1253" s="516">
        <v>53</v>
      </c>
      <c r="G1253" s="503"/>
      <c r="H1253" s="497">
        <f t="shared" ca="1" si="149"/>
        <v>113</v>
      </c>
      <c r="I1253" s="500"/>
      <c r="J1253" s="512"/>
      <c r="K1253" s="512"/>
      <c r="L1253" s="503"/>
      <c r="M1253" s="515" t="str">
        <f ca="1">IFERROR(IF(COUNTIF($B$937:$B1252,"&lt;0")&lt;&gt;1,OFFSET($C1251,-COUNTIF($B$937:$B1252,"&lt;0")+3,0),""),"")</f>
        <v/>
      </c>
      <c r="N1253" s="515">
        <f ca="1">IFERROR(IF(COUNTA($D$937:D1252)=1,0,OFFSET($F1251,-COUNTA($D$937:D1252)+3,0)),"")</f>
        <v>1</v>
      </c>
      <c r="O1253" s="497"/>
      <c r="P1253" s="497">
        <f t="shared" si="150"/>
        <v>314</v>
      </c>
      <c r="Q1253" s="497"/>
      <c r="R1253" s="497"/>
      <c r="S1253" s="497"/>
      <c r="T1253" s="503"/>
    </row>
    <row r="1254" spans="1:20" x14ac:dyDescent="0.35">
      <c r="A1254" s="497" t="b">
        <v>0</v>
      </c>
      <c r="B1254" s="497">
        <f t="shared" si="147"/>
        <v>-45</v>
      </c>
      <c r="C1254" s="518" t="s">
        <v>9866</v>
      </c>
      <c r="D1254" s="497" t="s">
        <v>6365</v>
      </c>
      <c r="E1254" s="497">
        <f t="shared" si="148"/>
        <v>3</v>
      </c>
      <c r="F1254" s="516">
        <v>53</v>
      </c>
      <c r="G1254" s="503"/>
      <c r="H1254" s="497">
        <f t="shared" ca="1" si="149"/>
        <v>113</v>
      </c>
      <c r="I1254" s="500"/>
      <c r="J1254" s="512"/>
      <c r="K1254" s="512"/>
      <c r="L1254" s="503"/>
      <c r="M1254" s="515" t="str">
        <f ca="1">IFERROR(IF(COUNTIF($B$937:$B1253,"&lt;0")&lt;&gt;1,OFFSET($C1252,-COUNTIF($B$937:$B1253,"&lt;0")+3,0),""),"")</f>
        <v/>
      </c>
      <c r="N1254" s="515">
        <f ca="1">IFERROR(IF(COUNTA($D$937:D1253)=1,0,OFFSET($F1252,-COUNTA($D$937:D1253)+3,0)),"")</f>
        <v>1</v>
      </c>
      <c r="O1254" s="497"/>
      <c r="P1254" s="497">
        <f t="shared" si="150"/>
        <v>315</v>
      </c>
      <c r="Q1254" s="497"/>
      <c r="R1254" s="497"/>
      <c r="S1254" s="497"/>
      <c r="T1254" s="503"/>
    </row>
    <row r="1255" spans="1:20" x14ac:dyDescent="0.35">
      <c r="A1255" s="497" t="b">
        <v>0</v>
      </c>
      <c r="B1255" s="497">
        <f t="shared" si="147"/>
        <v>-44</v>
      </c>
      <c r="C1255" s="518" t="s">
        <v>9867</v>
      </c>
      <c r="D1255" s="497" t="s">
        <v>6365</v>
      </c>
      <c r="E1255" s="497">
        <f t="shared" si="148"/>
        <v>4</v>
      </c>
      <c r="F1255" s="516">
        <v>53</v>
      </c>
      <c r="G1255" s="503"/>
      <c r="H1255" s="497">
        <f t="shared" ca="1" si="149"/>
        <v>113</v>
      </c>
      <c r="I1255" s="500"/>
      <c r="J1255" s="512"/>
      <c r="K1255" s="512"/>
      <c r="L1255" s="503"/>
      <c r="M1255" s="515" t="str">
        <f ca="1">IFERROR(IF(COUNTIF($B$937:$B1254,"&lt;0")&lt;&gt;1,OFFSET($C1253,-COUNTIF($B$937:$B1254,"&lt;0")+3,0),""),"")</f>
        <v/>
      </c>
      <c r="N1255" s="515">
        <f ca="1">IFERROR(IF(COUNTA($D$937:D1254)=1,0,OFFSET($F1253,-COUNTA($D$937:D1254)+3,0)),"")</f>
        <v>1</v>
      </c>
      <c r="O1255" s="497"/>
      <c r="P1255" s="497">
        <f t="shared" si="150"/>
        <v>316</v>
      </c>
      <c r="Q1255" s="497"/>
      <c r="R1255" s="497"/>
      <c r="S1255" s="497"/>
      <c r="T1255" s="503"/>
    </row>
    <row r="1256" spans="1:20" x14ac:dyDescent="0.35">
      <c r="A1256" s="497" t="b">
        <v>0</v>
      </c>
      <c r="B1256" s="497">
        <f t="shared" si="147"/>
        <v>-43</v>
      </c>
      <c r="C1256" s="518" t="s">
        <v>9868</v>
      </c>
      <c r="D1256" s="497" t="s">
        <v>6365</v>
      </c>
      <c r="E1256" s="497">
        <f t="shared" si="148"/>
        <v>5</v>
      </c>
      <c r="F1256" s="516">
        <v>53</v>
      </c>
      <c r="G1256" s="503"/>
      <c r="H1256" s="497">
        <f t="shared" ca="1" si="149"/>
        <v>113</v>
      </c>
      <c r="I1256" s="500"/>
      <c r="J1256" s="512"/>
      <c r="K1256" s="512"/>
      <c r="L1256" s="503"/>
      <c r="M1256" s="515" t="str">
        <f ca="1">IFERROR(IF(COUNTIF($B$937:$B1255,"&lt;0")&lt;&gt;1,OFFSET($C1254,-COUNTIF($B$937:$B1255,"&lt;0")+3,0),""),"")</f>
        <v/>
      </c>
      <c r="N1256" s="515">
        <f ca="1">IFERROR(IF(COUNTA($D$937:D1255)=1,0,OFFSET($F1254,-COUNTA($D$937:D1255)+3,0)),"")</f>
        <v>1</v>
      </c>
      <c r="O1256" s="497"/>
      <c r="P1256" s="497">
        <f t="shared" si="150"/>
        <v>317</v>
      </c>
      <c r="Q1256" s="497"/>
      <c r="R1256" s="497"/>
      <c r="S1256" s="497"/>
      <c r="T1256" s="503"/>
    </row>
    <row r="1257" spans="1:20" x14ac:dyDescent="0.35">
      <c r="A1257" s="497" t="b">
        <v>0</v>
      </c>
      <c r="B1257" s="497">
        <f t="shared" si="147"/>
        <v>-42</v>
      </c>
      <c r="C1257" s="518" t="s">
        <v>9869</v>
      </c>
      <c r="D1257" s="497" t="s">
        <v>6365</v>
      </c>
      <c r="E1257" s="497">
        <f t="shared" si="148"/>
        <v>6</v>
      </c>
      <c r="F1257" s="516">
        <v>53</v>
      </c>
      <c r="G1257" s="503"/>
      <c r="H1257" s="497">
        <f t="shared" ca="1" si="149"/>
        <v>113</v>
      </c>
      <c r="I1257" s="500"/>
      <c r="J1257" s="512"/>
      <c r="K1257" s="512"/>
      <c r="L1257" s="503"/>
      <c r="M1257" s="515" t="str">
        <f ca="1">IFERROR(IF(COUNTIF($B$937:$B1256,"&lt;0")&lt;&gt;1,OFFSET($C1255,-COUNTIF($B$937:$B1256,"&lt;0")+3,0),""),"")</f>
        <v/>
      </c>
      <c r="N1257" s="515">
        <f ca="1">IFERROR(IF(COUNTA($D$937:D1256)=1,0,OFFSET($F1255,-COUNTA($D$937:D1256)+3,0)),"")</f>
        <v>1</v>
      </c>
      <c r="O1257" s="497"/>
      <c r="P1257" s="497">
        <f t="shared" si="150"/>
        <v>318</v>
      </c>
      <c r="Q1257" s="497"/>
      <c r="R1257" s="497"/>
      <c r="S1257" s="497"/>
      <c r="T1257" s="503"/>
    </row>
    <row r="1258" spans="1:20" x14ac:dyDescent="0.35">
      <c r="A1258" s="497" t="b">
        <v>0</v>
      </c>
      <c r="B1258" s="497">
        <f t="shared" si="147"/>
        <v>-41</v>
      </c>
      <c r="C1258" s="518" t="s">
        <v>9870</v>
      </c>
      <c r="D1258" s="497" t="s">
        <v>7596</v>
      </c>
      <c r="E1258" s="497">
        <f t="shared" si="148"/>
        <v>1</v>
      </c>
      <c r="F1258" s="516">
        <v>54</v>
      </c>
      <c r="G1258" s="503"/>
      <c r="H1258" s="497">
        <f t="shared" ca="1" si="149"/>
        <v>115</v>
      </c>
      <c r="I1258" s="500"/>
      <c r="J1258" s="512"/>
      <c r="K1258" s="512"/>
      <c r="L1258" s="503"/>
      <c r="M1258" s="515" t="str">
        <f ca="1">IFERROR(IF(COUNTIF($B$937:$B1257,"&lt;0")&lt;&gt;1,OFFSET($C1256,-COUNTIF($B$937:$B1257,"&lt;0")+3,0),""),"")</f>
        <v/>
      </c>
      <c r="N1258" s="515">
        <f ca="1">IFERROR(IF(COUNTA($D$937:D1257)=1,0,OFFSET($F1256,-COUNTA($D$937:D1257)+3,0)),"")</f>
        <v>1</v>
      </c>
      <c r="O1258" s="497"/>
      <c r="P1258" s="497">
        <f t="shared" si="150"/>
        <v>319</v>
      </c>
      <c r="Q1258" s="497"/>
      <c r="R1258" s="497"/>
      <c r="S1258" s="497"/>
      <c r="T1258" s="503"/>
    </row>
    <row r="1259" spans="1:20" x14ac:dyDescent="0.35">
      <c r="A1259" s="497" t="b">
        <v>0</v>
      </c>
      <c r="B1259" s="497">
        <f t="shared" si="147"/>
        <v>-40</v>
      </c>
      <c r="C1259" s="518" t="s">
        <v>9871</v>
      </c>
      <c r="D1259" s="497" t="s">
        <v>7596</v>
      </c>
      <c r="E1259" s="497">
        <f t="shared" si="148"/>
        <v>2</v>
      </c>
      <c r="F1259" s="516">
        <v>54</v>
      </c>
      <c r="G1259" s="503"/>
      <c r="H1259" s="497">
        <f t="shared" ca="1" si="149"/>
        <v>115</v>
      </c>
      <c r="I1259" s="500"/>
      <c r="J1259" s="512"/>
      <c r="K1259" s="512"/>
      <c r="L1259" s="503"/>
      <c r="M1259" s="515" t="str">
        <f ca="1">IFERROR(IF(COUNTIF($B$937:$B1258,"&lt;0")&lt;&gt;1,OFFSET($C1257,-COUNTIF($B$937:$B1258,"&lt;0")+3,0),""),"")</f>
        <v/>
      </c>
      <c r="N1259" s="515">
        <f ca="1">IFERROR(IF(COUNTA($D$937:D1258)=1,0,OFFSET($F1257,-COUNTA($D$937:D1258)+3,0)),"")</f>
        <v>1</v>
      </c>
      <c r="O1259" s="497"/>
      <c r="P1259" s="497">
        <f t="shared" si="150"/>
        <v>320</v>
      </c>
      <c r="Q1259" s="497"/>
      <c r="R1259" s="497"/>
      <c r="S1259" s="497"/>
      <c r="T1259" s="503"/>
    </row>
    <row r="1260" spans="1:20" x14ac:dyDescent="0.35">
      <c r="A1260" s="497" t="b">
        <v>0</v>
      </c>
      <c r="B1260" s="497">
        <f t="shared" ref="B1260:B1323" si="151">B1259+1</f>
        <v>-39</v>
      </c>
      <c r="C1260" s="518" t="s">
        <v>9872</v>
      </c>
      <c r="D1260" s="497" t="s">
        <v>7596</v>
      </c>
      <c r="E1260" s="497">
        <f t="shared" ref="E1260:E1323" si="152">COUNTIF(F1163:F1260,F1260)</f>
        <v>3</v>
      </c>
      <c r="F1260" s="516">
        <v>54</v>
      </c>
      <c r="G1260" s="503"/>
      <c r="H1260" s="497">
        <f t="shared" ref="H1260:H1323" ca="1" si="153">IF(F1260=1,9,IF(E1259=MAX(E1258:E1260),H1258+2,H1259))</f>
        <v>115</v>
      </c>
      <c r="I1260" s="500"/>
      <c r="J1260" s="512"/>
      <c r="K1260" s="512"/>
      <c r="L1260" s="503"/>
      <c r="M1260" s="515" t="str">
        <f ca="1">IFERROR(IF(COUNTIF($B$937:$B1259,"&lt;0")&lt;&gt;1,OFFSET($C1258,-COUNTIF($B$937:$B1259,"&lt;0")+3,0),""),"")</f>
        <v/>
      </c>
      <c r="N1260" s="515">
        <f ca="1">IFERROR(IF(COUNTA($D$937:D1259)=1,0,OFFSET($F1258,-COUNTA($D$937:D1259)+3,0)),"")</f>
        <v>1</v>
      </c>
      <c r="O1260" s="497"/>
      <c r="P1260" s="497">
        <f t="shared" ref="P1260:P1323" si="154">IF(NOT(_xlfn.ISFORMULA(I1260)),P1259+1,0)</f>
        <v>321</v>
      </c>
      <c r="Q1260" s="497"/>
      <c r="R1260" s="497"/>
      <c r="S1260" s="497"/>
      <c r="T1260" s="503"/>
    </row>
    <row r="1261" spans="1:20" x14ac:dyDescent="0.35">
      <c r="A1261" s="497" t="b">
        <v>0</v>
      </c>
      <c r="B1261" s="497">
        <f t="shared" si="151"/>
        <v>-38</v>
      </c>
      <c r="C1261" s="518" t="s">
        <v>9873</v>
      </c>
      <c r="D1261" s="497" t="s">
        <v>7596</v>
      </c>
      <c r="E1261" s="497">
        <f t="shared" si="152"/>
        <v>4</v>
      </c>
      <c r="F1261" s="516">
        <v>54</v>
      </c>
      <c r="G1261" s="503"/>
      <c r="H1261" s="497">
        <f t="shared" ca="1" si="153"/>
        <v>115</v>
      </c>
      <c r="I1261" s="500"/>
      <c r="J1261" s="512"/>
      <c r="K1261" s="512"/>
      <c r="L1261" s="503"/>
      <c r="M1261" s="515" t="str">
        <f ca="1">IFERROR(IF(COUNTIF($B$937:$B1260,"&lt;0")&lt;&gt;1,OFFSET($C1259,-COUNTIF($B$937:$B1260,"&lt;0")+3,0),""),"")</f>
        <v/>
      </c>
      <c r="N1261" s="515">
        <f ca="1">IFERROR(IF(COUNTA($D$937:D1260)=1,0,OFFSET($F1259,-COUNTA($D$937:D1260)+3,0)),"")</f>
        <v>1</v>
      </c>
      <c r="O1261" s="497"/>
      <c r="P1261" s="497">
        <f t="shared" si="154"/>
        <v>322</v>
      </c>
      <c r="Q1261" s="497"/>
      <c r="R1261" s="497"/>
      <c r="S1261" s="497"/>
      <c r="T1261" s="503"/>
    </row>
    <row r="1262" spans="1:20" x14ac:dyDescent="0.35">
      <c r="A1262" s="497" t="b">
        <v>0</v>
      </c>
      <c r="B1262" s="497">
        <f t="shared" si="151"/>
        <v>-37</v>
      </c>
      <c r="C1262" s="518" t="s">
        <v>9874</v>
      </c>
      <c r="D1262" s="497" t="s">
        <v>7596</v>
      </c>
      <c r="E1262" s="497">
        <f t="shared" si="152"/>
        <v>5</v>
      </c>
      <c r="F1262" s="516">
        <v>54</v>
      </c>
      <c r="G1262" s="503"/>
      <c r="H1262" s="497">
        <f t="shared" ca="1" si="153"/>
        <v>115</v>
      </c>
      <c r="I1262" s="500"/>
      <c r="J1262" s="512"/>
      <c r="K1262" s="512"/>
      <c r="L1262" s="503"/>
      <c r="M1262" s="515" t="str">
        <f ca="1">IFERROR(IF(COUNTIF($B$937:$B1261,"&lt;0")&lt;&gt;1,OFFSET($C1260,-COUNTIF($B$937:$B1261,"&lt;0")+3,0),""),"")</f>
        <v/>
      </c>
      <c r="N1262" s="515">
        <f ca="1">IFERROR(IF(COUNTA($D$937:D1261)=1,0,OFFSET($F1260,-COUNTA($D$937:D1261)+3,0)),"")</f>
        <v>1</v>
      </c>
      <c r="O1262" s="497"/>
      <c r="P1262" s="497">
        <f t="shared" si="154"/>
        <v>323</v>
      </c>
      <c r="Q1262" s="497"/>
      <c r="R1262" s="497"/>
      <c r="S1262" s="497"/>
      <c r="T1262" s="503"/>
    </row>
    <row r="1263" spans="1:20" x14ac:dyDescent="0.35">
      <c r="A1263" s="497" t="b">
        <v>0</v>
      </c>
      <c r="B1263" s="497">
        <f t="shared" si="151"/>
        <v>-36</v>
      </c>
      <c r="C1263" s="518" t="s">
        <v>9875</v>
      </c>
      <c r="D1263" s="497" t="s">
        <v>7596</v>
      </c>
      <c r="E1263" s="497">
        <f t="shared" si="152"/>
        <v>6</v>
      </c>
      <c r="F1263" s="516">
        <v>54</v>
      </c>
      <c r="G1263" s="503"/>
      <c r="H1263" s="497">
        <f t="shared" ca="1" si="153"/>
        <v>115</v>
      </c>
      <c r="I1263" s="500"/>
      <c r="J1263" s="512"/>
      <c r="K1263" s="512"/>
      <c r="L1263" s="503"/>
      <c r="M1263" s="515" t="str">
        <f ca="1">IFERROR(IF(COUNTIF($B$937:$B1262,"&lt;0")&lt;&gt;1,OFFSET($C1261,-COUNTIF($B$937:$B1262,"&lt;0")+3,0),""),"")</f>
        <v/>
      </c>
      <c r="N1263" s="515">
        <f ca="1">IFERROR(IF(COUNTA($D$937:D1262)=1,0,OFFSET($F1261,-COUNTA($D$937:D1262)+3,0)),"")</f>
        <v>1</v>
      </c>
      <c r="O1263" s="497"/>
      <c r="P1263" s="497">
        <f t="shared" si="154"/>
        <v>324</v>
      </c>
      <c r="Q1263" s="497"/>
      <c r="R1263" s="497"/>
      <c r="S1263" s="497"/>
      <c r="T1263" s="503"/>
    </row>
    <row r="1264" spans="1:20" x14ac:dyDescent="0.35">
      <c r="A1264" s="497" t="b">
        <v>0</v>
      </c>
      <c r="B1264" s="497">
        <f t="shared" si="151"/>
        <v>-35</v>
      </c>
      <c r="C1264" s="518" t="s">
        <v>9876</v>
      </c>
      <c r="D1264" s="497" t="s">
        <v>6406</v>
      </c>
      <c r="E1264" s="497">
        <f t="shared" si="152"/>
        <v>1</v>
      </c>
      <c r="F1264" s="516">
        <v>55</v>
      </c>
      <c r="G1264" s="503"/>
      <c r="H1264" s="497">
        <f t="shared" ca="1" si="153"/>
        <v>117</v>
      </c>
      <c r="I1264" s="500"/>
      <c r="J1264" s="512"/>
      <c r="K1264" s="512"/>
      <c r="L1264" s="503"/>
      <c r="M1264" s="515" t="str">
        <f ca="1">IFERROR(IF(COUNTIF($B$937:$B1263,"&lt;0")&lt;&gt;1,OFFSET($C1262,-COUNTIF($B$937:$B1263,"&lt;0")+3,0),""),"")</f>
        <v/>
      </c>
      <c r="N1264" s="515">
        <f ca="1">IFERROR(IF(COUNTA($D$937:D1263)=1,0,OFFSET($F1262,-COUNTA($D$937:D1263)+3,0)),"")</f>
        <v>1</v>
      </c>
      <c r="O1264" s="497"/>
      <c r="P1264" s="497">
        <f t="shared" si="154"/>
        <v>325</v>
      </c>
      <c r="Q1264" s="497"/>
      <c r="R1264" s="497"/>
      <c r="S1264" s="497"/>
      <c r="T1264" s="503"/>
    </row>
    <row r="1265" spans="1:20" x14ac:dyDescent="0.35">
      <c r="A1265" s="497" t="b">
        <v>0</v>
      </c>
      <c r="B1265" s="497">
        <f t="shared" si="151"/>
        <v>-34</v>
      </c>
      <c r="C1265" s="518" t="s">
        <v>9877</v>
      </c>
      <c r="D1265" s="497" t="s">
        <v>6406</v>
      </c>
      <c r="E1265" s="497">
        <f t="shared" si="152"/>
        <v>2</v>
      </c>
      <c r="F1265" s="516">
        <v>55</v>
      </c>
      <c r="G1265" s="503"/>
      <c r="H1265" s="497">
        <f t="shared" ca="1" si="153"/>
        <v>117</v>
      </c>
      <c r="I1265" s="500"/>
      <c r="J1265" s="512"/>
      <c r="K1265" s="512"/>
      <c r="L1265" s="503"/>
      <c r="M1265" s="515" t="str">
        <f ca="1">IFERROR(IF(COUNTIF($B$937:$B1264,"&lt;0")&lt;&gt;1,OFFSET($C1263,-COUNTIF($B$937:$B1264,"&lt;0")+3,0),""),"")</f>
        <v/>
      </c>
      <c r="N1265" s="515">
        <f ca="1">IFERROR(IF(COUNTA($D$937:D1264)=1,0,OFFSET($F1263,-COUNTA($D$937:D1264)+3,0)),"")</f>
        <v>1</v>
      </c>
      <c r="O1265" s="497"/>
      <c r="P1265" s="497">
        <f t="shared" si="154"/>
        <v>326</v>
      </c>
      <c r="Q1265" s="497"/>
      <c r="R1265" s="497"/>
      <c r="S1265" s="497"/>
      <c r="T1265" s="503"/>
    </row>
    <row r="1266" spans="1:20" x14ac:dyDescent="0.35">
      <c r="A1266" s="497" t="b">
        <v>0</v>
      </c>
      <c r="B1266" s="497">
        <f t="shared" si="151"/>
        <v>-33</v>
      </c>
      <c r="C1266" s="518" t="s">
        <v>9878</v>
      </c>
      <c r="D1266" s="497" t="s">
        <v>6406</v>
      </c>
      <c r="E1266" s="497">
        <f t="shared" si="152"/>
        <v>3</v>
      </c>
      <c r="F1266" s="516">
        <v>55</v>
      </c>
      <c r="G1266" s="503"/>
      <c r="H1266" s="497">
        <f t="shared" ca="1" si="153"/>
        <v>117</v>
      </c>
      <c r="I1266" s="500"/>
      <c r="J1266" s="512"/>
      <c r="K1266" s="512"/>
      <c r="L1266" s="503"/>
      <c r="M1266" s="515" t="str">
        <f ca="1">IFERROR(IF(COUNTIF($B$937:$B1265,"&lt;0")&lt;&gt;1,OFFSET($C1264,-COUNTIF($B$937:$B1265,"&lt;0")+3,0),""),"")</f>
        <v/>
      </c>
      <c r="N1266" s="515">
        <f ca="1">IFERROR(IF(COUNTA($D$937:D1265)=1,0,OFFSET($F1264,-COUNTA($D$937:D1265)+3,0)),"")</f>
        <v>1</v>
      </c>
      <c r="O1266" s="497"/>
      <c r="P1266" s="497">
        <f t="shared" si="154"/>
        <v>327</v>
      </c>
      <c r="Q1266" s="497"/>
      <c r="R1266" s="497"/>
      <c r="S1266" s="497"/>
      <c r="T1266" s="503"/>
    </row>
    <row r="1267" spans="1:20" x14ac:dyDescent="0.35">
      <c r="A1267" s="497" t="b">
        <v>0</v>
      </c>
      <c r="B1267" s="497">
        <f t="shared" si="151"/>
        <v>-32</v>
      </c>
      <c r="C1267" s="518" t="s">
        <v>9879</v>
      </c>
      <c r="D1267" s="497" t="s">
        <v>6406</v>
      </c>
      <c r="E1267" s="497">
        <f t="shared" si="152"/>
        <v>4</v>
      </c>
      <c r="F1267" s="516">
        <v>55</v>
      </c>
      <c r="G1267" s="503"/>
      <c r="H1267" s="497">
        <f t="shared" ca="1" si="153"/>
        <v>117</v>
      </c>
      <c r="I1267" s="500"/>
      <c r="J1267" s="512"/>
      <c r="K1267" s="512"/>
      <c r="L1267" s="503"/>
      <c r="M1267" s="515" t="str">
        <f ca="1">IFERROR(IF(COUNTIF($B$937:$B1266,"&lt;0")&lt;&gt;1,OFFSET($C1265,-COUNTIF($B$937:$B1266,"&lt;0")+3,0),""),"")</f>
        <v/>
      </c>
      <c r="N1267" s="515">
        <f ca="1">IFERROR(IF(COUNTA($D$937:D1266)=1,0,OFFSET($F1265,-COUNTA($D$937:D1266)+3,0)),"")</f>
        <v>1</v>
      </c>
      <c r="O1267" s="497"/>
      <c r="P1267" s="497">
        <f t="shared" si="154"/>
        <v>328</v>
      </c>
      <c r="Q1267" s="497"/>
      <c r="R1267" s="497"/>
      <c r="S1267" s="497"/>
      <c r="T1267" s="503"/>
    </row>
    <row r="1268" spans="1:20" x14ac:dyDescent="0.35">
      <c r="A1268" s="497" t="b">
        <v>0</v>
      </c>
      <c r="B1268" s="497">
        <f t="shared" si="151"/>
        <v>-31</v>
      </c>
      <c r="C1268" s="518" t="s">
        <v>9880</v>
      </c>
      <c r="D1268" s="497" t="s">
        <v>6406</v>
      </c>
      <c r="E1268" s="497">
        <f t="shared" si="152"/>
        <v>5</v>
      </c>
      <c r="F1268" s="516">
        <v>55</v>
      </c>
      <c r="G1268" s="503"/>
      <c r="H1268" s="497">
        <f t="shared" ca="1" si="153"/>
        <v>117</v>
      </c>
      <c r="I1268" s="500"/>
      <c r="J1268" s="512"/>
      <c r="K1268" s="512"/>
      <c r="L1268" s="503"/>
      <c r="M1268" s="515" t="str">
        <f ca="1">IFERROR(IF(COUNTIF($B$937:$B1267,"&lt;0")&lt;&gt;1,OFFSET($C1266,-COUNTIF($B$937:$B1267,"&lt;0")+3,0),""),"")</f>
        <v/>
      </c>
      <c r="N1268" s="515">
        <f ca="1">IFERROR(IF(COUNTA($D$937:D1267)=1,0,OFFSET($F1266,-COUNTA($D$937:D1267)+3,0)),"")</f>
        <v>1</v>
      </c>
      <c r="O1268" s="497"/>
      <c r="P1268" s="497">
        <f t="shared" si="154"/>
        <v>329</v>
      </c>
      <c r="Q1268" s="497"/>
      <c r="R1268" s="497"/>
      <c r="S1268" s="497"/>
      <c r="T1268" s="503"/>
    </row>
    <row r="1269" spans="1:20" x14ac:dyDescent="0.35">
      <c r="A1269" s="497" t="b">
        <v>0</v>
      </c>
      <c r="B1269" s="497">
        <f t="shared" si="151"/>
        <v>-30</v>
      </c>
      <c r="C1269" s="518" t="s">
        <v>9881</v>
      </c>
      <c r="D1269" s="497" t="s">
        <v>6406</v>
      </c>
      <c r="E1269" s="497">
        <f t="shared" si="152"/>
        <v>6</v>
      </c>
      <c r="F1269" s="516">
        <v>55</v>
      </c>
      <c r="G1269" s="503"/>
      <c r="H1269" s="497">
        <f t="shared" ca="1" si="153"/>
        <v>117</v>
      </c>
      <c r="I1269" s="500"/>
      <c r="J1269" s="512"/>
      <c r="K1269" s="512"/>
      <c r="L1269" s="503"/>
      <c r="M1269" s="515" t="str">
        <f ca="1">IFERROR(IF(COUNTIF($B$937:$B1268,"&lt;0")&lt;&gt;1,OFFSET($C1267,-COUNTIF($B$937:$B1268,"&lt;0")+3,0),""),"")</f>
        <v/>
      </c>
      <c r="N1269" s="515">
        <f ca="1">IFERROR(IF(COUNTA($D$937:D1268)=1,0,OFFSET($F1267,-COUNTA($D$937:D1268)+3,0)),"")</f>
        <v>1</v>
      </c>
      <c r="O1269" s="497"/>
      <c r="P1269" s="497">
        <f t="shared" si="154"/>
        <v>330</v>
      </c>
      <c r="Q1269" s="497"/>
      <c r="R1269" s="497"/>
      <c r="S1269" s="497"/>
      <c r="T1269" s="503"/>
    </row>
    <row r="1270" spans="1:20" x14ac:dyDescent="0.35">
      <c r="A1270" s="497" t="b">
        <v>0</v>
      </c>
      <c r="B1270" s="497">
        <f t="shared" si="151"/>
        <v>-29</v>
      </c>
      <c r="C1270" s="518" t="s">
        <v>9882</v>
      </c>
      <c r="D1270" s="497" t="s">
        <v>7678</v>
      </c>
      <c r="E1270" s="497">
        <f t="shared" si="152"/>
        <v>1</v>
      </c>
      <c r="F1270" s="516">
        <v>56</v>
      </c>
      <c r="G1270" s="503"/>
      <c r="H1270" s="497">
        <f t="shared" ca="1" si="153"/>
        <v>119</v>
      </c>
      <c r="I1270" s="500"/>
      <c r="J1270" s="512"/>
      <c r="K1270" s="512"/>
      <c r="L1270" s="503"/>
      <c r="M1270" s="515" t="str">
        <f ca="1">IFERROR(IF(COUNTIF($B$937:$B1269,"&lt;0")&lt;&gt;1,OFFSET($C1268,-COUNTIF($B$937:$B1269,"&lt;0")+3,0),""),"")</f>
        <v/>
      </c>
      <c r="N1270" s="515">
        <f ca="1">IFERROR(IF(COUNTA($D$937:D1269)=1,0,OFFSET($F1268,-COUNTA($D$937:D1269)+3,0)),"")</f>
        <v>1</v>
      </c>
      <c r="O1270" s="497"/>
      <c r="P1270" s="497">
        <f t="shared" si="154"/>
        <v>331</v>
      </c>
      <c r="Q1270" s="497"/>
      <c r="R1270" s="497"/>
      <c r="S1270" s="497"/>
      <c r="T1270" s="503"/>
    </row>
    <row r="1271" spans="1:20" x14ac:dyDescent="0.35">
      <c r="A1271" s="497" t="b">
        <v>0</v>
      </c>
      <c r="B1271" s="497">
        <f t="shared" si="151"/>
        <v>-28</v>
      </c>
      <c r="C1271" s="518" t="s">
        <v>9883</v>
      </c>
      <c r="D1271" s="497" t="s">
        <v>7678</v>
      </c>
      <c r="E1271" s="497">
        <f t="shared" si="152"/>
        <v>2</v>
      </c>
      <c r="F1271" s="516">
        <v>56</v>
      </c>
      <c r="G1271" s="503"/>
      <c r="H1271" s="497">
        <f t="shared" ca="1" si="153"/>
        <v>119</v>
      </c>
      <c r="I1271" s="500"/>
      <c r="J1271" s="512"/>
      <c r="K1271" s="512"/>
      <c r="L1271" s="503"/>
      <c r="M1271" s="515" t="str">
        <f ca="1">IFERROR(IF(COUNTIF($B$937:$B1270,"&lt;0")&lt;&gt;1,OFFSET($C1269,-COUNTIF($B$937:$B1270,"&lt;0")+3,0),""),"")</f>
        <v/>
      </c>
      <c r="N1271" s="515">
        <f ca="1">IFERROR(IF(COUNTA($D$937:D1270)=1,0,OFFSET($F1269,-COUNTA($D$937:D1270)+3,0)),"")</f>
        <v>1</v>
      </c>
      <c r="O1271" s="497"/>
      <c r="P1271" s="497">
        <f t="shared" si="154"/>
        <v>332</v>
      </c>
      <c r="Q1271" s="497"/>
      <c r="R1271" s="497"/>
      <c r="S1271" s="497"/>
      <c r="T1271" s="503"/>
    </row>
    <row r="1272" spans="1:20" x14ac:dyDescent="0.35">
      <c r="A1272" s="497" t="b">
        <v>0</v>
      </c>
      <c r="B1272" s="497">
        <f t="shared" si="151"/>
        <v>-27</v>
      </c>
      <c r="C1272" s="518" t="s">
        <v>9884</v>
      </c>
      <c r="D1272" s="497" t="s">
        <v>7678</v>
      </c>
      <c r="E1272" s="497">
        <f t="shared" si="152"/>
        <v>3</v>
      </c>
      <c r="F1272" s="516">
        <v>56</v>
      </c>
      <c r="G1272" s="503"/>
      <c r="H1272" s="497">
        <f t="shared" ca="1" si="153"/>
        <v>119</v>
      </c>
      <c r="I1272" s="500"/>
      <c r="J1272" s="512"/>
      <c r="K1272" s="512"/>
      <c r="L1272" s="503"/>
      <c r="M1272" s="515" t="str">
        <f ca="1">IFERROR(IF(COUNTIF($B$937:$B1271,"&lt;0")&lt;&gt;1,OFFSET($C1270,-COUNTIF($B$937:$B1271,"&lt;0")+3,0),""),"")</f>
        <v/>
      </c>
      <c r="N1272" s="515">
        <f ca="1">IFERROR(IF(COUNTA($D$937:D1271)=1,0,OFFSET($F1270,-COUNTA($D$937:D1271)+3,0)),"")</f>
        <v>1</v>
      </c>
      <c r="O1272" s="497"/>
      <c r="P1272" s="497">
        <f t="shared" si="154"/>
        <v>333</v>
      </c>
      <c r="Q1272" s="497"/>
      <c r="R1272" s="497"/>
      <c r="S1272" s="497"/>
      <c r="T1272" s="503"/>
    </row>
    <row r="1273" spans="1:20" x14ac:dyDescent="0.35">
      <c r="A1273" s="497" t="b">
        <v>0</v>
      </c>
      <c r="B1273" s="497">
        <f t="shared" si="151"/>
        <v>-26</v>
      </c>
      <c r="C1273" s="518" t="s">
        <v>9885</v>
      </c>
      <c r="D1273" s="497" t="s">
        <v>7678</v>
      </c>
      <c r="E1273" s="497">
        <f t="shared" si="152"/>
        <v>4</v>
      </c>
      <c r="F1273" s="516">
        <v>56</v>
      </c>
      <c r="G1273" s="503"/>
      <c r="H1273" s="497">
        <f t="shared" ca="1" si="153"/>
        <v>119</v>
      </c>
      <c r="I1273" s="500"/>
      <c r="J1273" s="512"/>
      <c r="K1273" s="512"/>
      <c r="L1273" s="503"/>
      <c r="M1273" s="515" t="str">
        <f ca="1">IFERROR(IF(COUNTIF($B$937:$B1272,"&lt;0")&lt;&gt;1,OFFSET($C1271,-COUNTIF($B$937:$B1272,"&lt;0")+3,0),""),"")</f>
        <v/>
      </c>
      <c r="N1273" s="515">
        <f ca="1">IFERROR(IF(COUNTA($D$937:D1272)=1,0,OFFSET($F1271,-COUNTA($D$937:D1272)+3,0)),"")</f>
        <v>1</v>
      </c>
      <c r="O1273" s="497"/>
      <c r="P1273" s="497">
        <f t="shared" si="154"/>
        <v>334</v>
      </c>
      <c r="Q1273" s="497"/>
      <c r="R1273" s="497"/>
      <c r="S1273" s="497"/>
      <c r="T1273" s="503"/>
    </row>
    <row r="1274" spans="1:20" x14ac:dyDescent="0.35">
      <c r="A1274" s="497" t="b">
        <v>0</v>
      </c>
      <c r="B1274" s="497">
        <f t="shared" si="151"/>
        <v>-25</v>
      </c>
      <c r="C1274" s="518" t="s">
        <v>9886</v>
      </c>
      <c r="D1274" s="497" t="s">
        <v>7678</v>
      </c>
      <c r="E1274" s="497">
        <f t="shared" si="152"/>
        <v>5</v>
      </c>
      <c r="F1274" s="516">
        <v>56</v>
      </c>
      <c r="G1274" s="503"/>
      <c r="H1274" s="497">
        <f t="shared" ca="1" si="153"/>
        <v>119</v>
      </c>
      <c r="I1274" s="500"/>
      <c r="J1274" s="512"/>
      <c r="K1274" s="512"/>
      <c r="L1274" s="503"/>
      <c r="M1274" s="515" t="str">
        <f ca="1">IFERROR(IF(COUNTIF($B$937:$B1273,"&lt;0")&lt;&gt;1,OFFSET($C1272,-COUNTIF($B$937:$B1273,"&lt;0")+3,0),""),"")</f>
        <v/>
      </c>
      <c r="N1274" s="515">
        <f ca="1">IFERROR(IF(COUNTA($D$937:D1273)=1,0,OFFSET($F1272,-COUNTA($D$937:D1273)+3,0)),"")</f>
        <v>1</v>
      </c>
      <c r="O1274" s="497"/>
      <c r="P1274" s="497">
        <f t="shared" si="154"/>
        <v>335</v>
      </c>
      <c r="Q1274" s="497"/>
      <c r="R1274" s="497"/>
      <c r="S1274" s="497"/>
      <c r="T1274" s="503"/>
    </row>
    <row r="1275" spans="1:20" x14ac:dyDescent="0.35">
      <c r="A1275" s="497" t="b">
        <v>0</v>
      </c>
      <c r="B1275" s="497">
        <f t="shared" si="151"/>
        <v>-24</v>
      </c>
      <c r="C1275" s="518" t="s">
        <v>9887</v>
      </c>
      <c r="D1275" s="497" t="s">
        <v>7678</v>
      </c>
      <c r="E1275" s="497">
        <f t="shared" si="152"/>
        <v>6</v>
      </c>
      <c r="F1275" s="516">
        <v>56</v>
      </c>
      <c r="G1275" s="503"/>
      <c r="H1275" s="497">
        <f t="shared" ca="1" si="153"/>
        <v>119</v>
      </c>
      <c r="I1275" s="500"/>
      <c r="J1275" s="512"/>
      <c r="K1275" s="512"/>
      <c r="L1275" s="503"/>
      <c r="M1275" s="515" t="str">
        <f ca="1">IFERROR(IF(COUNTIF($B$937:$B1274,"&lt;0")&lt;&gt;1,OFFSET($C1273,-COUNTIF($B$937:$B1274,"&lt;0")+3,0),""),"")</f>
        <v/>
      </c>
      <c r="N1275" s="515">
        <f ca="1">IFERROR(IF(COUNTA($D$937:D1274)=1,0,OFFSET($F1273,-COUNTA($D$937:D1274)+3,0)),"")</f>
        <v>1</v>
      </c>
      <c r="O1275" s="497"/>
      <c r="P1275" s="497">
        <f t="shared" si="154"/>
        <v>336</v>
      </c>
      <c r="Q1275" s="497"/>
      <c r="R1275" s="497"/>
      <c r="S1275" s="497"/>
      <c r="T1275" s="503"/>
    </row>
    <row r="1276" spans="1:20" x14ac:dyDescent="0.35">
      <c r="A1276" s="497" t="b">
        <v>0</v>
      </c>
      <c r="B1276" s="497">
        <f t="shared" si="151"/>
        <v>-23</v>
      </c>
      <c r="C1276" s="518" t="s">
        <v>9888</v>
      </c>
      <c r="D1276" s="497" t="s">
        <v>6447</v>
      </c>
      <c r="E1276" s="497">
        <f t="shared" si="152"/>
        <v>1</v>
      </c>
      <c r="F1276" s="516">
        <v>57</v>
      </c>
      <c r="G1276" s="503"/>
      <c r="H1276" s="497">
        <f t="shared" ca="1" si="153"/>
        <v>121</v>
      </c>
      <c r="I1276" s="500"/>
      <c r="J1276" s="512"/>
      <c r="K1276" s="512"/>
      <c r="L1276" s="503"/>
      <c r="M1276" s="515" t="str">
        <f ca="1">IFERROR(IF(COUNTIF($B$937:$B1275,"&lt;0")&lt;&gt;1,OFFSET($C1274,-COUNTIF($B$937:$B1275,"&lt;0")+3,0),""),"")</f>
        <v/>
      </c>
      <c r="N1276" s="515">
        <f ca="1">IFERROR(IF(COUNTA($D$937:D1275)=1,0,OFFSET($F1274,-COUNTA($D$937:D1275)+3,0)),"")</f>
        <v>1</v>
      </c>
      <c r="O1276" s="497"/>
      <c r="P1276" s="497">
        <f t="shared" si="154"/>
        <v>337</v>
      </c>
      <c r="Q1276" s="497"/>
      <c r="R1276" s="497"/>
      <c r="S1276" s="497"/>
      <c r="T1276" s="503"/>
    </row>
    <row r="1277" spans="1:20" x14ac:dyDescent="0.35">
      <c r="A1277" s="497" t="b">
        <v>0</v>
      </c>
      <c r="B1277" s="497">
        <f t="shared" si="151"/>
        <v>-22</v>
      </c>
      <c r="C1277" s="518" t="s">
        <v>9889</v>
      </c>
      <c r="D1277" s="497" t="s">
        <v>6447</v>
      </c>
      <c r="E1277" s="497">
        <f t="shared" si="152"/>
        <v>2</v>
      </c>
      <c r="F1277" s="516">
        <v>57</v>
      </c>
      <c r="G1277" s="503"/>
      <c r="H1277" s="497">
        <f t="shared" ca="1" si="153"/>
        <v>121</v>
      </c>
      <c r="I1277" s="500"/>
      <c r="J1277" s="512"/>
      <c r="K1277" s="512"/>
      <c r="L1277" s="503"/>
      <c r="M1277" s="515" t="str">
        <f ca="1">IFERROR(IF(COUNTIF($B$937:$B1276,"&lt;0")&lt;&gt;1,OFFSET($C1275,-COUNTIF($B$937:$B1276,"&lt;0")+3,0),""),"")</f>
        <v/>
      </c>
      <c r="N1277" s="515">
        <f ca="1">IFERROR(IF(COUNTA($D$937:D1276)=1,0,OFFSET($F1275,-COUNTA($D$937:D1276)+3,0)),"")</f>
        <v>1</v>
      </c>
      <c r="O1277" s="497"/>
      <c r="P1277" s="497">
        <f t="shared" si="154"/>
        <v>338</v>
      </c>
      <c r="Q1277" s="497"/>
      <c r="R1277" s="497"/>
      <c r="S1277" s="497"/>
      <c r="T1277" s="503"/>
    </row>
    <row r="1278" spans="1:20" x14ac:dyDescent="0.35">
      <c r="A1278" s="497" t="b">
        <v>0</v>
      </c>
      <c r="B1278" s="497">
        <f t="shared" si="151"/>
        <v>-21</v>
      </c>
      <c r="C1278" s="518" t="s">
        <v>9890</v>
      </c>
      <c r="D1278" s="497" t="s">
        <v>6447</v>
      </c>
      <c r="E1278" s="497">
        <f t="shared" si="152"/>
        <v>3</v>
      </c>
      <c r="F1278" s="516">
        <v>57</v>
      </c>
      <c r="G1278" s="503"/>
      <c r="H1278" s="497">
        <f t="shared" ca="1" si="153"/>
        <v>121</v>
      </c>
      <c r="I1278" s="500"/>
      <c r="J1278" s="512"/>
      <c r="K1278" s="512"/>
      <c r="L1278" s="503"/>
      <c r="M1278" s="515" t="str">
        <f ca="1">IFERROR(IF(COUNTIF($B$937:$B1277,"&lt;0")&lt;&gt;1,OFFSET($C1276,-COUNTIF($B$937:$B1277,"&lt;0")+3,0),""),"")</f>
        <v/>
      </c>
      <c r="N1278" s="515">
        <f ca="1">IFERROR(IF(COUNTA($D$937:D1277)=1,0,OFFSET($F1276,-COUNTA($D$937:D1277)+3,0)),"")</f>
        <v>1</v>
      </c>
      <c r="O1278" s="497"/>
      <c r="P1278" s="497">
        <f t="shared" si="154"/>
        <v>339</v>
      </c>
      <c r="Q1278" s="497"/>
      <c r="R1278" s="497"/>
      <c r="S1278" s="497"/>
      <c r="T1278" s="503"/>
    </row>
    <row r="1279" spans="1:20" x14ac:dyDescent="0.35">
      <c r="A1279" s="497" t="b">
        <v>0</v>
      </c>
      <c r="B1279" s="497">
        <f t="shared" si="151"/>
        <v>-20</v>
      </c>
      <c r="C1279" s="518" t="s">
        <v>9891</v>
      </c>
      <c r="D1279" s="497" t="s">
        <v>6447</v>
      </c>
      <c r="E1279" s="497">
        <f t="shared" si="152"/>
        <v>4</v>
      </c>
      <c r="F1279" s="516">
        <v>57</v>
      </c>
      <c r="G1279" s="503"/>
      <c r="H1279" s="497">
        <f t="shared" ca="1" si="153"/>
        <v>121</v>
      </c>
      <c r="I1279" s="500"/>
      <c r="J1279" s="512"/>
      <c r="K1279" s="512"/>
      <c r="L1279" s="503"/>
      <c r="M1279" s="515" t="str">
        <f ca="1">IFERROR(IF(COUNTIF($B$937:$B1278,"&lt;0")&lt;&gt;1,OFFSET($C1277,-COUNTIF($B$937:$B1278,"&lt;0")+3,0),""),"")</f>
        <v/>
      </c>
      <c r="N1279" s="515">
        <f ca="1">IFERROR(IF(COUNTA($D$937:D1278)=1,0,OFFSET($F1277,-COUNTA($D$937:D1278)+3,0)),"")</f>
        <v>1</v>
      </c>
      <c r="O1279" s="497"/>
      <c r="P1279" s="497">
        <f t="shared" si="154"/>
        <v>340</v>
      </c>
      <c r="Q1279" s="497"/>
      <c r="R1279" s="497"/>
      <c r="S1279" s="497"/>
      <c r="T1279" s="503"/>
    </row>
    <row r="1280" spans="1:20" x14ac:dyDescent="0.35">
      <c r="A1280" s="497" t="b">
        <v>0</v>
      </c>
      <c r="B1280" s="497">
        <f t="shared" si="151"/>
        <v>-19</v>
      </c>
      <c r="C1280" s="518" t="s">
        <v>9892</v>
      </c>
      <c r="D1280" s="497" t="s">
        <v>6447</v>
      </c>
      <c r="E1280" s="497">
        <f t="shared" si="152"/>
        <v>5</v>
      </c>
      <c r="F1280" s="516">
        <v>57</v>
      </c>
      <c r="G1280" s="503"/>
      <c r="H1280" s="497">
        <f t="shared" ca="1" si="153"/>
        <v>121</v>
      </c>
      <c r="I1280" s="500"/>
      <c r="J1280" s="512"/>
      <c r="K1280" s="512"/>
      <c r="L1280" s="503"/>
      <c r="M1280" s="515" t="str">
        <f ca="1">IFERROR(IF(COUNTIF($B$937:$B1279,"&lt;0")&lt;&gt;1,OFFSET($C1278,-COUNTIF($B$937:$B1279,"&lt;0")+3,0),""),"")</f>
        <v/>
      </c>
      <c r="N1280" s="515">
        <f ca="1">IFERROR(IF(COUNTA($D$937:D1279)=1,0,OFFSET($F1278,-COUNTA($D$937:D1279)+3,0)),"")</f>
        <v>1</v>
      </c>
      <c r="O1280" s="497"/>
      <c r="P1280" s="497">
        <f t="shared" si="154"/>
        <v>341</v>
      </c>
      <c r="Q1280" s="497"/>
      <c r="R1280" s="497"/>
      <c r="S1280" s="497"/>
      <c r="T1280" s="503"/>
    </row>
    <row r="1281" spans="1:20" x14ac:dyDescent="0.35">
      <c r="A1281" s="497" t="b">
        <v>0</v>
      </c>
      <c r="B1281" s="497">
        <f t="shared" si="151"/>
        <v>-18</v>
      </c>
      <c r="C1281" s="518" t="s">
        <v>9893</v>
      </c>
      <c r="D1281" s="497" t="s">
        <v>6447</v>
      </c>
      <c r="E1281" s="497">
        <f t="shared" si="152"/>
        <v>6</v>
      </c>
      <c r="F1281" s="516">
        <v>57</v>
      </c>
      <c r="G1281" s="503"/>
      <c r="H1281" s="497">
        <f t="shared" ca="1" si="153"/>
        <v>121</v>
      </c>
      <c r="I1281" s="500"/>
      <c r="J1281" s="512"/>
      <c r="K1281" s="512"/>
      <c r="L1281" s="503"/>
      <c r="M1281" s="515" t="str">
        <f ca="1">IFERROR(IF(COUNTIF($B$937:$B1280,"&lt;0")&lt;&gt;1,OFFSET($C1279,-COUNTIF($B$937:$B1280,"&lt;0")+3,0),""),"")</f>
        <v/>
      </c>
      <c r="N1281" s="515">
        <f ca="1">IFERROR(IF(COUNTA($D$937:D1280)=1,0,OFFSET($F1279,-COUNTA($D$937:D1280)+3,0)),"")</f>
        <v>1</v>
      </c>
      <c r="O1281" s="497"/>
      <c r="P1281" s="497">
        <f t="shared" si="154"/>
        <v>342</v>
      </c>
      <c r="Q1281" s="497"/>
      <c r="R1281" s="497"/>
      <c r="S1281" s="497"/>
      <c r="T1281" s="503"/>
    </row>
    <row r="1282" spans="1:20" x14ac:dyDescent="0.35">
      <c r="A1282" s="497" t="b">
        <v>0</v>
      </c>
      <c r="B1282" s="497">
        <f t="shared" si="151"/>
        <v>-17</v>
      </c>
      <c r="C1282" s="518" t="s">
        <v>9894</v>
      </c>
      <c r="D1282" s="497" t="s">
        <v>7719</v>
      </c>
      <c r="E1282" s="497">
        <f t="shared" si="152"/>
        <v>1</v>
      </c>
      <c r="F1282" s="516">
        <v>58</v>
      </c>
      <c r="G1282" s="503"/>
      <c r="H1282" s="497">
        <f t="shared" ca="1" si="153"/>
        <v>123</v>
      </c>
      <c r="I1282" s="500"/>
      <c r="J1282" s="512"/>
      <c r="K1282" s="512"/>
      <c r="L1282" s="503"/>
      <c r="M1282" s="515" t="str">
        <f ca="1">IFERROR(IF(COUNTIF($B$937:$B1281,"&lt;0")&lt;&gt;1,OFFSET($C1280,-COUNTIF($B$937:$B1281,"&lt;0")+3,0),""),"")</f>
        <v/>
      </c>
      <c r="N1282" s="515">
        <f ca="1">IFERROR(IF(COUNTA($D$937:D1281)=1,0,OFFSET($F1280,-COUNTA($D$937:D1281)+3,0)),"")</f>
        <v>1</v>
      </c>
      <c r="O1282" s="497"/>
      <c r="P1282" s="497">
        <f t="shared" si="154"/>
        <v>343</v>
      </c>
      <c r="Q1282" s="497"/>
      <c r="R1282" s="497"/>
      <c r="S1282" s="497"/>
      <c r="T1282" s="503"/>
    </row>
    <row r="1283" spans="1:20" x14ac:dyDescent="0.35">
      <c r="A1283" s="497" t="b">
        <v>0</v>
      </c>
      <c r="B1283" s="497">
        <f t="shared" si="151"/>
        <v>-16</v>
      </c>
      <c r="C1283" s="518" t="s">
        <v>9895</v>
      </c>
      <c r="D1283" s="497" t="s">
        <v>7719</v>
      </c>
      <c r="E1283" s="497">
        <f t="shared" si="152"/>
        <v>2</v>
      </c>
      <c r="F1283" s="516">
        <v>58</v>
      </c>
      <c r="G1283" s="503"/>
      <c r="H1283" s="497">
        <f t="shared" ca="1" si="153"/>
        <v>123</v>
      </c>
      <c r="I1283" s="500"/>
      <c r="J1283" s="512"/>
      <c r="K1283" s="512"/>
      <c r="L1283" s="503"/>
      <c r="M1283" s="515" t="str">
        <f ca="1">IFERROR(IF(COUNTIF($B$937:$B1282,"&lt;0")&lt;&gt;1,OFFSET($C1281,-COUNTIF($B$937:$B1282,"&lt;0")+3,0),""),"")</f>
        <v/>
      </c>
      <c r="N1283" s="515">
        <f ca="1">IFERROR(IF(COUNTA($D$937:D1282)=1,0,OFFSET($F1281,-COUNTA($D$937:D1282)+3,0)),"")</f>
        <v>1</v>
      </c>
      <c r="O1283" s="497"/>
      <c r="P1283" s="497">
        <f t="shared" si="154"/>
        <v>344</v>
      </c>
      <c r="Q1283" s="497"/>
      <c r="R1283" s="497"/>
      <c r="S1283" s="497"/>
      <c r="T1283" s="503"/>
    </row>
    <row r="1284" spans="1:20" x14ac:dyDescent="0.35">
      <c r="A1284" s="497" t="b">
        <v>0</v>
      </c>
      <c r="B1284" s="497">
        <f t="shared" si="151"/>
        <v>-15</v>
      </c>
      <c r="C1284" s="518" t="s">
        <v>9896</v>
      </c>
      <c r="D1284" s="497" t="s">
        <v>7719</v>
      </c>
      <c r="E1284" s="497">
        <f t="shared" si="152"/>
        <v>3</v>
      </c>
      <c r="F1284" s="516">
        <v>58</v>
      </c>
      <c r="G1284" s="503"/>
      <c r="H1284" s="497">
        <f t="shared" ca="1" si="153"/>
        <v>123</v>
      </c>
      <c r="I1284" s="500"/>
      <c r="J1284" s="512"/>
      <c r="K1284" s="512"/>
      <c r="L1284" s="503"/>
      <c r="M1284" s="515" t="str">
        <f ca="1">IFERROR(IF(COUNTIF($B$937:$B1283,"&lt;0")&lt;&gt;1,OFFSET($C1282,-COUNTIF($B$937:$B1283,"&lt;0")+3,0),""),"")</f>
        <v/>
      </c>
      <c r="N1284" s="515">
        <f ca="1">IFERROR(IF(COUNTA($D$937:D1283)=1,0,OFFSET($F1282,-COUNTA($D$937:D1283)+3,0)),"")</f>
        <v>1</v>
      </c>
      <c r="O1284" s="497"/>
      <c r="P1284" s="497">
        <f t="shared" si="154"/>
        <v>345</v>
      </c>
      <c r="Q1284" s="497"/>
      <c r="R1284" s="497"/>
      <c r="S1284" s="497"/>
      <c r="T1284" s="503"/>
    </row>
    <row r="1285" spans="1:20" x14ac:dyDescent="0.35">
      <c r="A1285" s="497" t="b">
        <v>0</v>
      </c>
      <c r="B1285" s="497">
        <f t="shared" si="151"/>
        <v>-14</v>
      </c>
      <c r="C1285" s="518" t="s">
        <v>9897</v>
      </c>
      <c r="D1285" s="497" t="s">
        <v>7719</v>
      </c>
      <c r="E1285" s="497">
        <f t="shared" si="152"/>
        <v>4</v>
      </c>
      <c r="F1285" s="516">
        <v>58</v>
      </c>
      <c r="G1285" s="503"/>
      <c r="H1285" s="497">
        <f t="shared" ca="1" si="153"/>
        <v>123</v>
      </c>
      <c r="I1285" s="500"/>
      <c r="J1285" s="512"/>
      <c r="K1285" s="512"/>
      <c r="L1285" s="503"/>
      <c r="M1285" s="515" t="str">
        <f ca="1">IFERROR(IF(COUNTIF($B$937:$B1284,"&lt;0")&lt;&gt;1,OFFSET($C1283,-COUNTIF($B$937:$B1284,"&lt;0")+3,0),""),"")</f>
        <v/>
      </c>
      <c r="N1285" s="515">
        <f ca="1">IFERROR(IF(COUNTA($D$937:D1284)=1,0,OFFSET($F1283,-COUNTA($D$937:D1284)+3,0)),"")</f>
        <v>1</v>
      </c>
      <c r="O1285" s="497"/>
      <c r="P1285" s="497">
        <f t="shared" si="154"/>
        <v>346</v>
      </c>
      <c r="Q1285" s="497"/>
      <c r="R1285" s="497"/>
      <c r="S1285" s="497"/>
      <c r="T1285" s="503"/>
    </row>
    <row r="1286" spans="1:20" x14ac:dyDescent="0.35">
      <c r="A1286" s="497" t="b">
        <v>0</v>
      </c>
      <c r="B1286" s="497">
        <f t="shared" si="151"/>
        <v>-13</v>
      </c>
      <c r="C1286" s="518" t="s">
        <v>9898</v>
      </c>
      <c r="D1286" s="497" t="s">
        <v>7719</v>
      </c>
      <c r="E1286" s="497">
        <f t="shared" si="152"/>
        <v>5</v>
      </c>
      <c r="F1286" s="516">
        <v>58</v>
      </c>
      <c r="G1286" s="503"/>
      <c r="H1286" s="497">
        <f t="shared" ca="1" si="153"/>
        <v>123</v>
      </c>
      <c r="I1286" s="500"/>
      <c r="J1286" s="512"/>
      <c r="K1286" s="512"/>
      <c r="L1286" s="503"/>
      <c r="M1286" s="515" t="str">
        <f ca="1">IFERROR(IF(COUNTIF($B$937:$B1285,"&lt;0")&lt;&gt;1,OFFSET($C1284,-COUNTIF($B$937:$B1285,"&lt;0")+3,0),""),"")</f>
        <v/>
      </c>
      <c r="N1286" s="515">
        <f ca="1">IFERROR(IF(COUNTA($D$937:D1285)=1,0,OFFSET($F1284,-COUNTA($D$937:D1285)+3,0)),"")</f>
        <v>1</v>
      </c>
      <c r="O1286" s="497"/>
      <c r="P1286" s="497">
        <f t="shared" si="154"/>
        <v>347</v>
      </c>
      <c r="Q1286" s="497"/>
      <c r="R1286" s="497"/>
      <c r="S1286" s="497"/>
      <c r="T1286" s="503"/>
    </row>
    <row r="1287" spans="1:20" x14ac:dyDescent="0.35">
      <c r="A1287" s="497" t="b">
        <v>0</v>
      </c>
      <c r="B1287" s="497">
        <f t="shared" si="151"/>
        <v>-12</v>
      </c>
      <c r="C1287" s="518" t="s">
        <v>9899</v>
      </c>
      <c r="D1287" s="497" t="s">
        <v>7719</v>
      </c>
      <c r="E1287" s="497">
        <f t="shared" si="152"/>
        <v>6</v>
      </c>
      <c r="F1287" s="516">
        <v>58</v>
      </c>
      <c r="G1287" s="503"/>
      <c r="H1287" s="497">
        <f t="shared" ca="1" si="153"/>
        <v>123</v>
      </c>
      <c r="I1287" s="500"/>
      <c r="J1287" s="512"/>
      <c r="K1287" s="512"/>
      <c r="L1287" s="503"/>
      <c r="M1287" s="515" t="str">
        <f ca="1">IFERROR(IF(COUNTIF($B$937:$B1286,"&lt;0")&lt;&gt;1,OFFSET($C1285,-COUNTIF($B$937:$B1286,"&lt;0")+3,0),""),"")</f>
        <v/>
      </c>
      <c r="N1287" s="515">
        <f ca="1">IFERROR(IF(COUNTA($D$937:D1286)=1,0,OFFSET($F1285,-COUNTA($D$937:D1286)+3,0)),"")</f>
        <v>1</v>
      </c>
      <c r="O1287" s="497"/>
      <c r="P1287" s="497">
        <f t="shared" si="154"/>
        <v>348</v>
      </c>
      <c r="Q1287" s="497"/>
      <c r="R1287" s="497"/>
      <c r="S1287" s="497"/>
      <c r="T1287" s="503"/>
    </row>
    <row r="1288" spans="1:20" x14ac:dyDescent="0.35">
      <c r="A1288" s="497" t="b">
        <v>0</v>
      </c>
      <c r="B1288" s="497">
        <f t="shared" si="151"/>
        <v>-11</v>
      </c>
      <c r="C1288" s="518" t="s">
        <v>9900</v>
      </c>
      <c r="D1288" s="497" t="s">
        <v>6488</v>
      </c>
      <c r="E1288" s="497">
        <f t="shared" si="152"/>
        <v>1</v>
      </c>
      <c r="F1288" s="516">
        <v>59</v>
      </c>
      <c r="G1288" s="503"/>
      <c r="H1288" s="497">
        <f t="shared" ca="1" si="153"/>
        <v>125</v>
      </c>
      <c r="I1288" s="500"/>
      <c r="J1288" s="512"/>
      <c r="K1288" s="512"/>
      <c r="L1288" s="503"/>
      <c r="M1288" s="515" t="str">
        <f ca="1">IFERROR(IF(COUNTIF($B$937:$B1287,"&lt;0")&lt;&gt;1,OFFSET($C1286,-COUNTIF($B$937:$B1287,"&lt;0")+3,0),""),"")</f>
        <v/>
      </c>
      <c r="N1288" s="515">
        <f ca="1">IFERROR(IF(COUNTA($D$937:D1287)=1,0,OFFSET($F1286,-COUNTA($D$937:D1287)+3,0)),"")</f>
        <v>1</v>
      </c>
      <c r="O1288" s="497"/>
      <c r="P1288" s="497">
        <f t="shared" si="154"/>
        <v>349</v>
      </c>
      <c r="Q1288" s="497"/>
      <c r="R1288" s="497"/>
      <c r="S1288" s="497"/>
      <c r="T1288" s="503"/>
    </row>
    <row r="1289" spans="1:20" x14ac:dyDescent="0.35">
      <c r="A1289" s="497" t="b">
        <v>0</v>
      </c>
      <c r="B1289" s="497">
        <f t="shared" si="151"/>
        <v>-10</v>
      </c>
      <c r="C1289" s="518" t="s">
        <v>9901</v>
      </c>
      <c r="D1289" s="497" t="s">
        <v>6488</v>
      </c>
      <c r="E1289" s="497">
        <f t="shared" si="152"/>
        <v>2</v>
      </c>
      <c r="F1289" s="516">
        <v>59</v>
      </c>
      <c r="G1289" s="503"/>
      <c r="H1289" s="497">
        <f t="shared" ca="1" si="153"/>
        <v>125</v>
      </c>
      <c r="I1289" s="500"/>
      <c r="J1289" s="512"/>
      <c r="K1289" s="512"/>
      <c r="L1289" s="503"/>
      <c r="M1289" s="515" t="str">
        <f ca="1">IFERROR(IF(COUNTIF($B$937:$B1288,"&lt;0")&lt;&gt;1,OFFSET($C1287,-COUNTIF($B$937:$B1288,"&lt;0")+3,0),""),"")</f>
        <v/>
      </c>
      <c r="N1289" s="515">
        <f ca="1">IFERROR(IF(COUNTA($D$937:D1288)=1,0,OFFSET($F1287,-COUNTA($D$937:D1288)+3,0)),"")</f>
        <v>1</v>
      </c>
      <c r="O1289" s="497"/>
      <c r="P1289" s="497">
        <f t="shared" si="154"/>
        <v>350</v>
      </c>
      <c r="Q1289" s="497"/>
      <c r="R1289" s="497"/>
      <c r="S1289" s="497"/>
      <c r="T1289" s="503"/>
    </row>
    <row r="1290" spans="1:20" x14ac:dyDescent="0.35">
      <c r="A1290" s="497" t="b">
        <v>0</v>
      </c>
      <c r="B1290" s="497">
        <f t="shared" si="151"/>
        <v>-9</v>
      </c>
      <c r="C1290" s="518" t="s">
        <v>9902</v>
      </c>
      <c r="D1290" s="497" t="s">
        <v>6488</v>
      </c>
      <c r="E1290" s="497">
        <f t="shared" si="152"/>
        <v>3</v>
      </c>
      <c r="F1290" s="516">
        <v>59</v>
      </c>
      <c r="G1290" s="503"/>
      <c r="H1290" s="497">
        <f t="shared" ca="1" si="153"/>
        <v>125</v>
      </c>
      <c r="I1290" s="500"/>
      <c r="J1290" s="512"/>
      <c r="K1290" s="512"/>
      <c r="L1290" s="503"/>
      <c r="M1290" s="515" t="str">
        <f ca="1">IFERROR(IF(COUNTIF($B$937:$B1289,"&lt;0")&lt;&gt;1,OFFSET($C1288,-COUNTIF($B$937:$B1289,"&lt;0")+3,0),""),"")</f>
        <v/>
      </c>
      <c r="N1290" s="515">
        <f ca="1">IFERROR(IF(COUNTA($D$937:D1289)=1,0,OFFSET($F1288,-COUNTA($D$937:D1289)+3,0)),"")</f>
        <v>1</v>
      </c>
      <c r="O1290" s="497"/>
      <c r="P1290" s="497">
        <f t="shared" si="154"/>
        <v>351</v>
      </c>
      <c r="Q1290" s="497"/>
      <c r="R1290" s="497"/>
      <c r="S1290" s="497"/>
      <c r="T1290" s="503"/>
    </row>
    <row r="1291" spans="1:20" x14ac:dyDescent="0.35">
      <c r="A1291" s="497" t="b">
        <v>0</v>
      </c>
      <c r="B1291" s="497">
        <f t="shared" si="151"/>
        <v>-8</v>
      </c>
      <c r="C1291" s="518" t="s">
        <v>9903</v>
      </c>
      <c r="D1291" s="497" t="s">
        <v>6488</v>
      </c>
      <c r="E1291" s="497">
        <f t="shared" si="152"/>
        <v>4</v>
      </c>
      <c r="F1291" s="516">
        <v>59</v>
      </c>
      <c r="G1291" s="503"/>
      <c r="H1291" s="497">
        <f t="shared" ca="1" si="153"/>
        <v>125</v>
      </c>
      <c r="I1291" s="500"/>
      <c r="J1291" s="512"/>
      <c r="K1291" s="512"/>
      <c r="L1291" s="503"/>
      <c r="M1291" s="515" t="str">
        <f ca="1">IFERROR(IF(COUNTIF($B$937:$B1290,"&lt;0")&lt;&gt;1,OFFSET($C1289,-COUNTIF($B$937:$B1290,"&lt;0")+3,0),""),"")</f>
        <v/>
      </c>
      <c r="N1291" s="515">
        <f ca="1">IFERROR(IF(COUNTA($D$937:D1290)=1,0,OFFSET($F1289,-COUNTA($D$937:D1290)+3,0)),"")</f>
        <v>1</v>
      </c>
      <c r="O1291" s="497"/>
      <c r="P1291" s="497">
        <f t="shared" si="154"/>
        <v>352</v>
      </c>
      <c r="Q1291" s="497"/>
      <c r="R1291" s="497"/>
      <c r="S1291" s="497"/>
      <c r="T1291" s="503"/>
    </row>
    <row r="1292" spans="1:20" x14ac:dyDescent="0.35">
      <c r="A1292" s="497" t="b">
        <v>0</v>
      </c>
      <c r="B1292" s="497">
        <f t="shared" si="151"/>
        <v>-7</v>
      </c>
      <c r="C1292" s="518" t="s">
        <v>9904</v>
      </c>
      <c r="D1292" s="497" t="s">
        <v>6488</v>
      </c>
      <c r="E1292" s="497">
        <f t="shared" si="152"/>
        <v>5</v>
      </c>
      <c r="F1292" s="516">
        <v>59</v>
      </c>
      <c r="G1292" s="503"/>
      <c r="H1292" s="497">
        <f t="shared" ca="1" si="153"/>
        <v>125</v>
      </c>
      <c r="I1292" s="500"/>
      <c r="J1292" s="512"/>
      <c r="K1292" s="512"/>
      <c r="L1292" s="503"/>
      <c r="M1292" s="515" t="str">
        <f ca="1">IFERROR(IF(COUNTIF($B$937:$B1291,"&lt;0")&lt;&gt;1,OFFSET($C1290,-COUNTIF($B$937:$B1291,"&lt;0")+3,0),""),"")</f>
        <v/>
      </c>
      <c r="N1292" s="515">
        <f ca="1">IFERROR(IF(COUNTA($D$937:D1291)=1,0,OFFSET($F1290,-COUNTA($D$937:D1291)+3,0)),"")</f>
        <v>1</v>
      </c>
      <c r="O1292" s="497"/>
      <c r="P1292" s="497">
        <f t="shared" si="154"/>
        <v>353</v>
      </c>
      <c r="Q1292" s="497"/>
      <c r="R1292" s="497"/>
      <c r="S1292" s="497"/>
      <c r="T1292" s="503"/>
    </row>
    <row r="1293" spans="1:20" x14ac:dyDescent="0.35">
      <c r="A1293" s="497" t="b">
        <v>0</v>
      </c>
      <c r="B1293" s="497">
        <f t="shared" si="151"/>
        <v>-6</v>
      </c>
      <c r="C1293" s="518" t="s">
        <v>9905</v>
      </c>
      <c r="D1293" s="497" t="s">
        <v>6488</v>
      </c>
      <c r="E1293" s="497">
        <f t="shared" si="152"/>
        <v>6</v>
      </c>
      <c r="F1293" s="516">
        <v>59</v>
      </c>
      <c r="G1293" s="503"/>
      <c r="H1293" s="497">
        <f t="shared" ca="1" si="153"/>
        <v>125</v>
      </c>
      <c r="I1293" s="500"/>
      <c r="J1293" s="512"/>
      <c r="K1293" s="512"/>
      <c r="L1293" s="503"/>
      <c r="M1293" s="515" t="str">
        <f ca="1">IFERROR(IF(COUNTIF($B$937:$B1292,"&lt;0")&lt;&gt;1,OFFSET($C1291,-COUNTIF($B$937:$B1292,"&lt;0")+3,0),""),"")</f>
        <v/>
      </c>
      <c r="N1293" s="515">
        <f ca="1">IFERROR(IF(COUNTA($D$937:D1292)=1,0,OFFSET($F1291,-COUNTA($D$937:D1292)+3,0)),"")</f>
        <v>1</v>
      </c>
      <c r="O1293" s="497"/>
      <c r="P1293" s="497">
        <f t="shared" si="154"/>
        <v>354</v>
      </c>
      <c r="Q1293" s="497"/>
      <c r="R1293" s="497"/>
      <c r="S1293" s="497"/>
      <c r="T1293" s="503"/>
    </row>
    <row r="1294" spans="1:20" x14ac:dyDescent="0.35">
      <c r="A1294" s="497" t="b">
        <v>0</v>
      </c>
      <c r="B1294" s="497">
        <f t="shared" si="151"/>
        <v>-5</v>
      </c>
      <c r="C1294" s="518" t="s">
        <v>9906</v>
      </c>
      <c r="D1294" s="497" t="s">
        <v>7637</v>
      </c>
      <c r="E1294" s="497">
        <f t="shared" si="152"/>
        <v>1</v>
      </c>
      <c r="F1294" s="516">
        <v>60</v>
      </c>
      <c r="G1294" s="503"/>
      <c r="H1294" s="497">
        <f t="shared" ca="1" si="153"/>
        <v>127</v>
      </c>
      <c r="I1294" s="500"/>
      <c r="J1294" s="512"/>
      <c r="K1294" s="512"/>
      <c r="L1294" s="503"/>
      <c r="M1294" s="515" t="str">
        <f ca="1">IFERROR(IF(COUNTIF($B$937:$B1293,"&lt;0")&lt;&gt;1,OFFSET($C1292,-COUNTIF($B$937:$B1293,"&lt;0")+3,0),""),"")</f>
        <v/>
      </c>
      <c r="N1294" s="515">
        <f ca="1">IFERROR(IF(COUNTA($D$937:D1293)=1,0,OFFSET($F1292,-COUNTA($D$937:D1293)+3,0)),"")</f>
        <v>1</v>
      </c>
      <c r="O1294" s="497"/>
      <c r="P1294" s="497">
        <f t="shared" si="154"/>
        <v>355</v>
      </c>
      <c r="Q1294" s="497"/>
      <c r="R1294" s="497"/>
      <c r="S1294" s="497"/>
      <c r="T1294" s="503"/>
    </row>
    <row r="1295" spans="1:20" x14ac:dyDescent="0.35">
      <c r="A1295" s="497" t="b">
        <v>0</v>
      </c>
      <c r="B1295" s="497">
        <f t="shared" si="151"/>
        <v>-4</v>
      </c>
      <c r="C1295" s="518" t="s">
        <v>9907</v>
      </c>
      <c r="D1295" s="497" t="s">
        <v>7637</v>
      </c>
      <c r="E1295" s="497">
        <f t="shared" si="152"/>
        <v>2</v>
      </c>
      <c r="F1295" s="516">
        <v>60</v>
      </c>
      <c r="G1295" s="503"/>
      <c r="H1295" s="497">
        <f t="shared" ca="1" si="153"/>
        <v>127</v>
      </c>
      <c r="I1295" s="500"/>
      <c r="J1295" s="512"/>
      <c r="K1295" s="512"/>
      <c r="L1295" s="503"/>
      <c r="M1295" s="515" t="str">
        <f ca="1">IFERROR(IF(COUNTIF($B$937:$B1294,"&lt;0")&lt;&gt;1,OFFSET($C1293,-COUNTIF($B$937:$B1294,"&lt;0")+3,0),""),"")</f>
        <v/>
      </c>
      <c r="N1295" s="515">
        <f ca="1">IFERROR(IF(COUNTA($D$937:D1294)=1,0,OFFSET($F1293,-COUNTA($D$937:D1294)+3,0)),"")</f>
        <v>1</v>
      </c>
      <c r="O1295" s="497"/>
      <c r="P1295" s="497">
        <f t="shared" si="154"/>
        <v>356</v>
      </c>
      <c r="Q1295" s="497"/>
      <c r="R1295" s="497"/>
      <c r="S1295" s="497"/>
      <c r="T1295" s="503"/>
    </row>
    <row r="1296" spans="1:20" x14ac:dyDescent="0.35">
      <c r="A1296" s="497" t="b">
        <v>0</v>
      </c>
      <c r="B1296" s="497">
        <f t="shared" si="151"/>
        <v>-3</v>
      </c>
      <c r="C1296" s="518" t="s">
        <v>9908</v>
      </c>
      <c r="D1296" s="497" t="s">
        <v>7637</v>
      </c>
      <c r="E1296" s="497">
        <f t="shared" si="152"/>
        <v>3</v>
      </c>
      <c r="F1296" s="516">
        <v>60</v>
      </c>
      <c r="G1296" s="503"/>
      <c r="H1296" s="497">
        <f t="shared" ca="1" si="153"/>
        <v>127</v>
      </c>
      <c r="I1296" s="500"/>
      <c r="J1296" s="512"/>
      <c r="K1296" s="512"/>
      <c r="L1296" s="503"/>
      <c r="M1296" s="515" t="str">
        <f ca="1">IFERROR(IF(COUNTIF($B$937:$B1295,"&lt;0")&lt;&gt;1,OFFSET($C1294,-COUNTIF($B$937:$B1295,"&lt;0")+3,0),""),"")</f>
        <v/>
      </c>
      <c r="N1296" s="515">
        <f ca="1">IFERROR(IF(COUNTA($D$937:D1295)=1,0,OFFSET($F1294,-COUNTA($D$937:D1295)+3,0)),"")</f>
        <v>1</v>
      </c>
      <c r="O1296" s="497"/>
      <c r="P1296" s="497">
        <f t="shared" si="154"/>
        <v>357</v>
      </c>
      <c r="Q1296" s="497"/>
      <c r="R1296" s="497"/>
      <c r="S1296" s="497"/>
      <c r="T1296" s="503"/>
    </row>
    <row r="1297" spans="1:20" x14ac:dyDescent="0.35">
      <c r="A1297" s="497" t="b">
        <v>0</v>
      </c>
      <c r="B1297" s="497">
        <f t="shared" si="151"/>
        <v>-2</v>
      </c>
      <c r="C1297" s="518" t="s">
        <v>9909</v>
      </c>
      <c r="D1297" s="497" t="s">
        <v>7637</v>
      </c>
      <c r="E1297" s="497">
        <f t="shared" si="152"/>
        <v>4</v>
      </c>
      <c r="F1297" s="516">
        <v>60</v>
      </c>
      <c r="G1297" s="503"/>
      <c r="H1297" s="497">
        <f t="shared" ca="1" si="153"/>
        <v>127</v>
      </c>
      <c r="I1297" s="500"/>
      <c r="J1297" s="512"/>
      <c r="K1297" s="512"/>
      <c r="L1297" s="503"/>
      <c r="M1297" s="515" t="str">
        <f ca="1">IFERROR(IF(COUNTIF($B$937:$B1296,"&lt;0")&lt;&gt;1,OFFSET($C1295,-COUNTIF($B$937:$B1296,"&lt;0")+3,0),""),"")</f>
        <v/>
      </c>
      <c r="N1297" s="515">
        <f ca="1">IFERROR(IF(COUNTA($D$937:D1296)=1,0,OFFSET($F1295,-COUNTA($D$937:D1296)+3,0)),"")</f>
        <v>1</v>
      </c>
      <c r="O1297" s="497"/>
      <c r="P1297" s="497">
        <f t="shared" si="154"/>
        <v>358</v>
      </c>
      <c r="Q1297" s="497"/>
      <c r="R1297" s="497"/>
      <c r="S1297" s="497"/>
      <c r="T1297" s="503"/>
    </row>
    <row r="1298" spans="1:20" x14ac:dyDescent="0.35">
      <c r="A1298" s="497" t="b">
        <v>0</v>
      </c>
      <c r="B1298" s="497">
        <f t="shared" si="151"/>
        <v>-1</v>
      </c>
      <c r="C1298" s="518" t="s">
        <v>9910</v>
      </c>
      <c r="D1298" s="497" t="s">
        <v>7637</v>
      </c>
      <c r="E1298" s="497">
        <f t="shared" si="152"/>
        <v>5</v>
      </c>
      <c r="F1298" s="516">
        <v>60</v>
      </c>
      <c r="G1298" s="503"/>
      <c r="H1298" s="497">
        <f t="shared" ca="1" si="153"/>
        <v>127</v>
      </c>
      <c r="I1298" s="500"/>
      <c r="J1298" s="512"/>
      <c r="K1298" s="512"/>
      <c r="L1298" s="503"/>
      <c r="M1298" s="515" t="str">
        <f ca="1">IFERROR(IF(COUNTIF($B$937:$B1297,"&lt;0")&lt;&gt;1,OFFSET($C1296,-COUNTIF($B$937:$B1297,"&lt;0")+3,0),""),"")</f>
        <v/>
      </c>
      <c r="N1298" s="515">
        <f ca="1">IFERROR(IF(COUNTA($D$937:D1297)=1,0,OFFSET($F1296,-COUNTA($D$937:D1297)+3,0)),"")</f>
        <v>1</v>
      </c>
      <c r="O1298" s="497"/>
      <c r="P1298" s="497">
        <f t="shared" si="154"/>
        <v>359</v>
      </c>
      <c r="Q1298" s="497"/>
      <c r="R1298" s="497"/>
      <c r="S1298" s="497"/>
      <c r="T1298" s="503"/>
    </row>
    <row r="1299" spans="1:20" x14ac:dyDescent="0.35">
      <c r="A1299" s="497" t="b">
        <v>0</v>
      </c>
      <c r="B1299" s="497">
        <f t="shared" si="151"/>
        <v>0</v>
      </c>
      <c r="C1299" s="518" t="s">
        <v>9911</v>
      </c>
      <c r="D1299" s="497" t="s">
        <v>7637</v>
      </c>
      <c r="E1299" s="497">
        <f t="shared" si="152"/>
        <v>6</v>
      </c>
      <c r="F1299" s="516">
        <v>60</v>
      </c>
      <c r="G1299" s="503"/>
      <c r="H1299" s="497">
        <f t="shared" ca="1" si="153"/>
        <v>127</v>
      </c>
      <c r="I1299" s="500"/>
      <c r="J1299" s="512"/>
      <c r="K1299" s="512"/>
      <c r="L1299" s="503"/>
      <c r="M1299" s="515" t="str">
        <f ca="1">IFERROR(IF(COUNTIF($B$937:$B1298,"&lt;0")&lt;&gt;1,OFFSET($C1297,-COUNTIF($B$937:$B1298,"&lt;0")+3,0),""),"")</f>
        <v/>
      </c>
      <c r="N1299" s="515">
        <f ca="1">IFERROR(IF(COUNTA($D$937:D1298)=1,0,OFFSET($F1297,-COUNTA($D$937:D1298)+3,0)),"")</f>
        <v>1</v>
      </c>
      <c r="O1299" s="497"/>
      <c r="P1299" s="497">
        <f t="shared" si="154"/>
        <v>360</v>
      </c>
      <c r="Q1299" s="497"/>
      <c r="R1299" s="497"/>
      <c r="S1299" s="497"/>
      <c r="T1299" s="503"/>
    </row>
    <row r="1300" spans="1:20" x14ac:dyDescent="0.35">
      <c r="A1300" s="497" t="b">
        <f t="shared" ref="A1300:A1363" ca="1" si="155">IF(OR(I1300&lt;&gt;"",J1300&lt;&gt;"",K1300&lt;&gt;"",L1300&lt;&gt;""),TRUE,FALSE)</f>
        <v>1</v>
      </c>
      <c r="B1300" s="497">
        <f t="shared" si="151"/>
        <v>1</v>
      </c>
      <c r="C1300" s="519" t="str">
        <f t="shared" ref="C1300:C1363" ca="1" si="156">M1300</f>
        <v>a173p00000CH4EXAA1</v>
      </c>
      <c r="D1300" s="497"/>
      <c r="E1300" s="497">
        <f t="shared" ca="1" si="152"/>
        <v>1</v>
      </c>
      <c r="F1300" s="516">
        <f ca="1">IF(COUNTA(D$938:D1300)=1,"",OFFSET(F1298,-COUNTA(D$938:D1300)+3,0))</f>
        <v>1</v>
      </c>
      <c r="G1300" s="503" t="str">
        <f t="shared" ref="G1300:G1363" ca="1" si="157">IFERROR(IF(INDIRECT("'Coverage Indicators - Section I'!G"&amp;$I364)=0,"",INDIRECT("'Coverage Indicators - Section I'!G"&amp;$I364)),"")</f>
        <v/>
      </c>
      <c r="H1300" s="497">
        <f t="shared" ca="1" si="153"/>
        <v>9</v>
      </c>
      <c r="I1300" s="500">
        <f t="shared" ref="I1300:I1363" ca="1" si="158">IFERROR(CHOOSE(E1300,IFERROR(IF(INDIRECT("'Coverage Indicators - Section D'!P"&amp;H1300)="","",INDIRECT("'Coverage Indicators - Section D'!P"&amp;H1300)*100),""),IFERROR(IF(INDIRECT("'Coverage Indicators - Section D'!S"&amp;H1300)="","",INDIRECT("'Coverage Indicators - Section D'!S"&amp;H1300)*100),""),IFERROR(IF(INDIRECT("'Coverage Indicators - Section D'!V"&amp;H1300)="","",INDIRECT("'Coverage Indicators - Section D'!V"&amp;H1300)*100),""),IFERROR(IF(INDIRECT("'Coverage Indicators - Section D'!Y"&amp;H1300)="","",INDIRECT("'Coverage Indicators - Section D'!Y"&amp;H1300)*100),""),IFERROR(IF(INDIRECT("'Coverage Indicators - Section D'!AB"&amp;H1300)="","",INDIRECT("'Coverage Indicators - Section D'!AB"&amp;H1300)*100),""),IFERROR(IF(INDIRECT("'Coverage Indicators - Section D'!AE"&amp;H1300)="","",INDIRECT("'Coverage Indicators - Section D'!AE"&amp;H1300)*100),""),IFERROR(IF(INDIRECT("'Coverage Indicators - SectionD'!AH"&amp;H1300)="","",INDIRECT("'CoverageIndicators-SectionD'!AH"&amp;H1300)*100),"")),"")</f>
        <v>3.6999999999999997</v>
      </c>
      <c r="J1300" s="512" t="str">
        <f t="shared" ref="J1300:J1363" ca="1" si="159">IFERROR(CHOOSE(E1300,IFERROR(IF(INDIRECT("'Coverage Indicators - Section D'!O"&amp;H1300+1)="","",INDIRECT("'Coverage Indicators - Section D'!O"&amp;H1300+1)),""),IFERROR(IF(INDIRECT("'Coverage Indicators - Section D'!R"&amp;H1300+1)="","",INDIRECT("'Coverage Indicators - Section D'!R"&amp;H1300+1)),""),IFERROR(IF(INDIRECT("'Coverage Indicators - Section D'!U"&amp;H1300+1)="","",INDIRECT("'Coverage Indicators - Section D'!U"&amp;H1300+1)),""),IFERROR(IF(INDIRECT("'Coverage Indicators - Section D'!X"&amp;H1300+1)="","",INDIRECT("'Coverage Indicators - Section D'!X"&amp;H1300+1)),""),IFERROR(IF(INDIRECT("'Coverage Indicators - Section D'!AA"&amp;H1300+1)="","",INDIRECT("'Coverage Indicators - Section D'!AA"&amp;H1300+1)),""),IFERROR(IF(INDIRECT("'Coverage Indicators - Section D'!AD"&amp;H1300+1)="","",INDIRECT("'Coverage Indicators - Section D'!AD"&amp;H1300+1)),""),IFERROR(IF(INDIRECT("'Coverage Indicators - Section D'!AG"&amp;H1300+1)="","",INDIRECT("'Coverage Indicators - Section D'!AG"&amp;H1300+1)),""),IFERROR(IF(INDIRECT("'Coverage Indicators - Section D'!AJ"&amp;H1300+1)="","",INDIRECT("'Coverage Indicators - Section D'!AJ"&amp;H1300+1)),"")),"")</f>
        <v/>
      </c>
      <c r="K1300" s="512" t="str">
        <f t="shared" ref="K1300:K1363" ca="1" si="160">IFERROR(CHOOSE(E1300,IFERROR(IF(INDIRECT("'Coverage Indicators - Section D'!O"&amp;H1300)="","",INDIRECT("'Coverage Indicators - Section D'!O"&amp;H1300)),""),IFERROR(IF(INDIRECT("'Coverage Indicators - Section D'!R"&amp;H1300)="","",INDIRECT("'Coverage Indicators - Section D'!R"&amp;H1300)),""),IFERROR(IF(INDIRECT("'Coverage Indicators - Section D'!U"&amp;H1300)="","",INDIRECT("'Coverage Indicators - Section D'!U"&amp;H1300)),""),IFERROR(IF(INDIRECT("'Coverage Indicators - Section D'!X"&amp;H1300)="","",INDIRECT("'Coverage Indicators - Section D'!X"&amp;H1300)),""),IFERROR(IF(INDIRECT("'Coverage Indicators - Section D'!AA"&amp;H1300)="","",INDIRECT("'Coverage Indicators - Section D'!AA"&amp;H1300)),""),IFERROR(IF(INDIRECT("'Coverage Indicators - Section D'!AD"&amp;H1300)="","",INDIRECT("'Coverage Indicators - Section D'!AD"&amp;H1300)),""),IFERROR(IF(INDIRECT("'Coverage Indicators - Section D'!AG"&amp;H1300)="","",INDIRECT("'Coverage Indicators - Section D'!AG"&amp;H1300)),""),IFERROR(IF(INDIRECT("'Coverage Indicators - Section D'!AJ"&amp;H1300)="","",INDIRECT("'Coverage Indicators - Section D'!AJ"&amp;H1300)),"")),"")</f>
        <v/>
      </c>
      <c r="L1300" s="503" t="str">
        <f t="shared" ref="L1300:L1363" ca="1" si="161">IF(IFERROR(CHOOSE(E1300,IFERROR(IF(INDIRECT("'Coverage Indicators - Section D'!Q"&amp;H1300)=0,"",INDIRECT("'Coverage Indicators - Section D'!Q"&amp;H1300)),""),IFERROR(IF(INDIRECT("'Coverage Indicators - Section D'!T"&amp;H1300)=0,"",INDIRECT("'Coverage Indicators - Section D'!T"&amp;H1300)),""),IFERROR(IF(INDIRECT("'Coverage Indicators - Section D'!W"&amp;H1300)=0,"",INDIRECT("'Coverage Indicators - Section D'!W"&amp;H1300)),""),IFERROR(IF(INDIRECT("'Coverage Indicators - Section D'!Z"&amp;H1300)=0,"",INDIRECT("'Coverage Indicators - Section D'!Z"&amp;H1300)),""),IFERROR(IF(INDIRECT("'Coverage Indicators - Section D'!AC"&amp;H1300)=0,"",INDIRECT("'Coverage Indicators - Section D'!AC"&amp;H1300)),""),IFERROR(IF(INDIRECT("'Coverage Indicators - Section D'!AF"&amp;H1300)=0,"",INDIRECT("'Coverage Indicators - Section D'!AF"&amp;H1300)),""),IFERROR(IF(INDIRECT("'Coverage Indicators - Section D'!AI"&amp;H1300)=0,"",INDIRECT("'Coverage Indicators - Section D'!AI"&amp;H1300)),""),IFERROR(IF(INDIRECT("'Coverage Indicators - Section D'!AL"&amp;H1300)=0,"",INDIRECT("'Coverage Indicators - Section D'!AL"&amp;H1300)),"")),"")=0,"",CHOOSE(E1300,IFERROR(IF(INDIRECT("'Coverage Indicators - Section D'!Q"&amp;H1300)=0,"",INDIRECT("'Coverage Indicators - Section D'!Q"&amp;H1300)),""),IFERROR(IF(INDIRECT("'Coverage Indicators - Section D'!T"&amp;H1300)=0,"",INDIRECT("'Coverage Indicators - Section D'!T"&amp;H1300)),""),IFERROR(IF(INDIRECT("'Coverage Indicators - Section D'!W"&amp;H1300)=0,"",INDIRECT("'Coverage Indicators - Section D'!W"&amp;H1300)),""),IFERROR(IF(INDIRECT("'Coverage Indicators - Section D'!Z"&amp;H1300)=0,"",INDIRECT("'Coverage Indicators - Section D'!Z"&amp;H1300)),""),IFERROR(IF(INDIRECT("'Coverage Indicators - Section D'!AC"&amp;H1300)=0,"",INDIRECT("'Coverage Indicators - Section D'!AC"&amp;H1300)),""),IFERROR(IF(INDIRECT("'Coverage Indicators - Section D'!AF"&amp;H1300)=0,"",INDIRECT("'Coverage Indicators - Section D'!AF"&amp;H1300)),""),IFERROR(IF(INDIRECT("'Coverage Indicators - Section D'!AI"&amp;H1300)=0,"",INDIRECT("'Coverage Indicators - Section D'!AI"&amp;H1300)),""),IFERROR(IF(INDIRECT("'Coverage Indicators - Section D'!AL"&amp;H1300)=0,"",INDIRECT("'Coverage Indicators - Section D'!AL"&amp;H1300)),"")))</f>
        <v/>
      </c>
      <c r="M1300" s="515" t="str">
        <f ca="1">IFERROR(IF(COUNTIF($B$937:$B1299,"&lt;0")&lt;&gt;1,OFFSET($C1298,-COUNTIF($B$937:$B1299,"&lt;0")+3,0),""),"")</f>
        <v>a173p00000CH4EXAA1</v>
      </c>
      <c r="N1300" s="515">
        <f ca="1">IFERROR(IF(COUNTA($D$937:D1299)=1,0,OFFSET($F1298,-COUNTA($D$937:D1299)+3,0)),"")</f>
        <v>1</v>
      </c>
      <c r="O1300" s="497"/>
      <c r="P1300" s="497">
        <f t="shared" si="154"/>
        <v>0</v>
      </c>
      <c r="Q1300" s="497"/>
      <c r="R1300" s="497"/>
      <c r="S1300" s="497"/>
      <c r="T1300" s="503"/>
    </row>
    <row r="1301" spans="1:20" x14ac:dyDescent="0.35">
      <c r="A1301" s="497" t="b">
        <f t="shared" ca="1" si="155"/>
        <v>1</v>
      </c>
      <c r="B1301" s="497">
        <f t="shared" si="151"/>
        <v>2</v>
      </c>
      <c r="C1301" s="519" t="str">
        <f t="shared" ca="1" si="156"/>
        <v>a173p00000CH4FVAA1</v>
      </c>
      <c r="D1301" s="497"/>
      <c r="E1301" s="497">
        <f t="shared" ca="1" si="152"/>
        <v>2</v>
      </c>
      <c r="F1301" s="516">
        <f ca="1">IF(COUNTA(D$938:D1301)=1,"",OFFSET(F1299,-COUNTA(D$938:D1301)+3,0))</f>
        <v>1</v>
      </c>
      <c r="G1301" s="503" t="str">
        <f t="shared" ca="1" si="157"/>
        <v/>
      </c>
      <c r="H1301" s="497">
        <f t="shared" ca="1" si="153"/>
        <v>9</v>
      </c>
      <c r="I1301" s="500" t="str">
        <f t="shared" ca="1" si="158"/>
        <v/>
      </c>
      <c r="J1301" s="512" t="str">
        <f t="shared" ca="1" si="159"/>
        <v/>
      </c>
      <c r="K1301" s="512" t="str">
        <f t="shared" ca="1" si="160"/>
        <v/>
      </c>
      <c r="L1301" s="503" t="str">
        <f t="shared" ca="1" si="161"/>
        <v>TBD</v>
      </c>
      <c r="M1301" s="515" t="str">
        <f ca="1">IFERROR(IF(COUNTIF($B$937:$B1300,"&lt;0")&lt;&gt;1,OFFSET($C1299,-COUNTIF($B$937:$B1300,"&lt;0")+3,0),""),"")</f>
        <v>a173p00000CH4FVAA1</v>
      </c>
      <c r="N1301" s="515">
        <f ca="1">IFERROR(IF(COUNTA($D$937:D1300)=1,0,OFFSET($F1299,-COUNTA($D$937:D1300)+3,0)),"")</f>
        <v>1</v>
      </c>
      <c r="O1301" s="497"/>
      <c r="P1301" s="497">
        <f t="shared" si="154"/>
        <v>0</v>
      </c>
      <c r="Q1301" s="497"/>
      <c r="R1301" s="497"/>
      <c r="S1301" s="497"/>
      <c r="T1301" s="503"/>
    </row>
    <row r="1302" spans="1:20" x14ac:dyDescent="0.35">
      <c r="A1302" s="497" t="b">
        <f t="shared" ca="1" si="155"/>
        <v>1</v>
      </c>
      <c r="B1302" s="497">
        <f t="shared" si="151"/>
        <v>3</v>
      </c>
      <c r="C1302" s="519" t="str">
        <f t="shared" ca="1" si="156"/>
        <v>a173p00000CH4GTAA1</v>
      </c>
      <c r="D1302" s="497"/>
      <c r="E1302" s="497">
        <f t="shared" ca="1" si="152"/>
        <v>3</v>
      </c>
      <c r="F1302" s="516">
        <f ca="1">IF(COUNTA(D$938:D1302)=1,"",OFFSET(F1300,-COUNTA(D$938:D1302)+3,0))</f>
        <v>1</v>
      </c>
      <c r="G1302" s="503" t="str">
        <f t="shared" ca="1" si="157"/>
        <v/>
      </c>
      <c r="H1302" s="497">
        <f t="shared" ca="1" si="153"/>
        <v>9</v>
      </c>
      <c r="I1302" s="500" t="str">
        <f t="shared" ca="1" si="158"/>
        <v/>
      </c>
      <c r="J1302" s="512" t="str">
        <f t="shared" ca="1" si="159"/>
        <v/>
      </c>
      <c r="K1302" s="512" t="str">
        <f t="shared" ca="1" si="160"/>
        <v/>
      </c>
      <c r="L1302" s="503" t="str">
        <f t="shared" ca="1" si="161"/>
        <v>TBD</v>
      </c>
      <c r="M1302" s="515" t="str">
        <f ca="1">IFERROR(IF(COUNTIF($B$937:$B1301,"&lt;0")&lt;&gt;1,OFFSET($C1300,-COUNTIF($B$937:$B1301,"&lt;0")+3,0),""),"")</f>
        <v>a173p00000CH4GTAA1</v>
      </c>
      <c r="N1302" s="515">
        <f ca="1">IFERROR(IF(COUNTA($D$937:D1301)=1,0,OFFSET($F1300,-COUNTA($D$937:D1301)+3,0)),"")</f>
        <v>1</v>
      </c>
      <c r="O1302" s="497"/>
      <c r="P1302" s="497">
        <f t="shared" si="154"/>
        <v>0</v>
      </c>
      <c r="Q1302" s="497"/>
      <c r="R1302" s="497"/>
      <c r="S1302" s="497"/>
      <c r="T1302" s="503"/>
    </row>
    <row r="1303" spans="1:20" x14ac:dyDescent="0.35">
      <c r="A1303" s="497" t="b">
        <f t="shared" ca="1" si="155"/>
        <v>0</v>
      </c>
      <c r="B1303" s="497">
        <f t="shared" si="151"/>
        <v>4</v>
      </c>
      <c r="C1303" s="519" t="str">
        <f t="shared" ca="1" si="156"/>
        <v>a173p00000CH4HRAA1</v>
      </c>
      <c r="D1303" s="497"/>
      <c r="E1303" s="497">
        <f t="shared" ca="1" si="152"/>
        <v>4</v>
      </c>
      <c r="F1303" s="516">
        <f ca="1">IF(COUNTA(D$938:D1303)=1,"",OFFSET(F1301,-COUNTA(D$938:D1303)+3,0))</f>
        <v>1</v>
      </c>
      <c r="G1303" s="503" t="str">
        <f t="shared" ca="1" si="157"/>
        <v/>
      </c>
      <c r="H1303" s="497">
        <f t="shared" ca="1" si="153"/>
        <v>9</v>
      </c>
      <c r="I1303" s="500" t="str">
        <f t="shared" ca="1" si="158"/>
        <v/>
      </c>
      <c r="J1303" s="512" t="str">
        <f t="shared" ca="1" si="159"/>
        <v/>
      </c>
      <c r="K1303" s="512" t="str">
        <f t="shared" ca="1" si="160"/>
        <v/>
      </c>
      <c r="L1303" s="503" t="str">
        <f t="shared" ca="1" si="161"/>
        <v/>
      </c>
      <c r="M1303" s="515" t="str">
        <f ca="1">IFERROR(IF(COUNTIF($B$937:$B1302,"&lt;0")&lt;&gt;1,OFFSET($C1301,-COUNTIF($B$937:$B1302,"&lt;0")+3,0),""),"")</f>
        <v>a173p00000CH4HRAA1</v>
      </c>
      <c r="N1303" s="515">
        <f ca="1">IFERROR(IF(COUNTA($D$937:D1302)=1,0,OFFSET($F1301,-COUNTA($D$937:D1302)+3,0)),"")</f>
        <v>1</v>
      </c>
      <c r="O1303" s="497"/>
      <c r="P1303" s="497">
        <f t="shared" si="154"/>
        <v>0</v>
      </c>
      <c r="Q1303" s="497"/>
      <c r="R1303" s="497"/>
      <c r="S1303" s="497"/>
      <c r="T1303" s="503"/>
    </row>
    <row r="1304" spans="1:20" x14ac:dyDescent="0.35">
      <c r="A1304" s="497" t="b">
        <f t="shared" ca="1" si="155"/>
        <v>0</v>
      </c>
      <c r="B1304" s="497">
        <f t="shared" si="151"/>
        <v>5</v>
      </c>
      <c r="C1304" s="519" t="str">
        <f t="shared" ca="1" si="156"/>
        <v>a173p00000CH4IPAA1</v>
      </c>
      <c r="D1304" s="497"/>
      <c r="E1304" s="497">
        <f t="shared" ca="1" si="152"/>
        <v>5</v>
      </c>
      <c r="F1304" s="516">
        <f ca="1">IF(COUNTA(D$938:D1304)=1,"",OFFSET(F1302,-COUNTA(D$938:D1304)+3,0))</f>
        <v>1</v>
      </c>
      <c r="G1304" s="503" t="str">
        <f t="shared" ca="1" si="157"/>
        <v/>
      </c>
      <c r="H1304" s="497">
        <f t="shared" ca="1" si="153"/>
        <v>9</v>
      </c>
      <c r="I1304" s="500" t="str">
        <f t="shared" ca="1" si="158"/>
        <v/>
      </c>
      <c r="J1304" s="512" t="str">
        <f t="shared" ca="1" si="159"/>
        <v/>
      </c>
      <c r="K1304" s="512" t="str">
        <f t="shared" ca="1" si="160"/>
        <v/>
      </c>
      <c r="L1304" s="503" t="str">
        <f t="shared" ca="1" si="161"/>
        <v/>
      </c>
      <c r="M1304" s="515" t="str">
        <f ca="1">IFERROR(IF(COUNTIF($B$937:$B1303,"&lt;0")&lt;&gt;1,OFFSET($C1302,-COUNTIF($B$937:$B1303,"&lt;0")+3,0),""),"")</f>
        <v>a173p00000CH4IPAA1</v>
      </c>
      <c r="N1304" s="515">
        <f ca="1">IFERROR(IF(COUNTA($D$937:D1303)=1,0,OFFSET($F1302,-COUNTA($D$937:D1303)+3,0)),"")</f>
        <v>1</v>
      </c>
      <c r="O1304" s="497"/>
      <c r="P1304" s="497">
        <f t="shared" si="154"/>
        <v>0</v>
      </c>
      <c r="Q1304" s="497"/>
      <c r="R1304" s="497"/>
      <c r="S1304" s="497"/>
      <c r="T1304" s="503"/>
    </row>
    <row r="1305" spans="1:20" x14ac:dyDescent="0.35">
      <c r="A1305" s="497" t="b">
        <f t="shared" ca="1" si="155"/>
        <v>0</v>
      </c>
      <c r="B1305" s="497">
        <f t="shared" si="151"/>
        <v>6</v>
      </c>
      <c r="C1305" s="519" t="str">
        <f t="shared" ca="1" si="156"/>
        <v>a173p00000CH4JNAA1</v>
      </c>
      <c r="D1305" s="497"/>
      <c r="E1305" s="497">
        <f t="shared" ca="1" si="152"/>
        <v>6</v>
      </c>
      <c r="F1305" s="516">
        <f ca="1">IF(COUNTA(D$938:D1305)=1,"",OFFSET(F1303,-COUNTA(D$938:D1305)+3,0))</f>
        <v>1</v>
      </c>
      <c r="G1305" s="503" t="str">
        <f t="shared" ca="1" si="157"/>
        <v/>
      </c>
      <c r="H1305" s="497">
        <f t="shared" ca="1" si="153"/>
        <v>9</v>
      </c>
      <c r="I1305" s="500" t="str">
        <f t="shared" ca="1" si="158"/>
        <v/>
      </c>
      <c r="J1305" s="512" t="str">
        <f t="shared" ca="1" si="159"/>
        <v/>
      </c>
      <c r="K1305" s="512" t="str">
        <f t="shared" ca="1" si="160"/>
        <v/>
      </c>
      <c r="L1305" s="503" t="str">
        <f t="shared" ca="1" si="161"/>
        <v/>
      </c>
      <c r="M1305" s="515" t="str">
        <f ca="1">IFERROR(IF(COUNTIF($B$937:$B1304,"&lt;0")&lt;&gt;1,OFFSET($C1303,-COUNTIF($B$937:$B1304,"&lt;0")+3,0),""),"")</f>
        <v>a173p00000CH4JNAA1</v>
      </c>
      <c r="N1305" s="515">
        <f ca="1">IFERROR(IF(COUNTA($D$937:D1304)=1,0,OFFSET($F1303,-COUNTA($D$937:D1304)+3,0)),"")</f>
        <v>1</v>
      </c>
      <c r="O1305" s="497"/>
      <c r="P1305" s="497">
        <f t="shared" si="154"/>
        <v>0</v>
      </c>
      <c r="Q1305" s="497"/>
      <c r="R1305" s="497"/>
      <c r="S1305" s="497"/>
      <c r="T1305" s="503"/>
    </row>
    <row r="1306" spans="1:20" x14ac:dyDescent="0.35">
      <c r="A1306" s="497" t="b">
        <f t="shared" ca="1" si="155"/>
        <v>1</v>
      </c>
      <c r="B1306" s="497">
        <f t="shared" si="151"/>
        <v>7</v>
      </c>
      <c r="C1306" s="519" t="str">
        <f t="shared" ca="1" si="156"/>
        <v>a173p00000CH4EYAA1</v>
      </c>
      <c r="D1306" s="497"/>
      <c r="E1306" s="497">
        <f t="shared" ca="1" si="152"/>
        <v>1</v>
      </c>
      <c r="F1306" s="516">
        <f ca="1">IF(COUNTA(D$938:D1306)=1,"",OFFSET(F1304,-COUNTA(D$938:D1306)+3,0))</f>
        <v>2</v>
      </c>
      <c r="G1306" s="503" t="str">
        <f t="shared" ca="1" si="157"/>
        <v/>
      </c>
      <c r="H1306" s="497">
        <f t="shared" ca="1" si="153"/>
        <v>11</v>
      </c>
      <c r="I1306" s="500">
        <f t="shared" ca="1" si="158"/>
        <v>82</v>
      </c>
      <c r="J1306" s="512" t="str">
        <f t="shared" ca="1" si="159"/>
        <v/>
      </c>
      <c r="K1306" s="512" t="str">
        <f t="shared" ca="1" si="160"/>
        <v/>
      </c>
      <c r="L1306" s="503" t="str">
        <f t="shared" ca="1" si="161"/>
        <v/>
      </c>
      <c r="M1306" s="515" t="str">
        <f ca="1">IFERROR(IF(COUNTIF($B$937:$B1305,"&lt;0")&lt;&gt;1,OFFSET($C1304,-COUNTIF($B$937:$B1305,"&lt;0")+3,0),""),"")</f>
        <v>a173p00000CH4EYAA1</v>
      </c>
      <c r="N1306" s="515">
        <f ca="1">IFERROR(IF(COUNTA($D$937:D1305)=1,0,OFFSET($F1304,-COUNTA($D$937:D1305)+3,0)),"")</f>
        <v>2</v>
      </c>
      <c r="O1306" s="497"/>
      <c r="P1306" s="497">
        <f t="shared" si="154"/>
        <v>0</v>
      </c>
      <c r="Q1306" s="497"/>
      <c r="R1306" s="497"/>
      <c r="S1306" s="497"/>
      <c r="T1306" s="503"/>
    </row>
    <row r="1307" spans="1:20" x14ac:dyDescent="0.35">
      <c r="A1307" s="497" t="b">
        <f t="shared" ca="1" si="155"/>
        <v>1</v>
      </c>
      <c r="B1307" s="497">
        <f t="shared" si="151"/>
        <v>8</v>
      </c>
      <c r="C1307" s="519" t="str">
        <f t="shared" ca="1" si="156"/>
        <v>a173p00000CH4FWAA1</v>
      </c>
      <c r="D1307" s="497"/>
      <c r="E1307" s="497">
        <f t="shared" ca="1" si="152"/>
        <v>2</v>
      </c>
      <c r="F1307" s="516">
        <f ca="1">IF(COUNTA(D$938:D1307)=1,"",OFFSET(F1305,-COUNTA(D$938:D1307)+3,0))</f>
        <v>2</v>
      </c>
      <c r="G1307" s="503" t="str">
        <f t="shared" ca="1" si="157"/>
        <v/>
      </c>
      <c r="H1307" s="497">
        <f t="shared" ca="1" si="153"/>
        <v>11</v>
      </c>
      <c r="I1307" s="500">
        <f t="shared" ca="1" si="158"/>
        <v>83</v>
      </c>
      <c r="J1307" s="512" t="str">
        <f t="shared" ca="1" si="159"/>
        <v/>
      </c>
      <c r="K1307" s="512" t="str">
        <f t="shared" ca="1" si="160"/>
        <v/>
      </c>
      <c r="L1307" s="503" t="str">
        <f t="shared" ca="1" si="161"/>
        <v/>
      </c>
      <c r="M1307" s="515" t="str">
        <f ca="1">IFERROR(IF(COUNTIF($B$937:$B1306,"&lt;0")&lt;&gt;1,OFFSET($C1305,-COUNTIF($B$937:$B1306,"&lt;0")+3,0),""),"")</f>
        <v>a173p00000CH4FWAA1</v>
      </c>
      <c r="N1307" s="515">
        <f ca="1">IFERROR(IF(COUNTA($D$937:D1306)=1,0,OFFSET($F1305,-COUNTA($D$937:D1306)+3,0)),"")</f>
        <v>2</v>
      </c>
      <c r="O1307" s="497"/>
      <c r="P1307" s="497">
        <f t="shared" si="154"/>
        <v>0</v>
      </c>
      <c r="Q1307" s="497"/>
      <c r="R1307" s="497"/>
      <c r="S1307" s="497"/>
      <c r="T1307" s="503"/>
    </row>
    <row r="1308" spans="1:20" x14ac:dyDescent="0.35">
      <c r="A1308" s="497" t="b">
        <f t="shared" ca="1" si="155"/>
        <v>1</v>
      </c>
      <c r="B1308" s="497">
        <f t="shared" si="151"/>
        <v>9</v>
      </c>
      <c r="C1308" s="519" t="str">
        <f t="shared" ca="1" si="156"/>
        <v>a173p00000CH4GUAA1</v>
      </c>
      <c r="D1308" s="497"/>
      <c r="E1308" s="497">
        <f t="shared" ca="1" si="152"/>
        <v>3</v>
      </c>
      <c r="F1308" s="516">
        <f ca="1">IF(COUNTA(D$938:D1308)=1,"",OFFSET(F1306,-COUNTA(D$938:D1308)+3,0))</f>
        <v>2</v>
      </c>
      <c r="G1308" s="503" t="str">
        <f t="shared" ca="1" si="157"/>
        <v/>
      </c>
      <c r="H1308" s="497">
        <f t="shared" ca="1" si="153"/>
        <v>11</v>
      </c>
      <c r="I1308" s="500">
        <f t="shared" ca="1" si="158"/>
        <v>85</v>
      </c>
      <c r="J1308" s="512" t="str">
        <f t="shared" ca="1" si="159"/>
        <v/>
      </c>
      <c r="K1308" s="512" t="str">
        <f t="shared" ca="1" si="160"/>
        <v/>
      </c>
      <c r="L1308" s="503" t="str">
        <f t="shared" ca="1" si="161"/>
        <v/>
      </c>
      <c r="M1308" s="515" t="str">
        <f ca="1">IFERROR(IF(COUNTIF($B$937:$B1307,"&lt;0")&lt;&gt;1,OFFSET($C1306,-COUNTIF($B$937:$B1307,"&lt;0")+3,0),""),"")</f>
        <v>a173p00000CH4GUAA1</v>
      </c>
      <c r="N1308" s="515">
        <f ca="1">IFERROR(IF(COUNTA($D$937:D1307)=1,0,OFFSET($F1306,-COUNTA($D$937:D1307)+3,0)),"")</f>
        <v>2</v>
      </c>
      <c r="O1308" s="497"/>
      <c r="P1308" s="497">
        <f t="shared" si="154"/>
        <v>0</v>
      </c>
      <c r="Q1308" s="497"/>
      <c r="R1308" s="497"/>
      <c r="S1308" s="497"/>
      <c r="T1308" s="503"/>
    </row>
    <row r="1309" spans="1:20" x14ac:dyDescent="0.35">
      <c r="A1309" s="497" t="b">
        <f t="shared" ca="1" si="155"/>
        <v>0</v>
      </c>
      <c r="B1309" s="497">
        <f t="shared" si="151"/>
        <v>10</v>
      </c>
      <c r="C1309" s="519" t="str">
        <f t="shared" ca="1" si="156"/>
        <v>a173p00000CH4HSAA1</v>
      </c>
      <c r="D1309" s="497"/>
      <c r="E1309" s="497">
        <f t="shared" ca="1" si="152"/>
        <v>4</v>
      </c>
      <c r="F1309" s="516">
        <f ca="1">IF(COUNTA(D$938:D1309)=1,"",OFFSET(F1307,-COUNTA(D$938:D1309)+3,0))</f>
        <v>2</v>
      </c>
      <c r="G1309" s="503" t="str">
        <f t="shared" ca="1" si="157"/>
        <v/>
      </c>
      <c r="H1309" s="497">
        <f t="shared" ca="1" si="153"/>
        <v>11</v>
      </c>
      <c r="I1309" s="500" t="str">
        <f t="shared" ca="1" si="158"/>
        <v/>
      </c>
      <c r="J1309" s="512" t="str">
        <f t="shared" ca="1" si="159"/>
        <v/>
      </c>
      <c r="K1309" s="512" t="str">
        <f t="shared" ca="1" si="160"/>
        <v/>
      </c>
      <c r="L1309" s="503" t="str">
        <f t="shared" ca="1" si="161"/>
        <v/>
      </c>
      <c r="M1309" s="515" t="str">
        <f ca="1">IFERROR(IF(COUNTIF($B$937:$B1308,"&lt;0")&lt;&gt;1,OFFSET($C1307,-COUNTIF($B$937:$B1308,"&lt;0")+3,0),""),"")</f>
        <v>a173p00000CH4HSAA1</v>
      </c>
      <c r="N1309" s="515">
        <f ca="1">IFERROR(IF(COUNTA($D$937:D1308)=1,0,OFFSET($F1307,-COUNTA($D$937:D1308)+3,0)),"")</f>
        <v>2</v>
      </c>
      <c r="O1309" s="497"/>
      <c r="P1309" s="497">
        <f t="shared" si="154"/>
        <v>0</v>
      </c>
      <c r="Q1309" s="497"/>
      <c r="R1309" s="497"/>
      <c r="S1309" s="497"/>
      <c r="T1309" s="503"/>
    </row>
    <row r="1310" spans="1:20" x14ac:dyDescent="0.35">
      <c r="A1310" s="497" t="b">
        <f t="shared" ca="1" si="155"/>
        <v>0</v>
      </c>
      <c r="B1310" s="497">
        <f t="shared" si="151"/>
        <v>11</v>
      </c>
      <c r="C1310" s="519" t="str">
        <f t="shared" ca="1" si="156"/>
        <v>a173p00000CH4IQAA1</v>
      </c>
      <c r="D1310" s="497"/>
      <c r="E1310" s="497">
        <f t="shared" ca="1" si="152"/>
        <v>5</v>
      </c>
      <c r="F1310" s="516">
        <f ca="1">IF(COUNTA(D$938:D1310)=1,"",OFFSET(F1308,-COUNTA(D$938:D1310)+3,0))</f>
        <v>2</v>
      </c>
      <c r="G1310" s="503" t="str">
        <f t="shared" ca="1" si="157"/>
        <v/>
      </c>
      <c r="H1310" s="497">
        <f t="shared" ca="1" si="153"/>
        <v>11</v>
      </c>
      <c r="I1310" s="500" t="str">
        <f t="shared" ca="1" si="158"/>
        <v/>
      </c>
      <c r="J1310" s="512" t="str">
        <f t="shared" ca="1" si="159"/>
        <v/>
      </c>
      <c r="K1310" s="512" t="str">
        <f t="shared" ca="1" si="160"/>
        <v/>
      </c>
      <c r="L1310" s="503" t="str">
        <f t="shared" ca="1" si="161"/>
        <v/>
      </c>
      <c r="M1310" s="515" t="str">
        <f ca="1">IFERROR(IF(COUNTIF($B$937:$B1309,"&lt;0")&lt;&gt;1,OFFSET($C1308,-COUNTIF($B$937:$B1309,"&lt;0")+3,0),""),"")</f>
        <v>a173p00000CH4IQAA1</v>
      </c>
      <c r="N1310" s="515">
        <f ca="1">IFERROR(IF(COUNTA($D$937:D1309)=1,0,OFFSET($F1308,-COUNTA($D$937:D1309)+3,0)),"")</f>
        <v>2</v>
      </c>
      <c r="O1310" s="497"/>
      <c r="P1310" s="497">
        <f t="shared" si="154"/>
        <v>0</v>
      </c>
      <c r="Q1310" s="497"/>
      <c r="R1310" s="497"/>
      <c r="S1310" s="497"/>
      <c r="T1310" s="503"/>
    </row>
    <row r="1311" spans="1:20" x14ac:dyDescent="0.35">
      <c r="A1311" s="497" t="b">
        <f t="shared" ca="1" si="155"/>
        <v>0</v>
      </c>
      <c r="B1311" s="497">
        <f t="shared" si="151"/>
        <v>12</v>
      </c>
      <c r="C1311" s="519" t="str">
        <f t="shared" ca="1" si="156"/>
        <v>a173p00000CH4JOAA1</v>
      </c>
      <c r="D1311" s="497"/>
      <c r="E1311" s="497">
        <f t="shared" ca="1" si="152"/>
        <v>6</v>
      </c>
      <c r="F1311" s="516">
        <f ca="1">IF(COUNTA(D$938:D1311)=1,"",OFFSET(F1309,-COUNTA(D$938:D1311)+3,0))</f>
        <v>2</v>
      </c>
      <c r="G1311" s="503" t="str">
        <f t="shared" ca="1" si="157"/>
        <v/>
      </c>
      <c r="H1311" s="497">
        <f t="shared" ca="1" si="153"/>
        <v>11</v>
      </c>
      <c r="I1311" s="500" t="str">
        <f t="shared" ca="1" si="158"/>
        <v/>
      </c>
      <c r="J1311" s="512" t="str">
        <f t="shared" ca="1" si="159"/>
        <v/>
      </c>
      <c r="K1311" s="512" t="str">
        <f t="shared" ca="1" si="160"/>
        <v/>
      </c>
      <c r="L1311" s="503" t="str">
        <f t="shared" ca="1" si="161"/>
        <v/>
      </c>
      <c r="M1311" s="515" t="str">
        <f ca="1">IFERROR(IF(COUNTIF($B$937:$B1310,"&lt;0")&lt;&gt;1,OFFSET($C1309,-COUNTIF($B$937:$B1310,"&lt;0")+3,0),""),"")</f>
        <v>a173p00000CH4JOAA1</v>
      </c>
      <c r="N1311" s="515">
        <f ca="1">IFERROR(IF(COUNTA($D$937:D1310)=1,0,OFFSET($F1309,-COUNTA($D$937:D1310)+3,0)),"")</f>
        <v>2</v>
      </c>
      <c r="O1311" s="497"/>
      <c r="P1311" s="497">
        <f t="shared" si="154"/>
        <v>0</v>
      </c>
      <c r="Q1311" s="497"/>
      <c r="R1311" s="497"/>
      <c r="S1311" s="497"/>
      <c r="T1311" s="503"/>
    </row>
    <row r="1312" spans="1:20" x14ac:dyDescent="0.35">
      <c r="A1312" s="497" t="b">
        <f t="shared" ca="1" si="155"/>
        <v>1</v>
      </c>
      <c r="B1312" s="497">
        <f t="shared" si="151"/>
        <v>13</v>
      </c>
      <c r="C1312" s="519" t="str">
        <f t="shared" ca="1" si="156"/>
        <v>a173p00000CH4EZAA1</v>
      </c>
      <c r="D1312" s="497"/>
      <c r="E1312" s="497">
        <f t="shared" ca="1" si="152"/>
        <v>1</v>
      </c>
      <c r="F1312" s="516">
        <f ca="1">IF(COUNTA(D$938:D1312)=1,"",OFFSET(F1310,-COUNTA(D$938:D1312)+3,0))</f>
        <v>3</v>
      </c>
      <c r="G1312" s="503" t="str">
        <f t="shared" ca="1" si="157"/>
        <v/>
      </c>
      <c r="H1312" s="497">
        <f t="shared" ca="1" si="153"/>
        <v>13</v>
      </c>
      <c r="I1312" s="500">
        <f t="shared" ca="1" si="158"/>
        <v>4</v>
      </c>
      <c r="J1312" s="512" t="str">
        <f t="shared" ca="1" si="159"/>
        <v/>
      </c>
      <c r="K1312" s="512" t="str">
        <f t="shared" ca="1" si="160"/>
        <v/>
      </c>
      <c r="L1312" s="503" t="str">
        <f t="shared" ca="1" si="161"/>
        <v/>
      </c>
      <c r="M1312" s="515" t="str">
        <f ca="1">IFERROR(IF(COUNTIF($B$937:$B1311,"&lt;0")&lt;&gt;1,OFFSET($C1310,-COUNTIF($B$937:$B1311,"&lt;0")+3,0),""),"")</f>
        <v>a173p00000CH4EZAA1</v>
      </c>
      <c r="N1312" s="515">
        <f ca="1">IFERROR(IF(COUNTA($D$937:D1311)=1,0,OFFSET($F1310,-COUNTA($D$937:D1311)+3,0)),"")</f>
        <v>3</v>
      </c>
      <c r="O1312" s="497"/>
      <c r="P1312" s="497">
        <f t="shared" si="154"/>
        <v>0</v>
      </c>
      <c r="Q1312" s="497"/>
      <c r="R1312" s="497"/>
      <c r="S1312" s="497"/>
      <c r="T1312" s="503"/>
    </row>
    <row r="1313" spans="1:20" x14ac:dyDescent="0.35">
      <c r="A1313" s="497" t="b">
        <f t="shared" ca="1" si="155"/>
        <v>1</v>
      </c>
      <c r="B1313" s="497">
        <f t="shared" si="151"/>
        <v>14</v>
      </c>
      <c r="C1313" s="519" t="str">
        <f t="shared" ca="1" si="156"/>
        <v>a173p00000CH4FXAA1</v>
      </c>
      <c r="D1313" s="497"/>
      <c r="E1313" s="497">
        <f t="shared" ca="1" si="152"/>
        <v>2</v>
      </c>
      <c r="F1313" s="516">
        <f ca="1">IF(COUNTA(D$938:D1313)=1,"",OFFSET(F1311,-COUNTA(D$938:D1313)+3,0))</f>
        <v>3</v>
      </c>
      <c r="G1313" s="503" t="str">
        <f t="shared" ca="1" si="157"/>
        <v/>
      </c>
      <c r="H1313" s="497">
        <f t="shared" ca="1" si="153"/>
        <v>13</v>
      </c>
      <c r="I1313" s="500" t="str">
        <f t="shared" ca="1" si="158"/>
        <v/>
      </c>
      <c r="J1313" s="512" t="str">
        <f t="shared" ca="1" si="159"/>
        <v/>
      </c>
      <c r="K1313" s="512" t="str">
        <f t="shared" ca="1" si="160"/>
        <v/>
      </c>
      <c r="L1313" s="503" t="str">
        <f t="shared" ca="1" si="161"/>
        <v>TBD</v>
      </c>
      <c r="M1313" s="515" t="str">
        <f ca="1">IFERROR(IF(COUNTIF($B$937:$B1312,"&lt;0")&lt;&gt;1,OFFSET($C1311,-COUNTIF($B$937:$B1312,"&lt;0")+3,0),""),"")</f>
        <v>a173p00000CH4FXAA1</v>
      </c>
      <c r="N1313" s="515">
        <f ca="1">IFERROR(IF(COUNTA($D$937:D1312)=1,0,OFFSET($F1311,-COUNTA($D$937:D1312)+3,0)),"")</f>
        <v>3</v>
      </c>
      <c r="O1313" s="497"/>
      <c r="P1313" s="497">
        <f t="shared" si="154"/>
        <v>0</v>
      </c>
      <c r="Q1313" s="497"/>
      <c r="R1313" s="497"/>
      <c r="S1313" s="497"/>
      <c r="T1313" s="503"/>
    </row>
    <row r="1314" spans="1:20" x14ac:dyDescent="0.35">
      <c r="A1314" s="497" t="b">
        <f t="shared" ca="1" si="155"/>
        <v>1</v>
      </c>
      <c r="B1314" s="497">
        <f t="shared" si="151"/>
        <v>15</v>
      </c>
      <c r="C1314" s="519" t="str">
        <f t="shared" ca="1" si="156"/>
        <v>a173p00000CH4GVAA1</v>
      </c>
      <c r="D1314" s="497"/>
      <c r="E1314" s="497">
        <f t="shared" ca="1" si="152"/>
        <v>3</v>
      </c>
      <c r="F1314" s="516">
        <f ca="1">IF(COUNTA(D$938:D1314)=1,"",OFFSET(F1312,-COUNTA(D$938:D1314)+3,0))</f>
        <v>3</v>
      </c>
      <c r="G1314" s="503" t="str">
        <f t="shared" ca="1" si="157"/>
        <v/>
      </c>
      <c r="H1314" s="497">
        <f t="shared" ca="1" si="153"/>
        <v>13</v>
      </c>
      <c r="I1314" s="500" t="str">
        <f t="shared" ca="1" si="158"/>
        <v/>
      </c>
      <c r="J1314" s="512" t="str">
        <f t="shared" ca="1" si="159"/>
        <v/>
      </c>
      <c r="K1314" s="512" t="str">
        <f t="shared" ca="1" si="160"/>
        <v/>
      </c>
      <c r="L1314" s="503" t="str">
        <f t="shared" ca="1" si="161"/>
        <v>TBD</v>
      </c>
      <c r="M1314" s="515" t="str">
        <f ca="1">IFERROR(IF(COUNTIF($B$937:$B1313,"&lt;0")&lt;&gt;1,OFFSET($C1312,-COUNTIF($B$937:$B1313,"&lt;0")+3,0),""),"")</f>
        <v>a173p00000CH4GVAA1</v>
      </c>
      <c r="N1314" s="515">
        <f ca="1">IFERROR(IF(COUNTA($D$937:D1313)=1,0,OFFSET($F1312,-COUNTA($D$937:D1313)+3,0)),"")</f>
        <v>3</v>
      </c>
      <c r="O1314" s="497"/>
      <c r="P1314" s="497">
        <f t="shared" si="154"/>
        <v>0</v>
      </c>
      <c r="Q1314" s="497"/>
      <c r="R1314" s="497"/>
      <c r="S1314" s="497"/>
      <c r="T1314" s="503"/>
    </row>
    <row r="1315" spans="1:20" x14ac:dyDescent="0.35">
      <c r="A1315" s="497" t="b">
        <f t="shared" ca="1" si="155"/>
        <v>0</v>
      </c>
      <c r="B1315" s="497">
        <f t="shared" si="151"/>
        <v>16</v>
      </c>
      <c r="C1315" s="519" t="str">
        <f t="shared" ca="1" si="156"/>
        <v>a173p00000CH4HTAA1</v>
      </c>
      <c r="D1315" s="497"/>
      <c r="E1315" s="497">
        <f t="shared" ca="1" si="152"/>
        <v>4</v>
      </c>
      <c r="F1315" s="516">
        <f ca="1">IF(COUNTA(D$938:D1315)=1,"",OFFSET(F1313,-COUNTA(D$938:D1315)+3,0))</f>
        <v>3</v>
      </c>
      <c r="G1315" s="503" t="str">
        <f t="shared" ca="1" si="157"/>
        <v/>
      </c>
      <c r="H1315" s="497">
        <f t="shared" ca="1" si="153"/>
        <v>13</v>
      </c>
      <c r="I1315" s="500" t="str">
        <f t="shared" ca="1" si="158"/>
        <v/>
      </c>
      <c r="J1315" s="512" t="str">
        <f t="shared" ca="1" si="159"/>
        <v/>
      </c>
      <c r="K1315" s="512" t="str">
        <f t="shared" ca="1" si="160"/>
        <v/>
      </c>
      <c r="L1315" s="503" t="str">
        <f t="shared" ca="1" si="161"/>
        <v/>
      </c>
      <c r="M1315" s="515" t="str">
        <f ca="1">IFERROR(IF(COUNTIF($B$937:$B1314,"&lt;0")&lt;&gt;1,OFFSET($C1313,-COUNTIF($B$937:$B1314,"&lt;0")+3,0),""),"")</f>
        <v>a173p00000CH4HTAA1</v>
      </c>
      <c r="N1315" s="515">
        <f ca="1">IFERROR(IF(COUNTA($D$937:D1314)=1,0,OFFSET($F1313,-COUNTA($D$937:D1314)+3,0)),"")</f>
        <v>3</v>
      </c>
      <c r="O1315" s="497"/>
      <c r="P1315" s="497">
        <f t="shared" si="154"/>
        <v>0</v>
      </c>
      <c r="Q1315" s="497"/>
      <c r="R1315" s="497"/>
      <c r="S1315" s="497"/>
      <c r="T1315" s="503"/>
    </row>
    <row r="1316" spans="1:20" x14ac:dyDescent="0.35">
      <c r="A1316" s="497" t="b">
        <f t="shared" ca="1" si="155"/>
        <v>0</v>
      </c>
      <c r="B1316" s="497">
        <f t="shared" si="151"/>
        <v>17</v>
      </c>
      <c r="C1316" s="519" t="str">
        <f t="shared" ca="1" si="156"/>
        <v>a173p00000CH4IRAA1</v>
      </c>
      <c r="D1316" s="497"/>
      <c r="E1316" s="497">
        <f t="shared" ca="1" si="152"/>
        <v>5</v>
      </c>
      <c r="F1316" s="516">
        <f ca="1">IF(COUNTA(D$938:D1316)=1,"",OFFSET(F1314,-COUNTA(D$938:D1316)+3,0))</f>
        <v>3</v>
      </c>
      <c r="G1316" s="503" t="str">
        <f t="shared" ca="1" si="157"/>
        <v/>
      </c>
      <c r="H1316" s="497">
        <f t="shared" ca="1" si="153"/>
        <v>13</v>
      </c>
      <c r="I1316" s="500" t="str">
        <f t="shared" ca="1" si="158"/>
        <v/>
      </c>
      <c r="J1316" s="512" t="str">
        <f t="shared" ca="1" si="159"/>
        <v/>
      </c>
      <c r="K1316" s="512" t="str">
        <f t="shared" ca="1" si="160"/>
        <v/>
      </c>
      <c r="L1316" s="503" t="str">
        <f t="shared" ca="1" si="161"/>
        <v/>
      </c>
      <c r="M1316" s="515" t="str">
        <f ca="1">IFERROR(IF(COUNTIF($B$937:$B1315,"&lt;0")&lt;&gt;1,OFFSET($C1314,-COUNTIF($B$937:$B1315,"&lt;0")+3,0),""),"")</f>
        <v>a173p00000CH4IRAA1</v>
      </c>
      <c r="N1316" s="515">
        <f ca="1">IFERROR(IF(COUNTA($D$937:D1315)=1,0,OFFSET($F1314,-COUNTA($D$937:D1315)+3,0)),"")</f>
        <v>3</v>
      </c>
      <c r="O1316" s="497"/>
      <c r="P1316" s="497">
        <f t="shared" si="154"/>
        <v>0</v>
      </c>
      <c r="Q1316" s="497"/>
      <c r="R1316" s="497"/>
      <c r="S1316" s="497"/>
      <c r="T1316" s="503"/>
    </row>
    <row r="1317" spans="1:20" x14ac:dyDescent="0.35">
      <c r="A1317" s="497" t="b">
        <f t="shared" ca="1" si="155"/>
        <v>0</v>
      </c>
      <c r="B1317" s="497">
        <f t="shared" si="151"/>
        <v>18</v>
      </c>
      <c r="C1317" s="519" t="str">
        <f t="shared" ca="1" si="156"/>
        <v>a173p00000CH4JPAA1</v>
      </c>
      <c r="D1317" s="497"/>
      <c r="E1317" s="497">
        <f t="shared" ca="1" si="152"/>
        <v>6</v>
      </c>
      <c r="F1317" s="516">
        <f ca="1">IF(COUNTA(D$938:D1317)=1,"",OFFSET(F1315,-COUNTA(D$938:D1317)+3,0))</f>
        <v>3</v>
      </c>
      <c r="G1317" s="503" t="str">
        <f t="shared" ca="1" si="157"/>
        <v/>
      </c>
      <c r="H1317" s="497">
        <f t="shared" ca="1" si="153"/>
        <v>13</v>
      </c>
      <c r="I1317" s="500" t="str">
        <f t="shared" ca="1" si="158"/>
        <v/>
      </c>
      <c r="J1317" s="512" t="str">
        <f t="shared" ca="1" si="159"/>
        <v/>
      </c>
      <c r="K1317" s="512" t="str">
        <f t="shared" ca="1" si="160"/>
        <v/>
      </c>
      <c r="L1317" s="503" t="str">
        <f t="shared" ca="1" si="161"/>
        <v/>
      </c>
      <c r="M1317" s="515" t="str">
        <f ca="1">IFERROR(IF(COUNTIF($B$937:$B1316,"&lt;0")&lt;&gt;1,OFFSET($C1315,-COUNTIF($B$937:$B1316,"&lt;0")+3,0),""),"")</f>
        <v>a173p00000CH4JPAA1</v>
      </c>
      <c r="N1317" s="515">
        <f ca="1">IFERROR(IF(COUNTA($D$937:D1316)=1,0,OFFSET($F1315,-COUNTA($D$937:D1316)+3,0)),"")</f>
        <v>3</v>
      </c>
      <c r="O1317" s="497"/>
      <c r="P1317" s="497">
        <f t="shared" si="154"/>
        <v>0</v>
      </c>
      <c r="Q1317" s="497"/>
      <c r="R1317" s="497"/>
      <c r="S1317" s="497"/>
      <c r="T1317" s="503"/>
    </row>
    <row r="1318" spans="1:20" x14ac:dyDescent="0.35">
      <c r="A1318" s="497" t="b">
        <f t="shared" ca="1" si="155"/>
        <v>1</v>
      </c>
      <c r="B1318" s="497">
        <f t="shared" si="151"/>
        <v>19</v>
      </c>
      <c r="C1318" s="519" t="str">
        <f t="shared" ca="1" si="156"/>
        <v>a173p00000CH4EaAAL</v>
      </c>
      <c r="D1318" s="497"/>
      <c r="E1318" s="497">
        <f t="shared" ca="1" si="152"/>
        <v>1</v>
      </c>
      <c r="F1318" s="516">
        <f ca="1">IF(COUNTA(D$938:D1318)=1,"",OFFSET(F1316,-COUNTA(D$938:D1318)+3,0))</f>
        <v>4</v>
      </c>
      <c r="G1318" s="503" t="str">
        <f t="shared" ca="1" si="157"/>
        <v/>
      </c>
      <c r="H1318" s="497">
        <f t="shared" ca="1" si="153"/>
        <v>15</v>
      </c>
      <c r="I1318" s="500" t="str">
        <f t="shared" ca="1" si="158"/>
        <v/>
      </c>
      <c r="J1318" s="512" t="str">
        <f t="shared" ca="1" si="159"/>
        <v/>
      </c>
      <c r="K1318" s="512">
        <f t="shared" ca="1" si="160"/>
        <v>41.6</v>
      </c>
      <c r="L1318" s="503" t="str">
        <f t="shared" ca="1" si="161"/>
        <v/>
      </c>
      <c r="M1318" s="515" t="str">
        <f ca="1">IFERROR(IF(COUNTIF($B$937:$B1317,"&lt;0")&lt;&gt;1,OFFSET($C1316,-COUNTIF($B$937:$B1317,"&lt;0")+3,0),""),"")</f>
        <v>a173p00000CH4EaAAL</v>
      </c>
      <c r="N1318" s="515">
        <f ca="1">IFERROR(IF(COUNTA($D$937:D1317)=1,0,OFFSET($F1316,-COUNTA($D$937:D1317)+3,0)),"")</f>
        <v>4</v>
      </c>
      <c r="O1318" s="497"/>
      <c r="P1318" s="497">
        <f t="shared" si="154"/>
        <v>0</v>
      </c>
      <c r="Q1318" s="497"/>
      <c r="R1318" s="497"/>
      <c r="S1318" s="497"/>
      <c r="T1318" s="503"/>
    </row>
    <row r="1319" spans="1:20" x14ac:dyDescent="0.35">
      <c r="A1319" s="497" t="b">
        <f t="shared" ca="1" si="155"/>
        <v>1</v>
      </c>
      <c r="B1319" s="497">
        <f t="shared" si="151"/>
        <v>20</v>
      </c>
      <c r="C1319" s="519" t="str">
        <f t="shared" ca="1" si="156"/>
        <v>a173p00000CH4FYAA1</v>
      </c>
      <c r="D1319" s="497"/>
      <c r="E1319" s="497">
        <f t="shared" ca="1" si="152"/>
        <v>2</v>
      </c>
      <c r="F1319" s="516">
        <f ca="1">IF(COUNTA(D$938:D1319)=1,"",OFFSET(F1317,-COUNTA(D$938:D1319)+3,0))</f>
        <v>4</v>
      </c>
      <c r="G1319" s="503" t="str">
        <f t="shared" ca="1" si="157"/>
        <v/>
      </c>
      <c r="H1319" s="497">
        <f t="shared" ca="1" si="153"/>
        <v>15</v>
      </c>
      <c r="I1319" s="500" t="str">
        <f t="shared" ca="1" si="158"/>
        <v/>
      </c>
      <c r="J1319" s="512" t="str">
        <f t="shared" ca="1" si="159"/>
        <v/>
      </c>
      <c r="K1319" s="512">
        <f t="shared" ca="1" si="160"/>
        <v>38.800000000000004</v>
      </c>
      <c r="L1319" s="503" t="str">
        <f t="shared" ca="1" si="161"/>
        <v/>
      </c>
      <c r="M1319" s="515" t="str">
        <f ca="1">IFERROR(IF(COUNTIF($B$937:$B1318,"&lt;0")&lt;&gt;1,OFFSET($C1317,-COUNTIF($B$937:$B1318,"&lt;0")+3,0),""),"")</f>
        <v>a173p00000CH4FYAA1</v>
      </c>
      <c r="N1319" s="515">
        <f ca="1">IFERROR(IF(COUNTA($D$937:D1318)=1,0,OFFSET($F1317,-COUNTA($D$937:D1318)+3,0)),"")</f>
        <v>4</v>
      </c>
      <c r="O1319" s="497"/>
      <c r="P1319" s="497">
        <f t="shared" si="154"/>
        <v>0</v>
      </c>
      <c r="Q1319" s="497"/>
      <c r="R1319" s="497"/>
      <c r="S1319" s="497"/>
      <c r="T1319" s="503"/>
    </row>
    <row r="1320" spans="1:20" x14ac:dyDescent="0.35">
      <c r="A1320" s="497" t="b">
        <f t="shared" ca="1" si="155"/>
        <v>1</v>
      </c>
      <c r="B1320" s="497">
        <f t="shared" si="151"/>
        <v>21</v>
      </c>
      <c r="C1320" s="519" t="str">
        <f t="shared" ca="1" si="156"/>
        <v>a173p00000CH4GWAA1</v>
      </c>
      <c r="D1320" s="497"/>
      <c r="E1320" s="497">
        <f t="shared" ca="1" si="152"/>
        <v>3</v>
      </c>
      <c r="F1320" s="516">
        <f ca="1">IF(COUNTA(D$938:D1320)=1,"",OFFSET(F1318,-COUNTA(D$938:D1320)+3,0))</f>
        <v>4</v>
      </c>
      <c r="G1320" s="503" t="str">
        <f t="shared" ca="1" si="157"/>
        <v/>
      </c>
      <c r="H1320" s="497">
        <f t="shared" ca="1" si="153"/>
        <v>15</v>
      </c>
      <c r="I1320" s="500" t="str">
        <f t="shared" ca="1" si="158"/>
        <v/>
      </c>
      <c r="J1320" s="512" t="str">
        <f t="shared" ca="1" si="159"/>
        <v/>
      </c>
      <c r="K1320" s="512">
        <f t="shared" ca="1" si="160"/>
        <v>35.700000000000003</v>
      </c>
      <c r="L1320" s="503" t="str">
        <f t="shared" ca="1" si="161"/>
        <v/>
      </c>
      <c r="M1320" s="515" t="str">
        <f ca="1">IFERROR(IF(COUNTIF($B$937:$B1319,"&lt;0")&lt;&gt;1,OFFSET($C1318,-COUNTIF($B$937:$B1319,"&lt;0")+3,0),""),"")</f>
        <v>a173p00000CH4GWAA1</v>
      </c>
      <c r="N1320" s="515">
        <f ca="1">IFERROR(IF(COUNTA($D$937:D1319)=1,0,OFFSET($F1318,-COUNTA($D$937:D1319)+3,0)),"")</f>
        <v>4</v>
      </c>
      <c r="O1320" s="497"/>
      <c r="P1320" s="497">
        <f t="shared" si="154"/>
        <v>0</v>
      </c>
      <c r="Q1320" s="497"/>
      <c r="R1320" s="497"/>
      <c r="S1320" s="497"/>
      <c r="T1320" s="503"/>
    </row>
    <row r="1321" spans="1:20" x14ac:dyDescent="0.35">
      <c r="A1321" s="497" t="b">
        <f t="shared" ca="1" si="155"/>
        <v>0</v>
      </c>
      <c r="B1321" s="497">
        <f t="shared" si="151"/>
        <v>22</v>
      </c>
      <c r="C1321" s="519" t="str">
        <f t="shared" ca="1" si="156"/>
        <v>a173p00000CH4HUAA1</v>
      </c>
      <c r="D1321" s="497"/>
      <c r="E1321" s="497">
        <f t="shared" ca="1" si="152"/>
        <v>4</v>
      </c>
      <c r="F1321" s="516">
        <f ca="1">IF(COUNTA(D$938:D1321)=1,"",OFFSET(F1319,-COUNTA(D$938:D1321)+3,0))</f>
        <v>4</v>
      </c>
      <c r="G1321" s="503" t="str">
        <f t="shared" ca="1" si="157"/>
        <v/>
      </c>
      <c r="H1321" s="497">
        <f t="shared" ca="1" si="153"/>
        <v>15</v>
      </c>
      <c r="I1321" s="500" t="str">
        <f t="shared" ca="1" si="158"/>
        <v/>
      </c>
      <c r="J1321" s="512" t="str">
        <f t="shared" ca="1" si="159"/>
        <v/>
      </c>
      <c r="K1321" s="512" t="str">
        <f t="shared" ca="1" si="160"/>
        <v/>
      </c>
      <c r="L1321" s="503" t="str">
        <f t="shared" ca="1" si="161"/>
        <v/>
      </c>
      <c r="M1321" s="515" t="str">
        <f ca="1">IFERROR(IF(COUNTIF($B$937:$B1320,"&lt;0")&lt;&gt;1,OFFSET($C1319,-COUNTIF($B$937:$B1320,"&lt;0")+3,0),""),"")</f>
        <v>a173p00000CH4HUAA1</v>
      </c>
      <c r="N1321" s="515">
        <f ca="1">IFERROR(IF(COUNTA($D$937:D1320)=1,0,OFFSET($F1319,-COUNTA($D$937:D1320)+3,0)),"")</f>
        <v>4</v>
      </c>
      <c r="O1321" s="497"/>
      <c r="P1321" s="497">
        <f t="shared" si="154"/>
        <v>0</v>
      </c>
      <c r="Q1321" s="497"/>
      <c r="R1321" s="497"/>
      <c r="S1321" s="497"/>
      <c r="T1321" s="503"/>
    </row>
    <row r="1322" spans="1:20" x14ac:dyDescent="0.35">
      <c r="A1322" s="497" t="b">
        <f t="shared" ca="1" si="155"/>
        <v>0</v>
      </c>
      <c r="B1322" s="497">
        <f t="shared" si="151"/>
        <v>23</v>
      </c>
      <c r="C1322" s="519" t="str">
        <f t="shared" ca="1" si="156"/>
        <v>a173p00000CH4ISAA1</v>
      </c>
      <c r="D1322" s="497"/>
      <c r="E1322" s="497">
        <f t="shared" ca="1" si="152"/>
        <v>5</v>
      </c>
      <c r="F1322" s="516">
        <f ca="1">IF(COUNTA(D$938:D1322)=1,"",OFFSET(F1320,-COUNTA(D$938:D1322)+3,0))</f>
        <v>4</v>
      </c>
      <c r="G1322" s="503" t="str">
        <f t="shared" ca="1" si="157"/>
        <v/>
      </c>
      <c r="H1322" s="497">
        <f t="shared" ca="1" si="153"/>
        <v>15</v>
      </c>
      <c r="I1322" s="500" t="str">
        <f t="shared" ca="1" si="158"/>
        <v/>
      </c>
      <c r="J1322" s="512" t="str">
        <f t="shared" ca="1" si="159"/>
        <v/>
      </c>
      <c r="K1322" s="512" t="str">
        <f t="shared" ca="1" si="160"/>
        <v/>
      </c>
      <c r="L1322" s="503" t="str">
        <f t="shared" ca="1" si="161"/>
        <v/>
      </c>
      <c r="M1322" s="515" t="str">
        <f ca="1">IFERROR(IF(COUNTIF($B$937:$B1321,"&lt;0")&lt;&gt;1,OFFSET($C1320,-COUNTIF($B$937:$B1321,"&lt;0")+3,0),""),"")</f>
        <v>a173p00000CH4ISAA1</v>
      </c>
      <c r="N1322" s="515">
        <f ca="1">IFERROR(IF(COUNTA($D$937:D1321)=1,0,OFFSET($F1320,-COUNTA($D$937:D1321)+3,0)),"")</f>
        <v>4</v>
      </c>
      <c r="O1322" s="497"/>
      <c r="P1322" s="497">
        <f t="shared" si="154"/>
        <v>0</v>
      </c>
      <c r="Q1322" s="497"/>
      <c r="R1322" s="497"/>
      <c r="S1322" s="497"/>
      <c r="T1322" s="503"/>
    </row>
    <row r="1323" spans="1:20" x14ac:dyDescent="0.35">
      <c r="A1323" s="497" t="b">
        <f t="shared" ca="1" si="155"/>
        <v>0</v>
      </c>
      <c r="B1323" s="497">
        <f t="shared" si="151"/>
        <v>24</v>
      </c>
      <c r="C1323" s="519" t="str">
        <f t="shared" ca="1" si="156"/>
        <v>a173p00000CH4JQAA1</v>
      </c>
      <c r="D1323" s="497"/>
      <c r="E1323" s="497">
        <f t="shared" ca="1" si="152"/>
        <v>6</v>
      </c>
      <c r="F1323" s="516">
        <f ca="1">IF(COUNTA(D$938:D1323)=1,"",OFFSET(F1321,-COUNTA(D$938:D1323)+3,0))</f>
        <v>4</v>
      </c>
      <c r="G1323" s="503" t="str">
        <f t="shared" ca="1" si="157"/>
        <v/>
      </c>
      <c r="H1323" s="497">
        <f t="shared" ca="1" si="153"/>
        <v>15</v>
      </c>
      <c r="I1323" s="500" t="str">
        <f t="shared" ca="1" si="158"/>
        <v/>
      </c>
      <c r="J1323" s="512" t="str">
        <f t="shared" ca="1" si="159"/>
        <v/>
      </c>
      <c r="K1323" s="512" t="str">
        <f t="shared" ca="1" si="160"/>
        <v/>
      </c>
      <c r="L1323" s="503" t="str">
        <f t="shared" ca="1" si="161"/>
        <v/>
      </c>
      <c r="M1323" s="515" t="str">
        <f ca="1">IFERROR(IF(COUNTIF($B$937:$B1322,"&lt;0")&lt;&gt;1,OFFSET($C1321,-COUNTIF($B$937:$B1322,"&lt;0")+3,0),""),"")</f>
        <v>a173p00000CH4JQAA1</v>
      </c>
      <c r="N1323" s="515">
        <f ca="1">IFERROR(IF(COUNTA($D$937:D1322)=1,0,OFFSET($F1321,-COUNTA($D$937:D1322)+3,0)),"")</f>
        <v>4</v>
      </c>
      <c r="O1323" s="497"/>
      <c r="P1323" s="497">
        <f t="shared" si="154"/>
        <v>0</v>
      </c>
      <c r="Q1323" s="497"/>
      <c r="R1323" s="497"/>
      <c r="S1323" s="497"/>
      <c r="T1323" s="503"/>
    </row>
    <row r="1324" spans="1:20" x14ac:dyDescent="0.35">
      <c r="A1324" s="497" t="b">
        <f t="shared" ca="1" si="155"/>
        <v>1</v>
      </c>
      <c r="B1324" s="497">
        <f t="shared" ref="B1324:B1387" si="162">B1323+1</f>
        <v>25</v>
      </c>
      <c r="C1324" s="519" t="str">
        <f t="shared" ca="1" si="156"/>
        <v>a173p00000CH4EbAAL</v>
      </c>
      <c r="D1324" s="497"/>
      <c r="E1324" s="497">
        <f t="shared" ref="E1324:E1387" ca="1" si="163">COUNTIF(F1227:F1324,F1324)</f>
        <v>1</v>
      </c>
      <c r="F1324" s="516">
        <f ca="1">IF(COUNTA(D$938:D1324)=1,"",OFFSET(F1322,-COUNTA(D$938:D1324)+3,0))</f>
        <v>5</v>
      </c>
      <c r="G1324" s="503" t="str">
        <f t="shared" ca="1" si="157"/>
        <v/>
      </c>
      <c r="H1324" s="497">
        <f t="shared" ref="H1324:H1387" ca="1" si="164">IF(F1324=1,9,IF(E1323=MAX(E1322:E1324),H1322+2,H1323))</f>
        <v>17</v>
      </c>
      <c r="I1324" s="500">
        <f t="shared" ca="1" si="158"/>
        <v>0.94000000000000006</v>
      </c>
      <c r="J1324" s="512" t="str">
        <f t="shared" ca="1" si="159"/>
        <v/>
      </c>
      <c r="K1324" s="512" t="str">
        <f t="shared" ca="1" si="160"/>
        <v/>
      </c>
      <c r="L1324" s="503" t="str">
        <f t="shared" ca="1" si="161"/>
        <v/>
      </c>
      <c r="M1324" s="515" t="str">
        <f ca="1">IFERROR(IF(COUNTIF($B$937:$B1323,"&lt;0")&lt;&gt;1,OFFSET($C1322,-COUNTIF($B$937:$B1323,"&lt;0")+3,0),""),"")</f>
        <v>a173p00000CH4EbAAL</v>
      </c>
      <c r="N1324" s="515">
        <f ca="1">IFERROR(IF(COUNTA($D$937:D1323)=1,0,OFFSET($F1322,-COUNTA($D$937:D1323)+3,0)),"")</f>
        <v>5</v>
      </c>
      <c r="O1324" s="497"/>
      <c r="P1324" s="497">
        <f t="shared" ref="P1324:P1387" si="165">IF(NOT(_xlfn.ISFORMULA(I1324)),P1323+1,0)</f>
        <v>0</v>
      </c>
      <c r="Q1324" s="497"/>
      <c r="R1324" s="497"/>
      <c r="S1324" s="497"/>
      <c r="T1324" s="503"/>
    </row>
    <row r="1325" spans="1:20" x14ac:dyDescent="0.35">
      <c r="A1325" s="497" t="b">
        <f t="shared" ca="1" si="155"/>
        <v>1</v>
      </c>
      <c r="B1325" s="497">
        <f t="shared" si="162"/>
        <v>26</v>
      </c>
      <c r="C1325" s="519" t="str">
        <f t="shared" ca="1" si="156"/>
        <v>a173p00000CH4FZAA1</v>
      </c>
      <c r="D1325" s="497"/>
      <c r="E1325" s="497">
        <f t="shared" ca="1" si="163"/>
        <v>2</v>
      </c>
      <c r="F1325" s="516">
        <f ca="1">IF(COUNTA(D$938:D1325)=1,"",OFFSET(F1323,-COUNTA(D$938:D1325)+3,0))</f>
        <v>5</v>
      </c>
      <c r="G1325" s="503" t="str">
        <f t="shared" ca="1" si="157"/>
        <v/>
      </c>
      <c r="H1325" s="497">
        <f t="shared" ca="1" si="164"/>
        <v>17</v>
      </c>
      <c r="I1325" s="500" t="str">
        <f t="shared" ca="1" si="158"/>
        <v/>
      </c>
      <c r="J1325" s="512" t="str">
        <f t="shared" ca="1" si="159"/>
        <v/>
      </c>
      <c r="K1325" s="512" t="str">
        <f t="shared" ca="1" si="160"/>
        <v/>
      </c>
      <c r="L1325" s="503" t="str">
        <f t="shared" ca="1" si="161"/>
        <v>TBD</v>
      </c>
      <c r="M1325" s="515" t="str">
        <f ca="1">IFERROR(IF(COUNTIF($B$937:$B1324,"&lt;0")&lt;&gt;1,OFFSET($C1323,-COUNTIF($B$937:$B1324,"&lt;0")+3,0),""),"")</f>
        <v>a173p00000CH4FZAA1</v>
      </c>
      <c r="N1325" s="515">
        <f ca="1">IFERROR(IF(COUNTA($D$937:D1324)=1,0,OFFSET($F1323,-COUNTA($D$937:D1324)+3,0)),"")</f>
        <v>5</v>
      </c>
      <c r="O1325" s="497"/>
      <c r="P1325" s="497">
        <f t="shared" si="165"/>
        <v>0</v>
      </c>
      <c r="Q1325" s="497"/>
      <c r="R1325" s="497"/>
      <c r="S1325" s="497"/>
      <c r="T1325" s="503"/>
    </row>
    <row r="1326" spans="1:20" x14ac:dyDescent="0.35">
      <c r="A1326" s="497" t="b">
        <f t="shared" ca="1" si="155"/>
        <v>1</v>
      </c>
      <c r="B1326" s="497">
        <f t="shared" si="162"/>
        <v>27</v>
      </c>
      <c r="C1326" s="519" t="str">
        <f t="shared" ca="1" si="156"/>
        <v>a173p00000CH4GXAA1</v>
      </c>
      <c r="D1326" s="497"/>
      <c r="E1326" s="497">
        <f t="shared" ca="1" si="163"/>
        <v>3</v>
      </c>
      <c r="F1326" s="516">
        <f ca="1">IF(COUNTA(D$938:D1326)=1,"",OFFSET(F1324,-COUNTA(D$938:D1326)+3,0))</f>
        <v>5</v>
      </c>
      <c r="G1326" s="503" t="str">
        <f t="shared" ca="1" si="157"/>
        <v/>
      </c>
      <c r="H1326" s="497">
        <f t="shared" ca="1" si="164"/>
        <v>17</v>
      </c>
      <c r="I1326" s="500" t="str">
        <f t="shared" ca="1" si="158"/>
        <v/>
      </c>
      <c r="J1326" s="512" t="str">
        <f t="shared" ca="1" si="159"/>
        <v/>
      </c>
      <c r="K1326" s="512" t="str">
        <f t="shared" ca="1" si="160"/>
        <v/>
      </c>
      <c r="L1326" s="503" t="str">
        <f t="shared" ca="1" si="161"/>
        <v>TBD</v>
      </c>
      <c r="M1326" s="515" t="str">
        <f ca="1">IFERROR(IF(COUNTIF($B$937:$B1325,"&lt;0")&lt;&gt;1,OFFSET($C1324,-COUNTIF($B$937:$B1325,"&lt;0")+3,0),""),"")</f>
        <v>a173p00000CH4GXAA1</v>
      </c>
      <c r="N1326" s="515">
        <f ca="1">IFERROR(IF(COUNTA($D$937:D1325)=1,0,OFFSET($F1324,-COUNTA($D$937:D1325)+3,0)),"")</f>
        <v>5</v>
      </c>
      <c r="O1326" s="497"/>
      <c r="P1326" s="497">
        <f t="shared" si="165"/>
        <v>0</v>
      </c>
      <c r="Q1326" s="497"/>
      <c r="R1326" s="497"/>
      <c r="S1326" s="497"/>
      <c r="T1326" s="503"/>
    </row>
    <row r="1327" spans="1:20" x14ac:dyDescent="0.35">
      <c r="A1327" s="497" t="b">
        <f t="shared" ca="1" si="155"/>
        <v>0</v>
      </c>
      <c r="B1327" s="497">
        <f t="shared" si="162"/>
        <v>28</v>
      </c>
      <c r="C1327" s="519" t="str">
        <f t="shared" ca="1" si="156"/>
        <v>a173p00000CH4HVAA1</v>
      </c>
      <c r="D1327" s="497"/>
      <c r="E1327" s="497">
        <f t="shared" ca="1" si="163"/>
        <v>4</v>
      </c>
      <c r="F1327" s="516">
        <f ca="1">IF(COUNTA(D$938:D1327)=1,"",OFFSET(F1325,-COUNTA(D$938:D1327)+3,0))</f>
        <v>5</v>
      </c>
      <c r="G1327" s="503" t="str">
        <f t="shared" ca="1" si="157"/>
        <v/>
      </c>
      <c r="H1327" s="497">
        <f t="shared" ca="1" si="164"/>
        <v>17</v>
      </c>
      <c r="I1327" s="500" t="str">
        <f t="shared" ca="1" si="158"/>
        <v/>
      </c>
      <c r="J1327" s="512" t="str">
        <f t="shared" ca="1" si="159"/>
        <v/>
      </c>
      <c r="K1327" s="512" t="str">
        <f t="shared" ca="1" si="160"/>
        <v/>
      </c>
      <c r="L1327" s="503" t="str">
        <f t="shared" ca="1" si="161"/>
        <v/>
      </c>
      <c r="M1327" s="515" t="str">
        <f ca="1">IFERROR(IF(COUNTIF($B$937:$B1326,"&lt;0")&lt;&gt;1,OFFSET($C1325,-COUNTIF($B$937:$B1326,"&lt;0")+3,0),""),"")</f>
        <v>a173p00000CH4HVAA1</v>
      </c>
      <c r="N1327" s="515">
        <f ca="1">IFERROR(IF(COUNTA($D$937:D1326)=1,0,OFFSET($F1325,-COUNTA($D$937:D1326)+3,0)),"")</f>
        <v>5</v>
      </c>
      <c r="O1327" s="497"/>
      <c r="P1327" s="497">
        <f t="shared" si="165"/>
        <v>0</v>
      </c>
      <c r="Q1327" s="497"/>
      <c r="R1327" s="497"/>
      <c r="S1327" s="497"/>
      <c r="T1327" s="503"/>
    </row>
    <row r="1328" spans="1:20" x14ac:dyDescent="0.35">
      <c r="A1328" s="497" t="b">
        <f t="shared" ca="1" si="155"/>
        <v>0</v>
      </c>
      <c r="B1328" s="497">
        <f t="shared" si="162"/>
        <v>29</v>
      </c>
      <c r="C1328" s="519" t="str">
        <f t="shared" ca="1" si="156"/>
        <v>a173p00000CH4ITAA1</v>
      </c>
      <c r="D1328" s="497"/>
      <c r="E1328" s="497">
        <f t="shared" ca="1" si="163"/>
        <v>5</v>
      </c>
      <c r="F1328" s="516">
        <f ca="1">IF(COUNTA(D$938:D1328)=1,"",OFFSET(F1326,-COUNTA(D$938:D1328)+3,0))</f>
        <v>5</v>
      </c>
      <c r="G1328" s="503" t="str">
        <f t="shared" ca="1" si="157"/>
        <v/>
      </c>
      <c r="H1328" s="497">
        <f t="shared" ca="1" si="164"/>
        <v>17</v>
      </c>
      <c r="I1328" s="500" t="str">
        <f t="shared" ca="1" si="158"/>
        <v/>
      </c>
      <c r="J1328" s="512" t="str">
        <f t="shared" ca="1" si="159"/>
        <v/>
      </c>
      <c r="K1328" s="512" t="str">
        <f t="shared" ca="1" si="160"/>
        <v/>
      </c>
      <c r="L1328" s="503" t="str">
        <f t="shared" ca="1" si="161"/>
        <v/>
      </c>
      <c r="M1328" s="515" t="str">
        <f ca="1">IFERROR(IF(COUNTIF($B$937:$B1327,"&lt;0")&lt;&gt;1,OFFSET($C1326,-COUNTIF($B$937:$B1327,"&lt;0")+3,0),""),"")</f>
        <v>a173p00000CH4ITAA1</v>
      </c>
      <c r="N1328" s="515">
        <f ca="1">IFERROR(IF(COUNTA($D$937:D1327)=1,0,OFFSET($F1326,-COUNTA($D$937:D1327)+3,0)),"")</f>
        <v>5</v>
      </c>
      <c r="O1328" s="497"/>
      <c r="P1328" s="497">
        <f t="shared" si="165"/>
        <v>0</v>
      </c>
      <c r="Q1328" s="497"/>
      <c r="R1328" s="497"/>
      <c r="S1328" s="497"/>
      <c r="T1328" s="503"/>
    </row>
    <row r="1329" spans="1:20" x14ac:dyDescent="0.35">
      <c r="A1329" s="497" t="b">
        <f t="shared" ca="1" si="155"/>
        <v>0</v>
      </c>
      <c r="B1329" s="497">
        <f t="shared" si="162"/>
        <v>30</v>
      </c>
      <c r="C1329" s="519" t="str">
        <f t="shared" ca="1" si="156"/>
        <v>a173p00000CH4JRAA1</v>
      </c>
      <c r="D1329" s="497"/>
      <c r="E1329" s="497">
        <f t="shared" ca="1" si="163"/>
        <v>6</v>
      </c>
      <c r="F1329" s="516">
        <f ca="1">IF(COUNTA(D$938:D1329)=1,"",OFFSET(F1327,-COUNTA(D$938:D1329)+3,0))</f>
        <v>5</v>
      </c>
      <c r="G1329" s="503" t="str">
        <f t="shared" ca="1" si="157"/>
        <v/>
      </c>
      <c r="H1329" s="497">
        <f t="shared" ca="1" si="164"/>
        <v>17</v>
      </c>
      <c r="I1329" s="500" t="str">
        <f t="shared" ca="1" si="158"/>
        <v/>
      </c>
      <c r="J1329" s="512" t="str">
        <f t="shared" ca="1" si="159"/>
        <v/>
      </c>
      <c r="K1329" s="512" t="str">
        <f t="shared" ca="1" si="160"/>
        <v/>
      </c>
      <c r="L1329" s="503" t="str">
        <f t="shared" ca="1" si="161"/>
        <v/>
      </c>
      <c r="M1329" s="515" t="str">
        <f ca="1">IFERROR(IF(COUNTIF($B$937:$B1328,"&lt;0")&lt;&gt;1,OFFSET($C1327,-COUNTIF($B$937:$B1328,"&lt;0")+3,0),""),"")</f>
        <v>a173p00000CH4JRAA1</v>
      </c>
      <c r="N1329" s="515">
        <f ca="1">IFERROR(IF(COUNTA($D$937:D1328)=1,0,OFFSET($F1327,-COUNTA($D$937:D1328)+3,0)),"")</f>
        <v>5</v>
      </c>
      <c r="O1329" s="497"/>
      <c r="P1329" s="497">
        <f t="shared" si="165"/>
        <v>0</v>
      </c>
      <c r="Q1329" s="497"/>
      <c r="R1329" s="497"/>
      <c r="S1329" s="497"/>
      <c r="T1329" s="503"/>
    </row>
    <row r="1330" spans="1:20" x14ac:dyDescent="0.35">
      <c r="A1330" s="497" t="b">
        <f t="shared" ca="1" si="155"/>
        <v>1</v>
      </c>
      <c r="B1330" s="497">
        <f t="shared" si="162"/>
        <v>31</v>
      </c>
      <c r="C1330" s="519" t="str">
        <f t="shared" ca="1" si="156"/>
        <v>a173p00000CH4EcAAL</v>
      </c>
      <c r="D1330" s="497"/>
      <c r="E1330" s="497">
        <f t="shared" ca="1" si="163"/>
        <v>1</v>
      </c>
      <c r="F1330" s="516">
        <f ca="1">IF(COUNTA(D$938:D1330)=1,"",OFFSET(F1328,-COUNTA(D$938:D1330)+3,0))</f>
        <v>6</v>
      </c>
      <c r="G1330" s="503" t="str">
        <f t="shared" ca="1" si="157"/>
        <v/>
      </c>
      <c r="H1330" s="497">
        <f t="shared" ca="1" si="164"/>
        <v>19</v>
      </c>
      <c r="I1330" s="500" t="str">
        <f t="shared" ca="1" si="158"/>
        <v/>
      </c>
      <c r="J1330" s="512" t="str">
        <f t="shared" ca="1" si="159"/>
        <v/>
      </c>
      <c r="K1330" s="512">
        <f t="shared" ca="1" si="160"/>
        <v>728</v>
      </c>
      <c r="L1330" s="503" t="str">
        <f t="shared" ca="1" si="161"/>
        <v/>
      </c>
      <c r="M1330" s="515" t="str">
        <f ca="1">IFERROR(IF(COUNTIF($B$937:$B1329,"&lt;0")&lt;&gt;1,OFFSET($C1328,-COUNTIF($B$937:$B1329,"&lt;0")+3,0),""),"")</f>
        <v>a173p00000CH4EcAAL</v>
      </c>
      <c r="N1330" s="515">
        <f ca="1">IFERROR(IF(COUNTA($D$937:D1329)=1,0,OFFSET($F1328,-COUNTA($D$937:D1329)+3,0)),"")</f>
        <v>6</v>
      </c>
      <c r="O1330" s="497"/>
      <c r="P1330" s="497">
        <f t="shared" si="165"/>
        <v>0</v>
      </c>
      <c r="Q1330" s="497"/>
      <c r="R1330" s="497"/>
      <c r="S1330" s="497"/>
      <c r="T1330" s="503"/>
    </row>
    <row r="1331" spans="1:20" x14ac:dyDescent="0.35">
      <c r="A1331" s="497" t="b">
        <f t="shared" ca="1" si="155"/>
        <v>1</v>
      </c>
      <c r="B1331" s="497">
        <f t="shared" si="162"/>
        <v>32</v>
      </c>
      <c r="C1331" s="519" t="str">
        <f t="shared" ca="1" si="156"/>
        <v>a173p00000CH4FaAAL</v>
      </c>
      <c r="D1331" s="497"/>
      <c r="E1331" s="497">
        <f t="shared" ca="1" si="163"/>
        <v>2</v>
      </c>
      <c r="F1331" s="516">
        <f ca="1">IF(COUNTA(D$938:D1331)=1,"",OFFSET(F1329,-COUNTA(D$938:D1331)+3,0))</f>
        <v>6</v>
      </c>
      <c r="G1331" s="503" t="str">
        <f t="shared" ca="1" si="157"/>
        <v/>
      </c>
      <c r="H1331" s="497">
        <f t="shared" ca="1" si="164"/>
        <v>19</v>
      </c>
      <c r="I1331" s="500" t="str">
        <f t="shared" ca="1" si="158"/>
        <v/>
      </c>
      <c r="J1331" s="512" t="str">
        <f t="shared" ca="1" si="159"/>
        <v/>
      </c>
      <c r="K1331" s="512">
        <f t="shared" ca="1" si="160"/>
        <v>582</v>
      </c>
      <c r="L1331" s="503" t="str">
        <f t="shared" ca="1" si="161"/>
        <v/>
      </c>
      <c r="M1331" s="515" t="str">
        <f ca="1">IFERROR(IF(COUNTIF($B$937:$B1330,"&lt;0")&lt;&gt;1,OFFSET($C1329,-COUNTIF($B$937:$B1330,"&lt;0")+3,0),""),"")</f>
        <v>a173p00000CH4FaAAL</v>
      </c>
      <c r="N1331" s="515">
        <f ca="1">IFERROR(IF(COUNTA($D$937:D1330)=1,0,OFFSET($F1329,-COUNTA($D$937:D1330)+3,0)),"")</f>
        <v>6</v>
      </c>
      <c r="O1331" s="497"/>
      <c r="P1331" s="497">
        <f t="shared" si="165"/>
        <v>0</v>
      </c>
      <c r="Q1331" s="497"/>
      <c r="R1331" s="497"/>
      <c r="S1331" s="497"/>
      <c r="T1331" s="503"/>
    </row>
    <row r="1332" spans="1:20" x14ac:dyDescent="0.35">
      <c r="A1332" s="497" t="b">
        <f t="shared" ca="1" si="155"/>
        <v>1</v>
      </c>
      <c r="B1332" s="497">
        <f t="shared" si="162"/>
        <v>33</v>
      </c>
      <c r="C1332" s="519" t="str">
        <f t="shared" ca="1" si="156"/>
        <v>a173p00000CH4GYAA1</v>
      </c>
      <c r="D1332" s="497"/>
      <c r="E1332" s="497">
        <f t="shared" ca="1" si="163"/>
        <v>3</v>
      </c>
      <c r="F1332" s="516">
        <f ca="1">IF(COUNTA(D$938:D1332)=1,"",OFFSET(F1330,-COUNTA(D$938:D1332)+3,0))</f>
        <v>6</v>
      </c>
      <c r="G1332" s="503" t="str">
        <f t="shared" ca="1" si="157"/>
        <v/>
      </c>
      <c r="H1332" s="497">
        <f t="shared" ca="1" si="164"/>
        <v>19</v>
      </c>
      <c r="I1332" s="500" t="str">
        <f t="shared" ca="1" si="158"/>
        <v/>
      </c>
      <c r="J1332" s="512" t="str">
        <f t="shared" ca="1" si="159"/>
        <v/>
      </c>
      <c r="K1332" s="512">
        <f t="shared" ca="1" si="160"/>
        <v>446</v>
      </c>
      <c r="L1332" s="503" t="str">
        <f t="shared" ca="1" si="161"/>
        <v/>
      </c>
      <c r="M1332" s="515" t="str">
        <f ca="1">IFERROR(IF(COUNTIF($B$937:$B1331,"&lt;0")&lt;&gt;1,OFFSET($C1330,-COUNTIF($B$937:$B1331,"&lt;0")+3,0),""),"")</f>
        <v>a173p00000CH4GYAA1</v>
      </c>
      <c r="N1332" s="515">
        <f ca="1">IFERROR(IF(COUNTA($D$937:D1331)=1,0,OFFSET($F1330,-COUNTA($D$937:D1331)+3,0)),"")</f>
        <v>6</v>
      </c>
      <c r="O1332" s="497"/>
      <c r="P1332" s="497">
        <f t="shared" si="165"/>
        <v>0</v>
      </c>
      <c r="Q1332" s="497"/>
      <c r="R1332" s="497"/>
      <c r="S1332" s="497"/>
      <c r="T1332" s="503"/>
    </row>
    <row r="1333" spans="1:20" x14ac:dyDescent="0.35">
      <c r="A1333" s="497" t="b">
        <f t="shared" ca="1" si="155"/>
        <v>0</v>
      </c>
      <c r="B1333" s="497">
        <f t="shared" si="162"/>
        <v>34</v>
      </c>
      <c r="C1333" s="519" t="str">
        <f t="shared" ca="1" si="156"/>
        <v>a173p00000CH4HWAA1</v>
      </c>
      <c r="D1333" s="497"/>
      <c r="E1333" s="497">
        <f t="shared" ca="1" si="163"/>
        <v>4</v>
      </c>
      <c r="F1333" s="516">
        <f ca="1">IF(COUNTA(D$938:D1333)=1,"",OFFSET(F1331,-COUNTA(D$938:D1333)+3,0))</f>
        <v>6</v>
      </c>
      <c r="G1333" s="503" t="str">
        <f t="shared" ca="1" si="157"/>
        <v/>
      </c>
      <c r="H1333" s="497">
        <f t="shared" ca="1" si="164"/>
        <v>19</v>
      </c>
      <c r="I1333" s="500" t="str">
        <f t="shared" ca="1" si="158"/>
        <v/>
      </c>
      <c r="J1333" s="512" t="str">
        <f t="shared" ca="1" si="159"/>
        <v/>
      </c>
      <c r="K1333" s="512" t="str">
        <f t="shared" ca="1" si="160"/>
        <v/>
      </c>
      <c r="L1333" s="503" t="str">
        <f t="shared" ca="1" si="161"/>
        <v/>
      </c>
      <c r="M1333" s="515" t="str">
        <f ca="1">IFERROR(IF(COUNTIF($B$937:$B1332,"&lt;0")&lt;&gt;1,OFFSET($C1331,-COUNTIF($B$937:$B1332,"&lt;0")+3,0),""),"")</f>
        <v>a173p00000CH4HWAA1</v>
      </c>
      <c r="N1333" s="515">
        <f ca="1">IFERROR(IF(COUNTA($D$937:D1332)=1,0,OFFSET($F1331,-COUNTA($D$937:D1332)+3,0)),"")</f>
        <v>6</v>
      </c>
      <c r="O1333" s="497"/>
      <c r="P1333" s="497">
        <f t="shared" si="165"/>
        <v>0</v>
      </c>
      <c r="Q1333" s="497"/>
      <c r="R1333" s="497"/>
      <c r="S1333" s="497"/>
      <c r="T1333" s="503"/>
    </row>
    <row r="1334" spans="1:20" x14ac:dyDescent="0.35">
      <c r="A1334" s="497" t="b">
        <f t="shared" ca="1" si="155"/>
        <v>0</v>
      </c>
      <c r="B1334" s="497">
        <f t="shared" si="162"/>
        <v>35</v>
      </c>
      <c r="C1334" s="519" t="str">
        <f t="shared" ca="1" si="156"/>
        <v>a173p00000CH4IUAA1</v>
      </c>
      <c r="D1334" s="497"/>
      <c r="E1334" s="497">
        <f t="shared" ca="1" si="163"/>
        <v>5</v>
      </c>
      <c r="F1334" s="516">
        <f ca="1">IF(COUNTA(D$938:D1334)=1,"",OFFSET(F1332,-COUNTA(D$938:D1334)+3,0))</f>
        <v>6</v>
      </c>
      <c r="G1334" s="503" t="str">
        <f t="shared" ca="1" si="157"/>
        <v/>
      </c>
      <c r="H1334" s="497">
        <f t="shared" ca="1" si="164"/>
        <v>19</v>
      </c>
      <c r="I1334" s="500" t="str">
        <f t="shared" ca="1" si="158"/>
        <v/>
      </c>
      <c r="J1334" s="512" t="str">
        <f t="shared" ca="1" si="159"/>
        <v/>
      </c>
      <c r="K1334" s="512" t="str">
        <f t="shared" ca="1" si="160"/>
        <v/>
      </c>
      <c r="L1334" s="503" t="str">
        <f t="shared" ca="1" si="161"/>
        <v/>
      </c>
      <c r="M1334" s="515" t="str">
        <f ca="1">IFERROR(IF(COUNTIF($B$937:$B1333,"&lt;0")&lt;&gt;1,OFFSET($C1332,-COUNTIF($B$937:$B1333,"&lt;0")+3,0),""),"")</f>
        <v>a173p00000CH4IUAA1</v>
      </c>
      <c r="N1334" s="515">
        <f ca="1">IFERROR(IF(COUNTA($D$937:D1333)=1,0,OFFSET($F1332,-COUNTA($D$937:D1333)+3,0)),"")</f>
        <v>6</v>
      </c>
      <c r="O1334" s="497"/>
      <c r="P1334" s="497">
        <f t="shared" si="165"/>
        <v>0</v>
      </c>
      <c r="Q1334" s="497"/>
      <c r="R1334" s="497"/>
      <c r="S1334" s="497"/>
      <c r="T1334" s="503"/>
    </row>
    <row r="1335" spans="1:20" x14ac:dyDescent="0.35">
      <c r="A1335" s="497" t="b">
        <f t="shared" ca="1" si="155"/>
        <v>0</v>
      </c>
      <c r="B1335" s="497">
        <f t="shared" si="162"/>
        <v>36</v>
      </c>
      <c r="C1335" s="519" t="str">
        <f t="shared" ca="1" si="156"/>
        <v>a173p00000CH4JSAA1</v>
      </c>
      <c r="D1335" s="497"/>
      <c r="E1335" s="497">
        <f t="shared" ca="1" si="163"/>
        <v>6</v>
      </c>
      <c r="F1335" s="516">
        <f ca="1">IF(COUNTA(D$938:D1335)=1,"",OFFSET(F1333,-COUNTA(D$938:D1335)+3,0))</f>
        <v>6</v>
      </c>
      <c r="G1335" s="503" t="str">
        <f t="shared" ca="1" si="157"/>
        <v/>
      </c>
      <c r="H1335" s="497">
        <f t="shared" ca="1" si="164"/>
        <v>19</v>
      </c>
      <c r="I1335" s="500" t="str">
        <f t="shared" ca="1" si="158"/>
        <v/>
      </c>
      <c r="J1335" s="512" t="str">
        <f t="shared" ca="1" si="159"/>
        <v/>
      </c>
      <c r="K1335" s="512" t="str">
        <f t="shared" ca="1" si="160"/>
        <v/>
      </c>
      <c r="L1335" s="503" t="str">
        <f t="shared" ca="1" si="161"/>
        <v/>
      </c>
      <c r="M1335" s="515" t="str">
        <f ca="1">IFERROR(IF(COUNTIF($B$937:$B1334,"&lt;0")&lt;&gt;1,OFFSET($C1333,-COUNTIF($B$937:$B1334,"&lt;0")+3,0),""),"")</f>
        <v>a173p00000CH4JSAA1</v>
      </c>
      <c r="N1335" s="515">
        <f ca="1">IFERROR(IF(COUNTA($D$937:D1334)=1,0,OFFSET($F1333,-COUNTA($D$937:D1334)+3,0)),"")</f>
        <v>6</v>
      </c>
      <c r="O1335" s="497"/>
      <c r="P1335" s="497">
        <f t="shared" si="165"/>
        <v>0</v>
      </c>
      <c r="Q1335" s="497"/>
      <c r="R1335" s="497"/>
      <c r="S1335" s="497"/>
      <c r="T1335" s="503"/>
    </row>
    <row r="1336" spans="1:20" x14ac:dyDescent="0.35">
      <c r="A1336" s="497" t="b">
        <f t="shared" ca="1" si="155"/>
        <v>1</v>
      </c>
      <c r="B1336" s="497">
        <f t="shared" si="162"/>
        <v>37</v>
      </c>
      <c r="C1336" s="519" t="str">
        <f t="shared" ca="1" si="156"/>
        <v>a173p00000CH4EdAAL</v>
      </c>
      <c r="D1336" s="497"/>
      <c r="E1336" s="497">
        <f t="shared" ca="1" si="163"/>
        <v>1</v>
      </c>
      <c r="F1336" s="516">
        <f ca="1">IF(COUNTA(D$938:D1336)=1,"",OFFSET(F1334,-COUNTA(D$938:D1336)+3,0))</f>
        <v>7</v>
      </c>
      <c r="G1336" s="503" t="str">
        <f t="shared" ca="1" si="157"/>
        <v/>
      </c>
      <c r="H1336" s="497">
        <f t="shared" ca="1" si="164"/>
        <v>21</v>
      </c>
      <c r="I1336" s="500">
        <f t="shared" ca="1" si="158"/>
        <v>50.999261174732183</v>
      </c>
      <c r="J1336" s="512">
        <f t="shared" ca="1" si="159"/>
        <v>54140</v>
      </c>
      <c r="K1336" s="512">
        <f t="shared" ca="1" si="160"/>
        <v>27611</v>
      </c>
      <c r="L1336" s="503" t="str">
        <f t="shared" ca="1" si="161"/>
        <v/>
      </c>
      <c r="M1336" s="515" t="str">
        <f ca="1">IFERROR(IF(COUNTIF($B$937:$B1335,"&lt;0")&lt;&gt;1,OFFSET($C1334,-COUNTIF($B$937:$B1335,"&lt;0")+3,0),""),"")</f>
        <v>a173p00000CH4EdAAL</v>
      </c>
      <c r="N1336" s="515">
        <f ca="1">IFERROR(IF(COUNTA($D$937:D1335)=1,0,OFFSET($F1334,-COUNTA($D$937:D1335)+3,0)),"")</f>
        <v>7</v>
      </c>
      <c r="O1336" s="497"/>
      <c r="P1336" s="497">
        <f t="shared" si="165"/>
        <v>0</v>
      </c>
      <c r="Q1336" s="497"/>
      <c r="R1336" s="497"/>
      <c r="S1336" s="497"/>
      <c r="T1336" s="503"/>
    </row>
    <row r="1337" spans="1:20" x14ac:dyDescent="0.35">
      <c r="A1337" s="497" t="b">
        <f t="shared" ca="1" si="155"/>
        <v>1</v>
      </c>
      <c r="B1337" s="497">
        <f t="shared" si="162"/>
        <v>38</v>
      </c>
      <c r="C1337" s="519" t="str">
        <f t="shared" ca="1" si="156"/>
        <v>a173p00000CH4FbAAL</v>
      </c>
      <c r="D1337" s="497"/>
      <c r="E1337" s="497">
        <f t="shared" ca="1" si="163"/>
        <v>2</v>
      </c>
      <c r="F1337" s="516">
        <f ca="1">IF(COUNTA(D$938:D1337)=1,"",OFFSET(F1335,-COUNTA(D$938:D1337)+3,0))</f>
        <v>7</v>
      </c>
      <c r="G1337" s="503" t="str">
        <f t="shared" ca="1" si="157"/>
        <v/>
      </c>
      <c r="H1337" s="497">
        <f t="shared" ca="1" si="164"/>
        <v>21</v>
      </c>
      <c r="I1337" s="500">
        <f t="shared" ca="1" si="158"/>
        <v>55.999261174732176</v>
      </c>
      <c r="J1337" s="512">
        <f t="shared" ca="1" si="159"/>
        <v>54140</v>
      </c>
      <c r="K1337" s="512">
        <f t="shared" ca="1" si="160"/>
        <v>30318</v>
      </c>
      <c r="L1337" s="503" t="str">
        <f t="shared" ca="1" si="161"/>
        <v/>
      </c>
      <c r="M1337" s="515" t="str">
        <f ca="1">IFERROR(IF(COUNTIF($B$937:$B1336,"&lt;0")&lt;&gt;1,OFFSET($C1335,-COUNTIF($B$937:$B1336,"&lt;0")+3,0),""),"")</f>
        <v>a173p00000CH4FbAAL</v>
      </c>
      <c r="N1337" s="515">
        <f ca="1">IFERROR(IF(COUNTA($D$937:D1336)=1,0,OFFSET($F1335,-COUNTA($D$937:D1336)+3,0)),"")</f>
        <v>7</v>
      </c>
      <c r="O1337" s="497"/>
      <c r="P1337" s="497">
        <f t="shared" si="165"/>
        <v>0</v>
      </c>
      <c r="Q1337" s="497"/>
      <c r="R1337" s="497"/>
      <c r="S1337" s="497"/>
      <c r="T1337" s="503"/>
    </row>
    <row r="1338" spans="1:20" x14ac:dyDescent="0.35">
      <c r="A1338" s="497" t="b">
        <f t="shared" ca="1" si="155"/>
        <v>1</v>
      </c>
      <c r="B1338" s="497">
        <f t="shared" si="162"/>
        <v>39</v>
      </c>
      <c r="C1338" s="519" t="str">
        <f t="shared" ca="1" si="156"/>
        <v>a173p00000CH4GZAA1</v>
      </c>
      <c r="D1338" s="497"/>
      <c r="E1338" s="497">
        <f t="shared" ca="1" si="163"/>
        <v>3</v>
      </c>
      <c r="F1338" s="516">
        <f ca="1">IF(COUNTA(D$938:D1338)=1,"",OFFSET(F1336,-COUNTA(D$938:D1338)+3,0))</f>
        <v>7</v>
      </c>
      <c r="G1338" s="503" t="str">
        <f t="shared" ca="1" si="157"/>
        <v/>
      </c>
      <c r="H1338" s="497">
        <f t="shared" ca="1" si="164"/>
        <v>21</v>
      </c>
      <c r="I1338" s="500">
        <f t="shared" ca="1" si="158"/>
        <v>60.999261174732176</v>
      </c>
      <c r="J1338" s="512">
        <f t="shared" ca="1" si="159"/>
        <v>54140</v>
      </c>
      <c r="K1338" s="512">
        <f t="shared" ca="1" si="160"/>
        <v>33025</v>
      </c>
      <c r="L1338" s="503" t="str">
        <f t="shared" ca="1" si="161"/>
        <v/>
      </c>
      <c r="M1338" s="515" t="str">
        <f ca="1">IFERROR(IF(COUNTIF($B$937:$B1337,"&lt;0")&lt;&gt;1,OFFSET($C1336,-COUNTIF($B$937:$B1337,"&lt;0")+3,0),""),"")</f>
        <v>a173p00000CH4GZAA1</v>
      </c>
      <c r="N1338" s="515">
        <f ca="1">IFERROR(IF(COUNTA($D$937:D1337)=1,0,OFFSET($F1336,-COUNTA($D$937:D1337)+3,0)),"")</f>
        <v>7</v>
      </c>
      <c r="O1338" s="497"/>
      <c r="P1338" s="497">
        <f t="shared" si="165"/>
        <v>0</v>
      </c>
      <c r="Q1338" s="497"/>
      <c r="R1338" s="497"/>
      <c r="S1338" s="497"/>
      <c r="T1338" s="503"/>
    </row>
    <row r="1339" spans="1:20" x14ac:dyDescent="0.35">
      <c r="A1339" s="497" t="b">
        <f t="shared" ca="1" si="155"/>
        <v>0</v>
      </c>
      <c r="B1339" s="497">
        <f t="shared" si="162"/>
        <v>40</v>
      </c>
      <c r="C1339" s="519" t="str">
        <f t="shared" ca="1" si="156"/>
        <v>a173p00000CH4HXAA1</v>
      </c>
      <c r="D1339" s="497"/>
      <c r="E1339" s="497">
        <f t="shared" ca="1" si="163"/>
        <v>4</v>
      </c>
      <c r="F1339" s="516">
        <f ca="1">IF(COUNTA(D$938:D1339)=1,"",OFFSET(F1337,-COUNTA(D$938:D1339)+3,0))</f>
        <v>7</v>
      </c>
      <c r="G1339" s="503" t="str">
        <f t="shared" ca="1" si="157"/>
        <v/>
      </c>
      <c r="H1339" s="497">
        <f t="shared" ca="1" si="164"/>
        <v>21</v>
      </c>
      <c r="I1339" s="500" t="str">
        <f t="shared" ca="1" si="158"/>
        <v/>
      </c>
      <c r="J1339" s="512" t="str">
        <f t="shared" ca="1" si="159"/>
        <v/>
      </c>
      <c r="K1339" s="512" t="str">
        <f t="shared" ca="1" si="160"/>
        <v/>
      </c>
      <c r="L1339" s="503" t="str">
        <f t="shared" ca="1" si="161"/>
        <v/>
      </c>
      <c r="M1339" s="515" t="str">
        <f ca="1">IFERROR(IF(COUNTIF($B$937:$B1338,"&lt;0")&lt;&gt;1,OFFSET($C1337,-COUNTIF($B$937:$B1338,"&lt;0")+3,0),""),"")</f>
        <v>a173p00000CH4HXAA1</v>
      </c>
      <c r="N1339" s="515">
        <f ca="1">IFERROR(IF(COUNTA($D$937:D1338)=1,0,OFFSET($F1337,-COUNTA($D$937:D1338)+3,0)),"")</f>
        <v>7</v>
      </c>
      <c r="O1339" s="497"/>
      <c r="P1339" s="497">
        <f t="shared" si="165"/>
        <v>0</v>
      </c>
      <c r="Q1339" s="497"/>
      <c r="R1339" s="497"/>
      <c r="S1339" s="497"/>
      <c r="T1339" s="503"/>
    </row>
    <row r="1340" spans="1:20" x14ac:dyDescent="0.35">
      <c r="A1340" s="497" t="b">
        <f t="shared" ca="1" si="155"/>
        <v>0</v>
      </c>
      <c r="B1340" s="497">
        <f t="shared" si="162"/>
        <v>41</v>
      </c>
      <c r="C1340" s="519" t="str">
        <f t="shared" ca="1" si="156"/>
        <v>a173p00000CH4IVAA1</v>
      </c>
      <c r="D1340" s="497"/>
      <c r="E1340" s="497">
        <f t="shared" ca="1" si="163"/>
        <v>5</v>
      </c>
      <c r="F1340" s="516">
        <f ca="1">IF(COUNTA(D$938:D1340)=1,"",OFFSET(F1338,-COUNTA(D$938:D1340)+3,0))</f>
        <v>7</v>
      </c>
      <c r="G1340" s="503" t="str">
        <f t="shared" ca="1" si="157"/>
        <v/>
      </c>
      <c r="H1340" s="497">
        <f t="shared" ca="1" si="164"/>
        <v>21</v>
      </c>
      <c r="I1340" s="500" t="str">
        <f t="shared" ca="1" si="158"/>
        <v/>
      </c>
      <c r="J1340" s="512" t="str">
        <f t="shared" ca="1" si="159"/>
        <v/>
      </c>
      <c r="K1340" s="512" t="str">
        <f t="shared" ca="1" si="160"/>
        <v/>
      </c>
      <c r="L1340" s="503" t="str">
        <f t="shared" ca="1" si="161"/>
        <v/>
      </c>
      <c r="M1340" s="515" t="str">
        <f ca="1">IFERROR(IF(COUNTIF($B$937:$B1339,"&lt;0")&lt;&gt;1,OFFSET($C1338,-COUNTIF($B$937:$B1339,"&lt;0")+3,0),""),"")</f>
        <v>a173p00000CH4IVAA1</v>
      </c>
      <c r="N1340" s="515">
        <f ca="1">IFERROR(IF(COUNTA($D$937:D1339)=1,0,OFFSET($F1338,-COUNTA($D$937:D1339)+3,0)),"")</f>
        <v>7</v>
      </c>
      <c r="O1340" s="497"/>
      <c r="P1340" s="497">
        <f t="shared" si="165"/>
        <v>0</v>
      </c>
      <c r="Q1340" s="497"/>
      <c r="R1340" s="497"/>
      <c r="S1340" s="497"/>
      <c r="T1340" s="503"/>
    </row>
    <row r="1341" spans="1:20" x14ac:dyDescent="0.35">
      <c r="A1341" s="497" t="b">
        <f t="shared" ca="1" si="155"/>
        <v>0</v>
      </c>
      <c r="B1341" s="497">
        <f t="shared" si="162"/>
        <v>42</v>
      </c>
      <c r="C1341" s="519" t="str">
        <f t="shared" ca="1" si="156"/>
        <v>a173p00000CH4JTAA1</v>
      </c>
      <c r="D1341" s="497"/>
      <c r="E1341" s="497">
        <f t="shared" ca="1" si="163"/>
        <v>6</v>
      </c>
      <c r="F1341" s="516">
        <f ca="1">IF(COUNTA(D$938:D1341)=1,"",OFFSET(F1339,-COUNTA(D$938:D1341)+3,0))</f>
        <v>7</v>
      </c>
      <c r="G1341" s="503" t="str">
        <f t="shared" ca="1" si="157"/>
        <v/>
      </c>
      <c r="H1341" s="497">
        <f t="shared" ca="1" si="164"/>
        <v>21</v>
      </c>
      <c r="I1341" s="500" t="str">
        <f t="shared" ca="1" si="158"/>
        <v/>
      </c>
      <c r="J1341" s="512" t="str">
        <f t="shared" ca="1" si="159"/>
        <v/>
      </c>
      <c r="K1341" s="512" t="str">
        <f t="shared" ca="1" si="160"/>
        <v/>
      </c>
      <c r="L1341" s="503" t="str">
        <f t="shared" ca="1" si="161"/>
        <v/>
      </c>
      <c r="M1341" s="515" t="str">
        <f ca="1">IFERROR(IF(COUNTIF($B$937:$B1340,"&lt;0")&lt;&gt;1,OFFSET($C1339,-COUNTIF($B$937:$B1340,"&lt;0")+3,0),""),"")</f>
        <v>a173p00000CH4JTAA1</v>
      </c>
      <c r="N1341" s="515">
        <f ca="1">IFERROR(IF(COUNTA($D$937:D1340)=1,0,OFFSET($F1339,-COUNTA($D$937:D1340)+3,0)),"")</f>
        <v>7</v>
      </c>
      <c r="O1341" s="497"/>
      <c r="P1341" s="497">
        <f t="shared" si="165"/>
        <v>0</v>
      </c>
      <c r="Q1341" s="497"/>
      <c r="R1341" s="497"/>
      <c r="S1341" s="497"/>
      <c r="T1341" s="503"/>
    </row>
    <row r="1342" spans="1:20" x14ac:dyDescent="0.35">
      <c r="A1342" s="497" t="b">
        <f t="shared" ca="1" si="155"/>
        <v>1</v>
      </c>
      <c r="B1342" s="497">
        <f t="shared" si="162"/>
        <v>43</v>
      </c>
      <c r="C1342" s="519" t="str">
        <f t="shared" ca="1" si="156"/>
        <v>a173p00000CH4EeAAL</v>
      </c>
      <c r="D1342" s="497"/>
      <c r="E1342" s="497">
        <f t="shared" ca="1" si="163"/>
        <v>1</v>
      </c>
      <c r="F1342" s="516">
        <f ca="1">IF(COUNTA(D$938:D1342)=1,"",OFFSET(F1340,-COUNTA(D$938:D1342)+3,0))</f>
        <v>8</v>
      </c>
      <c r="G1342" s="503" t="str">
        <f t="shared" ca="1" si="157"/>
        <v/>
      </c>
      <c r="H1342" s="497">
        <f t="shared" ca="1" si="164"/>
        <v>23</v>
      </c>
      <c r="I1342" s="500">
        <f t="shared" ca="1" si="158"/>
        <v>95</v>
      </c>
      <c r="J1342" s="512" t="str">
        <f t="shared" ca="1" si="159"/>
        <v/>
      </c>
      <c r="K1342" s="512" t="str">
        <f t="shared" ca="1" si="160"/>
        <v/>
      </c>
      <c r="L1342" s="503" t="str">
        <f t="shared" ca="1" si="161"/>
        <v/>
      </c>
      <c r="M1342" s="515" t="str">
        <f ca="1">IFERROR(IF(COUNTIF($B$937:$B1341,"&lt;0")&lt;&gt;1,OFFSET($C1340,-COUNTIF($B$937:$B1341,"&lt;0")+3,0),""),"")</f>
        <v>a173p00000CH4EeAAL</v>
      </c>
      <c r="N1342" s="515">
        <f ca="1">IFERROR(IF(COUNTA($D$937:D1341)=1,0,OFFSET($F1340,-COUNTA($D$937:D1341)+3,0)),"")</f>
        <v>8</v>
      </c>
      <c r="O1342" s="497"/>
      <c r="P1342" s="497">
        <f t="shared" si="165"/>
        <v>0</v>
      </c>
      <c r="Q1342" s="497"/>
      <c r="R1342" s="497"/>
      <c r="S1342" s="497"/>
      <c r="T1342" s="503"/>
    </row>
    <row r="1343" spans="1:20" x14ac:dyDescent="0.35">
      <c r="A1343" s="497" t="b">
        <f t="shared" ca="1" si="155"/>
        <v>1</v>
      </c>
      <c r="B1343" s="497">
        <f t="shared" si="162"/>
        <v>44</v>
      </c>
      <c r="C1343" s="519" t="str">
        <f t="shared" ca="1" si="156"/>
        <v>a173p00000CH4FcAAL</v>
      </c>
      <c r="D1343" s="497"/>
      <c r="E1343" s="497">
        <f t="shared" ca="1" si="163"/>
        <v>2</v>
      </c>
      <c r="F1343" s="516">
        <f ca="1">IF(COUNTA(D$938:D1343)=1,"",OFFSET(F1341,-COUNTA(D$938:D1343)+3,0))</f>
        <v>8</v>
      </c>
      <c r="G1343" s="503" t="str">
        <f t="shared" ca="1" si="157"/>
        <v/>
      </c>
      <c r="H1343" s="497">
        <f t="shared" ca="1" si="164"/>
        <v>23</v>
      </c>
      <c r="I1343" s="500">
        <f t="shared" ca="1" si="158"/>
        <v>95</v>
      </c>
      <c r="J1343" s="512" t="str">
        <f t="shared" ca="1" si="159"/>
        <v/>
      </c>
      <c r="K1343" s="512" t="str">
        <f t="shared" ca="1" si="160"/>
        <v/>
      </c>
      <c r="L1343" s="503" t="str">
        <f t="shared" ca="1" si="161"/>
        <v/>
      </c>
      <c r="M1343" s="515" t="str">
        <f ca="1">IFERROR(IF(COUNTIF($B$937:$B1342,"&lt;0")&lt;&gt;1,OFFSET($C1341,-COUNTIF($B$937:$B1342,"&lt;0")+3,0),""),"")</f>
        <v>a173p00000CH4FcAAL</v>
      </c>
      <c r="N1343" s="515">
        <f ca="1">IFERROR(IF(COUNTA($D$937:D1342)=1,0,OFFSET($F1341,-COUNTA($D$937:D1342)+3,0)),"")</f>
        <v>8</v>
      </c>
      <c r="O1343" s="497"/>
      <c r="P1343" s="497">
        <f t="shared" si="165"/>
        <v>0</v>
      </c>
      <c r="Q1343" s="497"/>
      <c r="R1343" s="497"/>
      <c r="S1343" s="497"/>
      <c r="T1343" s="503"/>
    </row>
    <row r="1344" spans="1:20" x14ac:dyDescent="0.35">
      <c r="A1344" s="497" t="b">
        <f t="shared" ca="1" si="155"/>
        <v>1</v>
      </c>
      <c r="B1344" s="497">
        <f t="shared" si="162"/>
        <v>45</v>
      </c>
      <c r="C1344" s="519" t="str">
        <f t="shared" ca="1" si="156"/>
        <v>a173p00000CH4GaAAL</v>
      </c>
      <c r="D1344" s="497"/>
      <c r="E1344" s="497">
        <f t="shared" ca="1" si="163"/>
        <v>3</v>
      </c>
      <c r="F1344" s="516">
        <f ca="1">IF(COUNTA(D$938:D1344)=1,"",OFFSET(F1342,-COUNTA(D$938:D1344)+3,0))</f>
        <v>8</v>
      </c>
      <c r="G1344" s="503" t="str">
        <f t="shared" ca="1" si="157"/>
        <v/>
      </c>
      <c r="H1344" s="497">
        <f t="shared" ca="1" si="164"/>
        <v>23</v>
      </c>
      <c r="I1344" s="500">
        <f t="shared" ca="1" si="158"/>
        <v>95</v>
      </c>
      <c r="J1344" s="512" t="str">
        <f t="shared" ca="1" si="159"/>
        <v/>
      </c>
      <c r="K1344" s="512" t="str">
        <f t="shared" ca="1" si="160"/>
        <v/>
      </c>
      <c r="L1344" s="503" t="str">
        <f t="shared" ca="1" si="161"/>
        <v/>
      </c>
      <c r="M1344" s="515" t="str">
        <f ca="1">IFERROR(IF(COUNTIF($B$937:$B1343,"&lt;0")&lt;&gt;1,OFFSET($C1342,-COUNTIF($B$937:$B1343,"&lt;0")+3,0),""),"")</f>
        <v>a173p00000CH4GaAAL</v>
      </c>
      <c r="N1344" s="515">
        <f ca="1">IFERROR(IF(COUNTA($D$937:D1343)=1,0,OFFSET($F1342,-COUNTA($D$937:D1343)+3,0)),"")</f>
        <v>8</v>
      </c>
      <c r="O1344" s="497"/>
      <c r="P1344" s="497">
        <f t="shared" si="165"/>
        <v>0</v>
      </c>
      <c r="Q1344" s="497"/>
      <c r="R1344" s="497"/>
      <c r="S1344" s="497"/>
      <c r="T1344" s="503"/>
    </row>
    <row r="1345" spans="1:20" x14ac:dyDescent="0.35">
      <c r="A1345" s="497" t="b">
        <f t="shared" ca="1" si="155"/>
        <v>0</v>
      </c>
      <c r="B1345" s="497">
        <f t="shared" si="162"/>
        <v>46</v>
      </c>
      <c r="C1345" s="519" t="str">
        <f t="shared" ca="1" si="156"/>
        <v>a173p00000CH4HYAA1</v>
      </c>
      <c r="D1345" s="497"/>
      <c r="E1345" s="497">
        <f t="shared" ca="1" si="163"/>
        <v>4</v>
      </c>
      <c r="F1345" s="516">
        <f ca="1">IF(COUNTA(D$938:D1345)=1,"",OFFSET(F1343,-COUNTA(D$938:D1345)+3,0))</f>
        <v>8</v>
      </c>
      <c r="G1345" s="503" t="str">
        <f t="shared" ca="1" si="157"/>
        <v/>
      </c>
      <c r="H1345" s="497">
        <f t="shared" ca="1" si="164"/>
        <v>23</v>
      </c>
      <c r="I1345" s="500" t="str">
        <f t="shared" ca="1" si="158"/>
        <v/>
      </c>
      <c r="J1345" s="512" t="str">
        <f t="shared" ca="1" si="159"/>
        <v/>
      </c>
      <c r="K1345" s="512" t="str">
        <f t="shared" ca="1" si="160"/>
        <v/>
      </c>
      <c r="L1345" s="503" t="str">
        <f t="shared" ca="1" si="161"/>
        <v/>
      </c>
      <c r="M1345" s="515" t="str">
        <f ca="1">IFERROR(IF(COUNTIF($B$937:$B1344,"&lt;0")&lt;&gt;1,OFFSET($C1343,-COUNTIF($B$937:$B1344,"&lt;0")+3,0),""),"")</f>
        <v>a173p00000CH4HYAA1</v>
      </c>
      <c r="N1345" s="515">
        <f ca="1">IFERROR(IF(COUNTA($D$937:D1344)=1,0,OFFSET($F1343,-COUNTA($D$937:D1344)+3,0)),"")</f>
        <v>8</v>
      </c>
      <c r="O1345" s="497"/>
      <c r="P1345" s="497">
        <f t="shared" si="165"/>
        <v>0</v>
      </c>
      <c r="Q1345" s="497"/>
      <c r="R1345" s="497"/>
      <c r="S1345" s="497"/>
      <c r="T1345" s="503"/>
    </row>
    <row r="1346" spans="1:20" x14ac:dyDescent="0.35">
      <c r="A1346" s="497" t="b">
        <f t="shared" ca="1" si="155"/>
        <v>0</v>
      </c>
      <c r="B1346" s="497">
        <f t="shared" si="162"/>
        <v>47</v>
      </c>
      <c r="C1346" s="519" t="str">
        <f t="shared" ca="1" si="156"/>
        <v>a173p00000CH4IWAA1</v>
      </c>
      <c r="D1346" s="497"/>
      <c r="E1346" s="497">
        <f t="shared" ca="1" si="163"/>
        <v>5</v>
      </c>
      <c r="F1346" s="516">
        <f ca="1">IF(COUNTA(D$938:D1346)=1,"",OFFSET(F1344,-COUNTA(D$938:D1346)+3,0))</f>
        <v>8</v>
      </c>
      <c r="G1346" s="503" t="str">
        <f t="shared" ca="1" si="157"/>
        <v/>
      </c>
      <c r="H1346" s="497">
        <f t="shared" ca="1" si="164"/>
        <v>23</v>
      </c>
      <c r="I1346" s="500" t="str">
        <f t="shared" ca="1" si="158"/>
        <v/>
      </c>
      <c r="J1346" s="512" t="str">
        <f t="shared" ca="1" si="159"/>
        <v/>
      </c>
      <c r="K1346" s="512" t="str">
        <f t="shared" ca="1" si="160"/>
        <v/>
      </c>
      <c r="L1346" s="503" t="str">
        <f t="shared" ca="1" si="161"/>
        <v/>
      </c>
      <c r="M1346" s="515" t="str">
        <f ca="1">IFERROR(IF(COUNTIF($B$937:$B1345,"&lt;0")&lt;&gt;1,OFFSET($C1344,-COUNTIF($B$937:$B1345,"&lt;0")+3,0),""),"")</f>
        <v>a173p00000CH4IWAA1</v>
      </c>
      <c r="N1346" s="515">
        <f ca="1">IFERROR(IF(COUNTA($D$937:D1345)=1,0,OFFSET($F1344,-COUNTA($D$937:D1345)+3,0)),"")</f>
        <v>8</v>
      </c>
      <c r="O1346" s="497"/>
      <c r="P1346" s="497">
        <f t="shared" si="165"/>
        <v>0</v>
      </c>
      <c r="Q1346" s="497"/>
      <c r="R1346" s="497"/>
      <c r="S1346" s="497"/>
      <c r="T1346" s="503"/>
    </row>
    <row r="1347" spans="1:20" x14ac:dyDescent="0.35">
      <c r="A1347" s="497" t="b">
        <f t="shared" ca="1" si="155"/>
        <v>0</v>
      </c>
      <c r="B1347" s="497">
        <f t="shared" si="162"/>
        <v>48</v>
      </c>
      <c r="C1347" s="519" t="str">
        <f t="shared" ca="1" si="156"/>
        <v>a173p00000CH4JUAA1</v>
      </c>
      <c r="D1347" s="497"/>
      <c r="E1347" s="497">
        <f t="shared" ca="1" si="163"/>
        <v>6</v>
      </c>
      <c r="F1347" s="516">
        <f ca="1">IF(COUNTA(D$938:D1347)=1,"",OFFSET(F1345,-COUNTA(D$938:D1347)+3,0))</f>
        <v>8</v>
      </c>
      <c r="G1347" s="503" t="str">
        <f t="shared" ca="1" si="157"/>
        <v/>
      </c>
      <c r="H1347" s="497">
        <f t="shared" ca="1" si="164"/>
        <v>23</v>
      </c>
      <c r="I1347" s="500" t="str">
        <f t="shared" ca="1" si="158"/>
        <v/>
      </c>
      <c r="J1347" s="512" t="str">
        <f t="shared" ca="1" si="159"/>
        <v/>
      </c>
      <c r="K1347" s="512" t="str">
        <f t="shared" ca="1" si="160"/>
        <v/>
      </c>
      <c r="L1347" s="503" t="str">
        <f t="shared" ca="1" si="161"/>
        <v/>
      </c>
      <c r="M1347" s="515" t="str">
        <f ca="1">IFERROR(IF(COUNTIF($B$937:$B1346,"&lt;0")&lt;&gt;1,OFFSET($C1345,-COUNTIF($B$937:$B1346,"&lt;0")+3,0),""),"")</f>
        <v>a173p00000CH4JUAA1</v>
      </c>
      <c r="N1347" s="515">
        <f ca="1">IFERROR(IF(COUNTA($D$937:D1346)=1,0,OFFSET($F1345,-COUNTA($D$937:D1346)+3,0)),"")</f>
        <v>8</v>
      </c>
      <c r="O1347" s="497"/>
      <c r="P1347" s="497">
        <f t="shared" si="165"/>
        <v>0</v>
      </c>
      <c r="Q1347" s="497"/>
      <c r="R1347" s="497"/>
      <c r="S1347" s="497"/>
      <c r="T1347" s="503"/>
    </row>
    <row r="1348" spans="1:20" x14ac:dyDescent="0.35">
      <c r="A1348" s="497" t="b">
        <f t="shared" ca="1" si="155"/>
        <v>1</v>
      </c>
      <c r="B1348" s="497">
        <f t="shared" si="162"/>
        <v>49</v>
      </c>
      <c r="C1348" s="519" t="str">
        <f t="shared" ca="1" si="156"/>
        <v>a173p00000CH4EfAAL</v>
      </c>
      <c r="D1348" s="497"/>
      <c r="E1348" s="497">
        <f t="shared" ca="1" si="163"/>
        <v>1</v>
      </c>
      <c r="F1348" s="516">
        <f ca="1">IF(COUNTA(D$938:D1348)=1,"",OFFSET(F1346,-COUNTA(D$938:D1348)+3,0))</f>
        <v>9</v>
      </c>
      <c r="G1348" s="503" t="str">
        <f t="shared" ca="1" si="157"/>
        <v/>
      </c>
      <c r="H1348" s="497">
        <f t="shared" ca="1" si="164"/>
        <v>25</v>
      </c>
      <c r="I1348" s="500">
        <f t="shared" ca="1" si="158"/>
        <v>84.982595723520632</v>
      </c>
      <c r="J1348" s="512">
        <f t="shared" ca="1" si="159"/>
        <v>2011</v>
      </c>
      <c r="K1348" s="512">
        <f t="shared" ca="1" si="160"/>
        <v>1709</v>
      </c>
      <c r="L1348" s="503" t="str">
        <f t="shared" ca="1" si="161"/>
        <v/>
      </c>
      <c r="M1348" s="515" t="str">
        <f ca="1">IFERROR(IF(COUNTIF($B$937:$B1347,"&lt;0")&lt;&gt;1,OFFSET($C1346,-COUNTIF($B$937:$B1347,"&lt;0")+3,0),""),"")</f>
        <v>a173p00000CH4EfAAL</v>
      </c>
      <c r="N1348" s="515">
        <f ca="1">IFERROR(IF(COUNTA($D$937:D1347)=1,0,OFFSET($F1346,-COUNTA($D$937:D1347)+3,0)),"")</f>
        <v>9</v>
      </c>
      <c r="O1348" s="497"/>
      <c r="P1348" s="497">
        <f t="shared" si="165"/>
        <v>0</v>
      </c>
      <c r="Q1348" s="497"/>
      <c r="R1348" s="497"/>
      <c r="S1348" s="497"/>
      <c r="T1348" s="503"/>
    </row>
    <row r="1349" spans="1:20" x14ac:dyDescent="0.35">
      <c r="A1349" s="497" t="b">
        <f t="shared" ca="1" si="155"/>
        <v>1</v>
      </c>
      <c r="B1349" s="497">
        <f t="shared" si="162"/>
        <v>50</v>
      </c>
      <c r="C1349" s="519" t="str">
        <f t="shared" ca="1" si="156"/>
        <v>a173p00000CH4FdAAL</v>
      </c>
      <c r="D1349" s="497"/>
      <c r="E1349" s="497">
        <f t="shared" ca="1" si="163"/>
        <v>2</v>
      </c>
      <c r="F1349" s="516">
        <f ca="1">IF(COUNTA(D$938:D1349)=1,"",OFFSET(F1347,-COUNTA(D$938:D1349)+3,0))</f>
        <v>9</v>
      </c>
      <c r="G1349" s="503" t="str">
        <f t="shared" ca="1" si="157"/>
        <v/>
      </c>
      <c r="H1349" s="497">
        <f t="shared" ca="1" si="164"/>
        <v>25</v>
      </c>
      <c r="I1349" s="500">
        <f t="shared" ca="1" si="158"/>
        <v>85.977125808055703</v>
      </c>
      <c r="J1349" s="512">
        <f t="shared" ca="1" si="159"/>
        <v>2011</v>
      </c>
      <c r="K1349" s="512">
        <f t="shared" ca="1" si="160"/>
        <v>1729</v>
      </c>
      <c r="L1349" s="503" t="str">
        <f t="shared" ca="1" si="161"/>
        <v/>
      </c>
      <c r="M1349" s="515" t="str">
        <f ca="1">IFERROR(IF(COUNTIF($B$937:$B1348,"&lt;0")&lt;&gt;1,OFFSET($C1347,-COUNTIF($B$937:$B1348,"&lt;0")+3,0),""),"")</f>
        <v>a173p00000CH4FdAAL</v>
      </c>
      <c r="N1349" s="515">
        <f ca="1">IFERROR(IF(COUNTA($D$937:D1348)=1,0,OFFSET($F1347,-COUNTA($D$937:D1348)+3,0)),"")</f>
        <v>9</v>
      </c>
      <c r="O1349" s="497"/>
      <c r="P1349" s="497">
        <f t="shared" si="165"/>
        <v>0</v>
      </c>
      <c r="Q1349" s="497"/>
      <c r="R1349" s="497"/>
      <c r="S1349" s="497"/>
      <c r="T1349" s="503"/>
    </row>
    <row r="1350" spans="1:20" x14ac:dyDescent="0.35">
      <c r="A1350" s="497" t="b">
        <f t="shared" ca="1" si="155"/>
        <v>1</v>
      </c>
      <c r="B1350" s="497">
        <f t="shared" si="162"/>
        <v>51</v>
      </c>
      <c r="C1350" s="519" t="str">
        <f t="shared" ca="1" si="156"/>
        <v>a173p00000CH4GbAAL</v>
      </c>
      <c r="D1350" s="497"/>
      <c r="E1350" s="497">
        <f t="shared" ca="1" si="163"/>
        <v>3</v>
      </c>
      <c r="F1350" s="516">
        <f ca="1">IF(COUNTA(D$938:D1350)=1,"",OFFSET(F1348,-COUNTA(D$938:D1350)+3,0))</f>
        <v>9</v>
      </c>
      <c r="G1350" s="503" t="str">
        <f t="shared" ca="1" si="157"/>
        <v/>
      </c>
      <c r="H1350" s="497">
        <f t="shared" ca="1" si="164"/>
        <v>25</v>
      </c>
      <c r="I1350" s="500">
        <f t="shared" ca="1" si="158"/>
        <v>86.971655892590746</v>
      </c>
      <c r="J1350" s="512">
        <f t="shared" ca="1" si="159"/>
        <v>2011</v>
      </c>
      <c r="K1350" s="512">
        <f t="shared" ca="1" si="160"/>
        <v>1749</v>
      </c>
      <c r="L1350" s="503" t="str">
        <f t="shared" ca="1" si="161"/>
        <v/>
      </c>
      <c r="M1350" s="515" t="str">
        <f ca="1">IFERROR(IF(COUNTIF($B$937:$B1349,"&lt;0")&lt;&gt;1,OFFSET($C1348,-COUNTIF($B$937:$B1349,"&lt;0")+3,0),""),"")</f>
        <v>a173p00000CH4GbAAL</v>
      </c>
      <c r="N1350" s="515">
        <f ca="1">IFERROR(IF(COUNTA($D$937:D1349)=1,0,OFFSET($F1348,-COUNTA($D$937:D1349)+3,0)),"")</f>
        <v>9</v>
      </c>
      <c r="O1350" s="497"/>
      <c r="P1350" s="497">
        <f t="shared" si="165"/>
        <v>0</v>
      </c>
      <c r="Q1350" s="497"/>
      <c r="R1350" s="497"/>
      <c r="S1350" s="497"/>
      <c r="T1350" s="503"/>
    </row>
    <row r="1351" spans="1:20" x14ac:dyDescent="0.35">
      <c r="A1351" s="497" t="b">
        <f t="shared" ca="1" si="155"/>
        <v>0</v>
      </c>
      <c r="B1351" s="497">
        <f t="shared" si="162"/>
        <v>52</v>
      </c>
      <c r="C1351" s="519" t="str">
        <f t="shared" ca="1" si="156"/>
        <v>a173p00000CH4HZAA1</v>
      </c>
      <c r="D1351" s="497"/>
      <c r="E1351" s="497">
        <f t="shared" ca="1" si="163"/>
        <v>4</v>
      </c>
      <c r="F1351" s="516">
        <f ca="1">IF(COUNTA(D$938:D1351)=1,"",OFFSET(F1349,-COUNTA(D$938:D1351)+3,0))</f>
        <v>9</v>
      </c>
      <c r="G1351" s="503" t="str">
        <f t="shared" ca="1" si="157"/>
        <v/>
      </c>
      <c r="H1351" s="497">
        <f t="shared" ca="1" si="164"/>
        <v>25</v>
      </c>
      <c r="I1351" s="500" t="str">
        <f t="shared" ca="1" si="158"/>
        <v/>
      </c>
      <c r="J1351" s="512" t="str">
        <f t="shared" ca="1" si="159"/>
        <v/>
      </c>
      <c r="K1351" s="512" t="str">
        <f t="shared" ca="1" si="160"/>
        <v/>
      </c>
      <c r="L1351" s="503" t="str">
        <f t="shared" ca="1" si="161"/>
        <v/>
      </c>
      <c r="M1351" s="515" t="str">
        <f ca="1">IFERROR(IF(COUNTIF($B$937:$B1350,"&lt;0")&lt;&gt;1,OFFSET($C1349,-COUNTIF($B$937:$B1350,"&lt;0")+3,0),""),"")</f>
        <v>a173p00000CH4HZAA1</v>
      </c>
      <c r="N1351" s="515">
        <f ca="1">IFERROR(IF(COUNTA($D$937:D1350)=1,0,OFFSET($F1349,-COUNTA($D$937:D1350)+3,0)),"")</f>
        <v>9</v>
      </c>
      <c r="O1351" s="497"/>
      <c r="P1351" s="497">
        <f t="shared" si="165"/>
        <v>0</v>
      </c>
      <c r="Q1351" s="497"/>
      <c r="R1351" s="497"/>
      <c r="S1351" s="497"/>
      <c r="T1351" s="503"/>
    </row>
    <row r="1352" spans="1:20" x14ac:dyDescent="0.35">
      <c r="A1352" s="497" t="b">
        <f t="shared" ca="1" si="155"/>
        <v>0</v>
      </c>
      <c r="B1352" s="497">
        <f t="shared" si="162"/>
        <v>53</v>
      </c>
      <c r="C1352" s="519" t="str">
        <f t="shared" ca="1" si="156"/>
        <v>a173p00000CH4IXAA1</v>
      </c>
      <c r="D1352" s="497"/>
      <c r="E1352" s="497">
        <f t="shared" ca="1" si="163"/>
        <v>5</v>
      </c>
      <c r="F1352" s="516">
        <f ca="1">IF(COUNTA(D$938:D1352)=1,"",OFFSET(F1350,-COUNTA(D$938:D1352)+3,0))</f>
        <v>9</v>
      </c>
      <c r="G1352" s="503" t="str">
        <f t="shared" ca="1" si="157"/>
        <v/>
      </c>
      <c r="H1352" s="497">
        <f t="shared" ca="1" si="164"/>
        <v>25</v>
      </c>
      <c r="I1352" s="500" t="str">
        <f t="shared" ca="1" si="158"/>
        <v/>
      </c>
      <c r="J1352" s="512" t="str">
        <f t="shared" ca="1" si="159"/>
        <v/>
      </c>
      <c r="K1352" s="512" t="str">
        <f t="shared" ca="1" si="160"/>
        <v/>
      </c>
      <c r="L1352" s="503" t="str">
        <f t="shared" ca="1" si="161"/>
        <v/>
      </c>
      <c r="M1352" s="515" t="str">
        <f ca="1">IFERROR(IF(COUNTIF($B$937:$B1351,"&lt;0")&lt;&gt;1,OFFSET($C1350,-COUNTIF($B$937:$B1351,"&lt;0")+3,0),""),"")</f>
        <v>a173p00000CH4IXAA1</v>
      </c>
      <c r="N1352" s="515">
        <f ca="1">IFERROR(IF(COUNTA($D$937:D1351)=1,0,OFFSET($F1350,-COUNTA($D$937:D1351)+3,0)),"")</f>
        <v>9</v>
      </c>
      <c r="O1352" s="497"/>
      <c r="P1352" s="497">
        <f t="shared" si="165"/>
        <v>0</v>
      </c>
      <c r="Q1352" s="497"/>
      <c r="R1352" s="497"/>
      <c r="S1352" s="497"/>
      <c r="T1352" s="503"/>
    </row>
    <row r="1353" spans="1:20" x14ac:dyDescent="0.35">
      <c r="A1353" s="497" t="b">
        <f t="shared" ca="1" si="155"/>
        <v>0</v>
      </c>
      <c r="B1353" s="497">
        <f t="shared" si="162"/>
        <v>54</v>
      </c>
      <c r="C1353" s="519" t="str">
        <f t="shared" ca="1" si="156"/>
        <v>a173p00000CH4JVAA1</v>
      </c>
      <c r="D1353" s="497"/>
      <c r="E1353" s="497">
        <f t="shared" ca="1" si="163"/>
        <v>6</v>
      </c>
      <c r="F1353" s="516">
        <f ca="1">IF(COUNTA(D$938:D1353)=1,"",OFFSET(F1351,-COUNTA(D$938:D1353)+3,0))</f>
        <v>9</v>
      </c>
      <c r="G1353" s="503" t="str">
        <f t="shared" ca="1" si="157"/>
        <v/>
      </c>
      <c r="H1353" s="497">
        <f t="shared" ca="1" si="164"/>
        <v>25</v>
      </c>
      <c r="I1353" s="500" t="str">
        <f t="shared" ca="1" si="158"/>
        <v/>
      </c>
      <c r="J1353" s="512" t="str">
        <f t="shared" ca="1" si="159"/>
        <v/>
      </c>
      <c r="K1353" s="512" t="str">
        <f t="shared" ca="1" si="160"/>
        <v/>
      </c>
      <c r="L1353" s="503" t="str">
        <f t="shared" ca="1" si="161"/>
        <v/>
      </c>
      <c r="M1353" s="515" t="str">
        <f ca="1">IFERROR(IF(COUNTIF($B$937:$B1352,"&lt;0")&lt;&gt;1,OFFSET($C1351,-COUNTIF($B$937:$B1352,"&lt;0")+3,0),""),"")</f>
        <v>a173p00000CH4JVAA1</v>
      </c>
      <c r="N1353" s="515">
        <f ca="1">IFERROR(IF(COUNTA($D$937:D1352)=1,0,OFFSET($F1351,-COUNTA($D$937:D1352)+3,0)),"")</f>
        <v>9</v>
      </c>
      <c r="O1353" s="497"/>
      <c r="P1353" s="497">
        <f t="shared" si="165"/>
        <v>0</v>
      </c>
      <c r="Q1353" s="497"/>
      <c r="R1353" s="497"/>
      <c r="S1353" s="497"/>
      <c r="T1353" s="503"/>
    </row>
    <row r="1354" spans="1:20" x14ac:dyDescent="0.35">
      <c r="A1354" s="497" t="b">
        <f t="shared" ca="1" si="155"/>
        <v>1</v>
      </c>
      <c r="B1354" s="497">
        <f t="shared" si="162"/>
        <v>55</v>
      </c>
      <c r="C1354" s="519" t="str">
        <f t="shared" ca="1" si="156"/>
        <v>a173p00000CH4EgAAL</v>
      </c>
      <c r="D1354" s="497"/>
      <c r="E1354" s="497">
        <f t="shared" ca="1" si="163"/>
        <v>1</v>
      </c>
      <c r="F1354" s="516">
        <f ca="1">IF(COUNTA(D$938:D1354)=1,"",OFFSET(F1352,-COUNTA(D$938:D1354)+3,0))</f>
        <v>10</v>
      </c>
      <c r="G1354" s="503" t="str">
        <f t="shared" ca="1" si="157"/>
        <v/>
      </c>
      <c r="H1354" s="497">
        <f t="shared" ca="1" si="164"/>
        <v>27</v>
      </c>
      <c r="I1354" s="500" t="str">
        <f t="shared" ca="1" si="158"/>
        <v/>
      </c>
      <c r="J1354" s="512" t="str">
        <f t="shared" ca="1" si="159"/>
        <v/>
      </c>
      <c r="K1354" s="512">
        <f t="shared" ca="1" si="160"/>
        <v>2079.9246647999998</v>
      </c>
      <c r="L1354" s="503" t="str">
        <f t="shared" ca="1" si="161"/>
        <v/>
      </c>
      <c r="M1354" s="515" t="str">
        <f ca="1">IFERROR(IF(COUNTIF($B$937:$B1353,"&lt;0")&lt;&gt;1,OFFSET($C1352,-COUNTIF($B$937:$B1353,"&lt;0")+3,0),""),"")</f>
        <v>a173p00000CH4EgAAL</v>
      </c>
      <c r="N1354" s="515">
        <f ca="1">IFERROR(IF(COUNTA($D$937:D1353)=1,0,OFFSET($F1352,-COUNTA($D$937:D1353)+3,0)),"")</f>
        <v>10</v>
      </c>
      <c r="O1354" s="497"/>
      <c r="P1354" s="497">
        <f t="shared" si="165"/>
        <v>0</v>
      </c>
      <c r="Q1354" s="497"/>
      <c r="R1354" s="497"/>
      <c r="S1354" s="497"/>
      <c r="T1354" s="503"/>
    </row>
    <row r="1355" spans="1:20" x14ac:dyDescent="0.35">
      <c r="A1355" s="497" t="b">
        <f t="shared" ca="1" si="155"/>
        <v>1</v>
      </c>
      <c r="B1355" s="497">
        <f t="shared" si="162"/>
        <v>56</v>
      </c>
      <c r="C1355" s="519" t="str">
        <f t="shared" ca="1" si="156"/>
        <v>a173p00000CH4FeAAL</v>
      </c>
      <c r="D1355" s="497"/>
      <c r="E1355" s="497">
        <f t="shared" ca="1" si="163"/>
        <v>2</v>
      </c>
      <c r="F1355" s="516">
        <f ca="1">IF(COUNTA(D$938:D1355)=1,"",OFFSET(F1353,-COUNTA(D$938:D1355)+3,0))</f>
        <v>10</v>
      </c>
      <c r="G1355" s="503" t="str">
        <f t="shared" ca="1" si="157"/>
        <v/>
      </c>
      <c r="H1355" s="497">
        <f t="shared" ca="1" si="164"/>
        <v>27</v>
      </c>
      <c r="I1355" s="500" t="str">
        <f t="shared" ca="1" si="158"/>
        <v/>
      </c>
      <c r="J1355" s="512" t="str">
        <f t="shared" ca="1" si="159"/>
        <v/>
      </c>
      <c r="K1355" s="512">
        <f t="shared" ca="1" si="160"/>
        <v>1939.8180405999999</v>
      </c>
      <c r="L1355" s="503" t="str">
        <f t="shared" ca="1" si="161"/>
        <v/>
      </c>
      <c r="M1355" s="515" t="str">
        <f ca="1">IFERROR(IF(COUNTIF($B$937:$B1354,"&lt;0")&lt;&gt;1,OFFSET($C1353,-COUNTIF($B$937:$B1354,"&lt;0")+3,0),""),"")</f>
        <v>a173p00000CH4FeAAL</v>
      </c>
      <c r="N1355" s="515">
        <f ca="1">IFERROR(IF(COUNTA($D$937:D1354)=1,0,OFFSET($F1353,-COUNTA($D$937:D1354)+3,0)),"")</f>
        <v>10</v>
      </c>
      <c r="O1355" s="497"/>
      <c r="P1355" s="497">
        <f t="shared" si="165"/>
        <v>0</v>
      </c>
      <c r="Q1355" s="497"/>
      <c r="R1355" s="497"/>
      <c r="S1355" s="497"/>
      <c r="T1355" s="503"/>
    </row>
    <row r="1356" spans="1:20" x14ac:dyDescent="0.35">
      <c r="A1356" s="497" t="b">
        <f t="shared" ca="1" si="155"/>
        <v>1</v>
      </c>
      <c r="B1356" s="497">
        <f t="shared" si="162"/>
        <v>57</v>
      </c>
      <c r="C1356" s="519" t="str">
        <f t="shared" ca="1" si="156"/>
        <v>a173p00000CH4GcAAL</v>
      </c>
      <c r="D1356" s="497"/>
      <c r="E1356" s="497">
        <f t="shared" ca="1" si="163"/>
        <v>3</v>
      </c>
      <c r="F1356" s="516">
        <f ca="1">IF(COUNTA(D$938:D1356)=1,"",OFFSET(F1354,-COUNTA(D$938:D1356)+3,0))</f>
        <v>10</v>
      </c>
      <c r="G1356" s="503" t="str">
        <f t="shared" ca="1" si="157"/>
        <v/>
      </c>
      <c r="H1356" s="497">
        <f t="shared" ca="1" si="164"/>
        <v>27</v>
      </c>
      <c r="I1356" s="500" t="str">
        <f t="shared" ca="1" si="158"/>
        <v/>
      </c>
      <c r="J1356" s="512" t="str">
        <f t="shared" ca="1" si="159"/>
        <v/>
      </c>
      <c r="K1356" s="512">
        <f t="shared" ca="1" si="160"/>
        <v>1785.1790100000001</v>
      </c>
      <c r="L1356" s="503" t="str">
        <f t="shared" ca="1" si="161"/>
        <v/>
      </c>
      <c r="M1356" s="515" t="str">
        <f ca="1">IFERROR(IF(COUNTIF($B$937:$B1355,"&lt;0")&lt;&gt;1,OFFSET($C1354,-COUNTIF($B$937:$B1355,"&lt;0")+3,0),""),"")</f>
        <v>a173p00000CH4GcAAL</v>
      </c>
      <c r="N1356" s="515">
        <f ca="1">IFERROR(IF(COUNTA($D$937:D1355)=1,0,OFFSET($F1354,-COUNTA($D$937:D1355)+3,0)),"")</f>
        <v>10</v>
      </c>
      <c r="O1356" s="497"/>
      <c r="P1356" s="497">
        <f t="shared" si="165"/>
        <v>0</v>
      </c>
      <c r="Q1356" s="497"/>
      <c r="R1356" s="497"/>
      <c r="S1356" s="497"/>
      <c r="T1356" s="503"/>
    </row>
    <row r="1357" spans="1:20" x14ac:dyDescent="0.35">
      <c r="A1357" s="497" t="b">
        <f t="shared" ca="1" si="155"/>
        <v>0</v>
      </c>
      <c r="B1357" s="497">
        <f t="shared" si="162"/>
        <v>58</v>
      </c>
      <c r="C1357" s="519" t="str">
        <f t="shared" ca="1" si="156"/>
        <v>a173p00000CH4HaAAL</v>
      </c>
      <c r="D1357" s="497"/>
      <c r="E1357" s="497">
        <f t="shared" ca="1" si="163"/>
        <v>4</v>
      </c>
      <c r="F1357" s="516">
        <f ca="1">IF(COUNTA(D$938:D1357)=1,"",OFFSET(F1355,-COUNTA(D$938:D1357)+3,0))</f>
        <v>10</v>
      </c>
      <c r="G1357" s="503" t="str">
        <f t="shared" ca="1" si="157"/>
        <v/>
      </c>
      <c r="H1357" s="497">
        <f t="shared" ca="1" si="164"/>
        <v>27</v>
      </c>
      <c r="I1357" s="500" t="str">
        <f t="shared" ca="1" si="158"/>
        <v/>
      </c>
      <c r="J1357" s="512" t="str">
        <f t="shared" ca="1" si="159"/>
        <v/>
      </c>
      <c r="K1357" s="512" t="str">
        <f t="shared" ca="1" si="160"/>
        <v/>
      </c>
      <c r="L1357" s="503" t="str">
        <f t="shared" ca="1" si="161"/>
        <v/>
      </c>
      <c r="M1357" s="515" t="str">
        <f ca="1">IFERROR(IF(COUNTIF($B$937:$B1356,"&lt;0")&lt;&gt;1,OFFSET($C1355,-COUNTIF($B$937:$B1356,"&lt;0")+3,0),""),"")</f>
        <v>a173p00000CH4HaAAL</v>
      </c>
      <c r="N1357" s="515">
        <f ca="1">IFERROR(IF(COUNTA($D$937:D1356)=1,0,OFFSET($F1355,-COUNTA($D$937:D1356)+3,0)),"")</f>
        <v>10</v>
      </c>
      <c r="O1357" s="497"/>
      <c r="P1357" s="497">
        <f t="shared" si="165"/>
        <v>0</v>
      </c>
      <c r="Q1357" s="497"/>
      <c r="R1357" s="497"/>
      <c r="S1357" s="497"/>
      <c r="T1357" s="503"/>
    </row>
    <row r="1358" spans="1:20" x14ac:dyDescent="0.35">
      <c r="A1358" s="497" t="b">
        <f t="shared" ca="1" si="155"/>
        <v>0</v>
      </c>
      <c r="B1358" s="497">
        <f t="shared" si="162"/>
        <v>59</v>
      </c>
      <c r="C1358" s="519" t="str">
        <f t="shared" ca="1" si="156"/>
        <v>a173p00000CH4IYAA1</v>
      </c>
      <c r="D1358" s="497"/>
      <c r="E1358" s="497">
        <f t="shared" ca="1" si="163"/>
        <v>5</v>
      </c>
      <c r="F1358" s="516">
        <f ca="1">IF(COUNTA(D$938:D1358)=1,"",OFFSET(F1356,-COUNTA(D$938:D1358)+3,0))</f>
        <v>10</v>
      </c>
      <c r="G1358" s="503" t="str">
        <f t="shared" ca="1" si="157"/>
        <v/>
      </c>
      <c r="H1358" s="497">
        <f t="shared" ca="1" si="164"/>
        <v>27</v>
      </c>
      <c r="I1358" s="500" t="str">
        <f t="shared" ca="1" si="158"/>
        <v/>
      </c>
      <c r="J1358" s="512" t="str">
        <f t="shared" ca="1" si="159"/>
        <v/>
      </c>
      <c r="K1358" s="512" t="str">
        <f t="shared" ca="1" si="160"/>
        <v/>
      </c>
      <c r="L1358" s="503" t="str">
        <f t="shared" ca="1" si="161"/>
        <v/>
      </c>
      <c r="M1358" s="515" t="str">
        <f ca="1">IFERROR(IF(COUNTIF($B$937:$B1357,"&lt;0")&lt;&gt;1,OFFSET($C1356,-COUNTIF($B$937:$B1357,"&lt;0")+3,0),""),"")</f>
        <v>a173p00000CH4IYAA1</v>
      </c>
      <c r="N1358" s="515">
        <f ca="1">IFERROR(IF(COUNTA($D$937:D1357)=1,0,OFFSET($F1356,-COUNTA($D$937:D1357)+3,0)),"")</f>
        <v>10</v>
      </c>
      <c r="O1358" s="497"/>
      <c r="P1358" s="497">
        <f t="shared" si="165"/>
        <v>0</v>
      </c>
      <c r="Q1358" s="497"/>
      <c r="R1358" s="497"/>
      <c r="S1358" s="497"/>
      <c r="T1358" s="503"/>
    </row>
    <row r="1359" spans="1:20" x14ac:dyDescent="0.35">
      <c r="A1359" s="497" t="b">
        <f t="shared" ca="1" si="155"/>
        <v>0</v>
      </c>
      <c r="B1359" s="497">
        <f t="shared" si="162"/>
        <v>60</v>
      </c>
      <c r="C1359" s="519" t="str">
        <f t="shared" ca="1" si="156"/>
        <v>a173p00000CH4JWAA1</v>
      </c>
      <c r="D1359" s="497"/>
      <c r="E1359" s="497">
        <f t="shared" ca="1" si="163"/>
        <v>6</v>
      </c>
      <c r="F1359" s="516">
        <f ca="1">IF(COUNTA(D$938:D1359)=1,"",OFFSET(F1357,-COUNTA(D$938:D1359)+3,0))</f>
        <v>10</v>
      </c>
      <c r="G1359" s="503" t="str">
        <f t="shared" ca="1" si="157"/>
        <v/>
      </c>
      <c r="H1359" s="497">
        <f t="shared" ca="1" si="164"/>
        <v>27</v>
      </c>
      <c r="I1359" s="500" t="str">
        <f t="shared" ca="1" si="158"/>
        <v/>
      </c>
      <c r="J1359" s="512" t="str">
        <f t="shared" ca="1" si="159"/>
        <v/>
      </c>
      <c r="K1359" s="512" t="str">
        <f t="shared" ca="1" si="160"/>
        <v/>
      </c>
      <c r="L1359" s="503" t="str">
        <f t="shared" ca="1" si="161"/>
        <v/>
      </c>
      <c r="M1359" s="515" t="str">
        <f ca="1">IFERROR(IF(COUNTIF($B$937:$B1358,"&lt;0")&lt;&gt;1,OFFSET($C1357,-COUNTIF($B$937:$B1358,"&lt;0")+3,0),""),"")</f>
        <v>a173p00000CH4JWAA1</v>
      </c>
      <c r="N1359" s="515">
        <f ca="1">IFERROR(IF(COUNTA($D$937:D1358)=1,0,OFFSET($F1357,-COUNTA($D$937:D1358)+3,0)),"")</f>
        <v>10</v>
      </c>
      <c r="O1359" s="497"/>
      <c r="P1359" s="497">
        <f t="shared" si="165"/>
        <v>0</v>
      </c>
      <c r="Q1359" s="497"/>
      <c r="R1359" s="497"/>
      <c r="S1359" s="497"/>
      <c r="T1359" s="503"/>
    </row>
    <row r="1360" spans="1:20" x14ac:dyDescent="0.35">
      <c r="A1360" s="497" t="b">
        <f t="shared" ca="1" si="155"/>
        <v>1</v>
      </c>
      <c r="B1360" s="497">
        <f t="shared" si="162"/>
        <v>61</v>
      </c>
      <c r="C1360" s="519" t="str">
        <f t="shared" ca="1" si="156"/>
        <v>a173p00000CH4EhAAL</v>
      </c>
      <c r="D1360" s="497"/>
      <c r="E1360" s="497">
        <f t="shared" ca="1" si="163"/>
        <v>1</v>
      </c>
      <c r="F1360" s="516">
        <f ca="1">IF(COUNTA(D$938:D1360)=1,"",OFFSET(F1358,-COUNTA(D$938:D1360)+3,0))</f>
        <v>11</v>
      </c>
      <c r="G1360" s="503" t="str">
        <f t="shared" ca="1" si="157"/>
        <v/>
      </c>
      <c r="H1360" s="497">
        <f t="shared" ca="1" si="164"/>
        <v>29</v>
      </c>
      <c r="I1360" s="500">
        <f t="shared" ca="1" si="158"/>
        <v>34.243529307124433</v>
      </c>
      <c r="J1360" s="512">
        <f t="shared" ca="1" si="159"/>
        <v>44972</v>
      </c>
      <c r="K1360" s="512">
        <f t="shared" ca="1" si="160"/>
        <v>15400</v>
      </c>
      <c r="L1360" s="503" t="str">
        <f t="shared" ca="1" si="161"/>
        <v/>
      </c>
      <c r="M1360" s="515" t="str">
        <f ca="1">IFERROR(IF(COUNTIF($B$937:$B1359,"&lt;0")&lt;&gt;1,OFFSET($C1358,-COUNTIF($B$937:$B1359,"&lt;0")+3,0),""),"")</f>
        <v>a173p00000CH4EhAAL</v>
      </c>
      <c r="N1360" s="515">
        <f ca="1">IFERROR(IF(COUNTA($D$937:D1359)=1,0,OFFSET($F1358,-COUNTA($D$937:D1359)+3,0)),"")</f>
        <v>11</v>
      </c>
      <c r="O1360" s="497"/>
      <c r="P1360" s="497">
        <f t="shared" si="165"/>
        <v>0</v>
      </c>
      <c r="Q1360" s="497"/>
      <c r="R1360" s="497"/>
      <c r="S1360" s="497"/>
      <c r="T1360" s="503"/>
    </row>
    <row r="1361" spans="1:20" x14ac:dyDescent="0.35">
      <c r="A1361" s="497" t="b">
        <f t="shared" ca="1" si="155"/>
        <v>1</v>
      </c>
      <c r="B1361" s="497">
        <f t="shared" si="162"/>
        <v>62</v>
      </c>
      <c r="C1361" s="519" t="str">
        <f t="shared" ca="1" si="156"/>
        <v>a173p00000CH4FfAAL</v>
      </c>
      <c r="D1361" s="497"/>
      <c r="E1361" s="497">
        <f t="shared" ca="1" si="163"/>
        <v>2</v>
      </c>
      <c r="F1361" s="516">
        <f ca="1">IF(COUNTA(D$938:D1361)=1,"",OFFSET(F1359,-COUNTA(D$938:D1361)+3,0))</f>
        <v>11</v>
      </c>
      <c r="G1361" s="503" t="str">
        <f t="shared" ca="1" si="157"/>
        <v/>
      </c>
      <c r="H1361" s="497">
        <f t="shared" ca="1" si="164"/>
        <v>29</v>
      </c>
      <c r="I1361" s="500">
        <f t="shared" ca="1" si="158"/>
        <v>38.913101485368671</v>
      </c>
      <c r="J1361" s="512">
        <f t="shared" ca="1" si="159"/>
        <v>44972</v>
      </c>
      <c r="K1361" s="512">
        <f t="shared" ca="1" si="160"/>
        <v>17500</v>
      </c>
      <c r="L1361" s="503" t="str">
        <f t="shared" ca="1" si="161"/>
        <v/>
      </c>
      <c r="M1361" s="515" t="str">
        <f ca="1">IFERROR(IF(COUNTIF($B$937:$B1360,"&lt;0")&lt;&gt;1,OFFSET($C1359,-COUNTIF($B$937:$B1360,"&lt;0")+3,0),""),"")</f>
        <v>a173p00000CH4FfAAL</v>
      </c>
      <c r="N1361" s="515">
        <f ca="1">IFERROR(IF(COUNTA($D$937:D1360)=1,0,OFFSET($F1359,-COUNTA($D$937:D1360)+3,0)),"")</f>
        <v>11</v>
      </c>
      <c r="O1361" s="497"/>
      <c r="P1361" s="497">
        <f t="shared" si="165"/>
        <v>0</v>
      </c>
      <c r="Q1361" s="497"/>
      <c r="R1361" s="497"/>
      <c r="S1361" s="497"/>
      <c r="T1361" s="503"/>
    </row>
    <row r="1362" spans="1:20" x14ac:dyDescent="0.35">
      <c r="A1362" s="497" t="b">
        <f t="shared" ca="1" si="155"/>
        <v>1</v>
      </c>
      <c r="B1362" s="497">
        <f t="shared" si="162"/>
        <v>63</v>
      </c>
      <c r="C1362" s="519" t="str">
        <f t="shared" ca="1" si="156"/>
        <v>a173p00000CH4GdAAL</v>
      </c>
      <c r="D1362" s="497"/>
      <c r="E1362" s="497">
        <f t="shared" ca="1" si="163"/>
        <v>3</v>
      </c>
      <c r="F1362" s="516">
        <f ca="1">IF(COUNTA(D$938:D1362)=1,"",OFFSET(F1360,-COUNTA(D$938:D1362)+3,0))</f>
        <v>11</v>
      </c>
      <c r="G1362" s="503" t="str">
        <f t="shared" ca="1" si="157"/>
        <v/>
      </c>
      <c r="H1362" s="497">
        <f t="shared" ca="1" si="164"/>
        <v>29</v>
      </c>
      <c r="I1362" s="500">
        <f t="shared" ca="1" si="158"/>
        <v>43.360313083696525</v>
      </c>
      <c r="J1362" s="512">
        <f t="shared" ca="1" si="159"/>
        <v>44972</v>
      </c>
      <c r="K1362" s="512">
        <f t="shared" ca="1" si="160"/>
        <v>19500</v>
      </c>
      <c r="L1362" s="503" t="str">
        <f t="shared" ca="1" si="161"/>
        <v/>
      </c>
      <c r="M1362" s="515" t="str">
        <f ca="1">IFERROR(IF(COUNTIF($B$937:$B1361,"&lt;0")&lt;&gt;1,OFFSET($C1360,-COUNTIF($B$937:$B1361,"&lt;0")+3,0),""),"")</f>
        <v>a173p00000CH4GdAAL</v>
      </c>
      <c r="N1362" s="515">
        <f ca="1">IFERROR(IF(COUNTA($D$937:D1361)=1,0,OFFSET($F1360,-COUNTA($D$937:D1361)+3,0)),"")</f>
        <v>11</v>
      </c>
      <c r="O1362" s="497"/>
      <c r="P1362" s="497">
        <f t="shared" si="165"/>
        <v>0</v>
      </c>
      <c r="Q1362" s="497"/>
      <c r="R1362" s="497"/>
      <c r="S1362" s="497"/>
      <c r="T1362" s="503"/>
    </row>
    <row r="1363" spans="1:20" x14ac:dyDescent="0.35">
      <c r="A1363" s="497" t="b">
        <f t="shared" ca="1" si="155"/>
        <v>0</v>
      </c>
      <c r="B1363" s="497">
        <f t="shared" si="162"/>
        <v>64</v>
      </c>
      <c r="C1363" s="519" t="str">
        <f t="shared" ca="1" si="156"/>
        <v>a173p00000CH4HbAAL</v>
      </c>
      <c r="D1363" s="497"/>
      <c r="E1363" s="497">
        <f t="shared" ca="1" si="163"/>
        <v>4</v>
      </c>
      <c r="F1363" s="516">
        <f ca="1">IF(COUNTA(D$938:D1363)=1,"",OFFSET(F1361,-COUNTA(D$938:D1363)+3,0))</f>
        <v>11</v>
      </c>
      <c r="G1363" s="503" t="str">
        <f t="shared" ca="1" si="157"/>
        <v/>
      </c>
      <c r="H1363" s="497">
        <f t="shared" ca="1" si="164"/>
        <v>29</v>
      </c>
      <c r="I1363" s="500" t="str">
        <f t="shared" ca="1" si="158"/>
        <v/>
      </c>
      <c r="J1363" s="512" t="str">
        <f t="shared" ca="1" si="159"/>
        <v/>
      </c>
      <c r="K1363" s="512" t="str">
        <f t="shared" ca="1" si="160"/>
        <v/>
      </c>
      <c r="L1363" s="503" t="str">
        <f t="shared" ca="1" si="161"/>
        <v/>
      </c>
      <c r="M1363" s="515" t="str">
        <f ca="1">IFERROR(IF(COUNTIF($B$937:$B1362,"&lt;0")&lt;&gt;1,OFFSET($C1361,-COUNTIF($B$937:$B1362,"&lt;0")+3,0),""),"")</f>
        <v>a173p00000CH4HbAAL</v>
      </c>
      <c r="N1363" s="515">
        <f ca="1">IFERROR(IF(COUNTA($D$937:D1362)=1,0,OFFSET($F1361,-COUNTA($D$937:D1362)+3,0)),"")</f>
        <v>11</v>
      </c>
      <c r="O1363" s="497"/>
      <c r="P1363" s="497">
        <f t="shared" si="165"/>
        <v>0</v>
      </c>
      <c r="Q1363" s="497"/>
      <c r="R1363" s="497"/>
      <c r="S1363" s="497"/>
      <c r="T1363" s="503"/>
    </row>
    <row r="1364" spans="1:20" x14ac:dyDescent="0.35">
      <c r="A1364" s="497" t="b">
        <f t="shared" ref="A1364:A1427" ca="1" si="166">IF(OR(I1364&lt;&gt;"",J1364&lt;&gt;"",K1364&lt;&gt;"",L1364&lt;&gt;""),TRUE,FALSE)</f>
        <v>0</v>
      </c>
      <c r="B1364" s="497">
        <f t="shared" si="162"/>
        <v>65</v>
      </c>
      <c r="C1364" s="519" t="str">
        <f t="shared" ref="C1364:C1427" ca="1" si="167">M1364</f>
        <v>a173p00000CH4IZAA1</v>
      </c>
      <c r="D1364" s="497"/>
      <c r="E1364" s="497">
        <f t="shared" ca="1" si="163"/>
        <v>5</v>
      </c>
      <c r="F1364" s="516">
        <f ca="1">IF(COUNTA(D$938:D1364)=1,"",OFFSET(F1362,-COUNTA(D$938:D1364)+3,0))</f>
        <v>11</v>
      </c>
      <c r="G1364" s="503" t="str">
        <f t="shared" ref="G1364:G1427" ca="1" si="168">IFERROR(IF(INDIRECT("'Coverage Indicators - Section I'!G"&amp;$I428)=0,"",INDIRECT("'Coverage Indicators - Section I'!G"&amp;$I428)),"")</f>
        <v/>
      </c>
      <c r="H1364" s="497">
        <f t="shared" ca="1" si="164"/>
        <v>29</v>
      </c>
      <c r="I1364" s="500" t="str">
        <f t="shared" ref="I1364:I1427" ca="1" si="169">IFERROR(CHOOSE(E1364,IFERROR(IF(INDIRECT("'Coverage Indicators - Section D'!P"&amp;H1364)="","",INDIRECT("'Coverage Indicators - Section D'!P"&amp;H1364)*100),""),IFERROR(IF(INDIRECT("'Coverage Indicators - Section D'!S"&amp;H1364)="","",INDIRECT("'Coverage Indicators - Section D'!S"&amp;H1364)*100),""),IFERROR(IF(INDIRECT("'Coverage Indicators - Section D'!V"&amp;H1364)="","",INDIRECT("'Coverage Indicators - Section D'!V"&amp;H1364)*100),""),IFERROR(IF(INDIRECT("'Coverage Indicators - Section D'!Y"&amp;H1364)="","",INDIRECT("'Coverage Indicators - Section D'!Y"&amp;H1364)*100),""),IFERROR(IF(INDIRECT("'Coverage Indicators - Section D'!AB"&amp;H1364)="","",INDIRECT("'Coverage Indicators - Section D'!AB"&amp;H1364)*100),""),IFERROR(IF(INDIRECT("'Coverage Indicators - Section D'!AE"&amp;H1364)="","",INDIRECT("'Coverage Indicators - Section D'!AE"&amp;H1364)*100),""),IFERROR(IF(INDIRECT("'Coverage Indicators - SectionD'!AH"&amp;H1364)="","",INDIRECT("'CoverageIndicators-SectionD'!AH"&amp;H1364)*100),"")),"")</f>
        <v/>
      </c>
      <c r="J1364" s="512" t="str">
        <f t="shared" ref="J1364:J1427" ca="1" si="170">IFERROR(CHOOSE(E1364,IFERROR(IF(INDIRECT("'Coverage Indicators - Section D'!O"&amp;H1364+1)="","",INDIRECT("'Coverage Indicators - Section D'!O"&amp;H1364+1)),""),IFERROR(IF(INDIRECT("'Coverage Indicators - Section D'!R"&amp;H1364+1)="","",INDIRECT("'Coverage Indicators - Section D'!R"&amp;H1364+1)),""),IFERROR(IF(INDIRECT("'Coverage Indicators - Section D'!U"&amp;H1364+1)="","",INDIRECT("'Coverage Indicators - Section D'!U"&amp;H1364+1)),""),IFERROR(IF(INDIRECT("'Coverage Indicators - Section D'!X"&amp;H1364+1)="","",INDIRECT("'Coverage Indicators - Section D'!X"&amp;H1364+1)),""),IFERROR(IF(INDIRECT("'Coverage Indicators - Section D'!AA"&amp;H1364+1)="","",INDIRECT("'Coverage Indicators - Section D'!AA"&amp;H1364+1)),""),IFERROR(IF(INDIRECT("'Coverage Indicators - Section D'!AD"&amp;H1364+1)="","",INDIRECT("'Coverage Indicators - Section D'!AD"&amp;H1364+1)),""),IFERROR(IF(INDIRECT("'Coverage Indicators - Section D'!AG"&amp;H1364+1)="","",INDIRECT("'Coverage Indicators - Section D'!AG"&amp;H1364+1)),""),IFERROR(IF(INDIRECT("'Coverage Indicators - Section D'!AJ"&amp;H1364+1)="","",INDIRECT("'Coverage Indicators - Section D'!AJ"&amp;H1364+1)),"")),"")</f>
        <v/>
      </c>
      <c r="K1364" s="512" t="str">
        <f t="shared" ref="K1364:K1427" ca="1" si="171">IFERROR(CHOOSE(E1364,IFERROR(IF(INDIRECT("'Coverage Indicators - Section D'!O"&amp;H1364)="","",INDIRECT("'Coverage Indicators - Section D'!O"&amp;H1364)),""),IFERROR(IF(INDIRECT("'Coverage Indicators - Section D'!R"&amp;H1364)="","",INDIRECT("'Coverage Indicators - Section D'!R"&amp;H1364)),""),IFERROR(IF(INDIRECT("'Coverage Indicators - Section D'!U"&amp;H1364)="","",INDIRECT("'Coverage Indicators - Section D'!U"&amp;H1364)),""),IFERROR(IF(INDIRECT("'Coverage Indicators - Section D'!X"&amp;H1364)="","",INDIRECT("'Coverage Indicators - Section D'!X"&amp;H1364)),""),IFERROR(IF(INDIRECT("'Coverage Indicators - Section D'!AA"&amp;H1364)="","",INDIRECT("'Coverage Indicators - Section D'!AA"&amp;H1364)),""),IFERROR(IF(INDIRECT("'Coverage Indicators - Section D'!AD"&amp;H1364)="","",INDIRECT("'Coverage Indicators - Section D'!AD"&amp;H1364)),""),IFERROR(IF(INDIRECT("'Coverage Indicators - Section D'!AG"&amp;H1364)="","",INDIRECT("'Coverage Indicators - Section D'!AG"&amp;H1364)),""),IFERROR(IF(INDIRECT("'Coverage Indicators - Section D'!AJ"&amp;H1364)="","",INDIRECT("'Coverage Indicators - Section D'!AJ"&amp;H1364)),"")),"")</f>
        <v/>
      </c>
      <c r="L1364" s="503" t="str">
        <f t="shared" ref="L1364:L1427" ca="1" si="172">IF(IFERROR(CHOOSE(E1364,IFERROR(IF(INDIRECT("'Coverage Indicators - Section D'!Q"&amp;H1364)=0,"",INDIRECT("'Coverage Indicators - Section D'!Q"&amp;H1364)),""),IFERROR(IF(INDIRECT("'Coverage Indicators - Section D'!T"&amp;H1364)=0,"",INDIRECT("'Coverage Indicators - Section D'!T"&amp;H1364)),""),IFERROR(IF(INDIRECT("'Coverage Indicators - Section D'!W"&amp;H1364)=0,"",INDIRECT("'Coverage Indicators - Section D'!W"&amp;H1364)),""),IFERROR(IF(INDIRECT("'Coverage Indicators - Section D'!Z"&amp;H1364)=0,"",INDIRECT("'Coverage Indicators - Section D'!Z"&amp;H1364)),""),IFERROR(IF(INDIRECT("'Coverage Indicators - Section D'!AC"&amp;H1364)=0,"",INDIRECT("'Coverage Indicators - Section D'!AC"&amp;H1364)),""),IFERROR(IF(INDIRECT("'Coverage Indicators - Section D'!AF"&amp;H1364)=0,"",INDIRECT("'Coverage Indicators - Section D'!AF"&amp;H1364)),""),IFERROR(IF(INDIRECT("'Coverage Indicators - Section D'!AI"&amp;H1364)=0,"",INDIRECT("'Coverage Indicators - Section D'!AI"&amp;H1364)),""),IFERROR(IF(INDIRECT("'Coverage Indicators - Section D'!AL"&amp;H1364)=0,"",INDIRECT("'Coverage Indicators - Section D'!AL"&amp;H1364)),"")),"")=0,"",CHOOSE(E1364,IFERROR(IF(INDIRECT("'Coverage Indicators - Section D'!Q"&amp;H1364)=0,"",INDIRECT("'Coverage Indicators - Section D'!Q"&amp;H1364)),""),IFERROR(IF(INDIRECT("'Coverage Indicators - Section D'!T"&amp;H1364)=0,"",INDIRECT("'Coverage Indicators - Section D'!T"&amp;H1364)),""),IFERROR(IF(INDIRECT("'Coverage Indicators - Section D'!W"&amp;H1364)=0,"",INDIRECT("'Coverage Indicators - Section D'!W"&amp;H1364)),""),IFERROR(IF(INDIRECT("'Coverage Indicators - Section D'!Z"&amp;H1364)=0,"",INDIRECT("'Coverage Indicators - Section D'!Z"&amp;H1364)),""),IFERROR(IF(INDIRECT("'Coverage Indicators - Section D'!AC"&amp;H1364)=0,"",INDIRECT("'Coverage Indicators - Section D'!AC"&amp;H1364)),""),IFERROR(IF(INDIRECT("'Coverage Indicators - Section D'!AF"&amp;H1364)=0,"",INDIRECT("'Coverage Indicators - Section D'!AF"&amp;H1364)),""),IFERROR(IF(INDIRECT("'Coverage Indicators - Section D'!AI"&amp;H1364)=0,"",INDIRECT("'Coverage Indicators - Section D'!AI"&amp;H1364)),""),IFERROR(IF(INDIRECT("'Coverage Indicators - Section D'!AL"&amp;H1364)=0,"",INDIRECT("'Coverage Indicators - Section D'!AL"&amp;H1364)),"")))</f>
        <v/>
      </c>
      <c r="M1364" s="515" t="str">
        <f ca="1">IFERROR(IF(COUNTIF($B$937:$B1363,"&lt;0")&lt;&gt;1,OFFSET($C1362,-COUNTIF($B$937:$B1363,"&lt;0")+3,0),""),"")</f>
        <v>a173p00000CH4IZAA1</v>
      </c>
      <c r="N1364" s="515">
        <f ca="1">IFERROR(IF(COUNTA($D$937:D1363)=1,0,OFFSET($F1362,-COUNTA($D$937:D1363)+3,0)),"")</f>
        <v>11</v>
      </c>
      <c r="O1364" s="497"/>
      <c r="P1364" s="497">
        <f t="shared" si="165"/>
        <v>0</v>
      </c>
      <c r="Q1364" s="497"/>
      <c r="R1364" s="497"/>
      <c r="S1364" s="497"/>
      <c r="T1364" s="503"/>
    </row>
    <row r="1365" spans="1:20" x14ac:dyDescent="0.35">
      <c r="A1365" s="497" t="b">
        <f t="shared" ca="1" si="166"/>
        <v>0</v>
      </c>
      <c r="B1365" s="497">
        <f t="shared" si="162"/>
        <v>66</v>
      </c>
      <c r="C1365" s="519" t="str">
        <f t="shared" ca="1" si="167"/>
        <v>a173p00000CH4JXAA1</v>
      </c>
      <c r="D1365" s="497"/>
      <c r="E1365" s="497">
        <f t="shared" ca="1" si="163"/>
        <v>6</v>
      </c>
      <c r="F1365" s="516">
        <f ca="1">IF(COUNTA(D$938:D1365)=1,"",OFFSET(F1363,-COUNTA(D$938:D1365)+3,0))</f>
        <v>11</v>
      </c>
      <c r="G1365" s="503" t="str">
        <f t="shared" ca="1" si="168"/>
        <v/>
      </c>
      <c r="H1365" s="497">
        <f t="shared" ca="1" si="164"/>
        <v>29</v>
      </c>
      <c r="I1365" s="500" t="str">
        <f t="shared" ca="1" si="169"/>
        <v/>
      </c>
      <c r="J1365" s="512" t="str">
        <f t="shared" ca="1" si="170"/>
        <v/>
      </c>
      <c r="K1365" s="512" t="str">
        <f t="shared" ca="1" si="171"/>
        <v/>
      </c>
      <c r="L1365" s="503" t="str">
        <f t="shared" ca="1" si="172"/>
        <v/>
      </c>
      <c r="M1365" s="515" t="str">
        <f ca="1">IFERROR(IF(COUNTIF($B$937:$B1364,"&lt;0")&lt;&gt;1,OFFSET($C1363,-COUNTIF($B$937:$B1364,"&lt;0")+3,0),""),"")</f>
        <v>a173p00000CH4JXAA1</v>
      </c>
      <c r="N1365" s="515">
        <f ca="1">IFERROR(IF(COUNTA($D$937:D1364)=1,0,OFFSET($F1363,-COUNTA($D$937:D1364)+3,0)),"")</f>
        <v>11</v>
      </c>
      <c r="O1365" s="497"/>
      <c r="P1365" s="497">
        <f t="shared" si="165"/>
        <v>0</v>
      </c>
      <c r="Q1365" s="497"/>
      <c r="R1365" s="497"/>
      <c r="S1365" s="497"/>
      <c r="T1365" s="503"/>
    </row>
    <row r="1366" spans="1:20" x14ac:dyDescent="0.35">
      <c r="A1366" s="497" t="b">
        <f t="shared" ca="1" si="166"/>
        <v>1</v>
      </c>
      <c r="B1366" s="497">
        <f t="shared" si="162"/>
        <v>67</v>
      </c>
      <c r="C1366" s="519" t="str">
        <f t="shared" ca="1" si="167"/>
        <v>a173p00000CH4EiAAL</v>
      </c>
      <c r="D1366" s="497"/>
      <c r="E1366" s="497">
        <f t="shared" ca="1" si="163"/>
        <v>1</v>
      </c>
      <c r="F1366" s="516">
        <f ca="1">IF(COUNTA(D$938:D1366)=1,"",OFFSET(F1364,-COUNTA(D$938:D1366)+3,0))</f>
        <v>12</v>
      </c>
      <c r="G1366" s="503" t="str">
        <f t="shared" ca="1" si="168"/>
        <v/>
      </c>
      <c r="H1366" s="497">
        <f t="shared" ca="1" si="164"/>
        <v>31</v>
      </c>
      <c r="I1366" s="500">
        <f t="shared" ca="1" si="169"/>
        <v>72.001468968049949</v>
      </c>
      <c r="J1366" s="512">
        <f t="shared" ca="1" si="170"/>
        <v>27230</v>
      </c>
      <c r="K1366" s="512">
        <f t="shared" ca="1" si="171"/>
        <v>19606</v>
      </c>
      <c r="L1366" s="503" t="str">
        <f t="shared" ca="1" si="172"/>
        <v/>
      </c>
      <c r="M1366" s="515" t="str">
        <f ca="1">IFERROR(IF(COUNTIF($B$937:$B1365,"&lt;0")&lt;&gt;1,OFFSET($C1364,-COUNTIF($B$937:$B1365,"&lt;0")+3,0),""),"")</f>
        <v>a173p00000CH4EiAAL</v>
      </c>
      <c r="N1366" s="515">
        <f ca="1">IFERROR(IF(COUNTA($D$937:D1365)=1,0,OFFSET($F1364,-COUNTA($D$937:D1365)+3,0)),"")</f>
        <v>12</v>
      </c>
      <c r="O1366" s="497"/>
      <c r="P1366" s="497">
        <f t="shared" si="165"/>
        <v>0</v>
      </c>
      <c r="Q1366" s="497"/>
      <c r="R1366" s="497"/>
      <c r="S1366" s="497"/>
      <c r="T1366" s="503"/>
    </row>
    <row r="1367" spans="1:20" x14ac:dyDescent="0.35">
      <c r="A1367" s="497" t="b">
        <f t="shared" ca="1" si="166"/>
        <v>1</v>
      </c>
      <c r="B1367" s="497">
        <f t="shared" si="162"/>
        <v>68</v>
      </c>
      <c r="C1367" s="519" t="str">
        <f t="shared" ca="1" si="167"/>
        <v>a173p00000CH4FgAAL</v>
      </c>
      <c r="D1367" s="497"/>
      <c r="E1367" s="497">
        <f t="shared" ca="1" si="163"/>
        <v>2</v>
      </c>
      <c r="F1367" s="516">
        <f ca="1">IF(COUNTA(D$938:D1367)=1,"",OFFSET(F1365,-COUNTA(D$938:D1367)+3,0))</f>
        <v>12</v>
      </c>
      <c r="G1367" s="503" t="str">
        <f t="shared" ca="1" si="168"/>
        <v/>
      </c>
      <c r="H1367" s="497">
        <f t="shared" ca="1" si="164"/>
        <v>31</v>
      </c>
      <c r="I1367" s="500">
        <f t="shared" ca="1" si="169"/>
        <v>77.002263269329049</v>
      </c>
      <c r="J1367" s="512">
        <f t="shared" ca="1" si="170"/>
        <v>27394</v>
      </c>
      <c r="K1367" s="512">
        <f t="shared" ca="1" si="171"/>
        <v>21094</v>
      </c>
      <c r="L1367" s="503" t="str">
        <f t="shared" ca="1" si="172"/>
        <v/>
      </c>
      <c r="M1367" s="515" t="str">
        <f ca="1">IFERROR(IF(COUNTIF($B$937:$B1366,"&lt;0")&lt;&gt;1,OFFSET($C1365,-COUNTIF($B$937:$B1366,"&lt;0")+3,0),""),"")</f>
        <v>a173p00000CH4FgAAL</v>
      </c>
      <c r="N1367" s="515">
        <f ca="1">IFERROR(IF(COUNTA($D$937:D1366)=1,0,OFFSET($F1365,-COUNTA($D$937:D1366)+3,0)),"")</f>
        <v>12</v>
      </c>
      <c r="O1367" s="497"/>
      <c r="P1367" s="497">
        <f t="shared" si="165"/>
        <v>0</v>
      </c>
      <c r="Q1367" s="497"/>
      <c r="R1367" s="497"/>
      <c r="S1367" s="497"/>
      <c r="T1367" s="503"/>
    </row>
    <row r="1368" spans="1:20" x14ac:dyDescent="0.35">
      <c r="A1368" s="497" t="b">
        <f t="shared" ca="1" si="166"/>
        <v>1</v>
      </c>
      <c r="B1368" s="497">
        <f t="shared" si="162"/>
        <v>69</v>
      </c>
      <c r="C1368" s="519" t="str">
        <f t="shared" ca="1" si="167"/>
        <v>a173p00000CH4GeAAL</v>
      </c>
      <c r="D1368" s="497"/>
      <c r="E1368" s="497">
        <f t="shared" ca="1" si="163"/>
        <v>3</v>
      </c>
      <c r="F1368" s="516">
        <f ca="1">IF(COUNTA(D$938:D1368)=1,"",OFFSET(F1366,-COUNTA(D$938:D1368)+3,0))</f>
        <v>12</v>
      </c>
      <c r="G1368" s="503" t="str">
        <f t="shared" ca="1" si="168"/>
        <v/>
      </c>
      <c r="H1368" s="497">
        <f t="shared" ca="1" si="164"/>
        <v>31</v>
      </c>
      <c r="I1368" s="500">
        <f t="shared" ca="1" si="169"/>
        <v>81.674594241312946</v>
      </c>
      <c r="J1368" s="512">
        <f t="shared" ca="1" si="170"/>
        <v>27541</v>
      </c>
      <c r="K1368" s="512">
        <f t="shared" ca="1" si="171"/>
        <v>22494</v>
      </c>
      <c r="L1368" s="503" t="str">
        <f t="shared" ca="1" si="172"/>
        <v/>
      </c>
      <c r="M1368" s="515" t="str">
        <f ca="1">IFERROR(IF(COUNTIF($B$937:$B1367,"&lt;0")&lt;&gt;1,OFFSET($C1366,-COUNTIF($B$937:$B1367,"&lt;0")+3,0),""),"")</f>
        <v>a173p00000CH4GeAAL</v>
      </c>
      <c r="N1368" s="515">
        <f ca="1">IFERROR(IF(COUNTA($D$937:D1367)=1,0,OFFSET($F1366,-COUNTA($D$937:D1367)+3,0)),"")</f>
        <v>12</v>
      </c>
      <c r="O1368" s="497"/>
      <c r="P1368" s="497">
        <f t="shared" si="165"/>
        <v>0</v>
      </c>
      <c r="Q1368" s="497"/>
      <c r="R1368" s="497"/>
      <c r="S1368" s="497"/>
      <c r="T1368" s="503"/>
    </row>
    <row r="1369" spans="1:20" x14ac:dyDescent="0.35">
      <c r="A1369" s="497" t="b">
        <f t="shared" ca="1" si="166"/>
        <v>0</v>
      </c>
      <c r="B1369" s="497">
        <f t="shared" si="162"/>
        <v>70</v>
      </c>
      <c r="C1369" s="519" t="str">
        <f t="shared" ca="1" si="167"/>
        <v>a173p00000CH4HcAAL</v>
      </c>
      <c r="D1369" s="497"/>
      <c r="E1369" s="497">
        <f t="shared" ca="1" si="163"/>
        <v>4</v>
      </c>
      <c r="F1369" s="516">
        <f ca="1">IF(COUNTA(D$938:D1369)=1,"",OFFSET(F1367,-COUNTA(D$938:D1369)+3,0))</f>
        <v>12</v>
      </c>
      <c r="G1369" s="503" t="str">
        <f t="shared" ca="1" si="168"/>
        <v/>
      </c>
      <c r="H1369" s="497">
        <f t="shared" ca="1" si="164"/>
        <v>31</v>
      </c>
      <c r="I1369" s="500" t="str">
        <f t="shared" ca="1" si="169"/>
        <v/>
      </c>
      <c r="J1369" s="512" t="str">
        <f t="shared" ca="1" si="170"/>
        <v/>
      </c>
      <c r="K1369" s="512" t="str">
        <f t="shared" ca="1" si="171"/>
        <v/>
      </c>
      <c r="L1369" s="503" t="str">
        <f t="shared" ca="1" si="172"/>
        <v/>
      </c>
      <c r="M1369" s="515" t="str">
        <f ca="1">IFERROR(IF(COUNTIF($B$937:$B1368,"&lt;0")&lt;&gt;1,OFFSET($C1367,-COUNTIF($B$937:$B1368,"&lt;0")+3,0),""),"")</f>
        <v>a173p00000CH4HcAAL</v>
      </c>
      <c r="N1369" s="515">
        <f ca="1">IFERROR(IF(COUNTA($D$937:D1368)=1,0,OFFSET($F1367,-COUNTA($D$937:D1368)+3,0)),"")</f>
        <v>12</v>
      </c>
      <c r="O1369" s="497"/>
      <c r="P1369" s="497">
        <f t="shared" si="165"/>
        <v>0</v>
      </c>
      <c r="Q1369" s="497"/>
      <c r="R1369" s="497"/>
      <c r="S1369" s="497"/>
      <c r="T1369" s="503"/>
    </row>
    <row r="1370" spans="1:20" x14ac:dyDescent="0.35">
      <c r="A1370" s="497" t="b">
        <f t="shared" ca="1" si="166"/>
        <v>0</v>
      </c>
      <c r="B1370" s="497">
        <f t="shared" si="162"/>
        <v>71</v>
      </c>
      <c r="C1370" s="519" t="str">
        <f t="shared" ca="1" si="167"/>
        <v>a173p00000CH4IaAAL</v>
      </c>
      <c r="D1370" s="497"/>
      <c r="E1370" s="497">
        <f t="shared" ca="1" si="163"/>
        <v>5</v>
      </c>
      <c r="F1370" s="516">
        <f ca="1">IF(COUNTA(D$938:D1370)=1,"",OFFSET(F1368,-COUNTA(D$938:D1370)+3,0))</f>
        <v>12</v>
      </c>
      <c r="G1370" s="503" t="str">
        <f t="shared" ca="1" si="168"/>
        <v/>
      </c>
      <c r="H1370" s="497">
        <f t="shared" ca="1" si="164"/>
        <v>31</v>
      </c>
      <c r="I1370" s="500" t="str">
        <f t="shared" ca="1" si="169"/>
        <v/>
      </c>
      <c r="J1370" s="512" t="str">
        <f t="shared" ca="1" si="170"/>
        <v/>
      </c>
      <c r="K1370" s="512" t="str">
        <f t="shared" ca="1" si="171"/>
        <v/>
      </c>
      <c r="L1370" s="503" t="str">
        <f t="shared" ca="1" si="172"/>
        <v/>
      </c>
      <c r="M1370" s="515" t="str">
        <f ca="1">IFERROR(IF(COUNTIF($B$937:$B1369,"&lt;0")&lt;&gt;1,OFFSET($C1368,-COUNTIF($B$937:$B1369,"&lt;0")+3,0),""),"")</f>
        <v>a173p00000CH4IaAAL</v>
      </c>
      <c r="N1370" s="515">
        <f ca="1">IFERROR(IF(COUNTA($D$937:D1369)=1,0,OFFSET($F1368,-COUNTA($D$937:D1369)+3,0)),"")</f>
        <v>12</v>
      </c>
      <c r="O1370" s="497"/>
      <c r="P1370" s="497">
        <f t="shared" si="165"/>
        <v>0</v>
      </c>
      <c r="Q1370" s="497"/>
      <c r="R1370" s="497"/>
      <c r="S1370" s="497"/>
      <c r="T1370" s="503"/>
    </row>
    <row r="1371" spans="1:20" x14ac:dyDescent="0.35">
      <c r="A1371" s="497" t="b">
        <f t="shared" ca="1" si="166"/>
        <v>0</v>
      </c>
      <c r="B1371" s="497">
        <f t="shared" si="162"/>
        <v>72</v>
      </c>
      <c r="C1371" s="519" t="str">
        <f t="shared" ca="1" si="167"/>
        <v>a173p00000CH4JYAA1</v>
      </c>
      <c r="D1371" s="497"/>
      <c r="E1371" s="497">
        <f t="shared" ca="1" si="163"/>
        <v>6</v>
      </c>
      <c r="F1371" s="516">
        <f ca="1">IF(COUNTA(D$938:D1371)=1,"",OFFSET(F1369,-COUNTA(D$938:D1371)+3,0))</f>
        <v>12</v>
      </c>
      <c r="G1371" s="503" t="str">
        <f t="shared" ca="1" si="168"/>
        <v/>
      </c>
      <c r="H1371" s="497">
        <f t="shared" ca="1" si="164"/>
        <v>31</v>
      </c>
      <c r="I1371" s="500" t="str">
        <f t="shared" ca="1" si="169"/>
        <v/>
      </c>
      <c r="J1371" s="512" t="str">
        <f t="shared" ca="1" si="170"/>
        <v/>
      </c>
      <c r="K1371" s="512" t="str">
        <f t="shared" ca="1" si="171"/>
        <v/>
      </c>
      <c r="L1371" s="503" t="str">
        <f t="shared" ca="1" si="172"/>
        <v/>
      </c>
      <c r="M1371" s="515" t="str">
        <f ca="1">IFERROR(IF(COUNTIF($B$937:$B1370,"&lt;0")&lt;&gt;1,OFFSET($C1369,-COUNTIF($B$937:$B1370,"&lt;0")+3,0),""),"")</f>
        <v>a173p00000CH4JYAA1</v>
      </c>
      <c r="N1371" s="515">
        <f ca="1">IFERROR(IF(COUNTA($D$937:D1370)=1,0,OFFSET($F1369,-COUNTA($D$937:D1370)+3,0)),"")</f>
        <v>12</v>
      </c>
      <c r="O1371" s="497"/>
      <c r="P1371" s="497">
        <f t="shared" si="165"/>
        <v>0</v>
      </c>
      <c r="Q1371" s="497"/>
      <c r="R1371" s="497"/>
      <c r="S1371" s="497"/>
      <c r="T1371" s="503"/>
    </row>
    <row r="1372" spans="1:20" x14ac:dyDescent="0.35">
      <c r="A1372" s="497" t="b">
        <f t="shared" ca="1" si="166"/>
        <v>1</v>
      </c>
      <c r="B1372" s="497">
        <f t="shared" si="162"/>
        <v>73</v>
      </c>
      <c r="C1372" s="519" t="str">
        <f t="shared" ca="1" si="167"/>
        <v>a173p00000CH4EjAAL</v>
      </c>
      <c r="D1372" s="497"/>
      <c r="E1372" s="497">
        <f t="shared" ca="1" si="163"/>
        <v>1</v>
      </c>
      <c r="F1372" s="516">
        <f ca="1">IF(COUNTA(D$938:D1372)=1,"",OFFSET(F1370,-COUNTA(D$938:D1372)+3,0))</f>
        <v>13</v>
      </c>
      <c r="G1372" s="503" t="str">
        <f t="shared" ca="1" si="168"/>
        <v/>
      </c>
      <c r="H1372" s="497">
        <f t="shared" ca="1" si="164"/>
        <v>33</v>
      </c>
      <c r="I1372" s="500">
        <f t="shared" ca="1" si="169"/>
        <v>70</v>
      </c>
      <c r="J1372" s="512">
        <f t="shared" ca="1" si="170"/>
        <v>1880</v>
      </c>
      <c r="K1372" s="512">
        <f t="shared" ca="1" si="171"/>
        <v>1316</v>
      </c>
      <c r="L1372" s="503" t="str">
        <f t="shared" ca="1" si="172"/>
        <v/>
      </c>
      <c r="M1372" s="515" t="str">
        <f ca="1">IFERROR(IF(COUNTIF($B$937:$B1371,"&lt;0")&lt;&gt;1,OFFSET($C1370,-COUNTIF($B$937:$B1371,"&lt;0")+3,0),""),"")</f>
        <v>a173p00000CH4EjAAL</v>
      </c>
      <c r="N1372" s="515">
        <f ca="1">IFERROR(IF(COUNTA($D$937:D1371)=1,0,OFFSET($F1370,-COUNTA($D$937:D1371)+3,0)),"")</f>
        <v>13</v>
      </c>
      <c r="O1372" s="497"/>
      <c r="P1372" s="497">
        <f t="shared" si="165"/>
        <v>0</v>
      </c>
      <c r="Q1372" s="497"/>
      <c r="R1372" s="497"/>
      <c r="S1372" s="497"/>
      <c r="T1372" s="503"/>
    </row>
    <row r="1373" spans="1:20" x14ac:dyDescent="0.35">
      <c r="A1373" s="497" t="b">
        <f t="shared" ca="1" si="166"/>
        <v>1</v>
      </c>
      <c r="B1373" s="497">
        <f t="shared" si="162"/>
        <v>74</v>
      </c>
      <c r="C1373" s="519" t="str">
        <f t="shared" ca="1" si="167"/>
        <v>a173p00000CH4FhAAL</v>
      </c>
      <c r="D1373" s="497"/>
      <c r="E1373" s="497">
        <f t="shared" ca="1" si="163"/>
        <v>2</v>
      </c>
      <c r="F1373" s="516">
        <f ca="1">IF(COUNTA(D$938:D1373)=1,"",OFFSET(F1371,-COUNTA(D$938:D1373)+3,0))</f>
        <v>13</v>
      </c>
      <c r="G1373" s="503" t="str">
        <f t="shared" ca="1" si="168"/>
        <v/>
      </c>
      <c r="H1373" s="497">
        <f t="shared" ca="1" si="164"/>
        <v>33</v>
      </c>
      <c r="I1373" s="500">
        <f t="shared" ca="1" si="169"/>
        <v>74.993419320873912</v>
      </c>
      <c r="J1373" s="512">
        <f t="shared" ca="1" si="170"/>
        <v>3799</v>
      </c>
      <c r="K1373" s="512">
        <f t="shared" ca="1" si="171"/>
        <v>2849</v>
      </c>
      <c r="L1373" s="503" t="str">
        <f t="shared" ca="1" si="172"/>
        <v/>
      </c>
      <c r="M1373" s="515" t="str">
        <f ca="1">IFERROR(IF(COUNTIF($B$937:$B1372,"&lt;0")&lt;&gt;1,OFFSET($C1371,-COUNTIF($B$937:$B1372,"&lt;0")+3,0),""),"")</f>
        <v>a173p00000CH4FhAAL</v>
      </c>
      <c r="N1373" s="515">
        <f ca="1">IFERROR(IF(COUNTA($D$937:D1372)=1,0,OFFSET($F1371,-COUNTA($D$937:D1372)+3,0)),"")</f>
        <v>13</v>
      </c>
      <c r="O1373" s="497"/>
      <c r="P1373" s="497">
        <f t="shared" si="165"/>
        <v>0</v>
      </c>
      <c r="Q1373" s="497"/>
      <c r="R1373" s="497"/>
      <c r="S1373" s="497"/>
      <c r="T1373" s="503"/>
    </row>
    <row r="1374" spans="1:20" x14ac:dyDescent="0.35">
      <c r="A1374" s="497" t="b">
        <f t="shared" ca="1" si="166"/>
        <v>1</v>
      </c>
      <c r="B1374" s="497">
        <f t="shared" si="162"/>
        <v>75</v>
      </c>
      <c r="C1374" s="519" t="str">
        <f t="shared" ca="1" si="167"/>
        <v>a173p00000CH4GfAAL</v>
      </c>
      <c r="D1374" s="497"/>
      <c r="E1374" s="497">
        <f t="shared" ca="1" si="163"/>
        <v>3</v>
      </c>
      <c r="F1374" s="516">
        <f ca="1">IF(COUNTA(D$938:D1374)=1,"",OFFSET(F1372,-COUNTA(D$938:D1374)+3,0))</f>
        <v>13</v>
      </c>
      <c r="G1374" s="503" t="str">
        <f t="shared" ca="1" si="168"/>
        <v/>
      </c>
      <c r="H1374" s="497">
        <f t="shared" ca="1" si="164"/>
        <v>33</v>
      </c>
      <c r="I1374" s="500">
        <f t="shared" ca="1" si="169"/>
        <v>80.00312695434647</v>
      </c>
      <c r="J1374" s="512">
        <f t="shared" ca="1" si="170"/>
        <v>6396</v>
      </c>
      <c r="K1374" s="512">
        <f t="shared" ca="1" si="171"/>
        <v>5117</v>
      </c>
      <c r="L1374" s="503" t="str">
        <f t="shared" ca="1" si="172"/>
        <v/>
      </c>
      <c r="M1374" s="515" t="str">
        <f ca="1">IFERROR(IF(COUNTIF($B$937:$B1373,"&lt;0")&lt;&gt;1,OFFSET($C1372,-COUNTIF($B$937:$B1373,"&lt;0")+3,0),""),"")</f>
        <v>a173p00000CH4GfAAL</v>
      </c>
      <c r="N1374" s="515">
        <f ca="1">IFERROR(IF(COUNTA($D$937:D1373)=1,0,OFFSET($F1372,-COUNTA($D$937:D1373)+3,0)),"")</f>
        <v>13</v>
      </c>
      <c r="O1374" s="497"/>
      <c r="P1374" s="497">
        <f t="shared" si="165"/>
        <v>0</v>
      </c>
      <c r="Q1374" s="497"/>
      <c r="R1374" s="497"/>
      <c r="S1374" s="497"/>
      <c r="T1374" s="503"/>
    </row>
    <row r="1375" spans="1:20" x14ac:dyDescent="0.35">
      <c r="A1375" s="497" t="b">
        <f t="shared" ca="1" si="166"/>
        <v>0</v>
      </c>
      <c r="B1375" s="497">
        <f t="shared" si="162"/>
        <v>76</v>
      </c>
      <c r="C1375" s="519" t="str">
        <f t="shared" ca="1" si="167"/>
        <v>a173p00000CH4HdAAL</v>
      </c>
      <c r="D1375" s="497"/>
      <c r="E1375" s="497">
        <f t="shared" ca="1" si="163"/>
        <v>4</v>
      </c>
      <c r="F1375" s="516">
        <f ca="1">IF(COUNTA(D$938:D1375)=1,"",OFFSET(F1373,-COUNTA(D$938:D1375)+3,0))</f>
        <v>13</v>
      </c>
      <c r="G1375" s="503" t="str">
        <f t="shared" ca="1" si="168"/>
        <v/>
      </c>
      <c r="H1375" s="497">
        <f t="shared" ca="1" si="164"/>
        <v>33</v>
      </c>
      <c r="I1375" s="500" t="str">
        <f t="shared" ca="1" si="169"/>
        <v/>
      </c>
      <c r="J1375" s="512" t="str">
        <f t="shared" ca="1" si="170"/>
        <v/>
      </c>
      <c r="K1375" s="512" t="str">
        <f t="shared" ca="1" si="171"/>
        <v/>
      </c>
      <c r="L1375" s="503" t="str">
        <f t="shared" ca="1" si="172"/>
        <v/>
      </c>
      <c r="M1375" s="515" t="str">
        <f ca="1">IFERROR(IF(COUNTIF($B$937:$B1374,"&lt;0")&lt;&gt;1,OFFSET($C1373,-COUNTIF($B$937:$B1374,"&lt;0")+3,0),""),"")</f>
        <v>a173p00000CH4HdAAL</v>
      </c>
      <c r="N1375" s="515">
        <f ca="1">IFERROR(IF(COUNTA($D$937:D1374)=1,0,OFFSET($F1373,-COUNTA($D$937:D1374)+3,0)),"")</f>
        <v>13</v>
      </c>
      <c r="O1375" s="497"/>
      <c r="P1375" s="497">
        <f t="shared" si="165"/>
        <v>0</v>
      </c>
      <c r="Q1375" s="497"/>
      <c r="R1375" s="497"/>
      <c r="S1375" s="497"/>
      <c r="T1375" s="503"/>
    </row>
    <row r="1376" spans="1:20" x14ac:dyDescent="0.35">
      <c r="A1376" s="497" t="b">
        <f t="shared" ca="1" si="166"/>
        <v>0</v>
      </c>
      <c r="B1376" s="497">
        <f t="shared" si="162"/>
        <v>77</v>
      </c>
      <c r="C1376" s="519" t="str">
        <f t="shared" ca="1" si="167"/>
        <v>a173p00000CH4IbAAL</v>
      </c>
      <c r="D1376" s="497"/>
      <c r="E1376" s="497">
        <f t="shared" ca="1" si="163"/>
        <v>5</v>
      </c>
      <c r="F1376" s="516">
        <f ca="1">IF(COUNTA(D$938:D1376)=1,"",OFFSET(F1374,-COUNTA(D$938:D1376)+3,0))</f>
        <v>13</v>
      </c>
      <c r="G1376" s="503" t="str">
        <f t="shared" ca="1" si="168"/>
        <v/>
      </c>
      <c r="H1376" s="497">
        <f t="shared" ca="1" si="164"/>
        <v>33</v>
      </c>
      <c r="I1376" s="500" t="str">
        <f t="shared" ca="1" si="169"/>
        <v/>
      </c>
      <c r="J1376" s="512" t="str">
        <f t="shared" ca="1" si="170"/>
        <v/>
      </c>
      <c r="K1376" s="512" t="str">
        <f t="shared" ca="1" si="171"/>
        <v/>
      </c>
      <c r="L1376" s="503" t="str">
        <f t="shared" ca="1" si="172"/>
        <v/>
      </c>
      <c r="M1376" s="515" t="str">
        <f ca="1">IFERROR(IF(COUNTIF($B$937:$B1375,"&lt;0")&lt;&gt;1,OFFSET($C1374,-COUNTIF($B$937:$B1375,"&lt;0")+3,0),""),"")</f>
        <v>a173p00000CH4IbAAL</v>
      </c>
      <c r="N1376" s="515">
        <f ca="1">IFERROR(IF(COUNTA($D$937:D1375)=1,0,OFFSET($F1374,-COUNTA($D$937:D1375)+3,0)),"")</f>
        <v>13</v>
      </c>
      <c r="O1376" s="497"/>
      <c r="P1376" s="497">
        <f t="shared" si="165"/>
        <v>0</v>
      </c>
      <c r="Q1376" s="497"/>
      <c r="R1376" s="497"/>
      <c r="S1376" s="497"/>
      <c r="T1376" s="503"/>
    </row>
    <row r="1377" spans="1:20" x14ac:dyDescent="0.35">
      <c r="A1377" s="497" t="b">
        <f t="shared" ca="1" si="166"/>
        <v>0</v>
      </c>
      <c r="B1377" s="497">
        <f t="shared" si="162"/>
        <v>78</v>
      </c>
      <c r="C1377" s="519" t="str">
        <f t="shared" ca="1" si="167"/>
        <v>a173p00000CH4JZAA1</v>
      </c>
      <c r="D1377" s="497"/>
      <c r="E1377" s="497">
        <f t="shared" ca="1" si="163"/>
        <v>6</v>
      </c>
      <c r="F1377" s="516">
        <f ca="1">IF(COUNTA(D$938:D1377)=1,"",OFFSET(F1375,-COUNTA(D$938:D1377)+3,0))</f>
        <v>13</v>
      </c>
      <c r="G1377" s="503" t="str">
        <f t="shared" ca="1" si="168"/>
        <v/>
      </c>
      <c r="H1377" s="497">
        <f t="shared" ca="1" si="164"/>
        <v>33</v>
      </c>
      <c r="I1377" s="500" t="str">
        <f t="shared" ca="1" si="169"/>
        <v/>
      </c>
      <c r="J1377" s="512" t="str">
        <f t="shared" ca="1" si="170"/>
        <v/>
      </c>
      <c r="K1377" s="512" t="str">
        <f t="shared" ca="1" si="171"/>
        <v/>
      </c>
      <c r="L1377" s="503" t="str">
        <f t="shared" ca="1" si="172"/>
        <v/>
      </c>
      <c r="M1377" s="515" t="str">
        <f ca="1">IFERROR(IF(COUNTIF($B$937:$B1376,"&lt;0")&lt;&gt;1,OFFSET($C1375,-COUNTIF($B$937:$B1376,"&lt;0")+3,0),""),"")</f>
        <v>a173p00000CH4JZAA1</v>
      </c>
      <c r="N1377" s="515">
        <f ca="1">IFERROR(IF(COUNTA($D$937:D1376)=1,0,OFFSET($F1375,-COUNTA($D$937:D1376)+3,0)),"")</f>
        <v>13</v>
      </c>
      <c r="O1377" s="497"/>
      <c r="P1377" s="497">
        <f t="shared" si="165"/>
        <v>0</v>
      </c>
      <c r="Q1377" s="497"/>
      <c r="R1377" s="497"/>
      <c r="S1377" s="497"/>
      <c r="T1377" s="503"/>
    </row>
    <row r="1378" spans="1:20" x14ac:dyDescent="0.35">
      <c r="A1378" s="497" t="b">
        <f t="shared" ca="1" si="166"/>
        <v>1</v>
      </c>
      <c r="B1378" s="497">
        <f t="shared" si="162"/>
        <v>79</v>
      </c>
      <c r="C1378" s="519" t="str">
        <f t="shared" ca="1" si="167"/>
        <v>a173p00000CH4EkAAL</v>
      </c>
      <c r="D1378" s="497"/>
      <c r="E1378" s="497">
        <f t="shared" ca="1" si="163"/>
        <v>1</v>
      </c>
      <c r="F1378" s="516">
        <f ca="1">IF(COUNTA(D$938:D1378)=1,"",OFFSET(F1376,-COUNTA(D$938:D1378)+3,0))</f>
        <v>14</v>
      </c>
      <c r="G1378" s="503" t="str">
        <f t="shared" ca="1" si="168"/>
        <v/>
      </c>
      <c r="H1378" s="497">
        <f t="shared" ca="1" si="164"/>
        <v>35</v>
      </c>
      <c r="I1378" s="500">
        <f t="shared" ca="1" si="169"/>
        <v>70</v>
      </c>
      <c r="J1378" s="512">
        <f t="shared" ca="1" si="170"/>
        <v>110</v>
      </c>
      <c r="K1378" s="512">
        <f t="shared" ca="1" si="171"/>
        <v>77</v>
      </c>
      <c r="L1378" s="503" t="str">
        <f t="shared" ca="1" si="172"/>
        <v/>
      </c>
      <c r="M1378" s="515" t="str">
        <f ca="1">IFERROR(IF(COUNTIF($B$937:$B1377,"&lt;0")&lt;&gt;1,OFFSET($C1376,-COUNTIF($B$937:$B1377,"&lt;0")+3,0),""),"")</f>
        <v>a173p00000CH4EkAAL</v>
      </c>
      <c r="N1378" s="515">
        <f ca="1">IFERROR(IF(COUNTA($D$937:D1377)=1,0,OFFSET($F1376,-COUNTA($D$937:D1377)+3,0)),"")</f>
        <v>14</v>
      </c>
      <c r="O1378" s="497"/>
      <c r="P1378" s="497">
        <f t="shared" si="165"/>
        <v>0</v>
      </c>
      <c r="Q1378" s="497"/>
      <c r="R1378" s="497"/>
      <c r="S1378" s="497"/>
      <c r="T1378" s="503"/>
    </row>
    <row r="1379" spans="1:20" x14ac:dyDescent="0.35">
      <c r="A1379" s="497" t="b">
        <f t="shared" ca="1" si="166"/>
        <v>1</v>
      </c>
      <c r="B1379" s="497">
        <f t="shared" si="162"/>
        <v>80</v>
      </c>
      <c r="C1379" s="519" t="str">
        <f t="shared" ca="1" si="167"/>
        <v>a173p00000CH4FiAAL</v>
      </c>
      <c r="D1379" s="497"/>
      <c r="E1379" s="497">
        <f t="shared" ca="1" si="163"/>
        <v>2</v>
      </c>
      <c r="F1379" s="516">
        <f ca="1">IF(COUNTA(D$938:D1379)=1,"",OFFSET(F1377,-COUNTA(D$938:D1379)+3,0))</f>
        <v>14</v>
      </c>
      <c r="G1379" s="503" t="str">
        <f t="shared" ca="1" si="168"/>
        <v/>
      </c>
      <c r="H1379" s="497">
        <f t="shared" ca="1" si="164"/>
        <v>35</v>
      </c>
      <c r="I1379" s="500">
        <f t="shared" ca="1" si="169"/>
        <v>74.88789237668162</v>
      </c>
      <c r="J1379" s="512">
        <f t="shared" ca="1" si="170"/>
        <v>223</v>
      </c>
      <c r="K1379" s="512">
        <f t="shared" ca="1" si="171"/>
        <v>167</v>
      </c>
      <c r="L1379" s="503" t="str">
        <f t="shared" ca="1" si="172"/>
        <v/>
      </c>
      <c r="M1379" s="515" t="str">
        <f ca="1">IFERROR(IF(COUNTIF($B$937:$B1378,"&lt;0")&lt;&gt;1,OFFSET($C1377,-COUNTIF($B$937:$B1378,"&lt;0")+3,0),""),"")</f>
        <v>a173p00000CH4FiAAL</v>
      </c>
      <c r="N1379" s="515">
        <f ca="1">IFERROR(IF(COUNTA($D$937:D1378)=1,0,OFFSET($F1377,-COUNTA($D$937:D1378)+3,0)),"")</f>
        <v>14</v>
      </c>
      <c r="O1379" s="497"/>
      <c r="P1379" s="497">
        <f t="shared" si="165"/>
        <v>0</v>
      </c>
      <c r="Q1379" s="497"/>
      <c r="R1379" s="497"/>
      <c r="S1379" s="497"/>
      <c r="T1379" s="503"/>
    </row>
    <row r="1380" spans="1:20" x14ac:dyDescent="0.35">
      <c r="A1380" s="497" t="b">
        <f t="shared" ca="1" si="166"/>
        <v>1</v>
      </c>
      <c r="B1380" s="497">
        <f t="shared" si="162"/>
        <v>81</v>
      </c>
      <c r="C1380" s="519" t="str">
        <f t="shared" ca="1" si="167"/>
        <v>a173p00000CH4GgAAL</v>
      </c>
      <c r="D1380" s="497"/>
      <c r="E1380" s="497">
        <f t="shared" ca="1" si="163"/>
        <v>3</v>
      </c>
      <c r="F1380" s="516">
        <f ca="1">IF(COUNTA(D$938:D1380)=1,"",OFFSET(F1378,-COUNTA(D$938:D1380)+3,0))</f>
        <v>14</v>
      </c>
      <c r="G1380" s="503" t="str">
        <f t="shared" ca="1" si="168"/>
        <v/>
      </c>
      <c r="H1380" s="497">
        <f t="shared" ca="1" si="164"/>
        <v>35</v>
      </c>
      <c r="I1380" s="500">
        <f t="shared" ca="1" si="169"/>
        <v>80</v>
      </c>
      <c r="J1380" s="512">
        <f t="shared" ca="1" si="170"/>
        <v>375</v>
      </c>
      <c r="K1380" s="512">
        <f t="shared" ca="1" si="171"/>
        <v>300</v>
      </c>
      <c r="L1380" s="503" t="str">
        <f t="shared" ca="1" si="172"/>
        <v/>
      </c>
      <c r="M1380" s="515" t="str">
        <f ca="1">IFERROR(IF(COUNTIF($B$937:$B1379,"&lt;0")&lt;&gt;1,OFFSET($C1378,-COUNTIF($B$937:$B1379,"&lt;0")+3,0),""),"")</f>
        <v>a173p00000CH4GgAAL</v>
      </c>
      <c r="N1380" s="515">
        <f ca="1">IFERROR(IF(COUNTA($D$937:D1379)=1,0,OFFSET($F1378,-COUNTA($D$937:D1379)+3,0)),"")</f>
        <v>14</v>
      </c>
      <c r="O1380" s="497"/>
      <c r="P1380" s="497">
        <f t="shared" si="165"/>
        <v>0</v>
      </c>
      <c r="Q1380" s="497"/>
      <c r="R1380" s="497"/>
      <c r="S1380" s="497"/>
      <c r="T1380" s="503"/>
    </row>
    <row r="1381" spans="1:20" x14ac:dyDescent="0.35">
      <c r="A1381" s="497" t="b">
        <f t="shared" ca="1" si="166"/>
        <v>0</v>
      </c>
      <c r="B1381" s="497">
        <f t="shared" si="162"/>
        <v>82</v>
      </c>
      <c r="C1381" s="519" t="str">
        <f t="shared" ca="1" si="167"/>
        <v>a173p00000CH4HeAAL</v>
      </c>
      <c r="D1381" s="497"/>
      <c r="E1381" s="497">
        <f t="shared" ca="1" si="163"/>
        <v>4</v>
      </c>
      <c r="F1381" s="516">
        <f ca="1">IF(COUNTA(D$938:D1381)=1,"",OFFSET(F1379,-COUNTA(D$938:D1381)+3,0))</f>
        <v>14</v>
      </c>
      <c r="G1381" s="503" t="str">
        <f t="shared" ca="1" si="168"/>
        <v/>
      </c>
      <c r="H1381" s="497">
        <f t="shared" ca="1" si="164"/>
        <v>35</v>
      </c>
      <c r="I1381" s="500" t="str">
        <f t="shared" ca="1" si="169"/>
        <v/>
      </c>
      <c r="J1381" s="512" t="str">
        <f t="shared" ca="1" si="170"/>
        <v/>
      </c>
      <c r="K1381" s="512" t="str">
        <f t="shared" ca="1" si="171"/>
        <v/>
      </c>
      <c r="L1381" s="503" t="str">
        <f t="shared" ca="1" si="172"/>
        <v/>
      </c>
      <c r="M1381" s="515" t="str">
        <f ca="1">IFERROR(IF(COUNTIF($B$937:$B1380,"&lt;0")&lt;&gt;1,OFFSET($C1379,-COUNTIF($B$937:$B1380,"&lt;0")+3,0),""),"")</f>
        <v>a173p00000CH4HeAAL</v>
      </c>
      <c r="N1381" s="515">
        <f ca="1">IFERROR(IF(COUNTA($D$937:D1380)=1,0,OFFSET($F1379,-COUNTA($D$937:D1380)+3,0)),"")</f>
        <v>14</v>
      </c>
      <c r="O1381" s="497"/>
      <c r="P1381" s="497">
        <f t="shared" si="165"/>
        <v>0</v>
      </c>
      <c r="Q1381" s="497"/>
      <c r="R1381" s="497"/>
      <c r="S1381" s="497"/>
      <c r="T1381" s="503"/>
    </row>
    <row r="1382" spans="1:20" x14ac:dyDescent="0.35">
      <c r="A1382" s="497" t="b">
        <f t="shared" ca="1" si="166"/>
        <v>0</v>
      </c>
      <c r="B1382" s="497">
        <f t="shared" si="162"/>
        <v>83</v>
      </c>
      <c r="C1382" s="519" t="str">
        <f t="shared" ca="1" si="167"/>
        <v>a173p00000CH4IcAAL</v>
      </c>
      <c r="D1382" s="497"/>
      <c r="E1382" s="497">
        <f t="shared" ca="1" si="163"/>
        <v>5</v>
      </c>
      <c r="F1382" s="516">
        <f ca="1">IF(COUNTA(D$938:D1382)=1,"",OFFSET(F1380,-COUNTA(D$938:D1382)+3,0))</f>
        <v>14</v>
      </c>
      <c r="G1382" s="503" t="str">
        <f t="shared" ca="1" si="168"/>
        <v/>
      </c>
      <c r="H1382" s="497">
        <f t="shared" ca="1" si="164"/>
        <v>35</v>
      </c>
      <c r="I1382" s="500" t="str">
        <f t="shared" ca="1" si="169"/>
        <v/>
      </c>
      <c r="J1382" s="512" t="str">
        <f t="shared" ca="1" si="170"/>
        <v/>
      </c>
      <c r="K1382" s="512" t="str">
        <f t="shared" ca="1" si="171"/>
        <v/>
      </c>
      <c r="L1382" s="503" t="str">
        <f t="shared" ca="1" si="172"/>
        <v/>
      </c>
      <c r="M1382" s="515" t="str">
        <f ca="1">IFERROR(IF(COUNTIF($B$937:$B1381,"&lt;0")&lt;&gt;1,OFFSET($C1380,-COUNTIF($B$937:$B1381,"&lt;0")+3,0),""),"")</f>
        <v>a173p00000CH4IcAAL</v>
      </c>
      <c r="N1382" s="515">
        <f ca="1">IFERROR(IF(COUNTA($D$937:D1381)=1,0,OFFSET($F1380,-COUNTA($D$937:D1381)+3,0)),"")</f>
        <v>14</v>
      </c>
      <c r="O1382" s="497"/>
      <c r="P1382" s="497">
        <f t="shared" si="165"/>
        <v>0</v>
      </c>
      <c r="Q1382" s="497"/>
      <c r="R1382" s="497"/>
      <c r="S1382" s="497"/>
      <c r="T1382" s="503"/>
    </row>
    <row r="1383" spans="1:20" x14ac:dyDescent="0.35">
      <c r="A1383" s="497" t="b">
        <f t="shared" ca="1" si="166"/>
        <v>0</v>
      </c>
      <c r="B1383" s="497">
        <f t="shared" si="162"/>
        <v>84</v>
      </c>
      <c r="C1383" s="519" t="str">
        <f t="shared" ca="1" si="167"/>
        <v>a173p00000CH4JaAAL</v>
      </c>
      <c r="D1383" s="497"/>
      <c r="E1383" s="497">
        <f t="shared" ca="1" si="163"/>
        <v>6</v>
      </c>
      <c r="F1383" s="516">
        <f ca="1">IF(COUNTA(D$938:D1383)=1,"",OFFSET(F1381,-COUNTA(D$938:D1383)+3,0))</f>
        <v>14</v>
      </c>
      <c r="G1383" s="503" t="str">
        <f t="shared" ca="1" si="168"/>
        <v/>
      </c>
      <c r="H1383" s="497">
        <f t="shared" ca="1" si="164"/>
        <v>35</v>
      </c>
      <c r="I1383" s="500" t="str">
        <f t="shared" ca="1" si="169"/>
        <v/>
      </c>
      <c r="J1383" s="512" t="str">
        <f t="shared" ca="1" si="170"/>
        <v/>
      </c>
      <c r="K1383" s="512" t="str">
        <f t="shared" ca="1" si="171"/>
        <v/>
      </c>
      <c r="L1383" s="503" t="str">
        <f t="shared" ca="1" si="172"/>
        <v/>
      </c>
      <c r="M1383" s="515" t="str">
        <f ca="1">IFERROR(IF(COUNTIF($B$937:$B1382,"&lt;0")&lt;&gt;1,OFFSET($C1381,-COUNTIF($B$937:$B1382,"&lt;0")+3,0),""),"")</f>
        <v>a173p00000CH4JaAAL</v>
      </c>
      <c r="N1383" s="515">
        <f ca="1">IFERROR(IF(COUNTA($D$937:D1382)=1,0,OFFSET($F1381,-COUNTA($D$937:D1382)+3,0)),"")</f>
        <v>14</v>
      </c>
      <c r="O1383" s="497"/>
      <c r="P1383" s="497">
        <f t="shared" si="165"/>
        <v>0</v>
      </c>
      <c r="Q1383" s="497"/>
      <c r="R1383" s="497"/>
      <c r="S1383" s="497"/>
      <c r="T1383" s="503"/>
    </row>
    <row r="1384" spans="1:20" x14ac:dyDescent="0.35">
      <c r="A1384" s="497" t="b">
        <f t="shared" ca="1" si="166"/>
        <v>1</v>
      </c>
      <c r="B1384" s="497">
        <f t="shared" si="162"/>
        <v>85</v>
      </c>
      <c r="C1384" s="519" t="str">
        <f t="shared" ca="1" si="167"/>
        <v>a173p00000CH4ElAAL</v>
      </c>
      <c r="D1384" s="497"/>
      <c r="E1384" s="497">
        <f t="shared" ca="1" si="163"/>
        <v>1</v>
      </c>
      <c r="F1384" s="516">
        <f ca="1">IF(COUNTA(D$938:D1384)=1,"",OFFSET(F1382,-COUNTA(D$938:D1384)+3,0))</f>
        <v>15</v>
      </c>
      <c r="G1384" s="503" t="str">
        <f t="shared" ca="1" si="168"/>
        <v/>
      </c>
      <c r="H1384" s="497">
        <f t="shared" ca="1" si="164"/>
        <v>37</v>
      </c>
      <c r="I1384" s="500">
        <f t="shared" ca="1" si="169"/>
        <v>23</v>
      </c>
      <c r="J1384" s="512" t="str">
        <f t="shared" ca="1" si="170"/>
        <v/>
      </c>
      <c r="K1384" s="512" t="str">
        <f t="shared" ca="1" si="171"/>
        <v/>
      </c>
      <c r="L1384" s="503" t="str">
        <f t="shared" ca="1" si="172"/>
        <v/>
      </c>
      <c r="M1384" s="515" t="str">
        <f ca="1">IFERROR(IF(COUNTIF($B$937:$B1383,"&lt;0")&lt;&gt;1,OFFSET($C1382,-COUNTIF($B$937:$B1383,"&lt;0")+3,0),""),"")</f>
        <v>a173p00000CH4ElAAL</v>
      </c>
      <c r="N1384" s="515">
        <f ca="1">IFERROR(IF(COUNTA($D$937:D1383)=1,0,OFFSET($F1382,-COUNTA($D$937:D1383)+3,0)),"")</f>
        <v>15</v>
      </c>
      <c r="O1384" s="497"/>
      <c r="P1384" s="497">
        <f t="shared" si="165"/>
        <v>0</v>
      </c>
      <c r="Q1384" s="497"/>
      <c r="R1384" s="497"/>
      <c r="S1384" s="497"/>
      <c r="T1384" s="503"/>
    </row>
    <row r="1385" spans="1:20" x14ac:dyDescent="0.35">
      <c r="A1385" s="497" t="b">
        <f t="shared" ca="1" si="166"/>
        <v>1</v>
      </c>
      <c r="B1385" s="497">
        <f t="shared" si="162"/>
        <v>86</v>
      </c>
      <c r="C1385" s="519" t="str">
        <f t="shared" ca="1" si="167"/>
        <v>a173p00000CH4FjAAL</v>
      </c>
      <c r="D1385" s="497"/>
      <c r="E1385" s="497">
        <f t="shared" ca="1" si="163"/>
        <v>2</v>
      </c>
      <c r="F1385" s="516">
        <f ca="1">IF(COUNTA(D$938:D1385)=1,"",OFFSET(F1383,-COUNTA(D$938:D1385)+3,0))</f>
        <v>15</v>
      </c>
      <c r="G1385" s="503" t="str">
        <f t="shared" ca="1" si="168"/>
        <v/>
      </c>
      <c r="H1385" s="497">
        <f t="shared" ca="1" si="164"/>
        <v>37</v>
      </c>
      <c r="I1385" s="500">
        <f t="shared" ca="1" si="169"/>
        <v>30</v>
      </c>
      <c r="J1385" s="512" t="str">
        <f t="shared" ca="1" si="170"/>
        <v/>
      </c>
      <c r="K1385" s="512" t="str">
        <f t="shared" ca="1" si="171"/>
        <v/>
      </c>
      <c r="L1385" s="503" t="str">
        <f t="shared" ca="1" si="172"/>
        <v/>
      </c>
      <c r="M1385" s="515" t="str">
        <f ca="1">IFERROR(IF(COUNTIF($B$937:$B1384,"&lt;0")&lt;&gt;1,OFFSET($C1383,-COUNTIF($B$937:$B1384,"&lt;0")+3,0),""),"")</f>
        <v>a173p00000CH4FjAAL</v>
      </c>
      <c r="N1385" s="515">
        <f ca="1">IFERROR(IF(COUNTA($D$937:D1384)=1,0,OFFSET($F1383,-COUNTA($D$937:D1384)+3,0)),"")</f>
        <v>15</v>
      </c>
      <c r="O1385" s="497"/>
      <c r="P1385" s="497">
        <f t="shared" si="165"/>
        <v>0</v>
      </c>
      <c r="Q1385" s="497"/>
      <c r="R1385" s="497"/>
      <c r="S1385" s="497"/>
      <c r="T1385" s="503"/>
    </row>
    <row r="1386" spans="1:20" x14ac:dyDescent="0.35">
      <c r="A1386" s="497" t="b">
        <f t="shared" ca="1" si="166"/>
        <v>1</v>
      </c>
      <c r="B1386" s="497">
        <f t="shared" si="162"/>
        <v>87</v>
      </c>
      <c r="C1386" s="519" t="str">
        <f t="shared" ca="1" si="167"/>
        <v>a173p00000CH4GhAAL</v>
      </c>
      <c r="D1386" s="497"/>
      <c r="E1386" s="497">
        <f t="shared" ca="1" si="163"/>
        <v>3</v>
      </c>
      <c r="F1386" s="516">
        <f ca="1">IF(COUNTA(D$938:D1386)=1,"",OFFSET(F1384,-COUNTA(D$938:D1386)+3,0))</f>
        <v>15</v>
      </c>
      <c r="G1386" s="503" t="str">
        <f t="shared" ca="1" si="168"/>
        <v/>
      </c>
      <c r="H1386" s="497">
        <f t="shared" ca="1" si="164"/>
        <v>37</v>
      </c>
      <c r="I1386" s="500">
        <f t="shared" ca="1" si="169"/>
        <v>40</v>
      </c>
      <c r="J1386" s="512" t="str">
        <f t="shared" ca="1" si="170"/>
        <v/>
      </c>
      <c r="K1386" s="512" t="str">
        <f t="shared" ca="1" si="171"/>
        <v/>
      </c>
      <c r="L1386" s="503" t="str">
        <f t="shared" ca="1" si="172"/>
        <v/>
      </c>
      <c r="M1386" s="515" t="str">
        <f ca="1">IFERROR(IF(COUNTIF($B$937:$B1385,"&lt;0")&lt;&gt;1,OFFSET($C1384,-COUNTIF($B$937:$B1385,"&lt;0")+3,0),""),"")</f>
        <v>a173p00000CH4GhAAL</v>
      </c>
      <c r="N1386" s="515">
        <f ca="1">IFERROR(IF(COUNTA($D$937:D1385)=1,0,OFFSET($F1384,-COUNTA($D$937:D1385)+3,0)),"")</f>
        <v>15</v>
      </c>
      <c r="O1386" s="497"/>
      <c r="P1386" s="497">
        <f t="shared" si="165"/>
        <v>0</v>
      </c>
      <c r="Q1386" s="497"/>
      <c r="R1386" s="497"/>
      <c r="S1386" s="497"/>
      <c r="T1386" s="503"/>
    </row>
    <row r="1387" spans="1:20" x14ac:dyDescent="0.35">
      <c r="A1387" s="497" t="b">
        <f t="shared" ca="1" si="166"/>
        <v>0</v>
      </c>
      <c r="B1387" s="497">
        <f t="shared" si="162"/>
        <v>88</v>
      </c>
      <c r="C1387" s="519" t="str">
        <f t="shared" ca="1" si="167"/>
        <v>a173p00000CH4HfAAL</v>
      </c>
      <c r="D1387" s="497"/>
      <c r="E1387" s="497">
        <f t="shared" ca="1" si="163"/>
        <v>4</v>
      </c>
      <c r="F1387" s="516">
        <f ca="1">IF(COUNTA(D$938:D1387)=1,"",OFFSET(F1385,-COUNTA(D$938:D1387)+3,0))</f>
        <v>15</v>
      </c>
      <c r="G1387" s="503" t="str">
        <f t="shared" ca="1" si="168"/>
        <v/>
      </c>
      <c r="H1387" s="497">
        <f t="shared" ca="1" si="164"/>
        <v>37</v>
      </c>
      <c r="I1387" s="500" t="str">
        <f t="shared" ca="1" si="169"/>
        <v/>
      </c>
      <c r="J1387" s="512" t="str">
        <f t="shared" ca="1" si="170"/>
        <v/>
      </c>
      <c r="K1387" s="512" t="str">
        <f t="shared" ca="1" si="171"/>
        <v/>
      </c>
      <c r="L1387" s="503" t="str">
        <f t="shared" ca="1" si="172"/>
        <v/>
      </c>
      <c r="M1387" s="515" t="str">
        <f ca="1">IFERROR(IF(COUNTIF($B$937:$B1386,"&lt;0")&lt;&gt;1,OFFSET($C1385,-COUNTIF($B$937:$B1386,"&lt;0")+3,0),""),"")</f>
        <v>a173p00000CH4HfAAL</v>
      </c>
      <c r="N1387" s="515">
        <f ca="1">IFERROR(IF(COUNTA($D$937:D1386)=1,0,OFFSET($F1385,-COUNTA($D$937:D1386)+3,0)),"")</f>
        <v>15</v>
      </c>
      <c r="O1387" s="497"/>
      <c r="P1387" s="497">
        <f t="shared" si="165"/>
        <v>0</v>
      </c>
      <c r="Q1387" s="497"/>
      <c r="R1387" s="497"/>
      <c r="S1387" s="497"/>
      <c r="T1387" s="503"/>
    </row>
    <row r="1388" spans="1:20" x14ac:dyDescent="0.35">
      <c r="A1388" s="497" t="b">
        <f t="shared" ca="1" si="166"/>
        <v>0</v>
      </c>
      <c r="B1388" s="497">
        <f t="shared" ref="B1388:B1451" si="173">B1387+1</f>
        <v>89</v>
      </c>
      <c r="C1388" s="519" t="str">
        <f t="shared" ca="1" si="167"/>
        <v>a173p00000CH4IdAAL</v>
      </c>
      <c r="D1388" s="497"/>
      <c r="E1388" s="497">
        <f t="shared" ref="E1388:E1451" ca="1" si="174">COUNTIF(F1291:F1388,F1388)</f>
        <v>5</v>
      </c>
      <c r="F1388" s="516">
        <f ca="1">IF(COUNTA(D$938:D1388)=1,"",OFFSET(F1386,-COUNTA(D$938:D1388)+3,0))</f>
        <v>15</v>
      </c>
      <c r="G1388" s="503" t="str">
        <f t="shared" ca="1" si="168"/>
        <v/>
      </c>
      <c r="H1388" s="497">
        <f t="shared" ref="H1388:H1451" ca="1" si="175">IF(F1388=1,9,IF(E1387=MAX(E1386:E1388),H1386+2,H1387))</f>
        <v>37</v>
      </c>
      <c r="I1388" s="500" t="str">
        <f t="shared" ca="1" si="169"/>
        <v/>
      </c>
      <c r="J1388" s="512" t="str">
        <f t="shared" ca="1" si="170"/>
        <v/>
      </c>
      <c r="K1388" s="512" t="str">
        <f t="shared" ca="1" si="171"/>
        <v/>
      </c>
      <c r="L1388" s="503" t="str">
        <f t="shared" ca="1" si="172"/>
        <v/>
      </c>
      <c r="M1388" s="515" t="str">
        <f ca="1">IFERROR(IF(COUNTIF($B$937:$B1387,"&lt;0")&lt;&gt;1,OFFSET($C1386,-COUNTIF($B$937:$B1387,"&lt;0")+3,0),""),"")</f>
        <v>a173p00000CH4IdAAL</v>
      </c>
      <c r="N1388" s="515">
        <f ca="1">IFERROR(IF(COUNTA($D$937:D1387)=1,0,OFFSET($F1386,-COUNTA($D$937:D1387)+3,0)),"")</f>
        <v>15</v>
      </c>
      <c r="O1388" s="497"/>
      <c r="P1388" s="497">
        <f t="shared" ref="P1388:P1451" si="176">IF(NOT(_xlfn.ISFORMULA(I1388)),P1387+1,0)</f>
        <v>0</v>
      </c>
      <c r="Q1388" s="497"/>
      <c r="R1388" s="497"/>
      <c r="S1388" s="497"/>
      <c r="T1388" s="503"/>
    </row>
    <row r="1389" spans="1:20" x14ac:dyDescent="0.35">
      <c r="A1389" s="497" t="b">
        <f t="shared" ca="1" si="166"/>
        <v>0</v>
      </c>
      <c r="B1389" s="497">
        <f t="shared" si="173"/>
        <v>90</v>
      </c>
      <c r="C1389" s="519" t="str">
        <f t="shared" ca="1" si="167"/>
        <v>a173p00000CH4JbAAL</v>
      </c>
      <c r="D1389" s="497"/>
      <c r="E1389" s="497">
        <f t="shared" ca="1" si="174"/>
        <v>6</v>
      </c>
      <c r="F1389" s="516">
        <f ca="1">IF(COUNTA(D$938:D1389)=1,"",OFFSET(F1387,-COUNTA(D$938:D1389)+3,0))</f>
        <v>15</v>
      </c>
      <c r="G1389" s="503" t="str">
        <f t="shared" ca="1" si="168"/>
        <v/>
      </c>
      <c r="H1389" s="497">
        <f t="shared" ca="1" si="175"/>
        <v>37</v>
      </c>
      <c r="I1389" s="500" t="str">
        <f t="shared" ca="1" si="169"/>
        <v/>
      </c>
      <c r="J1389" s="512" t="str">
        <f t="shared" ca="1" si="170"/>
        <v/>
      </c>
      <c r="K1389" s="512" t="str">
        <f t="shared" ca="1" si="171"/>
        <v/>
      </c>
      <c r="L1389" s="503" t="str">
        <f t="shared" ca="1" si="172"/>
        <v/>
      </c>
      <c r="M1389" s="515" t="str">
        <f ca="1">IFERROR(IF(COUNTIF($B$937:$B1388,"&lt;0")&lt;&gt;1,OFFSET($C1387,-COUNTIF($B$937:$B1388,"&lt;0")+3,0),""),"")</f>
        <v>a173p00000CH4JbAAL</v>
      </c>
      <c r="N1389" s="515">
        <f ca="1">IFERROR(IF(COUNTA($D$937:D1388)=1,0,OFFSET($F1387,-COUNTA($D$937:D1388)+3,0)),"")</f>
        <v>15</v>
      </c>
      <c r="O1389" s="497"/>
      <c r="P1389" s="497">
        <f t="shared" si="176"/>
        <v>0</v>
      </c>
      <c r="Q1389" s="497"/>
      <c r="R1389" s="497"/>
      <c r="S1389" s="497"/>
      <c r="T1389" s="503"/>
    </row>
    <row r="1390" spans="1:20" x14ac:dyDescent="0.35">
      <c r="A1390" s="497" t="b">
        <f t="shared" ca="1" si="166"/>
        <v>0</v>
      </c>
      <c r="B1390" s="497">
        <f t="shared" si="173"/>
        <v>91</v>
      </c>
      <c r="C1390" s="519" t="str">
        <f t="shared" ca="1" si="167"/>
        <v>a173p00000CH4EmAAL</v>
      </c>
      <c r="D1390" s="497"/>
      <c r="E1390" s="497">
        <f t="shared" ca="1" si="174"/>
        <v>1</v>
      </c>
      <c r="F1390" s="516">
        <f ca="1">IF(COUNTA(D$938:D1390)=1,"",OFFSET(F1388,-COUNTA(D$938:D1390)+3,0))</f>
        <v>16</v>
      </c>
      <c r="G1390" s="503" t="str">
        <f t="shared" ca="1" si="168"/>
        <v/>
      </c>
      <c r="H1390" s="497">
        <f t="shared" ca="1" si="175"/>
        <v>39</v>
      </c>
      <c r="I1390" s="500" t="str">
        <f t="shared" ca="1" si="169"/>
        <v/>
      </c>
      <c r="J1390" s="512" t="str">
        <f t="shared" ca="1" si="170"/>
        <v/>
      </c>
      <c r="K1390" s="512" t="str">
        <f t="shared" ca="1" si="171"/>
        <v/>
      </c>
      <c r="L1390" s="503" t="str">
        <f t="shared" ca="1" si="172"/>
        <v/>
      </c>
      <c r="M1390" s="515" t="str">
        <f ca="1">IFERROR(IF(COUNTIF($B$937:$B1389,"&lt;0")&lt;&gt;1,OFFSET($C1388,-COUNTIF($B$937:$B1389,"&lt;0")+3,0),""),"")</f>
        <v>a173p00000CH4EmAAL</v>
      </c>
      <c r="N1390" s="515">
        <f ca="1">IFERROR(IF(COUNTA($D$937:D1389)=1,0,OFFSET($F1388,-COUNTA($D$937:D1389)+3,0)),"")</f>
        <v>16</v>
      </c>
      <c r="O1390" s="497"/>
      <c r="P1390" s="497">
        <f t="shared" si="176"/>
        <v>0</v>
      </c>
      <c r="Q1390" s="497"/>
      <c r="R1390" s="497"/>
      <c r="S1390" s="497"/>
      <c r="T1390" s="503"/>
    </row>
    <row r="1391" spans="1:20" x14ac:dyDescent="0.35">
      <c r="A1391" s="497" t="b">
        <f t="shared" ca="1" si="166"/>
        <v>0</v>
      </c>
      <c r="B1391" s="497">
        <f t="shared" si="173"/>
        <v>92</v>
      </c>
      <c r="C1391" s="519" t="str">
        <f t="shared" ca="1" si="167"/>
        <v>a173p00000CH4FkAAL</v>
      </c>
      <c r="D1391" s="497"/>
      <c r="E1391" s="497">
        <f t="shared" ca="1" si="174"/>
        <v>2</v>
      </c>
      <c r="F1391" s="516">
        <f ca="1">IF(COUNTA(D$938:D1391)=1,"",OFFSET(F1389,-COUNTA(D$938:D1391)+3,0))</f>
        <v>16</v>
      </c>
      <c r="G1391" s="503" t="str">
        <f t="shared" ca="1" si="168"/>
        <v/>
      </c>
      <c r="H1391" s="497">
        <f t="shared" ca="1" si="175"/>
        <v>39</v>
      </c>
      <c r="I1391" s="500" t="str">
        <f t="shared" ca="1" si="169"/>
        <v/>
      </c>
      <c r="J1391" s="512" t="str">
        <f t="shared" ca="1" si="170"/>
        <v/>
      </c>
      <c r="K1391" s="512" t="str">
        <f t="shared" ca="1" si="171"/>
        <v/>
      </c>
      <c r="L1391" s="503" t="str">
        <f t="shared" ca="1" si="172"/>
        <v/>
      </c>
      <c r="M1391" s="515" t="str">
        <f ca="1">IFERROR(IF(COUNTIF($B$937:$B1390,"&lt;0")&lt;&gt;1,OFFSET($C1389,-COUNTIF($B$937:$B1390,"&lt;0")+3,0),""),"")</f>
        <v>a173p00000CH4FkAAL</v>
      </c>
      <c r="N1391" s="515">
        <f ca="1">IFERROR(IF(COUNTA($D$937:D1390)=1,0,OFFSET($F1389,-COUNTA($D$937:D1390)+3,0)),"")</f>
        <v>16</v>
      </c>
      <c r="O1391" s="497"/>
      <c r="P1391" s="497">
        <f t="shared" si="176"/>
        <v>0</v>
      </c>
      <c r="Q1391" s="497"/>
      <c r="R1391" s="497"/>
      <c r="S1391" s="497"/>
      <c r="T1391" s="503"/>
    </row>
    <row r="1392" spans="1:20" x14ac:dyDescent="0.35">
      <c r="A1392" s="497" t="b">
        <f t="shared" ca="1" si="166"/>
        <v>0</v>
      </c>
      <c r="B1392" s="497">
        <f t="shared" si="173"/>
        <v>93</v>
      </c>
      <c r="C1392" s="519" t="str">
        <f t="shared" ca="1" si="167"/>
        <v>a173p00000CH4GiAAL</v>
      </c>
      <c r="D1392" s="497"/>
      <c r="E1392" s="497">
        <f t="shared" ca="1" si="174"/>
        <v>3</v>
      </c>
      <c r="F1392" s="516">
        <f ca="1">IF(COUNTA(D$938:D1392)=1,"",OFFSET(F1390,-COUNTA(D$938:D1392)+3,0))</f>
        <v>16</v>
      </c>
      <c r="G1392" s="503" t="str">
        <f t="shared" ca="1" si="168"/>
        <v/>
      </c>
      <c r="H1392" s="497">
        <f t="shared" ca="1" si="175"/>
        <v>39</v>
      </c>
      <c r="I1392" s="500" t="str">
        <f t="shared" ca="1" si="169"/>
        <v/>
      </c>
      <c r="J1392" s="512" t="str">
        <f t="shared" ca="1" si="170"/>
        <v/>
      </c>
      <c r="K1392" s="512" t="str">
        <f t="shared" ca="1" si="171"/>
        <v/>
      </c>
      <c r="L1392" s="503" t="str">
        <f t="shared" ca="1" si="172"/>
        <v/>
      </c>
      <c r="M1392" s="515" t="str">
        <f ca="1">IFERROR(IF(COUNTIF($B$937:$B1391,"&lt;0")&lt;&gt;1,OFFSET($C1390,-COUNTIF($B$937:$B1391,"&lt;0")+3,0),""),"")</f>
        <v>a173p00000CH4GiAAL</v>
      </c>
      <c r="N1392" s="515">
        <f ca="1">IFERROR(IF(COUNTA($D$937:D1391)=1,0,OFFSET($F1390,-COUNTA($D$937:D1391)+3,0)),"")</f>
        <v>16</v>
      </c>
      <c r="O1392" s="497"/>
      <c r="P1392" s="497">
        <f t="shared" si="176"/>
        <v>0</v>
      </c>
      <c r="Q1392" s="497"/>
      <c r="R1392" s="497"/>
      <c r="S1392" s="497"/>
      <c r="T1392" s="503"/>
    </row>
    <row r="1393" spans="1:20" x14ac:dyDescent="0.35">
      <c r="A1393" s="497" t="b">
        <f t="shared" ca="1" si="166"/>
        <v>0</v>
      </c>
      <c r="B1393" s="497">
        <f t="shared" si="173"/>
        <v>94</v>
      </c>
      <c r="C1393" s="519" t="str">
        <f t="shared" ca="1" si="167"/>
        <v>a173p00000CH4HgAAL</v>
      </c>
      <c r="D1393" s="497"/>
      <c r="E1393" s="497">
        <f t="shared" ca="1" si="174"/>
        <v>4</v>
      </c>
      <c r="F1393" s="516">
        <f ca="1">IF(COUNTA(D$938:D1393)=1,"",OFFSET(F1391,-COUNTA(D$938:D1393)+3,0))</f>
        <v>16</v>
      </c>
      <c r="G1393" s="503" t="str">
        <f t="shared" ca="1" si="168"/>
        <v/>
      </c>
      <c r="H1393" s="497">
        <f t="shared" ca="1" si="175"/>
        <v>39</v>
      </c>
      <c r="I1393" s="500" t="str">
        <f t="shared" ca="1" si="169"/>
        <v/>
      </c>
      <c r="J1393" s="512" t="str">
        <f t="shared" ca="1" si="170"/>
        <v/>
      </c>
      <c r="K1393" s="512" t="str">
        <f t="shared" ca="1" si="171"/>
        <v/>
      </c>
      <c r="L1393" s="503" t="str">
        <f t="shared" ca="1" si="172"/>
        <v/>
      </c>
      <c r="M1393" s="515" t="str">
        <f ca="1">IFERROR(IF(COUNTIF($B$937:$B1392,"&lt;0")&lt;&gt;1,OFFSET($C1391,-COUNTIF($B$937:$B1392,"&lt;0")+3,0),""),"")</f>
        <v>a173p00000CH4HgAAL</v>
      </c>
      <c r="N1393" s="515">
        <f ca="1">IFERROR(IF(COUNTA($D$937:D1392)=1,0,OFFSET($F1391,-COUNTA($D$937:D1392)+3,0)),"")</f>
        <v>16</v>
      </c>
      <c r="O1393" s="497"/>
      <c r="P1393" s="497">
        <f t="shared" si="176"/>
        <v>0</v>
      </c>
      <c r="Q1393" s="497"/>
      <c r="R1393" s="497"/>
      <c r="S1393" s="497"/>
      <c r="T1393" s="503"/>
    </row>
    <row r="1394" spans="1:20" x14ac:dyDescent="0.35">
      <c r="A1394" s="497" t="b">
        <f t="shared" ca="1" si="166"/>
        <v>0</v>
      </c>
      <c r="B1394" s="497">
        <f t="shared" si="173"/>
        <v>95</v>
      </c>
      <c r="C1394" s="519" t="str">
        <f t="shared" ca="1" si="167"/>
        <v>a173p00000CH4IeAAL</v>
      </c>
      <c r="D1394" s="497"/>
      <c r="E1394" s="497">
        <f t="shared" ca="1" si="174"/>
        <v>5</v>
      </c>
      <c r="F1394" s="516">
        <f ca="1">IF(COUNTA(D$938:D1394)=1,"",OFFSET(F1392,-COUNTA(D$938:D1394)+3,0))</f>
        <v>16</v>
      </c>
      <c r="G1394" s="503" t="str">
        <f t="shared" ca="1" si="168"/>
        <v/>
      </c>
      <c r="H1394" s="497">
        <f t="shared" ca="1" si="175"/>
        <v>39</v>
      </c>
      <c r="I1394" s="500" t="str">
        <f t="shared" ca="1" si="169"/>
        <v/>
      </c>
      <c r="J1394" s="512" t="str">
        <f t="shared" ca="1" si="170"/>
        <v/>
      </c>
      <c r="K1394" s="512" t="str">
        <f t="shared" ca="1" si="171"/>
        <v/>
      </c>
      <c r="L1394" s="503" t="str">
        <f t="shared" ca="1" si="172"/>
        <v/>
      </c>
      <c r="M1394" s="515" t="str">
        <f ca="1">IFERROR(IF(COUNTIF($B$937:$B1393,"&lt;0")&lt;&gt;1,OFFSET($C1392,-COUNTIF($B$937:$B1393,"&lt;0")+3,0),""),"")</f>
        <v>a173p00000CH4IeAAL</v>
      </c>
      <c r="N1394" s="515">
        <f ca="1">IFERROR(IF(COUNTA($D$937:D1393)=1,0,OFFSET($F1392,-COUNTA($D$937:D1393)+3,0)),"")</f>
        <v>16</v>
      </c>
      <c r="O1394" s="497"/>
      <c r="P1394" s="497">
        <f t="shared" si="176"/>
        <v>0</v>
      </c>
      <c r="Q1394" s="497"/>
      <c r="R1394" s="497"/>
      <c r="S1394" s="497"/>
      <c r="T1394" s="503"/>
    </row>
    <row r="1395" spans="1:20" x14ac:dyDescent="0.35">
      <c r="A1395" s="497" t="b">
        <f t="shared" ca="1" si="166"/>
        <v>0</v>
      </c>
      <c r="B1395" s="497">
        <f t="shared" si="173"/>
        <v>96</v>
      </c>
      <c r="C1395" s="519" t="str">
        <f t="shared" ca="1" si="167"/>
        <v>a173p00000CH4JcAAL</v>
      </c>
      <c r="D1395" s="497"/>
      <c r="E1395" s="497">
        <f t="shared" ca="1" si="174"/>
        <v>6</v>
      </c>
      <c r="F1395" s="516">
        <f ca="1">IF(COUNTA(D$938:D1395)=1,"",OFFSET(F1393,-COUNTA(D$938:D1395)+3,0))</f>
        <v>16</v>
      </c>
      <c r="G1395" s="503" t="str">
        <f t="shared" ca="1" si="168"/>
        <v/>
      </c>
      <c r="H1395" s="497">
        <f t="shared" ca="1" si="175"/>
        <v>39</v>
      </c>
      <c r="I1395" s="500" t="str">
        <f t="shared" ca="1" si="169"/>
        <v/>
      </c>
      <c r="J1395" s="512" t="str">
        <f t="shared" ca="1" si="170"/>
        <v/>
      </c>
      <c r="K1395" s="512" t="str">
        <f t="shared" ca="1" si="171"/>
        <v/>
      </c>
      <c r="L1395" s="503" t="str">
        <f t="shared" ca="1" si="172"/>
        <v/>
      </c>
      <c r="M1395" s="515" t="str">
        <f ca="1">IFERROR(IF(COUNTIF($B$937:$B1394,"&lt;0")&lt;&gt;1,OFFSET($C1393,-COUNTIF($B$937:$B1394,"&lt;0")+3,0),""),"")</f>
        <v>a173p00000CH4JcAAL</v>
      </c>
      <c r="N1395" s="515">
        <f ca="1">IFERROR(IF(COUNTA($D$937:D1394)=1,0,OFFSET($F1393,-COUNTA($D$937:D1394)+3,0)),"")</f>
        <v>16</v>
      </c>
      <c r="O1395" s="497"/>
      <c r="P1395" s="497">
        <f t="shared" si="176"/>
        <v>0</v>
      </c>
      <c r="Q1395" s="497"/>
      <c r="R1395" s="497"/>
      <c r="S1395" s="497"/>
      <c r="T1395" s="503"/>
    </row>
    <row r="1396" spans="1:20" x14ac:dyDescent="0.35">
      <c r="A1396" s="497" t="b">
        <f t="shared" ca="1" si="166"/>
        <v>1</v>
      </c>
      <c r="B1396" s="497">
        <f t="shared" si="173"/>
        <v>97</v>
      </c>
      <c r="C1396" s="519" t="str">
        <f t="shared" ca="1" si="167"/>
        <v>a173p00000CH4EnAAL</v>
      </c>
      <c r="D1396" s="497"/>
      <c r="E1396" s="497">
        <f t="shared" ca="1" si="174"/>
        <v>1</v>
      </c>
      <c r="F1396" s="516">
        <f ca="1">IF(COUNTA(D$938:D1396)=1,"",OFFSET(F1394,-COUNTA(D$938:D1396)+3,0))</f>
        <v>17</v>
      </c>
      <c r="G1396" s="503" t="str">
        <f t="shared" ca="1" si="168"/>
        <v/>
      </c>
      <c r="H1396" s="497">
        <f t="shared" ca="1" si="175"/>
        <v>41</v>
      </c>
      <c r="I1396" s="500">
        <f t="shared" ca="1" si="169"/>
        <v>67</v>
      </c>
      <c r="J1396" s="512" t="str">
        <f t="shared" ca="1" si="170"/>
        <v/>
      </c>
      <c r="K1396" s="512" t="str">
        <f t="shared" ca="1" si="171"/>
        <v/>
      </c>
      <c r="L1396" s="503" t="str">
        <f t="shared" ca="1" si="172"/>
        <v/>
      </c>
      <c r="M1396" s="515" t="str">
        <f ca="1">IFERROR(IF(COUNTIF($B$937:$B1395,"&lt;0")&lt;&gt;1,OFFSET($C1394,-COUNTIF($B$937:$B1395,"&lt;0")+3,0),""),"")</f>
        <v>a173p00000CH4EnAAL</v>
      </c>
      <c r="N1396" s="515">
        <f ca="1">IFERROR(IF(COUNTA($D$937:D1395)=1,0,OFFSET($F1394,-COUNTA($D$937:D1395)+3,0)),"")</f>
        <v>17</v>
      </c>
      <c r="O1396" s="497"/>
      <c r="P1396" s="497">
        <f t="shared" si="176"/>
        <v>0</v>
      </c>
      <c r="Q1396" s="497"/>
      <c r="R1396" s="497"/>
      <c r="S1396" s="497"/>
      <c r="T1396" s="503"/>
    </row>
    <row r="1397" spans="1:20" x14ac:dyDescent="0.35">
      <c r="A1397" s="497" t="b">
        <f t="shared" ca="1" si="166"/>
        <v>1</v>
      </c>
      <c r="B1397" s="497">
        <f t="shared" si="173"/>
        <v>98</v>
      </c>
      <c r="C1397" s="519" t="str">
        <f t="shared" ca="1" si="167"/>
        <v>a173p00000CH4FlAAL</v>
      </c>
      <c r="D1397" s="497"/>
      <c r="E1397" s="497">
        <f t="shared" ca="1" si="174"/>
        <v>2</v>
      </c>
      <c r="F1397" s="516">
        <f ca="1">IF(COUNTA(D$938:D1397)=1,"",OFFSET(F1395,-COUNTA(D$938:D1397)+3,0))</f>
        <v>17</v>
      </c>
      <c r="G1397" s="503" t="str">
        <f t="shared" ca="1" si="168"/>
        <v/>
      </c>
      <c r="H1397" s="497">
        <f t="shared" ca="1" si="175"/>
        <v>41</v>
      </c>
      <c r="I1397" s="500">
        <f t="shared" ca="1" si="169"/>
        <v>70</v>
      </c>
      <c r="J1397" s="512" t="str">
        <f t="shared" ca="1" si="170"/>
        <v/>
      </c>
      <c r="K1397" s="512" t="str">
        <f t="shared" ca="1" si="171"/>
        <v/>
      </c>
      <c r="L1397" s="503" t="str">
        <f t="shared" ca="1" si="172"/>
        <v/>
      </c>
      <c r="M1397" s="515" t="str">
        <f ca="1">IFERROR(IF(COUNTIF($B$937:$B1396,"&lt;0")&lt;&gt;1,OFFSET($C1395,-COUNTIF($B$937:$B1396,"&lt;0")+3,0),""),"")</f>
        <v>a173p00000CH4FlAAL</v>
      </c>
      <c r="N1397" s="515">
        <f ca="1">IFERROR(IF(COUNTA($D$937:D1396)=1,0,OFFSET($F1395,-COUNTA($D$937:D1396)+3,0)),"")</f>
        <v>17</v>
      </c>
      <c r="O1397" s="497"/>
      <c r="P1397" s="497">
        <f t="shared" si="176"/>
        <v>0</v>
      </c>
      <c r="Q1397" s="497"/>
      <c r="R1397" s="497"/>
      <c r="S1397" s="497"/>
      <c r="T1397" s="503"/>
    </row>
    <row r="1398" spans="1:20" x14ac:dyDescent="0.35">
      <c r="A1398" s="497" t="b">
        <f t="shared" ca="1" si="166"/>
        <v>1</v>
      </c>
      <c r="B1398" s="497">
        <f t="shared" si="173"/>
        <v>99</v>
      </c>
      <c r="C1398" s="519" t="str">
        <f t="shared" ca="1" si="167"/>
        <v>a173p00000CH4GjAAL</v>
      </c>
      <c r="D1398" s="497"/>
      <c r="E1398" s="497">
        <f t="shared" ca="1" si="174"/>
        <v>3</v>
      </c>
      <c r="F1398" s="516">
        <f ca="1">IF(COUNTA(D$938:D1398)=1,"",OFFSET(F1396,-COUNTA(D$938:D1398)+3,0))</f>
        <v>17</v>
      </c>
      <c r="G1398" s="503" t="str">
        <f t="shared" ca="1" si="168"/>
        <v/>
      </c>
      <c r="H1398" s="497">
        <f t="shared" ca="1" si="175"/>
        <v>41</v>
      </c>
      <c r="I1398" s="500">
        <f t="shared" ca="1" si="169"/>
        <v>73</v>
      </c>
      <c r="J1398" s="512" t="str">
        <f t="shared" ca="1" si="170"/>
        <v/>
      </c>
      <c r="K1398" s="512" t="str">
        <f t="shared" ca="1" si="171"/>
        <v/>
      </c>
      <c r="L1398" s="503" t="str">
        <f t="shared" ca="1" si="172"/>
        <v/>
      </c>
      <c r="M1398" s="515" t="str">
        <f ca="1">IFERROR(IF(COUNTIF($B$937:$B1397,"&lt;0")&lt;&gt;1,OFFSET($C1396,-COUNTIF($B$937:$B1397,"&lt;0")+3,0),""),"")</f>
        <v>a173p00000CH4GjAAL</v>
      </c>
      <c r="N1398" s="515">
        <f ca="1">IFERROR(IF(COUNTA($D$937:D1397)=1,0,OFFSET($F1396,-COUNTA($D$937:D1397)+3,0)),"")</f>
        <v>17</v>
      </c>
      <c r="O1398" s="497"/>
      <c r="P1398" s="497">
        <f t="shared" si="176"/>
        <v>0</v>
      </c>
      <c r="Q1398" s="497"/>
      <c r="R1398" s="497"/>
      <c r="S1398" s="497"/>
      <c r="T1398" s="503"/>
    </row>
    <row r="1399" spans="1:20" x14ac:dyDescent="0.35">
      <c r="A1399" s="497" t="b">
        <f t="shared" ca="1" si="166"/>
        <v>0</v>
      </c>
      <c r="B1399" s="497">
        <f t="shared" si="173"/>
        <v>100</v>
      </c>
      <c r="C1399" s="519" t="str">
        <f t="shared" ca="1" si="167"/>
        <v>a173p00000CH4HhAAL</v>
      </c>
      <c r="D1399" s="497"/>
      <c r="E1399" s="497">
        <f t="shared" ca="1" si="174"/>
        <v>4</v>
      </c>
      <c r="F1399" s="516">
        <f ca="1">IF(COUNTA(D$938:D1399)=1,"",OFFSET(F1397,-COUNTA(D$938:D1399)+3,0))</f>
        <v>17</v>
      </c>
      <c r="G1399" s="503" t="str">
        <f t="shared" ca="1" si="168"/>
        <v/>
      </c>
      <c r="H1399" s="497">
        <f t="shared" ca="1" si="175"/>
        <v>41</v>
      </c>
      <c r="I1399" s="500" t="str">
        <f t="shared" ca="1" si="169"/>
        <v/>
      </c>
      <c r="J1399" s="512" t="str">
        <f t="shared" ca="1" si="170"/>
        <v/>
      </c>
      <c r="K1399" s="512" t="str">
        <f t="shared" ca="1" si="171"/>
        <v/>
      </c>
      <c r="L1399" s="503" t="str">
        <f t="shared" ca="1" si="172"/>
        <v/>
      </c>
      <c r="M1399" s="515" t="str">
        <f ca="1">IFERROR(IF(COUNTIF($B$937:$B1398,"&lt;0")&lt;&gt;1,OFFSET($C1397,-COUNTIF($B$937:$B1398,"&lt;0")+3,0),""),"")</f>
        <v>a173p00000CH4HhAAL</v>
      </c>
      <c r="N1399" s="515">
        <f ca="1">IFERROR(IF(COUNTA($D$937:D1398)=1,0,OFFSET($F1397,-COUNTA($D$937:D1398)+3,0)),"")</f>
        <v>17</v>
      </c>
      <c r="O1399" s="497"/>
      <c r="P1399" s="497">
        <f t="shared" si="176"/>
        <v>0</v>
      </c>
      <c r="Q1399" s="497"/>
      <c r="R1399" s="497"/>
      <c r="S1399" s="497"/>
      <c r="T1399" s="503"/>
    </row>
    <row r="1400" spans="1:20" x14ac:dyDescent="0.35">
      <c r="A1400" s="497" t="b">
        <f t="shared" ca="1" si="166"/>
        <v>0</v>
      </c>
      <c r="B1400" s="497">
        <f t="shared" si="173"/>
        <v>101</v>
      </c>
      <c r="C1400" s="519" t="str">
        <f t="shared" ca="1" si="167"/>
        <v>a173p00000CH4IfAAL</v>
      </c>
      <c r="D1400" s="497"/>
      <c r="E1400" s="497">
        <f t="shared" ca="1" si="174"/>
        <v>5</v>
      </c>
      <c r="F1400" s="516">
        <f ca="1">IF(COUNTA(D$938:D1400)=1,"",OFFSET(F1398,-COUNTA(D$938:D1400)+3,0))</f>
        <v>17</v>
      </c>
      <c r="G1400" s="503" t="str">
        <f t="shared" ca="1" si="168"/>
        <v/>
      </c>
      <c r="H1400" s="497">
        <f t="shared" ca="1" si="175"/>
        <v>41</v>
      </c>
      <c r="I1400" s="500" t="str">
        <f t="shared" ca="1" si="169"/>
        <v/>
      </c>
      <c r="J1400" s="512" t="str">
        <f t="shared" ca="1" si="170"/>
        <v/>
      </c>
      <c r="K1400" s="512" t="str">
        <f t="shared" ca="1" si="171"/>
        <v/>
      </c>
      <c r="L1400" s="503" t="str">
        <f t="shared" ca="1" si="172"/>
        <v/>
      </c>
      <c r="M1400" s="515" t="str">
        <f ca="1">IFERROR(IF(COUNTIF($B$937:$B1399,"&lt;0")&lt;&gt;1,OFFSET($C1398,-COUNTIF($B$937:$B1399,"&lt;0")+3,0),""),"")</f>
        <v>a173p00000CH4IfAAL</v>
      </c>
      <c r="N1400" s="515">
        <f ca="1">IFERROR(IF(COUNTA($D$937:D1399)=1,0,OFFSET($F1398,-COUNTA($D$937:D1399)+3,0)),"")</f>
        <v>17</v>
      </c>
      <c r="O1400" s="497"/>
      <c r="P1400" s="497">
        <f t="shared" si="176"/>
        <v>0</v>
      </c>
      <c r="Q1400" s="497"/>
      <c r="R1400" s="497"/>
      <c r="S1400" s="497"/>
      <c r="T1400" s="503"/>
    </row>
    <row r="1401" spans="1:20" x14ac:dyDescent="0.35">
      <c r="A1401" s="497" t="b">
        <f t="shared" ca="1" si="166"/>
        <v>0</v>
      </c>
      <c r="B1401" s="497">
        <f t="shared" si="173"/>
        <v>102</v>
      </c>
      <c r="C1401" s="519" t="str">
        <f t="shared" ca="1" si="167"/>
        <v>a173p00000CH4JdAAL</v>
      </c>
      <c r="D1401" s="497"/>
      <c r="E1401" s="497">
        <f t="shared" ca="1" si="174"/>
        <v>6</v>
      </c>
      <c r="F1401" s="516">
        <f ca="1">IF(COUNTA(D$938:D1401)=1,"",OFFSET(F1399,-COUNTA(D$938:D1401)+3,0))</f>
        <v>17</v>
      </c>
      <c r="G1401" s="503" t="str">
        <f t="shared" ca="1" si="168"/>
        <v/>
      </c>
      <c r="H1401" s="497">
        <f t="shared" ca="1" si="175"/>
        <v>41</v>
      </c>
      <c r="I1401" s="500" t="str">
        <f t="shared" ca="1" si="169"/>
        <v/>
      </c>
      <c r="J1401" s="512" t="str">
        <f t="shared" ca="1" si="170"/>
        <v/>
      </c>
      <c r="K1401" s="512" t="str">
        <f t="shared" ca="1" si="171"/>
        <v/>
      </c>
      <c r="L1401" s="503" t="str">
        <f t="shared" ca="1" si="172"/>
        <v/>
      </c>
      <c r="M1401" s="515" t="str">
        <f ca="1">IFERROR(IF(COUNTIF($B$937:$B1400,"&lt;0")&lt;&gt;1,OFFSET($C1399,-COUNTIF($B$937:$B1400,"&lt;0")+3,0),""),"")</f>
        <v>a173p00000CH4JdAAL</v>
      </c>
      <c r="N1401" s="515">
        <f ca="1">IFERROR(IF(COUNTA($D$937:D1400)=1,0,OFFSET($F1399,-COUNTA($D$937:D1400)+3,0)),"")</f>
        <v>17</v>
      </c>
      <c r="O1401" s="497"/>
      <c r="P1401" s="497">
        <f t="shared" si="176"/>
        <v>0</v>
      </c>
      <c r="Q1401" s="497"/>
      <c r="R1401" s="497"/>
      <c r="S1401" s="497"/>
      <c r="T1401" s="503"/>
    </row>
    <row r="1402" spans="1:20" x14ac:dyDescent="0.35">
      <c r="A1402" s="497" t="b">
        <f t="shared" ca="1" si="166"/>
        <v>1</v>
      </c>
      <c r="B1402" s="497">
        <f t="shared" si="173"/>
        <v>103</v>
      </c>
      <c r="C1402" s="519" t="str">
        <f t="shared" ca="1" si="167"/>
        <v>a173p00000CH4EoAAL</v>
      </c>
      <c r="D1402" s="497"/>
      <c r="E1402" s="497">
        <f t="shared" ca="1" si="174"/>
        <v>1</v>
      </c>
      <c r="F1402" s="516">
        <f ca="1">IF(COUNTA(D$938:D1402)=1,"",OFFSET(F1400,-COUNTA(D$938:D1402)+3,0))</f>
        <v>18</v>
      </c>
      <c r="G1402" s="503" t="str">
        <f t="shared" ca="1" si="168"/>
        <v/>
      </c>
      <c r="H1402" s="497">
        <f t="shared" ca="1" si="175"/>
        <v>43</v>
      </c>
      <c r="I1402" s="500">
        <f t="shared" ca="1" si="169"/>
        <v>37.22201699298116</v>
      </c>
      <c r="J1402" s="512">
        <f t="shared" ca="1" si="170"/>
        <v>54140</v>
      </c>
      <c r="K1402" s="512">
        <f t="shared" ca="1" si="171"/>
        <v>20152</v>
      </c>
      <c r="L1402" s="503" t="str">
        <f t="shared" ca="1" si="172"/>
        <v/>
      </c>
      <c r="M1402" s="515" t="str">
        <f ca="1">IFERROR(IF(COUNTIF($B$937:$B1401,"&lt;0")&lt;&gt;1,OFFSET($C1400,-COUNTIF($B$937:$B1401,"&lt;0")+3,0),""),"")</f>
        <v>a173p00000CH4EoAAL</v>
      </c>
      <c r="N1402" s="515">
        <f ca="1">IFERROR(IF(COUNTA($D$937:D1401)=1,0,OFFSET($F1400,-COUNTA($D$937:D1401)+3,0)),"")</f>
        <v>18</v>
      </c>
      <c r="O1402" s="497"/>
      <c r="P1402" s="497">
        <f t="shared" si="176"/>
        <v>0</v>
      </c>
      <c r="Q1402" s="497"/>
      <c r="R1402" s="497"/>
      <c r="S1402" s="497"/>
      <c r="T1402" s="503"/>
    </row>
    <row r="1403" spans="1:20" x14ac:dyDescent="0.35">
      <c r="A1403" s="497" t="b">
        <f t="shared" ca="1" si="166"/>
        <v>1</v>
      </c>
      <c r="B1403" s="497">
        <f t="shared" si="173"/>
        <v>104</v>
      </c>
      <c r="C1403" s="519" t="str">
        <f t="shared" ca="1" si="167"/>
        <v>a173p00000CH4FmAAL</v>
      </c>
      <c r="D1403" s="497"/>
      <c r="E1403" s="497">
        <f t="shared" ca="1" si="174"/>
        <v>2</v>
      </c>
      <c r="F1403" s="516">
        <f ca="1">IF(COUNTA(D$938:D1403)=1,"",OFFSET(F1401,-COUNTA(D$938:D1403)+3,0))</f>
        <v>18</v>
      </c>
      <c r="G1403" s="503" t="str">
        <f t="shared" ca="1" si="168"/>
        <v/>
      </c>
      <c r="H1403" s="497">
        <f t="shared" ca="1" si="175"/>
        <v>43</v>
      </c>
      <c r="I1403" s="500">
        <f t="shared" ca="1" si="169"/>
        <v>37.966383450313998</v>
      </c>
      <c r="J1403" s="512">
        <f t="shared" ca="1" si="170"/>
        <v>54140</v>
      </c>
      <c r="K1403" s="512">
        <f t="shared" ca="1" si="171"/>
        <v>20555</v>
      </c>
      <c r="L1403" s="503" t="str">
        <f t="shared" ca="1" si="172"/>
        <v/>
      </c>
      <c r="M1403" s="515" t="str">
        <f ca="1">IFERROR(IF(COUNTIF($B$937:$B1402,"&lt;0")&lt;&gt;1,OFFSET($C1401,-COUNTIF($B$937:$B1402,"&lt;0")+3,0),""),"")</f>
        <v>a173p00000CH4FmAAL</v>
      </c>
      <c r="N1403" s="515">
        <f ca="1">IFERROR(IF(COUNTA($D$937:D1402)=1,0,OFFSET($F1401,-COUNTA($D$937:D1402)+3,0)),"")</f>
        <v>18</v>
      </c>
      <c r="O1403" s="497"/>
      <c r="P1403" s="497">
        <f t="shared" si="176"/>
        <v>0</v>
      </c>
      <c r="Q1403" s="497"/>
      <c r="R1403" s="497"/>
      <c r="S1403" s="497"/>
      <c r="T1403" s="503"/>
    </row>
    <row r="1404" spans="1:20" x14ac:dyDescent="0.35">
      <c r="A1404" s="497" t="b">
        <f t="shared" ca="1" si="166"/>
        <v>1</v>
      </c>
      <c r="B1404" s="497">
        <f t="shared" si="173"/>
        <v>105</v>
      </c>
      <c r="C1404" s="519" t="str">
        <f t="shared" ca="1" si="167"/>
        <v>a173p00000CH4GkAAL</v>
      </c>
      <c r="D1404" s="497"/>
      <c r="E1404" s="497">
        <f t="shared" ca="1" si="174"/>
        <v>3</v>
      </c>
      <c r="F1404" s="516">
        <f ca="1">IF(COUNTA(D$938:D1404)=1,"",OFFSET(F1402,-COUNTA(D$938:D1404)+3,0))</f>
        <v>18</v>
      </c>
      <c r="G1404" s="503" t="str">
        <f t="shared" ca="1" si="168"/>
        <v/>
      </c>
      <c r="H1404" s="497">
        <f t="shared" ca="1" si="175"/>
        <v>43</v>
      </c>
      <c r="I1404" s="500">
        <f t="shared" ca="1" si="169"/>
        <v>38.725526413003323</v>
      </c>
      <c r="J1404" s="512">
        <f t="shared" ca="1" si="170"/>
        <v>54140</v>
      </c>
      <c r="K1404" s="512">
        <f t="shared" ca="1" si="171"/>
        <v>20966</v>
      </c>
      <c r="L1404" s="503" t="str">
        <f t="shared" ca="1" si="172"/>
        <v/>
      </c>
      <c r="M1404" s="515" t="str">
        <f ca="1">IFERROR(IF(COUNTIF($B$937:$B1403,"&lt;0")&lt;&gt;1,OFFSET($C1402,-COUNTIF($B$937:$B1403,"&lt;0")+3,0),""),"")</f>
        <v>a173p00000CH4GkAAL</v>
      </c>
      <c r="N1404" s="515">
        <f ca="1">IFERROR(IF(COUNTA($D$937:D1403)=1,0,OFFSET($F1402,-COUNTA($D$937:D1403)+3,0)),"")</f>
        <v>18</v>
      </c>
      <c r="O1404" s="497"/>
      <c r="P1404" s="497">
        <f t="shared" si="176"/>
        <v>0</v>
      </c>
      <c r="Q1404" s="497"/>
      <c r="R1404" s="497"/>
      <c r="S1404" s="497"/>
      <c r="T1404" s="503"/>
    </row>
    <row r="1405" spans="1:20" x14ac:dyDescent="0.35">
      <c r="A1405" s="497" t="b">
        <f t="shared" ca="1" si="166"/>
        <v>0</v>
      </c>
      <c r="B1405" s="497">
        <f t="shared" si="173"/>
        <v>106</v>
      </c>
      <c r="C1405" s="519" t="str">
        <f t="shared" ca="1" si="167"/>
        <v>a173p00000CH4HiAAL</v>
      </c>
      <c r="D1405" s="497"/>
      <c r="E1405" s="497">
        <f t="shared" ca="1" si="174"/>
        <v>4</v>
      </c>
      <c r="F1405" s="516">
        <f ca="1">IF(COUNTA(D$938:D1405)=1,"",OFFSET(F1403,-COUNTA(D$938:D1405)+3,0))</f>
        <v>18</v>
      </c>
      <c r="G1405" s="503" t="str">
        <f t="shared" ca="1" si="168"/>
        <v/>
      </c>
      <c r="H1405" s="497">
        <f t="shared" ca="1" si="175"/>
        <v>43</v>
      </c>
      <c r="I1405" s="500" t="str">
        <f t="shared" ca="1" si="169"/>
        <v/>
      </c>
      <c r="J1405" s="512" t="str">
        <f t="shared" ca="1" si="170"/>
        <v/>
      </c>
      <c r="K1405" s="512" t="str">
        <f t="shared" ca="1" si="171"/>
        <v/>
      </c>
      <c r="L1405" s="503" t="str">
        <f t="shared" ca="1" si="172"/>
        <v/>
      </c>
      <c r="M1405" s="515" t="str">
        <f ca="1">IFERROR(IF(COUNTIF($B$937:$B1404,"&lt;0")&lt;&gt;1,OFFSET($C1403,-COUNTIF($B$937:$B1404,"&lt;0")+3,0),""),"")</f>
        <v>a173p00000CH4HiAAL</v>
      </c>
      <c r="N1405" s="515">
        <f ca="1">IFERROR(IF(COUNTA($D$937:D1404)=1,0,OFFSET($F1403,-COUNTA($D$937:D1404)+3,0)),"")</f>
        <v>18</v>
      </c>
      <c r="O1405" s="497"/>
      <c r="P1405" s="497">
        <f t="shared" si="176"/>
        <v>0</v>
      </c>
      <c r="Q1405" s="497"/>
      <c r="R1405" s="497"/>
      <c r="S1405" s="497"/>
      <c r="T1405" s="503"/>
    </row>
    <row r="1406" spans="1:20" x14ac:dyDescent="0.35">
      <c r="A1406" s="497" t="b">
        <f t="shared" ca="1" si="166"/>
        <v>0</v>
      </c>
      <c r="B1406" s="497">
        <f t="shared" si="173"/>
        <v>107</v>
      </c>
      <c r="C1406" s="519" t="str">
        <f t="shared" ca="1" si="167"/>
        <v>a173p00000CH4IgAAL</v>
      </c>
      <c r="D1406" s="497"/>
      <c r="E1406" s="497">
        <f t="shared" ca="1" si="174"/>
        <v>5</v>
      </c>
      <c r="F1406" s="516">
        <f ca="1">IF(COUNTA(D$938:D1406)=1,"",OFFSET(F1404,-COUNTA(D$938:D1406)+3,0))</f>
        <v>18</v>
      </c>
      <c r="G1406" s="503" t="str">
        <f t="shared" ca="1" si="168"/>
        <v/>
      </c>
      <c r="H1406" s="497">
        <f t="shared" ca="1" si="175"/>
        <v>43</v>
      </c>
      <c r="I1406" s="500" t="str">
        <f t="shared" ca="1" si="169"/>
        <v/>
      </c>
      <c r="J1406" s="512" t="str">
        <f t="shared" ca="1" si="170"/>
        <v/>
      </c>
      <c r="K1406" s="512" t="str">
        <f t="shared" ca="1" si="171"/>
        <v/>
      </c>
      <c r="L1406" s="503" t="str">
        <f t="shared" ca="1" si="172"/>
        <v/>
      </c>
      <c r="M1406" s="515" t="str">
        <f ca="1">IFERROR(IF(COUNTIF($B$937:$B1405,"&lt;0")&lt;&gt;1,OFFSET($C1404,-COUNTIF($B$937:$B1405,"&lt;0")+3,0),""),"")</f>
        <v>a173p00000CH4IgAAL</v>
      </c>
      <c r="N1406" s="515">
        <f ca="1">IFERROR(IF(COUNTA($D$937:D1405)=1,0,OFFSET($F1404,-COUNTA($D$937:D1405)+3,0)),"")</f>
        <v>18</v>
      </c>
      <c r="O1406" s="497"/>
      <c r="P1406" s="497">
        <f t="shared" si="176"/>
        <v>0</v>
      </c>
      <c r="Q1406" s="497"/>
      <c r="R1406" s="497"/>
      <c r="S1406" s="497"/>
      <c r="T1406" s="503"/>
    </row>
    <row r="1407" spans="1:20" x14ac:dyDescent="0.35">
      <c r="A1407" s="497" t="b">
        <f t="shared" ca="1" si="166"/>
        <v>0</v>
      </c>
      <c r="B1407" s="497">
        <f t="shared" si="173"/>
        <v>108</v>
      </c>
      <c r="C1407" s="519" t="str">
        <f t="shared" ca="1" si="167"/>
        <v>a173p00000CH4JeAAL</v>
      </c>
      <c r="D1407" s="497"/>
      <c r="E1407" s="497">
        <f t="shared" ca="1" si="174"/>
        <v>6</v>
      </c>
      <c r="F1407" s="516">
        <f ca="1">IF(COUNTA(D$938:D1407)=1,"",OFFSET(F1405,-COUNTA(D$938:D1407)+3,0))</f>
        <v>18</v>
      </c>
      <c r="G1407" s="503" t="str">
        <f t="shared" ca="1" si="168"/>
        <v/>
      </c>
      <c r="H1407" s="497">
        <f t="shared" ca="1" si="175"/>
        <v>43</v>
      </c>
      <c r="I1407" s="500" t="str">
        <f t="shared" ca="1" si="169"/>
        <v/>
      </c>
      <c r="J1407" s="512" t="str">
        <f t="shared" ca="1" si="170"/>
        <v/>
      </c>
      <c r="K1407" s="512" t="str">
        <f t="shared" ca="1" si="171"/>
        <v/>
      </c>
      <c r="L1407" s="503" t="str">
        <f t="shared" ca="1" si="172"/>
        <v/>
      </c>
      <c r="M1407" s="515" t="str">
        <f ca="1">IFERROR(IF(COUNTIF($B$937:$B1406,"&lt;0")&lt;&gt;1,OFFSET($C1405,-COUNTIF($B$937:$B1406,"&lt;0")+3,0),""),"")</f>
        <v>a173p00000CH4JeAAL</v>
      </c>
      <c r="N1407" s="515">
        <f ca="1">IFERROR(IF(COUNTA($D$937:D1406)=1,0,OFFSET($F1405,-COUNTA($D$937:D1406)+3,0)),"")</f>
        <v>18</v>
      </c>
      <c r="O1407" s="497"/>
      <c r="P1407" s="497">
        <f t="shared" si="176"/>
        <v>0</v>
      </c>
      <c r="Q1407" s="497"/>
      <c r="R1407" s="497"/>
      <c r="S1407" s="497"/>
      <c r="T1407" s="503"/>
    </row>
    <row r="1408" spans="1:20" x14ac:dyDescent="0.35">
      <c r="A1408" s="497" t="b">
        <f t="shared" ca="1" si="166"/>
        <v>0</v>
      </c>
      <c r="B1408" s="497">
        <f t="shared" si="173"/>
        <v>109</v>
      </c>
      <c r="C1408" s="519" t="str">
        <f t="shared" ca="1" si="167"/>
        <v>a173p00000CH4EpAAL</v>
      </c>
      <c r="D1408" s="497"/>
      <c r="E1408" s="497">
        <f t="shared" ca="1" si="174"/>
        <v>1</v>
      </c>
      <c r="F1408" s="516">
        <f ca="1">IF(COUNTA(D$938:D1408)=1,"",OFFSET(F1406,-COUNTA(D$938:D1408)+3,0))</f>
        <v>19</v>
      </c>
      <c r="G1408" s="503" t="str">
        <f t="shared" ca="1" si="168"/>
        <v/>
      </c>
      <c r="H1408" s="497">
        <f t="shared" ca="1" si="175"/>
        <v>45</v>
      </c>
      <c r="I1408" s="500" t="str">
        <f t="shared" ca="1" si="169"/>
        <v/>
      </c>
      <c r="J1408" s="512" t="str">
        <f t="shared" ca="1" si="170"/>
        <v/>
      </c>
      <c r="K1408" s="512" t="str">
        <f t="shared" ca="1" si="171"/>
        <v/>
      </c>
      <c r="L1408" s="503" t="str">
        <f t="shared" ca="1" si="172"/>
        <v/>
      </c>
      <c r="M1408" s="515" t="str">
        <f ca="1">IFERROR(IF(COUNTIF($B$937:$B1407,"&lt;0")&lt;&gt;1,OFFSET($C1406,-COUNTIF($B$937:$B1407,"&lt;0")+3,0),""),"")</f>
        <v>a173p00000CH4EpAAL</v>
      </c>
      <c r="N1408" s="515">
        <f ca="1">IFERROR(IF(COUNTA($D$937:D1407)=1,0,OFFSET($F1406,-COUNTA($D$937:D1407)+3,0)),"")</f>
        <v>19</v>
      </c>
      <c r="O1408" s="497"/>
      <c r="P1408" s="497">
        <f t="shared" si="176"/>
        <v>0</v>
      </c>
      <c r="Q1408" s="497"/>
      <c r="R1408" s="497"/>
      <c r="S1408" s="497"/>
      <c r="T1408" s="503"/>
    </row>
    <row r="1409" spans="1:20" x14ac:dyDescent="0.35">
      <c r="A1409" s="497" t="b">
        <f t="shared" ca="1" si="166"/>
        <v>0</v>
      </c>
      <c r="B1409" s="497">
        <f t="shared" si="173"/>
        <v>110</v>
      </c>
      <c r="C1409" s="519" t="str">
        <f t="shared" ca="1" si="167"/>
        <v>a173p00000CH4FnAAL</v>
      </c>
      <c r="D1409" s="497"/>
      <c r="E1409" s="497">
        <f t="shared" ca="1" si="174"/>
        <v>2</v>
      </c>
      <c r="F1409" s="516">
        <f ca="1">IF(COUNTA(D$938:D1409)=1,"",OFFSET(F1407,-COUNTA(D$938:D1409)+3,0))</f>
        <v>19</v>
      </c>
      <c r="G1409" s="503" t="str">
        <f t="shared" ca="1" si="168"/>
        <v/>
      </c>
      <c r="H1409" s="497">
        <f t="shared" ca="1" si="175"/>
        <v>45</v>
      </c>
      <c r="I1409" s="500" t="str">
        <f t="shared" ca="1" si="169"/>
        <v/>
      </c>
      <c r="J1409" s="512" t="str">
        <f t="shared" ca="1" si="170"/>
        <v/>
      </c>
      <c r="K1409" s="512" t="str">
        <f t="shared" ca="1" si="171"/>
        <v/>
      </c>
      <c r="L1409" s="503" t="str">
        <f t="shared" ca="1" si="172"/>
        <v/>
      </c>
      <c r="M1409" s="515" t="str">
        <f ca="1">IFERROR(IF(COUNTIF($B$937:$B1408,"&lt;0")&lt;&gt;1,OFFSET($C1407,-COUNTIF($B$937:$B1408,"&lt;0")+3,0),""),"")</f>
        <v>a173p00000CH4FnAAL</v>
      </c>
      <c r="N1409" s="515">
        <f ca="1">IFERROR(IF(COUNTA($D$937:D1408)=1,0,OFFSET($F1407,-COUNTA($D$937:D1408)+3,0)),"")</f>
        <v>19</v>
      </c>
      <c r="O1409" s="497"/>
      <c r="P1409" s="497">
        <f t="shared" si="176"/>
        <v>0</v>
      </c>
      <c r="Q1409" s="497"/>
      <c r="R1409" s="497"/>
      <c r="S1409" s="497"/>
      <c r="T1409" s="503"/>
    </row>
    <row r="1410" spans="1:20" x14ac:dyDescent="0.35">
      <c r="A1410" s="497" t="b">
        <f t="shared" ca="1" si="166"/>
        <v>0</v>
      </c>
      <c r="B1410" s="497">
        <f t="shared" si="173"/>
        <v>111</v>
      </c>
      <c r="C1410" s="519" t="str">
        <f t="shared" ca="1" si="167"/>
        <v>a173p00000CH4GlAAL</v>
      </c>
      <c r="D1410" s="497"/>
      <c r="E1410" s="497">
        <f t="shared" ca="1" si="174"/>
        <v>3</v>
      </c>
      <c r="F1410" s="516">
        <f ca="1">IF(COUNTA(D$938:D1410)=1,"",OFFSET(F1408,-COUNTA(D$938:D1410)+3,0))</f>
        <v>19</v>
      </c>
      <c r="G1410" s="503" t="str">
        <f t="shared" ca="1" si="168"/>
        <v/>
      </c>
      <c r="H1410" s="497">
        <f t="shared" ca="1" si="175"/>
        <v>45</v>
      </c>
      <c r="I1410" s="500" t="str">
        <f t="shared" ca="1" si="169"/>
        <v/>
      </c>
      <c r="J1410" s="512" t="str">
        <f t="shared" ca="1" si="170"/>
        <v/>
      </c>
      <c r="K1410" s="512" t="str">
        <f t="shared" ca="1" si="171"/>
        <v/>
      </c>
      <c r="L1410" s="503" t="str">
        <f t="shared" ca="1" si="172"/>
        <v/>
      </c>
      <c r="M1410" s="515" t="str">
        <f ca="1">IFERROR(IF(COUNTIF($B$937:$B1409,"&lt;0")&lt;&gt;1,OFFSET($C1408,-COUNTIF($B$937:$B1409,"&lt;0")+3,0),""),"")</f>
        <v>a173p00000CH4GlAAL</v>
      </c>
      <c r="N1410" s="515">
        <f ca="1">IFERROR(IF(COUNTA($D$937:D1409)=1,0,OFFSET($F1408,-COUNTA($D$937:D1409)+3,0)),"")</f>
        <v>19</v>
      </c>
      <c r="O1410" s="497"/>
      <c r="P1410" s="497">
        <f t="shared" si="176"/>
        <v>0</v>
      </c>
      <c r="Q1410" s="497"/>
      <c r="R1410" s="497"/>
      <c r="S1410" s="497"/>
      <c r="T1410" s="503"/>
    </row>
    <row r="1411" spans="1:20" x14ac:dyDescent="0.35">
      <c r="A1411" s="497" t="b">
        <f t="shared" ca="1" si="166"/>
        <v>0</v>
      </c>
      <c r="B1411" s="497">
        <f t="shared" si="173"/>
        <v>112</v>
      </c>
      <c r="C1411" s="519" t="str">
        <f t="shared" ca="1" si="167"/>
        <v>a173p00000CH4HjAAL</v>
      </c>
      <c r="D1411" s="497"/>
      <c r="E1411" s="497">
        <f t="shared" ca="1" si="174"/>
        <v>4</v>
      </c>
      <c r="F1411" s="516">
        <f ca="1">IF(COUNTA(D$938:D1411)=1,"",OFFSET(F1409,-COUNTA(D$938:D1411)+3,0))</f>
        <v>19</v>
      </c>
      <c r="G1411" s="503" t="str">
        <f t="shared" ca="1" si="168"/>
        <v/>
      </c>
      <c r="H1411" s="497">
        <f t="shared" ca="1" si="175"/>
        <v>45</v>
      </c>
      <c r="I1411" s="500" t="str">
        <f t="shared" ca="1" si="169"/>
        <v/>
      </c>
      <c r="J1411" s="512" t="str">
        <f t="shared" ca="1" si="170"/>
        <v/>
      </c>
      <c r="K1411" s="512" t="str">
        <f t="shared" ca="1" si="171"/>
        <v/>
      </c>
      <c r="L1411" s="503" t="str">
        <f t="shared" ca="1" si="172"/>
        <v/>
      </c>
      <c r="M1411" s="515" t="str">
        <f ca="1">IFERROR(IF(COUNTIF($B$937:$B1410,"&lt;0")&lt;&gt;1,OFFSET($C1409,-COUNTIF($B$937:$B1410,"&lt;0")+3,0),""),"")</f>
        <v>a173p00000CH4HjAAL</v>
      </c>
      <c r="N1411" s="515">
        <f ca="1">IFERROR(IF(COUNTA($D$937:D1410)=1,0,OFFSET($F1409,-COUNTA($D$937:D1410)+3,0)),"")</f>
        <v>19</v>
      </c>
      <c r="O1411" s="497"/>
      <c r="P1411" s="497">
        <f t="shared" si="176"/>
        <v>0</v>
      </c>
      <c r="Q1411" s="497"/>
      <c r="R1411" s="497"/>
      <c r="S1411" s="497"/>
      <c r="T1411" s="503"/>
    </row>
    <row r="1412" spans="1:20" x14ac:dyDescent="0.35">
      <c r="A1412" s="497" t="b">
        <f t="shared" ca="1" si="166"/>
        <v>0</v>
      </c>
      <c r="B1412" s="497">
        <f t="shared" si="173"/>
        <v>113</v>
      </c>
      <c r="C1412" s="519" t="str">
        <f t="shared" ca="1" si="167"/>
        <v>a173p00000CH4IhAAL</v>
      </c>
      <c r="D1412" s="497"/>
      <c r="E1412" s="497">
        <f t="shared" ca="1" si="174"/>
        <v>5</v>
      </c>
      <c r="F1412" s="516">
        <f ca="1">IF(COUNTA(D$938:D1412)=1,"",OFFSET(F1410,-COUNTA(D$938:D1412)+3,0))</f>
        <v>19</v>
      </c>
      <c r="G1412" s="503" t="str">
        <f t="shared" ca="1" si="168"/>
        <v/>
      </c>
      <c r="H1412" s="497">
        <f t="shared" ca="1" si="175"/>
        <v>45</v>
      </c>
      <c r="I1412" s="500" t="str">
        <f t="shared" ca="1" si="169"/>
        <v/>
      </c>
      <c r="J1412" s="512" t="str">
        <f t="shared" ca="1" si="170"/>
        <v/>
      </c>
      <c r="K1412" s="512" t="str">
        <f t="shared" ca="1" si="171"/>
        <v/>
      </c>
      <c r="L1412" s="503" t="str">
        <f t="shared" ca="1" si="172"/>
        <v/>
      </c>
      <c r="M1412" s="515" t="str">
        <f ca="1">IFERROR(IF(COUNTIF($B$937:$B1411,"&lt;0")&lt;&gt;1,OFFSET($C1410,-COUNTIF($B$937:$B1411,"&lt;0")+3,0),""),"")</f>
        <v>a173p00000CH4IhAAL</v>
      </c>
      <c r="N1412" s="515">
        <f ca="1">IFERROR(IF(COUNTA($D$937:D1411)=1,0,OFFSET($F1410,-COUNTA($D$937:D1411)+3,0)),"")</f>
        <v>19</v>
      </c>
      <c r="O1412" s="497"/>
      <c r="P1412" s="497">
        <f t="shared" si="176"/>
        <v>0</v>
      </c>
      <c r="Q1412" s="497"/>
      <c r="R1412" s="497"/>
      <c r="S1412" s="497"/>
      <c r="T1412" s="503"/>
    </row>
    <row r="1413" spans="1:20" x14ac:dyDescent="0.35">
      <c r="A1413" s="497" t="b">
        <f t="shared" ca="1" si="166"/>
        <v>0</v>
      </c>
      <c r="B1413" s="497">
        <f t="shared" si="173"/>
        <v>114</v>
      </c>
      <c r="C1413" s="519" t="str">
        <f t="shared" ca="1" si="167"/>
        <v>a173p00000CH4JfAAL</v>
      </c>
      <c r="D1413" s="497"/>
      <c r="E1413" s="497">
        <f t="shared" ca="1" si="174"/>
        <v>6</v>
      </c>
      <c r="F1413" s="516">
        <f ca="1">IF(COUNTA(D$938:D1413)=1,"",OFFSET(F1411,-COUNTA(D$938:D1413)+3,0))</f>
        <v>19</v>
      </c>
      <c r="G1413" s="503" t="str">
        <f t="shared" ca="1" si="168"/>
        <v/>
      </c>
      <c r="H1413" s="497">
        <f t="shared" ca="1" si="175"/>
        <v>45</v>
      </c>
      <c r="I1413" s="500" t="str">
        <f t="shared" ca="1" si="169"/>
        <v/>
      </c>
      <c r="J1413" s="512" t="str">
        <f t="shared" ca="1" si="170"/>
        <v/>
      </c>
      <c r="K1413" s="512" t="str">
        <f t="shared" ca="1" si="171"/>
        <v/>
      </c>
      <c r="L1413" s="503" t="str">
        <f t="shared" ca="1" si="172"/>
        <v/>
      </c>
      <c r="M1413" s="515" t="str">
        <f ca="1">IFERROR(IF(COUNTIF($B$937:$B1412,"&lt;0")&lt;&gt;1,OFFSET($C1411,-COUNTIF($B$937:$B1412,"&lt;0")+3,0),""),"")</f>
        <v>a173p00000CH4JfAAL</v>
      </c>
      <c r="N1413" s="515">
        <f ca="1">IFERROR(IF(COUNTA($D$937:D1412)=1,0,OFFSET($F1411,-COUNTA($D$937:D1412)+3,0)),"")</f>
        <v>19</v>
      </c>
      <c r="O1413" s="497"/>
      <c r="P1413" s="497">
        <f t="shared" si="176"/>
        <v>0</v>
      </c>
      <c r="Q1413" s="497"/>
      <c r="R1413" s="497"/>
      <c r="S1413" s="497"/>
      <c r="T1413" s="503"/>
    </row>
    <row r="1414" spans="1:20" x14ac:dyDescent="0.35">
      <c r="A1414" s="497" t="b">
        <f t="shared" ca="1" si="166"/>
        <v>1</v>
      </c>
      <c r="B1414" s="497">
        <f t="shared" si="173"/>
        <v>115</v>
      </c>
      <c r="C1414" s="519" t="str">
        <f t="shared" ca="1" si="167"/>
        <v>a173p00000CH4EqAAL</v>
      </c>
      <c r="D1414" s="497"/>
      <c r="E1414" s="497">
        <f t="shared" ca="1" si="174"/>
        <v>1</v>
      </c>
      <c r="F1414" s="516">
        <f ca="1">IF(COUNTA(D$938:D1414)=1,"",OFFSET(F1412,-COUNTA(D$938:D1414)+3,0))</f>
        <v>20</v>
      </c>
      <c r="G1414" s="503" t="str">
        <f t="shared" ca="1" si="168"/>
        <v/>
      </c>
      <c r="H1414" s="497">
        <f t="shared" ca="1" si="175"/>
        <v>47</v>
      </c>
      <c r="I1414" s="500">
        <f t="shared" ca="1" si="169"/>
        <v>54.052710094480361</v>
      </c>
      <c r="J1414" s="512">
        <f t="shared" ca="1" si="170"/>
        <v>2011</v>
      </c>
      <c r="K1414" s="512">
        <f t="shared" ca="1" si="171"/>
        <v>1087</v>
      </c>
      <c r="L1414" s="503" t="str">
        <f t="shared" ca="1" si="172"/>
        <v/>
      </c>
      <c r="M1414" s="515" t="str">
        <f ca="1">IFERROR(IF(COUNTIF($B$937:$B1413,"&lt;0")&lt;&gt;1,OFFSET($C1412,-COUNTIF($B$937:$B1413,"&lt;0")+3,0),""),"")</f>
        <v>a173p00000CH4EqAAL</v>
      </c>
      <c r="N1414" s="515">
        <f ca="1">IFERROR(IF(COUNTA($D$937:D1413)=1,0,OFFSET($F1412,-COUNTA($D$937:D1413)+3,0)),"")</f>
        <v>20</v>
      </c>
      <c r="O1414" s="497"/>
      <c r="P1414" s="497">
        <f t="shared" si="176"/>
        <v>0</v>
      </c>
      <c r="Q1414" s="497"/>
      <c r="R1414" s="497"/>
      <c r="S1414" s="497"/>
      <c r="T1414" s="503"/>
    </row>
    <row r="1415" spans="1:20" x14ac:dyDescent="0.35">
      <c r="A1415" s="497" t="b">
        <f t="shared" ca="1" si="166"/>
        <v>1</v>
      </c>
      <c r="B1415" s="497">
        <f t="shared" si="173"/>
        <v>116</v>
      </c>
      <c r="C1415" s="519" t="str">
        <f t="shared" ca="1" si="167"/>
        <v>a173p00000CH4FoAAL</v>
      </c>
      <c r="D1415" s="497"/>
      <c r="E1415" s="497">
        <f t="shared" ca="1" si="174"/>
        <v>2</v>
      </c>
      <c r="F1415" s="516">
        <f ca="1">IF(COUNTA(D$938:D1415)=1,"",OFFSET(F1413,-COUNTA(D$938:D1415)+3,0))</f>
        <v>20</v>
      </c>
      <c r="G1415" s="503" t="str">
        <f t="shared" ca="1" si="168"/>
        <v/>
      </c>
      <c r="H1415" s="497">
        <f t="shared" ca="1" si="175"/>
        <v>47</v>
      </c>
      <c r="I1415" s="500">
        <f t="shared" ca="1" si="169"/>
        <v>55.146693187468919</v>
      </c>
      <c r="J1415" s="512">
        <f t="shared" ca="1" si="170"/>
        <v>2011</v>
      </c>
      <c r="K1415" s="512">
        <f t="shared" ca="1" si="171"/>
        <v>1109</v>
      </c>
      <c r="L1415" s="503" t="str">
        <f t="shared" ca="1" si="172"/>
        <v/>
      </c>
      <c r="M1415" s="515" t="str">
        <f ca="1">IFERROR(IF(COUNTIF($B$937:$B1414,"&lt;0")&lt;&gt;1,OFFSET($C1413,-COUNTIF($B$937:$B1414,"&lt;0")+3,0),""),"")</f>
        <v>a173p00000CH4FoAAL</v>
      </c>
      <c r="N1415" s="515">
        <f ca="1">IFERROR(IF(COUNTA($D$937:D1414)=1,0,OFFSET($F1413,-COUNTA($D$937:D1414)+3,0)),"")</f>
        <v>20</v>
      </c>
      <c r="O1415" s="497"/>
      <c r="P1415" s="497">
        <f t="shared" si="176"/>
        <v>0</v>
      </c>
      <c r="Q1415" s="497"/>
      <c r="R1415" s="497"/>
      <c r="S1415" s="497"/>
      <c r="T1415" s="503"/>
    </row>
    <row r="1416" spans="1:20" x14ac:dyDescent="0.35">
      <c r="A1416" s="497" t="b">
        <f t="shared" ca="1" si="166"/>
        <v>1</v>
      </c>
      <c r="B1416" s="497">
        <f t="shared" si="173"/>
        <v>117</v>
      </c>
      <c r="C1416" s="519" t="str">
        <f t="shared" ca="1" si="167"/>
        <v>a173p00000CH4GmAAL</v>
      </c>
      <c r="D1416" s="497"/>
      <c r="E1416" s="497">
        <f t="shared" ca="1" si="174"/>
        <v>3</v>
      </c>
      <c r="F1416" s="516">
        <f ca="1">IF(COUNTA(D$938:D1416)=1,"",OFFSET(F1414,-COUNTA(D$938:D1416)+3,0))</f>
        <v>20</v>
      </c>
      <c r="G1416" s="503" t="str">
        <f t="shared" ca="1" si="168"/>
        <v/>
      </c>
      <c r="H1416" s="497">
        <f t="shared" ca="1" si="175"/>
        <v>47</v>
      </c>
      <c r="I1416" s="500">
        <f t="shared" ca="1" si="169"/>
        <v>56.240676280457478</v>
      </c>
      <c r="J1416" s="512">
        <f t="shared" ca="1" si="170"/>
        <v>2011</v>
      </c>
      <c r="K1416" s="512">
        <f t="shared" ca="1" si="171"/>
        <v>1131</v>
      </c>
      <c r="L1416" s="503" t="str">
        <f t="shared" ca="1" si="172"/>
        <v/>
      </c>
      <c r="M1416" s="515" t="str">
        <f ca="1">IFERROR(IF(COUNTIF($B$937:$B1415,"&lt;0")&lt;&gt;1,OFFSET($C1414,-COUNTIF($B$937:$B1415,"&lt;0")+3,0),""),"")</f>
        <v>a173p00000CH4GmAAL</v>
      </c>
      <c r="N1416" s="515">
        <f ca="1">IFERROR(IF(COUNTA($D$937:D1415)=1,0,OFFSET($F1414,-COUNTA($D$937:D1415)+3,0)),"")</f>
        <v>20</v>
      </c>
      <c r="O1416" s="497"/>
      <c r="P1416" s="497">
        <f t="shared" si="176"/>
        <v>0</v>
      </c>
      <c r="Q1416" s="497"/>
      <c r="R1416" s="497"/>
      <c r="S1416" s="497"/>
      <c r="T1416" s="503"/>
    </row>
    <row r="1417" spans="1:20" x14ac:dyDescent="0.35">
      <c r="A1417" s="497" t="b">
        <f t="shared" ca="1" si="166"/>
        <v>0</v>
      </c>
      <c r="B1417" s="497">
        <f t="shared" si="173"/>
        <v>118</v>
      </c>
      <c r="C1417" s="519" t="str">
        <f t="shared" ca="1" si="167"/>
        <v>a173p00000CH4HkAAL</v>
      </c>
      <c r="D1417" s="497"/>
      <c r="E1417" s="497">
        <f t="shared" ca="1" si="174"/>
        <v>4</v>
      </c>
      <c r="F1417" s="516">
        <f ca="1">IF(COUNTA(D$938:D1417)=1,"",OFFSET(F1415,-COUNTA(D$938:D1417)+3,0))</f>
        <v>20</v>
      </c>
      <c r="G1417" s="503" t="str">
        <f t="shared" ca="1" si="168"/>
        <v/>
      </c>
      <c r="H1417" s="497">
        <f t="shared" ca="1" si="175"/>
        <v>47</v>
      </c>
      <c r="I1417" s="500" t="str">
        <f t="shared" ca="1" si="169"/>
        <v/>
      </c>
      <c r="J1417" s="512" t="str">
        <f t="shared" ca="1" si="170"/>
        <v/>
      </c>
      <c r="K1417" s="512" t="str">
        <f t="shared" ca="1" si="171"/>
        <v/>
      </c>
      <c r="L1417" s="503" t="str">
        <f t="shared" ca="1" si="172"/>
        <v/>
      </c>
      <c r="M1417" s="515" t="str">
        <f ca="1">IFERROR(IF(COUNTIF($B$937:$B1416,"&lt;0")&lt;&gt;1,OFFSET($C1415,-COUNTIF($B$937:$B1416,"&lt;0")+3,0),""),"")</f>
        <v>a173p00000CH4HkAAL</v>
      </c>
      <c r="N1417" s="515">
        <f ca="1">IFERROR(IF(COUNTA($D$937:D1416)=1,0,OFFSET($F1415,-COUNTA($D$937:D1416)+3,0)),"")</f>
        <v>20</v>
      </c>
      <c r="O1417" s="497"/>
      <c r="P1417" s="497">
        <f t="shared" si="176"/>
        <v>0</v>
      </c>
      <c r="Q1417" s="497"/>
      <c r="R1417" s="497"/>
      <c r="S1417" s="497"/>
      <c r="T1417" s="503"/>
    </row>
    <row r="1418" spans="1:20" x14ac:dyDescent="0.35">
      <c r="A1418" s="497" t="b">
        <f t="shared" ca="1" si="166"/>
        <v>0</v>
      </c>
      <c r="B1418" s="497">
        <f t="shared" si="173"/>
        <v>119</v>
      </c>
      <c r="C1418" s="519" t="str">
        <f t="shared" ca="1" si="167"/>
        <v>a173p00000CH4IiAAL</v>
      </c>
      <c r="D1418" s="497"/>
      <c r="E1418" s="497">
        <f t="shared" ca="1" si="174"/>
        <v>5</v>
      </c>
      <c r="F1418" s="516">
        <f ca="1">IF(COUNTA(D$938:D1418)=1,"",OFFSET(F1416,-COUNTA(D$938:D1418)+3,0))</f>
        <v>20</v>
      </c>
      <c r="G1418" s="503" t="str">
        <f t="shared" ca="1" si="168"/>
        <v/>
      </c>
      <c r="H1418" s="497">
        <f t="shared" ca="1" si="175"/>
        <v>47</v>
      </c>
      <c r="I1418" s="500" t="str">
        <f t="shared" ca="1" si="169"/>
        <v/>
      </c>
      <c r="J1418" s="512" t="str">
        <f t="shared" ca="1" si="170"/>
        <v/>
      </c>
      <c r="K1418" s="512" t="str">
        <f t="shared" ca="1" si="171"/>
        <v/>
      </c>
      <c r="L1418" s="503" t="str">
        <f t="shared" ca="1" si="172"/>
        <v/>
      </c>
      <c r="M1418" s="515" t="str">
        <f ca="1">IFERROR(IF(COUNTIF($B$937:$B1417,"&lt;0")&lt;&gt;1,OFFSET($C1416,-COUNTIF($B$937:$B1417,"&lt;0")+3,0),""),"")</f>
        <v>a173p00000CH4IiAAL</v>
      </c>
      <c r="N1418" s="515">
        <f ca="1">IFERROR(IF(COUNTA($D$937:D1417)=1,0,OFFSET($F1416,-COUNTA($D$937:D1417)+3,0)),"")</f>
        <v>20</v>
      </c>
      <c r="O1418" s="497"/>
      <c r="P1418" s="497">
        <f t="shared" si="176"/>
        <v>0</v>
      </c>
      <c r="Q1418" s="497"/>
      <c r="R1418" s="497"/>
      <c r="S1418" s="497"/>
      <c r="T1418" s="503"/>
    </row>
    <row r="1419" spans="1:20" x14ac:dyDescent="0.35">
      <c r="A1419" s="497" t="b">
        <f t="shared" ca="1" si="166"/>
        <v>0</v>
      </c>
      <c r="B1419" s="497">
        <f t="shared" si="173"/>
        <v>120</v>
      </c>
      <c r="C1419" s="519" t="str">
        <f t="shared" ca="1" si="167"/>
        <v>a173p00000CH4JgAAL</v>
      </c>
      <c r="D1419" s="497"/>
      <c r="E1419" s="497">
        <f t="shared" ca="1" si="174"/>
        <v>6</v>
      </c>
      <c r="F1419" s="516">
        <f ca="1">IF(COUNTA(D$938:D1419)=1,"",OFFSET(F1417,-COUNTA(D$938:D1419)+3,0))</f>
        <v>20</v>
      </c>
      <c r="G1419" s="503" t="str">
        <f t="shared" ca="1" si="168"/>
        <v/>
      </c>
      <c r="H1419" s="497">
        <f t="shared" ca="1" si="175"/>
        <v>47</v>
      </c>
      <c r="I1419" s="500" t="str">
        <f t="shared" ca="1" si="169"/>
        <v/>
      </c>
      <c r="J1419" s="512" t="str">
        <f t="shared" ca="1" si="170"/>
        <v/>
      </c>
      <c r="K1419" s="512" t="str">
        <f t="shared" ca="1" si="171"/>
        <v/>
      </c>
      <c r="L1419" s="503" t="str">
        <f t="shared" ca="1" si="172"/>
        <v/>
      </c>
      <c r="M1419" s="515" t="str">
        <f ca="1">IFERROR(IF(COUNTIF($B$937:$B1418,"&lt;0")&lt;&gt;1,OFFSET($C1417,-COUNTIF($B$937:$B1418,"&lt;0")+3,0),""),"")</f>
        <v>a173p00000CH4JgAAL</v>
      </c>
      <c r="N1419" s="515">
        <f ca="1">IFERROR(IF(COUNTA($D$937:D1418)=1,0,OFFSET($F1417,-COUNTA($D$937:D1418)+3,0)),"")</f>
        <v>20</v>
      </c>
      <c r="O1419" s="497"/>
      <c r="P1419" s="497">
        <f t="shared" si="176"/>
        <v>0</v>
      </c>
      <c r="Q1419" s="497"/>
      <c r="R1419" s="497"/>
      <c r="S1419" s="497"/>
      <c r="T1419" s="503"/>
    </row>
    <row r="1420" spans="1:20" x14ac:dyDescent="0.35">
      <c r="A1420" s="497" t="b">
        <f t="shared" ca="1" si="166"/>
        <v>0</v>
      </c>
      <c r="B1420" s="497">
        <f t="shared" si="173"/>
        <v>121</v>
      </c>
      <c r="C1420" s="519" t="str">
        <f t="shared" ca="1" si="167"/>
        <v>a173p00000CH4ErAAL</v>
      </c>
      <c r="D1420" s="497"/>
      <c r="E1420" s="497">
        <f t="shared" ca="1" si="174"/>
        <v>1</v>
      </c>
      <c r="F1420" s="516">
        <f ca="1">IF(COUNTA(D$938:D1420)=1,"",OFFSET(F1418,-COUNTA(D$938:D1420)+3,0))</f>
        <v>21</v>
      </c>
      <c r="G1420" s="503" t="str">
        <f t="shared" ca="1" si="168"/>
        <v/>
      </c>
      <c r="H1420" s="497">
        <f t="shared" ca="1" si="175"/>
        <v>49</v>
      </c>
      <c r="I1420" s="500" t="str">
        <f t="shared" ca="1" si="169"/>
        <v/>
      </c>
      <c r="J1420" s="512" t="str">
        <f t="shared" ca="1" si="170"/>
        <v/>
      </c>
      <c r="K1420" s="512" t="str">
        <f t="shared" ca="1" si="171"/>
        <v/>
      </c>
      <c r="L1420" s="503" t="str">
        <f t="shared" ca="1" si="172"/>
        <v/>
      </c>
      <c r="M1420" s="515" t="str">
        <f ca="1">IFERROR(IF(COUNTIF($B$937:$B1419,"&lt;0")&lt;&gt;1,OFFSET($C1418,-COUNTIF($B$937:$B1419,"&lt;0")+3,0),""),"")</f>
        <v>a173p00000CH4ErAAL</v>
      </c>
      <c r="N1420" s="515">
        <f ca="1">IFERROR(IF(COUNTA($D$937:D1419)=1,0,OFFSET($F1418,-COUNTA($D$937:D1419)+3,0)),"")</f>
        <v>21</v>
      </c>
      <c r="O1420" s="497"/>
      <c r="P1420" s="497">
        <f t="shared" si="176"/>
        <v>0</v>
      </c>
      <c r="Q1420" s="497"/>
      <c r="R1420" s="497"/>
      <c r="S1420" s="497"/>
      <c r="T1420" s="503"/>
    </row>
    <row r="1421" spans="1:20" x14ac:dyDescent="0.35">
      <c r="A1421" s="497" t="b">
        <f t="shared" ca="1" si="166"/>
        <v>0</v>
      </c>
      <c r="B1421" s="497">
        <f t="shared" si="173"/>
        <v>122</v>
      </c>
      <c r="C1421" s="519" t="str">
        <f t="shared" ca="1" si="167"/>
        <v>a173p00000CH4FpAAL</v>
      </c>
      <c r="D1421" s="497"/>
      <c r="E1421" s="497">
        <f t="shared" ca="1" si="174"/>
        <v>2</v>
      </c>
      <c r="F1421" s="516">
        <f ca="1">IF(COUNTA(D$938:D1421)=1,"",OFFSET(F1419,-COUNTA(D$938:D1421)+3,0))</f>
        <v>21</v>
      </c>
      <c r="G1421" s="503" t="str">
        <f t="shared" ca="1" si="168"/>
        <v/>
      </c>
      <c r="H1421" s="497">
        <f t="shared" ca="1" si="175"/>
        <v>49</v>
      </c>
      <c r="I1421" s="500" t="str">
        <f t="shared" ca="1" si="169"/>
        <v/>
      </c>
      <c r="J1421" s="512" t="str">
        <f t="shared" ca="1" si="170"/>
        <v/>
      </c>
      <c r="K1421" s="512" t="str">
        <f t="shared" ca="1" si="171"/>
        <v/>
      </c>
      <c r="L1421" s="503" t="str">
        <f t="shared" ca="1" si="172"/>
        <v/>
      </c>
      <c r="M1421" s="515" t="str">
        <f ca="1">IFERROR(IF(COUNTIF($B$937:$B1420,"&lt;0")&lt;&gt;1,OFFSET($C1419,-COUNTIF($B$937:$B1420,"&lt;0")+3,0),""),"")</f>
        <v>a173p00000CH4FpAAL</v>
      </c>
      <c r="N1421" s="515">
        <f ca="1">IFERROR(IF(COUNTA($D$937:D1420)=1,0,OFFSET($F1419,-COUNTA($D$937:D1420)+3,0)),"")</f>
        <v>21</v>
      </c>
      <c r="O1421" s="497"/>
      <c r="P1421" s="497">
        <f t="shared" si="176"/>
        <v>0</v>
      </c>
      <c r="Q1421" s="497"/>
      <c r="R1421" s="497"/>
      <c r="S1421" s="497"/>
      <c r="T1421" s="503"/>
    </row>
    <row r="1422" spans="1:20" x14ac:dyDescent="0.35">
      <c r="A1422" s="497" t="b">
        <f t="shared" ca="1" si="166"/>
        <v>0</v>
      </c>
      <c r="B1422" s="497">
        <f t="shared" si="173"/>
        <v>123</v>
      </c>
      <c r="C1422" s="519" t="str">
        <f t="shared" ca="1" si="167"/>
        <v>a173p00000CH4GnAAL</v>
      </c>
      <c r="D1422" s="497"/>
      <c r="E1422" s="497">
        <f t="shared" ca="1" si="174"/>
        <v>3</v>
      </c>
      <c r="F1422" s="516">
        <f ca="1">IF(COUNTA(D$938:D1422)=1,"",OFFSET(F1420,-COUNTA(D$938:D1422)+3,0))</f>
        <v>21</v>
      </c>
      <c r="G1422" s="503" t="str">
        <f t="shared" ca="1" si="168"/>
        <v/>
      </c>
      <c r="H1422" s="497">
        <f t="shared" ca="1" si="175"/>
        <v>49</v>
      </c>
      <c r="I1422" s="500" t="str">
        <f t="shared" ca="1" si="169"/>
        <v/>
      </c>
      <c r="J1422" s="512" t="str">
        <f t="shared" ca="1" si="170"/>
        <v/>
      </c>
      <c r="K1422" s="512" t="str">
        <f t="shared" ca="1" si="171"/>
        <v/>
      </c>
      <c r="L1422" s="503" t="str">
        <f t="shared" ca="1" si="172"/>
        <v/>
      </c>
      <c r="M1422" s="515" t="str">
        <f ca="1">IFERROR(IF(COUNTIF($B$937:$B1421,"&lt;0")&lt;&gt;1,OFFSET($C1420,-COUNTIF($B$937:$B1421,"&lt;0")+3,0),""),"")</f>
        <v>a173p00000CH4GnAAL</v>
      </c>
      <c r="N1422" s="515">
        <f ca="1">IFERROR(IF(COUNTA($D$937:D1421)=1,0,OFFSET($F1420,-COUNTA($D$937:D1421)+3,0)),"")</f>
        <v>21</v>
      </c>
      <c r="O1422" s="497"/>
      <c r="P1422" s="497">
        <f t="shared" si="176"/>
        <v>0</v>
      </c>
      <c r="Q1422" s="497"/>
      <c r="R1422" s="497"/>
      <c r="S1422" s="497"/>
      <c r="T1422" s="503"/>
    </row>
    <row r="1423" spans="1:20" x14ac:dyDescent="0.35">
      <c r="A1423" s="497" t="b">
        <f t="shared" ca="1" si="166"/>
        <v>0</v>
      </c>
      <c r="B1423" s="497">
        <f t="shared" si="173"/>
        <v>124</v>
      </c>
      <c r="C1423" s="519" t="str">
        <f t="shared" ca="1" si="167"/>
        <v>a173p00000CH4HlAAL</v>
      </c>
      <c r="D1423" s="497"/>
      <c r="E1423" s="497">
        <f t="shared" ca="1" si="174"/>
        <v>4</v>
      </c>
      <c r="F1423" s="516">
        <f ca="1">IF(COUNTA(D$938:D1423)=1,"",OFFSET(F1421,-COUNTA(D$938:D1423)+3,0))</f>
        <v>21</v>
      </c>
      <c r="G1423" s="503" t="str">
        <f t="shared" ca="1" si="168"/>
        <v/>
      </c>
      <c r="H1423" s="497">
        <f t="shared" ca="1" si="175"/>
        <v>49</v>
      </c>
      <c r="I1423" s="500" t="str">
        <f t="shared" ca="1" si="169"/>
        <v/>
      </c>
      <c r="J1423" s="512" t="str">
        <f t="shared" ca="1" si="170"/>
        <v/>
      </c>
      <c r="K1423" s="512" t="str">
        <f t="shared" ca="1" si="171"/>
        <v/>
      </c>
      <c r="L1423" s="503" t="str">
        <f t="shared" ca="1" si="172"/>
        <v/>
      </c>
      <c r="M1423" s="515" t="str">
        <f ca="1">IFERROR(IF(COUNTIF($B$937:$B1422,"&lt;0")&lt;&gt;1,OFFSET($C1421,-COUNTIF($B$937:$B1422,"&lt;0")+3,0),""),"")</f>
        <v>a173p00000CH4HlAAL</v>
      </c>
      <c r="N1423" s="515">
        <f ca="1">IFERROR(IF(COUNTA($D$937:D1422)=1,0,OFFSET($F1421,-COUNTA($D$937:D1422)+3,0)),"")</f>
        <v>21</v>
      </c>
      <c r="O1423" s="497"/>
      <c r="P1423" s="497">
        <f t="shared" si="176"/>
        <v>0</v>
      </c>
      <c r="Q1423" s="497"/>
      <c r="R1423" s="497"/>
      <c r="S1423" s="497"/>
      <c r="T1423" s="503"/>
    </row>
    <row r="1424" spans="1:20" x14ac:dyDescent="0.35">
      <c r="A1424" s="497" t="b">
        <f t="shared" ca="1" si="166"/>
        <v>0</v>
      </c>
      <c r="B1424" s="497">
        <f t="shared" si="173"/>
        <v>125</v>
      </c>
      <c r="C1424" s="519" t="str">
        <f t="shared" ca="1" si="167"/>
        <v>a173p00000CH4IjAAL</v>
      </c>
      <c r="D1424" s="497"/>
      <c r="E1424" s="497">
        <f t="shared" ca="1" si="174"/>
        <v>5</v>
      </c>
      <c r="F1424" s="516">
        <f ca="1">IF(COUNTA(D$938:D1424)=1,"",OFFSET(F1422,-COUNTA(D$938:D1424)+3,0))</f>
        <v>21</v>
      </c>
      <c r="G1424" s="503" t="str">
        <f t="shared" ca="1" si="168"/>
        <v/>
      </c>
      <c r="H1424" s="497">
        <f t="shared" ca="1" si="175"/>
        <v>49</v>
      </c>
      <c r="I1424" s="500" t="str">
        <f t="shared" ca="1" si="169"/>
        <v/>
      </c>
      <c r="J1424" s="512" t="str">
        <f t="shared" ca="1" si="170"/>
        <v/>
      </c>
      <c r="K1424" s="512" t="str">
        <f t="shared" ca="1" si="171"/>
        <v/>
      </c>
      <c r="L1424" s="503" t="str">
        <f t="shared" ca="1" si="172"/>
        <v/>
      </c>
      <c r="M1424" s="515" t="str">
        <f ca="1">IFERROR(IF(COUNTIF($B$937:$B1423,"&lt;0")&lt;&gt;1,OFFSET($C1422,-COUNTIF($B$937:$B1423,"&lt;0")+3,0),""),"")</f>
        <v>a173p00000CH4IjAAL</v>
      </c>
      <c r="N1424" s="515">
        <f ca="1">IFERROR(IF(COUNTA($D$937:D1423)=1,0,OFFSET($F1422,-COUNTA($D$937:D1423)+3,0)),"")</f>
        <v>21</v>
      </c>
      <c r="O1424" s="497"/>
      <c r="P1424" s="497">
        <f t="shared" si="176"/>
        <v>0</v>
      </c>
      <c r="Q1424" s="497"/>
      <c r="R1424" s="497"/>
      <c r="S1424" s="497"/>
      <c r="T1424" s="503"/>
    </row>
    <row r="1425" spans="1:20" x14ac:dyDescent="0.35">
      <c r="A1425" s="497" t="b">
        <f t="shared" ca="1" si="166"/>
        <v>0</v>
      </c>
      <c r="B1425" s="497">
        <f t="shared" si="173"/>
        <v>126</v>
      </c>
      <c r="C1425" s="519" t="str">
        <f t="shared" ca="1" si="167"/>
        <v>a173p00000CH4JhAAL</v>
      </c>
      <c r="D1425" s="497"/>
      <c r="E1425" s="497">
        <f t="shared" ca="1" si="174"/>
        <v>6</v>
      </c>
      <c r="F1425" s="516">
        <f ca="1">IF(COUNTA(D$938:D1425)=1,"",OFFSET(F1423,-COUNTA(D$938:D1425)+3,0))</f>
        <v>21</v>
      </c>
      <c r="G1425" s="503" t="str">
        <f t="shared" ca="1" si="168"/>
        <v/>
      </c>
      <c r="H1425" s="497">
        <f t="shared" ca="1" si="175"/>
        <v>49</v>
      </c>
      <c r="I1425" s="500" t="str">
        <f t="shared" ca="1" si="169"/>
        <v/>
      </c>
      <c r="J1425" s="512" t="str">
        <f t="shared" ca="1" si="170"/>
        <v/>
      </c>
      <c r="K1425" s="512" t="str">
        <f t="shared" ca="1" si="171"/>
        <v/>
      </c>
      <c r="L1425" s="503" t="str">
        <f t="shared" ca="1" si="172"/>
        <v/>
      </c>
      <c r="M1425" s="515" t="str">
        <f ca="1">IFERROR(IF(COUNTIF($B$937:$B1424,"&lt;0")&lt;&gt;1,OFFSET($C1423,-COUNTIF($B$937:$B1424,"&lt;0")+3,0),""),"")</f>
        <v>a173p00000CH4JhAAL</v>
      </c>
      <c r="N1425" s="515">
        <f ca="1">IFERROR(IF(COUNTA($D$937:D1424)=1,0,OFFSET($F1423,-COUNTA($D$937:D1424)+3,0)),"")</f>
        <v>21</v>
      </c>
      <c r="O1425" s="497"/>
      <c r="P1425" s="497">
        <f t="shared" si="176"/>
        <v>0</v>
      </c>
      <c r="Q1425" s="497"/>
      <c r="R1425" s="497"/>
      <c r="S1425" s="497"/>
      <c r="T1425" s="503"/>
    </row>
    <row r="1426" spans="1:20" x14ac:dyDescent="0.35">
      <c r="A1426" s="497" t="b">
        <f t="shared" ca="1" si="166"/>
        <v>1</v>
      </c>
      <c r="B1426" s="497">
        <f t="shared" si="173"/>
        <v>127</v>
      </c>
      <c r="C1426" s="519" t="str">
        <f t="shared" ca="1" si="167"/>
        <v>a173p00000CH4EsAAL</v>
      </c>
      <c r="D1426" s="497"/>
      <c r="E1426" s="497">
        <f t="shared" ca="1" si="174"/>
        <v>1</v>
      </c>
      <c r="F1426" s="516">
        <f ca="1">IF(COUNTA(D$938:D1426)=1,"",OFFSET(F1424,-COUNTA(D$938:D1426)+3,0))</f>
        <v>22</v>
      </c>
      <c r="G1426" s="503" t="str">
        <f t="shared" ca="1" si="168"/>
        <v/>
      </c>
      <c r="H1426" s="497">
        <f t="shared" ca="1" si="175"/>
        <v>51</v>
      </c>
      <c r="I1426" s="500">
        <f t="shared" ca="1" si="169"/>
        <v>21.073112158676508</v>
      </c>
      <c r="J1426" s="512">
        <f t="shared" ca="1" si="170"/>
        <v>44972</v>
      </c>
      <c r="K1426" s="512">
        <f t="shared" ca="1" si="171"/>
        <v>9477</v>
      </c>
      <c r="L1426" s="503" t="str">
        <f t="shared" ca="1" si="172"/>
        <v/>
      </c>
      <c r="M1426" s="515" t="str">
        <f ca="1">IFERROR(IF(COUNTIF($B$937:$B1425,"&lt;0")&lt;&gt;1,OFFSET($C1424,-COUNTIF($B$937:$B1425,"&lt;0")+3,0),""),"")</f>
        <v>a173p00000CH4EsAAL</v>
      </c>
      <c r="N1426" s="515">
        <f ca="1">IFERROR(IF(COUNTA($D$937:D1425)=1,0,OFFSET($F1424,-COUNTA($D$937:D1425)+3,0)),"")</f>
        <v>22</v>
      </c>
      <c r="O1426" s="497"/>
      <c r="P1426" s="497">
        <f t="shared" si="176"/>
        <v>0</v>
      </c>
      <c r="Q1426" s="497"/>
      <c r="R1426" s="497"/>
      <c r="S1426" s="497"/>
      <c r="T1426" s="503"/>
    </row>
    <row r="1427" spans="1:20" x14ac:dyDescent="0.35">
      <c r="A1427" s="497" t="b">
        <f t="shared" ca="1" si="166"/>
        <v>1</v>
      </c>
      <c r="B1427" s="497">
        <f t="shared" si="173"/>
        <v>128</v>
      </c>
      <c r="C1427" s="519" t="str">
        <f t="shared" ca="1" si="167"/>
        <v>a173p00000CH4FqAAL</v>
      </c>
      <c r="D1427" s="497"/>
      <c r="E1427" s="497">
        <f t="shared" ca="1" si="174"/>
        <v>2</v>
      </c>
      <c r="F1427" s="516">
        <f ca="1">IF(COUNTA(D$938:D1427)=1,"",OFFSET(F1425,-COUNTA(D$938:D1427)+3,0))</f>
        <v>22</v>
      </c>
      <c r="G1427" s="503" t="str">
        <f t="shared" ca="1" si="168"/>
        <v/>
      </c>
      <c r="H1427" s="497">
        <f t="shared" ca="1" si="175"/>
        <v>51</v>
      </c>
      <c r="I1427" s="500">
        <f t="shared" ca="1" si="169"/>
        <v>21.495597260517656</v>
      </c>
      <c r="J1427" s="512">
        <f t="shared" ca="1" si="170"/>
        <v>44972</v>
      </c>
      <c r="K1427" s="512">
        <f t="shared" ca="1" si="171"/>
        <v>9667</v>
      </c>
      <c r="L1427" s="503" t="str">
        <f t="shared" ca="1" si="172"/>
        <v/>
      </c>
      <c r="M1427" s="515" t="str">
        <f ca="1">IFERROR(IF(COUNTIF($B$937:$B1426,"&lt;0")&lt;&gt;1,OFFSET($C1425,-COUNTIF($B$937:$B1426,"&lt;0")+3,0),""),"")</f>
        <v>a173p00000CH4FqAAL</v>
      </c>
      <c r="N1427" s="515">
        <f ca="1">IFERROR(IF(COUNTA($D$937:D1426)=1,0,OFFSET($F1425,-COUNTA($D$937:D1426)+3,0)),"")</f>
        <v>22</v>
      </c>
      <c r="O1427" s="497"/>
      <c r="P1427" s="497">
        <f t="shared" si="176"/>
        <v>0</v>
      </c>
      <c r="Q1427" s="497"/>
      <c r="R1427" s="497"/>
      <c r="S1427" s="497"/>
      <c r="T1427" s="503"/>
    </row>
    <row r="1428" spans="1:20" x14ac:dyDescent="0.35">
      <c r="A1428" s="497" t="b">
        <f t="shared" ref="A1428:A1491" ca="1" si="177">IF(OR(I1428&lt;&gt;"",J1428&lt;&gt;"",K1428&lt;&gt;"",L1428&lt;&gt;""),TRUE,FALSE)</f>
        <v>1</v>
      </c>
      <c r="B1428" s="497">
        <f t="shared" si="173"/>
        <v>129</v>
      </c>
      <c r="C1428" s="519" t="str">
        <f t="shared" ref="C1428:C1491" ca="1" si="178">M1428</f>
        <v>a173p00000CH4GoAAL</v>
      </c>
      <c r="D1428" s="497"/>
      <c r="E1428" s="497">
        <f t="shared" ca="1" si="174"/>
        <v>3</v>
      </c>
      <c r="F1428" s="516">
        <f ca="1">IF(COUNTA(D$938:D1428)=1,"",OFFSET(F1426,-COUNTA(D$938:D1428)+3,0))</f>
        <v>22</v>
      </c>
      <c r="G1428" s="503" t="str">
        <f t="shared" ref="G1428:G1491" ca="1" si="179">IFERROR(IF(INDIRECT("'Coverage Indicators - Section I'!G"&amp;$I492)=0,"",INDIRECT("'Coverage Indicators - Section I'!G"&amp;$I492)),"")</f>
        <v/>
      </c>
      <c r="H1428" s="497">
        <f t="shared" ca="1" si="175"/>
        <v>51</v>
      </c>
      <c r="I1428" s="500">
        <f t="shared" ref="I1428:I1491" ca="1" si="180">IFERROR(CHOOSE(E1428,IFERROR(IF(INDIRECT("'Coverage Indicators - Section D'!P"&amp;H1428)="","",INDIRECT("'Coverage Indicators - Section D'!P"&amp;H1428)*100),""),IFERROR(IF(INDIRECT("'Coverage Indicators - Section D'!S"&amp;H1428)="","",INDIRECT("'Coverage Indicators - Section D'!S"&amp;H1428)*100),""),IFERROR(IF(INDIRECT("'Coverage Indicators - Section D'!V"&amp;H1428)="","",INDIRECT("'Coverage Indicators - Section D'!V"&amp;H1428)*100),""),IFERROR(IF(INDIRECT("'Coverage Indicators - Section D'!Y"&amp;H1428)="","",INDIRECT("'Coverage Indicators - Section D'!Y"&amp;H1428)*100),""),IFERROR(IF(INDIRECT("'Coverage Indicators - Section D'!AB"&amp;H1428)="","",INDIRECT("'Coverage Indicators - Section D'!AB"&amp;H1428)*100),""),IFERROR(IF(INDIRECT("'Coverage Indicators - Section D'!AE"&amp;H1428)="","",INDIRECT("'Coverage Indicators - Section D'!AE"&amp;H1428)*100),""),IFERROR(IF(INDIRECT("'Coverage Indicators - SectionD'!AH"&amp;H1428)="","",INDIRECT("'CoverageIndicators-SectionD'!AH"&amp;H1428)*100),"")),"")</f>
        <v>21.924753179756294</v>
      </c>
      <c r="J1428" s="512">
        <f t="shared" ref="J1428:J1491" ca="1" si="181">IFERROR(CHOOSE(E1428,IFERROR(IF(INDIRECT("'Coverage Indicators - Section D'!O"&amp;H1428+1)="","",INDIRECT("'Coverage Indicators - Section D'!O"&amp;H1428+1)),""),IFERROR(IF(INDIRECT("'Coverage Indicators - Section D'!R"&amp;H1428+1)="","",INDIRECT("'Coverage Indicators - Section D'!R"&amp;H1428+1)),""),IFERROR(IF(INDIRECT("'Coverage Indicators - Section D'!U"&amp;H1428+1)="","",INDIRECT("'Coverage Indicators - Section D'!U"&amp;H1428+1)),""),IFERROR(IF(INDIRECT("'Coverage Indicators - Section D'!X"&amp;H1428+1)="","",INDIRECT("'Coverage Indicators - Section D'!X"&amp;H1428+1)),""),IFERROR(IF(INDIRECT("'Coverage Indicators - Section D'!AA"&amp;H1428+1)="","",INDIRECT("'Coverage Indicators - Section D'!AA"&amp;H1428+1)),""),IFERROR(IF(INDIRECT("'Coverage Indicators - Section D'!AD"&amp;H1428+1)="","",INDIRECT("'Coverage Indicators - Section D'!AD"&amp;H1428+1)),""),IFERROR(IF(INDIRECT("'Coverage Indicators - Section D'!AG"&amp;H1428+1)="","",INDIRECT("'Coverage Indicators - Section D'!AG"&amp;H1428+1)),""),IFERROR(IF(INDIRECT("'Coverage Indicators - Section D'!AJ"&amp;H1428+1)="","",INDIRECT("'Coverage Indicators - Section D'!AJ"&amp;H1428+1)),"")),"")</f>
        <v>44972</v>
      </c>
      <c r="K1428" s="512">
        <f t="shared" ref="K1428:K1491" ca="1" si="182">IFERROR(CHOOSE(E1428,IFERROR(IF(INDIRECT("'Coverage Indicators - Section D'!O"&amp;H1428)="","",INDIRECT("'Coverage Indicators - Section D'!O"&amp;H1428)),""),IFERROR(IF(INDIRECT("'Coverage Indicators - Section D'!R"&amp;H1428)="","",INDIRECT("'Coverage Indicators - Section D'!R"&amp;H1428)),""),IFERROR(IF(INDIRECT("'Coverage Indicators - Section D'!U"&amp;H1428)="","",INDIRECT("'Coverage Indicators - Section D'!U"&amp;H1428)),""),IFERROR(IF(INDIRECT("'Coverage Indicators - Section D'!X"&amp;H1428)="","",INDIRECT("'Coverage Indicators - Section D'!X"&amp;H1428)),""),IFERROR(IF(INDIRECT("'Coverage Indicators - Section D'!AA"&amp;H1428)="","",INDIRECT("'Coverage Indicators - Section D'!AA"&amp;H1428)),""),IFERROR(IF(INDIRECT("'Coverage Indicators - Section D'!AD"&amp;H1428)="","",INDIRECT("'Coverage Indicators - Section D'!AD"&amp;H1428)),""),IFERROR(IF(INDIRECT("'Coverage Indicators - Section D'!AG"&amp;H1428)="","",INDIRECT("'Coverage Indicators - Section D'!AG"&amp;H1428)),""),IFERROR(IF(INDIRECT("'Coverage Indicators - Section D'!AJ"&amp;H1428)="","",INDIRECT("'Coverage Indicators - Section D'!AJ"&amp;H1428)),"")),"")</f>
        <v>9860</v>
      </c>
      <c r="L1428" s="503" t="str">
        <f t="shared" ref="L1428:L1491" ca="1" si="183">IF(IFERROR(CHOOSE(E1428,IFERROR(IF(INDIRECT("'Coverage Indicators - Section D'!Q"&amp;H1428)=0,"",INDIRECT("'Coverage Indicators - Section D'!Q"&amp;H1428)),""),IFERROR(IF(INDIRECT("'Coverage Indicators - Section D'!T"&amp;H1428)=0,"",INDIRECT("'Coverage Indicators - Section D'!T"&amp;H1428)),""),IFERROR(IF(INDIRECT("'Coverage Indicators - Section D'!W"&amp;H1428)=0,"",INDIRECT("'Coverage Indicators - Section D'!W"&amp;H1428)),""),IFERROR(IF(INDIRECT("'Coverage Indicators - Section D'!Z"&amp;H1428)=0,"",INDIRECT("'Coverage Indicators - Section D'!Z"&amp;H1428)),""),IFERROR(IF(INDIRECT("'Coverage Indicators - Section D'!AC"&amp;H1428)=0,"",INDIRECT("'Coverage Indicators - Section D'!AC"&amp;H1428)),""),IFERROR(IF(INDIRECT("'Coverage Indicators - Section D'!AF"&amp;H1428)=0,"",INDIRECT("'Coverage Indicators - Section D'!AF"&amp;H1428)),""),IFERROR(IF(INDIRECT("'Coverage Indicators - Section D'!AI"&amp;H1428)=0,"",INDIRECT("'Coverage Indicators - Section D'!AI"&amp;H1428)),""),IFERROR(IF(INDIRECT("'Coverage Indicators - Section D'!AL"&amp;H1428)=0,"",INDIRECT("'Coverage Indicators - Section D'!AL"&amp;H1428)),"")),"")=0,"",CHOOSE(E1428,IFERROR(IF(INDIRECT("'Coverage Indicators - Section D'!Q"&amp;H1428)=0,"",INDIRECT("'Coverage Indicators - Section D'!Q"&amp;H1428)),""),IFERROR(IF(INDIRECT("'Coverage Indicators - Section D'!T"&amp;H1428)=0,"",INDIRECT("'Coverage Indicators - Section D'!T"&amp;H1428)),""),IFERROR(IF(INDIRECT("'Coverage Indicators - Section D'!W"&amp;H1428)=0,"",INDIRECT("'Coverage Indicators - Section D'!W"&amp;H1428)),""),IFERROR(IF(INDIRECT("'Coverage Indicators - Section D'!Z"&amp;H1428)=0,"",INDIRECT("'Coverage Indicators - Section D'!Z"&amp;H1428)),""),IFERROR(IF(INDIRECT("'Coverage Indicators - Section D'!AC"&amp;H1428)=0,"",INDIRECT("'Coverage Indicators - Section D'!AC"&amp;H1428)),""),IFERROR(IF(INDIRECT("'Coverage Indicators - Section D'!AF"&amp;H1428)=0,"",INDIRECT("'Coverage Indicators - Section D'!AF"&amp;H1428)),""),IFERROR(IF(INDIRECT("'Coverage Indicators - Section D'!AI"&amp;H1428)=0,"",INDIRECT("'Coverage Indicators - Section D'!AI"&amp;H1428)),""),IFERROR(IF(INDIRECT("'Coverage Indicators - Section D'!AL"&amp;H1428)=0,"",INDIRECT("'Coverage Indicators - Section D'!AL"&amp;H1428)),"")))</f>
        <v/>
      </c>
      <c r="M1428" s="515" t="str">
        <f ca="1">IFERROR(IF(COUNTIF($B$937:$B1427,"&lt;0")&lt;&gt;1,OFFSET($C1426,-COUNTIF($B$937:$B1427,"&lt;0")+3,0),""),"")</f>
        <v>a173p00000CH4GoAAL</v>
      </c>
      <c r="N1428" s="515">
        <f ca="1">IFERROR(IF(COUNTA($D$937:D1427)=1,0,OFFSET($F1426,-COUNTA($D$937:D1427)+3,0)),"")</f>
        <v>22</v>
      </c>
      <c r="O1428" s="497"/>
      <c r="P1428" s="497">
        <f t="shared" si="176"/>
        <v>0</v>
      </c>
      <c r="Q1428" s="497"/>
      <c r="R1428" s="497"/>
      <c r="S1428" s="497"/>
      <c r="T1428" s="503"/>
    </row>
    <row r="1429" spans="1:20" x14ac:dyDescent="0.35">
      <c r="A1429" s="497" t="b">
        <f t="shared" ca="1" si="177"/>
        <v>0</v>
      </c>
      <c r="B1429" s="497">
        <f t="shared" si="173"/>
        <v>130</v>
      </c>
      <c r="C1429" s="519" t="str">
        <f t="shared" ca="1" si="178"/>
        <v>a173p00000CH4HmAAL</v>
      </c>
      <c r="D1429" s="497"/>
      <c r="E1429" s="497">
        <f t="shared" ca="1" si="174"/>
        <v>4</v>
      </c>
      <c r="F1429" s="516">
        <f ca="1">IF(COUNTA(D$938:D1429)=1,"",OFFSET(F1427,-COUNTA(D$938:D1429)+3,0))</f>
        <v>22</v>
      </c>
      <c r="G1429" s="503" t="str">
        <f t="shared" ca="1" si="179"/>
        <v/>
      </c>
      <c r="H1429" s="497">
        <f t="shared" ca="1" si="175"/>
        <v>51</v>
      </c>
      <c r="I1429" s="500" t="str">
        <f t="shared" ca="1" si="180"/>
        <v/>
      </c>
      <c r="J1429" s="512" t="str">
        <f t="shared" ca="1" si="181"/>
        <v/>
      </c>
      <c r="K1429" s="512" t="str">
        <f t="shared" ca="1" si="182"/>
        <v/>
      </c>
      <c r="L1429" s="503" t="str">
        <f t="shared" ca="1" si="183"/>
        <v/>
      </c>
      <c r="M1429" s="515" t="str">
        <f ca="1">IFERROR(IF(COUNTIF($B$937:$B1428,"&lt;0")&lt;&gt;1,OFFSET($C1427,-COUNTIF($B$937:$B1428,"&lt;0")+3,0),""),"")</f>
        <v>a173p00000CH4HmAAL</v>
      </c>
      <c r="N1429" s="515">
        <f ca="1">IFERROR(IF(COUNTA($D$937:D1428)=1,0,OFFSET($F1427,-COUNTA($D$937:D1428)+3,0)),"")</f>
        <v>22</v>
      </c>
      <c r="O1429" s="497"/>
      <c r="P1429" s="497">
        <f t="shared" si="176"/>
        <v>0</v>
      </c>
      <c r="Q1429" s="497"/>
      <c r="R1429" s="497"/>
      <c r="S1429" s="497"/>
      <c r="T1429" s="503"/>
    </row>
    <row r="1430" spans="1:20" x14ac:dyDescent="0.35">
      <c r="A1430" s="497" t="b">
        <f t="shared" ca="1" si="177"/>
        <v>0</v>
      </c>
      <c r="B1430" s="497">
        <f t="shared" si="173"/>
        <v>131</v>
      </c>
      <c r="C1430" s="519" t="str">
        <f t="shared" ca="1" si="178"/>
        <v>a173p00000CH4IkAAL</v>
      </c>
      <c r="D1430" s="497"/>
      <c r="E1430" s="497">
        <f t="shared" ca="1" si="174"/>
        <v>5</v>
      </c>
      <c r="F1430" s="516">
        <f ca="1">IF(COUNTA(D$938:D1430)=1,"",OFFSET(F1428,-COUNTA(D$938:D1430)+3,0))</f>
        <v>22</v>
      </c>
      <c r="G1430" s="503" t="str">
        <f t="shared" ca="1" si="179"/>
        <v/>
      </c>
      <c r="H1430" s="497">
        <f t="shared" ca="1" si="175"/>
        <v>51</v>
      </c>
      <c r="I1430" s="500" t="str">
        <f t="shared" ca="1" si="180"/>
        <v/>
      </c>
      <c r="J1430" s="512" t="str">
        <f t="shared" ca="1" si="181"/>
        <v/>
      </c>
      <c r="K1430" s="512" t="str">
        <f t="shared" ca="1" si="182"/>
        <v/>
      </c>
      <c r="L1430" s="503" t="str">
        <f t="shared" ca="1" si="183"/>
        <v/>
      </c>
      <c r="M1430" s="515" t="str">
        <f ca="1">IFERROR(IF(COUNTIF($B$937:$B1429,"&lt;0")&lt;&gt;1,OFFSET($C1428,-COUNTIF($B$937:$B1429,"&lt;0")+3,0),""),"")</f>
        <v>a173p00000CH4IkAAL</v>
      </c>
      <c r="N1430" s="515">
        <f ca="1">IFERROR(IF(COUNTA($D$937:D1429)=1,0,OFFSET($F1428,-COUNTA($D$937:D1429)+3,0)),"")</f>
        <v>22</v>
      </c>
      <c r="O1430" s="497"/>
      <c r="P1430" s="497">
        <f t="shared" si="176"/>
        <v>0</v>
      </c>
      <c r="Q1430" s="497"/>
      <c r="R1430" s="497"/>
      <c r="S1430" s="497"/>
      <c r="T1430" s="503"/>
    </row>
    <row r="1431" spans="1:20" x14ac:dyDescent="0.35">
      <c r="A1431" s="497" t="b">
        <f t="shared" ca="1" si="177"/>
        <v>0</v>
      </c>
      <c r="B1431" s="497">
        <f t="shared" si="173"/>
        <v>132</v>
      </c>
      <c r="C1431" s="519" t="str">
        <f t="shared" ca="1" si="178"/>
        <v>a173p00000CH4JiAAL</v>
      </c>
      <c r="D1431" s="497"/>
      <c r="E1431" s="497">
        <f t="shared" ca="1" si="174"/>
        <v>6</v>
      </c>
      <c r="F1431" s="516">
        <f ca="1">IF(COUNTA(D$938:D1431)=1,"",OFFSET(F1429,-COUNTA(D$938:D1431)+3,0))</f>
        <v>22</v>
      </c>
      <c r="G1431" s="503" t="str">
        <f t="shared" ca="1" si="179"/>
        <v/>
      </c>
      <c r="H1431" s="497">
        <f t="shared" ca="1" si="175"/>
        <v>51</v>
      </c>
      <c r="I1431" s="500" t="str">
        <f t="shared" ca="1" si="180"/>
        <v/>
      </c>
      <c r="J1431" s="512" t="str">
        <f t="shared" ca="1" si="181"/>
        <v/>
      </c>
      <c r="K1431" s="512" t="str">
        <f t="shared" ca="1" si="182"/>
        <v/>
      </c>
      <c r="L1431" s="503" t="str">
        <f t="shared" ca="1" si="183"/>
        <v/>
      </c>
      <c r="M1431" s="515" t="str">
        <f ca="1">IFERROR(IF(COUNTIF($B$937:$B1430,"&lt;0")&lt;&gt;1,OFFSET($C1429,-COUNTIF($B$937:$B1430,"&lt;0")+3,0),""),"")</f>
        <v>a173p00000CH4JiAAL</v>
      </c>
      <c r="N1431" s="515">
        <f ca="1">IFERROR(IF(COUNTA($D$937:D1430)=1,0,OFFSET($F1429,-COUNTA($D$937:D1430)+3,0)),"")</f>
        <v>22</v>
      </c>
      <c r="O1431" s="497"/>
      <c r="P1431" s="497">
        <f t="shared" si="176"/>
        <v>0</v>
      </c>
      <c r="Q1431" s="497"/>
      <c r="R1431" s="497"/>
      <c r="S1431" s="497"/>
      <c r="T1431" s="503"/>
    </row>
    <row r="1432" spans="1:20" x14ac:dyDescent="0.35">
      <c r="A1432" s="497" t="b">
        <f t="shared" ca="1" si="177"/>
        <v>0</v>
      </c>
      <c r="B1432" s="497">
        <f t="shared" si="173"/>
        <v>133</v>
      </c>
      <c r="C1432" s="519" t="str">
        <f t="shared" ca="1" si="178"/>
        <v>a173p00000CH4EtAAL</v>
      </c>
      <c r="D1432" s="497"/>
      <c r="E1432" s="497">
        <f t="shared" ca="1" si="174"/>
        <v>1</v>
      </c>
      <c r="F1432" s="516">
        <f ca="1">IF(COUNTA(D$938:D1432)=1,"",OFFSET(F1430,-COUNTA(D$938:D1432)+3,0))</f>
        <v>23</v>
      </c>
      <c r="G1432" s="503" t="str">
        <f t="shared" ca="1" si="179"/>
        <v/>
      </c>
      <c r="H1432" s="497">
        <f t="shared" ca="1" si="175"/>
        <v>53</v>
      </c>
      <c r="I1432" s="500" t="str">
        <f t="shared" ca="1" si="180"/>
        <v/>
      </c>
      <c r="J1432" s="512" t="str">
        <f t="shared" ca="1" si="181"/>
        <v/>
      </c>
      <c r="K1432" s="512" t="str">
        <f t="shared" ca="1" si="182"/>
        <v/>
      </c>
      <c r="L1432" s="503" t="str">
        <f t="shared" ca="1" si="183"/>
        <v/>
      </c>
      <c r="M1432" s="515" t="str">
        <f ca="1">IFERROR(IF(COUNTIF($B$937:$B1431,"&lt;0")&lt;&gt;1,OFFSET($C1430,-COUNTIF($B$937:$B1431,"&lt;0")+3,0),""),"")</f>
        <v>a173p00000CH4EtAAL</v>
      </c>
      <c r="N1432" s="515">
        <f ca="1">IFERROR(IF(COUNTA($D$937:D1431)=1,0,OFFSET($F1430,-COUNTA($D$937:D1431)+3,0)),"")</f>
        <v>23</v>
      </c>
      <c r="O1432" s="497"/>
      <c r="P1432" s="497">
        <f t="shared" si="176"/>
        <v>0</v>
      </c>
      <c r="Q1432" s="497"/>
      <c r="R1432" s="497"/>
      <c r="S1432" s="497"/>
      <c r="T1432" s="503"/>
    </row>
    <row r="1433" spans="1:20" x14ac:dyDescent="0.35">
      <c r="A1433" s="497" t="b">
        <f t="shared" ca="1" si="177"/>
        <v>0</v>
      </c>
      <c r="B1433" s="497">
        <f t="shared" si="173"/>
        <v>134</v>
      </c>
      <c r="C1433" s="519" t="str">
        <f t="shared" ca="1" si="178"/>
        <v>a173p00000CH4FrAAL</v>
      </c>
      <c r="D1433" s="497"/>
      <c r="E1433" s="497">
        <f t="shared" ca="1" si="174"/>
        <v>2</v>
      </c>
      <c r="F1433" s="516">
        <f ca="1">IF(COUNTA(D$938:D1433)=1,"",OFFSET(F1431,-COUNTA(D$938:D1433)+3,0))</f>
        <v>23</v>
      </c>
      <c r="G1433" s="503" t="str">
        <f t="shared" ca="1" si="179"/>
        <v/>
      </c>
      <c r="H1433" s="497">
        <f t="shared" ca="1" si="175"/>
        <v>53</v>
      </c>
      <c r="I1433" s="500" t="str">
        <f t="shared" ca="1" si="180"/>
        <v/>
      </c>
      <c r="J1433" s="512" t="str">
        <f t="shared" ca="1" si="181"/>
        <v/>
      </c>
      <c r="K1433" s="512" t="str">
        <f t="shared" ca="1" si="182"/>
        <v/>
      </c>
      <c r="L1433" s="503" t="str">
        <f t="shared" ca="1" si="183"/>
        <v/>
      </c>
      <c r="M1433" s="515" t="str">
        <f ca="1">IFERROR(IF(COUNTIF($B$937:$B1432,"&lt;0")&lt;&gt;1,OFFSET($C1431,-COUNTIF($B$937:$B1432,"&lt;0")+3,0),""),"")</f>
        <v>a173p00000CH4FrAAL</v>
      </c>
      <c r="N1433" s="515">
        <f ca="1">IFERROR(IF(COUNTA($D$937:D1432)=1,0,OFFSET($F1431,-COUNTA($D$937:D1432)+3,0)),"")</f>
        <v>23</v>
      </c>
      <c r="O1433" s="497"/>
      <c r="P1433" s="497">
        <f t="shared" si="176"/>
        <v>0</v>
      </c>
      <c r="Q1433" s="497"/>
      <c r="R1433" s="497"/>
      <c r="S1433" s="497"/>
      <c r="T1433" s="503"/>
    </row>
    <row r="1434" spans="1:20" x14ac:dyDescent="0.35">
      <c r="A1434" s="497" t="b">
        <f t="shared" ca="1" si="177"/>
        <v>0</v>
      </c>
      <c r="B1434" s="497">
        <f t="shared" si="173"/>
        <v>135</v>
      </c>
      <c r="C1434" s="519" t="str">
        <f t="shared" ca="1" si="178"/>
        <v>a173p00000CH4GpAAL</v>
      </c>
      <c r="D1434" s="497"/>
      <c r="E1434" s="497">
        <f t="shared" ca="1" si="174"/>
        <v>3</v>
      </c>
      <c r="F1434" s="516">
        <f ca="1">IF(COUNTA(D$938:D1434)=1,"",OFFSET(F1432,-COUNTA(D$938:D1434)+3,0))</f>
        <v>23</v>
      </c>
      <c r="G1434" s="503" t="str">
        <f t="shared" ca="1" si="179"/>
        <v/>
      </c>
      <c r="H1434" s="497">
        <f t="shared" ca="1" si="175"/>
        <v>53</v>
      </c>
      <c r="I1434" s="500" t="str">
        <f t="shared" ca="1" si="180"/>
        <v/>
      </c>
      <c r="J1434" s="512" t="str">
        <f t="shared" ca="1" si="181"/>
        <v/>
      </c>
      <c r="K1434" s="512" t="str">
        <f t="shared" ca="1" si="182"/>
        <v/>
      </c>
      <c r="L1434" s="503" t="str">
        <f t="shared" ca="1" si="183"/>
        <v/>
      </c>
      <c r="M1434" s="515" t="str">
        <f ca="1">IFERROR(IF(COUNTIF($B$937:$B1433,"&lt;0")&lt;&gt;1,OFFSET($C1432,-COUNTIF($B$937:$B1433,"&lt;0")+3,0),""),"")</f>
        <v>a173p00000CH4GpAAL</v>
      </c>
      <c r="N1434" s="515">
        <f ca="1">IFERROR(IF(COUNTA($D$937:D1433)=1,0,OFFSET($F1432,-COUNTA($D$937:D1433)+3,0)),"")</f>
        <v>23</v>
      </c>
      <c r="O1434" s="497"/>
      <c r="P1434" s="497">
        <f t="shared" si="176"/>
        <v>0</v>
      </c>
      <c r="Q1434" s="497"/>
      <c r="R1434" s="497"/>
      <c r="S1434" s="497"/>
      <c r="T1434" s="503"/>
    </row>
    <row r="1435" spans="1:20" x14ac:dyDescent="0.35">
      <c r="A1435" s="497" t="b">
        <f t="shared" ca="1" si="177"/>
        <v>0</v>
      </c>
      <c r="B1435" s="497">
        <f t="shared" si="173"/>
        <v>136</v>
      </c>
      <c r="C1435" s="519" t="str">
        <f t="shared" ca="1" si="178"/>
        <v>a173p00000CH4HnAAL</v>
      </c>
      <c r="D1435" s="497"/>
      <c r="E1435" s="497">
        <f t="shared" ca="1" si="174"/>
        <v>4</v>
      </c>
      <c r="F1435" s="516">
        <f ca="1">IF(COUNTA(D$938:D1435)=1,"",OFFSET(F1433,-COUNTA(D$938:D1435)+3,0))</f>
        <v>23</v>
      </c>
      <c r="G1435" s="503" t="str">
        <f t="shared" ca="1" si="179"/>
        <v/>
      </c>
      <c r="H1435" s="497">
        <f t="shared" ca="1" si="175"/>
        <v>53</v>
      </c>
      <c r="I1435" s="500" t="str">
        <f t="shared" ca="1" si="180"/>
        <v/>
      </c>
      <c r="J1435" s="512" t="str">
        <f t="shared" ca="1" si="181"/>
        <v/>
      </c>
      <c r="K1435" s="512" t="str">
        <f t="shared" ca="1" si="182"/>
        <v/>
      </c>
      <c r="L1435" s="503" t="str">
        <f t="shared" ca="1" si="183"/>
        <v/>
      </c>
      <c r="M1435" s="515" t="str">
        <f ca="1">IFERROR(IF(COUNTIF($B$937:$B1434,"&lt;0")&lt;&gt;1,OFFSET($C1433,-COUNTIF($B$937:$B1434,"&lt;0")+3,0),""),"")</f>
        <v>a173p00000CH4HnAAL</v>
      </c>
      <c r="N1435" s="515">
        <f ca="1">IFERROR(IF(COUNTA($D$937:D1434)=1,0,OFFSET($F1433,-COUNTA($D$937:D1434)+3,0)),"")</f>
        <v>23</v>
      </c>
      <c r="O1435" s="497"/>
      <c r="P1435" s="497">
        <f t="shared" si="176"/>
        <v>0</v>
      </c>
      <c r="Q1435" s="497"/>
      <c r="R1435" s="497"/>
      <c r="S1435" s="497"/>
      <c r="T1435" s="503"/>
    </row>
    <row r="1436" spans="1:20" x14ac:dyDescent="0.35">
      <c r="A1436" s="497" t="b">
        <f t="shared" ca="1" si="177"/>
        <v>0</v>
      </c>
      <c r="B1436" s="497">
        <f t="shared" si="173"/>
        <v>137</v>
      </c>
      <c r="C1436" s="519" t="str">
        <f t="shared" ca="1" si="178"/>
        <v>a173p00000CH4IlAAL</v>
      </c>
      <c r="D1436" s="497"/>
      <c r="E1436" s="497">
        <f t="shared" ca="1" si="174"/>
        <v>5</v>
      </c>
      <c r="F1436" s="516">
        <f ca="1">IF(COUNTA(D$938:D1436)=1,"",OFFSET(F1434,-COUNTA(D$938:D1436)+3,0))</f>
        <v>23</v>
      </c>
      <c r="G1436" s="503" t="str">
        <f t="shared" ca="1" si="179"/>
        <v/>
      </c>
      <c r="H1436" s="497">
        <f t="shared" ca="1" si="175"/>
        <v>53</v>
      </c>
      <c r="I1436" s="500" t="str">
        <f t="shared" ca="1" si="180"/>
        <v/>
      </c>
      <c r="J1436" s="512" t="str">
        <f t="shared" ca="1" si="181"/>
        <v/>
      </c>
      <c r="K1436" s="512" t="str">
        <f t="shared" ca="1" si="182"/>
        <v/>
      </c>
      <c r="L1436" s="503" t="str">
        <f t="shared" ca="1" si="183"/>
        <v/>
      </c>
      <c r="M1436" s="515" t="str">
        <f ca="1">IFERROR(IF(COUNTIF($B$937:$B1435,"&lt;0")&lt;&gt;1,OFFSET($C1434,-COUNTIF($B$937:$B1435,"&lt;0")+3,0),""),"")</f>
        <v>a173p00000CH4IlAAL</v>
      </c>
      <c r="N1436" s="515">
        <f ca="1">IFERROR(IF(COUNTA($D$937:D1435)=1,0,OFFSET($F1434,-COUNTA($D$937:D1435)+3,0)),"")</f>
        <v>23</v>
      </c>
      <c r="O1436" s="497"/>
      <c r="P1436" s="497">
        <f t="shared" si="176"/>
        <v>0</v>
      </c>
      <c r="Q1436" s="497"/>
      <c r="R1436" s="497"/>
      <c r="S1436" s="497"/>
      <c r="T1436" s="503"/>
    </row>
    <row r="1437" spans="1:20" x14ac:dyDescent="0.35">
      <c r="A1437" s="497" t="b">
        <f t="shared" ca="1" si="177"/>
        <v>0</v>
      </c>
      <c r="B1437" s="497">
        <f t="shared" si="173"/>
        <v>138</v>
      </c>
      <c r="C1437" s="519" t="str">
        <f t="shared" ca="1" si="178"/>
        <v>a173p00000CH4JjAAL</v>
      </c>
      <c r="D1437" s="497"/>
      <c r="E1437" s="497">
        <f t="shared" ca="1" si="174"/>
        <v>6</v>
      </c>
      <c r="F1437" s="516">
        <f ca="1">IF(COUNTA(D$938:D1437)=1,"",OFFSET(F1435,-COUNTA(D$938:D1437)+3,0))</f>
        <v>23</v>
      </c>
      <c r="G1437" s="503" t="str">
        <f t="shared" ca="1" si="179"/>
        <v/>
      </c>
      <c r="H1437" s="497">
        <f t="shared" ca="1" si="175"/>
        <v>53</v>
      </c>
      <c r="I1437" s="500" t="str">
        <f t="shared" ca="1" si="180"/>
        <v/>
      </c>
      <c r="J1437" s="512" t="str">
        <f t="shared" ca="1" si="181"/>
        <v/>
      </c>
      <c r="K1437" s="512" t="str">
        <f t="shared" ca="1" si="182"/>
        <v/>
      </c>
      <c r="L1437" s="503" t="str">
        <f t="shared" ca="1" si="183"/>
        <v/>
      </c>
      <c r="M1437" s="515" t="str">
        <f ca="1">IFERROR(IF(COUNTIF($B$937:$B1436,"&lt;0")&lt;&gt;1,OFFSET($C1435,-COUNTIF($B$937:$B1436,"&lt;0")+3,0),""),"")</f>
        <v>a173p00000CH4JjAAL</v>
      </c>
      <c r="N1437" s="515">
        <f ca="1">IFERROR(IF(COUNTA($D$937:D1436)=1,0,OFFSET($F1435,-COUNTA($D$937:D1436)+3,0)),"")</f>
        <v>23</v>
      </c>
      <c r="O1437" s="497"/>
      <c r="P1437" s="497">
        <f t="shared" si="176"/>
        <v>0</v>
      </c>
      <c r="Q1437" s="497"/>
      <c r="R1437" s="497"/>
      <c r="S1437" s="497"/>
      <c r="T1437" s="503"/>
    </row>
    <row r="1438" spans="1:20" x14ac:dyDescent="0.35">
      <c r="A1438" s="497" t="b">
        <f t="shared" ca="1" si="177"/>
        <v>0</v>
      </c>
      <c r="B1438" s="497">
        <f t="shared" si="173"/>
        <v>139</v>
      </c>
      <c r="C1438" s="519" t="str">
        <f t="shared" ca="1" si="178"/>
        <v>a173p00000CH4EuAAL</v>
      </c>
      <c r="D1438" s="497"/>
      <c r="E1438" s="497">
        <f t="shared" ca="1" si="174"/>
        <v>1</v>
      </c>
      <c r="F1438" s="516">
        <f ca="1">IF(COUNTA(D$938:D1438)=1,"",OFFSET(F1436,-COUNTA(D$938:D1438)+3,0))</f>
        <v>24</v>
      </c>
      <c r="G1438" s="503" t="str">
        <f t="shared" ca="1" si="179"/>
        <v/>
      </c>
      <c r="H1438" s="497">
        <f t="shared" ca="1" si="175"/>
        <v>55</v>
      </c>
      <c r="I1438" s="500" t="str">
        <f t="shared" ca="1" si="180"/>
        <v/>
      </c>
      <c r="J1438" s="512" t="str">
        <f t="shared" ca="1" si="181"/>
        <v/>
      </c>
      <c r="K1438" s="512" t="str">
        <f t="shared" ca="1" si="182"/>
        <v/>
      </c>
      <c r="L1438" s="503" t="str">
        <f t="shared" ca="1" si="183"/>
        <v/>
      </c>
      <c r="M1438" s="515" t="str">
        <f ca="1">IFERROR(IF(COUNTIF($B$937:$B1437,"&lt;0")&lt;&gt;1,OFFSET($C1436,-COUNTIF($B$937:$B1437,"&lt;0")+3,0),""),"")</f>
        <v>a173p00000CH4EuAAL</v>
      </c>
      <c r="N1438" s="515">
        <f ca="1">IFERROR(IF(COUNTA($D$937:D1437)=1,0,OFFSET($F1436,-COUNTA($D$937:D1437)+3,0)),"")</f>
        <v>24</v>
      </c>
      <c r="O1438" s="497"/>
      <c r="P1438" s="497">
        <f t="shared" si="176"/>
        <v>0</v>
      </c>
      <c r="Q1438" s="497"/>
      <c r="R1438" s="497"/>
      <c r="S1438" s="497"/>
      <c r="T1438" s="503"/>
    </row>
    <row r="1439" spans="1:20" x14ac:dyDescent="0.35">
      <c r="A1439" s="497" t="b">
        <f t="shared" ca="1" si="177"/>
        <v>0</v>
      </c>
      <c r="B1439" s="497">
        <f t="shared" si="173"/>
        <v>140</v>
      </c>
      <c r="C1439" s="519" t="str">
        <f t="shared" ca="1" si="178"/>
        <v>a173p00000CH4FsAAL</v>
      </c>
      <c r="D1439" s="497"/>
      <c r="E1439" s="497">
        <f t="shared" ca="1" si="174"/>
        <v>2</v>
      </c>
      <c r="F1439" s="516">
        <f ca="1">IF(COUNTA(D$938:D1439)=1,"",OFFSET(F1437,-COUNTA(D$938:D1439)+3,0))</f>
        <v>24</v>
      </c>
      <c r="G1439" s="503" t="str">
        <f t="shared" ca="1" si="179"/>
        <v/>
      </c>
      <c r="H1439" s="497">
        <f t="shared" ca="1" si="175"/>
        <v>55</v>
      </c>
      <c r="I1439" s="500" t="str">
        <f t="shared" ca="1" si="180"/>
        <v/>
      </c>
      <c r="J1439" s="512" t="str">
        <f t="shared" ca="1" si="181"/>
        <v/>
      </c>
      <c r="K1439" s="512" t="str">
        <f t="shared" ca="1" si="182"/>
        <v/>
      </c>
      <c r="L1439" s="503" t="str">
        <f t="shared" ca="1" si="183"/>
        <v/>
      </c>
      <c r="M1439" s="515" t="str">
        <f ca="1">IFERROR(IF(COUNTIF($B$937:$B1438,"&lt;0")&lt;&gt;1,OFFSET($C1437,-COUNTIF($B$937:$B1438,"&lt;0")+3,0),""),"")</f>
        <v>a173p00000CH4FsAAL</v>
      </c>
      <c r="N1439" s="515">
        <f ca="1">IFERROR(IF(COUNTA($D$937:D1438)=1,0,OFFSET($F1437,-COUNTA($D$937:D1438)+3,0)),"")</f>
        <v>24</v>
      </c>
      <c r="O1439" s="497"/>
      <c r="P1439" s="497">
        <f t="shared" si="176"/>
        <v>0</v>
      </c>
      <c r="Q1439" s="497"/>
      <c r="R1439" s="497"/>
      <c r="S1439" s="497"/>
      <c r="T1439" s="503"/>
    </row>
    <row r="1440" spans="1:20" x14ac:dyDescent="0.35">
      <c r="A1440" s="497" t="b">
        <f t="shared" ca="1" si="177"/>
        <v>0</v>
      </c>
      <c r="B1440" s="497">
        <f t="shared" si="173"/>
        <v>141</v>
      </c>
      <c r="C1440" s="519" t="str">
        <f t="shared" ca="1" si="178"/>
        <v>a173p00000CH4GqAAL</v>
      </c>
      <c r="D1440" s="497"/>
      <c r="E1440" s="497">
        <f t="shared" ca="1" si="174"/>
        <v>3</v>
      </c>
      <c r="F1440" s="516">
        <f ca="1">IF(COUNTA(D$938:D1440)=1,"",OFFSET(F1438,-COUNTA(D$938:D1440)+3,0))</f>
        <v>24</v>
      </c>
      <c r="G1440" s="503" t="str">
        <f t="shared" ca="1" si="179"/>
        <v/>
      </c>
      <c r="H1440" s="497">
        <f t="shared" ca="1" si="175"/>
        <v>55</v>
      </c>
      <c r="I1440" s="500" t="str">
        <f t="shared" ca="1" si="180"/>
        <v/>
      </c>
      <c r="J1440" s="512" t="str">
        <f t="shared" ca="1" si="181"/>
        <v/>
      </c>
      <c r="K1440" s="512" t="str">
        <f t="shared" ca="1" si="182"/>
        <v/>
      </c>
      <c r="L1440" s="503" t="str">
        <f t="shared" ca="1" si="183"/>
        <v/>
      </c>
      <c r="M1440" s="515" t="str">
        <f ca="1">IFERROR(IF(COUNTIF($B$937:$B1439,"&lt;0")&lt;&gt;1,OFFSET($C1438,-COUNTIF($B$937:$B1439,"&lt;0")+3,0),""),"")</f>
        <v>a173p00000CH4GqAAL</v>
      </c>
      <c r="N1440" s="515">
        <f ca="1">IFERROR(IF(COUNTA($D$937:D1439)=1,0,OFFSET($F1438,-COUNTA($D$937:D1439)+3,0)),"")</f>
        <v>24</v>
      </c>
      <c r="O1440" s="497"/>
      <c r="P1440" s="497">
        <f t="shared" si="176"/>
        <v>0</v>
      </c>
      <c r="Q1440" s="497"/>
      <c r="R1440" s="497"/>
      <c r="S1440" s="497"/>
      <c r="T1440" s="503"/>
    </row>
    <row r="1441" spans="1:20" x14ac:dyDescent="0.35">
      <c r="A1441" s="497" t="b">
        <f t="shared" ca="1" si="177"/>
        <v>0</v>
      </c>
      <c r="B1441" s="497">
        <f t="shared" si="173"/>
        <v>142</v>
      </c>
      <c r="C1441" s="519" t="str">
        <f t="shared" ca="1" si="178"/>
        <v>a173p00000CH4HoAAL</v>
      </c>
      <c r="D1441" s="497"/>
      <c r="E1441" s="497">
        <f t="shared" ca="1" si="174"/>
        <v>4</v>
      </c>
      <c r="F1441" s="516">
        <f ca="1">IF(COUNTA(D$938:D1441)=1,"",OFFSET(F1439,-COUNTA(D$938:D1441)+3,0))</f>
        <v>24</v>
      </c>
      <c r="G1441" s="503" t="str">
        <f t="shared" ca="1" si="179"/>
        <v/>
      </c>
      <c r="H1441" s="497">
        <f t="shared" ca="1" si="175"/>
        <v>55</v>
      </c>
      <c r="I1441" s="500" t="str">
        <f t="shared" ca="1" si="180"/>
        <v/>
      </c>
      <c r="J1441" s="512" t="str">
        <f t="shared" ca="1" si="181"/>
        <v/>
      </c>
      <c r="K1441" s="512" t="str">
        <f t="shared" ca="1" si="182"/>
        <v/>
      </c>
      <c r="L1441" s="503" t="str">
        <f t="shared" ca="1" si="183"/>
        <v/>
      </c>
      <c r="M1441" s="515" t="str">
        <f ca="1">IFERROR(IF(COUNTIF($B$937:$B1440,"&lt;0")&lt;&gt;1,OFFSET($C1439,-COUNTIF($B$937:$B1440,"&lt;0")+3,0),""),"")</f>
        <v>a173p00000CH4HoAAL</v>
      </c>
      <c r="N1441" s="515">
        <f ca="1">IFERROR(IF(COUNTA($D$937:D1440)=1,0,OFFSET($F1439,-COUNTA($D$937:D1440)+3,0)),"")</f>
        <v>24</v>
      </c>
      <c r="O1441" s="497"/>
      <c r="P1441" s="497">
        <f t="shared" si="176"/>
        <v>0</v>
      </c>
      <c r="Q1441" s="497"/>
      <c r="R1441" s="497"/>
      <c r="S1441" s="497"/>
      <c r="T1441" s="503"/>
    </row>
    <row r="1442" spans="1:20" x14ac:dyDescent="0.35">
      <c r="A1442" s="497" t="b">
        <f t="shared" ca="1" si="177"/>
        <v>0</v>
      </c>
      <c r="B1442" s="497">
        <f t="shared" si="173"/>
        <v>143</v>
      </c>
      <c r="C1442" s="519" t="str">
        <f t="shared" ca="1" si="178"/>
        <v>a173p00000CH4ImAAL</v>
      </c>
      <c r="D1442" s="497"/>
      <c r="E1442" s="497">
        <f t="shared" ca="1" si="174"/>
        <v>5</v>
      </c>
      <c r="F1442" s="516">
        <f ca="1">IF(COUNTA(D$938:D1442)=1,"",OFFSET(F1440,-COUNTA(D$938:D1442)+3,0))</f>
        <v>24</v>
      </c>
      <c r="G1442" s="503" t="str">
        <f t="shared" ca="1" si="179"/>
        <v/>
      </c>
      <c r="H1442" s="497">
        <f t="shared" ca="1" si="175"/>
        <v>55</v>
      </c>
      <c r="I1442" s="500" t="str">
        <f t="shared" ca="1" si="180"/>
        <v/>
      </c>
      <c r="J1442" s="512" t="str">
        <f t="shared" ca="1" si="181"/>
        <v/>
      </c>
      <c r="K1442" s="512" t="str">
        <f t="shared" ca="1" si="182"/>
        <v/>
      </c>
      <c r="L1442" s="503" t="str">
        <f t="shared" ca="1" si="183"/>
        <v/>
      </c>
      <c r="M1442" s="515" t="str">
        <f ca="1">IFERROR(IF(COUNTIF($B$937:$B1441,"&lt;0")&lt;&gt;1,OFFSET($C1440,-COUNTIF($B$937:$B1441,"&lt;0")+3,0),""),"")</f>
        <v>a173p00000CH4ImAAL</v>
      </c>
      <c r="N1442" s="515">
        <f ca="1">IFERROR(IF(COUNTA($D$937:D1441)=1,0,OFFSET($F1440,-COUNTA($D$937:D1441)+3,0)),"")</f>
        <v>24</v>
      </c>
      <c r="O1442" s="497"/>
      <c r="P1442" s="497">
        <f t="shared" si="176"/>
        <v>0</v>
      </c>
      <c r="Q1442" s="497"/>
      <c r="R1442" s="497"/>
      <c r="S1442" s="497"/>
      <c r="T1442" s="503"/>
    </row>
    <row r="1443" spans="1:20" x14ac:dyDescent="0.35">
      <c r="A1443" s="497" t="b">
        <f t="shared" ca="1" si="177"/>
        <v>0</v>
      </c>
      <c r="B1443" s="497">
        <f t="shared" si="173"/>
        <v>144</v>
      </c>
      <c r="C1443" s="519" t="str">
        <f t="shared" ca="1" si="178"/>
        <v>a173p00000CH4JkAAL</v>
      </c>
      <c r="D1443" s="497"/>
      <c r="E1443" s="497">
        <f t="shared" ca="1" si="174"/>
        <v>6</v>
      </c>
      <c r="F1443" s="516">
        <f ca="1">IF(COUNTA(D$938:D1443)=1,"",OFFSET(F1441,-COUNTA(D$938:D1443)+3,0))</f>
        <v>24</v>
      </c>
      <c r="G1443" s="503" t="str">
        <f t="shared" ca="1" si="179"/>
        <v/>
      </c>
      <c r="H1443" s="497">
        <f t="shared" ca="1" si="175"/>
        <v>55</v>
      </c>
      <c r="I1443" s="500" t="str">
        <f t="shared" ca="1" si="180"/>
        <v/>
      </c>
      <c r="J1443" s="512" t="str">
        <f t="shared" ca="1" si="181"/>
        <v/>
      </c>
      <c r="K1443" s="512" t="str">
        <f t="shared" ca="1" si="182"/>
        <v/>
      </c>
      <c r="L1443" s="503" t="str">
        <f t="shared" ca="1" si="183"/>
        <v/>
      </c>
      <c r="M1443" s="515" t="str">
        <f ca="1">IFERROR(IF(COUNTIF($B$937:$B1442,"&lt;0")&lt;&gt;1,OFFSET($C1441,-COUNTIF($B$937:$B1442,"&lt;0")+3,0),""),"")</f>
        <v>a173p00000CH4JkAAL</v>
      </c>
      <c r="N1443" s="515">
        <f ca="1">IFERROR(IF(COUNTA($D$937:D1442)=1,0,OFFSET($F1441,-COUNTA($D$937:D1442)+3,0)),"")</f>
        <v>24</v>
      </c>
      <c r="O1443" s="497"/>
      <c r="P1443" s="497">
        <f t="shared" si="176"/>
        <v>0</v>
      </c>
      <c r="Q1443" s="497"/>
      <c r="R1443" s="497"/>
      <c r="S1443" s="497"/>
      <c r="T1443" s="503"/>
    </row>
    <row r="1444" spans="1:20" x14ac:dyDescent="0.35">
      <c r="A1444" s="497" t="b">
        <f t="shared" ca="1" si="177"/>
        <v>0</v>
      </c>
      <c r="B1444" s="497">
        <f t="shared" si="173"/>
        <v>145</v>
      </c>
      <c r="C1444" s="519" t="str">
        <f t="shared" ca="1" si="178"/>
        <v>a173p00000CH4EvAAL</v>
      </c>
      <c r="D1444" s="497"/>
      <c r="E1444" s="497">
        <f t="shared" ca="1" si="174"/>
        <v>1</v>
      </c>
      <c r="F1444" s="516">
        <f ca="1">IF(COUNTA(D$938:D1444)=1,"",OFFSET(F1442,-COUNTA(D$938:D1444)+3,0))</f>
        <v>25</v>
      </c>
      <c r="G1444" s="503" t="str">
        <f t="shared" ca="1" si="179"/>
        <v/>
      </c>
      <c r="H1444" s="497">
        <f t="shared" ca="1" si="175"/>
        <v>57</v>
      </c>
      <c r="I1444" s="500" t="str">
        <f t="shared" ca="1" si="180"/>
        <v/>
      </c>
      <c r="J1444" s="512" t="str">
        <f t="shared" ca="1" si="181"/>
        <v/>
      </c>
      <c r="K1444" s="512" t="str">
        <f t="shared" ca="1" si="182"/>
        <v/>
      </c>
      <c r="L1444" s="503" t="str">
        <f t="shared" ca="1" si="183"/>
        <v/>
      </c>
      <c r="M1444" s="515" t="str">
        <f ca="1">IFERROR(IF(COUNTIF($B$937:$B1443,"&lt;0")&lt;&gt;1,OFFSET($C1442,-COUNTIF($B$937:$B1443,"&lt;0")+3,0),""),"")</f>
        <v>a173p00000CH4EvAAL</v>
      </c>
      <c r="N1444" s="515">
        <f ca="1">IFERROR(IF(COUNTA($D$937:D1443)=1,0,OFFSET($F1442,-COUNTA($D$937:D1443)+3,0)),"")</f>
        <v>25</v>
      </c>
      <c r="O1444" s="497"/>
      <c r="P1444" s="497">
        <f t="shared" si="176"/>
        <v>0</v>
      </c>
      <c r="Q1444" s="497"/>
      <c r="R1444" s="497"/>
      <c r="S1444" s="497"/>
      <c r="T1444" s="503"/>
    </row>
    <row r="1445" spans="1:20" x14ac:dyDescent="0.35">
      <c r="A1445" s="497" t="b">
        <f t="shared" ca="1" si="177"/>
        <v>0</v>
      </c>
      <c r="B1445" s="497">
        <f t="shared" si="173"/>
        <v>146</v>
      </c>
      <c r="C1445" s="519" t="str">
        <f t="shared" ca="1" si="178"/>
        <v>a173p00000CH4FtAAL</v>
      </c>
      <c r="D1445" s="497"/>
      <c r="E1445" s="497">
        <f t="shared" ca="1" si="174"/>
        <v>2</v>
      </c>
      <c r="F1445" s="516">
        <f ca="1">IF(COUNTA(D$938:D1445)=1,"",OFFSET(F1443,-COUNTA(D$938:D1445)+3,0))</f>
        <v>25</v>
      </c>
      <c r="G1445" s="503" t="str">
        <f t="shared" ca="1" si="179"/>
        <v/>
      </c>
      <c r="H1445" s="497">
        <f t="shared" ca="1" si="175"/>
        <v>57</v>
      </c>
      <c r="I1445" s="500" t="str">
        <f t="shared" ca="1" si="180"/>
        <v/>
      </c>
      <c r="J1445" s="512" t="str">
        <f t="shared" ca="1" si="181"/>
        <v/>
      </c>
      <c r="K1445" s="512" t="str">
        <f t="shared" ca="1" si="182"/>
        <v/>
      </c>
      <c r="L1445" s="503" t="str">
        <f t="shared" ca="1" si="183"/>
        <v/>
      </c>
      <c r="M1445" s="515" t="str">
        <f ca="1">IFERROR(IF(COUNTIF($B$937:$B1444,"&lt;0")&lt;&gt;1,OFFSET($C1443,-COUNTIF($B$937:$B1444,"&lt;0")+3,0),""),"")</f>
        <v>a173p00000CH4FtAAL</v>
      </c>
      <c r="N1445" s="515">
        <f ca="1">IFERROR(IF(COUNTA($D$937:D1444)=1,0,OFFSET($F1443,-COUNTA($D$937:D1444)+3,0)),"")</f>
        <v>25</v>
      </c>
      <c r="O1445" s="497"/>
      <c r="P1445" s="497">
        <f t="shared" si="176"/>
        <v>0</v>
      </c>
      <c r="Q1445" s="497"/>
      <c r="R1445" s="497"/>
      <c r="S1445" s="497"/>
      <c r="T1445" s="503"/>
    </row>
    <row r="1446" spans="1:20" x14ac:dyDescent="0.35">
      <c r="A1446" s="497" t="b">
        <f t="shared" ca="1" si="177"/>
        <v>0</v>
      </c>
      <c r="B1446" s="497">
        <f t="shared" si="173"/>
        <v>147</v>
      </c>
      <c r="C1446" s="519" t="str">
        <f t="shared" ca="1" si="178"/>
        <v>a173p00000CH4GrAAL</v>
      </c>
      <c r="D1446" s="497"/>
      <c r="E1446" s="497">
        <f t="shared" ca="1" si="174"/>
        <v>3</v>
      </c>
      <c r="F1446" s="516">
        <f ca="1">IF(COUNTA(D$938:D1446)=1,"",OFFSET(F1444,-COUNTA(D$938:D1446)+3,0))</f>
        <v>25</v>
      </c>
      <c r="G1446" s="503" t="str">
        <f t="shared" ca="1" si="179"/>
        <v/>
      </c>
      <c r="H1446" s="497">
        <f t="shared" ca="1" si="175"/>
        <v>57</v>
      </c>
      <c r="I1446" s="500" t="str">
        <f t="shared" ca="1" si="180"/>
        <v/>
      </c>
      <c r="J1446" s="512" t="str">
        <f t="shared" ca="1" si="181"/>
        <v/>
      </c>
      <c r="K1446" s="512" t="str">
        <f t="shared" ca="1" si="182"/>
        <v/>
      </c>
      <c r="L1446" s="503" t="str">
        <f t="shared" ca="1" si="183"/>
        <v/>
      </c>
      <c r="M1446" s="515" t="str">
        <f ca="1">IFERROR(IF(COUNTIF($B$937:$B1445,"&lt;0")&lt;&gt;1,OFFSET($C1444,-COUNTIF($B$937:$B1445,"&lt;0")+3,0),""),"")</f>
        <v>a173p00000CH4GrAAL</v>
      </c>
      <c r="N1446" s="515">
        <f ca="1">IFERROR(IF(COUNTA($D$937:D1445)=1,0,OFFSET($F1444,-COUNTA($D$937:D1445)+3,0)),"")</f>
        <v>25</v>
      </c>
      <c r="O1446" s="497"/>
      <c r="P1446" s="497">
        <f t="shared" si="176"/>
        <v>0</v>
      </c>
      <c r="Q1446" s="497"/>
      <c r="R1446" s="497"/>
      <c r="S1446" s="497"/>
      <c r="T1446" s="503"/>
    </row>
    <row r="1447" spans="1:20" x14ac:dyDescent="0.35">
      <c r="A1447" s="497" t="b">
        <f t="shared" ca="1" si="177"/>
        <v>0</v>
      </c>
      <c r="B1447" s="497">
        <f t="shared" si="173"/>
        <v>148</v>
      </c>
      <c r="C1447" s="519" t="str">
        <f t="shared" ca="1" si="178"/>
        <v>a173p00000CH4HpAAL</v>
      </c>
      <c r="D1447" s="497"/>
      <c r="E1447" s="497">
        <f t="shared" ca="1" si="174"/>
        <v>4</v>
      </c>
      <c r="F1447" s="516">
        <f ca="1">IF(COUNTA(D$938:D1447)=1,"",OFFSET(F1445,-COUNTA(D$938:D1447)+3,0))</f>
        <v>25</v>
      </c>
      <c r="G1447" s="503" t="str">
        <f t="shared" ca="1" si="179"/>
        <v/>
      </c>
      <c r="H1447" s="497">
        <f t="shared" ca="1" si="175"/>
        <v>57</v>
      </c>
      <c r="I1447" s="500" t="str">
        <f t="shared" ca="1" si="180"/>
        <v/>
      </c>
      <c r="J1447" s="512" t="str">
        <f t="shared" ca="1" si="181"/>
        <v/>
      </c>
      <c r="K1447" s="512" t="str">
        <f t="shared" ca="1" si="182"/>
        <v/>
      </c>
      <c r="L1447" s="503" t="str">
        <f t="shared" ca="1" si="183"/>
        <v/>
      </c>
      <c r="M1447" s="515" t="str">
        <f ca="1">IFERROR(IF(COUNTIF($B$937:$B1446,"&lt;0")&lt;&gt;1,OFFSET($C1445,-COUNTIF($B$937:$B1446,"&lt;0")+3,0),""),"")</f>
        <v>a173p00000CH4HpAAL</v>
      </c>
      <c r="N1447" s="515">
        <f ca="1">IFERROR(IF(COUNTA($D$937:D1446)=1,0,OFFSET($F1445,-COUNTA($D$937:D1446)+3,0)),"")</f>
        <v>25</v>
      </c>
      <c r="O1447" s="497"/>
      <c r="P1447" s="497">
        <f t="shared" si="176"/>
        <v>0</v>
      </c>
      <c r="Q1447" s="497"/>
      <c r="R1447" s="497"/>
      <c r="S1447" s="497"/>
      <c r="T1447" s="503"/>
    </row>
    <row r="1448" spans="1:20" x14ac:dyDescent="0.35">
      <c r="A1448" s="497" t="b">
        <f t="shared" ca="1" si="177"/>
        <v>0</v>
      </c>
      <c r="B1448" s="497">
        <f t="shared" si="173"/>
        <v>149</v>
      </c>
      <c r="C1448" s="519" t="str">
        <f t="shared" ca="1" si="178"/>
        <v>a173p00000CH4InAAL</v>
      </c>
      <c r="D1448" s="497"/>
      <c r="E1448" s="497">
        <f t="shared" ca="1" si="174"/>
        <v>5</v>
      </c>
      <c r="F1448" s="516">
        <f ca="1">IF(COUNTA(D$938:D1448)=1,"",OFFSET(F1446,-COUNTA(D$938:D1448)+3,0))</f>
        <v>25</v>
      </c>
      <c r="G1448" s="503" t="str">
        <f t="shared" ca="1" si="179"/>
        <v/>
      </c>
      <c r="H1448" s="497">
        <f t="shared" ca="1" si="175"/>
        <v>57</v>
      </c>
      <c r="I1448" s="500" t="str">
        <f t="shared" ca="1" si="180"/>
        <v/>
      </c>
      <c r="J1448" s="512" t="str">
        <f t="shared" ca="1" si="181"/>
        <v/>
      </c>
      <c r="K1448" s="512" t="str">
        <f t="shared" ca="1" si="182"/>
        <v/>
      </c>
      <c r="L1448" s="503" t="str">
        <f t="shared" ca="1" si="183"/>
        <v/>
      </c>
      <c r="M1448" s="515" t="str">
        <f ca="1">IFERROR(IF(COUNTIF($B$937:$B1447,"&lt;0")&lt;&gt;1,OFFSET($C1446,-COUNTIF($B$937:$B1447,"&lt;0")+3,0),""),"")</f>
        <v>a173p00000CH4InAAL</v>
      </c>
      <c r="N1448" s="515">
        <f ca="1">IFERROR(IF(COUNTA($D$937:D1447)=1,0,OFFSET($F1446,-COUNTA($D$937:D1447)+3,0)),"")</f>
        <v>25</v>
      </c>
      <c r="O1448" s="497"/>
      <c r="P1448" s="497">
        <f t="shared" si="176"/>
        <v>0</v>
      </c>
      <c r="Q1448" s="497"/>
      <c r="R1448" s="497"/>
      <c r="S1448" s="497"/>
      <c r="T1448" s="503"/>
    </row>
    <row r="1449" spans="1:20" x14ac:dyDescent="0.35">
      <c r="A1449" s="497" t="b">
        <f t="shared" ca="1" si="177"/>
        <v>0</v>
      </c>
      <c r="B1449" s="497">
        <f t="shared" si="173"/>
        <v>150</v>
      </c>
      <c r="C1449" s="519" t="str">
        <f t="shared" ca="1" si="178"/>
        <v>a173p00000CH4JlAAL</v>
      </c>
      <c r="D1449" s="497"/>
      <c r="E1449" s="497">
        <f t="shared" ca="1" si="174"/>
        <v>6</v>
      </c>
      <c r="F1449" s="516">
        <f ca="1">IF(COUNTA(D$938:D1449)=1,"",OFFSET(F1447,-COUNTA(D$938:D1449)+3,0))</f>
        <v>25</v>
      </c>
      <c r="G1449" s="503" t="str">
        <f t="shared" ca="1" si="179"/>
        <v/>
      </c>
      <c r="H1449" s="497">
        <f t="shared" ca="1" si="175"/>
        <v>57</v>
      </c>
      <c r="I1449" s="500" t="str">
        <f t="shared" ca="1" si="180"/>
        <v/>
      </c>
      <c r="J1449" s="512" t="str">
        <f t="shared" ca="1" si="181"/>
        <v/>
      </c>
      <c r="K1449" s="512" t="str">
        <f t="shared" ca="1" si="182"/>
        <v/>
      </c>
      <c r="L1449" s="503" t="str">
        <f t="shared" ca="1" si="183"/>
        <v/>
      </c>
      <c r="M1449" s="515" t="str">
        <f ca="1">IFERROR(IF(COUNTIF($B$937:$B1448,"&lt;0")&lt;&gt;1,OFFSET($C1447,-COUNTIF($B$937:$B1448,"&lt;0")+3,0),""),"")</f>
        <v>a173p00000CH4JlAAL</v>
      </c>
      <c r="N1449" s="515">
        <f ca="1">IFERROR(IF(COUNTA($D$937:D1448)=1,0,OFFSET($F1447,-COUNTA($D$937:D1448)+3,0)),"")</f>
        <v>25</v>
      </c>
      <c r="O1449" s="497"/>
      <c r="P1449" s="497">
        <f t="shared" si="176"/>
        <v>0</v>
      </c>
      <c r="Q1449" s="497"/>
      <c r="R1449" s="497"/>
      <c r="S1449" s="497"/>
      <c r="T1449" s="503"/>
    </row>
    <row r="1450" spans="1:20" x14ac:dyDescent="0.35">
      <c r="A1450" s="497" t="b">
        <f t="shared" ca="1" si="177"/>
        <v>0</v>
      </c>
      <c r="B1450" s="497">
        <f t="shared" si="173"/>
        <v>151</v>
      </c>
      <c r="C1450" s="519" t="str">
        <f t="shared" ca="1" si="178"/>
        <v>a173p00000CH4EwAAL</v>
      </c>
      <c r="D1450" s="497"/>
      <c r="E1450" s="497">
        <f t="shared" ca="1" si="174"/>
        <v>1</v>
      </c>
      <c r="F1450" s="516">
        <f ca="1">IF(COUNTA(D$938:D1450)=1,"",OFFSET(F1448,-COUNTA(D$938:D1450)+3,0))</f>
        <v>26</v>
      </c>
      <c r="G1450" s="503" t="str">
        <f t="shared" ca="1" si="179"/>
        <v/>
      </c>
      <c r="H1450" s="497">
        <f t="shared" ca="1" si="175"/>
        <v>59</v>
      </c>
      <c r="I1450" s="500" t="str">
        <f t="shared" ca="1" si="180"/>
        <v/>
      </c>
      <c r="J1450" s="512" t="str">
        <f t="shared" ca="1" si="181"/>
        <v/>
      </c>
      <c r="K1450" s="512" t="str">
        <f t="shared" ca="1" si="182"/>
        <v/>
      </c>
      <c r="L1450" s="503" t="str">
        <f t="shared" ca="1" si="183"/>
        <v/>
      </c>
      <c r="M1450" s="515" t="str">
        <f ca="1">IFERROR(IF(COUNTIF($B$937:$B1449,"&lt;0")&lt;&gt;1,OFFSET($C1448,-COUNTIF($B$937:$B1449,"&lt;0")+3,0),""),"")</f>
        <v>a173p00000CH4EwAAL</v>
      </c>
      <c r="N1450" s="515">
        <f ca="1">IFERROR(IF(COUNTA($D$937:D1449)=1,0,OFFSET($F1448,-COUNTA($D$937:D1449)+3,0)),"")</f>
        <v>26</v>
      </c>
      <c r="O1450" s="497"/>
      <c r="P1450" s="497">
        <f t="shared" si="176"/>
        <v>0</v>
      </c>
      <c r="Q1450" s="497"/>
      <c r="R1450" s="497"/>
      <c r="S1450" s="497"/>
      <c r="T1450" s="503"/>
    </row>
    <row r="1451" spans="1:20" x14ac:dyDescent="0.35">
      <c r="A1451" s="497" t="b">
        <f t="shared" ca="1" si="177"/>
        <v>0</v>
      </c>
      <c r="B1451" s="497">
        <f t="shared" si="173"/>
        <v>152</v>
      </c>
      <c r="C1451" s="519" t="str">
        <f t="shared" ca="1" si="178"/>
        <v>a173p00000CH4FuAAL</v>
      </c>
      <c r="D1451" s="497"/>
      <c r="E1451" s="497">
        <f t="shared" ca="1" si="174"/>
        <v>2</v>
      </c>
      <c r="F1451" s="516">
        <f ca="1">IF(COUNTA(D$938:D1451)=1,"",OFFSET(F1449,-COUNTA(D$938:D1451)+3,0))</f>
        <v>26</v>
      </c>
      <c r="G1451" s="503" t="str">
        <f t="shared" ca="1" si="179"/>
        <v/>
      </c>
      <c r="H1451" s="497">
        <f t="shared" ca="1" si="175"/>
        <v>59</v>
      </c>
      <c r="I1451" s="500" t="str">
        <f t="shared" ca="1" si="180"/>
        <v/>
      </c>
      <c r="J1451" s="512" t="str">
        <f t="shared" ca="1" si="181"/>
        <v/>
      </c>
      <c r="K1451" s="512" t="str">
        <f t="shared" ca="1" si="182"/>
        <v/>
      </c>
      <c r="L1451" s="503" t="str">
        <f t="shared" ca="1" si="183"/>
        <v/>
      </c>
      <c r="M1451" s="515" t="str">
        <f ca="1">IFERROR(IF(COUNTIF($B$937:$B1450,"&lt;0")&lt;&gt;1,OFFSET($C1449,-COUNTIF($B$937:$B1450,"&lt;0")+3,0),""),"")</f>
        <v>a173p00000CH4FuAAL</v>
      </c>
      <c r="N1451" s="515">
        <f ca="1">IFERROR(IF(COUNTA($D$937:D1450)=1,0,OFFSET($F1449,-COUNTA($D$937:D1450)+3,0)),"")</f>
        <v>26</v>
      </c>
      <c r="O1451" s="497"/>
      <c r="P1451" s="497">
        <f t="shared" si="176"/>
        <v>0</v>
      </c>
      <c r="Q1451" s="497"/>
      <c r="R1451" s="497"/>
      <c r="S1451" s="497"/>
      <c r="T1451" s="503"/>
    </row>
    <row r="1452" spans="1:20" x14ac:dyDescent="0.35">
      <c r="A1452" s="497" t="b">
        <f t="shared" ca="1" si="177"/>
        <v>0</v>
      </c>
      <c r="B1452" s="497">
        <f t="shared" ref="B1452:B1515" si="184">B1451+1</f>
        <v>153</v>
      </c>
      <c r="C1452" s="519" t="str">
        <f t="shared" ca="1" si="178"/>
        <v>a173p00000CH4GsAAL</v>
      </c>
      <c r="D1452" s="497"/>
      <c r="E1452" s="497">
        <f t="shared" ref="E1452:E1515" ca="1" si="185">COUNTIF(F1355:F1452,F1452)</f>
        <v>3</v>
      </c>
      <c r="F1452" s="516">
        <f ca="1">IF(COUNTA(D$938:D1452)=1,"",OFFSET(F1450,-COUNTA(D$938:D1452)+3,0))</f>
        <v>26</v>
      </c>
      <c r="G1452" s="503" t="str">
        <f t="shared" ca="1" si="179"/>
        <v/>
      </c>
      <c r="H1452" s="497">
        <f t="shared" ref="H1452:H1515" ca="1" si="186">IF(F1452=1,9,IF(E1451=MAX(E1450:E1452),H1450+2,H1451))</f>
        <v>59</v>
      </c>
      <c r="I1452" s="500" t="str">
        <f t="shared" ca="1" si="180"/>
        <v/>
      </c>
      <c r="J1452" s="512" t="str">
        <f t="shared" ca="1" si="181"/>
        <v/>
      </c>
      <c r="K1452" s="512" t="str">
        <f t="shared" ca="1" si="182"/>
        <v/>
      </c>
      <c r="L1452" s="503" t="str">
        <f t="shared" ca="1" si="183"/>
        <v/>
      </c>
      <c r="M1452" s="515" t="str">
        <f ca="1">IFERROR(IF(COUNTIF($B$937:$B1451,"&lt;0")&lt;&gt;1,OFFSET($C1450,-COUNTIF($B$937:$B1451,"&lt;0")+3,0),""),"")</f>
        <v>a173p00000CH4GsAAL</v>
      </c>
      <c r="N1452" s="515">
        <f ca="1">IFERROR(IF(COUNTA($D$937:D1451)=1,0,OFFSET($F1450,-COUNTA($D$937:D1451)+3,0)),"")</f>
        <v>26</v>
      </c>
      <c r="O1452" s="497"/>
      <c r="P1452" s="497">
        <f t="shared" ref="P1452:P1515" si="187">IF(NOT(_xlfn.ISFORMULA(I1452)),P1451+1,0)</f>
        <v>0</v>
      </c>
      <c r="Q1452" s="497"/>
      <c r="R1452" s="497"/>
      <c r="S1452" s="497"/>
      <c r="T1452" s="503"/>
    </row>
    <row r="1453" spans="1:20" x14ac:dyDescent="0.35">
      <c r="A1453" s="497" t="b">
        <f t="shared" ca="1" si="177"/>
        <v>0</v>
      </c>
      <c r="B1453" s="497">
        <f t="shared" si="184"/>
        <v>154</v>
      </c>
      <c r="C1453" s="519" t="str">
        <f t="shared" ca="1" si="178"/>
        <v>a173p00000CH4HqAAL</v>
      </c>
      <c r="D1453" s="497"/>
      <c r="E1453" s="497">
        <f t="shared" ca="1" si="185"/>
        <v>4</v>
      </c>
      <c r="F1453" s="516">
        <f ca="1">IF(COUNTA(D$938:D1453)=1,"",OFFSET(F1451,-COUNTA(D$938:D1453)+3,0))</f>
        <v>26</v>
      </c>
      <c r="G1453" s="503" t="str">
        <f t="shared" ca="1" si="179"/>
        <v/>
      </c>
      <c r="H1453" s="497">
        <f t="shared" ca="1" si="186"/>
        <v>59</v>
      </c>
      <c r="I1453" s="500" t="str">
        <f t="shared" ca="1" si="180"/>
        <v/>
      </c>
      <c r="J1453" s="512" t="str">
        <f t="shared" ca="1" si="181"/>
        <v/>
      </c>
      <c r="K1453" s="512" t="str">
        <f t="shared" ca="1" si="182"/>
        <v/>
      </c>
      <c r="L1453" s="503" t="str">
        <f t="shared" ca="1" si="183"/>
        <v/>
      </c>
      <c r="M1453" s="515" t="str">
        <f ca="1">IFERROR(IF(COUNTIF($B$937:$B1452,"&lt;0")&lt;&gt;1,OFFSET($C1451,-COUNTIF($B$937:$B1452,"&lt;0")+3,0),""),"")</f>
        <v>a173p00000CH4HqAAL</v>
      </c>
      <c r="N1453" s="515">
        <f ca="1">IFERROR(IF(COUNTA($D$937:D1452)=1,0,OFFSET($F1451,-COUNTA($D$937:D1452)+3,0)),"")</f>
        <v>26</v>
      </c>
      <c r="O1453" s="497"/>
      <c r="P1453" s="497">
        <f t="shared" si="187"/>
        <v>0</v>
      </c>
      <c r="Q1453" s="497"/>
      <c r="R1453" s="497"/>
      <c r="S1453" s="497"/>
      <c r="T1453" s="503"/>
    </row>
    <row r="1454" spans="1:20" x14ac:dyDescent="0.35">
      <c r="A1454" s="497" t="b">
        <f t="shared" ca="1" si="177"/>
        <v>0</v>
      </c>
      <c r="B1454" s="497">
        <f t="shared" si="184"/>
        <v>155</v>
      </c>
      <c r="C1454" s="519" t="str">
        <f t="shared" ca="1" si="178"/>
        <v>a173p00000CH4IoAAL</v>
      </c>
      <c r="D1454" s="497"/>
      <c r="E1454" s="497">
        <f t="shared" ca="1" si="185"/>
        <v>5</v>
      </c>
      <c r="F1454" s="516">
        <f ca="1">IF(COUNTA(D$938:D1454)=1,"",OFFSET(F1452,-COUNTA(D$938:D1454)+3,0))</f>
        <v>26</v>
      </c>
      <c r="G1454" s="503" t="str">
        <f t="shared" ca="1" si="179"/>
        <v/>
      </c>
      <c r="H1454" s="497">
        <f t="shared" ca="1" si="186"/>
        <v>59</v>
      </c>
      <c r="I1454" s="500" t="str">
        <f t="shared" ca="1" si="180"/>
        <v/>
      </c>
      <c r="J1454" s="512" t="str">
        <f t="shared" ca="1" si="181"/>
        <v/>
      </c>
      <c r="K1454" s="512" t="str">
        <f t="shared" ca="1" si="182"/>
        <v/>
      </c>
      <c r="L1454" s="503" t="str">
        <f t="shared" ca="1" si="183"/>
        <v/>
      </c>
      <c r="M1454" s="515" t="str">
        <f ca="1">IFERROR(IF(COUNTIF($B$937:$B1453,"&lt;0")&lt;&gt;1,OFFSET($C1452,-COUNTIF($B$937:$B1453,"&lt;0")+3,0),""),"")</f>
        <v>a173p00000CH4IoAAL</v>
      </c>
      <c r="N1454" s="515">
        <f ca="1">IFERROR(IF(COUNTA($D$937:D1453)=1,0,OFFSET($F1452,-COUNTA($D$937:D1453)+3,0)),"")</f>
        <v>26</v>
      </c>
      <c r="O1454" s="497"/>
      <c r="P1454" s="497">
        <f t="shared" si="187"/>
        <v>0</v>
      </c>
      <c r="Q1454" s="497"/>
      <c r="R1454" s="497"/>
      <c r="S1454" s="497"/>
      <c r="T1454" s="503"/>
    </row>
    <row r="1455" spans="1:20" x14ac:dyDescent="0.35">
      <c r="A1455" s="497" t="b">
        <f t="shared" ca="1" si="177"/>
        <v>0</v>
      </c>
      <c r="B1455" s="497">
        <f t="shared" si="184"/>
        <v>156</v>
      </c>
      <c r="C1455" s="519" t="str">
        <f t="shared" ca="1" si="178"/>
        <v>a173p00000CH4JmAAL</v>
      </c>
      <c r="D1455" s="497"/>
      <c r="E1455" s="497">
        <f t="shared" ca="1" si="185"/>
        <v>6</v>
      </c>
      <c r="F1455" s="516">
        <f ca="1">IF(COUNTA(D$938:D1455)=1,"",OFFSET(F1453,-COUNTA(D$938:D1455)+3,0))</f>
        <v>26</v>
      </c>
      <c r="G1455" s="503" t="str">
        <f t="shared" ca="1" si="179"/>
        <v/>
      </c>
      <c r="H1455" s="497">
        <f t="shared" ca="1" si="186"/>
        <v>59</v>
      </c>
      <c r="I1455" s="500" t="str">
        <f t="shared" ca="1" si="180"/>
        <v/>
      </c>
      <c r="J1455" s="512" t="str">
        <f t="shared" ca="1" si="181"/>
        <v/>
      </c>
      <c r="K1455" s="512" t="str">
        <f t="shared" ca="1" si="182"/>
        <v/>
      </c>
      <c r="L1455" s="503" t="str">
        <f t="shared" ca="1" si="183"/>
        <v/>
      </c>
      <c r="M1455" s="515" t="str">
        <f ca="1">IFERROR(IF(COUNTIF($B$937:$B1454,"&lt;0")&lt;&gt;1,OFFSET($C1453,-COUNTIF($B$937:$B1454,"&lt;0")+3,0),""),"")</f>
        <v>a173p00000CH4JmAAL</v>
      </c>
      <c r="N1455" s="515">
        <f ca="1">IFERROR(IF(COUNTA($D$937:D1454)=1,0,OFFSET($F1453,-COUNTA($D$937:D1454)+3,0)),"")</f>
        <v>26</v>
      </c>
      <c r="O1455" s="497"/>
      <c r="P1455" s="497">
        <f t="shared" si="187"/>
        <v>0</v>
      </c>
      <c r="Q1455" s="497"/>
      <c r="R1455" s="497"/>
      <c r="S1455" s="497"/>
      <c r="T1455" s="503"/>
    </row>
    <row r="1456" spans="1:20" x14ac:dyDescent="0.35">
      <c r="A1456" s="497" t="b">
        <f t="shared" ca="1" si="177"/>
        <v>0</v>
      </c>
      <c r="B1456" s="497">
        <f t="shared" si="184"/>
        <v>157</v>
      </c>
      <c r="C1456" s="519" t="str">
        <f t="shared" ca="1" si="178"/>
        <v>a173p00000CH4ExAAL</v>
      </c>
      <c r="D1456" s="497"/>
      <c r="E1456" s="497">
        <f t="shared" ca="1" si="185"/>
        <v>1</v>
      </c>
      <c r="F1456" s="516">
        <f ca="1">IF(COUNTA(D$938:D1456)=1,"",OFFSET(F1454,-COUNTA(D$938:D1456)+3,0))</f>
        <v>27</v>
      </c>
      <c r="G1456" s="503" t="str">
        <f t="shared" ca="1" si="179"/>
        <v/>
      </c>
      <c r="H1456" s="497">
        <f t="shared" ca="1" si="186"/>
        <v>61</v>
      </c>
      <c r="I1456" s="500" t="str">
        <f t="shared" ca="1" si="180"/>
        <v/>
      </c>
      <c r="J1456" s="512" t="str">
        <f t="shared" ca="1" si="181"/>
        <v/>
      </c>
      <c r="K1456" s="512" t="str">
        <f t="shared" ca="1" si="182"/>
        <v/>
      </c>
      <c r="L1456" s="503" t="str">
        <f t="shared" ca="1" si="183"/>
        <v/>
      </c>
      <c r="M1456" s="515" t="str">
        <f ca="1">IFERROR(IF(COUNTIF($B$937:$B1455,"&lt;0")&lt;&gt;1,OFFSET($C1454,-COUNTIF($B$937:$B1455,"&lt;0")+3,0),""),"")</f>
        <v>a173p00000CH4ExAAL</v>
      </c>
      <c r="N1456" s="515">
        <f ca="1">IFERROR(IF(COUNTA($D$937:D1455)=1,0,OFFSET($F1454,-COUNTA($D$937:D1455)+3,0)),"")</f>
        <v>27</v>
      </c>
      <c r="O1456" s="497"/>
      <c r="P1456" s="497">
        <f t="shared" si="187"/>
        <v>0</v>
      </c>
      <c r="Q1456" s="497"/>
      <c r="R1456" s="497"/>
      <c r="S1456" s="497"/>
      <c r="T1456" s="503"/>
    </row>
    <row r="1457" spans="1:20" x14ac:dyDescent="0.35">
      <c r="A1457" s="497" t="b">
        <f t="shared" ca="1" si="177"/>
        <v>0</v>
      </c>
      <c r="B1457" s="497">
        <f t="shared" si="184"/>
        <v>158</v>
      </c>
      <c r="C1457" s="519" t="str">
        <f t="shared" ca="1" si="178"/>
        <v>a173p00000CH4FvAAL</v>
      </c>
      <c r="D1457" s="497"/>
      <c r="E1457" s="497">
        <f t="shared" ca="1" si="185"/>
        <v>2</v>
      </c>
      <c r="F1457" s="516">
        <f ca="1">IF(COUNTA(D$938:D1457)=1,"",OFFSET(F1455,-COUNTA(D$938:D1457)+3,0))</f>
        <v>27</v>
      </c>
      <c r="G1457" s="503" t="str">
        <f t="shared" ca="1" si="179"/>
        <v/>
      </c>
      <c r="H1457" s="497">
        <f t="shared" ca="1" si="186"/>
        <v>61</v>
      </c>
      <c r="I1457" s="500" t="str">
        <f t="shared" ca="1" si="180"/>
        <v/>
      </c>
      <c r="J1457" s="512" t="str">
        <f t="shared" ca="1" si="181"/>
        <v/>
      </c>
      <c r="K1457" s="512" t="str">
        <f t="shared" ca="1" si="182"/>
        <v/>
      </c>
      <c r="L1457" s="503" t="str">
        <f t="shared" ca="1" si="183"/>
        <v/>
      </c>
      <c r="M1457" s="515" t="str">
        <f ca="1">IFERROR(IF(COUNTIF($B$937:$B1456,"&lt;0")&lt;&gt;1,OFFSET($C1455,-COUNTIF($B$937:$B1456,"&lt;0")+3,0),""),"")</f>
        <v>a173p00000CH4FvAAL</v>
      </c>
      <c r="N1457" s="515">
        <f ca="1">IFERROR(IF(COUNTA($D$937:D1456)=1,0,OFFSET($F1455,-COUNTA($D$937:D1456)+3,0)),"")</f>
        <v>27</v>
      </c>
      <c r="O1457" s="497"/>
      <c r="P1457" s="497">
        <f t="shared" si="187"/>
        <v>0</v>
      </c>
      <c r="Q1457" s="497"/>
      <c r="R1457" s="497"/>
      <c r="S1457" s="497"/>
      <c r="T1457" s="503"/>
    </row>
    <row r="1458" spans="1:20" x14ac:dyDescent="0.35">
      <c r="A1458" s="497" t="b">
        <f t="shared" ca="1" si="177"/>
        <v>0</v>
      </c>
      <c r="B1458" s="497">
        <f t="shared" si="184"/>
        <v>159</v>
      </c>
      <c r="C1458" s="519" t="str">
        <f t="shared" ca="1" si="178"/>
        <v>a173p00000CH4GtAAL</v>
      </c>
      <c r="D1458" s="497"/>
      <c r="E1458" s="497">
        <f t="shared" ca="1" si="185"/>
        <v>3</v>
      </c>
      <c r="F1458" s="516">
        <f ca="1">IF(COUNTA(D$938:D1458)=1,"",OFFSET(F1456,-COUNTA(D$938:D1458)+3,0))</f>
        <v>27</v>
      </c>
      <c r="G1458" s="503" t="str">
        <f t="shared" ca="1" si="179"/>
        <v/>
      </c>
      <c r="H1458" s="497">
        <f t="shared" ca="1" si="186"/>
        <v>61</v>
      </c>
      <c r="I1458" s="500" t="str">
        <f t="shared" ca="1" si="180"/>
        <v/>
      </c>
      <c r="J1458" s="512" t="str">
        <f t="shared" ca="1" si="181"/>
        <v/>
      </c>
      <c r="K1458" s="512" t="str">
        <f t="shared" ca="1" si="182"/>
        <v/>
      </c>
      <c r="L1458" s="503" t="str">
        <f t="shared" ca="1" si="183"/>
        <v/>
      </c>
      <c r="M1458" s="515" t="str">
        <f ca="1">IFERROR(IF(COUNTIF($B$937:$B1457,"&lt;0")&lt;&gt;1,OFFSET($C1456,-COUNTIF($B$937:$B1457,"&lt;0")+3,0),""),"")</f>
        <v>a173p00000CH4GtAAL</v>
      </c>
      <c r="N1458" s="515">
        <f ca="1">IFERROR(IF(COUNTA($D$937:D1457)=1,0,OFFSET($F1456,-COUNTA($D$937:D1457)+3,0)),"")</f>
        <v>27</v>
      </c>
      <c r="O1458" s="497"/>
      <c r="P1458" s="497">
        <f t="shared" si="187"/>
        <v>0</v>
      </c>
      <c r="Q1458" s="497"/>
      <c r="R1458" s="497"/>
      <c r="S1458" s="497"/>
      <c r="T1458" s="503"/>
    </row>
    <row r="1459" spans="1:20" x14ac:dyDescent="0.35">
      <c r="A1459" s="497" t="b">
        <f t="shared" ca="1" si="177"/>
        <v>0</v>
      </c>
      <c r="B1459" s="497">
        <f t="shared" si="184"/>
        <v>160</v>
      </c>
      <c r="C1459" s="519" t="str">
        <f t="shared" ca="1" si="178"/>
        <v>a173p00000CH4HrAAL</v>
      </c>
      <c r="D1459" s="497"/>
      <c r="E1459" s="497">
        <f t="shared" ca="1" si="185"/>
        <v>4</v>
      </c>
      <c r="F1459" s="516">
        <f ca="1">IF(COUNTA(D$938:D1459)=1,"",OFFSET(F1457,-COUNTA(D$938:D1459)+3,0))</f>
        <v>27</v>
      </c>
      <c r="G1459" s="503" t="str">
        <f t="shared" ca="1" si="179"/>
        <v/>
      </c>
      <c r="H1459" s="497">
        <f t="shared" ca="1" si="186"/>
        <v>61</v>
      </c>
      <c r="I1459" s="500" t="str">
        <f t="shared" ca="1" si="180"/>
        <v/>
      </c>
      <c r="J1459" s="512" t="str">
        <f t="shared" ca="1" si="181"/>
        <v/>
      </c>
      <c r="K1459" s="512" t="str">
        <f t="shared" ca="1" si="182"/>
        <v/>
      </c>
      <c r="L1459" s="503" t="str">
        <f t="shared" ca="1" si="183"/>
        <v/>
      </c>
      <c r="M1459" s="515" t="str">
        <f ca="1">IFERROR(IF(COUNTIF($B$937:$B1458,"&lt;0")&lt;&gt;1,OFFSET($C1457,-COUNTIF($B$937:$B1458,"&lt;0")+3,0),""),"")</f>
        <v>a173p00000CH4HrAAL</v>
      </c>
      <c r="N1459" s="515">
        <f ca="1">IFERROR(IF(COUNTA($D$937:D1458)=1,0,OFFSET($F1457,-COUNTA($D$937:D1458)+3,0)),"")</f>
        <v>27</v>
      </c>
      <c r="O1459" s="497"/>
      <c r="P1459" s="497">
        <f t="shared" si="187"/>
        <v>0</v>
      </c>
      <c r="Q1459" s="497"/>
      <c r="R1459" s="497"/>
      <c r="S1459" s="497"/>
      <c r="T1459" s="503"/>
    </row>
    <row r="1460" spans="1:20" x14ac:dyDescent="0.35">
      <c r="A1460" s="497" t="b">
        <f t="shared" ca="1" si="177"/>
        <v>0</v>
      </c>
      <c r="B1460" s="497">
        <f t="shared" si="184"/>
        <v>161</v>
      </c>
      <c r="C1460" s="519" t="str">
        <f t="shared" ca="1" si="178"/>
        <v>a173p00000CH4IpAAL</v>
      </c>
      <c r="D1460" s="497"/>
      <c r="E1460" s="497">
        <f t="shared" ca="1" si="185"/>
        <v>5</v>
      </c>
      <c r="F1460" s="516">
        <f ca="1">IF(COUNTA(D$938:D1460)=1,"",OFFSET(F1458,-COUNTA(D$938:D1460)+3,0))</f>
        <v>27</v>
      </c>
      <c r="G1460" s="503" t="str">
        <f t="shared" ca="1" si="179"/>
        <v/>
      </c>
      <c r="H1460" s="497">
        <f t="shared" ca="1" si="186"/>
        <v>61</v>
      </c>
      <c r="I1460" s="500" t="str">
        <f t="shared" ca="1" si="180"/>
        <v/>
      </c>
      <c r="J1460" s="512" t="str">
        <f t="shared" ca="1" si="181"/>
        <v/>
      </c>
      <c r="K1460" s="512" t="str">
        <f t="shared" ca="1" si="182"/>
        <v/>
      </c>
      <c r="L1460" s="503" t="str">
        <f t="shared" ca="1" si="183"/>
        <v/>
      </c>
      <c r="M1460" s="515" t="str">
        <f ca="1">IFERROR(IF(COUNTIF($B$937:$B1459,"&lt;0")&lt;&gt;1,OFFSET($C1458,-COUNTIF($B$937:$B1459,"&lt;0")+3,0),""),"")</f>
        <v>a173p00000CH4IpAAL</v>
      </c>
      <c r="N1460" s="515">
        <f ca="1">IFERROR(IF(COUNTA($D$937:D1459)=1,0,OFFSET($F1458,-COUNTA($D$937:D1459)+3,0)),"")</f>
        <v>27</v>
      </c>
      <c r="O1460" s="497"/>
      <c r="P1460" s="497">
        <f t="shared" si="187"/>
        <v>0</v>
      </c>
      <c r="Q1460" s="497"/>
      <c r="R1460" s="497"/>
      <c r="S1460" s="497"/>
      <c r="T1460" s="503"/>
    </row>
    <row r="1461" spans="1:20" x14ac:dyDescent="0.35">
      <c r="A1461" s="497" t="b">
        <f t="shared" ca="1" si="177"/>
        <v>0</v>
      </c>
      <c r="B1461" s="497">
        <f t="shared" si="184"/>
        <v>162</v>
      </c>
      <c r="C1461" s="519" t="str">
        <f t="shared" ca="1" si="178"/>
        <v>a173p00000CH4JnAAL</v>
      </c>
      <c r="D1461" s="497"/>
      <c r="E1461" s="497">
        <f t="shared" ca="1" si="185"/>
        <v>6</v>
      </c>
      <c r="F1461" s="516">
        <f ca="1">IF(COUNTA(D$938:D1461)=1,"",OFFSET(F1459,-COUNTA(D$938:D1461)+3,0))</f>
        <v>27</v>
      </c>
      <c r="G1461" s="503" t="str">
        <f t="shared" ca="1" si="179"/>
        <v/>
      </c>
      <c r="H1461" s="497">
        <f t="shared" ca="1" si="186"/>
        <v>61</v>
      </c>
      <c r="I1461" s="500" t="str">
        <f t="shared" ca="1" si="180"/>
        <v/>
      </c>
      <c r="J1461" s="512" t="str">
        <f t="shared" ca="1" si="181"/>
        <v/>
      </c>
      <c r="K1461" s="512" t="str">
        <f t="shared" ca="1" si="182"/>
        <v/>
      </c>
      <c r="L1461" s="503" t="str">
        <f t="shared" ca="1" si="183"/>
        <v/>
      </c>
      <c r="M1461" s="515" t="str">
        <f ca="1">IFERROR(IF(COUNTIF($B$937:$B1460,"&lt;0")&lt;&gt;1,OFFSET($C1459,-COUNTIF($B$937:$B1460,"&lt;0")+3,0),""),"")</f>
        <v>a173p00000CH4JnAAL</v>
      </c>
      <c r="N1461" s="515">
        <f ca="1">IFERROR(IF(COUNTA($D$937:D1460)=1,0,OFFSET($F1459,-COUNTA($D$937:D1460)+3,0)),"")</f>
        <v>27</v>
      </c>
      <c r="O1461" s="497"/>
      <c r="P1461" s="497">
        <f t="shared" si="187"/>
        <v>0</v>
      </c>
      <c r="Q1461" s="497"/>
      <c r="R1461" s="497"/>
      <c r="S1461" s="497"/>
      <c r="T1461" s="503"/>
    </row>
    <row r="1462" spans="1:20" x14ac:dyDescent="0.35">
      <c r="A1462" s="497" t="b">
        <f t="shared" ca="1" si="177"/>
        <v>0</v>
      </c>
      <c r="B1462" s="497">
        <f t="shared" si="184"/>
        <v>163</v>
      </c>
      <c r="C1462" s="519" t="str">
        <f t="shared" ca="1" si="178"/>
        <v>a173p00000CH4EyAAL</v>
      </c>
      <c r="D1462" s="497"/>
      <c r="E1462" s="497">
        <f t="shared" ca="1" si="185"/>
        <v>1</v>
      </c>
      <c r="F1462" s="516">
        <f ca="1">IF(COUNTA(D$938:D1462)=1,"",OFFSET(F1460,-COUNTA(D$938:D1462)+3,0))</f>
        <v>28</v>
      </c>
      <c r="G1462" s="503" t="str">
        <f t="shared" ca="1" si="179"/>
        <v/>
      </c>
      <c r="H1462" s="497">
        <f t="shared" ca="1" si="186"/>
        <v>63</v>
      </c>
      <c r="I1462" s="500" t="str">
        <f t="shared" ca="1" si="180"/>
        <v/>
      </c>
      <c r="J1462" s="512" t="str">
        <f t="shared" ca="1" si="181"/>
        <v/>
      </c>
      <c r="K1462" s="512" t="str">
        <f t="shared" ca="1" si="182"/>
        <v/>
      </c>
      <c r="L1462" s="503" t="str">
        <f t="shared" ca="1" si="183"/>
        <v/>
      </c>
      <c r="M1462" s="515" t="str">
        <f ca="1">IFERROR(IF(COUNTIF($B$937:$B1461,"&lt;0")&lt;&gt;1,OFFSET($C1460,-COUNTIF($B$937:$B1461,"&lt;0")+3,0),""),"")</f>
        <v>a173p00000CH4EyAAL</v>
      </c>
      <c r="N1462" s="515">
        <f ca="1">IFERROR(IF(COUNTA($D$937:D1461)=1,0,OFFSET($F1460,-COUNTA($D$937:D1461)+3,0)),"")</f>
        <v>28</v>
      </c>
      <c r="O1462" s="497"/>
      <c r="P1462" s="497">
        <f t="shared" si="187"/>
        <v>0</v>
      </c>
      <c r="Q1462" s="497"/>
      <c r="R1462" s="497"/>
      <c r="S1462" s="497"/>
      <c r="T1462" s="503"/>
    </row>
    <row r="1463" spans="1:20" x14ac:dyDescent="0.35">
      <c r="A1463" s="497" t="b">
        <f t="shared" ca="1" si="177"/>
        <v>0</v>
      </c>
      <c r="B1463" s="497">
        <f t="shared" si="184"/>
        <v>164</v>
      </c>
      <c r="C1463" s="519" t="str">
        <f t="shared" ca="1" si="178"/>
        <v>a173p00000CH4FwAAL</v>
      </c>
      <c r="D1463" s="497"/>
      <c r="E1463" s="497">
        <f t="shared" ca="1" si="185"/>
        <v>2</v>
      </c>
      <c r="F1463" s="516">
        <f ca="1">IF(COUNTA(D$938:D1463)=1,"",OFFSET(F1461,-COUNTA(D$938:D1463)+3,0))</f>
        <v>28</v>
      </c>
      <c r="G1463" s="503" t="str">
        <f t="shared" ca="1" si="179"/>
        <v/>
      </c>
      <c r="H1463" s="497">
        <f t="shared" ca="1" si="186"/>
        <v>63</v>
      </c>
      <c r="I1463" s="500" t="str">
        <f t="shared" ca="1" si="180"/>
        <v/>
      </c>
      <c r="J1463" s="512" t="str">
        <f t="shared" ca="1" si="181"/>
        <v/>
      </c>
      <c r="K1463" s="512" t="str">
        <f t="shared" ca="1" si="182"/>
        <v/>
      </c>
      <c r="L1463" s="503" t="str">
        <f t="shared" ca="1" si="183"/>
        <v/>
      </c>
      <c r="M1463" s="515" t="str">
        <f ca="1">IFERROR(IF(COUNTIF($B$937:$B1462,"&lt;0")&lt;&gt;1,OFFSET($C1461,-COUNTIF($B$937:$B1462,"&lt;0")+3,0),""),"")</f>
        <v>a173p00000CH4FwAAL</v>
      </c>
      <c r="N1463" s="515">
        <f ca="1">IFERROR(IF(COUNTA($D$937:D1462)=1,0,OFFSET($F1461,-COUNTA($D$937:D1462)+3,0)),"")</f>
        <v>28</v>
      </c>
      <c r="O1463" s="497"/>
      <c r="P1463" s="497">
        <f t="shared" si="187"/>
        <v>0</v>
      </c>
      <c r="Q1463" s="497"/>
      <c r="R1463" s="497"/>
      <c r="S1463" s="497"/>
      <c r="T1463" s="503"/>
    </row>
    <row r="1464" spans="1:20" x14ac:dyDescent="0.35">
      <c r="A1464" s="497" t="b">
        <f t="shared" ca="1" si="177"/>
        <v>0</v>
      </c>
      <c r="B1464" s="497">
        <f t="shared" si="184"/>
        <v>165</v>
      </c>
      <c r="C1464" s="519" t="str">
        <f t="shared" ca="1" si="178"/>
        <v>a173p00000CH4GuAAL</v>
      </c>
      <c r="D1464" s="497"/>
      <c r="E1464" s="497">
        <f t="shared" ca="1" si="185"/>
        <v>3</v>
      </c>
      <c r="F1464" s="516">
        <f ca="1">IF(COUNTA(D$938:D1464)=1,"",OFFSET(F1462,-COUNTA(D$938:D1464)+3,0))</f>
        <v>28</v>
      </c>
      <c r="G1464" s="503" t="str">
        <f t="shared" ca="1" si="179"/>
        <v/>
      </c>
      <c r="H1464" s="497">
        <f t="shared" ca="1" si="186"/>
        <v>63</v>
      </c>
      <c r="I1464" s="500" t="str">
        <f t="shared" ca="1" si="180"/>
        <v/>
      </c>
      <c r="J1464" s="512" t="str">
        <f t="shared" ca="1" si="181"/>
        <v/>
      </c>
      <c r="K1464" s="512" t="str">
        <f t="shared" ca="1" si="182"/>
        <v/>
      </c>
      <c r="L1464" s="503" t="str">
        <f t="shared" ca="1" si="183"/>
        <v/>
      </c>
      <c r="M1464" s="515" t="str">
        <f ca="1">IFERROR(IF(COUNTIF($B$937:$B1463,"&lt;0")&lt;&gt;1,OFFSET($C1462,-COUNTIF($B$937:$B1463,"&lt;0")+3,0),""),"")</f>
        <v>a173p00000CH4GuAAL</v>
      </c>
      <c r="N1464" s="515">
        <f ca="1">IFERROR(IF(COUNTA($D$937:D1463)=1,0,OFFSET($F1462,-COUNTA($D$937:D1463)+3,0)),"")</f>
        <v>28</v>
      </c>
      <c r="O1464" s="497"/>
      <c r="P1464" s="497">
        <f t="shared" si="187"/>
        <v>0</v>
      </c>
      <c r="Q1464" s="497"/>
      <c r="R1464" s="497"/>
      <c r="S1464" s="497"/>
      <c r="T1464" s="503"/>
    </row>
    <row r="1465" spans="1:20" x14ac:dyDescent="0.35">
      <c r="A1465" s="497" t="b">
        <f t="shared" ca="1" si="177"/>
        <v>0</v>
      </c>
      <c r="B1465" s="497">
        <f t="shared" si="184"/>
        <v>166</v>
      </c>
      <c r="C1465" s="519" t="str">
        <f t="shared" ca="1" si="178"/>
        <v>a173p00000CH4HsAAL</v>
      </c>
      <c r="D1465" s="497"/>
      <c r="E1465" s="497">
        <f t="shared" ca="1" si="185"/>
        <v>4</v>
      </c>
      <c r="F1465" s="516">
        <f ca="1">IF(COUNTA(D$938:D1465)=1,"",OFFSET(F1463,-COUNTA(D$938:D1465)+3,0))</f>
        <v>28</v>
      </c>
      <c r="G1465" s="503" t="str">
        <f t="shared" ca="1" si="179"/>
        <v/>
      </c>
      <c r="H1465" s="497">
        <f t="shared" ca="1" si="186"/>
        <v>63</v>
      </c>
      <c r="I1465" s="500" t="str">
        <f t="shared" ca="1" si="180"/>
        <v/>
      </c>
      <c r="J1465" s="512" t="str">
        <f t="shared" ca="1" si="181"/>
        <v/>
      </c>
      <c r="K1465" s="512" t="str">
        <f t="shared" ca="1" si="182"/>
        <v/>
      </c>
      <c r="L1465" s="503" t="str">
        <f t="shared" ca="1" si="183"/>
        <v/>
      </c>
      <c r="M1465" s="515" t="str">
        <f ca="1">IFERROR(IF(COUNTIF($B$937:$B1464,"&lt;0")&lt;&gt;1,OFFSET($C1463,-COUNTIF($B$937:$B1464,"&lt;0")+3,0),""),"")</f>
        <v>a173p00000CH4HsAAL</v>
      </c>
      <c r="N1465" s="515">
        <f ca="1">IFERROR(IF(COUNTA($D$937:D1464)=1,0,OFFSET($F1463,-COUNTA($D$937:D1464)+3,0)),"")</f>
        <v>28</v>
      </c>
      <c r="O1465" s="497"/>
      <c r="P1465" s="497">
        <f t="shared" si="187"/>
        <v>0</v>
      </c>
      <c r="Q1465" s="497"/>
      <c r="R1465" s="497"/>
      <c r="S1465" s="497"/>
      <c r="T1465" s="503"/>
    </row>
    <row r="1466" spans="1:20" x14ac:dyDescent="0.35">
      <c r="A1466" s="497" t="b">
        <f t="shared" ca="1" si="177"/>
        <v>0</v>
      </c>
      <c r="B1466" s="497">
        <f t="shared" si="184"/>
        <v>167</v>
      </c>
      <c r="C1466" s="519" t="str">
        <f t="shared" ca="1" si="178"/>
        <v>a173p00000CH4IqAAL</v>
      </c>
      <c r="D1466" s="497"/>
      <c r="E1466" s="497">
        <f t="shared" ca="1" si="185"/>
        <v>5</v>
      </c>
      <c r="F1466" s="516">
        <f ca="1">IF(COUNTA(D$938:D1466)=1,"",OFFSET(F1464,-COUNTA(D$938:D1466)+3,0))</f>
        <v>28</v>
      </c>
      <c r="G1466" s="503" t="str">
        <f t="shared" ca="1" si="179"/>
        <v/>
      </c>
      <c r="H1466" s="497">
        <f t="shared" ca="1" si="186"/>
        <v>63</v>
      </c>
      <c r="I1466" s="500" t="str">
        <f t="shared" ca="1" si="180"/>
        <v/>
      </c>
      <c r="J1466" s="512" t="str">
        <f t="shared" ca="1" si="181"/>
        <v/>
      </c>
      <c r="K1466" s="512" t="str">
        <f t="shared" ca="1" si="182"/>
        <v/>
      </c>
      <c r="L1466" s="503" t="str">
        <f t="shared" ca="1" si="183"/>
        <v/>
      </c>
      <c r="M1466" s="515" t="str">
        <f ca="1">IFERROR(IF(COUNTIF($B$937:$B1465,"&lt;0")&lt;&gt;1,OFFSET($C1464,-COUNTIF($B$937:$B1465,"&lt;0")+3,0),""),"")</f>
        <v>a173p00000CH4IqAAL</v>
      </c>
      <c r="N1466" s="515">
        <f ca="1">IFERROR(IF(COUNTA($D$937:D1465)=1,0,OFFSET($F1464,-COUNTA($D$937:D1465)+3,0)),"")</f>
        <v>28</v>
      </c>
      <c r="O1466" s="497"/>
      <c r="P1466" s="497">
        <f t="shared" si="187"/>
        <v>0</v>
      </c>
      <c r="Q1466" s="497"/>
      <c r="R1466" s="497"/>
      <c r="S1466" s="497"/>
      <c r="T1466" s="503"/>
    </row>
    <row r="1467" spans="1:20" x14ac:dyDescent="0.35">
      <c r="A1467" s="497" t="b">
        <f t="shared" ca="1" si="177"/>
        <v>0</v>
      </c>
      <c r="B1467" s="497">
        <f t="shared" si="184"/>
        <v>168</v>
      </c>
      <c r="C1467" s="519" t="str">
        <f t="shared" ca="1" si="178"/>
        <v>a173p00000CH4JoAAL</v>
      </c>
      <c r="D1467" s="497"/>
      <c r="E1467" s="497">
        <f t="shared" ca="1" si="185"/>
        <v>6</v>
      </c>
      <c r="F1467" s="516">
        <f ca="1">IF(COUNTA(D$938:D1467)=1,"",OFFSET(F1465,-COUNTA(D$938:D1467)+3,0))</f>
        <v>28</v>
      </c>
      <c r="G1467" s="503" t="str">
        <f t="shared" ca="1" si="179"/>
        <v/>
      </c>
      <c r="H1467" s="497">
        <f t="shared" ca="1" si="186"/>
        <v>63</v>
      </c>
      <c r="I1467" s="500" t="str">
        <f t="shared" ca="1" si="180"/>
        <v/>
      </c>
      <c r="J1467" s="512" t="str">
        <f t="shared" ca="1" si="181"/>
        <v/>
      </c>
      <c r="K1467" s="512" t="str">
        <f t="shared" ca="1" si="182"/>
        <v/>
      </c>
      <c r="L1467" s="503" t="str">
        <f t="shared" ca="1" si="183"/>
        <v/>
      </c>
      <c r="M1467" s="515" t="str">
        <f ca="1">IFERROR(IF(COUNTIF($B$937:$B1466,"&lt;0")&lt;&gt;1,OFFSET($C1465,-COUNTIF($B$937:$B1466,"&lt;0")+3,0),""),"")</f>
        <v>a173p00000CH4JoAAL</v>
      </c>
      <c r="N1467" s="515">
        <f ca="1">IFERROR(IF(COUNTA($D$937:D1466)=1,0,OFFSET($F1465,-COUNTA($D$937:D1466)+3,0)),"")</f>
        <v>28</v>
      </c>
      <c r="O1467" s="497"/>
      <c r="P1467" s="497">
        <f t="shared" si="187"/>
        <v>0</v>
      </c>
      <c r="Q1467" s="497"/>
      <c r="R1467" s="497"/>
      <c r="S1467" s="497"/>
      <c r="T1467" s="503"/>
    </row>
    <row r="1468" spans="1:20" x14ac:dyDescent="0.35">
      <c r="A1468" s="497" t="b">
        <f t="shared" ca="1" si="177"/>
        <v>0</v>
      </c>
      <c r="B1468" s="497">
        <f t="shared" si="184"/>
        <v>169</v>
      </c>
      <c r="C1468" s="519" t="str">
        <f t="shared" ca="1" si="178"/>
        <v>a173p00000CH4EzAAL</v>
      </c>
      <c r="D1468" s="497"/>
      <c r="E1468" s="497">
        <f t="shared" ca="1" si="185"/>
        <v>1</v>
      </c>
      <c r="F1468" s="516">
        <f ca="1">IF(COUNTA(D$938:D1468)=1,"",OFFSET(F1466,-COUNTA(D$938:D1468)+3,0))</f>
        <v>29</v>
      </c>
      <c r="G1468" s="503" t="str">
        <f t="shared" ca="1" si="179"/>
        <v/>
      </c>
      <c r="H1468" s="497">
        <f t="shared" ca="1" si="186"/>
        <v>65</v>
      </c>
      <c r="I1468" s="500" t="str">
        <f t="shared" ca="1" si="180"/>
        <v/>
      </c>
      <c r="J1468" s="512" t="str">
        <f t="shared" ca="1" si="181"/>
        <v/>
      </c>
      <c r="K1468" s="512" t="str">
        <f t="shared" ca="1" si="182"/>
        <v/>
      </c>
      <c r="L1468" s="503" t="str">
        <f t="shared" ca="1" si="183"/>
        <v/>
      </c>
      <c r="M1468" s="515" t="str">
        <f ca="1">IFERROR(IF(COUNTIF($B$937:$B1467,"&lt;0")&lt;&gt;1,OFFSET($C1466,-COUNTIF($B$937:$B1467,"&lt;0")+3,0),""),"")</f>
        <v>a173p00000CH4EzAAL</v>
      </c>
      <c r="N1468" s="515">
        <f ca="1">IFERROR(IF(COUNTA($D$937:D1467)=1,0,OFFSET($F1466,-COUNTA($D$937:D1467)+3,0)),"")</f>
        <v>29</v>
      </c>
      <c r="O1468" s="497"/>
      <c r="P1468" s="497">
        <f t="shared" si="187"/>
        <v>0</v>
      </c>
      <c r="Q1468" s="497"/>
      <c r="R1468" s="497"/>
      <c r="S1468" s="497"/>
      <c r="T1468" s="503"/>
    </row>
    <row r="1469" spans="1:20" x14ac:dyDescent="0.35">
      <c r="A1469" s="497" t="b">
        <f t="shared" ca="1" si="177"/>
        <v>0</v>
      </c>
      <c r="B1469" s="497">
        <f t="shared" si="184"/>
        <v>170</v>
      </c>
      <c r="C1469" s="519" t="str">
        <f t="shared" ca="1" si="178"/>
        <v>a173p00000CH4FxAAL</v>
      </c>
      <c r="D1469" s="497"/>
      <c r="E1469" s="497">
        <f t="shared" ca="1" si="185"/>
        <v>2</v>
      </c>
      <c r="F1469" s="516">
        <f ca="1">IF(COUNTA(D$938:D1469)=1,"",OFFSET(F1467,-COUNTA(D$938:D1469)+3,0))</f>
        <v>29</v>
      </c>
      <c r="G1469" s="503" t="str">
        <f t="shared" ca="1" si="179"/>
        <v/>
      </c>
      <c r="H1469" s="497">
        <f t="shared" ca="1" si="186"/>
        <v>65</v>
      </c>
      <c r="I1469" s="500" t="str">
        <f t="shared" ca="1" si="180"/>
        <v/>
      </c>
      <c r="J1469" s="512" t="str">
        <f t="shared" ca="1" si="181"/>
        <v/>
      </c>
      <c r="K1469" s="512" t="str">
        <f t="shared" ca="1" si="182"/>
        <v/>
      </c>
      <c r="L1469" s="503" t="str">
        <f t="shared" ca="1" si="183"/>
        <v/>
      </c>
      <c r="M1469" s="515" t="str">
        <f ca="1">IFERROR(IF(COUNTIF($B$937:$B1468,"&lt;0")&lt;&gt;1,OFFSET($C1467,-COUNTIF($B$937:$B1468,"&lt;0")+3,0),""),"")</f>
        <v>a173p00000CH4FxAAL</v>
      </c>
      <c r="N1469" s="515">
        <f ca="1">IFERROR(IF(COUNTA($D$937:D1468)=1,0,OFFSET($F1467,-COUNTA($D$937:D1468)+3,0)),"")</f>
        <v>29</v>
      </c>
      <c r="O1469" s="497"/>
      <c r="P1469" s="497">
        <f t="shared" si="187"/>
        <v>0</v>
      </c>
      <c r="Q1469" s="497"/>
      <c r="R1469" s="497"/>
      <c r="S1469" s="497"/>
      <c r="T1469" s="503"/>
    </row>
    <row r="1470" spans="1:20" x14ac:dyDescent="0.35">
      <c r="A1470" s="497" t="b">
        <f t="shared" ca="1" si="177"/>
        <v>0</v>
      </c>
      <c r="B1470" s="497">
        <f t="shared" si="184"/>
        <v>171</v>
      </c>
      <c r="C1470" s="519" t="str">
        <f t="shared" ca="1" si="178"/>
        <v>a173p00000CH4GvAAL</v>
      </c>
      <c r="D1470" s="497"/>
      <c r="E1470" s="497">
        <f t="shared" ca="1" si="185"/>
        <v>3</v>
      </c>
      <c r="F1470" s="516">
        <f ca="1">IF(COUNTA(D$938:D1470)=1,"",OFFSET(F1468,-COUNTA(D$938:D1470)+3,0))</f>
        <v>29</v>
      </c>
      <c r="G1470" s="503" t="str">
        <f t="shared" ca="1" si="179"/>
        <v/>
      </c>
      <c r="H1470" s="497">
        <f t="shared" ca="1" si="186"/>
        <v>65</v>
      </c>
      <c r="I1470" s="500" t="str">
        <f t="shared" ca="1" si="180"/>
        <v/>
      </c>
      <c r="J1470" s="512" t="str">
        <f t="shared" ca="1" si="181"/>
        <v/>
      </c>
      <c r="K1470" s="512" t="str">
        <f t="shared" ca="1" si="182"/>
        <v/>
      </c>
      <c r="L1470" s="503" t="str">
        <f t="shared" ca="1" si="183"/>
        <v/>
      </c>
      <c r="M1470" s="515" t="str">
        <f ca="1">IFERROR(IF(COUNTIF($B$937:$B1469,"&lt;0")&lt;&gt;1,OFFSET($C1468,-COUNTIF($B$937:$B1469,"&lt;0")+3,0),""),"")</f>
        <v>a173p00000CH4GvAAL</v>
      </c>
      <c r="N1470" s="515">
        <f ca="1">IFERROR(IF(COUNTA($D$937:D1469)=1,0,OFFSET($F1468,-COUNTA($D$937:D1469)+3,0)),"")</f>
        <v>29</v>
      </c>
      <c r="O1470" s="497"/>
      <c r="P1470" s="497">
        <f t="shared" si="187"/>
        <v>0</v>
      </c>
      <c r="Q1470" s="497"/>
      <c r="R1470" s="497"/>
      <c r="S1470" s="497"/>
      <c r="T1470" s="503"/>
    </row>
    <row r="1471" spans="1:20" x14ac:dyDescent="0.35">
      <c r="A1471" s="497" t="b">
        <f t="shared" ca="1" si="177"/>
        <v>0</v>
      </c>
      <c r="B1471" s="497">
        <f t="shared" si="184"/>
        <v>172</v>
      </c>
      <c r="C1471" s="519" t="str">
        <f t="shared" ca="1" si="178"/>
        <v>a173p00000CH4HtAAL</v>
      </c>
      <c r="D1471" s="497"/>
      <c r="E1471" s="497">
        <f t="shared" ca="1" si="185"/>
        <v>4</v>
      </c>
      <c r="F1471" s="516">
        <f ca="1">IF(COUNTA(D$938:D1471)=1,"",OFFSET(F1469,-COUNTA(D$938:D1471)+3,0))</f>
        <v>29</v>
      </c>
      <c r="G1471" s="503" t="str">
        <f t="shared" ca="1" si="179"/>
        <v/>
      </c>
      <c r="H1471" s="497">
        <f t="shared" ca="1" si="186"/>
        <v>65</v>
      </c>
      <c r="I1471" s="500" t="str">
        <f t="shared" ca="1" si="180"/>
        <v/>
      </c>
      <c r="J1471" s="512" t="str">
        <f t="shared" ca="1" si="181"/>
        <v/>
      </c>
      <c r="K1471" s="512" t="str">
        <f t="shared" ca="1" si="182"/>
        <v/>
      </c>
      <c r="L1471" s="503" t="str">
        <f t="shared" ca="1" si="183"/>
        <v/>
      </c>
      <c r="M1471" s="515" t="str">
        <f ca="1">IFERROR(IF(COUNTIF($B$937:$B1470,"&lt;0")&lt;&gt;1,OFFSET($C1469,-COUNTIF($B$937:$B1470,"&lt;0")+3,0),""),"")</f>
        <v>a173p00000CH4HtAAL</v>
      </c>
      <c r="N1471" s="515">
        <f ca="1">IFERROR(IF(COUNTA($D$937:D1470)=1,0,OFFSET($F1469,-COUNTA($D$937:D1470)+3,0)),"")</f>
        <v>29</v>
      </c>
      <c r="O1471" s="497"/>
      <c r="P1471" s="497">
        <f t="shared" si="187"/>
        <v>0</v>
      </c>
      <c r="Q1471" s="497"/>
      <c r="R1471" s="497"/>
      <c r="S1471" s="497"/>
      <c r="T1471" s="503"/>
    </row>
    <row r="1472" spans="1:20" x14ac:dyDescent="0.35">
      <c r="A1472" s="497" t="b">
        <f t="shared" ca="1" si="177"/>
        <v>0</v>
      </c>
      <c r="B1472" s="497">
        <f t="shared" si="184"/>
        <v>173</v>
      </c>
      <c r="C1472" s="519" t="str">
        <f t="shared" ca="1" si="178"/>
        <v>a173p00000CH4IrAAL</v>
      </c>
      <c r="D1472" s="497"/>
      <c r="E1472" s="497">
        <f t="shared" ca="1" si="185"/>
        <v>5</v>
      </c>
      <c r="F1472" s="516">
        <f ca="1">IF(COUNTA(D$938:D1472)=1,"",OFFSET(F1470,-COUNTA(D$938:D1472)+3,0))</f>
        <v>29</v>
      </c>
      <c r="G1472" s="503" t="str">
        <f t="shared" ca="1" si="179"/>
        <v/>
      </c>
      <c r="H1472" s="497">
        <f t="shared" ca="1" si="186"/>
        <v>65</v>
      </c>
      <c r="I1472" s="500" t="str">
        <f t="shared" ca="1" si="180"/>
        <v/>
      </c>
      <c r="J1472" s="512" t="str">
        <f t="shared" ca="1" si="181"/>
        <v/>
      </c>
      <c r="K1472" s="512" t="str">
        <f t="shared" ca="1" si="182"/>
        <v/>
      </c>
      <c r="L1472" s="503" t="str">
        <f t="shared" ca="1" si="183"/>
        <v/>
      </c>
      <c r="M1472" s="515" t="str">
        <f ca="1">IFERROR(IF(COUNTIF($B$937:$B1471,"&lt;0")&lt;&gt;1,OFFSET($C1470,-COUNTIF($B$937:$B1471,"&lt;0")+3,0),""),"")</f>
        <v>a173p00000CH4IrAAL</v>
      </c>
      <c r="N1472" s="515">
        <f ca="1">IFERROR(IF(COUNTA($D$937:D1471)=1,0,OFFSET($F1470,-COUNTA($D$937:D1471)+3,0)),"")</f>
        <v>29</v>
      </c>
      <c r="O1472" s="497"/>
      <c r="P1472" s="497">
        <f t="shared" si="187"/>
        <v>0</v>
      </c>
      <c r="Q1472" s="497"/>
      <c r="R1472" s="497"/>
      <c r="S1472" s="497"/>
      <c r="T1472" s="503"/>
    </row>
    <row r="1473" spans="1:20" x14ac:dyDescent="0.35">
      <c r="A1473" s="497" t="b">
        <f t="shared" ca="1" si="177"/>
        <v>0</v>
      </c>
      <c r="B1473" s="497">
        <f t="shared" si="184"/>
        <v>174</v>
      </c>
      <c r="C1473" s="519" t="str">
        <f t="shared" ca="1" si="178"/>
        <v>a173p00000CH4JpAAL</v>
      </c>
      <c r="D1473" s="497"/>
      <c r="E1473" s="497">
        <f t="shared" ca="1" si="185"/>
        <v>6</v>
      </c>
      <c r="F1473" s="516">
        <f ca="1">IF(COUNTA(D$938:D1473)=1,"",OFFSET(F1471,-COUNTA(D$938:D1473)+3,0))</f>
        <v>29</v>
      </c>
      <c r="G1473" s="503" t="str">
        <f t="shared" ca="1" si="179"/>
        <v/>
      </c>
      <c r="H1473" s="497">
        <f t="shared" ca="1" si="186"/>
        <v>65</v>
      </c>
      <c r="I1473" s="500" t="str">
        <f t="shared" ca="1" si="180"/>
        <v/>
      </c>
      <c r="J1473" s="512" t="str">
        <f t="shared" ca="1" si="181"/>
        <v/>
      </c>
      <c r="K1473" s="512" t="str">
        <f t="shared" ca="1" si="182"/>
        <v/>
      </c>
      <c r="L1473" s="503" t="str">
        <f t="shared" ca="1" si="183"/>
        <v/>
      </c>
      <c r="M1473" s="515" t="str">
        <f ca="1">IFERROR(IF(COUNTIF($B$937:$B1472,"&lt;0")&lt;&gt;1,OFFSET($C1471,-COUNTIF($B$937:$B1472,"&lt;0")+3,0),""),"")</f>
        <v>a173p00000CH4JpAAL</v>
      </c>
      <c r="N1473" s="515">
        <f ca="1">IFERROR(IF(COUNTA($D$937:D1472)=1,0,OFFSET($F1471,-COUNTA($D$937:D1472)+3,0)),"")</f>
        <v>29</v>
      </c>
      <c r="O1473" s="497"/>
      <c r="P1473" s="497">
        <f t="shared" si="187"/>
        <v>0</v>
      </c>
      <c r="Q1473" s="497"/>
      <c r="R1473" s="497"/>
      <c r="S1473" s="497"/>
      <c r="T1473" s="503"/>
    </row>
    <row r="1474" spans="1:20" x14ac:dyDescent="0.35">
      <c r="A1474" s="497" t="b">
        <f t="shared" ca="1" si="177"/>
        <v>0</v>
      </c>
      <c r="B1474" s="497">
        <f t="shared" si="184"/>
        <v>175</v>
      </c>
      <c r="C1474" s="519" t="str">
        <f t="shared" ca="1" si="178"/>
        <v>a173p00000CH4F0AAL</v>
      </c>
      <c r="D1474" s="497"/>
      <c r="E1474" s="497">
        <f t="shared" ca="1" si="185"/>
        <v>1</v>
      </c>
      <c r="F1474" s="516">
        <f ca="1">IF(COUNTA(D$938:D1474)=1,"",OFFSET(F1472,-COUNTA(D$938:D1474)+3,0))</f>
        <v>30</v>
      </c>
      <c r="G1474" s="503" t="str">
        <f t="shared" ca="1" si="179"/>
        <v/>
      </c>
      <c r="H1474" s="497">
        <f t="shared" ca="1" si="186"/>
        <v>67</v>
      </c>
      <c r="I1474" s="500" t="str">
        <f t="shared" ca="1" si="180"/>
        <v/>
      </c>
      <c r="J1474" s="512" t="str">
        <f t="shared" ca="1" si="181"/>
        <v/>
      </c>
      <c r="K1474" s="512" t="str">
        <f t="shared" ca="1" si="182"/>
        <v/>
      </c>
      <c r="L1474" s="503" t="str">
        <f t="shared" ca="1" si="183"/>
        <v/>
      </c>
      <c r="M1474" s="515" t="str">
        <f ca="1">IFERROR(IF(COUNTIF($B$937:$B1473,"&lt;0")&lt;&gt;1,OFFSET($C1472,-COUNTIF($B$937:$B1473,"&lt;0")+3,0),""),"")</f>
        <v>a173p00000CH4F0AAL</v>
      </c>
      <c r="N1474" s="515">
        <f ca="1">IFERROR(IF(COUNTA($D$937:D1473)=1,0,OFFSET($F1472,-COUNTA($D$937:D1473)+3,0)),"")</f>
        <v>30</v>
      </c>
      <c r="O1474" s="497"/>
      <c r="P1474" s="497">
        <f t="shared" si="187"/>
        <v>0</v>
      </c>
      <c r="Q1474" s="497"/>
      <c r="R1474" s="497"/>
      <c r="S1474" s="497"/>
      <c r="T1474" s="503"/>
    </row>
    <row r="1475" spans="1:20" x14ac:dyDescent="0.35">
      <c r="A1475" s="497" t="b">
        <f t="shared" ca="1" si="177"/>
        <v>0</v>
      </c>
      <c r="B1475" s="497">
        <f t="shared" si="184"/>
        <v>176</v>
      </c>
      <c r="C1475" s="519" t="str">
        <f t="shared" ca="1" si="178"/>
        <v>a173p00000CH4FyAAL</v>
      </c>
      <c r="D1475" s="497"/>
      <c r="E1475" s="497">
        <f t="shared" ca="1" si="185"/>
        <v>2</v>
      </c>
      <c r="F1475" s="516">
        <f ca="1">IF(COUNTA(D$938:D1475)=1,"",OFFSET(F1473,-COUNTA(D$938:D1475)+3,0))</f>
        <v>30</v>
      </c>
      <c r="G1475" s="503" t="str">
        <f t="shared" ca="1" si="179"/>
        <v/>
      </c>
      <c r="H1475" s="497">
        <f t="shared" ca="1" si="186"/>
        <v>67</v>
      </c>
      <c r="I1475" s="500" t="str">
        <f t="shared" ca="1" si="180"/>
        <v/>
      </c>
      <c r="J1475" s="512" t="str">
        <f t="shared" ca="1" si="181"/>
        <v/>
      </c>
      <c r="K1475" s="512" t="str">
        <f t="shared" ca="1" si="182"/>
        <v/>
      </c>
      <c r="L1475" s="503" t="str">
        <f t="shared" ca="1" si="183"/>
        <v/>
      </c>
      <c r="M1475" s="515" t="str">
        <f ca="1">IFERROR(IF(COUNTIF($B$937:$B1474,"&lt;0")&lt;&gt;1,OFFSET($C1473,-COUNTIF($B$937:$B1474,"&lt;0")+3,0),""),"")</f>
        <v>a173p00000CH4FyAAL</v>
      </c>
      <c r="N1475" s="515">
        <f ca="1">IFERROR(IF(COUNTA($D$937:D1474)=1,0,OFFSET($F1473,-COUNTA($D$937:D1474)+3,0)),"")</f>
        <v>30</v>
      </c>
      <c r="O1475" s="497"/>
      <c r="P1475" s="497">
        <f t="shared" si="187"/>
        <v>0</v>
      </c>
      <c r="Q1475" s="497"/>
      <c r="R1475" s="497"/>
      <c r="S1475" s="497"/>
      <c r="T1475" s="503"/>
    </row>
    <row r="1476" spans="1:20" x14ac:dyDescent="0.35">
      <c r="A1476" s="497" t="b">
        <f t="shared" ca="1" si="177"/>
        <v>0</v>
      </c>
      <c r="B1476" s="497">
        <f t="shared" si="184"/>
        <v>177</v>
      </c>
      <c r="C1476" s="519" t="str">
        <f t="shared" ca="1" si="178"/>
        <v>a173p00000CH4GwAAL</v>
      </c>
      <c r="D1476" s="497"/>
      <c r="E1476" s="497">
        <f t="shared" ca="1" si="185"/>
        <v>3</v>
      </c>
      <c r="F1476" s="516">
        <f ca="1">IF(COUNTA(D$938:D1476)=1,"",OFFSET(F1474,-COUNTA(D$938:D1476)+3,0))</f>
        <v>30</v>
      </c>
      <c r="G1476" s="503" t="str">
        <f t="shared" ca="1" si="179"/>
        <v/>
      </c>
      <c r="H1476" s="497">
        <f t="shared" ca="1" si="186"/>
        <v>67</v>
      </c>
      <c r="I1476" s="500" t="str">
        <f t="shared" ca="1" si="180"/>
        <v/>
      </c>
      <c r="J1476" s="512" t="str">
        <f t="shared" ca="1" si="181"/>
        <v/>
      </c>
      <c r="K1476" s="512" t="str">
        <f t="shared" ca="1" si="182"/>
        <v/>
      </c>
      <c r="L1476" s="503" t="str">
        <f t="shared" ca="1" si="183"/>
        <v/>
      </c>
      <c r="M1476" s="515" t="str">
        <f ca="1">IFERROR(IF(COUNTIF($B$937:$B1475,"&lt;0")&lt;&gt;1,OFFSET($C1474,-COUNTIF($B$937:$B1475,"&lt;0")+3,0),""),"")</f>
        <v>a173p00000CH4GwAAL</v>
      </c>
      <c r="N1476" s="515">
        <f ca="1">IFERROR(IF(COUNTA($D$937:D1475)=1,0,OFFSET($F1474,-COUNTA($D$937:D1475)+3,0)),"")</f>
        <v>30</v>
      </c>
      <c r="O1476" s="497"/>
      <c r="P1476" s="497">
        <f t="shared" si="187"/>
        <v>0</v>
      </c>
      <c r="Q1476" s="497"/>
      <c r="R1476" s="497"/>
      <c r="S1476" s="497"/>
      <c r="T1476" s="503"/>
    </row>
    <row r="1477" spans="1:20" x14ac:dyDescent="0.35">
      <c r="A1477" s="497" t="b">
        <f t="shared" ca="1" si="177"/>
        <v>0</v>
      </c>
      <c r="B1477" s="497">
        <f t="shared" si="184"/>
        <v>178</v>
      </c>
      <c r="C1477" s="519" t="str">
        <f t="shared" ca="1" si="178"/>
        <v>a173p00000CH4HuAAL</v>
      </c>
      <c r="D1477" s="497"/>
      <c r="E1477" s="497">
        <f t="shared" ca="1" si="185"/>
        <v>4</v>
      </c>
      <c r="F1477" s="516">
        <f ca="1">IF(COUNTA(D$938:D1477)=1,"",OFFSET(F1475,-COUNTA(D$938:D1477)+3,0))</f>
        <v>30</v>
      </c>
      <c r="G1477" s="503" t="str">
        <f t="shared" ca="1" si="179"/>
        <v/>
      </c>
      <c r="H1477" s="497">
        <f t="shared" ca="1" si="186"/>
        <v>67</v>
      </c>
      <c r="I1477" s="500" t="str">
        <f t="shared" ca="1" si="180"/>
        <v/>
      </c>
      <c r="J1477" s="512" t="str">
        <f t="shared" ca="1" si="181"/>
        <v/>
      </c>
      <c r="K1477" s="512" t="str">
        <f t="shared" ca="1" si="182"/>
        <v/>
      </c>
      <c r="L1477" s="503" t="str">
        <f t="shared" ca="1" si="183"/>
        <v/>
      </c>
      <c r="M1477" s="515" t="str">
        <f ca="1">IFERROR(IF(COUNTIF($B$937:$B1476,"&lt;0")&lt;&gt;1,OFFSET($C1475,-COUNTIF($B$937:$B1476,"&lt;0")+3,0),""),"")</f>
        <v>a173p00000CH4HuAAL</v>
      </c>
      <c r="N1477" s="515">
        <f ca="1">IFERROR(IF(COUNTA($D$937:D1476)=1,0,OFFSET($F1475,-COUNTA($D$937:D1476)+3,0)),"")</f>
        <v>30</v>
      </c>
      <c r="O1477" s="497"/>
      <c r="P1477" s="497">
        <f t="shared" si="187"/>
        <v>0</v>
      </c>
      <c r="Q1477" s="497"/>
      <c r="R1477" s="497"/>
      <c r="S1477" s="497"/>
      <c r="T1477" s="503"/>
    </row>
    <row r="1478" spans="1:20" x14ac:dyDescent="0.35">
      <c r="A1478" s="497" t="b">
        <f t="shared" ca="1" si="177"/>
        <v>0</v>
      </c>
      <c r="B1478" s="497">
        <f t="shared" si="184"/>
        <v>179</v>
      </c>
      <c r="C1478" s="519" t="str">
        <f t="shared" ca="1" si="178"/>
        <v>a173p00000CH4IsAAL</v>
      </c>
      <c r="D1478" s="497"/>
      <c r="E1478" s="497">
        <f t="shared" ca="1" si="185"/>
        <v>5</v>
      </c>
      <c r="F1478" s="516">
        <f ca="1">IF(COUNTA(D$938:D1478)=1,"",OFFSET(F1476,-COUNTA(D$938:D1478)+3,0))</f>
        <v>30</v>
      </c>
      <c r="G1478" s="503" t="str">
        <f t="shared" ca="1" si="179"/>
        <v/>
      </c>
      <c r="H1478" s="497">
        <f t="shared" ca="1" si="186"/>
        <v>67</v>
      </c>
      <c r="I1478" s="500" t="str">
        <f t="shared" ca="1" si="180"/>
        <v/>
      </c>
      <c r="J1478" s="512" t="str">
        <f t="shared" ca="1" si="181"/>
        <v/>
      </c>
      <c r="K1478" s="512" t="str">
        <f t="shared" ca="1" si="182"/>
        <v/>
      </c>
      <c r="L1478" s="503" t="str">
        <f t="shared" ca="1" si="183"/>
        <v/>
      </c>
      <c r="M1478" s="515" t="str">
        <f ca="1">IFERROR(IF(COUNTIF($B$937:$B1477,"&lt;0")&lt;&gt;1,OFFSET($C1476,-COUNTIF($B$937:$B1477,"&lt;0")+3,0),""),"")</f>
        <v>a173p00000CH4IsAAL</v>
      </c>
      <c r="N1478" s="515">
        <f ca="1">IFERROR(IF(COUNTA($D$937:D1477)=1,0,OFFSET($F1476,-COUNTA($D$937:D1477)+3,0)),"")</f>
        <v>30</v>
      </c>
      <c r="O1478" s="497"/>
      <c r="P1478" s="497">
        <f t="shared" si="187"/>
        <v>0</v>
      </c>
      <c r="Q1478" s="497"/>
      <c r="R1478" s="497"/>
      <c r="S1478" s="497"/>
      <c r="T1478" s="503"/>
    </row>
    <row r="1479" spans="1:20" x14ac:dyDescent="0.35">
      <c r="A1479" s="497" t="b">
        <f t="shared" ca="1" si="177"/>
        <v>0</v>
      </c>
      <c r="B1479" s="497">
        <f t="shared" si="184"/>
        <v>180</v>
      </c>
      <c r="C1479" s="519" t="str">
        <f t="shared" ca="1" si="178"/>
        <v>a173p00000CH4JqAAL</v>
      </c>
      <c r="D1479" s="497"/>
      <c r="E1479" s="497">
        <f t="shared" ca="1" si="185"/>
        <v>6</v>
      </c>
      <c r="F1479" s="516">
        <f ca="1">IF(COUNTA(D$938:D1479)=1,"",OFFSET(F1477,-COUNTA(D$938:D1479)+3,0))</f>
        <v>30</v>
      </c>
      <c r="G1479" s="503" t="str">
        <f t="shared" ca="1" si="179"/>
        <v/>
      </c>
      <c r="H1479" s="497">
        <f t="shared" ca="1" si="186"/>
        <v>67</v>
      </c>
      <c r="I1479" s="500" t="str">
        <f t="shared" ca="1" si="180"/>
        <v/>
      </c>
      <c r="J1479" s="512" t="str">
        <f t="shared" ca="1" si="181"/>
        <v/>
      </c>
      <c r="K1479" s="512" t="str">
        <f t="shared" ca="1" si="182"/>
        <v/>
      </c>
      <c r="L1479" s="503" t="str">
        <f t="shared" ca="1" si="183"/>
        <v/>
      </c>
      <c r="M1479" s="515" t="str">
        <f ca="1">IFERROR(IF(COUNTIF($B$937:$B1478,"&lt;0")&lt;&gt;1,OFFSET($C1477,-COUNTIF($B$937:$B1478,"&lt;0")+3,0),""),"")</f>
        <v>a173p00000CH4JqAAL</v>
      </c>
      <c r="N1479" s="515">
        <f ca="1">IFERROR(IF(COUNTA($D$937:D1478)=1,0,OFFSET($F1477,-COUNTA($D$937:D1478)+3,0)),"")</f>
        <v>30</v>
      </c>
      <c r="O1479" s="497"/>
      <c r="P1479" s="497">
        <f t="shared" si="187"/>
        <v>0</v>
      </c>
      <c r="Q1479" s="497"/>
      <c r="R1479" s="497"/>
      <c r="S1479" s="497"/>
      <c r="T1479" s="503"/>
    </row>
    <row r="1480" spans="1:20" x14ac:dyDescent="0.35">
      <c r="A1480" s="497" t="b">
        <f t="shared" ca="1" si="177"/>
        <v>0</v>
      </c>
      <c r="B1480" s="497">
        <f t="shared" si="184"/>
        <v>181</v>
      </c>
      <c r="C1480" s="519" t="str">
        <f t="shared" ca="1" si="178"/>
        <v>a173p00000CH4F1AAL</v>
      </c>
      <c r="D1480" s="497"/>
      <c r="E1480" s="497">
        <f t="shared" ca="1" si="185"/>
        <v>1</v>
      </c>
      <c r="F1480" s="516">
        <f ca="1">IF(COUNTA(D$938:D1480)=1,"",OFFSET(F1478,-COUNTA(D$938:D1480)+3,0))</f>
        <v>31</v>
      </c>
      <c r="G1480" s="503" t="str">
        <f t="shared" ca="1" si="179"/>
        <v/>
      </c>
      <c r="H1480" s="497">
        <f t="shared" ca="1" si="186"/>
        <v>69</v>
      </c>
      <c r="I1480" s="500" t="str">
        <f t="shared" ca="1" si="180"/>
        <v/>
      </c>
      <c r="J1480" s="512" t="str">
        <f t="shared" ca="1" si="181"/>
        <v/>
      </c>
      <c r="K1480" s="512" t="str">
        <f t="shared" ca="1" si="182"/>
        <v/>
      </c>
      <c r="L1480" s="503" t="str">
        <f t="shared" ca="1" si="183"/>
        <v/>
      </c>
      <c r="M1480" s="515" t="str">
        <f ca="1">IFERROR(IF(COUNTIF($B$937:$B1479,"&lt;0")&lt;&gt;1,OFFSET($C1478,-COUNTIF($B$937:$B1479,"&lt;0")+3,0),""),"")</f>
        <v>a173p00000CH4F1AAL</v>
      </c>
      <c r="N1480" s="515">
        <f ca="1">IFERROR(IF(COUNTA($D$937:D1479)=1,0,OFFSET($F1478,-COUNTA($D$937:D1479)+3,0)),"")</f>
        <v>31</v>
      </c>
      <c r="O1480" s="497"/>
      <c r="P1480" s="497">
        <f t="shared" si="187"/>
        <v>0</v>
      </c>
      <c r="Q1480" s="497"/>
      <c r="R1480" s="497"/>
      <c r="S1480" s="497"/>
      <c r="T1480" s="503"/>
    </row>
    <row r="1481" spans="1:20" x14ac:dyDescent="0.35">
      <c r="A1481" s="497" t="b">
        <f t="shared" ca="1" si="177"/>
        <v>0</v>
      </c>
      <c r="B1481" s="497">
        <f t="shared" si="184"/>
        <v>182</v>
      </c>
      <c r="C1481" s="519" t="str">
        <f t="shared" ca="1" si="178"/>
        <v>a173p00000CH4FzAAL</v>
      </c>
      <c r="D1481" s="497"/>
      <c r="E1481" s="497">
        <f t="shared" ca="1" si="185"/>
        <v>2</v>
      </c>
      <c r="F1481" s="516">
        <f ca="1">IF(COUNTA(D$938:D1481)=1,"",OFFSET(F1479,-COUNTA(D$938:D1481)+3,0))</f>
        <v>31</v>
      </c>
      <c r="G1481" s="503" t="str">
        <f t="shared" ca="1" si="179"/>
        <v/>
      </c>
      <c r="H1481" s="497">
        <f t="shared" ca="1" si="186"/>
        <v>69</v>
      </c>
      <c r="I1481" s="500" t="str">
        <f t="shared" ca="1" si="180"/>
        <v/>
      </c>
      <c r="J1481" s="512" t="str">
        <f t="shared" ca="1" si="181"/>
        <v/>
      </c>
      <c r="K1481" s="512" t="str">
        <f t="shared" ca="1" si="182"/>
        <v/>
      </c>
      <c r="L1481" s="503" t="str">
        <f t="shared" ca="1" si="183"/>
        <v/>
      </c>
      <c r="M1481" s="515" t="str">
        <f ca="1">IFERROR(IF(COUNTIF($B$937:$B1480,"&lt;0")&lt;&gt;1,OFFSET($C1479,-COUNTIF($B$937:$B1480,"&lt;0")+3,0),""),"")</f>
        <v>a173p00000CH4FzAAL</v>
      </c>
      <c r="N1481" s="515">
        <f ca="1">IFERROR(IF(COUNTA($D$937:D1480)=1,0,OFFSET($F1479,-COUNTA($D$937:D1480)+3,0)),"")</f>
        <v>31</v>
      </c>
      <c r="O1481" s="497"/>
      <c r="P1481" s="497">
        <f t="shared" si="187"/>
        <v>0</v>
      </c>
      <c r="Q1481" s="497"/>
      <c r="R1481" s="497"/>
      <c r="S1481" s="497"/>
      <c r="T1481" s="503"/>
    </row>
    <row r="1482" spans="1:20" x14ac:dyDescent="0.35">
      <c r="A1482" s="497" t="b">
        <f t="shared" ca="1" si="177"/>
        <v>0</v>
      </c>
      <c r="B1482" s="497">
        <f t="shared" si="184"/>
        <v>183</v>
      </c>
      <c r="C1482" s="519" t="str">
        <f t="shared" ca="1" si="178"/>
        <v>a173p00000CH4GxAAL</v>
      </c>
      <c r="D1482" s="497"/>
      <c r="E1482" s="497">
        <f t="shared" ca="1" si="185"/>
        <v>3</v>
      </c>
      <c r="F1482" s="516">
        <f ca="1">IF(COUNTA(D$938:D1482)=1,"",OFFSET(F1480,-COUNTA(D$938:D1482)+3,0))</f>
        <v>31</v>
      </c>
      <c r="G1482" s="503" t="str">
        <f t="shared" ca="1" si="179"/>
        <v/>
      </c>
      <c r="H1482" s="497">
        <f t="shared" ca="1" si="186"/>
        <v>69</v>
      </c>
      <c r="I1482" s="500" t="str">
        <f t="shared" ca="1" si="180"/>
        <v/>
      </c>
      <c r="J1482" s="512" t="str">
        <f t="shared" ca="1" si="181"/>
        <v/>
      </c>
      <c r="K1482" s="512" t="str">
        <f t="shared" ca="1" si="182"/>
        <v/>
      </c>
      <c r="L1482" s="503" t="str">
        <f t="shared" ca="1" si="183"/>
        <v/>
      </c>
      <c r="M1482" s="515" t="str">
        <f ca="1">IFERROR(IF(COUNTIF($B$937:$B1481,"&lt;0")&lt;&gt;1,OFFSET($C1480,-COUNTIF($B$937:$B1481,"&lt;0")+3,0),""),"")</f>
        <v>a173p00000CH4GxAAL</v>
      </c>
      <c r="N1482" s="515">
        <f ca="1">IFERROR(IF(COUNTA($D$937:D1481)=1,0,OFFSET($F1480,-COUNTA($D$937:D1481)+3,0)),"")</f>
        <v>31</v>
      </c>
      <c r="O1482" s="497"/>
      <c r="P1482" s="497">
        <f t="shared" si="187"/>
        <v>0</v>
      </c>
      <c r="Q1482" s="497"/>
      <c r="R1482" s="497"/>
      <c r="S1482" s="497"/>
      <c r="T1482" s="503"/>
    </row>
    <row r="1483" spans="1:20" x14ac:dyDescent="0.35">
      <c r="A1483" s="497" t="b">
        <f t="shared" ca="1" si="177"/>
        <v>0</v>
      </c>
      <c r="B1483" s="497">
        <f t="shared" si="184"/>
        <v>184</v>
      </c>
      <c r="C1483" s="519" t="str">
        <f t="shared" ca="1" si="178"/>
        <v>a173p00000CH4HvAAL</v>
      </c>
      <c r="D1483" s="497"/>
      <c r="E1483" s="497">
        <f t="shared" ca="1" si="185"/>
        <v>4</v>
      </c>
      <c r="F1483" s="516">
        <f ca="1">IF(COUNTA(D$938:D1483)=1,"",OFFSET(F1481,-COUNTA(D$938:D1483)+3,0))</f>
        <v>31</v>
      </c>
      <c r="G1483" s="503" t="str">
        <f t="shared" ca="1" si="179"/>
        <v/>
      </c>
      <c r="H1483" s="497">
        <f t="shared" ca="1" si="186"/>
        <v>69</v>
      </c>
      <c r="I1483" s="500" t="str">
        <f t="shared" ca="1" si="180"/>
        <v/>
      </c>
      <c r="J1483" s="512" t="str">
        <f t="shared" ca="1" si="181"/>
        <v/>
      </c>
      <c r="K1483" s="512" t="str">
        <f t="shared" ca="1" si="182"/>
        <v/>
      </c>
      <c r="L1483" s="503" t="str">
        <f t="shared" ca="1" si="183"/>
        <v/>
      </c>
      <c r="M1483" s="515" t="str">
        <f ca="1">IFERROR(IF(COUNTIF($B$937:$B1482,"&lt;0")&lt;&gt;1,OFFSET($C1481,-COUNTIF($B$937:$B1482,"&lt;0")+3,0),""),"")</f>
        <v>a173p00000CH4HvAAL</v>
      </c>
      <c r="N1483" s="515">
        <f ca="1">IFERROR(IF(COUNTA($D$937:D1482)=1,0,OFFSET($F1481,-COUNTA($D$937:D1482)+3,0)),"")</f>
        <v>31</v>
      </c>
      <c r="O1483" s="497"/>
      <c r="P1483" s="497">
        <f t="shared" si="187"/>
        <v>0</v>
      </c>
      <c r="Q1483" s="497"/>
      <c r="R1483" s="497"/>
      <c r="S1483" s="497"/>
      <c r="T1483" s="503"/>
    </row>
    <row r="1484" spans="1:20" x14ac:dyDescent="0.35">
      <c r="A1484" s="497" t="b">
        <f t="shared" ca="1" si="177"/>
        <v>0</v>
      </c>
      <c r="B1484" s="497">
        <f t="shared" si="184"/>
        <v>185</v>
      </c>
      <c r="C1484" s="519" t="str">
        <f t="shared" ca="1" si="178"/>
        <v>a173p00000CH4ItAAL</v>
      </c>
      <c r="D1484" s="497"/>
      <c r="E1484" s="497">
        <f t="shared" ca="1" si="185"/>
        <v>5</v>
      </c>
      <c r="F1484" s="516">
        <f ca="1">IF(COUNTA(D$938:D1484)=1,"",OFFSET(F1482,-COUNTA(D$938:D1484)+3,0))</f>
        <v>31</v>
      </c>
      <c r="G1484" s="503" t="str">
        <f t="shared" ca="1" si="179"/>
        <v/>
      </c>
      <c r="H1484" s="497">
        <f t="shared" ca="1" si="186"/>
        <v>69</v>
      </c>
      <c r="I1484" s="500" t="str">
        <f t="shared" ca="1" si="180"/>
        <v/>
      </c>
      <c r="J1484" s="512" t="str">
        <f t="shared" ca="1" si="181"/>
        <v/>
      </c>
      <c r="K1484" s="512" t="str">
        <f t="shared" ca="1" si="182"/>
        <v/>
      </c>
      <c r="L1484" s="503" t="str">
        <f t="shared" ca="1" si="183"/>
        <v/>
      </c>
      <c r="M1484" s="515" t="str">
        <f ca="1">IFERROR(IF(COUNTIF($B$937:$B1483,"&lt;0")&lt;&gt;1,OFFSET($C1482,-COUNTIF($B$937:$B1483,"&lt;0")+3,0),""),"")</f>
        <v>a173p00000CH4ItAAL</v>
      </c>
      <c r="N1484" s="515">
        <f ca="1">IFERROR(IF(COUNTA($D$937:D1483)=1,0,OFFSET($F1482,-COUNTA($D$937:D1483)+3,0)),"")</f>
        <v>31</v>
      </c>
      <c r="O1484" s="497"/>
      <c r="P1484" s="497">
        <f t="shared" si="187"/>
        <v>0</v>
      </c>
      <c r="Q1484" s="497"/>
      <c r="R1484" s="497"/>
      <c r="S1484" s="497"/>
      <c r="T1484" s="503"/>
    </row>
    <row r="1485" spans="1:20" x14ac:dyDescent="0.35">
      <c r="A1485" s="497" t="b">
        <f t="shared" ca="1" si="177"/>
        <v>0</v>
      </c>
      <c r="B1485" s="497">
        <f t="shared" si="184"/>
        <v>186</v>
      </c>
      <c r="C1485" s="519" t="str">
        <f t="shared" ca="1" si="178"/>
        <v>a173p00000CH4JrAAL</v>
      </c>
      <c r="D1485" s="497"/>
      <c r="E1485" s="497">
        <f t="shared" ca="1" si="185"/>
        <v>6</v>
      </c>
      <c r="F1485" s="516">
        <f ca="1">IF(COUNTA(D$938:D1485)=1,"",OFFSET(F1483,-COUNTA(D$938:D1485)+3,0))</f>
        <v>31</v>
      </c>
      <c r="G1485" s="503" t="str">
        <f t="shared" ca="1" si="179"/>
        <v/>
      </c>
      <c r="H1485" s="497">
        <f t="shared" ca="1" si="186"/>
        <v>69</v>
      </c>
      <c r="I1485" s="500" t="str">
        <f t="shared" ca="1" si="180"/>
        <v/>
      </c>
      <c r="J1485" s="512" t="str">
        <f t="shared" ca="1" si="181"/>
        <v/>
      </c>
      <c r="K1485" s="512" t="str">
        <f t="shared" ca="1" si="182"/>
        <v/>
      </c>
      <c r="L1485" s="503" t="str">
        <f t="shared" ca="1" si="183"/>
        <v/>
      </c>
      <c r="M1485" s="515" t="str">
        <f ca="1">IFERROR(IF(COUNTIF($B$937:$B1484,"&lt;0")&lt;&gt;1,OFFSET($C1483,-COUNTIF($B$937:$B1484,"&lt;0")+3,0),""),"")</f>
        <v>a173p00000CH4JrAAL</v>
      </c>
      <c r="N1485" s="515">
        <f ca="1">IFERROR(IF(COUNTA($D$937:D1484)=1,0,OFFSET($F1483,-COUNTA($D$937:D1484)+3,0)),"")</f>
        <v>31</v>
      </c>
      <c r="O1485" s="497"/>
      <c r="P1485" s="497">
        <f t="shared" si="187"/>
        <v>0</v>
      </c>
      <c r="Q1485" s="497"/>
      <c r="R1485" s="497"/>
      <c r="S1485" s="497"/>
      <c r="T1485" s="503"/>
    </row>
    <row r="1486" spans="1:20" x14ac:dyDescent="0.35">
      <c r="A1486" s="497" t="b">
        <f t="shared" ca="1" si="177"/>
        <v>0</v>
      </c>
      <c r="B1486" s="497">
        <f t="shared" si="184"/>
        <v>187</v>
      </c>
      <c r="C1486" s="519" t="str">
        <f t="shared" ca="1" si="178"/>
        <v>a173p00000CH4F2AAL</v>
      </c>
      <c r="D1486" s="497"/>
      <c r="E1486" s="497">
        <f t="shared" ca="1" si="185"/>
        <v>1</v>
      </c>
      <c r="F1486" s="516">
        <f ca="1">IF(COUNTA(D$938:D1486)=1,"",OFFSET(F1484,-COUNTA(D$938:D1486)+3,0))</f>
        <v>32</v>
      </c>
      <c r="G1486" s="503" t="str">
        <f t="shared" ca="1" si="179"/>
        <v/>
      </c>
      <c r="H1486" s="497">
        <f t="shared" ca="1" si="186"/>
        <v>71</v>
      </c>
      <c r="I1486" s="500" t="str">
        <f t="shared" ca="1" si="180"/>
        <v/>
      </c>
      <c r="J1486" s="512" t="str">
        <f t="shared" ca="1" si="181"/>
        <v/>
      </c>
      <c r="K1486" s="512" t="str">
        <f t="shared" ca="1" si="182"/>
        <v/>
      </c>
      <c r="L1486" s="503" t="str">
        <f t="shared" ca="1" si="183"/>
        <v/>
      </c>
      <c r="M1486" s="515" t="str">
        <f ca="1">IFERROR(IF(COUNTIF($B$937:$B1485,"&lt;0")&lt;&gt;1,OFFSET($C1484,-COUNTIF($B$937:$B1485,"&lt;0")+3,0),""),"")</f>
        <v>a173p00000CH4F2AAL</v>
      </c>
      <c r="N1486" s="515">
        <f ca="1">IFERROR(IF(COUNTA($D$937:D1485)=1,0,OFFSET($F1484,-COUNTA($D$937:D1485)+3,0)),"")</f>
        <v>32</v>
      </c>
      <c r="O1486" s="497"/>
      <c r="P1486" s="497">
        <f t="shared" si="187"/>
        <v>0</v>
      </c>
      <c r="Q1486" s="497"/>
      <c r="R1486" s="497"/>
      <c r="S1486" s="497"/>
      <c r="T1486" s="503"/>
    </row>
    <row r="1487" spans="1:20" x14ac:dyDescent="0.35">
      <c r="A1487" s="497" t="b">
        <f t="shared" ca="1" si="177"/>
        <v>0</v>
      </c>
      <c r="B1487" s="497">
        <f t="shared" si="184"/>
        <v>188</v>
      </c>
      <c r="C1487" s="519" t="str">
        <f t="shared" ca="1" si="178"/>
        <v>a173p00000CH4G0AAL</v>
      </c>
      <c r="D1487" s="497"/>
      <c r="E1487" s="497">
        <f t="shared" ca="1" si="185"/>
        <v>2</v>
      </c>
      <c r="F1487" s="516">
        <f ca="1">IF(COUNTA(D$938:D1487)=1,"",OFFSET(F1485,-COUNTA(D$938:D1487)+3,0))</f>
        <v>32</v>
      </c>
      <c r="G1487" s="503" t="str">
        <f t="shared" ca="1" si="179"/>
        <v/>
      </c>
      <c r="H1487" s="497">
        <f t="shared" ca="1" si="186"/>
        <v>71</v>
      </c>
      <c r="I1487" s="500" t="str">
        <f t="shared" ca="1" si="180"/>
        <v/>
      </c>
      <c r="J1487" s="512" t="str">
        <f t="shared" ca="1" si="181"/>
        <v/>
      </c>
      <c r="K1487" s="512" t="str">
        <f t="shared" ca="1" si="182"/>
        <v/>
      </c>
      <c r="L1487" s="503" t="str">
        <f t="shared" ca="1" si="183"/>
        <v/>
      </c>
      <c r="M1487" s="515" t="str">
        <f ca="1">IFERROR(IF(COUNTIF($B$937:$B1486,"&lt;0")&lt;&gt;1,OFFSET($C1485,-COUNTIF($B$937:$B1486,"&lt;0")+3,0),""),"")</f>
        <v>a173p00000CH4G0AAL</v>
      </c>
      <c r="N1487" s="515">
        <f ca="1">IFERROR(IF(COUNTA($D$937:D1486)=1,0,OFFSET($F1485,-COUNTA($D$937:D1486)+3,0)),"")</f>
        <v>32</v>
      </c>
      <c r="O1487" s="497"/>
      <c r="P1487" s="497">
        <f t="shared" si="187"/>
        <v>0</v>
      </c>
      <c r="Q1487" s="497"/>
      <c r="R1487" s="497"/>
      <c r="S1487" s="497"/>
      <c r="T1487" s="503"/>
    </row>
    <row r="1488" spans="1:20" x14ac:dyDescent="0.35">
      <c r="A1488" s="497" t="b">
        <f t="shared" ca="1" si="177"/>
        <v>0</v>
      </c>
      <c r="B1488" s="497">
        <f t="shared" si="184"/>
        <v>189</v>
      </c>
      <c r="C1488" s="519" t="str">
        <f t="shared" ca="1" si="178"/>
        <v>a173p00000CH4GyAAL</v>
      </c>
      <c r="D1488" s="497"/>
      <c r="E1488" s="497">
        <f t="shared" ca="1" si="185"/>
        <v>3</v>
      </c>
      <c r="F1488" s="516">
        <f ca="1">IF(COUNTA(D$938:D1488)=1,"",OFFSET(F1486,-COUNTA(D$938:D1488)+3,0))</f>
        <v>32</v>
      </c>
      <c r="G1488" s="503" t="str">
        <f t="shared" ca="1" si="179"/>
        <v/>
      </c>
      <c r="H1488" s="497">
        <f t="shared" ca="1" si="186"/>
        <v>71</v>
      </c>
      <c r="I1488" s="500" t="str">
        <f t="shared" ca="1" si="180"/>
        <v/>
      </c>
      <c r="J1488" s="512" t="str">
        <f t="shared" ca="1" si="181"/>
        <v/>
      </c>
      <c r="K1488" s="512" t="str">
        <f t="shared" ca="1" si="182"/>
        <v/>
      </c>
      <c r="L1488" s="503" t="str">
        <f t="shared" ca="1" si="183"/>
        <v/>
      </c>
      <c r="M1488" s="515" t="str">
        <f ca="1">IFERROR(IF(COUNTIF($B$937:$B1487,"&lt;0")&lt;&gt;1,OFFSET($C1486,-COUNTIF($B$937:$B1487,"&lt;0")+3,0),""),"")</f>
        <v>a173p00000CH4GyAAL</v>
      </c>
      <c r="N1488" s="515">
        <f ca="1">IFERROR(IF(COUNTA($D$937:D1487)=1,0,OFFSET($F1486,-COUNTA($D$937:D1487)+3,0)),"")</f>
        <v>32</v>
      </c>
      <c r="O1488" s="497"/>
      <c r="P1488" s="497">
        <f t="shared" si="187"/>
        <v>0</v>
      </c>
      <c r="Q1488" s="497"/>
      <c r="R1488" s="497"/>
      <c r="S1488" s="497"/>
      <c r="T1488" s="503"/>
    </row>
    <row r="1489" spans="1:20" x14ac:dyDescent="0.35">
      <c r="A1489" s="497" t="b">
        <f t="shared" ca="1" si="177"/>
        <v>0</v>
      </c>
      <c r="B1489" s="497">
        <f t="shared" si="184"/>
        <v>190</v>
      </c>
      <c r="C1489" s="519" t="str">
        <f t="shared" ca="1" si="178"/>
        <v>a173p00000CH4HwAAL</v>
      </c>
      <c r="D1489" s="497"/>
      <c r="E1489" s="497">
        <f t="shared" ca="1" si="185"/>
        <v>4</v>
      </c>
      <c r="F1489" s="516">
        <f ca="1">IF(COUNTA(D$938:D1489)=1,"",OFFSET(F1487,-COUNTA(D$938:D1489)+3,0))</f>
        <v>32</v>
      </c>
      <c r="G1489" s="503" t="str">
        <f t="shared" ca="1" si="179"/>
        <v/>
      </c>
      <c r="H1489" s="497">
        <f t="shared" ca="1" si="186"/>
        <v>71</v>
      </c>
      <c r="I1489" s="500" t="str">
        <f t="shared" ca="1" si="180"/>
        <v/>
      </c>
      <c r="J1489" s="512" t="str">
        <f t="shared" ca="1" si="181"/>
        <v/>
      </c>
      <c r="K1489" s="512" t="str">
        <f t="shared" ca="1" si="182"/>
        <v/>
      </c>
      <c r="L1489" s="503" t="str">
        <f t="shared" ca="1" si="183"/>
        <v/>
      </c>
      <c r="M1489" s="515" t="str">
        <f ca="1">IFERROR(IF(COUNTIF($B$937:$B1488,"&lt;0")&lt;&gt;1,OFFSET($C1487,-COUNTIF($B$937:$B1488,"&lt;0")+3,0),""),"")</f>
        <v>a173p00000CH4HwAAL</v>
      </c>
      <c r="N1489" s="515">
        <f ca="1">IFERROR(IF(COUNTA($D$937:D1488)=1,0,OFFSET($F1487,-COUNTA($D$937:D1488)+3,0)),"")</f>
        <v>32</v>
      </c>
      <c r="O1489" s="497"/>
      <c r="P1489" s="497">
        <f t="shared" si="187"/>
        <v>0</v>
      </c>
      <c r="Q1489" s="497"/>
      <c r="R1489" s="497"/>
      <c r="S1489" s="497"/>
      <c r="T1489" s="503"/>
    </row>
    <row r="1490" spans="1:20" x14ac:dyDescent="0.35">
      <c r="A1490" s="497" t="b">
        <f t="shared" ca="1" si="177"/>
        <v>0</v>
      </c>
      <c r="B1490" s="497">
        <f t="shared" si="184"/>
        <v>191</v>
      </c>
      <c r="C1490" s="519" t="str">
        <f t="shared" ca="1" si="178"/>
        <v>a173p00000CH4IuAAL</v>
      </c>
      <c r="D1490" s="497"/>
      <c r="E1490" s="497">
        <f t="shared" ca="1" si="185"/>
        <v>5</v>
      </c>
      <c r="F1490" s="516">
        <f ca="1">IF(COUNTA(D$938:D1490)=1,"",OFFSET(F1488,-COUNTA(D$938:D1490)+3,0))</f>
        <v>32</v>
      </c>
      <c r="G1490" s="503" t="str">
        <f t="shared" ca="1" si="179"/>
        <v/>
      </c>
      <c r="H1490" s="497">
        <f t="shared" ca="1" si="186"/>
        <v>71</v>
      </c>
      <c r="I1490" s="500" t="str">
        <f t="shared" ca="1" si="180"/>
        <v/>
      </c>
      <c r="J1490" s="512" t="str">
        <f t="shared" ca="1" si="181"/>
        <v/>
      </c>
      <c r="K1490" s="512" t="str">
        <f t="shared" ca="1" si="182"/>
        <v/>
      </c>
      <c r="L1490" s="503" t="str">
        <f t="shared" ca="1" si="183"/>
        <v/>
      </c>
      <c r="M1490" s="515" t="str">
        <f ca="1">IFERROR(IF(COUNTIF($B$937:$B1489,"&lt;0")&lt;&gt;1,OFFSET($C1488,-COUNTIF($B$937:$B1489,"&lt;0")+3,0),""),"")</f>
        <v>a173p00000CH4IuAAL</v>
      </c>
      <c r="N1490" s="515">
        <f ca="1">IFERROR(IF(COUNTA($D$937:D1489)=1,0,OFFSET($F1488,-COUNTA($D$937:D1489)+3,0)),"")</f>
        <v>32</v>
      </c>
      <c r="O1490" s="497"/>
      <c r="P1490" s="497">
        <f t="shared" si="187"/>
        <v>0</v>
      </c>
      <c r="Q1490" s="497"/>
      <c r="R1490" s="497"/>
      <c r="S1490" s="497"/>
      <c r="T1490" s="503"/>
    </row>
    <row r="1491" spans="1:20" x14ac:dyDescent="0.35">
      <c r="A1491" s="497" t="b">
        <f t="shared" ca="1" si="177"/>
        <v>0</v>
      </c>
      <c r="B1491" s="497">
        <f t="shared" si="184"/>
        <v>192</v>
      </c>
      <c r="C1491" s="519" t="str">
        <f t="shared" ca="1" si="178"/>
        <v>a173p00000CH4JsAAL</v>
      </c>
      <c r="D1491" s="497"/>
      <c r="E1491" s="497">
        <f t="shared" ca="1" si="185"/>
        <v>6</v>
      </c>
      <c r="F1491" s="516">
        <f ca="1">IF(COUNTA(D$938:D1491)=1,"",OFFSET(F1489,-COUNTA(D$938:D1491)+3,0))</f>
        <v>32</v>
      </c>
      <c r="G1491" s="503" t="str">
        <f t="shared" ca="1" si="179"/>
        <v/>
      </c>
      <c r="H1491" s="497">
        <f t="shared" ca="1" si="186"/>
        <v>71</v>
      </c>
      <c r="I1491" s="500" t="str">
        <f t="shared" ca="1" si="180"/>
        <v/>
      </c>
      <c r="J1491" s="512" t="str">
        <f t="shared" ca="1" si="181"/>
        <v/>
      </c>
      <c r="K1491" s="512" t="str">
        <f t="shared" ca="1" si="182"/>
        <v/>
      </c>
      <c r="L1491" s="503" t="str">
        <f t="shared" ca="1" si="183"/>
        <v/>
      </c>
      <c r="M1491" s="515" t="str">
        <f ca="1">IFERROR(IF(COUNTIF($B$937:$B1490,"&lt;0")&lt;&gt;1,OFFSET($C1489,-COUNTIF($B$937:$B1490,"&lt;0")+3,0),""),"")</f>
        <v>a173p00000CH4JsAAL</v>
      </c>
      <c r="N1491" s="515">
        <f ca="1">IFERROR(IF(COUNTA($D$937:D1490)=1,0,OFFSET($F1489,-COUNTA($D$937:D1490)+3,0)),"")</f>
        <v>32</v>
      </c>
      <c r="O1491" s="497"/>
      <c r="P1491" s="497">
        <f t="shared" si="187"/>
        <v>0</v>
      </c>
      <c r="Q1491" s="497"/>
      <c r="R1491" s="497"/>
      <c r="S1491" s="497"/>
      <c r="T1491" s="503"/>
    </row>
    <row r="1492" spans="1:20" x14ac:dyDescent="0.35">
      <c r="A1492" s="497" t="b">
        <f t="shared" ref="A1492:A1555" ca="1" si="188">IF(OR(I1492&lt;&gt;"",J1492&lt;&gt;"",K1492&lt;&gt;"",L1492&lt;&gt;""),TRUE,FALSE)</f>
        <v>0</v>
      </c>
      <c r="B1492" s="497">
        <f t="shared" si="184"/>
        <v>193</v>
      </c>
      <c r="C1492" s="519" t="str">
        <f t="shared" ref="C1492:C1555" ca="1" si="189">M1492</f>
        <v>a173p00000CH4F3AAL</v>
      </c>
      <c r="D1492" s="497"/>
      <c r="E1492" s="497">
        <f t="shared" ca="1" si="185"/>
        <v>1</v>
      </c>
      <c r="F1492" s="516">
        <f ca="1">IF(COUNTA(D$938:D1492)=1,"",OFFSET(F1490,-COUNTA(D$938:D1492)+3,0))</f>
        <v>33</v>
      </c>
      <c r="G1492" s="503" t="str">
        <f t="shared" ref="G1492:G1555" ca="1" si="190">IFERROR(IF(INDIRECT("'Coverage Indicators - Section I'!G"&amp;$I556)=0,"",INDIRECT("'Coverage Indicators - Section I'!G"&amp;$I556)),"")</f>
        <v/>
      </c>
      <c r="H1492" s="497">
        <f t="shared" ca="1" si="186"/>
        <v>73</v>
      </c>
      <c r="I1492" s="500" t="str">
        <f t="shared" ref="I1492:I1555" ca="1" si="191">IFERROR(CHOOSE(E1492,IFERROR(IF(INDIRECT("'Coverage Indicators - Section D'!P"&amp;H1492)="","",INDIRECT("'Coverage Indicators - Section D'!P"&amp;H1492)*100),""),IFERROR(IF(INDIRECT("'Coverage Indicators - Section D'!S"&amp;H1492)="","",INDIRECT("'Coverage Indicators - Section D'!S"&amp;H1492)*100),""),IFERROR(IF(INDIRECT("'Coverage Indicators - Section D'!V"&amp;H1492)="","",INDIRECT("'Coverage Indicators - Section D'!V"&amp;H1492)*100),""),IFERROR(IF(INDIRECT("'Coverage Indicators - Section D'!Y"&amp;H1492)="","",INDIRECT("'Coverage Indicators - Section D'!Y"&amp;H1492)*100),""),IFERROR(IF(INDIRECT("'Coverage Indicators - Section D'!AB"&amp;H1492)="","",INDIRECT("'Coverage Indicators - Section D'!AB"&amp;H1492)*100),""),IFERROR(IF(INDIRECT("'Coverage Indicators - Section D'!AE"&amp;H1492)="","",INDIRECT("'Coverage Indicators - Section D'!AE"&amp;H1492)*100),""),IFERROR(IF(INDIRECT("'Coverage Indicators - SectionD'!AH"&amp;H1492)="","",INDIRECT("'CoverageIndicators-SectionD'!AH"&amp;H1492)*100),"")),"")</f>
        <v/>
      </c>
      <c r="J1492" s="512" t="str">
        <f t="shared" ref="J1492:J1555" ca="1" si="192">IFERROR(CHOOSE(E1492,IFERROR(IF(INDIRECT("'Coverage Indicators - Section D'!O"&amp;H1492+1)="","",INDIRECT("'Coverage Indicators - Section D'!O"&amp;H1492+1)),""),IFERROR(IF(INDIRECT("'Coverage Indicators - Section D'!R"&amp;H1492+1)="","",INDIRECT("'Coverage Indicators - Section D'!R"&amp;H1492+1)),""),IFERROR(IF(INDIRECT("'Coverage Indicators - Section D'!U"&amp;H1492+1)="","",INDIRECT("'Coverage Indicators - Section D'!U"&amp;H1492+1)),""),IFERROR(IF(INDIRECT("'Coverage Indicators - Section D'!X"&amp;H1492+1)="","",INDIRECT("'Coverage Indicators - Section D'!X"&amp;H1492+1)),""),IFERROR(IF(INDIRECT("'Coverage Indicators - Section D'!AA"&amp;H1492+1)="","",INDIRECT("'Coverage Indicators - Section D'!AA"&amp;H1492+1)),""),IFERROR(IF(INDIRECT("'Coverage Indicators - Section D'!AD"&amp;H1492+1)="","",INDIRECT("'Coverage Indicators - Section D'!AD"&amp;H1492+1)),""),IFERROR(IF(INDIRECT("'Coverage Indicators - Section D'!AG"&amp;H1492+1)="","",INDIRECT("'Coverage Indicators - Section D'!AG"&amp;H1492+1)),""),IFERROR(IF(INDIRECT("'Coverage Indicators - Section D'!AJ"&amp;H1492+1)="","",INDIRECT("'Coverage Indicators - Section D'!AJ"&amp;H1492+1)),"")),"")</f>
        <v/>
      </c>
      <c r="K1492" s="512" t="str">
        <f t="shared" ref="K1492:K1555" ca="1" si="193">IFERROR(CHOOSE(E1492,IFERROR(IF(INDIRECT("'Coverage Indicators - Section D'!O"&amp;H1492)="","",INDIRECT("'Coverage Indicators - Section D'!O"&amp;H1492)),""),IFERROR(IF(INDIRECT("'Coverage Indicators - Section D'!R"&amp;H1492)="","",INDIRECT("'Coverage Indicators - Section D'!R"&amp;H1492)),""),IFERROR(IF(INDIRECT("'Coverage Indicators - Section D'!U"&amp;H1492)="","",INDIRECT("'Coverage Indicators - Section D'!U"&amp;H1492)),""),IFERROR(IF(INDIRECT("'Coverage Indicators - Section D'!X"&amp;H1492)="","",INDIRECT("'Coverage Indicators - Section D'!X"&amp;H1492)),""),IFERROR(IF(INDIRECT("'Coverage Indicators - Section D'!AA"&amp;H1492)="","",INDIRECT("'Coverage Indicators - Section D'!AA"&amp;H1492)),""),IFERROR(IF(INDIRECT("'Coverage Indicators - Section D'!AD"&amp;H1492)="","",INDIRECT("'Coverage Indicators - Section D'!AD"&amp;H1492)),""),IFERROR(IF(INDIRECT("'Coverage Indicators - Section D'!AG"&amp;H1492)="","",INDIRECT("'Coverage Indicators - Section D'!AG"&amp;H1492)),""),IFERROR(IF(INDIRECT("'Coverage Indicators - Section D'!AJ"&amp;H1492)="","",INDIRECT("'Coverage Indicators - Section D'!AJ"&amp;H1492)),"")),"")</f>
        <v/>
      </c>
      <c r="L1492" s="503" t="str">
        <f t="shared" ref="L1492:L1555" ca="1" si="194">IF(IFERROR(CHOOSE(E1492,IFERROR(IF(INDIRECT("'Coverage Indicators - Section D'!Q"&amp;H1492)=0,"",INDIRECT("'Coverage Indicators - Section D'!Q"&amp;H1492)),""),IFERROR(IF(INDIRECT("'Coverage Indicators - Section D'!T"&amp;H1492)=0,"",INDIRECT("'Coverage Indicators - Section D'!T"&amp;H1492)),""),IFERROR(IF(INDIRECT("'Coverage Indicators - Section D'!W"&amp;H1492)=0,"",INDIRECT("'Coverage Indicators - Section D'!W"&amp;H1492)),""),IFERROR(IF(INDIRECT("'Coverage Indicators - Section D'!Z"&amp;H1492)=0,"",INDIRECT("'Coverage Indicators - Section D'!Z"&amp;H1492)),""),IFERROR(IF(INDIRECT("'Coverage Indicators - Section D'!AC"&amp;H1492)=0,"",INDIRECT("'Coverage Indicators - Section D'!AC"&amp;H1492)),""),IFERROR(IF(INDIRECT("'Coverage Indicators - Section D'!AF"&amp;H1492)=0,"",INDIRECT("'Coverage Indicators - Section D'!AF"&amp;H1492)),""),IFERROR(IF(INDIRECT("'Coverage Indicators - Section D'!AI"&amp;H1492)=0,"",INDIRECT("'Coverage Indicators - Section D'!AI"&amp;H1492)),""),IFERROR(IF(INDIRECT("'Coverage Indicators - Section D'!AL"&amp;H1492)=0,"",INDIRECT("'Coverage Indicators - Section D'!AL"&amp;H1492)),"")),"")=0,"",CHOOSE(E1492,IFERROR(IF(INDIRECT("'Coverage Indicators - Section D'!Q"&amp;H1492)=0,"",INDIRECT("'Coverage Indicators - Section D'!Q"&amp;H1492)),""),IFERROR(IF(INDIRECT("'Coverage Indicators - Section D'!T"&amp;H1492)=0,"",INDIRECT("'Coverage Indicators - Section D'!T"&amp;H1492)),""),IFERROR(IF(INDIRECT("'Coverage Indicators - Section D'!W"&amp;H1492)=0,"",INDIRECT("'Coverage Indicators - Section D'!W"&amp;H1492)),""),IFERROR(IF(INDIRECT("'Coverage Indicators - Section D'!Z"&amp;H1492)=0,"",INDIRECT("'Coverage Indicators - Section D'!Z"&amp;H1492)),""),IFERROR(IF(INDIRECT("'Coverage Indicators - Section D'!AC"&amp;H1492)=0,"",INDIRECT("'Coverage Indicators - Section D'!AC"&amp;H1492)),""),IFERROR(IF(INDIRECT("'Coverage Indicators - Section D'!AF"&amp;H1492)=0,"",INDIRECT("'Coverage Indicators - Section D'!AF"&amp;H1492)),""),IFERROR(IF(INDIRECT("'Coverage Indicators - Section D'!AI"&amp;H1492)=0,"",INDIRECT("'Coverage Indicators - Section D'!AI"&amp;H1492)),""),IFERROR(IF(INDIRECT("'Coverage Indicators - Section D'!AL"&amp;H1492)=0,"",INDIRECT("'Coverage Indicators - Section D'!AL"&amp;H1492)),"")))</f>
        <v/>
      </c>
      <c r="M1492" s="515" t="str">
        <f ca="1">IFERROR(IF(COUNTIF($B$937:$B1491,"&lt;0")&lt;&gt;1,OFFSET($C1490,-COUNTIF($B$937:$B1491,"&lt;0")+3,0),""),"")</f>
        <v>a173p00000CH4F3AAL</v>
      </c>
      <c r="N1492" s="515">
        <f ca="1">IFERROR(IF(COUNTA($D$937:D1491)=1,0,OFFSET($F1490,-COUNTA($D$937:D1491)+3,0)),"")</f>
        <v>33</v>
      </c>
      <c r="O1492" s="497"/>
      <c r="P1492" s="497">
        <f t="shared" si="187"/>
        <v>0</v>
      </c>
      <c r="Q1492" s="497"/>
      <c r="R1492" s="497"/>
      <c r="S1492" s="497"/>
      <c r="T1492" s="503"/>
    </row>
    <row r="1493" spans="1:20" x14ac:dyDescent="0.35">
      <c r="A1493" s="497" t="b">
        <f t="shared" ca="1" si="188"/>
        <v>0</v>
      </c>
      <c r="B1493" s="497">
        <f t="shared" si="184"/>
        <v>194</v>
      </c>
      <c r="C1493" s="519" t="str">
        <f t="shared" ca="1" si="189"/>
        <v>a173p00000CH4G1AAL</v>
      </c>
      <c r="D1493" s="497"/>
      <c r="E1493" s="497">
        <f t="shared" ca="1" si="185"/>
        <v>2</v>
      </c>
      <c r="F1493" s="516">
        <f ca="1">IF(COUNTA(D$938:D1493)=1,"",OFFSET(F1491,-COUNTA(D$938:D1493)+3,0))</f>
        <v>33</v>
      </c>
      <c r="G1493" s="503" t="str">
        <f t="shared" ca="1" si="190"/>
        <v/>
      </c>
      <c r="H1493" s="497">
        <f t="shared" ca="1" si="186"/>
        <v>73</v>
      </c>
      <c r="I1493" s="500" t="str">
        <f t="shared" ca="1" si="191"/>
        <v/>
      </c>
      <c r="J1493" s="512" t="str">
        <f t="shared" ca="1" si="192"/>
        <v/>
      </c>
      <c r="K1493" s="512" t="str">
        <f t="shared" ca="1" si="193"/>
        <v/>
      </c>
      <c r="L1493" s="503" t="str">
        <f t="shared" ca="1" si="194"/>
        <v/>
      </c>
      <c r="M1493" s="515" t="str">
        <f ca="1">IFERROR(IF(COUNTIF($B$937:$B1492,"&lt;0")&lt;&gt;1,OFFSET($C1491,-COUNTIF($B$937:$B1492,"&lt;0")+3,0),""),"")</f>
        <v>a173p00000CH4G1AAL</v>
      </c>
      <c r="N1493" s="515">
        <f ca="1">IFERROR(IF(COUNTA($D$937:D1492)=1,0,OFFSET($F1491,-COUNTA($D$937:D1492)+3,0)),"")</f>
        <v>33</v>
      </c>
      <c r="O1493" s="497"/>
      <c r="P1493" s="497">
        <f t="shared" si="187"/>
        <v>0</v>
      </c>
      <c r="Q1493" s="497"/>
      <c r="R1493" s="497"/>
      <c r="S1493" s="497"/>
      <c r="T1493" s="503"/>
    </row>
    <row r="1494" spans="1:20" x14ac:dyDescent="0.35">
      <c r="A1494" s="497" t="b">
        <f t="shared" ca="1" si="188"/>
        <v>0</v>
      </c>
      <c r="B1494" s="497">
        <f t="shared" si="184"/>
        <v>195</v>
      </c>
      <c r="C1494" s="519" t="str">
        <f t="shared" ca="1" si="189"/>
        <v>a173p00000CH4GzAAL</v>
      </c>
      <c r="D1494" s="497"/>
      <c r="E1494" s="497">
        <f t="shared" ca="1" si="185"/>
        <v>3</v>
      </c>
      <c r="F1494" s="516">
        <f ca="1">IF(COUNTA(D$938:D1494)=1,"",OFFSET(F1492,-COUNTA(D$938:D1494)+3,0))</f>
        <v>33</v>
      </c>
      <c r="G1494" s="503" t="str">
        <f t="shared" ca="1" si="190"/>
        <v/>
      </c>
      <c r="H1494" s="497">
        <f t="shared" ca="1" si="186"/>
        <v>73</v>
      </c>
      <c r="I1494" s="500" t="str">
        <f t="shared" ca="1" si="191"/>
        <v/>
      </c>
      <c r="J1494" s="512" t="str">
        <f t="shared" ca="1" si="192"/>
        <v/>
      </c>
      <c r="K1494" s="512" t="str">
        <f t="shared" ca="1" si="193"/>
        <v/>
      </c>
      <c r="L1494" s="503" t="str">
        <f t="shared" ca="1" si="194"/>
        <v/>
      </c>
      <c r="M1494" s="515" t="str">
        <f ca="1">IFERROR(IF(COUNTIF($B$937:$B1493,"&lt;0")&lt;&gt;1,OFFSET($C1492,-COUNTIF($B$937:$B1493,"&lt;0")+3,0),""),"")</f>
        <v>a173p00000CH4GzAAL</v>
      </c>
      <c r="N1494" s="515">
        <f ca="1">IFERROR(IF(COUNTA($D$937:D1493)=1,0,OFFSET($F1492,-COUNTA($D$937:D1493)+3,0)),"")</f>
        <v>33</v>
      </c>
      <c r="O1494" s="497"/>
      <c r="P1494" s="497">
        <f t="shared" si="187"/>
        <v>0</v>
      </c>
      <c r="Q1494" s="497"/>
      <c r="R1494" s="497"/>
      <c r="S1494" s="497"/>
      <c r="T1494" s="503"/>
    </row>
    <row r="1495" spans="1:20" x14ac:dyDescent="0.35">
      <c r="A1495" s="497" t="b">
        <f t="shared" ca="1" si="188"/>
        <v>0</v>
      </c>
      <c r="B1495" s="497">
        <f t="shared" si="184"/>
        <v>196</v>
      </c>
      <c r="C1495" s="519" t="str">
        <f t="shared" ca="1" si="189"/>
        <v>a173p00000CH4HxAAL</v>
      </c>
      <c r="D1495" s="497"/>
      <c r="E1495" s="497">
        <f t="shared" ca="1" si="185"/>
        <v>4</v>
      </c>
      <c r="F1495" s="516">
        <f ca="1">IF(COUNTA(D$938:D1495)=1,"",OFFSET(F1493,-COUNTA(D$938:D1495)+3,0))</f>
        <v>33</v>
      </c>
      <c r="G1495" s="503" t="str">
        <f t="shared" ca="1" si="190"/>
        <v/>
      </c>
      <c r="H1495" s="497">
        <f t="shared" ca="1" si="186"/>
        <v>73</v>
      </c>
      <c r="I1495" s="500" t="str">
        <f t="shared" ca="1" si="191"/>
        <v/>
      </c>
      <c r="J1495" s="512" t="str">
        <f t="shared" ca="1" si="192"/>
        <v/>
      </c>
      <c r="K1495" s="512" t="str">
        <f t="shared" ca="1" si="193"/>
        <v/>
      </c>
      <c r="L1495" s="503" t="str">
        <f t="shared" ca="1" si="194"/>
        <v/>
      </c>
      <c r="M1495" s="515" t="str">
        <f ca="1">IFERROR(IF(COUNTIF($B$937:$B1494,"&lt;0")&lt;&gt;1,OFFSET($C1493,-COUNTIF($B$937:$B1494,"&lt;0")+3,0),""),"")</f>
        <v>a173p00000CH4HxAAL</v>
      </c>
      <c r="N1495" s="515">
        <f ca="1">IFERROR(IF(COUNTA($D$937:D1494)=1,0,OFFSET($F1493,-COUNTA($D$937:D1494)+3,0)),"")</f>
        <v>33</v>
      </c>
      <c r="O1495" s="497"/>
      <c r="P1495" s="497">
        <f t="shared" si="187"/>
        <v>0</v>
      </c>
      <c r="Q1495" s="497"/>
      <c r="R1495" s="497"/>
      <c r="S1495" s="497"/>
      <c r="T1495" s="503"/>
    </row>
    <row r="1496" spans="1:20" x14ac:dyDescent="0.35">
      <c r="A1496" s="497" t="b">
        <f t="shared" ca="1" si="188"/>
        <v>0</v>
      </c>
      <c r="B1496" s="497">
        <f t="shared" si="184"/>
        <v>197</v>
      </c>
      <c r="C1496" s="519" t="str">
        <f t="shared" ca="1" si="189"/>
        <v>a173p00000CH4IvAAL</v>
      </c>
      <c r="D1496" s="497"/>
      <c r="E1496" s="497">
        <f t="shared" ca="1" si="185"/>
        <v>5</v>
      </c>
      <c r="F1496" s="516">
        <f ca="1">IF(COUNTA(D$938:D1496)=1,"",OFFSET(F1494,-COUNTA(D$938:D1496)+3,0))</f>
        <v>33</v>
      </c>
      <c r="G1496" s="503" t="str">
        <f t="shared" ca="1" si="190"/>
        <v/>
      </c>
      <c r="H1496" s="497">
        <f t="shared" ca="1" si="186"/>
        <v>73</v>
      </c>
      <c r="I1496" s="500" t="str">
        <f t="shared" ca="1" si="191"/>
        <v/>
      </c>
      <c r="J1496" s="512" t="str">
        <f t="shared" ca="1" si="192"/>
        <v/>
      </c>
      <c r="K1496" s="512" t="str">
        <f t="shared" ca="1" si="193"/>
        <v/>
      </c>
      <c r="L1496" s="503" t="str">
        <f t="shared" ca="1" si="194"/>
        <v/>
      </c>
      <c r="M1496" s="515" t="str">
        <f ca="1">IFERROR(IF(COUNTIF($B$937:$B1495,"&lt;0")&lt;&gt;1,OFFSET($C1494,-COUNTIF($B$937:$B1495,"&lt;0")+3,0),""),"")</f>
        <v>a173p00000CH4IvAAL</v>
      </c>
      <c r="N1496" s="515">
        <f ca="1">IFERROR(IF(COUNTA($D$937:D1495)=1,0,OFFSET($F1494,-COUNTA($D$937:D1495)+3,0)),"")</f>
        <v>33</v>
      </c>
      <c r="O1496" s="497"/>
      <c r="P1496" s="497">
        <f t="shared" si="187"/>
        <v>0</v>
      </c>
      <c r="Q1496" s="497"/>
      <c r="R1496" s="497"/>
      <c r="S1496" s="497"/>
      <c r="T1496" s="503"/>
    </row>
    <row r="1497" spans="1:20" x14ac:dyDescent="0.35">
      <c r="A1497" s="497" t="b">
        <f t="shared" ca="1" si="188"/>
        <v>0</v>
      </c>
      <c r="B1497" s="497">
        <f t="shared" si="184"/>
        <v>198</v>
      </c>
      <c r="C1497" s="519" t="str">
        <f t="shared" ca="1" si="189"/>
        <v>a173p00000CH4JtAAL</v>
      </c>
      <c r="D1497" s="497"/>
      <c r="E1497" s="497">
        <f t="shared" ca="1" si="185"/>
        <v>6</v>
      </c>
      <c r="F1497" s="516">
        <f ca="1">IF(COUNTA(D$938:D1497)=1,"",OFFSET(F1495,-COUNTA(D$938:D1497)+3,0))</f>
        <v>33</v>
      </c>
      <c r="G1497" s="503" t="str">
        <f t="shared" ca="1" si="190"/>
        <v/>
      </c>
      <c r="H1497" s="497">
        <f t="shared" ca="1" si="186"/>
        <v>73</v>
      </c>
      <c r="I1497" s="500" t="str">
        <f t="shared" ca="1" si="191"/>
        <v/>
      </c>
      <c r="J1497" s="512" t="str">
        <f t="shared" ca="1" si="192"/>
        <v/>
      </c>
      <c r="K1497" s="512" t="str">
        <f t="shared" ca="1" si="193"/>
        <v/>
      </c>
      <c r="L1497" s="503" t="str">
        <f t="shared" ca="1" si="194"/>
        <v/>
      </c>
      <c r="M1497" s="515" t="str">
        <f ca="1">IFERROR(IF(COUNTIF($B$937:$B1496,"&lt;0")&lt;&gt;1,OFFSET($C1495,-COUNTIF($B$937:$B1496,"&lt;0")+3,0),""),"")</f>
        <v>a173p00000CH4JtAAL</v>
      </c>
      <c r="N1497" s="515">
        <f ca="1">IFERROR(IF(COUNTA($D$937:D1496)=1,0,OFFSET($F1495,-COUNTA($D$937:D1496)+3,0)),"")</f>
        <v>33</v>
      </c>
      <c r="O1497" s="497"/>
      <c r="P1497" s="497">
        <f t="shared" si="187"/>
        <v>0</v>
      </c>
      <c r="Q1497" s="497"/>
      <c r="R1497" s="497"/>
      <c r="S1497" s="497"/>
      <c r="T1497" s="503"/>
    </row>
    <row r="1498" spans="1:20" x14ac:dyDescent="0.35">
      <c r="A1498" s="497" t="b">
        <f t="shared" ca="1" si="188"/>
        <v>0</v>
      </c>
      <c r="B1498" s="497">
        <f t="shared" si="184"/>
        <v>199</v>
      </c>
      <c r="C1498" s="519" t="str">
        <f t="shared" ca="1" si="189"/>
        <v>a173p00000CH4F4AAL</v>
      </c>
      <c r="D1498" s="497"/>
      <c r="E1498" s="497">
        <f t="shared" ca="1" si="185"/>
        <v>1</v>
      </c>
      <c r="F1498" s="516">
        <f ca="1">IF(COUNTA(D$938:D1498)=1,"",OFFSET(F1496,-COUNTA(D$938:D1498)+3,0))</f>
        <v>34</v>
      </c>
      <c r="G1498" s="503" t="str">
        <f t="shared" ca="1" si="190"/>
        <v/>
      </c>
      <c r="H1498" s="497">
        <f t="shared" ca="1" si="186"/>
        <v>75</v>
      </c>
      <c r="I1498" s="500" t="str">
        <f t="shared" ca="1" si="191"/>
        <v/>
      </c>
      <c r="J1498" s="512" t="str">
        <f t="shared" ca="1" si="192"/>
        <v/>
      </c>
      <c r="K1498" s="512" t="str">
        <f t="shared" ca="1" si="193"/>
        <v/>
      </c>
      <c r="L1498" s="503" t="str">
        <f t="shared" ca="1" si="194"/>
        <v/>
      </c>
      <c r="M1498" s="515" t="str">
        <f ca="1">IFERROR(IF(COUNTIF($B$937:$B1497,"&lt;0")&lt;&gt;1,OFFSET($C1496,-COUNTIF($B$937:$B1497,"&lt;0")+3,0),""),"")</f>
        <v>a173p00000CH4F4AAL</v>
      </c>
      <c r="N1498" s="515">
        <f ca="1">IFERROR(IF(COUNTA($D$937:D1497)=1,0,OFFSET($F1496,-COUNTA($D$937:D1497)+3,0)),"")</f>
        <v>34</v>
      </c>
      <c r="O1498" s="497"/>
      <c r="P1498" s="497">
        <f t="shared" si="187"/>
        <v>0</v>
      </c>
      <c r="Q1498" s="497"/>
      <c r="R1498" s="497"/>
      <c r="S1498" s="497"/>
      <c r="T1498" s="503"/>
    </row>
    <row r="1499" spans="1:20" x14ac:dyDescent="0.35">
      <c r="A1499" s="497" t="b">
        <f t="shared" ca="1" si="188"/>
        <v>0</v>
      </c>
      <c r="B1499" s="497">
        <f t="shared" si="184"/>
        <v>200</v>
      </c>
      <c r="C1499" s="519" t="str">
        <f t="shared" ca="1" si="189"/>
        <v>a173p00000CH4G2AAL</v>
      </c>
      <c r="D1499" s="497"/>
      <c r="E1499" s="497">
        <f t="shared" ca="1" si="185"/>
        <v>2</v>
      </c>
      <c r="F1499" s="516">
        <f ca="1">IF(COUNTA(D$938:D1499)=1,"",OFFSET(F1497,-COUNTA(D$938:D1499)+3,0))</f>
        <v>34</v>
      </c>
      <c r="G1499" s="503" t="str">
        <f t="shared" ca="1" si="190"/>
        <v/>
      </c>
      <c r="H1499" s="497">
        <f t="shared" ca="1" si="186"/>
        <v>75</v>
      </c>
      <c r="I1499" s="500" t="str">
        <f t="shared" ca="1" si="191"/>
        <v/>
      </c>
      <c r="J1499" s="512" t="str">
        <f t="shared" ca="1" si="192"/>
        <v/>
      </c>
      <c r="K1499" s="512" t="str">
        <f t="shared" ca="1" si="193"/>
        <v/>
      </c>
      <c r="L1499" s="503" t="str">
        <f t="shared" ca="1" si="194"/>
        <v/>
      </c>
      <c r="M1499" s="515" t="str">
        <f ca="1">IFERROR(IF(COUNTIF($B$937:$B1498,"&lt;0")&lt;&gt;1,OFFSET($C1497,-COUNTIF($B$937:$B1498,"&lt;0")+3,0),""),"")</f>
        <v>a173p00000CH4G2AAL</v>
      </c>
      <c r="N1499" s="515">
        <f ca="1">IFERROR(IF(COUNTA($D$937:D1498)=1,0,OFFSET($F1497,-COUNTA($D$937:D1498)+3,0)),"")</f>
        <v>34</v>
      </c>
      <c r="O1499" s="497"/>
      <c r="P1499" s="497">
        <f t="shared" si="187"/>
        <v>0</v>
      </c>
      <c r="Q1499" s="497"/>
      <c r="R1499" s="497"/>
      <c r="S1499" s="497"/>
      <c r="T1499" s="503"/>
    </row>
    <row r="1500" spans="1:20" x14ac:dyDescent="0.35">
      <c r="A1500" s="497" t="b">
        <f t="shared" ca="1" si="188"/>
        <v>0</v>
      </c>
      <c r="B1500" s="497">
        <f t="shared" si="184"/>
        <v>201</v>
      </c>
      <c r="C1500" s="519" t="str">
        <f t="shared" ca="1" si="189"/>
        <v>a173p00000CH4H0AAL</v>
      </c>
      <c r="D1500" s="497"/>
      <c r="E1500" s="497">
        <f t="shared" ca="1" si="185"/>
        <v>3</v>
      </c>
      <c r="F1500" s="516">
        <f ca="1">IF(COUNTA(D$938:D1500)=1,"",OFFSET(F1498,-COUNTA(D$938:D1500)+3,0))</f>
        <v>34</v>
      </c>
      <c r="G1500" s="503" t="str">
        <f t="shared" ca="1" si="190"/>
        <v/>
      </c>
      <c r="H1500" s="497">
        <f t="shared" ca="1" si="186"/>
        <v>75</v>
      </c>
      <c r="I1500" s="500" t="str">
        <f t="shared" ca="1" si="191"/>
        <v/>
      </c>
      <c r="J1500" s="512" t="str">
        <f t="shared" ca="1" si="192"/>
        <v/>
      </c>
      <c r="K1500" s="512" t="str">
        <f t="shared" ca="1" si="193"/>
        <v/>
      </c>
      <c r="L1500" s="503" t="str">
        <f t="shared" ca="1" si="194"/>
        <v/>
      </c>
      <c r="M1500" s="515" t="str">
        <f ca="1">IFERROR(IF(COUNTIF($B$937:$B1499,"&lt;0")&lt;&gt;1,OFFSET($C1498,-COUNTIF($B$937:$B1499,"&lt;0")+3,0),""),"")</f>
        <v>a173p00000CH4H0AAL</v>
      </c>
      <c r="N1500" s="515">
        <f ca="1">IFERROR(IF(COUNTA($D$937:D1499)=1,0,OFFSET($F1498,-COUNTA($D$937:D1499)+3,0)),"")</f>
        <v>34</v>
      </c>
      <c r="O1500" s="497"/>
      <c r="P1500" s="497">
        <f t="shared" si="187"/>
        <v>0</v>
      </c>
      <c r="Q1500" s="497"/>
      <c r="R1500" s="497"/>
      <c r="S1500" s="497"/>
      <c r="T1500" s="503"/>
    </row>
    <row r="1501" spans="1:20" x14ac:dyDescent="0.35">
      <c r="A1501" s="497" t="b">
        <f t="shared" ca="1" si="188"/>
        <v>0</v>
      </c>
      <c r="B1501" s="497">
        <f t="shared" si="184"/>
        <v>202</v>
      </c>
      <c r="C1501" s="519" t="str">
        <f t="shared" ca="1" si="189"/>
        <v>a173p00000CH4HyAAL</v>
      </c>
      <c r="D1501" s="497"/>
      <c r="E1501" s="497">
        <f t="shared" ca="1" si="185"/>
        <v>4</v>
      </c>
      <c r="F1501" s="516">
        <f ca="1">IF(COUNTA(D$938:D1501)=1,"",OFFSET(F1499,-COUNTA(D$938:D1501)+3,0))</f>
        <v>34</v>
      </c>
      <c r="G1501" s="503" t="str">
        <f t="shared" ca="1" si="190"/>
        <v/>
      </c>
      <c r="H1501" s="497">
        <f t="shared" ca="1" si="186"/>
        <v>75</v>
      </c>
      <c r="I1501" s="500" t="str">
        <f t="shared" ca="1" si="191"/>
        <v/>
      </c>
      <c r="J1501" s="512" t="str">
        <f t="shared" ca="1" si="192"/>
        <v/>
      </c>
      <c r="K1501" s="512" t="str">
        <f t="shared" ca="1" si="193"/>
        <v/>
      </c>
      <c r="L1501" s="503" t="str">
        <f t="shared" ca="1" si="194"/>
        <v/>
      </c>
      <c r="M1501" s="515" t="str">
        <f ca="1">IFERROR(IF(COUNTIF($B$937:$B1500,"&lt;0")&lt;&gt;1,OFFSET($C1499,-COUNTIF($B$937:$B1500,"&lt;0")+3,0),""),"")</f>
        <v>a173p00000CH4HyAAL</v>
      </c>
      <c r="N1501" s="515">
        <f ca="1">IFERROR(IF(COUNTA($D$937:D1500)=1,0,OFFSET($F1499,-COUNTA($D$937:D1500)+3,0)),"")</f>
        <v>34</v>
      </c>
      <c r="O1501" s="497"/>
      <c r="P1501" s="497">
        <f t="shared" si="187"/>
        <v>0</v>
      </c>
      <c r="Q1501" s="497"/>
      <c r="R1501" s="497"/>
      <c r="S1501" s="497"/>
      <c r="T1501" s="503"/>
    </row>
    <row r="1502" spans="1:20" x14ac:dyDescent="0.35">
      <c r="A1502" s="497" t="b">
        <f t="shared" ca="1" si="188"/>
        <v>0</v>
      </c>
      <c r="B1502" s="497">
        <f t="shared" si="184"/>
        <v>203</v>
      </c>
      <c r="C1502" s="519" t="str">
        <f t="shared" ca="1" si="189"/>
        <v>a173p00000CH4IwAAL</v>
      </c>
      <c r="D1502" s="497"/>
      <c r="E1502" s="497">
        <f t="shared" ca="1" si="185"/>
        <v>5</v>
      </c>
      <c r="F1502" s="516">
        <f ca="1">IF(COUNTA(D$938:D1502)=1,"",OFFSET(F1500,-COUNTA(D$938:D1502)+3,0))</f>
        <v>34</v>
      </c>
      <c r="G1502" s="503" t="str">
        <f t="shared" ca="1" si="190"/>
        <v/>
      </c>
      <c r="H1502" s="497">
        <f t="shared" ca="1" si="186"/>
        <v>75</v>
      </c>
      <c r="I1502" s="500" t="str">
        <f t="shared" ca="1" si="191"/>
        <v/>
      </c>
      <c r="J1502" s="512" t="str">
        <f t="shared" ca="1" si="192"/>
        <v/>
      </c>
      <c r="K1502" s="512" t="str">
        <f t="shared" ca="1" si="193"/>
        <v/>
      </c>
      <c r="L1502" s="503" t="str">
        <f t="shared" ca="1" si="194"/>
        <v/>
      </c>
      <c r="M1502" s="515" t="str">
        <f ca="1">IFERROR(IF(COUNTIF($B$937:$B1501,"&lt;0")&lt;&gt;1,OFFSET($C1500,-COUNTIF($B$937:$B1501,"&lt;0")+3,0),""),"")</f>
        <v>a173p00000CH4IwAAL</v>
      </c>
      <c r="N1502" s="515">
        <f ca="1">IFERROR(IF(COUNTA($D$937:D1501)=1,0,OFFSET($F1500,-COUNTA($D$937:D1501)+3,0)),"")</f>
        <v>34</v>
      </c>
      <c r="O1502" s="497"/>
      <c r="P1502" s="497">
        <f t="shared" si="187"/>
        <v>0</v>
      </c>
      <c r="Q1502" s="497"/>
      <c r="R1502" s="497"/>
      <c r="S1502" s="497"/>
      <c r="T1502" s="503"/>
    </row>
    <row r="1503" spans="1:20" x14ac:dyDescent="0.35">
      <c r="A1503" s="497" t="b">
        <f t="shared" ca="1" si="188"/>
        <v>0</v>
      </c>
      <c r="B1503" s="497">
        <f t="shared" si="184"/>
        <v>204</v>
      </c>
      <c r="C1503" s="519" t="str">
        <f t="shared" ca="1" si="189"/>
        <v>a173p00000CH4JuAAL</v>
      </c>
      <c r="D1503" s="497"/>
      <c r="E1503" s="497">
        <f t="shared" ca="1" si="185"/>
        <v>6</v>
      </c>
      <c r="F1503" s="516">
        <f ca="1">IF(COUNTA(D$938:D1503)=1,"",OFFSET(F1501,-COUNTA(D$938:D1503)+3,0))</f>
        <v>34</v>
      </c>
      <c r="G1503" s="503" t="str">
        <f t="shared" ca="1" si="190"/>
        <v/>
      </c>
      <c r="H1503" s="497">
        <f t="shared" ca="1" si="186"/>
        <v>75</v>
      </c>
      <c r="I1503" s="500" t="str">
        <f t="shared" ca="1" si="191"/>
        <v/>
      </c>
      <c r="J1503" s="512" t="str">
        <f t="shared" ca="1" si="192"/>
        <v/>
      </c>
      <c r="K1503" s="512" t="str">
        <f t="shared" ca="1" si="193"/>
        <v/>
      </c>
      <c r="L1503" s="503" t="str">
        <f t="shared" ca="1" si="194"/>
        <v/>
      </c>
      <c r="M1503" s="515" t="str">
        <f ca="1">IFERROR(IF(COUNTIF($B$937:$B1502,"&lt;0")&lt;&gt;1,OFFSET($C1501,-COUNTIF($B$937:$B1502,"&lt;0")+3,0),""),"")</f>
        <v>a173p00000CH4JuAAL</v>
      </c>
      <c r="N1503" s="515">
        <f ca="1">IFERROR(IF(COUNTA($D$937:D1502)=1,0,OFFSET($F1501,-COUNTA($D$937:D1502)+3,0)),"")</f>
        <v>34</v>
      </c>
      <c r="O1503" s="497"/>
      <c r="P1503" s="497">
        <f t="shared" si="187"/>
        <v>0</v>
      </c>
      <c r="Q1503" s="497"/>
      <c r="R1503" s="497"/>
      <c r="S1503" s="497"/>
      <c r="T1503" s="503"/>
    </row>
    <row r="1504" spans="1:20" x14ac:dyDescent="0.35">
      <c r="A1504" s="497" t="b">
        <f t="shared" ca="1" si="188"/>
        <v>0</v>
      </c>
      <c r="B1504" s="497">
        <f t="shared" si="184"/>
        <v>205</v>
      </c>
      <c r="C1504" s="519" t="str">
        <f t="shared" ca="1" si="189"/>
        <v>a173p00000CH4F5AAL</v>
      </c>
      <c r="D1504" s="497"/>
      <c r="E1504" s="497">
        <f t="shared" ca="1" si="185"/>
        <v>1</v>
      </c>
      <c r="F1504" s="516">
        <f ca="1">IF(COUNTA(D$938:D1504)=1,"",OFFSET(F1502,-COUNTA(D$938:D1504)+3,0))</f>
        <v>35</v>
      </c>
      <c r="G1504" s="503" t="str">
        <f t="shared" ca="1" si="190"/>
        <v/>
      </c>
      <c r="H1504" s="497">
        <f t="shared" ca="1" si="186"/>
        <v>77</v>
      </c>
      <c r="I1504" s="500" t="str">
        <f t="shared" ca="1" si="191"/>
        <v/>
      </c>
      <c r="J1504" s="512" t="str">
        <f t="shared" ca="1" si="192"/>
        <v/>
      </c>
      <c r="K1504" s="512" t="str">
        <f t="shared" ca="1" si="193"/>
        <v/>
      </c>
      <c r="L1504" s="503" t="str">
        <f t="shared" ca="1" si="194"/>
        <v/>
      </c>
      <c r="M1504" s="515" t="str">
        <f ca="1">IFERROR(IF(COUNTIF($B$937:$B1503,"&lt;0")&lt;&gt;1,OFFSET($C1502,-COUNTIF($B$937:$B1503,"&lt;0")+3,0),""),"")</f>
        <v>a173p00000CH4F5AAL</v>
      </c>
      <c r="N1504" s="515">
        <f ca="1">IFERROR(IF(COUNTA($D$937:D1503)=1,0,OFFSET($F1502,-COUNTA($D$937:D1503)+3,0)),"")</f>
        <v>35</v>
      </c>
      <c r="O1504" s="497"/>
      <c r="P1504" s="497">
        <f t="shared" si="187"/>
        <v>0</v>
      </c>
      <c r="Q1504" s="497"/>
      <c r="R1504" s="497"/>
      <c r="S1504" s="497"/>
      <c r="T1504" s="503"/>
    </row>
    <row r="1505" spans="1:20" x14ac:dyDescent="0.35">
      <c r="A1505" s="497" t="b">
        <f t="shared" ca="1" si="188"/>
        <v>0</v>
      </c>
      <c r="B1505" s="497">
        <f t="shared" si="184"/>
        <v>206</v>
      </c>
      <c r="C1505" s="519" t="str">
        <f t="shared" ca="1" si="189"/>
        <v>a173p00000CH4G3AAL</v>
      </c>
      <c r="D1505" s="497"/>
      <c r="E1505" s="497">
        <f t="shared" ca="1" si="185"/>
        <v>2</v>
      </c>
      <c r="F1505" s="516">
        <f ca="1">IF(COUNTA(D$938:D1505)=1,"",OFFSET(F1503,-COUNTA(D$938:D1505)+3,0))</f>
        <v>35</v>
      </c>
      <c r="G1505" s="503" t="str">
        <f t="shared" ca="1" si="190"/>
        <v/>
      </c>
      <c r="H1505" s="497">
        <f t="shared" ca="1" si="186"/>
        <v>77</v>
      </c>
      <c r="I1505" s="500" t="str">
        <f t="shared" ca="1" si="191"/>
        <v/>
      </c>
      <c r="J1505" s="512" t="str">
        <f t="shared" ca="1" si="192"/>
        <v/>
      </c>
      <c r="K1505" s="512" t="str">
        <f t="shared" ca="1" si="193"/>
        <v/>
      </c>
      <c r="L1505" s="503" t="str">
        <f t="shared" ca="1" si="194"/>
        <v/>
      </c>
      <c r="M1505" s="515" t="str">
        <f ca="1">IFERROR(IF(COUNTIF($B$937:$B1504,"&lt;0")&lt;&gt;1,OFFSET($C1503,-COUNTIF($B$937:$B1504,"&lt;0")+3,0),""),"")</f>
        <v>a173p00000CH4G3AAL</v>
      </c>
      <c r="N1505" s="515">
        <f ca="1">IFERROR(IF(COUNTA($D$937:D1504)=1,0,OFFSET($F1503,-COUNTA($D$937:D1504)+3,0)),"")</f>
        <v>35</v>
      </c>
      <c r="O1505" s="497"/>
      <c r="P1505" s="497">
        <f t="shared" si="187"/>
        <v>0</v>
      </c>
      <c r="Q1505" s="497"/>
      <c r="R1505" s="497"/>
      <c r="S1505" s="497"/>
      <c r="T1505" s="503"/>
    </row>
    <row r="1506" spans="1:20" x14ac:dyDescent="0.35">
      <c r="A1506" s="497" t="b">
        <f t="shared" ca="1" si="188"/>
        <v>0</v>
      </c>
      <c r="B1506" s="497">
        <f t="shared" si="184"/>
        <v>207</v>
      </c>
      <c r="C1506" s="519" t="str">
        <f t="shared" ca="1" si="189"/>
        <v>a173p00000CH4H1AAL</v>
      </c>
      <c r="D1506" s="497"/>
      <c r="E1506" s="497">
        <f t="shared" ca="1" si="185"/>
        <v>3</v>
      </c>
      <c r="F1506" s="516">
        <f ca="1">IF(COUNTA(D$938:D1506)=1,"",OFFSET(F1504,-COUNTA(D$938:D1506)+3,0))</f>
        <v>35</v>
      </c>
      <c r="G1506" s="503" t="str">
        <f t="shared" ca="1" si="190"/>
        <v/>
      </c>
      <c r="H1506" s="497">
        <f t="shared" ca="1" si="186"/>
        <v>77</v>
      </c>
      <c r="I1506" s="500" t="str">
        <f t="shared" ca="1" si="191"/>
        <v/>
      </c>
      <c r="J1506" s="512" t="str">
        <f t="shared" ca="1" si="192"/>
        <v/>
      </c>
      <c r="K1506" s="512" t="str">
        <f t="shared" ca="1" si="193"/>
        <v/>
      </c>
      <c r="L1506" s="503" t="str">
        <f t="shared" ca="1" si="194"/>
        <v/>
      </c>
      <c r="M1506" s="515" t="str">
        <f ca="1">IFERROR(IF(COUNTIF($B$937:$B1505,"&lt;0")&lt;&gt;1,OFFSET($C1504,-COUNTIF($B$937:$B1505,"&lt;0")+3,0),""),"")</f>
        <v>a173p00000CH4H1AAL</v>
      </c>
      <c r="N1506" s="515">
        <f ca="1">IFERROR(IF(COUNTA($D$937:D1505)=1,0,OFFSET($F1504,-COUNTA($D$937:D1505)+3,0)),"")</f>
        <v>35</v>
      </c>
      <c r="O1506" s="497"/>
      <c r="P1506" s="497">
        <f t="shared" si="187"/>
        <v>0</v>
      </c>
      <c r="Q1506" s="497"/>
      <c r="R1506" s="497"/>
      <c r="S1506" s="497"/>
      <c r="T1506" s="503"/>
    </row>
    <row r="1507" spans="1:20" x14ac:dyDescent="0.35">
      <c r="A1507" s="497" t="b">
        <f t="shared" ca="1" si="188"/>
        <v>0</v>
      </c>
      <c r="B1507" s="497">
        <f t="shared" si="184"/>
        <v>208</v>
      </c>
      <c r="C1507" s="519" t="str">
        <f t="shared" ca="1" si="189"/>
        <v>a173p00000CH4HzAAL</v>
      </c>
      <c r="D1507" s="497"/>
      <c r="E1507" s="497">
        <f t="shared" ca="1" si="185"/>
        <v>4</v>
      </c>
      <c r="F1507" s="516">
        <f ca="1">IF(COUNTA(D$938:D1507)=1,"",OFFSET(F1505,-COUNTA(D$938:D1507)+3,0))</f>
        <v>35</v>
      </c>
      <c r="G1507" s="503" t="str">
        <f t="shared" ca="1" si="190"/>
        <v/>
      </c>
      <c r="H1507" s="497">
        <f t="shared" ca="1" si="186"/>
        <v>77</v>
      </c>
      <c r="I1507" s="500" t="str">
        <f t="shared" ca="1" si="191"/>
        <v/>
      </c>
      <c r="J1507" s="512" t="str">
        <f t="shared" ca="1" si="192"/>
        <v/>
      </c>
      <c r="K1507" s="512" t="str">
        <f t="shared" ca="1" si="193"/>
        <v/>
      </c>
      <c r="L1507" s="503" t="str">
        <f t="shared" ca="1" si="194"/>
        <v/>
      </c>
      <c r="M1507" s="515" t="str">
        <f ca="1">IFERROR(IF(COUNTIF($B$937:$B1506,"&lt;0")&lt;&gt;1,OFFSET($C1505,-COUNTIF($B$937:$B1506,"&lt;0")+3,0),""),"")</f>
        <v>a173p00000CH4HzAAL</v>
      </c>
      <c r="N1507" s="515">
        <f ca="1">IFERROR(IF(COUNTA($D$937:D1506)=1,0,OFFSET($F1505,-COUNTA($D$937:D1506)+3,0)),"")</f>
        <v>35</v>
      </c>
      <c r="O1507" s="497"/>
      <c r="P1507" s="497">
        <f t="shared" si="187"/>
        <v>0</v>
      </c>
      <c r="Q1507" s="497"/>
      <c r="R1507" s="497"/>
      <c r="S1507" s="497"/>
      <c r="T1507" s="503"/>
    </row>
    <row r="1508" spans="1:20" x14ac:dyDescent="0.35">
      <c r="A1508" s="497" t="b">
        <f t="shared" ca="1" si="188"/>
        <v>0</v>
      </c>
      <c r="B1508" s="497">
        <f t="shared" si="184"/>
        <v>209</v>
      </c>
      <c r="C1508" s="519" t="str">
        <f t="shared" ca="1" si="189"/>
        <v>a173p00000CH4IxAAL</v>
      </c>
      <c r="D1508" s="497"/>
      <c r="E1508" s="497">
        <f t="shared" ca="1" si="185"/>
        <v>5</v>
      </c>
      <c r="F1508" s="516">
        <f ca="1">IF(COUNTA(D$938:D1508)=1,"",OFFSET(F1506,-COUNTA(D$938:D1508)+3,0))</f>
        <v>35</v>
      </c>
      <c r="G1508" s="503" t="str">
        <f t="shared" ca="1" si="190"/>
        <v/>
      </c>
      <c r="H1508" s="497">
        <f t="shared" ca="1" si="186"/>
        <v>77</v>
      </c>
      <c r="I1508" s="500" t="str">
        <f t="shared" ca="1" si="191"/>
        <v/>
      </c>
      <c r="J1508" s="512" t="str">
        <f t="shared" ca="1" si="192"/>
        <v/>
      </c>
      <c r="K1508" s="512" t="str">
        <f t="shared" ca="1" si="193"/>
        <v/>
      </c>
      <c r="L1508" s="503" t="str">
        <f t="shared" ca="1" si="194"/>
        <v/>
      </c>
      <c r="M1508" s="515" t="str">
        <f ca="1">IFERROR(IF(COUNTIF($B$937:$B1507,"&lt;0")&lt;&gt;1,OFFSET($C1506,-COUNTIF($B$937:$B1507,"&lt;0")+3,0),""),"")</f>
        <v>a173p00000CH4IxAAL</v>
      </c>
      <c r="N1508" s="515">
        <f ca="1">IFERROR(IF(COUNTA($D$937:D1507)=1,0,OFFSET($F1506,-COUNTA($D$937:D1507)+3,0)),"")</f>
        <v>35</v>
      </c>
      <c r="O1508" s="497"/>
      <c r="P1508" s="497">
        <f t="shared" si="187"/>
        <v>0</v>
      </c>
      <c r="Q1508" s="497"/>
      <c r="R1508" s="497"/>
      <c r="S1508" s="497"/>
      <c r="T1508" s="503"/>
    </row>
    <row r="1509" spans="1:20" x14ac:dyDescent="0.35">
      <c r="A1509" s="497" t="b">
        <f t="shared" ca="1" si="188"/>
        <v>0</v>
      </c>
      <c r="B1509" s="497">
        <f t="shared" si="184"/>
        <v>210</v>
      </c>
      <c r="C1509" s="519" t="str">
        <f t="shared" ca="1" si="189"/>
        <v>a173p00000CH4JvAAL</v>
      </c>
      <c r="D1509" s="497"/>
      <c r="E1509" s="497">
        <f t="shared" ca="1" si="185"/>
        <v>6</v>
      </c>
      <c r="F1509" s="516">
        <f ca="1">IF(COUNTA(D$938:D1509)=1,"",OFFSET(F1507,-COUNTA(D$938:D1509)+3,0))</f>
        <v>35</v>
      </c>
      <c r="G1509" s="503" t="str">
        <f t="shared" ca="1" si="190"/>
        <v/>
      </c>
      <c r="H1509" s="497">
        <f t="shared" ca="1" si="186"/>
        <v>77</v>
      </c>
      <c r="I1509" s="500" t="str">
        <f t="shared" ca="1" si="191"/>
        <v/>
      </c>
      <c r="J1509" s="512" t="str">
        <f t="shared" ca="1" si="192"/>
        <v/>
      </c>
      <c r="K1509" s="512" t="str">
        <f t="shared" ca="1" si="193"/>
        <v/>
      </c>
      <c r="L1509" s="503" t="str">
        <f t="shared" ca="1" si="194"/>
        <v/>
      </c>
      <c r="M1509" s="515" t="str">
        <f ca="1">IFERROR(IF(COUNTIF($B$937:$B1508,"&lt;0")&lt;&gt;1,OFFSET($C1507,-COUNTIF($B$937:$B1508,"&lt;0")+3,0),""),"")</f>
        <v>a173p00000CH4JvAAL</v>
      </c>
      <c r="N1509" s="515">
        <f ca="1">IFERROR(IF(COUNTA($D$937:D1508)=1,0,OFFSET($F1507,-COUNTA($D$937:D1508)+3,0)),"")</f>
        <v>35</v>
      </c>
      <c r="O1509" s="497"/>
      <c r="P1509" s="497">
        <f t="shared" si="187"/>
        <v>0</v>
      </c>
      <c r="Q1509" s="497"/>
      <c r="R1509" s="497"/>
      <c r="S1509" s="497"/>
      <c r="T1509" s="503"/>
    </row>
    <row r="1510" spans="1:20" x14ac:dyDescent="0.35">
      <c r="A1510" s="497" t="b">
        <f t="shared" ca="1" si="188"/>
        <v>0</v>
      </c>
      <c r="B1510" s="497">
        <f t="shared" si="184"/>
        <v>211</v>
      </c>
      <c r="C1510" s="519" t="str">
        <f t="shared" ca="1" si="189"/>
        <v>a173p00000CH4F6AAL</v>
      </c>
      <c r="D1510" s="497"/>
      <c r="E1510" s="497">
        <f t="shared" ca="1" si="185"/>
        <v>1</v>
      </c>
      <c r="F1510" s="516">
        <f ca="1">IF(COUNTA(D$938:D1510)=1,"",OFFSET(F1508,-COUNTA(D$938:D1510)+3,0))</f>
        <v>36</v>
      </c>
      <c r="G1510" s="503" t="str">
        <f t="shared" ca="1" si="190"/>
        <v/>
      </c>
      <c r="H1510" s="497">
        <f t="shared" ca="1" si="186"/>
        <v>79</v>
      </c>
      <c r="I1510" s="500" t="str">
        <f t="shared" ca="1" si="191"/>
        <v/>
      </c>
      <c r="J1510" s="512" t="str">
        <f t="shared" ca="1" si="192"/>
        <v/>
      </c>
      <c r="K1510" s="512" t="str">
        <f t="shared" ca="1" si="193"/>
        <v/>
      </c>
      <c r="L1510" s="503" t="str">
        <f t="shared" ca="1" si="194"/>
        <v/>
      </c>
      <c r="M1510" s="515" t="str">
        <f ca="1">IFERROR(IF(COUNTIF($B$937:$B1509,"&lt;0")&lt;&gt;1,OFFSET($C1508,-COUNTIF($B$937:$B1509,"&lt;0")+3,0),""),"")</f>
        <v>a173p00000CH4F6AAL</v>
      </c>
      <c r="N1510" s="515">
        <f ca="1">IFERROR(IF(COUNTA($D$937:D1509)=1,0,OFFSET($F1508,-COUNTA($D$937:D1509)+3,0)),"")</f>
        <v>36</v>
      </c>
      <c r="O1510" s="497"/>
      <c r="P1510" s="497">
        <f t="shared" si="187"/>
        <v>0</v>
      </c>
      <c r="Q1510" s="497"/>
      <c r="R1510" s="497"/>
      <c r="S1510" s="497"/>
      <c r="T1510" s="503"/>
    </row>
    <row r="1511" spans="1:20" x14ac:dyDescent="0.35">
      <c r="A1511" s="497" t="b">
        <f t="shared" ca="1" si="188"/>
        <v>0</v>
      </c>
      <c r="B1511" s="497">
        <f t="shared" si="184"/>
        <v>212</v>
      </c>
      <c r="C1511" s="519" t="str">
        <f t="shared" ca="1" si="189"/>
        <v>a173p00000CH4G4AAL</v>
      </c>
      <c r="D1511" s="497"/>
      <c r="E1511" s="497">
        <f t="shared" ca="1" si="185"/>
        <v>2</v>
      </c>
      <c r="F1511" s="516">
        <f ca="1">IF(COUNTA(D$938:D1511)=1,"",OFFSET(F1509,-COUNTA(D$938:D1511)+3,0))</f>
        <v>36</v>
      </c>
      <c r="G1511" s="503" t="str">
        <f t="shared" ca="1" si="190"/>
        <v/>
      </c>
      <c r="H1511" s="497">
        <f t="shared" ca="1" si="186"/>
        <v>79</v>
      </c>
      <c r="I1511" s="500" t="str">
        <f t="shared" ca="1" si="191"/>
        <v/>
      </c>
      <c r="J1511" s="512" t="str">
        <f t="shared" ca="1" si="192"/>
        <v/>
      </c>
      <c r="K1511" s="512" t="str">
        <f t="shared" ca="1" si="193"/>
        <v/>
      </c>
      <c r="L1511" s="503" t="str">
        <f t="shared" ca="1" si="194"/>
        <v/>
      </c>
      <c r="M1511" s="515" t="str">
        <f ca="1">IFERROR(IF(COUNTIF($B$937:$B1510,"&lt;0")&lt;&gt;1,OFFSET($C1509,-COUNTIF($B$937:$B1510,"&lt;0")+3,0),""),"")</f>
        <v>a173p00000CH4G4AAL</v>
      </c>
      <c r="N1511" s="515">
        <f ca="1">IFERROR(IF(COUNTA($D$937:D1510)=1,0,OFFSET($F1509,-COUNTA($D$937:D1510)+3,0)),"")</f>
        <v>36</v>
      </c>
      <c r="O1511" s="497"/>
      <c r="P1511" s="497">
        <f t="shared" si="187"/>
        <v>0</v>
      </c>
      <c r="Q1511" s="497"/>
      <c r="R1511" s="497"/>
      <c r="S1511" s="497"/>
      <c r="T1511" s="503"/>
    </row>
    <row r="1512" spans="1:20" x14ac:dyDescent="0.35">
      <c r="A1512" s="497" t="b">
        <f t="shared" ca="1" si="188"/>
        <v>0</v>
      </c>
      <c r="B1512" s="497">
        <f t="shared" si="184"/>
        <v>213</v>
      </c>
      <c r="C1512" s="519" t="str">
        <f t="shared" ca="1" si="189"/>
        <v>a173p00000CH4H2AAL</v>
      </c>
      <c r="D1512" s="497"/>
      <c r="E1512" s="497">
        <f t="shared" ca="1" si="185"/>
        <v>3</v>
      </c>
      <c r="F1512" s="516">
        <f ca="1">IF(COUNTA(D$938:D1512)=1,"",OFFSET(F1510,-COUNTA(D$938:D1512)+3,0))</f>
        <v>36</v>
      </c>
      <c r="G1512" s="503" t="str">
        <f t="shared" ca="1" si="190"/>
        <v/>
      </c>
      <c r="H1512" s="497">
        <f t="shared" ca="1" si="186"/>
        <v>79</v>
      </c>
      <c r="I1512" s="500" t="str">
        <f t="shared" ca="1" si="191"/>
        <v/>
      </c>
      <c r="J1512" s="512" t="str">
        <f t="shared" ca="1" si="192"/>
        <v/>
      </c>
      <c r="K1512" s="512" t="str">
        <f t="shared" ca="1" si="193"/>
        <v/>
      </c>
      <c r="L1512" s="503" t="str">
        <f t="shared" ca="1" si="194"/>
        <v/>
      </c>
      <c r="M1512" s="515" t="str">
        <f ca="1">IFERROR(IF(COUNTIF($B$937:$B1511,"&lt;0")&lt;&gt;1,OFFSET($C1510,-COUNTIF($B$937:$B1511,"&lt;0")+3,0),""),"")</f>
        <v>a173p00000CH4H2AAL</v>
      </c>
      <c r="N1512" s="515">
        <f ca="1">IFERROR(IF(COUNTA($D$937:D1511)=1,0,OFFSET($F1510,-COUNTA($D$937:D1511)+3,0)),"")</f>
        <v>36</v>
      </c>
      <c r="O1512" s="497"/>
      <c r="P1512" s="497">
        <f t="shared" si="187"/>
        <v>0</v>
      </c>
      <c r="Q1512" s="497"/>
      <c r="R1512" s="497"/>
      <c r="S1512" s="497"/>
      <c r="T1512" s="503"/>
    </row>
    <row r="1513" spans="1:20" x14ac:dyDescent="0.35">
      <c r="A1513" s="497" t="b">
        <f t="shared" ca="1" si="188"/>
        <v>0</v>
      </c>
      <c r="B1513" s="497">
        <f t="shared" si="184"/>
        <v>214</v>
      </c>
      <c r="C1513" s="519" t="str">
        <f t="shared" ca="1" si="189"/>
        <v>a173p00000CH4I0AAL</v>
      </c>
      <c r="D1513" s="497"/>
      <c r="E1513" s="497">
        <f t="shared" ca="1" si="185"/>
        <v>4</v>
      </c>
      <c r="F1513" s="516">
        <f ca="1">IF(COUNTA(D$938:D1513)=1,"",OFFSET(F1511,-COUNTA(D$938:D1513)+3,0))</f>
        <v>36</v>
      </c>
      <c r="G1513" s="503" t="str">
        <f t="shared" ca="1" si="190"/>
        <v/>
      </c>
      <c r="H1513" s="497">
        <f t="shared" ca="1" si="186"/>
        <v>79</v>
      </c>
      <c r="I1513" s="500" t="str">
        <f t="shared" ca="1" si="191"/>
        <v/>
      </c>
      <c r="J1513" s="512" t="str">
        <f t="shared" ca="1" si="192"/>
        <v/>
      </c>
      <c r="K1513" s="512" t="str">
        <f t="shared" ca="1" si="193"/>
        <v/>
      </c>
      <c r="L1513" s="503" t="str">
        <f t="shared" ca="1" si="194"/>
        <v/>
      </c>
      <c r="M1513" s="515" t="str">
        <f ca="1">IFERROR(IF(COUNTIF($B$937:$B1512,"&lt;0")&lt;&gt;1,OFFSET($C1511,-COUNTIF($B$937:$B1512,"&lt;0")+3,0),""),"")</f>
        <v>a173p00000CH4I0AAL</v>
      </c>
      <c r="N1513" s="515">
        <f ca="1">IFERROR(IF(COUNTA($D$937:D1512)=1,0,OFFSET($F1511,-COUNTA($D$937:D1512)+3,0)),"")</f>
        <v>36</v>
      </c>
      <c r="O1513" s="497"/>
      <c r="P1513" s="497">
        <f t="shared" si="187"/>
        <v>0</v>
      </c>
      <c r="Q1513" s="497"/>
      <c r="R1513" s="497"/>
      <c r="S1513" s="497"/>
      <c r="T1513" s="503"/>
    </row>
    <row r="1514" spans="1:20" x14ac:dyDescent="0.35">
      <c r="A1514" s="497" t="b">
        <f t="shared" ca="1" si="188"/>
        <v>0</v>
      </c>
      <c r="B1514" s="497">
        <f t="shared" si="184"/>
        <v>215</v>
      </c>
      <c r="C1514" s="519" t="str">
        <f t="shared" ca="1" si="189"/>
        <v>a173p00000CH4IyAAL</v>
      </c>
      <c r="D1514" s="497"/>
      <c r="E1514" s="497">
        <f t="shared" ca="1" si="185"/>
        <v>5</v>
      </c>
      <c r="F1514" s="516">
        <f ca="1">IF(COUNTA(D$938:D1514)=1,"",OFFSET(F1512,-COUNTA(D$938:D1514)+3,0))</f>
        <v>36</v>
      </c>
      <c r="G1514" s="503" t="str">
        <f t="shared" ca="1" si="190"/>
        <v/>
      </c>
      <c r="H1514" s="497">
        <f t="shared" ca="1" si="186"/>
        <v>79</v>
      </c>
      <c r="I1514" s="500" t="str">
        <f t="shared" ca="1" si="191"/>
        <v/>
      </c>
      <c r="J1514" s="512" t="str">
        <f t="shared" ca="1" si="192"/>
        <v/>
      </c>
      <c r="K1514" s="512" t="str">
        <f t="shared" ca="1" si="193"/>
        <v/>
      </c>
      <c r="L1514" s="503" t="str">
        <f t="shared" ca="1" si="194"/>
        <v/>
      </c>
      <c r="M1514" s="515" t="str">
        <f ca="1">IFERROR(IF(COUNTIF($B$937:$B1513,"&lt;0")&lt;&gt;1,OFFSET($C1512,-COUNTIF($B$937:$B1513,"&lt;0")+3,0),""),"")</f>
        <v>a173p00000CH4IyAAL</v>
      </c>
      <c r="N1514" s="515">
        <f ca="1">IFERROR(IF(COUNTA($D$937:D1513)=1,0,OFFSET($F1512,-COUNTA($D$937:D1513)+3,0)),"")</f>
        <v>36</v>
      </c>
      <c r="O1514" s="497"/>
      <c r="P1514" s="497">
        <f t="shared" si="187"/>
        <v>0</v>
      </c>
      <c r="Q1514" s="497"/>
      <c r="R1514" s="497"/>
      <c r="S1514" s="497"/>
      <c r="T1514" s="503"/>
    </row>
    <row r="1515" spans="1:20" x14ac:dyDescent="0.35">
      <c r="A1515" s="497" t="b">
        <f t="shared" ca="1" si="188"/>
        <v>0</v>
      </c>
      <c r="B1515" s="497">
        <f t="shared" si="184"/>
        <v>216</v>
      </c>
      <c r="C1515" s="519" t="str">
        <f t="shared" ca="1" si="189"/>
        <v>a173p00000CH4JwAAL</v>
      </c>
      <c r="D1515" s="497"/>
      <c r="E1515" s="497">
        <f t="shared" ca="1" si="185"/>
        <v>6</v>
      </c>
      <c r="F1515" s="516">
        <f ca="1">IF(COUNTA(D$938:D1515)=1,"",OFFSET(F1513,-COUNTA(D$938:D1515)+3,0))</f>
        <v>36</v>
      </c>
      <c r="G1515" s="503" t="str">
        <f t="shared" ca="1" si="190"/>
        <v/>
      </c>
      <c r="H1515" s="497">
        <f t="shared" ca="1" si="186"/>
        <v>79</v>
      </c>
      <c r="I1515" s="500" t="str">
        <f t="shared" ca="1" si="191"/>
        <v/>
      </c>
      <c r="J1515" s="512" t="str">
        <f t="shared" ca="1" si="192"/>
        <v/>
      </c>
      <c r="K1515" s="512" t="str">
        <f t="shared" ca="1" si="193"/>
        <v/>
      </c>
      <c r="L1515" s="503" t="str">
        <f t="shared" ca="1" si="194"/>
        <v/>
      </c>
      <c r="M1515" s="515" t="str">
        <f ca="1">IFERROR(IF(COUNTIF($B$937:$B1514,"&lt;0")&lt;&gt;1,OFFSET($C1513,-COUNTIF($B$937:$B1514,"&lt;0")+3,0),""),"")</f>
        <v>a173p00000CH4JwAAL</v>
      </c>
      <c r="N1515" s="515">
        <f ca="1">IFERROR(IF(COUNTA($D$937:D1514)=1,0,OFFSET($F1513,-COUNTA($D$937:D1514)+3,0)),"")</f>
        <v>36</v>
      </c>
      <c r="O1515" s="497"/>
      <c r="P1515" s="497">
        <f t="shared" si="187"/>
        <v>0</v>
      </c>
      <c r="Q1515" s="497"/>
      <c r="R1515" s="497"/>
      <c r="S1515" s="497"/>
      <c r="T1515" s="503"/>
    </row>
    <row r="1516" spans="1:20" x14ac:dyDescent="0.35">
      <c r="A1516" s="497" t="b">
        <f t="shared" ca="1" si="188"/>
        <v>0</v>
      </c>
      <c r="B1516" s="497">
        <f t="shared" ref="B1516:B1579" si="195">B1515+1</f>
        <v>217</v>
      </c>
      <c r="C1516" s="519" t="str">
        <f t="shared" ca="1" si="189"/>
        <v>a173p00000CH4F7AAL</v>
      </c>
      <c r="D1516" s="497"/>
      <c r="E1516" s="497">
        <f t="shared" ref="E1516:E1579" ca="1" si="196">COUNTIF(F1419:F1516,F1516)</f>
        <v>1</v>
      </c>
      <c r="F1516" s="516">
        <f ca="1">IF(COUNTA(D$938:D1516)=1,"",OFFSET(F1514,-COUNTA(D$938:D1516)+3,0))</f>
        <v>37</v>
      </c>
      <c r="G1516" s="503" t="str">
        <f t="shared" ca="1" si="190"/>
        <v/>
      </c>
      <c r="H1516" s="497">
        <f t="shared" ref="H1516:H1579" ca="1" si="197">IF(F1516=1,9,IF(E1515=MAX(E1514:E1516),H1514+2,H1515))</f>
        <v>81</v>
      </c>
      <c r="I1516" s="500" t="str">
        <f t="shared" ca="1" si="191"/>
        <v/>
      </c>
      <c r="J1516" s="512" t="str">
        <f t="shared" ca="1" si="192"/>
        <v/>
      </c>
      <c r="K1516" s="512" t="str">
        <f t="shared" ca="1" si="193"/>
        <v/>
      </c>
      <c r="L1516" s="503" t="str">
        <f t="shared" ca="1" si="194"/>
        <v/>
      </c>
      <c r="M1516" s="515" t="str">
        <f ca="1">IFERROR(IF(COUNTIF($B$937:$B1515,"&lt;0")&lt;&gt;1,OFFSET($C1514,-COUNTIF($B$937:$B1515,"&lt;0")+3,0),""),"")</f>
        <v>a173p00000CH4F7AAL</v>
      </c>
      <c r="N1516" s="515">
        <f ca="1">IFERROR(IF(COUNTA($D$937:D1515)=1,0,OFFSET($F1514,-COUNTA($D$937:D1515)+3,0)),"")</f>
        <v>37</v>
      </c>
      <c r="O1516" s="497"/>
      <c r="P1516" s="497">
        <f t="shared" ref="P1516:P1579" si="198">IF(NOT(_xlfn.ISFORMULA(I1516)),P1515+1,0)</f>
        <v>0</v>
      </c>
      <c r="Q1516" s="497"/>
      <c r="R1516" s="497"/>
      <c r="S1516" s="497"/>
      <c r="T1516" s="503"/>
    </row>
    <row r="1517" spans="1:20" x14ac:dyDescent="0.35">
      <c r="A1517" s="497" t="b">
        <f t="shared" ca="1" si="188"/>
        <v>0</v>
      </c>
      <c r="B1517" s="497">
        <f t="shared" si="195"/>
        <v>218</v>
      </c>
      <c r="C1517" s="519" t="str">
        <f t="shared" ca="1" si="189"/>
        <v>a173p00000CH4G5AAL</v>
      </c>
      <c r="D1517" s="497"/>
      <c r="E1517" s="497">
        <f t="shared" ca="1" si="196"/>
        <v>2</v>
      </c>
      <c r="F1517" s="516">
        <f ca="1">IF(COUNTA(D$938:D1517)=1,"",OFFSET(F1515,-COUNTA(D$938:D1517)+3,0))</f>
        <v>37</v>
      </c>
      <c r="G1517" s="503" t="str">
        <f t="shared" ca="1" si="190"/>
        <v/>
      </c>
      <c r="H1517" s="497">
        <f t="shared" ca="1" si="197"/>
        <v>81</v>
      </c>
      <c r="I1517" s="500" t="str">
        <f t="shared" ca="1" si="191"/>
        <v/>
      </c>
      <c r="J1517" s="512" t="str">
        <f t="shared" ca="1" si="192"/>
        <v/>
      </c>
      <c r="K1517" s="512" t="str">
        <f t="shared" ca="1" si="193"/>
        <v/>
      </c>
      <c r="L1517" s="503" t="str">
        <f t="shared" ca="1" si="194"/>
        <v/>
      </c>
      <c r="M1517" s="515" t="str">
        <f ca="1">IFERROR(IF(COUNTIF($B$937:$B1516,"&lt;0")&lt;&gt;1,OFFSET($C1515,-COUNTIF($B$937:$B1516,"&lt;0")+3,0),""),"")</f>
        <v>a173p00000CH4G5AAL</v>
      </c>
      <c r="N1517" s="515">
        <f ca="1">IFERROR(IF(COUNTA($D$937:D1516)=1,0,OFFSET($F1515,-COUNTA($D$937:D1516)+3,0)),"")</f>
        <v>37</v>
      </c>
      <c r="O1517" s="497"/>
      <c r="P1517" s="497">
        <f t="shared" si="198"/>
        <v>0</v>
      </c>
      <c r="Q1517" s="497"/>
      <c r="R1517" s="497"/>
      <c r="S1517" s="497"/>
      <c r="T1517" s="503"/>
    </row>
    <row r="1518" spans="1:20" x14ac:dyDescent="0.35">
      <c r="A1518" s="497" t="b">
        <f t="shared" ca="1" si="188"/>
        <v>0</v>
      </c>
      <c r="B1518" s="497">
        <f t="shared" si="195"/>
        <v>219</v>
      </c>
      <c r="C1518" s="519" t="str">
        <f t="shared" ca="1" si="189"/>
        <v>a173p00000CH4H3AAL</v>
      </c>
      <c r="D1518" s="497"/>
      <c r="E1518" s="497">
        <f t="shared" ca="1" si="196"/>
        <v>3</v>
      </c>
      <c r="F1518" s="516">
        <f ca="1">IF(COUNTA(D$938:D1518)=1,"",OFFSET(F1516,-COUNTA(D$938:D1518)+3,0))</f>
        <v>37</v>
      </c>
      <c r="G1518" s="503" t="str">
        <f t="shared" ca="1" si="190"/>
        <v/>
      </c>
      <c r="H1518" s="497">
        <f t="shared" ca="1" si="197"/>
        <v>81</v>
      </c>
      <c r="I1518" s="500" t="str">
        <f t="shared" ca="1" si="191"/>
        <v/>
      </c>
      <c r="J1518" s="512" t="str">
        <f t="shared" ca="1" si="192"/>
        <v/>
      </c>
      <c r="K1518" s="512" t="str">
        <f t="shared" ca="1" si="193"/>
        <v/>
      </c>
      <c r="L1518" s="503" t="str">
        <f t="shared" ca="1" si="194"/>
        <v/>
      </c>
      <c r="M1518" s="515" t="str">
        <f ca="1">IFERROR(IF(COUNTIF($B$937:$B1517,"&lt;0")&lt;&gt;1,OFFSET($C1516,-COUNTIF($B$937:$B1517,"&lt;0")+3,0),""),"")</f>
        <v>a173p00000CH4H3AAL</v>
      </c>
      <c r="N1518" s="515">
        <f ca="1">IFERROR(IF(COUNTA($D$937:D1517)=1,0,OFFSET($F1516,-COUNTA($D$937:D1517)+3,0)),"")</f>
        <v>37</v>
      </c>
      <c r="O1518" s="497"/>
      <c r="P1518" s="497">
        <f t="shared" si="198"/>
        <v>0</v>
      </c>
      <c r="Q1518" s="497"/>
      <c r="R1518" s="497"/>
      <c r="S1518" s="497"/>
      <c r="T1518" s="503"/>
    </row>
    <row r="1519" spans="1:20" x14ac:dyDescent="0.35">
      <c r="A1519" s="497" t="b">
        <f t="shared" ca="1" si="188"/>
        <v>0</v>
      </c>
      <c r="B1519" s="497">
        <f t="shared" si="195"/>
        <v>220</v>
      </c>
      <c r="C1519" s="519" t="str">
        <f t="shared" ca="1" si="189"/>
        <v>a173p00000CH4I1AAL</v>
      </c>
      <c r="D1519" s="497"/>
      <c r="E1519" s="497">
        <f t="shared" ca="1" si="196"/>
        <v>4</v>
      </c>
      <c r="F1519" s="516">
        <f ca="1">IF(COUNTA(D$938:D1519)=1,"",OFFSET(F1517,-COUNTA(D$938:D1519)+3,0))</f>
        <v>37</v>
      </c>
      <c r="G1519" s="503" t="str">
        <f t="shared" ca="1" si="190"/>
        <v/>
      </c>
      <c r="H1519" s="497">
        <f t="shared" ca="1" si="197"/>
        <v>81</v>
      </c>
      <c r="I1519" s="500" t="str">
        <f t="shared" ca="1" si="191"/>
        <v/>
      </c>
      <c r="J1519" s="512" t="str">
        <f t="shared" ca="1" si="192"/>
        <v/>
      </c>
      <c r="K1519" s="512" t="str">
        <f t="shared" ca="1" si="193"/>
        <v/>
      </c>
      <c r="L1519" s="503" t="str">
        <f t="shared" ca="1" si="194"/>
        <v/>
      </c>
      <c r="M1519" s="515" t="str">
        <f ca="1">IFERROR(IF(COUNTIF($B$937:$B1518,"&lt;0")&lt;&gt;1,OFFSET($C1517,-COUNTIF($B$937:$B1518,"&lt;0")+3,0),""),"")</f>
        <v>a173p00000CH4I1AAL</v>
      </c>
      <c r="N1519" s="515">
        <f ca="1">IFERROR(IF(COUNTA($D$937:D1518)=1,0,OFFSET($F1517,-COUNTA($D$937:D1518)+3,0)),"")</f>
        <v>37</v>
      </c>
      <c r="O1519" s="497"/>
      <c r="P1519" s="497">
        <f t="shared" si="198"/>
        <v>0</v>
      </c>
      <c r="Q1519" s="497"/>
      <c r="R1519" s="497"/>
      <c r="S1519" s="497"/>
      <c r="T1519" s="503"/>
    </row>
    <row r="1520" spans="1:20" x14ac:dyDescent="0.35">
      <c r="A1520" s="497" t="b">
        <f t="shared" ca="1" si="188"/>
        <v>0</v>
      </c>
      <c r="B1520" s="497">
        <f t="shared" si="195"/>
        <v>221</v>
      </c>
      <c r="C1520" s="519" t="str">
        <f t="shared" ca="1" si="189"/>
        <v>a173p00000CH4IzAAL</v>
      </c>
      <c r="D1520" s="497"/>
      <c r="E1520" s="497">
        <f t="shared" ca="1" si="196"/>
        <v>5</v>
      </c>
      <c r="F1520" s="516">
        <f ca="1">IF(COUNTA(D$938:D1520)=1,"",OFFSET(F1518,-COUNTA(D$938:D1520)+3,0))</f>
        <v>37</v>
      </c>
      <c r="G1520" s="503" t="str">
        <f t="shared" ca="1" si="190"/>
        <v/>
      </c>
      <c r="H1520" s="497">
        <f t="shared" ca="1" si="197"/>
        <v>81</v>
      </c>
      <c r="I1520" s="500" t="str">
        <f t="shared" ca="1" si="191"/>
        <v/>
      </c>
      <c r="J1520" s="512" t="str">
        <f t="shared" ca="1" si="192"/>
        <v/>
      </c>
      <c r="K1520" s="512" t="str">
        <f t="shared" ca="1" si="193"/>
        <v/>
      </c>
      <c r="L1520" s="503" t="str">
        <f t="shared" ca="1" si="194"/>
        <v/>
      </c>
      <c r="M1520" s="515" t="str">
        <f ca="1">IFERROR(IF(COUNTIF($B$937:$B1519,"&lt;0")&lt;&gt;1,OFFSET($C1518,-COUNTIF($B$937:$B1519,"&lt;0")+3,0),""),"")</f>
        <v>a173p00000CH4IzAAL</v>
      </c>
      <c r="N1520" s="515">
        <f ca="1">IFERROR(IF(COUNTA($D$937:D1519)=1,0,OFFSET($F1518,-COUNTA($D$937:D1519)+3,0)),"")</f>
        <v>37</v>
      </c>
      <c r="O1520" s="497"/>
      <c r="P1520" s="497">
        <f t="shared" si="198"/>
        <v>0</v>
      </c>
      <c r="Q1520" s="497"/>
      <c r="R1520" s="497"/>
      <c r="S1520" s="497"/>
      <c r="T1520" s="503"/>
    </row>
    <row r="1521" spans="1:20" x14ac:dyDescent="0.35">
      <c r="A1521" s="497" t="b">
        <f t="shared" ca="1" si="188"/>
        <v>0</v>
      </c>
      <c r="B1521" s="497">
        <f t="shared" si="195"/>
        <v>222</v>
      </c>
      <c r="C1521" s="519" t="str">
        <f t="shared" ca="1" si="189"/>
        <v>a173p00000CH4JxAAL</v>
      </c>
      <c r="D1521" s="497"/>
      <c r="E1521" s="497">
        <f t="shared" ca="1" si="196"/>
        <v>6</v>
      </c>
      <c r="F1521" s="516">
        <f ca="1">IF(COUNTA(D$938:D1521)=1,"",OFFSET(F1519,-COUNTA(D$938:D1521)+3,0))</f>
        <v>37</v>
      </c>
      <c r="G1521" s="503" t="str">
        <f t="shared" ca="1" si="190"/>
        <v/>
      </c>
      <c r="H1521" s="497">
        <f t="shared" ca="1" si="197"/>
        <v>81</v>
      </c>
      <c r="I1521" s="500" t="str">
        <f t="shared" ca="1" si="191"/>
        <v/>
      </c>
      <c r="J1521" s="512" t="str">
        <f t="shared" ca="1" si="192"/>
        <v/>
      </c>
      <c r="K1521" s="512" t="str">
        <f t="shared" ca="1" si="193"/>
        <v/>
      </c>
      <c r="L1521" s="503" t="str">
        <f t="shared" ca="1" si="194"/>
        <v/>
      </c>
      <c r="M1521" s="515" t="str">
        <f ca="1">IFERROR(IF(COUNTIF($B$937:$B1520,"&lt;0")&lt;&gt;1,OFFSET($C1519,-COUNTIF($B$937:$B1520,"&lt;0")+3,0),""),"")</f>
        <v>a173p00000CH4JxAAL</v>
      </c>
      <c r="N1521" s="515">
        <f ca="1">IFERROR(IF(COUNTA($D$937:D1520)=1,0,OFFSET($F1519,-COUNTA($D$937:D1520)+3,0)),"")</f>
        <v>37</v>
      </c>
      <c r="O1521" s="497"/>
      <c r="P1521" s="497">
        <f t="shared" si="198"/>
        <v>0</v>
      </c>
      <c r="Q1521" s="497"/>
      <c r="R1521" s="497"/>
      <c r="S1521" s="497"/>
      <c r="T1521" s="503"/>
    </row>
    <row r="1522" spans="1:20" x14ac:dyDescent="0.35">
      <c r="A1522" s="497" t="b">
        <f t="shared" ca="1" si="188"/>
        <v>0</v>
      </c>
      <c r="B1522" s="497">
        <f t="shared" si="195"/>
        <v>223</v>
      </c>
      <c r="C1522" s="519" t="str">
        <f t="shared" ca="1" si="189"/>
        <v>a173p00000CH4F8AAL</v>
      </c>
      <c r="D1522" s="497"/>
      <c r="E1522" s="497">
        <f t="shared" ca="1" si="196"/>
        <v>1</v>
      </c>
      <c r="F1522" s="516">
        <f ca="1">IF(COUNTA(D$938:D1522)=1,"",OFFSET(F1520,-COUNTA(D$938:D1522)+3,0))</f>
        <v>38</v>
      </c>
      <c r="G1522" s="503" t="str">
        <f t="shared" ca="1" si="190"/>
        <v/>
      </c>
      <c r="H1522" s="497">
        <f t="shared" ca="1" si="197"/>
        <v>83</v>
      </c>
      <c r="I1522" s="500" t="str">
        <f t="shared" ca="1" si="191"/>
        <v/>
      </c>
      <c r="J1522" s="512" t="str">
        <f t="shared" ca="1" si="192"/>
        <v/>
      </c>
      <c r="K1522" s="512" t="str">
        <f t="shared" ca="1" si="193"/>
        <v/>
      </c>
      <c r="L1522" s="503" t="str">
        <f t="shared" ca="1" si="194"/>
        <v/>
      </c>
      <c r="M1522" s="515" t="str">
        <f ca="1">IFERROR(IF(COUNTIF($B$937:$B1521,"&lt;0")&lt;&gt;1,OFFSET($C1520,-COUNTIF($B$937:$B1521,"&lt;0")+3,0),""),"")</f>
        <v>a173p00000CH4F8AAL</v>
      </c>
      <c r="N1522" s="515">
        <f ca="1">IFERROR(IF(COUNTA($D$937:D1521)=1,0,OFFSET($F1520,-COUNTA($D$937:D1521)+3,0)),"")</f>
        <v>38</v>
      </c>
      <c r="O1522" s="497"/>
      <c r="P1522" s="497">
        <f t="shared" si="198"/>
        <v>0</v>
      </c>
      <c r="Q1522" s="497"/>
      <c r="R1522" s="497"/>
      <c r="S1522" s="497"/>
      <c r="T1522" s="503"/>
    </row>
    <row r="1523" spans="1:20" x14ac:dyDescent="0.35">
      <c r="A1523" s="497" t="b">
        <f t="shared" ca="1" si="188"/>
        <v>0</v>
      </c>
      <c r="B1523" s="497">
        <f t="shared" si="195"/>
        <v>224</v>
      </c>
      <c r="C1523" s="519" t="str">
        <f t="shared" ca="1" si="189"/>
        <v>a173p00000CH4G6AAL</v>
      </c>
      <c r="D1523" s="497"/>
      <c r="E1523" s="497">
        <f t="shared" ca="1" si="196"/>
        <v>2</v>
      </c>
      <c r="F1523" s="516">
        <f ca="1">IF(COUNTA(D$938:D1523)=1,"",OFFSET(F1521,-COUNTA(D$938:D1523)+3,0))</f>
        <v>38</v>
      </c>
      <c r="G1523" s="503" t="str">
        <f t="shared" ca="1" si="190"/>
        <v/>
      </c>
      <c r="H1523" s="497">
        <f t="shared" ca="1" si="197"/>
        <v>83</v>
      </c>
      <c r="I1523" s="500" t="str">
        <f t="shared" ca="1" si="191"/>
        <v/>
      </c>
      <c r="J1523" s="512" t="str">
        <f t="shared" ca="1" si="192"/>
        <v/>
      </c>
      <c r="K1523" s="512" t="str">
        <f t="shared" ca="1" si="193"/>
        <v/>
      </c>
      <c r="L1523" s="503" t="str">
        <f t="shared" ca="1" si="194"/>
        <v/>
      </c>
      <c r="M1523" s="515" t="str">
        <f ca="1">IFERROR(IF(COUNTIF($B$937:$B1522,"&lt;0")&lt;&gt;1,OFFSET($C1521,-COUNTIF($B$937:$B1522,"&lt;0")+3,0),""),"")</f>
        <v>a173p00000CH4G6AAL</v>
      </c>
      <c r="N1523" s="515">
        <f ca="1">IFERROR(IF(COUNTA($D$937:D1522)=1,0,OFFSET($F1521,-COUNTA($D$937:D1522)+3,0)),"")</f>
        <v>38</v>
      </c>
      <c r="O1523" s="497"/>
      <c r="P1523" s="497">
        <f t="shared" si="198"/>
        <v>0</v>
      </c>
      <c r="Q1523" s="497"/>
      <c r="R1523" s="497"/>
      <c r="S1523" s="497"/>
      <c r="T1523" s="503"/>
    </row>
    <row r="1524" spans="1:20" x14ac:dyDescent="0.35">
      <c r="A1524" s="497" t="b">
        <f t="shared" ca="1" si="188"/>
        <v>0</v>
      </c>
      <c r="B1524" s="497">
        <f t="shared" si="195"/>
        <v>225</v>
      </c>
      <c r="C1524" s="519" t="str">
        <f t="shared" ca="1" si="189"/>
        <v>a173p00000CH4H4AAL</v>
      </c>
      <c r="D1524" s="497"/>
      <c r="E1524" s="497">
        <f t="shared" ca="1" si="196"/>
        <v>3</v>
      </c>
      <c r="F1524" s="516">
        <f ca="1">IF(COUNTA(D$938:D1524)=1,"",OFFSET(F1522,-COUNTA(D$938:D1524)+3,0))</f>
        <v>38</v>
      </c>
      <c r="G1524" s="503" t="str">
        <f t="shared" ca="1" si="190"/>
        <v/>
      </c>
      <c r="H1524" s="497">
        <f t="shared" ca="1" si="197"/>
        <v>83</v>
      </c>
      <c r="I1524" s="500" t="str">
        <f t="shared" ca="1" si="191"/>
        <v/>
      </c>
      <c r="J1524" s="512" t="str">
        <f t="shared" ca="1" si="192"/>
        <v/>
      </c>
      <c r="K1524" s="512" t="str">
        <f t="shared" ca="1" si="193"/>
        <v/>
      </c>
      <c r="L1524" s="503" t="str">
        <f t="shared" ca="1" si="194"/>
        <v/>
      </c>
      <c r="M1524" s="515" t="str">
        <f ca="1">IFERROR(IF(COUNTIF($B$937:$B1523,"&lt;0")&lt;&gt;1,OFFSET($C1522,-COUNTIF($B$937:$B1523,"&lt;0")+3,0),""),"")</f>
        <v>a173p00000CH4H4AAL</v>
      </c>
      <c r="N1524" s="515">
        <f ca="1">IFERROR(IF(COUNTA($D$937:D1523)=1,0,OFFSET($F1522,-COUNTA($D$937:D1523)+3,0)),"")</f>
        <v>38</v>
      </c>
      <c r="O1524" s="497"/>
      <c r="P1524" s="497">
        <f t="shared" si="198"/>
        <v>0</v>
      </c>
      <c r="Q1524" s="497"/>
      <c r="R1524" s="497"/>
      <c r="S1524" s="497"/>
      <c r="T1524" s="503"/>
    </row>
    <row r="1525" spans="1:20" x14ac:dyDescent="0.35">
      <c r="A1525" s="497" t="b">
        <f t="shared" ca="1" si="188"/>
        <v>0</v>
      </c>
      <c r="B1525" s="497">
        <f t="shared" si="195"/>
        <v>226</v>
      </c>
      <c r="C1525" s="519" t="str">
        <f t="shared" ca="1" si="189"/>
        <v>a173p00000CH4I2AAL</v>
      </c>
      <c r="D1525" s="497"/>
      <c r="E1525" s="497">
        <f t="shared" ca="1" si="196"/>
        <v>4</v>
      </c>
      <c r="F1525" s="516">
        <f ca="1">IF(COUNTA(D$938:D1525)=1,"",OFFSET(F1523,-COUNTA(D$938:D1525)+3,0))</f>
        <v>38</v>
      </c>
      <c r="G1525" s="503" t="str">
        <f t="shared" ca="1" si="190"/>
        <v/>
      </c>
      <c r="H1525" s="497">
        <f t="shared" ca="1" si="197"/>
        <v>83</v>
      </c>
      <c r="I1525" s="500" t="str">
        <f t="shared" ca="1" si="191"/>
        <v/>
      </c>
      <c r="J1525" s="512" t="str">
        <f t="shared" ca="1" si="192"/>
        <v/>
      </c>
      <c r="K1525" s="512" t="str">
        <f t="shared" ca="1" si="193"/>
        <v/>
      </c>
      <c r="L1525" s="503" t="str">
        <f t="shared" ca="1" si="194"/>
        <v/>
      </c>
      <c r="M1525" s="515" t="str">
        <f ca="1">IFERROR(IF(COUNTIF($B$937:$B1524,"&lt;0")&lt;&gt;1,OFFSET($C1523,-COUNTIF($B$937:$B1524,"&lt;0")+3,0),""),"")</f>
        <v>a173p00000CH4I2AAL</v>
      </c>
      <c r="N1525" s="515">
        <f ca="1">IFERROR(IF(COUNTA($D$937:D1524)=1,0,OFFSET($F1523,-COUNTA($D$937:D1524)+3,0)),"")</f>
        <v>38</v>
      </c>
      <c r="O1525" s="497"/>
      <c r="P1525" s="497">
        <f t="shared" si="198"/>
        <v>0</v>
      </c>
      <c r="Q1525" s="497"/>
      <c r="R1525" s="497"/>
      <c r="S1525" s="497"/>
      <c r="T1525" s="503"/>
    </row>
    <row r="1526" spans="1:20" x14ac:dyDescent="0.35">
      <c r="A1526" s="497" t="b">
        <f t="shared" ca="1" si="188"/>
        <v>0</v>
      </c>
      <c r="B1526" s="497">
        <f t="shared" si="195"/>
        <v>227</v>
      </c>
      <c r="C1526" s="519" t="str">
        <f t="shared" ca="1" si="189"/>
        <v>a173p00000CH4J0AAL</v>
      </c>
      <c r="D1526" s="497"/>
      <c r="E1526" s="497">
        <f t="shared" ca="1" si="196"/>
        <v>5</v>
      </c>
      <c r="F1526" s="516">
        <f ca="1">IF(COUNTA(D$938:D1526)=1,"",OFFSET(F1524,-COUNTA(D$938:D1526)+3,0))</f>
        <v>38</v>
      </c>
      <c r="G1526" s="503" t="str">
        <f t="shared" ca="1" si="190"/>
        <v/>
      </c>
      <c r="H1526" s="497">
        <f t="shared" ca="1" si="197"/>
        <v>83</v>
      </c>
      <c r="I1526" s="500" t="str">
        <f t="shared" ca="1" si="191"/>
        <v/>
      </c>
      <c r="J1526" s="512" t="str">
        <f t="shared" ca="1" si="192"/>
        <v/>
      </c>
      <c r="K1526" s="512" t="str">
        <f t="shared" ca="1" si="193"/>
        <v/>
      </c>
      <c r="L1526" s="503" t="str">
        <f t="shared" ca="1" si="194"/>
        <v/>
      </c>
      <c r="M1526" s="515" t="str">
        <f ca="1">IFERROR(IF(COUNTIF($B$937:$B1525,"&lt;0")&lt;&gt;1,OFFSET($C1524,-COUNTIF($B$937:$B1525,"&lt;0")+3,0),""),"")</f>
        <v>a173p00000CH4J0AAL</v>
      </c>
      <c r="N1526" s="515">
        <f ca="1">IFERROR(IF(COUNTA($D$937:D1525)=1,0,OFFSET($F1524,-COUNTA($D$937:D1525)+3,0)),"")</f>
        <v>38</v>
      </c>
      <c r="O1526" s="497"/>
      <c r="P1526" s="497">
        <f t="shared" si="198"/>
        <v>0</v>
      </c>
      <c r="Q1526" s="497"/>
      <c r="R1526" s="497"/>
      <c r="S1526" s="497"/>
      <c r="T1526" s="503"/>
    </row>
    <row r="1527" spans="1:20" x14ac:dyDescent="0.35">
      <c r="A1527" s="497" t="b">
        <f t="shared" ca="1" si="188"/>
        <v>0</v>
      </c>
      <c r="B1527" s="497">
        <f t="shared" si="195"/>
        <v>228</v>
      </c>
      <c r="C1527" s="519" t="str">
        <f t="shared" ca="1" si="189"/>
        <v>a173p00000CH4JyAAL</v>
      </c>
      <c r="D1527" s="497"/>
      <c r="E1527" s="497">
        <f t="shared" ca="1" si="196"/>
        <v>6</v>
      </c>
      <c r="F1527" s="516">
        <f ca="1">IF(COUNTA(D$938:D1527)=1,"",OFFSET(F1525,-COUNTA(D$938:D1527)+3,0))</f>
        <v>38</v>
      </c>
      <c r="G1527" s="503" t="str">
        <f t="shared" ca="1" si="190"/>
        <v/>
      </c>
      <c r="H1527" s="497">
        <f t="shared" ca="1" si="197"/>
        <v>83</v>
      </c>
      <c r="I1527" s="500" t="str">
        <f t="shared" ca="1" si="191"/>
        <v/>
      </c>
      <c r="J1527" s="512" t="str">
        <f t="shared" ca="1" si="192"/>
        <v/>
      </c>
      <c r="K1527" s="512" t="str">
        <f t="shared" ca="1" si="193"/>
        <v/>
      </c>
      <c r="L1527" s="503" t="str">
        <f t="shared" ca="1" si="194"/>
        <v/>
      </c>
      <c r="M1527" s="515" t="str">
        <f ca="1">IFERROR(IF(COUNTIF($B$937:$B1526,"&lt;0")&lt;&gt;1,OFFSET($C1525,-COUNTIF($B$937:$B1526,"&lt;0")+3,0),""),"")</f>
        <v>a173p00000CH4JyAAL</v>
      </c>
      <c r="N1527" s="515">
        <f ca="1">IFERROR(IF(COUNTA($D$937:D1526)=1,0,OFFSET($F1525,-COUNTA($D$937:D1526)+3,0)),"")</f>
        <v>38</v>
      </c>
      <c r="O1527" s="497"/>
      <c r="P1527" s="497">
        <f t="shared" si="198"/>
        <v>0</v>
      </c>
      <c r="Q1527" s="497"/>
      <c r="R1527" s="497"/>
      <c r="S1527" s="497"/>
      <c r="T1527" s="503"/>
    </row>
    <row r="1528" spans="1:20" x14ac:dyDescent="0.35">
      <c r="A1528" s="497" t="b">
        <f t="shared" ca="1" si="188"/>
        <v>0</v>
      </c>
      <c r="B1528" s="497">
        <f t="shared" si="195"/>
        <v>229</v>
      </c>
      <c r="C1528" s="519" t="str">
        <f t="shared" ca="1" si="189"/>
        <v>a173p00000CH4F9AAL</v>
      </c>
      <c r="D1528" s="497"/>
      <c r="E1528" s="497">
        <f t="shared" ca="1" si="196"/>
        <v>1</v>
      </c>
      <c r="F1528" s="516">
        <f ca="1">IF(COUNTA(D$938:D1528)=1,"",OFFSET(F1526,-COUNTA(D$938:D1528)+3,0))</f>
        <v>39</v>
      </c>
      <c r="G1528" s="503" t="str">
        <f t="shared" ca="1" si="190"/>
        <v/>
      </c>
      <c r="H1528" s="497">
        <f t="shared" ca="1" si="197"/>
        <v>85</v>
      </c>
      <c r="I1528" s="500" t="str">
        <f t="shared" ca="1" si="191"/>
        <v/>
      </c>
      <c r="J1528" s="512" t="str">
        <f t="shared" ca="1" si="192"/>
        <v/>
      </c>
      <c r="K1528" s="512" t="str">
        <f t="shared" ca="1" si="193"/>
        <v/>
      </c>
      <c r="L1528" s="503" t="str">
        <f t="shared" ca="1" si="194"/>
        <v/>
      </c>
      <c r="M1528" s="515" t="str">
        <f ca="1">IFERROR(IF(COUNTIF($B$937:$B1527,"&lt;0")&lt;&gt;1,OFFSET($C1526,-COUNTIF($B$937:$B1527,"&lt;0")+3,0),""),"")</f>
        <v>a173p00000CH4F9AAL</v>
      </c>
      <c r="N1528" s="515">
        <f ca="1">IFERROR(IF(COUNTA($D$937:D1527)=1,0,OFFSET($F1526,-COUNTA($D$937:D1527)+3,0)),"")</f>
        <v>39</v>
      </c>
      <c r="O1528" s="497"/>
      <c r="P1528" s="497">
        <f t="shared" si="198"/>
        <v>0</v>
      </c>
      <c r="Q1528" s="497"/>
      <c r="R1528" s="497"/>
      <c r="S1528" s="497"/>
      <c r="T1528" s="503"/>
    </row>
    <row r="1529" spans="1:20" x14ac:dyDescent="0.35">
      <c r="A1529" s="497" t="b">
        <f t="shared" ca="1" si="188"/>
        <v>0</v>
      </c>
      <c r="B1529" s="497">
        <f t="shared" si="195"/>
        <v>230</v>
      </c>
      <c r="C1529" s="519" t="str">
        <f t="shared" ca="1" si="189"/>
        <v>a173p00000CH4G7AAL</v>
      </c>
      <c r="D1529" s="497"/>
      <c r="E1529" s="497">
        <f t="shared" ca="1" si="196"/>
        <v>2</v>
      </c>
      <c r="F1529" s="516">
        <f ca="1">IF(COUNTA(D$938:D1529)=1,"",OFFSET(F1527,-COUNTA(D$938:D1529)+3,0))</f>
        <v>39</v>
      </c>
      <c r="G1529" s="503" t="str">
        <f t="shared" ca="1" si="190"/>
        <v/>
      </c>
      <c r="H1529" s="497">
        <f t="shared" ca="1" si="197"/>
        <v>85</v>
      </c>
      <c r="I1529" s="500" t="str">
        <f t="shared" ca="1" si="191"/>
        <v/>
      </c>
      <c r="J1529" s="512" t="str">
        <f t="shared" ca="1" si="192"/>
        <v/>
      </c>
      <c r="K1529" s="512" t="str">
        <f t="shared" ca="1" si="193"/>
        <v/>
      </c>
      <c r="L1529" s="503" t="str">
        <f t="shared" ca="1" si="194"/>
        <v/>
      </c>
      <c r="M1529" s="515" t="str">
        <f ca="1">IFERROR(IF(COUNTIF($B$937:$B1528,"&lt;0")&lt;&gt;1,OFFSET($C1527,-COUNTIF($B$937:$B1528,"&lt;0")+3,0),""),"")</f>
        <v>a173p00000CH4G7AAL</v>
      </c>
      <c r="N1529" s="515">
        <f ca="1">IFERROR(IF(COUNTA($D$937:D1528)=1,0,OFFSET($F1527,-COUNTA($D$937:D1528)+3,0)),"")</f>
        <v>39</v>
      </c>
      <c r="O1529" s="497"/>
      <c r="P1529" s="497">
        <f t="shared" si="198"/>
        <v>0</v>
      </c>
      <c r="Q1529" s="497"/>
      <c r="R1529" s="497"/>
      <c r="S1529" s="497"/>
      <c r="T1529" s="503"/>
    </row>
    <row r="1530" spans="1:20" x14ac:dyDescent="0.35">
      <c r="A1530" s="497" t="b">
        <f t="shared" ca="1" si="188"/>
        <v>0</v>
      </c>
      <c r="B1530" s="497">
        <f t="shared" si="195"/>
        <v>231</v>
      </c>
      <c r="C1530" s="519" t="str">
        <f t="shared" ca="1" si="189"/>
        <v>a173p00000CH4H5AAL</v>
      </c>
      <c r="D1530" s="497"/>
      <c r="E1530" s="497">
        <f t="shared" ca="1" si="196"/>
        <v>3</v>
      </c>
      <c r="F1530" s="516">
        <f ca="1">IF(COUNTA(D$938:D1530)=1,"",OFFSET(F1528,-COUNTA(D$938:D1530)+3,0))</f>
        <v>39</v>
      </c>
      <c r="G1530" s="503" t="str">
        <f t="shared" ca="1" si="190"/>
        <v/>
      </c>
      <c r="H1530" s="497">
        <f t="shared" ca="1" si="197"/>
        <v>85</v>
      </c>
      <c r="I1530" s="500" t="str">
        <f t="shared" ca="1" si="191"/>
        <v/>
      </c>
      <c r="J1530" s="512" t="str">
        <f t="shared" ca="1" si="192"/>
        <v/>
      </c>
      <c r="K1530" s="512" t="str">
        <f t="shared" ca="1" si="193"/>
        <v/>
      </c>
      <c r="L1530" s="503" t="str">
        <f t="shared" ca="1" si="194"/>
        <v/>
      </c>
      <c r="M1530" s="515" t="str">
        <f ca="1">IFERROR(IF(COUNTIF($B$937:$B1529,"&lt;0")&lt;&gt;1,OFFSET($C1528,-COUNTIF($B$937:$B1529,"&lt;0")+3,0),""),"")</f>
        <v>a173p00000CH4H5AAL</v>
      </c>
      <c r="N1530" s="515">
        <f ca="1">IFERROR(IF(COUNTA($D$937:D1529)=1,0,OFFSET($F1528,-COUNTA($D$937:D1529)+3,0)),"")</f>
        <v>39</v>
      </c>
      <c r="O1530" s="497"/>
      <c r="P1530" s="497">
        <f t="shared" si="198"/>
        <v>0</v>
      </c>
      <c r="Q1530" s="497"/>
      <c r="R1530" s="497"/>
      <c r="S1530" s="497"/>
      <c r="T1530" s="503"/>
    </row>
    <row r="1531" spans="1:20" x14ac:dyDescent="0.35">
      <c r="A1531" s="497" t="b">
        <f t="shared" ca="1" si="188"/>
        <v>0</v>
      </c>
      <c r="B1531" s="497">
        <f t="shared" si="195"/>
        <v>232</v>
      </c>
      <c r="C1531" s="519" t="str">
        <f t="shared" ca="1" si="189"/>
        <v>a173p00000CH4I3AAL</v>
      </c>
      <c r="D1531" s="497"/>
      <c r="E1531" s="497">
        <f t="shared" ca="1" si="196"/>
        <v>4</v>
      </c>
      <c r="F1531" s="516">
        <f ca="1">IF(COUNTA(D$938:D1531)=1,"",OFFSET(F1529,-COUNTA(D$938:D1531)+3,0))</f>
        <v>39</v>
      </c>
      <c r="G1531" s="503" t="str">
        <f t="shared" ca="1" si="190"/>
        <v/>
      </c>
      <c r="H1531" s="497">
        <f t="shared" ca="1" si="197"/>
        <v>85</v>
      </c>
      <c r="I1531" s="500" t="str">
        <f t="shared" ca="1" si="191"/>
        <v/>
      </c>
      <c r="J1531" s="512" t="str">
        <f t="shared" ca="1" si="192"/>
        <v/>
      </c>
      <c r="K1531" s="512" t="str">
        <f t="shared" ca="1" si="193"/>
        <v/>
      </c>
      <c r="L1531" s="503" t="str">
        <f t="shared" ca="1" si="194"/>
        <v/>
      </c>
      <c r="M1531" s="515" t="str">
        <f ca="1">IFERROR(IF(COUNTIF($B$937:$B1530,"&lt;0")&lt;&gt;1,OFFSET($C1529,-COUNTIF($B$937:$B1530,"&lt;0")+3,0),""),"")</f>
        <v>a173p00000CH4I3AAL</v>
      </c>
      <c r="N1531" s="515">
        <f ca="1">IFERROR(IF(COUNTA($D$937:D1530)=1,0,OFFSET($F1529,-COUNTA($D$937:D1530)+3,0)),"")</f>
        <v>39</v>
      </c>
      <c r="O1531" s="497"/>
      <c r="P1531" s="497">
        <f t="shared" si="198"/>
        <v>0</v>
      </c>
      <c r="Q1531" s="497"/>
      <c r="R1531" s="497"/>
      <c r="S1531" s="497"/>
      <c r="T1531" s="503"/>
    </row>
    <row r="1532" spans="1:20" x14ac:dyDescent="0.35">
      <c r="A1532" s="497" t="b">
        <f t="shared" ca="1" si="188"/>
        <v>0</v>
      </c>
      <c r="B1532" s="497">
        <f t="shared" si="195"/>
        <v>233</v>
      </c>
      <c r="C1532" s="519" t="str">
        <f t="shared" ca="1" si="189"/>
        <v>a173p00000CH4J1AAL</v>
      </c>
      <c r="D1532" s="497"/>
      <c r="E1532" s="497">
        <f t="shared" ca="1" si="196"/>
        <v>5</v>
      </c>
      <c r="F1532" s="516">
        <f ca="1">IF(COUNTA(D$938:D1532)=1,"",OFFSET(F1530,-COUNTA(D$938:D1532)+3,0))</f>
        <v>39</v>
      </c>
      <c r="G1532" s="503" t="str">
        <f t="shared" ca="1" si="190"/>
        <v/>
      </c>
      <c r="H1532" s="497">
        <f t="shared" ca="1" si="197"/>
        <v>85</v>
      </c>
      <c r="I1532" s="500" t="str">
        <f t="shared" ca="1" si="191"/>
        <v/>
      </c>
      <c r="J1532" s="512" t="str">
        <f t="shared" ca="1" si="192"/>
        <v/>
      </c>
      <c r="K1532" s="512" t="str">
        <f t="shared" ca="1" si="193"/>
        <v/>
      </c>
      <c r="L1532" s="503" t="str">
        <f t="shared" ca="1" si="194"/>
        <v/>
      </c>
      <c r="M1532" s="515" t="str">
        <f ca="1">IFERROR(IF(COUNTIF($B$937:$B1531,"&lt;0")&lt;&gt;1,OFFSET($C1530,-COUNTIF($B$937:$B1531,"&lt;0")+3,0),""),"")</f>
        <v>a173p00000CH4J1AAL</v>
      </c>
      <c r="N1532" s="515">
        <f ca="1">IFERROR(IF(COUNTA($D$937:D1531)=1,0,OFFSET($F1530,-COUNTA($D$937:D1531)+3,0)),"")</f>
        <v>39</v>
      </c>
      <c r="O1532" s="497"/>
      <c r="P1532" s="497">
        <f t="shared" si="198"/>
        <v>0</v>
      </c>
      <c r="Q1532" s="497"/>
      <c r="R1532" s="497"/>
      <c r="S1532" s="497"/>
      <c r="T1532" s="503"/>
    </row>
    <row r="1533" spans="1:20" x14ac:dyDescent="0.35">
      <c r="A1533" s="497" t="b">
        <f t="shared" ca="1" si="188"/>
        <v>0</v>
      </c>
      <c r="B1533" s="497">
        <f t="shared" si="195"/>
        <v>234</v>
      </c>
      <c r="C1533" s="519" t="str">
        <f t="shared" ca="1" si="189"/>
        <v>a173p00000CH4JzAAL</v>
      </c>
      <c r="D1533" s="497"/>
      <c r="E1533" s="497">
        <f t="shared" ca="1" si="196"/>
        <v>6</v>
      </c>
      <c r="F1533" s="516">
        <f ca="1">IF(COUNTA(D$938:D1533)=1,"",OFFSET(F1531,-COUNTA(D$938:D1533)+3,0))</f>
        <v>39</v>
      </c>
      <c r="G1533" s="503" t="str">
        <f t="shared" ca="1" si="190"/>
        <v/>
      </c>
      <c r="H1533" s="497">
        <f t="shared" ca="1" si="197"/>
        <v>85</v>
      </c>
      <c r="I1533" s="500" t="str">
        <f t="shared" ca="1" si="191"/>
        <v/>
      </c>
      <c r="J1533" s="512" t="str">
        <f t="shared" ca="1" si="192"/>
        <v/>
      </c>
      <c r="K1533" s="512" t="str">
        <f t="shared" ca="1" si="193"/>
        <v/>
      </c>
      <c r="L1533" s="503" t="str">
        <f t="shared" ca="1" si="194"/>
        <v/>
      </c>
      <c r="M1533" s="515" t="str">
        <f ca="1">IFERROR(IF(COUNTIF($B$937:$B1532,"&lt;0")&lt;&gt;1,OFFSET($C1531,-COUNTIF($B$937:$B1532,"&lt;0")+3,0),""),"")</f>
        <v>a173p00000CH4JzAAL</v>
      </c>
      <c r="N1533" s="515">
        <f ca="1">IFERROR(IF(COUNTA($D$937:D1532)=1,0,OFFSET($F1531,-COUNTA($D$937:D1532)+3,0)),"")</f>
        <v>39</v>
      </c>
      <c r="O1533" s="497"/>
      <c r="P1533" s="497">
        <f t="shared" si="198"/>
        <v>0</v>
      </c>
      <c r="Q1533" s="497"/>
      <c r="R1533" s="497"/>
      <c r="S1533" s="497"/>
      <c r="T1533" s="503"/>
    </row>
    <row r="1534" spans="1:20" x14ac:dyDescent="0.35">
      <c r="A1534" s="497" t="b">
        <f t="shared" ca="1" si="188"/>
        <v>0</v>
      </c>
      <c r="B1534" s="497">
        <f t="shared" si="195"/>
        <v>235</v>
      </c>
      <c r="C1534" s="519" t="str">
        <f t="shared" ca="1" si="189"/>
        <v>a173p00000CH4FAAA1</v>
      </c>
      <c r="D1534" s="497"/>
      <c r="E1534" s="497">
        <f t="shared" ca="1" si="196"/>
        <v>1</v>
      </c>
      <c r="F1534" s="516">
        <f ca="1">IF(COUNTA(D$938:D1534)=1,"",OFFSET(F1532,-COUNTA(D$938:D1534)+3,0))</f>
        <v>40</v>
      </c>
      <c r="G1534" s="503" t="str">
        <f t="shared" ca="1" si="190"/>
        <v/>
      </c>
      <c r="H1534" s="497">
        <f t="shared" ca="1" si="197"/>
        <v>87</v>
      </c>
      <c r="I1534" s="500" t="str">
        <f t="shared" ca="1" si="191"/>
        <v/>
      </c>
      <c r="J1534" s="512" t="str">
        <f t="shared" ca="1" si="192"/>
        <v/>
      </c>
      <c r="K1534" s="512" t="str">
        <f t="shared" ca="1" si="193"/>
        <v/>
      </c>
      <c r="L1534" s="503" t="str">
        <f t="shared" ca="1" si="194"/>
        <v/>
      </c>
      <c r="M1534" s="515" t="str">
        <f ca="1">IFERROR(IF(COUNTIF($B$937:$B1533,"&lt;0")&lt;&gt;1,OFFSET($C1532,-COUNTIF($B$937:$B1533,"&lt;0")+3,0),""),"")</f>
        <v>a173p00000CH4FAAA1</v>
      </c>
      <c r="N1534" s="515">
        <f ca="1">IFERROR(IF(COUNTA($D$937:D1533)=1,0,OFFSET($F1532,-COUNTA($D$937:D1533)+3,0)),"")</f>
        <v>40</v>
      </c>
      <c r="O1534" s="497"/>
      <c r="P1534" s="497">
        <f t="shared" si="198"/>
        <v>0</v>
      </c>
      <c r="Q1534" s="497"/>
      <c r="R1534" s="497"/>
      <c r="S1534" s="497"/>
      <c r="T1534" s="503"/>
    </row>
    <row r="1535" spans="1:20" x14ac:dyDescent="0.35">
      <c r="A1535" s="497" t="b">
        <f t="shared" ca="1" si="188"/>
        <v>0</v>
      </c>
      <c r="B1535" s="497">
        <f t="shared" si="195"/>
        <v>236</v>
      </c>
      <c r="C1535" s="519" t="str">
        <f t="shared" ca="1" si="189"/>
        <v>a173p00000CH4G8AAL</v>
      </c>
      <c r="D1535" s="497"/>
      <c r="E1535" s="497">
        <f t="shared" ca="1" si="196"/>
        <v>2</v>
      </c>
      <c r="F1535" s="516">
        <f ca="1">IF(COUNTA(D$938:D1535)=1,"",OFFSET(F1533,-COUNTA(D$938:D1535)+3,0))</f>
        <v>40</v>
      </c>
      <c r="G1535" s="503" t="str">
        <f t="shared" ca="1" si="190"/>
        <v/>
      </c>
      <c r="H1535" s="497">
        <f t="shared" ca="1" si="197"/>
        <v>87</v>
      </c>
      <c r="I1535" s="500" t="str">
        <f t="shared" ca="1" si="191"/>
        <v/>
      </c>
      <c r="J1535" s="512" t="str">
        <f t="shared" ca="1" si="192"/>
        <v/>
      </c>
      <c r="K1535" s="512" t="str">
        <f t="shared" ca="1" si="193"/>
        <v/>
      </c>
      <c r="L1535" s="503" t="str">
        <f t="shared" ca="1" si="194"/>
        <v/>
      </c>
      <c r="M1535" s="515" t="str">
        <f ca="1">IFERROR(IF(COUNTIF($B$937:$B1534,"&lt;0")&lt;&gt;1,OFFSET($C1533,-COUNTIF($B$937:$B1534,"&lt;0")+3,0),""),"")</f>
        <v>a173p00000CH4G8AAL</v>
      </c>
      <c r="N1535" s="515">
        <f ca="1">IFERROR(IF(COUNTA($D$937:D1534)=1,0,OFFSET($F1533,-COUNTA($D$937:D1534)+3,0)),"")</f>
        <v>40</v>
      </c>
      <c r="O1535" s="497"/>
      <c r="P1535" s="497">
        <f t="shared" si="198"/>
        <v>0</v>
      </c>
      <c r="Q1535" s="497"/>
      <c r="R1535" s="497"/>
      <c r="S1535" s="497"/>
      <c r="T1535" s="503"/>
    </row>
    <row r="1536" spans="1:20" x14ac:dyDescent="0.35">
      <c r="A1536" s="497" t="b">
        <f t="shared" ca="1" si="188"/>
        <v>0</v>
      </c>
      <c r="B1536" s="497">
        <f t="shared" si="195"/>
        <v>237</v>
      </c>
      <c r="C1536" s="519" t="str">
        <f t="shared" ca="1" si="189"/>
        <v>a173p00000CH4H6AAL</v>
      </c>
      <c r="D1536" s="497"/>
      <c r="E1536" s="497">
        <f t="shared" ca="1" si="196"/>
        <v>3</v>
      </c>
      <c r="F1536" s="516">
        <f ca="1">IF(COUNTA(D$938:D1536)=1,"",OFFSET(F1534,-COUNTA(D$938:D1536)+3,0))</f>
        <v>40</v>
      </c>
      <c r="G1536" s="503" t="str">
        <f t="shared" ca="1" si="190"/>
        <v/>
      </c>
      <c r="H1536" s="497">
        <f t="shared" ca="1" si="197"/>
        <v>87</v>
      </c>
      <c r="I1536" s="500" t="str">
        <f t="shared" ca="1" si="191"/>
        <v/>
      </c>
      <c r="J1536" s="512" t="str">
        <f t="shared" ca="1" si="192"/>
        <v/>
      </c>
      <c r="K1536" s="512" t="str">
        <f t="shared" ca="1" si="193"/>
        <v/>
      </c>
      <c r="L1536" s="503" t="str">
        <f t="shared" ca="1" si="194"/>
        <v/>
      </c>
      <c r="M1536" s="515" t="str">
        <f ca="1">IFERROR(IF(COUNTIF($B$937:$B1535,"&lt;0")&lt;&gt;1,OFFSET($C1534,-COUNTIF($B$937:$B1535,"&lt;0")+3,0),""),"")</f>
        <v>a173p00000CH4H6AAL</v>
      </c>
      <c r="N1536" s="515">
        <f ca="1">IFERROR(IF(COUNTA($D$937:D1535)=1,0,OFFSET($F1534,-COUNTA($D$937:D1535)+3,0)),"")</f>
        <v>40</v>
      </c>
      <c r="O1536" s="497"/>
      <c r="P1536" s="497">
        <f t="shared" si="198"/>
        <v>0</v>
      </c>
      <c r="Q1536" s="497"/>
      <c r="R1536" s="497"/>
      <c r="S1536" s="497"/>
      <c r="T1536" s="503"/>
    </row>
    <row r="1537" spans="1:20" x14ac:dyDescent="0.35">
      <c r="A1537" s="497" t="b">
        <f t="shared" ca="1" si="188"/>
        <v>0</v>
      </c>
      <c r="B1537" s="497">
        <f t="shared" si="195"/>
        <v>238</v>
      </c>
      <c r="C1537" s="519" t="str">
        <f t="shared" ca="1" si="189"/>
        <v>a173p00000CH4I4AAL</v>
      </c>
      <c r="D1537" s="497"/>
      <c r="E1537" s="497">
        <f t="shared" ca="1" si="196"/>
        <v>4</v>
      </c>
      <c r="F1537" s="516">
        <f ca="1">IF(COUNTA(D$938:D1537)=1,"",OFFSET(F1535,-COUNTA(D$938:D1537)+3,0))</f>
        <v>40</v>
      </c>
      <c r="G1537" s="503" t="str">
        <f t="shared" ca="1" si="190"/>
        <v/>
      </c>
      <c r="H1537" s="497">
        <f t="shared" ca="1" si="197"/>
        <v>87</v>
      </c>
      <c r="I1537" s="500" t="str">
        <f t="shared" ca="1" si="191"/>
        <v/>
      </c>
      <c r="J1537" s="512" t="str">
        <f t="shared" ca="1" si="192"/>
        <v/>
      </c>
      <c r="K1537" s="512" t="str">
        <f t="shared" ca="1" si="193"/>
        <v/>
      </c>
      <c r="L1537" s="503" t="str">
        <f t="shared" ca="1" si="194"/>
        <v/>
      </c>
      <c r="M1537" s="515" t="str">
        <f ca="1">IFERROR(IF(COUNTIF($B$937:$B1536,"&lt;0")&lt;&gt;1,OFFSET($C1535,-COUNTIF($B$937:$B1536,"&lt;0")+3,0),""),"")</f>
        <v>a173p00000CH4I4AAL</v>
      </c>
      <c r="N1537" s="515">
        <f ca="1">IFERROR(IF(COUNTA($D$937:D1536)=1,0,OFFSET($F1535,-COUNTA($D$937:D1536)+3,0)),"")</f>
        <v>40</v>
      </c>
      <c r="O1537" s="497"/>
      <c r="P1537" s="497">
        <f t="shared" si="198"/>
        <v>0</v>
      </c>
      <c r="Q1537" s="497"/>
      <c r="R1537" s="497"/>
      <c r="S1537" s="497"/>
      <c r="T1537" s="503"/>
    </row>
    <row r="1538" spans="1:20" x14ac:dyDescent="0.35">
      <c r="A1538" s="497" t="b">
        <f t="shared" ca="1" si="188"/>
        <v>0</v>
      </c>
      <c r="B1538" s="497">
        <f t="shared" si="195"/>
        <v>239</v>
      </c>
      <c r="C1538" s="519" t="str">
        <f t="shared" ca="1" si="189"/>
        <v>a173p00000CH4J2AAL</v>
      </c>
      <c r="D1538" s="497"/>
      <c r="E1538" s="497">
        <f t="shared" ca="1" si="196"/>
        <v>5</v>
      </c>
      <c r="F1538" s="516">
        <f ca="1">IF(COUNTA(D$938:D1538)=1,"",OFFSET(F1536,-COUNTA(D$938:D1538)+3,0))</f>
        <v>40</v>
      </c>
      <c r="G1538" s="503" t="str">
        <f t="shared" ca="1" si="190"/>
        <v/>
      </c>
      <c r="H1538" s="497">
        <f t="shared" ca="1" si="197"/>
        <v>87</v>
      </c>
      <c r="I1538" s="500" t="str">
        <f t="shared" ca="1" si="191"/>
        <v/>
      </c>
      <c r="J1538" s="512" t="str">
        <f t="shared" ca="1" si="192"/>
        <v/>
      </c>
      <c r="K1538" s="512" t="str">
        <f t="shared" ca="1" si="193"/>
        <v/>
      </c>
      <c r="L1538" s="503" t="str">
        <f t="shared" ca="1" si="194"/>
        <v/>
      </c>
      <c r="M1538" s="515" t="str">
        <f ca="1">IFERROR(IF(COUNTIF($B$937:$B1537,"&lt;0")&lt;&gt;1,OFFSET($C1536,-COUNTIF($B$937:$B1537,"&lt;0")+3,0),""),"")</f>
        <v>a173p00000CH4J2AAL</v>
      </c>
      <c r="N1538" s="515">
        <f ca="1">IFERROR(IF(COUNTA($D$937:D1537)=1,0,OFFSET($F1536,-COUNTA($D$937:D1537)+3,0)),"")</f>
        <v>40</v>
      </c>
      <c r="O1538" s="497"/>
      <c r="P1538" s="497">
        <f t="shared" si="198"/>
        <v>0</v>
      </c>
      <c r="Q1538" s="497"/>
      <c r="R1538" s="497"/>
      <c r="S1538" s="497"/>
      <c r="T1538" s="503"/>
    </row>
    <row r="1539" spans="1:20" x14ac:dyDescent="0.35">
      <c r="A1539" s="497" t="b">
        <f t="shared" ca="1" si="188"/>
        <v>0</v>
      </c>
      <c r="B1539" s="497">
        <f t="shared" si="195"/>
        <v>240</v>
      </c>
      <c r="C1539" s="519" t="str">
        <f t="shared" ca="1" si="189"/>
        <v>a173p00000CH4K0AAL</v>
      </c>
      <c r="D1539" s="497"/>
      <c r="E1539" s="497">
        <f t="shared" ca="1" si="196"/>
        <v>6</v>
      </c>
      <c r="F1539" s="516">
        <f ca="1">IF(COUNTA(D$938:D1539)=1,"",OFFSET(F1537,-COUNTA(D$938:D1539)+3,0))</f>
        <v>40</v>
      </c>
      <c r="G1539" s="503" t="str">
        <f t="shared" ca="1" si="190"/>
        <v/>
      </c>
      <c r="H1539" s="497">
        <f t="shared" ca="1" si="197"/>
        <v>87</v>
      </c>
      <c r="I1539" s="500" t="str">
        <f t="shared" ca="1" si="191"/>
        <v/>
      </c>
      <c r="J1539" s="512" t="str">
        <f t="shared" ca="1" si="192"/>
        <v/>
      </c>
      <c r="K1539" s="512" t="str">
        <f t="shared" ca="1" si="193"/>
        <v/>
      </c>
      <c r="L1539" s="503" t="str">
        <f t="shared" ca="1" si="194"/>
        <v/>
      </c>
      <c r="M1539" s="515" t="str">
        <f ca="1">IFERROR(IF(COUNTIF($B$937:$B1538,"&lt;0")&lt;&gt;1,OFFSET($C1537,-COUNTIF($B$937:$B1538,"&lt;0")+3,0),""),"")</f>
        <v>a173p00000CH4K0AAL</v>
      </c>
      <c r="N1539" s="515">
        <f ca="1">IFERROR(IF(COUNTA($D$937:D1538)=1,0,OFFSET($F1537,-COUNTA($D$937:D1538)+3,0)),"")</f>
        <v>40</v>
      </c>
      <c r="O1539" s="497"/>
      <c r="P1539" s="497">
        <f t="shared" si="198"/>
        <v>0</v>
      </c>
      <c r="Q1539" s="497"/>
      <c r="R1539" s="497"/>
      <c r="S1539" s="497"/>
      <c r="T1539" s="503"/>
    </row>
    <row r="1540" spans="1:20" x14ac:dyDescent="0.35">
      <c r="A1540" s="497" t="b">
        <f t="shared" ca="1" si="188"/>
        <v>0</v>
      </c>
      <c r="B1540" s="497">
        <f t="shared" si="195"/>
        <v>241</v>
      </c>
      <c r="C1540" s="519" t="str">
        <f t="shared" ca="1" si="189"/>
        <v>a173p00000CH4FBAA1</v>
      </c>
      <c r="D1540" s="497"/>
      <c r="E1540" s="497">
        <f t="shared" ca="1" si="196"/>
        <v>1</v>
      </c>
      <c r="F1540" s="516">
        <f ca="1">IF(COUNTA(D$938:D1540)=1,"",OFFSET(F1538,-COUNTA(D$938:D1540)+3,0))</f>
        <v>41</v>
      </c>
      <c r="G1540" s="503" t="str">
        <f t="shared" ca="1" si="190"/>
        <v/>
      </c>
      <c r="H1540" s="497">
        <f t="shared" ca="1" si="197"/>
        <v>89</v>
      </c>
      <c r="I1540" s="500" t="str">
        <f t="shared" ca="1" si="191"/>
        <v/>
      </c>
      <c r="J1540" s="512" t="str">
        <f t="shared" ca="1" si="192"/>
        <v/>
      </c>
      <c r="K1540" s="512" t="str">
        <f t="shared" ca="1" si="193"/>
        <v/>
      </c>
      <c r="L1540" s="503" t="str">
        <f t="shared" ca="1" si="194"/>
        <v/>
      </c>
      <c r="M1540" s="515" t="str">
        <f ca="1">IFERROR(IF(COUNTIF($B$937:$B1539,"&lt;0")&lt;&gt;1,OFFSET($C1538,-COUNTIF($B$937:$B1539,"&lt;0")+3,0),""),"")</f>
        <v>a173p00000CH4FBAA1</v>
      </c>
      <c r="N1540" s="515">
        <f ca="1">IFERROR(IF(COUNTA($D$937:D1539)=1,0,OFFSET($F1538,-COUNTA($D$937:D1539)+3,0)),"")</f>
        <v>41</v>
      </c>
      <c r="O1540" s="497"/>
      <c r="P1540" s="497">
        <f t="shared" si="198"/>
        <v>0</v>
      </c>
      <c r="Q1540" s="497"/>
      <c r="R1540" s="497"/>
      <c r="S1540" s="497"/>
      <c r="T1540" s="503"/>
    </row>
    <row r="1541" spans="1:20" x14ac:dyDescent="0.35">
      <c r="A1541" s="497" t="b">
        <f t="shared" ca="1" si="188"/>
        <v>0</v>
      </c>
      <c r="B1541" s="497">
        <f t="shared" si="195"/>
        <v>242</v>
      </c>
      <c r="C1541" s="519" t="str">
        <f t="shared" ca="1" si="189"/>
        <v>a173p00000CH4G9AAL</v>
      </c>
      <c r="D1541" s="497"/>
      <c r="E1541" s="497">
        <f t="shared" ca="1" si="196"/>
        <v>2</v>
      </c>
      <c r="F1541" s="516">
        <f ca="1">IF(COUNTA(D$938:D1541)=1,"",OFFSET(F1539,-COUNTA(D$938:D1541)+3,0))</f>
        <v>41</v>
      </c>
      <c r="G1541" s="503" t="str">
        <f t="shared" ca="1" si="190"/>
        <v/>
      </c>
      <c r="H1541" s="497">
        <f t="shared" ca="1" si="197"/>
        <v>89</v>
      </c>
      <c r="I1541" s="500" t="str">
        <f t="shared" ca="1" si="191"/>
        <v/>
      </c>
      <c r="J1541" s="512" t="str">
        <f t="shared" ca="1" si="192"/>
        <v/>
      </c>
      <c r="K1541" s="512" t="str">
        <f t="shared" ca="1" si="193"/>
        <v/>
      </c>
      <c r="L1541" s="503" t="str">
        <f t="shared" ca="1" si="194"/>
        <v/>
      </c>
      <c r="M1541" s="515" t="str">
        <f ca="1">IFERROR(IF(COUNTIF($B$937:$B1540,"&lt;0")&lt;&gt;1,OFFSET($C1539,-COUNTIF($B$937:$B1540,"&lt;0")+3,0),""),"")</f>
        <v>a173p00000CH4G9AAL</v>
      </c>
      <c r="N1541" s="515">
        <f ca="1">IFERROR(IF(COUNTA($D$937:D1540)=1,0,OFFSET($F1539,-COUNTA($D$937:D1540)+3,0)),"")</f>
        <v>41</v>
      </c>
      <c r="O1541" s="497"/>
      <c r="P1541" s="497">
        <f t="shared" si="198"/>
        <v>0</v>
      </c>
      <c r="Q1541" s="497"/>
      <c r="R1541" s="497"/>
      <c r="S1541" s="497"/>
      <c r="T1541" s="503"/>
    </row>
    <row r="1542" spans="1:20" x14ac:dyDescent="0.35">
      <c r="A1542" s="497" t="b">
        <f t="shared" ca="1" si="188"/>
        <v>0</v>
      </c>
      <c r="B1542" s="497">
        <f t="shared" si="195"/>
        <v>243</v>
      </c>
      <c r="C1542" s="519" t="str">
        <f t="shared" ca="1" si="189"/>
        <v>a173p00000CH4H7AAL</v>
      </c>
      <c r="D1542" s="497"/>
      <c r="E1542" s="497">
        <f t="shared" ca="1" si="196"/>
        <v>3</v>
      </c>
      <c r="F1542" s="516">
        <f ca="1">IF(COUNTA(D$938:D1542)=1,"",OFFSET(F1540,-COUNTA(D$938:D1542)+3,0))</f>
        <v>41</v>
      </c>
      <c r="G1542" s="503" t="str">
        <f t="shared" ca="1" si="190"/>
        <v/>
      </c>
      <c r="H1542" s="497">
        <f t="shared" ca="1" si="197"/>
        <v>89</v>
      </c>
      <c r="I1542" s="500" t="str">
        <f t="shared" ca="1" si="191"/>
        <v/>
      </c>
      <c r="J1542" s="512" t="str">
        <f t="shared" ca="1" si="192"/>
        <v/>
      </c>
      <c r="K1542" s="512" t="str">
        <f t="shared" ca="1" si="193"/>
        <v/>
      </c>
      <c r="L1542" s="503" t="str">
        <f t="shared" ca="1" si="194"/>
        <v/>
      </c>
      <c r="M1542" s="515" t="str">
        <f ca="1">IFERROR(IF(COUNTIF($B$937:$B1541,"&lt;0")&lt;&gt;1,OFFSET($C1540,-COUNTIF($B$937:$B1541,"&lt;0")+3,0),""),"")</f>
        <v>a173p00000CH4H7AAL</v>
      </c>
      <c r="N1542" s="515">
        <f ca="1">IFERROR(IF(COUNTA($D$937:D1541)=1,0,OFFSET($F1540,-COUNTA($D$937:D1541)+3,0)),"")</f>
        <v>41</v>
      </c>
      <c r="O1542" s="497"/>
      <c r="P1542" s="497">
        <f t="shared" si="198"/>
        <v>0</v>
      </c>
      <c r="Q1542" s="497"/>
      <c r="R1542" s="497"/>
      <c r="S1542" s="497"/>
      <c r="T1542" s="503"/>
    </row>
    <row r="1543" spans="1:20" x14ac:dyDescent="0.35">
      <c r="A1543" s="497" t="b">
        <f t="shared" ca="1" si="188"/>
        <v>0</v>
      </c>
      <c r="B1543" s="497">
        <f t="shared" si="195"/>
        <v>244</v>
      </c>
      <c r="C1543" s="519" t="str">
        <f t="shared" ca="1" si="189"/>
        <v>a173p00000CH4I5AAL</v>
      </c>
      <c r="D1543" s="497"/>
      <c r="E1543" s="497">
        <f t="shared" ca="1" si="196"/>
        <v>4</v>
      </c>
      <c r="F1543" s="516">
        <f ca="1">IF(COUNTA(D$938:D1543)=1,"",OFFSET(F1541,-COUNTA(D$938:D1543)+3,0))</f>
        <v>41</v>
      </c>
      <c r="G1543" s="503" t="str">
        <f t="shared" ca="1" si="190"/>
        <v/>
      </c>
      <c r="H1543" s="497">
        <f t="shared" ca="1" si="197"/>
        <v>89</v>
      </c>
      <c r="I1543" s="500" t="str">
        <f t="shared" ca="1" si="191"/>
        <v/>
      </c>
      <c r="J1543" s="512" t="str">
        <f t="shared" ca="1" si="192"/>
        <v/>
      </c>
      <c r="K1543" s="512" t="str">
        <f t="shared" ca="1" si="193"/>
        <v/>
      </c>
      <c r="L1543" s="503" t="str">
        <f t="shared" ca="1" si="194"/>
        <v/>
      </c>
      <c r="M1543" s="515" t="str">
        <f ca="1">IFERROR(IF(COUNTIF($B$937:$B1542,"&lt;0")&lt;&gt;1,OFFSET($C1541,-COUNTIF($B$937:$B1542,"&lt;0")+3,0),""),"")</f>
        <v>a173p00000CH4I5AAL</v>
      </c>
      <c r="N1543" s="515">
        <f ca="1">IFERROR(IF(COUNTA($D$937:D1542)=1,0,OFFSET($F1541,-COUNTA($D$937:D1542)+3,0)),"")</f>
        <v>41</v>
      </c>
      <c r="O1543" s="497"/>
      <c r="P1543" s="497">
        <f t="shared" si="198"/>
        <v>0</v>
      </c>
      <c r="Q1543" s="497"/>
      <c r="R1543" s="497"/>
      <c r="S1543" s="497"/>
      <c r="T1543" s="503"/>
    </row>
    <row r="1544" spans="1:20" x14ac:dyDescent="0.35">
      <c r="A1544" s="497" t="b">
        <f t="shared" ca="1" si="188"/>
        <v>0</v>
      </c>
      <c r="B1544" s="497">
        <f t="shared" si="195"/>
        <v>245</v>
      </c>
      <c r="C1544" s="519" t="str">
        <f t="shared" ca="1" si="189"/>
        <v>a173p00000CH4J3AAL</v>
      </c>
      <c r="D1544" s="497"/>
      <c r="E1544" s="497">
        <f t="shared" ca="1" si="196"/>
        <v>5</v>
      </c>
      <c r="F1544" s="516">
        <f ca="1">IF(COUNTA(D$938:D1544)=1,"",OFFSET(F1542,-COUNTA(D$938:D1544)+3,0))</f>
        <v>41</v>
      </c>
      <c r="G1544" s="503" t="str">
        <f t="shared" ca="1" si="190"/>
        <v/>
      </c>
      <c r="H1544" s="497">
        <f t="shared" ca="1" si="197"/>
        <v>89</v>
      </c>
      <c r="I1544" s="500" t="str">
        <f t="shared" ca="1" si="191"/>
        <v/>
      </c>
      <c r="J1544" s="512" t="str">
        <f t="shared" ca="1" si="192"/>
        <v/>
      </c>
      <c r="K1544" s="512" t="str">
        <f t="shared" ca="1" si="193"/>
        <v/>
      </c>
      <c r="L1544" s="503" t="str">
        <f t="shared" ca="1" si="194"/>
        <v/>
      </c>
      <c r="M1544" s="515" t="str">
        <f ca="1">IFERROR(IF(COUNTIF($B$937:$B1543,"&lt;0")&lt;&gt;1,OFFSET($C1542,-COUNTIF($B$937:$B1543,"&lt;0")+3,0),""),"")</f>
        <v>a173p00000CH4J3AAL</v>
      </c>
      <c r="N1544" s="515">
        <f ca="1">IFERROR(IF(COUNTA($D$937:D1543)=1,0,OFFSET($F1542,-COUNTA($D$937:D1543)+3,0)),"")</f>
        <v>41</v>
      </c>
      <c r="O1544" s="497"/>
      <c r="P1544" s="497">
        <f t="shared" si="198"/>
        <v>0</v>
      </c>
      <c r="Q1544" s="497"/>
      <c r="R1544" s="497"/>
      <c r="S1544" s="497"/>
      <c r="T1544" s="503"/>
    </row>
    <row r="1545" spans="1:20" x14ac:dyDescent="0.35">
      <c r="A1545" s="497" t="b">
        <f t="shared" ca="1" si="188"/>
        <v>0</v>
      </c>
      <c r="B1545" s="497">
        <f t="shared" si="195"/>
        <v>246</v>
      </c>
      <c r="C1545" s="519" t="str">
        <f t="shared" ca="1" si="189"/>
        <v>a173p00000CH4K1AAL</v>
      </c>
      <c r="D1545" s="497"/>
      <c r="E1545" s="497">
        <f t="shared" ca="1" si="196"/>
        <v>6</v>
      </c>
      <c r="F1545" s="516">
        <f ca="1">IF(COUNTA(D$938:D1545)=1,"",OFFSET(F1543,-COUNTA(D$938:D1545)+3,0))</f>
        <v>41</v>
      </c>
      <c r="G1545" s="503" t="str">
        <f t="shared" ca="1" si="190"/>
        <v/>
      </c>
      <c r="H1545" s="497">
        <f t="shared" ca="1" si="197"/>
        <v>89</v>
      </c>
      <c r="I1545" s="500" t="str">
        <f t="shared" ca="1" si="191"/>
        <v/>
      </c>
      <c r="J1545" s="512" t="str">
        <f t="shared" ca="1" si="192"/>
        <v/>
      </c>
      <c r="K1545" s="512" t="str">
        <f t="shared" ca="1" si="193"/>
        <v/>
      </c>
      <c r="L1545" s="503" t="str">
        <f t="shared" ca="1" si="194"/>
        <v/>
      </c>
      <c r="M1545" s="515" t="str">
        <f ca="1">IFERROR(IF(COUNTIF($B$937:$B1544,"&lt;0")&lt;&gt;1,OFFSET($C1543,-COUNTIF($B$937:$B1544,"&lt;0")+3,0),""),"")</f>
        <v>a173p00000CH4K1AAL</v>
      </c>
      <c r="N1545" s="515">
        <f ca="1">IFERROR(IF(COUNTA($D$937:D1544)=1,0,OFFSET($F1543,-COUNTA($D$937:D1544)+3,0)),"")</f>
        <v>41</v>
      </c>
      <c r="O1545" s="497"/>
      <c r="P1545" s="497">
        <f t="shared" si="198"/>
        <v>0</v>
      </c>
      <c r="Q1545" s="497"/>
      <c r="R1545" s="497"/>
      <c r="S1545" s="497"/>
      <c r="T1545" s="503"/>
    </row>
    <row r="1546" spans="1:20" x14ac:dyDescent="0.35">
      <c r="A1546" s="497" t="b">
        <f t="shared" ca="1" si="188"/>
        <v>0</v>
      </c>
      <c r="B1546" s="497">
        <f t="shared" si="195"/>
        <v>247</v>
      </c>
      <c r="C1546" s="519" t="str">
        <f t="shared" ca="1" si="189"/>
        <v>a173p00000CH4FCAA1</v>
      </c>
      <c r="D1546" s="497"/>
      <c r="E1546" s="497">
        <f t="shared" ca="1" si="196"/>
        <v>1</v>
      </c>
      <c r="F1546" s="516">
        <f ca="1">IF(COUNTA(D$938:D1546)=1,"",OFFSET(F1544,-COUNTA(D$938:D1546)+3,0))</f>
        <v>42</v>
      </c>
      <c r="G1546" s="503" t="str">
        <f t="shared" ca="1" si="190"/>
        <v/>
      </c>
      <c r="H1546" s="497">
        <f t="shared" ca="1" si="197"/>
        <v>91</v>
      </c>
      <c r="I1546" s="500" t="str">
        <f t="shared" ca="1" si="191"/>
        <v/>
      </c>
      <c r="J1546" s="512" t="str">
        <f t="shared" ca="1" si="192"/>
        <v/>
      </c>
      <c r="K1546" s="512" t="str">
        <f t="shared" ca="1" si="193"/>
        <v/>
      </c>
      <c r="L1546" s="503" t="str">
        <f t="shared" ca="1" si="194"/>
        <v/>
      </c>
      <c r="M1546" s="515" t="str">
        <f ca="1">IFERROR(IF(COUNTIF($B$937:$B1545,"&lt;0")&lt;&gt;1,OFFSET($C1544,-COUNTIF($B$937:$B1545,"&lt;0")+3,0),""),"")</f>
        <v>a173p00000CH4FCAA1</v>
      </c>
      <c r="N1546" s="515">
        <f ca="1">IFERROR(IF(COUNTA($D$937:D1545)=1,0,OFFSET($F1544,-COUNTA($D$937:D1545)+3,0)),"")</f>
        <v>42</v>
      </c>
      <c r="O1546" s="497"/>
      <c r="P1546" s="497">
        <f t="shared" si="198"/>
        <v>0</v>
      </c>
      <c r="Q1546" s="497"/>
      <c r="R1546" s="497"/>
      <c r="S1546" s="497"/>
      <c r="T1546" s="503"/>
    </row>
    <row r="1547" spans="1:20" x14ac:dyDescent="0.35">
      <c r="A1547" s="497" t="b">
        <f t="shared" ca="1" si="188"/>
        <v>0</v>
      </c>
      <c r="B1547" s="497">
        <f t="shared" si="195"/>
        <v>248</v>
      </c>
      <c r="C1547" s="519" t="str">
        <f t="shared" ca="1" si="189"/>
        <v>a173p00000CH4GAAA1</v>
      </c>
      <c r="D1547" s="497"/>
      <c r="E1547" s="497">
        <f t="shared" ca="1" si="196"/>
        <v>2</v>
      </c>
      <c r="F1547" s="516">
        <f ca="1">IF(COUNTA(D$938:D1547)=1,"",OFFSET(F1545,-COUNTA(D$938:D1547)+3,0))</f>
        <v>42</v>
      </c>
      <c r="G1547" s="503" t="str">
        <f t="shared" ca="1" si="190"/>
        <v/>
      </c>
      <c r="H1547" s="497">
        <f t="shared" ca="1" si="197"/>
        <v>91</v>
      </c>
      <c r="I1547" s="500" t="str">
        <f t="shared" ca="1" si="191"/>
        <v/>
      </c>
      <c r="J1547" s="512" t="str">
        <f t="shared" ca="1" si="192"/>
        <v/>
      </c>
      <c r="K1547" s="512" t="str">
        <f t="shared" ca="1" si="193"/>
        <v/>
      </c>
      <c r="L1547" s="503" t="str">
        <f t="shared" ca="1" si="194"/>
        <v/>
      </c>
      <c r="M1547" s="515" t="str">
        <f ca="1">IFERROR(IF(COUNTIF($B$937:$B1546,"&lt;0")&lt;&gt;1,OFFSET($C1545,-COUNTIF($B$937:$B1546,"&lt;0")+3,0),""),"")</f>
        <v>a173p00000CH4GAAA1</v>
      </c>
      <c r="N1547" s="515">
        <f ca="1">IFERROR(IF(COUNTA($D$937:D1546)=1,0,OFFSET($F1545,-COUNTA($D$937:D1546)+3,0)),"")</f>
        <v>42</v>
      </c>
      <c r="O1547" s="497"/>
      <c r="P1547" s="497">
        <f t="shared" si="198"/>
        <v>0</v>
      </c>
      <c r="Q1547" s="497"/>
      <c r="R1547" s="497"/>
      <c r="S1547" s="497"/>
      <c r="T1547" s="503"/>
    </row>
    <row r="1548" spans="1:20" x14ac:dyDescent="0.35">
      <c r="A1548" s="497" t="b">
        <f t="shared" ca="1" si="188"/>
        <v>0</v>
      </c>
      <c r="B1548" s="497">
        <f t="shared" si="195"/>
        <v>249</v>
      </c>
      <c r="C1548" s="519" t="str">
        <f t="shared" ca="1" si="189"/>
        <v>a173p00000CH4H8AAL</v>
      </c>
      <c r="D1548" s="497"/>
      <c r="E1548" s="497">
        <f t="shared" ca="1" si="196"/>
        <v>3</v>
      </c>
      <c r="F1548" s="516">
        <f ca="1">IF(COUNTA(D$938:D1548)=1,"",OFFSET(F1546,-COUNTA(D$938:D1548)+3,0))</f>
        <v>42</v>
      </c>
      <c r="G1548" s="503" t="str">
        <f t="shared" ca="1" si="190"/>
        <v/>
      </c>
      <c r="H1548" s="497">
        <f t="shared" ca="1" si="197"/>
        <v>91</v>
      </c>
      <c r="I1548" s="500" t="str">
        <f t="shared" ca="1" si="191"/>
        <v/>
      </c>
      <c r="J1548" s="512" t="str">
        <f t="shared" ca="1" si="192"/>
        <v/>
      </c>
      <c r="K1548" s="512" t="str">
        <f t="shared" ca="1" si="193"/>
        <v/>
      </c>
      <c r="L1548" s="503" t="str">
        <f t="shared" ca="1" si="194"/>
        <v/>
      </c>
      <c r="M1548" s="515" t="str">
        <f ca="1">IFERROR(IF(COUNTIF($B$937:$B1547,"&lt;0")&lt;&gt;1,OFFSET($C1546,-COUNTIF($B$937:$B1547,"&lt;0")+3,0),""),"")</f>
        <v>a173p00000CH4H8AAL</v>
      </c>
      <c r="N1548" s="515">
        <f ca="1">IFERROR(IF(COUNTA($D$937:D1547)=1,0,OFFSET($F1546,-COUNTA($D$937:D1547)+3,0)),"")</f>
        <v>42</v>
      </c>
      <c r="O1548" s="497"/>
      <c r="P1548" s="497">
        <f t="shared" si="198"/>
        <v>0</v>
      </c>
      <c r="Q1548" s="497"/>
      <c r="R1548" s="497"/>
      <c r="S1548" s="497"/>
      <c r="T1548" s="503"/>
    </row>
    <row r="1549" spans="1:20" x14ac:dyDescent="0.35">
      <c r="A1549" s="497" t="b">
        <f t="shared" ca="1" si="188"/>
        <v>0</v>
      </c>
      <c r="B1549" s="497">
        <f t="shared" si="195"/>
        <v>250</v>
      </c>
      <c r="C1549" s="519" t="str">
        <f t="shared" ca="1" si="189"/>
        <v>a173p00000CH4I6AAL</v>
      </c>
      <c r="D1549" s="497"/>
      <c r="E1549" s="497">
        <f t="shared" ca="1" si="196"/>
        <v>4</v>
      </c>
      <c r="F1549" s="516">
        <f ca="1">IF(COUNTA(D$938:D1549)=1,"",OFFSET(F1547,-COUNTA(D$938:D1549)+3,0))</f>
        <v>42</v>
      </c>
      <c r="G1549" s="503" t="str">
        <f t="shared" ca="1" si="190"/>
        <v/>
      </c>
      <c r="H1549" s="497">
        <f t="shared" ca="1" si="197"/>
        <v>91</v>
      </c>
      <c r="I1549" s="500" t="str">
        <f t="shared" ca="1" si="191"/>
        <v/>
      </c>
      <c r="J1549" s="512" t="str">
        <f t="shared" ca="1" si="192"/>
        <v/>
      </c>
      <c r="K1549" s="512" t="str">
        <f t="shared" ca="1" si="193"/>
        <v/>
      </c>
      <c r="L1549" s="503" t="str">
        <f t="shared" ca="1" si="194"/>
        <v/>
      </c>
      <c r="M1549" s="515" t="str">
        <f ca="1">IFERROR(IF(COUNTIF($B$937:$B1548,"&lt;0")&lt;&gt;1,OFFSET($C1547,-COUNTIF($B$937:$B1548,"&lt;0")+3,0),""),"")</f>
        <v>a173p00000CH4I6AAL</v>
      </c>
      <c r="N1549" s="515">
        <f ca="1">IFERROR(IF(COUNTA($D$937:D1548)=1,0,OFFSET($F1547,-COUNTA($D$937:D1548)+3,0)),"")</f>
        <v>42</v>
      </c>
      <c r="O1549" s="497"/>
      <c r="P1549" s="497">
        <f t="shared" si="198"/>
        <v>0</v>
      </c>
      <c r="Q1549" s="497"/>
      <c r="R1549" s="497"/>
      <c r="S1549" s="497"/>
      <c r="T1549" s="503"/>
    </row>
    <row r="1550" spans="1:20" x14ac:dyDescent="0.35">
      <c r="A1550" s="497" t="b">
        <f t="shared" ca="1" si="188"/>
        <v>0</v>
      </c>
      <c r="B1550" s="497">
        <f t="shared" si="195"/>
        <v>251</v>
      </c>
      <c r="C1550" s="519" t="str">
        <f t="shared" ca="1" si="189"/>
        <v>a173p00000CH4J4AAL</v>
      </c>
      <c r="D1550" s="497"/>
      <c r="E1550" s="497">
        <f t="shared" ca="1" si="196"/>
        <v>5</v>
      </c>
      <c r="F1550" s="516">
        <f ca="1">IF(COUNTA(D$938:D1550)=1,"",OFFSET(F1548,-COUNTA(D$938:D1550)+3,0))</f>
        <v>42</v>
      </c>
      <c r="G1550" s="503" t="str">
        <f t="shared" ca="1" si="190"/>
        <v/>
      </c>
      <c r="H1550" s="497">
        <f t="shared" ca="1" si="197"/>
        <v>91</v>
      </c>
      <c r="I1550" s="500" t="str">
        <f t="shared" ca="1" si="191"/>
        <v/>
      </c>
      <c r="J1550" s="512" t="str">
        <f t="shared" ca="1" si="192"/>
        <v/>
      </c>
      <c r="K1550" s="512" t="str">
        <f t="shared" ca="1" si="193"/>
        <v/>
      </c>
      <c r="L1550" s="503" t="str">
        <f t="shared" ca="1" si="194"/>
        <v/>
      </c>
      <c r="M1550" s="515" t="str">
        <f ca="1">IFERROR(IF(COUNTIF($B$937:$B1549,"&lt;0")&lt;&gt;1,OFFSET($C1548,-COUNTIF($B$937:$B1549,"&lt;0")+3,0),""),"")</f>
        <v>a173p00000CH4J4AAL</v>
      </c>
      <c r="N1550" s="515">
        <f ca="1">IFERROR(IF(COUNTA($D$937:D1549)=1,0,OFFSET($F1548,-COUNTA($D$937:D1549)+3,0)),"")</f>
        <v>42</v>
      </c>
      <c r="O1550" s="497"/>
      <c r="P1550" s="497">
        <f t="shared" si="198"/>
        <v>0</v>
      </c>
      <c r="Q1550" s="497"/>
      <c r="R1550" s="497"/>
      <c r="S1550" s="497"/>
      <c r="T1550" s="503"/>
    </row>
    <row r="1551" spans="1:20" x14ac:dyDescent="0.35">
      <c r="A1551" s="497" t="b">
        <f t="shared" ca="1" si="188"/>
        <v>0</v>
      </c>
      <c r="B1551" s="497">
        <f t="shared" si="195"/>
        <v>252</v>
      </c>
      <c r="C1551" s="519" t="str">
        <f t="shared" ca="1" si="189"/>
        <v>a173p00000CH4K2AAL</v>
      </c>
      <c r="D1551" s="497"/>
      <c r="E1551" s="497">
        <f t="shared" ca="1" si="196"/>
        <v>6</v>
      </c>
      <c r="F1551" s="516">
        <f ca="1">IF(COUNTA(D$938:D1551)=1,"",OFFSET(F1549,-COUNTA(D$938:D1551)+3,0))</f>
        <v>42</v>
      </c>
      <c r="G1551" s="503" t="str">
        <f t="shared" ca="1" si="190"/>
        <v/>
      </c>
      <c r="H1551" s="497">
        <f t="shared" ca="1" si="197"/>
        <v>91</v>
      </c>
      <c r="I1551" s="500" t="str">
        <f t="shared" ca="1" si="191"/>
        <v/>
      </c>
      <c r="J1551" s="512" t="str">
        <f t="shared" ca="1" si="192"/>
        <v/>
      </c>
      <c r="K1551" s="512" t="str">
        <f t="shared" ca="1" si="193"/>
        <v/>
      </c>
      <c r="L1551" s="503" t="str">
        <f t="shared" ca="1" si="194"/>
        <v/>
      </c>
      <c r="M1551" s="515" t="str">
        <f ca="1">IFERROR(IF(COUNTIF($B$937:$B1550,"&lt;0")&lt;&gt;1,OFFSET($C1549,-COUNTIF($B$937:$B1550,"&lt;0")+3,0),""),"")</f>
        <v>a173p00000CH4K2AAL</v>
      </c>
      <c r="N1551" s="515">
        <f ca="1">IFERROR(IF(COUNTA($D$937:D1550)=1,0,OFFSET($F1549,-COUNTA($D$937:D1550)+3,0)),"")</f>
        <v>42</v>
      </c>
      <c r="O1551" s="497"/>
      <c r="P1551" s="497">
        <f t="shared" si="198"/>
        <v>0</v>
      </c>
      <c r="Q1551" s="497"/>
      <c r="R1551" s="497"/>
      <c r="S1551" s="497"/>
      <c r="T1551" s="503"/>
    </row>
    <row r="1552" spans="1:20" x14ac:dyDescent="0.35">
      <c r="A1552" s="497" t="b">
        <f t="shared" ca="1" si="188"/>
        <v>0</v>
      </c>
      <c r="B1552" s="497">
        <f t="shared" si="195"/>
        <v>253</v>
      </c>
      <c r="C1552" s="519" t="str">
        <f t="shared" ca="1" si="189"/>
        <v>a173p00000CH4FDAA1</v>
      </c>
      <c r="D1552" s="497"/>
      <c r="E1552" s="497">
        <f t="shared" ca="1" si="196"/>
        <v>1</v>
      </c>
      <c r="F1552" s="516">
        <f ca="1">IF(COUNTA(D$938:D1552)=1,"",OFFSET(F1550,-COUNTA(D$938:D1552)+3,0))</f>
        <v>43</v>
      </c>
      <c r="G1552" s="503" t="str">
        <f t="shared" ca="1" si="190"/>
        <v/>
      </c>
      <c r="H1552" s="497">
        <f t="shared" ca="1" si="197"/>
        <v>93</v>
      </c>
      <c r="I1552" s="500" t="str">
        <f t="shared" ca="1" si="191"/>
        <v/>
      </c>
      <c r="J1552" s="512" t="str">
        <f t="shared" ca="1" si="192"/>
        <v/>
      </c>
      <c r="K1552" s="512" t="str">
        <f t="shared" ca="1" si="193"/>
        <v/>
      </c>
      <c r="L1552" s="503" t="str">
        <f t="shared" ca="1" si="194"/>
        <v/>
      </c>
      <c r="M1552" s="515" t="str">
        <f ca="1">IFERROR(IF(COUNTIF($B$937:$B1551,"&lt;0")&lt;&gt;1,OFFSET($C1550,-COUNTIF($B$937:$B1551,"&lt;0")+3,0),""),"")</f>
        <v>a173p00000CH4FDAA1</v>
      </c>
      <c r="N1552" s="515">
        <f ca="1">IFERROR(IF(COUNTA($D$937:D1551)=1,0,OFFSET($F1550,-COUNTA($D$937:D1551)+3,0)),"")</f>
        <v>43</v>
      </c>
      <c r="O1552" s="497"/>
      <c r="P1552" s="497">
        <f t="shared" si="198"/>
        <v>0</v>
      </c>
      <c r="Q1552" s="497"/>
      <c r="R1552" s="497"/>
      <c r="S1552" s="497"/>
      <c r="T1552" s="503"/>
    </row>
    <row r="1553" spans="1:20" x14ac:dyDescent="0.35">
      <c r="A1553" s="497" t="b">
        <f t="shared" ca="1" si="188"/>
        <v>0</v>
      </c>
      <c r="B1553" s="497">
        <f t="shared" si="195"/>
        <v>254</v>
      </c>
      <c r="C1553" s="519" t="str">
        <f t="shared" ca="1" si="189"/>
        <v>a173p00000CH4GBAA1</v>
      </c>
      <c r="D1553" s="497"/>
      <c r="E1553" s="497">
        <f t="shared" ca="1" si="196"/>
        <v>2</v>
      </c>
      <c r="F1553" s="516">
        <f ca="1">IF(COUNTA(D$938:D1553)=1,"",OFFSET(F1551,-COUNTA(D$938:D1553)+3,0))</f>
        <v>43</v>
      </c>
      <c r="G1553" s="503" t="str">
        <f t="shared" ca="1" si="190"/>
        <v/>
      </c>
      <c r="H1553" s="497">
        <f t="shared" ca="1" si="197"/>
        <v>93</v>
      </c>
      <c r="I1553" s="500" t="str">
        <f t="shared" ca="1" si="191"/>
        <v/>
      </c>
      <c r="J1553" s="512" t="str">
        <f t="shared" ca="1" si="192"/>
        <v/>
      </c>
      <c r="K1553" s="512" t="str">
        <f t="shared" ca="1" si="193"/>
        <v/>
      </c>
      <c r="L1553" s="503" t="str">
        <f t="shared" ca="1" si="194"/>
        <v/>
      </c>
      <c r="M1553" s="515" t="str">
        <f ca="1">IFERROR(IF(COUNTIF($B$937:$B1552,"&lt;0")&lt;&gt;1,OFFSET($C1551,-COUNTIF($B$937:$B1552,"&lt;0")+3,0),""),"")</f>
        <v>a173p00000CH4GBAA1</v>
      </c>
      <c r="N1553" s="515">
        <f ca="1">IFERROR(IF(COUNTA($D$937:D1552)=1,0,OFFSET($F1551,-COUNTA($D$937:D1552)+3,0)),"")</f>
        <v>43</v>
      </c>
      <c r="O1553" s="497"/>
      <c r="P1553" s="497">
        <f t="shared" si="198"/>
        <v>0</v>
      </c>
      <c r="Q1553" s="497"/>
      <c r="R1553" s="497"/>
      <c r="S1553" s="497"/>
      <c r="T1553" s="503"/>
    </row>
    <row r="1554" spans="1:20" x14ac:dyDescent="0.35">
      <c r="A1554" s="497" t="b">
        <f t="shared" ca="1" si="188"/>
        <v>0</v>
      </c>
      <c r="B1554" s="497">
        <f t="shared" si="195"/>
        <v>255</v>
      </c>
      <c r="C1554" s="519" t="str">
        <f t="shared" ca="1" si="189"/>
        <v>a173p00000CH4H9AAL</v>
      </c>
      <c r="D1554" s="497"/>
      <c r="E1554" s="497">
        <f t="shared" ca="1" si="196"/>
        <v>3</v>
      </c>
      <c r="F1554" s="516">
        <f ca="1">IF(COUNTA(D$938:D1554)=1,"",OFFSET(F1552,-COUNTA(D$938:D1554)+3,0))</f>
        <v>43</v>
      </c>
      <c r="G1554" s="503" t="str">
        <f t="shared" ca="1" si="190"/>
        <v/>
      </c>
      <c r="H1554" s="497">
        <f t="shared" ca="1" si="197"/>
        <v>93</v>
      </c>
      <c r="I1554" s="500" t="str">
        <f t="shared" ca="1" si="191"/>
        <v/>
      </c>
      <c r="J1554" s="512" t="str">
        <f t="shared" ca="1" si="192"/>
        <v/>
      </c>
      <c r="K1554" s="512" t="str">
        <f t="shared" ca="1" si="193"/>
        <v/>
      </c>
      <c r="L1554" s="503" t="str">
        <f t="shared" ca="1" si="194"/>
        <v/>
      </c>
      <c r="M1554" s="515" t="str">
        <f ca="1">IFERROR(IF(COUNTIF($B$937:$B1553,"&lt;0")&lt;&gt;1,OFFSET($C1552,-COUNTIF($B$937:$B1553,"&lt;0")+3,0),""),"")</f>
        <v>a173p00000CH4H9AAL</v>
      </c>
      <c r="N1554" s="515">
        <f ca="1">IFERROR(IF(COUNTA($D$937:D1553)=1,0,OFFSET($F1552,-COUNTA($D$937:D1553)+3,0)),"")</f>
        <v>43</v>
      </c>
      <c r="O1554" s="497"/>
      <c r="P1554" s="497">
        <f t="shared" si="198"/>
        <v>0</v>
      </c>
      <c r="Q1554" s="497"/>
      <c r="R1554" s="497"/>
      <c r="S1554" s="497"/>
      <c r="T1554" s="503"/>
    </row>
    <row r="1555" spans="1:20" x14ac:dyDescent="0.35">
      <c r="A1555" s="497" t="b">
        <f t="shared" ca="1" si="188"/>
        <v>0</v>
      </c>
      <c r="B1555" s="497">
        <f t="shared" si="195"/>
        <v>256</v>
      </c>
      <c r="C1555" s="519" t="str">
        <f t="shared" ca="1" si="189"/>
        <v>a173p00000CH4I7AAL</v>
      </c>
      <c r="D1555" s="497"/>
      <c r="E1555" s="497">
        <f t="shared" ca="1" si="196"/>
        <v>4</v>
      </c>
      <c r="F1555" s="516">
        <f ca="1">IF(COUNTA(D$938:D1555)=1,"",OFFSET(F1553,-COUNTA(D$938:D1555)+3,0))</f>
        <v>43</v>
      </c>
      <c r="G1555" s="503" t="str">
        <f t="shared" ca="1" si="190"/>
        <v/>
      </c>
      <c r="H1555" s="497">
        <f t="shared" ca="1" si="197"/>
        <v>93</v>
      </c>
      <c r="I1555" s="500" t="str">
        <f t="shared" ca="1" si="191"/>
        <v/>
      </c>
      <c r="J1555" s="512" t="str">
        <f t="shared" ca="1" si="192"/>
        <v/>
      </c>
      <c r="K1555" s="512" t="str">
        <f t="shared" ca="1" si="193"/>
        <v/>
      </c>
      <c r="L1555" s="503" t="str">
        <f t="shared" ca="1" si="194"/>
        <v/>
      </c>
      <c r="M1555" s="515" t="str">
        <f ca="1">IFERROR(IF(COUNTIF($B$937:$B1554,"&lt;0")&lt;&gt;1,OFFSET($C1553,-COUNTIF($B$937:$B1554,"&lt;0")+3,0),""),"")</f>
        <v>a173p00000CH4I7AAL</v>
      </c>
      <c r="N1555" s="515">
        <f ca="1">IFERROR(IF(COUNTA($D$937:D1554)=1,0,OFFSET($F1553,-COUNTA($D$937:D1554)+3,0)),"")</f>
        <v>43</v>
      </c>
      <c r="O1555" s="497"/>
      <c r="P1555" s="497">
        <f t="shared" si="198"/>
        <v>0</v>
      </c>
      <c r="Q1555" s="497"/>
      <c r="R1555" s="497"/>
      <c r="S1555" s="497"/>
      <c r="T1555" s="503"/>
    </row>
    <row r="1556" spans="1:20" x14ac:dyDescent="0.35">
      <c r="A1556" s="497" t="b">
        <f t="shared" ref="A1556:A1619" ca="1" si="199">IF(OR(I1556&lt;&gt;"",J1556&lt;&gt;"",K1556&lt;&gt;"",L1556&lt;&gt;""),TRUE,FALSE)</f>
        <v>0</v>
      </c>
      <c r="B1556" s="497">
        <f t="shared" si="195"/>
        <v>257</v>
      </c>
      <c r="C1556" s="519" t="str">
        <f t="shared" ref="C1556:C1619" ca="1" si="200">M1556</f>
        <v>a173p00000CH4J5AAL</v>
      </c>
      <c r="D1556" s="497"/>
      <c r="E1556" s="497">
        <f t="shared" ca="1" si="196"/>
        <v>5</v>
      </c>
      <c r="F1556" s="516">
        <f ca="1">IF(COUNTA(D$938:D1556)=1,"",OFFSET(F1554,-COUNTA(D$938:D1556)+3,0))</f>
        <v>43</v>
      </c>
      <c r="G1556" s="503" t="str">
        <f t="shared" ref="G1556:G1619" ca="1" si="201">IFERROR(IF(INDIRECT("'Coverage Indicators - Section I'!G"&amp;$I620)=0,"",INDIRECT("'Coverage Indicators - Section I'!G"&amp;$I620)),"")</f>
        <v/>
      </c>
      <c r="H1556" s="497">
        <f t="shared" ca="1" si="197"/>
        <v>93</v>
      </c>
      <c r="I1556" s="500" t="str">
        <f t="shared" ref="I1556:I1619" ca="1" si="202">IFERROR(CHOOSE(E1556,IFERROR(IF(INDIRECT("'Coverage Indicators - Section D'!P"&amp;H1556)="","",INDIRECT("'Coverage Indicators - Section D'!P"&amp;H1556)*100),""),IFERROR(IF(INDIRECT("'Coverage Indicators - Section D'!S"&amp;H1556)="","",INDIRECT("'Coverage Indicators - Section D'!S"&amp;H1556)*100),""),IFERROR(IF(INDIRECT("'Coverage Indicators - Section D'!V"&amp;H1556)="","",INDIRECT("'Coverage Indicators - Section D'!V"&amp;H1556)*100),""),IFERROR(IF(INDIRECT("'Coverage Indicators - Section D'!Y"&amp;H1556)="","",INDIRECT("'Coverage Indicators - Section D'!Y"&amp;H1556)*100),""),IFERROR(IF(INDIRECT("'Coverage Indicators - Section D'!AB"&amp;H1556)="","",INDIRECT("'Coverage Indicators - Section D'!AB"&amp;H1556)*100),""),IFERROR(IF(INDIRECT("'Coverage Indicators - Section D'!AE"&amp;H1556)="","",INDIRECT("'Coverage Indicators - Section D'!AE"&amp;H1556)*100),""),IFERROR(IF(INDIRECT("'Coverage Indicators - SectionD'!AH"&amp;H1556)="","",INDIRECT("'CoverageIndicators-SectionD'!AH"&amp;H1556)*100),"")),"")</f>
        <v/>
      </c>
      <c r="J1556" s="512" t="str">
        <f t="shared" ref="J1556:J1619" ca="1" si="203">IFERROR(CHOOSE(E1556,IFERROR(IF(INDIRECT("'Coverage Indicators - Section D'!O"&amp;H1556+1)="","",INDIRECT("'Coverage Indicators - Section D'!O"&amp;H1556+1)),""),IFERROR(IF(INDIRECT("'Coverage Indicators - Section D'!R"&amp;H1556+1)="","",INDIRECT("'Coverage Indicators - Section D'!R"&amp;H1556+1)),""),IFERROR(IF(INDIRECT("'Coverage Indicators - Section D'!U"&amp;H1556+1)="","",INDIRECT("'Coverage Indicators - Section D'!U"&amp;H1556+1)),""),IFERROR(IF(INDIRECT("'Coverage Indicators - Section D'!X"&amp;H1556+1)="","",INDIRECT("'Coverage Indicators - Section D'!X"&amp;H1556+1)),""),IFERROR(IF(INDIRECT("'Coverage Indicators - Section D'!AA"&amp;H1556+1)="","",INDIRECT("'Coverage Indicators - Section D'!AA"&amp;H1556+1)),""),IFERROR(IF(INDIRECT("'Coverage Indicators - Section D'!AD"&amp;H1556+1)="","",INDIRECT("'Coverage Indicators - Section D'!AD"&amp;H1556+1)),""),IFERROR(IF(INDIRECT("'Coverage Indicators - Section D'!AG"&amp;H1556+1)="","",INDIRECT("'Coverage Indicators - Section D'!AG"&amp;H1556+1)),""),IFERROR(IF(INDIRECT("'Coverage Indicators - Section D'!AJ"&amp;H1556+1)="","",INDIRECT("'Coverage Indicators - Section D'!AJ"&amp;H1556+1)),"")),"")</f>
        <v/>
      </c>
      <c r="K1556" s="512" t="str">
        <f t="shared" ref="K1556:K1619" ca="1" si="204">IFERROR(CHOOSE(E1556,IFERROR(IF(INDIRECT("'Coverage Indicators - Section D'!O"&amp;H1556)="","",INDIRECT("'Coverage Indicators - Section D'!O"&amp;H1556)),""),IFERROR(IF(INDIRECT("'Coverage Indicators - Section D'!R"&amp;H1556)="","",INDIRECT("'Coverage Indicators - Section D'!R"&amp;H1556)),""),IFERROR(IF(INDIRECT("'Coverage Indicators - Section D'!U"&amp;H1556)="","",INDIRECT("'Coverage Indicators - Section D'!U"&amp;H1556)),""),IFERROR(IF(INDIRECT("'Coverage Indicators - Section D'!X"&amp;H1556)="","",INDIRECT("'Coverage Indicators - Section D'!X"&amp;H1556)),""),IFERROR(IF(INDIRECT("'Coverage Indicators - Section D'!AA"&amp;H1556)="","",INDIRECT("'Coverage Indicators - Section D'!AA"&amp;H1556)),""),IFERROR(IF(INDIRECT("'Coverage Indicators - Section D'!AD"&amp;H1556)="","",INDIRECT("'Coverage Indicators - Section D'!AD"&amp;H1556)),""),IFERROR(IF(INDIRECT("'Coverage Indicators - Section D'!AG"&amp;H1556)="","",INDIRECT("'Coverage Indicators - Section D'!AG"&amp;H1556)),""),IFERROR(IF(INDIRECT("'Coverage Indicators - Section D'!AJ"&amp;H1556)="","",INDIRECT("'Coverage Indicators - Section D'!AJ"&amp;H1556)),"")),"")</f>
        <v/>
      </c>
      <c r="L1556" s="503" t="str">
        <f t="shared" ref="L1556:L1619" ca="1" si="205">IF(IFERROR(CHOOSE(E1556,IFERROR(IF(INDIRECT("'Coverage Indicators - Section D'!Q"&amp;H1556)=0,"",INDIRECT("'Coverage Indicators - Section D'!Q"&amp;H1556)),""),IFERROR(IF(INDIRECT("'Coverage Indicators - Section D'!T"&amp;H1556)=0,"",INDIRECT("'Coverage Indicators - Section D'!T"&amp;H1556)),""),IFERROR(IF(INDIRECT("'Coverage Indicators - Section D'!W"&amp;H1556)=0,"",INDIRECT("'Coverage Indicators - Section D'!W"&amp;H1556)),""),IFERROR(IF(INDIRECT("'Coverage Indicators - Section D'!Z"&amp;H1556)=0,"",INDIRECT("'Coverage Indicators - Section D'!Z"&amp;H1556)),""),IFERROR(IF(INDIRECT("'Coverage Indicators - Section D'!AC"&amp;H1556)=0,"",INDIRECT("'Coverage Indicators - Section D'!AC"&amp;H1556)),""),IFERROR(IF(INDIRECT("'Coverage Indicators - Section D'!AF"&amp;H1556)=0,"",INDIRECT("'Coverage Indicators - Section D'!AF"&amp;H1556)),""),IFERROR(IF(INDIRECT("'Coverage Indicators - Section D'!AI"&amp;H1556)=0,"",INDIRECT("'Coverage Indicators - Section D'!AI"&amp;H1556)),""),IFERROR(IF(INDIRECT("'Coverage Indicators - Section D'!AL"&amp;H1556)=0,"",INDIRECT("'Coverage Indicators - Section D'!AL"&amp;H1556)),"")),"")=0,"",CHOOSE(E1556,IFERROR(IF(INDIRECT("'Coverage Indicators - Section D'!Q"&amp;H1556)=0,"",INDIRECT("'Coverage Indicators - Section D'!Q"&amp;H1556)),""),IFERROR(IF(INDIRECT("'Coverage Indicators - Section D'!T"&amp;H1556)=0,"",INDIRECT("'Coverage Indicators - Section D'!T"&amp;H1556)),""),IFERROR(IF(INDIRECT("'Coverage Indicators - Section D'!W"&amp;H1556)=0,"",INDIRECT("'Coverage Indicators - Section D'!W"&amp;H1556)),""),IFERROR(IF(INDIRECT("'Coverage Indicators - Section D'!Z"&amp;H1556)=0,"",INDIRECT("'Coverage Indicators - Section D'!Z"&amp;H1556)),""),IFERROR(IF(INDIRECT("'Coverage Indicators - Section D'!AC"&amp;H1556)=0,"",INDIRECT("'Coverage Indicators - Section D'!AC"&amp;H1556)),""),IFERROR(IF(INDIRECT("'Coverage Indicators - Section D'!AF"&amp;H1556)=0,"",INDIRECT("'Coverage Indicators - Section D'!AF"&amp;H1556)),""),IFERROR(IF(INDIRECT("'Coverage Indicators - Section D'!AI"&amp;H1556)=0,"",INDIRECT("'Coverage Indicators - Section D'!AI"&amp;H1556)),""),IFERROR(IF(INDIRECT("'Coverage Indicators - Section D'!AL"&amp;H1556)=0,"",INDIRECT("'Coverage Indicators - Section D'!AL"&amp;H1556)),"")))</f>
        <v/>
      </c>
      <c r="M1556" s="515" t="str">
        <f ca="1">IFERROR(IF(COUNTIF($B$937:$B1555,"&lt;0")&lt;&gt;1,OFFSET($C1554,-COUNTIF($B$937:$B1555,"&lt;0")+3,0),""),"")</f>
        <v>a173p00000CH4J5AAL</v>
      </c>
      <c r="N1556" s="515">
        <f ca="1">IFERROR(IF(COUNTA($D$937:D1555)=1,0,OFFSET($F1554,-COUNTA($D$937:D1555)+3,0)),"")</f>
        <v>43</v>
      </c>
      <c r="O1556" s="497"/>
      <c r="P1556" s="497">
        <f t="shared" si="198"/>
        <v>0</v>
      </c>
      <c r="Q1556" s="497"/>
      <c r="R1556" s="497"/>
      <c r="S1556" s="497"/>
      <c r="T1556" s="503"/>
    </row>
    <row r="1557" spans="1:20" x14ac:dyDescent="0.35">
      <c r="A1557" s="497" t="b">
        <f t="shared" ca="1" si="199"/>
        <v>0</v>
      </c>
      <c r="B1557" s="497">
        <f t="shared" si="195"/>
        <v>258</v>
      </c>
      <c r="C1557" s="519" t="str">
        <f t="shared" ca="1" si="200"/>
        <v>a173p00000CH4K3AAL</v>
      </c>
      <c r="D1557" s="497"/>
      <c r="E1557" s="497">
        <f t="shared" ca="1" si="196"/>
        <v>6</v>
      </c>
      <c r="F1557" s="516">
        <f ca="1">IF(COUNTA(D$938:D1557)=1,"",OFFSET(F1555,-COUNTA(D$938:D1557)+3,0))</f>
        <v>43</v>
      </c>
      <c r="G1557" s="503" t="str">
        <f t="shared" ca="1" si="201"/>
        <v/>
      </c>
      <c r="H1557" s="497">
        <f t="shared" ca="1" si="197"/>
        <v>93</v>
      </c>
      <c r="I1557" s="500" t="str">
        <f t="shared" ca="1" si="202"/>
        <v/>
      </c>
      <c r="J1557" s="512" t="str">
        <f t="shared" ca="1" si="203"/>
        <v/>
      </c>
      <c r="K1557" s="512" t="str">
        <f t="shared" ca="1" si="204"/>
        <v/>
      </c>
      <c r="L1557" s="503" t="str">
        <f t="shared" ca="1" si="205"/>
        <v/>
      </c>
      <c r="M1557" s="515" t="str">
        <f ca="1">IFERROR(IF(COUNTIF($B$937:$B1556,"&lt;0")&lt;&gt;1,OFFSET($C1555,-COUNTIF($B$937:$B1556,"&lt;0")+3,0),""),"")</f>
        <v>a173p00000CH4K3AAL</v>
      </c>
      <c r="N1557" s="515">
        <f ca="1">IFERROR(IF(COUNTA($D$937:D1556)=1,0,OFFSET($F1555,-COUNTA($D$937:D1556)+3,0)),"")</f>
        <v>43</v>
      </c>
      <c r="O1557" s="497"/>
      <c r="P1557" s="497">
        <f t="shared" si="198"/>
        <v>0</v>
      </c>
      <c r="Q1557" s="497"/>
      <c r="R1557" s="497"/>
      <c r="S1557" s="497"/>
      <c r="T1557" s="503"/>
    </row>
    <row r="1558" spans="1:20" x14ac:dyDescent="0.35">
      <c r="A1558" s="497" t="b">
        <f t="shared" ca="1" si="199"/>
        <v>0</v>
      </c>
      <c r="B1558" s="497">
        <f t="shared" si="195"/>
        <v>259</v>
      </c>
      <c r="C1558" s="519" t="str">
        <f t="shared" ca="1" si="200"/>
        <v>a173p00000CH4FEAA1</v>
      </c>
      <c r="D1558" s="497"/>
      <c r="E1558" s="497">
        <f t="shared" ca="1" si="196"/>
        <v>1</v>
      </c>
      <c r="F1558" s="516">
        <f ca="1">IF(COUNTA(D$938:D1558)=1,"",OFFSET(F1556,-COUNTA(D$938:D1558)+3,0))</f>
        <v>44</v>
      </c>
      <c r="G1558" s="503" t="str">
        <f t="shared" ca="1" si="201"/>
        <v/>
      </c>
      <c r="H1558" s="497">
        <f t="shared" ca="1" si="197"/>
        <v>95</v>
      </c>
      <c r="I1558" s="500" t="str">
        <f t="shared" ca="1" si="202"/>
        <v/>
      </c>
      <c r="J1558" s="512" t="str">
        <f t="shared" ca="1" si="203"/>
        <v/>
      </c>
      <c r="K1558" s="512" t="str">
        <f t="shared" ca="1" si="204"/>
        <v/>
      </c>
      <c r="L1558" s="503" t="str">
        <f t="shared" ca="1" si="205"/>
        <v/>
      </c>
      <c r="M1558" s="515" t="str">
        <f ca="1">IFERROR(IF(COUNTIF($B$937:$B1557,"&lt;0")&lt;&gt;1,OFFSET($C1556,-COUNTIF($B$937:$B1557,"&lt;0")+3,0),""),"")</f>
        <v>a173p00000CH4FEAA1</v>
      </c>
      <c r="N1558" s="515">
        <f ca="1">IFERROR(IF(COUNTA($D$937:D1557)=1,0,OFFSET($F1556,-COUNTA($D$937:D1557)+3,0)),"")</f>
        <v>44</v>
      </c>
      <c r="O1558" s="497"/>
      <c r="P1558" s="497">
        <f t="shared" si="198"/>
        <v>0</v>
      </c>
      <c r="Q1558" s="497"/>
      <c r="R1558" s="497"/>
      <c r="S1558" s="497"/>
      <c r="T1558" s="503"/>
    </row>
    <row r="1559" spans="1:20" x14ac:dyDescent="0.35">
      <c r="A1559" s="497" t="b">
        <f t="shared" ca="1" si="199"/>
        <v>0</v>
      </c>
      <c r="B1559" s="497">
        <f t="shared" si="195"/>
        <v>260</v>
      </c>
      <c r="C1559" s="519" t="str">
        <f t="shared" ca="1" si="200"/>
        <v>a173p00000CH4GCAA1</v>
      </c>
      <c r="D1559" s="497"/>
      <c r="E1559" s="497">
        <f t="shared" ca="1" si="196"/>
        <v>2</v>
      </c>
      <c r="F1559" s="516">
        <f ca="1">IF(COUNTA(D$938:D1559)=1,"",OFFSET(F1557,-COUNTA(D$938:D1559)+3,0))</f>
        <v>44</v>
      </c>
      <c r="G1559" s="503" t="str">
        <f t="shared" ca="1" si="201"/>
        <v/>
      </c>
      <c r="H1559" s="497">
        <f t="shared" ca="1" si="197"/>
        <v>95</v>
      </c>
      <c r="I1559" s="500" t="str">
        <f t="shared" ca="1" si="202"/>
        <v/>
      </c>
      <c r="J1559" s="512" t="str">
        <f t="shared" ca="1" si="203"/>
        <v/>
      </c>
      <c r="K1559" s="512" t="str">
        <f t="shared" ca="1" si="204"/>
        <v/>
      </c>
      <c r="L1559" s="503" t="str">
        <f t="shared" ca="1" si="205"/>
        <v/>
      </c>
      <c r="M1559" s="515" t="str">
        <f ca="1">IFERROR(IF(COUNTIF($B$937:$B1558,"&lt;0")&lt;&gt;1,OFFSET($C1557,-COUNTIF($B$937:$B1558,"&lt;0")+3,0),""),"")</f>
        <v>a173p00000CH4GCAA1</v>
      </c>
      <c r="N1559" s="515">
        <f ca="1">IFERROR(IF(COUNTA($D$937:D1558)=1,0,OFFSET($F1557,-COUNTA($D$937:D1558)+3,0)),"")</f>
        <v>44</v>
      </c>
      <c r="O1559" s="497"/>
      <c r="P1559" s="497">
        <f t="shared" si="198"/>
        <v>0</v>
      </c>
      <c r="Q1559" s="497"/>
      <c r="R1559" s="497"/>
      <c r="S1559" s="497"/>
      <c r="T1559" s="503"/>
    </row>
    <row r="1560" spans="1:20" x14ac:dyDescent="0.35">
      <c r="A1560" s="497" t="b">
        <f t="shared" ca="1" si="199"/>
        <v>0</v>
      </c>
      <c r="B1560" s="497">
        <f t="shared" si="195"/>
        <v>261</v>
      </c>
      <c r="C1560" s="519" t="str">
        <f t="shared" ca="1" si="200"/>
        <v>a173p00000CH4HAAA1</v>
      </c>
      <c r="D1560" s="497"/>
      <c r="E1560" s="497">
        <f t="shared" ca="1" si="196"/>
        <v>3</v>
      </c>
      <c r="F1560" s="516">
        <f ca="1">IF(COUNTA(D$938:D1560)=1,"",OFFSET(F1558,-COUNTA(D$938:D1560)+3,0))</f>
        <v>44</v>
      </c>
      <c r="G1560" s="503" t="str">
        <f t="shared" ca="1" si="201"/>
        <v/>
      </c>
      <c r="H1560" s="497">
        <f t="shared" ca="1" si="197"/>
        <v>95</v>
      </c>
      <c r="I1560" s="500" t="str">
        <f t="shared" ca="1" si="202"/>
        <v/>
      </c>
      <c r="J1560" s="512" t="str">
        <f t="shared" ca="1" si="203"/>
        <v/>
      </c>
      <c r="K1560" s="512" t="str">
        <f t="shared" ca="1" si="204"/>
        <v/>
      </c>
      <c r="L1560" s="503" t="str">
        <f t="shared" ca="1" si="205"/>
        <v/>
      </c>
      <c r="M1560" s="515" t="str">
        <f ca="1">IFERROR(IF(COUNTIF($B$937:$B1559,"&lt;0")&lt;&gt;1,OFFSET($C1558,-COUNTIF($B$937:$B1559,"&lt;0")+3,0),""),"")</f>
        <v>a173p00000CH4HAAA1</v>
      </c>
      <c r="N1560" s="515">
        <f ca="1">IFERROR(IF(COUNTA($D$937:D1559)=1,0,OFFSET($F1558,-COUNTA($D$937:D1559)+3,0)),"")</f>
        <v>44</v>
      </c>
      <c r="O1560" s="497"/>
      <c r="P1560" s="497">
        <f t="shared" si="198"/>
        <v>0</v>
      </c>
      <c r="Q1560" s="497"/>
      <c r="R1560" s="497"/>
      <c r="S1560" s="497"/>
      <c r="T1560" s="503"/>
    </row>
    <row r="1561" spans="1:20" x14ac:dyDescent="0.35">
      <c r="A1561" s="497" t="b">
        <f t="shared" ca="1" si="199"/>
        <v>0</v>
      </c>
      <c r="B1561" s="497">
        <f t="shared" si="195"/>
        <v>262</v>
      </c>
      <c r="C1561" s="519" t="str">
        <f t="shared" ca="1" si="200"/>
        <v>a173p00000CH4I8AAL</v>
      </c>
      <c r="D1561" s="497"/>
      <c r="E1561" s="497">
        <f t="shared" ca="1" si="196"/>
        <v>4</v>
      </c>
      <c r="F1561" s="516">
        <f ca="1">IF(COUNTA(D$938:D1561)=1,"",OFFSET(F1559,-COUNTA(D$938:D1561)+3,0))</f>
        <v>44</v>
      </c>
      <c r="G1561" s="503" t="str">
        <f t="shared" ca="1" si="201"/>
        <v/>
      </c>
      <c r="H1561" s="497">
        <f t="shared" ca="1" si="197"/>
        <v>95</v>
      </c>
      <c r="I1561" s="500" t="str">
        <f t="shared" ca="1" si="202"/>
        <v/>
      </c>
      <c r="J1561" s="512" t="str">
        <f t="shared" ca="1" si="203"/>
        <v/>
      </c>
      <c r="K1561" s="512" t="str">
        <f t="shared" ca="1" si="204"/>
        <v/>
      </c>
      <c r="L1561" s="503" t="str">
        <f t="shared" ca="1" si="205"/>
        <v/>
      </c>
      <c r="M1561" s="515" t="str">
        <f ca="1">IFERROR(IF(COUNTIF($B$937:$B1560,"&lt;0")&lt;&gt;1,OFFSET($C1559,-COUNTIF($B$937:$B1560,"&lt;0")+3,0),""),"")</f>
        <v>a173p00000CH4I8AAL</v>
      </c>
      <c r="N1561" s="515">
        <f ca="1">IFERROR(IF(COUNTA($D$937:D1560)=1,0,OFFSET($F1559,-COUNTA($D$937:D1560)+3,0)),"")</f>
        <v>44</v>
      </c>
      <c r="O1561" s="497"/>
      <c r="P1561" s="497">
        <f t="shared" si="198"/>
        <v>0</v>
      </c>
      <c r="Q1561" s="497"/>
      <c r="R1561" s="497"/>
      <c r="S1561" s="497"/>
      <c r="T1561" s="503"/>
    </row>
    <row r="1562" spans="1:20" x14ac:dyDescent="0.35">
      <c r="A1562" s="497" t="b">
        <f t="shared" ca="1" si="199"/>
        <v>0</v>
      </c>
      <c r="B1562" s="497">
        <f t="shared" si="195"/>
        <v>263</v>
      </c>
      <c r="C1562" s="519" t="str">
        <f t="shared" ca="1" si="200"/>
        <v>a173p00000CH4J6AAL</v>
      </c>
      <c r="D1562" s="497"/>
      <c r="E1562" s="497">
        <f t="shared" ca="1" si="196"/>
        <v>5</v>
      </c>
      <c r="F1562" s="516">
        <f ca="1">IF(COUNTA(D$938:D1562)=1,"",OFFSET(F1560,-COUNTA(D$938:D1562)+3,0))</f>
        <v>44</v>
      </c>
      <c r="G1562" s="503" t="str">
        <f t="shared" ca="1" si="201"/>
        <v/>
      </c>
      <c r="H1562" s="497">
        <f t="shared" ca="1" si="197"/>
        <v>95</v>
      </c>
      <c r="I1562" s="500" t="str">
        <f t="shared" ca="1" si="202"/>
        <v/>
      </c>
      <c r="J1562" s="512" t="str">
        <f t="shared" ca="1" si="203"/>
        <v/>
      </c>
      <c r="K1562" s="512" t="str">
        <f t="shared" ca="1" si="204"/>
        <v/>
      </c>
      <c r="L1562" s="503" t="str">
        <f t="shared" ca="1" si="205"/>
        <v/>
      </c>
      <c r="M1562" s="515" t="str">
        <f ca="1">IFERROR(IF(COUNTIF($B$937:$B1561,"&lt;0")&lt;&gt;1,OFFSET($C1560,-COUNTIF($B$937:$B1561,"&lt;0")+3,0),""),"")</f>
        <v>a173p00000CH4J6AAL</v>
      </c>
      <c r="N1562" s="515">
        <f ca="1">IFERROR(IF(COUNTA($D$937:D1561)=1,0,OFFSET($F1560,-COUNTA($D$937:D1561)+3,0)),"")</f>
        <v>44</v>
      </c>
      <c r="O1562" s="497"/>
      <c r="P1562" s="497">
        <f t="shared" si="198"/>
        <v>0</v>
      </c>
      <c r="Q1562" s="497"/>
      <c r="R1562" s="497"/>
      <c r="S1562" s="497"/>
      <c r="T1562" s="503"/>
    </row>
    <row r="1563" spans="1:20" x14ac:dyDescent="0.35">
      <c r="A1563" s="497" t="b">
        <f t="shared" ca="1" si="199"/>
        <v>0</v>
      </c>
      <c r="B1563" s="497">
        <f t="shared" si="195"/>
        <v>264</v>
      </c>
      <c r="C1563" s="519" t="str">
        <f t="shared" ca="1" si="200"/>
        <v>a173p00000CH4K4AAL</v>
      </c>
      <c r="D1563" s="497"/>
      <c r="E1563" s="497">
        <f t="shared" ca="1" si="196"/>
        <v>6</v>
      </c>
      <c r="F1563" s="516">
        <f ca="1">IF(COUNTA(D$938:D1563)=1,"",OFFSET(F1561,-COUNTA(D$938:D1563)+3,0))</f>
        <v>44</v>
      </c>
      <c r="G1563" s="503" t="str">
        <f t="shared" ca="1" si="201"/>
        <v/>
      </c>
      <c r="H1563" s="497">
        <f t="shared" ca="1" si="197"/>
        <v>95</v>
      </c>
      <c r="I1563" s="500" t="str">
        <f t="shared" ca="1" si="202"/>
        <v/>
      </c>
      <c r="J1563" s="512" t="str">
        <f t="shared" ca="1" si="203"/>
        <v/>
      </c>
      <c r="K1563" s="512" t="str">
        <f t="shared" ca="1" si="204"/>
        <v/>
      </c>
      <c r="L1563" s="503" t="str">
        <f t="shared" ca="1" si="205"/>
        <v/>
      </c>
      <c r="M1563" s="515" t="str">
        <f ca="1">IFERROR(IF(COUNTIF($B$937:$B1562,"&lt;0")&lt;&gt;1,OFFSET($C1561,-COUNTIF($B$937:$B1562,"&lt;0")+3,0),""),"")</f>
        <v>a173p00000CH4K4AAL</v>
      </c>
      <c r="N1563" s="515">
        <f ca="1">IFERROR(IF(COUNTA($D$937:D1562)=1,0,OFFSET($F1561,-COUNTA($D$937:D1562)+3,0)),"")</f>
        <v>44</v>
      </c>
      <c r="O1563" s="497"/>
      <c r="P1563" s="497">
        <f t="shared" si="198"/>
        <v>0</v>
      </c>
      <c r="Q1563" s="497"/>
      <c r="R1563" s="497"/>
      <c r="S1563" s="497"/>
      <c r="T1563" s="503"/>
    </row>
    <row r="1564" spans="1:20" x14ac:dyDescent="0.35">
      <c r="A1564" s="497" t="b">
        <f t="shared" ca="1" si="199"/>
        <v>0</v>
      </c>
      <c r="B1564" s="497">
        <f t="shared" si="195"/>
        <v>265</v>
      </c>
      <c r="C1564" s="519" t="str">
        <f t="shared" ca="1" si="200"/>
        <v>a173p00000CH4FFAA1</v>
      </c>
      <c r="D1564" s="497"/>
      <c r="E1564" s="497">
        <f t="shared" ca="1" si="196"/>
        <v>1</v>
      </c>
      <c r="F1564" s="516">
        <f ca="1">IF(COUNTA(D$938:D1564)=1,"",OFFSET(F1562,-COUNTA(D$938:D1564)+3,0))</f>
        <v>45</v>
      </c>
      <c r="G1564" s="503" t="str">
        <f t="shared" ca="1" si="201"/>
        <v/>
      </c>
      <c r="H1564" s="497">
        <f t="shared" ca="1" si="197"/>
        <v>97</v>
      </c>
      <c r="I1564" s="500" t="str">
        <f t="shared" ca="1" si="202"/>
        <v/>
      </c>
      <c r="J1564" s="512" t="str">
        <f t="shared" ca="1" si="203"/>
        <v/>
      </c>
      <c r="K1564" s="512" t="str">
        <f t="shared" ca="1" si="204"/>
        <v/>
      </c>
      <c r="L1564" s="503" t="str">
        <f t="shared" ca="1" si="205"/>
        <v/>
      </c>
      <c r="M1564" s="515" t="str">
        <f ca="1">IFERROR(IF(COUNTIF($B$937:$B1563,"&lt;0")&lt;&gt;1,OFFSET($C1562,-COUNTIF($B$937:$B1563,"&lt;0")+3,0),""),"")</f>
        <v>a173p00000CH4FFAA1</v>
      </c>
      <c r="N1564" s="515">
        <f ca="1">IFERROR(IF(COUNTA($D$937:D1563)=1,0,OFFSET($F1562,-COUNTA($D$937:D1563)+3,0)),"")</f>
        <v>45</v>
      </c>
      <c r="O1564" s="497"/>
      <c r="P1564" s="497">
        <f t="shared" si="198"/>
        <v>0</v>
      </c>
      <c r="Q1564" s="497"/>
      <c r="R1564" s="497"/>
      <c r="S1564" s="497"/>
      <c r="T1564" s="503"/>
    </row>
    <row r="1565" spans="1:20" x14ac:dyDescent="0.35">
      <c r="A1565" s="497" t="b">
        <f t="shared" ca="1" si="199"/>
        <v>0</v>
      </c>
      <c r="B1565" s="497">
        <f t="shared" si="195"/>
        <v>266</v>
      </c>
      <c r="C1565" s="519" t="str">
        <f t="shared" ca="1" si="200"/>
        <v>a173p00000CH4GDAA1</v>
      </c>
      <c r="D1565" s="497"/>
      <c r="E1565" s="497">
        <f t="shared" ca="1" si="196"/>
        <v>2</v>
      </c>
      <c r="F1565" s="516">
        <f ca="1">IF(COUNTA(D$938:D1565)=1,"",OFFSET(F1563,-COUNTA(D$938:D1565)+3,0))</f>
        <v>45</v>
      </c>
      <c r="G1565" s="503" t="str">
        <f t="shared" ca="1" si="201"/>
        <v/>
      </c>
      <c r="H1565" s="497">
        <f t="shared" ca="1" si="197"/>
        <v>97</v>
      </c>
      <c r="I1565" s="500" t="str">
        <f t="shared" ca="1" si="202"/>
        <v/>
      </c>
      <c r="J1565" s="512" t="str">
        <f t="shared" ca="1" si="203"/>
        <v/>
      </c>
      <c r="K1565" s="512" t="str">
        <f t="shared" ca="1" si="204"/>
        <v/>
      </c>
      <c r="L1565" s="503" t="str">
        <f t="shared" ca="1" si="205"/>
        <v/>
      </c>
      <c r="M1565" s="515" t="str">
        <f ca="1">IFERROR(IF(COUNTIF($B$937:$B1564,"&lt;0")&lt;&gt;1,OFFSET($C1563,-COUNTIF($B$937:$B1564,"&lt;0")+3,0),""),"")</f>
        <v>a173p00000CH4GDAA1</v>
      </c>
      <c r="N1565" s="515">
        <f ca="1">IFERROR(IF(COUNTA($D$937:D1564)=1,0,OFFSET($F1563,-COUNTA($D$937:D1564)+3,0)),"")</f>
        <v>45</v>
      </c>
      <c r="O1565" s="497"/>
      <c r="P1565" s="497">
        <f t="shared" si="198"/>
        <v>0</v>
      </c>
      <c r="Q1565" s="497"/>
      <c r="R1565" s="497"/>
      <c r="S1565" s="497"/>
      <c r="T1565" s="503"/>
    </row>
    <row r="1566" spans="1:20" x14ac:dyDescent="0.35">
      <c r="A1566" s="497" t="b">
        <f t="shared" ca="1" si="199"/>
        <v>0</v>
      </c>
      <c r="B1566" s="497">
        <f t="shared" si="195"/>
        <v>267</v>
      </c>
      <c r="C1566" s="519" t="str">
        <f t="shared" ca="1" si="200"/>
        <v>a173p00000CH4HBAA1</v>
      </c>
      <c r="D1566" s="497"/>
      <c r="E1566" s="497">
        <f t="shared" ca="1" si="196"/>
        <v>3</v>
      </c>
      <c r="F1566" s="516">
        <f ca="1">IF(COUNTA(D$938:D1566)=1,"",OFFSET(F1564,-COUNTA(D$938:D1566)+3,0))</f>
        <v>45</v>
      </c>
      <c r="G1566" s="503" t="str">
        <f t="shared" ca="1" si="201"/>
        <v/>
      </c>
      <c r="H1566" s="497">
        <f t="shared" ca="1" si="197"/>
        <v>97</v>
      </c>
      <c r="I1566" s="500" t="str">
        <f t="shared" ca="1" si="202"/>
        <v/>
      </c>
      <c r="J1566" s="512" t="str">
        <f t="shared" ca="1" si="203"/>
        <v/>
      </c>
      <c r="K1566" s="512" t="str">
        <f t="shared" ca="1" si="204"/>
        <v/>
      </c>
      <c r="L1566" s="503" t="str">
        <f t="shared" ca="1" si="205"/>
        <v/>
      </c>
      <c r="M1566" s="515" t="str">
        <f ca="1">IFERROR(IF(COUNTIF($B$937:$B1565,"&lt;0")&lt;&gt;1,OFFSET($C1564,-COUNTIF($B$937:$B1565,"&lt;0")+3,0),""),"")</f>
        <v>a173p00000CH4HBAA1</v>
      </c>
      <c r="N1566" s="515">
        <f ca="1">IFERROR(IF(COUNTA($D$937:D1565)=1,0,OFFSET($F1564,-COUNTA($D$937:D1565)+3,0)),"")</f>
        <v>45</v>
      </c>
      <c r="O1566" s="497"/>
      <c r="P1566" s="497">
        <f t="shared" si="198"/>
        <v>0</v>
      </c>
      <c r="Q1566" s="497"/>
      <c r="R1566" s="497"/>
      <c r="S1566" s="497"/>
      <c r="T1566" s="503"/>
    </row>
    <row r="1567" spans="1:20" x14ac:dyDescent="0.35">
      <c r="A1567" s="497" t="b">
        <f t="shared" ca="1" si="199"/>
        <v>0</v>
      </c>
      <c r="B1567" s="497">
        <f t="shared" si="195"/>
        <v>268</v>
      </c>
      <c r="C1567" s="519" t="str">
        <f t="shared" ca="1" si="200"/>
        <v>a173p00000CH4I9AAL</v>
      </c>
      <c r="D1567" s="497"/>
      <c r="E1567" s="497">
        <f t="shared" ca="1" si="196"/>
        <v>4</v>
      </c>
      <c r="F1567" s="516">
        <f ca="1">IF(COUNTA(D$938:D1567)=1,"",OFFSET(F1565,-COUNTA(D$938:D1567)+3,0))</f>
        <v>45</v>
      </c>
      <c r="G1567" s="503" t="str">
        <f t="shared" ca="1" si="201"/>
        <v/>
      </c>
      <c r="H1567" s="497">
        <f t="shared" ca="1" si="197"/>
        <v>97</v>
      </c>
      <c r="I1567" s="500" t="str">
        <f t="shared" ca="1" si="202"/>
        <v/>
      </c>
      <c r="J1567" s="512" t="str">
        <f t="shared" ca="1" si="203"/>
        <v/>
      </c>
      <c r="K1567" s="512" t="str">
        <f t="shared" ca="1" si="204"/>
        <v/>
      </c>
      <c r="L1567" s="503" t="str">
        <f t="shared" ca="1" si="205"/>
        <v/>
      </c>
      <c r="M1567" s="515" t="str">
        <f ca="1">IFERROR(IF(COUNTIF($B$937:$B1566,"&lt;0")&lt;&gt;1,OFFSET($C1565,-COUNTIF($B$937:$B1566,"&lt;0")+3,0),""),"")</f>
        <v>a173p00000CH4I9AAL</v>
      </c>
      <c r="N1567" s="515">
        <f ca="1">IFERROR(IF(COUNTA($D$937:D1566)=1,0,OFFSET($F1565,-COUNTA($D$937:D1566)+3,0)),"")</f>
        <v>45</v>
      </c>
      <c r="O1567" s="497"/>
      <c r="P1567" s="497">
        <f t="shared" si="198"/>
        <v>0</v>
      </c>
      <c r="Q1567" s="497"/>
      <c r="R1567" s="497"/>
      <c r="S1567" s="497"/>
      <c r="T1567" s="503"/>
    </row>
    <row r="1568" spans="1:20" x14ac:dyDescent="0.35">
      <c r="A1568" s="497" t="b">
        <f t="shared" ca="1" si="199"/>
        <v>0</v>
      </c>
      <c r="B1568" s="497">
        <f t="shared" si="195"/>
        <v>269</v>
      </c>
      <c r="C1568" s="519" t="str">
        <f t="shared" ca="1" si="200"/>
        <v>a173p00000CH4J7AAL</v>
      </c>
      <c r="D1568" s="497"/>
      <c r="E1568" s="497">
        <f t="shared" ca="1" si="196"/>
        <v>5</v>
      </c>
      <c r="F1568" s="516">
        <f ca="1">IF(COUNTA(D$938:D1568)=1,"",OFFSET(F1566,-COUNTA(D$938:D1568)+3,0))</f>
        <v>45</v>
      </c>
      <c r="G1568" s="503" t="str">
        <f t="shared" ca="1" si="201"/>
        <v/>
      </c>
      <c r="H1568" s="497">
        <f t="shared" ca="1" si="197"/>
        <v>97</v>
      </c>
      <c r="I1568" s="500" t="str">
        <f t="shared" ca="1" si="202"/>
        <v/>
      </c>
      <c r="J1568" s="512" t="str">
        <f t="shared" ca="1" si="203"/>
        <v/>
      </c>
      <c r="K1568" s="512" t="str">
        <f t="shared" ca="1" si="204"/>
        <v/>
      </c>
      <c r="L1568" s="503" t="str">
        <f t="shared" ca="1" si="205"/>
        <v/>
      </c>
      <c r="M1568" s="515" t="str">
        <f ca="1">IFERROR(IF(COUNTIF($B$937:$B1567,"&lt;0")&lt;&gt;1,OFFSET($C1566,-COUNTIF($B$937:$B1567,"&lt;0")+3,0),""),"")</f>
        <v>a173p00000CH4J7AAL</v>
      </c>
      <c r="N1568" s="515">
        <f ca="1">IFERROR(IF(COUNTA($D$937:D1567)=1,0,OFFSET($F1566,-COUNTA($D$937:D1567)+3,0)),"")</f>
        <v>45</v>
      </c>
      <c r="O1568" s="497"/>
      <c r="P1568" s="497">
        <f t="shared" si="198"/>
        <v>0</v>
      </c>
      <c r="Q1568" s="497"/>
      <c r="R1568" s="497"/>
      <c r="S1568" s="497"/>
      <c r="T1568" s="503"/>
    </row>
    <row r="1569" spans="1:20" x14ac:dyDescent="0.35">
      <c r="A1569" s="497" t="b">
        <f t="shared" ca="1" si="199"/>
        <v>0</v>
      </c>
      <c r="B1569" s="497">
        <f t="shared" si="195"/>
        <v>270</v>
      </c>
      <c r="C1569" s="519" t="str">
        <f t="shared" ca="1" si="200"/>
        <v>a173p00000CH4K5AAL</v>
      </c>
      <c r="D1569" s="497"/>
      <c r="E1569" s="497">
        <f t="shared" ca="1" si="196"/>
        <v>6</v>
      </c>
      <c r="F1569" s="516">
        <f ca="1">IF(COUNTA(D$938:D1569)=1,"",OFFSET(F1567,-COUNTA(D$938:D1569)+3,0))</f>
        <v>45</v>
      </c>
      <c r="G1569" s="503" t="str">
        <f t="shared" ca="1" si="201"/>
        <v/>
      </c>
      <c r="H1569" s="497">
        <f t="shared" ca="1" si="197"/>
        <v>97</v>
      </c>
      <c r="I1569" s="500" t="str">
        <f t="shared" ca="1" si="202"/>
        <v/>
      </c>
      <c r="J1569" s="512" t="str">
        <f t="shared" ca="1" si="203"/>
        <v/>
      </c>
      <c r="K1569" s="512" t="str">
        <f t="shared" ca="1" si="204"/>
        <v/>
      </c>
      <c r="L1569" s="503" t="str">
        <f t="shared" ca="1" si="205"/>
        <v/>
      </c>
      <c r="M1569" s="515" t="str">
        <f ca="1">IFERROR(IF(COUNTIF($B$937:$B1568,"&lt;0")&lt;&gt;1,OFFSET($C1567,-COUNTIF($B$937:$B1568,"&lt;0")+3,0),""),"")</f>
        <v>a173p00000CH4K5AAL</v>
      </c>
      <c r="N1569" s="515">
        <f ca="1">IFERROR(IF(COUNTA($D$937:D1568)=1,0,OFFSET($F1567,-COUNTA($D$937:D1568)+3,0)),"")</f>
        <v>45</v>
      </c>
      <c r="O1569" s="497"/>
      <c r="P1569" s="497">
        <f t="shared" si="198"/>
        <v>0</v>
      </c>
      <c r="Q1569" s="497"/>
      <c r="R1569" s="497"/>
      <c r="S1569" s="497"/>
      <c r="T1569" s="503"/>
    </row>
    <row r="1570" spans="1:20" x14ac:dyDescent="0.35">
      <c r="A1570" s="497" t="b">
        <f t="shared" ca="1" si="199"/>
        <v>0</v>
      </c>
      <c r="B1570" s="497">
        <f t="shared" si="195"/>
        <v>271</v>
      </c>
      <c r="C1570" s="519" t="str">
        <f t="shared" ca="1" si="200"/>
        <v>a173p00000CH4FGAA1</v>
      </c>
      <c r="D1570" s="497"/>
      <c r="E1570" s="497">
        <f t="shared" ca="1" si="196"/>
        <v>1</v>
      </c>
      <c r="F1570" s="516">
        <f ca="1">IF(COUNTA(D$938:D1570)=1,"",OFFSET(F1568,-COUNTA(D$938:D1570)+3,0))</f>
        <v>46</v>
      </c>
      <c r="G1570" s="503" t="str">
        <f t="shared" ca="1" si="201"/>
        <v/>
      </c>
      <c r="H1570" s="497">
        <f t="shared" ca="1" si="197"/>
        <v>99</v>
      </c>
      <c r="I1570" s="500" t="str">
        <f t="shared" ca="1" si="202"/>
        <v/>
      </c>
      <c r="J1570" s="512" t="str">
        <f t="shared" ca="1" si="203"/>
        <v/>
      </c>
      <c r="K1570" s="512" t="str">
        <f t="shared" ca="1" si="204"/>
        <v/>
      </c>
      <c r="L1570" s="503" t="str">
        <f t="shared" ca="1" si="205"/>
        <v/>
      </c>
      <c r="M1570" s="515" t="str">
        <f ca="1">IFERROR(IF(COUNTIF($B$937:$B1569,"&lt;0")&lt;&gt;1,OFFSET($C1568,-COUNTIF($B$937:$B1569,"&lt;0")+3,0),""),"")</f>
        <v>a173p00000CH4FGAA1</v>
      </c>
      <c r="N1570" s="515">
        <f ca="1">IFERROR(IF(COUNTA($D$937:D1569)=1,0,OFFSET($F1568,-COUNTA($D$937:D1569)+3,0)),"")</f>
        <v>46</v>
      </c>
      <c r="O1570" s="497"/>
      <c r="P1570" s="497">
        <f t="shared" si="198"/>
        <v>0</v>
      </c>
      <c r="Q1570" s="497"/>
      <c r="R1570" s="497"/>
      <c r="S1570" s="497"/>
      <c r="T1570" s="503"/>
    </row>
    <row r="1571" spans="1:20" x14ac:dyDescent="0.35">
      <c r="A1571" s="497" t="b">
        <f t="shared" ca="1" si="199"/>
        <v>0</v>
      </c>
      <c r="B1571" s="497">
        <f t="shared" si="195"/>
        <v>272</v>
      </c>
      <c r="C1571" s="519" t="str">
        <f t="shared" ca="1" si="200"/>
        <v>a173p00000CH4GEAA1</v>
      </c>
      <c r="D1571" s="497"/>
      <c r="E1571" s="497">
        <f t="shared" ca="1" si="196"/>
        <v>2</v>
      </c>
      <c r="F1571" s="516">
        <f ca="1">IF(COUNTA(D$938:D1571)=1,"",OFFSET(F1569,-COUNTA(D$938:D1571)+3,0))</f>
        <v>46</v>
      </c>
      <c r="G1571" s="503" t="str">
        <f t="shared" ca="1" si="201"/>
        <v/>
      </c>
      <c r="H1571" s="497">
        <f t="shared" ca="1" si="197"/>
        <v>99</v>
      </c>
      <c r="I1571" s="500" t="str">
        <f t="shared" ca="1" si="202"/>
        <v/>
      </c>
      <c r="J1571" s="512" t="str">
        <f t="shared" ca="1" si="203"/>
        <v/>
      </c>
      <c r="K1571" s="512" t="str">
        <f t="shared" ca="1" si="204"/>
        <v/>
      </c>
      <c r="L1571" s="503" t="str">
        <f t="shared" ca="1" si="205"/>
        <v/>
      </c>
      <c r="M1571" s="515" t="str">
        <f ca="1">IFERROR(IF(COUNTIF($B$937:$B1570,"&lt;0")&lt;&gt;1,OFFSET($C1569,-COUNTIF($B$937:$B1570,"&lt;0")+3,0),""),"")</f>
        <v>a173p00000CH4GEAA1</v>
      </c>
      <c r="N1571" s="515">
        <f ca="1">IFERROR(IF(COUNTA($D$937:D1570)=1,0,OFFSET($F1569,-COUNTA($D$937:D1570)+3,0)),"")</f>
        <v>46</v>
      </c>
      <c r="O1571" s="497"/>
      <c r="P1571" s="497">
        <f t="shared" si="198"/>
        <v>0</v>
      </c>
      <c r="Q1571" s="497"/>
      <c r="R1571" s="497"/>
      <c r="S1571" s="497"/>
      <c r="T1571" s="503"/>
    </row>
    <row r="1572" spans="1:20" x14ac:dyDescent="0.35">
      <c r="A1572" s="497" t="b">
        <f t="shared" ca="1" si="199"/>
        <v>0</v>
      </c>
      <c r="B1572" s="497">
        <f t="shared" si="195"/>
        <v>273</v>
      </c>
      <c r="C1572" s="519" t="str">
        <f t="shared" ca="1" si="200"/>
        <v>a173p00000CH4HCAA1</v>
      </c>
      <c r="D1572" s="497"/>
      <c r="E1572" s="497">
        <f t="shared" ca="1" si="196"/>
        <v>3</v>
      </c>
      <c r="F1572" s="516">
        <f ca="1">IF(COUNTA(D$938:D1572)=1,"",OFFSET(F1570,-COUNTA(D$938:D1572)+3,0))</f>
        <v>46</v>
      </c>
      <c r="G1572" s="503" t="str">
        <f t="shared" ca="1" si="201"/>
        <v/>
      </c>
      <c r="H1572" s="497">
        <f t="shared" ca="1" si="197"/>
        <v>99</v>
      </c>
      <c r="I1572" s="500" t="str">
        <f t="shared" ca="1" si="202"/>
        <v/>
      </c>
      <c r="J1572" s="512" t="str">
        <f t="shared" ca="1" si="203"/>
        <v/>
      </c>
      <c r="K1572" s="512" t="str">
        <f t="shared" ca="1" si="204"/>
        <v/>
      </c>
      <c r="L1572" s="503" t="str">
        <f t="shared" ca="1" si="205"/>
        <v/>
      </c>
      <c r="M1572" s="515" t="str">
        <f ca="1">IFERROR(IF(COUNTIF($B$937:$B1571,"&lt;0")&lt;&gt;1,OFFSET($C1570,-COUNTIF($B$937:$B1571,"&lt;0")+3,0),""),"")</f>
        <v>a173p00000CH4HCAA1</v>
      </c>
      <c r="N1572" s="515">
        <f ca="1">IFERROR(IF(COUNTA($D$937:D1571)=1,0,OFFSET($F1570,-COUNTA($D$937:D1571)+3,0)),"")</f>
        <v>46</v>
      </c>
      <c r="O1572" s="497"/>
      <c r="P1572" s="497">
        <f t="shared" si="198"/>
        <v>0</v>
      </c>
      <c r="Q1572" s="497"/>
      <c r="R1572" s="497"/>
      <c r="S1572" s="497"/>
      <c r="T1572" s="503"/>
    </row>
    <row r="1573" spans="1:20" x14ac:dyDescent="0.35">
      <c r="A1573" s="497" t="b">
        <f t="shared" ca="1" si="199"/>
        <v>0</v>
      </c>
      <c r="B1573" s="497">
        <f t="shared" si="195"/>
        <v>274</v>
      </c>
      <c r="C1573" s="519" t="str">
        <f t="shared" ca="1" si="200"/>
        <v>a173p00000CH4IAAA1</v>
      </c>
      <c r="D1573" s="497"/>
      <c r="E1573" s="497">
        <f t="shared" ca="1" si="196"/>
        <v>4</v>
      </c>
      <c r="F1573" s="516">
        <f ca="1">IF(COUNTA(D$938:D1573)=1,"",OFFSET(F1571,-COUNTA(D$938:D1573)+3,0))</f>
        <v>46</v>
      </c>
      <c r="G1573" s="503" t="str">
        <f t="shared" ca="1" si="201"/>
        <v/>
      </c>
      <c r="H1573" s="497">
        <f t="shared" ca="1" si="197"/>
        <v>99</v>
      </c>
      <c r="I1573" s="500" t="str">
        <f t="shared" ca="1" si="202"/>
        <v/>
      </c>
      <c r="J1573" s="512" t="str">
        <f t="shared" ca="1" si="203"/>
        <v/>
      </c>
      <c r="K1573" s="512" t="str">
        <f t="shared" ca="1" si="204"/>
        <v/>
      </c>
      <c r="L1573" s="503" t="str">
        <f t="shared" ca="1" si="205"/>
        <v/>
      </c>
      <c r="M1573" s="515" t="str">
        <f ca="1">IFERROR(IF(COUNTIF($B$937:$B1572,"&lt;0")&lt;&gt;1,OFFSET($C1571,-COUNTIF($B$937:$B1572,"&lt;0")+3,0),""),"")</f>
        <v>a173p00000CH4IAAA1</v>
      </c>
      <c r="N1573" s="515">
        <f ca="1">IFERROR(IF(COUNTA($D$937:D1572)=1,0,OFFSET($F1571,-COUNTA($D$937:D1572)+3,0)),"")</f>
        <v>46</v>
      </c>
      <c r="O1573" s="497"/>
      <c r="P1573" s="497">
        <f t="shared" si="198"/>
        <v>0</v>
      </c>
      <c r="Q1573" s="497"/>
      <c r="R1573" s="497"/>
      <c r="S1573" s="497"/>
      <c r="T1573" s="503"/>
    </row>
    <row r="1574" spans="1:20" x14ac:dyDescent="0.35">
      <c r="A1574" s="497" t="b">
        <f t="shared" ca="1" si="199"/>
        <v>0</v>
      </c>
      <c r="B1574" s="497">
        <f t="shared" si="195"/>
        <v>275</v>
      </c>
      <c r="C1574" s="519" t="str">
        <f t="shared" ca="1" si="200"/>
        <v>a173p00000CH4J8AAL</v>
      </c>
      <c r="D1574" s="497"/>
      <c r="E1574" s="497">
        <f t="shared" ca="1" si="196"/>
        <v>5</v>
      </c>
      <c r="F1574" s="516">
        <f ca="1">IF(COUNTA(D$938:D1574)=1,"",OFFSET(F1572,-COUNTA(D$938:D1574)+3,0))</f>
        <v>46</v>
      </c>
      <c r="G1574" s="503" t="str">
        <f t="shared" ca="1" si="201"/>
        <v/>
      </c>
      <c r="H1574" s="497">
        <f t="shared" ca="1" si="197"/>
        <v>99</v>
      </c>
      <c r="I1574" s="500" t="str">
        <f t="shared" ca="1" si="202"/>
        <v/>
      </c>
      <c r="J1574" s="512" t="str">
        <f t="shared" ca="1" si="203"/>
        <v/>
      </c>
      <c r="K1574" s="512" t="str">
        <f t="shared" ca="1" si="204"/>
        <v/>
      </c>
      <c r="L1574" s="503" t="str">
        <f t="shared" ca="1" si="205"/>
        <v/>
      </c>
      <c r="M1574" s="515" t="str">
        <f ca="1">IFERROR(IF(COUNTIF($B$937:$B1573,"&lt;0")&lt;&gt;1,OFFSET($C1572,-COUNTIF($B$937:$B1573,"&lt;0")+3,0),""),"")</f>
        <v>a173p00000CH4J8AAL</v>
      </c>
      <c r="N1574" s="515">
        <f ca="1">IFERROR(IF(COUNTA($D$937:D1573)=1,0,OFFSET($F1572,-COUNTA($D$937:D1573)+3,0)),"")</f>
        <v>46</v>
      </c>
      <c r="O1574" s="497"/>
      <c r="P1574" s="497">
        <f t="shared" si="198"/>
        <v>0</v>
      </c>
      <c r="Q1574" s="497"/>
      <c r="R1574" s="497"/>
      <c r="S1574" s="497"/>
      <c r="T1574" s="503"/>
    </row>
    <row r="1575" spans="1:20" x14ac:dyDescent="0.35">
      <c r="A1575" s="497" t="b">
        <f t="shared" ca="1" si="199"/>
        <v>0</v>
      </c>
      <c r="B1575" s="497">
        <f t="shared" si="195"/>
        <v>276</v>
      </c>
      <c r="C1575" s="519" t="str">
        <f t="shared" ca="1" si="200"/>
        <v>a173p00000CH4K6AAL</v>
      </c>
      <c r="D1575" s="497"/>
      <c r="E1575" s="497">
        <f t="shared" ca="1" si="196"/>
        <v>6</v>
      </c>
      <c r="F1575" s="516">
        <f ca="1">IF(COUNTA(D$938:D1575)=1,"",OFFSET(F1573,-COUNTA(D$938:D1575)+3,0))</f>
        <v>46</v>
      </c>
      <c r="G1575" s="503" t="str">
        <f t="shared" ca="1" si="201"/>
        <v/>
      </c>
      <c r="H1575" s="497">
        <f t="shared" ca="1" si="197"/>
        <v>99</v>
      </c>
      <c r="I1575" s="500" t="str">
        <f t="shared" ca="1" si="202"/>
        <v/>
      </c>
      <c r="J1575" s="512" t="str">
        <f t="shared" ca="1" si="203"/>
        <v/>
      </c>
      <c r="K1575" s="512" t="str">
        <f t="shared" ca="1" si="204"/>
        <v/>
      </c>
      <c r="L1575" s="503" t="str">
        <f t="shared" ca="1" si="205"/>
        <v/>
      </c>
      <c r="M1575" s="515" t="str">
        <f ca="1">IFERROR(IF(COUNTIF($B$937:$B1574,"&lt;0")&lt;&gt;1,OFFSET($C1573,-COUNTIF($B$937:$B1574,"&lt;0")+3,0),""),"")</f>
        <v>a173p00000CH4K6AAL</v>
      </c>
      <c r="N1575" s="515">
        <f ca="1">IFERROR(IF(COUNTA($D$937:D1574)=1,0,OFFSET($F1573,-COUNTA($D$937:D1574)+3,0)),"")</f>
        <v>46</v>
      </c>
      <c r="O1575" s="497"/>
      <c r="P1575" s="497">
        <f t="shared" si="198"/>
        <v>0</v>
      </c>
      <c r="Q1575" s="497"/>
      <c r="R1575" s="497"/>
      <c r="S1575" s="497"/>
      <c r="T1575" s="503"/>
    </row>
    <row r="1576" spans="1:20" x14ac:dyDescent="0.35">
      <c r="A1576" s="497" t="b">
        <f t="shared" ca="1" si="199"/>
        <v>0</v>
      </c>
      <c r="B1576" s="497">
        <f t="shared" si="195"/>
        <v>277</v>
      </c>
      <c r="C1576" s="519" t="str">
        <f t="shared" ca="1" si="200"/>
        <v>a173p00000CH4FHAA1</v>
      </c>
      <c r="D1576" s="497"/>
      <c r="E1576" s="497">
        <f t="shared" ca="1" si="196"/>
        <v>1</v>
      </c>
      <c r="F1576" s="516">
        <f ca="1">IF(COUNTA(D$938:D1576)=1,"",OFFSET(F1574,-COUNTA(D$938:D1576)+3,0))</f>
        <v>47</v>
      </c>
      <c r="G1576" s="503" t="str">
        <f t="shared" ca="1" si="201"/>
        <v/>
      </c>
      <c r="H1576" s="497">
        <f t="shared" ca="1" si="197"/>
        <v>101</v>
      </c>
      <c r="I1576" s="500" t="str">
        <f t="shared" ca="1" si="202"/>
        <v/>
      </c>
      <c r="J1576" s="512" t="str">
        <f t="shared" ca="1" si="203"/>
        <v/>
      </c>
      <c r="K1576" s="512" t="str">
        <f t="shared" ca="1" si="204"/>
        <v/>
      </c>
      <c r="L1576" s="503" t="str">
        <f t="shared" ca="1" si="205"/>
        <v/>
      </c>
      <c r="M1576" s="515" t="str">
        <f ca="1">IFERROR(IF(COUNTIF($B$937:$B1575,"&lt;0")&lt;&gt;1,OFFSET($C1574,-COUNTIF($B$937:$B1575,"&lt;0")+3,0),""),"")</f>
        <v>a173p00000CH4FHAA1</v>
      </c>
      <c r="N1576" s="515">
        <f ca="1">IFERROR(IF(COUNTA($D$937:D1575)=1,0,OFFSET($F1574,-COUNTA($D$937:D1575)+3,0)),"")</f>
        <v>47</v>
      </c>
      <c r="O1576" s="497"/>
      <c r="P1576" s="497">
        <f t="shared" si="198"/>
        <v>0</v>
      </c>
      <c r="Q1576" s="497"/>
      <c r="R1576" s="497"/>
      <c r="S1576" s="497"/>
      <c r="T1576" s="503"/>
    </row>
    <row r="1577" spans="1:20" x14ac:dyDescent="0.35">
      <c r="A1577" s="497" t="b">
        <f t="shared" ca="1" si="199"/>
        <v>0</v>
      </c>
      <c r="B1577" s="497">
        <f t="shared" si="195"/>
        <v>278</v>
      </c>
      <c r="C1577" s="519" t="str">
        <f t="shared" ca="1" si="200"/>
        <v>a173p00000CH4GFAA1</v>
      </c>
      <c r="D1577" s="497"/>
      <c r="E1577" s="497">
        <f t="shared" ca="1" si="196"/>
        <v>2</v>
      </c>
      <c r="F1577" s="516">
        <f ca="1">IF(COUNTA(D$938:D1577)=1,"",OFFSET(F1575,-COUNTA(D$938:D1577)+3,0))</f>
        <v>47</v>
      </c>
      <c r="G1577" s="503" t="str">
        <f t="shared" ca="1" si="201"/>
        <v/>
      </c>
      <c r="H1577" s="497">
        <f t="shared" ca="1" si="197"/>
        <v>101</v>
      </c>
      <c r="I1577" s="500" t="str">
        <f t="shared" ca="1" si="202"/>
        <v/>
      </c>
      <c r="J1577" s="512" t="str">
        <f t="shared" ca="1" si="203"/>
        <v/>
      </c>
      <c r="K1577" s="512" t="str">
        <f t="shared" ca="1" si="204"/>
        <v/>
      </c>
      <c r="L1577" s="503" t="str">
        <f t="shared" ca="1" si="205"/>
        <v/>
      </c>
      <c r="M1577" s="515" t="str">
        <f ca="1">IFERROR(IF(COUNTIF($B$937:$B1576,"&lt;0")&lt;&gt;1,OFFSET($C1575,-COUNTIF($B$937:$B1576,"&lt;0")+3,0),""),"")</f>
        <v>a173p00000CH4GFAA1</v>
      </c>
      <c r="N1577" s="515">
        <f ca="1">IFERROR(IF(COUNTA($D$937:D1576)=1,0,OFFSET($F1575,-COUNTA($D$937:D1576)+3,0)),"")</f>
        <v>47</v>
      </c>
      <c r="O1577" s="497"/>
      <c r="P1577" s="497">
        <f t="shared" si="198"/>
        <v>0</v>
      </c>
      <c r="Q1577" s="497"/>
      <c r="R1577" s="497"/>
      <c r="S1577" s="497"/>
      <c r="T1577" s="503"/>
    </row>
    <row r="1578" spans="1:20" x14ac:dyDescent="0.35">
      <c r="A1578" s="497" t="b">
        <f t="shared" ca="1" si="199"/>
        <v>0</v>
      </c>
      <c r="B1578" s="497">
        <f t="shared" si="195"/>
        <v>279</v>
      </c>
      <c r="C1578" s="519" t="str">
        <f t="shared" ca="1" si="200"/>
        <v>a173p00000CH4HDAA1</v>
      </c>
      <c r="D1578" s="497"/>
      <c r="E1578" s="497">
        <f t="shared" ca="1" si="196"/>
        <v>3</v>
      </c>
      <c r="F1578" s="516">
        <f ca="1">IF(COUNTA(D$938:D1578)=1,"",OFFSET(F1576,-COUNTA(D$938:D1578)+3,0))</f>
        <v>47</v>
      </c>
      <c r="G1578" s="503" t="str">
        <f t="shared" ca="1" si="201"/>
        <v/>
      </c>
      <c r="H1578" s="497">
        <f t="shared" ca="1" si="197"/>
        <v>101</v>
      </c>
      <c r="I1578" s="500" t="str">
        <f t="shared" ca="1" si="202"/>
        <v/>
      </c>
      <c r="J1578" s="512" t="str">
        <f t="shared" ca="1" si="203"/>
        <v/>
      </c>
      <c r="K1578" s="512" t="str">
        <f t="shared" ca="1" si="204"/>
        <v/>
      </c>
      <c r="L1578" s="503" t="str">
        <f t="shared" ca="1" si="205"/>
        <v/>
      </c>
      <c r="M1578" s="515" t="str">
        <f ca="1">IFERROR(IF(COUNTIF($B$937:$B1577,"&lt;0")&lt;&gt;1,OFFSET($C1576,-COUNTIF($B$937:$B1577,"&lt;0")+3,0),""),"")</f>
        <v>a173p00000CH4HDAA1</v>
      </c>
      <c r="N1578" s="515">
        <f ca="1">IFERROR(IF(COUNTA($D$937:D1577)=1,0,OFFSET($F1576,-COUNTA($D$937:D1577)+3,0)),"")</f>
        <v>47</v>
      </c>
      <c r="O1578" s="497"/>
      <c r="P1578" s="497">
        <f t="shared" si="198"/>
        <v>0</v>
      </c>
      <c r="Q1578" s="497"/>
      <c r="R1578" s="497"/>
      <c r="S1578" s="497"/>
      <c r="T1578" s="503"/>
    </row>
    <row r="1579" spans="1:20" x14ac:dyDescent="0.35">
      <c r="A1579" s="497" t="b">
        <f t="shared" ca="1" si="199"/>
        <v>0</v>
      </c>
      <c r="B1579" s="497">
        <f t="shared" si="195"/>
        <v>280</v>
      </c>
      <c r="C1579" s="519" t="str">
        <f t="shared" ca="1" si="200"/>
        <v>a173p00000CH4IBAA1</v>
      </c>
      <c r="D1579" s="497"/>
      <c r="E1579" s="497">
        <f t="shared" ca="1" si="196"/>
        <v>4</v>
      </c>
      <c r="F1579" s="516">
        <f ca="1">IF(COUNTA(D$938:D1579)=1,"",OFFSET(F1577,-COUNTA(D$938:D1579)+3,0))</f>
        <v>47</v>
      </c>
      <c r="G1579" s="503" t="str">
        <f t="shared" ca="1" si="201"/>
        <v/>
      </c>
      <c r="H1579" s="497">
        <f t="shared" ca="1" si="197"/>
        <v>101</v>
      </c>
      <c r="I1579" s="500" t="str">
        <f t="shared" ca="1" si="202"/>
        <v/>
      </c>
      <c r="J1579" s="512" t="str">
        <f t="shared" ca="1" si="203"/>
        <v/>
      </c>
      <c r="K1579" s="512" t="str">
        <f t="shared" ca="1" si="204"/>
        <v/>
      </c>
      <c r="L1579" s="503" t="str">
        <f t="shared" ca="1" si="205"/>
        <v/>
      </c>
      <c r="M1579" s="515" t="str">
        <f ca="1">IFERROR(IF(COUNTIF($B$937:$B1578,"&lt;0")&lt;&gt;1,OFFSET($C1577,-COUNTIF($B$937:$B1578,"&lt;0")+3,0),""),"")</f>
        <v>a173p00000CH4IBAA1</v>
      </c>
      <c r="N1579" s="515">
        <f ca="1">IFERROR(IF(COUNTA($D$937:D1578)=1,0,OFFSET($F1577,-COUNTA($D$937:D1578)+3,0)),"")</f>
        <v>47</v>
      </c>
      <c r="O1579" s="497"/>
      <c r="P1579" s="497">
        <f t="shared" si="198"/>
        <v>0</v>
      </c>
      <c r="Q1579" s="497"/>
      <c r="R1579" s="497"/>
      <c r="S1579" s="497"/>
      <c r="T1579" s="503"/>
    </row>
    <row r="1580" spans="1:20" x14ac:dyDescent="0.35">
      <c r="A1580" s="497" t="b">
        <f t="shared" ca="1" si="199"/>
        <v>0</v>
      </c>
      <c r="B1580" s="497">
        <f t="shared" ref="B1580:B1643" si="206">B1579+1</f>
        <v>281</v>
      </c>
      <c r="C1580" s="519" t="str">
        <f t="shared" ca="1" si="200"/>
        <v>a173p00000CH4J9AAL</v>
      </c>
      <c r="D1580" s="497"/>
      <c r="E1580" s="497">
        <f t="shared" ref="E1580:E1643" ca="1" si="207">COUNTIF(F1483:F1580,F1580)</f>
        <v>5</v>
      </c>
      <c r="F1580" s="516">
        <f ca="1">IF(COUNTA(D$938:D1580)=1,"",OFFSET(F1578,-COUNTA(D$938:D1580)+3,0))</f>
        <v>47</v>
      </c>
      <c r="G1580" s="503" t="str">
        <f t="shared" ca="1" si="201"/>
        <v/>
      </c>
      <c r="H1580" s="497">
        <f t="shared" ref="H1580:H1643" ca="1" si="208">IF(F1580=1,9,IF(E1579=MAX(E1578:E1580),H1578+2,H1579))</f>
        <v>101</v>
      </c>
      <c r="I1580" s="500" t="str">
        <f t="shared" ca="1" si="202"/>
        <v/>
      </c>
      <c r="J1580" s="512" t="str">
        <f t="shared" ca="1" si="203"/>
        <v/>
      </c>
      <c r="K1580" s="512" t="str">
        <f t="shared" ca="1" si="204"/>
        <v/>
      </c>
      <c r="L1580" s="503" t="str">
        <f t="shared" ca="1" si="205"/>
        <v/>
      </c>
      <c r="M1580" s="515" t="str">
        <f ca="1">IFERROR(IF(COUNTIF($B$937:$B1579,"&lt;0")&lt;&gt;1,OFFSET($C1578,-COUNTIF($B$937:$B1579,"&lt;0")+3,0),""),"")</f>
        <v>a173p00000CH4J9AAL</v>
      </c>
      <c r="N1580" s="515">
        <f ca="1">IFERROR(IF(COUNTA($D$937:D1579)=1,0,OFFSET($F1578,-COUNTA($D$937:D1579)+3,0)),"")</f>
        <v>47</v>
      </c>
      <c r="O1580" s="497"/>
      <c r="P1580" s="497">
        <f t="shared" ref="P1580:P1643" si="209">IF(NOT(_xlfn.ISFORMULA(I1580)),P1579+1,0)</f>
        <v>0</v>
      </c>
      <c r="Q1580" s="497"/>
      <c r="R1580" s="497"/>
      <c r="S1580" s="497"/>
      <c r="T1580" s="503"/>
    </row>
    <row r="1581" spans="1:20" x14ac:dyDescent="0.35">
      <c r="A1581" s="497" t="b">
        <f t="shared" ca="1" si="199"/>
        <v>0</v>
      </c>
      <c r="B1581" s="497">
        <f t="shared" si="206"/>
        <v>282</v>
      </c>
      <c r="C1581" s="519" t="str">
        <f t="shared" ca="1" si="200"/>
        <v>a173p00000CH4K7AAL</v>
      </c>
      <c r="D1581" s="497"/>
      <c r="E1581" s="497">
        <f t="shared" ca="1" si="207"/>
        <v>6</v>
      </c>
      <c r="F1581" s="516">
        <f ca="1">IF(COUNTA(D$938:D1581)=1,"",OFFSET(F1579,-COUNTA(D$938:D1581)+3,0))</f>
        <v>47</v>
      </c>
      <c r="G1581" s="503" t="str">
        <f t="shared" ca="1" si="201"/>
        <v/>
      </c>
      <c r="H1581" s="497">
        <f t="shared" ca="1" si="208"/>
        <v>101</v>
      </c>
      <c r="I1581" s="500" t="str">
        <f t="shared" ca="1" si="202"/>
        <v/>
      </c>
      <c r="J1581" s="512" t="str">
        <f t="shared" ca="1" si="203"/>
        <v/>
      </c>
      <c r="K1581" s="512" t="str">
        <f t="shared" ca="1" si="204"/>
        <v/>
      </c>
      <c r="L1581" s="503" t="str">
        <f t="shared" ca="1" si="205"/>
        <v/>
      </c>
      <c r="M1581" s="515" t="str">
        <f ca="1">IFERROR(IF(COUNTIF($B$937:$B1580,"&lt;0")&lt;&gt;1,OFFSET($C1579,-COUNTIF($B$937:$B1580,"&lt;0")+3,0),""),"")</f>
        <v>a173p00000CH4K7AAL</v>
      </c>
      <c r="N1581" s="515">
        <f ca="1">IFERROR(IF(COUNTA($D$937:D1580)=1,0,OFFSET($F1579,-COUNTA($D$937:D1580)+3,0)),"")</f>
        <v>47</v>
      </c>
      <c r="O1581" s="497"/>
      <c r="P1581" s="497">
        <f t="shared" si="209"/>
        <v>0</v>
      </c>
      <c r="Q1581" s="497"/>
      <c r="R1581" s="497"/>
      <c r="S1581" s="497"/>
      <c r="T1581" s="503"/>
    </row>
    <row r="1582" spans="1:20" x14ac:dyDescent="0.35">
      <c r="A1582" s="497" t="b">
        <f t="shared" ca="1" si="199"/>
        <v>0</v>
      </c>
      <c r="B1582" s="497">
        <f t="shared" si="206"/>
        <v>283</v>
      </c>
      <c r="C1582" s="519" t="str">
        <f t="shared" ca="1" si="200"/>
        <v>a173p00000CH4FIAA1</v>
      </c>
      <c r="D1582" s="497"/>
      <c r="E1582" s="497">
        <f t="shared" ca="1" si="207"/>
        <v>1</v>
      </c>
      <c r="F1582" s="516">
        <f ca="1">IF(COUNTA(D$938:D1582)=1,"",OFFSET(F1580,-COUNTA(D$938:D1582)+3,0))</f>
        <v>48</v>
      </c>
      <c r="G1582" s="503" t="str">
        <f t="shared" ca="1" si="201"/>
        <v/>
      </c>
      <c r="H1582" s="497">
        <f t="shared" ca="1" si="208"/>
        <v>103</v>
      </c>
      <c r="I1582" s="500" t="str">
        <f t="shared" ca="1" si="202"/>
        <v/>
      </c>
      <c r="J1582" s="512" t="str">
        <f t="shared" ca="1" si="203"/>
        <v/>
      </c>
      <c r="K1582" s="512" t="str">
        <f t="shared" ca="1" si="204"/>
        <v/>
      </c>
      <c r="L1582" s="503" t="str">
        <f t="shared" ca="1" si="205"/>
        <v/>
      </c>
      <c r="M1582" s="515" t="str">
        <f ca="1">IFERROR(IF(COUNTIF($B$937:$B1581,"&lt;0")&lt;&gt;1,OFFSET($C1580,-COUNTIF($B$937:$B1581,"&lt;0")+3,0),""),"")</f>
        <v>a173p00000CH4FIAA1</v>
      </c>
      <c r="N1582" s="515">
        <f ca="1">IFERROR(IF(COUNTA($D$937:D1581)=1,0,OFFSET($F1580,-COUNTA($D$937:D1581)+3,0)),"")</f>
        <v>48</v>
      </c>
      <c r="O1582" s="497"/>
      <c r="P1582" s="497">
        <f t="shared" si="209"/>
        <v>0</v>
      </c>
      <c r="Q1582" s="497"/>
      <c r="R1582" s="497"/>
      <c r="S1582" s="497"/>
      <c r="T1582" s="503"/>
    </row>
    <row r="1583" spans="1:20" x14ac:dyDescent="0.35">
      <c r="A1583" s="497" t="b">
        <f t="shared" ca="1" si="199"/>
        <v>0</v>
      </c>
      <c r="B1583" s="497">
        <f t="shared" si="206"/>
        <v>284</v>
      </c>
      <c r="C1583" s="519" t="str">
        <f t="shared" ca="1" si="200"/>
        <v>a173p00000CH4GGAA1</v>
      </c>
      <c r="D1583" s="497"/>
      <c r="E1583" s="497">
        <f t="shared" ca="1" si="207"/>
        <v>2</v>
      </c>
      <c r="F1583" s="516">
        <f ca="1">IF(COUNTA(D$938:D1583)=1,"",OFFSET(F1581,-COUNTA(D$938:D1583)+3,0))</f>
        <v>48</v>
      </c>
      <c r="G1583" s="503" t="str">
        <f t="shared" ca="1" si="201"/>
        <v/>
      </c>
      <c r="H1583" s="497">
        <f t="shared" ca="1" si="208"/>
        <v>103</v>
      </c>
      <c r="I1583" s="500" t="str">
        <f t="shared" ca="1" si="202"/>
        <v/>
      </c>
      <c r="J1583" s="512" t="str">
        <f t="shared" ca="1" si="203"/>
        <v/>
      </c>
      <c r="K1583" s="512" t="str">
        <f t="shared" ca="1" si="204"/>
        <v/>
      </c>
      <c r="L1583" s="503" t="str">
        <f t="shared" ca="1" si="205"/>
        <v/>
      </c>
      <c r="M1583" s="515" t="str">
        <f ca="1">IFERROR(IF(COUNTIF($B$937:$B1582,"&lt;0")&lt;&gt;1,OFFSET($C1581,-COUNTIF($B$937:$B1582,"&lt;0")+3,0),""),"")</f>
        <v>a173p00000CH4GGAA1</v>
      </c>
      <c r="N1583" s="515">
        <f ca="1">IFERROR(IF(COUNTA($D$937:D1582)=1,0,OFFSET($F1581,-COUNTA($D$937:D1582)+3,0)),"")</f>
        <v>48</v>
      </c>
      <c r="O1583" s="497"/>
      <c r="P1583" s="497">
        <f t="shared" si="209"/>
        <v>0</v>
      </c>
      <c r="Q1583" s="497"/>
      <c r="R1583" s="497"/>
      <c r="S1583" s="497"/>
      <c r="T1583" s="503"/>
    </row>
    <row r="1584" spans="1:20" x14ac:dyDescent="0.35">
      <c r="A1584" s="497" t="b">
        <f t="shared" ca="1" si="199"/>
        <v>0</v>
      </c>
      <c r="B1584" s="497">
        <f t="shared" si="206"/>
        <v>285</v>
      </c>
      <c r="C1584" s="519" t="str">
        <f t="shared" ca="1" si="200"/>
        <v>a173p00000CH4HEAA1</v>
      </c>
      <c r="D1584" s="497"/>
      <c r="E1584" s="497">
        <f t="shared" ca="1" si="207"/>
        <v>3</v>
      </c>
      <c r="F1584" s="516">
        <f ca="1">IF(COUNTA(D$938:D1584)=1,"",OFFSET(F1582,-COUNTA(D$938:D1584)+3,0))</f>
        <v>48</v>
      </c>
      <c r="G1584" s="503" t="str">
        <f t="shared" ca="1" si="201"/>
        <v/>
      </c>
      <c r="H1584" s="497">
        <f t="shared" ca="1" si="208"/>
        <v>103</v>
      </c>
      <c r="I1584" s="500" t="str">
        <f t="shared" ca="1" si="202"/>
        <v/>
      </c>
      <c r="J1584" s="512" t="str">
        <f t="shared" ca="1" si="203"/>
        <v/>
      </c>
      <c r="K1584" s="512" t="str">
        <f t="shared" ca="1" si="204"/>
        <v/>
      </c>
      <c r="L1584" s="503" t="str">
        <f t="shared" ca="1" si="205"/>
        <v/>
      </c>
      <c r="M1584" s="515" t="str">
        <f ca="1">IFERROR(IF(COUNTIF($B$937:$B1583,"&lt;0")&lt;&gt;1,OFFSET($C1582,-COUNTIF($B$937:$B1583,"&lt;0")+3,0),""),"")</f>
        <v>a173p00000CH4HEAA1</v>
      </c>
      <c r="N1584" s="515">
        <f ca="1">IFERROR(IF(COUNTA($D$937:D1583)=1,0,OFFSET($F1582,-COUNTA($D$937:D1583)+3,0)),"")</f>
        <v>48</v>
      </c>
      <c r="O1584" s="497"/>
      <c r="P1584" s="497">
        <f t="shared" si="209"/>
        <v>0</v>
      </c>
      <c r="Q1584" s="497"/>
      <c r="R1584" s="497"/>
      <c r="S1584" s="497"/>
      <c r="T1584" s="503"/>
    </row>
    <row r="1585" spans="1:20" x14ac:dyDescent="0.35">
      <c r="A1585" s="497" t="b">
        <f t="shared" ca="1" si="199"/>
        <v>0</v>
      </c>
      <c r="B1585" s="497">
        <f t="shared" si="206"/>
        <v>286</v>
      </c>
      <c r="C1585" s="519" t="str">
        <f t="shared" ca="1" si="200"/>
        <v>a173p00000CH4ICAA1</v>
      </c>
      <c r="D1585" s="497"/>
      <c r="E1585" s="497">
        <f t="shared" ca="1" si="207"/>
        <v>4</v>
      </c>
      <c r="F1585" s="516">
        <f ca="1">IF(COUNTA(D$938:D1585)=1,"",OFFSET(F1583,-COUNTA(D$938:D1585)+3,0))</f>
        <v>48</v>
      </c>
      <c r="G1585" s="503" t="str">
        <f t="shared" ca="1" si="201"/>
        <v/>
      </c>
      <c r="H1585" s="497">
        <f t="shared" ca="1" si="208"/>
        <v>103</v>
      </c>
      <c r="I1585" s="500" t="str">
        <f t="shared" ca="1" si="202"/>
        <v/>
      </c>
      <c r="J1585" s="512" t="str">
        <f t="shared" ca="1" si="203"/>
        <v/>
      </c>
      <c r="K1585" s="512" t="str">
        <f t="shared" ca="1" si="204"/>
        <v/>
      </c>
      <c r="L1585" s="503" t="str">
        <f t="shared" ca="1" si="205"/>
        <v/>
      </c>
      <c r="M1585" s="515" t="str">
        <f ca="1">IFERROR(IF(COUNTIF($B$937:$B1584,"&lt;0")&lt;&gt;1,OFFSET($C1583,-COUNTIF($B$937:$B1584,"&lt;0")+3,0),""),"")</f>
        <v>a173p00000CH4ICAA1</v>
      </c>
      <c r="N1585" s="515">
        <f ca="1">IFERROR(IF(COUNTA($D$937:D1584)=1,0,OFFSET($F1583,-COUNTA($D$937:D1584)+3,0)),"")</f>
        <v>48</v>
      </c>
      <c r="O1585" s="497"/>
      <c r="P1585" s="497">
        <f t="shared" si="209"/>
        <v>0</v>
      </c>
      <c r="Q1585" s="497"/>
      <c r="R1585" s="497"/>
      <c r="S1585" s="497"/>
      <c r="T1585" s="503"/>
    </row>
    <row r="1586" spans="1:20" x14ac:dyDescent="0.35">
      <c r="A1586" s="497" t="b">
        <f t="shared" ca="1" si="199"/>
        <v>0</v>
      </c>
      <c r="B1586" s="497">
        <f t="shared" si="206"/>
        <v>287</v>
      </c>
      <c r="C1586" s="519" t="str">
        <f t="shared" ca="1" si="200"/>
        <v>a173p00000CH4JAAA1</v>
      </c>
      <c r="D1586" s="497"/>
      <c r="E1586" s="497">
        <f t="shared" ca="1" si="207"/>
        <v>5</v>
      </c>
      <c r="F1586" s="516">
        <f ca="1">IF(COUNTA(D$938:D1586)=1,"",OFFSET(F1584,-COUNTA(D$938:D1586)+3,0))</f>
        <v>48</v>
      </c>
      <c r="G1586" s="503" t="str">
        <f t="shared" ca="1" si="201"/>
        <v/>
      </c>
      <c r="H1586" s="497">
        <f t="shared" ca="1" si="208"/>
        <v>103</v>
      </c>
      <c r="I1586" s="500" t="str">
        <f t="shared" ca="1" si="202"/>
        <v/>
      </c>
      <c r="J1586" s="512" t="str">
        <f t="shared" ca="1" si="203"/>
        <v/>
      </c>
      <c r="K1586" s="512" t="str">
        <f t="shared" ca="1" si="204"/>
        <v/>
      </c>
      <c r="L1586" s="503" t="str">
        <f t="shared" ca="1" si="205"/>
        <v/>
      </c>
      <c r="M1586" s="515" t="str">
        <f ca="1">IFERROR(IF(COUNTIF($B$937:$B1585,"&lt;0")&lt;&gt;1,OFFSET($C1584,-COUNTIF($B$937:$B1585,"&lt;0")+3,0),""),"")</f>
        <v>a173p00000CH4JAAA1</v>
      </c>
      <c r="N1586" s="515">
        <f ca="1">IFERROR(IF(COUNTA($D$937:D1585)=1,0,OFFSET($F1584,-COUNTA($D$937:D1585)+3,0)),"")</f>
        <v>48</v>
      </c>
      <c r="O1586" s="497"/>
      <c r="P1586" s="497">
        <f t="shared" si="209"/>
        <v>0</v>
      </c>
      <c r="Q1586" s="497"/>
      <c r="R1586" s="497"/>
      <c r="S1586" s="497"/>
      <c r="T1586" s="503"/>
    </row>
    <row r="1587" spans="1:20" x14ac:dyDescent="0.35">
      <c r="A1587" s="497" t="b">
        <f t="shared" ca="1" si="199"/>
        <v>0</v>
      </c>
      <c r="B1587" s="497">
        <f t="shared" si="206"/>
        <v>288</v>
      </c>
      <c r="C1587" s="519" t="str">
        <f t="shared" ca="1" si="200"/>
        <v>a173p00000CH4K8AAL</v>
      </c>
      <c r="D1587" s="497"/>
      <c r="E1587" s="497">
        <f t="shared" ca="1" si="207"/>
        <v>6</v>
      </c>
      <c r="F1587" s="516">
        <f ca="1">IF(COUNTA(D$938:D1587)=1,"",OFFSET(F1585,-COUNTA(D$938:D1587)+3,0))</f>
        <v>48</v>
      </c>
      <c r="G1587" s="503" t="str">
        <f t="shared" ca="1" si="201"/>
        <v/>
      </c>
      <c r="H1587" s="497">
        <f t="shared" ca="1" si="208"/>
        <v>103</v>
      </c>
      <c r="I1587" s="500" t="str">
        <f t="shared" ca="1" si="202"/>
        <v/>
      </c>
      <c r="J1587" s="512" t="str">
        <f t="shared" ca="1" si="203"/>
        <v/>
      </c>
      <c r="K1587" s="512" t="str">
        <f t="shared" ca="1" si="204"/>
        <v/>
      </c>
      <c r="L1587" s="503" t="str">
        <f t="shared" ca="1" si="205"/>
        <v/>
      </c>
      <c r="M1587" s="515" t="str">
        <f ca="1">IFERROR(IF(COUNTIF($B$937:$B1586,"&lt;0")&lt;&gt;1,OFFSET($C1585,-COUNTIF($B$937:$B1586,"&lt;0")+3,0),""),"")</f>
        <v>a173p00000CH4K8AAL</v>
      </c>
      <c r="N1587" s="515">
        <f ca="1">IFERROR(IF(COUNTA($D$937:D1586)=1,0,OFFSET($F1585,-COUNTA($D$937:D1586)+3,0)),"")</f>
        <v>48</v>
      </c>
      <c r="O1587" s="497"/>
      <c r="P1587" s="497">
        <f t="shared" si="209"/>
        <v>0</v>
      </c>
      <c r="Q1587" s="497"/>
      <c r="R1587" s="497"/>
      <c r="S1587" s="497"/>
      <c r="T1587" s="503"/>
    </row>
    <row r="1588" spans="1:20" x14ac:dyDescent="0.35">
      <c r="A1588" s="497" t="b">
        <f t="shared" ca="1" si="199"/>
        <v>0</v>
      </c>
      <c r="B1588" s="497">
        <f t="shared" si="206"/>
        <v>289</v>
      </c>
      <c r="C1588" s="519" t="str">
        <f t="shared" ca="1" si="200"/>
        <v>a173p00000CH4FJAA1</v>
      </c>
      <c r="D1588" s="497"/>
      <c r="E1588" s="497">
        <f t="shared" ca="1" si="207"/>
        <v>1</v>
      </c>
      <c r="F1588" s="516">
        <f ca="1">IF(COUNTA(D$938:D1588)=1,"",OFFSET(F1586,-COUNTA(D$938:D1588)+3,0))</f>
        <v>49</v>
      </c>
      <c r="G1588" s="503" t="str">
        <f t="shared" ca="1" si="201"/>
        <v/>
      </c>
      <c r="H1588" s="497">
        <f t="shared" ca="1" si="208"/>
        <v>105</v>
      </c>
      <c r="I1588" s="500" t="str">
        <f t="shared" ca="1" si="202"/>
        <v/>
      </c>
      <c r="J1588" s="512" t="str">
        <f t="shared" ca="1" si="203"/>
        <v/>
      </c>
      <c r="K1588" s="512" t="str">
        <f t="shared" ca="1" si="204"/>
        <v/>
      </c>
      <c r="L1588" s="503" t="str">
        <f t="shared" ca="1" si="205"/>
        <v/>
      </c>
      <c r="M1588" s="515" t="str">
        <f ca="1">IFERROR(IF(COUNTIF($B$937:$B1587,"&lt;0")&lt;&gt;1,OFFSET($C1586,-COUNTIF($B$937:$B1587,"&lt;0")+3,0),""),"")</f>
        <v>a173p00000CH4FJAA1</v>
      </c>
      <c r="N1588" s="515">
        <f ca="1">IFERROR(IF(COUNTA($D$937:D1587)=1,0,OFFSET($F1586,-COUNTA($D$937:D1587)+3,0)),"")</f>
        <v>49</v>
      </c>
      <c r="O1588" s="497"/>
      <c r="P1588" s="497">
        <f t="shared" si="209"/>
        <v>0</v>
      </c>
      <c r="Q1588" s="497"/>
      <c r="R1588" s="497"/>
      <c r="S1588" s="497"/>
      <c r="T1588" s="503"/>
    </row>
    <row r="1589" spans="1:20" x14ac:dyDescent="0.35">
      <c r="A1589" s="497" t="b">
        <f t="shared" ca="1" si="199"/>
        <v>0</v>
      </c>
      <c r="B1589" s="497">
        <f t="shared" si="206"/>
        <v>290</v>
      </c>
      <c r="C1589" s="519" t="str">
        <f t="shared" ca="1" si="200"/>
        <v>a173p00000CH4GHAA1</v>
      </c>
      <c r="D1589" s="497"/>
      <c r="E1589" s="497">
        <f t="shared" ca="1" si="207"/>
        <v>2</v>
      </c>
      <c r="F1589" s="516">
        <f ca="1">IF(COUNTA(D$938:D1589)=1,"",OFFSET(F1587,-COUNTA(D$938:D1589)+3,0))</f>
        <v>49</v>
      </c>
      <c r="G1589" s="503" t="str">
        <f t="shared" ca="1" si="201"/>
        <v/>
      </c>
      <c r="H1589" s="497">
        <f t="shared" ca="1" si="208"/>
        <v>105</v>
      </c>
      <c r="I1589" s="500" t="str">
        <f t="shared" ca="1" si="202"/>
        <v/>
      </c>
      <c r="J1589" s="512" t="str">
        <f t="shared" ca="1" si="203"/>
        <v/>
      </c>
      <c r="K1589" s="512" t="str">
        <f t="shared" ca="1" si="204"/>
        <v/>
      </c>
      <c r="L1589" s="503" t="str">
        <f t="shared" ca="1" si="205"/>
        <v/>
      </c>
      <c r="M1589" s="515" t="str">
        <f ca="1">IFERROR(IF(COUNTIF($B$937:$B1588,"&lt;0")&lt;&gt;1,OFFSET($C1587,-COUNTIF($B$937:$B1588,"&lt;0")+3,0),""),"")</f>
        <v>a173p00000CH4GHAA1</v>
      </c>
      <c r="N1589" s="515">
        <f ca="1">IFERROR(IF(COUNTA($D$937:D1588)=1,0,OFFSET($F1587,-COUNTA($D$937:D1588)+3,0)),"")</f>
        <v>49</v>
      </c>
      <c r="O1589" s="497"/>
      <c r="P1589" s="497">
        <f t="shared" si="209"/>
        <v>0</v>
      </c>
      <c r="Q1589" s="497"/>
      <c r="R1589" s="497"/>
      <c r="S1589" s="497"/>
      <c r="T1589" s="503"/>
    </row>
    <row r="1590" spans="1:20" x14ac:dyDescent="0.35">
      <c r="A1590" s="497" t="b">
        <f t="shared" ca="1" si="199"/>
        <v>0</v>
      </c>
      <c r="B1590" s="497">
        <f t="shared" si="206"/>
        <v>291</v>
      </c>
      <c r="C1590" s="519" t="str">
        <f t="shared" ca="1" si="200"/>
        <v>a173p00000CH4HFAA1</v>
      </c>
      <c r="D1590" s="497"/>
      <c r="E1590" s="497">
        <f t="shared" ca="1" si="207"/>
        <v>3</v>
      </c>
      <c r="F1590" s="516">
        <f ca="1">IF(COUNTA(D$938:D1590)=1,"",OFFSET(F1588,-COUNTA(D$938:D1590)+3,0))</f>
        <v>49</v>
      </c>
      <c r="G1590" s="503" t="str">
        <f t="shared" ca="1" si="201"/>
        <v/>
      </c>
      <c r="H1590" s="497">
        <f t="shared" ca="1" si="208"/>
        <v>105</v>
      </c>
      <c r="I1590" s="500" t="str">
        <f t="shared" ca="1" si="202"/>
        <v/>
      </c>
      <c r="J1590" s="512" t="str">
        <f t="shared" ca="1" si="203"/>
        <v/>
      </c>
      <c r="K1590" s="512" t="str">
        <f t="shared" ca="1" si="204"/>
        <v/>
      </c>
      <c r="L1590" s="503" t="str">
        <f t="shared" ca="1" si="205"/>
        <v/>
      </c>
      <c r="M1590" s="515" t="str">
        <f ca="1">IFERROR(IF(COUNTIF($B$937:$B1589,"&lt;0")&lt;&gt;1,OFFSET($C1588,-COUNTIF($B$937:$B1589,"&lt;0")+3,0),""),"")</f>
        <v>a173p00000CH4HFAA1</v>
      </c>
      <c r="N1590" s="515">
        <f ca="1">IFERROR(IF(COUNTA($D$937:D1589)=1,0,OFFSET($F1588,-COUNTA($D$937:D1589)+3,0)),"")</f>
        <v>49</v>
      </c>
      <c r="O1590" s="497"/>
      <c r="P1590" s="497">
        <f t="shared" si="209"/>
        <v>0</v>
      </c>
      <c r="Q1590" s="497"/>
      <c r="R1590" s="497"/>
      <c r="S1590" s="497"/>
      <c r="T1590" s="503"/>
    </row>
    <row r="1591" spans="1:20" x14ac:dyDescent="0.35">
      <c r="A1591" s="497" t="b">
        <f t="shared" ca="1" si="199"/>
        <v>0</v>
      </c>
      <c r="B1591" s="497">
        <f t="shared" si="206"/>
        <v>292</v>
      </c>
      <c r="C1591" s="519" t="str">
        <f t="shared" ca="1" si="200"/>
        <v>a173p00000CH4IDAA1</v>
      </c>
      <c r="D1591" s="497"/>
      <c r="E1591" s="497">
        <f t="shared" ca="1" si="207"/>
        <v>4</v>
      </c>
      <c r="F1591" s="516">
        <f ca="1">IF(COUNTA(D$938:D1591)=1,"",OFFSET(F1589,-COUNTA(D$938:D1591)+3,0))</f>
        <v>49</v>
      </c>
      <c r="G1591" s="503" t="str">
        <f t="shared" ca="1" si="201"/>
        <v/>
      </c>
      <c r="H1591" s="497">
        <f t="shared" ca="1" si="208"/>
        <v>105</v>
      </c>
      <c r="I1591" s="500" t="str">
        <f t="shared" ca="1" si="202"/>
        <v/>
      </c>
      <c r="J1591" s="512" t="str">
        <f t="shared" ca="1" si="203"/>
        <v/>
      </c>
      <c r="K1591" s="512" t="str">
        <f t="shared" ca="1" si="204"/>
        <v/>
      </c>
      <c r="L1591" s="503" t="str">
        <f t="shared" ca="1" si="205"/>
        <v/>
      </c>
      <c r="M1591" s="515" t="str">
        <f ca="1">IFERROR(IF(COUNTIF($B$937:$B1590,"&lt;0")&lt;&gt;1,OFFSET($C1589,-COUNTIF($B$937:$B1590,"&lt;0")+3,0),""),"")</f>
        <v>a173p00000CH4IDAA1</v>
      </c>
      <c r="N1591" s="515">
        <f ca="1">IFERROR(IF(COUNTA($D$937:D1590)=1,0,OFFSET($F1589,-COUNTA($D$937:D1590)+3,0)),"")</f>
        <v>49</v>
      </c>
      <c r="O1591" s="497"/>
      <c r="P1591" s="497">
        <f t="shared" si="209"/>
        <v>0</v>
      </c>
      <c r="Q1591" s="497"/>
      <c r="R1591" s="497"/>
      <c r="S1591" s="497"/>
      <c r="T1591" s="503"/>
    </row>
    <row r="1592" spans="1:20" x14ac:dyDescent="0.35">
      <c r="A1592" s="497" t="b">
        <f t="shared" ca="1" si="199"/>
        <v>0</v>
      </c>
      <c r="B1592" s="497">
        <f t="shared" si="206"/>
        <v>293</v>
      </c>
      <c r="C1592" s="519" t="str">
        <f t="shared" ca="1" si="200"/>
        <v>a173p00000CH4JBAA1</v>
      </c>
      <c r="D1592" s="497"/>
      <c r="E1592" s="497">
        <f t="shared" ca="1" si="207"/>
        <v>5</v>
      </c>
      <c r="F1592" s="516">
        <f ca="1">IF(COUNTA(D$938:D1592)=1,"",OFFSET(F1590,-COUNTA(D$938:D1592)+3,0))</f>
        <v>49</v>
      </c>
      <c r="G1592" s="503" t="str">
        <f t="shared" ca="1" si="201"/>
        <v/>
      </c>
      <c r="H1592" s="497">
        <f t="shared" ca="1" si="208"/>
        <v>105</v>
      </c>
      <c r="I1592" s="500" t="str">
        <f t="shared" ca="1" si="202"/>
        <v/>
      </c>
      <c r="J1592" s="512" t="str">
        <f t="shared" ca="1" si="203"/>
        <v/>
      </c>
      <c r="K1592" s="512" t="str">
        <f t="shared" ca="1" si="204"/>
        <v/>
      </c>
      <c r="L1592" s="503" t="str">
        <f t="shared" ca="1" si="205"/>
        <v/>
      </c>
      <c r="M1592" s="515" t="str">
        <f ca="1">IFERROR(IF(COUNTIF($B$937:$B1591,"&lt;0")&lt;&gt;1,OFFSET($C1590,-COUNTIF($B$937:$B1591,"&lt;0")+3,0),""),"")</f>
        <v>a173p00000CH4JBAA1</v>
      </c>
      <c r="N1592" s="515">
        <f ca="1">IFERROR(IF(COUNTA($D$937:D1591)=1,0,OFFSET($F1590,-COUNTA($D$937:D1591)+3,0)),"")</f>
        <v>49</v>
      </c>
      <c r="O1592" s="497"/>
      <c r="P1592" s="497">
        <f t="shared" si="209"/>
        <v>0</v>
      </c>
      <c r="Q1592" s="497"/>
      <c r="R1592" s="497"/>
      <c r="S1592" s="497"/>
      <c r="T1592" s="503"/>
    </row>
    <row r="1593" spans="1:20" x14ac:dyDescent="0.35">
      <c r="A1593" s="497" t="b">
        <f t="shared" ca="1" si="199"/>
        <v>0</v>
      </c>
      <c r="B1593" s="497">
        <f t="shared" si="206"/>
        <v>294</v>
      </c>
      <c r="C1593" s="519" t="str">
        <f t="shared" ca="1" si="200"/>
        <v>a173p00000CH4K9AAL</v>
      </c>
      <c r="D1593" s="497"/>
      <c r="E1593" s="497">
        <f t="shared" ca="1" si="207"/>
        <v>6</v>
      </c>
      <c r="F1593" s="516">
        <f ca="1">IF(COUNTA(D$938:D1593)=1,"",OFFSET(F1591,-COUNTA(D$938:D1593)+3,0))</f>
        <v>49</v>
      </c>
      <c r="G1593" s="503" t="str">
        <f t="shared" ca="1" si="201"/>
        <v/>
      </c>
      <c r="H1593" s="497">
        <f t="shared" ca="1" si="208"/>
        <v>105</v>
      </c>
      <c r="I1593" s="500" t="str">
        <f t="shared" ca="1" si="202"/>
        <v/>
      </c>
      <c r="J1593" s="512" t="str">
        <f t="shared" ca="1" si="203"/>
        <v/>
      </c>
      <c r="K1593" s="512" t="str">
        <f t="shared" ca="1" si="204"/>
        <v/>
      </c>
      <c r="L1593" s="503" t="str">
        <f t="shared" ca="1" si="205"/>
        <v/>
      </c>
      <c r="M1593" s="515" t="str">
        <f ca="1">IFERROR(IF(COUNTIF($B$937:$B1592,"&lt;0")&lt;&gt;1,OFFSET($C1591,-COUNTIF($B$937:$B1592,"&lt;0")+3,0),""),"")</f>
        <v>a173p00000CH4K9AAL</v>
      </c>
      <c r="N1593" s="515">
        <f ca="1">IFERROR(IF(COUNTA($D$937:D1592)=1,0,OFFSET($F1591,-COUNTA($D$937:D1592)+3,0)),"")</f>
        <v>49</v>
      </c>
      <c r="O1593" s="497"/>
      <c r="P1593" s="497">
        <f t="shared" si="209"/>
        <v>0</v>
      </c>
      <c r="Q1593" s="497"/>
      <c r="R1593" s="497"/>
      <c r="S1593" s="497"/>
      <c r="T1593" s="503"/>
    </row>
    <row r="1594" spans="1:20" x14ac:dyDescent="0.35">
      <c r="A1594" s="497" t="b">
        <f t="shared" ca="1" si="199"/>
        <v>0</v>
      </c>
      <c r="B1594" s="497">
        <f t="shared" si="206"/>
        <v>295</v>
      </c>
      <c r="C1594" s="519" t="str">
        <f t="shared" ca="1" si="200"/>
        <v>a173p00000CH4FKAA1</v>
      </c>
      <c r="D1594" s="497"/>
      <c r="E1594" s="497">
        <f t="shared" ca="1" si="207"/>
        <v>1</v>
      </c>
      <c r="F1594" s="516">
        <f ca="1">IF(COUNTA(D$938:D1594)=1,"",OFFSET(F1592,-COUNTA(D$938:D1594)+3,0))</f>
        <v>50</v>
      </c>
      <c r="G1594" s="503" t="str">
        <f t="shared" ca="1" si="201"/>
        <v/>
      </c>
      <c r="H1594" s="497">
        <f t="shared" ca="1" si="208"/>
        <v>107</v>
      </c>
      <c r="I1594" s="500" t="str">
        <f t="shared" ca="1" si="202"/>
        <v/>
      </c>
      <c r="J1594" s="512" t="str">
        <f t="shared" ca="1" si="203"/>
        <v/>
      </c>
      <c r="K1594" s="512" t="str">
        <f t="shared" ca="1" si="204"/>
        <v/>
      </c>
      <c r="L1594" s="503" t="str">
        <f t="shared" ca="1" si="205"/>
        <v/>
      </c>
      <c r="M1594" s="515" t="str">
        <f ca="1">IFERROR(IF(COUNTIF($B$937:$B1593,"&lt;0")&lt;&gt;1,OFFSET($C1592,-COUNTIF($B$937:$B1593,"&lt;0")+3,0),""),"")</f>
        <v>a173p00000CH4FKAA1</v>
      </c>
      <c r="N1594" s="515">
        <f ca="1">IFERROR(IF(COUNTA($D$937:D1593)=1,0,OFFSET($F1592,-COUNTA($D$937:D1593)+3,0)),"")</f>
        <v>50</v>
      </c>
      <c r="O1594" s="497"/>
      <c r="P1594" s="497">
        <f t="shared" si="209"/>
        <v>0</v>
      </c>
      <c r="Q1594" s="497"/>
      <c r="R1594" s="497"/>
      <c r="S1594" s="497"/>
      <c r="T1594" s="503"/>
    </row>
    <row r="1595" spans="1:20" x14ac:dyDescent="0.35">
      <c r="A1595" s="497" t="b">
        <f t="shared" ca="1" si="199"/>
        <v>0</v>
      </c>
      <c r="B1595" s="497">
        <f t="shared" si="206"/>
        <v>296</v>
      </c>
      <c r="C1595" s="519" t="str">
        <f t="shared" ca="1" si="200"/>
        <v>a173p00000CH4GIAA1</v>
      </c>
      <c r="D1595" s="497"/>
      <c r="E1595" s="497">
        <f t="shared" ca="1" si="207"/>
        <v>2</v>
      </c>
      <c r="F1595" s="516">
        <f ca="1">IF(COUNTA(D$938:D1595)=1,"",OFFSET(F1593,-COUNTA(D$938:D1595)+3,0))</f>
        <v>50</v>
      </c>
      <c r="G1595" s="503" t="str">
        <f t="shared" ca="1" si="201"/>
        <v/>
      </c>
      <c r="H1595" s="497">
        <f t="shared" ca="1" si="208"/>
        <v>107</v>
      </c>
      <c r="I1595" s="500" t="str">
        <f t="shared" ca="1" si="202"/>
        <v/>
      </c>
      <c r="J1595" s="512" t="str">
        <f t="shared" ca="1" si="203"/>
        <v/>
      </c>
      <c r="K1595" s="512" t="str">
        <f t="shared" ca="1" si="204"/>
        <v/>
      </c>
      <c r="L1595" s="503" t="str">
        <f t="shared" ca="1" si="205"/>
        <v/>
      </c>
      <c r="M1595" s="515" t="str">
        <f ca="1">IFERROR(IF(COUNTIF($B$937:$B1594,"&lt;0")&lt;&gt;1,OFFSET($C1593,-COUNTIF($B$937:$B1594,"&lt;0")+3,0),""),"")</f>
        <v>a173p00000CH4GIAA1</v>
      </c>
      <c r="N1595" s="515">
        <f ca="1">IFERROR(IF(COUNTA($D$937:D1594)=1,0,OFFSET($F1593,-COUNTA($D$937:D1594)+3,0)),"")</f>
        <v>50</v>
      </c>
      <c r="O1595" s="497"/>
      <c r="P1595" s="497">
        <f t="shared" si="209"/>
        <v>0</v>
      </c>
      <c r="Q1595" s="497"/>
      <c r="R1595" s="497"/>
      <c r="S1595" s="497"/>
      <c r="T1595" s="503"/>
    </row>
    <row r="1596" spans="1:20" x14ac:dyDescent="0.35">
      <c r="A1596" s="497" t="b">
        <f t="shared" ca="1" si="199"/>
        <v>0</v>
      </c>
      <c r="B1596" s="497">
        <f t="shared" si="206"/>
        <v>297</v>
      </c>
      <c r="C1596" s="519" t="str">
        <f t="shared" ca="1" si="200"/>
        <v>a173p00000CH4HGAA1</v>
      </c>
      <c r="D1596" s="497"/>
      <c r="E1596" s="497">
        <f t="shared" ca="1" si="207"/>
        <v>3</v>
      </c>
      <c r="F1596" s="516">
        <f ca="1">IF(COUNTA(D$938:D1596)=1,"",OFFSET(F1594,-COUNTA(D$938:D1596)+3,0))</f>
        <v>50</v>
      </c>
      <c r="G1596" s="503" t="str">
        <f t="shared" ca="1" si="201"/>
        <v/>
      </c>
      <c r="H1596" s="497">
        <f t="shared" ca="1" si="208"/>
        <v>107</v>
      </c>
      <c r="I1596" s="500" t="str">
        <f t="shared" ca="1" si="202"/>
        <v/>
      </c>
      <c r="J1596" s="512" t="str">
        <f t="shared" ca="1" si="203"/>
        <v/>
      </c>
      <c r="K1596" s="512" t="str">
        <f t="shared" ca="1" si="204"/>
        <v/>
      </c>
      <c r="L1596" s="503" t="str">
        <f t="shared" ca="1" si="205"/>
        <v/>
      </c>
      <c r="M1596" s="515" t="str">
        <f ca="1">IFERROR(IF(COUNTIF($B$937:$B1595,"&lt;0")&lt;&gt;1,OFFSET($C1594,-COUNTIF($B$937:$B1595,"&lt;0")+3,0),""),"")</f>
        <v>a173p00000CH4HGAA1</v>
      </c>
      <c r="N1596" s="515">
        <f ca="1">IFERROR(IF(COUNTA($D$937:D1595)=1,0,OFFSET($F1594,-COUNTA($D$937:D1595)+3,0)),"")</f>
        <v>50</v>
      </c>
      <c r="O1596" s="497"/>
      <c r="P1596" s="497">
        <f t="shared" si="209"/>
        <v>0</v>
      </c>
      <c r="Q1596" s="497"/>
      <c r="R1596" s="497"/>
      <c r="S1596" s="497"/>
      <c r="T1596" s="503"/>
    </row>
    <row r="1597" spans="1:20" x14ac:dyDescent="0.35">
      <c r="A1597" s="497" t="b">
        <f t="shared" ca="1" si="199"/>
        <v>0</v>
      </c>
      <c r="B1597" s="497">
        <f t="shared" si="206"/>
        <v>298</v>
      </c>
      <c r="C1597" s="519" t="str">
        <f t="shared" ca="1" si="200"/>
        <v>a173p00000CH4IEAA1</v>
      </c>
      <c r="D1597" s="497"/>
      <c r="E1597" s="497">
        <f t="shared" ca="1" si="207"/>
        <v>4</v>
      </c>
      <c r="F1597" s="516">
        <f ca="1">IF(COUNTA(D$938:D1597)=1,"",OFFSET(F1595,-COUNTA(D$938:D1597)+3,0))</f>
        <v>50</v>
      </c>
      <c r="G1597" s="503" t="str">
        <f t="shared" ca="1" si="201"/>
        <v/>
      </c>
      <c r="H1597" s="497">
        <f t="shared" ca="1" si="208"/>
        <v>107</v>
      </c>
      <c r="I1597" s="500" t="str">
        <f t="shared" ca="1" si="202"/>
        <v/>
      </c>
      <c r="J1597" s="512" t="str">
        <f t="shared" ca="1" si="203"/>
        <v/>
      </c>
      <c r="K1597" s="512" t="str">
        <f t="shared" ca="1" si="204"/>
        <v/>
      </c>
      <c r="L1597" s="503" t="str">
        <f t="shared" ca="1" si="205"/>
        <v/>
      </c>
      <c r="M1597" s="515" t="str">
        <f ca="1">IFERROR(IF(COUNTIF($B$937:$B1596,"&lt;0")&lt;&gt;1,OFFSET($C1595,-COUNTIF($B$937:$B1596,"&lt;0")+3,0),""),"")</f>
        <v>a173p00000CH4IEAA1</v>
      </c>
      <c r="N1597" s="515">
        <f ca="1">IFERROR(IF(COUNTA($D$937:D1596)=1,0,OFFSET($F1595,-COUNTA($D$937:D1596)+3,0)),"")</f>
        <v>50</v>
      </c>
      <c r="O1597" s="497"/>
      <c r="P1597" s="497">
        <f t="shared" si="209"/>
        <v>0</v>
      </c>
      <c r="Q1597" s="497"/>
      <c r="R1597" s="497"/>
      <c r="S1597" s="497"/>
      <c r="T1597" s="503"/>
    </row>
    <row r="1598" spans="1:20" x14ac:dyDescent="0.35">
      <c r="A1598" s="497" t="b">
        <f t="shared" ca="1" si="199"/>
        <v>0</v>
      </c>
      <c r="B1598" s="497">
        <f t="shared" si="206"/>
        <v>299</v>
      </c>
      <c r="C1598" s="519" t="str">
        <f t="shared" ca="1" si="200"/>
        <v>a173p00000CH4JCAA1</v>
      </c>
      <c r="D1598" s="497"/>
      <c r="E1598" s="497">
        <f t="shared" ca="1" si="207"/>
        <v>5</v>
      </c>
      <c r="F1598" s="516">
        <f ca="1">IF(COUNTA(D$938:D1598)=1,"",OFFSET(F1596,-COUNTA(D$938:D1598)+3,0))</f>
        <v>50</v>
      </c>
      <c r="G1598" s="503" t="str">
        <f t="shared" ca="1" si="201"/>
        <v/>
      </c>
      <c r="H1598" s="497">
        <f t="shared" ca="1" si="208"/>
        <v>107</v>
      </c>
      <c r="I1598" s="500" t="str">
        <f t="shared" ca="1" si="202"/>
        <v/>
      </c>
      <c r="J1598" s="512" t="str">
        <f t="shared" ca="1" si="203"/>
        <v/>
      </c>
      <c r="K1598" s="512" t="str">
        <f t="shared" ca="1" si="204"/>
        <v/>
      </c>
      <c r="L1598" s="503" t="str">
        <f t="shared" ca="1" si="205"/>
        <v/>
      </c>
      <c r="M1598" s="515" t="str">
        <f ca="1">IFERROR(IF(COUNTIF($B$937:$B1597,"&lt;0")&lt;&gt;1,OFFSET($C1596,-COUNTIF($B$937:$B1597,"&lt;0")+3,0),""),"")</f>
        <v>a173p00000CH4JCAA1</v>
      </c>
      <c r="N1598" s="515">
        <f ca="1">IFERROR(IF(COUNTA($D$937:D1597)=1,0,OFFSET($F1596,-COUNTA($D$937:D1597)+3,0)),"")</f>
        <v>50</v>
      </c>
      <c r="O1598" s="497"/>
      <c r="P1598" s="497">
        <f t="shared" si="209"/>
        <v>0</v>
      </c>
      <c r="Q1598" s="497"/>
      <c r="R1598" s="497"/>
      <c r="S1598" s="497"/>
      <c r="T1598" s="503"/>
    </row>
    <row r="1599" spans="1:20" x14ac:dyDescent="0.35">
      <c r="A1599" s="497" t="b">
        <f t="shared" ca="1" si="199"/>
        <v>0</v>
      </c>
      <c r="B1599" s="497">
        <f t="shared" si="206"/>
        <v>300</v>
      </c>
      <c r="C1599" s="519" t="str">
        <f t="shared" ca="1" si="200"/>
        <v>a173p00000CH4KAAA1</v>
      </c>
      <c r="D1599" s="497"/>
      <c r="E1599" s="497">
        <f t="shared" ca="1" si="207"/>
        <v>6</v>
      </c>
      <c r="F1599" s="516">
        <f ca="1">IF(COUNTA(D$938:D1599)=1,"",OFFSET(F1597,-COUNTA(D$938:D1599)+3,0))</f>
        <v>50</v>
      </c>
      <c r="G1599" s="503" t="str">
        <f t="shared" ca="1" si="201"/>
        <v/>
      </c>
      <c r="H1599" s="497">
        <f t="shared" ca="1" si="208"/>
        <v>107</v>
      </c>
      <c r="I1599" s="500" t="str">
        <f t="shared" ca="1" si="202"/>
        <v/>
      </c>
      <c r="J1599" s="512" t="str">
        <f t="shared" ca="1" si="203"/>
        <v/>
      </c>
      <c r="K1599" s="512" t="str">
        <f t="shared" ca="1" si="204"/>
        <v/>
      </c>
      <c r="L1599" s="503" t="str">
        <f t="shared" ca="1" si="205"/>
        <v/>
      </c>
      <c r="M1599" s="515" t="str">
        <f ca="1">IFERROR(IF(COUNTIF($B$937:$B1598,"&lt;0")&lt;&gt;1,OFFSET($C1597,-COUNTIF($B$937:$B1598,"&lt;0")+3,0),""),"")</f>
        <v>a173p00000CH4KAAA1</v>
      </c>
      <c r="N1599" s="515">
        <f ca="1">IFERROR(IF(COUNTA($D$937:D1598)=1,0,OFFSET($F1597,-COUNTA($D$937:D1598)+3,0)),"")</f>
        <v>50</v>
      </c>
      <c r="O1599" s="497"/>
      <c r="P1599" s="497">
        <f t="shared" si="209"/>
        <v>0</v>
      </c>
      <c r="Q1599" s="497"/>
      <c r="R1599" s="497"/>
      <c r="S1599" s="497"/>
      <c r="T1599" s="503"/>
    </row>
    <row r="1600" spans="1:20" x14ac:dyDescent="0.35">
      <c r="A1600" s="497" t="b">
        <f t="shared" ca="1" si="199"/>
        <v>0</v>
      </c>
      <c r="B1600" s="497">
        <f t="shared" si="206"/>
        <v>301</v>
      </c>
      <c r="C1600" s="519" t="str">
        <f t="shared" ca="1" si="200"/>
        <v>a173p00000CH4FLAA1</v>
      </c>
      <c r="D1600" s="497"/>
      <c r="E1600" s="497">
        <f t="shared" ca="1" si="207"/>
        <v>1</v>
      </c>
      <c r="F1600" s="516">
        <f ca="1">IF(COUNTA(D$938:D1600)=1,"",OFFSET(F1598,-COUNTA(D$938:D1600)+3,0))</f>
        <v>51</v>
      </c>
      <c r="G1600" s="503" t="str">
        <f t="shared" ca="1" si="201"/>
        <v/>
      </c>
      <c r="H1600" s="497">
        <f t="shared" ca="1" si="208"/>
        <v>109</v>
      </c>
      <c r="I1600" s="500" t="str">
        <f t="shared" ca="1" si="202"/>
        <v/>
      </c>
      <c r="J1600" s="512" t="str">
        <f t="shared" ca="1" si="203"/>
        <v/>
      </c>
      <c r="K1600" s="512" t="str">
        <f t="shared" ca="1" si="204"/>
        <v/>
      </c>
      <c r="L1600" s="503" t="str">
        <f t="shared" ca="1" si="205"/>
        <v/>
      </c>
      <c r="M1600" s="515" t="str">
        <f ca="1">IFERROR(IF(COUNTIF($B$937:$B1599,"&lt;0")&lt;&gt;1,OFFSET($C1598,-COUNTIF($B$937:$B1599,"&lt;0")+3,0),""),"")</f>
        <v>a173p00000CH4FLAA1</v>
      </c>
      <c r="N1600" s="515">
        <f ca="1">IFERROR(IF(COUNTA($D$937:D1599)=1,0,OFFSET($F1598,-COUNTA($D$937:D1599)+3,0)),"")</f>
        <v>51</v>
      </c>
      <c r="O1600" s="497"/>
      <c r="P1600" s="497">
        <f t="shared" si="209"/>
        <v>0</v>
      </c>
      <c r="Q1600" s="497"/>
      <c r="R1600" s="497"/>
      <c r="S1600" s="497"/>
      <c r="T1600" s="503"/>
    </row>
    <row r="1601" spans="1:20" x14ac:dyDescent="0.35">
      <c r="A1601" s="497" t="b">
        <f t="shared" ca="1" si="199"/>
        <v>0</v>
      </c>
      <c r="B1601" s="497">
        <f t="shared" si="206"/>
        <v>302</v>
      </c>
      <c r="C1601" s="519" t="str">
        <f t="shared" ca="1" si="200"/>
        <v>a173p00000CH4GJAA1</v>
      </c>
      <c r="D1601" s="497"/>
      <c r="E1601" s="497">
        <f t="shared" ca="1" si="207"/>
        <v>2</v>
      </c>
      <c r="F1601" s="516">
        <f ca="1">IF(COUNTA(D$938:D1601)=1,"",OFFSET(F1599,-COUNTA(D$938:D1601)+3,0))</f>
        <v>51</v>
      </c>
      <c r="G1601" s="503" t="str">
        <f t="shared" ca="1" si="201"/>
        <v/>
      </c>
      <c r="H1601" s="497">
        <f t="shared" ca="1" si="208"/>
        <v>109</v>
      </c>
      <c r="I1601" s="500" t="str">
        <f t="shared" ca="1" si="202"/>
        <v/>
      </c>
      <c r="J1601" s="512" t="str">
        <f t="shared" ca="1" si="203"/>
        <v/>
      </c>
      <c r="K1601" s="512" t="str">
        <f t="shared" ca="1" si="204"/>
        <v/>
      </c>
      <c r="L1601" s="503" t="str">
        <f t="shared" ca="1" si="205"/>
        <v/>
      </c>
      <c r="M1601" s="515" t="str">
        <f ca="1">IFERROR(IF(COUNTIF($B$937:$B1600,"&lt;0")&lt;&gt;1,OFFSET($C1599,-COUNTIF($B$937:$B1600,"&lt;0")+3,0),""),"")</f>
        <v>a173p00000CH4GJAA1</v>
      </c>
      <c r="N1601" s="515">
        <f ca="1">IFERROR(IF(COUNTA($D$937:D1600)=1,0,OFFSET($F1599,-COUNTA($D$937:D1600)+3,0)),"")</f>
        <v>51</v>
      </c>
      <c r="O1601" s="497"/>
      <c r="P1601" s="497">
        <f t="shared" si="209"/>
        <v>0</v>
      </c>
      <c r="Q1601" s="497"/>
      <c r="R1601" s="497"/>
      <c r="S1601" s="497"/>
      <c r="T1601" s="503"/>
    </row>
    <row r="1602" spans="1:20" x14ac:dyDescent="0.35">
      <c r="A1602" s="497" t="b">
        <f t="shared" ca="1" si="199"/>
        <v>0</v>
      </c>
      <c r="B1602" s="497">
        <f t="shared" si="206"/>
        <v>303</v>
      </c>
      <c r="C1602" s="519" t="str">
        <f t="shared" ca="1" si="200"/>
        <v>a173p00000CH4HHAA1</v>
      </c>
      <c r="D1602" s="497"/>
      <c r="E1602" s="497">
        <f t="shared" ca="1" si="207"/>
        <v>3</v>
      </c>
      <c r="F1602" s="516">
        <f ca="1">IF(COUNTA(D$938:D1602)=1,"",OFFSET(F1600,-COUNTA(D$938:D1602)+3,0))</f>
        <v>51</v>
      </c>
      <c r="G1602" s="503" t="str">
        <f t="shared" ca="1" si="201"/>
        <v/>
      </c>
      <c r="H1602" s="497">
        <f t="shared" ca="1" si="208"/>
        <v>109</v>
      </c>
      <c r="I1602" s="500" t="str">
        <f t="shared" ca="1" si="202"/>
        <v/>
      </c>
      <c r="J1602" s="512" t="str">
        <f t="shared" ca="1" si="203"/>
        <v/>
      </c>
      <c r="K1602" s="512" t="str">
        <f t="shared" ca="1" si="204"/>
        <v/>
      </c>
      <c r="L1602" s="503" t="str">
        <f t="shared" ca="1" si="205"/>
        <v/>
      </c>
      <c r="M1602" s="515" t="str">
        <f ca="1">IFERROR(IF(COUNTIF($B$937:$B1601,"&lt;0")&lt;&gt;1,OFFSET($C1600,-COUNTIF($B$937:$B1601,"&lt;0")+3,0),""),"")</f>
        <v>a173p00000CH4HHAA1</v>
      </c>
      <c r="N1602" s="515">
        <f ca="1">IFERROR(IF(COUNTA($D$937:D1601)=1,0,OFFSET($F1600,-COUNTA($D$937:D1601)+3,0)),"")</f>
        <v>51</v>
      </c>
      <c r="O1602" s="497"/>
      <c r="P1602" s="497">
        <f t="shared" si="209"/>
        <v>0</v>
      </c>
      <c r="Q1602" s="497"/>
      <c r="R1602" s="497"/>
      <c r="S1602" s="497"/>
      <c r="T1602" s="503"/>
    </row>
    <row r="1603" spans="1:20" x14ac:dyDescent="0.35">
      <c r="A1603" s="497" t="b">
        <f t="shared" ca="1" si="199"/>
        <v>0</v>
      </c>
      <c r="B1603" s="497">
        <f t="shared" si="206"/>
        <v>304</v>
      </c>
      <c r="C1603" s="519" t="str">
        <f t="shared" ca="1" si="200"/>
        <v>a173p00000CH4IFAA1</v>
      </c>
      <c r="D1603" s="497"/>
      <c r="E1603" s="497">
        <f t="shared" ca="1" si="207"/>
        <v>4</v>
      </c>
      <c r="F1603" s="516">
        <f ca="1">IF(COUNTA(D$938:D1603)=1,"",OFFSET(F1601,-COUNTA(D$938:D1603)+3,0))</f>
        <v>51</v>
      </c>
      <c r="G1603" s="503" t="str">
        <f t="shared" ca="1" si="201"/>
        <v/>
      </c>
      <c r="H1603" s="497">
        <f t="shared" ca="1" si="208"/>
        <v>109</v>
      </c>
      <c r="I1603" s="500" t="str">
        <f t="shared" ca="1" si="202"/>
        <v/>
      </c>
      <c r="J1603" s="512" t="str">
        <f t="shared" ca="1" si="203"/>
        <v/>
      </c>
      <c r="K1603" s="512" t="str">
        <f t="shared" ca="1" si="204"/>
        <v/>
      </c>
      <c r="L1603" s="503" t="str">
        <f t="shared" ca="1" si="205"/>
        <v/>
      </c>
      <c r="M1603" s="515" t="str">
        <f ca="1">IFERROR(IF(COUNTIF($B$937:$B1602,"&lt;0")&lt;&gt;1,OFFSET($C1601,-COUNTIF($B$937:$B1602,"&lt;0")+3,0),""),"")</f>
        <v>a173p00000CH4IFAA1</v>
      </c>
      <c r="N1603" s="515">
        <f ca="1">IFERROR(IF(COUNTA($D$937:D1602)=1,0,OFFSET($F1601,-COUNTA($D$937:D1602)+3,0)),"")</f>
        <v>51</v>
      </c>
      <c r="O1603" s="497"/>
      <c r="P1603" s="497">
        <f t="shared" si="209"/>
        <v>0</v>
      </c>
      <c r="Q1603" s="497"/>
      <c r="R1603" s="497"/>
      <c r="S1603" s="497"/>
      <c r="T1603" s="503"/>
    </row>
    <row r="1604" spans="1:20" x14ac:dyDescent="0.35">
      <c r="A1604" s="497" t="b">
        <f t="shared" ca="1" si="199"/>
        <v>0</v>
      </c>
      <c r="B1604" s="497">
        <f t="shared" si="206"/>
        <v>305</v>
      </c>
      <c r="C1604" s="519" t="str">
        <f t="shared" ca="1" si="200"/>
        <v>a173p00000CH4JDAA1</v>
      </c>
      <c r="D1604" s="497"/>
      <c r="E1604" s="497">
        <f t="shared" ca="1" si="207"/>
        <v>5</v>
      </c>
      <c r="F1604" s="516">
        <f ca="1">IF(COUNTA(D$938:D1604)=1,"",OFFSET(F1602,-COUNTA(D$938:D1604)+3,0))</f>
        <v>51</v>
      </c>
      <c r="G1604" s="503" t="str">
        <f t="shared" ca="1" si="201"/>
        <v/>
      </c>
      <c r="H1604" s="497">
        <f t="shared" ca="1" si="208"/>
        <v>109</v>
      </c>
      <c r="I1604" s="500" t="str">
        <f t="shared" ca="1" si="202"/>
        <v/>
      </c>
      <c r="J1604" s="512" t="str">
        <f t="shared" ca="1" si="203"/>
        <v/>
      </c>
      <c r="K1604" s="512" t="str">
        <f t="shared" ca="1" si="204"/>
        <v/>
      </c>
      <c r="L1604" s="503" t="str">
        <f t="shared" ca="1" si="205"/>
        <v/>
      </c>
      <c r="M1604" s="515" t="str">
        <f ca="1">IFERROR(IF(COUNTIF($B$937:$B1603,"&lt;0")&lt;&gt;1,OFFSET($C1602,-COUNTIF($B$937:$B1603,"&lt;0")+3,0),""),"")</f>
        <v>a173p00000CH4JDAA1</v>
      </c>
      <c r="N1604" s="515">
        <f ca="1">IFERROR(IF(COUNTA($D$937:D1603)=1,0,OFFSET($F1602,-COUNTA($D$937:D1603)+3,0)),"")</f>
        <v>51</v>
      </c>
      <c r="O1604" s="497"/>
      <c r="P1604" s="497">
        <f t="shared" si="209"/>
        <v>0</v>
      </c>
      <c r="Q1604" s="497"/>
      <c r="R1604" s="497"/>
      <c r="S1604" s="497"/>
      <c r="T1604" s="503"/>
    </row>
    <row r="1605" spans="1:20" x14ac:dyDescent="0.35">
      <c r="A1605" s="497" t="b">
        <f t="shared" ca="1" si="199"/>
        <v>0</v>
      </c>
      <c r="B1605" s="497">
        <f t="shared" si="206"/>
        <v>306</v>
      </c>
      <c r="C1605" s="519" t="str">
        <f t="shared" ca="1" si="200"/>
        <v>a173p00000CH4KBAA1</v>
      </c>
      <c r="D1605" s="497"/>
      <c r="E1605" s="497">
        <f t="shared" ca="1" si="207"/>
        <v>6</v>
      </c>
      <c r="F1605" s="516">
        <f ca="1">IF(COUNTA(D$938:D1605)=1,"",OFFSET(F1603,-COUNTA(D$938:D1605)+3,0))</f>
        <v>51</v>
      </c>
      <c r="G1605" s="503" t="str">
        <f t="shared" ca="1" si="201"/>
        <v/>
      </c>
      <c r="H1605" s="497">
        <f t="shared" ca="1" si="208"/>
        <v>109</v>
      </c>
      <c r="I1605" s="500" t="str">
        <f t="shared" ca="1" si="202"/>
        <v/>
      </c>
      <c r="J1605" s="512" t="str">
        <f t="shared" ca="1" si="203"/>
        <v/>
      </c>
      <c r="K1605" s="512" t="str">
        <f t="shared" ca="1" si="204"/>
        <v/>
      </c>
      <c r="L1605" s="503" t="str">
        <f t="shared" ca="1" si="205"/>
        <v/>
      </c>
      <c r="M1605" s="515" t="str">
        <f ca="1">IFERROR(IF(COUNTIF($B$937:$B1604,"&lt;0")&lt;&gt;1,OFFSET($C1603,-COUNTIF($B$937:$B1604,"&lt;0")+3,0),""),"")</f>
        <v>a173p00000CH4KBAA1</v>
      </c>
      <c r="N1605" s="515">
        <f ca="1">IFERROR(IF(COUNTA($D$937:D1604)=1,0,OFFSET($F1603,-COUNTA($D$937:D1604)+3,0)),"")</f>
        <v>51</v>
      </c>
      <c r="O1605" s="497"/>
      <c r="P1605" s="497">
        <f t="shared" si="209"/>
        <v>0</v>
      </c>
      <c r="Q1605" s="497"/>
      <c r="R1605" s="497"/>
      <c r="S1605" s="497"/>
      <c r="T1605" s="503"/>
    </row>
    <row r="1606" spans="1:20" x14ac:dyDescent="0.35">
      <c r="A1606" s="497" t="b">
        <f t="shared" ca="1" si="199"/>
        <v>0</v>
      </c>
      <c r="B1606" s="497">
        <f t="shared" si="206"/>
        <v>307</v>
      </c>
      <c r="C1606" s="519" t="str">
        <f t="shared" ca="1" si="200"/>
        <v>a173p00000CH4FMAA1</v>
      </c>
      <c r="D1606" s="497"/>
      <c r="E1606" s="497">
        <f t="shared" ca="1" si="207"/>
        <v>1</v>
      </c>
      <c r="F1606" s="516">
        <f ca="1">IF(COUNTA(D$938:D1606)=1,"",OFFSET(F1604,-COUNTA(D$938:D1606)+3,0))</f>
        <v>52</v>
      </c>
      <c r="G1606" s="503" t="str">
        <f t="shared" ca="1" si="201"/>
        <v/>
      </c>
      <c r="H1606" s="497">
        <f t="shared" ca="1" si="208"/>
        <v>111</v>
      </c>
      <c r="I1606" s="500" t="str">
        <f t="shared" ca="1" si="202"/>
        <v/>
      </c>
      <c r="J1606" s="512" t="str">
        <f t="shared" ca="1" si="203"/>
        <v/>
      </c>
      <c r="K1606" s="512" t="str">
        <f t="shared" ca="1" si="204"/>
        <v/>
      </c>
      <c r="L1606" s="503" t="str">
        <f t="shared" ca="1" si="205"/>
        <v/>
      </c>
      <c r="M1606" s="515" t="str">
        <f ca="1">IFERROR(IF(COUNTIF($B$937:$B1605,"&lt;0")&lt;&gt;1,OFFSET($C1604,-COUNTIF($B$937:$B1605,"&lt;0")+3,0),""),"")</f>
        <v>a173p00000CH4FMAA1</v>
      </c>
      <c r="N1606" s="515">
        <f ca="1">IFERROR(IF(COUNTA($D$937:D1605)=1,0,OFFSET($F1604,-COUNTA($D$937:D1605)+3,0)),"")</f>
        <v>52</v>
      </c>
      <c r="O1606" s="497"/>
      <c r="P1606" s="497">
        <f t="shared" si="209"/>
        <v>0</v>
      </c>
      <c r="Q1606" s="497"/>
      <c r="R1606" s="497"/>
      <c r="S1606" s="497"/>
      <c r="T1606" s="503"/>
    </row>
    <row r="1607" spans="1:20" x14ac:dyDescent="0.35">
      <c r="A1607" s="497" t="b">
        <f t="shared" ca="1" si="199"/>
        <v>0</v>
      </c>
      <c r="B1607" s="497">
        <f t="shared" si="206"/>
        <v>308</v>
      </c>
      <c r="C1607" s="519" t="str">
        <f t="shared" ca="1" si="200"/>
        <v>a173p00000CH4GKAA1</v>
      </c>
      <c r="D1607" s="497"/>
      <c r="E1607" s="497">
        <f t="shared" ca="1" si="207"/>
        <v>2</v>
      </c>
      <c r="F1607" s="516">
        <f ca="1">IF(COUNTA(D$938:D1607)=1,"",OFFSET(F1605,-COUNTA(D$938:D1607)+3,0))</f>
        <v>52</v>
      </c>
      <c r="G1607" s="503" t="str">
        <f t="shared" ca="1" si="201"/>
        <v/>
      </c>
      <c r="H1607" s="497">
        <f t="shared" ca="1" si="208"/>
        <v>111</v>
      </c>
      <c r="I1607" s="500" t="str">
        <f t="shared" ca="1" si="202"/>
        <v/>
      </c>
      <c r="J1607" s="512" t="str">
        <f t="shared" ca="1" si="203"/>
        <v/>
      </c>
      <c r="K1607" s="512" t="str">
        <f t="shared" ca="1" si="204"/>
        <v/>
      </c>
      <c r="L1607" s="503" t="str">
        <f t="shared" ca="1" si="205"/>
        <v/>
      </c>
      <c r="M1607" s="515" t="str">
        <f ca="1">IFERROR(IF(COUNTIF($B$937:$B1606,"&lt;0")&lt;&gt;1,OFFSET($C1605,-COUNTIF($B$937:$B1606,"&lt;0")+3,0),""),"")</f>
        <v>a173p00000CH4GKAA1</v>
      </c>
      <c r="N1607" s="515">
        <f ca="1">IFERROR(IF(COUNTA($D$937:D1606)=1,0,OFFSET($F1605,-COUNTA($D$937:D1606)+3,0)),"")</f>
        <v>52</v>
      </c>
      <c r="O1607" s="497"/>
      <c r="P1607" s="497">
        <f t="shared" si="209"/>
        <v>0</v>
      </c>
      <c r="Q1607" s="497"/>
      <c r="R1607" s="497"/>
      <c r="S1607" s="497"/>
      <c r="T1607" s="503"/>
    </row>
    <row r="1608" spans="1:20" x14ac:dyDescent="0.35">
      <c r="A1608" s="497" t="b">
        <f t="shared" ca="1" si="199"/>
        <v>0</v>
      </c>
      <c r="B1608" s="497">
        <f t="shared" si="206"/>
        <v>309</v>
      </c>
      <c r="C1608" s="519" t="str">
        <f t="shared" ca="1" si="200"/>
        <v>a173p00000CH4HIAA1</v>
      </c>
      <c r="D1608" s="497"/>
      <c r="E1608" s="497">
        <f t="shared" ca="1" si="207"/>
        <v>3</v>
      </c>
      <c r="F1608" s="516">
        <f ca="1">IF(COUNTA(D$938:D1608)=1,"",OFFSET(F1606,-COUNTA(D$938:D1608)+3,0))</f>
        <v>52</v>
      </c>
      <c r="G1608" s="503" t="str">
        <f t="shared" ca="1" si="201"/>
        <v/>
      </c>
      <c r="H1608" s="497">
        <f t="shared" ca="1" si="208"/>
        <v>111</v>
      </c>
      <c r="I1608" s="500" t="str">
        <f t="shared" ca="1" si="202"/>
        <v/>
      </c>
      <c r="J1608" s="512" t="str">
        <f t="shared" ca="1" si="203"/>
        <v/>
      </c>
      <c r="K1608" s="512" t="str">
        <f t="shared" ca="1" si="204"/>
        <v/>
      </c>
      <c r="L1608" s="503" t="str">
        <f t="shared" ca="1" si="205"/>
        <v/>
      </c>
      <c r="M1608" s="515" t="str">
        <f ca="1">IFERROR(IF(COUNTIF($B$937:$B1607,"&lt;0")&lt;&gt;1,OFFSET($C1606,-COUNTIF($B$937:$B1607,"&lt;0")+3,0),""),"")</f>
        <v>a173p00000CH4HIAA1</v>
      </c>
      <c r="N1608" s="515">
        <f ca="1">IFERROR(IF(COUNTA($D$937:D1607)=1,0,OFFSET($F1606,-COUNTA($D$937:D1607)+3,0)),"")</f>
        <v>52</v>
      </c>
      <c r="O1608" s="497"/>
      <c r="P1608" s="497">
        <f t="shared" si="209"/>
        <v>0</v>
      </c>
      <c r="Q1608" s="497"/>
      <c r="R1608" s="497"/>
      <c r="S1608" s="497"/>
      <c r="T1608" s="503"/>
    </row>
    <row r="1609" spans="1:20" x14ac:dyDescent="0.35">
      <c r="A1609" s="497" t="b">
        <f t="shared" ca="1" si="199"/>
        <v>0</v>
      </c>
      <c r="B1609" s="497">
        <f t="shared" si="206"/>
        <v>310</v>
      </c>
      <c r="C1609" s="519" t="str">
        <f t="shared" ca="1" si="200"/>
        <v>a173p00000CH4IGAA1</v>
      </c>
      <c r="D1609" s="497"/>
      <c r="E1609" s="497">
        <f t="shared" ca="1" si="207"/>
        <v>4</v>
      </c>
      <c r="F1609" s="516">
        <f ca="1">IF(COUNTA(D$938:D1609)=1,"",OFFSET(F1607,-COUNTA(D$938:D1609)+3,0))</f>
        <v>52</v>
      </c>
      <c r="G1609" s="503" t="str">
        <f t="shared" ca="1" si="201"/>
        <v/>
      </c>
      <c r="H1609" s="497">
        <f t="shared" ca="1" si="208"/>
        <v>111</v>
      </c>
      <c r="I1609" s="500" t="str">
        <f t="shared" ca="1" si="202"/>
        <v/>
      </c>
      <c r="J1609" s="512" t="str">
        <f t="shared" ca="1" si="203"/>
        <v/>
      </c>
      <c r="K1609" s="512" t="str">
        <f t="shared" ca="1" si="204"/>
        <v/>
      </c>
      <c r="L1609" s="503" t="str">
        <f t="shared" ca="1" si="205"/>
        <v/>
      </c>
      <c r="M1609" s="515" t="str">
        <f ca="1">IFERROR(IF(COUNTIF($B$937:$B1608,"&lt;0")&lt;&gt;1,OFFSET($C1607,-COUNTIF($B$937:$B1608,"&lt;0")+3,0),""),"")</f>
        <v>a173p00000CH4IGAA1</v>
      </c>
      <c r="N1609" s="515">
        <f ca="1">IFERROR(IF(COUNTA($D$937:D1608)=1,0,OFFSET($F1607,-COUNTA($D$937:D1608)+3,0)),"")</f>
        <v>52</v>
      </c>
      <c r="O1609" s="497"/>
      <c r="P1609" s="497">
        <f t="shared" si="209"/>
        <v>0</v>
      </c>
      <c r="Q1609" s="497"/>
      <c r="R1609" s="497"/>
      <c r="S1609" s="497"/>
      <c r="T1609" s="503"/>
    </row>
    <row r="1610" spans="1:20" x14ac:dyDescent="0.35">
      <c r="A1610" s="497" t="b">
        <f t="shared" ca="1" si="199"/>
        <v>0</v>
      </c>
      <c r="B1610" s="497">
        <f t="shared" si="206"/>
        <v>311</v>
      </c>
      <c r="C1610" s="519" t="str">
        <f t="shared" ca="1" si="200"/>
        <v>a173p00000CH4JEAA1</v>
      </c>
      <c r="D1610" s="497"/>
      <c r="E1610" s="497">
        <f t="shared" ca="1" si="207"/>
        <v>5</v>
      </c>
      <c r="F1610" s="516">
        <f ca="1">IF(COUNTA(D$938:D1610)=1,"",OFFSET(F1608,-COUNTA(D$938:D1610)+3,0))</f>
        <v>52</v>
      </c>
      <c r="G1610" s="503" t="str">
        <f t="shared" ca="1" si="201"/>
        <v/>
      </c>
      <c r="H1610" s="497">
        <f t="shared" ca="1" si="208"/>
        <v>111</v>
      </c>
      <c r="I1610" s="500" t="str">
        <f t="shared" ca="1" si="202"/>
        <v/>
      </c>
      <c r="J1610" s="512" t="str">
        <f t="shared" ca="1" si="203"/>
        <v/>
      </c>
      <c r="K1610" s="512" t="str">
        <f t="shared" ca="1" si="204"/>
        <v/>
      </c>
      <c r="L1610" s="503" t="str">
        <f t="shared" ca="1" si="205"/>
        <v/>
      </c>
      <c r="M1610" s="515" t="str">
        <f ca="1">IFERROR(IF(COUNTIF($B$937:$B1609,"&lt;0")&lt;&gt;1,OFFSET($C1608,-COUNTIF($B$937:$B1609,"&lt;0")+3,0),""),"")</f>
        <v>a173p00000CH4JEAA1</v>
      </c>
      <c r="N1610" s="515">
        <f ca="1">IFERROR(IF(COUNTA($D$937:D1609)=1,0,OFFSET($F1608,-COUNTA($D$937:D1609)+3,0)),"")</f>
        <v>52</v>
      </c>
      <c r="O1610" s="497"/>
      <c r="P1610" s="497">
        <f t="shared" si="209"/>
        <v>0</v>
      </c>
      <c r="Q1610" s="497"/>
      <c r="R1610" s="497"/>
      <c r="S1610" s="497"/>
      <c r="T1610" s="503"/>
    </row>
    <row r="1611" spans="1:20" x14ac:dyDescent="0.35">
      <c r="A1611" s="497" t="b">
        <f t="shared" ca="1" si="199"/>
        <v>0</v>
      </c>
      <c r="B1611" s="497">
        <f t="shared" si="206"/>
        <v>312</v>
      </c>
      <c r="C1611" s="519" t="str">
        <f t="shared" ca="1" si="200"/>
        <v>a173p00000CH4KCAA1</v>
      </c>
      <c r="D1611" s="497"/>
      <c r="E1611" s="497">
        <f t="shared" ca="1" si="207"/>
        <v>6</v>
      </c>
      <c r="F1611" s="516">
        <f ca="1">IF(COUNTA(D$938:D1611)=1,"",OFFSET(F1609,-COUNTA(D$938:D1611)+3,0))</f>
        <v>52</v>
      </c>
      <c r="G1611" s="503" t="str">
        <f t="shared" ca="1" si="201"/>
        <v/>
      </c>
      <c r="H1611" s="497">
        <f t="shared" ca="1" si="208"/>
        <v>111</v>
      </c>
      <c r="I1611" s="500" t="str">
        <f t="shared" ca="1" si="202"/>
        <v/>
      </c>
      <c r="J1611" s="512" t="str">
        <f t="shared" ca="1" si="203"/>
        <v/>
      </c>
      <c r="K1611" s="512" t="str">
        <f t="shared" ca="1" si="204"/>
        <v/>
      </c>
      <c r="L1611" s="503" t="str">
        <f t="shared" ca="1" si="205"/>
        <v/>
      </c>
      <c r="M1611" s="515" t="str">
        <f ca="1">IFERROR(IF(COUNTIF($B$937:$B1610,"&lt;0")&lt;&gt;1,OFFSET($C1609,-COUNTIF($B$937:$B1610,"&lt;0")+3,0),""),"")</f>
        <v>a173p00000CH4KCAA1</v>
      </c>
      <c r="N1611" s="515">
        <f ca="1">IFERROR(IF(COUNTA($D$937:D1610)=1,0,OFFSET($F1609,-COUNTA($D$937:D1610)+3,0)),"")</f>
        <v>52</v>
      </c>
      <c r="O1611" s="497"/>
      <c r="P1611" s="497">
        <f t="shared" si="209"/>
        <v>0</v>
      </c>
      <c r="Q1611" s="497"/>
      <c r="R1611" s="497"/>
      <c r="S1611" s="497"/>
      <c r="T1611" s="503"/>
    </row>
    <row r="1612" spans="1:20" x14ac:dyDescent="0.35">
      <c r="A1612" s="497" t="b">
        <f t="shared" ca="1" si="199"/>
        <v>0</v>
      </c>
      <c r="B1612" s="497">
        <f t="shared" si="206"/>
        <v>313</v>
      </c>
      <c r="C1612" s="519" t="str">
        <f t="shared" ca="1" si="200"/>
        <v>a173p00000CH4FNAA1</v>
      </c>
      <c r="D1612" s="497"/>
      <c r="E1612" s="497">
        <f t="shared" ca="1" si="207"/>
        <v>1</v>
      </c>
      <c r="F1612" s="516">
        <f ca="1">IF(COUNTA(D$938:D1612)=1,"",OFFSET(F1610,-COUNTA(D$938:D1612)+3,0))</f>
        <v>53</v>
      </c>
      <c r="G1612" s="503" t="str">
        <f t="shared" ca="1" si="201"/>
        <v/>
      </c>
      <c r="H1612" s="497">
        <f t="shared" ca="1" si="208"/>
        <v>113</v>
      </c>
      <c r="I1612" s="500" t="str">
        <f t="shared" ca="1" si="202"/>
        <v/>
      </c>
      <c r="J1612" s="512" t="str">
        <f t="shared" ca="1" si="203"/>
        <v/>
      </c>
      <c r="K1612" s="512" t="str">
        <f t="shared" ca="1" si="204"/>
        <v/>
      </c>
      <c r="L1612" s="503" t="str">
        <f t="shared" ca="1" si="205"/>
        <v/>
      </c>
      <c r="M1612" s="515" t="str">
        <f ca="1">IFERROR(IF(COUNTIF($B$937:$B1611,"&lt;0")&lt;&gt;1,OFFSET($C1610,-COUNTIF($B$937:$B1611,"&lt;0")+3,0),""),"")</f>
        <v>a173p00000CH4FNAA1</v>
      </c>
      <c r="N1612" s="515">
        <f ca="1">IFERROR(IF(COUNTA($D$937:D1611)=1,0,OFFSET($F1610,-COUNTA($D$937:D1611)+3,0)),"")</f>
        <v>53</v>
      </c>
      <c r="O1612" s="497"/>
      <c r="P1612" s="497">
        <f t="shared" si="209"/>
        <v>0</v>
      </c>
      <c r="Q1612" s="497"/>
      <c r="R1612" s="497"/>
      <c r="S1612" s="497"/>
      <c r="T1612" s="503"/>
    </row>
    <row r="1613" spans="1:20" x14ac:dyDescent="0.35">
      <c r="A1613" s="497" t="b">
        <f t="shared" ca="1" si="199"/>
        <v>0</v>
      </c>
      <c r="B1613" s="497">
        <f t="shared" si="206"/>
        <v>314</v>
      </c>
      <c r="C1613" s="519" t="str">
        <f t="shared" ca="1" si="200"/>
        <v>a173p00000CH4GLAA1</v>
      </c>
      <c r="D1613" s="497"/>
      <c r="E1613" s="497">
        <f t="shared" ca="1" si="207"/>
        <v>2</v>
      </c>
      <c r="F1613" s="516">
        <f ca="1">IF(COUNTA(D$938:D1613)=1,"",OFFSET(F1611,-COUNTA(D$938:D1613)+3,0))</f>
        <v>53</v>
      </c>
      <c r="G1613" s="503" t="str">
        <f t="shared" ca="1" si="201"/>
        <v/>
      </c>
      <c r="H1613" s="497">
        <f t="shared" ca="1" si="208"/>
        <v>113</v>
      </c>
      <c r="I1613" s="500" t="str">
        <f t="shared" ca="1" si="202"/>
        <v/>
      </c>
      <c r="J1613" s="512" t="str">
        <f t="shared" ca="1" si="203"/>
        <v/>
      </c>
      <c r="K1613" s="512" t="str">
        <f t="shared" ca="1" si="204"/>
        <v/>
      </c>
      <c r="L1613" s="503" t="str">
        <f t="shared" ca="1" si="205"/>
        <v/>
      </c>
      <c r="M1613" s="515" t="str">
        <f ca="1">IFERROR(IF(COUNTIF($B$937:$B1612,"&lt;0")&lt;&gt;1,OFFSET($C1611,-COUNTIF($B$937:$B1612,"&lt;0")+3,0),""),"")</f>
        <v>a173p00000CH4GLAA1</v>
      </c>
      <c r="N1613" s="515">
        <f ca="1">IFERROR(IF(COUNTA($D$937:D1612)=1,0,OFFSET($F1611,-COUNTA($D$937:D1612)+3,0)),"")</f>
        <v>53</v>
      </c>
      <c r="O1613" s="497"/>
      <c r="P1613" s="497">
        <f t="shared" si="209"/>
        <v>0</v>
      </c>
      <c r="Q1613" s="497"/>
      <c r="R1613" s="497"/>
      <c r="S1613" s="497"/>
      <c r="T1613" s="503"/>
    </row>
    <row r="1614" spans="1:20" x14ac:dyDescent="0.35">
      <c r="A1614" s="497" t="b">
        <f t="shared" ca="1" si="199"/>
        <v>0</v>
      </c>
      <c r="B1614" s="497">
        <f t="shared" si="206"/>
        <v>315</v>
      </c>
      <c r="C1614" s="519" t="str">
        <f t="shared" ca="1" si="200"/>
        <v>a173p00000CH4HJAA1</v>
      </c>
      <c r="D1614" s="497"/>
      <c r="E1614" s="497">
        <f t="shared" ca="1" si="207"/>
        <v>3</v>
      </c>
      <c r="F1614" s="516">
        <f ca="1">IF(COUNTA(D$938:D1614)=1,"",OFFSET(F1612,-COUNTA(D$938:D1614)+3,0))</f>
        <v>53</v>
      </c>
      <c r="G1614" s="503" t="str">
        <f t="shared" ca="1" si="201"/>
        <v/>
      </c>
      <c r="H1614" s="497">
        <f t="shared" ca="1" si="208"/>
        <v>113</v>
      </c>
      <c r="I1614" s="500" t="str">
        <f t="shared" ca="1" si="202"/>
        <v/>
      </c>
      <c r="J1614" s="512" t="str">
        <f t="shared" ca="1" si="203"/>
        <v/>
      </c>
      <c r="K1614" s="512" t="str">
        <f t="shared" ca="1" si="204"/>
        <v/>
      </c>
      <c r="L1614" s="503" t="str">
        <f t="shared" ca="1" si="205"/>
        <v/>
      </c>
      <c r="M1614" s="515" t="str">
        <f ca="1">IFERROR(IF(COUNTIF($B$937:$B1613,"&lt;0")&lt;&gt;1,OFFSET($C1612,-COUNTIF($B$937:$B1613,"&lt;0")+3,0),""),"")</f>
        <v>a173p00000CH4HJAA1</v>
      </c>
      <c r="N1614" s="515">
        <f ca="1">IFERROR(IF(COUNTA($D$937:D1613)=1,0,OFFSET($F1612,-COUNTA($D$937:D1613)+3,0)),"")</f>
        <v>53</v>
      </c>
      <c r="O1614" s="497"/>
      <c r="P1614" s="497">
        <f t="shared" si="209"/>
        <v>0</v>
      </c>
      <c r="Q1614" s="497"/>
      <c r="R1614" s="497"/>
      <c r="S1614" s="497"/>
      <c r="T1614" s="503"/>
    </row>
    <row r="1615" spans="1:20" x14ac:dyDescent="0.35">
      <c r="A1615" s="497" t="b">
        <f t="shared" ca="1" si="199"/>
        <v>0</v>
      </c>
      <c r="B1615" s="497">
        <f t="shared" si="206"/>
        <v>316</v>
      </c>
      <c r="C1615" s="519" t="str">
        <f t="shared" ca="1" si="200"/>
        <v>a173p00000CH4IHAA1</v>
      </c>
      <c r="D1615" s="497"/>
      <c r="E1615" s="497">
        <f t="shared" ca="1" si="207"/>
        <v>4</v>
      </c>
      <c r="F1615" s="516">
        <f ca="1">IF(COUNTA(D$938:D1615)=1,"",OFFSET(F1613,-COUNTA(D$938:D1615)+3,0))</f>
        <v>53</v>
      </c>
      <c r="G1615" s="503" t="str">
        <f t="shared" ca="1" si="201"/>
        <v/>
      </c>
      <c r="H1615" s="497">
        <f t="shared" ca="1" si="208"/>
        <v>113</v>
      </c>
      <c r="I1615" s="500" t="str">
        <f t="shared" ca="1" si="202"/>
        <v/>
      </c>
      <c r="J1615" s="512" t="str">
        <f t="shared" ca="1" si="203"/>
        <v/>
      </c>
      <c r="K1615" s="512" t="str">
        <f t="shared" ca="1" si="204"/>
        <v/>
      </c>
      <c r="L1615" s="503" t="str">
        <f t="shared" ca="1" si="205"/>
        <v/>
      </c>
      <c r="M1615" s="515" t="str">
        <f ca="1">IFERROR(IF(COUNTIF($B$937:$B1614,"&lt;0")&lt;&gt;1,OFFSET($C1613,-COUNTIF($B$937:$B1614,"&lt;0")+3,0),""),"")</f>
        <v>a173p00000CH4IHAA1</v>
      </c>
      <c r="N1615" s="515">
        <f ca="1">IFERROR(IF(COUNTA($D$937:D1614)=1,0,OFFSET($F1613,-COUNTA($D$937:D1614)+3,0)),"")</f>
        <v>53</v>
      </c>
      <c r="O1615" s="497"/>
      <c r="P1615" s="497">
        <f t="shared" si="209"/>
        <v>0</v>
      </c>
      <c r="Q1615" s="497"/>
      <c r="R1615" s="497"/>
      <c r="S1615" s="497"/>
      <c r="T1615" s="503"/>
    </row>
    <row r="1616" spans="1:20" x14ac:dyDescent="0.35">
      <c r="A1616" s="497" t="b">
        <f t="shared" ca="1" si="199"/>
        <v>0</v>
      </c>
      <c r="B1616" s="497">
        <f t="shared" si="206"/>
        <v>317</v>
      </c>
      <c r="C1616" s="519" t="str">
        <f t="shared" ca="1" si="200"/>
        <v>a173p00000CH4JFAA1</v>
      </c>
      <c r="D1616" s="497"/>
      <c r="E1616" s="497">
        <f t="shared" ca="1" si="207"/>
        <v>5</v>
      </c>
      <c r="F1616" s="516">
        <f ca="1">IF(COUNTA(D$938:D1616)=1,"",OFFSET(F1614,-COUNTA(D$938:D1616)+3,0))</f>
        <v>53</v>
      </c>
      <c r="G1616" s="503" t="str">
        <f t="shared" ca="1" si="201"/>
        <v/>
      </c>
      <c r="H1616" s="497">
        <f t="shared" ca="1" si="208"/>
        <v>113</v>
      </c>
      <c r="I1616" s="500" t="str">
        <f t="shared" ca="1" si="202"/>
        <v/>
      </c>
      <c r="J1616" s="512" t="str">
        <f t="shared" ca="1" si="203"/>
        <v/>
      </c>
      <c r="K1616" s="512" t="str">
        <f t="shared" ca="1" si="204"/>
        <v/>
      </c>
      <c r="L1616" s="503" t="str">
        <f t="shared" ca="1" si="205"/>
        <v/>
      </c>
      <c r="M1616" s="515" t="str">
        <f ca="1">IFERROR(IF(COUNTIF($B$937:$B1615,"&lt;0")&lt;&gt;1,OFFSET($C1614,-COUNTIF($B$937:$B1615,"&lt;0")+3,0),""),"")</f>
        <v>a173p00000CH4JFAA1</v>
      </c>
      <c r="N1616" s="515">
        <f ca="1">IFERROR(IF(COUNTA($D$937:D1615)=1,0,OFFSET($F1614,-COUNTA($D$937:D1615)+3,0)),"")</f>
        <v>53</v>
      </c>
      <c r="O1616" s="497"/>
      <c r="P1616" s="497">
        <f t="shared" si="209"/>
        <v>0</v>
      </c>
      <c r="Q1616" s="497"/>
      <c r="R1616" s="497"/>
      <c r="S1616" s="497"/>
      <c r="T1616" s="503"/>
    </row>
    <row r="1617" spans="1:20" x14ac:dyDescent="0.35">
      <c r="A1617" s="497" t="b">
        <f t="shared" ca="1" si="199"/>
        <v>0</v>
      </c>
      <c r="B1617" s="497">
        <f t="shared" si="206"/>
        <v>318</v>
      </c>
      <c r="C1617" s="519" t="str">
        <f t="shared" ca="1" si="200"/>
        <v>a173p00000CH4KDAA1</v>
      </c>
      <c r="D1617" s="497"/>
      <c r="E1617" s="497">
        <f t="shared" ca="1" si="207"/>
        <v>6</v>
      </c>
      <c r="F1617" s="516">
        <f ca="1">IF(COUNTA(D$938:D1617)=1,"",OFFSET(F1615,-COUNTA(D$938:D1617)+3,0))</f>
        <v>53</v>
      </c>
      <c r="G1617" s="503" t="str">
        <f t="shared" ca="1" si="201"/>
        <v/>
      </c>
      <c r="H1617" s="497">
        <f t="shared" ca="1" si="208"/>
        <v>113</v>
      </c>
      <c r="I1617" s="500" t="str">
        <f t="shared" ca="1" si="202"/>
        <v/>
      </c>
      <c r="J1617" s="512" t="str">
        <f t="shared" ca="1" si="203"/>
        <v/>
      </c>
      <c r="K1617" s="512" t="str">
        <f t="shared" ca="1" si="204"/>
        <v/>
      </c>
      <c r="L1617" s="503" t="str">
        <f t="shared" ca="1" si="205"/>
        <v/>
      </c>
      <c r="M1617" s="515" t="str">
        <f ca="1">IFERROR(IF(COUNTIF($B$937:$B1616,"&lt;0")&lt;&gt;1,OFFSET($C1615,-COUNTIF($B$937:$B1616,"&lt;0")+3,0),""),"")</f>
        <v>a173p00000CH4KDAA1</v>
      </c>
      <c r="N1617" s="515">
        <f ca="1">IFERROR(IF(COUNTA($D$937:D1616)=1,0,OFFSET($F1615,-COUNTA($D$937:D1616)+3,0)),"")</f>
        <v>53</v>
      </c>
      <c r="O1617" s="497"/>
      <c r="P1617" s="497">
        <f t="shared" si="209"/>
        <v>0</v>
      </c>
      <c r="Q1617" s="497"/>
      <c r="R1617" s="497"/>
      <c r="S1617" s="497"/>
      <c r="T1617" s="503"/>
    </row>
    <row r="1618" spans="1:20" x14ac:dyDescent="0.35">
      <c r="A1618" s="497" t="b">
        <f t="shared" ca="1" si="199"/>
        <v>0</v>
      </c>
      <c r="B1618" s="497">
        <f t="shared" si="206"/>
        <v>319</v>
      </c>
      <c r="C1618" s="519" t="str">
        <f t="shared" ca="1" si="200"/>
        <v>a173p00000CH4FOAA1</v>
      </c>
      <c r="D1618" s="497"/>
      <c r="E1618" s="497">
        <f t="shared" ca="1" si="207"/>
        <v>1</v>
      </c>
      <c r="F1618" s="516">
        <f ca="1">IF(COUNTA(D$938:D1618)=1,"",OFFSET(F1616,-COUNTA(D$938:D1618)+3,0))</f>
        <v>54</v>
      </c>
      <c r="G1618" s="503" t="str">
        <f t="shared" ca="1" si="201"/>
        <v/>
      </c>
      <c r="H1618" s="497">
        <f t="shared" ca="1" si="208"/>
        <v>115</v>
      </c>
      <c r="I1618" s="500" t="str">
        <f t="shared" ca="1" si="202"/>
        <v/>
      </c>
      <c r="J1618" s="512" t="str">
        <f t="shared" ca="1" si="203"/>
        <v/>
      </c>
      <c r="K1618" s="512" t="str">
        <f t="shared" ca="1" si="204"/>
        <v/>
      </c>
      <c r="L1618" s="503" t="str">
        <f t="shared" ca="1" si="205"/>
        <v/>
      </c>
      <c r="M1618" s="515" t="str">
        <f ca="1">IFERROR(IF(COUNTIF($B$937:$B1617,"&lt;0")&lt;&gt;1,OFFSET($C1616,-COUNTIF($B$937:$B1617,"&lt;0")+3,0),""),"")</f>
        <v>a173p00000CH4FOAA1</v>
      </c>
      <c r="N1618" s="515">
        <f ca="1">IFERROR(IF(COUNTA($D$937:D1617)=1,0,OFFSET($F1616,-COUNTA($D$937:D1617)+3,0)),"")</f>
        <v>54</v>
      </c>
      <c r="O1618" s="497"/>
      <c r="P1618" s="497">
        <f t="shared" si="209"/>
        <v>0</v>
      </c>
      <c r="Q1618" s="497"/>
      <c r="R1618" s="497"/>
      <c r="S1618" s="497"/>
      <c r="T1618" s="503"/>
    </row>
    <row r="1619" spans="1:20" x14ac:dyDescent="0.35">
      <c r="A1619" s="497" t="b">
        <f t="shared" ca="1" si="199"/>
        <v>0</v>
      </c>
      <c r="B1619" s="497">
        <f t="shared" si="206"/>
        <v>320</v>
      </c>
      <c r="C1619" s="519" t="str">
        <f t="shared" ca="1" si="200"/>
        <v>a173p00000CH4GMAA1</v>
      </c>
      <c r="D1619" s="497"/>
      <c r="E1619" s="497">
        <f t="shared" ca="1" si="207"/>
        <v>2</v>
      </c>
      <c r="F1619" s="516">
        <f ca="1">IF(COUNTA(D$938:D1619)=1,"",OFFSET(F1617,-COUNTA(D$938:D1619)+3,0))</f>
        <v>54</v>
      </c>
      <c r="G1619" s="503" t="str">
        <f t="shared" ca="1" si="201"/>
        <v/>
      </c>
      <c r="H1619" s="497">
        <f t="shared" ca="1" si="208"/>
        <v>115</v>
      </c>
      <c r="I1619" s="500" t="str">
        <f t="shared" ca="1" si="202"/>
        <v/>
      </c>
      <c r="J1619" s="512" t="str">
        <f t="shared" ca="1" si="203"/>
        <v/>
      </c>
      <c r="K1619" s="512" t="str">
        <f t="shared" ca="1" si="204"/>
        <v/>
      </c>
      <c r="L1619" s="503" t="str">
        <f t="shared" ca="1" si="205"/>
        <v/>
      </c>
      <c r="M1619" s="515" t="str">
        <f ca="1">IFERROR(IF(COUNTIF($B$937:$B1618,"&lt;0")&lt;&gt;1,OFFSET($C1617,-COUNTIF($B$937:$B1618,"&lt;0")+3,0),""),"")</f>
        <v>a173p00000CH4GMAA1</v>
      </c>
      <c r="N1619" s="515">
        <f ca="1">IFERROR(IF(COUNTA($D$937:D1618)=1,0,OFFSET($F1617,-COUNTA($D$937:D1618)+3,0)),"")</f>
        <v>54</v>
      </c>
      <c r="O1619" s="497"/>
      <c r="P1619" s="497">
        <f t="shared" si="209"/>
        <v>0</v>
      </c>
      <c r="Q1619" s="497"/>
      <c r="R1619" s="497"/>
      <c r="S1619" s="497"/>
      <c r="T1619" s="503"/>
    </row>
    <row r="1620" spans="1:20" x14ac:dyDescent="0.35">
      <c r="A1620" s="497" t="b">
        <f t="shared" ref="A1620:A1659" ca="1" si="210">IF(OR(I1620&lt;&gt;"",J1620&lt;&gt;"",K1620&lt;&gt;"",L1620&lt;&gt;""),TRUE,FALSE)</f>
        <v>0</v>
      </c>
      <c r="B1620" s="497">
        <f t="shared" si="206"/>
        <v>321</v>
      </c>
      <c r="C1620" s="519" t="str">
        <f t="shared" ref="C1620:C1659" ca="1" si="211">M1620</f>
        <v>a173p00000CH4HKAA1</v>
      </c>
      <c r="D1620" s="497"/>
      <c r="E1620" s="497">
        <f t="shared" ca="1" si="207"/>
        <v>3</v>
      </c>
      <c r="F1620" s="516">
        <f ca="1">IF(COUNTA(D$938:D1620)=1,"",OFFSET(F1618,-COUNTA(D$938:D1620)+3,0))</f>
        <v>54</v>
      </c>
      <c r="G1620" s="503" t="str">
        <f t="shared" ref="G1620:G1659" ca="1" si="212">IFERROR(IF(INDIRECT("'Coverage Indicators - Section I'!G"&amp;$I684)=0,"",INDIRECT("'Coverage Indicators - Section I'!G"&amp;$I684)),"")</f>
        <v/>
      </c>
      <c r="H1620" s="497">
        <f t="shared" ca="1" si="208"/>
        <v>115</v>
      </c>
      <c r="I1620" s="500" t="str">
        <f t="shared" ref="I1620:I1659" ca="1" si="213">IFERROR(CHOOSE(E1620,IFERROR(IF(INDIRECT("'Coverage Indicators - Section D'!P"&amp;H1620)="","",INDIRECT("'Coverage Indicators - Section D'!P"&amp;H1620)*100),""),IFERROR(IF(INDIRECT("'Coverage Indicators - Section D'!S"&amp;H1620)="","",INDIRECT("'Coverage Indicators - Section D'!S"&amp;H1620)*100),""),IFERROR(IF(INDIRECT("'Coverage Indicators - Section D'!V"&amp;H1620)="","",INDIRECT("'Coverage Indicators - Section D'!V"&amp;H1620)*100),""),IFERROR(IF(INDIRECT("'Coverage Indicators - Section D'!Y"&amp;H1620)="","",INDIRECT("'Coverage Indicators - Section D'!Y"&amp;H1620)*100),""),IFERROR(IF(INDIRECT("'Coverage Indicators - Section D'!AB"&amp;H1620)="","",INDIRECT("'Coverage Indicators - Section D'!AB"&amp;H1620)*100),""),IFERROR(IF(INDIRECT("'Coverage Indicators - Section D'!AE"&amp;H1620)="","",INDIRECT("'Coverage Indicators - Section D'!AE"&amp;H1620)*100),""),IFERROR(IF(INDIRECT("'Coverage Indicators - SectionD'!AH"&amp;H1620)="","",INDIRECT("'CoverageIndicators-SectionD'!AH"&amp;H1620)*100),"")),"")</f>
        <v/>
      </c>
      <c r="J1620" s="512" t="str">
        <f t="shared" ref="J1620:J1659" ca="1" si="214">IFERROR(CHOOSE(E1620,IFERROR(IF(INDIRECT("'Coverage Indicators - Section D'!O"&amp;H1620+1)="","",INDIRECT("'Coverage Indicators - Section D'!O"&amp;H1620+1)),""),IFERROR(IF(INDIRECT("'Coverage Indicators - Section D'!R"&amp;H1620+1)="","",INDIRECT("'Coverage Indicators - Section D'!R"&amp;H1620+1)),""),IFERROR(IF(INDIRECT("'Coverage Indicators - Section D'!U"&amp;H1620+1)="","",INDIRECT("'Coverage Indicators - Section D'!U"&amp;H1620+1)),""),IFERROR(IF(INDIRECT("'Coverage Indicators - Section D'!X"&amp;H1620+1)="","",INDIRECT("'Coverage Indicators - Section D'!X"&amp;H1620+1)),""),IFERROR(IF(INDIRECT("'Coverage Indicators - Section D'!AA"&amp;H1620+1)="","",INDIRECT("'Coverage Indicators - Section D'!AA"&amp;H1620+1)),""),IFERROR(IF(INDIRECT("'Coverage Indicators - Section D'!AD"&amp;H1620+1)="","",INDIRECT("'Coverage Indicators - Section D'!AD"&amp;H1620+1)),""),IFERROR(IF(INDIRECT("'Coverage Indicators - Section D'!AG"&amp;H1620+1)="","",INDIRECT("'Coverage Indicators - Section D'!AG"&amp;H1620+1)),""),IFERROR(IF(INDIRECT("'Coverage Indicators - Section D'!AJ"&amp;H1620+1)="","",INDIRECT("'Coverage Indicators - Section D'!AJ"&amp;H1620+1)),"")),"")</f>
        <v/>
      </c>
      <c r="K1620" s="512" t="str">
        <f t="shared" ref="K1620:K1659" ca="1" si="215">IFERROR(CHOOSE(E1620,IFERROR(IF(INDIRECT("'Coverage Indicators - Section D'!O"&amp;H1620)="","",INDIRECT("'Coverage Indicators - Section D'!O"&amp;H1620)),""),IFERROR(IF(INDIRECT("'Coverage Indicators - Section D'!R"&amp;H1620)="","",INDIRECT("'Coverage Indicators - Section D'!R"&amp;H1620)),""),IFERROR(IF(INDIRECT("'Coverage Indicators - Section D'!U"&amp;H1620)="","",INDIRECT("'Coverage Indicators - Section D'!U"&amp;H1620)),""),IFERROR(IF(INDIRECT("'Coverage Indicators - Section D'!X"&amp;H1620)="","",INDIRECT("'Coverage Indicators - Section D'!X"&amp;H1620)),""),IFERROR(IF(INDIRECT("'Coverage Indicators - Section D'!AA"&amp;H1620)="","",INDIRECT("'Coverage Indicators - Section D'!AA"&amp;H1620)),""),IFERROR(IF(INDIRECT("'Coverage Indicators - Section D'!AD"&amp;H1620)="","",INDIRECT("'Coverage Indicators - Section D'!AD"&amp;H1620)),""),IFERROR(IF(INDIRECT("'Coverage Indicators - Section D'!AG"&amp;H1620)="","",INDIRECT("'Coverage Indicators - Section D'!AG"&amp;H1620)),""),IFERROR(IF(INDIRECT("'Coverage Indicators - Section D'!AJ"&amp;H1620)="","",INDIRECT("'Coverage Indicators - Section D'!AJ"&amp;H1620)),"")),"")</f>
        <v/>
      </c>
      <c r="L1620" s="503" t="str">
        <f t="shared" ref="L1620:L1659" ca="1" si="216">IF(IFERROR(CHOOSE(E1620,IFERROR(IF(INDIRECT("'Coverage Indicators - Section D'!Q"&amp;H1620)=0,"",INDIRECT("'Coverage Indicators - Section D'!Q"&amp;H1620)),""),IFERROR(IF(INDIRECT("'Coverage Indicators - Section D'!T"&amp;H1620)=0,"",INDIRECT("'Coverage Indicators - Section D'!T"&amp;H1620)),""),IFERROR(IF(INDIRECT("'Coverage Indicators - Section D'!W"&amp;H1620)=0,"",INDIRECT("'Coverage Indicators - Section D'!W"&amp;H1620)),""),IFERROR(IF(INDIRECT("'Coverage Indicators - Section D'!Z"&amp;H1620)=0,"",INDIRECT("'Coverage Indicators - Section D'!Z"&amp;H1620)),""),IFERROR(IF(INDIRECT("'Coverage Indicators - Section D'!AC"&amp;H1620)=0,"",INDIRECT("'Coverage Indicators - Section D'!AC"&amp;H1620)),""),IFERROR(IF(INDIRECT("'Coverage Indicators - Section D'!AF"&amp;H1620)=0,"",INDIRECT("'Coverage Indicators - Section D'!AF"&amp;H1620)),""),IFERROR(IF(INDIRECT("'Coverage Indicators - Section D'!AI"&amp;H1620)=0,"",INDIRECT("'Coverage Indicators - Section D'!AI"&amp;H1620)),""),IFERROR(IF(INDIRECT("'Coverage Indicators - Section D'!AL"&amp;H1620)=0,"",INDIRECT("'Coverage Indicators - Section D'!AL"&amp;H1620)),"")),"")=0,"",CHOOSE(E1620,IFERROR(IF(INDIRECT("'Coverage Indicators - Section D'!Q"&amp;H1620)=0,"",INDIRECT("'Coverage Indicators - Section D'!Q"&amp;H1620)),""),IFERROR(IF(INDIRECT("'Coverage Indicators - Section D'!T"&amp;H1620)=0,"",INDIRECT("'Coverage Indicators - Section D'!T"&amp;H1620)),""),IFERROR(IF(INDIRECT("'Coverage Indicators - Section D'!W"&amp;H1620)=0,"",INDIRECT("'Coverage Indicators - Section D'!W"&amp;H1620)),""),IFERROR(IF(INDIRECT("'Coverage Indicators - Section D'!Z"&amp;H1620)=0,"",INDIRECT("'Coverage Indicators - Section D'!Z"&amp;H1620)),""),IFERROR(IF(INDIRECT("'Coverage Indicators - Section D'!AC"&amp;H1620)=0,"",INDIRECT("'Coverage Indicators - Section D'!AC"&amp;H1620)),""),IFERROR(IF(INDIRECT("'Coverage Indicators - Section D'!AF"&amp;H1620)=0,"",INDIRECT("'Coverage Indicators - Section D'!AF"&amp;H1620)),""),IFERROR(IF(INDIRECT("'Coverage Indicators - Section D'!AI"&amp;H1620)=0,"",INDIRECT("'Coverage Indicators - Section D'!AI"&amp;H1620)),""),IFERROR(IF(INDIRECT("'Coverage Indicators - Section D'!AL"&amp;H1620)=0,"",INDIRECT("'Coverage Indicators - Section D'!AL"&amp;H1620)),"")))</f>
        <v/>
      </c>
      <c r="M1620" s="515" t="str">
        <f ca="1">IFERROR(IF(COUNTIF($B$937:$B1619,"&lt;0")&lt;&gt;1,OFFSET($C1618,-COUNTIF($B$937:$B1619,"&lt;0")+3,0),""),"")</f>
        <v>a173p00000CH4HKAA1</v>
      </c>
      <c r="N1620" s="515">
        <f ca="1">IFERROR(IF(COUNTA($D$937:D1619)=1,0,OFFSET($F1618,-COUNTA($D$937:D1619)+3,0)),"")</f>
        <v>54</v>
      </c>
      <c r="O1620" s="497"/>
      <c r="P1620" s="497">
        <f t="shared" si="209"/>
        <v>0</v>
      </c>
      <c r="Q1620" s="497"/>
      <c r="R1620" s="497"/>
      <c r="S1620" s="497"/>
      <c r="T1620" s="503"/>
    </row>
    <row r="1621" spans="1:20" x14ac:dyDescent="0.35">
      <c r="A1621" s="497" t="b">
        <f t="shared" ca="1" si="210"/>
        <v>0</v>
      </c>
      <c r="B1621" s="497">
        <f t="shared" si="206"/>
        <v>322</v>
      </c>
      <c r="C1621" s="519" t="str">
        <f t="shared" ca="1" si="211"/>
        <v>a173p00000CH4IIAA1</v>
      </c>
      <c r="D1621" s="497"/>
      <c r="E1621" s="497">
        <f t="shared" ca="1" si="207"/>
        <v>4</v>
      </c>
      <c r="F1621" s="516">
        <f ca="1">IF(COUNTA(D$938:D1621)=1,"",OFFSET(F1619,-COUNTA(D$938:D1621)+3,0))</f>
        <v>54</v>
      </c>
      <c r="G1621" s="503" t="str">
        <f t="shared" ca="1" si="212"/>
        <v/>
      </c>
      <c r="H1621" s="497">
        <f t="shared" ca="1" si="208"/>
        <v>115</v>
      </c>
      <c r="I1621" s="500" t="str">
        <f t="shared" ca="1" si="213"/>
        <v/>
      </c>
      <c r="J1621" s="512" t="str">
        <f t="shared" ca="1" si="214"/>
        <v/>
      </c>
      <c r="K1621" s="512" t="str">
        <f t="shared" ca="1" si="215"/>
        <v/>
      </c>
      <c r="L1621" s="503" t="str">
        <f t="shared" ca="1" si="216"/>
        <v/>
      </c>
      <c r="M1621" s="515" t="str">
        <f ca="1">IFERROR(IF(COUNTIF($B$937:$B1620,"&lt;0")&lt;&gt;1,OFFSET($C1619,-COUNTIF($B$937:$B1620,"&lt;0")+3,0),""),"")</f>
        <v>a173p00000CH4IIAA1</v>
      </c>
      <c r="N1621" s="515">
        <f ca="1">IFERROR(IF(COUNTA($D$937:D1620)=1,0,OFFSET($F1619,-COUNTA($D$937:D1620)+3,0)),"")</f>
        <v>54</v>
      </c>
      <c r="O1621" s="497"/>
      <c r="P1621" s="497">
        <f t="shared" si="209"/>
        <v>0</v>
      </c>
      <c r="Q1621" s="497"/>
      <c r="R1621" s="497"/>
      <c r="S1621" s="497"/>
      <c r="T1621" s="503"/>
    </row>
    <row r="1622" spans="1:20" x14ac:dyDescent="0.35">
      <c r="A1622" s="497" t="b">
        <f t="shared" ca="1" si="210"/>
        <v>0</v>
      </c>
      <c r="B1622" s="497">
        <f t="shared" si="206"/>
        <v>323</v>
      </c>
      <c r="C1622" s="519" t="str">
        <f t="shared" ca="1" si="211"/>
        <v>a173p00000CH4JGAA1</v>
      </c>
      <c r="D1622" s="497"/>
      <c r="E1622" s="497">
        <f t="shared" ca="1" si="207"/>
        <v>5</v>
      </c>
      <c r="F1622" s="516">
        <f ca="1">IF(COUNTA(D$938:D1622)=1,"",OFFSET(F1620,-COUNTA(D$938:D1622)+3,0))</f>
        <v>54</v>
      </c>
      <c r="G1622" s="503" t="str">
        <f t="shared" ca="1" si="212"/>
        <v/>
      </c>
      <c r="H1622" s="497">
        <f t="shared" ca="1" si="208"/>
        <v>115</v>
      </c>
      <c r="I1622" s="500" t="str">
        <f t="shared" ca="1" si="213"/>
        <v/>
      </c>
      <c r="J1622" s="512" t="str">
        <f t="shared" ca="1" si="214"/>
        <v/>
      </c>
      <c r="K1622" s="512" t="str">
        <f t="shared" ca="1" si="215"/>
        <v/>
      </c>
      <c r="L1622" s="503" t="str">
        <f t="shared" ca="1" si="216"/>
        <v/>
      </c>
      <c r="M1622" s="515" t="str">
        <f ca="1">IFERROR(IF(COUNTIF($B$937:$B1621,"&lt;0")&lt;&gt;1,OFFSET($C1620,-COUNTIF($B$937:$B1621,"&lt;0")+3,0),""),"")</f>
        <v>a173p00000CH4JGAA1</v>
      </c>
      <c r="N1622" s="515">
        <f ca="1">IFERROR(IF(COUNTA($D$937:D1621)=1,0,OFFSET($F1620,-COUNTA($D$937:D1621)+3,0)),"")</f>
        <v>54</v>
      </c>
      <c r="O1622" s="497"/>
      <c r="P1622" s="497">
        <f t="shared" si="209"/>
        <v>0</v>
      </c>
      <c r="Q1622" s="497"/>
      <c r="R1622" s="497"/>
      <c r="S1622" s="497"/>
      <c r="T1622" s="503"/>
    </row>
    <row r="1623" spans="1:20" x14ac:dyDescent="0.35">
      <c r="A1623" s="497" t="b">
        <f t="shared" ca="1" si="210"/>
        <v>0</v>
      </c>
      <c r="B1623" s="497">
        <f t="shared" si="206"/>
        <v>324</v>
      </c>
      <c r="C1623" s="519" t="str">
        <f t="shared" ca="1" si="211"/>
        <v>a173p00000CH4KEAA1</v>
      </c>
      <c r="D1623" s="497"/>
      <c r="E1623" s="497">
        <f t="shared" ca="1" si="207"/>
        <v>6</v>
      </c>
      <c r="F1623" s="516">
        <f ca="1">IF(COUNTA(D$938:D1623)=1,"",OFFSET(F1621,-COUNTA(D$938:D1623)+3,0))</f>
        <v>54</v>
      </c>
      <c r="G1623" s="503" t="str">
        <f t="shared" ca="1" si="212"/>
        <v/>
      </c>
      <c r="H1623" s="497">
        <f t="shared" ca="1" si="208"/>
        <v>115</v>
      </c>
      <c r="I1623" s="500" t="str">
        <f t="shared" ca="1" si="213"/>
        <v/>
      </c>
      <c r="J1623" s="512" t="str">
        <f t="shared" ca="1" si="214"/>
        <v/>
      </c>
      <c r="K1623" s="512" t="str">
        <f t="shared" ca="1" si="215"/>
        <v/>
      </c>
      <c r="L1623" s="503" t="str">
        <f t="shared" ca="1" si="216"/>
        <v/>
      </c>
      <c r="M1623" s="515" t="str">
        <f ca="1">IFERROR(IF(COUNTIF($B$937:$B1622,"&lt;0")&lt;&gt;1,OFFSET($C1621,-COUNTIF($B$937:$B1622,"&lt;0")+3,0),""),"")</f>
        <v>a173p00000CH4KEAA1</v>
      </c>
      <c r="N1623" s="515">
        <f ca="1">IFERROR(IF(COUNTA($D$937:D1622)=1,0,OFFSET($F1621,-COUNTA($D$937:D1622)+3,0)),"")</f>
        <v>54</v>
      </c>
      <c r="O1623" s="497"/>
      <c r="P1623" s="497">
        <f t="shared" si="209"/>
        <v>0</v>
      </c>
      <c r="Q1623" s="497"/>
      <c r="R1623" s="497"/>
      <c r="S1623" s="497"/>
      <c r="T1623" s="503"/>
    </row>
    <row r="1624" spans="1:20" x14ac:dyDescent="0.35">
      <c r="A1624" s="497" t="b">
        <f t="shared" ca="1" si="210"/>
        <v>0</v>
      </c>
      <c r="B1624" s="497">
        <f t="shared" si="206"/>
        <v>325</v>
      </c>
      <c r="C1624" s="519" t="str">
        <f t="shared" ca="1" si="211"/>
        <v>a173p00000CH4FPAA1</v>
      </c>
      <c r="D1624" s="497"/>
      <c r="E1624" s="497">
        <f t="shared" ca="1" si="207"/>
        <v>1</v>
      </c>
      <c r="F1624" s="516">
        <f ca="1">IF(COUNTA(D$938:D1624)=1,"",OFFSET(F1622,-COUNTA(D$938:D1624)+3,0))</f>
        <v>55</v>
      </c>
      <c r="G1624" s="503" t="str">
        <f t="shared" ca="1" si="212"/>
        <v/>
      </c>
      <c r="H1624" s="497">
        <f t="shared" ca="1" si="208"/>
        <v>117</v>
      </c>
      <c r="I1624" s="500" t="str">
        <f t="shared" ca="1" si="213"/>
        <v/>
      </c>
      <c r="J1624" s="512" t="str">
        <f t="shared" ca="1" si="214"/>
        <v/>
      </c>
      <c r="K1624" s="512" t="str">
        <f t="shared" ca="1" si="215"/>
        <v/>
      </c>
      <c r="L1624" s="503" t="str">
        <f t="shared" ca="1" si="216"/>
        <v/>
      </c>
      <c r="M1624" s="515" t="str">
        <f ca="1">IFERROR(IF(COUNTIF($B$937:$B1623,"&lt;0")&lt;&gt;1,OFFSET($C1622,-COUNTIF($B$937:$B1623,"&lt;0")+3,0),""),"")</f>
        <v>a173p00000CH4FPAA1</v>
      </c>
      <c r="N1624" s="515">
        <f ca="1">IFERROR(IF(COUNTA($D$937:D1623)=1,0,OFFSET($F1622,-COUNTA($D$937:D1623)+3,0)),"")</f>
        <v>55</v>
      </c>
      <c r="O1624" s="497"/>
      <c r="P1624" s="497">
        <f t="shared" si="209"/>
        <v>0</v>
      </c>
      <c r="Q1624" s="497"/>
      <c r="R1624" s="497"/>
      <c r="S1624" s="497"/>
      <c r="T1624" s="503"/>
    </row>
    <row r="1625" spans="1:20" x14ac:dyDescent="0.35">
      <c r="A1625" s="497" t="b">
        <f t="shared" ca="1" si="210"/>
        <v>0</v>
      </c>
      <c r="B1625" s="497">
        <f t="shared" si="206"/>
        <v>326</v>
      </c>
      <c r="C1625" s="519" t="str">
        <f t="shared" ca="1" si="211"/>
        <v>a173p00000CH4GNAA1</v>
      </c>
      <c r="D1625" s="497"/>
      <c r="E1625" s="497">
        <f t="shared" ca="1" si="207"/>
        <v>2</v>
      </c>
      <c r="F1625" s="516">
        <f ca="1">IF(COUNTA(D$938:D1625)=1,"",OFFSET(F1623,-COUNTA(D$938:D1625)+3,0))</f>
        <v>55</v>
      </c>
      <c r="G1625" s="503" t="str">
        <f t="shared" ca="1" si="212"/>
        <v/>
      </c>
      <c r="H1625" s="497">
        <f t="shared" ca="1" si="208"/>
        <v>117</v>
      </c>
      <c r="I1625" s="500" t="str">
        <f t="shared" ca="1" si="213"/>
        <v/>
      </c>
      <c r="J1625" s="512" t="str">
        <f t="shared" ca="1" si="214"/>
        <v/>
      </c>
      <c r="K1625" s="512" t="str">
        <f t="shared" ca="1" si="215"/>
        <v/>
      </c>
      <c r="L1625" s="503" t="str">
        <f t="shared" ca="1" si="216"/>
        <v/>
      </c>
      <c r="M1625" s="515" t="str">
        <f ca="1">IFERROR(IF(COUNTIF($B$937:$B1624,"&lt;0")&lt;&gt;1,OFFSET($C1623,-COUNTIF($B$937:$B1624,"&lt;0")+3,0),""),"")</f>
        <v>a173p00000CH4GNAA1</v>
      </c>
      <c r="N1625" s="515">
        <f ca="1">IFERROR(IF(COUNTA($D$937:D1624)=1,0,OFFSET($F1623,-COUNTA($D$937:D1624)+3,0)),"")</f>
        <v>55</v>
      </c>
      <c r="O1625" s="497"/>
      <c r="P1625" s="497">
        <f t="shared" si="209"/>
        <v>0</v>
      </c>
      <c r="Q1625" s="497"/>
      <c r="R1625" s="497"/>
      <c r="S1625" s="497"/>
      <c r="T1625" s="503"/>
    </row>
    <row r="1626" spans="1:20" x14ac:dyDescent="0.35">
      <c r="A1626" s="497" t="b">
        <f t="shared" ca="1" si="210"/>
        <v>0</v>
      </c>
      <c r="B1626" s="497">
        <f t="shared" si="206"/>
        <v>327</v>
      </c>
      <c r="C1626" s="519" t="str">
        <f t="shared" ca="1" si="211"/>
        <v>a173p00000CH4HLAA1</v>
      </c>
      <c r="D1626" s="497"/>
      <c r="E1626" s="497">
        <f t="shared" ca="1" si="207"/>
        <v>3</v>
      </c>
      <c r="F1626" s="516">
        <f ca="1">IF(COUNTA(D$938:D1626)=1,"",OFFSET(F1624,-COUNTA(D$938:D1626)+3,0))</f>
        <v>55</v>
      </c>
      <c r="G1626" s="503" t="str">
        <f t="shared" ca="1" si="212"/>
        <v/>
      </c>
      <c r="H1626" s="497">
        <f t="shared" ca="1" si="208"/>
        <v>117</v>
      </c>
      <c r="I1626" s="500" t="str">
        <f t="shared" ca="1" si="213"/>
        <v/>
      </c>
      <c r="J1626" s="512" t="str">
        <f t="shared" ca="1" si="214"/>
        <v/>
      </c>
      <c r="K1626" s="512" t="str">
        <f t="shared" ca="1" si="215"/>
        <v/>
      </c>
      <c r="L1626" s="503" t="str">
        <f t="shared" ca="1" si="216"/>
        <v/>
      </c>
      <c r="M1626" s="515" t="str">
        <f ca="1">IFERROR(IF(COUNTIF($B$937:$B1625,"&lt;0")&lt;&gt;1,OFFSET($C1624,-COUNTIF($B$937:$B1625,"&lt;0")+3,0),""),"")</f>
        <v>a173p00000CH4HLAA1</v>
      </c>
      <c r="N1626" s="515">
        <f ca="1">IFERROR(IF(COUNTA($D$937:D1625)=1,0,OFFSET($F1624,-COUNTA($D$937:D1625)+3,0)),"")</f>
        <v>55</v>
      </c>
      <c r="O1626" s="497"/>
      <c r="P1626" s="497">
        <f t="shared" si="209"/>
        <v>0</v>
      </c>
      <c r="Q1626" s="497"/>
      <c r="R1626" s="497"/>
      <c r="S1626" s="497"/>
      <c r="T1626" s="503"/>
    </row>
    <row r="1627" spans="1:20" x14ac:dyDescent="0.35">
      <c r="A1627" s="497" t="b">
        <f t="shared" ca="1" si="210"/>
        <v>0</v>
      </c>
      <c r="B1627" s="497">
        <f t="shared" si="206"/>
        <v>328</v>
      </c>
      <c r="C1627" s="519" t="str">
        <f t="shared" ca="1" si="211"/>
        <v>a173p00000CH4IJAA1</v>
      </c>
      <c r="D1627" s="497"/>
      <c r="E1627" s="497">
        <f t="shared" ca="1" si="207"/>
        <v>4</v>
      </c>
      <c r="F1627" s="516">
        <f ca="1">IF(COUNTA(D$938:D1627)=1,"",OFFSET(F1625,-COUNTA(D$938:D1627)+3,0))</f>
        <v>55</v>
      </c>
      <c r="G1627" s="503" t="str">
        <f t="shared" ca="1" si="212"/>
        <v/>
      </c>
      <c r="H1627" s="497">
        <f t="shared" ca="1" si="208"/>
        <v>117</v>
      </c>
      <c r="I1627" s="500" t="str">
        <f t="shared" ca="1" si="213"/>
        <v/>
      </c>
      <c r="J1627" s="512" t="str">
        <f t="shared" ca="1" si="214"/>
        <v/>
      </c>
      <c r="K1627" s="512" t="str">
        <f t="shared" ca="1" si="215"/>
        <v/>
      </c>
      <c r="L1627" s="503" t="str">
        <f t="shared" ca="1" si="216"/>
        <v/>
      </c>
      <c r="M1627" s="515" t="str">
        <f ca="1">IFERROR(IF(COUNTIF($B$937:$B1626,"&lt;0")&lt;&gt;1,OFFSET($C1625,-COUNTIF($B$937:$B1626,"&lt;0")+3,0),""),"")</f>
        <v>a173p00000CH4IJAA1</v>
      </c>
      <c r="N1627" s="515">
        <f ca="1">IFERROR(IF(COUNTA($D$937:D1626)=1,0,OFFSET($F1625,-COUNTA($D$937:D1626)+3,0)),"")</f>
        <v>55</v>
      </c>
      <c r="O1627" s="497"/>
      <c r="P1627" s="497">
        <f t="shared" si="209"/>
        <v>0</v>
      </c>
      <c r="Q1627" s="497"/>
      <c r="R1627" s="497"/>
      <c r="S1627" s="497"/>
      <c r="T1627" s="503"/>
    </row>
    <row r="1628" spans="1:20" x14ac:dyDescent="0.35">
      <c r="A1628" s="497" t="b">
        <f t="shared" ca="1" si="210"/>
        <v>0</v>
      </c>
      <c r="B1628" s="497">
        <f t="shared" si="206"/>
        <v>329</v>
      </c>
      <c r="C1628" s="519" t="str">
        <f t="shared" ca="1" si="211"/>
        <v>a173p00000CH4JHAA1</v>
      </c>
      <c r="D1628" s="497"/>
      <c r="E1628" s="497">
        <f t="shared" ca="1" si="207"/>
        <v>5</v>
      </c>
      <c r="F1628" s="516">
        <f ca="1">IF(COUNTA(D$938:D1628)=1,"",OFFSET(F1626,-COUNTA(D$938:D1628)+3,0))</f>
        <v>55</v>
      </c>
      <c r="G1628" s="503" t="str">
        <f t="shared" ca="1" si="212"/>
        <v/>
      </c>
      <c r="H1628" s="497">
        <f t="shared" ca="1" si="208"/>
        <v>117</v>
      </c>
      <c r="I1628" s="500" t="str">
        <f t="shared" ca="1" si="213"/>
        <v/>
      </c>
      <c r="J1628" s="512" t="str">
        <f t="shared" ca="1" si="214"/>
        <v/>
      </c>
      <c r="K1628" s="512" t="str">
        <f t="shared" ca="1" si="215"/>
        <v/>
      </c>
      <c r="L1628" s="503" t="str">
        <f t="shared" ca="1" si="216"/>
        <v/>
      </c>
      <c r="M1628" s="515" t="str">
        <f ca="1">IFERROR(IF(COUNTIF($B$937:$B1627,"&lt;0")&lt;&gt;1,OFFSET($C1626,-COUNTIF($B$937:$B1627,"&lt;0")+3,0),""),"")</f>
        <v>a173p00000CH4JHAA1</v>
      </c>
      <c r="N1628" s="515">
        <f ca="1">IFERROR(IF(COUNTA($D$937:D1627)=1,0,OFFSET($F1626,-COUNTA($D$937:D1627)+3,0)),"")</f>
        <v>55</v>
      </c>
      <c r="O1628" s="497"/>
      <c r="P1628" s="497">
        <f t="shared" si="209"/>
        <v>0</v>
      </c>
      <c r="Q1628" s="497"/>
      <c r="R1628" s="497"/>
      <c r="S1628" s="497"/>
      <c r="T1628" s="503"/>
    </row>
    <row r="1629" spans="1:20" x14ac:dyDescent="0.35">
      <c r="A1629" s="497" t="b">
        <f t="shared" ca="1" si="210"/>
        <v>0</v>
      </c>
      <c r="B1629" s="497">
        <f t="shared" si="206"/>
        <v>330</v>
      </c>
      <c r="C1629" s="519" t="str">
        <f t="shared" ca="1" si="211"/>
        <v>a173p00000CH4KFAA1</v>
      </c>
      <c r="D1629" s="497"/>
      <c r="E1629" s="497">
        <f t="shared" ca="1" si="207"/>
        <v>6</v>
      </c>
      <c r="F1629" s="516">
        <f ca="1">IF(COUNTA(D$938:D1629)=1,"",OFFSET(F1627,-COUNTA(D$938:D1629)+3,0))</f>
        <v>55</v>
      </c>
      <c r="G1629" s="503" t="str">
        <f t="shared" ca="1" si="212"/>
        <v/>
      </c>
      <c r="H1629" s="497">
        <f t="shared" ca="1" si="208"/>
        <v>117</v>
      </c>
      <c r="I1629" s="500" t="str">
        <f t="shared" ca="1" si="213"/>
        <v/>
      </c>
      <c r="J1629" s="512" t="str">
        <f t="shared" ca="1" si="214"/>
        <v/>
      </c>
      <c r="K1629" s="512" t="str">
        <f t="shared" ca="1" si="215"/>
        <v/>
      </c>
      <c r="L1629" s="503" t="str">
        <f t="shared" ca="1" si="216"/>
        <v/>
      </c>
      <c r="M1629" s="515" t="str">
        <f ca="1">IFERROR(IF(COUNTIF($B$937:$B1628,"&lt;0")&lt;&gt;1,OFFSET($C1627,-COUNTIF($B$937:$B1628,"&lt;0")+3,0),""),"")</f>
        <v>a173p00000CH4KFAA1</v>
      </c>
      <c r="N1629" s="515">
        <f ca="1">IFERROR(IF(COUNTA($D$937:D1628)=1,0,OFFSET($F1627,-COUNTA($D$937:D1628)+3,0)),"")</f>
        <v>55</v>
      </c>
      <c r="O1629" s="497"/>
      <c r="P1629" s="497">
        <f t="shared" si="209"/>
        <v>0</v>
      </c>
      <c r="Q1629" s="497"/>
      <c r="R1629" s="497"/>
      <c r="S1629" s="497"/>
      <c r="T1629" s="503"/>
    </row>
    <row r="1630" spans="1:20" x14ac:dyDescent="0.35">
      <c r="A1630" s="497" t="b">
        <f t="shared" ca="1" si="210"/>
        <v>0</v>
      </c>
      <c r="B1630" s="497">
        <f t="shared" si="206"/>
        <v>331</v>
      </c>
      <c r="C1630" s="519" t="str">
        <f t="shared" ca="1" si="211"/>
        <v>a173p00000CH4FQAA1</v>
      </c>
      <c r="D1630" s="497"/>
      <c r="E1630" s="497">
        <f t="shared" ca="1" si="207"/>
        <v>1</v>
      </c>
      <c r="F1630" s="516">
        <f ca="1">IF(COUNTA(D$938:D1630)=1,"",OFFSET(F1628,-COUNTA(D$938:D1630)+3,0))</f>
        <v>56</v>
      </c>
      <c r="G1630" s="503" t="str">
        <f t="shared" ca="1" si="212"/>
        <v/>
      </c>
      <c r="H1630" s="497">
        <f t="shared" ca="1" si="208"/>
        <v>119</v>
      </c>
      <c r="I1630" s="500" t="str">
        <f t="shared" ca="1" si="213"/>
        <v/>
      </c>
      <c r="J1630" s="512" t="str">
        <f t="shared" ca="1" si="214"/>
        <v/>
      </c>
      <c r="K1630" s="512" t="str">
        <f t="shared" ca="1" si="215"/>
        <v/>
      </c>
      <c r="L1630" s="503" t="str">
        <f t="shared" ca="1" si="216"/>
        <v/>
      </c>
      <c r="M1630" s="515" t="str">
        <f ca="1">IFERROR(IF(COUNTIF($B$937:$B1629,"&lt;0")&lt;&gt;1,OFFSET($C1628,-COUNTIF($B$937:$B1629,"&lt;0")+3,0),""),"")</f>
        <v>a173p00000CH4FQAA1</v>
      </c>
      <c r="N1630" s="515">
        <f ca="1">IFERROR(IF(COUNTA($D$937:D1629)=1,0,OFFSET($F1628,-COUNTA($D$937:D1629)+3,0)),"")</f>
        <v>56</v>
      </c>
      <c r="O1630" s="497"/>
      <c r="P1630" s="497">
        <f t="shared" si="209"/>
        <v>0</v>
      </c>
      <c r="Q1630" s="497"/>
      <c r="R1630" s="497"/>
      <c r="S1630" s="497"/>
      <c r="T1630" s="503"/>
    </row>
    <row r="1631" spans="1:20" x14ac:dyDescent="0.35">
      <c r="A1631" s="497" t="b">
        <f t="shared" ca="1" si="210"/>
        <v>0</v>
      </c>
      <c r="B1631" s="497">
        <f t="shared" si="206"/>
        <v>332</v>
      </c>
      <c r="C1631" s="519" t="str">
        <f t="shared" ca="1" si="211"/>
        <v>a173p00000CH4GOAA1</v>
      </c>
      <c r="D1631" s="497"/>
      <c r="E1631" s="497">
        <f t="shared" ca="1" si="207"/>
        <v>2</v>
      </c>
      <c r="F1631" s="516">
        <f ca="1">IF(COUNTA(D$938:D1631)=1,"",OFFSET(F1629,-COUNTA(D$938:D1631)+3,0))</f>
        <v>56</v>
      </c>
      <c r="G1631" s="503" t="str">
        <f t="shared" ca="1" si="212"/>
        <v/>
      </c>
      <c r="H1631" s="497">
        <f t="shared" ca="1" si="208"/>
        <v>119</v>
      </c>
      <c r="I1631" s="500" t="str">
        <f t="shared" ca="1" si="213"/>
        <v/>
      </c>
      <c r="J1631" s="512" t="str">
        <f t="shared" ca="1" si="214"/>
        <v/>
      </c>
      <c r="K1631" s="512" t="str">
        <f t="shared" ca="1" si="215"/>
        <v/>
      </c>
      <c r="L1631" s="503" t="str">
        <f t="shared" ca="1" si="216"/>
        <v/>
      </c>
      <c r="M1631" s="515" t="str">
        <f ca="1">IFERROR(IF(COUNTIF($B$937:$B1630,"&lt;0")&lt;&gt;1,OFFSET($C1629,-COUNTIF($B$937:$B1630,"&lt;0")+3,0),""),"")</f>
        <v>a173p00000CH4GOAA1</v>
      </c>
      <c r="N1631" s="515">
        <f ca="1">IFERROR(IF(COUNTA($D$937:D1630)=1,0,OFFSET($F1629,-COUNTA($D$937:D1630)+3,0)),"")</f>
        <v>56</v>
      </c>
      <c r="O1631" s="497"/>
      <c r="P1631" s="497">
        <f t="shared" si="209"/>
        <v>0</v>
      </c>
      <c r="Q1631" s="497"/>
      <c r="R1631" s="497"/>
      <c r="S1631" s="497"/>
      <c r="T1631" s="503"/>
    </row>
    <row r="1632" spans="1:20" x14ac:dyDescent="0.35">
      <c r="A1632" s="497" t="b">
        <f t="shared" ca="1" si="210"/>
        <v>0</v>
      </c>
      <c r="B1632" s="497">
        <f t="shared" si="206"/>
        <v>333</v>
      </c>
      <c r="C1632" s="519" t="str">
        <f t="shared" ca="1" si="211"/>
        <v>a173p00000CH4HMAA1</v>
      </c>
      <c r="D1632" s="497"/>
      <c r="E1632" s="497">
        <f t="shared" ca="1" si="207"/>
        <v>3</v>
      </c>
      <c r="F1632" s="516">
        <f ca="1">IF(COUNTA(D$938:D1632)=1,"",OFFSET(F1630,-COUNTA(D$938:D1632)+3,0))</f>
        <v>56</v>
      </c>
      <c r="G1632" s="503" t="str">
        <f t="shared" ca="1" si="212"/>
        <v/>
      </c>
      <c r="H1632" s="497">
        <f t="shared" ca="1" si="208"/>
        <v>119</v>
      </c>
      <c r="I1632" s="500" t="str">
        <f t="shared" ca="1" si="213"/>
        <v/>
      </c>
      <c r="J1632" s="512" t="str">
        <f t="shared" ca="1" si="214"/>
        <v/>
      </c>
      <c r="K1632" s="512" t="str">
        <f t="shared" ca="1" si="215"/>
        <v/>
      </c>
      <c r="L1632" s="503" t="str">
        <f t="shared" ca="1" si="216"/>
        <v/>
      </c>
      <c r="M1632" s="515" t="str">
        <f ca="1">IFERROR(IF(COUNTIF($B$937:$B1631,"&lt;0")&lt;&gt;1,OFFSET($C1630,-COUNTIF($B$937:$B1631,"&lt;0")+3,0),""),"")</f>
        <v>a173p00000CH4HMAA1</v>
      </c>
      <c r="N1632" s="515">
        <f ca="1">IFERROR(IF(COUNTA($D$937:D1631)=1,0,OFFSET($F1630,-COUNTA($D$937:D1631)+3,0)),"")</f>
        <v>56</v>
      </c>
      <c r="O1632" s="497"/>
      <c r="P1632" s="497">
        <f t="shared" si="209"/>
        <v>0</v>
      </c>
      <c r="Q1632" s="497"/>
      <c r="R1632" s="497"/>
      <c r="S1632" s="497"/>
      <c r="T1632" s="503"/>
    </row>
    <row r="1633" spans="1:20" x14ac:dyDescent="0.35">
      <c r="A1633" s="497" t="b">
        <f t="shared" ca="1" si="210"/>
        <v>0</v>
      </c>
      <c r="B1633" s="497">
        <f t="shared" si="206"/>
        <v>334</v>
      </c>
      <c r="C1633" s="519" t="str">
        <f t="shared" ca="1" si="211"/>
        <v>a173p00000CH4IKAA1</v>
      </c>
      <c r="D1633" s="497"/>
      <c r="E1633" s="497">
        <f t="shared" ca="1" si="207"/>
        <v>4</v>
      </c>
      <c r="F1633" s="516">
        <f ca="1">IF(COUNTA(D$938:D1633)=1,"",OFFSET(F1631,-COUNTA(D$938:D1633)+3,0))</f>
        <v>56</v>
      </c>
      <c r="G1633" s="503" t="str">
        <f t="shared" ca="1" si="212"/>
        <v/>
      </c>
      <c r="H1633" s="497">
        <f t="shared" ca="1" si="208"/>
        <v>119</v>
      </c>
      <c r="I1633" s="500" t="str">
        <f t="shared" ca="1" si="213"/>
        <v/>
      </c>
      <c r="J1633" s="512" t="str">
        <f t="shared" ca="1" si="214"/>
        <v/>
      </c>
      <c r="K1633" s="512" t="str">
        <f t="shared" ca="1" si="215"/>
        <v/>
      </c>
      <c r="L1633" s="503" t="str">
        <f t="shared" ca="1" si="216"/>
        <v/>
      </c>
      <c r="M1633" s="515" t="str">
        <f ca="1">IFERROR(IF(COUNTIF($B$937:$B1632,"&lt;0")&lt;&gt;1,OFFSET($C1631,-COUNTIF($B$937:$B1632,"&lt;0")+3,0),""),"")</f>
        <v>a173p00000CH4IKAA1</v>
      </c>
      <c r="N1633" s="515">
        <f ca="1">IFERROR(IF(COUNTA($D$937:D1632)=1,0,OFFSET($F1631,-COUNTA($D$937:D1632)+3,0)),"")</f>
        <v>56</v>
      </c>
      <c r="O1633" s="497"/>
      <c r="P1633" s="497">
        <f t="shared" si="209"/>
        <v>0</v>
      </c>
      <c r="Q1633" s="497"/>
      <c r="R1633" s="497"/>
      <c r="S1633" s="497"/>
      <c r="T1633" s="503"/>
    </row>
    <row r="1634" spans="1:20" x14ac:dyDescent="0.35">
      <c r="A1634" s="497" t="b">
        <f t="shared" ca="1" si="210"/>
        <v>0</v>
      </c>
      <c r="B1634" s="497">
        <f t="shared" si="206"/>
        <v>335</v>
      </c>
      <c r="C1634" s="519" t="str">
        <f t="shared" ca="1" si="211"/>
        <v>a173p00000CH4JIAA1</v>
      </c>
      <c r="D1634" s="497"/>
      <c r="E1634" s="497">
        <f t="shared" ca="1" si="207"/>
        <v>5</v>
      </c>
      <c r="F1634" s="516">
        <f ca="1">IF(COUNTA(D$938:D1634)=1,"",OFFSET(F1632,-COUNTA(D$938:D1634)+3,0))</f>
        <v>56</v>
      </c>
      <c r="G1634" s="503" t="str">
        <f t="shared" ca="1" si="212"/>
        <v/>
      </c>
      <c r="H1634" s="497">
        <f t="shared" ca="1" si="208"/>
        <v>119</v>
      </c>
      <c r="I1634" s="500" t="str">
        <f t="shared" ca="1" si="213"/>
        <v/>
      </c>
      <c r="J1634" s="512" t="str">
        <f t="shared" ca="1" si="214"/>
        <v/>
      </c>
      <c r="K1634" s="512" t="str">
        <f t="shared" ca="1" si="215"/>
        <v/>
      </c>
      <c r="L1634" s="503" t="str">
        <f t="shared" ca="1" si="216"/>
        <v/>
      </c>
      <c r="M1634" s="515" t="str">
        <f ca="1">IFERROR(IF(COUNTIF($B$937:$B1633,"&lt;0")&lt;&gt;1,OFFSET($C1632,-COUNTIF($B$937:$B1633,"&lt;0")+3,0),""),"")</f>
        <v>a173p00000CH4JIAA1</v>
      </c>
      <c r="N1634" s="515">
        <f ca="1">IFERROR(IF(COUNTA($D$937:D1633)=1,0,OFFSET($F1632,-COUNTA($D$937:D1633)+3,0)),"")</f>
        <v>56</v>
      </c>
      <c r="O1634" s="497"/>
      <c r="P1634" s="497">
        <f t="shared" si="209"/>
        <v>0</v>
      </c>
      <c r="Q1634" s="497"/>
      <c r="R1634" s="497"/>
      <c r="S1634" s="497"/>
      <c r="T1634" s="503"/>
    </row>
    <row r="1635" spans="1:20" x14ac:dyDescent="0.35">
      <c r="A1635" s="497" t="b">
        <f t="shared" ca="1" si="210"/>
        <v>0</v>
      </c>
      <c r="B1635" s="497">
        <f t="shared" si="206"/>
        <v>336</v>
      </c>
      <c r="C1635" s="519" t="str">
        <f t="shared" ca="1" si="211"/>
        <v>a173p00000CH4KGAA1</v>
      </c>
      <c r="D1635" s="497"/>
      <c r="E1635" s="497">
        <f t="shared" ca="1" si="207"/>
        <v>6</v>
      </c>
      <c r="F1635" s="516">
        <f ca="1">IF(COUNTA(D$938:D1635)=1,"",OFFSET(F1633,-COUNTA(D$938:D1635)+3,0))</f>
        <v>56</v>
      </c>
      <c r="G1635" s="503" t="str">
        <f t="shared" ca="1" si="212"/>
        <v/>
      </c>
      <c r="H1635" s="497">
        <f t="shared" ca="1" si="208"/>
        <v>119</v>
      </c>
      <c r="I1635" s="500" t="str">
        <f t="shared" ca="1" si="213"/>
        <v/>
      </c>
      <c r="J1635" s="512" t="str">
        <f t="shared" ca="1" si="214"/>
        <v/>
      </c>
      <c r="K1635" s="512" t="str">
        <f t="shared" ca="1" si="215"/>
        <v/>
      </c>
      <c r="L1635" s="503" t="str">
        <f t="shared" ca="1" si="216"/>
        <v/>
      </c>
      <c r="M1635" s="515" t="str">
        <f ca="1">IFERROR(IF(COUNTIF($B$937:$B1634,"&lt;0")&lt;&gt;1,OFFSET($C1633,-COUNTIF($B$937:$B1634,"&lt;0")+3,0),""),"")</f>
        <v>a173p00000CH4KGAA1</v>
      </c>
      <c r="N1635" s="515">
        <f ca="1">IFERROR(IF(COUNTA($D$937:D1634)=1,0,OFFSET($F1633,-COUNTA($D$937:D1634)+3,0)),"")</f>
        <v>56</v>
      </c>
      <c r="O1635" s="497"/>
      <c r="P1635" s="497">
        <f t="shared" si="209"/>
        <v>0</v>
      </c>
      <c r="Q1635" s="497"/>
      <c r="R1635" s="497"/>
      <c r="S1635" s="497"/>
      <c r="T1635" s="503"/>
    </row>
    <row r="1636" spans="1:20" x14ac:dyDescent="0.35">
      <c r="A1636" s="497" t="b">
        <f t="shared" ca="1" si="210"/>
        <v>0</v>
      </c>
      <c r="B1636" s="497">
        <f t="shared" si="206"/>
        <v>337</v>
      </c>
      <c r="C1636" s="519" t="str">
        <f t="shared" ca="1" si="211"/>
        <v>a173p00000CH4FRAA1</v>
      </c>
      <c r="D1636" s="497"/>
      <c r="E1636" s="497">
        <f t="shared" ca="1" si="207"/>
        <v>1</v>
      </c>
      <c r="F1636" s="516">
        <f ca="1">IF(COUNTA(D$938:D1636)=1,"",OFFSET(F1634,-COUNTA(D$938:D1636)+3,0))</f>
        <v>57</v>
      </c>
      <c r="G1636" s="503" t="str">
        <f t="shared" ca="1" si="212"/>
        <v/>
      </c>
      <c r="H1636" s="497">
        <f t="shared" ca="1" si="208"/>
        <v>121</v>
      </c>
      <c r="I1636" s="500" t="str">
        <f t="shared" ca="1" si="213"/>
        <v/>
      </c>
      <c r="J1636" s="512" t="str">
        <f t="shared" ca="1" si="214"/>
        <v/>
      </c>
      <c r="K1636" s="512" t="str">
        <f t="shared" ca="1" si="215"/>
        <v/>
      </c>
      <c r="L1636" s="503" t="str">
        <f t="shared" ca="1" si="216"/>
        <v/>
      </c>
      <c r="M1636" s="515" t="str">
        <f ca="1">IFERROR(IF(COUNTIF($B$937:$B1635,"&lt;0")&lt;&gt;1,OFFSET($C1634,-COUNTIF($B$937:$B1635,"&lt;0")+3,0),""),"")</f>
        <v>a173p00000CH4FRAA1</v>
      </c>
      <c r="N1636" s="515">
        <f ca="1">IFERROR(IF(COUNTA($D$937:D1635)=1,0,OFFSET($F1634,-COUNTA($D$937:D1635)+3,0)),"")</f>
        <v>57</v>
      </c>
      <c r="O1636" s="497"/>
      <c r="P1636" s="497">
        <f t="shared" si="209"/>
        <v>0</v>
      </c>
      <c r="Q1636" s="497"/>
      <c r="R1636" s="497"/>
      <c r="S1636" s="497"/>
      <c r="T1636" s="503"/>
    </row>
    <row r="1637" spans="1:20" x14ac:dyDescent="0.35">
      <c r="A1637" s="497" t="b">
        <f t="shared" ca="1" si="210"/>
        <v>0</v>
      </c>
      <c r="B1637" s="497">
        <f t="shared" si="206"/>
        <v>338</v>
      </c>
      <c r="C1637" s="519" t="str">
        <f t="shared" ca="1" si="211"/>
        <v>a173p00000CH4GPAA1</v>
      </c>
      <c r="D1637" s="497"/>
      <c r="E1637" s="497">
        <f t="shared" ca="1" si="207"/>
        <v>2</v>
      </c>
      <c r="F1637" s="516">
        <f ca="1">IF(COUNTA(D$938:D1637)=1,"",OFFSET(F1635,-COUNTA(D$938:D1637)+3,0))</f>
        <v>57</v>
      </c>
      <c r="G1637" s="503" t="str">
        <f t="shared" ca="1" si="212"/>
        <v/>
      </c>
      <c r="H1637" s="497">
        <f t="shared" ca="1" si="208"/>
        <v>121</v>
      </c>
      <c r="I1637" s="500" t="str">
        <f t="shared" ca="1" si="213"/>
        <v/>
      </c>
      <c r="J1637" s="512" t="str">
        <f t="shared" ca="1" si="214"/>
        <v/>
      </c>
      <c r="K1637" s="512" t="str">
        <f t="shared" ca="1" si="215"/>
        <v/>
      </c>
      <c r="L1637" s="503" t="str">
        <f t="shared" ca="1" si="216"/>
        <v/>
      </c>
      <c r="M1637" s="515" t="str">
        <f ca="1">IFERROR(IF(COUNTIF($B$937:$B1636,"&lt;0")&lt;&gt;1,OFFSET($C1635,-COUNTIF($B$937:$B1636,"&lt;0")+3,0),""),"")</f>
        <v>a173p00000CH4GPAA1</v>
      </c>
      <c r="N1637" s="515">
        <f ca="1">IFERROR(IF(COUNTA($D$937:D1636)=1,0,OFFSET($F1635,-COUNTA($D$937:D1636)+3,0)),"")</f>
        <v>57</v>
      </c>
      <c r="O1637" s="497"/>
      <c r="P1637" s="497">
        <f t="shared" si="209"/>
        <v>0</v>
      </c>
      <c r="Q1637" s="497"/>
      <c r="R1637" s="497"/>
      <c r="S1637" s="497"/>
      <c r="T1637" s="503"/>
    </row>
    <row r="1638" spans="1:20" x14ac:dyDescent="0.35">
      <c r="A1638" s="497" t="b">
        <f t="shared" ca="1" si="210"/>
        <v>0</v>
      </c>
      <c r="B1638" s="497">
        <f t="shared" si="206"/>
        <v>339</v>
      </c>
      <c r="C1638" s="519" t="str">
        <f t="shared" ca="1" si="211"/>
        <v>a173p00000CH4HNAA1</v>
      </c>
      <c r="D1638" s="497"/>
      <c r="E1638" s="497">
        <f t="shared" ca="1" si="207"/>
        <v>3</v>
      </c>
      <c r="F1638" s="516">
        <f ca="1">IF(COUNTA(D$938:D1638)=1,"",OFFSET(F1636,-COUNTA(D$938:D1638)+3,0))</f>
        <v>57</v>
      </c>
      <c r="G1638" s="503" t="str">
        <f t="shared" ca="1" si="212"/>
        <v/>
      </c>
      <c r="H1638" s="497">
        <f t="shared" ca="1" si="208"/>
        <v>121</v>
      </c>
      <c r="I1638" s="500" t="str">
        <f t="shared" ca="1" si="213"/>
        <v/>
      </c>
      <c r="J1638" s="512" t="str">
        <f t="shared" ca="1" si="214"/>
        <v/>
      </c>
      <c r="K1638" s="512" t="str">
        <f t="shared" ca="1" si="215"/>
        <v/>
      </c>
      <c r="L1638" s="503" t="str">
        <f t="shared" ca="1" si="216"/>
        <v/>
      </c>
      <c r="M1638" s="515" t="str">
        <f ca="1">IFERROR(IF(COUNTIF($B$937:$B1637,"&lt;0")&lt;&gt;1,OFFSET($C1636,-COUNTIF($B$937:$B1637,"&lt;0")+3,0),""),"")</f>
        <v>a173p00000CH4HNAA1</v>
      </c>
      <c r="N1638" s="515">
        <f ca="1">IFERROR(IF(COUNTA($D$937:D1637)=1,0,OFFSET($F1636,-COUNTA($D$937:D1637)+3,0)),"")</f>
        <v>57</v>
      </c>
      <c r="O1638" s="497"/>
      <c r="P1638" s="497">
        <f t="shared" si="209"/>
        <v>0</v>
      </c>
      <c r="Q1638" s="497"/>
      <c r="R1638" s="497"/>
      <c r="S1638" s="497"/>
      <c r="T1638" s="503"/>
    </row>
    <row r="1639" spans="1:20" x14ac:dyDescent="0.35">
      <c r="A1639" s="497" t="b">
        <f t="shared" ca="1" si="210"/>
        <v>0</v>
      </c>
      <c r="B1639" s="497">
        <f t="shared" si="206"/>
        <v>340</v>
      </c>
      <c r="C1639" s="519" t="str">
        <f t="shared" ca="1" si="211"/>
        <v>a173p00000CH4ILAA1</v>
      </c>
      <c r="D1639" s="497"/>
      <c r="E1639" s="497">
        <f t="shared" ca="1" si="207"/>
        <v>4</v>
      </c>
      <c r="F1639" s="516">
        <f ca="1">IF(COUNTA(D$938:D1639)=1,"",OFFSET(F1637,-COUNTA(D$938:D1639)+3,0))</f>
        <v>57</v>
      </c>
      <c r="G1639" s="503" t="str">
        <f t="shared" ca="1" si="212"/>
        <v/>
      </c>
      <c r="H1639" s="497">
        <f t="shared" ca="1" si="208"/>
        <v>121</v>
      </c>
      <c r="I1639" s="500" t="str">
        <f t="shared" ca="1" si="213"/>
        <v/>
      </c>
      <c r="J1639" s="512" t="str">
        <f t="shared" ca="1" si="214"/>
        <v/>
      </c>
      <c r="K1639" s="512" t="str">
        <f t="shared" ca="1" si="215"/>
        <v/>
      </c>
      <c r="L1639" s="503" t="str">
        <f t="shared" ca="1" si="216"/>
        <v/>
      </c>
      <c r="M1639" s="515" t="str">
        <f ca="1">IFERROR(IF(COUNTIF($B$937:$B1638,"&lt;0")&lt;&gt;1,OFFSET($C1637,-COUNTIF($B$937:$B1638,"&lt;0")+3,0),""),"")</f>
        <v>a173p00000CH4ILAA1</v>
      </c>
      <c r="N1639" s="515">
        <f ca="1">IFERROR(IF(COUNTA($D$937:D1638)=1,0,OFFSET($F1637,-COUNTA($D$937:D1638)+3,0)),"")</f>
        <v>57</v>
      </c>
      <c r="O1639" s="497"/>
      <c r="P1639" s="497">
        <f t="shared" si="209"/>
        <v>0</v>
      </c>
      <c r="Q1639" s="497"/>
      <c r="R1639" s="497"/>
      <c r="S1639" s="497"/>
      <c r="T1639" s="503"/>
    </row>
    <row r="1640" spans="1:20" x14ac:dyDescent="0.35">
      <c r="A1640" s="497" t="b">
        <f t="shared" ca="1" si="210"/>
        <v>0</v>
      </c>
      <c r="B1640" s="497">
        <f t="shared" si="206"/>
        <v>341</v>
      </c>
      <c r="C1640" s="519" t="str">
        <f t="shared" ca="1" si="211"/>
        <v>a173p00000CH4JJAA1</v>
      </c>
      <c r="D1640" s="497"/>
      <c r="E1640" s="497">
        <f t="shared" ca="1" si="207"/>
        <v>5</v>
      </c>
      <c r="F1640" s="516">
        <f ca="1">IF(COUNTA(D$938:D1640)=1,"",OFFSET(F1638,-COUNTA(D$938:D1640)+3,0))</f>
        <v>57</v>
      </c>
      <c r="G1640" s="503" t="str">
        <f t="shared" ca="1" si="212"/>
        <v/>
      </c>
      <c r="H1640" s="497">
        <f t="shared" ca="1" si="208"/>
        <v>121</v>
      </c>
      <c r="I1640" s="500" t="str">
        <f t="shared" ca="1" si="213"/>
        <v/>
      </c>
      <c r="J1640" s="512" t="str">
        <f t="shared" ca="1" si="214"/>
        <v/>
      </c>
      <c r="K1640" s="512" t="str">
        <f t="shared" ca="1" si="215"/>
        <v/>
      </c>
      <c r="L1640" s="503" t="str">
        <f t="shared" ca="1" si="216"/>
        <v/>
      </c>
      <c r="M1640" s="515" t="str">
        <f ca="1">IFERROR(IF(COUNTIF($B$937:$B1639,"&lt;0")&lt;&gt;1,OFFSET($C1638,-COUNTIF($B$937:$B1639,"&lt;0")+3,0),""),"")</f>
        <v>a173p00000CH4JJAA1</v>
      </c>
      <c r="N1640" s="515">
        <f ca="1">IFERROR(IF(COUNTA($D$937:D1639)=1,0,OFFSET($F1638,-COUNTA($D$937:D1639)+3,0)),"")</f>
        <v>57</v>
      </c>
      <c r="O1640" s="497"/>
      <c r="P1640" s="497">
        <f t="shared" si="209"/>
        <v>0</v>
      </c>
      <c r="Q1640" s="497"/>
      <c r="R1640" s="497"/>
      <c r="S1640" s="497"/>
      <c r="T1640" s="503"/>
    </row>
    <row r="1641" spans="1:20" x14ac:dyDescent="0.35">
      <c r="A1641" s="497" t="b">
        <f t="shared" ca="1" si="210"/>
        <v>0</v>
      </c>
      <c r="B1641" s="497">
        <f t="shared" si="206"/>
        <v>342</v>
      </c>
      <c r="C1641" s="519" t="str">
        <f t="shared" ca="1" si="211"/>
        <v>a173p00000CH4KHAA1</v>
      </c>
      <c r="D1641" s="497"/>
      <c r="E1641" s="497">
        <f t="shared" ca="1" si="207"/>
        <v>6</v>
      </c>
      <c r="F1641" s="516">
        <f ca="1">IF(COUNTA(D$938:D1641)=1,"",OFFSET(F1639,-COUNTA(D$938:D1641)+3,0))</f>
        <v>57</v>
      </c>
      <c r="G1641" s="503" t="str">
        <f t="shared" ca="1" si="212"/>
        <v/>
      </c>
      <c r="H1641" s="497">
        <f t="shared" ca="1" si="208"/>
        <v>121</v>
      </c>
      <c r="I1641" s="500" t="str">
        <f t="shared" ca="1" si="213"/>
        <v/>
      </c>
      <c r="J1641" s="512" t="str">
        <f t="shared" ca="1" si="214"/>
        <v/>
      </c>
      <c r="K1641" s="512" t="str">
        <f t="shared" ca="1" si="215"/>
        <v/>
      </c>
      <c r="L1641" s="503" t="str">
        <f t="shared" ca="1" si="216"/>
        <v/>
      </c>
      <c r="M1641" s="515" t="str">
        <f ca="1">IFERROR(IF(COUNTIF($B$937:$B1640,"&lt;0")&lt;&gt;1,OFFSET($C1639,-COUNTIF($B$937:$B1640,"&lt;0")+3,0),""),"")</f>
        <v>a173p00000CH4KHAA1</v>
      </c>
      <c r="N1641" s="515">
        <f ca="1">IFERROR(IF(COUNTA($D$937:D1640)=1,0,OFFSET($F1639,-COUNTA($D$937:D1640)+3,0)),"")</f>
        <v>57</v>
      </c>
      <c r="O1641" s="497"/>
      <c r="P1641" s="497">
        <f t="shared" si="209"/>
        <v>0</v>
      </c>
      <c r="Q1641" s="497"/>
      <c r="R1641" s="497"/>
      <c r="S1641" s="497"/>
      <c r="T1641" s="503"/>
    </row>
    <row r="1642" spans="1:20" x14ac:dyDescent="0.35">
      <c r="A1642" s="497" t="b">
        <f t="shared" ca="1" si="210"/>
        <v>0</v>
      </c>
      <c r="B1642" s="497">
        <f t="shared" si="206"/>
        <v>343</v>
      </c>
      <c r="C1642" s="519" t="str">
        <f t="shared" ca="1" si="211"/>
        <v>a173p00000CH4FSAA1</v>
      </c>
      <c r="D1642" s="497"/>
      <c r="E1642" s="497">
        <f t="shared" ca="1" si="207"/>
        <v>1</v>
      </c>
      <c r="F1642" s="516">
        <f ca="1">IF(COUNTA(D$938:D1642)=1,"",OFFSET(F1640,-COUNTA(D$938:D1642)+3,0))</f>
        <v>58</v>
      </c>
      <c r="G1642" s="503" t="str">
        <f t="shared" ca="1" si="212"/>
        <v/>
      </c>
      <c r="H1642" s="497">
        <f t="shared" ca="1" si="208"/>
        <v>123</v>
      </c>
      <c r="I1642" s="500" t="str">
        <f t="shared" ca="1" si="213"/>
        <v/>
      </c>
      <c r="J1642" s="512" t="str">
        <f t="shared" ca="1" si="214"/>
        <v/>
      </c>
      <c r="K1642" s="512" t="str">
        <f t="shared" ca="1" si="215"/>
        <v/>
      </c>
      <c r="L1642" s="503" t="str">
        <f t="shared" ca="1" si="216"/>
        <v/>
      </c>
      <c r="M1642" s="515" t="str">
        <f ca="1">IFERROR(IF(COUNTIF($B$937:$B1641,"&lt;0")&lt;&gt;1,OFFSET($C1640,-COUNTIF($B$937:$B1641,"&lt;0")+3,0),""),"")</f>
        <v>a173p00000CH4FSAA1</v>
      </c>
      <c r="N1642" s="515">
        <f ca="1">IFERROR(IF(COUNTA($D$937:D1641)=1,0,OFFSET($F1640,-COUNTA($D$937:D1641)+3,0)),"")</f>
        <v>58</v>
      </c>
      <c r="O1642" s="497"/>
      <c r="P1642" s="497">
        <f t="shared" si="209"/>
        <v>0</v>
      </c>
      <c r="Q1642" s="497"/>
      <c r="R1642" s="497"/>
      <c r="S1642" s="497"/>
      <c r="T1642" s="503"/>
    </row>
    <row r="1643" spans="1:20" x14ac:dyDescent="0.35">
      <c r="A1643" s="497" t="b">
        <f t="shared" ca="1" si="210"/>
        <v>0</v>
      </c>
      <c r="B1643" s="497">
        <f t="shared" si="206"/>
        <v>344</v>
      </c>
      <c r="C1643" s="519" t="str">
        <f t="shared" ca="1" si="211"/>
        <v>a173p00000CH4GQAA1</v>
      </c>
      <c r="D1643" s="497"/>
      <c r="E1643" s="497">
        <f t="shared" ca="1" si="207"/>
        <v>2</v>
      </c>
      <c r="F1643" s="516">
        <f ca="1">IF(COUNTA(D$938:D1643)=1,"",OFFSET(F1641,-COUNTA(D$938:D1643)+3,0))</f>
        <v>58</v>
      </c>
      <c r="G1643" s="503" t="str">
        <f t="shared" ca="1" si="212"/>
        <v/>
      </c>
      <c r="H1643" s="497">
        <f t="shared" ca="1" si="208"/>
        <v>123</v>
      </c>
      <c r="I1643" s="500" t="str">
        <f t="shared" ca="1" si="213"/>
        <v/>
      </c>
      <c r="J1643" s="512" t="str">
        <f t="shared" ca="1" si="214"/>
        <v/>
      </c>
      <c r="K1643" s="512" t="str">
        <f t="shared" ca="1" si="215"/>
        <v/>
      </c>
      <c r="L1643" s="503" t="str">
        <f t="shared" ca="1" si="216"/>
        <v/>
      </c>
      <c r="M1643" s="515" t="str">
        <f ca="1">IFERROR(IF(COUNTIF($B$937:$B1642,"&lt;0")&lt;&gt;1,OFFSET($C1641,-COUNTIF($B$937:$B1642,"&lt;0")+3,0),""),"")</f>
        <v>a173p00000CH4GQAA1</v>
      </c>
      <c r="N1643" s="515">
        <f ca="1">IFERROR(IF(COUNTA($D$937:D1642)=1,0,OFFSET($F1641,-COUNTA($D$937:D1642)+3,0)),"")</f>
        <v>58</v>
      </c>
      <c r="O1643" s="497"/>
      <c r="P1643" s="497">
        <f t="shared" si="209"/>
        <v>0</v>
      </c>
      <c r="Q1643" s="497"/>
      <c r="R1643" s="497"/>
      <c r="S1643" s="497"/>
      <c r="T1643" s="503"/>
    </row>
    <row r="1644" spans="1:20" x14ac:dyDescent="0.35">
      <c r="A1644" s="497" t="b">
        <f t="shared" ca="1" si="210"/>
        <v>0</v>
      </c>
      <c r="B1644" s="497">
        <f t="shared" ref="B1644:B1659" si="217">B1643+1</f>
        <v>345</v>
      </c>
      <c r="C1644" s="519" t="str">
        <f t="shared" ca="1" si="211"/>
        <v>a173p00000CH4HOAA1</v>
      </c>
      <c r="D1644" s="497"/>
      <c r="E1644" s="497">
        <f t="shared" ref="E1644:E1659" ca="1" si="218">COUNTIF(F1547:F1644,F1644)</f>
        <v>3</v>
      </c>
      <c r="F1644" s="516">
        <f ca="1">IF(COUNTA(D$938:D1644)=1,"",OFFSET(F1642,-COUNTA(D$938:D1644)+3,0))</f>
        <v>58</v>
      </c>
      <c r="G1644" s="503" t="str">
        <f t="shared" ca="1" si="212"/>
        <v/>
      </c>
      <c r="H1644" s="497">
        <f t="shared" ref="H1644:H1659" ca="1" si="219">IF(F1644=1,9,IF(E1643=MAX(E1642:E1644),H1642+2,H1643))</f>
        <v>123</v>
      </c>
      <c r="I1644" s="500" t="str">
        <f t="shared" ca="1" si="213"/>
        <v/>
      </c>
      <c r="J1644" s="512" t="str">
        <f t="shared" ca="1" si="214"/>
        <v/>
      </c>
      <c r="K1644" s="512" t="str">
        <f t="shared" ca="1" si="215"/>
        <v/>
      </c>
      <c r="L1644" s="503" t="str">
        <f t="shared" ca="1" si="216"/>
        <v/>
      </c>
      <c r="M1644" s="515" t="str">
        <f ca="1">IFERROR(IF(COUNTIF($B$937:$B1643,"&lt;0")&lt;&gt;1,OFFSET($C1642,-COUNTIF($B$937:$B1643,"&lt;0")+3,0),""),"")</f>
        <v>a173p00000CH4HOAA1</v>
      </c>
      <c r="N1644" s="515">
        <f ca="1">IFERROR(IF(COUNTA($D$937:D1643)=1,0,OFFSET($F1642,-COUNTA($D$937:D1643)+3,0)),"")</f>
        <v>58</v>
      </c>
      <c r="O1644" s="497"/>
      <c r="P1644" s="497">
        <f t="shared" ref="P1644:P1659" si="220">IF(NOT(_xlfn.ISFORMULA(I1644)),P1643+1,0)</f>
        <v>0</v>
      </c>
      <c r="Q1644" s="497"/>
      <c r="R1644" s="497"/>
      <c r="S1644" s="497"/>
      <c r="T1644" s="503"/>
    </row>
    <row r="1645" spans="1:20" x14ac:dyDescent="0.35">
      <c r="A1645" s="497" t="b">
        <f t="shared" ca="1" si="210"/>
        <v>0</v>
      </c>
      <c r="B1645" s="497">
        <f t="shared" si="217"/>
        <v>346</v>
      </c>
      <c r="C1645" s="519" t="str">
        <f t="shared" ca="1" si="211"/>
        <v>a173p00000CH4IMAA1</v>
      </c>
      <c r="D1645" s="497"/>
      <c r="E1645" s="497">
        <f t="shared" ca="1" si="218"/>
        <v>4</v>
      </c>
      <c r="F1645" s="516">
        <f ca="1">IF(COUNTA(D$938:D1645)=1,"",OFFSET(F1643,-COUNTA(D$938:D1645)+3,0))</f>
        <v>58</v>
      </c>
      <c r="G1645" s="503" t="str">
        <f t="shared" ca="1" si="212"/>
        <v/>
      </c>
      <c r="H1645" s="497">
        <f t="shared" ca="1" si="219"/>
        <v>123</v>
      </c>
      <c r="I1645" s="500" t="str">
        <f t="shared" ca="1" si="213"/>
        <v/>
      </c>
      <c r="J1645" s="512" t="str">
        <f t="shared" ca="1" si="214"/>
        <v/>
      </c>
      <c r="K1645" s="512" t="str">
        <f t="shared" ca="1" si="215"/>
        <v/>
      </c>
      <c r="L1645" s="503" t="str">
        <f t="shared" ca="1" si="216"/>
        <v/>
      </c>
      <c r="M1645" s="515" t="str">
        <f ca="1">IFERROR(IF(COUNTIF($B$937:$B1644,"&lt;0")&lt;&gt;1,OFFSET($C1643,-COUNTIF($B$937:$B1644,"&lt;0")+3,0),""),"")</f>
        <v>a173p00000CH4IMAA1</v>
      </c>
      <c r="N1645" s="515">
        <f ca="1">IFERROR(IF(COUNTA($D$937:D1644)=1,0,OFFSET($F1643,-COUNTA($D$937:D1644)+3,0)),"")</f>
        <v>58</v>
      </c>
      <c r="O1645" s="497"/>
      <c r="P1645" s="497">
        <f t="shared" si="220"/>
        <v>0</v>
      </c>
      <c r="Q1645" s="497"/>
      <c r="R1645" s="497"/>
      <c r="S1645" s="497"/>
      <c r="T1645" s="503"/>
    </row>
    <row r="1646" spans="1:20" x14ac:dyDescent="0.35">
      <c r="A1646" s="497" t="b">
        <f t="shared" ca="1" si="210"/>
        <v>0</v>
      </c>
      <c r="B1646" s="497">
        <f t="shared" si="217"/>
        <v>347</v>
      </c>
      <c r="C1646" s="519" t="str">
        <f t="shared" ca="1" si="211"/>
        <v>a173p00000CH4JKAA1</v>
      </c>
      <c r="D1646" s="497"/>
      <c r="E1646" s="497">
        <f t="shared" ca="1" si="218"/>
        <v>5</v>
      </c>
      <c r="F1646" s="516">
        <f ca="1">IF(COUNTA(D$938:D1646)=1,"",OFFSET(F1644,-COUNTA(D$938:D1646)+3,0))</f>
        <v>58</v>
      </c>
      <c r="G1646" s="503" t="str">
        <f t="shared" ca="1" si="212"/>
        <v/>
      </c>
      <c r="H1646" s="497">
        <f t="shared" ca="1" si="219"/>
        <v>123</v>
      </c>
      <c r="I1646" s="500" t="str">
        <f t="shared" ca="1" si="213"/>
        <v/>
      </c>
      <c r="J1646" s="512" t="str">
        <f t="shared" ca="1" si="214"/>
        <v/>
      </c>
      <c r="K1646" s="512" t="str">
        <f t="shared" ca="1" si="215"/>
        <v/>
      </c>
      <c r="L1646" s="503" t="str">
        <f t="shared" ca="1" si="216"/>
        <v/>
      </c>
      <c r="M1646" s="515" t="str">
        <f ca="1">IFERROR(IF(COUNTIF($B$937:$B1645,"&lt;0")&lt;&gt;1,OFFSET($C1644,-COUNTIF($B$937:$B1645,"&lt;0")+3,0),""),"")</f>
        <v>a173p00000CH4JKAA1</v>
      </c>
      <c r="N1646" s="515">
        <f ca="1">IFERROR(IF(COUNTA($D$937:D1645)=1,0,OFFSET($F1644,-COUNTA($D$937:D1645)+3,0)),"")</f>
        <v>58</v>
      </c>
      <c r="O1646" s="497"/>
      <c r="P1646" s="497">
        <f t="shared" si="220"/>
        <v>0</v>
      </c>
      <c r="Q1646" s="497"/>
      <c r="R1646" s="497"/>
      <c r="S1646" s="497"/>
      <c r="T1646" s="503"/>
    </row>
    <row r="1647" spans="1:20" x14ac:dyDescent="0.35">
      <c r="A1647" s="497" t="b">
        <f t="shared" ca="1" si="210"/>
        <v>0</v>
      </c>
      <c r="B1647" s="497">
        <f t="shared" si="217"/>
        <v>348</v>
      </c>
      <c r="C1647" s="519" t="str">
        <f t="shared" ca="1" si="211"/>
        <v>a173p00000CH4KIAA1</v>
      </c>
      <c r="D1647" s="497"/>
      <c r="E1647" s="497">
        <f t="shared" ca="1" si="218"/>
        <v>6</v>
      </c>
      <c r="F1647" s="516">
        <f ca="1">IF(COUNTA(D$938:D1647)=1,"",OFFSET(F1645,-COUNTA(D$938:D1647)+3,0))</f>
        <v>58</v>
      </c>
      <c r="G1647" s="503" t="str">
        <f t="shared" ca="1" si="212"/>
        <v/>
      </c>
      <c r="H1647" s="497">
        <f t="shared" ca="1" si="219"/>
        <v>123</v>
      </c>
      <c r="I1647" s="500" t="str">
        <f t="shared" ca="1" si="213"/>
        <v/>
      </c>
      <c r="J1647" s="512" t="str">
        <f t="shared" ca="1" si="214"/>
        <v/>
      </c>
      <c r="K1647" s="512" t="str">
        <f t="shared" ca="1" si="215"/>
        <v/>
      </c>
      <c r="L1647" s="503" t="str">
        <f t="shared" ca="1" si="216"/>
        <v/>
      </c>
      <c r="M1647" s="515" t="str">
        <f ca="1">IFERROR(IF(COUNTIF($B$937:$B1646,"&lt;0")&lt;&gt;1,OFFSET($C1645,-COUNTIF($B$937:$B1646,"&lt;0")+3,0),""),"")</f>
        <v>a173p00000CH4KIAA1</v>
      </c>
      <c r="N1647" s="515">
        <f ca="1">IFERROR(IF(COUNTA($D$937:D1646)=1,0,OFFSET($F1645,-COUNTA($D$937:D1646)+3,0)),"")</f>
        <v>58</v>
      </c>
      <c r="O1647" s="497"/>
      <c r="P1647" s="497">
        <f t="shared" si="220"/>
        <v>0</v>
      </c>
      <c r="Q1647" s="497"/>
      <c r="R1647" s="497"/>
      <c r="S1647" s="497"/>
      <c r="T1647" s="503"/>
    </row>
    <row r="1648" spans="1:20" x14ac:dyDescent="0.35">
      <c r="A1648" s="497" t="b">
        <f t="shared" ca="1" si="210"/>
        <v>0</v>
      </c>
      <c r="B1648" s="497">
        <f t="shared" si="217"/>
        <v>349</v>
      </c>
      <c r="C1648" s="519" t="str">
        <f t="shared" ca="1" si="211"/>
        <v>a173p00000CH4FTAA1</v>
      </c>
      <c r="D1648" s="497"/>
      <c r="E1648" s="497">
        <f t="shared" ca="1" si="218"/>
        <v>1</v>
      </c>
      <c r="F1648" s="516">
        <f ca="1">IF(COUNTA(D$938:D1648)=1,"",OFFSET(F1646,-COUNTA(D$938:D1648)+3,0))</f>
        <v>59</v>
      </c>
      <c r="G1648" s="503" t="str">
        <f t="shared" ca="1" si="212"/>
        <v/>
      </c>
      <c r="H1648" s="497">
        <f t="shared" ca="1" si="219"/>
        <v>125</v>
      </c>
      <c r="I1648" s="500" t="str">
        <f t="shared" ca="1" si="213"/>
        <v/>
      </c>
      <c r="J1648" s="512" t="str">
        <f t="shared" ca="1" si="214"/>
        <v/>
      </c>
      <c r="K1648" s="512" t="str">
        <f t="shared" ca="1" si="215"/>
        <v/>
      </c>
      <c r="L1648" s="503" t="str">
        <f t="shared" ca="1" si="216"/>
        <v/>
      </c>
      <c r="M1648" s="515" t="str">
        <f ca="1">IFERROR(IF(COUNTIF($B$937:$B1647,"&lt;0")&lt;&gt;1,OFFSET($C1646,-COUNTIF($B$937:$B1647,"&lt;0")+3,0),""),"")</f>
        <v>a173p00000CH4FTAA1</v>
      </c>
      <c r="N1648" s="515">
        <f ca="1">IFERROR(IF(COUNTA($D$937:D1647)=1,0,OFFSET($F1646,-COUNTA($D$937:D1647)+3,0)),"")</f>
        <v>59</v>
      </c>
      <c r="O1648" s="497"/>
      <c r="P1648" s="497">
        <f t="shared" si="220"/>
        <v>0</v>
      </c>
      <c r="Q1648" s="497"/>
      <c r="R1648" s="497"/>
      <c r="S1648" s="497"/>
      <c r="T1648" s="503"/>
    </row>
    <row r="1649" spans="1:20" x14ac:dyDescent="0.35">
      <c r="A1649" s="497" t="b">
        <f t="shared" ca="1" si="210"/>
        <v>0</v>
      </c>
      <c r="B1649" s="497">
        <f t="shared" si="217"/>
        <v>350</v>
      </c>
      <c r="C1649" s="519" t="str">
        <f t="shared" ca="1" si="211"/>
        <v>a173p00000CH4GRAA1</v>
      </c>
      <c r="D1649" s="497"/>
      <c r="E1649" s="497">
        <f t="shared" ca="1" si="218"/>
        <v>2</v>
      </c>
      <c r="F1649" s="516">
        <f ca="1">IF(COUNTA(D$938:D1649)=1,"",OFFSET(F1647,-COUNTA(D$938:D1649)+3,0))</f>
        <v>59</v>
      </c>
      <c r="G1649" s="503" t="str">
        <f t="shared" ca="1" si="212"/>
        <v/>
      </c>
      <c r="H1649" s="497">
        <f t="shared" ca="1" si="219"/>
        <v>125</v>
      </c>
      <c r="I1649" s="500" t="str">
        <f t="shared" ca="1" si="213"/>
        <v/>
      </c>
      <c r="J1649" s="512" t="str">
        <f t="shared" ca="1" si="214"/>
        <v/>
      </c>
      <c r="K1649" s="512" t="str">
        <f t="shared" ca="1" si="215"/>
        <v/>
      </c>
      <c r="L1649" s="503" t="str">
        <f t="shared" ca="1" si="216"/>
        <v/>
      </c>
      <c r="M1649" s="515" t="str">
        <f ca="1">IFERROR(IF(COUNTIF($B$937:$B1648,"&lt;0")&lt;&gt;1,OFFSET($C1647,-COUNTIF($B$937:$B1648,"&lt;0")+3,0),""),"")</f>
        <v>a173p00000CH4GRAA1</v>
      </c>
      <c r="N1649" s="515">
        <f ca="1">IFERROR(IF(COUNTA($D$937:D1648)=1,0,OFFSET($F1647,-COUNTA($D$937:D1648)+3,0)),"")</f>
        <v>59</v>
      </c>
      <c r="O1649" s="497"/>
      <c r="P1649" s="497">
        <f t="shared" si="220"/>
        <v>0</v>
      </c>
      <c r="Q1649" s="497"/>
      <c r="R1649" s="497"/>
      <c r="S1649" s="497"/>
      <c r="T1649" s="503"/>
    </row>
    <row r="1650" spans="1:20" x14ac:dyDescent="0.35">
      <c r="A1650" s="497" t="b">
        <f t="shared" ca="1" si="210"/>
        <v>0</v>
      </c>
      <c r="B1650" s="497">
        <f t="shared" si="217"/>
        <v>351</v>
      </c>
      <c r="C1650" s="519" t="str">
        <f t="shared" ca="1" si="211"/>
        <v>a173p00000CH4HPAA1</v>
      </c>
      <c r="D1650" s="497"/>
      <c r="E1650" s="497">
        <f t="shared" ca="1" si="218"/>
        <v>3</v>
      </c>
      <c r="F1650" s="516">
        <f ca="1">IF(COUNTA(D$938:D1650)=1,"",OFFSET(F1648,-COUNTA(D$938:D1650)+3,0))</f>
        <v>59</v>
      </c>
      <c r="G1650" s="503" t="str">
        <f t="shared" ca="1" si="212"/>
        <v/>
      </c>
      <c r="H1650" s="497">
        <f t="shared" ca="1" si="219"/>
        <v>125</v>
      </c>
      <c r="I1650" s="500" t="str">
        <f t="shared" ca="1" si="213"/>
        <v/>
      </c>
      <c r="J1650" s="512" t="str">
        <f t="shared" ca="1" si="214"/>
        <v/>
      </c>
      <c r="K1650" s="512" t="str">
        <f t="shared" ca="1" si="215"/>
        <v/>
      </c>
      <c r="L1650" s="503" t="str">
        <f t="shared" ca="1" si="216"/>
        <v/>
      </c>
      <c r="M1650" s="515" t="str">
        <f ca="1">IFERROR(IF(COUNTIF($B$937:$B1649,"&lt;0")&lt;&gt;1,OFFSET($C1648,-COUNTIF($B$937:$B1649,"&lt;0")+3,0),""),"")</f>
        <v>a173p00000CH4HPAA1</v>
      </c>
      <c r="N1650" s="515">
        <f ca="1">IFERROR(IF(COUNTA($D$937:D1649)=1,0,OFFSET($F1648,-COUNTA($D$937:D1649)+3,0)),"")</f>
        <v>59</v>
      </c>
      <c r="O1650" s="497"/>
      <c r="P1650" s="497">
        <f t="shared" si="220"/>
        <v>0</v>
      </c>
      <c r="Q1650" s="497"/>
      <c r="R1650" s="497"/>
      <c r="S1650" s="497"/>
      <c r="T1650" s="503"/>
    </row>
    <row r="1651" spans="1:20" x14ac:dyDescent="0.35">
      <c r="A1651" s="497" t="b">
        <f t="shared" ca="1" si="210"/>
        <v>0</v>
      </c>
      <c r="B1651" s="497">
        <f t="shared" si="217"/>
        <v>352</v>
      </c>
      <c r="C1651" s="519" t="str">
        <f t="shared" ca="1" si="211"/>
        <v>a173p00000CH4INAA1</v>
      </c>
      <c r="D1651" s="497"/>
      <c r="E1651" s="497">
        <f t="shared" ca="1" si="218"/>
        <v>4</v>
      </c>
      <c r="F1651" s="516">
        <f ca="1">IF(COUNTA(D$938:D1651)=1,"",OFFSET(F1649,-COUNTA(D$938:D1651)+3,0))</f>
        <v>59</v>
      </c>
      <c r="G1651" s="503" t="str">
        <f t="shared" ca="1" si="212"/>
        <v/>
      </c>
      <c r="H1651" s="497">
        <f t="shared" ca="1" si="219"/>
        <v>125</v>
      </c>
      <c r="I1651" s="500" t="str">
        <f t="shared" ca="1" si="213"/>
        <v/>
      </c>
      <c r="J1651" s="512" t="str">
        <f t="shared" ca="1" si="214"/>
        <v/>
      </c>
      <c r="K1651" s="512" t="str">
        <f t="shared" ca="1" si="215"/>
        <v/>
      </c>
      <c r="L1651" s="503" t="str">
        <f t="shared" ca="1" si="216"/>
        <v/>
      </c>
      <c r="M1651" s="515" t="str">
        <f ca="1">IFERROR(IF(COUNTIF($B$937:$B1650,"&lt;0")&lt;&gt;1,OFFSET($C1649,-COUNTIF($B$937:$B1650,"&lt;0")+3,0),""),"")</f>
        <v>a173p00000CH4INAA1</v>
      </c>
      <c r="N1651" s="515">
        <f ca="1">IFERROR(IF(COUNTA($D$937:D1650)=1,0,OFFSET($F1649,-COUNTA($D$937:D1650)+3,0)),"")</f>
        <v>59</v>
      </c>
      <c r="O1651" s="497"/>
      <c r="P1651" s="497">
        <f t="shared" si="220"/>
        <v>0</v>
      </c>
      <c r="Q1651" s="497"/>
      <c r="R1651" s="497"/>
      <c r="S1651" s="497"/>
      <c r="T1651" s="503"/>
    </row>
    <row r="1652" spans="1:20" x14ac:dyDescent="0.35">
      <c r="A1652" s="497" t="b">
        <f t="shared" ca="1" si="210"/>
        <v>0</v>
      </c>
      <c r="B1652" s="497">
        <f t="shared" si="217"/>
        <v>353</v>
      </c>
      <c r="C1652" s="519" t="str">
        <f t="shared" ca="1" si="211"/>
        <v>a173p00000CH4JLAA1</v>
      </c>
      <c r="D1652" s="497"/>
      <c r="E1652" s="497">
        <f t="shared" ca="1" si="218"/>
        <v>5</v>
      </c>
      <c r="F1652" s="516">
        <f ca="1">IF(COUNTA(D$938:D1652)=1,"",OFFSET(F1650,-COUNTA(D$938:D1652)+3,0))</f>
        <v>59</v>
      </c>
      <c r="G1652" s="503" t="str">
        <f t="shared" ca="1" si="212"/>
        <v/>
      </c>
      <c r="H1652" s="497">
        <f t="shared" ca="1" si="219"/>
        <v>125</v>
      </c>
      <c r="I1652" s="500" t="str">
        <f t="shared" ca="1" si="213"/>
        <v/>
      </c>
      <c r="J1652" s="512" t="str">
        <f t="shared" ca="1" si="214"/>
        <v/>
      </c>
      <c r="K1652" s="512" t="str">
        <f t="shared" ca="1" si="215"/>
        <v/>
      </c>
      <c r="L1652" s="503" t="str">
        <f t="shared" ca="1" si="216"/>
        <v/>
      </c>
      <c r="M1652" s="515" t="str">
        <f ca="1">IFERROR(IF(COUNTIF($B$937:$B1651,"&lt;0")&lt;&gt;1,OFFSET($C1650,-COUNTIF($B$937:$B1651,"&lt;0")+3,0),""),"")</f>
        <v>a173p00000CH4JLAA1</v>
      </c>
      <c r="N1652" s="515">
        <f ca="1">IFERROR(IF(COUNTA($D$937:D1651)=1,0,OFFSET($F1650,-COUNTA($D$937:D1651)+3,0)),"")</f>
        <v>59</v>
      </c>
      <c r="O1652" s="497"/>
      <c r="P1652" s="497">
        <f t="shared" si="220"/>
        <v>0</v>
      </c>
      <c r="Q1652" s="497"/>
      <c r="R1652" s="497"/>
      <c r="S1652" s="497"/>
      <c r="T1652" s="503"/>
    </row>
    <row r="1653" spans="1:20" x14ac:dyDescent="0.35">
      <c r="A1653" s="497" t="b">
        <f t="shared" ca="1" si="210"/>
        <v>0</v>
      </c>
      <c r="B1653" s="497">
        <f t="shared" si="217"/>
        <v>354</v>
      </c>
      <c r="C1653" s="519" t="str">
        <f t="shared" ca="1" si="211"/>
        <v>a173p00000CH4KJAA1</v>
      </c>
      <c r="D1653" s="497"/>
      <c r="E1653" s="497">
        <f t="shared" ca="1" si="218"/>
        <v>6</v>
      </c>
      <c r="F1653" s="516">
        <f ca="1">IF(COUNTA(D$938:D1653)=1,"",OFFSET(F1651,-COUNTA(D$938:D1653)+3,0))</f>
        <v>59</v>
      </c>
      <c r="G1653" s="503" t="str">
        <f t="shared" ca="1" si="212"/>
        <v/>
      </c>
      <c r="H1653" s="497">
        <f t="shared" ca="1" si="219"/>
        <v>125</v>
      </c>
      <c r="I1653" s="500" t="str">
        <f t="shared" ca="1" si="213"/>
        <v/>
      </c>
      <c r="J1653" s="512" t="str">
        <f t="shared" ca="1" si="214"/>
        <v/>
      </c>
      <c r="K1653" s="512" t="str">
        <f t="shared" ca="1" si="215"/>
        <v/>
      </c>
      <c r="L1653" s="503" t="str">
        <f t="shared" ca="1" si="216"/>
        <v/>
      </c>
      <c r="M1653" s="515" t="str">
        <f ca="1">IFERROR(IF(COUNTIF($B$937:$B1652,"&lt;0")&lt;&gt;1,OFFSET($C1651,-COUNTIF($B$937:$B1652,"&lt;0")+3,0),""),"")</f>
        <v>a173p00000CH4KJAA1</v>
      </c>
      <c r="N1653" s="515">
        <f ca="1">IFERROR(IF(COUNTA($D$937:D1652)=1,0,OFFSET($F1651,-COUNTA($D$937:D1652)+3,0)),"")</f>
        <v>59</v>
      </c>
      <c r="O1653" s="497"/>
      <c r="P1653" s="497">
        <f t="shared" si="220"/>
        <v>0</v>
      </c>
      <c r="Q1653" s="497"/>
      <c r="R1653" s="497"/>
      <c r="S1653" s="497"/>
      <c r="T1653" s="503"/>
    </row>
    <row r="1654" spans="1:20" x14ac:dyDescent="0.35">
      <c r="A1654" s="497" t="b">
        <f t="shared" ca="1" si="210"/>
        <v>0</v>
      </c>
      <c r="B1654" s="497">
        <f t="shared" si="217"/>
        <v>355</v>
      </c>
      <c r="C1654" s="519" t="str">
        <f t="shared" ca="1" si="211"/>
        <v>a173p00000CH4FUAA1</v>
      </c>
      <c r="D1654" s="497"/>
      <c r="E1654" s="497">
        <f t="shared" ca="1" si="218"/>
        <v>1</v>
      </c>
      <c r="F1654" s="516">
        <f ca="1">IF(COUNTA(D$938:D1654)=1,"",OFFSET(F1652,-COUNTA(D$938:D1654)+3,0))</f>
        <v>60</v>
      </c>
      <c r="G1654" s="503" t="str">
        <f t="shared" ca="1" si="212"/>
        <v/>
      </c>
      <c r="H1654" s="497">
        <f t="shared" ca="1" si="219"/>
        <v>127</v>
      </c>
      <c r="I1654" s="500" t="str">
        <f t="shared" ca="1" si="213"/>
        <v/>
      </c>
      <c r="J1654" s="512" t="str">
        <f t="shared" ca="1" si="214"/>
        <v/>
      </c>
      <c r="K1654" s="512" t="str">
        <f t="shared" ca="1" si="215"/>
        <v/>
      </c>
      <c r="L1654" s="503" t="str">
        <f t="shared" ca="1" si="216"/>
        <v/>
      </c>
      <c r="M1654" s="515" t="str">
        <f ca="1">IFERROR(IF(COUNTIF($B$937:$B1653,"&lt;0")&lt;&gt;1,OFFSET($C1652,-COUNTIF($B$937:$B1653,"&lt;0")+3,0),""),"")</f>
        <v>a173p00000CH4FUAA1</v>
      </c>
      <c r="N1654" s="515">
        <f ca="1">IFERROR(IF(COUNTA($D$937:D1653)=1,0,OFFSET($F1652,-COUNTA($D$937:D1653)+3,0)),"")</f>
        <v>60</v>
      </c>
      <c r="O1654" s="497"/>
      <c r="P1654" s="497">
        <f t="shared" si="220"/>
        <v>0</v>
      </c>
      <c r="Q1654" s="497"/>
      <c r="R1654" s="497"/>
      <c r="S1654" s="497"/>
      <c r="T1654" s="503"/>
    </row>
    <row r="1655" spans="1:20" x14ac:dyDescent="0.35">
      <c r="A1655" s="497" t="b">
        <f t="shared" ca="1" si="210"/>
        <v>0</v>
      </c>
      <c r="B1655" s="497">
        <f t="shared" si="217"/>
        <v>356</v>
      </c>
      <c r="C1655" s="519" t="str">
        <f t="shared" ca="1" si="211"/>
        <v>a173p00000CH4GSAA1</v>
      </c>
      <c r="D1655" s="497"/>
      <c r="E1655" s="497">
        <f t="shared" ca="1" si="218"/>
        <v>2</v>
      </c>
      <c r="F1655" s="516">
        <f ca="1">IF(COUNTA(D$938:D1655)=1,"",OFFSET(F1653,-COUNTA(D$938:D1655)+3,0))</f>
        <v>60</v>
      </c>
      <c r="G1655" s="503" t="str">
        <f t="shared" ca="1" si="212"/>
        <v/>
      </c>
      <c r="H1655" s="497">
        <f t="shared" ca="1" si="219"/>
        <v>127</v>
      </c>
      <c r="I1655" s="500" t="str">
        <f t="shared" ca="1" si="213"/>
        <v/>
      </c>
      <c r="J1655" s="512" t="str">
        <f t="shared" ca="1" si="214"/>
        <v/>
      </c>
      <c r="K1655" s="512" t="str">
        <f t="shared" ca="1" si="215"/>
        <v/>
      </c>
      <c r="L1655" s="503" t="str">
        <f t="shared" ca="1" si="216"/>
        <v/>
      </c>
      <c r="M1655" s="515" t="str">
        <f ca="1">IFERROR(IF(COUNTIF($B$937:$B1654,"&lt;0")&lt;&gt;1,OFFSET($C1653,-COUNTIF($B$937:$B1654,"&lt;0")+3,0),""),"")</f>
        <v>a173p00000CH4GSAA1</v>
      </c>
      <c r="N1655" s="515">
        <f ca="1">IFERROR(IF(COUNTA($D$937:D1654)=1,0,OFFSET($F1653,-COUNTA($D$937:D1654)+3,0)),"")</f>
        <v>60</v>
      </c>
      <c r="O1655" s="497"/>
      <c r="P1655" s="497">
        <f t="shared" si="220"/>
        <v>0</v>
      </c>
      <c r="Q1655" s="497"/>
      <c r="R1655" s="497"/>
      <c r="S1655" s="497"/>
      <c r="T1655" s="503"/>
    </row>
    <row r="1656" spans="1:20" x14ac:dyDescent="0.35">
      <c r="A1656" s="497" t="b">
        <f t="shared" ca="1" si="210"/>
        <v>0</v>
      </c>
      <c r="B1656" s="497">
        <f t="shared" si="217"/>
        <v>357</v>
      </c>
      <c r="C1656" s="519" t="str">
        <f t="shared" ca="1" si="211"/>
        <v>a173p00000CH4HQAA1</v>
      </c>
      <c r="D1656" s="497"/>
      <c r="E1656" s="497">
        <f t="shared" ca="1" si="218"/>
        <v>3</v>
      </c>
      <c r="F1656" s="516">
        <f ca="1">IF(COUNTA(D$938:D1656)=1,"",OFFSET(F1654,-COUNTA(D$938:D1656)+3,0))</f>
        <v>60</v>
      </c>
      <c r="G1656" s="503" t="str">
        <f t="shared" ca="1" si="212"/>
        <v/>
      </c>
      <c r="H1656" s="497">
        <f t="shared" ca="1" si="219"/>
        <v>127</v>
      </c>
      <c r="I1656" s="500" t="str">
        <f t="shared" ca="1" si="213"/>
        <v/>
      </c>
      <c r="J1656" s="512" t="str">
        <f t="shared" ca="1" si="214"/>
        <v/>
      </c>
      <c r="K1656" s="512" t="str">
        <f t="shared" ca="1" si="215"/>
        <v/>
      </c>
      <c r="L1656" s="503" t="str">
        <f t="shared" ca="1" si="216"/>
        <v/>
      </c>
      <c r="M1656" s="515" t="str">
        <f ca="1">IFERROR(IF(COUNTIF($B$937:$B1655,"&lt;0")&lt;&gt;1,OFFSET($C1654,-COUNTIF($B$937:$B1655,"&lt;0")+3,0),""),"")</f>
        <v>a173p00000CH4HQAA1</v>
      </c>
      <c r="N1656" s="515">
        <f ca="1">IFERROR(IF(COUNTA($D$937:D1655)=1,0,OFFSET($F1654,-COUNTA($D$937:D1655)+3,0)),"")</f>
        <v>60</v>
      </c>
      <c r="O1656" s="497"/>
      <c r="P1656" s="497">
        <f t="shared" si="220"/>
        <v>0</v>
      </c>
      <c r="Q1656" s="497"/>
      <c r="R1656" s="497"/>
      <c r="S1656" s="497"/>
      <c r="T1656" s="503"/>
    </row>
    <row r="1657" spans="1:20" x14ac:dyDescent="0.35">
      <c r="A1657" s="497" t="b">
        <f t="shared" ca="1" si="210"/>
        <v>0</v>
      </c>
      <c r="B1657" s="497">
        <f t="shared" si="217"/>
        <v>358</v>
      </c>
      <c r="C1657" s="519" t="str">
        <f t="shared" ca="1" si="211"/>
        <v>a173p00000CH4IOAA1</v>
      </c>
      <c r="D1657" s="497"/>
      <c r="E1657" s="497">
        <f t="shared" ca="1" si="218"/>
        <v>4</v>
      </c>
      <c r="F1657" s="516">
        <f ca="1">IF(COUNTA(D$938:D1657)=1,"",OFFSET(F1655,-COUNTA(D$938:D1657)+3,0))</f>
        <v>60</v>
      </c>
      <c r="G1657" s="503" t="str">
        <f t="shared" ca="1" si="212"/>
        <v/>
      </c>
      <c r="H1657" s="497">
        <f t="shared" ca="1" si="219"/>
        <v>127</v>
      </c>
      <c r="I1657" s="500" t="str">
        <f t="shared" ca="1" si="213"/>
        <v/>
      </c>
      <c r="J1657" s="512" t="str">
        <f t="shared" ca="1" si="214"/>
        <v/>
      </c>
      <c r="K1657" s="512" t="str">
        <f t="shared" ca="1" si="215"/>
        <v/>
      </c>
      <c r="L1657" s="503" t="str">
        <f t="shared" ca="1" si="216"/>
        <v/>
      </c>
      <c r="M1657" s="515" t="str">
        <f ca="1">IFERROR(IF(COUNTIF($B$937:$B1656,"&lt;0")&lt;&gt;1,OFFSET($C1655,-COUNTIF($B$937:$B1656,"&lt;0")+3,0),""),"")</f>
        <v>a173p00000CH4IOAA1</v>
      </c>
      <c r="N1657" s="515">
        <f ca="1">IFERROR(IF(COUNTA($D$937:D1656)=1,0,OFFSET($F1655,-COUNTA($D$937:D1656)+3,0)),"")</f>
        <v>60</v>
      </c>
      <c r="O1657" s="497"/>
      <c r="P1657" s="497">
        <f t="shared" si="220"/>
        <v>0</v>
      </c>
      <c r="Q1657" s="497"/>
      <c r="R1657" s="497"/>
      <c r="S1657" s="497"/>
      <c r="T1657" s="503"/>
    </row>
    <row r="1658" spans="1:20" x14ac:dyDescent="0.35">
      <c r="A1658" s="497" t="b">
        <f t="shared" ca="1" si="210"/>
        <v>0</v>
      </c>
      <c r="B1658" s="497">
        <f t="shared" si="217"/>
        <v>359</v>
      </c>
      <c r="C1658" s="519" t="str">
        <f t="shared" ca="1" si="211"/>
        <v>a173p00000CH4JMAA1</v>
      </c>
      <c r="D1658" s="497"/>
      <c r="E1658" s="497">
        <f t="shared" ca="1" si="218"/>
        <v>5</v>
      </c>
      <c r="F1658" s="516">
        <f ca="1">IF(COUNTA(D$938:D1658)=1,"",OFFSET(F1656,-COUNTA(D$938:D1658)+3,0))</f>
        <v>60</v>
      </c>
      <c r="G1658" s="503" t="str">
        <f t="shared" ca="1" si="212"/>
        <v/>
      </c>
      <c r="H1658" s="497">
        <f t="shared" ca="1" si="219"/>
        <v>127</v>
      </c>
      <c r="I1658" s="500" t="str">
        <f t="shared" ca="1" si="213"/>
        <v/>
      </c>
      <c r="J1658" s="512" t="str">
        <f t="shared" ca="1" si="214"/>
        <v/>
      </c>
      <c r="K1658" s="512" t="str">
        <f t="shared" ca="1" si="215"/>
        <v/>
      </c>
      <c r="L1658" s="503" t="str">
        <f t="shared" ca="1" si="216"/>
        <v/>
      </c>
      <c r="M1658" s="515" t="str">
        <f ca="1">IFERROR(IF(COUNTIF($B$937:$B1657,"&lt;0")&lt;&gt;1,OFFSET($C1656,-COUNTIF($B$937:$B1657,"&lt;0")+3,0),""),"")</f>
        <v>a173p00000CH4JMAA1</v>
      </c>
      <c r="N1658" s="515">
        <f ca="1">IFERROR(IF(COUNTA($D$937:D1657)=1,0,OFFSET($F1656,-COUNTA($D$937:D1657)+3,0)),"")</f>
        <v>60</v>
      </c>
      <c r="O1658" s="497"/>
      <c r="P1658" s="497">
        <f t="shared" si="220"/>
        <v>0</v>
      </c>
      <c r="Q1658" s="497"/>
      <c r="R1658" s="497"/>
      <c r="S1658" s="497"/>
      <c r="T1658" s="503"/>
    </row>
    <row r="1659" spans="1:20" x14ac:dyDescent="0.35">
      <c r="A1659" s="497" t="b">
        <f t="shared" ca="1" si="210"/>
        <v>0</v>
      </c>
      <c r="B1659" s="497">
        <f t="shared" si="217"/>
        <v>360</v>
      </c>
      <c r="C1659" s="519" t="str">
        <f t="shared" ca="1" si="211"/>
        <v>a173p00000CH4KKAA1</v>
      </c>
      <c r="D1659" s="497"/>
      <c r="E1659" s="497">
        <f t="shared" ca="1" si="218"/>
        <v>6</v>
      </c>
      <c r="F1659" s="516">
        <f ca="1">IF(COUNTA(D$938:D1659)=1,"",OFFSET(F1657,-COUNTA(D$938:D1659)+3,0))</f>
        <v>60</v>
      </c>
      <c r="G1659" s="503" t="str">
        <f t="shared" ca="1" si="212"/>
        <v/>
      </c>
      <c r="H1659" s="497">
        <f t="shared" ca="1" si="219"/>
        <v>127</v>
      </c>
      <c r="I1659" s="500" t="str">
        <f t="shared" ca="1" si="213"/>
        <v/>
      </c>
      <c r="J1659" s="512" t="str">
        <f t="shared" ca="1" si="214"/>
        <v/>
      </c>
      <c r="K1659" s="512" t="str">
        <f t="shared" ca="1" si="215"/>
        <v/>
      </c>
      <c r="L1659" s="503" t="str">
        <f t="shared" ca="1" si="216"/>
        <v/>
      </c>
      <c r="M1659" s="515" t="str">
        <f ca="1">IFERROR(IF(COUNTIF($B$937:$B1658,"&lt;0")&lt;&gt;1,OFFSET($C1657,-COUNTIF($B$937:$B1658,"&lt;0")+3,0),""),"")</f>
        <v>a173p00000CH4KKAA1</v>
      </c>
      <c r="N1659" s="515">
        <f ca="1">IFERROR(IF(COUNTA($D$937:D1658)=1,0,OFFSET($F1657,-COUNTA($D$937:D1658)+3,0)),"")</f>
        <v>60</v>
      </c>
      <c r="O1659" s="497"/>
      <c r="P1659" s="497">
        <f t="shared" si="220"/>
        <v>0</v>
      </c>
      <c r="Q1659" s="497"/>
      <c r="R1659" s="497"/>
      <c r="S1659" s="497"/>
      <c r="T1659" s="503"/>
    </row>
    <row r="1661" spans="1:20" x14ac:dyDescent="0.35">
      <c r="A1661" s="507" t="s">
        <v>342</v>
      </c>
      <c r="J1661" s="496" t="str">
        <f ca="1">IF(ROW()&gt;'Impact Indicator Target Update'!A17,"",INDIRECT("'Impact Indicators - Section B'!A"&amp;'Impact Indicator Target Update'!D17))</f>
        <v/>
      </c>
    </row>
    <row r="1662" spans="1:20" x14ac:dyDescent="0.35">
      <c r="A1662" s="507"/>
    </row>
    <row r="1664" spans="1:20" x14ac:dyDescent="0.35">
      <c r="A1664" s="507" t="s">
        <v>277</v>
      </c>
    </row>
    <row r="1665" spans="1:15" x14ac:dyDescent="0.35">
      <c r="A1665" s="497" t="s">
        <v>46</v>
      </c>
      <c r="B1665" s="497"/>
      <c r="C1665" s="497" t="s">
        <v>48</v>
      </c>
      <c r="D1665" s="497" t="s">
        <v>22</v>
      </c>
      <c r="E1665" s="497" t="s">
        <v>4</v>
      </c>
      <c r="F1665" s="497"/>
      <c r="G1665" s="497" t="s">
        <v>2</v>
      </c>
      <c r="H1665" s="497" t="s">
        <v>3</v>
      </c>
      <c r="I1665" s="497" t="s">
        <v>29</v>
      </c>
      <c r="J1665" s="497" t="s">
        <v>18</v>
      </c>
      <c r="K1665" s="497" t="s">
        <v>357</v>
      </c>
      <c r="L1665" s="497" t="s">
        <v>9</v>
      </c>
      <c r="M1665" s="497" t="s">
        <v>364</v>
      </c>
      <c r="N1665" s="497" t="s">
        <v>472</v>
      </c>
      <c r="O1665" s="497" t="s">
        <v>473</v>
      </c>
    </row>
    <row r="1666" spans="1:15" hidden="1" x14ac:dyDescent="0.35">
      <c r="A1666" s="497" t="b">
        <f ca="1">IF(M1666&lt;&gt;"",TRUE,FALSE)</f>
        <v>0</v>
      </c>
      <c r="B1666" s="497"/>
      <c r="C1666" s="515" t="str">
        <f ca="1">IF(COUNTA(D$1665:D1666)=1,"",OFFSET(C1666,-COUNTA(D$1665:D1666)+1,0))</f>
        <v/>
      </c>
      <c r="D1666" s="512"/>
      <c r="E1666" s="500" t="str">
        <f ca="1">IFERROR(IF(VLOOKUP(C1666,' Disaggregation - Section E '!A$316:N615,7,0)="","",VLOOKUP(C1666,' Disaggregation - Section E '!A$316:N615,7,0)*100),"")</f>
        <v/>
      </c>
      <c r="F1666" s="497"/>
      <c r="G1666" s="502" t="str">
        <f ca="1">IFERROR(IF(VLOOKUP(C1666,' Disaggregation - Section E '!A$316:N615,6,0)="","",VLOOKUP(C1666,' Disaggregation - Section E '!A$316:N615,6,0)),"")</f>
        <v/>
      </c>
      <c r="H1666" s="512" t="str">
        <f ca="1">IFERROR(IF(INDEX(' Disaggregation - Section E '!F$313:F615,MATCH(C1666,' Disaggregation - Section E '!A$313:A615,0)+1,1)&lt;&gt;0,INDEX(' Disaggregation - Section E '!F$313:F615,MATCH(C1666,' Disaggregation - Section E '!A$313:A615,0)+1,1),""),"")</f>
        <v/>
      </c>
      <c r="I1666" s="503" t="str">
        <f ca="1">IFERROR(IF(VLOOKUP(C1666,' Disaggregation - Section E '!A$316:N615,8,0)=0,"",VLOOKUP(C1666,' Disaggregation - Section E '!A$316:N615,8,0)),"")</f>
        <v/>
      </c>
      <c r="J1666" s="503" t="str">
        <f ca="1">IFERROR(IF(VLOOKUP(C1666,' Disaggregation - Section E '!A$316:N615,13,0)=0,"",VLOOKUP(C1666,' Disaggregation - Section E '!A$316:N615,13,0)),"")</f>
        <v/>
      </c>
      <c r="K1666" s="497" t="str">
        <f ca="1">IFERROR(VLOOKUP(C1666,' Disaggregation - Section E '!A$316:N615,3,0),"")</f>
        <v/>
      </c>
      <c r="L1666" s="503" t="str">
        <f ca="1">IFERROR(IF(VLOOKUP(C1666,' Disaggregation - Section E '!A$316:N615,14,0)=0,"",VLOOKUP(C1666,' Disaggregation - Section E '!A$316:N615,14,0)),"")</f>
        <v/>
      </c>
      <c r="M1666" s="497" t="str">
        <f ca="1">IFERROR(IF(VLOOKUP(C1666,' Disaggregation - Section E '!A$316:T615,20,0)=0,"",VLOOKUP(C1666,' Disaggregation - Section E '!A$316:T615,20,0)),"")</f>
        <v/>
      </c>
      <c r="N1666" s="503" t="str">
        <f ca="1">IFERROR(IF(VLOOKUP(C1666,' Disaggregation - Section E '!A$316:N615,9,0)=0,"",VLOOKUP(C1666,' Disaggregation - Section E '!A$316:N615,9,0)),"")</f>
        <v/>
      </c>
      <c r="O1666" s="503" t="str">
        <f ca="1">IFERROR(IF(VLOOKUP(C1666,' Disaggregation - Section E '!A$315:N615,10,0)=0,"",VLOOKUP(C1666,' Disaggregation - Section E '!A$316:N615,10,0)),"")</f>
        <v/>
      </c>
    </row>
    <row r="1667" spans="1:15" x14ac:dyDescent="0.35">
      <c r="A1667" s="497" t="b">
        <v>1</v>
      </c>
      <c r="B1667" s="497"/>
      <c r="C1667" s="515" t="s">
        <v>4670</v>
      </c>
      <c r="D1667" s="512">
        <v>1</v>
      </c>
      <c r="E1667" s="500"/>
      <c r="F1667" s="497"/>
      <c r="G1667" s="502"/>
      <c r="H1667" s="512"/>
      <c r="I1667" s="503"/>
      <c r="J1667" s="503"/>
      <c r="K1667" s="497" t="str">
        <f ca="1">IFERROR(VLOOKUP(C1667,' Disaggregation - Section E '!A$316:N616,3,0),"")</f>
        <v>TB O-4⁽ᴹ⁾ Tasa de éxito del tratamiento de los casos de tuberculosis resistente a la rifampicina y/o tuberculosis multirresistente: Porcentaje de casos de tuberculosis resistente a la rifampicina y/o tuberculosis multirresistente tratados con éxito.</v>
      </c>
      <c r="L1667" s="503" t="s">
        <v>4669</v>
      </c>
      <c r="M1667" s="497" t="s">
        <v>1703</v>
      </c>
      <c r="N1667" s="503"/>
      <c r="O1667" s="503" t="s">
        <v>9912</v>
      </c>
    </row>
    <row r="1668" spans="1:15" x14ac:dyDescent="0.35">
      <c r="A1668" s="497" t="b">
        <v>1</v>
      </c>
      <c r="B1668" s="497"/>
      <c r="C1668" s="515" t="s">
        <v>4672</v>
      </c>
      <c r="D1668" s="512">
        <v>1</v>
      </c>
      <c r="E1668" s="500"/>
      <c r="F1668" s="497"/>
      <c r="G1668" s="502"/>
      <c r="H1668" s="512"/>
      <c r="I1668" s="503"/>
      <c r="J1668" s="503"/>
      <c r="K1668" s="497" t="str">
        <f ca="1">IFERROR(VLOOKUP(C1668,' Disaggregation - Section E '!A$316:N617,3,0),"")</f>
        <v>TB O-4⁽ᴹ⁾ Tasa de éxito del tratamiento de los casos de tuberculosis resistente a la rifampicina y/o tuberculosis multirresistente: Porcentaje de casos de tuberculosis resistente a la rifampicina y/o tuberculosis multirresistente tratados con éxito.</v>
      </c>
      <c r="L1668" s="503" t="s">
        <v>4669</v>
      </c>
      <c r="M1668" s="497" t="s">
        <v>1708</v>
      </c>
      <c r="N1668" s="503"/>
      <c r="O1668" s="503" t="s">
        <v>9912</v>
      </c>
    </row>
    <row r="1669" spans="1:15" x14ac:dyDescent="0.35">
      <c r="A1669" s="497" t="b">
        <v>0</v>
      </c>
      <c r="B1669" s="497"/>
      <c r="C1669" s="515" t="s">
        <v>4674</v>
      </c>
      <c r="D1669" s="512">
        <v>1</v>
      </c>
      <c r="E1669" s="500"/>
      <c r="F1669" s="497"/>
      <c r="G1669" s="502"/>
      <c r="H1669" s="512"/>
      <c r="I1669" s="503"/>
      <c r="J1669" s="503"/>
      <c r="K1669" s="497" t="str">
        <f ca="1">IFERROR(VLOOKUP(C1669,' Disaggregation - Section E '!A$316:N618,3,0),"")</f>
        <v>TB O-4⁽ᴹ⁾ Tasa de éxito del tratamiento de los casos de tuberculosis resistente a la rifampicina y/o tuberculosis multirresistente: Porcentaje de casos de tuberculosis resistente a la rifampicina y/o tuberculosis multirresistente tratados con éxito.</v>
      </c>
      <c r="L1669" s="503"/>
      <c r="M1669" s="497"/>
      <c r="N1669" s="503"/>
      <c r="O1669" s="503"/>
    </row>
    <row r="1670" spans="1:15" x14ac:dyDescent="0.35">
      <c r="A1670" s="497" t="b">
        <v>0</v>
      </c>
      <c r="B1670" s="497"/>
      <c r="C1670" s="515" t="s">
        <v>4676</v>
      </c>
      <c r="D1670" s="512">
        <v>1</v>
      </c>
      <c r="E1670" s="500"/>
      <c r="F1670" s="497"/>
      <c r="G1670" s="502"/>
      <c r="H1670" s="512"/>
      <c r="I1670" s="503"/>
      <c r="J1670" s="503"/>
      <c r="K1670" s="497" t="str">
        <f ca="1">IFERROR(VLOOKUP(C1670,' Disaggregation - Section E '!A$316:N619,3,0),"")</f>
        <v>TB O-4⁽ᴹ⁾ Tasa de éxito del tratamiento de los casos de tuberculosis resistente a la rifampicina y/o tuberculosis multirresistente: Porcentaje de casos de tuberculosis resistente a la rifampicina y/o tuberculosis multirresistente tratados con éxito.</v>
      </c>
      <c r="L1670" s="503"/>
      <c r="M1670" s="497"/>
      <c r="N1670" s="503"/>
      <c r="O1670" s="503"/>
    </row>
    <row r="1671" spans="1:15" x14ac:dyDescent="0.35">
      <c r="A1671" s="497" t="b">
        <v>0</v>
      </c>
      <c r="B1671" s="497"/>
      <c r="C1671" s="515" t="s">
        <v>4678</v>
      </c>
      <c r="D1671" s="512">
        <v>1</v>
      </c>
      <c r="E1671" s="500"/>
      <c r="F1671" s="497"/>
      <c r="G1671" s="502"/>
      <c r="H1671" s="512"/>
      <c r="I1671" s="503"/>
      <c r="J1671" s="503"/>
      <c r="K1671" s="497" t="str">
        <f ca="1">IFERROR(VLOOKUP(C1671,' Disaggregation - Section E '!A$316:N620,3,0),"")</f>
        <v>TB O-4⁽ᴹ⁾ Tasa de éxito del tratamiento de los casos de tuberculosis resistente a la rifampicina y/o tuberculosis multirresistente: Porcentaje de casos de tuberculosis resistente a la rifampicina y/o tuberculosis multirresistente tratados con éxito.</v>
      </c>
      <c r="L1671" s="503"/>
      <c r="M1671" s="497"/>
      <c r="N1671" s="503"/>
      <c r="O1671" s="503"/>
    </row>
    <row r="1672" spans="1:15" x14ac:dyDescent="0.35">
      <c r="A1672" s="497" t="b">
        <v>0</v>
      </c>
      <c r="B1672" s="497"/>
      <c r="C1672" s="515" t="s">
        <v>4680</v>
      </c>
      <c r="D1672" s="512">
        <v>1</v>
      </c>
      <c r="E1672" s="500"/>
      <c r="F1672" s="497"/>
      <c r="G1672" s="502"/>
      <c r="H1672" s="512"/>
      <c r="I1672" s="503"/>
      <c r="J1672" s="503"/>
      <c r="K1672" s="497" t="str">
        <f ca="1">IFERROR(VLOOKUP(C1672,' Disaggregation - Section E '!A$316:N621,3,0),"")</f>
        <v>TB O-4⁽ᴹ⁾ Tasa de éxito del tratamiento de los casos de tuberculosis resistente a la rifampicina y/o tuberculosis multirresistente: Porcentaje de casos de tuberculosis resistente a la rifampicina y/o tuberculosis multirresistente tratados con éxito.</v>
      </c>
      <c r="L1672" s="503"/>
      <c r="M1672" s="497"/>
      <c r="N1672" s="503"/>
      <c r="O1672" s="503"/>
    </row>
    <row r="1673" spans="1:15" x14ac:dyDescent="0.35">
      <c r="A1673" s="497" t="b">
        <v>0</v>
      </c>
      <c r="B1673" s="497"/>
      <c r="C1673" s="515" t="s">
        <v>4682</v>
      </c>
      <c r="D1673" s="512">
        <v>1</v>
      </c>
      <c r="E1673" s="500"/>
      <c r="F1673" s="497"/>
      <c r="G1673" s="502"/>
      <c r="H1673" s="512"/>
      <c r="I1673" s="503"/>
      <c r="J1673" s="503"/>
      <c r="K1673" s="497" t="str">
        <f ca="1">IFERROR(VLOOKUP(C1673,' Disaggregation - Section E '!A$316:N622,3,0),"")</f>
        <v>TB O-4⁽ᴹ⁾ Tasa de éxito del tratamiento de los casos de tuberculosis resistente a la rifampicina y/o tuberculosis multirresistente: Porcentaje de casos de tuberculosis resistente a la rifampicina y/o tuberculosis multirresistente tratados con éxito.</v>
      </c>
      <c r="L1673" s="503"/>
      <c r="M1673" s="497"/>
      <c r="N1673" s="503"/>
      <c r="O1673" s="503"/>
    </row>
    <row r="1674" spans="1:15" x14ac:dyDescent="0.35">
      <c r="A1674" s="497" t="b">
        <v>0</v>
      </c>
      <c r="B1674" s="497"/>
      <c r="C1674" s="515" t="s">
        <v>4684</v>
      </c>
      <c r="D1674" s="512">
        <v>1</v>
      </c>
      <c r="E1674" s="500"/>
      <c r="F1674" s="497"/>
      <c r="G1674" s="502"/>
      <c r="H1674" s="512"/>
      <c r="I1674" s="503"/>
      <c r="J1674" s="503"/>
      <c r="K1674" s="497" t="str">
        <f ca="1">IFERROR(VLOOKUP(C1674,' Disaggregation - Section E '!A$316:N623,3,0),"")</f>
        <v>TB O-4⁽ᴹ⁾ Tasa de éxito del tratamiento de los casos de tuberculosis resistente a la rifampicina y/o tuberculosis multirresistente: Porcentaje de casos de tuberculosis resistente a la rifampicina y/o tuberculosis multirresistente tratados con éxito.</v>
      </c>
      <c r="L1674" s="503"/>
      <c r="M1674" s="497"/>
      <c r="N1674" s="503"/>
      <c r="O1674" s="503"/>
    </row>
    <row r="1675" spans="1:15" x14ac:dyDescent="0.35">
      <c r="A1675" s="497" t="b">
        <v>0</v>
      </c>
      <c r="B1675" s="497"/>
      <c r="C1675" s="515" t="s">
        <v>4686</v>
      </c>
      <c r="D1675" s="512">
        <v>1</v>
      </c>
      <c r="E1675" s="500"/>
      <c r="F1675" s="497"/>
      <c r="G1675" s="502"/>
      <c r="H1675" s="512"/>
      <c r="I1675" s="503"/>
      <c r="J1675" s="503"/>
      <c r="K1675" s="497" t="str">
        <f ca="1">IFERROR(VLOOKUP(C1675,' Disaggregation - Section E '!A$316:N624,3,0),"")</f>
        <v>TB O-4⁽ᴹ⁾ Tasa de éxito del tratamiento de los casos de tuberculosis resistente a la rifampicina y/o tuberculosis multirresistente: Porcentaje de casos de tuberculosis resistente a la rifampicina y/o tuberculosis multirresistente tratados con éxito.</v>
      </c>
      <c r="L1675" s="503"/>
      <c r="M1675" s="497"/>
      <c r="N1675" s="503"/>
      <c r="O1675" s="503"/>
    </row>
    <row r="1676" spans="1:15" x14ac:dyDescent="0.35">
      <c r="A1676" s="497" t="b">
        <v>0</v>
      </c>
      <c r="B1676" s="497"/>
      <c r="C1676" s="515" t="s">
        <v>4688</v>
      </c>
      <c r="D1676" s="512">
        <v>1</v>
      </c>
      <c r="E1676" s="500"/>
      <c r="F1676" s="497"/>
      <c r="G1676" s="502"/>
      <c r="H1676" s="512"/>
      <c r="I1676" s="503"/>
      <c r="J1676" s="503"/>
      <c r="K1676" s="497" t="str">
        <f ca="1">IFERROR(VLOOKUP(C1676,' Disaggregation - Section E '!A$316:N625,3,0),"")</f>
        <v>TB O-4⁽ᴹ⁾ Tasa de éxito del tratamiento de los casos de tuberculosis resistente a la rifampicina y/o tuberculosis multirresistente: Porcentaje de casos de tuberculosis resistente a la rifampicina y/o tuberculosis multirresistente tratados con éxito.</v>
      </c>
      <c r="L1676" s="503"/>
      <c r="M1676" s="497"/>
      <c r="N1676" s="503"/>
      <c r="O1676" s="503"/>
    </row>
    <row r="1677" spans="1:15" x14ac:dyDescent="0.35">
      <c r="A1677" s="497" t="b">
        <v>0</v>
      </c>
      <c r="B1677" s="497"/>
      <c r="C1677" s="515" t="s">
        <v>4985</v>
      </c>
      <c r="D1677" s="512">
        <v>2</v>
      </c>
      <c r="E1677" s="500"/>
      <c r="F1677" s="497"/>
      <c r="G1677" s="502"/>
      <c r="H1677" s="512"/>
      <c r="I1677" s="503"/>
      <c r="J1677" s="503"/>
      <c r="K1677" s="497" t="str">
        <f ca="1">IFERROR(VLOOKUP(C1677,' Disaggregation - Section E '!A$316:N626,3,0),"")</f>
        <v>HIV O-12 Porcentaje de personas que viven con VIH que reciben tratamiento antirretroviral y tienen carga viral suprimida</v>
      </c>
      <c r="L1677" s="503"/>
      <c r="M1677" s="497"/>
      <c r="N1677" s="503"/>
      <c r="O1677" s="503"/>
    </row>
    <row r="1678" spans="1:15" x14ac:dyDescent="0.35">
      <c r="A1678" s="497" t="b">
        <v>0</v>
      </c>
      <c r="B1678" s="497"/>
      <c r="C1678" s="515" t="s">
        <v>4987</v>
      </c>
      <c r="D1678" s="512">
        <v>2</v>
      </c>
      <c r="E1678" s="500"/>
      <c r="F1678" s="497"/>
      <c r="G1678" s="502"/>
      <c r="H1678" s="512"/>
      <c r="I1678" s="503"/>
      <c r="J1678" s="503"/>
      <c r="K1678" s="497" t="str">
        <f ca="1">IFERROR(VLOOKUP(C1678,' Disaggregation - Section E '!A$316:N627,3,0),"")</f>
        <v>HIV O-12 Porcentaje de personas que viven con VIH que reciben tratamiento antirretroviral y tienen carga viral suprimida</v>
      </c>
      <c r="L1678" s="503"/>
      <c r="M1678" s="497"/>
      <c r="N1678" s="503"/>
      <c r="O1678" s="503"/>
    </row>
    <row r="1679" spans="1:15" x14ac:dyDescent="0.35">
      <c r="A1679" s="497" t="b">
        <v>0</v>
      </c>
      <c r="B1679" s="497"/>
      <c r="C1679" s="515" t="s">
        <v>4989</v>
      </c>
      <c r="D1679" s="512">
        <v>2</v>
      </c>
      <c r="E1679" s="500"/>
      <c r="F1679" s="497"/>
      <c r="G1679" s="502"/>
      <c r="H1679" s="512"/>
      <c r="I1679" s="503"/>
      <c r="J1679" s="503"/>
      <c r="K1679" s="497" t="str">
        <f ca="1">IFERROR(VLOOKUP(C1679,' Disaggregation - Section E '!A$316:N628,3,0),"")</f>
        <v>HIV O-12 Porcentaje de personas que viven con VIH que reciben tratamiento antirretroviral y tienen carga viral suprimida</v>
      </c>
      <c r="L1679" s="503"/>
      <c r="M1679" s="497"/>
      <c r="N1679" s="503"/>
      <c r="O1679" s="503"/>
    </row>
    <row r="1680" spans="1:15" x14ac:dyDescent="0.35">
      <c r="A1680" s="497" t="b">
        <v>0</v>
      </c>
      <c r="B1680" s="497"/>
      <c r="C1680" s="515" t="s">
        <v>4991</v>
      </c>
      <c r="D1680" s="512">
        <v>2</v>
      </c>
      <c r="E1680" s="500"/>
      <c r="F1680" s="497"/>
      <c r="G1680" s="502"/>
      <c r="H1680" s="512"/>
      <c r="I1680" s="503"/>
      <c r="J1680" s="503"/>
      <c r="K1680" s="497" t="str">
        <f ca="1">IFERROR(VLOOKUP(C1680,' Disaggregation - Section E '!A$316:N629,3,0),"")</f>
        <v>HIV O-12 Porcentaje de personas que viven con VIH que reciben tratamiento antirretroviral y tienen carga viral suprimida</v>
      </c>
      <c r="L1680" s="503"/>
      <c r="M1680" s="497"/>
      <c r="N1680" s="503"/>
      <c r="O1680" s="503"/>
    </row>
    <row r="1681" spans="1:15" x14ac:dyDescent="0.35">
      <c r="A1681" s="497" t="b">
        <v>0</v>
      </c>
      <c r="B1681" s="497"/>
      <c r="C1681" s="515" t="s">
        <v>4993</v>
      </c>
      <c r="D1681" s="512">
        <v>2</v>
      </c>
      <c r="E1681" s="500"/>
      <c r="F1681" s="497"/>
      <c r="G1681" s="502"/>
      <c r="H1681" s="512"/>
      <c r="I1681" s="503"/>
      <c r="J1681" s="503"/>
      <c r="K1681" s="497" t="str">
        <f ca="1">IFERROR(VLOOKUP(C1681,' Disaggregation - Section E '!A$316:N630,3,0),"")</f>
        <v>HIV O-12 Porcentaje de personas que viven con VIH que reciben tratamiento antirretroviral y tienen carga viral suprimida</v>
      </c>
      <c r="L1681" s="503"/>
      <c r="M1681" s="497"/>
      <c r="N1681" s="503"/>
      <c r="O1681" s="503"/>
    </row>
    <row r="1682" spans="1:15" x14ac:dyDescent="0.35">
      <c r="A1682" s="497" t="b">
        <v>0</v>
      </c>
      <c r="B1682" s="497"/>
      <c r="C1682" s="515" t="s">
        <v>4995</v>
      </c>
      <c r="D1682" s="512">
        <v>2</v>
      </c>
      <c r="E1682" s="500"/>
      <c r="F1682" s="497"/>
      <c r="G1682" s="502"/>
      <c r="H1682" s="512"/>
      <c r="I1682" s="503"/>
      <c r="J1682" s="503"/>
      <c r="K1682" s="497" t="str">
        <f ca="1">IFERROR(VLOOKUP(C1682,' Disaggregation - Section E '!A$316:N631,3,0),"")</f>
        <v>HIV O-12 Porcentaje de personas que viven con VIH que reciben tratamiento antirretroviral y tienen carga viral suprimida</v>
      </c>
      <c r="L1682" s="503"/>
      <c r="M1682" s="497"/>
      <c r="N1682" s="503"/>
      <c r="O1682" s="503"/>
    </row>
    <row r="1683" spans="1:15" x14ac:dyDescent="0.35">
      <c r="A1683" s="497" t="b">
        <v>0</v>
      </c>
      <c r="B1683" s="497"/>
      <c r="C1683" s="515" t="s">
        <v>4997</v>
      </c>
      <c r="D1683" s="512">
        <v>2</v>
      </c>
      <c r="E1683" s="500"/>
      <c r="F1683" s="497"/>
      <c r="G1683" s="502"/>
      <c r="H1683" s="512"/>
      <c r="I1683" s="503"/>
      <c r="J1683" s="503"/>
      <c r="K1683" s="497" t="str">
        <f ca="1">IFERROR(VLOOKUP(C1683,' Disaggregation - Section E '!A$316:N632,3,0),"")</f>
        <v>HIV O-12 Porcentaje de personas que viven con VIH que reciben tratamiento antirretroviral y tienen carga viral suprimida</v>
      </c>
      <c r="L1683" s="503"/>
      <c r="M1683" s="497"/>
      <c r="N1683" s="503"/>
      <c r="O1683" s="503"/>
    </row>
    <row r="1684" spans="1:15" x14ac:dyDescent="0.35">
      <c r="A1684" s="497" t="b">
        <v>0</v>
      </c>
      <c r="B1684" s="497"/>
      <c r="C1684" s="515" t="s">
        <v>4999</v>
      </c>
      <c r="D1684" s="512">
        <v>2</v>
      </c>
      <c r="E1684" s="500"/>
      <c r="F1684" s="497"/>
      <c r="G1684" s="502"/>
      <c r="H1684" s="512"/>
      <c r="I1684" s="503"/>
      <c r="J1684" s="503"/>
      <c r="K1684" s="497" t="str">
        <f ca="1">IFERROR(VLOOKUP(C1684,' Disaggregation - Section E '!A$316:N633,3,0),"")</f>
        <v>HIV O-12 Porcentaje de personas que viven con VIH que reciben tratamiento antirretroviral y tienen carga viral suprimida</v>
      </c>
      <c r="L1684" s="503"/>
      <c r="M1684" s="497"/>
      <c r="N1684" s="503"/>
      <c r="O1684" s="503"/>
    </row>
    <row r="1685" spans="1:15" x14ac:dyDescent="0.35">
      <c r="A1685" s="497" t="b">
        <v>0</v>
      </c>
      <c r="B1685" s="497"/>
      <c r="C1685" s="515" t="s">
        <v>5001</v>
      </c>
      <c r="D1685" s="512">
        <v>2</v>
      </c>
      <c r="E1685" s="500"/>
      <c r="F1685" s="497"/>
      <c r="G1685" s="502"/>
      <c r="H1685" s="512"/>
      <c r="I1685" s="503"/>
      <c r="J1685" s="503"/>
      <c r="K1685" s="497" t="str">
        <f ca="1">IFERROR(VLOOKUP(C1685,' Disaggregation - Section E '!A$316:N634,3,0),"")</f>
        <v>HIV O-12 Porcentaje de personas que viven con VIH que reciben tratamiento antirretroviral y tienen carga viral suprimida</v>
      </c>
      <c r="L1685" s="503"/>
      <c r="M1685" s="497"/>
      <c r="N1685" s="503"/>
      <c r="O1685" s="503"/>
    </row>
    <row r="1686" spans="1:15" x14ac:dyDescent="0.35">
      <c r="A1686" s="497" t="b">
        <v>0</v>
      </c>
      <c r="B1686" s="497"/>
      <c r="C1686" s="515" t="s">
        <v>5003</v>
      </c>
      <c r="D1686" s="512">
        <v>2</v>
      </c>
      <c r="E1686" s="500"/>
      <c r="F1686" s="497"/>
      <c r="G1686" s="502"/>
      <c r="H1686" s="512"/>
      <c r="I1686" s="503"/>
      <c r="J1686" s="503"/>
      <c r="K1686" s="497" t="str">
        <f ca="1">IFERROR(VLOOKUP(C1686,' Disaggregation - Section E '!A$316:N635,3,0),"")</f>
        <v>HIV O-12 Porcentaje de personas que viven con VIH que reciben tratamiento antirretroviral y tienen carga viral suprimida</v>
      </c>
      <c r="L1686" s="503"/>
      <c r="M1686" s="497"/>
      <c r="N1686" s="503"/>
      <c r="O1686" s="503"/>
    </row>
    <row r="1687" spans="1:15" x14ac:dyDescent="0.35">
      <c r="A1687" s="497" t="b">
        <v>1</v>
      </c>
      <c r="B1687" s="497"/>
      <c r="C1687" s="515" t="s">
        <v>4691</v>
      </c>
      <c r="D1687" s="512">
        <v>3</v>
      </c>
      <c r="E1687" s="500"/>
      <c r="F1687" s="497"/>
      <c r="G1687" s="502"/>
      <c r="H1687" s="512"/>
      <c r="I1687" s="503"/>
      <c r="J1687" s="503"/>
      <c r="K1687" s="497" t="str">
        <f ca="1">IFERROR(VLOOKUP(C1687,' Disaggregation - Section E '!A$316:N636,3,0),"")</f>
        <v>TB O-2a Tasa de éxito del tratamiento en todas las formas de tuberculosis, confirmada bacteriológicamente y con diagnóstico clínico, casos nuevos y recaídas.</v>
      </c>
      <c r="L1687" s="503" t="s">
        <v>4037</v>
      </c>
      <c r="M1687" s="497" t="s">
        <v>1771</v>
      </c>
      <c r="N1687" s="503"/>
      <c r="O1687" s="503"/>
    </row>
    <row r="1688" spans="1:15" x14ac:dyDescent="0.35">
      <c r="A1688" s="497" t="b">
        <v>1</v>
      </c>
      <c r="B1688" s="497"/>
      <c r="C1688" s="515" t="s">
        <v>4693</v>
      </c>
      <c r="D1688" s="512">
        <v>3</v>
      </c>
      <c r="E1688" s="500"/>
      <c r="F1688" s="497"/>
      <c r="G1688" s="502"/>
      <c r="H1688" s="512"/>
      <c r="I1688" s="503"/>
      <c r="J1688" s="503"/>
      <c r="K1688" s="497" t="str">
        <f ca="1">IFERROR(VLOOKUP(C1688,' Disaggregation - Section E '!A$316:N637,3,0),"")</f>
        <v>TB O-2a Tasa de éxito del tratamiento en todas las formas de tuberculosis, confirmada bacteriológicamente y con diagnóstico clínico, casos nuevos y recaídas.</v>
      </c>
      <c r="L1688" s="503" t="s">
        <v>4037</v>
      </c>
      <c r="M1688" s="497" t="s">
        <v>1776</v>
      </c>
      <c r="N1688" s="503"/>
      <c r="O1688" s="503"/>
    </row>
    <row r="1689" spans="1:15" x14ac:dyDescent="0.35">
      <c r="A1689" s="497" t="b">
        <v>1</v>
      </c>
      <c r="B1689" s="497"/>
      <c r="C1689" s="515" t="s">
        <v>4695</v>
      </c>
      <c r="D1689" s="512">
        <v>3</v>
      </c>
      <c r="E1689" s="500"/>
      <c r="F1689" s="497"/>
      <c r="G1689" s="502"/>
      <c r="H1689" s="512"/>
      <c r="I1689" s="503"/>
      <c r="J1689" s="503"/>
      <c r="K1689" s="497" t="str">
        <f ca="1">IFERROR(VLOOKUP(C1689,' Disaggregation - Section E '!A$316:N638,3,0),"")</f>
        <v>TB O-2a Tasa de éxito del tratamiento en todas las formas de tuberculosis, confirmada bacteriológicamente y con diagnóstico clínico, casos nuevos y recaídas.</v>
      </c>
      <c r="L1689" s="503" t="s">
        <v>4037</v>
      </c>
      <c r="M1689" s="497" t="s">
        <v>1778</v>
      </c>
      <c r="N1689" s="503"/>
      <c r="O1689" s="503"/>
    </row>
    <row r="1690" spans="1:15" x14ac:dyDescent="0.35">
      <c r="A1690" s="497" t="b">
        <v>0</v>
      </c>
      <c r="B1690" s="497"/>
      <c r="C1690" s="515" t="s">
        <v>4697</v>
      </c>
      <c r="D1690" s="512">
        <v>3</v>
      </c>
      <c r="E1690" s="500"/>
      <c r="F1690" s="497"/>
      <c r="G1690" s="502"/>
      <c r="H1690" s="512"/>
      <c r="I1690" s="503"/>
      <c r="J1690" s="503"/>
      <c r="K1690" s="497" t="str">
        <f ca="1">IFERROR(VLOOKUP(C1690,' Disaggregation - Section E '!A$316:N639,3,0),"")</f>
        <v>TB O-2a Tasa de éxito del tratamiento en todas las formas de tuberculosis, confirmada bacteriológicamente y con diagnóstico clínico, casos nuevos y recaídas.</v>
      </c>
      <c r="L1690" s="503"/>
      <c r="M1690" s="497"/>
      <c r="N1690" s="503"/>
      <c r="O1690" s="503"/>
    </row>
    <row r="1691" spans="1:15" x14ac:dyDescent="0.35">
      <c r="A1691" s="497" t="b">
        <v>0</v>
      </c>
      <c r="B1691" s="497"/>
      <c r="C1691" s="515" t="s">
        <v>4699</v>
      </c>
      <c r="D1691" s="512">
        <v>3</v>
      </c>
      <c r="E1691" s="500"/>
      <c r="F1691" s="497"/>
      <c r="G1691" s="502"/>
      <c r="H1691" s="512"/>
      <c r="I1691" s="503"/>
      <c r="J1691" s="503"/>
      <c r="K1691" s="497" t="str">
        <f ca="1">IFERROR(VLOOKUP(C1691,' Disaggregation - Section E '!A$316:N640,3,0),"")</f>
        <v>TB O-2a Tasa de éxito del tratamiento en todas las formas de tuberculosis, confirmada bacteriológicamente y con diagnóstico clínico, casos nuevos y recaídas.</v>
      </c>
      <c r="L1691" s="503"/>
      <c r="M1691" s="497"/>
      <c r="N1691" s="503"/>
      <c r="O1691" s="503"/>
    </row>
    <row r="1692" spans="1:15" x14ac:dyDescent="0.35">
      <c r="A1692" s="497" t="b">
        <v>0</v>
      </c>
      <c r="B1692" s="497"/>
      <c r="C1692" s="515" t="s">
        <v>4701</v>
      </c>
      <c r="D1692" s="512">
        <v>3</v>
      </c>
      <c r="E1692" s="500"/>
      <c r="F1692" s="497"/>
      <c r="G1692" s="502"/>
      <c r="H1692" s="512"/>
      <c r="I1692" s="503"/>
      <c r="J1692" s="503"/>
      <c r="K1692" s="497" t="str">
        <f ca="1">IFERROR(VLOOKUP(C1692,' Disaggregation - Section E '!A$316:N641,3,0),"")</f>
        <v>TB O-2a Tasa de éxito del tratamiento en todas las formas de tuberculosis, confirmada bacteriológicamente y con diagnóstico clínico, casos nuevos y recaídas.</v>
      </c>
      <c r="L1692" s="503"/>
      <c r="M1692" s="497"/>
      <c r="N1692" s="503"/>
      <c r="O1692" s="503"/>
    </row>
    <row r="1693" spans="1:15" x14ac:dyDescent="0.35">
      <c r="A1693" s="497" t="b">
        <v>0</v>
      </c>
      <c r="B1693" s="497"/>
      <c r="C1693" s="515" t="s">
        <v>4703</v>
      </c>
      <c r="D1693" s="512">
        <v>3</v>
      </c>
      <c r="E1693" s="500"/>
      <c r="F1693" s="497"/>
      <c r="G1693" s="502"/>
      <c r="H1693" s="512"/>
      <c r="I1693" s="503"/>
      <c r="J1693" s="503"/>
      <c r="K1693" s="497" t="str">
        <f ca="1">IFERROR(VLOOKUP(C1693,' Disaggregation - Section E '!A$316:N642,3,0),"")</f>
        <v>TB O-2a Tasa de éxito del tratamiento en todas las formas de tuberculosis, confirmada bacteriológicamente y con diagnóstico clínico, casos nuevos y recaídas.</v>
      </c>
      <c r="L1693" s="503"/>
      <c r="M1693" s="497"/>
      <c r="N1693" s="503"/>
      <c r="O1693" s="503"/>
    </row>
    <row r="1694" spans="1:15" x14ac:dyDescent="0.35">
      <c r="A1694" s="497" t="b">
        <v>0</v>
      </c>
      <c r="B1694" s="497"/>
      <c r="C1694" s="515" t="s">
        <v>4705</v>
      </c>
      <c r="D1694" s="512">
        <v>3</v>
      </c>
      <c r="E1694" s="500"/>
      <c r="F1694" s="497"/>
      <c r="G1694" s="502"/>
      <c r="H1694" s="512"/>
      <c r="I1694" s="503"/>
      <c r="J1694" s="503"/>
      <c r="K1694" s="497" t="str">
        <f ca="1">IFERROR(VLOOKUP(C1694,' Disaggregation - Section E '!A$316:N643,3,0),"")</f>
        <v>TB O-2a Tasa de éxito del tratamiento en todas las formas de tuberculosis, confirmada bacteriológicamente y con diagnóstico clínico, casos nuevos y recaídas.</v>
      </c>
      <c r="L1694" s="503"/>
      <c r="M1694" s="497"/>
      <c r="N1694" s="503"/>
      <c r="O1694" s="503"/>
    </row>
    <row r="1695" spans="1:15" x14ac:dyDescent="0.35">
      <c r="A1695" s="497" t="b">
        <v>0</v>
      </c>
      <c r="B1695" s="497"/>
      <c r="C1695" s="515" t="s">
        <v>4707</v>
      </c>
      <c r="D1695" s="512">
        <v>3</v>
      </c>
      <c r="E1695" s="500"/>
      <c r="F1695" s="497"/>
      <c r="G1695" s="502"/>
      <c r="H1695" s="512"/>
      <c r="I1695" s="503"/>
      <c r="J1695" s="503"/>
      <c r="K1695" s="497" t="str">
        <f ca="1">IFERROR(VLOOKUP(C1695,' Disaggregation - Section E '!A$316:N644,3,0),"")</f>
        <v>TB O-2a Tasa de éxito del tratamiento en todas las formas de tuberculosis, confirmada bacteriológicamente y con diagnóstico clínico, casos nuevos y recaídas.</v>
      </c>
      <c r="L1695" s="503"/>
      <c r="M1695" s="497"/>
      <c r="N1695" s="503"/>
      <c r="O1695" s="503"/>
    </row>
    <row r="1696" spans="1:15" x14ac:dyDescent="0.35">
      <c r="A1696" s="497" t="b">
        <v>0</v>
      </c>
      <c r="B1696" s="497"/>
      <c r="C1696" s="515" t="s">
        <v>4709</v>
      </c>
      <c r="D1696" s="512">
        <v>3</v>
      </c>
      <c r="E1696" s="500"/>
      <c r="F1696" s="497"/>
      <c r="G1696" s="502"/>
      <c r="H1696" s="512"/>
      <c r="I1696" s="503"/>
      <c r="J1696" s="503"/>
      <c r="K1696" s="497" t="str">
        <f ca="1">IFERROR(VLOOKUP(C1696,' Disaggregation - Section E '!A$316:N645,3,0),"")</f>
        <v>TB O-2a Tasa de éxito del tratamiento en todas las formas de tuberculosis, confirmada bacteriológicamente y con diagnóstico clínico, casos nuevos y recaídas.</v>
      </c>
      <c r="L1696" s="503"/>
      <c r="M1696" s="497"/>
      <c r="N1696" s="503"/>
      <c r="O1696" s="503"/>
    </row>
    <row r="1697" spans="1:15" x14ac:dyDescent="0.35">
      <c r="A1697" s="497" t="b">
        <v>0</v>
      </c>
      <c r="B1697" s="497"/>
      <c r="C1697" s="515" t="s">
        <v>5006</v>
      </c>
      <c r="D1697" s="512">
        <v>4</v>
      </c>
      <c r="E1697" s="500"/>
      <c r="F1697" s="497"/>
      <c r="G1697" s="502"/>
      <c r="H1697" s="512"/>
      <c r="I1697" s="503"/>
      <c r="J1697" s="503"/>
      <c r="K1697" s="497" t="str">
        <f ca="1">IFERROR(VLOOKUP(C1697,' Disaggregation - Section E '!A$316:N646,3,0),"")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697" s="503"/>
      <c r="M1697" s="497"/>
      <c r="N1697" s="503"/>
      <c r="O1697" s="503"/>
    </row>
    <row r="1698" spans="1:15" x14ac:dyDescent="0.35">
      <c r="A1698" s="497" t="b">
        <v>0</v>
      </c>
      <c r="B1698" s="497"/>
      <c r="C1698" s="515" t="s">
        <v>5008</v>
      </c>
      <c r="D1698" s="512">
        <v>4</v>
      </c>
      <c r="E1698" s="500"/>
      <c r="F1698" s="497"/>
      <c r="G1698" s="502"/>
      <c r="H1698" s="512"/>
      <c r="I1698" s="503"/>
      <c r="J1698" s="503"/>
      <c r="K1698" s="497" t="str">
        <f ca="1">IFERROR(VLOOKUP(C1698,' Disaggregation - Section E '!A$316:N647,3,0),"")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698" s="503"/>
      <c r="M1698" s="497"/>
      <c r="N1698" s="503"/>
      <c r="O1698" s="503"/>
    </row>
    <row r="1699" spans="1:15" x14ac:dyDescent="0.35">
      <c r="A1699" s="497" t="b">
        <v>0</v>
      </c>
      <c r="B1699" s="497"/>
      <c r="C1699" s="515" t="s">
        <v>5010</v>
      </c>
      <c r="D1699" s="512">
        <v>4</v>
      </c>
      <c r="E1699" s="500"/>
      <c r="F1699" s="497"/>
      <c r="G1699" s="502"/>
      <c r="H1699" s="512"/>
      <c r="I1699" s="503"/>
      <c r="J1699" s="503"/>
      <c r="K1699" s="497" t="str">
        <f ca="1">IFERROR(VLOOKUP(C1699,' Disaggregation - Section E '!A$316:N648,3,0),"")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699" s="503"/>
      <c r="M1699" s="497"/>
      <c r="N1699" s="503"/>
      <c r="O1699" s="503"/>
    </row>
    <row r="1700" spans="1:15" x14ac:dyDescent="0.35">
      <c r="A1700" s="497" t="b">
        <v>0</v>
      </c>
      <c r="B1700" s="497"/>
      <c r="C1700" s="515" t="s">
        <v>5012</v>
      </c>
      <c r="D1700" s="512">
        <v>4</v>
      </c>
      <c r="E1700" s="500"/>
      <c r="F1700" s="497"/>
      <c r="G1700" s="502"/>
      <c r="H1700" s="512"/>
      <c r="I1700" s="503"/>
      <c r="J1700" s="503"/>
      <c r="K1700" s="497" t="str">
        <f ca="1">IFERROR(VLOOKUP(C1700,' Disaggregation - Section E '!A$316:N649,3,0),"")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0" s="503"/>
      <c r="M1700" s="497"/>
      <c r="N1700" s="503"/>
      <c r="O1700" s="503"/>
    </row>
    <row r="1701" spans="1:15" x14ac:dyDescent="0.35">
      <c r="A1701" s="497" t="b">
        <v>0</v>
      </c>
      <c r="B1701" s="497"/>
      <c r="C1701" s="515" t="s">
        <v>5014</v>
      </c>
      <c r="D1701" s="512">
        <v>4</v>
      </c>
      <c r="E1701" s="500"/>
      <c r="F1701" s="497"/>
      <c r="G1701" s="502"/>
      <c r="H1701" s="512"/>
      <c r="I1701" s="503"/>
      <c r="J1701" s="503"/>
      <c r="K1701" s="497" t="str">
        <f ca="1">IFERROR(VLOOKUP(C1701,' Disaggregation - Section E '!A$316:N650,3,0),"")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1" s="503"/>
      <c r="M1701" s="497"/>
      <c r="N1701" s="503"/>
      <c r="O1701" s="503"/>
    </row>
    <row r="1702" spans="1:15" x14ac:dyDescent="0.35">
      <c r="A1702" s="497" t="b">
        <v>0</v>
      </c>
      <c r="B1702" s="497"/>
      <c r="C1702" s="515" t="s">
        <v>5016</v>
      </c>
      <c r="D1702" s="512">
        <v>4</v>
      </c>
      <c r="E1702" s="500"/>
      <c r="F1702" s="497"/>
      <c r="G1702" s="502"/>
      <c r="H1702" s="512"/>
      <c r="I1702" s="503"/>
      <c r="J1702" s="503"/>
      <c r="K1702" s="497" t="str">
        <f ca="1">IFERROR(VLOOKUP(C1702,' Disaggregation - Section E '!A$316:N651,3,0),"")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2" s="503"/>
      <c r="M1702" s="497"/>
      <c r="N1702" s="503"/>
      <c r="O1702" s="503"/>
    </row>
    <row r="1703" spans="1:15" x14ac:dyDescent="0.35">
      <c r="A1703" s="497" t="b">
        <v>0</v>
      </c>
      <c r="B1703" s="497"/>
      <c r="C1703" s="515" t="s">
        <v>5018</v>
      </c>
      <c r="D1703" s="512">
        <v>4</v>
      </c>
      <c r="E1703" s="500"/>
      <c r="F1703" s="497"/>
      <c r="G1703" s="502"/>
      <c r="H1703" s="512"/>
      <c r="I1703" s="503"/>
      <c r="J1703" s="503"/>
      <c r="K1703" s="497" t="str">
        <f ca="1">IFERROR(VLOOKUP(C1703,' Disaggregation - Section E '!A$316:N652,3,0),"")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3" s="503"/>
      <c r="M1703" s="497"/>
      <c r="N1703" s="503"/>
      <c r="O1703" s="503"/>
    </row>
    <row r="1704" spans="1:15" x14ac:dyDescent="0.35">
      <c r="A1704" s="497" t="b">
        <v>0</v>
      </c>
      <c r="B1704" s="497"/>
      <c r="C1704" s="515" t="s">
        <v>5020</v>
      </c>
      <c r="D1704" s="512">
        <v>4</v>
      </c>
      <c r="E1704" s="500"/>
      <c r="F1704" s="497"/>
      <c r="G1704" s="502"/>
      <c r="H1704" s="512"/>
      <c r="I1704" s="503"/>
      <c r="J1704" s="503"/>
      <c r="K1704" s="497" t="str">
        <f ca="1">IFERROR(VLOOKUP(C1704,' Disaggregation - Section E '!A$316:N653,3,0),"")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4" s="503"/>
      <c r="M1704" s="497"/>
      <c r="N1704" s="503"/>
      <c r="O1704" s="503"/>
    </row>
    <row r="1705" spans="1:15" x14ac:dyDescent="0.35">
      <c r="A1705" s="497" t="b">
        <v>0</v>
      </c>
      <c r="B1705" s="497"/>
      <c r="C1705" s="515" t="s">
        <v>5022</v>
      </c>
      <c r="D1705" s="512">
        <v>4</v>
      </c>
      <c r="E1705" s="500"/>
      <c r="F1705" s="497"/>
      <c r="G1705" s="502"/>
      <c r="H1705" s="512"/>
      <c r="I1705" s="503"/>
      <c r="J1705" s="503"/>
      <c r="K1705" s="497" t="str">
        <f ca="1">IFERROR(VLOOKUP(C1705,' Disaggregation - Section E '!A$316:N654,3,0),"")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5" s="503"/>
      <c r="M1705" s="497"/>
      <c r="N1705" s="503"/>
      <c r="O1705" s="503"/>
    </row>
    <row r="1706" spans="1:15" x14ac:dyDescent="0.35">
      <c r="A1706" s="497" t="b">
        <v>0</v>
      </c>
      <c r="B1706" s="497"/>
      <c r="C1706" s="515" t="s">
        <v>5024</v>
      </c>
      <c r="D1706" s="512">
        <v>4</v>
      </c>
      <c r="E1706" s="500"/>
      <c r="F1706" s="497"/>
      <c r="G1706" s="502"/>
      <c r="H1706" s="512"/>
      <c r="I1706" s="503"/>
      <c r="J1706" s="503"/>
      <c r="K1706" s="497" t="str">
        <f ca="1">IFERROR(VLOOKUP(C1706,' Disaggregation - Section E '!A$316:N655,3,0),"")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706" s="503"/>
      <c r="M1706" s="497"/>
      <c r="N1706" s="503"/>
      <c r="O1706" s="503"/>
    </row>
    <row r="1707" spans="1:15" x14ac:dyDescent="0.35">
      <c r="A1707" s="497" t="b">
        <v>0</v>
      </c>
      <c r="B1707" s="497"/>
      <c r="C1707" s="515" t="s">
        <v>4712</v>
      </c>
      <c r="D1707" s="512">
        <v>5</v>
      </c>
      <c r="E1707" s="500"/>
      <c r="F1707" s="497"/>
      <c r="G1707" s="502"/>
      <c r="H1707" s="512"/>
      <c r="I1707" s="503"/>
      <c r="J1707" s="503"/>
      <c r="K1707" s="497" t="str">
        <f ca="1">IFERROR(VLOOKUP(C1707,' Disaggregation - Section E '!A$316:N656,3,0),"")</f>
        <v>TB O-6 Notificación de casos de tuberculosis resistente a la rifampicina (TB-RR) y/o tuberculosis multirresistente (TB-MR): porcentaje de casos notificados de TB-RR y/o TB-MR confirmados bacteriológicamente como proporción de todos los casos estimados de TB-RR y/o TB-MR.</v>
      </c>
      <c r="L1707" s="503"/>
      <c r="M1707" s="497"/>
      <c r="N1707" s="503"/>
      <c r="O1707" s="503"/>
    </row>
    <row r="1708" spans="1:15" x14ac:dyDescent="0.35">
      <c r="A1708" s="497" t="b">
        <v>0</v>
      </c>
      <c r="B1708" s="497"/>
      <c r="C1708" s="515" t="s">
        <v>4714</v>
      </c>
      <c r="D1708" s="512">
        <v>5</v>
      </c>
      <c r="E1708" s="500"/>
      <c r="F1708" s="497"/>
      <c r="G1708" s="502"/>
      <c r="H1708" s="512"/>
      <c r="I1708" s="503"/>
      <c r="J1708" s="503"/>
      <c r="K1708" s="497" t="str">
        <f ca="1">IFERROR(VLOOKUP(C1708,' Disaggregation - Section E '!A$316:N657,3,0),"")</f>
        <v>TB O-6 Notificación de casos de tuberculosis resistente a la rifampicina (TB-RR) y/o tuberculosis multirresistente (TB-MR): porcentaje de casos notificados de TB-RR y/o TB-MR confirmados bacteriológicamente como proporción de todos los casos estimados de TB-RR y/o TB-MR.</v>
      </c>
      <c r="L1708" s="503"/>
      <c r="M1708" s="497"/>
      <c r="N1708" s="503"/>
      <c r="O1708" s="503"/>
    </row>
    <row r="1709" spans="1:15" x14ac:dyDescent="0.35">
      <c r="A1709" s="497" t="b">
        <v>0</v>
      </c>
      <c r="B1709" s="497"/>
      <c r="C1709" s="515" t="s">
        <v>4716</v>
      </c>
      <c r="D1709" s="512">
        <v>5</v>
      </c>
      <c r="E1709" s="500"/>
      <c r="F1709" s="497"/>
      <c r="G1709" s="502"/>
      <c r="H1709" s="512"/>
      <c r="I1709" s="503"/>
      <c r="J1709" s="503"/>
      <c r="K1709" s="497" t="str">
        <f ca="1">IFERROR(VLOOKUP(C1709,' Disaggregation - Section E '!A$316:N658,3,0),"")</f>
        <v>TB O-6 Notificación de casos de tuberculosis resistente a la rifampicina (TB-RR) y/o tuberculosis multirresistente (TB-MR): porcentaje de casos notificados de TB-RR y/o TB-MR confirmados bacteriológicamente como proporción de todos los casos estimados de TB-RR y/o TB-MR.</v>
      </c>
      <c r="L1709" s="503"/>
      <c r="M1709" s="497"/>
      <c r="N1709" s="503"/>
      <c r="O1709" s="503"/>
    </row>
    <row r="1710" spans="1:15" x14ac:dyDescent="0.35">
      <c r="A1710" s="497" t="b">
        <v>0</v>
      </c>
      <c r="B1710" s="497"/>
      <c r="C1710" s="515" t="s">
        <v>4718</v>
      </c>
      <c r="D1710" s="512">
        <v>5</v>
      </c>
      <c r="E1710" s="500"/>
      <c r="F1710" s="497"/>
      <c r="G1710" s="502"/>
      <c r="H1710" s="512"/>
      <c r="I1710" s="503"/>
      <c r="J1710" s="503"/>
      <c r="K1710" s="497" t="str">
        <f ca="1">IFERROR(VLOOKUP(C1710,' Disaggregation - Section E '!A$316:N659,3,0),"")</f>
        <v>TB O-6 Notificación de casos de tuberculosis resistente a la rifampicina (TB-RR) y/o tuberculosis multirresistente (TB-MR): porcentaje de casos notificados de TB-RR y/o TB-MR confirmados bacteriológicamente como proporción de todos los casos estimados de TB-RR y/o TB-MR.</v>
      </c>
      <c r="L1710" s="503"/>
      <c r="M1710" s="497"/>
      <c r="N1710" s="503"/>
      <c r="O1710" s="503"/>
    </row>
    <row r="1711" spans="1:15" x14ac:dyDescent="0.35">
      <c r="A1711" s="497" t="b">
        <v>0</v>
      </c>
      <c r="B1711" s="497"/>
      <c r="C1711" s="515" t="s">
        <v>4720</v>
      </c>
      <c r="D1711" s="512">
        <v>5</v>
      </c>
      <c r="E1711" s="500"/>
      <c r="F1711" s="497"/>
      <c r="G1711" s="502"/>
      <c r="H1711" s="512"/>
      <c r="I1711" s="503"/>
      <c r="J1711" s="503"/>
      <c r="K1711" s="497" t="str">
        <f ca="1">IFERROR(VLOOKUP(C1711,' Disaggregation - Section E '!A$316:N660,3,0),"")</f>
        <v>TB O-6 Notificación de casos de tuberculosis resistente a la rifampicina (TB-RR) y/o tuberculosis multirresistente (TB-MR): porcentaje de casos notificados de TB-RR y/o TB-MR confirmados bacteriológicamente como proporción de todos los casos estimados de TB-RR y/o TB-MR.</v>
      </c>
      <c r="L1711" s="503"/>
      <c r="M1711" s="497"/>
      <c r="N1711" s="503"/>
      <c r="O1711" s="503"/>
    </row>
    <row r="1712" spans="1:15" x14ac:dyDescent="0.35">
      <c r="A1712" s="497" t="b">
        <v>0</v>
      </c>
      <c r="B1712" s="497"/>
      <c r="C1712" s="515" t="s">
        <v>4722</v>
      </c>
      <c r="D1712" s="512">
        <v>5</v>
      </c>
      <c r="E1712" s="500"/>
      <c r="F1712" s="497"/>
      <c r="G1712" s="502"/>
      <c r="H1712" s="512"/>
      <c r="I1712" s="503"/>
      <c r="J1712" s="503"/>
      <c r="K1712" s="497" t="str">
        <f ca="1">IFERROR(VLOOKUP(C1712,' Disaggregation - Section E '!A$316:N661,3,0),"")</f>
        <v>TB O-6 Notificación de casos de tuberculosis resistente a la rifampicina (TB-RR) y/o tuberculosis multirresistente (TB-MR): porcentaje de casos notificados de TB-RR y/o TB-MR confirmados bacteriológicamente como proporción de todos los casos estimados de TB-RR y/o TB-MR.</v>
      </c>
      <c r="L1712" s="503"/>
      <c r="M1712" s="497"/>
      <c r="N1712" s="503"/>
      <c r="O1712" s="503"/>
    </row>
    <row r="1713" spans="1:15" x14ac:dyDescent="0.35">
      <c r="A1713" s="497" t="b">
        <v>0</v>
      </c>
      <c r="B1713" s="497"/>
      <c r="C1713" s="515" t="s">
        <v>4724</v>
      </c>
      <c r="D1713" s="512">
        <v>5</v>
      </c>
      <c r="E1713" s="500"/>
      <c r="F1713" s="497"/>
      <c r="G1713" s="502"/>
      <c r="H1713" s="512"/>
      <c r="I1713" s="503"/>
      <c r="J1713" s="503"/>
      <c r="K1713" s="497" t="str">
        <f ca="1">IFERROR(VLOOKUP(C1713,' Disaggregation - Section E '!A$316:N662,3,0),"")</f>
        <v>TB O-6 Notificación de casos de tuberculosis resistente a la rifampicina (TB-RR) y/o tuberculosis multirresistente (TB-MR): porcentaje de casos notificados de TB-RR y/o TB-MR confirmados bacteriológicamente como proporción de todos los casos estimados de TB-RR y/o TB-MR.</v>
      </c>
      <c r="L1713" s="503"/>
      <c r="M1713" s="497"/>
      <c r="N1713" s="503"/>
      <c r="O1713" s="503"/>
    </row>
    <row r="1714" spans="1:15" x14ac:dyDescent="0.35">
      <c r="A1714" s="497" t="b">
        <v>0</v>
      </c>
      <c r="B1714" s="497"/>
      <c r="C1714" s="515" t="s">
        <v>4726</v>
      </c>
      <c r="D1714" s="512">
        <v>5</v>
      </c>
      <c r="E1714" s="500"/>
      <c r="F1714" s="497"/>
      <c r="G1714" s="502"/>
      <c r="H1714" s="512"/>
      <c r="I1714" s="503"/>
      <c r="J1714" s="503"/>
      <c r="K1714" s="497" t="str">
        <f ca="1">IFERROR(VLOOKUP(C1714,' Disaggregation - Section E '!A$316:N663,3,0),"")</f>
        <v>TB O-6 Notificación de casos de tuberculosis resistente a la rifampicina (TB-RR) y/o tuberculosis multirresistente (TB-MR): porcentaje de casos notificados de TB-RR y/o TB-MR confirmados bacteriológicamente como proporción de todos los casos estimados de TB-RR y/o TB-MR.</v>
      </c>
      <c r="L1714" s="503"/>
      <c r="M1714" s="497"/>
      <c r="N1714" s="503"/>
      <c r="O1714" s="503"/>
    </row>
    <row r="1715" spans="1:15" x14ac:dyDescent="0.35">
      <c r="A1715" s="497" t="b">
        <v>0</v>
      </c>
      <c r="B1715" s="497"/>
      <c r="C1715" s="515" t="s">
        <v>4728</v>
      </c>
      <c r="D1715" s="512">
        <v>5</v>
      </c>
      <c r="E1715" s="500"/>
      <c r="F1715" s="497"/>
      <c r="G1715" s="502"/>
      <c r="H1715" s="512"/>
      <c r="I1715" s="503"/>
      <c r="J1715" s="503"/>
      <c r="K1715" s="497" t="str">
        <f ca="1">IFERROR(VLOOKUP(C1715,' Disaggregation - Section E '!A$316:N664,3,0),"")</f>
        <v>TB O-6 Notificación de casos de tuberculosis resistente a la rifampicina (TB-RR) y/o tuberculosis multirresistente (TB-MR): porcentaje de casos notificados de TB-RR y/o TB-MR confirmados bacteriológicamente como proporción de todos los casos estimados de TB-RR y/o TB-MR.</v>
      </c>
      <c r="L1715" s="503"/>
      <c r="M1715" s="497"/>
      <c r="N1715" s="503"/>
      <c r="O1715" s="503"/>
    </row>
    <row r="1716" spans="1:15" x14ac:dyDescent="0.35">
      <c r="A1716" s="497" t="b">
        <v>0</v>
      </c>
      <c r="B1716" s="497"/>
      <c r="C1716" s="515" t="s">
        <v>4730</v>
      </c>
      <c r="D1716" s="512">
        <v>5</v>
      </c>
      <c r="E1716" s="500"/>
      <c r="F1716" s="497"/>
      <c r="G1716" s="502"/>
      <c r="H1716" s="512"/>
      <c r="I1716" s="503"/>
      <c r="J1716" s="503"/>
      <c r="K1716" s="497" t="str">
        <f ca="1">IFERROR(VLOOKUP(C1716,' Disaggregation - Section E '!A$316:N665,3,0),"")</f>
        <v>TB O-6 Notificación de casos de tuberculosis resistente a la rifampicina (TB-RR) y/o tuberculosis multirresistente (TB-MR): porcentaje de casos notificados de TB-RR y/o TB-MR confirmados bacteriológicamente como proporción de todos los casos estimados de TB-RR y/o TB-MR.</v>
      </c>
      <c r="L1716" s="503"/>
      <c r="M1716" s="497"/>
      <c r="N1716" s="503"/>
      <c r="O1716" s="503"/>
    </row>
    <row r="1717" spans="1:15" x14ac:dyDescent="0.35">
      <c r="A1717" s="497" t="b">
        <v>0</v>
      </c>
      <c r="B1717" s="497"/>
      <c r="C1717" s="515" t="s">
        <v>5027</v>
      </c>
      <c r="D1717" s="512">
        <v>6</v>
      </c>
      <c r="E1717" s="500"/>
      <c r="F1717" s="497"/>
      <c r="G1717" s="502"/>
      <c r="H1717" s="512"/>
      <c r="I1717" s="503"/>
      <c r="J1717" s="503"/>
      <c r="K1717" s="497" t="str">
        <f ca="1">IFERROR(VLOOKUP(C1717,' Disaggregation - Section E '!A$316:N666,3,0),"")</f>
        <v/>
      </c>
      <c r="L1717" s="503"/>
      <c r="M1717" s="497"/>
      <c r="N1717" s="503"/>
      <c r="O1717" s="503"/>
    </row>
    <row r="1718" spans="1:15" x14ac:dyDescent="0.35">
      <c r="A1718" s="497" t="b">
        <v>0</v>
      </c>
      <c r="B1718" s="497"/>
      <c r="C1718" s="515" t="s">
        <v>5029</v>
      </c>
      <c r="D1718" s="512">
        <v>6</v>
      </c>
      <c r="E1718" s="500"/>
      <c r="F1718" s="497"/>
      <c r="G1718" s="502"/>
      <c r="H1718" s="512"/>
      <c r="I1718" s="503"/>
      <c r="J1718" s="503"/>
      <c r="K1718" s="497" t="str">
        <f ca="1">IFERROR(VLOOKUP(C1718,' Disaggregation - Section E '!A$316:N667,3,0),"")</f>
        <v/>
      </c>
      <c r="L1718" s="503"/>
      <c r="M1718" s="497"/>
      <c r="N1718" s="503"/>
      <c r="O1718" s="503"/>
    </row>
    <row r="1719" spans="1:15" x14ac:dyDescent="0.35">
      <c r="A1719" s="497" t="b">
        <v>0</v>
      </c>
      <c r="B1719" s="497"/>
      <c r="C1719" s="515" t="s">
        <v>5031</v>
      </c>
      <c r="D1719" s="512">
        <v>6</v>
      </c>
      <c r="E1719" s="500"/>
      <c r="F1719" s="497"/>
      <c r="G1719" s="502"/>
      <c r="H1719" s="512"/>
      <c r="I1719" s="503"/>
      <c r="J1719" s="503"/>
      <c r="K1719" s="497" t="str">
        <f ca="1">IFERROR(VLOOKUP(C1719,' Disaggregation - Section E '!A$316:N668,3,0),"")</f>
        <v/>
      </c>
      <c r="L1719" s="503"/>
      <c r="M1719" s="497"/>
      <c r="N1719" s="503"/>
      <c r="O1719" s="503"/>
    </row>
    <row r="1720" spans="1:15" x14ac:dyDescent="0.35">
      <c r="A1720" s="497" t="b">
        <v>0</v>
      </c>
      <c r="B1720" s="497"/>
      <c r="C1720" s="515" t="s">
        <v>5033</v>
      </c>
      <c r="D1720" s="512">
        <v>6</v>
      </c>
      <c r="E1720" s="500"/>
      <c r="F1720" s="497"/>
      <c r="G1720" s="502"/>
      <c r="H1720" s="512"/>
      <c r="I1720" s="503"/>
      <c r="J1720" s="503"/>
      <c r="K1720" s="497" t="str">
        <f ca="1">IFERROR(VLOOKUP(C1720,' Disaggregation - Section E '!A$316:N669,3,0),"")</f>
        <v/>
      </c>
      <c r="L1720" s="503"/>
      <c r="M1720" s="497"/>
      <c r="N1720" s="503"/>
      <c r="O1720" s="503"/>
    </row>
    <row r="1721" spans="1:15" x14ac:dyDescent="0.35">
      <c r="A1721" s="497" t="b">
        <v>0</v>
      </c>
      <c r="B1721" s="497"/>
      <c r="C1721" s="515" t="s">
        <v>5035</v>
      </c>
      <c r="D1721" s="512">
        <v>6</v>
      </c>
      <c r="E1721" s="500"/>
      <c r="F1721" s="497"/>
      <c r="G1721" s="502"/>
      <c r="H1721" s="512"/>
      <c r="I1721" s="503"/>
      <c r="J1721" s="503"/>
      <c r="K1721" s="497" t="str">
        <f ca="1">IFERROR(VLOOKUP(C1721,' Disaggregation - Section E '!A$316:N670,3,0),"")</f>
        <v/>
      </c>
      <c r="L1721" s="503"/>
      <c r="M1721" s="497"/>
      <c r="N1721" s="503"/>
      <c r="O1721" s="503"/>
    </row>
    <row r="1722" spans="1:15" x14ac:dyDescent="0.35">
      <c r="A1722" s="497" t="b">
        <v>0</v>
      </c>
      <c r="B1722" s="497"/>
      <c r="C1722" s="515" t="s">
        <v>5037</v>
      </c>
      <c r="D1722" s="512">
        <v>6</v>
      </c>
      <c r="E1722" s="500"/>
      <c r="F1722" s="497"/>
      <c r="G1722" s="502"/>
      <c r="H1722" s="512"/>
      <c r="I1722" s="503"/>
      <c r="J1722" s="503"/>
      <c r="K1722" s="497" t="str">
        <f ca="1">IFERROR(VLOOKUP(C1722,' Disaggregation - Section E '!A$316:N671,3,0),"")</f>
        <v/>
      </c>
      <c r="L1722" s="503"/>
      <c r="M1722" s="497"/>
      <c r="N1722" s="503"/>
      <c r="O1722" s="503"/>
    </row>
    <row r="1723" spans="1:15" x14ac:dyDescent="0.35">
      <c r="A1723" s="497" t="b">
        <v>0</v>
      </c>
      <c r="B1723" s="497"/>
      <c r="C1723" s="515" t="s">
        <v>5039</v>
      </c>
      <c r="D1723" s="512">
        <v>6</v>
      </c>
      <c r="E1723" s="500"/>
      <c r="F1723" s="497"/>
      <c r="G1723" s="502"/>
      <c r="H1723" s="512"/>
      <c r="I1723" s="503"/>
      <c r="J1723" s="503"/>
      <c r="K1723" s="497" t="str">
        <f ca="1">IFERROR(VLOOKUP(C1723,' Disaggregation - Section E '!A$316:N672,3,0),"")</f>
        <v/>
      </c>
      <c r="L1723" s="503"/>
      <c r="M1723" s="497"/>
      <c r="N1723" s="503"/>
      <c r="O1723" s="503"/>
    </row>
    <row r="1724" spans="1:15" x14ac:dyDescent="0.35">
      <c r="A1724" s="497" t="b">
        <v>0</v>
      </c>
      <c r="B1724" s="497"/>
      <c r="C1724" s="515" t="s">
        <v>5041</v>
      </c>
      <c r="D1724" s="512">
        <v>6</v>
      </c>
      <c r="E1724" s="500"/>
      <c r="F1724" s="497"/>
      <c r="G1724" s="502"/>
      <c r="H1724" s="512"/>
      <c r="I1724" s="503"/>
      <c r="J1724" s="503"/>
      <c r="K1724" s="497" t="str">
        <f ca="1">IFERROR(VLOOKUP(C1724,' Disaggregation - Section E '!A$316:N673,3,0),"")</f>
        <v/>
      </c>
      <c r="L1724" s="503"/>
      <c r="M1724" s="497"/>
      <c r="N1724" s="503"/>
      <c r="O1724" s="503"/>
    </row>
    <row r="1725" spans="1:15" x14ac:dyDescent="0.35">
      <c r="A1725" s="497" t="b">
        <v>0</v>
      </c>
      <c r="B1725" s="497"/>
      <c r="C1725" s="515" t="s">
        <v>5043</v>
      </c>
      <c r="D1725" s="512">
        <v>6</v>
      </c>
      <c r="E1725" s="500"/>
      <c r="F1725" s="497"/>
      <c r="G1725" s="502"/>
      <c r="H1725" s="512"/>
      <c r="I1725" s="503"/>
      <c r="J1725" s="503"/>
      <c r="K1725" s="497" t="str">
        <f ca="1">IFERROR(VLOOKUP(C1725,' Disaggregation - Section E '!A$316:N674,3,0),"")</f>
        <v/>
      </c>
      <c r="L1725" s="503"/>
      <c r="M1725" s="497"/>
      <c r="N1725" s="503"/>
      <c r="O1725" s="503"/>
    </row>
    <row r="1726" spans="1:15" x14ac:dyDescent="0.35">
      <c r="A1726" s="497" t="b">
        <v>0</v>
      </c>
      <c r="B1726" s="497"/>
      <c r="C1726" s="515" t="s">
        <v>5045</v>
      </c>
      <c r="D1726" s="512">
        <v>6</v>
      </c>
      <c r="E1726" s="500"/>
      <c r="F1726" s="497"/>
      <c r="G1726" s="502"/>
      <c r="H1726" s="512"/>
      <c r="I1726" s="503"/>
      <c r="J1726" s="503"/>
      <c r="K1726" s="497" t="str">
        <f ca="1">IFERROR(VLOOKUP(C1726,' Disaggregation - Section E '!A$316:N675,3,0),"")</f>
        <v/>
      </c>
      <c r="L1726" s="503"/>
      <c r="M1726" s="497"/>
      <c r="N1726" s="503"/>
      <c r="O1726" s="503"/>
    </row>
    <row r="1727" spans="1:15" x14ac:dyDescent="0.35">
      <c r="A1727" s="497" t="b">
        <v>0</v>
      </c>
      <c r="B1727" s="497"/>
      <c r="C1727" s="515" t="s">
        <v>4733</v>
      </c>
      <c r="D1727" s="512">
        <v>7</v>
      </c>
      <c r="E1727" s="500"/>
      <c r="F1727" s="497"/>
      <c r="G1727" s="502"/>
      <c r="H1727" s="512"/>
      <c r="I1727" s="503"/>
      <c r="J1727" s="503"/>
      <c r="K1727" s="497" t="str">
        <f ca="1">IFERROR(VLOOKUP(C1727,' Disaggregation - Section E '!A$316:N676,3,0),"")</f>
        <v/>
      </c>
      <c r="L1727" s="503"/>
      <c r="M1727" s="497"/>
      <c r="N1727" s="503"/>
      <c r="O1727" s="503"/>
    </row>
    <row r="1728" spans="1:15" x14ac:dyDescent="0.35">
      <c r="A1728" s="497" t="b">
        <v>0</v>
      </c>
      <c r="B1728" s="497"/>
      <c r="C1728" s="515" t="s">
        <v>4735</v>
      </c>
      <c r="D1728" s="512">
        <v>7</v>
      </c>
      <c r="E1728" s="500"/>
      <c r="F1728" s="497"/>
      <c r="G1728" s="502"/>
      <c r="H1728" s="512"/>
      <c r="I1728" s="503"/>
      <c r="J1728" s="503"/>
      <c r="K1728" s="497" t="str">
        <f ca="1">IFERROR(VLOOKUP(C1728,' Disaggregation - Section E '!A$316:N677,3,0),"")</f>
        <v/>
      </c>
      <c r="L1728" s="503"/>
      <c r="M1728" s="497"/>
      <c r="N1728" s="503"/>
      <c r="O1728" s="503"/>
    </row>
    <row r="1729" spans="1:15" x14ac:dyDescent="0.35">
      <c r="A1729" s="497" t="b">
        <v>0</v>
      </c>
      <c r="B1729" s="497"/>
      <c r="C1729" s="515" t="s">
        <v>4737</v>
      </c>
      <c r="D1729" s="512">
        <v>7</v>
      </c>
      <c r="E1729" s="500"/>
      <c r="F1729" s="497"/>
      <c r="G1729" s="502"/>
      <c r="H1729" s="512"/>
      <c r="I1729" s="503"/>
      <c r="J1729" s="503"/>
      <c r="K1729" s="497" t="str">
        <f ca="1">IFERROR(VLOOKUP(C1729,' Disaggregation - Section E '!A$316:N678,3,0),"")</f>
        <v/>
      </c>
      <c r="L1729" s="503"/>
      <c r="M1729" s="497"/>
      <c r="N1729" s="503"/>
      <c r="O1729" s="503"/>
    </row>
    <row r="1730" spans="1:15" x14ac:dyDescent="0.35">
      <c r="A1730" s="497" t="b">
        <v>0</v>
      </c>
      <c r="B1730" s="497"/>
      <c r="C1730" s="515" t="s">
        <v>4739</v>
      </c>
      <c r="D1730" s="512">
        <v>7</v>
      </c>
      <c r="E1730" s="500"/>
      <c r="F1730" s="497"/>
      <c r="G1730" s="502"/>
      <c r="H1730" s="512"/>
      <c r="I1730" s="503"/>
      <c r="J1730" s="503"/>
      <c r="K1730" s="497" t="str">
        <f ca="1">IFERROR(VLOOKUP(C1730,' Disaggregation - Section E '!A$316:N679,3,0),"")</f>
        <v/>
      </c>
      <c r="L1730" s="503"/>
      <c r="M1730" s="497"/>
      <c r="N1730" s="503"/>
      <c r="O1730" s="503"/>
    </row>
    <row r="1731" spans="1:15" x14ac:dyDescent="0.35">
      <c r="A1731" s="497" t="b">
        <v>0</v>
      </c>
      <c r="B1731" s="497"/>
      <c r="C1731" s="515" t="s">
        <v>4741</v>
      </c>
      <c r="D1731" s="512">
        <v>7</v>
      </c>
      <c r="E1731" s="500"/>
      <c r="F1731" s="497"/>
      <c r="G1731" s="502"/>
      <c r="H1731" s="512"/>
      <c r="I1731" s="503"/>
      <c r="J1731" s="503"/>
      <c r="K1731" s="497" t="str">
        <f ca="1">IFERROR(VLOOKUP(C1731,' Disaggregation - Section E '!A$316:N680,3,0),"")</f>
        <v/>
      </c>
      <c r="L1731" s="503"/>
      <c r="M1731" s="497"/>
      <c r="N1731" s="503"/>
      <c r="O1731" s="503"/>
    </row>
    <row r="1732" spans="1:15" x14ac:dyDescent="0.35">
      <c r="A1732" s="497" t="b">
        <v>0</v>
      </c>
      <c r="B1732" s="497"/>
      <c r="C1732" s="515" t="s">
        <v>4743</v>
      </c>
      <c r="D1732" s="512">
        <v>7</v>
      </c>
      <c r="E1732" s="500"/>
      <c r="F1732" s="497"/>
      <c r="G1732" s="502"/>
      <c r="H1732" s="512"/>
      <c r="I1732" s="503"/>
      <c r="J1732" s="503"/>
      <c r="K1732" s="497" t="str">
        <f ca="1">IFERROR(VLOOKUP(C1732,' Disaggregation - Section E '!A$316:N681,3,0),"")</f>
        <v/>
      </c>
      <c r="L1732" s="503"/>
      <c r="M1732" s="497"/>
      <c r="N1732" s="503"/>
      <c r="O1732" s="503"/>
    </row>
    <row r="1733" spans="1:15" x14ac:dyDescent="0.35">
      <c r="A1733" s="497" t="b">
        <v>0</v>
      </c>
      <c r="B1733" s="497"/>
      <c r="C1733" s="515" t="s">
        <v>4745</v>
      </c>
      <c r="D1733" s="512">
        <v>7</v>
      </c>
      <c r="E1733" s="500"/>
      <c r="F1733" s="497"/>
      <c r="G1733" s="502"/>
      <c r="H1733" s="512"/>
      <c r="I1733" s="503"/>
      <c r="J1733" s="503"/>
      <c r="K1733" s="497" t="str">
        <f ca="1">IFERROR(VLOOKUP(C1733,' Disaggregation - Section E '!A$316:N682,3,0),"")</f>
        <v/>
      </c>
      <c r="L1733" s="503"/>
      <c r="M1733" s="497"/>
      <c r="N1733" s="503"/>
      <c r="O1733" s="503"/>
    </row>
    <row r="1734" spans="1:15" x14ac:dyDescent="0.35">
      <c r="A1734" s="497" t="b">
        <v>0</v>
      </c>
      <c r="B1734" s="497"/>
      <c r="C1734" s="515" t="s">
        <v>4747</v>
      </c>
      <c r="D1734" s="512">
        <v>7</v>
      </c>
      <c r="E1734" s="500"/>
      <c r="F1734" s="497"/>
      <c r="G1734" s="502"/>
      <c r="H1734" s="512"/>
      <c r="I1734" s="503"/>
      <c r="J1734" s="503"/>
      <c r="K1734" s="497" t="str">
        <f ca="1">IFERROR(VLOOKUP(C1734,' Disaggregation - Section E '!A$316:N683,3,0),"")</f>
        <v/>
      </c>
      <c r="L1734" s="503"/>
      <c r="M1734" s="497"/>
      <c r="N1734" s="503"/>
      <c r="O1734" s="503"/>
    </row>
    <row r="1735" spans="1:15" x14ac:dyDescent="0.35">
      <c r="A1735" s="497" t="b">
        <v>0</v>
      </c>
      <c r="B1735" s="497"/>
      <c r="C1735" s="515" t="s">
        <v>4749</v>
      </c>
      <c r="D1735" s="512">
        <v>7</v>
      </c>
      <c r="E1735" s="500"/>
      <c r="F1735" s="497"/>
      <c r="G1735" s="502"/>
      <c r="H1735" s="512"/>
      <c r="I1735" s="503"/>
      <c r="J1735" s="503"/>
      <c r="K1735" s="497" t="str">
        <f ca="1">IFERROR(VLOOKUP(C1735,' Disaggregation - Section E '!A$316:N684,3,0),"")</f>
        <v/>
      </c>
      <c r="L1735" s="503"/>
      <c r="M1735" s="497"/>
      <c r="N1735" s="503"/>
      <c r="O1735" s="503"/>
    </row>
    <row r="1736" spans="1:15" x14ac:dyDescent="0.35">
      <c r="A1736" s="497" t="b">
        <v>0</v>
      </c>
      <c r="B1736" s="497"/>
      <c r="C1736" s="515" t="s">
        <v>4751</v>
      </c>
      <c r="D1736" s="512">
        <v>7</v>
      </c>
      <c r="E1736" s="500"/>
      <c r="F1736" s="497"/>
      <c r="G1736" s="502"/>
      <c r="H1736" s="512"/>
      <c r="I1736" s="503"/>
      <c r="J1736" s="503"/>
      <c r="K1736" s="497" t="str">
        <f ca="1">IFERROR(VLOOKUP(C1736,' Disaggregation - Section E '!A$316:N685,3,0),"")</f>
        <v/>
      </c>
      <c r="L1736" s="503"/>
      <c r="M1736" s="497"/>
      <c r="N1736" s="503"/>
      <c r="O1736" s="503"/>
    </row>
    <row r="1737" spans="1:15" x14ac:dyDescent="0.35">
      <c r="A1737" s="497" t="b">
        <v>0</v>
      </c>
      <c r="B1737" s="497"/>
      <c r="C1737" s="515" t="s">
        <v>5048</v>
      </c>
      <c r="D1737" s="512">
        <v>8</v>
      </c>
      <c r="E1737" s="500"/>
      <c r="F1737" s="497"/>
      <c r="G1737" s="502"/>
      <c r="H1737" s="512"/>
      <c r="I1737" s="503"/>
      <c r="J1737" s="503"/>
      <c r="K1737" s="497" t="str">
        <f ca="1">IFERROR(VLOOKUP(C1737,' Disaggregation - Section E '!A$316:N686,3,0),"")</f>
        <v/>
      </c>
      <c r="L1737" s="503"/>
      <c r="M1737" s="497"/>
      <c r="N1737" s="503"/>
      <c r="O1737" s="503"/>
    </row>
    <row r="1738" spans="1:15" x14ac:dyDescent="0.35">
      <c r="A1738" s="497" t="b">
        <v>0</v>
      </c>
      <c r="B1738" s="497"/>
      <c r="C1738" s="515" t="s">
        <v>5050</v>
      </c>
      <c r="D1738" s="512">
        <v>8</v>
      </c>
      <c r="E1738" s="500"/>
      <c r="F1738" s="497"/>
      <c r="G1738" s="502"/>
      <c r="H1738" s="512"/>
      <c r="I1738" s="503"/>
      <c r="J1738" s="503"/>
      <c r="K1738" s="497" t="str">
        <f ca="1">IFERROR(VLOOKUP(C1738,' Disaggregation - Section E '!A$316:N687,3,0),"")</f>
        <v/>
      </c>
      <c r="L1738" s="503"/>
      <c r="M1738" s="497"/>
      <c r="N1738" s="503"/>
      <c r="O1738" s="503"/>
    </row>
    <row r="1739" spans="1:15" x14ac:dyDescent="0.35">
      <c r="A1739" s="497" t="b">
        <v>0</v>
      </c>
      <c r="B1739" s="497"/>
      <c r="C1739" s="515" t="s">
        <v>5052</v>
      </c>
      <c r="D1739" s="512">
        <v>8</v>
      </c>
      <c r="E1739" s="500"/>
      <c r="F1739" s="497"/>
      <c r="G1739" s="502"/>
      <c r="H1739" s="512"/>
      <c r="I1739" s="503"/>
      <c r="J1739" s="503"/>
      <c r="K1739" s="497" t="str">
        <f ca="1">IFERROR(VLOOKUP(C1739,' Disaggregation - Section E '!A$316:N688,3,0),"")</f>
        <v/>
      </c>
      <c r="L1739" s="503"/>
      <c r="M1739" s="497"/>
      <c r="N1739" s="503"/>
      <c r="O1739" s="503"/>
    </row>
    <row r="1740" spans="1:15" x14ac:dyDescent="0.35">
      <c r="A1740" s="497" t="b">
        <v>0</v>
      </c>
      <c r="B1740" s="497"/>
      <c r="C1740" s="515" t="s">
        <v>5054</v>
      </c>
      <c r="D1740" s="512">
        <v>8</v>
      </c>
      <c r="E1740" s="500"/>
      <c r="F1740" s="497"/>
      <c r="G1740" s="502"/>
      <c r="H1740" s="512"/>
      <c r="I1740" s="503"/>
      <c r="J1740" s="503"/>
      <c r="K1740" s="497" t="str">
        <f ca="1">IFERROR(VLOOKUP(C1740,' Disaggregation - Section E '!A$316:N689,3,0),"")</f>
        <v/>
      </c>
      <c r="L1740" s="503"/>
      <c r="M1740" s="497"/>
      <c r="N1740" s="503"/>
      <c r="O1740" s="503"/>
    </row>
    <row r="1741" spans="1:15" x14ac:dyDescent="0.35">
      <c r="A1741" s="497" t="b">
        <v>0</v>
      </c>
      <c r="B1741" s="497"/>
      <c r="C1741" s="515" t="s">
        <v>5056</v>
      </c>
      <c r="D1741" s="512">
        <v>8</v>
      </c>
      <c r="E1741" s="500"/>
      <c r="F1741" s="497"/>
      <c r="G1741" s="502"/>
      <c r="H1741" s="512"/>
      <c r="I1741" s="503"/>
      <c r="J1741" s="503"/>
      <c r="K1741" s="497" t="str">
        <f ca="1">IFERROR(VLOOKUP(C1741,' Disaggregation - Section E '!A$316:N690,3,0),"")</f>
        <v/>
      </c>
      <c r="L1741" s="503"/>
      <c r="M1741" s="497"/>
      <c r="N1741" s="503"/>
      <c r="O1741" s="503"/>
    </row>
    <row r="1742" spans="1:15" x14ac:dyDescent="0.35">
      <c r="A1742" s="497" t="b">
        <v>0</v>
      </c>
      <c r="B1742" s="497"/>
      <c r="C1742" s="515" t="s">
        <v>5058</v>
      </c>
      <c r="D1742" s="512">
        <v>8</v>
      </c>
      <c r="E1742" s="500"/>
      <c r="F1742" s="497"/>
      <c r="G1742" s="502"/>
      <c r="H1742" s="512"/>
      <c r="I1742" s="503"/>
      <c r="J1742" s="503"/>
      <c r="K1742" s="497" t="str">
        <f ca="1">IFERROR(VLOOKUP(C1742,' Disaggregation - Section E '!A$316:N691,3,0),"")</f>
        <v/>
      </c>
      <c r="L1742" s="503"/>
      <c r="M1742" s="497"/>
      <c r="N1742" s="503"/>
      <c r="O1742" s="503"/>
    </row>
    <row r="1743" spans="1:15" x14ac:dyDescent="0.35">
      <c r="A1743" s="497" t="b">
        <v>0</v>
      </c>
      <c r="B1743" s="497"/>
      <c r="C1743" s="515" t="s">
        <v>5060</v>
      </c>
      <c r="D1743" s="512">
        <v>8</v>
      </c>
      <c r="E1743" s="500"/>
      <c r="F1743" s="497"/>
      <c r="G1743" s="502"/>
      <c r="H1743" s="512"/>
      <c r="I1743" s="503"/>
      <c r="J1743" s="503"/>
      <c r="K1743" s="497" t="str">
        <f ca="1">IFERROR(VLOOKUP(C1743,' Disaggregation - Section E '!A$316:N692,3,0),"")</f>
        <v/>
      </c>
      <c r="L1743" s="503"/>
      <c r="M1743" s="497"/>
      <c r="N1743" s="503"/>
      <c r="O1743" s="503"/>
    </row>
    <row r="1744" spans="1:15" x14ac:dyDescent="0.35">
      <c r="A1744" s="497" t="b">
        <v>0</v>
      </c>
      <c r="B1744" s="497"/>
      <c r="C1744" s="515" t="s">
        <v>5062</v>
      </c>
      <c r="D1744" s="512">
        <v>8</v>
      </c>
      <c r="E1744" s="500"/>
      <c r="F1744" s="497"/>
      <c r="G1744" s="502"/>
      <c r="H1744" s="512"/>
      <c r="I1744" s="503"/>
      <c r="J1744" s="503"/>
      <c r="K1744" s="497" t="str">
        <f ca="1">IFERROR(VLOOKUP(C1744,' Disaggregation - Section E '!A$316:N693,3,0),"")</f>
        <v/>
      </c>
      <c r="L1744" s="503"/>
      <c r="M1744" s="497"/>
      <c r="N1744" s="503"/>
      <c r="O1744" s="503"/>
    </row>
    <row r="1745" spans="1:15" x14ac:dyDescent="0.35">
      <c r="A1745" s="497" t="b">
        <v>0</v>
      </c>
      <c r="B1745" s="497"/>
      <c r="C1745" s="515" t="s">
        <v>5064</v>
      </c>
      <c r="D1745" s="512">
        <v>8</v>
      </c>
      <c r="E1745" s="500"/>
      <c r="F1745" s="497"/>
      <c r="G1745" s="502"/>
      <c r="H1745" s="512"/>
      <c r="I1745" s="503"/>
      <c r="J1745" s="503"/>
      <c r="K1745" s="497" t="str">
        <f ca="1">IFERROR(VLOOKUP(C1745,' Disaggregation - Section E '!A$316:N694,3,0),"")</f>
        <v/>
      </c>
      <c r="L1745" s="503"/>
      <c r="M1745" s="497"/>
      <c r="N1745" s="503"/>
      <c r="O1745" s="503"/>
    </row>
    <row r="1746" spans="1:15" x14ac:dyDescent="0.35">
      <c r="A1746" s="497" t="b">
        <v>0</v>
      </c>
      <c r="B1746" s="497"/>
      <c r="C1746" s="515" t="s">
        <v>5066</v>
      </c>
      <c r="D1746" s="512">
        <v>8</v>
      </c>
      <c r="E1746" s="500"/>
      <c r="F1746" s="497"/>
      <c r="G1746" s="502"/>
      <c r="H1746" s="512"/>
      <c r="I1746" s="503"/>
      <c r="J1746" s="503"/>
      <c r="K1746" s="497" t="str">
        <f ca="1">IFERROR(VLOOKUP(C1746,' Disaggregation - Section E '!A$316:N695,3,0),"")</f>
        <v/>
      </c>
      <c r="L1746" s="503"/>
      <c r="M1746" s="497"/>
      <c r="N1746" s="503"/>
      <c r="O1746" s="503"/>
    </row>
    <row r="1747" spans="1:15" x14ac:dyDescent="0.35">
      <c r="A1747" s="497" t="b">
        <v>0</v>
      </c>
      <c r="B1747" s="497"/>
      <c r="C1747" s="515" t="s">
        <v>4754</v>
      </c>
      <c r="D1747" s="512">
        <v>9</v>
      </c>
      <c r="E1747" s="500"/>
      <c r="F1747" s="497"/>
      <c r="G1747" s="502"/>
      <c r="H1747" s="512"/>
      <c r="I1747" s="503"/>
      <c r="J1747" s="503"/>
      <c r="K1747" s="497" t="str">
        <f ca="1">IFERROR(VLOOKUP(C1747,' Disaggregation - Section E '!A$316:N696,3,0),"")</f>
        <v/>
      </c>
      <c r="L1747" s="503"/>
      <c r="M1747" s="497"/>
      <c r="N1747" s="503"/>
      <c r="O1747" s="503"/>
    </row>
    <row r="1748" spans="1:15" x14ac:dyDescent="0.35">
      <c r="A1748" s="497" t="b">
        <v>0</v>
      </c>
      <c r="B1748" s="497"/>
      <c r="C1748" s="515" t="s">
        <v>4756</v>
      </c>
      <c r="D1748" s="512">
        <v>9</v>
      </c>
      <c r="E1748" s="500"/>
      <c r="F1748" s="497"/>
      <c r="G1748" s="502"/>
      <c r="H1748" s="512"/>
      <c r="I1748" s="503"/>
      <c r="J1748" s="503"/>
      <c r="K1748" s="497" t="str">
        <f ca="1">IFERROR(VLOOKUP(C1748,' Disaggregation - Section E '!A$316:N697,3,0),"")</f>
        <v/>
      </c>
      <c r="L1748" s="503"/>
      <c r="M1748" s="497"/>
      <c r="N1748" s="503"/>
      <c r="O1748" s="503"/>
    </row>
    <row r="1749" spans="1:15" x14ac:dyDescent="0.35">
      <c r="A1749" s="497" t="b">
        <v>0</v>
      </c>
      <c r="B1749" s="497"/>
      <c r="C1749" s="515" t="s">
        <v>4758</v>
      </c>
      <c r="D1749" s="512">
        <v>9</v>
      </c>
      <c r="E1749" s="500"/>
      <c r="F1749" s="497"/>
      <c r="G1749" s="502"/>
      <c r="H1749" s="512"/>
      <c r="I1749" s="503"/>
      <c r="J1749" s="503"/>
      <c r="K1749" s="497" t="str">
        <f ca="1">IFERROR(VLOOKUP(C1749,' Disaggregation - Section E '!A$316:N698,3,0),"")</f>
        <v/>
      </c>
      <c r="L1749" s="503"/>
      <c r="M1749" s="497"/>
      <c r="N1749" s="503"/>
      <c r="O1749" s="503"/>
    </row>
    <row r="1750" spans="1:15" x14ac:dyDescent="0.35">
      <c r="A1750" s="497" t="b">
        <v>0</v>
      </c>
      <c r="B1750" s="497"/>
      <c r="C1750" s="515" t="s">
        <v>4760</v>
      </c>
      <c r="D1750" s="512">
        <v>9</v>
      </c>
      <c r="E1750" s="500"/>
      <c r="F1750" s="497"/>
      <c r="G1750" s="502"/>
      <c r="H1750" s="512"/>
      <c r="I1750" s="503"/>
      <c r="J1750" s="503"/>
      <c r="K1750" s="497" t="str">
        <f ca="1">IFERROR(VLOOKUP(C1750,' Disaggregation - Section E '!A$316:N699,3,0),"")</f>
        <v/>
      </c>
      <c r="L1750" s="503"/>
      <c r="M1750" s="497"/>
      <c r="N1750" s="503"/>
      <c r="O1750" s="503"/>
    </row>
    <row r="1751" spans="1:15" x14ac:dyDescent="0.35">
      <c r="A1751" s="497" t="b">
        <v>0</v>
      </c>
      <c r="B1751" s="497"/>
      <c r="C1751" s="515" t="s">
        <v>4762</v>
      </c>
      <c r="D1751" s="512">
        <v>9</v>
      </c>
      <c r="E1751" s="500"/>
      <c r="F1751" s="497"/>
      <c r="G1751" s="502"/>
      <c r="H1751" s="512"/>
      <c r="I1751" s="503"/>
      <c r="J1751" s="503"/>
      <c r="K1751" s="497" t="str">
        <f ca="1">IFERROR(VLOOKUP(C1751,' Disaggregation - Section E '!A$316:N700,3,0),"")</f>
        <v/>
      </c>
      <c r="L1751" s="503"/>
      <c r="M1751" s="497"/>
      <c r="N1751" s="503"/>
      <c r="O1751" s="503"/>
    </row>
    <row r="1752" spans="1:15" x14ac:dyDescent="0.35">
      <c r="A1752" s="497" t="b">
        <v>0</v>
      </c>
      <c r="B1752" s="497"/>
      <c r="C1752" s="515" t="s">
        <v>4764</v>
      </c>
      <c r="D1752" s="512">
        <v>9</v>
      </c>
      <c r="E1752" s="500"/>
      <c r="F1752" s="497"/>
      <c r="G1752" s="502"/>
      <c r="H1752" s="512"/>
      <c r="I1752" s="503"/>
      <c r="J1752" s="503"/>
      <c r="K1752" s="497" t="str">
        <f ca="1">IFERROR(VLOOKUP(C1752,' Disaggregation - Section E '!A$316:N701,3,0),"")</f>
        <v/>
      </c>
      <c r="L1752" s="503"/>
      <c r="M1752" s="497"/>
      <c r="N1752" s="503"/>
      <c r="O1752" s="503"/>
    </row>
    <row r="1753" spans="1:15" x14ac:dyDescent="0.35">
      <c r="A1753" s="497" t="b">
        <v>0</v>
      </c>
      <c r="B1753" s="497"/>
      <c r="C1753" s="515" t="s">
        <v>4766</v>
      </c>
      <c r="D1753" s="512">
        <v>9</v>
      </c>
      <c r="E1753" s="500"/>
      <c r="F1753" s="497"/>
      <c r="G1753" s="502"/>
      <c r="H1753" s="512"/>
      <c r="I1753" s="503"/>
      <c r="J1753" s="503"/>
      <c r="K1753" s="497" t="str">
        <f ca="1">IFERROR(VLOOKUP(C1753,' Disaggregation - Section E '!A$316:N702,3,0),"")</f>
        <v/>
      </c>
      <c r="L1753" s="503"/>
      <c r="M1753" s="497"/>
      <c r="N1753" s="503"/>
      <c r="O1753" s="503"/>
    </row>
    <row r="1754" spans="1:15" x14ac:dyDescent="0.35">
      <c r="A1754" s="497" t="b">
        <v>0</v>
      </c>
      <c r="B1754" s="497"/>
      <c r="C1754" s="515" t="s">
        <v>4768</v>
      </c>
      <c r="D1754" s="512">
        <v>9</v>
      </c>
      <c r="E1754" s="500"/>
      <c r="F1754" s="497"/>
      <c r="G1754" s="502"/>
      <c r="H1754" s="512"/>
      <c r="I1754" s="503"/>
      <c r="J1754" s="503"/>
      <c r="K1754" s="497" t="str">
        <f ca="1">IFERROR(VLOOKUP(C1754,' Disaggregation - Section E '!A$316:N703,3,0),"")</f>
        <v/>
      </c>
      <c r="L1754" s="503"/>
      <c r="M1754" s="497"/>
      <c r="N1754" s="503"/>
      <c r="O1754" s="503"/>
    </row>
    <row r="1755" spans="1:15" x14ac:dyDescent="0.35">
      <c r="A1755" s="497" t="b">
        <v>0</v>
      </c>
      <c r="B1755" s="497"/>
      <c r="C1755" s="515" t="s">
        <v>4770</v>
      </c>
      <c r="D1755" s="512">
        <v>9</v>
      </c>
      <c r="E1755" s="500"/>
      <c r="F1755" s="497"/>
      <c r="G1755" s="502"/>
      <c r="H1755" s="512"/>
      <c r="I1755" s="503"/>
      <c r="J1755" s="503"/>
      <c r="K1755" s="497" t="str">
        <f ca="1">IFERROR(VLOOKUP(C1755,' Disaggregation - Section E '!A$316:N704,3,0),"")</f>
        <v/>
      </c>
      <c r="L1755" s="503"/>
      <c r="M1755" s="497"/>
      <c r="N1755" s="503"/>
      <c r="O1755" s="503"/>
    </row>
    <row r="1756" spans="1:15" x14ac:dyDescent="0.35">
      <c r="A1756" s="497" t="b">
        <v>0</v>
      </c>
      <c r="B1756" s="497"/>
      <c r="C1756" s="515" t="s">
        <v>4772</v>
      </c>
      <c r="D1756" s="512">
        <v>9</v>
      </c>
      <c r="E1756" s="500"/>
      <c r="F1756" s="497"/>
      <c r="G1756" s="502"/>
      <c r="H1756" s="512"/>
      <c r="I1756" s="503"/>
      <c r="J1756" s="503"/>
      <c r="K1756" s="497" t="str">
        <f ca="1">IFERROR(VLOOKUP(C1756,' Disaggregation - Section E '!A$316:N705,3,0),"")</f>
        <v/>
      </c>
      <c r="L1756" s="503"/>
      <c r="M1756" s="497"/>
      <c r="N1756" s="503"/>
      <c r="O1756" s="503"/>
    </row>
    <row r="1757" spans="1:15" x14ac:dyDescent="0.35">
      <c r="A1757" s="497" t="b">
        <v>0</v>
      </c>
      <c r="B1757" s="497"/>
      <c r="C1757" s="515" t="s">
        <v>5069</v>
      </c>
      <c r="D1757" s="512">
        <v>10</v>
      </c>
      <c r="E1757" s="500"/>
      <c r="F1757" s="497"/>
      <c r="G1757" s="502"/>
      <c r="H1757" s="512"/>
      <c r="I1757" s="503"/>
      <c r="J1757" s="503"/>
      <c r="K1757" s="497" t="str">
        <f ca="1">IFERROR(VLOOKUP(C1757,' Disaggregation - Section E '!A$316:N706,3,0),"")</f>
        <v/>
      </c>
      <c r="L1757" s="503"/>
      <c r="M1757" s="497"/>
      <c r="N1757" s="503"/>
      <c r="O1757" s="503"/>
    </row>
    <row r="1758" spans="1:15" x14ac:dyDescent="0.35">
      <c r="A1758" s="497" t="b">
        <v>0</v>
      </c>
      <c r="B1758" s="497"/>
      <c r="C1758" s="515" t="s">
        <v>5071</v>
      </c>
      <c r="D1758" s="512">
        <v>10</v>
      </c>
      <c r="E1758" s="500"/>
      <c r="F1758" s="497"/>
      <c r="G1758" s="502"/>
      <c r="H1758" s="512"/>
      <c r="I1758" s="503"/>
      <c r="J1758" s="503"/>
      <c r="K1758" s="497" t="str">
        <f ca="1">IFERROR(VLOOKUP(C1758,' Disaggregation - Section E '!A$316:N707,3,0),"")</f>
        <v/>
      </c>
      <c r="L1758" s="503"/>
      <c r="M1758" s="497"/>
      <c r="N1758" s="503"/>
      <c r="O1758" s="503"/>
    </row>
    <row r="1759" spans="1:15" x14ac:dyDescent="0.35">
      <c r="A1759" s="497" t="b">
        <v>0</v>
      </c>
      <c r="B1759" s="497"/>
      <c r="C1759" s="515" t="s">
        <v>5073</v>
      </c>
      <c r="D1759" s="512">
        <v>10</v>
      </c>
      <c r="E1759" s="500"/>
      <c r="F1759" s="497"/>
      <c r="G1759" s="502"/>
      <c r="H1759" s="512"/>
      <c r="I1759" s="503"/>
      <c r="J1759" s="503"/>
      <c r="K1759" s="497" t="str">
        <f ca="1">IFERROR(VLOOKUP(C1759,' Disaggregation - Section E '!A$316:N708,3,0),"")</f>
        <v/>
      </c>
      <c r="L1759" s="503"/>
      <c r="M1759" s="497"/>
      <c r="N1759" s="503"/>
      <c r="O1759" s="503"/>
    </row>
    <row r="1760" spans="1:15" x14ac:dyDescent="0.35">
      <c r="A1760" s="497" t="b">
        <v>0</v>
      </c>
      <c r="B1760" s="497"/>
      <c r="C1760" s="515" t="s">
        <v>5075</v>
      </c>
      <c r="D1760" s="512">
        <v>10</v>
      </c>
      <c r="E1760" s="500"/>
      <c r="F1760" s="497"/>
      <c r="G1760" s="502"/>
      <c r="H1760" s="512"/>
      <c r="I1760" s="503"/>
      <c r="J1760" s="503"/>
      <c r="K1760" s="497" t="str">
        <f ca="1">IFERROR(VLOOKUP(C1760,' Disaggregation - Section E '!A$316:N709,3,0),"")</f>
        <v/>
      </c>
      <c r="L1760" s="503"/>
      <c r="M1760" s="497"/>
      <c r="N1760" s="503"/>
      <c r="O1760" s="503"/>
    </row>
    <row r="1761" spans="1:15" x14ac:dyDescent="0.35">
      <c r="A1761" s="497" t="b">
        <v>0</v>
      </c>
      <c r="B1761" s="497"/>
      <c r="C1761" s="515" t="s">
        <v>5077</v>
      </c>
      <c r="D1761" s="512">
        <v>10</v>
      </c>
      <c r="E1761" s="500"/>
      <c r="F1761" s="497"/>
      <c r="G1761" s="502"/>
      <c r="H1761" s="512"/>
      <c r="I1761" s="503"/>
      <c r="J1761" s="503"/>
      <c r="K1761" s="497" t="str">
        <f ca="1">IFERROR(VLOOKUP(C1761,' Disaggregation - Section E '!A$316:N710,3,0),"")</f>
        <v/>
      </c>
      <c r="L1761" s="503"/>
      <c r="M1761" s="497"/>
      <c r="N1761" s="503"/>
      <c r="O1761" s="503"/>
    </row>
    <row r="1762" spans="1:15" x14ac:dyDescent="0.35">
      <c r="A1762" s="497" t="b">
        <v>0</v>
      </c>
      <c r="B1762" s="497"/>
      <c r="C1762" s="515" t="s">
        <v>5079</v>
      </c>
      <c r="D1762" s="512">
        <v>10</v>
      </c>
      <c r="E1762" s="500"/>
      <c r="F1762" s="497"/>
      <c r="G1762" s="502"/>
      <c r="H1762" s="512"/>
      <c r="I1762" s="503"/>
      <c r="J1762" s="503"/>
      <c r="K1762" s="497" t="str">
        <f ca="1">IFERROR(VLOOKUP(C1762,' Disaggregation - Section E '!A$316:N711,3,0),"")</f>
        <v/>
      </c>
      <c r="L1762" s="503"/>
      <c r="M1762" s="497"/>
      <c r="N1762" s="503"/>
      <c r="O1762" s="503"/>
    </row>
    <row r="1763" spans="1:15" x14ac:dyDescent="0.35">
      <c r="A1763" s="497" t="b">
        <v>0</v>
      </c>
      <c r="B1763" s="497"/>
      <c r="C1763" s="515" t="s">
        <v>5081</v>
      </c>
      <c r="D1763" s="512">
        <v>10</v>
      </c>
      <c r="E1763" s="500"/>
      <c r="F1763" s="497"/>
      <c r="G1763" s="502"/>
      <c r="H1763" s="512"/>
      <c r="I1763" s="503"/>
      <c r="J1763" s="503"/>
      <c r="K1763" s="497" t="str">
        <f ca="1">IFERROR(VLOOKUP(C1763,' Disaggregation - Section E '!A$316:N712,3,0),"")</f>
        <v/>
      </c>
      <c r="L1763" s="503"/>
      <c r="M1763" s="497"/>
      <c r="N1763" s="503"/>
      <c r="O1763" s="503"/>
    </row>
    <row r="1764" spans="1:15" x14ac:dyDescent="0.35">
      <c r="A1764" s="497" t="b">
        <v>0</v>
      </c>
      <c r="B1764" s="497"/>
      <c r="C1764" s="515" t="s">
        <v>5083</v>
      </c>
      <c r="D1764" s="512">
        <v>10</v>
      </c>
      <c r="E1764" s="500"/>
      <c r="F1764" s="497"/>
      <c r="G1764" s="502"/>
      <c r="H1764" s="512"/>
      <c r="I1764" s="503"/>
      <c r="J1764" s="503"/>
      <c r="K1764" s="497" t="str">
        <f ca="1">IFERROR(VLOOKUP(C1764,' Disaggregation - Section E '!A$316:N713,3,0),"")</f>
        <v/>
      </c>
      <c r="L1764" s="503"/>
      <c r="M1764" s="497"/>
      <c r="N1764" s="503"/>
      <c r="O1764" s="503"/>
    </row>
    <row r="1765" spans="1:15" x14ac:dyDescent="0.35">
      <c r="A1765" s="497" t="b">
        <v>0</v>
      </c>
      <c r="B1765" s="497"/>
      <c r="C1765" s="515" t="s">
        <v>5085</v>
      </c>
      <c r="D1765" s="512">
        <v>10</v>
      </c>
      <c r="E1765" s="500"/>
      <c r="F1765" s="497"/>
      <c r="G1765" s="502"/>
      <c r="H1765" s="512"/>
      <c r="I1765" s="503"/>
      <c r="J1765" s="503"/>
      <c r="K1765" s="497" t="str">
        <f ca="1">IFERROR(VLOOKUP(C1765,' Disaggregation - Section E '!A$316:N714,3,0),"")</f>
        <v/>
      </c>
      <c r="L1765" s="503"/>
      <c r="M1765" s="497"/>
      <c r="N1765" s="503"/>
      <c r="O1765" s="503"/>
    </row>
    <row r="1766" spans="1:15" x14ac:dyDescent="0.35">
      <c r="A1766" s="497" t="b">
        <v>0</v>
      </c>
      <c r="B1766" s="497"/>
      <c r="C1766" s="515" t="s">
        <v>5087</v>
      </c>
      <c r="D1766" s="512">
        <v>10</v>
      </c>
      <c r="E1766" s="500"/>
      <c r="F1766" s="497"/>
      <c r="G1766" s="502"/>
      <c r="H1766" s="512"/>
      <c r="I1766" s="503"/>
      <c r="J1766" s="503"/>
      <c r="K1766" s="497" t="str">
        <f ca="1">IFERROR(VLOOKUP(C1766,' Disaggregation - Section E '!A$316:N715,3,0),"")</f>
        <v/>
      </c>
      <c r="L1766" s="503"/>
      <c r="M1766" s="497"/>
      <c r="N1766" s="503"/>
      <c r="O1766" s="503"/>
    </row>
    <row r="1767" spans="1:15" x14ac:dyDescent="0.35">
      <c r="A1767" s="497" t="b">
        <v>0</v>
      </c>
      <c r="B1767" s="497"/>
      <c r="C1767" s="515" t="s">
        <v>4775</v>
      </c>
      <c r="D1767" s="512">
        <v>11</v>
      </c>
      <c r="E1767" s="500"/>
      <c r="F1767" s="497"/>
      <c r="G1767" s="502"/>
      <c r="H1767" s="512"/>
      <c r="I1767" s="503"/>
      <c r="J1767" s="503"/>
      <c r="K1767" s="497" t="str">
        <f ca="1">IFERROR(VLOOKUP(C1767,' Disaggregation - Section E '!A$316:N716,3,0),"")</f>
        <v/>
      </c>
      <c r="L1767" s="503"/>
      <c r="M1767" s="497"/>
      <c r="N1767" s="503"/>
      <c r="O1767" s="503"/>
    </row>
    <row r="1768" spans="1:15" x14ac:dyDescent="0.35">
      <c r="A1768" s="497" t="b">
        <v>0</v>
      </c>
      <c r="B1768" s="497"/>
      <c r="C1768" s="515" t="s">
        <v>4777</v>
      </c>
      <c r="D1768" s="512">
        <v>11</v>
      </c>
      <c r="E1768" s="500"/>
      <c r="F1768" s="497"/>
      <c r="G1768" s="502"/>
      <c r="H1768" s="512"/>
      <c r="I1768" s="503"/>
      <c r="J1768" s="503"/>
      <c r="K1768" s="497" t="str">
        <f ca="1">IFERROR(VLOOKUP(C1768,' Disaggregation - Section E '!A$316:N717,3,0),"")</f>
        <v/>
      </c>
      <c r="L1768" s="503"/>
      <c r="M1768" s="497"/>
      <c r="N1768" s="503"/>
      <c r="O1768" s="503"/>
    </row>
    <row r="1769" spans="1:15" x14ac:dyDescent="0.35">
      <c r="A1769" s="497" t="b">
        <v>0</v>
      </c>
      <c r="B1769" s="497"/>
      <c r="C1769" s="515" t="s">
        <v>4779</v>
      </c>
      <c r="D1769" s="512">
        <v>11</v>
      </c>
      <c r="E1769" s="500"/>
      <c r="F1769" s="497"/>
      <c r="G1769" s="502"/>
      <c r="H1769" s="512"/>
      <c r="I1769" s="503"/>
      <c r="J1769" s="503"/>
      <c r="K1769" s="497" t="str">
        <f ca="1">IFERROR(VLOOKUP(C1769,' Disaggregation - Section E '!A$316:N718,3,0),"")</f>
        <v/>
      </c>
      <c r="L1769" s="503"/>
      <c r="M1769" s="497"/>
      <c r="N1769" s="503"/>
      <c r="O1769" s="503"/>
    </row>
    <row r="1770" spans="1:15" x14ac:dyDescent="0.35">
      <c r="A1770" s="497" t="b">
        <v>0</v>
      </c>
      <c r="B1770" s="497"/>
      <c r="C1770" s="515" t="s">
        <v>4781</v>
      </c>
      <c r="D1770" s="512">
        <v>11</v>
      </c>
      <c r="E1770" s="500"/>
      <c r="F1770" s="497"/>
      <c r="G1770" s="502"/>
      <c r="H1770" s="512"/>
      <c r="I1770" s="503"/>
      <c r="J1770" s="503"/>
      <c r="K1770" s="497" t="str">
        <f ca="1">IFERROR(VLOOKUP(C1770,' Disaggregation - Section E '!A$316:N719,3,0),"")</f>
        <v/>
      </c>
      <c r="L1770" s="503"/>
      <c r="M1770" s="497"/>
      <c r="N1770" s="503"/>
      <c r="O1770" s="503"/>
    </row>
    <row r="1771" spans="1:15" x14ac:dyDescent="0.35">
      <c r="A1771" s="497" t="b">
        <v>0</v>
      </c>
      <c r="B1771" s="497"/>
      <c r="C1771" s="515" t="s">
        <v>4783</v>
      </c>
      <c r="D1771" s="512">
        <v>11</v>
      </c>
      <c r="E1771" s="500"/>
      <c r="F1771" s="497"/>
      <c r="G1771" s="502"/>
      <c r="H1771" s="512"/>
      <c r="I1771" s="503"/>
      <c r="J1771" s="503"/>
      <c r="K1771" s="497" t="str">
        <f ca="1">IFERROR(VLOOKUP(C1771,' Disaggregation - Section E '!A$316:N720,3,0),"")</f>
        <v/>
      </c>
      <c r="L1771" s="503"/>
      <c r="M1771" s="497"/>
      <c r="N1771" s="503"/>
      <c r="O1771" s="503"/>
    </row>
    <row r="1772" spans="1:15" x14ac:dyDescent="0.35">
      <c r="A1772" s="497" t="b">
        <v>0</v>
      </c>
      <c r="B1772" s="497"/>
      <c r="C1772" s="515" t="s">
        <v>4785</v>
      </c>
      <c r="D1772" s="512">
        <v>11</v>
      </c>
      <c r="E1772" s="500"/>
      <c r="F1772" s="497"/>
      <c r="G1772" s="502"/>
      <c r="H1772" s="512"/>
      <c r="I1772" s="503"/>
      <c r="J1772" s="503"/>
      <c r="K1772" s="497" t="str">
        <f ca="1">IFERROR(VLOOKUP(C1772,' Disaggregation - Section E '!A$316:N721,3,0),"")</f>
        <v/>
      </c>
      <c r="L1772" s="503"/>
      <c r="M1772" s="497"/>
      <c r="N1772" s="503"/>
      <c r="O1772" s="503"/>
    </row>
    <row r="1773" spans="1:15" x14ac:dyDescent="0.35">
      <c r="A1773" s="497" t="b">
        <v>0</v>
      </c>
      <c r="B1773" s="497"/>
      <c r="C1773" s="515" t="s">
        <v>4787</v>
      </c>
      <c r="D1773" s="512">
        <v>11</v>
      </c>
      <c r="E1773" s="500"/>
      <c r="F1773" s="497"/>
      <c r="G1773" s="502"/>
      <c r="H1773" s="512"/>
      <c r="I1773" s="503"/>
      <c r="J1773" s="503"/>
      <c r="K1773" s="497" t="str">
        <f ca="1">IFERROR(VLOOKUP(C1773,' Disaggregation - Section E '!A$316:N722,3,0),"")</f>
        <v/>
      </c>
      <c r="L1773" s="503"/>
      <c r="M1773" s="497"/>
      <c r="N1773" s="503"/>
      <c r="O1773" s="503"/>
    </row>
    <row r="1774" spans="1:15" x14ac:dyDescent="0.35">
      <c r="A1774" s="497" t="b">
        <v>0</v>
      </c>
      <c r="B1774" s="497"/>
      <c r="C1774" s="515" t="s">
        <v>4789</v>
      </c>
      <c r="D1774" s="512">
        <v>11</v>
      </c>
      <c r="E1774" s="500"/>
      <c r="F1774" s="497"/>
      <c r="G1774" s="502"/>
      <c r="H1774" s="512"/>
      <c r="I1774" s="503"/>
      <c r="J1774" s="503"/>
      <c r="K1774" s="497" t="str">
        <f ca="1">IFERROR(VLOOKUP(C1774,' Disaggregation - Section E '!A$316:N723,3,0),"")</f>
        <v/>
      </c>
      <c r="L1774" s="503"/>
      <c r="M1774" s="497"/>
      <c r="N1774" s="503"/>
      <c r="O1774" s="503"/>
    </row>
    <row r="1775" spans="1:15" x14ac:dyDescent="0.35">
      <c r="A1775" s="497" t="b">
        <v>0</v>
      </c>
      <c r="B1775" s="497"/>
      <c r="C1775" s="515" t="s">
        <v>4791</v>
      </c>
      <c r="D1775" s="512">
        <v>11</v>
      </c>
      <c r="E1775" s="500"/>
      <c r="F1775" s="497"/>
      <c r="G1775" s="502"/>
      <c r="H1775" s="512"/>
      <c r="I1775" s="503"/>
      <c r="J1775" s="503"/>
      <c r="K1775" s="497" t="str">
        <f ca="1">IFERROR(VLOOKUP(C1775,' Disaggregation - Section E '!A$316:N724,3,0),"")</f>
        <v/>
      </c>
      <c r="L1775" s="503"/>
      <c r="M1775" s="497"/>
      <c r="N1775" s="503"/>
      <c r="O1775" s="503"/>
    </row>
    <row r="1776" spans="1:15" x14ac:dyDescent="0.35">
      <c r="A1776" s="497" t="b">
        <v>0</v>
      </c>
      <c r="B1776" s="497"/>
      <c r="C1776" s="515" t="s">
        <v>4793</v>
      </c>
      <c r="D1776" s="512">
        <v>11</v>
      </c>
      <c r="E1776" s="500"/>
      <c r="F1776" s="497"/>
      <c r="G1776" s="502"/>
      <c r="H1776" s="512"/>
      <c r="I1776" s="503"/>
      <c r="J1776" s="503"/>
      <c r="K1776" s="497" t="str">
        <f ca="1">IFERROR(VLOOKUP(C1776,' Disaggregation - Section E '!A$316:N725,3,0),"")</f>
        <v/>
      </c>
      <c r="L1776" s="503"/>
      <c r="M1776" s="497"/>
      <c r="N1776" s="503"/>
      <c r="O1776" s="503"/>
    </row>
    <row r="1777" spans="1:15" x14ac:dyDescent="0.35">
      <c r="A1777" s="497" t="b">
        <v>0</v>
      </c>
      <c r="B1777" s="497"/>
      <c r="C1777" s="515" t="s">
        <v>5090</v>
      </c>
      <c r="D1777" s="512">
        <v>12</v>
      </c>
      <c r="E1777" s="500"/>
      <c r="F1777" s="497"/>
      <c r="G1777" s="502"/>
      <c r="H1777" s="512"/>
      <c r="I1777" s="503"/>
      <c r="J1777" s="503"/>
      <c r="K1777" s="497" t="str">
        <f ca="1">IFERROR(VLOOKUP(C1777,' Disaggregation - Section E '!A$316:N726,3,0),"")</f>
        <v/>
      </c>
      <c r="L1777" s="503"/>
      <c r="M1777" s="497"/>
      <c r="N1777" s="503"/>
      <c r="O1777" s="503"/>
    </row>
    <row r="1778" spans="1:15" x14ac:dyDescent="0.35">
      <c r="A1778" s="497" t="b">
        <v>0</v>
      </c>
      <c r="B1778" s="497"/>
      <c r="C1778" s="515" t="s">
        <v>5092</v>
      </c>
      <c r="D1778" s="512">
        <v>12</v>
      </c>
      <c r="E1778" s="500"/>
      <c r="F1778" s="497"/>
      <c r="G1778" s="502"/>
      <c r="H1778" s="512"/>
      <c r="I1778" s="503"/>
      <c r="J1778" s="503"/>
      <c r="K1778" s="497" t="str">
        <f ca="1">IFERROR(VLOOKUP(C1778,' Disaggregation - Section E '!A$316:N727,3,0),"")</f>
        <v/>
      </c>
      <c r="L1778" s="503"/>
      <c r="M1778" s="497"/>
      <c r="N1778" s="503"/>
      <c r="O1778" s="503"/>
    </row>
    <row r="1779" spans="1:15" x14ac:dyDescent="0.35">
      <c r="A1779" s="497" t="b">
        <v>0</v>
      </c>
      <c r="B1779" s="497"/>
      <c r="C1779" s="515" t="s">
        <v>5094</v>
      </c>
      <c r="D1779" s="512">
        <v>12</v>
      </c>
      <c r="E1779" s="500"/>
      <c r="F1779" s="497"/>
      <c r="G1779" s="502"/>
      <c r="H1779" s="512"/>
      <c r="I1779" s="503"/>
      <c r="J1779" s="503"/>
      <c r="K1779" s="497" t="str">
        <f ca="1">IFERROR(VLOOKUP(C1779,' Disaggregation - Section E '!A$316:N728,3,0),"")</f>
        <v/>
      </c>
      <c r="L1779" s="503"/>
      <c r="M1779" s="497"/>
      <c r="N1779" s="503"/>
      <c r="O1779" s="503"/>
    </row>
    <row r="1780" spans="1:15" x14ac:dyDescent="0.35">
      <c r="A1780" s="497" t="b">
        <v>0</v>
      </c>
      <c r="B1780" s="497"/>
      <c r="C1780" s="515" t="s">
        <v>5096</v>
      </c>
      <c r="D1780" s="512">
        <v>12</v>
      </c>
      <c r="E1780" s="500"/>
      <c r="F1780" s="497"/>
      <c r="G1780" s="502"/>
      <c r="H1780" s="512"/>
      <c r="I1780" s="503"/>
      <c r="J1780" s="503"/>
      <c r="K1780" s="497" t="str">
        <f ca="1">IFERROR(VLOOKUP(C1780,' Disaggregation - Section E '!A$316:N729,3,0),"")</f>
        <v/>
      </c>
      <c r="L1780" s="503"/>
      <c r="M1780" s="497"/>
      <c r="N1780" s="503"/>
      <c r="O1780" s="503"/>
    </row>
    <row r="1781" spans="1:15" x14ac:dyDescent="0.35">
      <c r="A1781" s="497" t="b">
        <v>0</v>
      </c>
      <c r="B1781" s="497"/>
      <c r="C1781" s="515" t="s">
        <v>5098</v>
      </c>
      <c r="D1781" s="512">
        <v>12</v>
      </c>
      <c r="E1781" s="500"/>
      <c r="F1781" s="497"/>
      <c r="G1781" s="502"/>
      <c r="H1781" s="512"/>
      <c r="I1781" s="503"/>
      <c r="J1781" s="503"/>
      <c r="K1781" s="497" t="str">
        <f ca="1">IFERROR(VLOOKUP(C1781,' Disaggregation - Section E '!A$316:N730,3,0),"")</f>
        <v/>
      </c>
      <c r="L1781" s="503"/>
      <c r="M1781" s="497"/>
      <c r="N1781" s="503"/>
      <c r="O1781" s="503"/>
    </row>
    <row r="1782" spans="1:15" x14ac:dyDescent="0.35">
      <c r="A1782" s="497" t="b">
        <v>0</v>
      </c>
      <c r="B1782" s="497"/>
      <c r="C1782" s="515" t="s">
        <v>5100</v>
      </c>
      <c r="D1782" s="512">
        <v>12</v>
      </c>
      <c r="E1782" s="500"/>
      <c r="F1782" s="497"/>
      <c r="G1782" s="502"/>
      <c r="H1782" s="512"/>
      <c r="I1782" s="503"/>
      <c r="J1782" s="503"/>
      <c r="K1782" s="497" t="str">
        <f ca="1">IFERROR(VLOOKUP(C1782,' Disaggregation - Section E '!A$316:N731,3,0),"")</f>
        <v/>
      </c>
      <c r="L1782" s="503"/>
      <c r="M1782" s="497"/>
      <c r="N1782" s="503"/>
      <c r="O1782" s="503"/>
    </row>
    <row r="1783" spans="1:15" x14ac:dyDescent="0.35">
      <c r="A1783" s="497" t="b">
        <v>0</v>
      </c>
      <c r="B1783" s="497"/>
      <c r="C1783" s="515" t="s">
        <v>5102</v>
      </c>
      <c r="D1783" s="512">
        <v>12</v>
      </c>
      <c r="E1783" s="500"/>
      <c r="F1783" s="497"/>
      <c r="G1783" s="502"/>
      <c r="H1783" s="512"/>
      <c r="I1783" s="503"/>
      <c r="J1783" s="503"/>
      <c r="K1783" s="497" t="str">
        <f ca="1">IFERROR(VLOOKUP(C1783,' Disaggregation - Section E '!A$316:N732,3,0),"")</f>
        <v/>
      </c>
      <c r="L1783" s="503"/>
      <c r="M1783" s="497"/>
      <c r="N1783" s="503"/>
      <c r="O1783" s="503"/>
    </row>
    <row r="1784" spans="1:15" x14ac:dyDescent="0.35">
      <c r="A1784" s="497" t="b">
        <v>0</v>
      </c>
      <c r="B1784" s="497"/>
      <c r="C1784" s="515" t="s">
        <v>5104</v>
      </c>
      <c r="D1784" s="512">
        <v>12</v>
      </c>
      <c r="E1784" s="500"/>
      <c r="F1784" s="497"/>
      <c r="G1784" s="502"/>
      <c r="H1784" s="512"/>
      <c r="I1784" s="503"/>
      <c r="J1784" s="503"/>
      <c r="K1784" s="497" t="str">
        <f ca="1">IFERROR(VLOOKUP(C1784,' Disaggregation - Section E '!A$316:N733,3,0),"")</f>
        <v/>
      </c>
      <c r="L1784" s="503"/>
      <c r="M1784" s="497"/>
      <c r="N1784" s="503"/>
      <c r="O1784" s="503"/>
    </row>
    <row r="1785" spans="1:15" x14ac:dyDescent="0.35">
      <c r="A1785" s="497" t="b">
        <v>0</v>
      </c>
      <c r="B1785" s="497"/>
      <c r="C1785" s="515" t="s">
        <v>5106</v>
      </c>
      <c r="D1785" s="512">
        <v>12</v>
      </c>
      <c r="E1785" s="500"/>
      <c r="F1785" s="497"/>
      <c r="G1785" s="502"/>
      <c r="H1785" s="512"/>
      <c r="I1785" s="503"/>
      <c r="J1785" s="503"/>
      <c r="K1785" s="497" t="str">
        <f ca="1">IFERROR(VLOOKUP(C1785,' Disaggregation - Section E '!A$316:N734,3,0),"")</f>
        <v/>
      </c>
      <c r="L1785" s="503"/>
      <c r="M1785" s="497"/>
      <c r="N1785" s="503"/>
      <c r="O1785" s="503"/>
    </row>
    <row r="1786" spans="1:15" x14ac:dyDescent="0.35">
      <c r="A1786" s="497" t="b">
        <v>0</v>
      </c>
      <c r="B1786" s="497"/>
      <c r="C1786" s="515" t="s">
        <v>5108</v>
      </c>
      <c r="D1786" s="512">
        <v>12</v>
      </c>
      <c r="E1786" s="500"/>
      <c r="F1786" s="497"/>
      <c r="G1786" s="502"/>
      <c r="H1786" s="512"/>
      <c r="I1786" s="503"/>
      <c r="J1786" s="503"/>
      <c r="K1786" s="497" t="str">
        <f ca="1">IFERROR(VLOOKUP(C1786,' Disaggregation - Section E '!A$316:N735,3,0),"")</f>
        <v/>
      </c>
      <c r="L1786" s="503"/>
      <c r="M1786" s="497"/>
      <c r="N1786" s="503"/>
      <c r="O1786" s="503"/>
    </row>
    <row r="1787" spans="1:15" x14ac:dyDescent="0.35">
      <c r="A1787" s="497" t="b">
        <v>0</v>
      </c>
      <c r="B1787" s="497"/>
      <c r="C1787" s="515" t="s">
        <v>4796</v>
      </c>
      <c r="D1787" s="512">
        <v>13</v>
      </c>
      <c r="E1787" s="500"/>
      <c r="F1787" s="497"/>
      <c r="G1787" s="502"/>
      <c r="H1787" s="512"/>
      <c r="I1787" s="503"/>
      <c r="J1787" s="503"/>
      <c r="K1787" s="497" t="str">
        <f ca="1">IFERROR(VLOOKUP(C1787,' Disaggregation - Section E '!A$316:N736,3,0),"")</f>
        <v/>
      </c>
      <c r="L1787" s="503"/>
      <c r="M1787" s="497"/>
      <c r="N1787" s="503"/>
      <c r="O1787" s="503"/>
    </row>
    <row r="1788" spans="1:15" x14ac:dyDescent="0.35">
      <c r="A1788" s="497" t="b">
        <v>0</v>
      </c>
      <c r="B1788" s="497"/>
      <c r="C1788" s="515" t="s">
        <v>4798</v>
      </c>
      <c r="D1788" s="512">
        <v>13</v>
      </c>
      <c r="E1788" s="500"/>
      <c r="F1788" s="497"/>
      <c r="G1788" s="502"/>
      <c r="H1788" s="512"/>
      <c r="I1788" s="503"/>
      <c r="J1788" s="503"/>
      <c r="K1788" s="497" t="str">
        <f ca="1">IFERROR(VLOOKUP(C1788,' Disaggregation - Section E '!A$316:N737,3,0),"")</f>
        <v/>
      </c>
      <c r="L1788" s="503"/>
      <c r="M1788" s="497"/>
      <c r="N1788" s="503"/>
      <c r="O1788" s="503"/>
    </row>
    <row r="1789" spans="1:15" x14ac:dyDescent="0.35">
      <c r="A1789" s="497" t="b">
        <v>0</v>
      </c>
      <c r="B1789" s="497"/>
      <c r="C1789" s="515" t="s">
        <v>4800</v>
      </c>
      <c r="D1789" s="512">
        <v>13</v>
      </c>
      <c r="E1789" s="500"/>
      <c r="F1789" s="497"/>
      <c r="G1789" s="502"/>
      <c r="H1789" s="512"/>
      <c r="I1789" s="503"/>
      <c r="J1789" s="503"/>
      <c r="K1789" s="497" t="str">
        <f ca="1">IFERROR(VLOOKUP(C1789,' Disaggregation - Section E '!A$316:N738,3,0),"")</f>
        <v/>
      </c>
      <c r="L1789" s="503"/>
      <c r="M1789" s="497"/>
      <c r="N1789" s="503"/>
      <c r="O1789" s="503"/>
    </row>
    <row r="1790" spans="1:15" x14ac:dyDescent="0.35">
      <c r="A1790" s="497" t="b">
        <v>0</v>
      </c>
      <c r="B1790" s="497"/>
      <c r="C1790" s="515" t="s">
        <v>4802</v>
      </c>
      <c r="D1790" s="512">
        <v>13</v>
      </c>
      <c r="E1790" s="500"/>
      <c r="F1790" s="497"/>
      <c r="G1790" s="502"/>
      <c r="H1790" s="512"/>
      <c r="I1790" s="503"/>
      <c r="J1790" s="503"/>
      <c r="K1790" s="497" t="str">
        <f ca="1">IFERROR(VLOOKUP(C1790,' Disaggregation - Section E '!A$316:N739,3,0),"")</f>
        <v/>
      </c>
      <c r="L1790" s="503"/>
      <c r="M1790" s="497"/>
      <c r="N1790" s="503"/>
      <c r="O1790" s="503"/>
    </row>
    <row r="1791" spans="1:15" x14ac:dyDescent="0.35">
      <c r="A1791" s="497" t="b">
        <v>0</v>
      </c>
      <c r="B1791" s="497"/>
      <c r="C1791" s="515" t="s">
        <v>4804</v>
      </c>
      <c r="D1791" s="512">
        <v>13</v>
      </c>
      <c r="E1791" s="500"/>
      <c r="F1791" s="497"/>
      <c r="G1791" s="502"/>
      <c r="H1791" s="512"/>
      <c r="I1791" s="503"/>
      <c r="J1791" s="503"/>
      <c r="K1791" s="497" t="str">
        <f ca="1">IFERROR(VLOOKUP(C1791,' Disaggregation - Section E '!A$316:N740,3,0),"")</f>
        <v/>
      </c>
      <c r="L1791" s="503"/>
      <c r="M1791" s="497"/>
      <c r="N1791" s="503"/>
      <c r="O1791" s="503"/>
    </row>
    <row r="1792" spans="1:15" x14ac:dyDescent="0.35">
      <c r="A1792" s="497" t="b">
        <v>0</v>
      </c>
      <c r="B1792" s="497"/>
      <c r="C1792" s="515" t="s">
        <v>4806</v>
      </c>
      <c r="D1792" s="512">
        <v>13</v>
      </c>
      <c r="E1792" s="500"/>
      <c r="F1792" s="497"/>
      <c r="G1792" s="502"/>
      <c r="H1792" s="512"/>
      <c r="I1792" s="503"/>
      <c r="J1792" s="503"/>
      <c r="K1792" s="497" t="str">
        <f ca="1">IFERROR(VLOOKUP(C1792,' Disaggregation - Section E '!A$316:N741,3,0),"")</f>
        <v/>
      </c>
      <c r="L1792" s="503"/>
      <c r="M1792" s="497"/>
      <c r="N1792" s="503"/>
      <c r="O1792" s="503"/>
    </row>
    <row r="1793" spans="1:15" x14ac:dyDescent="0.35">
      <c r="A1793" s="497" t="b">
        <v>0</v>
      </c>
      <c r="B1793" s="497"/>
      <c r="C1793" s="515" t="s">
        <v>4808</v>
      </c>
      <c r="D1793" s="512">
        <v>13</v>
      </c>
      <c r="E1793" s="500"/>
      <c r="F1793" s="497"/>
      <c r="G1793" s="502"/>
      <c r="H1793" s="512"/>
      <c r="I1793" s="503"/>
      <c r="J1793" s="503"/>
      <c r="K1793" s="497" t="str">
        <f ca="1">IFERROR(VLOOKUP(C1793,' Disaggregation - Section E '!A$316:N742,3,0),"")</f>
        <v/>
      </c>
      <c r="L1793" s="503"/>
      <c r="M1793" s="497"/>
      <c r="N1793" s="503"/>
      <c r="O1793" s="503"/>
    </row>
    <row r="1794" spans="1:15" x14ac:dyDescent="0.35">
      <c r="A1794" s="497" t="b">
        <v>0</v>
      </c>
      <c r="B1794" s="497"/>
      <c r="C1794" s="515" t="s">
        <v>4810</v>
      </c>
      <c r="D1794" s="512">
        <v>13</v>
      </c>
      <c r="E1794" s="500"/>
      <c r="F1794" s="497"/>
      <c r="G1794" s="502"/>
      <c r="H1794" s="512"/>
      <c r="I1794" s="503"/>
      <c r="J1794" s="503"/>
      <c r="K1794" s="497" t="str">
        <f ca="1">IFERROR(VLOOKUP(C1794,' Disaggregation - Section E '!A$316:N743,3,0),"")</f>
        <v/>
      </c>
      <c r="L1794" s="503"/>
      <c r="M1794" s="497"/>
      <c r="N1794" s="503"/>
      <c r="O1794" s="503"/>
    </row>
    <row r="1795" spans="1:15" x14ac:dyDescent="0.35">
      <c r="A1795" s="497" t="b">
        <v>0</v>
      </c>
      <c r="B1795" s="497"/>
      <c r="C1795" s="515" t="s">
        <v>4812</v>
      </c>
      <c r="D1795" s="512">
        <v>13</v>
      </c>
      <c r="E1795" s="500"/>
      <c r="F1795" s="497"/>
      <c r="G1795" s="502"/>
      <c r="H1795" s="512"/>
      <c r="I1795" s="503"/>
      <c r="J1795" s="503"/>
      <c r="K1795" s="497" t="str">
        <f ca="1">IFERROR(VLOOKUP(C1795,' Disaggregation - Section E '!A$316:N744,3,0),"")</f>
        <v/>
      </c>
      <c r="L1795" s="503"/>
      <c r="M1795" s="497"/>
      <c r="N1795" s="503"/>
      <c r="O1795" s="503"/>
    </row>
    <row r="1796" spans="1:15" x14ac:dyDescent="0.35">
      <c r="A1796" s="497" t="b">
        <v>0</v>
      </c>
      <c r="B1796" s="497"/>
      <c r="C1796" s="515" t="s">
        <v>4814</v>
      </c>
      <c r="D1796" s="512">
        <v>13</v>
      </c>
      <c r="E1796" s="500"/>
      <c r="F1796" s="497"/>
      <c r="G1796" s="502"/>
      <c r="H1796" s="512"/>
      <c r="I1796" s="503"/>
      <c r="J1796" s="503"/>
      <c r="K1796" s="497" t="str">
        <f ca="1">IFERROR(VLOOKUP(C1796,' Disaggregation - Section E '!A$316:N745,3,0),"")</f>
        <v/>
      </c>
      <c r="L1796" s="503"/>
      <c r="M1796" s="497"/>
      <c r="N1796" s="503"/>
      <c r="O1796" s="503"/>
    </row>
    <row r="1797" spans="1:15" x14ac:dyDescent="0.35">
      <c r="A1797" s="497" t="b">
        <v>0</v>
      </c>
      <c r="B1797" s="497"/>
      <c r="C1797" s="515" t="s">
        <v>5111</v>
      </c>
      <c r="D1797" s="512">
        <v>14</v>
      </c>
      <c r="E1797" s="500"/>
      <c r="F1797" s="497"/>
      <c r="G1797" s="502"/>
      <c r="H1797" s="512"/>
      <c r="I1797" s="503"/>
      <c r="J1797" s="503"/>
      <c r="K1797" s="497" t="str">
        <f ca="1">IFERROR(VLOOKUP(C1797,' Disaggregation - Section E '!A$316:N746,3,0),"")</f>
        <v/>
      </c>
      <c r="L1797" s="503"/>
      <c r="M1797" s="497"/>
      <c r="N1797" s="503"/>
      <c r="O1797" s="503"/>
    </row>
    <row r="1798" spans="1:15" x14ac:dyDescent="0.35">
      <c r="A1798" s="497" t="b">
        <v>0</v>
      </c>
      <c r="B1798" s="497"/>
      <c r="C1798" s="515" t="s">
        <v>5113</v>
      </c>
      <c r="D1798" s="512">
        <v>14</v>
      </c>
      <c r="E1798" s="500"/>
      <c r="F1798" s="497"/>
      <c r="G1798" s="502"/>
      <c r="H1798" s="512"/>
      <c r="I1798" s="503"/>
      <c r="J1798" s="503"/>
      <c r="K1798" s="497" t="str">
        <f ca="1">IFERROR(VLOOKUP(C1798,' Disaggregation - Section E '!A$316:N747,3,0),"")</f>
        <v/>
      </c>
      <c r="L1798" s="503"/>
      <c r="M1798" s="497"/>
      <c r="N1798" s="503"/>
      <c r="O1798" s="503"/>
    </row>
    <row r="1799" spans="1:15" x14ac:dyDescent="0.35">
      <c r="A1799" s="497" t="b">
        <v>0</v>
      </c>
      <c r="B1799" s="497"/>
      <c r="C1799" s="515" t="s">
        <v>5115</v>
      </c>
      <c r="D1799" s="512">
        <v>14</v>
      </c>
      <c r="E1799" s="500"/>
      <c r="F1799" s="497"/>
      <c r="G1799" s="502"/>
      <c r="H1799" s="512"/>
      <c r="I1799" s="503"/>
      <c r="J1799" s="503"/>
      <c r="K1799" s="497" t="str">
        <f ca="1">IFERROR(VLOOKUP(C1799,' Disaggregation - Section E '!A$316:N748,3,0),"")</f>
        <v/>
      </c>
      <c r="L1799" s="503"/>
      <c r="M1799" s="497"/>
      <c r="N1799" s="503"/>
      <c r="O1799" s="503"/>
    </row>
    <row r="1800" spans="1:15" x14ac:dyDescent="0.35">
      <c r="A1800" s="497" t="b">
        <v>0</v>
      </c>
      <c r="B1800" s="497"/>
      <c r="C1800" s="515" t="s">
        <v>5117</v>
      </c>
      <c r="D1800" s="512">
        <v>14</v>
      </c>
      <c r="E1800" s="500"/>
      <c r="F1800" s="497"/>
      <c r="G1800" s="502"/>
      <c r="H1800" s="512"/>
      <c r="I1800" s="503"/>
      <c r="J1800" s="503"/>
      <c r="K1800" s="497" t="str">
        <f ca="1">IFERROR(VLOOKUP(C1800,' Disaggregation - Section E '!A$316:N749,3,0),"")</f>
        <v/>
      </c>
      <c r="L1800" s="503"/>
      <c r="M1800" s="497"/>
      <c r="N1800" s="503"/>
      <c r="O1800" s="503"/>
    </row>
    <row r="1801" spans="1:15" x14ac:dyDescent="0.35">
      <c r="A1801" s="497" t="b">
        <v>0</v>
      </c>
      <c r="B1801" s="497"/>
      <c r="C1801" s="515" t="s">
        <v>5119</v>
      </c>
      <c r="D1801" s="512">
        <v>14</v>
      </c>
      <c r="E1801" s="500"/>
      <c r="F1801" s="497"/>
      <c r="G1801" s="502"/>
      <c r="H1801" s="512"/>
      <c r="I1801" s="503"/>
      <c r="J1801" s="503"/>
      <c r="K1801" s="497" t="str">
        <f ca="1">IFERROR(VLOOKUP(C1801,' Disaggregation - Section E '!A$316:N750,3,0),"")</f>
        <v/>
      </c>
      <c r="L1801" s="503"/>
      <c r="M1801" s="497"/>
      <c r="N1801" s="503"/>
      <c r="O1801" s="503"/>
    </row>
    <row r="1802" spans="1:15" x14ac:dyDescent="0.35">
      <c r="A1802" s="497" t="b">
        <v>0</v>
      </c>
      <c r="B1802" s="497"/>
      <c r="C1802" s="515" t="s">
        <v>5121</v>
      </c>
      <c r="D1802" s="512">
        <v>14</v>
      </c>
      <c r="E1802" s="500"/>
      <c r="F1802" s="497"/>
      <c r="G1802" s="502"/>
      <c r="H1802" s="512"/>
      <c r="I1802" s="503"/>
      <c r="J1802" s="503"/>
      <c r="K1802" s="497" t="str">
        <f ca="1">IFERROR(VLOOKUP(C1802,' Disaggregation - Section E '!A$316:N751,3,0),"")</f>
        <v/>
      </c>
      <c r="L1802" s="503"/>
      <c r="M1802" s="497"/>
      <c r="N1802" s="503"/>
      <c r="O1802" s="503"/>
    </row>
    <row r="1803" spans="1:15" x14ac:dyDescent="0.35">
      <c r="A1803" s="497" t="b">
        <v>0</v>
      </c>
      <c r="B1803" s="497"/>
      <c r="C1803" s="515" t="s">
        <v>5123</v>
      </c>
      <c r="D1803" s="512">
        <v>14</v>
      </c>
      <c r="E1803" s="500"/>
      <c r="F1803" s="497"/>
      <c r="G1803" s="502"/>
      <c r="H1803" s="512"/>
      <c r="I1803" s="503"/>
      <c r="J1803" s="503"/>
      <c r="K1803" s="497" t="str">
        <f ca="1">IFERROR(VLOOKUP(C1803,' Disaggregation - Section E '!A$316:N752,3,0),"")</f>
        <v/>
      </c>
      <c r="L1803" s="503"/>
      <c r="M1803" s="497"/>
      <c r="N1803" s="503"/>
      <c r="O1803" s="503"/>
    </row>
    <row r="1804" spans="1:15" x14ac:dyDescent="0.35">
      <c r="A1804" s="497" t="b">
        <v>0</v>
      </c>
      <c r="B1804" s="497"/>
      <c r="C1804" s="515" t="s">
        <v>5125</v>
      </c>
      <c r="D1804" s="512">
        <v>14</v>
      </c>
      <c r="E1804" s="500"/>
      <c r="F1804" s="497"/>
      <c r="G1804" s="502"/>
      <c r="H1804" s="512"/>
      <c r="I1804" s="503"/>
      <c r="J1804" s="503"/>
      <c r="K1804" s="497" t="str">
        <f ca="1">IFERROR(VLOOKUP(C1804,' Disaggregation - Section E '!A$316:N753,3,0),"")</f>
        <v/>
      </c>
      <c r="L1804" s="503"/>
      <c r="M1804" s="497"/>
      <c r="N1804" s="503"/>
      <c r="O1804" s="503"/>
    </row>
    <row r="1805" spans="1:15" x14ac:dyDescent="0.35">
      <c r="A1805" s="497" t="b">
        <v>0</v>
      </c>
      <c r="B1805" s="497"/>
      <c r="C1805" s="515" t="s">
        <v>5127</v>
      </c>
      <c r="D1805" s="512">
        <v>14</v>
      </c>
      <c r="E1805" s="500"/>
      <c r="F1805" s="497"/>
      <c r="G1805" s="502"/>
      <c r="H1805" s="512"/>
      <c r="I1805" s="503"/>
      <c r="J1805" s="503"/>
      <c r="K1805" s="497" t="str">
        <f ca="1">IFERROR(VLOOKUP(C1805,' Disaggregation - Section E '!A$316:N754,3,0),"")</f>
        <v/>
      </c>
      <c r="L1805" s="503"/>
      <c r="M1805" s="497"/>
      <c r="N1805" s="503"/>
      <c r="O1805" s="503"/>
    </row>
    <row r="1806" spans="1:15" x14ac:dyDescent="0.35">
      <c r="A1806" s="497" t="b">
        <v>0</v>
      </c>
      <c r="B1806" s="497"/>
      <c r="C1806" s="515" t="s">
        <v>5129</v>
      </c>
      <c r="D1806" s="512">
        <v>14</v>
      </c>
      <c r="E1806" s="500"/>
      <c r="F1806" s="497"/>
      <c r="G1806" s="502"/>
      <c r="H1806" s="512"/>
      <c r="I1806" s="503"/>
      <c r="J1806" s="503"/>
      <c r="K1806" s="497" t="str">
        <f ca="1">IFERROR(VLOOKUP(C1806,' Disaggregation - Section E '!A$316:N755,3,0),"")</f>
        <v/>
      </c>
      <c r="L1806" s="503"/>
      <c r="M1806" s="497"/>
      <c r="N1806" s="503"/>
      <c r="O1806" s="503"/>
    </row>
    <row r="1807" spans="1:15" x14ac:dyDescent="0.35">
      <c r="A1807" s="497" t="b">
        <v>0</v>
      </c>
      <c r="B1807" s="497"/>
      <c r="C1807" s="515" t="s">
        <v>4817</v>
      </c>
      <c r="D1807" s="512">
        <v>15</v>
      </c>
      <c r="E1807" s="500"/>
      <c r="F1807" s="497"/>
      <c r="G1807" s="502"/>
      <c r="H1807" s="512"/>
      <c r="I1807" s="503"/>
      <c r="J1807" s="503"/>
      <c r="K1807" s="497" t="str">
        <f ca="1">IFERROR(VLOOKUP(C1807,' Disaggregation - Section E '!A$316:N756,3,0),"")</f>
        <v/>
      </c>
      <c r="L1807" s="503"/>
      <c r="M1807" s="497"/>
      <c r="N1807" s="503"/>
      <c r="O1807" s="503"/>
    </row>
    <row r="1808" spans="1:15" x14ac:dyDescent="0.35">
      <c r="A1808" s="497" t="b">
        <v>0</v>
      </c>
      <c r="B1808" s="497"/>
      <c r="C1808" s="515" t="s">
        <v>4819</v>
      </c>
      <c r="D1808" s="512">
        <v>15</v>
      </c>
      <c r="E1808" s="500"/>
      <c r="F1808" s="497"/>
      <c r="G1808" s="502"/>
      <c r="H1808" s="512"/>
      <c r="I1808" s="503"/>
      <c r="J1808" s="503"/>
      <c r="K1808" s="497" t="str">
        <f ca="1">IFERROR(VLOOKUP(C1808,' Disaggregation - Section E '!A$316:N757,3,0),"")</f>
        <v/>
      </c>
      <c r="L1808" s="503"/>
      <c r="M1808" s="497"/>
      <c r="N1808" s="503"/>
      <c r="O1808" s="503"/>
    </row>
    <row r="1809" spans="1:15" x14ac:dyDescent="0.35">
      <c r="A1809" s="497" t="b">
        <v>0</v>
      </c>
      <c r="B1809" s="497"/>
      <c r="C1809" s="515" t="s">
        <v>4821</v>
      </c>
      <c r="D1809" s="512">
        <v>15</v>
      </c>
      <c r="E1809" s="500"/>
      <c r="F1809" s="497"/>
      <c r="G1809" s="502"/>
      <c r="H1809" s="512"/>
      <c r="I1809" s="503"/>
      <c r="J1809" s="503"/>
      <c r="K1809" s="497" t="str">
        <f ca="1">IFERROR(VLOOKUP(C1809,' Disaggregation - Section E '!A$316:N758,3,0),"")</f>
        <v/>
      </c>
      <c r="L1809" s="503"/>
      <c r="M1809" s="497"/>
      <c r="N1809" s="503"/>
      <c r="O1809" s="503"/>
    </row>
    <row r="1810" spans="1:15" x14ac:dyDescent="0.35">
      <c r="A1810" s="497" t="b">
        <v>0</v>
      </c>
      <c r="B1810" s="497"/>
      <c r="C1810" s="515" t="s">
        <v>4823</v>
      </c>
      <c r="D1810" s="512">
        <v>15</v>
      </c>
      <c r="E1810" s="500"/>
      <c r="F1810" s="497"/>
      <c r="G1810" s="502"/>
      <c r="H1810" s="512"/>
      <c r="I1810" s="503"/>
      <c r="J1810" s="503"/>
      <c r="K1810" s="497" t="str">
        <f ca="1">IFERROR(VLOOKUP(C1810,' Disaggregation - Section E '!A$316:N759,3,0),"")</f>
        <v/>
      </c>
      <c r="L1810" s="503"/>
      <c r="M1810" s="497"/>
      <c r="N1810" s="503"/>
      <c r="O1810" s="503"/>
    </row>
    <row r="1811" spans="1:15" x14ac:dyDescent="0.35">
      <c r="A1811" s="497" t="b">
        <v>0</v>
      </c>
      <c r="B1811" s="497"/>
      <c r="C1811" s="515" t="s">
        <v>4825</v>
      </c>
      <c r="D1811" s="512">
        <v>15</v>
      </c>
      <c r="E1811" s="500"/>
      <c r="F1811" s="497"/>
      <c r="G1811" s="502"/>
      <c r="H1811" s="512"/>
      <c r="I1811" s="503"/>
      <c r="J1811" s="503"/>
      <c r="K1811" s="497" t="str">
        <f ca="1">IFERROR(VLOOKUP(C1811,' Disaggregation - Section E '!A$316:N760,3,0),"")</f>
        <v/>
      </c>
      <c r="L1811" s="503"/>
      <c r="M1811" s="497"/>
      <c r="N1811" s="503"/>
      <c r="O1811" s="503"/>
    </row>
    <row r="1812" spans="1:15" x14ac:dyDescent="0.35">
      <c r="A1812" s="497" t="b">
        <v>0</v>
      </c>
      <c r="B1812" s="497"/>
      <c r="C1812" s="515" t="s">
        <v>4827</v>
      </c>
      <c r="D1812" s="512">
        <v>15</v>
      </c>
      <c r="E1812" s="500"/>
      <c r="F1812" s="497"/>
      <c r="G1812" s="502"/>
      <c r="H1812" s="512"/>
      <c r="I1812" s="503"/>
      <c r="J1812" s="503"/>
      <c r="K1812" s="497" t="str">
        <f ca="1">IFERROR(VLOOKUP(C1812,' Disaggregation - Section E '!A$316:N761,3,0),"")</f>
        <v/>
      </c>
      <c r="L1812" s="503"/>
      <c r="M1812" s="497"/>
      <c r="N1812" s="503"/>
      <c r="O1812" s="503"/>
    </row>
    <row r="1813" spans="1:15" x14ac:dyDescent="0.35">
      <c r="A1813" s="497" t="b">
        <v>0</v>
      </c>
      <c r="B1813" s="497"/>
      <c r="C1813" s="515" t="s">
        <v>4829</v>
      </c>
      <c r="D1813" s="512">
        <v>15</v>
      </c>
      <c r="E1813" s="500"/>
      <c r="F1813" s="497"/>
      <c r="G1813" s="502"/>
      <c r="H1813" s="512"/>
      <c r="I1813" s="503"/>
      <c r="J1813" s="503"/>
      <c r="K1813" s="497" t="str">
        <f ca="1">IFERROR(VLOOKUP(C1813,' Disaggregation - Section E '!A$316:N762,3,0),"")</f>
        <v/>
      </c>
      <c r="L1813" s="503"/>
      <c r="M1813" s="497"/>
      <c r="N1813" s="503"/>
      <c r="O1813" s="503"/>
    </row>
    <row r="1814" spans="1:15" x14ac:dyDescent="0.35">
      <c r="A1814" s="497" t="b">
        <v>0</v>
      </c>
      <c r="B1814" s="497"/>
      <c r="C1814" s="515" t="s">
        <v>4831</v>
      </c>
      <c r="D1814" s="512">
        <v>15</v>
      </c>
      <c r="E1814" s="500"/>
      <c r="F1814" s="497"/>
      <c r="G1814" s="502"/>
      <c r="H1814" s="512"/>
      <c r="I1814" s="503"/>
      <c r="J1814" s="503"/>
      <c r="K1814" s="497" t="str">
        <f ca="1">IFERROR(VLOOKUP(C1814,' Disaggregation - Section E '!A$316:N763,3,0),"")</f>
        <v/>
      </c>
      <c r="L1814" s="503"/>
      <c r="M1814" s="497"/>
      <c r="N1814" s="503"/>
      <c r="O1814" s="503"/>
    </row>
    <row r="1815" spans="1:15" x14ac:dyDescent="0.35">
      <c r="A1815" s="497" t="b">
        <v>0</v>
      </c>
      <c r="B1815" s="497"/>
      <c r="C1815" s="515" t="s">
        <v>4833</v>
      </c>
      <c r="D1815" s="512">
        <v>15</v>
      </c>
      <c r="E1815" s="500"/>
      <c r="F1815" s="497"/>
      <c r="G1815" s="502"/>
      <c r="H1815" s="512"/>
      <c r="I1815" s="503"/>
      <c r="J1815" s="503"/>
      <c r="K1815" s="497" t="str">
        <f ca="1">IFERROR(VLOOKUP(C1815,' Disaggregation - Section E '!A$316:N764,3,0),"")</f>
        <v/>
      </c>
      <c r="L1815" s="503"/>
      <c r="M1815" s="497"/>
      <c r="N1815" s="503"/>
      <c r="O1815" s="503"/>
    </row>
    <row r="1816" spans="1:15" x14ac:dyDescent="0.35">
      <c r="A1816" s="497" t="b">
        <v>0</v>
      </c>
      <c r="B1816" s="497"/>
      <c r="C1816" s="515" t="s">
        <v>4835</v>
      </c>
      <c r="D1816" s="512">
        <v>15</v>
      </c>
      <c r="E1816" s="500"/>
      <c r="F1816" s="497"/>
      <c r="G1816" s="502"/>
      <c r="H1816" s="512"/>
      <c r="I1816" s="503"/>
      <c r="J1816" s="503"/>
      <c r="K1816" s="497" t="str">
        <f ca="1">IFERROR(VLOOKUP(C1816,' Disaggregation - Section E '!A$316:N765,3,0),"")</f>
        <v/>
      </c>
      <c r="L1816" s="503"/>
      <c r="M1816" s="497"/>
      <c r="N1816" s="503"/>
      <c r="O1816" s="503"/>
    </row>
    <row r="1817" spans="1:15" x14ac:dyDescent="0.35">
      <c r="A1817" s="497" t="b">
        <v>0</v>
      </c>
      <c r="B1817" s="497"/>
      <c r="C1817" s="515" t="s">
        <v>5132</v>
      </c>
      <c r="D1817" s="512">
        <v>16</v>
      </c>
      <c r="E1817" s="500"/>
      <c r="F1817" s="497"/>
      <c r="G1817" s="502"/>
      <c r="H1817" s="512"/>
      <c r="I1817" s="503"/>
      <c r="J1817" s="503"/>
      <c r="K1817" s="497" t="str">
        <f ca="1">IFERROR(VLOOKUP(C1817,' Disaggregation - Section E '!A$316:N766,3,0),"")</f>
        <v/>
      </c>
      <c r="L1817" s="503"/>
      <c r="M1817" s="497"/>
      <c r="N1817" s="503"/>
      <c r="O1817" s="503"/>
    </row>
    <row r="1818" spans="1:15" x14ac:dyDescent="0.35">
      <c r="A1818" s="497" t="b">
        <v>0</v>
      </c>
      <c r="B1818" s="497"/>
      <c r="C1818" s="515" t="s">
        <v>5134</v>
      </c>
      <c r="D1818" s="512">
        <v>16</v>
      </c>
      <c r="E1818" s="500"/>
      <c r="F1818" s="497"/>
      <c r="G1818" s="502"/>
      <c r="H1818" s="512"/>
      <c r="I1818" s="503"/>
      <c r="J1818" s="503"/>
      <c r="K1818" s="497" t="str">
        <f ca="1">IFERROR(VLOOKUP(C1818,' Disaggregation - Section E '!A$316:N767,3,0),"")</f>
        <v/>
      </c>
      <c r="L1818" s="503"/>
      <c r="M1818" s="497"/>
      <c r="N1818" s="503"/>
      <c r="O1818" s="503"/>
    </row>
    <row r="1819" spans="1:15" x14ac:dyDescent="0.35">
      <c r="A1819" s="497" t="b">
        <v>0</v>
      </c>
      <c r="B1819" s="497"/>
      <c r="C1819" s="515" t="s">
        <v>5136</v>
      </c>
      <c r="D1819" s="512">
        <v>16</v>
      </c>
      <c r="E1819" s="500"/>
      <c r="F1819" s="497"/>
      <c r="G1819" s="502"/>
      <c r="H1819" s="512"/>
      <c r="I1819" s="503"/>
      <c r="J1819" s="503"/>
      <c r="K1819" s="497" t="str">
        <f ca="1">IFERROR(VLOOKUP(C1819,' Disaggregation - Section E '!A$316:N768,3,0),"")</f>
        <v/>
      </c>
      <c r="L1819" s="503"/>
      <c r="M1819" s="497"/>
      <c r="N1819" s="503"/>
      <c r="O1819" s="503"/>
    </row>
    <row r="1820" spans="1:15" x14ac:dyDescent="0.35">
      <c r="A1820" s="497" t="b">
        <v>0</v>
      </c>
      <c r="B1820" s="497"/>
      <c r="C1820" s="515" t="s">
        <v>5138</v>
      </c>
      <c r="D1820" s="512">
        <v>16</v>
      </c>
      <c r="E1820" s="500"/>
      <c r="F1820" s="497"/>
      <c r="G1820" s="502"/>
      <c r="H1820" s="512"/>
      <c r="I1820" s="503"/>
      <c r="J1820" s="503"/>
      <c r="K1820" s="497" t="str">
        <f ca="1">IFERROR(VLOOKUP(C1820,' Disaggregation - Section E '!A$316:N769,3,0),"")</f>
        <v/>
      </c>
      <c r="L1820" s="503"/>
      <c r="M1820" s="497"/>
      <c r="N1820" s="503"/>
      <c r="O1820" s="503"/>
    </row>
    <row r="1821" spans="1:15" x14ac:dyDescent="0.35">
      <c r="A1821" s="497" t="b">
        <v>0</v>
      </c>
      <c r="B1821" s="497"/>
      <c r="C1821" s="515" t="s">
        <v>5140</v>
      </c>
      <c r="D1821" s="512">
        <v>16</v>
      </c>
      <c r="E1821" s="500"/>
      <c r="F1821" s="497"/>
      <c r="G1821" s="502"/>
      <c r="H1821" s="512"/>
      <c r="I1821" s="503"/>
      <c r="J1821" s="503"/>
      <c r="K1821" s="497" t="str">
        <f ca="1">IFERROR(VLOOKUP(C1821,' Disaggregation - Section E '!A$316:N770,3,0),"")</f>
        <v/>
      </c>
      <c r="L1821" s="503"/>
      <c r="M1821" s="497"/>
      <c r="N1821" s="503"/>
      <c r="O1821" s="503"/>
    </row>
    <row r="1822" spans="1:15" x14ac:dyDescent="0.35">
      <c r="A1822" s="497" t="b">
        <v>0</v>
      </c>
      <c r="B1822" s="497"/>
      <c r="C1822" s="515" t="s">
        <v>5142</v>
      </c>
      <c r="D1822" s="512">
        <v>16</v>
      </c>
      <c r="E1822" s="500"/>
      <c r="F1822" s="497"/>
      <c r="G1822" s="502"/>
      <c r="H1822" s="512"/>
      <c r="I1822" s="503"/>
      <c r="J1822" s="503"/>
      <c r="K1822" s="497" t="str">
        <f ca="1">IFERROR(VLOOKUP(C1822,' Disaggregation - Section E '!A$316:N771,3,0),"")</f>
        <v/>
      </c>
      <c r="L1822" s="503"/>
      <c r="M1822" s="497"/>
      <c r="N1822" s="503"/>
      <c r="O1822" s="503"/>
    </row>
    <row r="1823" spans="1:15" x14ac:dyDescent="0.35">
      <c r="A1823" s="497" t="b">
        <v>0</v>
      </c>
      <c r="B1823" s="497"/>
      <c r="C1823" s="515" t="s">
        <v>5144</v>
      </c>
      <c r="D1823" s="512">
        <v>16</v>
      </c>
      <c r="E1823" s="500"/>
      <c r="F1823" s="497"/>
      <c r="G1823" s="502"/>
      <c r="H1823" s="512"/>
      <c r="I1823" s="503"/>
      <c r="J1823" s="503"/>
      <c r="K1823" s="497" t="str">
        <f ca="1">IFERROR(VLOOKUP(C1823,' Disaggregation - Section E '!A$316:N772,3,0),"")</f>
        <v/>
      </c>
      <c r="L1823" s="503"/>
      <c r="M1823" s="497"/>
      <c r="N1823" s="503"/>
      <c r="O1823" s="503"/>
    </row>
    <row r="1824" spans="1:15" x14ac:dyDescent="0.35">
      <c r="A1824" s="497" t="b">
        <v>0</v>
      </c>
      <c r="B1824" s="497"/>
      <c r="C1824" s="515" t="s">
        <v>5146</v>
      </c>
      <c r="D1824" s="512">
        <v>16</v>
      </c>
      <c r="E1824" s="500"/>
      <c r="F1824" s="497"/>
      <c r="G1824" s="502"/>
      <c r="H1824" s="512"/>
      <c r="I1824" s="503"/>
      <c r="J1824" s="503"/>
      <c r="K1824" s="497" t="str">
        <f ca="1">IFERROR(VLOOKUP(C1824,' Disaggregation - Section E '!A$316:N773,3,0),"")</f>
        <v/>
      </c>
      <c r="L1824" s="503"/>
      <c r="M1824" s="497"/>
      <c r="N1824" s="503"/>
      <c r="O1824" s="503"/>
    </row>
    <row r="1825" spans="1:15" x14ac:dyDescent="0.35">
      <c r="A1825" s="497" t="b">
        <v>0</v>
      </c>
      <c r="B1825" s="497"/>
      <c r="C1825" s="515" t="s">
        <v>5148</v>
      </c>
      <c r="D1825" s="512">
        <v>16</v>
      </c>
      <c r="E1825" s="500"/>
      <c r="F1825" s="497"/>
      <c r="G1825" s="502"/>
      <c r="H1825" s="512"/>
      <c r="I1825" s="503"/>
      <c r="J1825" s="503"/>
      <c r="K1825" s="497" t="str">
        <f ca="1">IFERROR(VLOOKUP(C1825,' Disaggregation - Section E '!A$316:N774,3,0),"")</f>
        <v/>
      </c>
      <c r="L1825" s="503"/>
      <c r="M1825" s="497"/>
      <c r="N1825" s="503"/>
      <c r="O1825" s="503"/>
    </row>
    <row r="1826" spans="1:15" x14ac:dyDescent="0.35">
      <c r="A1826" s="497" t="b">
        <v>0</v>
      </c>
      <c r="B1826" s="497"/>
      <c r="C1826" s="515" t="s">
        <v>5150</v>
      </c>
      <c r="D1826" s="512">
        <v>16</v>
      </c>
      <c r="E1826" s="500"/>
      <c r="F1826" s="497"/>
      <c r="G1826" s="502"/>
      <c r="H1826" s="512"/>
      <c r="I1826" s="503"/>
      <c r="J1826" s="503"/>
      <c r="K1826" s="497" t="str">
        <f ca="1">IFERROR(VLOOKUP(C1826,' Disaggregation - Section E '!A$316:N775,3,0),"")</f>
        <v/>
      </c>
      <c r="L1826" s="503"/>
      <c r="M1826" s="497"/>
      <c r="N1826" s="503"/>
      <c r="O1826" s="503"/>
    </row>
    <row r="1827" spans="1:15" x14ac:dyDescent="0.35">
      <c r="A1827" s="497" t="b">
        <v>0</v>
      </c>
      <c r="B1827" s="497"/>
      <c r="C1827" s="515" t="s">
        <v>4838</v>
      </c>
      <c r="D1827" s="512">
        <v>17</v>
      </c>
      <c r="E1827" s="500"/>
      <c r="F1827" s="497"/>
      <c r="G1827" s="502"/>
      <c r="H1827" s="512"/>
      <c r="I1827" s="503"/>
      <c r="J1827" s="503"/>
      <c r="K1827" s="497" t="str">
        <f ca="1">IFERROR(VLOOKUP(C1827,' Disaggregation - Section E '!A$316:N776,3,0),"")</f>
        <v/>
      </c>
      <c r="L1827" s="503"/>
      <c r="M1827" s="497"/>
      <c r="N1827" s="503"/>
      <c r="O1827" s="503"/>
    </row>
    <row r="1828" spans="1:15" x14ac:dyDescent="0.35">
      <c r="A1828" s="497" t="b">
        <v>0</v>
      </c>
      <c r="B1828" s="497"/>
      <c r="C1828" s="515" t="s">
        <v>4840</v>
      </c>
      <c r="D1828" s="512">
        <v>17</v>
      </c>
      <c r="E1828" s="500"/>
      <c r="F1828" s="497"/>
      <c r="G1828" s="502"/>
      <c r="H1828" s="512"/>
      <c r="I1828" s="503"/>
      <c r="J1828" s="503"/>
      <c r="K1828" s="497" t="str">
        <f ca="1">IFERROR(VLOOKUP(C1828,' Disaggregation - Section E '!A$316:N777,3,0),"")</f>
        <v/>
      </c>
      <c r="L1828" s="503"/>
      <c r="M1828" s="497"/>
      <c r="N1828" s="503"/>
      <c r="O1828" s="503"/>
    </row>
    <row r="1829" spans="1:15" x14ac:dyDescent="0.35">
      <c r="A1829" s="497" t="b">
        <v>0</v>
      </c>
      <c r="B1829" s="497"/>
      <c r="C1829" s="515" t="s">
        <v>4842</v>
      </c>
      <c r="D1829" s="512">
        <v>17</v>
      </c>
      <c r="E1829" s="500"/>
      <c r="F1829" s="497"/>
      <c r="G1829" s="502"/>
      <c r="H1829" s="512"/>
      <c r="I1829" s="503"/>
      <c r="J1829" s="503"/>
      <c r="K1829" s="497" t="str">
        <f ca="1">IFERROR(VLOOKUP(C1829,' Disaggregation - Section E '!A$316:N778,3,0),"")</f>
        <v/>
      </c>
      <c r="L1829" s="503"/>
      <c r="M1829" s="497"/>
      <c r="N1829" s="503"/>
      <c r="O1829" s="503"/>
    </row>
    <row r="1830" spans="1:15" x14ac:dyDescent="0.35">
      <c r="A1830" s="497" t="b">
        <v>0</v>
      </c>
      <c r="B1830" s="497"/>
      <c r="C1830" s="515" t="s">
        <v>4844</v>
      </c>
      <c r="D1830" s="512">
        <v>17</v>
      </c>
      <c r="E1830" s="500"/>
      <c r="F1830" s="497"/>
      <c r="G1830" s="502"/>
      <c r="H1830" s="512"/>
      <c r="I1830" s="503"/>
      <c r="J1830" s="503"/>
      <c r="K1830" s="497" t="str">
        <f ca="1">IFERROR(VLOOKUP(C1830,' Disaggregation - Section E '!A$316:N779,3,0),"")</f>
        <v/>
      </c>
      <c r="L1830" s="503"/>
      <c r="M1830" s="497"/>
      <c r="N1830" s="503"/>
      <c r="O1830" s="503"/>
    </row>
    <row r="1831" spans="1:15" x14ac:dyDescent="0.35">
      <c r="A1831" s="497" t="b">
        <v>0</v>
      </c>
      <c r="B1831" s="497"/>
      <c r="C1831" s="515" t="s">
        <v>4846</v>
      </c>
      <c r="D1831" s="512">
        <v>17</v>
      </c>
      <c r="E1831" s="500"/>
      <c r="F1831" s="497"/>
      <c r="G1831" s="502"/>
      <c r="H1831" s="512"/>
      <c r="I1831" s="503"/>
      <c r="J1831" s="503"/>
      <c r="K1831" s="497" t="str">
        <f ca="1">IFERROR(VLOOKUP(C1831,' Disaggregation - Section E '!A$316:N780,3,0),"")</f>
        <v/>
      </c>
      <c r="L1831" s="503"/>
      <c r="M1831" s="497"/>
      <c r="N1831" s="503"/>
      <c r="O1831" s="503"/>
    </row>
    <row r="1832" spans="1:15" x14ac:dyDescent="0.35">
      <c r="A1832" s="497" t="b">
        <v>0</v>
      </c>
      <c r="B1832" s="497"/>
      <c r="C1832" s="515" t="s">
        <v>4848</v>
      </c>
      <c r="D1832" s="512">
        <v>17</v>
      </c>
      <c r="E1832" s="500"/>
      <c r="F1832" s="497"/>
      <c r="G1832" s="502"/>
      <c r="H1832" s="512"/>
      <c r="I1832" s="503"/>
      <c r="J1832" s="503"/>
      <c r="K1832" s="497" t="str">
        <f ca="1">IFERROR(VLOOKUP(C1832,' Disaggregation - Section E '!A$316:N781,3,0),"")</f>
        <v/>
      </c>
      <c r="L1832" s="503"/>
      <c r="M1832" s="497"/>
      <c r="N1832" s="503"/>
      <c r="O1832" s="503"/>
    </row>
    <row r="1833" spans="1:15" x14ac:dyDescent="0.35">
      <c r="A1833" s="497" t="b">
        <v>0</v>
      </c>
      <c r="B1833" s="497"/>
      <c r="C1833" s="515" t="s">
        <v>4850</v>
      </c>
      <c r="D1833" s="512">
        <v>17</v>
      </c>
      <c r="E1833" s="500"/>
      <c r="F1833" s="497"/>
      <c r="G1833" s="502"/>
      <c r="H1833" s="512"/>
      <c r="I1833" s="503"/>
      <c r="J1833" s="503"/>
      <c r="K1833" s="497" t="str">
        <f ca="1">IFERROR(VLOOKUP(C1833,' Disaggregation - Section E '!A$316:N782,3,0),"")</f>
        <v/>
      </c>
      <c r="L1833" s="503"/>
      <c r="M1833" s="497"/>
      <c r="N1833" s="503"/>
      <c r="O1833" s="503"/>
    </row>
    <row r="1834" spans="1:15" x14ac:dyDescent="0.35">
      <c r="A1834" s="497" t="b">
        <v>0</v>
      </c>
      <c r="B1834" s="497"/>
      <c r="C1834" s="515" t="s">
        <v>4852</v>
      </c>
      <c r="D1834" s="512">
        <v>17</v>
      </c>
      <c r="E1834" s="500"/>
      <c r="F1834" s="497"/>
      <c r="G1834" s="502"/>
      <c r="H1834" s="512"/>
      <c r="I1834" s="503"/>
      <c r="J1834" s="503"/>
      <c r="K1834" s="497" t="str">
        <f ca="1">IFERROR(VLOOKUP(C1834,' Disaggregation - Section E '!A$316:N783,3,0),"")</f>
        <v/>
      </c>
      <c r="L1834" s="503"/>
      <c r="M1834" s="497"/>
      <c r="N1834" s="503"/>
      <c r="O1834" s="503"/>
    </row>
    <row r="1835" spans="1:15" x14ac:dyDescent="0.35">
      <c r="A1835" s="497" t="b">
        <v>0</v>
      </c>
      <c r="B1835" s="497"/>
      <c r="C1835" s="515" t="s">
        <v>4854</v>
      </c>
      <c r="D1835" s="512">
        <v>17</v>
      </c>
      <c r="E1835" s="500"/>
      <c r="F1835" s="497"/>
      <c r="G1835" s="502"/>
      <c r="H1835" s="512"/>
      <c r="I1835" s="503"/>
      <c r="J1835" s="503"/>
      <c r="K1835" s="497" t="str">
        <f ca="1">IFERROR(VLOOKUP(C1835,' Disaggregation - Section E '!A$316:N784,3,0),"")</f>
        <v/>
      </c>
      <c r="L1835" s="503"/>
      <c r="M1835" s="497"/>
      <c r="N1835" s="503"/>
      <c r="O1835" s="503"/>
    </row>
    <row r="1836" spans="1:15" x14ac:dyDescent="0.35">
      <c r="A1836" s="497" t="b">
        <v>0</v>
      </c>
      <c r="B1836" s="497"/>
      <c r="C1836" s="515" t="s">
        <v>4856</v>
      </c>
      <c r="D1836" s="512">
        <v>17</v>
      </c>
      <c r="E1836" s="500"/>
      <c r="F1836" s="497"/>
      <c r="G1836" s="502"/>
      <c r="H1836" s="512"/>
      <c r="I1836" s="503"/>
      <c r="J1836" s="503"/>
      <c r="K1836" s="497" t="str">
        <f ca="1">IFERROR(VLOOKUP(C1836,' Disaggregation - Section E '!A$316:N785,3,0),"")</f>
        <v/>
      </c>
      <c r="L1836" s="503"/>
      <c r="M1836" s="497"/>
      <c r="N1836" s="503"/>
      <c r="O1836" s="503"/>
    </row>
    <row r="1837" spans="1:15" x14ac:dyDescent="0.35">
      <c r="A1837" s="497" t="b">
        <v>0</v>
      </c>
      <c r="B1837" s="497"/>
      <c r="C1837" s="515" t="s">
        <v>5153</v>
      </c>
      <c r="D1837" s="512">
        <v>18</v>
      </c>
      <c r="E1837" s="500"/>
      <c r="F1837" s="497"/>
      <c r="G1837" s="502"/>
      <c r="H1837" s="512"/>
      <c r="I1837" s="503"/>
      <c r="J1837" s="503"/>
      <c r="K1837" s="497" t="str">
        <f ca="1">IFERROR(VLOOKUP(C1837,' Disaggregation - Section E '!A$316:N786,3,0),"")</f>
        <v/>
      </c>
      <c r="L1837" s="503"/>
      <c r="M1837" s="497"/>
      <c r="N1837" s="503"/>
      <c r="O1837" s="503"/>
    </row>
    <row r="1838" spans="1:15" x14ac:dyDescent="0.35">
      <c r="A1838" s="497" t="b">
        <v>0</v>
      </c>
      <c r="B1838" s="497"/>
      <c r="C1838" s="515" t="s">
        <v>5155</v>
      </c>
      <c r="D1838" s="512">
        <v>18</v>
      </c>
      <c r="E1838" s="500"/>
      <c r="F1838" s="497"/>
      <c r="G1838" s="502"/>
      <c r="H1838" s="512"/>
      <c r="I1838" s="503"/>
      <c r="J1838" s="503"/>
      <c r="K1838" s="497" t="str">
        <f ca="1">IFERROR(VLOOKUP(C1838,' Disaggregation - Section E '!A$316:N787,3,0),"")</f>
        <v/>
      </c>
      <c r="L1838" s="503"/>
      <c r="M1838" s="497"/>
      <c r="N1838" s="503"/>
      <c r="O1838" s="503"/>
    </row>
    <row r="1839" spans="1:15" x14ac:dyDescent="0.35">
      <c r="A1839" s="497" t="b">
        <v>0</v>
      </c>
      <c r="B1839" s="497"/>
      <c r="C1839" s="515" t="s">
        <v>5157</v>
      </c>
      <c r="D1839" s="512">
        <v>18</v>
      </c>
      <c r="E1839" s="500"/>
      <c r="F1839" s="497"/>
      <c r="G1839" s="502"/>
      <c r="H1839" s="512"/>
      <c r="I1839" s="503"/>
      <c r="J1839" s="503"/>
      <c r="K1839" s="497" t="str">
        <f ca="1">IFERROR(VLOOKUP(C1839,' Disaggregation - Section E '!A$316:N788,3,0),"")</f>
        <v/>
      </c>
      <c r="L1839" s="503"/>
      <c r="M1839" s="497"/>
      <c r="N1839" s="503"/>
      <c r="O1839" s="503"/>
    </row>
    <row r="1840" spans="1:15" x14ac:dyDescent="0.35">
      <c r="A1840" s="497" t="b">
        <v>0</v>
      </c>
      <c r="B1840" s="497"/>
      <c r="C1840" s="515" t="s">
        <v>5159</v>
      </c>
      <c r="D1840" s="512">
        <v>18</v>
      </c>
      <c r="E1840" s="500"/>
      <c r="F1840" s="497"/>
      <c r="G1840" s="502"/>
      <c r="H1840" s="512"/>
      <c r="I1840" s="503"/>
      <c r="J1840" s="503"/>
      <c r="K1840" s="497" t="str">
        <f ca="1">IFERROR(VLOOKUP(C1840,' Disaggregation - Section E '!A$316:N789,3,0),"")</f>
        <v/>
      </c>
      <c r="L1840" s="503"/>
      <c r="M1840" s="497"/>
      <c r="N1840" s="503"/>
      <c r="O1840" s="503"/>
    </row>
    <row r="1841" spans="1:15" x14ac:dyDescent="0.35">
      <c r="A1841" s="497" t="b">
        <v>0</v>
      </c>
      <c r="B1841" s="497"/>
      <c r="C1841" s="515" t="s">
        <v>5161</v>
      </c>
      <c r="D1841" s="512">
        <v>18</v>
      </c>
      <c r="E1841" s="500"/>
      <c r="F1841" s="497"/>
      <c r="G1841" s="502"/>
      <c r="H1841" s="512"/>
      <c r="I1841" s="503"/>
      <c r="J1841" s="503"/>
      <c r="K1841" s="497" t="str">
        <f ca="1">IFERROR(VLOOKUP(C1841,' Disaggregation - Section E '!A$316:N790,3,0),"")</f>
        <v/>
      </c>
      <c r="L1841" s="503"/>
      <c r="M1841" s="497"/>
      <c r="N1841" s="503"/>
      <c r="O1841" s="503"/>
    </row>
    <row r="1842" spans="1:15" x14ac:dyDescent="0.35">
      <c r="A1842" s="497" t="b">
        <v>0</v>
      </c>
      <c r="B1842" s="497"/>
      <c r="C1842" s="515" t="s">
        <v>5163</v>
      </c>
      <c r="D1842" s="512">
        <v>18</v>
      </c>
      <c r="E1842" s="500"/>
      <c r="F1842" s="497"/>
      <c r="G1842" s="502"/>
      <c r="H1842" s="512"/>
      <c r="I1842" s="503"/>
      <c r="J1842" s="503"/>
      <c r="K1842" s="497" t="str">
        <f ca="1">IFERROR(VLOOKUP(C1842,' Disaggregation - Section E '!A$316:N791,3,0),"")</f>
        <v/>
      </c>
      <c r="L1842" s="503"/>
      <c r="M1842" s="497"/>
      <c r="N1842" s="503"/>
      <c r="O1842" s="503"/>
    </row>
    <row r="1843" spans="1:15" x14ac:dyDescent="0.35">
      <c r="A1843" s="497" t="b">
        <v>0</v>
      </c>
      <c r="B1843" s="497"/>
      <c r="C1843" s="515" t="s">
        <v>5165</v>
      </c>
      <c r="D1843" s="512">
        <v>18</v>
      </c>
      <c r="E1843" s="500"/>
      <c r="F1843" s="497"/>
      <c r="G1843" s="502"/>
      <c r="H1843" s="512"/>
      <c r="I1843" s="503"/>
      <c r="J1843" s="503"/>
      <c r="K1843" s="497" t="str">
        <f ca="1">IFERROR(VLOOKUP(C1843,' Disaggregation - Section E '!A$316:N792,3,0),"")</f>
        <v/>
      </c>
      <c r="L1843" s="503"/>
      <c r="M1843" s="497"/>
      <c r="N1843" s="503"/>
      <c r="O1843" s="503"/>
    </row>
    <row r="1844" spans="1:15" x14ac:dyDescent="0.35">
      <c r="A1844" s="497" t="b">
        <v>0</v>
      </c>
      <c r="B1844" s="497"/>
      <c r="C1844" s="515" t="s">
        <v>5167</v>
      </c>
      <c r="D1844" s="512">
        <v>18</v>
      </c>
      <c r="E1844" s="500"/>
      <c r="F1844" s="497"/>
      <c r="G1844" s="502"/>
      <c r="H1844" s="512"/>
      <c r="I1844" s="503"/>
      <c r="J1844" s="503"/>
      <c r="K1844" s="497" t="str">
        <f ca="1">IFERROR(VLOOKUP(C1844,' Disaggregation - Section E '!A$316:N793,3,0),"")</f>
        <v/>
      </c>
      <c r="L1844" s="503"/>
      <c r="M1844" s="497"/>
      <c r="N1844" s="503"/>
      <c r="O1844" s="503"/>
    </row>
    <row r="1845" spans="1:15" x14ac:dyDescent="0.35">
      <c r="A1845" s="497" t="b">
        <v>0</v>
      </c>
      <c r="B1845" s="497"/>
      <c r="C1845" s="515" t="s">
        <v>5169</v>
      </c>
      <c r="D1845" s="512">
        <v>18</v>
      </c>
      <c r="E1845" s="500"/>
      <c r="F1845" s="497"/>
      <c r="G1845" s="502"/>
      <c r="H1845" s="512"/>
      <c r="I1845" s="503"/>
      <c r="J1845" s="503"/>
      <c r="K1845" s="497" t="str">
        <f ca="1">IFERROR(VLOOKUP(C1845,' Disaggregation - Section E '!A$316:N794,3,0),"")</f>
        <v/>
      </c>
      <c r="L1845" s="503"/>
      <c r="M1845" s="497"/>
      <c r="N1845" s="503"/>
      <c r="O1845" s="503"/>
    </row>
    <row r="1846" spans="1:15" x14ac:dyDescent="0.35">
      <c r="A1846" s="497" t="b">
        <v>0</v>
      </c>
      <c r="B1846" s="497"/>
      <c r="C1846" s="515" t="s">
        <v>5171</v>
      </c>
      <c r="D1846" s="512">
        <v>18</v>
      </c>
      <c r="E1846" s="500"/>
      <c r="F1846" s="497"/>
      <c r="G1846" s="502"/>
      <c r="H1846" s="512"/>
      <c r="I1846" s="503"/>
      <c r="J1846" s="503"/>
      <c r="K1846" s="497" t="str">
        <f ca="1">IFERROR(VLOOKUP(C1846,' Disaggregation - Section E '!A$316:N795,3,0),"")</f>
        <v/>
      </c>
      <c r="L1846" s="503"/>
      <c r="M1846" s="497"/>
      <c r="N1846" s="503"/>
      <c r="O1846" s="503"/>
    </row>
    <row r="1847" spans="1:15" x14ac:dyDescent="0.35">
      <c r="A1847" s="497" t="b">
        <v>0</v>
      </c>
      <c r="B1847" s="497"/>
      <c r="C1847" s="515" t="s">
        <v>4859</v>
      </c>
      <c r="D1847" s="512">
        <v>19</v>
      </c>
      <c r="E1847" s="500"/>
      <c r="F1847" s="497"/>
      <c r="G1847" s="502"/>
      <c r="H1847" s="512"/>
      <c r="I1847" s="503"/>
      <c r="J1847" s="503"/>
      <c r="K1847" s="497" t="str">
        <f ca="1">IFERROR(VLOOKUP(C1847,' Disaggregation - Section E '!A$316:N796,3,0),"")</f>
        <v/>
      </c>
      <c r="L1847" s="503"/>
      <c r="M1847" s="497"/>
      <c r="N1847" s="503"/>
      <c r="O1847" s="503"/>
    </row>
    <row r="1848" spans="1:15" x14ac:dyDescent="0.35">
      <c r="A1848" s="497" t="b">
        <v>0</v>
      </c>
      <c r="B1848" s="497"/>
      <c r="C1848" s="515" t="s">
        <v>4861</v>
      </c>
      <c r="D1848" s="512">
        <v>19</v>
      </c>
      <c r="E1848" s="500"/>
      <c r="F1848" s="497"/>
      <c r="G1848" s="502"/>
      <c r="H1848" s="512"/>
      <c r="I1848" s="503"/>
      <c r="J1848" s="503"/>
      <c r="K1848" s="497" t="str">
        <f ca="1">IFERROR(VLOOKUP(C1848,' Disaggregation - Section E '!A$316:N797,3,0),"")</f>
        <v/>
      </c>
      <c r="L1848" s="503"/>
      <c r="M1848" s="497"/>
      <c r="N1848" s="503"/>
      <c r="O1848" s="503"/>
    </row>
    <row r="1849" spans="1:15" x14ac:dyDescent="0.35">
      <c r="A1849" s="497" t="b">
        <v>0</v>
      </c>
      <c r="B1849" s="497"/>
      <c r="C1849" s="515" t="s">
        <v>4863</v>
      </c>
      <c r="D1849" s="512">
        <v>19</v>
      </c>
      <c r="E1849" s="500"/>
      <c r="F1849" s="497"/>
      <c r="G1849" s="502"/>
      <c r="H1849" s="512"/>
      <c r="I1849" s="503"/>
      <c r="J1849" s="503"/>
      <c r="K1849" s="497" t="str">
        <f ca="1">IFERROR(VLOOKUP(C1849,' Disaggregation - Section E '!A$316:N798,3,0),"")</f>
        <v/>
      </c>
      <c r="L1849" s="503"/>
      <c r="M1849" s="497"/>
      <c r="N1849" s="503"/>
      <c r="O1849" s="503"/>
    </row>
    <row r="1850" spans="1:15" x14ac:dyDescent="0.35">
      <c r="A1850" s="497" t="b">
        <v>0</v>
      </c>
      <c r="B1850" s="497"/>
      <c r="C1850" s="515" t="s">
        <v>4865</v>
      </c>
      <c r="D1850" s="512">
        <v>19</v>
      </c>
      <c r="E1850" s="500"/>
      <c r="F1850" s="497"/>
      <c r="G1850" s="502"/>
      <c r="H1850" s="512"/>
      <c r="I1850" s="503"/>
      <c r="J1850" s="503"/>
      <c r="K1850" s="497" t="str">
        <f ca="1">IFERROR(VLOOKUP(C1850,' Disaggregation - Section E '!A$316:N799,3,0),"")</f>
        <v/>
      </c>
      <c r="L1850" s="503"/>
      <c r="M1850" s="497"/>
      <c r="N1850" s="503"/>
      <c r="O1850" s="503"/>
    </row>
    <row r="1851" spans="1:15" x14ac:dyDescent="0.35">
      <c r="A1851" s="497" t="b">
        <v>0</v>
      </c>
      <c r="B1851" s="497"/>
      <c r="C1851" s="515" t="s">
        <v>4867</v>
      </c>
      <c r="D1851" s="512">
        <v>19</v>
      </c>
      <c r="E1851" s="500"/>
      <c r="F1851" s="497"/>
      <c r="G1851" s="502"/>
      <c r="H1851" s="512"/>
      <c r="I1851" s="503"/>
      <c r="J1851" s="503"/>
      <c r="K1851" s="497" t="str">
        <f ca="1">IFERROR(VLOOKUP(C1851,' Disaggregation - Section E '!A$316:N800,3,0),"")</f>
        <v/>
      </c>
      <c r="L1851" s="503"/>
      <c r="M1851" s="497"/>
      <c r="N1851" s="503"/>
      <c r="O1851" s="503"/>
    </row>
    <row r="1852" spans="1:15" x14ac:dyDescent="0.35">
      <c r="A1852" s="497" t="b">
        <v>0</v>
      </c>
      <c r="B1852" s="497"/>
      <c r="C1852" s="515" t="s">
        <v>4869</v>
      </c>
      <c r="D1852" s="512">
        <v>19</v>
      </c>
      <c r="E1852" s="500"/>
      <c r="F1852" s="497"/>
      <c r="G1852" s="502"/>
      <c r="H1852" s="512"/>
      <c r="I1852" s="503"/>
      <c r="J1852" s="503"/>
      <c r="K1852" s="497" t="str">
        <f ca="1">IFERROR(VLOOKUP(C1852,' Disaggregation - Section E '!A$316:N801,3,0),"")</f>
        <v/>
      </c>
      <c r="L1852" s="503"/>
      <c r="M1852" s="497"/>
      <c r="N1852" s="503"/>
      <c r="O1852" s="503"/>
    </row>
    <row r="1853" spans="1:15" x14ac:dyDescent="0.35">
      <c r="A1853" s="497" t="b">
        <v>0</v>
      </c>
      <c r="B1853" s="497"/>
      <c r="C1853" s="515" t="s">
        <v>4871</v>
      </c>
      <c r="D1853" s="512">
        <v>19</v>
      </c>
      <c r="E1853" s="500"/>
      <c r="F1853" s="497"/>
      <c r="G1853" s="502"/>
      <c r="H1853" s="512"/>
      <c r="I1853" s="503"/>
      <c r="J1853" s="503"/>
      <c r="K1853" s="497" t="str">
        <f ca="1">IFERROR(VLOOKUP(C1853,' Disaggregation - Section E '!A$316:N802,3,0),"")</f>
        <v/>
      </c>
      <c r="L1853" s="503"/>
      <c r="M1853" s="497"/>
      <c r="N1853" s="503"/>
      <c r="O1853" s="503"/>
    </row>
    <row r="1854" spans="1:15" x14ac:dyDescent="0.35">
      <c r="A1854" s="497" t="b">
        <v>0</v>
      </c>
      <c r="B1854" s="497"/>
      <c r="C1854" s="515" t="s">
        <v>4873</v>
      </c>
      <c r="D1854" s="512">
        <v>19</v>
      </c>
      <c r="E1854" s="500"/>
      <c r="F1854" s="497"/>
      <c r="G1854" s="502"/>
      <c r="H1854" s="512"/>
      <c r="I1854" s="503"/>
      <c r="J1854" s="503"/>
      <c r="K1854" s="497" t="str">
        <f ca="1">IFERROR(VLOOKUP(C1854,' Disaggregation - Section E '!A$316:N803,3,0),"")</f>
        <v/>
      </c>
      <c r="L1854" s="503"/>
      <c r="M1854" s="497"/>
      <c r="N1854" s="503"/>
      <c r="O1854" s="503"/>
    </row>
    <row r="1855" spans="1:15" x14ac:dyDescent="0.35">
      <c r="A1855" s="497" t="b">
        <v>0</v>
      </c>
      <c r="B1855" s="497"/>
      <c r="C1855" s="515" t="s">
        <v>4875</v>
      </c>
      <c r="D1855" s="512">
        <v>19</v>
      </c>
      <c r="E1855" s="500"/>
      <c r="F1855" s="497"/>
      <c r="G1855" s="502"/>
      <c r="H1855" s="512"/>
      <c r="I1855" s="503"/>
      <c r="J1855" s="503"/>
      <c r="K1855" s="497" t="str">
        <f ca="1">IFERROR(VLOOKUP(C1855,' Disaggregation - Section E '!A$316:N804,3,0),"")</f>
        <v/>
      </c>
      <c r="L1855" s="503"/>
      <c r="M1855" s="497"/>
      <c r="N1855" s="503"/>
      <c r="O1855" s="503"/>
    </row>
    <row r="1856" spans="1:15" x14ac:dyDescent="0.35">
      <c r="A1856" s="497" t="b">
        <v>0</v>
      </c>
      <c r="B1856" s="497"/>
      <c r="C1856" s="515" t="s">
        <v>4877</v>
      </c>
      <c r="D1856" s="512">
        <v>19</v>
      </c>
      <c r="E1856" s="500"/>
      <c r="F1856" s="497"/>
      <c r="G1856" s="502"/>
      <c r="H1856" s="512"/>
      <c r="I1856" s="503"/>
      <c r="J1856" s="503"/>
      <c r="K1856" s="497" t="str">
        <f ca="1">IFERROR(VLOOKUP(C1856,' Disaggregation - Section E '!A$316:N805,3,0),"")</f>
        <v/>
      </c>
      <c r="L1856" s="503"/>
      <c r="M1856" s="497"/>
      <c r="N1856" s="503"/>
      <c r="O1856" s="503"/>
    </row>
    <row r="1857" spans="1:15" x14ac:dyDescent="0.35">
      <c r="A1857" s="497" t="b">
        <v>0</v>
      </c>
      <c r="B1857" s="497"/>
      <c r="C1857" s="515" t="s">
        <v>5174</v>
      </c>
      <c r="D1857" s="512">
        <v>20</v>
      </c>
      <c r="E1857" s="500"/>
      <c r="F1857" s="497"/>
      <c r="G1857" s="502"/>
      <c r="H1857" s="512"/>
      <c r="I1857" s="503"/>
      <c r="J1857" s="503"/>
      <c r="K1857" s="497" t="str">
        <f ca="1">IFERROR(VLOOKUP(C1857,' Disaggregation - Section E '!A$316:N806,3,0),"")</f>
        <v/>
      </c>
      <c r="L1857" s="503"/>
      <c r="M1857" s="497"/>
      <c r="N1857" s="503"/>
      <c r="O1857" s="503"/>
    </row>
    <row r="1858" spans="1:15" x14ac:dyDescent="0.35">
      <c r="A1858" s="497" t="b">
        <v>0</v>
      </c>
      <c r="B1858" s="497"/>
      <c r="C1858" s="515" t="s">
        <v>5176</v>
      </c>
      <c r="D1858" s="512">
        <v>20</v>
      </c>
      <c r="E1858" s="500"/>
      <c r="F1858" s="497"/>
      <c r="G1858" s="502"/>
      <c r="H1858" s="512"/>
      <c r="I1858" s="503"/>
      <c r="J1858" s="503"/>
      <c r="K1858" s="497" t="str">
        <f ca="1">IFERROR(VLOOKUP(C1858,' Disaggregation - Section E '!A$316:N807,3,0),"")</f>
        <v/>
      </c>
      <c r="L1858" s="503"/>
      <c r="M1858" s="497"/>
      <c r="N1858" s="503"/>
      <c r="O1858" s="503"/>
    </row>
    <row r="1859" spans="1:15" x14ac:dyDescent="0.35">
      <c r="A1859" s="497" t="b">
        <v>0</v>
      </c>
      <c r="B1859" s="497"/>
      <c r="C1859" s="515" t="s">
        <v>5178</v>
      </c>
      <c r="D1859" s="512">
        <v>20</v>
      </c>
      <c r="E1859" s="500"/>
      <c r="F1859" s="497"/>
      <c r="G1859" s="502"/>
      <c r="H1859" s="512"/>
      <c r="I1859" s="503"/>
      <c r="J1859" s="503"/>
      <c r="K1859" s="497" t="str">
        <f ca="1">IFERROR(VLOOKUP(C1859,' Disaggregation - Section E '!A$316:N808,3,0),"")</f>
        <v/>
      </c>
      <c r="L1859" s="503"/>
      <c r="M1859" s="497"/>
      <c r="N1859" s="503"/>
      <c r="O1859" s="503"/>
    </row>
    <row r="1860" spans="1:15" x14ac:dyDescent="0.35">
      <c r="A1860" s="497" t="b">
        <v>0</v>
      </c>
      <c r="B1860" s="497"/>
      <c r="C1860" s="515" t="s">
        <v>5180</v>
      </c>
      <c r="D1860" s="512">
        <v>20</v>
      </c>
      <c r="E1860" s="500"/>
      <c r="F1860" s="497"/>
      <c r="G1860" s="502"/>
      <c r="H1860" s="512"/>
      <c r="I1860" s="503"/>
      <c r="J1860" s="503"/>
      <c r="K1860" s="497" t="str">
        <f ca="1">IFERROR(VLOOKUP(C1860,' Disaggregation - Section E '!A$316:N809,3,0),"")</f>
        <v/>
      </c>
      <c r="L1860" s="503"/>
      <c r="M1860" s="497"/>
      <c r="N1860" s="503"/>
      <c r="O1860" s="503"/>
    </row>
    <row r="1861" spans="1:15" x14ac:dyDescent="0.35">
      <c r="A1861" s="497" t="b">
        <v>0</v>
      </c>
      <c r="B1861" s="497"/>
      <c r="C1861" s="515" t="s">
        <v>5182</v>
      </c>
      <c r="D1861" s="512">
        <v>20</v>
      </c>
      <c r="E1861" s="500"/>
      <c r="F1861" s="497"/>
      <c r="G1861" s="502"/>
      <c r="H1861" s="512"/>
      <c r="I1861" s="503"/>
      <c r="J1861" s="503"/>
      <c r="K1861" s="497" t="str">
        <f ca="1">IFERROR(VLOOKUP(C1861,' Disaggregation - Section E '!A$316:N810,3,0),"")</f>
        <v/>
      </c>
      <c r="L1861" s="503"/>
      <c r="M1861" s="497"/>
      <c r="N1861" s="503"/>
      <c r="O1861" s="503"/>
    </row>
    <row r="1862" spans="1:15" x14ac:dyDescent="0.35">
      <c r="A1862" s="497" t="b">
        <v>0</v>
      </c>
      <c r="B1862" s="497"/>
      <c r="C1862" s="515" t="s">
        <v>5184</v>
      </c>
      <c r="D1862" s="512">
        <v>20</v>
      </c>
      <c r="E1862" s="500"/>
      <c r="F1862" s="497"/>
      <c r="G1862" s="502"/>
      <c r="H1862" s="512"/>
      <c r="I1862" s="503"/>
      <c r="J1862" s="503"/>
      <c r="K1862" s="497" t="str">
        <f ca="1">IFERROR(VLOOKUP(C1862,' Disaggregation - Section E '!A$316:N811,3,0),"")</f>
        <v/>
      </c>
      <c r="L1862" s="503"/>
      <c r="M1862" s="497"/>
      <c r="N1862" s="503"/>
      <c r="O1862" s="503"/>
    </row>
    <row r="1863" spans="1:15" x14ac:dyDescent="0.35">
      <c r="A1863" s="497" t="b">
        <v>0</v>
      </c>
      <c r="B1863" s="497"/>
      <c r="C1863" s="515" t="s">
        <v>5186</v>
      </c>
      <c r="D1863" s="512">
        <v>20</v>
      </c>
      <c r="E1863" s="500"/>
      <c r="F1863" s="497"/>
      <c r="G1863" s="502"/>
      <c r="H1863" s="512"/>
      <c r="I1863" s="503"/>
      <c r="J1863" s="503"/>
      <c r="K1863" s="497" t="str">
        <f ca="1">IFERROR(VLOOKUP(C1863,' Disaggregation - Section E '!A$316:N812,3,0),"")</f>
        <v/>
      </c>
      <c r="L1863" s="503"/>
      <c r="M1863" s="497"/>
      <c r="N1863" s="503"/>
      <c r="O1863" s="503"/>
    </row>
    <row r="1864" spans="1:15" x14ac:dyDescent="0.35">
      <c r="A1864" s="497" t="b">
        <v>0</v>
      </c>
      <c r="B1864" s="497"/>
      <c r="C1864" s="515" t="s">
        <v>5188</v>
      </c>
      <c r="D1864" s="512">
        <v>20</v>
      </c>
      <c r="E1864" s="500"/>
      <c r="F1864" s="497"/>
      <c r="G1864" s="502"/>
      <c r="H1864" s="512"/>
      <c r="I1864" s="503"/>
      <c r="J1864" s="503"/>
      <c r="K1864" s="497" t="str">
        <f ca="1">IFERROR(VLOOKUP(C1864,' Disaggregation - Section E '!A$316:N813,3,0),"")</f>
        <v/>
      </c>
      <c r="L1864" s="503"/>
      <c r="M1864" s="497"/>
      <c r="N1864" s="503"/>
      <c r="O1864" s="503"/>
    </row>
    <row r="1865" spans="1:15" x14ac:dyDescent="0.35">
      <c r="A1865" s="497" t="b">
        <v>0</v>
      </c>
      <c r="B1865" s="497"/>
      <c r="C1865" s="515" t="s">
        <v>5190</v>
      </c>
      <c r="D1865" s="512">
        <v>20</v>
      </c>
      <c r="E1865" s="500"/>
      <c r="F1865" s="497"/>
      <c r="G1865" s="502"/>
      <c r="H1865" s="512"/>
      <c r="I1865" s="503"/>
      <c r="J1865" s="503"/>
      <c r="K1865" s="497" t="str">
        <f ca="1">IFERROR(VLOOKUP(C1865,' Disaggregation - Section E '!A$316:N814,3,0),"")</f>
        <v/>
      </c>
      <c r="L1865" s="503"/>
      <c r="M1865" s="497"/>
      <c r="N1865" s="503"/>
      <c r="O1865" s="503"/>
    </row>
    <row r="1866" spans="1:15" x14ac:dyDescent="0.35">
      <c r="A1866" s="497" t="b">
        <v>0</v>
      </c>
      <c r="B1866" s="497"/>
      <c r="C1866" s="515" t="s">
        <v>5192</v>
      </c>
      <c r="D1866" s="512">
        <v>20</v>
      </c>
      <c r="E1866" s="500"/>
      <c r="F1866" s="497"/>
      <c r="G1866" s="502"/>
      <c r="H1866" s="512"/>
      <c r="I1866" s="503"/>
      <c r="J1866" s="503"/>
      <c r="K1866" s="497" t="str">
        <f ca="1">IFERROR(VLOOKUP(C1866,' Disaggregation - Section E '!A$316:N815,3,0),"")</f>
        <v/>
      </c>
      <c r="L1866" s="503"/>
      <c r="M1866" s="497"/>
      <c r="N1866" s="503"/>
      <c r="O1866" s="503"/>
    </row>
    <row r="1867" spans="1:15" x14ac:dyDescent="0.35">
      <c r="A1867" s="497" t="b">
        <v>0</v>
      </c>
      <c r="B1867" s="497"/>
      <c r="C1867" s="515" t="s">
        <v>4880</v>
      </c>
      <c r="D1867" s="512">
        <v>21</v>
      </c>
      <c r="E1867" s="500"/>
      <c r="F1867" s="497"/>
      <c r="G1867" s="502"/>
      <c r="H1867" s="512"/>
      <c r="I1867" s="503"/>
      <c r="J1867" s="503"/>
      <c r="K1867" s="497" t="str">
        <f ca="1">IFERROR(VLOOKUP(C1867,' Disaggregation - Section E '!A$316:N816,3,0),"")</f>
        <v/>
      </c>
      <c r="L1867" s="503"/>
      <c r="M1867" s="497"/>
      <c r="N1867" s="503"/>
      <c r="O1867" s="503"/>
    </row>
    <row r="1868" spans="1:15" x14ac:dyDescent="0.35">
      <c r="A1868" s="497" t="b">
        <v>0</v>
      </c>
      <c r="B1868" s="497"/>
      <c r="C1868" s="515" t="s">
        <v>4882</v>
      </c>
      <c r="D1868" s="512">
        <v>21</v>
      </c>
      <c r="E1868" s="500"/>
      <c r="F1868" s="497"/>
      <c r="G1868" s="502"/>
      <c r="H1868" s="512"/>
      <c r="I1868" s="503"/>
      <c r="J1868" s="503"/>
      <c r="K1868" s="497" t="str">
        <f ca="1">IFERROR(VLOOKUP(C1868,' Disaggregation - Section E '!A$316:N817,3,0),"")</f>
        <v/>
      </c>
      <c r="L1868" s="503"/>
      <c r="M1868" s="497"/>
      <c r="N1868" s="503"/>
      <c r="O1868" s="503"/>
    </row>
    <row r="1869" spans="1:15" x14ac:dyDescent="0.35">
      <c r="A1869" s="497" t="b">
        <v>0</v>
      </c>
      <c r="B1869" s="497"/>
      <c r="C1869" s="515" t="s">
        <v>4884</v>
      </c>
      <c r="D1869" s="512">
        <v>21</v>
      </c>
      <c r="E1869" s="500"/>
      <c r="F1869" s="497"/>
      <c r="G1869" s="502"/>
      <c r="H1869" s="512"/>
      <c r="I1869" s="503"/>
      <c r="J1869" s="503"/>
      <c r="K1869" s="497" t="str">
        <f ca="1">IFERROR(VLOOKUP(C1869,' Disaggregation - Section E '!A$316:N818,3,0),"")</f>
        <v/>
      </c>
      <c r="L1869" s="503"/>
      <c r="M1869" s="497"/>
      <c r="N1869" s="503"/>
      <c r="O1869" s="503"/>
    </row>
    <row r="1870" spans="1:15" x14ac:dyDescent="0.35">
      <c r="A1870" s="497" t="b">
        <v>0</v>
      </c>
      <c r="B1870" s="497"/>
      <c r="C1870" s="515" t="s">
        <v>4886</v>
      </c>
      <c r="D1870" s="512">
        <v>21</v>
      </c>
      <c r="E1870" s="500"/>
      <c r="F1870" s="497"/>
      <c r="G1870" s="502"/>
      <c r="H1870" s="512"/>
      <c r="I1870" s="503"/>
      <c r="J1870" s="503"/>
      <c r="K1870" s="497" t="str">
        <f ca="1">IFERROR(VLOOKUP(C1870,' Disaggregation - Section E '!A$316:N819,3,0),"")</f>
        <v/>
      </c>
      <c r="L1870" s="503"/>
      <c r="M1870" s="497"/>
      <c r="N1870" s="503"/>
      <c r="O1870" s="503"/>
    </row>
    <row r="1871" spans="1:15" x14ac:dyDescent="0.35">
      <c r="A1871" s="497" t="b">
        <v>0</v>
      </c>
      <c r="B1871" s="497"/>
      <c r="C1871" s="515" t="s">
        <v>4888</v>
      </c>
      <c r="D1871" s="512">
        <v>21</v>
      </c>
      <c r="E1871" s="500"/>
      <c r="F1871" s="497"/>
      <c r="G1871" s="502"/>
      <c r="H1871" s="512"/>
      <c r="I1871" s="503"/>
      <c r="J1871" s="503"/>
      <c r="K1871" s="497" t="str">
        <f ca="1">IFERROR(VLOOKUP(C1871,' Disaggregation - Section E '!A$316:N820,3,0),"")</f>
        <v/>
      </c>
      <c r="L1871" s="503"/>
      <c r="M1871" s="497"/>
      <c r="N1871" s="503"/>
      <c r="O1871" s="503"/>
    </row>
    <row r="1872" spans="1:15" x14ac:dyDescent="0.35">
      <c r="A1872" s="497" t="b">
        <v>0</v>
      </c>
      <c r="B1872" s="497"/>
      <c r="C1872" s="515" t="s">
        <v>4890</v>
      </c>
      <c r="D1872" s="512">
        <v>21</v>
      </c>
      <c r="E1872" s="500"/>
      <c r="F1872" s="497"/>
      <c r="G1872" s="502"/>
      <c r="H1872" s="512"/>
      <c r="I1872" s="503"/>
      <c r="J1872" s="503"/>
      <c r="K1872" s="497" t="str">
        <f ca="1">IFERROR(VLOOKUP(C1872,' Disaggregation - Section E '!A$316:N821,3,0),"")</f>
        <v/>
      </c>
      <c r="L1872" s="503"/>
      <c r="M1872" s="497"/>
      <c r="N1872" s="503"/>
      <c r="O1872" s="503"/>
    </row>
    <row r="1873" spans="1:15" x14ac:dyDescent="0.35">
      <c r="A1873" s="497" t="b">
        <v>0</v>
      </c>
      <c r="B1873" s="497"/>
      <c r="C1873" s="515" t="s">
        <v>4892</v>
      </c>
      <c r="D1873" s="512">
        <v>21</v>
      </c>
      <c r="E1873" s="500"/>
      <c r="F1873" s="497"/>
      <c r="G1873" s="502"/>
      <c r="H1873" s="512"/>
      <c r="I1873" s="503"/>
      <c r="J1873" s="503"/>
      <c r="K1873" s="497" t="str">
        <f ca="1">IFERROR(VLOOKUP(C1873,' Disaggregation - Section E '!A$316:N822,3,0),"")</f>
        <v/>
      </c>
      <c r="L1873" s="503"/>
      <c r="M1873" s="497"/>
      <c r="N1873" s="503"/>
      <c r="O1873" s="503"/>
    </row>
    <row r="1874" spans="1:15" x14ac:dyDescent="0.35">
      <c r="A1874" s="497" t="b">
        <v>0</v>
      </c>
      <c r="B1874" s="497"/>
      <c r="C1874" s="515" t="s">
        <v>4894</v>
      </c>
      <c r="D1874" s="512">
        <v>21</v>
      </c>
      <c r="E1874" s="500"/>
      <c r="F1874" s="497"/>
      <c r="G1874" s="502"/>
      <c r="H1874" s="512"/>
      <c r="I1874" s="503"/>
      <c r="J1874" s="503"/>
      <c r="K1874" s="497" t="str">
        <f ca="1">IFERROR(VLOOKUP(C1874,' Disaggregation - Section E '!A$316:N823,3,0),"")</f>
        <v/>
      </c>
      <c r="L1874" s="503"/>
      <c r="M1874" s="497"/>
      <c r="N1874" s="503"/>
      <c r="O1874" s="503"/>
    </row>
    <row r="1875" spans="1:15" x14ac:dyDescent="0.35">
      <c r="A1875" s="497" t="b">
        <v>0</v>
      </c>
      <c r="B1875" s="497"/>
      <c r="C1875" s="515" t="s">
        <v>4896</v>
      </c>
      <c r="D1875" s="512">
        <v>21</v>
      </c>
      <c r="E1875" s="500"/>
      <c r="F1875" s="497"/>
      <c r="G1875" s="502"/>
      <c r="H1875" s="512"/>
      <c r="I1875" s="503"/>
      <c r="J1875" s="503"/>
      <c r="K1875" s="497" t="str">
        <f ca="1">IFERROR(VLOOKUP(C1875,' Disaggregation - Section E '!A$316:N824,3,0),"")</f>
        <v/>
      </c>
      <c r="L1875" s="503"/>
      <c r="M1875" s="497"/>
      <c r="N1875" s="503"/>
      <c r="O1875" s="503"/>
    </row>
    <row r="1876" spans="1:15" x14ac:dyDescent="0.35">
      <c r="A1876" s="497" t="b">
        <v>0</v>
      </c>
      <c r="B1876" s="497"/>
      <c r="C1876" s="515" t="s">
        <v>4898</v>
      </c>
      <c r="D1876" s="512">
        <v>21</v>
      </c>
      <c r="E1876" s="500"/>
      <c r="F1876" s="497"/>
      <c r="G1876" s="502"/>
      <c r="H1876" s="512"/>
      <c r="I1876" s="503"/>
      <c r="J1876" s="503"/>
      <c r="K1876" s="497" t="str">
        <f ca="1">IFERROR(VLOOKUP(C1876,' Disaggregation - Section E '!A$316:N825,3,0),"")</f>
        <v/>
      </c>
      <c r="L1876" s="503"/>
      <c r="M1876" s="497"/>
      <c r="N1876" s="503"/>
      <c r="O1876" s="503"/>
    </row>
    <row r="1877" spans="1:15" x14ac:dyDescent="0.35">
      <c r="A1877" s="497" t="b">
        <v>0</v>
      </c>
      <c r="B1877" s="497"/>
      <c r="C1877" s="515" t="s">
        <v>5195</v>
      </c>
      <c r="D1877" s="512">
        <v>22</v>
      </c>
      <c r="E1877" s="500"/>
      <c r="F1877" s="497"/>
      <c r="G1877" s="502"/>
      <c r="H1877" s="512"/>
      <c r="I1877" s="503"/>
      <c r="J1877" s="503"/>
      <c r="K1877" s="497" t="str">
        <f ca="1">IFERROR(VLOOKUP(C1877,' Disaggregation - Section E '!A$316:N826,3,0),"")</f>
        <v/>
      </c>
      <c r="L1877" s="503"/>
      <c r="M1877" s="497"/>
      <c r="N1877" s="503"/>
      <c r="O1877" s="503"/>
    </row>
    <row r="1878" spans="1:15" x14ac:dyDescent="0.35">
      <c r="A1878" s="497" t="b">
        <v>0</v>
      </c>
      <c r="B1878" s="497"/>
      <c r="C1878" s="515" t="s">
        <v>5197</v>
      </c>
      <c r="D1878" s="512">
        <v>22</v>
      </c>
      <c r="E1878" s="500"/>
      <c r="F1878" s="497"/>
      <c r="G1878" s="502"/>
      <c r="H1878" s="512"/>
      <c r="I1878" s="503"/>
      <c r="J1878" s="503"/>
      <c r="K1878" s="497" t="str">
        <f ca="1">IFERROR(VLOOKUP(C1878,' Disaggregation - Section E '!A$316:N827,3,0),"")</f>
        <v/>
      </c>
      <c r="L1878" s="503"/>
      <c r="M1878" s="497"/>
      <c r="N1878" s="503"/>
      <c r="O1878" s="503"/>
    </row>
    <row r="1879" spans="1:15" x14ac:dyDescent="0.35">
      <c r="A1879" s="497" t="b">
        <v>0</v>
      </c>
      <c r="B1879" s="497"/>
      <c r="C1879" s="515" t="s">
        <v>5199</v>
      </c>
      <c r="D1879" s="512">
        <v>22</v>
      </c>
      <c r="E1879" s="500"/>
      <c r="F1879" s="497"/>
      <c r="G1879" s="502"/>
      <c r="H1879" s="512"/>
      <c r="I1879" s="503"/>
      <c r="J1879" s="503"/>
      <c r="K1879" s="497" t="str">
        <f ca="1">IFERROR(VLOOKUP(C1879,' Disaggregation - Section E '!A$316:N828,3,0),"")</f>
        <v/>
      </c>
      <c r="L1879" s="503"/>
      <c r="M1879" s="497"/>
      <c r="N1879" s="503"/>
      <c r="O1879" s="503"/>
    </row>
    <row r="1880" spans="1:15" x14ac:dyDescent="0.35">
      <c r="A1880" s="497" t="b">
        <v>0</v>
      </c>
      <c r="B1880" s="497"/>
      <c r="C1880" s="515" t="s">
        <v>5201</v>
      </c>
      <c r="D1880" s="512">
        <v>22</v>
      </c>
      <c r="E1880" s="500"/>
      <c r="F1880" s="497"/>
      <c r="G1880" s="502"/>
      <c r="H1880" s="512"/>
      <c r="I1880" s="503"/>
      <c r="J1880" s="503"/>
      <c r="K1880" s="497" t="str">
        <f ca="1">IFERROR(VLOOKUP(C1880,' Disaggregation - Section E '!A$316:N829,3,0),"")</f>
        <v/>
      </c>
      <c r="L1880" s="503"/>
      <c r="M1880" s="497"/>
      <c r="N1880" s="503"/>
      <c r="O1880" s="503"/>
    </row>
    <row r="1881" spans="1:15" x14ac:dyDescent="0.35">
      <c r="A1881" s="497" t="b">
        <v>0</v>
      </c>
      <c r="B1881" s="497"/>
      <c r="C1881" s="515" t="s">
        <v>5203</v>
      </c>
      <c r="D1881" s="512">
        <v>22</v>
      </c>
      <c r="E1881" s="500"/>
      <c r="F1881" s="497"/>
      <c r="G1881" s="502"/>
      <c r="H1881" s="512"/>
      <c r="I1881" s="503"/>
      <c r="J1881" s="503"/>
      <c r="K1881" s="497" t="str">
        <f ca="1">IFERROR(VLOOKUP(C1881,' Disaggregation - Section E '!A$316:N830,3,0),"")</f>
        <v/>
      </c>
      <c r="L1881" s="503"/>
      <c r="M1881" s="497"/>
      <c r="N1881" s="503"/>
      <c r="O1881" s="503"/>
    </row>
    <row r="1882" spans="1:15" x14ac:dyDescent="0.35">
      <c r="A1882" s="497" t="b">
        <v>0</v>
      </c>
      <c r="B1882" s="497"/>
      <c r="C1882" s="515" t="s">
        <v>5205</v>
      </c>
      <c r="D1882" s="512">
        <v>22</v>
      </c>
      <c r="E1882" s="500"/>
      <c r="F1882" s="497"/>
      <c r="G1882" s="502"/>
      <c r="H1882" s="512"/>
      <c r="I1882" s="503"/>
      <c r="J1882" s="503"/>
      <c r="K1882" s="497" t="str">
        <f ca="1">IFERROR(VLOOKUP(C1882,' Disaggregation - Section E '!A$316:N831,3,0),"")</f>
        <v/>
      </c>
      <c r="L1882" s="503"/>
      <c r="M1882" s="497"/>
      <c r="N1882" s="503"/>
      <c r="O1882" s="503"/>
    </row>
    <row r="1883" spans="1:15" x14ac:dyDescent="0.35">
      <c r="A1883" s="497" t="b">
        <v>0</v>
      </c>
      <c r="B1883" s="497"/>
      <c r="C1883" s="515" t="s">
        <v>5207</v>
      </c>
      <c r="D1883" s="512">
        <v>22</v>
      </c>
      <c r="E1883" s="500"/>
      <c r="F1883" s="497"/>
      <c r="G1883" s="502"/>
      <c r="H1883" s="512"/>
      <c r="I1883" s="503"/>
      <c r="J1883" s="503"/>
      <c r="K1883" s="497" t="str">
        <f ca="1">IFERROR(VLOOKUP(C1883,' Disaggregation - Section E '!A$316:N832,3,0),"")</f>
        <v/>
      </c>
      <c r="L1883" s="503"/>
      <c r="M1883" s="497"/>
      <c r="N1883" s="503"/>
      <c r="O1883" s="503"/>
    </row>
    <row r="1884" spans="1:15" x14ac:dyDescent="0.35">
      <c r="A1884" s="497" t="b">
        <v>0</v>
      </c>
      <c r="B1884" s="497"/>
      <c r="C1884" s="515" t="s">
        <v>5209</v>
      </c>
      <c r="D1884" s="512">
        <v>22</v>
      </c>
      <c r="E1884" s="500"/>
      <c r="F1884" s="497"/>
      <c r="G1884" s="502"/>
      <c r="H1884" s="512"/>
      <c r="I1884" s="503"/>
      <c r="J1884" s="503"/>
      <c r="K1884" s="497" t="str">
        <f ca="1">IFERROR(VLOOKUP(C1884,' Disaggregation - Section E '!A$316:N833,3,0),"")</f>
        <v/>
      </c>
      <c r="L1884" s="503"/>
      <c r="M1884" s="497"/>
      <c r="N1884" s="503"/>
      <c r="O1884" s="503"/>
    </row>
    <row r="1885" spans="1:15" x14ac:dyDescent="0.35">
      <c r="A1885" s="497" t="b">
        <v>0</v>
      </c>
      <c r="B1885" s="497"/>
      <c r="C1885" s="515" t="s">
        <v>5211</v>
      </c>
      <c r="D1885" s="512">
        <v>22</v>
      </c>
      <c r="E1885" s="500"/>
      <c r="F1885" s="497"/>
      <c r="G1885" s="502"/>
      <c r="H1885" s="512"/>
      <c r="I1885" s="503"/>
      <c r="J1885" s="503"/>
      <c r="K1885" s="497" t="str">
        <f ca="1">IFERROR(VLOOKUP(C1885,' Disaggregation - Section E '!A$316:N834,3,0),"")</f>
        <v/>
      </c>
      <c r="L1885" s="503"/>
      <c r="M1885" s="497"/>
      <c r="N1885" s="503"/>
      <c r="O1885" s="503"/>
    </row>
    <row r="1886" spans="1:15" x14ac:dyDescent="0.35">
      <c r="A1886" s="497" t="b">
        <v>0</v>
      </c>
      <c r="B1886" s="497"/>
      <c r="C1886" s="515" t="s">
        <v>5213</v>
      </c>
      <c r="D1886" s="512">
        <v>22</v>
      </c>
      <c r="E1886" s="500"/>
      <c r="F1886" s="497"/>
      <c r="G1886" s="502"/>
      <c r="H1886" s="512"/>
      <c r="I1886" s="503"/>
      <c r="J1886" s="503"/>
      <c r="K1886" s="497" t="str">
        <f ca="1">IFERROR(VLOOKUP(C1886,' Disaggregation - Section E '!A$316:N835,3,0),"")</f>
        <v/>
      </c>
      <c r="L1886" s="503"/>
      <c r="M1886" s="497"/>
      <c r="N1886" s="503"/>
      <c r="O1886" s="503"/>
    </row>
    <row r="1887" spans="1:15" x14ac:dyDescent="0.35">
      <c r="A1887" s="497" t="b">
        <v>0</v>
      </c>
      <c r="B1887" s="497"/>
      <c r="C1887" s="515" t="s">
        <v>4901</v>
      </c>
      <c r="D1887" s="512">
        <v>23</v>
      </c>
      <c r="E1887" s="500"/>
      <c r="F1887" s="497"/>
      <c r="G1887" s="502"/>
      <c r="H1887" s="512"/>
      <c r="I1887" s="503"/>
      <c r="J1887" s="503"/>
      <c r="K1887" s="497" t="str">
        <f ca="1">IFERROR(VLOOKUP(C1887,' Disaggregation - Section E '!A$316:N836,3,0),"")</f>
        <v/>
      </c>
      <c r="L1887" s="503"/>
      <c r="M1887" s="497"/>
      <c r="N1887" s="503"/>
      <c r="O1887" s="503"/>
    </row>
    <row r="1888" spans="1:15" x14ac:dyDescent="0.35">
      <c r="A1888" s="497" t="b">
        <v>0</v>
      </c>
      <c r="B1888" s="497"/>
      <c r="C1888" s="515" t="s">
        <v>4903</v>
      </c>
      <c r="D1888" s="512">
        <v>23</v>
      </c>
      <c r="E1888" s="500"/>
      <c r="F1888" s="497"/>
      <c r="G1888" s="502"/>
      <c r="H1888" s="512"/>
      <c r="I1888" s="503"/>
      <c r="J1888" s="503"/>
      <c r="K1888" s="497" t="str">
        <f ca="1">IFERROR(VLOOKUP(C1888,' Disaggregation - Section E '!A$316:N837,3,0),"")</f>
        <v/>
      </c>
      <c r="L1888" s="503"/>
      <c r="M1888" s="497"/>
      <c r="N1888" s="503"/>
      <c r="O1888" s="503"/>
    </row>
    <row r="1889" spans="1:15" x14ac:dyDescent="0.35">
      <c r="A1889" s="497" t="b">
        <v>0</v>
      </c>
      <c r="B1889" s="497"/>
      <c r="C1889" s="515" t="s">
        <v>4905</v>
      </c>
      <c r="D1889" s="512">
        <v>23</v>
      </c>
      <c r="E1889" s="500"/>
      <c r="F1889" s="497"/>
      <c r="G1889" s="502"/>
      <c r="H1889" s="512"/>
      <c r="I1889" s="503"/>
      <c r="J1889" s="503"/>
      <c r="K1889" s="497" t="str">
        <f ca="1">IFERROR(VLOOKUP(C1889,' Disaggregation - Section E '!A$316:N838,3,0),"")</f>
        <v/>
      </c>
      <c r="L1889" s="503"/>
      <c r="M1889" s="497"/>
      <c r="N1889" s="503"/>
      <c r="O1889" s="503"/>
    </row>
    <row r="1890" spans="1:15" x14ac:dyDescent="0.35">
      <c r="A1890" s="497" t="b">
        <v>0</v>
      </c>
      <c r="B1890" s="497"/>
      <c r="C1890" s="515" t="s">
        <v>4907</v>
      </c>
      <c r="D1890" s="512">
        <v>23</v>
      </c>
      <c r="E1890" s="500"/>
      <c r="F1890" s="497"/>
      <c r="G1890" s="502"/>
      <c r="H1890" s="512"/>
      <c r="I1890" s="503"/>
      <c r="J1890" s="503"/>
      <c r="K1890" s="497" t="str">
        <f ca="1">IFERROR(VLOOKUP(C1890,' Disaggregation - Section E '!A$316:N839,3,0),"")</f>
        <v/>
      </c>
      <c r="L1890" s="503"/>
      <c r="M1890" s="497"/>
      <c r="N1890" s="503"/>
      <c r="O1890" s="503"/>
    </row>
    <row r="1891" spans="1:15" x14ac:dyDescent="0.35">
      <c r="A1891" s="497" t="b">
        <v>0</v>
      </c>
      <c r="B1891" s="497"/>
      <c r="C1891" s="515" t="s">
        <v>4909</v>
      </c>
      <c r="D1891" s="512">
        <v>23</v>
      </c>
      <c r="E1891" s="500"/>
      <c r="F1891" s="497"/>
      <c r="G1891" s="502"/>
      <c r="H1891" s="512"/>
      <c r="I1891" s="503"/>
      <c r="J1891" s="503"/>
      <c r="K1891" s="497" t="str">
        <f ca="1">IFERROR(VLOOKUP(C1891,' Disaggregation - Section E '!A$316:N840,3,0),"")</f>
        <v/>
      </c>
      <c r="L1891" s="503"/>
      <c r="M1891" s="497"/>
      <c r="N1891" s="503"/>
      <c r="O1891" s="503"/>
    </row>
    <row r="1892" spans="1:15" x14ac:dyDescent="0.35">
      <c r="A1892" s="497" t="b">
        <v>0</v>
      </c>
      <c r="B1892" s="497"/>
      <c r="C1892" s="515" t="s">
        <v>4911</v>
      </c>
      <c r="D1892" s="512">
        <v>23</v>
      </c>
      <c r="E1892" s="500"/>
      <c r="F1892" s="497"/>
      <c r="G1892" s="502"/>
      <c r="H1892" s="512"/>
      <c r="I1892" s="503"/>
      <c r="J1892" s="503"/>
      <c r="K1892" s="497" t="str">
        <f ca="1">IFERROR(VLOOKUP(C1892,' Disaggregation - Section E '!A$316:N841,3,0),"")</f>
        <v/>
      </c>
      <c r="L1892" s="503"/>
      <c r="M1892" s="497"/>
      <c r="N1892" s="503"/>
      <c r="O1892" s="503"/>
    </row>
    <row r="1893" spans="1:15" x14ac:dyDescent="0.35">
      <c r="A1893" s="497" t="b">
        <v>0</v>
      </c>
      <c r="B1893" s="497"/>
      <c r="C1893" s="515" t="s">
        <v>4913</v>
      </c>
      <c r="D1893" s="512">
        <v>23</v>
      </c>
      <c r="E1893" s="500"/>
      <c r="F1893" s="497"/>
      <c r="G1893" s="502"/>
      <c r="H1893" s="512"/>
      <c r="I1893" s="503"/>
      <c r="J1893" s="503"/>
      <c r="K1893" s="497" t="str">
        <f ca="1">IFERROR(VLOOKUP(C1893,' Disaggregation - Section E '!A$316:N842,3,0),"")</f>
        <v/>
      </c>
      <c r="L1893" s="503"/>
      <c r="M1893" s="497"/>
      <c r="N1893" s="503"/>
      <c r="O1893" s="503"/>
    </row>
    <row r="1894" spans="1:15" x14ac:dyDescent="0.35">
      <c r="A1894" s="497" t="b">
        <v>0</v>
      </c>
      <c r="B1894" s="497"/>
      <c r="C1894" s="515" t="s">
        <v>4915</v>
      </c>
      <c r="D1894" s="512">
        <v>23</v>
      </c>
      <c r="E1894" s="500"/>
      <c r="F1894" s="497"/>
      <c r="G1894" s="502"/>
      <c r="H1894" s="512"/>
      <c r="I1894" s="503"/>
      <c r="J1894" s="503"/>
      <c r="K1894" s="497" t="str">
        <f ca="1">IFERROR(VLOOKUP(C1894,' Disaggregation - Section E '!A$316:N843,3,0),"")</f>
        <v/>
      </c>
      <c r="L1894" s="503"/>
      <c r="M1894" s="497"/>
      <c r="N1894" s="503"/>
      <c r="O1894" s="503"/>
    </row>
    <row r="1895" spans="1:15" x14ac:dyDescent="0.35">
      <c r="A1895" s="497" t="b">
        <v>0</v>
      </c>
      <c r="B1895" s="497"/>
      <c r="C1895" s="515" t="s">
        <v>4917</v>
      </c>
      <c r="D1895" s="512">
        <v>23</v>
      </c>
      <c r="E1895" s="500"/>
      <c r="F1895" s="497"/>
      <c r="G1895" s="502"/>
      <c r="H1895" s="512"/>
      <c r="I1895" s="503"/>
      <c r="J1895" s="503"/>
      <c r="K1895" s="497" t="str">
        <f ca="1">IFERROR(VLOOKUP(C1895,' Disaggregation - Section E '!A$316:N844,3,0),"")</f>
        <v/>
      </c>
      <c r="L1895" s="503"/>
      <c r="M1895" s="497"/>
      <c r="N1895" s="503"/>
      <c r="O1895" s="503"/>
    </row>
    <row r="1896" spans="1:15" x14ac:dyDescent="0.35">
      <c r="A1896" s="497" t="b">
        <v>0</v>
      </c>
      <c r="B1896" s="497"/>
      <c r="C1896" s="515" t="s">
        <v>4919</v>
      </c>
      <c r="D1896" s="512">
        <v>23</v>
      </c>
      <c r="E1896" s="500"/>
      <c r="F1896" s="497"/>
      <c r="G1896" s="502"/>
      <c r="H1896" s="512"/>
      <c r="I1896" s="503"/>
      <c r="J1896" s="503"/>
      <c r="K1896" s="497" t="str">
        <f ca="1">IFERROR(VLOOKUP(C1896,' Disaggregation - Section E '!A$316:N845,3,0),"")</f>
        <v/>
      </c>
      <c r="L1896" s="503"/>
      <c r="M1896" s="497"/>
      <c r="N1896" s="503"/>
      <c r="O1896" s="503"/>
    </row>
    <row r="1897" spans="1:15" x14ac:dyDescent="0.35">
      <c r="A1897" s="497" t="b">
        <v>0</v>
      </c>
      <c r="B1897" s="497"/>
      <c r="C1897" s="515" t="s">
        <v>5216</v>
      </c>
      <c r="D1897" s="512">
        <v>24</v>
      </c>
      <c r="E1897" s="500"/>
      <c r="F1897" s="497"/>
      <c r="G1897" s="502"/>
      <c r="H1897" s="512"/>
      <c r="I1897" s="503"/>
      <c r="J1897" s="503"/>
      <c r="K1897" s="497" t="str">
        <f ca="1">IFERROR(VLOOKUP(C1897,' Disaggregation - Section E '!A$316:N846,3,0),"")</f>
        <v/>
      </c>
      <c r="L1897" s="503"/>
      <c r="M1897" s="497"/>
      <c r="N1897" s="503"/>
      <c r="O1897" s="503"/>
    </row>
    <row r="1898" spans="1:15" x14ac:dyDescent="0.35">
      <c r="A1898" s="497" t="b">
        <v>0</v>
      </c>
      <c r="B1898" s="497"/>
      <c r="C1898" s="515" t="s">
        <v>5218</v>
      </c>
      <c r="D1898" s="512">
        <v>24</v>
      </c>
      <c r="E1898" s="500"/>
      <c r="F1898" s="497"/>
      <c r="G1898" s="502"/>
      <c r="H1898" s="512"/>
      <c r="I1898" s="503"/>
      <c r="J1898" s="503"/>
      <c r="K1898" s="497" t="str">
        <f ca="1">IFERROR(VLOOKUP(C1898,' Disaggregation - Section E '!A$316:N847,3,0),"")</f>
        <v/>
      </c>
      <c r="L1898" s="503"/>
      <c r="M1898" s="497"/>
      <c r="N1898" s="503"/>
      <c r="O1898" s="503"/>
    </row>
    <row r="1899" spans="1:15" x14ac:dyDescent="0.35">
      <c r="A1899" s="497" t="b">
        <v>0</v>
      </c>
      <c r="B1899" s="497"/>
      <c r="C1899" s="515" t="s">
        <v>5220</v>
      </c>
      <c r="D1899" s="512">
        <v>24</v>
      </c>
      <c r="E1899" s="500"/>
      <c r="F1899" s="497"/>
      <c r="G1899" s="502"/>
      <c r="H1899" s="512"/>
      <c r="I1899" s="503"/>
      <c r="J1899" s="503"/>
      <c r="K1899" s="497" t="str">
        <f ca="1">IFERROR(VLOOKUP(C1899,' Disaggregation - Section E '!A$316:N848,3,0),"")</f>
        <v/>
      </c>
      <c r="L1899" s="503"/>
      <c r="M1899" s="497"/>
      <c r="N1899" s="503"/>
      <c r="O1899" s="503"/>
    </row>
    <row r="1900" spans="1:15" x14ac:dyDescent="0.35">
      <c r="A1900" s="497" t="b">
        <v>0</v>
      </c>
      <c r="B1900" s="497"/>
      <c r="C1900" s="515" t="s">
        <v>5222</v>
      </c>
      <c r="D1900" s="512">
        <v>24</v>
      </c>
      <c r="E1900" s="500"/>
      <c r="F1900" s="497"/>
      <c r="G1900" s="502"/>
      <c r="H1900" s="512"/>
      <c r="I1900" s="503"/>
      <c r="J1900" s="503"/>
      <c r="K1900" s="497" t="str">
        <f ca="1">IFERROR(VLOOKUP(C1900,' Disaggregation - Section E '!A$316:N849,3,0),"")</f>
        <v/>
      </c>
      <c r="L1900" s="503"/>
      <c r="M1900" s="497"/>
      <c r="N1900" s="503"/>
      <c r="O1900" s="503"/>
    </row>
    <row r="1901" spans="1:15" x14ac:dyDescent="0.35">
      <c r="A1901" s="497" t="b">
        <v>0</v>
      </c>
      <c r="B1901" s="497"/>
      <c r="C1901" s="515" t="s">
        <v>5224</v>
      </c>
      <c r="D1901" s="512">
        <v>24</v>
      </c>
      <c r="E1901" s="500"/>
      <c r="F1901" s="497"/>
      <c r="G1901" s="502"/>
      <c r="H1901" s="512"/>
      <c r="I1901" s="503"/>
      <c r="J1901" s="503"/>
      <c r="K1901" s="497" t="str">
        <f ca="1">IFERROR(VLOOKUP(C1901,' Disaggregation - Section E '!A$316:N850,3,0),"")</f>
        <v/>
      </c>
      <c r="L1901" s="503"/>
      <c r="M1901" s="497"/>
      <c r="N1901" s="503"/>
      <c r="O1901" s="503"/>
    </row>
    <row r="1902" spans="1:15" x14ac:dyDescent="0.35">
      <c r="A1902" s="497" t="b">
        <v>0</v>
      </c>
      <c r="B1902" s="497"/>
      <c r="C1902" s="515" t="s">
        <v>5226</v>
      </c>
      <c r="D1902" s="512">
        <v>24</v>
      </c>
      <c r="E1902" s="500"/>
      <c r="F1902" s="497"/>
      <c r="G1902" s="502"/>
      <c r="H1902" s="512"/>
      <c r="I1902" s="503"/>
      <c r="J1902" s="503"/>
      <c r="K1902" s="497" t="str">
        <f ca="1">IFERROR(VLOOKUP(C1902,' Disaggregation - Section E '!A$316:N851,3,0),"")</f>
        <v/>
      </c>
      <c r="L1902" s="503"/>
      <c r="M1902" s="497"/>
      <c r="N1902" s="503"/>
      <c r="O1902" s="503"/>
    </row>
    <row r="1903" spans="1:15" x14ac:dyDescent="0.35">
      <c r="A1903" s="497" t="b">
        <v>0</v>
      </c>
      <c r="B1903" s="497"/>
      <c r="C1903" s="515" t="s">
        <v>5228</v>
      </c>
      <c r="D1903" s="512">
        <v>24</v>
      </c>
      <c r="E1903" s="500"/>
      <c r="F1903" s="497"/>
      <c r="G1903" s="502"/>
      <c r="H1903" s="512"/>
      <c r="I1903" s="503"/>
      <c r="J1903" s="503"/>
      <c r="K1903" s="497" t="str">
        <f ca="1">IFERROR(VLOOKUP(C1903,' Disaggregation - Section E '!A$316:N852,3,0),"")</f>
        <v/>
      </c>
      <c r="L1903" s="503"/>
      <c r="M1903" s="497"/>
      <c r="N1903" s="503"/>
      <c r="O1903" s="503"/>
    </row>
    <row r="1904" spans="1:15" x14ac:dyDescent="0.35">
      <c r="A1904" s="497" t="b">
        <v>0</v>
      </c>
      <c r="B1904" s="497"/>
      <c r="C1904" s="515" t="s">
        <v>5230</v>
      </c>
      <c r="D1904" s="512">
        <v>24</v>
      </c>
      <c r="E1904" s="500"/>
      <c r="F1904" s="497"/>
      <c r="G1904" s="502"/>
      <c r="H1904" s="512"/>
      <c r="I1904" s="503"/>
      <c r="J1904" s="503"/>
      <c r="K1904" s="497" t="str">
        <f ca="1">IFERROR(VLOOKUP(C1904,' Disaggregation - Section E '!A$316:N853,3,0),"")</f>
        <v/>
      </c>
      <c r="L1904" s="503"/>
      <c r="M1904" s="497"/>
      <c r="N1904" s="503"/>
      <c r="O1904" s="503"/>
    </row>
    <row r="1905" spans="1:15" x14ac:dyDescent="0.35">
      <c r="A1905" s="497" t="b">
        <v>0</v>
      </c>
      <c r="B1905" s="497"/>
      <c r="C1905" s="515" t="s">
        <v>5232</v>
      </c>
      <c r="D1905" s="512">
        <v>24</v>
      </c>
      <c r="E1905" s="500"/>
      <c r="F1905" s="497"/>
      <c r="G1905" s="502"/>
      <c r="H1905" s="512"/>
      <c r="I1905" s="503"/>
      <c r="J1905" s="503"/>
      <c r="K1905" s="497" t="str">
        <f ca="1">IFERROR(VLOOKUP(C1905,' Disaggregation - Section E '!A$316:N854,3,0),"")</f>
        <v/>
      </c>
      <c r="L1905" s="503"/>
      <c r="M1905" s="497"/>
      <c r="N1905" s="503"/>
      <c r="O1905" s="503"/>
    </row>
    <row r="1906" spans="1:15" x14ac:dyDescent="0.35">
      <c r="A1906" s="497" t="b">
        <v>0</v>
      </c>
      <c r="B1906" s="497"/>
      <c r="C1906" s="515" t="s">
        <v>5234</v>
      </c>
      <c r="D1906" s="512">
        <v>24</v>
      </c>
      <c r="E1906" s="500"/>
      <c r="F1906" s="497"/>
      <c r="G1906" s="502"/>
      <c r="H1906" s="512"/>
      <c r="I1906" s="503"/>
      <c r="J1906" s="503"/>
      <c r="K1906" s="497" t="str">
        <f ca="1">IFERROR(VLOOKUP(C1906,' Disaggregation - Section E '!A$316:N855,3,0),"")</f>
        <v/>
      </c>
      <c r="L1906" s="503"/>
      <c r="M1906" s="497"/>
      <c r="N1906" s="503"/>
      <c r="O1906" s="503"/>
    </row>
    <row r="1907" spans="1:15" x14ac:dyDescent="0.35">
      <c r="A1907" s="497" t="b">
        <v>0</v>
      </c>
      <c r="B1907" s="497"/>
      <c r="C1907" s="515" t="s">
        <v>4922</v>
      </c>
      <c r="D1907" s="512">
        <v>25</v>
      </c>
      <c r="E1907" s="500"/>
      <c r="F1907" s="497"/>
      <c r="G1907" s="502"/>
      <c r="H1907" s="512"/>
      <c r="I1907" s="503"/>
      <c r="J1907" s="503"/>
      <c r="K1907" s="497" t="str">
        <f ca="1">IFERROR(VLOOKUP(C1907,' Disaggregation - Section E '!A$316:N856,3,0),"")</f>
        <v/>
      </c>
      <c r="L1907" s="503"/>
      <c r="M1907" s="497"/>
      <c r="N1907" s="503"/>
      <c r="O1907" s="503"/>
    </row>
    <row r="1908" spans="1:15" x14ac:dyDescent="0.35">
      <c r="A1908" s="497" t="b">
        <v>0</v>
      </c>
      <c r="B1908" s="497"/>
      <c r="C1908" s="515" t="s">
        <v>4924</v>
      </c>
      <c r="D1908" s="512">
        <v>25</v>
      </c>
      <c r="E1908" s="500"/>
      <c r="F1908" s="497"/>
      <c r="G1908" s="502"/>
      <c r="H1908" s="512"/>
      <c r="I1908" s="503"/>
      <c r="J1908" s="503"/>
      <c r="K1908" s="497" t="str">
        <f ca="1">IFERROR(VLOOKUP(C1908,' Disaggregation - Section E '!A$316:N857,3,0),"")</f>
        <v/>
      </c>
      <c r="L1908" s="503"/>
      <c r="M1908" s="497"/>
      <c r="N1908" s="503"/>
      <c r="O1908" s="503"/>
    </row>
    <row r="1909" spans="1:15" x14ac:dyDescent="0.35">
      <c r="A1909" s="497" t="b">
        <v>0</v>
      </c>
      <c r="B1909" s="497"/>
      <c r="C1909" s="515" t="s">
        <v>4926</v>
      </c>
      <c r="D1909" s="512">
        <v>25</v>
      </c>
      <c r="E1909" s="500"/>
      <c r="F1909" s="497"/>
      <c r="G1909" s="502"/>
      <c r="H1909" s="512"/>
      <c r="I1909" s="503"/>
      <c r="J1909" s="503"/>
      <c r="K1909" s="497" t="str">
        <f ca="1">IFERROR(VLOOKUP(C1909,' Disaggregation - Section E '!A$316:N858,3,0),"")</f>
        <v/>
      </c>
      <c r="L1909" s="503"/>
      <c r="M1909" s="497"/>
      <c r="N1909" s="503"/>
      <c r="O1909" s="503"/>
    </row>
    <row r="1910" spans="1:15" x14ac:dyDescent="0.35">
      <c r="A1910" s="497" t="b">
        <v>0</v>
      </c>
      <c r="B1910" s="497"/>
      <c r="C1910" s="515" t="s">
        <v>4928</v>
      </c>
      <c r="D1910" s="512">
        <v>25</v>
      </c>
      <c r="E1910" s="500"/>
      <c r="F1910" s="497"/>
      <c r="G1910" s="502"/>
      <c r="H1910" s="512"/>
      <c r="I1910" s="503"/>
      <c r="J1910" s="503"/>
      <c r="K1910" s="497" t="str">
        <f ca="1">IFERROR(VLOOKUP(C1910,' Disaggregation - Section E '!A$316:N859,3,0),"")</f>
        <v/>
      </c>
      <c r="L1910" s="503"/>
      <c r="M1910" s="497"/>
      <c r="N1910" s="503"/>
      <c r="O1910" s="503"/>
    </row>
    <row r="1911" spans="1:15" x14ac:dyDescent="0.35">
      <c r="A1911" s="497" t="b">
        <v>0</v>
      </c>
      <c r="B1911" s="497"/>
      <c r="C1911" s="515" t="s">
        <v>4930</v>
      </c>
      <c r="D1911" s="512">
        <v>25</v>
      </c>
      <c r="E1911" s="500"/>
      <c r="F1911" s="497"/>
      <c r="G1911" s="502"/>
      <c r="H1911" s="512"/>
      <c r="I1911" s="503"/>
      <c r="J1911" s="503"/>
      <c r="K1911" s="497" t="str">
        <f ca="1">IFERROR(VLOOKUP(C1911,' Disaggregation - Section E '!A$316:N860,3,0),"")</f>
        <v/>
      </c>
      <c r="L1911" s="503"/>
      <c r="M1911" s="497"/>
      <c r="N1911" s="503"/>
      <c r="O1911" s="503"/>
    </row>
    <row r="1912" spans="1:15" x14ac:dyDescent="0.35">
      <c r="A1912" s="497" t="b">
        <v>0</v>
      </c>
      <c r="B1912" s="497"/>
      <c r="C1912" s="515" t="s">
        <v>4932</v>
      </c>
      <c r="D1912" s="512">
        <v>25</v>
      </c>
      <c r="E1912" s="500"/>
      <c r="F1912" s="497"/>
      <c r="G1912" s="502"/>
      <c r="H1912" s="512"/>
      <c r="I1912" s="503"/>
      <c r="J1912" s="503"/>
      <c r="K1912" s="497" t="str">
        <f ca="1">IFERROR(VLOOKUP(C1912,' Disaggregation - Section E '!A$316:N861,3,0),"")</f>
        <v/>
      </c>
      <c r="L1912" s="503"/>
      <c r="M1912" s="497"/>
      <c r="N1912" s="503"/>
      <c r="O1912" s="503"/>
    </row>
    <row r="1913" spans="1:15" x14ac:dyDescent="0.35">
      <c r="A1913" s="497" t="b">
        <v>0</v>
      </c>
      <c r="B1913" s="497"/>
      <c r="C1913" s="515" t="s">
        <v>4934</v>
      </c>
      <c r="D1913" s="512">
        <v>25</v>
      </c>
      <c r="E1913" s="500"/>
      <c r="F1913" s="497"/>
      <c r="G1913" s="502"/>
      <c r="H1913" s="512"/>
      <c r="I1913" s="503"/>
      <c r="J1913" s="503"/>
      <c r="K1913" s="497" t="str">
        <f ca="1">IFERROR(VLOOKUP(C1913,' Disaggregation - Section E '!A$316:N862,3,0),"")</f>
        <v/>
      </c>
      <c r="L1913" s="503"/>
      <c r="M1913" s="497"/>
      <c r="N1913" s="503"/>
      <c r="O1913" s="503"/>
    </row>
    <row r="1914" spans="1:15" x14ac:dyDescent="0.35">
      <c r="A1914" s="497" t="b">
        <v>0</v>
      </c>
      <c r="B1914" s="497"/>
      <c r="C1914" s="515" t="s">
        <v>4936</v>
      </c>
      <c r="D1914" s="512">
        <v>25</v>
      </c>
      <c r="E1914" s="500"/>
      <c r="F1914" s="497"/>
      <c r="G1914" s="502"/>
      <c r="H1914" s="512"/>
      <c r="I1914" s="503"/>
      <c r="J1914" s="503"/>
      <c r="K1914" s="497" t="str">
        <f ca="1">IFERROR(VLOOKUP(C1914,' Disaggregation - Section E '!A$316:N863,3,0),"")</f>
        <v/>
      </c>
      <c r="L1914" s="503"/>
      <c r="M1914" s="497"/>
      <c r="N1914" s="503"/>
      <c r="O1914" s="503"/>
    </row>
    <row r="1915" spans="1:15" x14ac:dyDescent="0.35">
      <c r="A1915" s="497" t="b">
        <v>0</v>
      </c>
      <c r="B1915" s="497"/>
      <c r="C1915" s="515" t="s">
        <v>4938</v>
      </c>
      <c r="D1915" s="512">
        <v>25</v>
      </c>
      <c r="E1915" s="500"/>
      <c r="F1915" s="497"/>
      <c r="G1915" s="502"/>
      <c r="H1915" s="512"/>
      <c r="I1915" s="503"/>
      <c r="J1915" s="503"/>
      <c r="K1915" s="497" t="str">
        <f ca="1">IFERROR(VLOOKUP(C1915,' Disaggregation - Section E '!A$316:N864,3,0),"")</f>
        <v/>
      </c>
      <c r="L1915" s="503"/>
      <c r="M1915" s="497"/>
      <c r="N1915" s="503"/>
      <c r="O1915" s="503"/>
    </row>
    <row r="1916" spans="1:15" x14ac:dyDescent="0.35">
      <c r="A1916" s="497" t="b">
        <v>0</v>
      </c>
      <c r="B1916" s="497"/>
      <c r="C1916" s="515" t="s">
        <v>4940</v>
      </c>
      <c r="D1916" s="512">
        <v>25</v>
      </c>
      <c r="E1916" s="500"/>
      <c r="F1916" s="497"/>
      <c r="G1916" s="502"/>
      <c r="H1916" s="512"/>
      <c r="I1916" s="503"/>
      <c r="J1916" s="503"/>
      <c r="K1916" s="497" t="str">
        <f ca="1">IFERROR(VLOOKUP(C1916,' Disaggregation - Section E '!A$316:N865,3,0),"")</f>
        <v/>
      </c>
      <c r="L1916" s="503"/>
      <c r="M1916" s="497"/>
      <c r="N1916" s="503"/>
      <c r="O1916" s="503"/>
    </row>
    <row r="1917" spans="1:15" x14ac:dyDescent="0.35">
      <c r="A1917" s="497" t="b">
        <v>0</v>
      </c>
      <c r="B1917" s="497"/>
      <c r="C1917" s="515" t="s">
        <v>5237</v>
      </c>
      <c r="D1917" s="512">
        <v>26</v>
      </c>
      <c r="E1917" s="500"/>
      <c r="F1917" s="497"/>
      <c r="G1917" s="502"/>
      <c r="H1917" s="512"/>
      <c r="I1917" s="503"/>
      <c r="J1917" s="503"/>
      <c r="K1917" s="497" t="str">
        <f ca="1">IFERROR(VLOOKUP(C1917,' Disaggregation - Section E '!A$316:N866,3,0),"")</f>
        <v/>
      </c>
      <c r="L1917" s="503"/>
      <c r="M1917" s="497"/>
      <c r="N1917" s="503"/>
      <c r="O1917" s="503"/>
    </row>
    <row r="1918" spans="1:15" x14ac:dyDescent="0.35">
      <c r="A1918" s="497" t="b">
        <v>0</v>
      </c>
      <c r="B1918" s="497"/>
      <c r="C1918" s="515" t="s">
        <v>5239</v>
      </c>
      <c r="D1918" s="512">
        <v>26</v>
      </c>
      <c r="E1918" s="500"/>
      <c r="F1918" s="497"/>
      <c r="G1918" s="502"/>
      <c r="H1918" s="512"/>
      <c r="I1918" s="503"/>
      <c r="J1918" s="503"/>
      <c r="K1918" s="497" t="str">
        <f ca="1">IFERROR(VLOOKUP(C1918,' Disaggregation - Section E '!A$316:N867,3,0),"")</f>
        <v/>
      </c>
      <c r="L1918" s="503"/>
      <c r="M1918" s="497"/>
      <c r="N1918" s="503"/>
      <c r="O1918" s="503"/>
    </row>
    <row r="1919" spans="1:15" x14ac:dyDescent="0.35">
      <c r="A1919" s="497" t="b">
        <v>0</v>
      </c>
      <c r="B1919" s="497"/>
      <c r="C1919" s="515" t="s">
        <v>5241</v>
      </c>
      <c r="D1919" s="512">
        <v>26</v>
      </c>
      <c r="E1919" s="500"/>
      <c r="F1919" s="497"/>
      <c r="G1919" s="502"/>
      <c r="H1919" s="512"/>
      <c r="I1919" s="503"/>
      <c r="J1919" s="503"/>
      <c r="K1919" s="497" t="str">
        <f ca="1">IFERROR(VLOOKUP(C1919,' Disaggregation - Section E '!A$316:N868,3,0),"")</f>
        <v/>
      </c>
      <c r="L1919" s="503"/>
      <c r="M1919" s="497"/>
      <c r="N1919" s="503"/>
      <c r="O1919" s="503"/>
    </row>
    <row r="1920" spans="1:15" x14ac:dyDescent="0.35">
      <c r="A1920" s="497" t="b">
        <v>0</v>
      </c>
      <c r="B1920" s="497"/>
      <c r="C1920" s="515" t="s">
        <v>5243</v>
      </c>
      <c r="D1920" s="512">
        <v>26</v>
      </c>
      <c r="E1920" s="500"/>
      <c r="F1920" s="497"/>
      <c r="G1920" s="502"/>
      <c r="H1920" s="512"/>
      <c r="I1920" s="503"/>
      <c r="J1920" s="503"/>
      <c r="K1920" s="497" t="str">
        <f ca="1">IFERROR(VLOOKUP(C1920,' Disaggregation - Section E '!A$316:N869,3,0),"")</f>
        <v/>
      </c>
      <c r="L1920" s="503"/>
      <c r="M1920" s="497"/>
      <c r="N1920" s="503"/>
      <c r="O1920" s="503"/>
    </row>
    <row r="1921" spans="1:15" x14ac:dyDescent="0.35">
      <c r="A1921" s="497" t="b">
        <v>0</v>
      </c>
      <c r="B1921" s="497"/>
      <c r="C1921" s="515" t="s">
        <v>5245</v>
      </c>
      <c r="D1921" s="512">
        <v>26</v>
      </c>
      <c r="E1921" s="500"/>
      <c r="F1921" s="497"/>
      <c r="G1921" s="502"/>
      <c r="H1921" s="512"/>
      <c r="I1921" s="503"/>
      <c r="J1921" s="503"/>
      <c r="K1921" s="497" t="str">
        <f ca="1">IFERROR(VLOOKUP(C1921,' Disaggregation - Section E '!A$316:N870,3,0),"")</f>
        <v/>
      </c>
      <c r="L1921" s="503"/>
      <c r="M1921" s="497"/>
      <c r="N1921" s="503"/>
      <c r="O1921" s="503"/>
    </row>
    <row r="1922" spans="1:15" x14ac:dyDescent="0.35">
      <c r="A1922" s="497" t="b">
        <v>0</v>
      </c>
      <c r="B1922" s="497"/>
      <c r="C1922" s="515" t="s">
        <v>5247</v>
      </c>
      <c r="D1922" s="512">
        <v>26</v>
      </c>
      <c r="E1922" s="500"/>
      <c r="F1922" s="497"/>
      <c r="G1922" s="502"/>
      <c r="H1922" s="512"/>
      <c r="I1922" s="503"/>
      <c r="J1922" s="503"/>
      <c r="K1922" s="497" t="str">
        <f ca="1">IFERROR(VLOOKUP(C1922,' Disaggregation - Section E '!A$316:N871,3,0),"")</f>
        <v/>
      </c>
      <c r="L1922" s="503"/>
      <c r="M1922" s="497"/>
      <c r="N1922" s="503"/>
      <c r="O1922" s="503"/>
    </row>
    <row r="1923" spans="1:15" x14ac:dyDescent="0.35">
      <c r="A1923" s="497" t="b">
        <v>0</v>
      </c>
      <c r="B1923" s="497"/>
      <c r="C1923" s="515" t="s">
        <v>5249</v>
      </c>
      <c r="D1923" s="512">
        <v>26</v>
      </c>
      <c r="E1923" s="500"/>
      <c r="F1923" s="497"/>
      <c r="G1923" s="502"/>
      <c r="H1923" s="512"/>
      <c r="I1923" s="503"/>
      <c r="J1923" s="503"/>
      <c r="K1923" s="497" t="str">
        <f ca="1">IFERROR(VLOOKUP(C1923,' Disaggregation - Section E '!A$316:N872,3,0),"")</f>
        <v/>
      </c>
      <c r="L1923" s="503"/>
      <c r="M1923" s="497"/>
      <c r="N1923" s="503"/>
      <c r="O1923" s="503"/>
    </row>
    <row r="1924" spans="1:15" x14ac:dyDescent="0.35">
      <c r="A1924" s="497" t="b">
        <v>0</v>
      </c>
      <c r="B1924" s="497"/>
      <c r="C1924" s="515" t="s">
        <v>5251</v>
      </c>
      <c r="D1924" s="512">
        <v>26</v>
      </c>
      <c r="E1924" s="500"/>
      <c r="F1924" s="497"/>
      <c r="G1924" s="502"/>
      <c r="H1924" s="512"/>
      <c r="I1924" s="503"/>
      <c r="J1924" s="503"/>
      <c r="K1924" s="497" t="str">
        <f ca="1">IFERROR(VLOOKUP(C1924,' Disaggregation - Section E '!A$316:N873,3,0),"")</f>
        <v/>
      </c>
      <c r="L1924" s="503"/>
      <c r="M1924" s="497"/>
      <c r="N1924" s="503"/>
      <c r="O1924" s="503"/>
    </row>
    <row r="1925" spans="1:15" x14ac:dyDescent="0.35">
      <c r="A1925" s="497" t="b">
        <v>0</v>
      </c>
      <c r="B1925" s="497"/>
      <c r="C1925" s="515" t="s">
        <v>5253</v>
      </c>
      <c r="D1925" s="512">
        <v>26</v>
      </c>
      <c r="E1925" s="500"/>
      <c r="F1925" s="497"/>
      <c r="G1925" s="502"/>
      <c r="H1925" s="512"/>
      <c r="I1925" s="503"/>
      <c r="J1925" s="503"/>
      <c r="K1925" s="497" t="str">
        <f ca="1">IFERROR(VLOOKUP(C1925,' Disaggregation - Section E '!A$316:N874,3,0),"")</f>
        <v/>
      </c>
      <c r="L1925" s="503"/>
      <c r="M1925" s="497"/>
      <c r="N1925" s="503"/>
      <c r="O1925" s="503"/>
    </row>
    <row r="1926" spans="1:15" x14ac:dyDescent="0.35">
      <c r="A1926" s="497" t="b">
        <v>0</v>
      </c>
      <c r="B1926" s="497"/>
      <c r="C1926" s="515" t="s">
        <v>5255</v>
      </c>
      <c r="D1926" s="512">
        <v>26</v>
      </c>
      <c r="E1926" s="500"/>
      <c r="F1926" s="497"/>
      <c r="G1926" s="502"/>
      <c r="H1926" s="512"/>
      <c r="I1926" s="503"/>
      <c r="J1926" s="503"/>
      <c r="K1926" s="497" t="str">
        <f ca="1">IFERROR(VLOOKUP(C1926,' Disaggregation - Section E '!A$316:N875,3,0),"")</f>
        <v/>
      </c>
      <c r="L1926" s="503"/>
      <c r="M1926" s="497"/>
      <c r="N1926" s="503"/>
      <c r="O1926" s="503"/>
    </row>
    <row r="1927" spans="1:15" x14ac:dyDescent="0.35">
      <c r="A1927" s="497" t="b">
        <v>0</v>
      </c>
      <c r="B1927" s="497"/>
      <c r="C1927" s="515" t="s">
        <v>4943</v>
      </c>
      <c r="D1927" s="512">
        <v>27</v>
      </c>
      <c r="E1927" s="500"/>
      <c r="F1927" s="497"/>
      <c r="G1927" s="502"/>
      <c r="H1927" s="512"/>
      <c r="I1927" s="503"/>
      <c r="J1927" s="503"/>
      <c r="K1927" s="497" t="str">
        <f ca="1">IFERROR(VLOOKUP(C1927,' Disaggregation - Section E '!A$316:N876,3,0),"")</f>
        <v/>
      </c>
      <c r="L1927" s="503"/>
      <c r="M1927" s="497"/>
      <c r="N1927" s="503"/>
      <c r="O1927" s="503"/>
    </row>
    <row r="1928" spans="1:15" x14ac:dyDescent="0.35">
      <c r="A1928" s="497" t="b">
        <v>0</v>
      </c>
      <c r="B1928" s="497"/>
      <c r="C1928" s="515" t="s">
        <v>4945</v>
      </c>
      <c r="D1928" s="512">
        <v>27</v>
      </c>
      <c r="E1928" s="500"/>
      <c r="F1928" s="497"/>
      <c r="G1928" s="502"/>
      <c r="H1928" s="512"/>
      <c r="I1928" s="503"/>
      <c r="J1928" s="503"/>
      <c r="K1928" s="497" t="str">
        <f ca="1">IFERROR(VLOOKUP(C1928,' Disaggregation - Section E '!A$316:N877,3,0),"")</f>
        <v/>
      </c>
      <c r="L1928" s="503"/>
      <c r="M1928" s="497"/>
      <c r="N1928" s="503"/>
      <c r="O1928" s="503"/>
    </row>
    <row r="1929" spans="1:15" x14ac:dyDescent="0.35">
      <c r="A1929" s="497" t="b">
        <v>0</v>
      </c>
      <c r="B1929" s="497"/>
      <c r="C1929" s="515" t="s">
        <v>4947</v>
      </c>
      <c r="D1929" s="512">
        <v>27</v>
      </c>
      <c r="E1929" s="500"/>
      <c r="F1929" s="497"/>
      <c r="G1929" s="502"/>
      <c r="H1929" s="512"/>
      <c r="I1929" s="503"/>
      <c r="J1929" s="503"/>
      <c r="K1929" s="497" t="str">
        <f ca="1">IFERROR(VLOOKUP(C1929,' Disaggregation - Section E '!A$316:N878,3,0),"")</f>
        <v/>
      </c>
      <c r="L1929" s="503"/>
      <c r="M1929" s="497"/>
      <c r="N1929" s="503"/>
      <c r="O1929" s="503"/>
    </row>
    <row r="1930" spans="1:15" x14ac:dyDescent="0.35">
      <c r="A1930" s="497" t="b">
        <v>0</v>
      </c>
      <c r="B1930" s="497"/>
      <c r="C1930" s="515" t="s">
        <v>4949</v>
      </c>
      <c r="D1930" s="512">
        <v>27</v>
      </c>
      <c r="E1930" s="500"/>
      <c r="F1930" s="497"/>
      <c r="G1930" s="502"/>
      <c r="H1930" s="512"/>
      <c r="I1930" s="503"/>
      <c r="J1930" s="503"/>
      <c r="K1930" s="497" t="str">
        <f ca="1">IFERROR(VLOOKUP(C1930,' Disaggregation - Section E '!A$316:N879,3,0),"")</f>
        <v/>
      </c>
      <c r="L1930" s="503"/>
      <c r="M1930" s="497"/>
      <c r="N1930" s="503"/>
      <c r="O1930" s="503"/>
    </row>
    <row r="1931" spans="1:15" x14ac:dyDescent="0.35">
      <c r="A1931" s="497" t="b">
        <v>0</v>
      </c>
      <c r="B1931" s="497"/>
      <c r="C1931" s="515" t="s">
        <v>4951</v>
      </c>
      <c r="D1931" s="512">
        <v>27</v>
      </c>
      <c r="E1931" s="500"/>
      <c r="F1931" s="497"/>
      <c r="G1931" s="502"/>
      <c r="H1931" s="512"/>
      <c r="I1931" s="503"/>
      <c r="J1931" s="503"/>
      <c r="K1931" s="497" t="str">
        <f ca="1">IFERROR(VLOOKUP(C1931,' Disaggregation - Section E '!A$316:N880,3,0),"")</f>
        <v/>
      </c>
      <c r="L1931" s="503"/>
      <c r="M1931" s="497"/>
      <c r="N1931" s="503"/>
      <c r="O1931" s="503"/>
    </row>
    <row r="1932" spans="1:15" x14ac:dyDescent="0.35">
      <c r="A1932" s="497" t="b">
        <v>0</v>
      </c>
      <c r="B1932" s="497"/>
      <c r="C1932" s="515" t="s">
        <v>4953</v>
      </c>
      <c r="D1932" s="512">
        <v>27</v>
      </c>
      <c r="E1932" s="500"/>
      <c r="F1932" s="497"/>
      <c r="G1932" s="502"/>
      <c r="H1932" s="512"/>
      <c r="I1932" s="503"/>
      <c r="J1932" s="503"/>
      <c r="K1932" s="497" t="str">
        <f ca="1">IFERROR(VLOOKUP(C1932,' Disaggregation - Section E '!A$316:N881,3,0),"")</f>
        <v/>
      </c>
      <c r="L1932" s="503"/>
      <c r="M1932" s="497"/>
      <c r="N1932" s="503"/>
      <c r="O1932" s="503"/>
    </row>
    <row r="1933" spans="1:15" x14ac:dyDescent="0.35">
      <c r="A1933" s="497" t="b">
        <v>0</v>
      </c>
      <c r="B1933" s="497"/>
      <c r="C1933" s="515" t="s">
        <v>4955</v>
      </c>
      <c r="D1933" s="512">
        <v>27</v>
      </c>
      <c r="E1933" s="500"/>
      <c r="F1933" s="497"/>
      <c r="G1933" s="502"/>
      <c r="H1933" s="512"/>
      <c r="I1933" s="503"/>
      <c r="J1933" s="503"/>
      <c r="K1933" s="497" t="str">
        <f ca="1">IFERROR(VLOOKUP(C1933,' Disaggregation - Section E '!A$316:N882,3,0),"")</f>
        <v/>
      </c>
      <c r="L1933" s="503"/>
      <c r="M1933" s="497"/>
      <c r="N1933" s="503"/>
      <c r="O1933" s="503"/>
    </row>
    <row r="1934" spans="1:15" x14ac:dyDescent="0.35">
      <c r="A1934" s="497" t="b">
        <v>0</v>
      </c>
      <c r="B1934" s="497"/>
      <c r="C1934" s="515" t="s">
        <v>4957</v>
      </c>
      <c r="D1934" s="512">
        <v>27</v>
      </c>
      <c r="E1934" s="500"/>
      <c r="F1934" s="497"/>
      <c r="G1934" s="502"/>
      <c r="H1934" s="512"/>
      <c r="I1934" s="503"/>
      <c r="J1934" s="503"/>
      <c r="K1934" s="497" t="str">
        <f ca="1">IFERROR(VLOOKUP(C1934,' Disaggregation - Section E '!A$316:N883,3,0),"")</f>
        <v/>
      </c>
      <c r="L1934" s="503"/>
      <c r="M1934" s="497"/>
      <c r="N1934" s="503"/>
      <c r="O1934" s="503"/>
    </row>
    <row r="1935" spans="1:15" x14ac:dyDescent="0.35">
      <c r="A1935" s="497" t="b">
        <v>0</v>
      </c>
      <c r="B1935" s="497"/>
      <c r="C1935" s="515" t="s">
        <v>4959</v>
      </c>
      <c r="D1935" s="512">
        <v>27</v>
      </c>
      <c r="E1935" s="500"/>
      <c r="F1935" s="497"/>
      <c r="G1935" s="502"/>
      <c r="H1935" s="512"/>
      <c r="I1935" s="503"/>
      <c r="J1935" s="503"/>
      <c r="K1935" s="497" t="str">
        <f ca="1">IFERROR(VLOOKUP(C1935,' Disaggregation - Section E '!A$316:N884,3,0),"")</f>
        <v/>
      </c>
      <c r="L1935" s="503"/>
      <c r="M1935" s="497"/>
      <c r="N1935" s="503"/>
      <c r="O1935" s="503"/>
    </row>
    <row r="1936" spans="1:15" x14ac:dyDescent="0.35">
      <c r="A1936" s="497" t="b">
        <v>0</v>
      </c>
      <c r="B1936" s="497"/>
      <c r="C1936" s="515" t="s">
        <v>4961</v>
      </c>
      <c r="D1936" s="512">
        <v>27</v>
      </c>
      <c r="E1936" s="500"/>
      <c r="F1936" s="497"/>
      <c r="G1936" s="502"/>
      <c r="H1936" s="512"/>
      <c r="I1936" s="503"/>
      <c r="J1936" s="503"/>
      <c r="K1936" s="497" t="str">
        <f ca="1">IFERROR(VLOOKUP(C1936,' Disaggregation - Section E '!A$316:N885,3,0),"")</f>
        <v/>
      </c>
      <c r="L1936" s="503"/>
      <c r="M1936" s="497"/>
      <c r="N1936" s="503"/>
      <c r="O1936" s="503"/>
    </row>
    <row r="1937" spans="1:15" x14ac:dyDescent="0.35">
      <c r="A1937" s="497" t="b">
        <v>0</v>
      </c>
      <c r="B1937" s="497"/>
      <c r="C1937" s="515" t="s">
        <v>5258</v>
      </c>
      <c r="D1937" s="512">
        <v>28</v>
      </c>
      <c r="E1937" s="500"/>
      <c r="F1937" s="497"/>
      <c r="G1937" s="502"/>
      <c r="H1937" s="512"/>
      <c r="I1937" s="503"/>
      <c r="J1937" s="503"/>
      <c r="K1937" s="497" t="str">
        <f ca="1">IFERROR(VLOOKUP(C1937,' Disaggregation - Section E '!A$316:N886,3,0),"")</f>
        <v/>
      </c>
      <c r="L1937" s="503"/>
      <c r="M1937" s="497"/>
      <c r="N1937" s="503"/>
      <c r="O1937" s="503"/>
    </row>
    <row r="1938" spans="1:15" x14ac:dyDescent="0.35">
      <c r="A1938" s="497" t="b">
        <v>0</v>
      </c>
      <c r="B1938" s="497"/>
      <c r="C1938" s="515" t="s">
        <v>5260</v>
      </c>
      <c r="D1938" s="512">
        <v>28</v>
      </c>
      <c r="E1938" s="500"/>
      <c r="F1938" s="497"/>
      <c r="G1938" s="502"/>
      <c r="H1938" s="512"/>
      <c r="I1938" s="503"/>
      <c r="J1938" s="503"/>
      <c r="K1938" s="497" t="str">
        <f ca="1">IFERROR(VLOOKUP(C1938,' Disaggregation - Section E '!A$316:N887,3,0),"")</f>
        <v/>
      </c>
      <c r="L1938" s="503"/>
      <c r="M1938" s="497"/>
      <c r="N1938" s="503"/>
      <c r="O1938" s="503"/>
    </row>
    <row r="1939" spans="1:15" x14ac:dyDescent="0.35">
      <c r="A1939" s="497" t="b">
        <v>0</v>
      </c>
      <c r="B1939" s="497"/>
      <c r="C1939" s="515" t="s">
        <v>5262</v>
      </c>
      <c r="D1939" s="512">
        <v>28</v>
      </c>
      <c r="E1939" s="500"/>
      <c r="F1939" s="497"/>
      <c r="G1939" s="502"/>
      <c r="H1939" s="512"/>
      <c r="I1939" s="503"/>
      <c r="J1939" s="503"/>
      <c r="K1939" s="497" t="str">
        <f ca="1">IFERROR(VLOOKUP(C1939,' Disaggregation - Section E '!A$316:N888,3,0),"")</f>
        <v/>
      </c>
      <c r="L1939" s="503"/>
      <c r="M1939" s="497"/>
      <c r="N1939" s="503"/>
      <c r="O1939" s="503"/>
    </row>
    <row r="1940" spans="1:15" x14ac:dyDescent="0.35">
      <c r="A1940" s="497" t="b">
        <v>0</v>
      </c>
      <c r="B1940" s="497"/>
      <c r="C1940" s="515" t="s">
        <v>5264</v>
      </c>
      <c r="D1940" s="512">
        <v>28</v>
      </c>
      <c r="E1940" s="500"/>
      <c r="F1940" s="497"/>
      <c r="G1940" s="502"/>
      <c r="H1940" s="512"/>
      <c r="I1940" s="503"/>
      <c r="J1940" s="503"/>
      <c r="K1940" s="497" t="str">
        <f ca="1">IFERROR(VLOOKUP(C1940,' Disaggregation - Section E '!A$316:N889,3,0),"")</f>
        <v/>
      </c>
      <c r="L1940" s="503"/>
      <c r="M1940" s="497"/>
      <c r="N1940" s="503"/>
      <c r="O1940" s="503"/>
    </row>
    <row r="1941" spans="1:15" x14ac:dyDescent="0.35">
      <c r="A1941" s="497" t="b">
        <v>0</v>
      </c>
      <c r="B1941" s="497"/>
      <c r="C1941" s="515" t="s">
        <v>5266</v>
      </c>
      <c r="D1941" s="512">
        <v>28</v>
      </c>
      <c r="E1941" s="500"/>
      <c r="F1941" s="497"/>
      <c r="G1941" s="502"/>
      <c r="H1941" s="512"/>
      <c r="I1941" s="503"/>
      <c r="J1941" s="503"/>
      <c r="K1941" s="497" t="str">
        <f ca="1">IFERROR(VLOOKUP(C1941,' Disaggregation - Section E '!A$316:N890,3,0),"")</f>
        <v/>
      </c>
      <c r="L1941" s="503"/>
      <c r="M1941" s="497"/>
      <c r="N1941" s="503"/>
      <c r="O1941" s="503"/>
    </row>
    <row r="1942" spans="1:15" x14ac:dyDescent="0.35">
      <c r="A1942" s="497" t="b">
        <v>0</v>
      </c>
      <c r="B1942" s="497"/>
      <c r="C1942" s="515" t="s">
        <v>5268</v>
      </c>
      <c r="D1942" s="512">
        <v>28</v>
      </c>
      <c r="E1942" s="500"/>
      <c r="F1942" s="497"/>
      <c r="G1942" s="502"/>
      <c r="H1942" s="512"/>
      <c r="I1942" s="503"/>
      <c r="J1942" s="503"/>
      <c r="K1942" s="497" t="str">
        <f ca="1">IFERROR(VLOOKUP(C1942,' Disaggregation - Section E '!A$316:N891,3,0),"")</f>
        <v/>
      </c>
      <c r="L1942" s="503"/>
      <c r="M1942" s="497"/>
      <c r="N1942" s="503"/>
      <c r="O1942" s="503"/>
    </row>
    <row r="1943" spans="1:15" x14ac:dyDescent="0.35">
      <c r="A1943" s="497" t="b">
        <v>0</v>
      </c>
      <c r="B1943" s="497"/>
      <c r="C1943" s="515" t="s">
        <v>5270</v>
      </c>
      <c r="D1943" s="512">
        <v>28</v>
      </c>
      <c r="E1943" s="500"/>
      <c r="F1943" s="497"/>
      <c r="G1943" s="502"/>
      <c r="H1943" s="512"/>
      <c r="I1943" s="503"/>
      <c r="J1943" s="503"/>
      <c r="K1943" s="497" t="str">
        <f ca="1">IFERROR(VLOOKUP(C1943,' Disaggregation - Section E '!A$316:N892,3,0),"")</f>
        <v/>
      </c>
      <c r="L1943" s="503"/>
      <c r="M1943" s="497"/>
      <c r="N1943" s="503"/>
      <c r="O1943" s="503"/>
    </row>
    <row r="1944" spans="1:15" x14ac:dyDescent="0.35">
      <c r="A1944" s="497" t="b">
        <v>0</v>
      </c>
      <c r="B1944" s="497"/>
      <c r="C1944" s="515" t="s">
        <v>5272</v>
      </c>
      <c r="D1944" s="512">
        <v>28</v>
      </c>
      <c r="E1944" s="500"/>
      <c r="F1944" s="497"/>
      <c r="G1944" s="502"/>
      <c r="H1944" s="512"/>
      <c r="I1944" s="503"/>
      <c r="J1944" s="503"/>
      <c r="K1944" s="497" t="str">
        <f ca="1">IFERROR(VLOOKUP(C1944,' Disaggregation - Section E '!A$316:N893,3,0),"")</f>
        <v/>
      </c>
      <c r="L1944" s="503"/>
      <c r="M1944" s="497"/>
      <c r="N1944" s="503"/>
      <c r="O1944" s="503"/>
    </row>
    <row r="1945" spans="1:15" x14ac:dyDescent="0.35">
      <c r="A1945" s="497" t="b">
        <v>0</v>
      </c>
      <c r="B1945" s="497"/>
      <c r="C1945" s="515" t="s">
        <v>5274</v>
      </c>
      <c r="D1945" s="512">
        <v>28</v>
      </c>
      <c r="E1945" s="500"/>
      <c r="F1945" s="497"/>
      <c r="G1945" s="502"/>
      <c r="H1945" s="512"/>
      <c r="I1945" s="503"/>
      <c r="J1945" s="503"/>
      <c r="K1945" s="497" t="str">
        <f ca="1">IFERROR(VLOOKUP(C1945,' Disaggregation - Section E '!A$316:N894,3,0),"")</f>
        <v/>
      </c>
      <c r="L1945" s="503"/>
      <c r="M1945" s="497"/>
      <c r="N1945" s="503"/>
      <c r="O1945" s="503"/>
    </row>
    <row r="1946" spans="1:15" x14ac:dyDescent="0.35">
      <c r="A1946" s="497" t="b">
        <v>0</v>
      </c>
      <c r="B1946" s="497"/>
      <c r="C1946" s="515" t="s">
        <v>5276</v>
      </c>
      <c r="D1946" s="512">
        <v>28</v>
      </c>
      <c r="E1946" s="500"/>
      <c r="F1946" s="497"/>
      <c r="G1946" s="502"/>
      <c r="H1946" s="512"/>
      <c r="I1946" s="503"/>
      <c r="J1946" s="503"/>
      <c r="K1946" s="497" t="str">
        <f ca="1">IFERROR(VLOOKUP(C1946,' Disaggregation - Section E '!A$316:N895,3,0),"")</f>
        <v/>
      </c>
      <c r="L1946" s="503"/>
      <c r="M1946" s="497"/>
      <c r="N1946" s="503"/>
      <c r="O1946" s="503"/>
    </row>
    <row r="1947" spans="1:15" x14ac:dyDescent="0.35">
      <c r="A1947" s="497" t="b">
        <v>0</v>
      </c>
      <c r="B1947" s="497"/>
      <c r="C1947" s="515" t="s">
        <v>4964</v>
      </c>
      <c r="D1947" s="512">
        <v>29</v>
      </c>
      <c r="E1947" s="500"/>
      <c r="F1947" s="497"/>
      <c r="G1947" s="502"/>
      <c r="H1947" s="512"/>
      <c r="I1947" s="503"/>
      <c r="J1947" s="503"/>
      <c r="K1947" s="497" t="str">
        <f ca="1">IFERROR(VLOOKUP(C1947,' Disaggregation - Section E '!A$316:N896,3,0),"")</f>
        <v/>
      </c>
      <c r="L1947" s="503"/>
      <c r="M1947" s="497"/>
      <c r="N1947" s="503"/>
      <c r="O1947" s="503"/>
    </row>
    <row r="1948" spans="1:15" x14ac:dyDescent="0.35">
      <c r="A1948" s="497" t="b">
        <v>0</v>
      </c>
      <c r="B1948" s="497"/>
      <c r="C1948" s="515" t="s">
        <v>4966</v>
      </c>
      <c r="D1948" s="512">
        <v>29</v>
      </c>
      <c r="E1948" s="500"/>
      <c r="F1948" s="497"/>
      <c r="G1948" s="502"/>
      <c r="H1948" s="512"/>
      <c r="I1948" s="503"/>
      <c r="J1948" s="503"/>
      <c r="K1948" s="497" t="str">
        <f ca="1">IFERROR(VLOOKUP(C1948,' Disaggregation - Section E '!A$316:N897,3,0),"")</f>
        <v/>
      </c>
      <c r="L1948" s="503"/>
      <c r="M1948" s="497"/>
      <c r="N1948" s="503"/>
      <c r="O1948" s="503"/>
    </row>
    <row r="1949" spans="1:15" x14ac:dyDescent="0.35">
      <c r="A1949" s="497" t="b">
        <v>0</v>
      </c>
      <c r="B1949" s="497"/>
      <c r="C1949" s="515" t="s">
        <v>4968</v>
      </c>
      <c r="D1949" s="512">
        <v>29</v>
      </c>
      <c r="E1949" s="500"/>
      <c r="F1949" s="497"/>
      <c r="G1949" s="502"/>
      <c r="H1949" s="512"/>
      <c r="I1949" s="503"/>
      <c r="J1949" s="503"/>
      <c r="K1949" s="497" t="str">
        <f ca="1">IFERROR(VLOOKUP(C1949,' Disaggregation - Section E '!A$316:N898,3,0),"")</f>
        <v/>
      </c>
      <c r="L1949" s="503"/>
      <c r="M1949" s="497"/>
      <c r="N1949" s="503"/>
      <c r="O1949" s="503"/>
    </row>
    <row r="1950" spans="1:15" x14ac:dyDescent="0.35">
      <c r="A1950" s="497" t="b">
        <v>0</v>
      </c>
      <c r="B1950" s="497"/>
      <c r="C1950" s="515" t="s">
        <v>4970</v>
      </c>
      <c r="D1950" s="512">
        <v>29</v>
      </c>
      <c r="E1950" s="500"/>
      <c r="F1950" s="497"/>
      <c r="G1950" s="502"/>
      <c r="H1950" s="512"/>
      <c r="I1950" s="503"/>
      <c r="J1950" s="503"/>
      <c r="K1950" s="497" t="str">
        <f ca="1">IFERROR(VLOOKUP(C1950,' Disaggregation - Section E '!A$316:N899,3,0),"")</f>
        <v/>
      </c>
      <c r="L1950" s="503"/>
      <c r="M1950" s="497"/>
      <c r="N1950" s="503"/>
      <c r="O1950" s="503"/>
    </row>
    <row r="1951" spans="1:15" x14ac:dyDescent="0.35">
      <c r="A1951" s="497" t="b">
        <v>0</v>
      </c>
      <c r="B1951" s="497"/>
      <c r="C1951" s="515" t="s">
        <v>4972</v>
      </c>
      <c r="D1951" s="512">
        <v>29</v>
      </c>
      <c r="E1951" s="500"/>
      <c r="F1951" s="497"/>
      <c r="G1951" s="502"/>
      <c r="H1951" s="512"/>
      <c r="I1951" s="503"/>
      <c r="J1951" s="503"/>
      <c r="K1951" s="497" t="str">
        <f ca="1">IFERROR(VLOOKUP(C1951,' Disaggregation - Section E '!A$316:N900,3,0),"")</f>
        <v/>
      </c>
      <c r="L1951" s="503"/>
      <c r="M1951" s="497"/>
      <c r="N1951" s="503"/>
      <c r="O1951" s="503"/>
    </row>
    <row r="1952" spans="1:15" x14ac:dyDescent="0.35">
      <c r="A1952" s="497" t="b">
        <v>0</v>
      </c>
      <c r="B1952" s="497"/>
      <c r="C1952" s="515" t="s">
        <v>4974</v>
      </c>
      <c r="D1952" s="512">
        <v>29</v>
      </c>
      <c r="E1952" s="500"/>
      <c r="F1952" s="497"/>
      <c r="G1952" s="502"/>
      <c r="H1952" s="512"/>
      <c r="I1952" s="503"/>
      <c r="J1952" s="503"/>
      <c r="K1952" s="497" t="str">
        <f ca="1">IFERROR(VLOOKUP(C1952,' Disaggregation - Section E '!A$316:N901,3,0),"")</f>
        <v/>
      </c>
      <c r="L1952" s="503"/>
      <c r="M1952" s="497"/>
      <c r="N1952" s="503"/>
      <c r="O1952" s="503"/>
    </row>
    <row r="1953" spans="1:15" x14ac:dyDescent="0.35">
      <c r="A1953" s="497" t="b">
        <v>0</v>
      </c>
      <c r="B1953" s="497"/>
      <c r="C1953" s="515" t="s">
        <v>4976</v>
      </c>
      <c r="D1953" s="512">
        <v>29</v>
      </c>
      <c r="E1953" s="500"/>
      <c r="F1953" s="497"/>
      <c r="G1953" s="502"/>
      <c r="H1953" s="512"/>
      <c r="I1953" s="503"/>
      <c r="J1953" s="503"/>
      <c r="K1953" s="497" t="str">
        <f ca="1">IFERROR(VLOOKUP(C1953,' Disaggregation - Section E '!A$316:N902,3,0),"")</f>
        <v/>
      </c>
      <c r="L1953" s="503"/>
      <c r="M1953" s="497"/>
      <c r="N1953" s="503"/>
      <c r="O1953" s="503"/>
    </row>
    <row r="1954" spans="1:15" x14ac:dyDescent="0.35">
      <c r="A1954" s="497" t="b">
        <v>0</v>
      </c>
      <c r="B1954" s="497"/>
      <c r="C1954" s="515" t="s">
        <v>4978</v>
      </c>
      <c r="D1954" s="512">
        <v>29</v>
      </c>
      <c r="E1954" s="500"/>
      <c r="F1954" s="497"/>
      <c r="G1954" s="502"/>
      <c r="H1954" s="512"/>
      <c r="I1954" s="503"/>
      <c r="J1954" s="503"/>
      <c r="K1954" s="497" t="str">
        <f ca="1">IFERROR(VLOOKUP(C1954,' Disaggregation - Section E '!A$316:N903,3,0),"")</f>
        <v/>
      </c>
      <c r="L1954" s="503"/>
      <c r="M1954" s="497"/>
      <c r="N1954" s="503"/>
      <c r="O1954" s="503"/>
    </row>
    <row r="1955" spans="1:15" x14ac:dyDescent="0.35">
      <c r="A1955" s="497" t="b">
        <v>0</v>
      </c>
      <c r="B1955" s="497"/>
      <c r="C1955" s="515" t="s">
        <v>4980</v>
      </c>
      <c r="D1955" s="512">
        <v>29</v>
      </c>
      <c r="E1955" s="500"/>
      <c r="F1955" s="497"/>
      <c r="G1955" s="502"/>
      <c r="H1955" s="512"/>
      <c r="I1955" s="503"/>
      <c r="J1955" s="503"/>
      <c r="K1955" s="497" t="str">
        <f ca="1">IFERROR(VLOOKUP(C1955,' Disaggregation - Section E '!A$316:N904,3,0),"")</f>
        <v/>
      </c>
      <c r="L1955" s="503"/>
      <c r="M1955" s="497"/>
      <c r="N1955" s="503"/>
      <c r="O1955" s="503"/>
    </row>
    <row r="1956" spans="1:15" x14ac:dyDescent="0.35">
      <c r="A1956" s="497" t="b">
        <v>0</v>
      </c>
      <c r="B1956" s="497"/>
      <c r="C1956" s="515" t="s">
        <v>4982</v>
      </c>
      <c r="D1956" s="512">
        <v>29</v>
      </c>
      <c r="E1956" s="500"/>
      <c r="F1956" s="497"/>
      <c r="G1956" s="502"/>
      <c r="H1956" s="512"/>
      <c r="I1956" s="503"/>
      <c r="J1956" s="503"/>
      <c r="K1956" s="497" t="str">
        <f ca="1">IFERROR(VLOOKUP(C1956,' Disaggregation - Section E '!A$316:N905,3,0),"")</f>
        <v/>
      </c>
      <c r="L1956" s="503"/>
      <c r="M1956" s="497"/>
      <c r="N1956" s="503"/>
      <c r="O1956" s="503"/>
    </row>
    <row r="1957" spans="1:15" x14ac:dyDescent="0.35">
      <c r="A1957" s="497" t="b">
        <v>0</v>
      </c>
      <c r="B1957" s="497"/>
      <c r="C1957" s="515" t="s">
        <v>5279</v>
      </c>
      <c r="D1957" s="512">
        <v>30</v>
      </c>
      <c r="E1957" s="500"/>
      <c r="F1957" s="497"/>
      <c r="G1957" s="502"/>
      <c r="H1957" s="512"/>
      <c r="I1957" s="503"/>
      <c r="J1957" s="503"/>
      <c r="K1957" s="497" t="str">
        <f ca="1">IFERROR(VLOOKUP(C1957,' Disaggregation - Section E '!A$316:N906,3,0),"")</f>
        <v/>
      </c>
      <c r="L1957" s="503"/>
      <c r="M1957" s="497"/>
      <c r="N1957" s="503"/>
      <c r="O1957" s="503"/>
    </row>
    <row r="1958" spans="1:15" x14ac:dyDescent="0.35">
      <c r="A1958" s="497" t="b">
        <v>0</v>
      </c>
      <c r="B1958" s="497"/>
      <c r="C1958" s="515" t="s">
        <v>5281</v>
      </c>
      <c r="D1958" s="512">
        <v>30</v>
      </c>
      <c r="E1958" s="500"/>
      <c r="F1958" s="497"/>
      <c r="G1958" s="502"/>
      <c r="H1958" s="512"/>
      <c r="I1958" s="503"/>
      <c r="J1958" s="503"/>
      <c r="K1958" s="497" t="str">
        <f ca="1">IFERROR(VLOOKUP(C1958,' Disaggregation - Section E '!A$316:N907,3,0),"")</f>
        <v/>
      </c>
      <c r="L1958" s="503"/>
      <c r="M1958" s="497"/>
      <c r="N1958" s="503"/>
      <c r="O1958" s="503"/>
    </row>
    <row r="1959" spans="1:15" x14ac:dyDescent="0.35">
      <c r="A1959" s="497" t="b">
        <v>0</v>
      </c>
      <c r="B1959" s="497"/>
      <c r="C1959" s="515" t="s">
        <v>5283</v>
      </c>
      <c r="D1959" s="512">
        <v>30</v>
      </c>
      <c r="E1959" s="500"/>
      <c r="F1959" s="497"/>
      <c r="G1959" s="502"/>
      <c r="H1959" s="512"/>
      <c r="I1959" s="503"/>
      <c r="J1959" s="503"/>
      <c r="K1959" s="497" t="str">
        <f ca="1">IFERROR(VLOOKUP(C1959,' Disaggregation - Section E '!A$316:N908,3,0),"")</f>
        <v/>
      </c>
      <c r="L1959" s="503"/>
      <c r="M1959" s="497"/>
      <c r="N1959" s="503"/>
      <c r="O1959" s="503"/>
    </row>
    <row r="1960" spans="1:15" x14ac:dyDescent="0.35">
      <c r="A1960" s="497" t="b">
        <v>0</v>
      </c>
      <c r="B1960" s="497"/>
      <c r="C1960" s="515" t="s">
        <v>5285</v>
      </c>
      <c r="D1960" s="512">
        <v>30</v>
      </c>
      <c r="E1960" s="500"/>
      <c r="F1960" s="497"/>
      <c r="G1960" s="502"/>
      <c r="H1960" s="512"/>
      <c r="I1960" s="503"/>
      <c r="J1960" s="503"/>
      <c r="K1960" s="497" t="str">
        <f ca="1">IFERROR(VLOOKUP(C1960,' Disaggregation - Section E '!A$316:N909,3,0),"")</f>
        <v/>
      </c>
      <c r="L1960" s="503"/>
      <c r="M1960" s="497"/>
      <c r="N1960" s="503"/>
      <c r="O1960" s="503"/>
    </row>
    <row r="1961" spans="1:15" x14ac:dyDescent="0.35">
      <c r="A1961" s="497" t="b">
        <v>0</v>
      </c>
      <c r="B1961" s="497"/>
      <c r="C1961" s="515" t="s">
        <v>5287</v>
      </c>
      <c r="D1961" s="512">
        <v>30</v>
      </c>
      <c r="E1961" s="500"/>
      <c r="F1961" s="497"/>
      <c r="G1961" s="502"/>
      <c r="H1961" s="512"/>
      <c r="I1961" s="503"/>
      <c r="J1961" s="503"/>
      <c r="K1961" s="497" t="str">
        <f ca="1">IFERROR(VLOOKUP(C1961,' Disaggregation - Section E '!A$316:N910,3,0),"")</f>
        <v/>
      </c>
      <c r="L1961" s="503"/>
      <c r="M1961" s="497"/>
      <c r="N1961" s="503"/>
      <c r="O1961" s="503"/>
    </row>
    <row r="1962" spans="1:15" x14ac:dyDescent="0.35">
      <c r="A1962" s="497" t="b">
        <v>0</v>
      </c>
      <c r="B1962" s="497"/>
      <c r="C1962" s="515" t="s">
        <v>5289</v>
      </c>
      <c r="D1962" s="512">
        <v>30</v>
      </c>
      <c r="E1962" s="500"/>
      <c r="F1962" s="497"/>
      <c r="G1962" s="502"/>
      <c r="H1962" s="512"/>
      <c r="I1962" s="503"/>
      <c r="J1962" s="503"/>
      <c r="K1962" s="497" t="str">
        <f ca="1">IFERROR(VLOOKUP(C1962,' Disaggregation - Section E '!A$316:N911,3,0),"")</f>
        <v/>
      </c>
      <c r="L1962" s="503"/>
      <c r="M1962" s="497"/>
      <c r="N1962" s="503"/>
      <c r="O1962" s="503"/>
    </row>
    <row r="1963" spans="1:15" x14ac:dyDescent="0.35">
      <c r="A1963" s="497" t="b">
        <v>0</v>
      </c>
      <c r="B1963" s="497"/>
      <c r="C1963" s="515" t="s">
        <v>5291</v>
      </c>
      <c r="D1963" s="512">
        <v>30</v>
      </c>
      <c r="E1963" s="500"/>
      <c r="F1963" s="497"/>
      <c r="G1963" s="502"/>
      <c r="H1963" s="512"/>
      <c r="I1963" s="503"/>
      <c r="J1963" s="503"/>
      <c r="K1963" s="497" t="str">
        <f ca="1">IFERROR(VLOOKUP(C1963,' Disaggregation - Section E '!A$316:N912,3,0),"")</f>
        <v/>
      </c>
      <c r="L1963" s="503"/>
      <c r="M1963" s="497"/>
      <c r="N1963" s="503"/>
      <c r="O1963" s="503"/>
    </row>
    <row r="1964" spans="1:15" x14ac:dyDescent="0.35">
      <c r="A1964" s="497" t="b">
        <v>0</v>
      </c>
      <c r="B1964" s="497"/>
      <c r="C1964" s="515" t="s">
        <v>5293</v>
      </c>
      <c r="D1964" s="512">
        <v>30</v>
      </c>
      <c r="E1964" s="500"/>
      <c r="F1964" s="497"/>
      <c r="G1964" s="502"/>
      <c r="H1964" s="512"/>
      <c r="I1964" s="503"/>
      <c r="J1964" s="503"/>
      <c r="K1964" s="497" t="str">
        <f ca="1">IFERROR(VLOOKUP(C1964,' Disaggregation - Section E '!A$316:N913,3,0),"")</f>
        <v/>
      </c>
      <c r="L1964" s="503"/>
      <c r="M1964" s="497"/>
      <c r="N1964" s="503"/>
      <c r="O1964" s="503"/>
    </row>
    <row r="1965" spans="1:15" x14ac:dyDescent="0.35">
      <c r="A1965" s="497" t="b">
        <v>0</v>
      </c>
      <c r="B1965" s="497"/>
      <c r="C1965" s="515" t="s">
        <v>5295</v>
      </c>
      <c r="D1965" s="512">
        <v>30</v>
      </c>
      <c r="E1965" s="500"/>
      <c r="F1965" s="497"/>
      <c r="G1965" s="502"/>
      <c r="H1965" s="512"/>
      <c r="I1965" s="503"/>
      <c r="J1965" s="503"/>
      <c r="K1965" s="497" t="str">
        <f ca="1">IFERROR(VLOOKUP(C1965,' Disaggregation - Section E '!A$316:N914,3,0),"")</f>
        <v/>
      </c>
      <c r="L1965" s="503"/>
      <c r="M1965" s="497"/>
      <c r="N1965" s="503"/>
      <c r="O1965" s="503"/>
    </row>
    <row r="1966" spans="1:15" x14ac:dyDescent="0.35">
      <c r="A1966" s="497" t="b">
        <v>0</v>
      </c>
      <c r="B1966" s="497"/>
      <c r="C1966" s="515" t="s">
        <v>5297</v>
      </c>
      <c r="D1966" s="512">
        <v>30</v>
      </c>
      <c r="E1966" s="500"/>
      <c r="F1966" s="497"/>
      <c r="G1966" s="502"/>
      <c r="H1966" s="512"/>
      <c r="I1966" s="503"/>
      <c r="J1966" s="503"/>
      <c r="K1966" s="497" t="str">
        <f ca="1">IFERROR(VLOOKUP(C1966,' Disaggregation - Section E '!A$316:N915,3,0),"")</f>
        <v/>
      </c>
      <c r="L1966" s="503"/>
      <c r="M1966" s="497"/>
      <c r="N1966" s="503"/>
      <c r="O1966" s="503"/>
    </row>
    <row r="1967" spans="1:15" x14ac:dyDescent="0.35">
      <c r="A1967" s="497" t="b">
        <f t="shared" ref="A1967:A2030" ca="1" si="221">IF(M1967&lt;&gt;"",TRUE,FALSE)</f>
        <v>0</v>
      </c>
      <c r="B1967" s="497"/>
      <c r="C1967" s="517" t="str">
        <f ca="1">IF(COUNTA(D$1665:D1967)=1,"",OFFSET(C1967,-COUNTA(D$1665:D1967)+1,0))</f>
        <v>a1V3p000006jw8SEAQ</v>
      </c>
      <c r="D1967" s="512"/>
      <c r="E1967" s="500" t="str">
        <f ca="1">IFERROR(IF(VLOOKUP(C1967,' Disaggregation - Section E '!A$316:N916,7,0)="","",VLOOKUP(C1967,' Disaggregation - Section E '!A$316:N916,7,0)*100),"")</f>
        <v/>
      </c>
      <c r="F1967" s="497"/>
      <c r="G1967" s="502" t="str">
        <f ca="1">IFERROR(IF(VLOOKUP(C1967,' Disaggregation - Section E '!A$316:N916,6,0)="","",VLOOKUP(C1967,' Disaggregation - Section E '!A$316:N916,6,0)),"")</f>
        <v/>
      </c>
      <c r="H1967" s="512" t="str">
        <f ca="1">IFERROR(IF(INDEX(' Disaggregation - Section E '!F$313:F916,MATCH(C1967,' Disaggregation - Section E '!A$313:A916,0)+1,1)&lt;&gt;0,INDEX(' Disaggregation - Section E '!F$313:F916,MATCH(C1967,' Disaggregation - Section E '!A$313:A916,0)+1,1),""),"")</f>
        <v/>
      </c>
      <c r="I1967" s="503" t="str">
        <f ca="1">IFERROR(IF(VLOOKUP(C1967,' Disaggregation - Section E '!A$316:N916,8,0)=0,"",VLOOKUP(C1967,' Disaggregation - Section E '!A$316:N916,8,0)),"")</f>
        <v/>
      </c>
      <c r="J1967" s="503" t="str">
        <f ca="1">IFERROR(IF(VLOOKUP(C1967,' Disaggregation - Section E '!A$316:N916,13,0)=0,"",VLOOKUP(C1967,' Disaggregation - Section E '!A$316:N916,13,0)),"")</f>
        <v/>
      </c>
      <c r="K1967" s="497" t="str">
        <f ca="1">IFERROR(VLOOKUP(C1967,' Disaggregation - Section E '!A$316:N916,3,0),"")</f>
        <v>TB O-4⁽ᴹ⁾ Tasa de éxito del tratamiento de los casos de tuberculosis resistente a la rifampicina y/o tuberculosis multirresistente: Porcentaje de casos de tuberculosis resistente a la rifampicina y/o tuberculosis multirresistente tratados con éxito.</v>
      </c>
      <c r="L1967" s="503" t="str">
        <f ca="1">IFERROR(IF(VLOOKUP(C1967,' Disaggregation - Section E '!A$316:N916,14,0)=0,"",VLOOKUP(C1967,' Disaggregation - Section E '!A$316:N916,14,0)),"")</f>
        <v>Being a focused country, no disaggregation is requiered</v>
      </c>
      <c r="M1967" s="497" t="str">
        <f ca="1">IFERROR(IF(VLOOKUP(C1967,' Disaggregation - Section E '!A$316:T916,20,0)=0,"",VLOOKUP(C1967,' Disaggregation - Section E '!A$316:T916,20,0)),"")</f>
        <v/>
      </c>
      <c r="N1967" s="503" t="str">
        <f ca="1">IFERROR(IF(VLOOKUP(C1967,' Disaggregation - Section E '!A$316:N916,9,0)=0,"",VLOOKUP(C1967,' Disaggregation - Section E '!A$316:N916,9,0)),"")</f>
        <v/>
      </c>
      <c r="O1967" s="503" t="str">
        <f ca="1">IFERROR(IF(VLOOKUP(C1967,' Disaggregation - Section E '!A$315:N916,10,0)=0,"",VLOOKUP(C1967,' Disaggregation - Section E '!A$316:N916,10,0)),"")</f>
        <v>Al ser un país focalizado no se requiere desagregación</v>
      </c>
    </row>
    <row r="1968" spans="1:15" x14ac:dyDescent="0.35">
      <c r="A1968" s="497" t="b">
        <f t="shared" ca="1" si="221"/>
        <v>0</v>
      </c>
      <c r="B1968" s="497"/>
      <c r="C1968" s="517" t="str">
        <f ca="1">IF(COUNTA(D$1665:D1968)=1,"",OFFSET(C1968,-COUNTA(D$1665:D1968)+1,0))</f>
        <v>a1V3p000006jw8TEAQ</v>
      </c>
      <c r="D1968" s="512"/>
      <c r="E1968" s="500" t="str">
        <f ca="1">IFERROR(IF(VLOOKUP(C1968,' Disaggregation - Section E '!A$316:N917,7,0)="","",VLOOKUP(C1968,' Disaggregation - Section E '!A$316:N917,7,0)*100),"")</f>
        <v/>
      </c>
      <c r="F1968" s="497"/>
      <c r="G1968" s="502" t="str">
        <f ca="1">IFERROR(IF(VLOOKUP(C1968,' Disaggregation - Section E '!A$316:N917,6,0)="","",VLOOKUP(C1968,' Disaggregation - Section E '!A$316:N917,6,0)),"")</f>
        <v/>
      </c>
      <c r="H1968" s="512" t="str">
        <f ca="1">IFERROR(IF(INDEX(' Disaggregation - Section E '!F$313:F917,MATCH(C1968,' Disaggregation - Section E '!A$313:A917,0)+1,1)&lt;&gt;0,INDEX(' Disaggregation - Section E '!F$313:F917,MATCH(C1968,' Disaggregation - Section E '!A$313:A917,0)+1,1),""),"")</f>
        <v/>
      </c>
      <c r="I1968" s="503" t="str">
        <f ca="1">IFERROR(IF(VLOOKUP(C1968,' Disaggregation - Section E '!A$316:N917,8,0)=0,"",VLOOKUP(C1968,' Disaggregation - Section E '!A$316:N917,8,0)),"")</f>
        <v/>
      </c>
      <c r="J1968" s="503" t="str">
        <f ca="1">IFERROR(IF(VLOOKUP(C1968,' Disaggregation - Section E '!A$316:N917,13,0)=0,"",VLOOKUP(C1968,' Disaggregation - Section E '!A$316:N917,13,0)),"")</f>
        <v/>
      </c>
      <c r="K1968" s="497" t="str">
        <f ca="1">IFERROR(VLOOKUP(C1968,' Disaggregation - Section E '!A$316:N917,3,0),"")</f>
        <v>TB O-4⁽ᴹ⁾ Tasa de éxito del tratamiento de los casos de tuberculosis resistente a la rifampicina y/o tuberculosis multirresistente: Porcentaje de casos de tuberculosis resistente a la rifampicina y/o tuberculosis multirresistente tratados con éxito.</v>
      </c>
      <c r="L1968" s="503" t="str">
        <f ca="1">IFERROR(IF(VLOOKUP(C1968,' Disaggregation - Section E '!A$316:N917,14,0)=0,"",VLOOKUP(C1968,' Disaggregation - Section E '!A$316:N917,14,0)),"")</f>
        <v>Being a focused country, no disaggregation is requiered</v>
      </c>
      <c r="M1968" s="497" t="str">
        <f ca="1">IFERROR(IF(VLOOKUP(C1968,' Disaggregation - Section E '!A$316:T917,20,0)=0,"",VLOOKUP(C1968,' Disaggregation - Section E '!A$316:T917,20,0)),"")</f>
        <v/>
      </c>
      <c r="N1968" s="503" t="str">
        <f ca="1">IFERROR(IF(VLOOKUP(C1968,' Disaggregation - Section E '!A$316:N917,9,0)=0,"",VLOOKUP(C1968,' Disaggregation - Section E '!A$316:N917,9,0)),"")</f>
        <v/>
      </c>
      <c r="O1968" s="503" t="str">
        <f ca="1">IFERROR(IF(VLOOKUP(C1968,' Disaggregation - Section E '!A$315:N917,10,0)=0,"",VLOOKUP(C1968,' Disaggregation - Section E '!A$316:N917,10,0)),"")</f>
        <v>Al ser un país focalizado no se requiere desagregación</v>
      </c>
    </row>
    <row r="1969" spans="1:15" x14ac:dyDescent="0.35">
      <c r="A1969" s="497" t="b">
        <f t="shared" ca="1" si="221"/>
        <v>0</v>
      </c>
      <c r="B1969" s="497"/>
      <c r="C1969" s="517" t="str">
        <f ca="1">IF(COUNTA(D$1665:D1969)=1,"",OFFSET(C1969,-COUNTA(D$1665:D1969)+1,0))</f>
        <v>a1V3p000006jw8UEAQ</v>
      </c>
      <c r="D1969" s="512"/>
      <c r="E1969" s="500" t="str">
        <f ca="1">IFERROR(IF(VLOOKUP(C1969,' Disaggregation - Section E '!A$316:N918,7,0)="","",VLOOKUP(C1969,' Disaggregation - Section E '!A$316:N918,7,0)*100),"")</f>
        <v/>
      </c>
      <c r="F1969" s="497"/>
      <c r="G1969" s="502" t="str">
        <f ca="1">IFERROR(IF(VLOOKUP(C1969,' Disaggregation - Section E '!A$316:N918,6,0)="","",VLOOKUP(C1969,' Disaggregation - Section E '!A$316:N918,6,0)),"")</f>
        <v/>
      </c>
      <c r="H1969" s="512" t="str">
        <f ca="1">IFERROR(IF(INDEX(' Disaggregation - Section E '!F$313:F918,MATCH(C1969,' Disaggregation - Section E '!A$313:A918,0)+1,1)&lt;&gt;0,INDEX(' Disaggregation - Section E '!F$313:F918,MATCH(C1969,' Disaggregation - Section E '!A$313:A918,0)+1,1),""),"")</f>
        <v/>
      </c>
      <c r="I1969" s="503" t="str">
        <f ca="1">IFERROR(IF(VLOOKUP(C1969,' Disaggregation - Section E '!A$316:N918,8,0)=0,"",VLOOKUP(C1969,' Disaggregation - Section E '!A$316:N918,8,0)),"")</f>
        <v/>
      </c>
      <c r="J1969" s="503" t="str">
        <f ca="1">IFERROR(IF(VLOOKUP(C1969,' Disaggregation - Section E '!A$316:N918,13,0)=0,"",VLOOKUP(C1969,' Disaggregation - Section E '!A$316:N918,13,0)),"")</f>
        <v/>
      </c>
      <c r="K1969" s="497" t="str">
        <f ca="1">IFERROR(VLOOKUP(C1969,' Disaggregation - Section E '!A$316:N918,3,0),"")</f>
        <v>TB O-4⁽ᴹ⁾ Tasa de éxito del tratamiento de los casos de tuberculosis resistente a la rifampicina y/o tuberculosis multirresistente: Porcentaje de casos de tuberculosis resistente a la rifampicina y/o tuberculosis multirresistente tratados con éxito.</v>
      </c>
      <c r="L1969" s="503" t="str">
        <f ca="1">IFERROR(IF(VLOOKUP(C1969,' Disaggregation - Section E '!A$316:N918,14,0)=0,"",VLOOKUP(C1969,' Disaggregation - Section E '!A$316:N918,14,0)),"")</f>
        <v/>
      </c>
      <c r="M1969" s="497" t="str">
        <f ca="1">IFERROR(IF(VLOOKUP(C1969,' Disaggregation - Section E '!A$316:T918,20,0)=0,"",VLOOKUP(C1969,' Disaggregation - Section E '!A$316:T918,20,0)),"")</f>
        <v/>
      </c>
      <c r="N1969" s="503" t="str">
        <f ca="1">IFERROR(IF(VLOOKUP(C1969,' Disaggregation - Section E '!A$316:N918,9,0)=0,"",VLOOKUP(C1969,' Disaggregation - Section E '!A$316:N918,9,0)),"")</f>
        <v/>
      </c>
      <c r="O1969" s="503" t="str">
        <f ca="1">IFERROR(IF(VLOOKUP(C1969,' Disaggregation - Section E '!A$315:N918,10,0)=0,"",VLOOKUP(C1969,' Disaggregation - Section E '!A$316:N918,10,0)),"")</f>
        <v/>
      </c>
    </row>
    <row r="1970" spans="1:15" x14ac:dyDescent="0.35">
      <c r="A1970" s="497" t="b">
        <f t="shared" ca="1" si="221"/>
        <v>0</v>
      </c>
      <c r="B1970" s="497"/>
      <c r="C1970" s="517" t="str">
        <f ca="1">IF(COUNTA(D$1665:D1970)=1,"",OFFSET(C1970,-COUNTA(D$1665:D1970)+1,0))</f>
        <v>a1V3p000006jw8VEAQ</v>
      </c>
      <c r="D1970" s="512"/>
      <c r="E1970" s="500" t="str">
        <f ca="1">IFERROR(IF(VLOOKUP(C1970,' Disaggregation - Section E '!A$316:N919,7,0)="","",VLOOKUP(C1970,' Disaggregation - Section E '!A$316:N919,7,0)*100),"")</f>
        <v/>
      </c>
      <c r="F1970" s="497"/>
      <c r="G1970" s="502" t="str">
        <f ca="1">IFERROR(IF(VLOOKUP(C1970,' Disaggregation - Section E '!A$316:N919,6,0)="","",VLOOKUP(C1970,' Disaggregation - Section E '!A$316:N919,6,0)),"")</f>
        <v/>
      </c>
      <c r="H1970" s="512" t="str">
        <f ca="1">IFERROR(IF(INDEX(' Disaggregation - Section E '!F$313:F919,MATCH(C1970,' Disaggregation - Section E '!A$313:A919,0)+1,1)&lt;&gt;0,INDEX(' Disaggregation - Section E '!F$313:F919,MATCH(C1970,' Disaggregation - Section E '!A$313:A919,0)+1,1),""),"")</f>
        <v/>
      </c>
      <c r="I1970" s="503" t="str">
        <f ca="1">IFERROR(IF(VLOOKUP(C1970,' Disaggregation - Section E '!A$316:N919,8,0)=0,"",VLOOKUP(C1970,' Disaggregation - Section E '!A$316:N919,8,0)),"")</f>
        <v/>
      </c>
      <c r="J1970" s="503" t="str">
        <f ca="1">IFERROR(IF(VLOOKUP(C1970,' Disaggregation - Section E '!A$316:N919,13,0)=0,"",VLOOKUP(C1970,' Disaggregation - Section E '!A$316:N919,13,0)),"")</f>
        <v/>
      </c>
      <c r="K1970" s="497" t="str">
        <f ca="1">IFERROR(VLOOKUP(C1970,' Disaggregation - Section E '!A$316:N919,3,0),"")</f>
        <v>TB O-4⁽ᴹ⁾ Tasa de éxito del tratamiento de los casos de tuberculosis resistente a la rifampicina y/o tuberculosis multirresistente: Porcentaje de casos de tuberculosis resistente a la rifampicina y/o tuberculosis multirresistente tratados con éxito.</v>
      </c>
      <c r="L1970" s="503" t="str">
        <f ca="1">IFERROR(IF(VLOOKUP(C1970,' Disaggregation - Section E '!A$316:N919,14,0)=0,"",VLOOKUP(C1970,' Disaggregation - Section E '!A$316:N919,14,0)),"")</f>
        <v/>
      </c>
      <c r="M1970" s="497" t="str">
        <f ca="1">IFERROR(IF(VLOOKUP(C1970,' Disaggregation - Section E '!A$316:T919,20,0)=0,"",VLOOKUP(C1970,' Disaggregation - Section E '!A$316:T919,20,0)),"")</f>
        <v/>
      </c>
      <c r="N1970" s="503" t="str">
        <f ca="1">IFERROR(IF(VLOOKUP(C1970,' Disaggregation - Section E '!A$316:N919,9,0)=0,"",VLOOKUP(C1970,' Disaggregation - Section E '!A$316:N919,9,0)),"")</f>
        <v/>
      </c>
      <c r="O1970" s="503" t="str">
        <f ca="1">IFERROR(IF(VLOOKUP(C1970,' Disaggregation - Section E '!A$315:N919,10,0)=0,"",VLOOKUP(C1970,' Disaggregation - Section E '!A$316:N919,10,0)),"")</f>
        <v/>
      </c>
    </row>
    <row r="1971" spans="1:15" x14ac:dyDescent="0.35">
      <c r="A1971" s="497" t="b">
        <f t="shared" ca="1" si="221"/>
        <v>0</v>
      </c>
      <c r="B1971" s="497"/>
      <c r="C1971" s="517" t="str">
        <f ca="1">IF(COUNTA(D$1665:D1971)=1,"",OFFSET(C1971,-COUNTA(D$1665:D1971)+1,0))</f>
        <v>a1V3p000006jw8WEAQ</v>
      </c>
      <c r="D1971" s="512"/>
      <c r="E1971" s="500" t="str">
        <f ca="1">IFERROR(IF(VLOOKUP(C1971,' Disaggregation - Section E '!A$316:N920,7,0)="","",VLOOKUP(C1971,' Disaggregation - Section E '!A$316:N920,7,0)*100),"")</f>
        <v/>
      </c>
      <c r="F1971" s="497"/>
      <c r="G1971" s="502" t="str">
        <f ca="1">IFERROR(IF(VLOOKUP(C1971,' Disaggregation - Section E '!A$316:N920,6,0)="","",VLOOKUP(C1971,' Disaggregation - Section E '!A$316:N920,6,0)),"")</f>
        <v/>
      </c>
      <c r="H1971" s="512" t="str">
        <f ca="1">IFERROR(IF(INDEX(' Disaggregation - Section E '!F$313:F920,MATCH(C1971,' Disaggregation - Section E '!A$313:A920,0)+1,1)&lt;&gt;0,INDEX(' Disaggregation - Section E '!F$313:F920,MATCH(C1971,' Disaggregation - Section E '!A$313:A920,0)+1,1),""),"")</f>
        <v/>
      </c>
      <c r="I1971" s="503" t="str">
        <f ca="1">IFERROR(IF(VLOOKUP(C1971,' Disaggregation - Section E '!A$316:N920,8,0)=0,"",VLOOKUP(C1971,' Disaggregation - Section E '!A$316:N920,8,0)),"")</f>
        <v/>
      </c>
      <c r="J1971" s="503" t="str">
        <f ca="1">IFERROR(IF(VLOOKUP(C1971,' Disaggregation - Section E '!A$316:N920,13,0)=0,"",VLOOKUP(C1971,' Disaggregation - Section E '!A$316:N920,13,0)),"")</f>
        <v/>
      </c>
      <c r="K1971" s="497" t="str">
        <f ca="1">IFERROR(VLOOKUP(C1971,' Disaggregation - Section E '!A$316:N920,3,0),"")</f>
        <v>TB O-4⁽ᴹ⁾ Tasa de éxito del tratamiento de los casos de tuberculosis resistente a la rifampicina y/o tuberculosis multirresistente: Porcentaje de casos de tuberculosis resistente a la rifampicina y/o tuberculosis multirresistente tratados con éxito.</v>
      </c>
      <c r="L1971" s="503" t="str">
        <f ca="1">IFERROR(IF(VLOOKUP(C1971,' Disaggregation - Section E '!A$316:N920,14,0)=0,"",VLOOKUP(C1971,' Disaggregation - Section E '!A$316:N920,14,0)),"")</f>
        <v/>
      </c>
      <c r="M1971" s="497" t="str">
        <f ca="1">IFERROR(IF(VLOOKUP(C1971,' Disaggregation - Section E '!A$316:T920,20,0)=0,"",VLOOKUP(C1971,' Disaggregation - Section E '!A$316:T920,20,0)),"")</f>
        <v/>
      </c>
      <c r="N1971" s="503" t="str">
        <f ca="1">IFERROR(IF(VLOOKUP(C1971,' Disaggregation - Section E '!A$316:N920,9,0)=0,"",VLOOKUP(C1971,' Disaggregation - Section E '!A$316:N920,9,0)),"")</f>
        <v/>
      </c>
      <c r="O1971" s="503" t="str">
        <f ca="1">IFERROR(IF(VLOOKUP(C1971,' Disaggregation - Section E '!A$315:N920,10,0)=0,"",VLOOKUP(C1971,' Disaggregation - Section E '!A$316:N920,10,0)),"")</f>
        <v/>
      </c>
    </row>
    <row r="1972" spans="1:15" x14ac:dyDescent="0.35">
      <c r="A1972" s="497" t="b">
        <f t="shared" ca="1" si="221"/>
        <v>0</v>
      </c>
      <c r="B1972" s="497"/>
      <c r="C1972" s="517" t="str">
        <f ca="1">IF(COUNTA(D$1665:D1972)=1,"",OFFSET(C1972,-COUNTA(D$1665:D1972)+1,0))</f>
        <v>a1V3p000006jw8XEAQ</v>
      </c>
      <c r="D1972" s="512"/>
      <c r="E1972" s="500" t="str">
        <f ca="1">IFERROR(IF(VLOOKUP(C1972,' Disaggregation - Section E '!A$316:N921,7,0)="","",VLOOKUP(C1972,' Disaggregation - Section E '!A$316:N921,7,0)*100),"")</f>
        <v/>
      </c>
      <c r="F1972" s="497"/>
      <c r="G1972" s="502" t="str">
        <f ca="1">IFERROR(IF(VLOOKUP(C1972,' Disaggregation - Section E '!A$316:N921,6,0)="","",VLOOKUP(C1972,' Disaggregation - Section E '!A$316:N921,6,0)),"")</f>
        <v/>
      </c>
      <c r="H1972" s="512" t="str">
        <f ca="1">IFERROR(IF(INDEX(' Disaggregation - Section E '!F$313:F921,MATCH(C1972,' Disaggregation - Section E '!A$313:A921,0)+1,1)&lt;&gt;0,INDEX(' Disaggregation - Section E '!F$313:F921,MATCH(C1972,' Disaggregation - Section E '!A$313:A921,0)+1,1),""),"")</f>
        <v/>
      </c>
      <c r="I1972" s="503" t="str">
        <f ca="1">IFERROR(IF(VLOOKUP(C1972,' Disaggregation - Section E '!A$316:N921,8,0)=0,"",VLOOKUP(C1972,' Disaggregation - Section E '!A$316:N921,8,0)),"")</f>
        <v/>
      </c>
      <c r="J1972" s="503" t="str">
        <f ca="1">IFERROR(IF(VLOOKUP(C1972,' Disaggregation - Section E '!A$316:N921,13,0)=0,"",VLOOKUP(C1972,' Disaggregation - Section E '!A$316:N921,13,0)),"")</f>
        <v/>
      </c>
      <c r="K1972" s="497" t="str">
        <f ca="1">IFERROR(VLOOKUP(C1972,' Disaggregation - Section E '!A$316:N921,3,0),"")</f>
        <v>TB O-4⁽ᴹ⁾ Tasa de éxito del tratamiento de los casos de tuberculosis resistente a la rifampicina y/o tuberculosis multirresistente: Porcentaje de casos de tuberculosis resistente a la rifampicina y/o tuberculosis multirresistente tratados con éxito.</v>
      </c>
      <c r="L1972" s="503" t="str">
        <f ca="1">IFERROR(IF(VLOOKUP(C1972,' Disaggregation - Section E '!A$316:N921,14,0)=0,"",VLOOKUP(C1972,' Disaggregation - Section E '!A$316:N921,14,0)),"")</f>
        <v/>
      </c>
      <c r="M1972" s="497" t="str">
        <f ca="1">IFERROR(IF(VLOOKUP(C1972,' Disaggregation - Section E '!A$316:T921,20,0)=0,"",VLOOKUP(C1972,' Disaggregation - Section E '!A$316:T921,20,0)),"")</f>
        <v/>
      </c>
      <c r="N1972" s="503" t="str">
        <f ca="1">IFERROR(IF(VLOOKUP(C1972,' Disaggregation - Section E '!A$316:N921,9,0)=0,"",VLOOKUP(C1972,' Disaggregation - Section E '!A$316:N921,9,0)),"")</f>
        <v/>
      </c>
      <c r="O1972" s="503" t="str">
        <f ca="1">IFERROR(IF(VLOOKUP(C1972,' Disaggregation - Section E '!A$315:N921,10,0)=0,"",VLOOKUP(C1972,' Disaggregation - Section E '!A$316:N921,10,0)),"")</f>
        <v/>
      </c>
    </row>
    <row r="1973" spans="1:15" x14ac:dyDescent="0.35">
      <c r="A1973" s="497" t="b">
        <f t="shared" ca="1" si="221"/>
        <v>0</v>
      </c>
      <c r="B1973" s="497"/>
      <c r="C1973" s="517" t="str">
        <f ca="1">IF(COUNTA(D$1665:D1973)=1,"",OFFSET(C1973,-COUNTA(D$1665:D1973)+1,0))</f>
        <v>a1V3p000006jw8YEAQ</v>
      </c>
      <c r="D1973" s="512"/>
      <c r="E1973" s="500" t="str">
        <f ca="1">IFERROR(IF(VLOOKUP(C1973,' Disaggregation - Section E '!A$316:N922,7,0)="","",VLOOKUP(C1973,' Disaggregation - Section E '!A$316:N922,7,0)*100),"")</f>
        <v/>
      </c>
      <c r="F1973" s="497"/>
      <c r="G1973" s="502" t="str">
        <f ca="1">IFERROR(IF(VLOOKUP(C1973,' Disaggregation - Section E '!A$316:N922,6,0)="","",VLOOKUP(C1973,' Disaggregation - Section E '!A$316:N922,6,0)),"")</f>
        <v/>
      </c>
      <c r="H1973" s="512" t="str">
        <f ca="1">IFERROR(IF(INDEX(' Disaggregation - Section E '!F$313:F922,MATCH(C1973,' Disaggregation - Section E '!A$313:A922,0)+1,1)&lt;&gt;0,INDEX(' Disaggregation - Section E '!F$313:F922,MATCH(C1973,' Disaggregation - Section E '!A$313:A922,0)+1,1),""),"")</f>
        <v/>
      </c>
      <c r="I1973" s="503" t="str">
        <f ca="1">IFERROR(IF(VLOOKUP(C1973,' Disaggregation - Section E '!A$316:N922,8,0)=0,"",VLOOKUP(C1973,' Disaggregation - Section E '!A$316:N922,8,0)),"")</f>
        <v/>
      </c>
      <c r="J1973" s="503" t="str">
        <f ca="1">IFERROR(IF(VLOOKUP(C1973,' Disaggregation - Section E '!A$316:N922,13,0)=0,"",VLOOKUP(C1973,' Disaggregation - Section E '!A$316:N922,13,0)),"")</f>
        <v/>
      </c>
      <c r="K1973" s="497" t="str">
        <f ca="1">IFERROR(VLOOKUP(C1973,' Disaggregation - Section E '!A$316:N922,3,0),"")</f>
        <v>TB O-4⁽ᴹ⁾ Tasa de éxito del tratamiento de los casos de tuberculosis resistente a la rifampicina y/o tuberculosis multirresistente: Porcentaje de casos de tuberculosis resistente a la rifampicina y/o tuberculosis multirresistente tratados con éxito.</v>
      </c>
      <c r="L1973" s="503" t="str">
        <f ca="1">IFERROR(IF(VLOOKUP(C1973,' Disaggregation - Section E '!A$316:N922,14,0)=0,"",VLOOKUP(C1973,' Disaggregation - Section E '!A$316:N922,14,0)),"")</f>
        <v/>
      </c>
      <c r="M1973" s="497" t="str">
        <f ca="1">IFERROR(IF(VLOOKUP(C1973,' Disaggregation - Section E '!A$316:T922,20,0)=0,"",VLOOKUP(C1973,' Disaggregation - Section E '!A$316:T922,20,0)),"")</f>
        <v/>
      </c>
      <c r="N1973" s="503" t="str">
        <f ca="1">IFERROR(IF(VLOOKUP(C1973,' Disaggregation - Section E '!A$316:N922,9,0)=0,"",VLOOKUP(C1973,' Disaggregation - Section E '!A$316:N922,9,0)),"")</f>
        <v/>
      </c>
      <c r="O1973" s="503" t="str">
        <f ca="1">IFERROR(IF(VLOOKUP(C1973,' Disaggregation - Section E '!A$315:N922,10,0)=0,"",VLOOKUP(C1973,' Disaggregation - Section E '!A$316:N922,10,0)),"")</f>
        <v/>
      </c>
    </row>
    <row r="1974" spans="1:15" x14ac:dyDescent="0.35">
      <c r="A1974" s="497" t="b">
        <f t="shared" ca="1" si="221"/>
        <v>0</v>
      </c>
      <c r="B1974" s="497"/>
      <c r="C1974" s="517" t="str">
        <f ca="1">IF(COUNTA(D$1665:D1974)=1,"",OFFSET(C1974,-COUNTA(D$1665:D1974)+1,0))</f>
        <v>a1V3p000006jw8ZEAQ</v>
      </c>
      <c r="D1974" s="512"/>
      <c r="E1974" s="500" t="str">
        <f ca="1">IFERROR(IF(VLOOKUP(C1974,' Disaggregation - Section E '!A$316:N923,7,0)="","",VLOOKUP(C1974,' Disaggregation - Section E '!A$316:N923,7,0)*100),"")</f>
        <v/>
      </c>
      <c r="F1974" s="497"/>
      <c r="G1974" s="502" t="str">
        <f ca="1">IFERROR(IF(VLOOKUP(C1974,' Disaggregation - Section E '!A$316:N923,6,0)="","",VLOOKUP(C1974,' Disaggregation - Section E '!A$316:N923,6,0)),"")</f>
        <v/>
      </c>
      <c r="H1974" s="512" t="str">
        <f ca="1">IFERROR(IF(INDEX(' Disaggregation - Section E '!F$313:F923,MATCH(C1974,' Disaggregation - Section E '!A$313:A923,0)+1,1)&lt;&gt;0,INDEX(' Disaggregation - Section E '!F$313:F923,MATCH(C1974,' Disaggregation - Section E '!A$313:A923,0)+1,1),""),"")</f>
        <v/>
      </c>
      <c r="I1974" s="503" t="str">
        <f ca="1">IFERROR(IF(VLOOKUP(C1974,' Disaggregation - Section E '!A$316:N923,8,0)=0,"",VLOOKUP(C1974,' Disaggregation - Section E '!A$316:N923,8,0)),"")</f>
        <v/>
      </c>
      <c r="J1974" s="503" t="str">
        <f ca="1">IFERROR(IF(VLOOKUP(C1974,' Disaggregation - Section E '!A$316:N923,13,0)=0,"",VLOOKUP(C1974,' Disaggregation - Section E '!A$316:N923,13,0)),"")</f>
        <v/>
      </c>
      <c r="K1974" s="497" t="str">
        <f ca="1">IFERROR(VLOOKUP(C1974,' Disaggregation - Section E '!A$316:N923,3,0),"")</f>
        <v>TB O-4⁽ᴹ⁾ Tasa de éxito del tratamiento de los casos de tuberculosis resistente a la rifampicina y/o tuberculosis multirresistente: Porcentaje de casos de tuberculosis resistente a la rifampicina y/o tuberculosis multirresistente tratados con éxito.</v>
      </c>
      <c r="L1974" s="503" t="str">
        <f ca="1">IFERROR(IF(VLOOKUP(C1974,' Disaggregation - Section E '!A$316:N923,14,0)=0,"",VLOOKUP(C1974,' Disaggregation - Section E '!A$316:N923,14,0)),"")</f>
        <v/>
      </c>
      <c r="M1974" s="497" t="str">
        <f ca="1">IFERROR(IF(VLOOKUP(C1974,' Disaggregation - Section E '!A$316:T923,20,0)=0,"",VLOOKUP(C1974,' Disaggregation - Section E '!A$316:T923,20,0)),"")</f>
        <v/>
      </c>
      <c r="N1974" s="503" t="str">
        <f ca="1">IFERROR(IF(VLOOKUP(C1974,' Disaggregation - Section E '!A$316:N923,9,0)=0,"",VLOOKUP(C1974,' Disaggregation - Section E '!A$316:N923,9,0)),"")</f>
        <v/>
      </c>
      <c r="O1974" s="503" t="str">
        <f ca="1">IFERROR(IF(VLOOKUP(C1974,' Disaggregation - Section E '!A$315:N923,10,0)=0,"",VLOOKUP(C1974,' Disaggregation - Section E '!A$316:N923,10,0)),"")</f>
        <v/>
      </c>
    </row>
    <row r="1975" spans="1:15" x14ac:dyDescent="0.35">
      <c r="A1975" s="497" t="b">
        <f t="shared" ca="1" si="221"/>
        <v>0</v>
      </c>
      <c r="B1975" s="497"/>
      <c r="C1975" s="517" t="str">
        <f ca="1">IF(COUNTA(D$1665:D1975)=1,"",OFFSET(C1975,-COUNTA(D$1665:D1975)+1,0))</f>
        <v>a1V3p000006jw8aEAA</v>
      </c>
      <c r="D1975" s="512"/>
      <c r="E1975" s="500" t="str">
        <f ca="1">IFERROR(IF(VLOOKUP(C1975,' Disaggregation - Section E '!A$316:N924,7,0)="","",VLOOKUP(C1975,' Disaggregation - Section E '!A$316:N924,7,0)*100),"")</f>
        <v/>
      </c>
      <c r="F1975" s="497"/>
      <c r="G1975" s="502" t="str">
        <f ca="1">IFERROR(IF(VLOOKUP(C1975,' Disaggregation - Section E '!A$316:N924,6,0)="","",VLOOKUP(C1975,' Disaggregation - Section E '!A$316:N924,6,0)),"")</f>
        <v/>
      </c>
      <c r="H1975" s="512" t="str">
        <f ca="1">IFERROR(IF(INDEX(' Disaggregation - Section E '!F$313:F924,MATCH(C1975,' Disaggregation - Section E '!A$313:A924,0)+1,1)&lt;&gt;0,INDEX(' Disaggregation - Section E '!F$313:F924,MATCH(C1975,' Disaggregation - Section E '!A$313:A924,0)+1,1),""),"")</f>
        <v/>
      </c>
      <c r="I1975" s="503" t="str">
        <f ca="1">IFERROR(IF(VLOOKUP(C1975,' Disaggregation - Section E '!A$316:N924,8,0)=0,"",VLOOKUP(C1975,' Disaggregation - Section E '!A$316:N924,8,0)),"")</f>
        <v/>
      </c>
      <c r="J1975" s="503" t="str">
        <f ca="1">IFERROR(IF(VLOOKUP(C1975,' Disaggregation - Section E '!A$316:N924,13,0)=0,"",VLOOKUP(C1975,' Disaggregation - Section E '!A$316:N924,13,0)),"")</f>
        <v/>
      </c>
      <c r="K1975" s="497" t="str">
        <f ca="1">IFERROR(VLOOKUP(C1975,' Disaggregation - Section E '!A$316:N924,3,0),"")</f>
        <v>TB O-4⁽ᴹ⁾ Tasa de éxito del tratamiento de los casos de tuberculosis resistente a la rifampicina y/o tuberculosis multirresistente: Porcentaje de casos de tuberculosis resistente a la rifampicina y/o tuberculosis multirresistente tratados con éxito.</v>
      </c>
      <c r="L1975" s="503" t="str">
        <f ca="1">IFERROR(IF(VLOOKUP(C1975,' Disaggregation - Section E '!A$316:N924,14,0)=0,"",VLOOKUP(C1975,' Disaggregation - Section E '!A$316:N924,14,0)),"")</f>
        <v/>
      </c>
      <c r="M1975" s="497" t="str">
        <f ca="1">IFERROR(IF(VLOOKUP(C1975,' Disaggregation - Section E '!A$316:T924,20,0)=0,"",VLOOKUP(C1975,' Disaggregation - Section E '!A$316:T924,20,0)),"")</f>
        <v/>
      </c>
      <c r="N1975" s="503" t="str">
        <f ca="1">IFERROR(IF(VLOOKUP(C1975,' Disaggregation - Section E '!A$316:N924,9,0)=0,"",VLOOKUP(C1975,' Disaggregation - Section E '!A$316:N924,9,0)),"")</f>
        <v/>
      </c>
      <c r="O1975" s="503" t="str">
        <f ca="1">IFERROR(IF(VLOOKUP(C1975,' Disaggregation - Section E '!A$315:N924,10,0)=0,"",VLOOKUP(C1975,' Disaggregation - Section E '!A$316:N924,10,0)),"")</f>
        <v/>
      </c>
    </row>
    <row r="1976" spans="1:15" x14ac:dyDescent="0.35">
      <c r="A1976" s="497" t="b">
        <f t="shared" ca="1" si="221"/>
        <v>0</v>
      </c>
      <c r="B1976" s="497"/>
      <c r="C1976" s="517" t="str">
        <f ca="1">IF(COUNTA(D$1665:D1976)=1,"",OFFSET(C1976,-COUNTA(D$1665:D1976)+1,0))</f>
        <v>a1V3p000006jw8bEAA</v>
      </c>
      <c r="D1976" s="512"/>
      <c r="E1976" s="500" t="str">
        <f ca="1">IFERROR(IF(VLOOKUP(C1976,' Disaggregation - Section E '!A$316:N925,7,0)="","",VLOOKUP(C1976,' Disaggregation - Section E '!A$316:N925,7,0)*100),"")</f>
        <v/>
      </c>
      <c r="F1976" s="497"/>
      <c r="G1976" s="502" t="str">
        <f ca="1">IFERROR(IF(VLOOKUP(C1976,' Disaggregation - Section E '!A$316:N925,6,0)="","",VLOOKUP(C1976,' Disaggregation - Section E '!A$316:N925,6,0)),"")</f>
        <v/>
      </c>
      <c r="H1976" s="512" t="str">
        <f ca="1">IFERROR(IF(INDEX(' Disaggregation - Section E '!F$313:F925,MATCH(C1976,' Disaggregation - Section E '!A$313:A925,0)+1,1)&lt;&gt;0,INDEX(' Disaggregation - Section E '!F$313:F925,MATCH(C1976,' Disaggregation - Section E '!A$313:A925,0)+1,1),""),"")</f>
        <v/>
      </c>
      <c r="I1976" s="503" t="str">
        <f ca="1">IFERROR(IF(VLOOKUP(C1976,' Disaggregation - Section E '!A$316:N925,8,0)=0,"",VLOOKUP(C1976,' Disaggregation - Section E '!A$316:N925,8,0)),"")</f>
        <v/>
      </c>
      <c r="J1976" s="503" t="str">
        <f ca="1">IFERROR(IF(VLOOKUP(C1976,' Disaggregation - Section E '!A$316:N925,13,0)=0,"",VLOOKUP(C1976,' Disaggregation - Section E '!A$316:N925,13,0)),"")</f>
        <v/>
      </c>
      <c r="K1976" s="497" t="str">
        <f ca="1">IFERROR(VLOOKUP(C1976,' Disaggregation - Section E '!A$316:N925,3,0),"")</f>
        <v>TB O-4⁽ᴹ⁾ Tasa de éxito del tratamiento de los casos de tuberculosis resistente a la rifampicina y/o tuberculosis multirresistente: Porcentaje de casos de tuberculosis resistente a la rifampicina y/o tuberculosis multirresistente tratados con éxito.</v>
      </c>
      <c r="L1976" s="503" t="str">
        <f ca="1">IFERROR(IF(VLOOKUP(C1976,' Disaggregation - Section E '!A$316:N925,14,0)=0,"",VLOOKUP(C1976,' Disaggregation - Section E '!A$316:N925,14,0)),"")</f>
        <v/>
      </c>
      <c r="M1976" s="497" t="str">
        <f ca="1">IFERROR(IF(VLOOKUP(C1976,' Disaggregation - Section E '!A$316:T925,20,0)=0,"",VLOOKUP(C1976,' Disaggregation - Section E '!A$316:T925,20,0)),"")</f>
        <v/>
      </c>
      <c r="N1976" s="503" t="str">
        <f ca="1">IFERROR(IF(VLOOKUP(C1976,' Disaggregation - Section E '!A$316:N925,9,0)=0,"",VLOOKUP(C1976,' Disaggregation - Section E '!A$316:N925,9,0)),"")</f>
        <v/>
      </c>
      <c r="O1976" s="503" t="str">
        <f ca="1">IFERROR(IF(VLOOKUP(C1976,' Disaggregation - Section E '!A$315:N925,10,0)=0,"",VLOOKUP(C1976,' Disaggregation - Section E '!A$316:N925,10,0)),"")</f>
        <v/>
      </c>
    </row>
    <row r="1977" spans="1:15" x14ac:dyDescent="0.35">
      <c r="A1977" s="497" t="b">
        <f t="shared" ca="1" si="221"/>
        <v>1</v>
      </c>
      <c r="B1977" s="497"/>
      <c r="C1977" s="517" t="str">
        <f ca="1">IF(COUNTA(D$1665:D1977)=1,"",OFFSET(C1977,-COUNTA(D$1665:D1977)+1,0))</f>
        <v>a1V3p000006jwAsEAI</v>
      </c>
      <c r="D1977" s="512"/>
      <c r="E1977" s="500" t="str">
        <f ca="1">IFERROR(IF(VLOOKUP(C1977,' Disaggregation - Section E '!A$316:N926,7,0)="","",VLOOKUP(C1977,' Disaggregation - Section E '!A$316:N926,7,0)*100),"")</f>
        <v/>
      </c>
      <c r="F1977" s="497"/>
      <c r="G1977" s="502" t="str">
        <f ca="1">IFERROR(IF(VLOOKUP(C1977,' Disaggregation - Section E '!A$316:N926,6,0)="","",VLOOKUP(C1977,' Disaggregation - Section E '!A$316:N926,6,0)),"")</f>
        <v/>
      </c>
      <c r="H1977" s="512" t="str">
        <f ca="1">IFERROR(IF(INDEX(' Disaggregation - Section E '!F$313:F926,MATCH(C1977,' Disaggregation - Section E '!A$313:A926,0)+1,1)&lt;&gt;0,INDEX(' Disaggregation - Section E '!F$313:F926,MATCH(C1977,' Disaggregation - Section E '!A$313:A926,0)+1,1),""),"")</f>
        <v/>
      </c>
      <c r="I1977" s="503" t="str">
        <f ca="1">IFERROR(IF(VLOOKUP(C1977,' Disaggregation - Section E '!A$316:N926,8,0)=0,"",VLOOKUP(C1977,' Disaggregation - Section E '!A$316:N926,8,0)),"")</f>
        <v/>
      </c>
      <c r="J1977" s="503" t="str">
        <f ca="1">IFERROR(IF(VLOOKUP(C1977,' Disaggregation - Section E '!A$316:N926,13,0)=0,"",VLOOKUP(C1977,' Disaggregation - Section E '!A$316:N926,13,0)),"")</f>
        <v/>
      </c>
      <c r="K1977" s="497" t="str">
        <f ca="1">IFERROR(VLOOKUP(C1977,' Disaggregation - Section E '!A$316:N926,3,0),"")</f>
        <v>HIV O-12 Porcentaje de personas que viven con VIH que reciben tratamiento antirretroviral y tienen carga viral suprimida</v>
      </c>
      <c r="L1977" s="503" t="str">
        <f ca="1">IFERROR(IF(VLOOKUP(C1977,' Disaggregation - Section E '!A$316:N926,14,0)=0,"",VLOOKUP(C1977,' Disaggregation - Section E '!A$316:N926,14,0)),"")</f>
        <v/>
      </c>
      <c r="M1977" s="497" t="str">
        <f ca="1">IFERROR(IF(VLOOKUP(C1977,' Disaggregation - Section E '!A$316:T926,20,0)=0,"",VLOOKUP(C1977,' Disaggregation - Section E '!A$316:T926,20,0)),"")</f>
        <v>IDR-00800</v>
      </c>
      <c r="N1977" s="503" t="str">
        <f ca="1">IFERROR(IF(VLOOKUP(C1977,' Disaggregation - Section E '!A$316:N926,9,0)=0,"",VLOOKUP(C1977,' Disaggregation - Section E '!A$316:N926,9,0)),"")</f>
        <v/>
      </c>
      <c r="O1977" s="503" t="str">
        <f ca="1">IFERROR(IF(VLOOKUP(C1977,' Disaggregation - Section E '!A$315:N926,10,0)=0,"",VLOOKUP(C1977,' Disaggregation - Section E '!A$316:N926,10,0)),"")</f>
        <v/>
      </c>
    </row>
    <row r="1978" spans="1:15" x14ac:dyDescent="0.35">
      <c r="A1978" s="497" t="b">
        <f t="shared" ca="1" si="221"/>
        <v>1</v>
      </c>
      <c r="B1978" s="497"/>
      <c r="C1978" s="517" t="str">
        <f ca="1">IF(COUNTA(D$1665:D1978)=1,"",OFFSET(C1978,-COUNTA(D$1665:D1978)+1,0))</f>
        <v>a1V3p000006jwAtEAI</v>
      </c>
      <c r="D1978" s="512"/>
      <c r="E1978" s="500" t="str">
        <f ca="1">IFERROR(IF(VLOOKUP(C1978,' Disaggregation - Section E '!A$316:N927,7,0)="","",VLOOKUP(C1978,' Disaggregation - Section E '!A$316:N927,7,0)*100),"")</f>
        <v/>
      </c>
      <c r="F1978" s="497"/>
      <c r="G1978" s="502" t="str">
        <f ca="1">IFERROR(IF(VLOOKUP(C1978,' Disaggregation - Section E '!A$316:N927,6,0)="","",VLOOKUP(C1978,' Disaggregation - Section E '!A$316:N927,6,0)),"")</f>
        <v/>
      </c>
      <c r="H1978" s="512" t="str">
        <f ca="1">IFERROR(IF(INDEX(' Disaggregation - Section E '!F$313:F927,MATCH(C1978,' Disaggregation - Section E '!A$313:A927,0)+1,1)&lt;&gt;0,INDEX(' Disaggregation - Section E '!F$313:F927,MATCH(C1978,' Disaggregation - Section E '!A$313:A927,0)+1,1),""),"")</f>
        <v/>
      </c>
      <c r="I1978" s="503" t="str">
        <f ca="1">IFERROR(IF(VLOOKUP(C1978,' Disaggregation - Section E '!A$316:N927,8,0)=0,"",VLOOKUP(C1978,' Disaggregation - Section E '!A$316:N927,8,0)),"")</f>
        <v/>
      </c>
      <c r="J1978" s="503" t="str">
        <f ca="1">IFERROR(IF(VLOOKUP(C1978,' Disaggregation - Section E '!A$316:N927,13,0)=0,"",VLOOKUP(C1978,' Disaggregation - Section E '!A$316:N927,13,0)),"")</f>
        <v/>
      </c>
      <c r="K1978" s="497" t="str">
        <f ca="1">IFERROR(VLOOKUP(C1978,' Disaggregation - Section E '!A$316:N927,3,0),"")</f>
        <v>HIV O-12 Porcentaje de personas que viven con VIH que reciben tratamiento antirretroviral y tienen carga viral suprimida</v>
      </c>
      <c r="L1978" s="503" t="str">
        <f ca="1">IFERROR(IF(VLOOKUP(C1978,' Disaggregation - Section E '!A$316:N927,14,0)=0,"",VLOOKUP(C1978,' Disaggregation - Section E '!A$316:N927,14,0)),"")</f>
        <v/>
      </c>
      <c r="M1978" s="497" t="str">
        <f ca="1">IFERROR(IF(VLOOKUP(C1978,' Disaggregation - Section E '!A$316:T927,20,0)=0,"",VLOOKUP(C1978,' Disaggregation - Section E '!A$316:T927,20,0)),"")</f>
        <v>IDR-00797</v>
      </c>
      <c r="N1978" s="503" t="str">
        <f ca="1">IFERROR(IF(VLOOKUP(C1978,' Disaggregation - Section E '!A$316:N927,9,0)=0,"",VLOOKUP(C1978,' Disaggregation - Section E '!A$316:N927,9,0)),"")</f>
        <v/>
      </c>
      <c r="O1978" s="503" t="str">
        <f ca="1">IFERROR(IF(VLOOKUP(C1978,' Disaggregation - Section E '!A$315:N927,10,0)=0,"",VLOOKUP(C1978,' Disaggregation - Section E '!A$316:N927,10,0)),"")</f>
        <v/>
      </c>
    </row>
    <row r="1979" spans="1:15" x14ac:dyDescent="0.35">
      <c r="A1979" s="497" t="b">
        <f t="shared" ca="1" si="221"/>
        <v>1</v>
      </c>
      <c r="B1979" s="497"/>
      <c r="C1979" s="517" t="str">
        <f ca="1">IF(COUNTA(D$1665:D1979)=1,"",OFFSET(C1979,-COUNTA(D$1665:D1979)+1,0))</f>
        <v>a1V3p000006jwAuEAI</v>
      </c>
      <c r="D1979" s="512"/>
      <c r="E1979" s="500" t="str">
        <f ca="1">IFERROR(IF(VLOOKUP(C1979,' Disaggregation - Section E '!A$316:N928,7,0)="","",VLOOKUP(C1979,' Disaggregation - Section E '!A$316:N928,7,0)*100),"")</f>
        <v/>
      </c>
      <c r="F1979" s="497"/>
      <c r="G1979" s="502" t="str">
        <f ca="1">IFERROR(IF(VLOOKUP(C1979,' Disaggregation - Section E '!A$316:N928,6,0)="","",VLOOKUP(C1979,' Disaggregation - Section E '!A$316:N928,6,0)),"")</f>
        <v/>
      </c>
      <c r="H1979" s="512" t="str">
        <f ca="1">IFERROR(IF(INDEX(' Disaggregation - Section E '!F$313:F928,MATCH(C1979,' Disaggregation - Section E '!A$313:A928,0)+1,1)&lt;&gt;0,INDEX(' Disaggregation - Section E '!F$313:F928,MATCH(C1979,' Disaggregation - Section E '!A$313:A928,0)+1,1),""),"")</f>
        <v/>
      </c>
      <c r="I1979" s="503" t="str">
        <f ca="1">IFERROR(IF(VLOOKUP(C1979,' Disaggregation - Section E '!A$316:N928,8,0)=0,"",VLOOKUP(C1979,' Disaggregation - Section E '!A$316:N928,8,0)),"")</f>
        <v/>
      </c>
      <c r="J1979" s="503" t="str">
        <f ca="1">IFERROR(IF(VLOOKUP(C1979,' Disaggregation - Section E '!A$316:N928,13,0)=0,"",VLOOKUP(C1979,' Disaggregation - Section E '!A$316:N928,13,0)),"")</f>
        <v/>
      </c>
      <c r="K1979" s="497" t="str">
        <f ca="1">IFERROR(VLOOKUP(C1979,' Disaggregation - Section E '!A$316:N928,3,0),"")</f>
        <v>HIV O-12 Porcentaje de personas que viven con VIH que reciben tratamiento antirretroviral y tienen carga viral suprimida</v>
      </c>
      <c r="L1979" s="503" t="str">
        <f ca="1">IFERROR(IF(VLOOKUP(C1979,' Disaggregation - Section E '!A$316:N928,14,0)=0,"",VLOOKUP(C1979,' Disaggregation - Section E '!A$316:N928,14,0)),"")</f>
        <v/>
      </c>
      <c r="M1979" s="497" t="str">
        <f ca="1">IFERROR(IF(VLOOKUP(C1979,' Disaggregation - Section E '!A$316:T928,20,0)=0,"",VLOOKUP(C1979,' Disaggregation - Section E '!A$316:T928,20,0)),"")</f>
        <v>IDR-00796</v>
      </c>
      <c r="N1979" s="503" t="str">
        <f ca="1">IFERROR(IF(VLOOKUP(C1979,' Disaggregation - Section E '!A$316:N928,9,0)=0,"",VLOOKUP(C1979,' Disaggregation - Section E '!A$316:N928,9,0)),"")</f>
        <v/>
      </c>
      <c r="O1979" s="503" t="str">
        <f ca="1">IFERROR(IF(VLOOKUP(C1979,' Disaggregation - Section E '!A$315:N928,10,0)=0,"",VLOOKUP(C1979,' Disaggregation - Section E '!A$316:N928,10,0)),"")</f>
        <v/>
      </c>
    </row>
    <row r="1980" spans="1:15" x14ac:dyDescent="0.35">
      <c r="A1980" s="497" t="b">
        <f t="shared" ca="1" si="221"/>
        <v>0</v>
      </c>
      <c r="B1980" s="497"/>
      <c r="C1980" s="517" t="str">
        <f ca="1">IF(COUNTA(D$1665:D1980)=1,"",OFFSET(C1980,-COUNTA(D$1665:D1980)+1,0))</f>
        <v>a1V3p000006jwAvEAI</v>
      </c>
      <c r="D1980" s="512"/>
      <c r="E1980" s="500" t="str">
        <f ca="1">IFERROR(IF(VLOOKUP(C1980,' Disaggregation - Section E '!A$316:N929,7,0)="","",VLOOKUP(C1980,' Disaggregation - Section E '!A$316:N929,7,0)*100),"")</f>
        <v/>
      </c>
      <c r="F1980" s="497"/>
      <c r="G1980" s="502" t="str">
        <f ca="1">IFERROR(IF(VLOOKUP(C1980,' Disaggregation - Section E '!A$316:N929,6,0)="","",VLOOKUP(C1980,' Disaggregation - Section E '!A$316:N929,6,0)),"")</f>
        <v/>
      </c>
      <c r="H1980" s="512" t="str">
        <f ca="1">IFERROR(IF(INDEX(' Disaggregation - Section E '!F$313:F929,MATCH(C1980,' Disaggregation - Section E '!A$313:A929,0)+1,1)&lt;&gt;0,INDEX(' Disaggregation - Section E '!F$313:F929,MATCH(C1980,' Disaggregation - Section E '!A$313:A929,0)+1,1),""),"")</f>
        <v/>
      </c>
      <c r="I1980" s="503" t="str">
        <f ca="1">IFERROR(IF(VLOOKUP(C1980,' Disaggregation - Section E '!A$316:N929,8,0)=0,"",VLOOKUP(C1980,' Disaggregation - Section E '!A$316:N929,8,0)),"")</f>
        <v/>
      </c>
      <c r="J1980" s="503" t="str">
        <f ca="1">IFERROR(IF(VLOOKUP(C1980,' Disaggregation - Section E '!A$316:N929,13,0)=0,"",VLOOKUP(C1980,' Disaggregation - Section E '!A$316:N929,13,0)),"")</f>
        <v/>
      </c>
      <c r="K1980" s="497" t="str">
        <f ca="1">IFERROR(VLOOKUP(C1980,' Disaggregation - Section E '!A$316:N929,3,0),"")</f>
        <v>HIV O-12 Porcentaje de personas que viven con VIH que reciben tratamiento antirretroviral y tienen carga viral suprimida</v>
      </c>
      <c r="L1980" s="503" t="str">
        <f ca="1">IFERROR(IF(VLOOKUP(C1980,' Disaggregation - Section E '!A$316:N929,14,0)=0,"",VLOOKUP(C1980,' Disaggregation - Section E '!A$316:N929,14,0)),"")</f>
        <v/>
      </c>
      <c r="M1980" s="497" t="str">
        <f ca="1">IFERROR(IF(VLOOKUP(C1980,' Disaggregation - Section E '!A$316:T929,20,0)=0,"",VLOOKUP(C1980,' Disaggregation - Section E '!A$316:T929,20,0)),"")</f>
        <v/>
      </c>
      <c r="N1980" s="503" t="str">
        <f ca="1">IFERROR(IF(VLOOKUP(C1980,' Disaggregation - Section E '!A$316:N929,9,0)=0,"",VLOOKUP(C1980,' Disaggregation - Section E '!A$316:N929,9,0)),"")</f>
        <v/>
      </c>
      <c r="O1980" s="503" t="str">
        <f ca="1">IFERROR(IF(VLOOKUP(C1980,' Disaggregation - Section E '!A$315:N929,10,0)=0,"",VLOOKUP(C1980,' Disaggregation - Section E '!A$316:N929,10,0)),"")</f>
        <v/>
      </c>
    </row>
    <row r="1981" spans="1:15" x14ac:dyDescent="0.35">
      <c r="A1981" s="497" t="b">
        <f t="shared" ca="1" si="221"/>
        <v>0</v>
      </c>
      <c r="B1981" s="497"/>
      <c r="C1981" s="517" t="str">
        <f ca="1">IF(COUNTA(D$1665:D1981)=1,"",OFFSET(C1981,-COUNTA(D$1665:D1981)+1,0))</f>
        <v>a1V3p000006jwAwEAI</v>
      </c>
      <c r="D1981" s="512"/>
      <c r="E1981" s="500" t="str">
        <f ca="1">IFERROR(IF(VLOOKUP(C1981,' Disaggregation - Section E '!A$316:N930,7,0)="","",VLOOKUP(C1981,' Disaggregation - Section E '!A$316:N930,7,0)*100),"")</f>
        <v/>
      </c>
      <c r="F1981" s="497"/>
      <c r="G1981" s="502" t="str">
        <f ca="1">IFERROR(IF(VLOOKUP(C1981,' Disaggregation - Section E '!A$316:N930,6,0)="","",VLOOKUP(C1981,' Disaggregation - Section E '!A$316:N930,6,0)),"")</f>
        <v/>
      </c>
      <c r="H1981" s="512" t="str">
        <f ca="1">IFERROR(IF(INDEX(' Disaggregation - Section E '!F$313:F930,MATCH(C1981,' Disaggregation - Section E '!A$313:A930,0)+1,1)&lt;&gt;0,INDEX(' Disaggregation - Section E '!F$313:F930,MATCH(C1981,' Disaggregation - Section E '!A$313:A930,0)+1,1),""),"")</f>
        <v/>
      </c>
      <c r="I1981" s="503" t="str">
        <f ca="1">IFERROR(IF(VLOOKUP(C1981,' Disaggregation - Section E '!A$316:N930,8,0)=0,"",VLOOKUP(C1981,' Disaggregation - Section E '!A$316:N930,8,0)),"")</f>
        <v/>
      </c>
      <c r="J1981" s="503" t="str">
        <f ca="1">IFERROR(IF(VLOOKUP(C1981,' Disaggregation - Section E '!A$316:N930,13,0)=0,"",VLOOKUP(C1981,' Disaggregation - Section E '!A$316:N930,13,0)),"")</f>
        <v/>
      </c>
      <c r="K1981" s="497" t="str">
        <f ca="1">IFERROR(VLOOKUP(C1981,' Disaggregation - Section E '!A$316:N930,3,0),"")</f>
        <v>HIV O-12 Porcentaje de personas que viven con VIH que reciben tratamiento antirretroviral y tienen carga viral suprimida</v>
      </c>
      <c r="L1981" s="503" t="str">
        <f ca="1">IFERROR(IF(VLOOKUP(C1981,' Disaggregation - Section E '!A$316:N930,14,0)=0,"",VLOOKUP(C1981,' Disaggregation - Section E '!A$316:N930,14,0)),"")</f>
        <v/>
      </c>
      <c r="M1981" s="497" t="str">
        <f ca="1">IFERROR(IF(VLOOKUP(C1981,' Disaggregation - Section E '!A$316:T930,20,0)=0,"",VLOOKUP(C1981,' Disaggregation - Section E '!A$316:T930,20,0)),"")</f>
        <v/>
      </c>
      <c r="N1981" s="503" t="str">
        <f ca="1">IFERROR(IF(VLOOKUP(C1981,' Disaggregation - Section E '!A$316:N930,9,0)=0,"",VLOOKUP(C1981,' Disaggregation - Section E '!A$316:N930,9,0)),"")</f>
        <v/>
      </c>
      <c r="O1981" s="503" t="str">
        <f ca="1">IFERROR(IF(VLOOKUP(C1981,' Disaggregation - Section E '!A$315:N930,10,0)=0,"",VLOOKUP(C1981,' Disaggregation - Section E '!A$316:N930,10,0)),"")</f>
        <v/>
      </c>
    </row>
    <row r="1982" spans="1:15" x14ac:dyDescent="0.35">
      <c r="A1982" s="497" t="b">
        <f t="shared" ca="1" si="221"/>
        <v>0</v>
      </c>
      <c r="B1982" s="497"/>
      <c r="C1982" s="517" t="str">
        <f ca="1">IF(COUNTA(D$1665:D1982)=1,"",OFFSET(C1982,-COUNTA(D$1665:D1982)+1,0))</f>
        <v>a1V3p000006jwAxEAI</v>
      </c>
      <c r="D1982" s="512"/>
      <c r="E1982" s="500" t="str">
        <f ca="1">IFERROR(IF(VLOOKUP(C1982,' Disaggregation - Section E '!A$316:N931,7,0)="","",VLOOKUP(C1982,' Disaggregation - Section E '!A$316:N931,7,0)*100),"")</f>
        <v/>
      </c>
      <c r="F1982" s="497"/>
      <c r="G1982" s="502" t="str">
        <f ca="1">IFERROR(IF(VLOOKUP(C1982,' Disaggregation - Section E '!A$316:N931,6,0)="","",VLOOKUP(C1982,' Disaggregation - Section E '!A$316:N931,6,0)),"")</f>
        <v/>
      </c>
      <c r="H1982" s="512" t="str">
        <f ca="1">IFERROR(IF(INDEX(' Disaggregation - Section E '!F$313:F931,MATCH(C1982,' Disaggregation - Section E '!A$313:A931,0)+1,1)&lt;&gt;0,INDEX(' Disaggregation - Section E '!F$313:F931,MATCH(C1982,' Disaggregation - Section E '!A$313:A931,0)+1,1),""),"")</f>
        <v/>
      </c>
      <c r="I1982" s="503" t="str">
        <f ca="1">IFERROR(IF(VLOOKUP(C1982,' Disaggregation - Section E '!A$316:N931,8,0)=0,"",VLOOKUP(C1982,' Disaggregation - Section E '!A$316:N931,8,0)),"")</f>
        <v/>
      </c>
      <c r="J1982" s="503" t="str">
        <f ca="1">IFERROR(IF(VLOOKUP(C1982,' Disaggregation - Section E '!A$316:N931,13,0)=0,"",VLOOKUP(C1982,' Disaggregation - Section E '!A$316:N931,13,0)),"")</f>
        <v/>
      </c>
      <c r="K1982" s="497" t="str">
        <f ca="1">IFERROR(VLOOKUP(C1982,' Disaggregation - Section E '!A$316:N931,3,0),"")</f>
        <v>HIV O-12 Porcentaje de personas que viven con VIH que reciben tratamiento antirretroviral y tienen carga viral suprimida</v>
      </c>
      <c r="L1982" s="503" t="str">
        <f ca="1">IFERROR(IF(VLOOKUP(C1982,' Disaggregation - Section E '!A$316:N931,14,0)=0,"",VLOOKUP(C1982,' Disaggregation - Section E '!A$316:N931,14,0)),"")</f>
        <v/>
      </c>
      <c r="M1982" s="497" t="str">
        <f ca="1">IFERROR(IF(VLOOKUP(C1982,' Disaggregation - Section E '!A$316:T931,20,0)=0,"",VLOOKUP(C1982,' Disaggregation - Section E '!A$316:T931,20,0)),"")</f>
        <v/>
      </c>
      <c r="N1982" s="503" t="str">
        <f ca="1">IFERROR(IF(VLOOKUP(C1982,' Disaggregation - Section E '!A$316:N931,9,0)=0,"",VLOOKUP(C1982,' Disaggregation - Section E '!A$316:N931,9,0)),"")</f>
        <v/>
      </c>
      <c r="O1982" s="503" t="str">
        <f ca="1">IFERROR(IF(VLOOKUP(C1982,' Disaggregation - Section E '!A$315:N931,10,0)=0,"",VLOOKUP(C1982,' Disaggregation - Section E '!A$316:N931,10,0)),"")</f>
        <v/>
      </c>
    </row>
    <row r="1983" spans="1:15" x14ac:dyDescent="0.35">
      <c r="A1983" s="497" t="b">
        <f t="shared" ca="1" si="221"/>
        <v>0</v>
      </c>
      <c r="B1983" s="497"/>
      <c r="C1983" s="517" t="str">
        <f ca="1">IF(COUNTA(D$1665:D1983)=1,"",OFFSET(C1983,-COUNTA(D$1665:D1983)+1,0))</f>
        <v>a1V3p000006jwAyEAI</v>
      </c>
      <c r="D1983" s="512"/>
      <c r="E1983" s="500" t="str">
        <f ca="1">IFERROR(IF(VLOOKUP(C1983,' Disaggregation - Section E '!A$316:N932,7,0)="","",VLOOKUP(C1983,' Disaggregation - Section E '!A$316:N932,7,0)*100),"")</f>
        <v/>
      </c>
      <c r="F1983" s="497"/>
      <c r="G1983" s="502" t="str">
        <f ca="1">IFERROR(IF(VLOOKUP(C1983,' Disaggregation - Section E '!A$316:N932,6,0)="","",VLOOKUP(C1983,' Disaggregation - Section E '!A$316:N932,6,0)),"")</f>
        <v/>
      </c>
      <c r="H1983" s="512" t="str">
        <f ca="1">IFERROR(IF(INDEX(' Disaggregation - Section E '!F$313:F932,MATCH(C1983,' Disaggregation - Section E '!A$313:A932,0)+1,1)&lt;&gt;0,INDEX(' Disaggregation - Section E '!F$313:F932,MATCH(C1983,' Disaggregation - Section E '!A$313:A932,0)+1,1),""),"")</f>
        <v/>
      </c>
      <c r="I1983" s="503" t="str">
        <f ca="1">IFERROR(IF(VLOOKUP(C1983,' Disaggregation - Section E '!A$316:N932,8,0)=0,"",VLOOKUP(C1983,' Disaggregation - Section E '!A$316:N932,8,0)),"")</f>
        <v/>
      </c>
      <c r="J1983" s="503" t="str">
        <f ca="1">IFERROR(IF(VLOOKUP(C1983,' Disaggregation - Section E '!A$316:N932,13,0)=0,"",VLOOKUP(C1983,' Disaggregation - Section E '!A$316:N932,13,0)),"")</f>
        <v/>
      </c>
      <c r="K1983" s="497" t="str">
        <f ca="1">IFERROR(VLOOKUP(C1983,' Disaggregation - Section E '!A$316:N932,3,0),"")</f>
        <v>HIV O-12 Porcentaje de personas que viven con VIH que reciben tratamiento antirretroviral y tienen carga viral suprimida</v>
      </c>
      <c r="L1983" s="503" t="str">
        <f ca="1">IFERROR(IF(VLOOKUP(C1983,' Disaggregation - Section E '!A$316:N932,14,0)=0,"",VLOOKUP(C1983,' Disaggregation - Section E '!A$316:N932,14,0)),"")</f>
        <v/>
      </c>
      <c r="M1983" s="497" t="str">
        <f ca="1">IFERROR(IF(VLOOKUP(C1983,' Disaggregation - Section E '!A$316:T932,20,0)=0,"",VLOOKUP(C1983,' Disaggregation - Section E '!A$316:T932,20,0)),"")</f>
        <v/>
      </c>
      <c r="N1983" s="503" t="str">
        <f ca="1">IFERROR(IF(VLOOKUP(C1983,' Disaggregation - Section E '!A$316:N932,9,0)=0,"",VLOOKUP(C1983,' Disaggregation - Section E '!A$316:N932,9,0)),"")</f>
        <v/>
      </c>
      <c r="O1983" s="503" t="str">
        <f ca="1">IFERROR(IF(VLOOKUP(C1983,' Disaggregation - Section E '!A$315:N932,10,0)=0,"",VLOOKUP(C1983,' Disaggregation - Section E '!A$316:N932,10,0)),"")</f>
        <v/>
      </c>
    </row>
    <row r="1984" spans="1:15" x14ac:dyDescent="0.35">
      <c r="A1984" s="497" t="b">
        <f t="shared" ca="1" si="221"/>
        <v>0</v>
      </c>
      <c r="B1984" s="497"/>
      <c r="C1984" s="517" t="str">
        <f ca="1">IF(COUNTA(D$1665:D1984)=1,"",OFFSET(C1984,-COUNTA(D$1665:D1984)+1,0))</f>
        <v>a1V3p000006jwAzEAI</v>
      </c>
      <c r="D1984" s="512"/>
      <c r="E1984" s="500" t="str">
        <f ca="1">IFERROR(IF(VLOOKUP(C1984,' Disaggregation - Section E '!A$316:N933,7,0)="","",VLOOKUP(C1984,' Disaggregation - Section E '!A$316:N933,7,0)*100),"")</f>
        <v/>
      </c>
      <c r="F1984" s="497"/>
      <c r="G1984" s="502" t="str">
        <f ca="1">IFERROR(IF(VLOOKUP(C1984,' Disaggregation - Section E '!A$316:N933,6,0)="","",VLOOKUP(C1984,' Disaggregation - Section E '!A$316:N933,6,0)),"")</f>
        <v/>
      </c>
      <c r="H1984" s="512" t="str">
        <f ca="1">IFERROR(IF(INDEX(' Disaggregation - Section E '!F$313:F933,MATCH(C1984,' Disaggregation - Section E '!A$313:A933,0)+1,1)&lt;&gt;0,INDEX(' Disaggregation - Section E '!F$313:F933,MATCH(C1984,' Disaggregation - Section E '!A$313:A933,0)+1,1),""),"")</f>
        <v/>
      </c>
      <c r="I1984" s="503" t="str">
        <f ca="1">IFERROR(IF(VLOOKUP(C1984,' Disaggregation - Section E '!A$316:N933,8,0)=0,"",VLOOKUP(C1984,' Disaggregation - Section E '!A$316:N933,8,0)),"")</f>
        <v/>
      </c>
      <c r="J1984" s="503" t="str">
        <f ca="1">IFERROR(IF(VLOOKUP(C1984,' Disaggregation - Section E '!A$316:N933,13,0)=0,"",VLOOKUP(C1984,' Disaggregation - Section E '!A$316:N933,13,0)),"")</f>
        <v/>
      </c>
      <c r="K1984" s="497" t="str">
        <f ca="1">IFERROR(VLOOKUP(C1984,' Disaggregation - Section E '!A$316:N933,3,0),"")</f>
        <v>HIV O-12 Porcentaje de personas que viven con VIH que reciben tratamiento antirretroviral y tienen carga viral suprimida</v>
      </c>
      <c r="L1984" s="503" t="str">
        <f ca="1">IFERROR(IF(VLOOKUP(C1984,' Disaggregation - Section E '!A$316:N933,14,0)=0,"",VLOOKUP(C1984,' Disaggregation - Section E '!A$316:N933,14,0)),"")</f>
        <v/>
      </c>
      <c r="M1984" s="497" t="str">
        <f ca="1">IFERROR(IF(VLOOKUP(C1984,' Disaggregation - Section E '!A$316:T933,20,0)=0,"",VLOOKUP(C1984,' Disaggregation - Section E '!A$316:T933,20,0)),"")</f>
        <v/>
      </c>
      <c r="N1984" s="503" t="str">
        <f ca="1">IFERROR(IF(VLOOKUP(C1984,' Disaggregation - Section E '!A$316:N933,9,0)=0,"",VLOOKUP(C1984,' Disaggregation - Section E '!A$316:N933,9,0)),"")</f>
        <v/>
      </c>
      <c r="O1984" s="503" t="str">
        <f ca="1">IFERROR(IF(VLOOKUP(C1984,' Disaggregation - Section E '!A$315:N933,10,0)=0,"",VLOOKUP(C1984,' Disaggregation - Section E '!A$316:N933,10,0)),"")</f>
        <v/>
      </c>
    </row>
    <row r="1985" spans="1:15" x14ac:dyDescent="0.35">
      <c r="A1985" s="497" t="b">
        <f t="shared" ca="1" si="221"/>
        <v>0</v>
      </c>
      <c r="B1985" s="497"/>
      <c r="C1985" s="517" t="str">
        <f ca="1">IF(COUNTA(D$1665:D1985)=1,"",OFFSET(C1985,-COUNTA(D$1665:D1985)+1,0))</f>
        <v>a1V3p000006jwB0EAI</v>
      </c>
      <c r="D1985" s="512"/>
      <c r="E1985" s="500" t="str">
        <f ca="1">IFERROR(IF(VLOOKUP(C1985,' Disaggregation - Section E '!A$316:N934,7,0)="","",VLOOKUP(C1985,' Disaggregation - Section E '!A$316:N934,7,0)*100),"")</f>
        <v/>
      </c>
      <c r="F1985" s="497"/>
      <c r="G1985" s="502" t="str">
        <f ca="1">IFERROR(IF(VLOOKUP(C1985,' Disaggregation - Section E '!A$316:N934,6,0)="","",VLOOKUP(C1985,' Disaggregation - Section E '!A$316:N934,6,0)),"")</f>
        <v/>
      </c>
      <c r="H1985" s="512" t="str">
        <f ca="1">IFERROR(IF(INDEX(' Disaggregation - Section E '!F$313:F934,MATCH(C1985,' Disaggregation - Section E '!A$313:A934,0)+1,1)&lt;&gt;0,INDEX(' Disaggregation - Section E '!F$313:F934,MATCH(C1985,' Disaggregation - Section E '!A$313:A934,0)+1,1),""),"")</f>
        <v/>
      </c>
      <c r="I1985" s="503" t="str">
        <f ca="1">IFERROR(IF(VLOOKUP(C1985,' Disaggregation - Section E '!A$316:N934,8,0)=0,"",VLOOKUP(C1985,' Disaggregation - Section E '!A$316:N934,8,0)),"")</f>
        <v/>
      </c>
      <c r="J1985" s="503" t="str">
        <f ca="1">IFERROR(IF(VLOOKUP(C1985,' Disaggregation - Section E '!A$316:N934,13,0)=0,"",VLOOKUP(C1985,' Disaggregation - Section E '!A$316:N934,13,0)),"")</f>
        <v/>
      </c>
      <c r="K1985" s="497" t="str">
        <f ca="1">IFERROR(VLOOKUP(C1985,' Disaggregation - Section E '!A$316:N934,3,0),"")</f>
        <v>HIV O-12 Porcentaje de personas que viven con VIH que reciben tratamiento antirretroviral y tienen carga viral suprimida</v>
      </c>
      <c r="L1985" s="503" t="str">
        <f ca="1">IFERROR(IF(VLOOKUP(C1985,' Disaggregation - Section E '!A$316:N934,14,0)=0,"",VLOOKUP(C1985,' Disaggregation - Section E '!A$316:N934,14,0)),"")</f>
        <v/>
      </c>
      <c r="M1985" s="497" t="str">
        <f ca="1">IFERROR(IF(VLOOKUP(C1985,' Disaggregation - Section E '!A$316:T934,20,0)=0,"",VLOOKUP(C1985,' Disaggregation - Section E '!A$316:T934,20,0)),"")</f>
        <v/>
      </c>
      <c r="N1985" s="503" t="str">
        <f ca="1">IFERROR(IF(VLOOKUP(C1985,' Disaggregation - Section E '!A$316:N934,9,0)=0,"",VLOOKUP(C1985,' Disaggregation - Section E '!A$316:N934,9,0)),"")</f>
        <v/>
      </c>
      <c r="O1985" s="503" t="str">
        <f ca="1">IFERROR(IF(VLOOKUP(C1985,' Disaggregation - Section E '!A$315:N934,10,0)=0,"",VLOOKUP(C1985,' Disaggregation - Section E '!A$316:N934,10,0)),"")</f>
        <v/>
      </c>
    </row>
    <row r="1986" spans="1:15" x14ac:dyDescent="0.35">
      <c r="A1986" s="497" t="b">
        <f t="shared" ca="1" si="221"/>
        <v>0</v>
      </c>
      <c r="B1986" s="497"/>
      <c r="C1986" s="517" t="str">
        <f ca="1">IF(COUNTA(D$1665:D1986)=1,"",OFFSET(C1986,-COUNTA(D$1665:D1986)+1,0))</f>
        <v>a1V3p000006jwB1EAI</v>
      </c>
      <c r="D1986" s="512"/>
      <c r="E1986" s="500" t="str">
        <f ca="1">IFERROR(IF(VLOOKUP(C1986,' Disaggregation - Section E '!A$316:N935,7,0)="","",VLOOKUP(C1986,' Disaggregation - Section E '!A$316:N935,7,0)*100),"")</f>
        <v/>
      </c>
      <c r="F1986" s="497"/>
      <c r="G1986" s="502" t="str">
        <f ca="1">IFERROR(IF(VLOOKUP(C1986,' Disaggregation - Section E '!A$316:N935,6,0)="","",VLOOKUP(C1986,' Disaggregation - Section E '!A$316:N935,6,0)),"")</f>
        <v/>
      </c>
      <c r="H1986" s="512" t="str">
        <f ca="1">IFERROR(IF(INDEX(' Disaggregation - Section E '!F$313:F935,MATCH(C1986,' Disaggregation - Section E '!A$313:A935,0)+1,1)&lt;&gt;0,INDEX(' Disaggregation - Section E '!F$313:F935,MATCH(C1986,' Disaggregation - Section E '!A$313:A935,0)+1,1),""),"")</f>
        <v/>
      </c>
      <c r="I1986" s="503" t="str">
        <f ca="1">IFERROR(IF(VLOOKUP(C1986,' Disaggregation - Section E '!A$316:N935,8,0)=0,"",VLOOKUP(C1986,' Disaggregation - Section E '!A$316:N935,8,0)),"")</f>
        <v/>
      </c>
      <c r="J1986" s="503" t="str">
        <f ca="1">IFERROR(IF(VLOOKUP(C1986,' Disaggregation - Section E '!A$316:N935,13,0)=0,"",VLOOKUP(C1986,' Disaggregation - Section E '!A$316:N935,13,0)),"")</f>
        <v/>
      </c>
      <c r="K1986" s="497" t="str">
        <f ca="1">IFERROR(VLOOKUP(C1986,' Disaggregation - Section E '!A$316:N935,3,0),"")</f>
        <v>HIV O-12 Porcentaje de personas que viven con VIH que reciben tratamiento antirretroviral y tienen carga viral suprimida</v>
      </c>
      <c r="L1986" s="503" t="str">
        <f ca="1">IFERROR(IF(VLOOKUP(C1986,' Disaggregation - Section E '!A$316:N935,14,0)=0,"",VLOOKUP(C1986,' Disaggregation - Section E '!A$316:N935,14,0)),"")</f>
        <v/>
      </c>
      <c r="M1986" s="497" t="str">
        <f ca="1">IFERROR(IF(VLOOKUP(C1986,' Disaggregation - Section E '!A$316:T935,20,0)=0,"",VLOOKUP(C1986,' Disaggregation - Section E '!A$316:T935,20,0)),"")</f>
        <v/>
      </c>
      <c r="N1986" s="503" t="str">
        <f ca="1">IFERROR(IF(VLOOKUP(C1986,' Disaggregation - Section E '!A$316:N935,9,0)=0,"",VLOOKUP(C1986,' Disaggregation - Section E '!A$316:N935,9,0)),"")</f>
        <v/>
      </c>
      <c r="O1986" s="503" t="str">
        <f ca="1">IFERROR(IF(VLOOKUP(C1986,' Disaggregation - Section E '!A$315:N935,10,0)=0,"",VLOOKUP(C1986,' Disaggregation - Section E '!A$316:N935,10,0)),"")</f>
        <v/>
      </c>
    </row>
    <row r="1987" spans="1:15" x14ac:dyDescent="0.35">
      <c r="A1987" s="497" t="b">
        <f t="shared" ca="1" si="221"/>
        <v>0</v>
      </c>
      <c r="B1987" s="497"/>
      <c r="C1987" s="517" t="str">
        <f ca="1">IF(COUNTA(D$1665:D1987)=1,"",OFFSET(C1987,-COUNTA(D$1665:D1987)+1,0))</f>
        <v>a1V3p000006jw8cEAA</v>
      </c>
      <c r="D1987" s="512"/>
      <c r="E1987" s="500" t="str">
        <f ca="1">IFERROR(IF(VLOOKUP(C1987,' Disaggregation - Section E '!A$316:N936,7,0)="","",VLOOKUP(C1987,' Disaggregation - Section E '!A$316:N936,7,0)*100),"")</f>
        <v/>
      </c>
      <c r="F1987" s="497"/>
      <c r="G1987" s="502" t="str">
        <f ca="1">IFERROR(IF(VLOOKUP(C1987,' Disaggregation - Section E '!A$316:N936,6,0)="","",VLOOKUP(C1987,' Disaggregation - Section E '!A$316:N936,6,0)),"")</f>
        <v/>
      </c>
      <c r="H1987" s="512" t="str">
        <f ca="1">IFERROR(IF(INDEX(' Disaggregation - Section E '!F$313:F936,MATCH(C1987,' Disaggregation - Section E '!A$313:A936,0)+1,1)&lt;&gt;0,INDEX(' Disaggregation - Section E '!F$313:F936,MATCH(C1987,' Disaggregation - Section E '!A$313:A936,0)+1,1),""),"")</f>
        <v/>
      </c>
      <c r="I1987" s="503" t="str">
        <f ca="1">IFERROR(IF(VLOOKUP(C1987,' Disaggregation - Section E '!A$316:N936,8,0)=0,"",VLOOKUP(C1987,' Disaggregation - Section E '!A$316:N936,8,0)),"")</f>
        <v/>
      </c>
      <c r="J1987" s="503" t="str">
        <f ca="1">IFERROR(IF(VLOOKUP(C1987,' Disaggregation - Section E '!A$316:N936,13,0)=0,"",VLOOKUP(C1987,' Disaggregation - Section E '!A$316:N936,13,0)),"")</f>
        <v/>
      </c>
      <c r="K1987" s="497" t="str">
        <f ca="1">IFERROR(VLOOKUP(C1987,' Disaggregation - Section E '!A$316:N936,3,0),"")</f>
        <v>TB O-2a Tasa de éxito del tratamiento en todas las formas de tuberculosis, confirmada bacteriológicamente y con diagnóstico clínico, casos nuevos y recaídas.</v>
      </c>
      <c r="L1987" s="503" t="str">
        <f ca="1">IFERROR(IF(VLOOKUP(C1987,' Disaggregation - Section E '!A$316:N936,14,0)=0,"",VLOOKUP(C1987,' Disaggregation - Section E '!A$316:N936,14,0)),"")</f>
        <v>Being a focused country, no disaggregation is required</v>
      </c>
      <c r="M1987" s="497" t="str">
        <f ca="1">IFERROR(IF(VLOOKUP(C1987,' Disaggregation - Section E '!A$316:T936,20,0)=0,"",VLOOKUP(C1987,' Disaggregation - Section E '!A$316:T936,20,0)),"")</f>
        <v/>
      </c>
      <c r="N1987" s="503" t="str">
        <f ca="1">IFERROR(IF(VLOOKUP(C1987,' Disaggregation - Section E '!A$316:N936,9,0)=0,"",VLOOKUP(C1987,' Disaggregation - Section E '!A$316:N936,9,0)),"")</f>
        <v/>
      </c>
      <c r="O1987" s="503" t="str">
        <f ca="1">IFERROR(IF(VLOOKUP(C1987,' Disaggregation - Section E '!A$315:N936,10,0)=0,"",VLOOKUP(C1987,' Disaggregation - Section E '!A$316:N936,10,0)),"")</f>
        <v/>
      </c>
    </row>
    <row r="1988" spans="1:15" x14ac:dyDescent="0.35">
      <c r="A1988" s="497" t="b">
        <f t="shared" ca="1" si="221"/>
        <v>0</v>
      </c>
      <c r="B1988" s="497"/>
      <c r="C1988" s="517" t="str">
        <f ca="1">IF(COUNTA(D$1665:D1988)=1,"",OFFSET(C1988,-COUNTA(D$1665:D1988)+1,0))</f>
        <v>a1V3p000006jw8dEAA</v>
      </c>
      <c r="D1988" s="512"/>
      <c r="E1988" s="500" t="str">
        <f ca="1">IFERROR(IF(VLOOKUP(C1988,' Disaggregation - Section E '!A$316:N937,7,0)="","",VLOOKUP(C1988,' Disaggregation - Section E '!A$316:N937,7,0)*100),"")</f>
        <v/>
      </c>
      <c r="F1988" s="497"/>
      <c r="G1988" s="502" t="str">
        <f ca="1">IFERROR(IF(VLOOKUP(C1988,' Disaggregation - Section E '!A$316:N937,6,0)="","",VLOOKUP(C1988,' Disaggregation - Section E '!A$316:N937,6,0)),"")</f>
        <v/>
      </c>
      <c r="H1988" s="512" t="str">
        <f ca="1">IFERROR(IF(INDEX(' Disaggregation - Section E '!F$313:F937,MATCH(C1988,' Disaggregation - Section E '!A$313:A937,0)+1,1)&lt;&gt;0,INDEX(' Disaggregation - Section E '!F$313:F937,MATCH(C1988,' Disaggregation - Section E '!A$313:A937,0)+1,1),""),"")</f>
        <v/>
      </c>
      <c r="I1988" s="503" t="str">
        <f ca="1">IFERROR(IF(VLOOKUP(C1988,' Disaggregation - Section E '!A$316:N937,8,0)=0,"",VLOOKUP(C1988,' Disaggregation - Section E '!A$316:N937,8,0)),"")</f>
        <v/>
      </c>
      <c r="J1988" s="503" t="str">
        <f ca="1">IFERROR(IF(VLOOKUP(C1988,' Disaggregation - Section E '!A$316:N937,13,0)=0,"",VLOOKUP(C1988,' Disaggregation - Section E '!A$316:N937,13,0)),"")</f>
        <v/>
      </c>
      <c r="K1988" s="497" t="str">
        <f ca="1">IFERROR(VLOOKUP(C1988,' Disaggregation - Section E '!A$316:N937,3,0),"")</f>
        <v>TB O-2a Tasa de éxito del tratamiento en todas las formas de tuberculosis, confirmada bacteriológicamente y con diagnóstico clínico, casos nuevos y recaídas.</v>
      </c>
      <c r="L1988" s="503" t="str">
        <f ca="1">IFERROR(IF(VLOOKUP(C1988,' Disaggregation - Section E '!A$316:N937,14,0)=0,"",VLOOKUP(C1988,' Disaggregation - Section E '!A$316:N937,14,0)),"")</f>
        <v>Being a focused country, no disaggregation is required</v>
      </c>
      <c r="M1988" s="497" t="str">
        <f ca="1">IFERROR(IF(VLOOKUP(C1988,' Disaggregation - Section E '!A$316:T937,20,0)=0,"",VLOOKUP(C1988,' Disaggregation - Section E '!A$316:T937,20,0)),"")</f>
        <v/>
      </c>
      <c r="N1988" s="503" t="str">
        <f ca="1">IFERROR(IF(VLOOKUP(C1988,' Disaggregation - Section E '!A$316:N937,9,0)=0,"",VLOOKUP(C1988,' Disaggregation - Section E '!A$316:N937,9,0)),"")</f>
        <v/>
      </c>
      <c r="O1988" s="503" t="str">
        <f ca="1">IFERROR(IF(VLOOKUP(C1988,' Disaggregation - Section E '!A$315:N937,10,0)=0,"",VLOOKUP(C1988,' Disaggregation - Section E '!A$316:N937,10,0)),"")</f>
        <v/>
      </c>
    </row>
    <row r="1989" spans="1:15" x14ac:dyDescent="0.35">
      <c r="A1989" s="497" t="b">
        <f t="shared" ca="1" si="221"/>
        <v>0</v>
      </c>
      <c r="B1989" s="497"/>
      <c r="C1989" s="517" t="str">
        <f ca="1">IF(COUNTA(D$1665:D1989)=1,"",OFFSET(C1989,-COUNTA(D$1665:D1989)+1,0))</f>
        <v>a1V3p000006jw8eEAA</v>
      </c>
      <c r="D1989" s="512"/>
      <c r="E1989" s="500" t="str">
        <f ca="1">IFERROR(IF(VLOOKUP(C1989,' Disaggregation - Section E '!A$316:N938,7,0)="","",VLOOKUP(C1989,' Disaggregation - Section E '!A$316:N938,7,0)*100),"")</f>
        <v/>
      </c>
      <c r="F1989" s="497"/>
      <c r="G1989" s="502" t="str">
        <f ca="1">IFERROR(IF(VLOOKUP(C1989,' Disaggregation - Section E '!A$316:N938,6,0)="","",VLOOKUP(C1989,' Disaggregation - Section E '!A$316:N938,6,0)),"")</f>
        <v/>
      </c>
      <c r="H1989" s="512" t="str">
        <f ca="1">IFERROR(IF(INDEX(' Disaggregation - Section E '!F$313:F938,MATCH(C1989,' Disaggregation - Section E '!A$313:A938,0)+1,1)&lt;&gt;0,INDEX(' Disaggregation - Section E '!F$313:F938,MATCH(C1989,' Disaggregation - Section E '!A$313:A938,0)+1,1),""),"")</f>
        <v/>
      </c>
      <c r="I1989" s="503" t="str">
        <f ca="1">IFERROR(IF(VLOOKUP(C1989,' Disaggregation - Section E '!A$316:N938,8,0)=0,"",VLOOKUP(C1989,' Disaggregation - Section E '!A$316:N938,8,0)),"")</f>
        <v/>
      </c>
      <c r="J1989" s="503" t="str">
        <f ca="1">IFERROR(IF(VLOOKUP(C1989,' Disaggregation - Section E '!A$316:N938,13,0)=0,"",VLOOKUP(C1989,' Disaggregation - Section E '!A$316:N938,13,0)),"")</f>
        <v/>
      </c>
      <c r="K1989" s="497" t="str">
        <f ca="1">IFERROR(VLOOKUP(C1989,' Disaggregation - Section E '!A$316:N938,3,0),"")</f>
        <v>TB O-2a Tasa de éxito del tratamiento en todas las formas de tuberculosis, confirmada bacteriológicamente y con diagnóstico clínico, casos nuevos y recaídas.</v>
      </c>
      <c r="L1989" s="503" t="str">
        <f ca="1">IFERROR(IF(VLOOKUP(C1989,' Disaggregation - Section E '!A$316:N938,14,0)=0,"",VLOOKUP(C1989,' Disaggregation - Section E '!A$316:N938,14,0)),"")</f>
        <v>Being a focused country, no disaggregation is required</v>
      </c>
      <c r="M1989" s="497" t="str">
        <f ca="1">IFERROR(IF(VLOOKUP(C1989,' Disaggregation - Section E '!A$316:T938,20,0)=0,"",VLOOKUP(C1989,' Disaggregation - Section E '!A$316:T938,20,0)),"")</f>
        <v/>
      </c>
      <c r="N1989" s="503" t="str">
        <f ca="1">IFERROR(IF(VLOOKUP(C1989,' Disaggregation - Section E '!A$316:N938,9,0)=0,"",VLOOKUP(C1989,' Disaggregation - Section E '!A$316:N938,9,0)),"")</f>
        <v/>
      </c>
      <c r="O1989" s="503" t="str">
        <f ca="1">IFERROR(IF(VLOOKUP(C1989,' Disaggregation - Section E '!A$315:N938,10,0)=0,"",VLOOKUP(C1989,' Disaggregation - Section E '!A$316:N938,10,0)),"")</f>
        <v/>
      </c>
    </row>
    <row r="1990" spans="1:15" x14ac:dyDescent="0.35">
      <c r="A1990" s="497" t="b">
        <f t="shared" ca="1" si="221"/>
        <v>0</v>
      </c>
      <c r="B1990" s="497"/>
      <c r="C1990" s="517" t="str">
        <f ca="1">IF(COUNTA(D$1665:D1990)=1,"",OFFSET(C1990,-COUNTA(D$1665:D1990)+1,0))</f>
        <v>a1V3p000006jw8fEAA</v>
      </c>
      <c r="D1990" s="512"/>
      <c r="E1990" s="500" t="str">
        <f ca="1">IFERROR(IF(VLOOKUP(C1990,' Disaggregation - Section E '!A$316:N939,7,0)="","",VLOOKUP(C1990,' Disaggregation - Section E '!A$316:N939,7,0)*100),"")</f>
        <v/>
      </c>
      <c r="F1990" s="497"/>
      <c r="G1990" s="502" t="str">
        <f ca="1">IFERROR(IF(VLOOKUP(C1990,' Disaggregation - Section E '!A$316:N939,6,0)="","",VLOOKUP(C1990,' Disaggregation - Section E '!A$316:N939,6,0)),"")</f>
        <v/>
      </c>
      <c r="H1990" s="512" t="str">
        <f ca="1">IFERROR(IF(INDEX(' Disaggregation - Section E '!F$313:F939,MATCH(C1990,' Disaggregation - Section E '!A$313:A939,0)+1,1)&lt;&gt;0,INDEX(' Disaggregation - Section E '!F$313:F939,MATCH(C1990,' Disaggregation - Section E '!A$313:A939,0)+1,1),""),"")</f>
        <v/>
      </c>
      <c r="I1990" s="503" t="str">
        <f ca="1">IFERROR(IF(VLOOKUP(C1990,' Disaggregation - Section E '!A$316:N939,8,0)=0,"",VLOOKUP(C1990,' Disaggregation - Section E '!A$316:N939,8,0)),"")</f>
        <v/>
      </c>
      <c r="J1990" s="503" t="str">
        <f ca="1">IFERROR(IF(VLOOKUP(C1990,' Disaggregation - Section E '!A$316:N939,13,0)=0,"",VLOOKUP(C1990,' Disaggregation - Section E '!A$316:N939,13,0)),"")</f>
        <v/>
      </c>
      <c r="K1990" s="497" t="str">
        <f ca="1">IFERROR(VLOOKUP(C1990,' Disaggregation - Section E '!A$316:N939,3,0),"")</f>
        <v>TB O-2a Tasa de éxito del tratamiento en todas las formas de tuberculosis, confirmada bacteriológicamente y con diagnóstico clínico, casos nuevos y recaídas.</v>
      </c>
      <c r="L1990" s="503" t="str">
        <f ca="1">IFERROR(IF(VLOOKUP(C1990,' Disaggregation - Section E '!A$316:N939,14,0)=0,"",VLOOKUP(C1990,' Disaggregation - Section E '!A$316:N939,14,0)),"")</f>
        <v/>
      </c>
      <c r="M1990" s="497" t="str">
        <f ca="1">IFERROR(IF(VLOOKUP(C1990,' Disaggregation - Section E '!A$316:T939,20,0)=0,"",VLOOKUP(C1990,' Disaggregation - Section E '!A$316:T939,20,0)),"")</f>
        <v/>
      </c>
      <c r="N1990" s="503" t="str">
        <f ca="1">IFERROR(IF(VLOOKUP(C1990,' Disaggregation - Section E '!A$316:N939,9,0)=0,"",VLOOKUP(C1990,' Disaggregation - Section E '!A$316:N939,9,0)),"")</f>
        <v/>
      </c>
      <c r="O1990" s="503" t="str">
        <f ca="1">IFERROR(IF(VLOOKUP(C1990,' Disaggregation - Section E '!A$315:N939,10,0)=0,"",VLOOKUP(C1990,' Disaggregation - Section E '!A$316:N939,10,0)),"")</f>
        <v/>
      </c>
    </row>
    <row r="1991" spans="1:15" x14ac:dyDescent="0.35">
      <c r="A1991" s="497" t="b">
        <f t="shared" ca="1" si="221"/>
        <v>0</v>
      </c>
      <c r="B1991" s="497"/>
      <c r="C1991" s="517" t="str">
        <f ca="1">IF(COUNTA(D$1665:D1991)=1,"",OFFSET(C1991,-COUNTA(D$1665:D1991)+1,0))</f>
        <v>a1V3p000006jw8gEAA</v>
      </c>
      <c r="D1991" s="512"/>
      <c r="E1991" s="500" t="str">
        <f ca="1">IFERROR(IF(VLOOKUP(C1991,' Disaggregation - Section E '!A$316:N940,7,0)="","",VLOOKUP(C1991,' Disaggregation - Section E '!A$316:N940,7,0)*100),"")</f>
        <v/>
      </c>
      <c r="F1991" s="497"/>
      <c r="G1991" s="502" t="str">
        <f ca="1">IFERROR(IF(VLOOKUP(C1991,' Disaggregation - Section E '!A$316:N940,6,0)="","",VLOOKUP(C1991,' Disaggregation - Section E '!A$316:N940,6,0)),"")</f>
        <v/>
      </c>
      <c r="H1991" s="512" t="str">
        <f ca="1">IFERROR(IF(INDEX(' Disaggregation - Section E '!F$313:F940,MATCH(C1991,' Disaggregation - Section E '!A$313:A940,0)+1,1)&lt;&gt;0,INDEX(' Disaggregation - Section E '!F$313:F940,MATCH(C1991,' Disaggregation - Section E '!A$313:A940,0)+1,1),""),"")</f>
        <v/>
      </c>
      <c r="I1991" s="503" t="str">
        <f ca="1">IFERROR(IF(VLOOKUP(C1991,' Disaggregation - Section E '!A$316:N940,8,0)=0,"",VLOOKUP(C1991,' Disaggregation - Section E '!A$316:N940,8,0)),"")</f>
        <v/>
      </c>
      <c r="J1991" s="503" t="str">
        <f ca="1">IFERROR(IF(VLOOKUP(C1991,' Disaggregation - Section E '!A$316:N940,13,0)=0,"",VLOOKUP(C1991,' Disaggregation - Section E '!A$316:N940,13,0)),"")</f>
        <v/>
      </c>
      <c r="K1991" s="497" t="str">
        <f ca="1">IFERROR(VLOOKUP(C1991,' Disaggregation - Section E '!A$316:N940,3,0),"")</f>
        <v>TB O-2a Tasa de éxito del tratamiento en todas las formas de tuberculosis, confirmada bacteriológicamente y con diagnóstico clínico, casos nuevos y recaídas.</v>
      </c>
      <c r="L1991" s="503" t="str">
        <f ca="1">IFERROR(IF(VLOOKUP(C1991,' Disaggregation - Section E '!A$316:N940,14,0)=0,"",VLOOKUP(C1991,' Disaggregation - Section E '!A$316:N940,14,0)),"")</f>
        <v/>
      </c>
      <c r="M1991" s="497" t="str">
        <f ca="1">IFERROR(IF(VLOOKUP(C1991,' Disaggregation - Section E '!A$316:T940,20,0)=0,"",VLOOKUP(C1991,' Disaggregation - Section E '!A$316:T940,20,0)),"")</f>
        <v/>
      </c>
      <c r="N1991" s="503" t="str">
        <f ca="1">IFERROR(IF(VLOOKUP(C1991,' Disaggregation - Section E '!A$316:N940,9,0)=0,"",VLOOKUP(C1991,' Disaggregation - Section E '!A$316:N940,9,0)),"")</f>
        <v/>
      </c>
      <c r="O1991" s="503" t="str">
        <f ca="1">IFERROR(IF(VLOOKUP(C1991,' Disaggregation - Section E '!A$315:N940,10,0)=0,"",VLOOKUP(C1991,' Disaggregation - Section E '!A$316:N940,10,0)),"")</f>
        <v/>
      </c>
    </row>
    <row r="1992" spans="1:15" x14ac:dyDescent="0.35">
      <c r="A1992" s="497" t="b">
        <f t="shared" ca="1" si="221"/>
        <v>0</v>
      </c>
      <c r="B1992" s="497"/>
      <c r="C1992" s="517" t="str">
        <f ca="1">IF(COUNTA(D$1665:D1992)=1,"",OFFSET(C1992,-COUNTA(D$1665:D1992)+1,0))</f>
        <v>a1V3p000006jw8hEAA</v>
      </c>
      <c r="D1992" s="512"/>
      <c r="E1992" s="500" t="str">
        <f ca="1">IFERROR(IF(VLOOKUP(C1992,' Disaggregation - Section E '!A$316:N941,7,0)="","",VLOOKUP(C1992,' Disaggregation - Section E '!A$316:N941,7,0)*100),"")</f>
        <v/>
      </c>
      <c r="F1992" s="497"/>
      <c r="G1992" s="502" t="str">
        <f ca="1">IFERROR(IF(VLOOKUP(C1992,' Disaggregation - Section E '!A$316:N941,6,0)="","",VLOOKUP(C1992,' Disaggregation - Section E '!A$316:N941,6,0)),"")</f>
        <v/>
      </c>
      <c r="H1992" s="512" t="str">
        <f ca="1">IFERROR(IF(INDEX(' Disaggregation - Section E '!F$313:F941,MATCH(C1992,' Disaggregation - Section E '!A$313:A941,0)+1,1)&lt;&gt;0,INDEX(' Disaggregation - Section E '!F$313:F941,MATCH(C1992,' Disaggregation - Section E '!A$313:A941,0)+1,1),""),"")</f>
        <v/>
      </c>
      <c r="I1992" s="503" t="str">
        <f ca="1">IFERROR(IF(VLOOKUP(C1992,' Disaggregation - Section E '!A$316:N941,8,0)=0,"",VLOOKUP(C1992,' Disaggregation - Section E '!A$316:N941,8,0)),"")</f>
        <v/>
      </c>
      <c r="J1992" s="503" t="str">
        <f ca="1">IFERROR(IF(VLOOKUP(C1992,' Disaggregation - Section E '!A$316:N941,13,0)=0,"",VLOOKUP(C1992,' Disaggregation - Section E '!A$316:N941,13,0)),"")</f>
        <v/>
      </c>
      <c r="K1992" s="497" t="str">
        <f ca="1">IFERROR(VLOOKUP(C1992,' Disaggregation - Section E '!A$316:N941,3,0),"")</f>
        <v>TB O-2a Tasa de éxito del tratamiento en todas las formas de tuberculosis, confirmada bacteriológicamente y con diagnóstico clínico, casos nuevos y recaídas.</v>
      </c>
      <c r="L1992" s="503" t="str">
        <f ca="1">IFERROR(IF(VLOOKUP(C1992,' Disaggregation - Section E '!A$316:N941,14,0)=0,"",VLOOKUP(C1992,' Disaggregation - Section E '!A$316:N941,14,0)),"")</f>
        <v/>
      </c>
      <c r="M1992" s="497" t="str">
        <f ca="1">IFERROR(IF(VLOOKUP(C1992,' Disaggregation - Section E '!A$316:T941,20,0)=0,"",VLOOKUP(C1992,' Disaggregation - Section E '!A$316:T941,20,0)),"")</f>
        <v/>
      </c>
      <c r="N1992" s="503" t="str">
        <f ca="1">IFERROR(IF(VLOOKUP(C1992,' Disaggregation - Section E '!A$316:N941,9,0)=0,"",VLOOKUP(C1992,' Disaggregation - Section E '!A$316:N941,9,0)),"")</f>
        <v/>
      </c>
      <c r="O1992" s="503" t="str">
        <f ca="1">IFERROR(IF(VLOOKUP(C1992,' Disaggregation - Section E '!A$315:N941,10,0)=0,"",VLOOKUP(C1992,' Disaggregation - Section E '!A$316:N941,10,0)),"")</f>
        <v/>
      </c>
    </row>
    <row r="1993" spans="1:15" x14ac:dyDescent="0.35">
      <c r="A1993" s="497" t="b">
        <f t="shared" ca="1" si="221"/>
        <v>0</v>
      </c>
      <c r="B1993" s="497"/>
      <c r="C1993" s="517" t="str">
        <f ca="1">IF(COUNTA(D$1665:D1993)=1,"",OFFSET(C1993,-COUNTA(D$1665:D1993)+1,0))</f>
        <v>a1V3p000006jw8iEAA</v>
      </c>
      <c r="D1993" s="512"/>
      <c r="E1993" s="500" t="str">
        <f ca="1">IFERROR(IF(VLOOKUP(C1993,' Disaggregation - Section E '!A$316:N942,7,0)="","",VLOOKUP(C1993,' Disaggregation - Section E '!A$316:N942,7,0)*100),"")</f>
        <v/>
      </c>
      <c r="F1993" s="497"/>
      <c r="G1993" s="502" t="str">
        <f ca="1">IFERROR(IF(VLOOKUP(C1993,' Disaggregation - Section E '!A$316:N942,6,0)="","",VLOOKUP(C1993,' Disaggregation - Section E '!A$316:N942,6,0)),"")</f>
        <v/>
      </c>
      <c r="H1993" s="512" t="str">
        <f ca="1">IFERROR(IF(INDEX(' Disaggregation - Section E '!F$313:F942,MATCH(C1993,' Disaggregation - Section E '!A$313:A942,0)+1,1)&lt;&gt;0,INDEX(' Disaggregation - Section E '!F$313:F942,MATCH(C1993,' Disaggregation - Section E '!A$313:A942,0)+1,1),""),"")</f>
        <v/>
      </c>
      <c r="I1993" s="503" t="str">
        <f ca="1">IFERROR(IF(VLOOKUP(C1993,' Disaggregation - Section E '!A$316:N942,8,0)=0,"",VLOOKUP(C1993,' Disaggregation - Section E '!A$316:N942,8,0)),"")</f>
        <v/>
      </c>
      <c r="J1993" s="503" t="str">
        <f ca="1">IFERROR(IF(VLOOKUP(C1993,' Disaggregation - Section E '!A$316:N942,13,0)=0,"",VLOOKUP(C1993,' Disaggregation - Section E '!A$316:N942,13,0)),"")</f>
        <v/>
      </c>
      <c r="K1993" s="497" t="str">
        <f ca="1">IFERROR(VLOOKUP(C1993,' Disaggregation - Section E '!A$316:N942,3,0),"")</f>
        <v>TB O-2a Tasa de éxito del tratamiento en todas las formas de tuberculosis, confirmada bacteriológicamente y con diagnóstico clínico, casos nuevos y recaídas.</v>
      </c>
      <c r="L1993" s="503" t="str">
        <f ca="1">IFERROR(IF(VLOOKUP(C1993,' Disaggregation - Section E '!A$316:N942,14,0)=0,"",VLOOKUP(C1993,' Disaggregation - Section E '!A$316:N942,14,0)),"")</f>
        <v/>
      </c>
      <c r="M1993" s="497" t="str">
        <f ca="1">IFERROR(IF(VLOOKUP(C1993,' Disaggregation - Section E '!A$316:T942,20,0)=0,"",VLOOKUP(C1993,' Disaggregation - Section E '!A$316:T942,20,0)),"")</f>
        <v/>
      </c>
      <c r="N1993" s="503" t="str">
        <f ca="1">IFERROR(IF(VLOOKUP(C1993,' Disaggregation - Section E '!A$316:N942,9,0)=0,"",VLOOKUP(C1993,' Disaggregation - Section E '!A$316:N942,9,0)),"")</f>
        <v/>
      </c>
      <c r="O1993" s="503" t="str">
        <f ca="1">IFERROR(IF(VLOOKUP(C1993,' Disaggregation - Section E '!A$315:N942,10,0)=0,"",VLOOKUP(C1993,' Disaggregation - Section E '!A$316:N942,10,0)),"")</f>
        <v/>
      </c>
    </row>
    <row r="1994" spans="1:15" x14ac:dyDescent="0.35">
      <c r="A1994" s="497" t="b">
        <f t="shared" ca="1" si="221"/>
        <v>0</v>
      </c>
      <c r="B1994" s="497"/>
      <c r="C1994" s="517" t="str">
        <f ca="1">IF(COUNTA(D$1665:D1994)=1,"",OFFSET(C1994,-COUNTA(D$1665:D1994)+1,0))</f>
        <v>a1V3p000006jw8jEAA</v>
      </c>
      <c r="D1994" s="512"/>
      <c r="E1994" s="500" t="str">
        <f ca="1">IFERROR(IF(VLOOKUP(C1994,' Disaggregation - Section E '!A$316:N943,7,0)="","",VLOOKUP(C1994,' Disaggregation - Section E '!A$316:N943,7,0)*100),"")</f>
        <v/>
      </c>
      <c r="F1994" s="497"/>
      <c r="G1994" s="502" t="str">
        <f ca="1">IFERROR(IF(VLOOKUP(C1994,' Disaggregation - Section E '!A$316:N943,6,0)="","",VLOOKUP(C1994,' Disaggregation - Section E '!A$316:N943,6,0)),"")</f>
        <v/>
      </c>
      <c r="H1994" s="512" t="str">
        <f ca="1">IFERROR(IF(INDEX(' Disaggregation - Section E '!F$313:F943,MATCH(C1994,' Disaggregation - Section E '!A$313:A943,0)+1,1)&lt;&gt;0,INDEX(' Disaggregation - Section E '!F$313:F943,MATCH(C1994,' Disaggregation - Section E '!A$313:A943,0)+1,1),""),"")</f>
        <v/>
      </c>
      <c r="I1994" s="503" t="str">
        <f ca="1">IFERROR(IF(VLOOKUP(C1994,' Disaggregation - Section E '!A$316:N943,8,0)=0,"",VLOOKUP(C1994,' Disaggregation - Section E '!A$316:N943,8,0)),"")</f>
        <v/>
      </c>
      <c r="J1994" s="503" t="str">
        <f ca="1">IFERROR(IF(VLOOKUP(C1994,' Disaggregation - Section E '!A$316:N943,13,0)=0,"",VLOOKUP(C1994,' Disaggregation - Section E '!A$316:N943,13,0)),"")</f>
        <v/>
      </c>
      <c r="K1994" s="497" t="str">
        <f ca="1">IFERROR(VLOOKUP(C1994,' Disaggregation - Section E '!A$316:N943,3,0),"")</f>
        <v>TB O-2a Tasa de éxito del tratamiento en todas las formas de tuberculosis, confirmada bacteriológicamente y con diagnóstico clínico, casos nuevos y recaídas.</v>
      </c>
      <c r="L1994" s="503" t="str">
        <f ca="1">IFERROR(IF(VLOOKUP(C1994,' Disaggregation - Section E '!A$316:N943,14,0)=0,"",VLOOKUP(C1994,' Disaggregation - Section E '!A$316:N943,14,0)),"")</f>
        <v/>
      </c>
      <c r="M1994" s="497" t="str">
        <f ca="1">IFERROR(IF(VLOOKUP(C1994,' Disaggregation - Section E '!A$316:T943,20,0)=0,"",VLOOKUP(C1994,' Disaggregation - Section E '!A$316:T943,20,0)),"")</f>
        <v/>
      </c>
      <c r="N1994" s="503" t="str">
        <f ca="1">IFERROR(IF(VLOOKUP(C1994,' Disaggregation - Section E '!A$316:N943,9,0)=0,"",VLOOKUP(C1994,' Disaggregation - Section E '!A$316:N943,9,0)),"")</f>
        <v/>
      </c>
      <c r="O1994" s="503" t="str">
        <f ca="1">IFERROR(IF(VLOOKUP(C1994,' Disaggregation - Section E '!A$315:N943,10,0)=0,"",VLOOKUP(C1994,' Disaggregation - Section E '!A$316:N943,10,0)),"")</f>
        <v/>
      </c>
    </row>
    <row r="1995" spans="1:15" x14ac:dyDescent="0.35">
      <c r="A1995" s="497" t="b">
        <f t="shared" ca="1" si="221"/>
        <v>0</v>
      </c>
      <c r="B1995" s="497"/>
      <c r="C1995" s="517" t="str">
        <f ca="1">IF(COUNTA(D$1665:D1995)=1,"",OFFSET(C1995,-COUNTA(D$1665:D1995)+1,0))</f>
        <v>a1V3p000006jw8kEAA</v>
      </c>
      <c r="D1995" s="512"/>
      <c r="E1995" s="500" t="str">
        <f ca="1">IFERROR(IF(VLOOKUP(C1995,' Disaggregation - Section E '!A$316:N944,7,0)="","",VLOOKUP(C1995,' Disaggregation - Section E '!A$316:N944,7,0)*100),"")</f>
        <v/>
      </c>
      <c r="F1995" s="497"/>
      <c r="G1995" s="502" t="str">
        <f ca="1">IFERROR(IF(VLOOKUP(C1995,' Disaggregation - Section E '!A$316:N944,6,0)="","",VLOOKUP(C1995,' Disaggregation - Section E '!A$316:N944,6,0)),"")</f>
        <v/>
      </c>
      <c r="H1995" s="512" t="str">
        <f ca="1">IFERROR(IF(INDEX(' Disaggregation - Section E '!F$313:F944,MATCH(C1995,' Disaggregation - Section E '!A$313:A944,0)+1,1)&lt;&gt;0,INDEX(' Disaggregation - Section E '!F$313:F944,MATCH(C1995,' Disaggregation - Section E '!A$313:A944,0)+1,1),""),"")</f>
        <v/>
      </c>
      <c r="I1995" s="503" t="str">
        <f ca="1">IFERROR(IF(VLOOKUP(C1995,' Disaggregation - Section E '!A$316:N944,8,0)=0,"",VLOOKUP(C1995,' Disaggregation - Section E '!A$316:N944,8,0)),"")</f>
        <v/>
      </c>
      <c r="J1995" s="503" t="str">
        <f ca="1">IFERROR(IF(VLOOKUP(C1995,' Disaggregation - Section E '!A$316:N944,13,0)=0,"",VLOOKUP(C1995,' Disaggregation - Section E '!A$316:N944,13,0)),"")</f>
        <v/>
      </c>
      <c r="K1995" s="497" t="str">
        <f ca="1">IFERROR(VLOOKUP(C1995,' Disaggregation - Section E '!A$316:N944,3,0),"")</f>
        <v>TB O-2a Tasa de éxito del tratamiento en todas las formas de tuberculosis, confirmada bacteriológicamente y con diagnóstico clínico, casos nuevos y recaídas.</v>
      </c>
      <c r="L1995" s="503" t="str">
        <f ca="1">IFERROR(IF(VLOOKUP(C1995,' Disaggregation - Section E '!A$316:N944,14,0)=0,"",VLOOKUP(C1995,' Disaggregation - Section E '!A$316:N944,14,0)),"")</f>
        <v/>
      </c>
      <c r="M1995" s="497" t="str">
        <f ca="1">IFERROR(IF(VLOOKUP(C1995,' Disaggregation - Section E '!A$316:T944,20,0)=0,"",VLOOKUP(C1995,' Disaggregation - Section E '!A$316:T944,20,0)),"")</f>
        <v/>
      </c>
      <c r="N1995" s="503" t="str">
        <f ca="1">IFERROR(IF(VLOOKUP(C1995,' Disaggregation - Section E '!A$316:N944,9,0)=0,"",VLOOKUP(C1995,' Disaggregation - Section E '!A$316:N944,9,0)),"")</f>
        <v/>
      </c>
      <c r="O1995" s="503" t="str">
        <f ca="1">IFERROR(IF(VLOOKUP(C1995,' Disaggregation - Section E '!A$315:N944,10,0)=0,"",VLOOKUP(C1995,' Disaggregation - Section E '!A$316:N944,10,0)),"")</f>
        <v/>
      </c>
    </row>
    <row r="1996" spans="1:15" x14ac:dyDescent="0.35">
      <c r="A1996" s="497" t="b">
        <f t="shared" ca="1" si="221"/>
        <v>0</v>
      </c>
      <c r="B1996" s="497"/>
      <c r="C1996" s="517" t="str">
        <f ca="1">IF(COUNTA(D$1665:D1996)=1,"",OFFSET(C1996,-COUNTA(D$1665:D1996)+1,0))</f>
        <v>a1V3p000006jw8lEAA</v>
      </c>
      <c r="D1996" s="512"/>
      <c r="E1996" s="500" t="str">
        <f ca="1">IFERROR(IF(VLOOKUP(C1996,' Disaggregation - Section E '!A$316:N945,7,0)="","",VLOOKUP(C1996,' Disaggregation - Section E '!A$316:N945,7,0)*100),"")</f>
        <v/>
      </c>
      <c r="F1996" s="497"/>
      <c r="G1996" s="502" t="str">
        <f ca="1">IFERROR(IF(VLOOKUP(C1996,' Disaggregation - Section E '!A$316:N945,6,0)="","",VLOOKUP(C1996,' Disaggregation - Section E '!A$316:N945,6,0)),"")</f>
        <v/>
      </c>
      <c r="H1996" s="512" t="str">
        <f ca="1">IFERROR(IF(INDEX(' Disaggregation - Section E '!F$313:F945,MATCH(C1996,' Disaggregation - Section E '!A$313:A945,0)+1,1)&lt;&gt;0,INDEX(' Disaggregation - Section E '!F$313:F945,MATCH(C1996,' Disaggregation - Section E '!A$313:A945,0)+1,1),""),"")</f>
        <v/>
      </c>
      <c r="I1996" s="503" t="str">
        <f ca="1">IFERROR(IF(VLOOKUP(C1996,' Disaggregation - Section E '!A$316:N945,8,0)=0,"",VLOOKUP(C1996,' Disaggregation - Section E '!A$316:N945,8,0)),"")</f>
        <v/>
      </c>
      <c r="J1996" s="503" t="str">
        <f ca="1">IFERROR(IF(VLOOKUP(C1996,' Disaggregation - Section E '!A$316:N945,13,0)=0,"",VLOOKUP(C1996,' Disaggregation - Section E '!A$316:N945,13,0)),"")</f>
        <v/>
      </c>
      <c r="K1996" s="497" t="str">
        <f ca="1">IFERROR(VLOOKUP(C1996,' Disaggregation - Section E '!A$316:N945,3,0),"")</f>
        <v>TB O-2a Tasa de éxito del tratamiento en todas las formas de tuberculosis, confirmada bacteriológicamente y con diagnóstico clínico, casos nuevos y recaídas.</v>
      </c>
      <c r="L1996" s="503" t="str">
        <f ca="1">IFERROR(IF(VLOOKUP(C1996,' Disaggregation - Section E '!A$316:N945,14,0)=0,"",VLOOKUP(C1996,' Disaggregation - Section E '!A$316:N945,14,0)),"")</f>
        <v/>
      </c>
      <c r="M1996" s="497" t="str">
        <f ca="1">IFERROR(IF(VLOOKUP(C1996,' Disaggregation - Section E '!A$316:T945,20,0)=0,"",VLOOKUP(C1996,' Disaggregation - Section E '!A$316:T945,20,0)),"")</f>
        <v/>
      </c>
      <c r="N1996" s="503" t="str">
        <f ca="1">IFERROR(IF(VLOOKUP(C1996,' Disaggregation - Section E '!A$316:N945,9,0)=0,"",VLOOKUP(C1996,' Disaggregation - Section E '!A$316:N945,9,0)),"")</f>
        <v/>
      </c>
      <c r="O1996" s="503" t="str">
        <f ca="1">IFERROR(IF(VLOOKUP(C1996,' Disaggregation - Section E '!A$315:N945,10,0)=0,"",VLOOKUP(C1996,' Disaggregation - Section E '!A$316:N945,10,0)),"")</f>
        <v/>
      </c>
    </row>
    <row r="1997" spans="1:15" x14ac:dyDescent="0.35">
      <c r="A1997" s="497" t="b">
        <f t="shared" ca="1" si="221"/>
        <v>0</v>
      </c>
      <c r="B1997" s="497"/>
      <c r="C1997" s="517" t="str">
        <f ca="1">IF(COUNTA(D$1665:D1997)=1,"",OFFSET(C1997,-COUNTA(D$1665:D1997)+1,0))</f>
        <v>a1V3p000006jwB2EAI</v>
      </c>
      <c r="D1997" s="512"/>
      <c r="E1997" s="500" t="str">
        <f ca="1">IFERROR(IF(VLOOKUP(C1997,' Disaggregation - Section E '!A$316:N946,7,0)="","",VLOOKUP(C1997,' Disaggregation - Section E '!A$316:N946,7,0)*100),"")</f>
        <v/>
      </c>
      <c r="F1997" s="497"/>
      <c r="G1997" s="502" t="str">
        <f ca="1">IFERROR(IF(VLOOKUP(C1997,' Disaggregation - Section E '!A$316:N946,6,0)="","",VLOOKUP(C1997,' Disaggregation - Section E '!A$316:N946,6,0)),"")</f>
        <v/>
      </c>
      <c r="H1997" s="512" t="str">
        <f ca="1">IFERROR(IF(INDEX(' Disaggregation - Section E '!F$313:F946,MATCH(C1997,' Disaggregation - Section E '!A$313:A946,0)+1,1)&lt;&gt;0,INDEX(' Disaggregation - Section E '!F$313:F946,MATCH(C1997,' Disaggregation - Section E '!A$313:A946,0)+1,1),""),"")</f>
        <v/>
      </c>
      <c r="I1997" s="503" t="str">
        <f ca="1">IFERROR(IF(VLOOKUP(C1997,' Disaggregation - Section E '!A$316:N946,8,0)=0,"",VLOOKUP(C1997,' Disaggregation - Section E '!A$316:N946,8,0)),"")</f>
        <v/>
      </c>
      <c r="J1997" s="503" t="str">
        <f ca="1">IFERROR(IF(VLOOKUP(C1997,' Disaggregation - Section E '!A$316:N946,13,0)=0,"",VLOOKUP(C1997,' Disaggregation - Section E '!A$316:N946,13,0)),"")</f>
        <v/>
      </c>
      <c r="K1997" s="497" t="str">
        <f ca="1">IFERROR(VLOOKUP(C1997,' Disaggregation - Section E '!A$316:N946,3,0),"")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997" s="503" t="str">
        <f ca="1">IFERROR(IF(VLOOKUP(C1997,' Disaggregation - Section E '!A$316:N946,14,0)=0,"",VLOOKUP(C1997,' Disaggregation - Section E '!A$316:N946,14,0)),"")</f>
        <v/>
      </c>
      <c r="M1997" s="497" t="str">
        <f ca="1">IFERROR(IF(VLOOKUP(C1997,' Disaggregation - Section E '!A$316:T946,20,0)=0,"",VLOOKUP(C1997,' Disaggregation - Section E '!A$316:T946,20,0)),"")</f>
        <v/>
      </c>
      <c r="N1997" s="503" t="str">
        <f ca="1">IFERROR(IF(VLOOKUP(C1997,' Disaggregation - Section E '!A$316:N946,9,0)=0,"",VLOOKUP(C1997,' Disaggregation - Section E '!A$316:N946,9,0)),"")</f>
        <v/>
      </c>
      <c r="O1997" s="503" t="str">
        <f ca="1">IFERROR(IF(VLOOKUP(C1997,' Disaggregation - Section E '!A$315:N946,10,0)=0,"",VLOOKUP(C1997,' Disaggregation - Section E '!A$316:N946,10,0)),"")</f>
        <v/>
      </c>
    </row>
    <row r="1998" spans="1:15" x14ac:dyDescent="0.35">
      <c r="A1998" s="497" t="b">
        <f t="shared" ca="1" si="221"/>
        <v>0</v>
      </c>
      <c r="B1998" s="497"/>
      <c r="C1998" s="517" t="str">
        <f ca="1">IF(COUNTA(D$1665:D1998)=1,"",OFFSET(C1998,-COUNTA(D$1665:D1998)+1,0))</f>
        <v>a1V3p000006jwB3EAI</v>
      </c>
      <c r="D1998" s="512"/>
      <c r="E1998" s="500" t="str">
        <f ca="1">IFERROR(IF(VLOOKUP(C1998,' Disaggregation - Section E '!A$316:N947,7,0)="","",VLOOKUP(C1998,' Disaggregation - Section E '!A$316:N947,7,0)*100),"")</f>
        <v/>
      </c>
      <c r="F1998" s="497"/>
      <c r="G1998" s="502" t="str">
        <f ca="1">IFERROR(IF(VLOOKUP(C1998,' Disaggregation - Section E '!A$316:N947,6,0)="","",VLOOKUP(C1998,' Disaggregation - Section E '!A$316:N947,6,0)),"")</f>
        <v/>
      </c>
      <c r="H1998" s="512" t="str">
        <f ca="1">IFERROR(IF(INDEX(' Disaggregation - Section E '!F$313:F947,MATCH(C1998,' Disaggregation - Section E '!A$313:A947,0)+1,1)&lt;&gt;0,INDEX(' Disaggregation - Section E '!F$313:F947,MATCH(C1998,' Disaggregation - Section E '!A$313:A947,0)+1,1),""),"")</f>
        <v/>
      </c>
      <c r="I1998" s="503" t="str">
        <f ca="1">IFERROR(IF(VLOOKUP(C1998,' Disaggregation - Section E '!A$316:N947,8,0)=0,"",VLOOKUP(C1998,' Disaggregation - Section E '!A$316:N947,8,0)),"")</f>
        <v/>
      </c>
      <c r="J1998" s="503" t="str">
        <f ca="1">IFERROR(IF(VLOOKUP(C1998,' Disaggregation - Section E '!A$316:N947,13,0)=0,"",VLOOKUP(C1998,' Disaggregation - Section E '!A$316:N947,13,0)),"")</f>
        <v/>
      </c>
      <c r="K1998" s="497" t="str">
        <f ca="1">IFERROR(VLOOKUP(C1998,' Disaggregation - Section E '!A$316:N947,3,0),"")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998" s="503" t="str">
        <f ca="1">IFERROR(IF(VLOOKUP(C1998,' Disaggregation - Section E '!A$316:N947,14,0)=0,"",VLOOKUP(C1998,' Disaggregation - Section E '!A$316:N947,14,0)),"")</f>
        <v/>
      </c>
      <c r="M1998" s="497" t="str">
        <f ca="1">IFERROR(IF(VLOOKUP(C1998,' Disaggregation - Section E '!A$316:T947,20,0)=0,"",VLOOKUP(C1998,' Disaggregation - Section E '!A$316:T947,20,0)),"")</f>
        <v/>
      </c>
      <c r="N1998" s="503" t="str">
        <f ca="1">IFERROR(IF(VLOOKUP(C1998,' Disaggregation - Section E '!A$316:N947,9,0)=0,"",VLOOKUP(C1998,' Disaggregation - Section E '!A$316:N947,9,0)),"")</f>
        <v/>
      </c>
      <c r="O1998" s="503" t="str">
        <f ca="1">IFERROR(IF(VLOOKUP(C1998,' Disaggregation - Section E '!A$315:N947,10,0)=0,"",VLOOKUP(C1998,' Disaggregation - Section E '!A$316:N947,10,0)),"")</f>
        <v/>
      </c>
    </row>
    <row r="1999" spans="1:15" x14ac:dyDescent="0.35">
      <c r="A1999" s="497" t="b">
        <f t="shared" ca="1" si="221"/>
        <v>0</v>
      </c>
      <c r="B1999" s="497"/>
      <c r="C1999" s="517" t="str">
        <f ca="1">IF(COUNTA(D$1665:D1999)=1,"",OFFSET(C1999,-COUNTA(D$1665:D1999)+1,0))</f>
        <v>a1V3p000006jwB4EAI</v>
      </c>
      <c r="D1999" s="512"/>
      <c r="E1999" s="500" t="str">
        <f ca="1">IFERROR(IF(VLOOKUP(C1999,' Disaggregation - Section E '!A$316:N948,7,0)="","",VLOOKUP(C1999,' Disaggregation - Section E '!A$316:N948,7,0)*100),"")</f>
        <v/>
      </c>
      <c r="F1999" s="497"/>
      <c r="G1999" s="502" t="str">
        <f ca="1">IFERROR(IF(VLOOKUP(C1999,' Disaggregation - Section E '!A$316:N948,6,0)="","",VLOOKUP(C1999,' Disaggregation - Section E '!A$316:N948,6,0)),"")</f>
        <v/>
      </c>
      <c r="H1999" s="512" t="str">
        <f ca="1">IFERROR(IF(INDEX(' Disaggregation - Section E '!F$313:F948,MATCH(C1999,' Disaggregation - Section E '!A$313:A948,0)+1,1)&lt;&gt;0,INDEX(' Disaggregation - Section E '!F$313:F948,MATCH(C1999,' Disaggregation - Section E '!A$313:A948,0)+1,1),""),"")</f>
        <v/>
      </c>
      <c r="I1999" s="503" t="str">
        <f ca="1">IFERROR(IF(VLOOKUP(C1999,' Disaggregation - Section E '!A$316:N948,8,0)=0,"",VLOOKUP(C1999,' Disaggregation - Section E '!A$316:N948,8,0)),"")</f>
        <v/>
      </c>
      <c r="J1999" s="503" t="str">
        <f ca="1">IFERROR(IF(VLOOKUP(C1999,' Disaggregation - Section E '!A$316:N948,13,0)=0,"",VLOOKUP(C1999,' Disaggregation - Section E '!A$316:N948,13,0)),"")</f>
        <v/>
      </c>
      <c r="K1999" s="497" t="str">
        <f ca="1">IFERROR(VLOOKUP(C1999,' Disaggregation - Section E '!A$316:N948,3,0),"")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999" s="503" t="str">
        <f ca="1">IFERROR(IF(VLOOKUP(C1999,' Disaggregation - Section E '!A$316:N948,14,0)=0,"",VLOOKUP(C1999,' Disaggregation - Section E '!A$316:N948,14,0)),"")</f>
        <v/>
      </c>
      <c r="M1999" s="497" t="str">
        <f ca="1">IFERROR(IF(VLOOKUP(C1999,' Disaggregation - Section E '!A$316:T948,20,0)=0,"",VLOOKUP(C1999,' Disaggregation - Section E '!A$316:T948,20,0)),"")</f>
        <v/>
      </c>
      <c r="N1999" s="503" t="str">
        <f ca="1">IFERROR(IF(VLOOKUP(C1999,' Disaggregation - Section E '!A$316:N948,9,0)=0,"",VLOOKUP(C1999,' Disaggregation - Section E '!A$316:N948,9,0)),"")</f>
        <v/>
      </c>
      <c r="O1999" s="503" t="str">
        <f ca="1">IFERROR(IF(VLOOKUP(C1999,' Disaggregation - Section E '!A$315:N948,10,0)=0,"",VLOOKUP(C1999,' Disaggregation - Section E '!A$316:N948,10,0)),"")</f>
        <v/>
      </c>
    </row>
    <row r="2000" spans="1:15" x14ac:dyDescent="0.35">
      <c r="A2000" s="497" t="b">
        <f t="shared" ca="1" si="221"/>
        <v>0</v>
      </c>
      <c r="B2000" s="497"/>
      <c r="C2000" s="517" t="str">
        <f ca="1">IF(COUNTA(D$1665:D2000)=1,"",OFFSET(C2000,-COUNTA(D$1665:D2000)+1,0))</f>
        <v>a1V3p000006jwB5EAI</v>
      </c>
      <c r="D2000" s="512"/>
      <c r="E2000" s="500" t="str">
        <f ca="1">IFERROR(IF(VLOOKUP(C2000,' Disaggregation - Section E '!A$316:N949,7,0)="","",VLOOKUP(C2000,' Disaggregation - Section E '!A$316:N949,7,0)*100),"")</f>
        <v/>
      </c>
      <c r="F2000" s="497"/>
      <c r="G2000" s="502" t="str">
        <f ca="1">IFERROR(IF(VLOOKUP(C2000,' Disaggregation - Section E '!A$316:N949,6,0)="","",VLOOKUP(C2000,' Disaggregation - Section E '!A$316:N949,6,0)),"")</f>
        <v/>
      </c>
      <c r="H2000" s="512" t="str">
        <f ca="1">IFERROR(IF(INDEX(' Disaggregation - Section E '!F$313:F949,MATCH(C2000,' Disaggregation - Section E '!A$313:A949,0)+1,1)&lt;&gt;0,INDEX(' Disaggregation - Section E '!F$313:F949,MATCH(C2000,' Disaggregation - Section E '!A$313:A949,0)+1,1),""),"")</f>
        <v/>
      </c>
      <c r="I2000" s="503" t="str">
        <f ca="1">IFERROR(IF(VLOOKUP(C2000,' Disaggregation - Section E '!A$316:N949,8,0)=0,"",VLOOKUP(C2000,' Disaggregation - Section E '!A$316:N949,8,0)),"")</f>
        <v/>
      </c>
      <c r="J2000" s="503" t="str">
        <f ca="1">IFERROR(IF(VLOOKUP(C2000,' Disaggregation - Section E '!A$316:N949,13,0)=0,"",VLOOKUP(C2000,' Disaggregation - Section E '!A$316:N949,13,0)),"")</f>
        <v/>
      </c>
      <c r="K2000" s="497" t="str">
        <f ca="1">IFERROR(VLOOKUP(C2000,' Disaggregation - Section E '!A$316:N949,3,0),"")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0" s="503" t="str">
        <f ca="1">IFERROR(IF(VLOOKUP(C2000,' Disaggregation - Section E '!A$316:N949,14,0)=0,"",VLOOKUP(C2000,' Disaggregation - Section E '!A$316:N949,14,0)),"")</f>
        <v/>
      </c>
      <c r="M2000" s="497" t="str">
        <f ca="1">IFERROR(IF(VLOOKUP(C2000,' Disaggregation - Section E '!A$316:T949,20,0)=0,"",VLOOKUP(C2000,' Disaggregation - Section E '!A$316:T949,20,0)),"")</f>
        <v/>
      </c>
      <c r="N2000" s="503" t="str">
        <f ca="1">IFERROR(IF(VLOOKUP(C2000,' Disaggregation - Section E '!A$316:N949,9,0)=0,"",VLOOKUP(C2000,' Disaggregation - Section E '!A$316:N949,9,0)),"")</f>
        <v/>
      </c>
      <c r="O2000" s="503" t="str">
        <f ca="1">IFERROR(IF(VLOOKUP(C2000,' Disaggregation - Section E '!A$315:N949,10,0)=0,"",VLOOKUP(C2000,' Disaggregation - Section E '!A$316:N949,10,0)),"")</f>
        <v/>
      </c>
    </row>
    <row r="2001" spans="1:15" x14ac:dyDescent="0.35">
      <c r="A2001" s="497" t="b">
        <f t="shared" ca="1" si="221"/>
        <v>0</v>
      </c>
      <c r="B2001" s="497"/>
      <c r="C2001" s="517" t="str">
        <f ca="1">IF(COUNTA(D$1665:D2001)=1,"",OFFSET(C2001,-COUNTA(D$1665:D2001)+1,0))</f>
        <v>a1V3p000006jwB6EAI</v>
      </c>
      <c r="D2001" s="512"/>
      <c r="E2001" s="500" t="str">
        <f ca="1">IFERROR(IF(VLOOKUP(C2001,' Disaggregation - Section E '!A$316:N950,7,0)="","",VLOOKUP(C2001,' Disaggregation - Section E '!A$316:N950,7,0)*100),"")</f>
        <v/>
      </c>
      <c r="F2001" s="497"/>
      <c r="G2001" s="502" t="str">
        <f ca="1">IFERROR(IF(VLOOKUP(C2001,' Disaggregation - Section E '!A$316:N950,6,0)="","",VLOOKUP(C2001,' Disaggregation - Section E '!A$316:N950,6,0)),"")</f>
        <v/>
      </c>
      <c r="H2001" s="512" t="str">
        <f ca="1">IFERROR(IF(INDEX(' Disaggregation - Section E '!F$313:F950,MATCH(C2001,' Disaggregation - Section E '!A$313:A950,0)+1,1)&lt;&gt;0,INDEX(' Disaggregation - Section E '!F$313:F950,MATCH(C2001,' Disaggregation - Section E '!A$313:A950,0)+1,1),""),"")</f>
        <v/>
      </c>
      <c r="I2001" s="503" t="str">
        <f ca="1">IFERROR(IF(VLOOKUP(C2001,' Disaggregation - Section E '!A$316:N950,8,0)=0,"",VLOOKUP(C2001,' Disaggregation - Section E '!A$316:N950,8,0)),"")</f>
        <v/>
      </c>
      <c r="J2001" s="503" t="str">
        <f ca="1">IFERROR(IF(VLOOKUP(C2001,' Disaggregation - Section E '!A$316:N950,13,0)=0,"",VLOOKUP(C2001,' Disaggregation - Section E '!A$316:N950,13,0)),"")</f>
        <v/>
      </c>
      <c r="K2001" s="497" t="str">
        <f ca="1">IFERROR(VLOOKUP(C2001,' Disaggregation - Section E '!A$316:N950,3,0),"")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1" s="503" t="str">
        <f ca="1">IFERROR(IF(VLOOKUP(C2001,' Disaggregation - Section E '!A$316:N950,14,0)=0,"",VLOOKUP(C2001,' Disaggregation - Section E '!A$316:N950,14,0)),"")</f>
        <v/>
      </c>
      <c r="M2001" s="497" t="str">
        <f ca="1">IFERROR(IF(VLOOKUP(C2001,' Disaggregation - Section E '!A$316:T950,20,0)=0,"",VLOOKUP(C2001,' Disaggregation - Section E '!A$316:T950,20,0)),"")</f>
        <v/>
      </c>
      <c r="N2001" s="503" t="str">
        <f ca="1">IFERROR(IF(VLOOKUP(C2001,' Disaggregation - Section E '!A$316:N950,9,0)=0,"",VLOOKUP(C2001,' Disaggregation - Section E '!A$316:N950,9,0)),"")</f>
        <v/>
      </c>
      <c r="O2001" s="503" t="str">
        <f ca="1">IFERROR(IF(VLOOKUP(C2001,' Disaggregation - Section E '!A$315:N950,10,0)=0,"",VLOOKUP(C2001,' Disaggregation - Section E '!A$316:N950,10,0)),"")</f>
        <v/>
      </c>
    </row>
    <row r="2002" spans="1:15" x14ac:dyDescent="0.35">
      <c r="A2002" s="497" t="b">
        <f t="shared" ca="1" si="221"/>
        <v>0</v>
      </c>
      <c r="B2002" s="497"/>
      <c r="C2002" s="517" t="str">
        <f ca="1">IF(COUNTA(D$1665:D2002)=1,"",OFFSET(C2002,-COUNTA(D$1665:D2002)+1,0))</f>
        <v>a1V3p000006jwB7EAI</v>
      </c>
      <c r="D2002" s="512"/>
      <c r="E2002" s="500" t="str">
        <f ca="1">IFERROR(IF(VLOOKUP(C2002,' Disaggregation - Section E '!A$316:N951,7,0)="","",VLOOKUP(C2002,' Disaggregation - Section E '!A$316:N951,7,0)*100),"")</f>
        <v/>
      </c>
      <c r="F2002" s="497"/>
      <c r="G2002" s="502" t="str">
        <f ca="1">IFERROR(IF(VLOOKUP(C2002,' Disaggregation - Section E '!A$316:N951,6,0)="","",VLOOKUP(C2002,' Disaggregation - Section E '!A$316:N951,6,0)),"")</f>
        <v/>
      </c>
      <c r="H2002" s="512" t="str">
        <f ca="1">IFERROR(IF(INDEX(' Disaggregation - Section E '!F$313:F951,MATCH(C2002,' Disaggregation - Section E '!A$313:A951,0)+1,1)&lt;&gt;0,INDEX(' Disaggregation - Section E '!F$313:F951,MATCH(C2002,' Disaggregation - Section E '!A$313:A951,0)+1,1),""),"")</f>
        <v/>
      </c>
      <c r="I2002" s="503" t="str">
        <f ca="1">IFERROR(IF(VLOOKUP(C2002,' Disaggregation - Section E '!A$316:N951,8,0)=0,"",VLOOKUP(C2002,' Disaggregation - Section E '!A$316:N951,8,0)),"")</f>
        <v/>
      </c>
      <c r="J2002" s="503" t="str">
        <f ca="1">IFERROR(IF(VLOOKUP(C2002,' Disaggregation - Section E '!A$316:N951,13,0)=0,"",VLOOKUP(C2002,' Disaggregation - Section E '!A$316:N951,13,0)),"")</f>
        <v/>
      </c>
      <c r="K2002" s="497" t="str">
        <f ca="1">IFERROR(VLOOKUP(C2002,' Disaggregation - Section E '!A$316:N951,3,0),"")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2" s="503" t="str">
        <f ca="1">IFERROR(IF(VLOOKUP(C2002,' Disaggregation - Section E '!A$316:N951,14,0)=0,"",VLOOKUP(C2002,' Disaggregation - Section E '!A$316:N951,14,0)),"")</f>
        <v/>
      </c>
      <c r="M2002" s="497" t="str">
        <f ca="1">IFERROR(IF(VLOOKUP(C2002,' Disaggregation - Section E '!A$316:T951,20,0)=0,"",VLOOKUP(C2002,' Disaggregation - Section E '!A$316:T951,20,0)),"")</f>
        <v/>
      </c>
      <c r="N2002" s="503" t="str">
        <f ca="1">IFERROR(IF(VLOOKUP(C2002,' Disaggregation - Section E '!A$316:N951,9,0)=0,"",VLOOKUP(C2002,' Disaggregation - Section E '!A$316:N951,9,0)),"")</f>
        <v/>
      </c>
      <c r="O2002" s="503" t="str">
        <f ca="1">IFERROR(IF(VLOOKUP(C2002,' Disaggregation - Section E '!A$315:N951,10,0)=0,"",VLOOKUP(C2002,' Disaggregation - Section E '!A$316:N951,10,0)),"")</f>
        <v/>
      </c>
    </row>
    <row r="2003" spans="1:15" x14ac:dyDescent="0.35">
      <c r="A2003" s="497" t="b">
        <f t="shared" ca="1" si="221"/>
        <v>0</v>
      </c>
      <c r="B2003" s="497"/>
      <c r="C2003" s="517" t="str">
        <f ca="1">IF(COUNTA(D$1665:D2003)=1,"",OFFSET(C2003,-COUNTA(D$1665:D2003)+1,0))</f>
        <v>a1V3p000006jwB8EAI</v>
      </c>
      <c r="D2003" s="512"/>
      <c r="E2003" s="500" t="str">
        <f ca="1">IFERROR(IF(VLOOKUP(C2003,' Disaggregation - Section E '!A$316:N952,7,0)="","",VLOOKUP(C2003,' Disaggregation - Section E '!A$316:N952,7,0)*100),"")</f>
        <v/>
      </c>
      <c r="F2003" s="497"/>
      <c r="G2003" s="502" t="str">
        <f ca="1">IFERROR(IF(VLOOKUP(C2003,' Disaggregation - Section E '!A$316:N952,6,0)="","",VLOOKUP(C2003,' Disaggregation - Section E '!A$316:N952,6,0)),"")</f>
        <v/>
      </c>
      <c r="H2003" s="512" t="str">
        <f ca="1">IFERROR(IF(INDEX(' Disaggregation - Section E '!F$313:F952,MATCH(C2003,' Disaggregation - Section E '!A$313:A952,0)+1,1)&lt;&gt;0,INDEX(' Disaggregation - Section E '!F$313:F952,MATCH(C2003,' Disaggregation - Section E '!A$313:A952,0)+1,1),""),"")</f>
        <v/>
      </c>
      <c r="I2003" s="503" t="str">
        <f ca="1">IFERROR(IF(VLOOKUP(C2003,' Disaggregation - Section E '!A$316:N952,8,0)=0,"",VLOOKUP(C2003,' Disaggregation - Section E '!A$316:N952,8,0)),"")</f>
        <v/>
      </c>
      <c r="J2003" s="503" t="str">
        <f ca="1">IFERROR(IF(VLOOKUP(C2003,' Disaggregation - Section E '!A$316:N952,13,0)=0,"",VLOOKUP(C2003,' Disaggregation - Section E '!A$316:N952,13,0)),"")</f>
        <v/>
      </c>
      <c r="K2003" s="497" t="str">
        <f ca="1">IFERROR(VLOOKUP(C2003,' Disaggregation - Section E '!A$316:N952,3,0),"")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3" s="503" t="str">
        <f ca="1">IFERROR(IF(VLOOKUP(C2003,' Disaggregation - Section E '!A$316:N952,14,0)=0,"",VLOOKUP(C2003,' Disaggregation - Section E '!A$316:N952,14,0)),"")</f>
        <v/>
      </c>
      <c r="M2003" s="497" t="str">
        <f ca="1">IFERROR(IF(VLOOKUP(C2003,' Disaggregation - Section E '!A$316:T952,20,0)=0,"",VLOOKUP(C2003,' Disaggregation - Section E '!A$316:T952,20,0)),"")</f>
        <v/>
      </c>
      <c r="N2003" s="503" t="str">
        <f ca="1">IFERROR(IF(VLOOKUP(C2003,' Disaggregation - Section E '!A$316:N952,9,0)=0,"",VLOOKUP(C2003,' Disaggregation - Section E '!A$316:N952,9,0)),"")</f>
        <v/>
      </c>
      <c r="O2003" s="503" t="str">
        <f ca="1">IFERROR(IF(VLOOKUP(C2003,' Disaggregation - Section E '!A$315:N952,10,0)=0,"",VLOOKUP(C2003,' Disaggregation - Section E '!A$316:N952,10,0)),"")</f>
        <v/>
      </c>
    </row>
    <row r="2004" spans="1:15" x14ac:dyDescent="0.35">
      <c r="A2004" s="497" t="b">
        <f t="shared" ca="1" si="221"/>
        <v>0</v>
      </c>
      <c r="B2004" s="497"/>
      <c r="C2004" s="517" t="str">
        <f ca="1">IF(COUNTA(D$1665:D2004)=1,"",OFFSET(C2004,-COUNTA(D$1665:D2004)+1,0))</f>
        <v>a1V3p000006jwB9EAI</v>
      </c>
      <c r="D2004" s="512"/>
      <c r="E2004" s="500" t="str">
        <f ca="1">IFERROR(IF(VLOOKUP(C2004,' Disaggregation - Section E '!A$316:N953,7,0)="","",VLOOKUP(C2004,' Disaggregation - Section E '!A$316:N953,7,0)*100),"")</f>
        <v/>
      </c>
      <c r="F2004" s="497"/>
      <c r="G2004" s="502" t="str">
        <f ca="1">IFERROR(IF(VLOOKUP(C2004,' Disaggregation - Section E '!A$316:N953,6,0)="","",VLOOKUP(C2004,' Disaggregation - Section E '!A$316:N953,6,0)),"")</f>
        <v/>
      </c>
      <c r="H2004" s="512" t="str">
        <f ca="1">IFERROR(IF(INDEX(' Disaggregation - Section E '!F$313:F953,MATCH(C2004,' Disaggregation - Section E '!A$313:A953,0)+1,1)&lt;&gt;0,INDEX(' Disaggregation - Section E '!F$313:F953,MATCH(C2004,' Disaggregation - Section E '!A$313:A953,0)+1,1),""),"")</f>
        <v/>
      </c>
      <c r="I2004" s="503" t="str">
        <f ca="1">IFERROR(IF(VLOOKUP(C2004,' Disaggregation - Section E '!A$316:N953,8,0)=0,"",VLOOKUP(C2004,' Disaggregation - Section E '!A$316:N953,8,0)),"")</f>
        <v/>
      </c>
      <c r="J2004" s="503" t="str">
        <f ca="1">IFERROR(IF(VLOOKUP(C2004,' Disaggregation - Section E '!A$316:N953,13,0)=0,"",VLOOKUP(C2004,' Disaggregation - Section E '!A$316:N953,13,0)),"")</f>
        <v/>
      </c>
      <c r="K2004" s="497" t="str">
        <f ca="1">IFERROR(VLOOKUP(C2004,' Disaggregation - Section E '!A$316:N953,3,0),"")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4" s="503" t="str">
        <f ca="1">IFERROR(IF(VLOOKUP(C2004,' Disaggregation - Section E '!A$316:N953,14,0)=0,"",VLOOKUP(C2004,' Disaggregation - Section E '!A$316:N953,14,0)),"")</f>
        <v/>
      </c>
      <c r="M2004" s="497" t="str">
        <f ca="1">IFERROR(IF(VLOOKUP(C2004,' Disaggregation - Section E '!A$316:T953,20,0)=0,"",VLOOKUP(C2004,' Disaggregation - Section E '!A$316:T953,20,0)),"")</f>
        <v/>
      </c>
      <c r="N2004" s="503" t="str">
        <f ca="1">IFERROR(IF(VLOOKUP(C2004,' Disaggregation - Section E '!A$316:N953,9,0)=0,"",VLOOKUP(C2004,' Disaggregation - Section E '!A$316:N953,9,0)),"")</f>
        <v/>
      </c>
      <c r="O2004" s="503" t="str">
        <f ca="1">IFERROR(IF(VLOOKUP(C2004,' Disaggregation - Section E '!A$315:N953,10,0)=0,"",VLOOKUP(C2004,' Disaggregation - Section E '!A$316:N953,10,0)),"")</f>
        <v/>
      </c>
    </row>
    <row r="2005" spans="1:15" x14ac:dyDescent="0.35">
      <c r="A2005" s="497" t="b">
        <f t="shared" ca="1" si="221"/>
        <v>0</v>
      </c>
      <c r="B2005" s="497"/>
      <c r="C2005" s="517" t="str">
        <f ca="1">IF(COUNTA(D$1665:D2005)=1,"",OFFSET(C2005,-COUNTA(D$1665:D2005)+1,0))</f>
        <v>a1V3p000006jwBAEAY</v>
      </c>
      <c r="D2005" s="512"/>
      <c r="E2005" s="500" t="str">
        <f ca="1">IFERROR(IF(VLOOKUP(C2005,' Disaggregation - Section E '!A$316:N954,7,0)="","",VLOOKUP(C2005,' Disaggregation - Section E '!A$316:N954,7,0)*100),"")</f>
        <v/>
      </c>
      <c r="F2005" s="497"/>
      <c r="G2005" s="502" t="str">
        <f ca="1">IFERROR(IF(VLOOKUP(C2005,' Disaggregation - Section E '!A$316:N954,6,0)="","",VLOOKUP(C2005,' Disaggregation - Section E '!A$316:N954,6,0)),"")</f>
        <v/>
      </c>
      <c r="H2005" s="512" t="str">
        <f ca="1">IFERROR(IF(INDEX(' Disaggregation - Section E '!F$313:F954,MATCH(C2005,' Disaggregation - Section E '!A$313:A954,0)+1,1)&lt;&gt;0,INDEX(' Disaggregation - Section E '!F$313:F954,MATCH(C2005,' Disaggregation - Section E '!A$313:A954,0)+1,1),""),"")</f>
        <v/>
      </c>
      <c r="I2005" s="503" t="str">
        <f ca="1">IFERROR(IF(VLOOKUP(C2005,' Disaggregation - Section E '!A$316:N954,8,0)=0,"",VLOOKUP(C2005,' Disaggregation - Section E '!A$316:N954,8,0)),"")</f>
        <v/>
      </c>
      <c r="J2005" s="503" t="str">
        <f ca="1">IFERROR(IF(VLOOKUP(C2005,' Disaggregation - Section E '!A$316:N954,13,0)=0,"",VLOOKUP(C2005,' Disaggregation - Section E '!A$316:N954,13,0)),"")</f>
        <v/>
      </c>
      <c r="K2005" s="497" t="str">
        <f ca="1">IFERROR(VLOOKUP(C2005,' Disaggregation - Section E '!A$316:N954,3,0),"")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5" s="503" t="str">
        <f ca="1">IFERROR(IF(VLOOKUP(C2005,' Disaggregation - Section E '!A$316:N954,14,0)=0,"",VLOOKUP(C2005,' Disaggregation - Section E '!A$316:N954,14,0)),"")</f>
        <v/>
      </c>
      <c r="M2005" s="497" t="str">
        <f ca="1">IFERROR(IF(VLOOKUP(C2005,' Disaggregation - Section E '!A$316:T954,20,0)=0,"",VLOOKUP(C2005,' Disaggregation - Section E '!A$316:T954,20,0)),"")</f>
        <v/>
      </c>
      <c r="N2005" s="503" t="str">
        <f ca="1">IFERROR(IF(VLOOKUP(C2005,' Disaggregation - Section E '!A$316:N954,9,0)=0,"",VLOOKUP(C2005,' Disaggregation - Section E '!A$316:N954,9,0)),"")</f>
        <v/>
      </c>
      <c r="O2005" s="503" t="str">
        <f ca="1">IFERROR(IF(VLOOKUP(C2005,' Disaggregation - Section E '!A$315:N954,10,0)=0,"",VLOOKUP(C2005,' Disaggregation - Section E '!A$316:N954,10,0)),"")</f>
        <v/>
      </c>
    </row>
    <row r="2006" spans="1:15" x14ac:dyDescent="0.35">
      <c r="A2006" s="497" t="b">
        <f t="shared" ca="1" si="221"/>
        <v>0</v>
      </c>
      <c r="B2006" s="497"/>
      <c r="C2006" s="517" t="str">
        <f ca="1">IF(COUNTA(D$1665:D2006)=1,"",OFFSET(C2006,-COUNTA(D$1665:D2006)+1,0))</f>
        <v>a1V3p000006jwBBEAY</v>
      </c>
      <c r="D2006" s="512"/>
      <c r="E2006" s="500" t="str">
        <f ca="1">IFERROR(IF(VLOOKUP(C2006,' Disaggregation - Section E '!A$316:N955,7,0)="","",VLOOKUP(C2006,' Disaggregation - Section E '!A$316:N955,7,0)*100),"")</f>
        <v/>
      </c>
      <c r="F2006" s="497"/>
      <c r="G2006" s="502" t="str">
        <f ca="1">IFERROR(IF(VLOOKUP(C2006,' Disaggregation - Section E '!A$316:N955,6,0)="","",VLOOKUP(C2006,' Disaggregation - Section E '!A$316:N955,6,0)),"")</f>
        <v/>
      </c>
      <c r="H2006" s="512" t="str">
        <f ca="1">IFERROR(IF(INDEX(' Disaggregation - Section E '!F$313:F955,MATCH(C2006,' Disaggregation - Section E '!A$313:A955,0)+1,1)&lt;&gt;0,INDEX(' Disaggregation - Section E '!F$313:F955,MATCH(C2006,' Disaggregation - Section E '!A$313:A955,0)+1,1),""),"")</f>
        <v/>
      </c>
      <c r="I2006" s="503" t="str">
        <f ca="1">IFERROR(IF(VLOOKUP(C2006,' Disaggregation - Section E '!A$316:N955,8,0)=0,"",VLOOKUP(C2006,' Disaggregation - Section E '!A$316:N955,8,0)),"")</f>
        <v/>
      </c>
      <c r="J2006" s="503" t="str">
        <f ca="1">IFERROR(IF(VLOOKUP(C2006,' Disaggregation - Section E '!A$316:N955,13,0)=0,"",VLOOKUP(C2006,' Disaggregation - Section E '!A$316:N955,13,0)),"")</f>
        <v/>
      </c>
      <c r="K2006" s="497" t="str">
        <f ca="1">IFERROR(VLOOKUP(C2006,' Disaggregation - Section E '!A$316:N955,3,0),"")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2006" s="503" t="str">
        <f ca="1">IFERROR(IF(VLOOKUP(C2006,' Disaggregation - Section E '!A$316:N955,14,0)=0,"",VLOOKUP(C2006,' Disaggregation - Section E '!A$316:N955,14,0)),"")</f>
        <v/>
      </c>
      <c r="M2006" s="497" t="str">
        <f ca="1">IFERROR(IF(VLOOKUP(C2006,' Disaggregation - Section E '!A$316:T955,20,0)=0,"",VLOOKUP(C2006,' Disaggregation - Section E '!A$316:T955,20,0)),"")</f>
        <v/>
      </c>
      <c r="N2006" s="503" t="str">
        <f ca="1">IFERROR(IF(VLOOKUP(C2006,' Disaggregation - Section E '!A$316:N955,9,0)=0,"",VLOOKUP(C2006,' Disaggregation - Section E '!A$316:N955,9,0)),"")</f>
        <v/>
      </c>
      <c r="O2006" s="503" t="str">
        <f ca="1">IFERROR(IF(VLOOKUP(C2006,' Disaggregation - Section E '!A$315:N955,10,0)=0,"",VLOOKUP(C2006,' Disaggregation - Section E '!A$316:N955,10,0)),"")</f>
        <v/>
      </c>
    </row>
    <row r="2007" spans="1:15" x14ac:dyDescent="0.35">
      <c r="A2007" s="497" t="b">
        <f t="shared" ca="1" si="221"/>
        <v>0</v>
      </c>
      <c r="B2007" s="497"/>
      <c r="C2007" s="517" t="str">
        <f ca="1">IF(COUNTA(D$1665:D2007)=1,"",OFFSET(C2007,-COUNTA(D$1665:D2007)+1,0))</f>
        <v>a1V3p000006jw8mEAA</v>
      </c>
      <c r="D2007" s="512"/>
      <c r="E2007" s="500" t="str">
        <f ca="1">IFERROR(IF(VLOOKUP(C2007,' Disaggregation - Section E '!A$316:N956,7,0)="","",VLOOKUP(C2007,' Disaggregation - Section E '!A$316:N956,7,0)*100),"")</f>
        <v/>
      </c>
      <c r="F2007" s="497"/>
      <c r="G2007" s="502" t="str">
        <f ca="1">IFERROR(IF(VLOOKUP(C2007,' Disaggregation - Section E '!A$316:N956,6,0)="","",VLOOKUP(C2007,' Disaggregation - Section E '!A$316:N956,6,0)),"")</f>
        <v/>
      </c>
      <c r="H2007" s="512" t="str">
        <f ca="1">IFERROR(IF(INDEX(' Disaggregation - Section E '!F$313:F956,MATCH(C2007,' Disaggregation - Section E '!A$313:A956,0)+1,1)&lt;&gt;0,INDEX(' Disaggregation - Section E '!F$313:F956,MATCH(C2007,' Disaggregation - Section E '!A$313:A956,0)+1,1),""),"")</f>
        <v/>
      </c>
      <c r="I2007" s="503" t="str">
        <f ca="1">IFERROR(IF(VLOOKUP(C2007,' Disaggregation - Section E '!A$316:N956,8,0)=0,"",VLOOKUP(C2007,' Disaggregation - Section E '!A$316:N956,8,0)),"")</f>
        <v/>
      </c>
      <c r="J2007" s="503" t="str">
        <f ca="1">IFERROR(IF(VLOOKUP(C2007,' Disaggregation - Section E '!A$316:N956,13,0)=0,"",VLOOKUP(C2007,' Disaggregation - Section E '!A$316:N956,13,0)),"")</f>
        <v/>
      </c>
      <c r="K2007" s="497" t="str">
        <f ca="1">IFERROR(VLOOKUP(C2007,' Disaggregation - Section E '!A$316:N956,3,0),"")</f>
        <v>TB O-6 Notificación de casos de tuberculosis resistente a la rifampicina (TB-RR) y/o tuberculosis multirresistente (TB-MR): porcentaje de casos notificados de TB-RR y/o TB-MR confirmados bacteriológicamente como proporción de todos los casos estimados de TB-RR y/o TB-MR.</v>
      </c>
      <c r="L2007" s="503" t="str">
        <f ca="1">IFERROR(IF(VLOOKUP(C2007,' Disaggregation - Section E '!A$316:N956,14,0)=0,"",VLOOKUP(C2007,' Disaggregation - Section E '!A$316:N956,14,0)),"")</f>
        <v/>
      </c>
      <c r="M2007" s="497" t="str">
        <f ca="1">IFERROR(IF(VLOOKUP(C2007,' Disaggregation - Section E '!A$316:T956,20,0)=0,"",VLOOKUP(C2007,' Disaggregation - Section E '!A$316:T956,20,0)),"")</f>
        <v/>
      </c>
      <c r="N2007" s="503" t="str">
        <f ca="1">IFERROR(IF(VLOOKUP(C2007,' Disaggregation - Section E '!A$316:N956,9,0)=0,"",VLOOKUP(C2007,' Disaggregation - Section E '!A$316:N956,9,0)),"")</f>
        <v/>
      </c>
      <c r="O2007" s="503" t="str">
        <f ca="1">IFERROR(IF(VLOOKUP(C2007,' Disaggregation - Section E '!A$315:N956,10,0)=0,"",VLOOKUP(C2007,' Disaggregation - Section E '!A$316:N956,10,0)),"")</f>
        <v/>
      </c>
    </row>
    <row r="2008" spans="1:15" x14ac:dyDescent="0.35">
      <c r="A2008" s="497" t="b">
        <f t="shared" ca="1" si="221"/>
        <v>0</v>
      </c>
      <c r="B2008" s="497"/>
      <c r="C2008" s="517" t="str">
        <f ca="1">IF(COUNTA(D$1665:D2008)=1,"",OFFSET(C2008,-COUNTA(D$1665:D2008)+1,0))</f>
        <v>a1V3p000006jw8nEAA</v>
      </c>
      <c r="D2008" s="512"/>
      <c r="E2008" s="500" t="str">
        <f ca="1">IFERROR(IF(VLOOKUP(C2008,' Disaggregation - Section E '!A$316:N957,7,0)="","",VLOOKUP(C2008,' Disaggregation - Section E '!A$316:N957,7,0)*100),"")</f>
        <v/>
      </c>
      <c r="F2008" s="497"/>
      <c r="G2008" s="502" t="str">
        <f ca="1">IFERROR(IF(VLOOKUP(C2008,' Disaggregation - Section E '!A$316:N957,6,0)="","",VLOOKUP(C2008,' Disaggregation - Section E '!A$316:N957,6,0)),"")</f>
        <v/>
      </c>
      <c r="H2008" s="512" t="str">
        <f ca="1">IFERROR(IF(INDEX(' Disaggregation - Section E '!F$313:F957,MATCH(C2008,' Disaggregation - Section E '!A$313:A957,0)+1,1)&lt;&gt;0,INDEX(' Disaggregation - Section E '!F$313:F957,MATCH(C2008,' Disaggregation - Section E '!A$313:A957,0)+1,1),""),"")</f>
        <v/>
      </c>
      <c r="I2008" s="503" t="str">
        <f ca="1">IFERROR(IF(VLOOKUP(C2008,' Disaggregation - Section E '!A$316:N957,8,0)=0,"",VLOOKUP(C2008,' Disaggregation - Section E '!A$316:N957,8,0)),"")</f>
        <v/>
      </c>
      <c r="J2008" s="503" t="str">
        <f ca="1">IFERROR(IF(VLOOKUP(C2008,' Disaggregation - Section E '!A$316:N957,13,0)=0,"",VLOOKUP(C2008,' Disaggregation - Section E '!A$316:N957,13,0)),"")</f>
        <v/>
      </c>
      <c r="K2008" s="497" t="str">
        <f ca="1">IFERROR(VLOOKUP(C2008,' Disaggregation - Section E '!A$316:N957,3,0),"")</f>
        <v>TB O-6 Notificación de casos de tuberculosis resistente a la rifampicina (TB-RR) y/o tuberculosis multirresistente (TB-MR): porcentaje de casos notificados de TB-RR y/o TB-MR confirmados bacteriológicamente como proporción de todos los casos estimados de TB-RR y/o TB-MR.</v>
      </c>
      <c r="L2008" s="503" t="str">
        <f ca="1">IFERROR(IF(VLOOKUP(C2008,' Disaggregation - Section E '!A$316:N957,14,0)=0,"",VLOOKUP(C2008,' Disaggregation - Section E '!A$316:N957,14,0)),"")</f>
        <v/>
      </c>
      <c r="M2008" s="497" t="str">
        <f ca="1">IFERROR(IF(VLOOKUP(C2008,' Disaggregation - Section E '!A$316:T957,20,0)=0,"",VLOOKUP(C2008,' Disaggregation - Section E '!A$316:T957,20,0)),"")</f>
        <v/>
      </c>
      <c r="N2008" s="503" t="str">
        <f ca="1">IFERROR(IF(VLOOKUP(C2008,' Disaggregation - Section E '!A$316:N957,9,0)=0,"",VLOOKUP(C2008,' Disaggregation - Section E '!A$316:N957,9,0)),"")</f>
        <v/>
      </c>
      <c r="O2008" s="503" t="str">
        <f ca="1">IFERROR(IF(VLOOKUP(C2008,' Disaggregation - Section E '!A$315:N957,10,0)=0,"",VLOOKUP(C2008,' Disaggregation - Section E '!A$316:N957,10,0)),"")</f>
        <v/>
      </c>
    </row>
    <row r="2009" spans="1:15" x14ac:dyDescent="0.35">
      <c r="A2009" s="497" t="b">
        <f t="shared" ca="1" si="221"/>
        <v>0</v>
      </c>
      <c r="B2009" s="497"/>
      <c r="C2009" s="517" t="str">
        <f ca="1">IF(COUNTA(D$1665:D2009)=1,"",OFFSET(C2009,-COUNTA(D$1665:D2009)+1,0))</f>
        <v>a1V3p000006jw8oEAA</v>
      </c>
      <c r="D2009" s="512"/>
      <c r="E2009" s="500" t="str">
        <f ca="1">IFERROR(IF(VLOOKUP(C2009,' Disaggregation - Section E '!A$316:N958,7,0)="","",VLOOKUP(C2009,' Disaggregation - Section E '!A$316:N958,7,0)*100),"")</f>
        <v/>
      </c>
      <c r="F2009" s="497"/>
      <c r="G2009" s="502" t="str">
        <f ca="1">IFERROR(IF(VLOOKUP(C2009,' Disaggregation - Section E '!A$316:N958,6,0)="","",VLOOKUP(C2009,' Disaggregation - Section E '!A$316:N958,6,0)),"")</f>
        <v/>
      </c>
      <c r="H2009" s="512" t="str">
        <f ca="1">IFERROR(IF(INDEX(' Disaggregation - Section E '!F$313:F958,MATCH(C2009,' Disaggregation - Section E '!A$313:A958,0)+1,1)&lt;&gt;0,INDEX(' Disaggregation - Section E '!F$313:F958,MATCH(C2009,' Disaggregation - Section E '!A$313:A958,0)+1,1),""),"")</f>
        <v/>
      </c>
      <c r="I2009" s="503" t="str">
        <f ca="1">IFERROR(IF(VLOOKUP(C2009,' Disaggregation - Section E '!A$316:N958,8,0)=0,"",VLOOKUP(C2009,' Disaggregation - Section E '!A$316:N958,8,0)),"")</f>
        <v/>
      </c>
      <c r="J2009" s="503" t="str">
        <f ca="1">IFERROR(IF(VLOOKUP(C2009,' Disaggregation - Section E '!A$316:N958,13,0)=0,"",VLOOKUP(C2009,' Disaggregation - Section E '!A$316:N958,13,0)),"")</f>
        <v/>
      </c>
      <c r="K2009" s="497" t="str">
        <f ca="1">IFERROR(VLOOKUP(C2009,' Disaggregation - Section E '!A$316:N958,3,0),"")</f>
        <v>TB O-6 Notificación de casos de tuberculosis resistente a la rifampicina (TB-RR) y/o tuberculosis multirresistente (TB-MR): porcentaje de casos notificados de TB-RR y/o TB-MR confirmados bacteriológicamente como proporción de todos los casos estimados de TB-RR y/o TB-MR.</v>
      </c>
      <c r="L2009" s="503" t="str">
        <f ca="1">IFERROR(IF(VLOOKUP(C2009,' Disaggregation - Section E '!A$316:N958,14,0)=0,"",VLOOKUP(C2009,' Disaggregation - Section E '!A$316:N958,14,0)),"")</f>
        <v/>
      </c>
      <c r="M2009" s="497" t="str">
        <f ca="1">IFERROR(IF(VLOOKUP(C2009,' Disaggregation - Section E '!A$316:T958,20,0)=0,"",VLOOKUP(C2009,' Disaggregation - Section E '!A$316:T958,20,0)),"")</f>
        <v/>
      </c>
      <c r="N2009" s="503" t="str">
        <f ca="1">IFERROR(IF(VLOOKUP(C2009,' Disaggregation - Section E '!A$316:N958,9,0)=0,"",VLOOKUP(C2009,' Disaggregation - Section E '!A$316:N958,9,0)),"")</f>
        <v/>
      </c>
      <c r="O2009" s="503" t="str">
        <f ca="1">IFERROR(IF(VLOOKUP(C2009,' Disaggregation - Section E '!A$315:N958,10,0)=0,"",VLOOKUP(C2009,' Disaggregation - Section E '!A$316:N958,10,0)),"")</f>
        <v/>
      </c>
    </row>
    <row r="2010" spans="1:15" x14ac:dyDescent="0.35">
      <c r="A2010" s="497" t="b">
        <f t="shared" ca="1" si="221"/>
        <v>0</v>
      </c>
      <c r="B2010" s="497"/>
      <c r="C2010" s="517" t="str">
        <f ca="1">IF(COUNTA(D$1665:D2010)=1,"",OFFSET(C2010,-COUNTA(D$1665:D2010)+1,0))</f>
        <v>a1V3p000006jw8pEAA</v>
      </c>
      <c r="D2010" s="512"/>
      <c r="E2010" s="500" t="str">
        <f ca="1">IFERROR(IF(VLOOKUP(C2010,' Disaggregation - Section E '!A$316:N959,7,0)="","",VLOOKUP(C2010,' Disaggregation - Section E '!A$316:N959,7,0)*100),"")</f>
        <v/>
      </c>
      <c r="F2010" s="497"/>
      <c r="G2010" s="502" t="str">
        <f ca="1">IFERROR(IF(VLOOKUP(C2010,' Disaggregation - Section E '!A$316:N959,6,0)="","",VLOOKUP(C2010,' Disaggregation - Section E '!A$316:N959,6,0)),"")</f>
        <v/>
      </c>
      <c r="H2010" s="512" t="str">
        <f ca="1">IFERROR(IF(INDEX(' Disaggregation - Section E '!F$313:F959,MATCH(C2010,' Disaggregation - Section E '!A$313:A959,0)+1,1)&lt;&gt;0,INDEX(' Disaggregation - Section E '!F$313:F959,MATCH(C2010,' Disaggregation - Section E '!A$313:A959,0)+1,1),""),"")</f>
        <v/>
      </c>
      <c r="I2010" s="503" t="str">
        <f ca="1">IFERROR(IF(VLOOKUP(C2010,' Disaggregation - Section E '!A$316:N959,8,0)=0,"",VLOOKUP(C2010,' Disaggregation - Section E '!A$316:N959,8,0)),"")</f>
        <v/>
      </c>
      <c r="J2010" s="503" t="str">
        <f ca="1">IFERROR(IF(VLOOKUP(C2010,' Disaggregation - Section E '!A$316:N959,13,0)=0,"",VLOOKUP(C2010,' Disaggregation - Section E '!A$316:N959,13,0)),"")</f>
        <v/>
      </c>
      <c r="K2010" s="497" t="str">
        <f ca="1">IFERROR(VLOOKUP(C2010,' Disaggregation - Section E '!A$316:N959,3,0),"")</f>
        <v>TB O-6 Notificación de casos de tuberculosis resistente a la rifampicina (TB-RR) y/o tuberculosis multirresistente (TB-MR): porcentaje de casos notificados de TB-RR y/o TB-MR confirmados bacteriológicamente como proporción de todos los casos estimados de TB-RR y/o TB-MR.</v>
      </c>
      <c r="L2010" s="503" t="str">
        <f ca="1">IFERROR(IF(VLOOKUP(C2010,' Disaggregation - Section E '!A$316:N959,14,0)=0,"",VLOOKUP(C2010,' Disaggregation - Section E '!A$316:N959,14,0)),"")</f>
        <v/>
      </c>
      <c r="M2010" s="497" t="str">
        <f ca="1">IFERROR(IF(VLOOKUP(C2010,' Disaggregation - Section E '!A$316:T959,20,0)=0,"",VLOOKUP(C2010,' Disaggregation - Section E '!A$316:T959,20,0)),"")</f>
        <v/>
      </c>
      <c r="N2010" s="503" t="str">
        <f ca="1">IFERROR(IF(VLOOKUP(C2010,' Disaggregation - Section E '!A$316:N959,9,0)=0,"",VLOOKUP(C2010,' Disaggregation - Section E '!A$316:N959,9,0)),"")</f>
        <v/>
      </c>
      <c r="O2010" s="503" t="str">
        <f ca="1">IFERROR(IF(VLOOKUP(C2010,' Disaggregation - Section E '!A$315:N959,10,0)=0,"",VLOOKUP(C2010,' Disaggregation - Section E '!A$316:N959,10,0)),"")</f>
        <v/>
      </c>
    </row>
    <row r="2011" spans="1:15" x14ac:dyDescent="0.35">
      <c r="A2011" s="497" t="b">
        <f t="shared" ca="1" si="221"/>
        <v>0</v>
      </c>
      <c r="B2011" s="497"/>
      <c r="C2011" s="517" t="str">
        <f ca="1">IF(COUNTA(D$1665:D2011)=1,"",OFFSET(C2011,-COUNTA(D$1665:D2011)+1,0))</f>
        <v>a1V3p000006jw8qEAA</v>
      </c>
      <c r="D2011" s="512"/>
      <c r="E2011" s="500" t="str">
        <f ca="1">IFERROR(IF(VLOOKUP(C2011,' Disaggregation - Section E '!A$316:N960,7,0)="","",VLOOKUP(C2011,' Disaggregation - Section E '!A$316:N960,7,0)*100),"")</f>
        <v/>
      </c>
      <c r="F2011" s="497"/>
      <c r="G2011" s="502" t="str">
        <f ca="1">IFERROR(IF(VLOOKUP(C2011,' Disaggregation - Section E '!A$316:N960,6,0)="","",VLOOKUP(C2011,' Disaggregation - Section E '!A$316:N960,6,0)),"")</f>
        <v/>
      </c>
      <c r="H2011" s="512" t="str">
        <f ca="1">IFERROR(IF(INDEX(' Disaggregation - Section E '!F$313:F960,MATCH(C2011,' Disaggregation - Section E '!A$313:A960,0)+1,1)&lt;&gt;0,INDEX(' Disaggregation - Section E '!F$313:F960,MATCH(C2011,' Disaggregation - Section E '!A$313:A960,0)+1,1),""),"")</f>
        <v/>
      </c>
      <c r="I2011" s="503" t="str">
        <f ca="1">IFERROR(IF(VLOOKUP(C2011,' Disaggregation - Section E '!A$316:N960,8,0)=0,"",VLOOKUP(C2011,' Disaggregation - Section E '!A$316:N960,8,0)),"")</f>
        <v/>
      </c>
      <c r="J2011" s="503" t="str">
        <f ca="1">IFERROR(IF(VLOOKUP(C2011,' Disaggregation - Section E '!A$316:N960,13,0)=0,"",VLOOKUP(C2011,' Disaggregation - Section E '!A$316:N960,13,0)),"")</f>
        <v/>
      </c>
      <c r="K2011" s="497" t="str">
        <f ca="1">IFERROR(VLOOKUP(C2011,' Disaggregation - Section E '!A$316:N960,3,0),"")</f>
        <v>TB O-6 Notificación de casos de tuberculosis resistente a la rifampicina (TB-RR) y/o tuberculosis multirresistente (TB-MR): porcentaje de casos notificados de TB-RR y/o TB-MR confirmados bacteriológicamente como proporción de todos los casos estimados de TB-RR y/o TB-MR.</v>
      </c>
      <c r="L2011" s="503" t="str">
        <f ca="1">IFERROR(IF(VLOOKUP(C2011,' Disaggregation - Section E '!A$316:N960,14,0)=0,"",VLOOKUP(C2011,' Disaggregation - Section E '!A$316:N960,14,0)),"")</f>
        <v/>
      </c>
      <c r="M2011" s="497" t="str">
        <f ca="1">IFERROR(IF(VLOOKUP(C2011,' Disaggregation - Section E '!A$316:T960,20,0)=0,"",VLOOKUP(C2011,' Disaggregation - Section E '!A$316:T960,20,0)),"")</f>
        <v/>
      </c>
      <c r="N2011" s="503" t="str">
        <f ca="1">IFERROR(IF(VLOOKUP(C2011,' Disaggregation - Section E '!A$316:N960,9,0)=0,"",VLOOKUP(C2011,' Disaggregation - Section E '!A$316:N960,9,0)),"")</f>
        <v/>
      </c>
      <c r="O2011" s="503" t="str">
        <f ca="1">IFERROR(IF(VLOOKUP(C2011,' Disaggregation - Section E '!A$315:N960,10,0)=0,"",VLOOKUP(C2011,' Disaggregation - Section E '!A$316:N960,10,0)),"")</f>
        <v/>
      </c>
    </row>
    <row r="2012" spans="1:15" x14ac:dyDescent="0.35">
      <c r="A2012" s="497" t="b">
        <f t="shared" ca="1" si="221"/>
        <v>0</v>
      </c>
      <c r="B2012" s="497"/>
      <c r="C2012" s="517" t="str">
        <f ca="1">IF(COUNTA(D$1665:D2012)=1,"",OFFSET(C2012,-COUNTA(D$1665:D2012)+1,0))</f>
        <v>a1V3p000006jw8rEAA</v>
      </c>
      <c r="D2012" s="512"/>
      <c r="E2012" s="500" t="str">
        <f ca="1">IFERROR(IF(VLOOKUP(C2012,' Disaggregation - Section E '!A$316:N961,7,0)="","",VLOOKUP(C2012,' Disaggregation - Section E '!A$316:N961,7,0)*100),"")</f>
        <v/>
      </c>
      <c r="F2012" s="497"/>
      <c r="G2012" s="502" t="str">
        <f ca="1">IFERROR(IF(VLOOKUP(C2012,' Disaggregation - Section E '!A$316:N961,6,0)="","",VLOOKUP(C2012,' Disaggregation - Section E '!A$316:N961,6,0)),"")</f>
        <v/>
      </c>
      <c r="H2012" s="512" t="str">
        <f ca="1">IFERROR(IF(INDEX(' Disaggregation - Section E '!F$313:F961,MATCH(C2012,' Disaggregation - Section E '!A$313:A961,0)+1,1)&lt;&gt;0,INDEX(' Disaggregation - Section E '!F$313:F961,MATCH(C2012,' Disaggregation - Section E '!A$313:A961,0)+1,1),""),"")</f>
        <v/>
      </c>
      <c r="I2012" s="503" t="str">
        <f ca="1">IFERROR(IF(VLOOKUP(C2012,' Disaggregation - Section E '!A$316:N961,8,0)=0,"",VLOOKUP(C2012,' Disaggregation - Section E '!A$316:N961,8,0)),"")</f>
        <v/>
      </c>
      <c r="J2012" s="503" t="str">
        <f ca="1">IFERROR(IF(VLOOKUP(C2012,' Disaggregation - Section E '!A$316:N961,13,0)=0,"",VLOOKUP(C2012,' Disaggregation - Section E '!A$316:N961,13,0)),"")</f>
        <v/>
      </c>
      <c r="K2012" s="497" t="str">
        <f ca="1">IFERROR(VLOOKUP(C2012,' Disaggregation - Section E '!A$316:N961,3,0),"")</f>
        <v>TB O-6 Notificación de casos de tuberculosis resistente a la rifampicina (TB-RR) y/o tuberculosis multirresistente (TB-MR): porcentaje de casos notificados de TB-RR y/o TB-MR confirmados bacteriológicamente como proporción de todos los casos estimados de TB-RR y/o TB-MR.</v>
      </c>
      <c r="L2012" s="503" t="str">
        <f ca="1">IFERROR(IF(VLOOKUP(C2012,' Disaggregation - Section E '!A$316:N961,14,0)=0,"",VLOOKUP(C2012,' Disaggregation - Section E '!A$316:N961,14,0)),"")</f>
        <v/>
      </c>
      <c r="M2012" s="497" t="str">
        <f ca="1">IFERROR(IF(VLOOKUP(C2012,' Disaggregation - Section E '!A$316:T961,20,0)=0,"",VLOOKUP(C2012,' Disaggregation - Section E '!A$316:T961,20,0)),"")</f>
        <v/>
      </c>
      <c r="N2012" s="503" t="str">
        <f ca="1">IFERROR(IF(VLOOKUP(C2012,' Disaggregation - Section E '!A$316:N961,9,0)=0,"",VLOOKUP(C2012,' Disaggregation - Section E '!A$316:N961,9,0)),"")</f>
        <v/>
      </c>
      <c r="O2012" s="503" t="str">
        <f ca="1">IFERROR(IF(VLOOKUP(C2012,' Disaggregation - Section E '!A$315:N961,10,0)=0,"",VLOOKUP(C2012,' Disaggregation - Section E '!A$316:N961,10,0)),"")</f>
        <v/>
      </c>
    </row>
    <row r="2013" spans="1:15" x14ac:dyDescent="0.35">
      <c r="A2013" s="497" t="b">
        <f t="shared" ca="1" si="221"/>
        <v>0</v>
      </c>
      <c r="B2013" s="497"/>
      <c r="C2013" s="517" t="str">
        <f ca="1">IF(COUNTA(D$1665:D2013)=1,"",OFFSET(C2013,-COUNTA(D$1665:D2013)+1,0))</f>
        <v>a1V3p000006jw8sEAA</v>
      </c>
      <c r="D2013" s="512"/>
      <c r="E2013" s="500" t="str">
        <f ca="1">IFERROR(IF(VLOOKUP(C2013,' Disaggregation - Section E '!A$316:N962,7,0)="","",VLOOKUP(C2013,' Disaggregation - Section E '!A$316:N962,7,0)*100),"")</f>
        <v/>
      </c>
      <c r="F2013" s="497"/>
      <c r="G2013" s="502" t="str">
        <f ca="1">IFERROR(IF(VLOOKUP(C2013,' Disaggregation - Section E '!A$316:N962,6,0)="","",VLOOKUP(C2013,' Disaggregation - Section E '!A$316:N962,6,0)),"")</f>
        <v/>
      </c>
      <c r="H2013" s="512" t="str">
        <f ca="1">IFERROR(IF(INDEX(' Disaggregation - Section E '!F$313:F962,MATCH(C2013,' Disaggregation - Section E '!A$313:A962,0)+1,1)&lt;&gt;0,INDEX(' Disaggregation - Section E '!F$313:F962,MATCH(C2013,' Disaggregation - Section E '!A$313:A962,0)+1,1),""),"")</f>
        <v/>
      </c>
      <c r="I2013" s="503" t="str">
        <f ca="1">IFERROR(IF(VLOOKUP(C2013,' Disaggregation - Section E '!A$316:N962,8,0)=0,"",VLOOKUP(C2013,' Disaggregation - Section E '!A$316:N962,8,0)),"")</f>
        <v/>
      </c>
      <c r="J2013" s="503" t="str">
        <f ca="1">IFERROR(IF(VLOOKUP(C2013,' Disaggregation - Section E '!A$316:N962,13,0)=0,"",VLOOKUP(C2013,' Disaggregation - Section E '!A$316:N962,13,0)),"")</f>
        <v/>
      </c>
      <c r="K2013" s="497" t="str">
        <f ca="1">IFERROR(VLOOKUP(C2013,' Disaggregation - Section E '!A$316:N962,3,0),"")</f>
        <v>TB O-6 Notificación de casos de tuberculosis resistente a la rifampicina (TB-RR) y/o tuberculosis multirresistente (TB-MR): porcentaje de casos notificados de TB-RR y/o TB-MR confirmados bacteriológicamente como proporción de todos los casos estimados de TB-RR y/o TB-MR.</v>
      </c>
      <c r="L2013" s="503" t="str">
        <f ca="1">IFERROR(IF(VLOOKUP(C2013,' Disaggregation - Section E '!A$316:N962,14,0)=0,"",VLOOKUP(C2013,' Disaggregation - Section E '!A$316:N962,14,0)),"")</f>
        <v/>
      </c>
      <c r="M2013" s="497" t="str">
        <f ca="1">IFERROR(IF(VLOOKUP(C2013,' Disaggregation - Section E '!A$316:T962,20,0)=0,"",VLOOKUP(C2013,' Disaggregation - Section E '!A$316:T962,20,0)),"")</f>
        <v/>
      </c>
      <c r="N2013" s="503" t="str">
        <f ca="1">IFERROR(IF(VLOOKUP(C2013,' Disaggregation - Section E '!A$316:N962,9,0)=0,"",VLOOKUP(C2013,' Disaggregation - Section E '!A$316:N962,9,0)),"")</f>
        <v/>
      </c>
      <c r="O2013" s="503" t="str">
        <f ca="1">IFERROR(IF(VLOOKUP(C2013,' Disaggregation - Section E '!A$315:N962,10,0)=0,"",VLOOKUP(C2013,' Disaggregation - Section E '!A$316:N962,10,0)),"")</f>
        <v/>
      </c>
    </row>
    <row r="2014" spans="1:15" x14ac:dyDescent="0.35">
      <c r="A2014" s="497" t="b">
        <f t="shared" ca="1" si="221"/>
        <v>0</v>
      </c>
      <c r="B2014" s="497"/>
      <c r="C2014" s="517" t="str">
        <f ca="1">IF(COUNTA(D$1665:D2014)=1,"",OFFSET(C2014,-COUNTA(D$1665:D2014)+1,0))</f>
        <v>a1V3p000006jw8tEAA</v>
      </c>
      <c r="D2014" s="512"/>
      <c r="E2014" s="500" t="str">
        <f ca="1">IFERROR(IF(VLOOKUP(C2014,' Disaggregation - Section E '!A$316:N963,7,0)="","",VLOOKUP(C2014,' Disaggregation - Section E '!A$316:N963,7,0)*100),"")</f>
        <v/>
      </c>
      <c r="F2014" s="497"/>
      <c r="G2014" s="502" t="str">
        <f ca="1">IFERROR(IF(VLOOKUP(C2014,' Disaggregation - Section E '!A$316:N963,6,0)="","",VLOOKUP(C2014,' Disaggregation - Section E '!A$316:N963,6,0)),"")</f>
        <v/>
      </c>
      <c r="H2014" s="512" t="str">
        <f ca="1">IFERROR(IF(INDEX(' Disaggregation - Section E '!F$313:F963,MATCH(C2014,' Disaggregation - Section E '!A$313:A963,0)+1,1)&lt;&gt;0,INDEX(' Disaggregation - Section E '!F$313:F963,MATCH(C2014,' Disaggregation - Section E '!A$313:A963,0)+1,1),""),"")</f>
        <v/>
      </c>
      <c r="I2014" s="503" t="str">
        <f ca="1">IFERROR(IF(VLOOKUP(C2014,' Disaggregation - Section E '!A$316:N963,8,0)=0,"",VLOOKUP(C2014,' Disaggregation - Section E '!A$316:N963,8,0)),"")</f>
        <v/>
      </c>
      <c r="J2014" s="503" t="str">
        <f ca="1">IFERROR(IF(VLOOKUP(C2014,' Disaggregation - Section E '!A$316:N963,13,0)=0,"",VLOOKUP(C2014,' Disaggregation - Section E '!A$316:N963,13,0)),"")</f>
        <v/>
      </c>
      <c r="K2014" s="497" t="str">
        <f ca="1">IFERROR(VLOOKUP(C2014,' Disaggregation - Section E '!A$316:N963,3,0),"")</f>
        <v>TB O-6 Notificación de casos de tuberculosis resistente a la rifampicina (TB-RR) y/o tuberculosis multirresistente (TB-MR): porcentaje de casos notificados de TB-RR y/o TB-MR confirmados bacteriológicamente como proporción de todos los casos estimados de TB-RR y/o TB-MR.</v>
      </c>
      <c r="L2014" s="503" t="str">
        <f ca="1">IFERROR(IF(VLOOKUP(C2014,' Disaggregation - Section E '!A$316:N963,14,0)=0,"",VLOOKUP(C2014,' Disaggregation - Section E '!A$316:N963,14,0)),"")</f>
        <v/>
      </c>
      <c r="M2014" s="497" t="str">
        <f ca="1">IFERROR(IF(VLOOKUP(C2014,' Disaggregation - Section E '!A$316:T963,20,0)=0,"",VLOOKUP(C2014,' Disaggregation - Section E '!A$316:T963,20,0)),"")</f>
        <v/>
      </c>
      <c r="N2014" s="503" t="str">
        <f ca="1">IFERROR(IF(VLOOKUP(C2014,' Disaggregation - Section E '!A$316:N963,9,0)=0,"",VLOOKUP(C2014,' Disaggregation - Section E '!A$316:N963,9,0)),"")</f>
        <v/>
      </c>
      <c r="O2014" s="503" t="str">
        <f ca="1">IFERROR(IF(VLOOKUP(C2014,' Disaggregation - Section E '!A$315:N963,10,0)=0,"",VLOOKUP(C2014,' Disaggregation - Section E '!A$316:N963,10,0)),"")</f>
        <v/>
      </c>
    </row>
    <row r="2015" spans="1:15" x14ac:dyDescent="0.35">
      <c r="A2015" s="497" t="b">
        <f t="shared" ca="1" si="221"/>
        <v>0</v>
      </c>
      <c r="B2015" s="497"/>
      <c r="C2015" s="517" t="str">
        <f ca="1">IF(COUNTA(D$1665:D2015)=1,"",OFFSET(C2015,-COUNTA(D$1665:D2015)+1,0))</f>
        <v>a1V3p000006jw8uEAA</v>
      </c>
      <c r="D2015" s="512"/>
      <c r="E2015" s="500" t="str">
        <f ca="1">IFERROR(IF(VLOOKUP(C2015,' Disaggregation - Section E '!A$316:N964,7,0)="","",VLOOKUP(C2015,' Disaggregation - Section E '!A$316:N964,7,0)*100),"")</f>
        <v/>
      </c>
      <c r="F2015" s="497"/>
      <c r="G2015" s="502" t="str">
        <f ca="1">IFERROR(IF(VLOOKUP(C2015,' Disaggregation - Section E '!A$316:N964,6,0)="","",VLOOKUP(C2015,' Disaggregation - Section E '!A$316:N964,6,0)),"")</f>
        <v/>
      </c>
      <c r="H2015" s="512" t="str">
        <f ca="1">IFERROR(IF(INDEX(' Disaggregation - Section E '!F$313:F964,MATCH(C2015,' Disaggregation - Section E '!A$313:A964,0)+1,1)&lt;&gt;0,INDEX(' Disaggregation - Section E '!F$313:F964,MATCH(C2015,' Disaggregation - Section E '!A$313:A964,0)+1,1),""),"")</f>
        <v/>
      </c>
      <c r="I2015" s="503" t="str">
        <f ca="1">IFERROR(IF(VLOOKUP(C2015,' Disaggregation - Section E '!A$316:N964,8,0)=0,"",VLOOKUP(C2015,' Disaggregation - Section E '!A$316:N964,8,0)),"")</f>
        <v/>
      </c>
      <c r="J2015" s="503" t="str">
        <f ca="1">IFERROR(IF(VLOOKUP(C2015,' Disaggregation - Section E '!A$316:N964,13,0)=0,"",VLOOKUP(C2015,' Disaggregation - Section E '!A$316:N964,13,0)),"")</f>
        <v/>
      </c>
      <c r="K2015" s="497" t="str">
        <f ca="1">IFERROR(VLOOKUP(C2015,' Disaggregation - Section E '!A$316:N964,3,0),"")</f>
        <v>TB O-6 Notificación de casos de tuberculosis resistente a la rifampicina (TB-RR) y/o tuberculosis multirresistente (TB-MR): porcentaje de casos notificados de TB-RR y/o TB-MR confirmados bacteriológicamente como proporción de todos los casos estimados de TB-RR y/o TB-MR.</v>
      </c>
      <c r="L2015" s="503" t="str">
        <f ca="1">IFERROR(IF(VLOOKUP(C2015,' Disaggregation - Section E '!A$316:N964,14,0)=0,"",VLOOKUP(C2015,' Disaggregation - Section E '!A$316:N964,14,0)),"")</f>
        <v/>
      </c>
      <c r="M2015" s="497" t="str">
        <f ca="1">IFERROR(IF(VLOOKUP(C2015,' Disaggregation - Section E '!A$316:T964,20,0)=0,"",VLOOKUP(C2015,' Disaggregation - Section E '!A$316:T964,20,0)),"")</f>
        <v/>
      </c>
      <c r="N2015" s="503" t="str">
        <f ca="1">IFERROR(IF(VLOOKUP(C2015,' Disaggregation - Section E '!A$316:N964,9,0)=0,"",VLOOKUP(C2015,' Disaggregation - Section E '!A$316:N964,9,0)),"")</f>
        <v/>
      </c>
      <c r="O2015" s="503" t="str">
        <f ca="1">IFERROR(IF(VLOOKUP(C2015,' Disaggregation - Section E '!A$315:N964,10,0)=0,"",VLOOKUP(C2015,' Disaggregation - Section E '!A$316:N964,10,0)),"")</f>
        <v/>
      </c>
    </row>
    <row r="2016" spans="1:15" x14ac:dyDescent="0.35">
      <c r="A2016" s="497" t="b">
        <f t="shared" ca="1" si="221"/>
        <v>0</v>
      </c>
      <c r="B2016" s="497"/>
      <c r="C2016" s="517" t="str">
        <f ca="1">IF(COUNTA(D$1665:D2016)=1,"",OFFSET(C2016,-COUNTA(D$1665:D2016)+1,0))</f>
        <v>a1V3p000006jw8vEAA</v>
      </c>
      <c r="D2016" s="512"/>
      <c r="E2016" s="500" t="str">
        <f ca="1">IFERROR(IF(VLOOKUP(C2016,' Disaggregation - Section E '!A$316:N965,7,0)="","",VLOOKUP(C2016,' Disaggregation - Section E '!A$316:N965,7,0)*100),"")</f>
        <v/>
      </c>
      <c r="F2016" s="497"/>
      <c r="G2016" s="502" t="str">
        <f ca="1">IFERROR(IF(VLOOKUP(C2016,' Disaggregation - Section E '!A$316:N965,6,0)="","",VLOOKUP(C2016,' Disaggregation - Section E '!A$316:N965,6,0)),"")</f>
        <v/>
      </c>
      <c r="H2016" s="512" t="str">
        <f ca="1">IFERROR(IF(INDEX(' Disaggregation - Section E '!F$313:F965,MATCH(C2016,' Disaggregation - Section E '!A$313:A965,0)+1,1)&lt;&gt;0,INDEX(' Disaggregation - Section E '!F$313:F965,MATCH(C2016,' Disaggregation - Section E '!A$313:A965,0)+1,1),""),"")</f>
        <v/>
      </c>
      <c r="I2016" s="503" t="str">
        <f ca="1">IFERROR(IF(VLOOKUP(C2016,' Disaggregation - Section E '!A$316:N965,8,0)=0,"",VLOOKUP(C2016,' Disaggregation - Section E '!A$316:N965,8,0)),"")</f>
        <v/>
      </c>
      <c r="J2016" s="503" t="str">
        <f ca="1">IFERROR(IF(VLOOKUP(C2016,' Disaggregation - Section E '!A$316:N965,13,0)=0,"",VLOOKUP(C2016,' Disaggregation - Section E '!A$316:N965,13,0)),"")</f>
        <v/>
      </c>
      <c r="K2016" s="497" t="str">
        <f ca="1">IFERROR(VLOOKUP(C2016,' Disaggregation - Section E '!A$316:N965,3,0),"")</f>
        <v>TB O-6 Notificación de casos de tuberculosis resistente a la rifampicina (TB-RR) y/o tuberculosis multirresistente (TB-MR): porcentaje de casos notificados de TB-RR y/o TB-MR confirmados bacteriológicamente como proporción de todos los casos estimados de TB-RR y/o TB-MR.</v>
      </c>
      <c r="L2016" s="503" t="str">
        <f ca="1">IFERROR(IF(VLOOKUP(C2016,' Disaggregation - Section E '!A$316:N965,14,0)=0,"",VLOOKUP(C2016,' Disaggregation - Section E '!A$316:N965,14,0)),"")</f>
        <v/>
      </c>
      <c r="M2016" s="497" t="str">
        <f ca="1">IFERROR(IF(VLOOKUP(C2016,' Disaggregation - Section E '!A$316:T965,20,0)=0,"",VLOOKUP(C2016,' Disaggregation - Section E '!A$316:T965,20,0)),"")</f>
        <v/>
      </c>
      <c r="N2016" s="503" t="str">
        <f ca="1">IFERROR(IF(VLOOKUP(C2016,' Disaggregation - Section E '!A$316:N965,9,0)=0,"",VLOOKUP(C2016,' Disaggregation - Section E '!A$316:N965,9,0)),"")</f>
        <v/>
      </c>
      <c r="O2016" s="503" t="str">
        <f ca="1">IFERROR(IF(VLOOKUP(C2016,' Disaggregation - Section E '!A$315:N965,10,0)=0,"",VLOOKUP(C2016,' Disaggregation - Section E '!A$316:N965,10,0)),"")</f>
        <v/>
      </c>
    </row>
    <row r="2017" spans="1:15" x14ac:dyDescent="0.35">
      <c r="A2017" s="497" t="b">
        <f t="shared" ca="1" si="221"/>
        <v>0</v>
      </c>
      <c r="B2017" s="497"/>
      <c r="C2017" s="517" t="str">
        <f ca="1">IF(COUNTA(D$1665:D2017)=1,"",OFFSET(C2017,-COUNTA(D$1665:D2017)+1,0))</f>
        <v>a1V3p000006jwBCEAY</v>
      </c>
      <c r="D2017" s="512"/>
      <c r="E2017" s="500" t="str">
        <f ca="1">IFERROR(IF(VLOOKUP(C2017,' Disaggregation - Section E '!A$316:N966,7,0)="","",VLOOKUP(C2017,' Disaggregation - Section E '!A$316:N966,7,0)*100),"")</f>
        <v/>
      </c>
      <c r="F2017" s="497"/>
      <c r="G2017" s="502" t="str">
        <f ca="1">IFERROR(IF(VLOOKUP(C2017,' Disaggregation - Section E '!A$316:N966,6,0)="","",VLOOKUP(C2017,' Disaggregation - Section E '!A$316:N966,6,0)),"")</f>
        <v/>
      </c>
      <c r="H2017" s="512" t="str">
        <f ca="1">IFERROR(IF(INDEX(' Disaggregation - Section E '!F$313:F966,MATCH(C2017,' Disaggregation - Section E '!A$313:A966,0)+1,1)&lt;&gt;0,INDEX(' Disaggregation - Section E '!F$313:F966,MATCH(C2017,' Disaggregation - Section E '!A$313:A966,0)+1,1),""),"")</f>
        <v/>
      </c>
      <c r="I2017" s="503" t="str">
        <f ca="1">IFERROR(IF(VLOOKUP(C2017,' Disaggregation - Section E '!A$316:N966,8,0)=0,"",VLOOKUP(C2017,' Disaggregation - Section E '!A$316:N966,8,0)),"")</f>
        <v/>
      </c>
      <c r="J2017" s="503" t="str">
        <f ca="1">IFERROR(IF(VLOOKUP(C2017,' Disaggregation - Section E '!A$316:N966,13,0)=0,"",VLOOKUP(C2017,' Disaggregation - Section E '!A$316:N966,13,0)),"")</f>
        <v/>
      </c>
      <c r="K2017" s="497" t="str">
        <f ca="1">IFERROR(VLOOKUP(C2017,' Disaggregation - Section E '!A$316:N966,3,0),"")</f>
        <v/>
      </c>
      <c r="L2017" s="503" t="str">
        <f ca="1">IFERROR(IF(VLOOKUP(C2017,' Disaggregation - Section E '!A$316:N966,14,0)=0,"",VLOOKUP(C2017,' Disaggregation - Section E '!A$316:N966,14,0)),"")</f>
        <v/>
      </c>
      <c r="M2017" s="497" t="str">
        <f ca="1">IFERROR(IF(VLOOKUP(C2017,' Disaggregation - Section E '!A$316:T966,20,0)=0,"",VLOOKUP(C2017,' Disaggregation - Section E '!A$316:T966,20,0)),"")</f>
        <v/>
      </c>
      <c r="N2017" s="503" t="str">
        <f ca="1">IFERROR(IF(VLOOKUP(C2017,' Disaggregation - Section E '!A$316:N966,9,0)=0,"",VLOOKUP(C2017,' Disaggregation - Section E '!A$316:N966,9,0)),"")</f>
        <v/>
      </c>
      <c r="O2017" s="503" t="str">
        <f ca="1">IFERROR(IF(VLOOKUP(C2017,' Disaggregation - Section E '!A$315:N966,10,0)=0,"",VLOOKUP(C2017,' Disaggregation - Section E '!A$316:N966,10,0)),"")</f>
        <v/>
      </c>
    </row>
    <row r="2018" spans="1:15" x14ac:dyDescent="0.35">
      <c r="A2018" s="497" t="b">
        <f t="shared" ca="1" si="221"/>
        <v>0</v>
      </c>
      <c r="B2018" s="497"/>
      <c r="C2018" s="517" t="str">
        <f ca="1">IF(COUNTA(D$1665:D2018)=1,"",OFFSET(C2018,-COUNTA(D$1665:D2018)+1,0))</f>
        <v>a1V3p000006jwBDEAY</v>
      </c>
      <c r="D2018" s="512"/>
      <c r="E2018" s="500" t="str">
        <f ca="1">IFERROR(IF(VLOOKUP(C2018,' Disaggregation - Section E '!A$316:N967,7,0)="","",VLOOKUP(C2018,' Disaggregation - Section E '!A$316:N967,7,0)*100),"")</f>
        <v/>
      </c>
      <c r="F2018" s="497"/>
      <c r="G2018" s="502" t="str">
        <f ca="1">IFERROR(IF(VLOOKUP(C2018,' Disaggregation - Section E '!A$316:N967,6,0)="","",VLOOKUP(C2018,' Disaggregation - Section E '!A$316:N967,6,0)),"")</f>
        <v/>
      </c>
      <c r="H2018" s="512" t="str">
        <f ca="1">IFERROR(IF(INDEX(' Disaggregation - Section E '!F$313:F967,MATCH(C2018,' Disaggregation - Section E '!A$313:A967,0)+1,1)&lt;&gt;0,INDEX(' Disaggregation - Section E '!F$313:F967,MATCH(C2018,' Disaggregation - Section E '!A$313:A967,0)+1,1),""),"")</f>
        <v/>
      </c>
      <c r="I2018" s="503" t="str">
        <f ca="1">IFERROR(IF(VLOOKUP(C2018,' Disaggregation - Section E '!A$316:N967,8,0)=0,"",VLOOKUP(C2018,' Disaggregation - Section E '!A$316:N967,8,0)),"")</f>
        <v/>
      </c>
      <c r="J2018" s="503" t="str">
        <f ca="1">IFERROR(IF(VLOOKUP(C2018,' Disaggregation - Section E '!A$316:N967,13,0)=0,"",VLOOKUP(C2018,' Disaggregation - Section E '!A$316:N967,13,0)),"")</f>
        <v/>
      </c>
      <c r="K2018" s="497" t="str">
        <f ca="1">IFERROR(VLOOKUP(C2018,' Disaggregation - Section E '!A$316:N967,3,0),"")</f>
        <v/>
      </c>
      <c r="L2018" s="503" t="str">
        <f ca="1">IFERROR(IF(VLOOKUP(C2018,' Disaggregation - Section E '!A$316:N967,14,0)=0,"",VLOOKUP(C2018,' Disaggregation - Section E '!A$316:N967,14,0)),"")</f>
        <v/>
      </c>
      <c r="M2018" s="497" t="str">
        <f ca="1">IFERROR(IF(VLOOKUP(C2018,' Disaggregation - Section E '!A$316:T967,20,0)=0,"",VLOOKUP(C2018,' Disaggregation - Section E '!A$316:T967,20,0)),"")</f>
        <v/>
      </c>
      <c r="N2018" s="503" t="str">
        <f ca="1">IFERROR(IF(VLOOKUP(C2018,' Disaggregation - Section E '!A$316:N967,9,0)=0,"",VLOOKUP(C2018,' Disaggregation - Section E '!A$316:N967,9,0)),"")</f>
        <v/>
      </c>
      <c r="O2018" s="503" t="str">
        <f ca="1">IFERROR(IF(VLOOKUP(C2018,' Disaggregation - Section E '!A$315:N967,10,0)=0,"",VLOOKUP(C2018,' Disaggregation - Section E '!A$316:N967,10,0)),"")</f>
        <v/>
      </c>
    </row>
    <row r="2019" spans="1:15" x14ac:dyDescent="0.35">
      <c r="A2019" s="497" t="b">
        <f t="shared" ca="1" si="221"/>
        <v>0</v>
      </c>
      <c r="B2019" s="497"/>
      <c r="C2019" s="517" t="str">
        <f ca="1">IF(COUNTA(D$1665:D2019)=1,"",OFFSET(C2019,-COUNTA(D$1665:D2019)+1,0))</f>
        <v>a1V3p000006jwBEEAY</v>
      </c>
      <c r="D2019" s="512"/>
      <c r="E2019" s="500" t="str">
        <f ca="1">IFERROR(IF(VLOOKUP(C2019,' Disaggregation - Section E '!A$316:N968,7,0)="","",VLOOKUP(C2019,' Disaggregation - Section E '!A$316:N968,7,0)*100),"")</f>
        <v/>
      </c>
      <c r="F2019" s="497"/>
      <c r="G2019" s="502" t="str">
        <f ca="1">IFERROR(IF(VLOOKUP(C2019,' Disaggregation - Section E '!A$316:N968,6,0)="","",VLOOKUP(C2019,' Disaggregation - Section E '!A$316:N968,6,0)),"")</f>
        <v/>
      </c>
      <c r="H2019" s="512" t="str">
        <f ca="1">IFERROR(IF(INDEX(' Disaggregation - Section E '!F$313:F968,MATCH(C2019,' Disaggregation - Section E '!A$313:A968,0)+1,1)&lt;&gt;0,INDEX(' Disaggregation - Section E '!F$313:F968,MATCH(C2019,' Disaggregation - Section E '!A$313:A968,0)+1,1),""),"")</f>
        <v/>
      </c>
      <c r="I2019" s="503" t="str">
        <f ca="1">IFERROR(IF(VLOOKUP(C2019,' Disaggregation - Section E '!A$316:N968,8,0)=0,"",VLOOKUP(C2019,' Disaggregation - Section E '!A$316:N968,8,0)),"")</f>
        <v/>
      </c>
      <c r="J2019" s="503" t="str">
        <f ca="1">IFERROR(IF(VLOOKUP(C2019,' Disaggregation - Section E '!A$316:N968,13,0)=0,"",VLOOKUP(C2019,' Disaggregation - Section E '!A$316:N968,13,0)),"")</f>
        <v/>
      </c>
      <c r="K2019" s="497" t="str">
        <f ca="1">IFERROR(VLOOKUP(C2019,' Disaggregation - Section E '!A$316:N968,3,0),"")</f>
        <v/>
      </c>
      <c r="L2019" s="503" t="str">
        <f ca="1">IFERROR(IF(VLOOKUP(C2019,' Disaggregation - Section E '!A$316:N968,14,0)=0,"",VLOOKUP(C2019,' Disaggregation - Section E '!A$316:N968,14,0)),"")</f>
        <v/>
      </c>
      <c r="M2019" s="497" t="str">
        <f ca="1">IFERROR(IF(VLOOKUP(C2019,' Disaggregation - Section E '!A$316:T968,20,0)=0,"",VLOOKUP(C2019,' Disaggregation - Section E '!A$316:T968,20,0)),"")</f>
        <v/>
      </c>
      <c r="N2019" s="503" t="str">
        <f ca="1">IFERROR(IF(VLOOKUP(C2019,' Disaggregation - Section E '!A$316:N968,9,0)=0,"",VLOOKUP(C2019,' Disaggregation - Section E '!A$316:N968,9,0)),"")</f>
        <v/>
      </c>
      <c r="O2019" s="503" t="str">
        <f ca="1">IFERROR(IF(VLOOKUP(C2019,' Disaggregation - Section E '!A$315:N968,10,0)=0,"",VLOOKUP(C2019,' Disaggregation - Section E '!A$316:N968,10,0)),"")</f>
        <v/>
      </c>
    </row>
    <row r="2020" spans="1:15" x14ac:dyDescent="0.35">
      <c r="A2020" s="497" t="b">
        <f t="shared" ca="1" si="221"/>
        <v>0</v>
      </c>
      <c r="B2020" s="497"/>
      <c r="C2020" s="517" t="str">
        <f ca="1">IF(COUNTA(D$1665:D2020)=1,"",OFFSET(C2020,-COUNTA(D$1665:D2020)+1,0))</f>
        <v>a1V3p000006jwBFEAY</v>
      </c>
      <c r="D2020" s="512"/>
      <c r="E2020" s="500" t="str">
        <f ca="1">IFERROR(IF(VLOOKUP(C2020,' Disaggregation - Section E '!A$316:N969,7,0)="","",VLOOKUP(C2020,' Disaggregation - Section E '!A$316:N969,7,0)*100),"")</f>
        <v/>
      </c>
      <c r="F2020" s="497"/>
      <c r="G2020" s="502" t="str">
        <f ca="1">IFERROR(IF(VLOOKUP(C2020,' Disaggregation - Section E '!A$316:N969,6,0)="","",VLOOKUP(C2020,' Disaggregation - Section E '!A$316:N969,6,0)),"")</f>
        <v/>
      </c>
      <c r="H2020" s="512" t="str">
        <f ca="1">IFERROR(IF(INDEX(' Disaggregation - Section E '!F$313:F969,MATCH(C2020,' Disaggregation - Section E '!A$313:A969,0)+1,1)&lt;&gt;0,INDEX(' Disaggregation - Section E '!F$313:F969,MATCH(C2020,' Disaggregation - Section E '!A$313:A969,0)+1,1),""),"")</f>
        <v/>
      </c>
      <c r="I2020" s="503" t="str">
        <f ca="1">IFERROR(IF(VLOOKUP(C2020,' Disaggregation - Section E '!A$316:N969,8,0)=0,"",VLOOKUP(C2020,' Disaggregation - Section E '!A$316:N969,8,0)),"")</f>
        <v/>
      </c>
      <c r="J2020" s="503" t="str">
        <f ca="1">IFERROR(IF(VLOOKUP(C2020,' Disaggregation - Section E '!A$316:N969,13,0)=0,"",VLOOKUP(C2020,' Disaggregation - Section E '!A$316:N969,13,0)),"")</f>
        <v/>
      </c>
      <c r="K2020" s="497" t="str">
        <f ca="1">IFERROR(VLOOKUP(C2020,' Disaggregation - Section E '!A$316:N969,3,0),"")</f>
        <v/>
      </c>
      <c r="L2020" s="503" t="str">
        <f ca="1">IFERROR(IF(VLOOKUP(C2020,' Disaggregation - Section E '!A$316:N969,14,0)=0,"",VLOOKUP(C2020,' Disaggregation - Section E '!A$316:N969,14,0)),"")</f>
        <v/>
      </c>
      <c r="M2020" s="497" t="str">
        <f ca="1">IFERROR(IF(VLOOKUP(C2020,' Disaggregation - Section E '!A$316:T969,20,0)=0,"",VLOOKUP(C2020,' Disaggregation - Section E '!A$316:T969,20,0)),"")</f>
        <v/>
      </c>
      <c r="N2020" s="503" t="str">
        <f ca="1">IFERROR(IF(VLOOKUP(C2020,' Disaggregation - Section E '!A$316:N969,9,0)=0,"",VLOOKUP(C2020,' Disaggregation - Section E '!A$316:N969,9,0)),"")</f>
        <v/>
      </c>
      <c r="O2020" s="503" t="str">
        <f ca="1">IFERROR(IF(VLOOKUP(C2020,' Disaggregation - Section E '!A$315:N969,10,0)=0,"",VLOOKUP(C2020,' Disaggregation - Section E '!A$316:N969,10,0)),"")</f>
        <v/>
      </c>
    </row>
    <row r="2021" spans="1:15" x14ac:dyDescent="0.35">
      <c r="A2021" s="497" t="b">
        <f t="shared" ca="1" si="221"/>
        <v>0</v>
      </c>
      <c r="B2021" s="497"/>
      <c r="C2021" s="517" t="str">
        <f ca="1">IF(COUNTA(D$1665:D2021)=1,"",OFFSET(C2021,-COUNTA(D$1665:D2021)+1,0))</f>
        <v>a1V3p000006jwBGEAY</v>
      </c>
      <c r="D2021" s="512"/>
      <c r="E2021" s="500" t="str">
        <f ca="1">IFERROR(IF(VLOOKUP(C2021,' Disaggregation - Section E '!A$316:N970,7,0)="","",VLOOKUP(C2021,' Disaggregation - Section E '!A$316:N970,7,0)*100),"")</f>
        <v/>
      </c>
      <c r="F2021" s="497"/>
      <c r="G2021" s="502" t="str">
        <f ca="1">IFERROR(IF(VLOOKUP(C2021,' Disaggregation - Section E '!A$316:N970,6,0)="","",VLOOKUP(C2021,' Disaggregation - Section E '!A$316:N970,6,0)),"")</f>
        <v/>
      </c>
      <c r="H2021" s="512" t="str">
        <f ca="1">IFERROR(IF(INDEX(' Disaggregation - Section E '!F$313:F970,MATCH(C2021,' Disaggregation - Section E '!A$313:A970,0)+1,1)&lt;&gt;0,INDEX(' Disaggregation - Section E '!F$313:F970,MATCH(C2021,' Disaggregation - Section E '!A$313:A970,0)+1,1),""),"")</f>
        <v/>
      </c>
      <c r="I2021" s="503" t="str">
        <f ca="1">IFERROR(IF(VLOOKUP(C2021,' Disaggregation - Section E '!A$316:N970,8,0)=0,"",VLOOKUP(C2021,' Disaggregation - Section E '!A$316:N970,8,0)),"")</f>
        <v/>
      </c>
      <c r="J2021" s="503" t="str">
        <f ca="1">IFERROR(IF(VLOOKUP(C2021,' Disaggregation - Section E '!A$316:N970,13,0)=0,"",VLOOKUP(C2021,' Disaggregation - Section E '!A$316:N970,13,0)),"")</f>
        <v/>
      </c>
      <c r="K2021" s="497" t="str">
        <f ca="1">IFERROR(VLOOKUP(C2021,' Disaggregation - Section E '!A$316:N970,3,0),"")</f>
        <v/>
      </c>
      <c r="L2021" s="503" t="str">
        <f ca="1">IFERROR(IF(VLOOKUP(C2021,' Disaggregation - Section E '!A$316:N970,14,0)=0,"",VLOOKUP(C2021,' Disaggregation - Section E '!A$316:N970,14,0)),"")</f>
        <v/>
      </c>
      <c r="M2021" s="497" t="str">
        <f ca="1">IFERROR(IF(VLOOKUP(C2021,' Disaggregation - Section E '!A$316:T970,20,0)=0,"",VLOOKUP(C2021,' Disaggregation - Section E '!A$316:T970,20,0)),"")</f>
        <v/>
      </c>
      <c r="N2021" s="503" t="str">
        <f ca="1">IFERROR(IF(VLOOKUP(C2021,' Disaggregation - Section E '!A$316:N970,9,0)=0,"",VLOOKUP(C2021,' Disaggregation - Section E '!A$316:N970,9,0)),"")</f>
        <v/>
      </c>
      <c r="O2021" s="503" t="str">
        <f ca="1">IFERROR(IF(VLOOKUP(C2021,' Disaggregation - Section E '!A$315:N970,10,0)=0,"",VLOOKUP(C2021,' Disaggregation - Section E '!A$316:N970,10,0)),"")</f>
        <v/>
      </c>
    </row>
    <row r="2022" spans="1:15" x14ac:dyDescent="0.35">
      <c r="A2022" s="497" t="b">
        <f t="shared" ca="1" si="221"/>
        <v>0</v>
      </c>
      <c r="B2022" s="497"/>
      <c r="C2022" s="517" t="str">
        <f ca="1">IF(COUNTA(D$1665:D2022)=1,"",OFFSET(C2022,-COUNTA(D$1665:D2022)+1,0))</f>
        <v>a1V3p000006jwBHEAY</v>
      </c>
      <c r="D2022" s="512"/>
      <c r="E2022" s="500" t="str">
        <f ca="1">IFERROR(IF(VLOOKUP(C2022,' Disaggregation - Section E '!A$316:N971,7,0)="","",VLOOKUP(C2022,' Disaggregation - Section E '!A$316:N971,7,0)*100),"")</f>
        <v/>
      </c>
      <c r="F2022" s="497"/>
      <c r="G2022" s="502" t="str">
        <f ca="1">IFERROR(IF(VLOOKUP(C2022,' Disaggregation - Section E '!A$316:N971,6,0)="","",VLOOKUP(C2022,' Disaggregation - Section E '!A$316:N971,6,0)),"")</f>
        <v/>
      </c>
      <c r="H2022" s="512" t="str">
        <f ca="1">IFERROR(IF(INDEX(' Disaggregation - Section E '!F$313:F971,MATCH(C2022,' Disaggregation - Section E '!A$313:A971,0)+1,1)&lt;&gt;0,INDEX(' Disaggregation - Section E '!F$313:F971,MATCH(C2022,' Disaggregation - Section E '!A$313:A971,0)+1,1),""),"")</f>
        <v/>
      </c>
      <c r="I2022" s="503" t="str">
        <f ca="1">IFERROR(IF(VLOOKUP(C2022,' Disaggregation - Section E '!A$316:N971,8,0)=0,"",VLOOKUP(C2022,' Disaggregation - Section E '!A$316:N971,8,0)),"")</f>
        <v/>
      </c>
      <c r="J2022" s="503" t="str">
        <f ca="1">IFERROR(IF(VLOOKUP(C2022,' Disaggregation - Section E '!A$316:N971,13,0)=0,"",VLOOKUP(C2022,' Disaggregation - Section E '!A$316:N971,13,0)),"")</f>
        <v/>
      </c>
      <c r="K2022" s="497" t="str">
        <f ca="1">IFERROR(VLOOKUP(C2022,' Disaggregation - Section E '!A$316:N971,3,0),"")</f>
        <v/>
      </c>
      <c r="L2022" s="503" t="str">
        <f ca="1">IFERROR(IF(VLOOKUP(C2022,' Disaggregation - Section E '!A$316:N971,14,0)=0,"",VLOOKUP(C2022,' Disaggregation - Section E '!A$316:N971,14,0)),"")</f>
        <v/>
      </c>
      <c r="M2022" s="497" t="str">
        <f ca="1">IFERROR(IF(VLOOKUP(C2022,' Disaggregation - Section E '!A$316:T971,20,0)=0,"",VLOOKUP(C2022,' Disaggregation - Section E '!A$316:T971,20,0)),"")</f>
        <v/>
      </c>
      <c r="N2022" s="503" t="str">
        <f ca="1">IFERROR(IF(VLOOKUP(C2022,' Disaggregation - Section E '!A$316:N971,9,0)=0,"",VLOOKUP(C2022,' Disaggregation - Section E '!A$316:N971,9,0)),"")</f>
        <v/>
      </c>
      <c r="O2022" s="503" t="str">
        <f ca="1">IFERROR(IF(VLOOKUP(C2022,' Disaggregation - Section E '!A$315:N971,10,0)=0,"",VLOOKUP(C2022,' Disaggregation - Section E '!A$316:N971,10,0)),"")</f>
        <v/>
      </c>
    </row>
    <row r="2023" spans="1:15" x14ac:dyDescent="0.35">
      <c r="A2023" s="497" t="b">
        <f t="shared" ca="1" si="221"/>
        <v>0</v>
      </c>
      <c r="B2023" s="497"/>
      <c r="C2023" s="517" t="str">
        <f ca="1">IF(COUNTA(D$1665:D2023)=1,"",OFFSET(C2023,-COUNTA(D$1665:D2023)+1,0))</f>
        <v>a1V3p000006jwBIEAY</v>
      </c>
      <c r="D2023" s="512"/>
      <c r="E2023" s="500" t="str">
        <f ca="1">IFERROR(IF(VLOOKUP(C2023,' Disaggregation - Section E '!A$316:N972,7,0)="","",VLOOKUP(C2023,' Disaggregation - Section E '!A$316:N972,7,0)*100),"")</f>
        <v/>
      </c>
      <c r="F2023" s="497"/>
      <c r="G2023" s="502" t="str">
        <f ca="1">IFERROR(IF(VLOOKUP(C2023,' Disaggregation - Section E '!A$316:N972,6,0)="","",VLOOKUP(C2023,' Disaggregation - Section E '!A$316:N972,6,0)),"")</f>
        <v/>
      </c>
      <c r="H2023" s="512" t="str">
        <f ca="1">IFERROR(IF(INDEX(' Disaggregation - Section E '!F$313:F972,MATCH(C2023,' Disaggregation - Section E '!A$313:A972,0)+1,1)&lt;&gt;0,INDEX(' Disaggregation - Section E '!F$313:F972,MATCH(C2023,' Disaggregation - Section E '!A$313:A972,0)+1,1),""),"")</f>
        <v/>
      </c>
      <c r="I2023" s="503" t="str">
        <f ca="1">IFERROR(IF(VLOOKUP(C2023,' Disaggregation - Section E '!A$316:N972,8,0)=0,"",VLOOKUP(C2023,' Disaggregation - Section E '!A$316:N972,8,0)),"")</f>
        <v/>
      </c>
      <c r="J2023" s="503" t="str">
        <f ca="1">IFERROR(IF(VLOOKUP(C2023,' Disaggregation - Section E '!A$316:N972,13,0)=0,"",VLOOKUP(C2023,' Disaggregation - Section E '!A$316:N972,13,0)),"")</f>
        <v/>
      </c>
      <c r="K2023" s="497" t="str">
        <f ca="1">IFERROR(VLOOKUP(C2023,' Disaggregation - Section E '!A$316:N972,3,0),"")</f>
        <v/>
      </c>
      <c r="L2023" s="503" t="str">
        <f ca="1">IFERROR(IF(VLOOKUP(C2023,' Disaggregation - Section E '!A$316:N972,14,0)=0,"",VLOOKUP(C2023,' Disaggregation - Section E '!A$316:N972,14,0)),"")</f>
        <v/>
      </c>
      <c r="M2023" s="497" t="str">
        <f ca="1">IFERROR(IF(VLOOKUP(C2023,' Disaggregation - Section E '!A$316:T972,20,0)=0,"",VLOOKUP(C2023,' Disaggregation - Section E '!A$316:T972,20,0)),"")</f>
        <v/>
      </c>
      <c r="N2023" s="503" t="str">
        <f ca="1">IFERROR(IF(VLOOKUP(C2023,' Disaggregation - Section E '!A$316:N972,9,0)=0,"",VLOOKUP(C2023,' Disaggregation - Section E '!A$316:N972,9,0)),"")</f>
        <v/>
      </c>
      <c r="O2023" s="503" t="str">
        <f ca="1">IFERROR(IF(VLOOKUP(C2023,' Disaggregation - Section E '!A$315:N972,10,0)=0,"",VLOOKUP(C2023,' Disaggregation - Section E '!A$316:N972,10,0)),"")</f>
        <v/>
      </c>
    </row>
    <row r="2024" spans="1:15" x14ac:dyDescent="0.35">
      <c r="A2024" s="497" t="b">
        <f t="shared" ca="1" si="221"/>
        <v>0</v>
      </c>
      <c r="B2024" s="497"/>
      <c r="C2024" s="517" t="str">
        <f ca="1">IF(COUNTA(D$1665:D2024)=1,"",OFFSET(C2024,-COUNTA(D$1665:D2024)+1,0))</f>
        <v>a1V3p000006jwBJEAY</v>
      </c>
      <c r="D2024" s="512"/>
      <c r="E2024" s="500" t="str">
        <f ca="1">IFERROR(IF(VLOOKUP(C2024,' Disaggregation - Section E '!A$316:N973,7,0)="","",VLOOKUP(C2024,' Disaggregation - Section E '!A$316:N973,7,0)*100),"")</f>
        <v/>
      </c>
      <c r="F2024" s="497"/>
      <c r="G2024" s="502" t="str">
        <f ca="1">IFERROR(IF(VLOOKUP(C2024,' Disaggregation - Section E '!A$316:N973,6,0)="","",VLOOKUP(C2024,' Disaggregation - Section E '!A$316:N973,6,0)),"")</f>
        <v/>
      </c>
      <c r="H2024" s="512" t="str">
        <f ca="1">IFERROR(IF(INDEX(' Disaggregation - Section E '!F$313:F973,MATCH(C2024,' Disaggregation - Section E '!A$313:A973,0)+1,1)&lt;&gt;0,INDEX(' Disaggregation - Section E '!F$313:F973,MATCH(C2024,' Disaggregation - Section E '!A$313:A973,0)+1,1),""),"")</f>
        <v/>
      </c>
      <c r="I2024" s="503" t="str">
        <f ca="1">IFERROR(IF(VLOOKUP(C2024,' Disaggregation - Section E '!A$316:N973,8,0)=0,"",VLOOKUP(C2024,' Disaggregation - Section E '!A$316:N973,8,0)),"")</f>
        <v/>
      </c>
      <c r="J2024" s="503" t="str">
        <f ca="1">IFERROR(IF(VLOOKUP(C2024,' Disaggregation - Section E '!A$316:N973,13,0)=0,"",VLOOKUP(C2024,' Disaggregation - Section E '!A$316:N973,13,0)),"")</f>
        <v/>
      </c>
      <c r="K2024" s="497" t="str">
        <f ca="1">IFERROR(VLOOKUP(C2024,' Disaggregation - Section E '!A$316:N973,3,0),"")</f>
        <v/>
      </c>
      <c r="L2024" s="503" t="str">
        <f ca="1">IFERROR(IF(VLOOKUP(C2024,' Disaggregation - Section E '!A$316:N973,14,0)=0,"",VLOOKUP(C2024,' Disaggregation - Section E '!A$316:N973,14,0)),"")</f>
        <v/>
      </c>
      <c r="M2024" s="497" t="str">
        <f ca="1">IFERROR(IF(VLOOKUP(C2024,' Disaggregation - Section E '!A$316:T973,20,0)=0,"",VLOOKUP(C2024,' Disaggregation - Section E '!A$316:T973,20,0)),"")</f>
        <v/>
      </c>
      <c r="N2024" s="503" t="str">
        <f ca="1">IFERROR(IF(VLOOKUP(C2024,' Disaggregation - Section E '!A$316:N973,9,0)=0,"",VLOOKUP(C2024,' Disaggregation - Section E '!A$316:N973,9,0)),"")</f>
        <v/>
      </c>
      <c r="O2024" s="503" t="str">
        <f ca="1">IFERROR(IF(VLOOKUP(C2024,' Disaggregation - Section E '!A$315:N973,10,0)=0,"",VLOOKUP(C2024,' Disaggregation - Section E '!A$316:N973,10,0)),"")</f>
        <v/>
      </c>
    </row>
    <row r="2025" spans="1:15" x14ac:dyDescent="0.35">
      <c r="A2025" s="497" t="b">
        <f t="shared" ca="1" si="221"/>
        <v>0</v>
      </c>
      <c r="B2025" s="497"/>
      <c r="C2025" s="517" t="str">
        <f ca="1">IF(COUNTA(D$1665:D2025)=1,"",OFFSET(C2025,-COUNTA(D$1665:D2025)+1,0))</f>
        <v>a1V3p000006jwBKEAY</v>
      </c>
      <c r="D2025" s="512"/>
      <c r="E2025" s="500" t="str">
        <f ca="1">IFERROR(IF(VLOOKUP(C2025,' Disaggregation - Section E '!A$316:N974,7,0)="","",VLOOKUP(C2025,' Disaggregation - Section E '!A$316:N974,7,0)*100),"")</f>
        <v/>
      </c>
      <c r="F2025" s="497"/>
      <c r="G2025" s="502" t="str">
        <f ca="1">IFERROR(IF(VLOOKUP(C2025,' Disaggregation - Section E '!A$316:N974,6,0)="","",VLOOKUP(C2025,' Disaggregation - Section E '!A$316:N974,6,0)),"")</f>
        <v/>
      </c>
      <c r="H2025" s="512" t="str">
        <f ca="1">IFERROR(IF(INDEX(' Disaggregation - Section E '!F$313:F974,MATCH(C2025,' Disaggregation - Section E '!A$313:A974,0)+1,1)&lt;&gt;0,INDEX(' Disaggregation - Section E '!F$313:F974,MATCH(C2025,' Disaggregation - Section E '!A$313:A974,0)+1,1),""),"")</f>
        <v/>
      </c>
      <c r="I2025" s="503" t="str">
        <f ca="1">IFERROR(IF(VLOOKUP(C2025,' Disaggregation - Section E '!A$316:N974,8,0)=0,"",VLOOKUP(C2025,' Disaggregation - Section E '!A$316:N974,8,0)),"")</f>
        <v/>
      </c>
      <c r="J2025" s="503" t="str">
        <f ca="1">IFERROR(IF(VLOOKUP(C2025,' Disaggregation - Section E '!A$316:N974,13,0)=0,"",VLOOKUP(C2025,' Disaggregation - Section E '!A$316:N974,13,0)),"")</f>
        <v/>
      </c>
      <c r="K2025" s="497" t="str">
        <f ca="1">IFERROR(VLOOKUP(C2025,' Disaggregation - Section E '!A$316:N974,3,0),"")</f>
        <v/>
      </c>
      <c r="L2025" s="503" t="str">
        <f ca="1">IFERROR(IF(VLOOKUP(C2025,' Disaggregation - Section E '!A$316:N974,14,0)=0,"",VLOOKUP(C2025,' Disaggregation - Section E '!A$316:N974,14,0)),"")</f>
        <v/>
      </c>
      <c r="M2025" s="497" t="str">
        <f ca="1">IFERROR(IF(VLOOKUP(C2025,' Disaggregation - Section E '!A$316:T974,20,0)=0,"",VLOOKUP(C2025,' Disaggregation - Section E '!A$316:T974,20,0)),"")</f>
        <v/>
      </c>
      <c r="N2025" s="503" t="str">
        <f ca="1">IFERROR(IF(VLOOKUP(C2025,' Disaggregation - Section E '!A$316:N974,9,0)=0,"",VLOOKUP(C2025,' Disaggregation - Section E '!A$316:N974,9,0)),"")</f>
        <v/>
      </c>
      <c r="O2025" s="503" t="str">
        <f ca="1">IFERROR(IF(VLOOKUP(C2025,' Disaggregation - Section E '!A$315:N974,10,0)=0,"",VLOOKUP(C2025,' Disaggregation - Section E '!A$316:N974,10,0)),"")</f>
        <v/>
      </c>
    </row>
    <row r="2026" spans="1:15" x14ac:dyDescent="0.35">
      <c r="A2026" s="497" t="b">
        <f t="shared" ca="1" si="221"/>
        <v>0</v>
      </c>
      <c r="B2026" s="497"/>
      <c r="C2026" s="517" t="str">
        <f ca="1">IF(COUNTA(D$1665:D2026)=1,"",OFFSET(C2026,-COUNTA(D$1665:D2026)+1,0))</f>
        <v>a1V3p000006jwBLEAY</v>
      </c>
      <c r="D2026" s="512"/>
      <c r="E2026" s="500" t="str">
        <f ca="1">IFERROR(IF(VLOOKUP(C2026,' Disaggregation - Section E '!A$316:N975,7,0)="","",VLOOKUP(C2026,' Disaggregation - Section E '!A$316:N975,7,0)*100),"")</f>
        <v/>
      </c>
      <c r="F2026" s="497"/>
      <c r="G2026" s="502" t="str">
        <f ca="1">IFERROR(IF(VLOOKUP(C2026,' Disaggregation - Section E '!A$316:N975,6,0)="","",VLOOKUP(C2026,' Disaggregation - Section E '!A$316:N975,6,0)),"")</f>
        <v/>
      </c>
      <c r="H2026" s="512" t="str">
        <f ca="1">IFERROR(IF(INDEX(' Disaggregation - Section E '!F$313:F975,MATCH(C2026,' Disaggregation - Section E '!A$313:A975,0)+1,1)&lt;&gt;0,INDEX(' Disaggregation - Section E '!F$313:F975,MATCH(C2026,' Disaggregation - Section E '!A$313:A975,0)+1,1),""),"")</f>
        <v/>
      </c>
      <c r="I2026" s="503" t="str">
        <f ca="1">IFERROR(IF(VLOOKUP(C2026,' Disaggregation - Section E '!A$316:N975,8,0)=0,"",VLOOKUP(C2026,' Disaggregation - Section E '!A$316:N975,8,0)),"")</f>
        <v/>
      </c>
      <c r="J2026" s="503" t="str">
        <f ca="1">IFERROR(IF(VLOOKUP(C2026,' Disaggregation - Section E '!A$316:N975,13,0)=0,"",VLOOKUP(C2026,' Disaggregation - Section E '!A$316:N975,13,0)),"")</f>
        <v/>
      </c>
      <c r="K2026" s="497" t="str">
        <f ca="1">IFERROR(VLOOKUP(C2026,' Disaggregation - Section E '!A$316:N975,3,0),"")</f>
        <v/>
      </c>
      <c r="L2026" s="503" t="str">
        <f ca="1">IFERROR(IF(VLOOKUP(C2026,' Disaggregation - Section E '!A$316:N975,14,0)=0,"",VLOOKUP(C2026,' Disaggregation - Section E '!A$316:N975,14,0)),"")</f>
        <v/>
      </c>
      <c r="M2026" s="497" t="str">
        <f ca="1">IFERROR(IF(VLOOKUP(C2026,' Disaggregation - Section E '!A$316:T975,20,0)=0,"",VLOOKUP(C2026,' Disaggregation - Section E '!A$316:T975,20,0)),"")</f>
        <v/>
      </c>
      <c r="N2026" s="503" t="str">
        <f ca="1">IFERROR(IF(VLOOKUP(C2026,' Disaggregation - Section E '!A$316:N975,9,0)=0,"",VLOOKUP(C2026,' Disaggregation - Section E '!A$316:N975,9,0)),"")</f>
        <v/>
      </c>
      <c r="O2026" s="503" t="str">
        <f ca="1">IFERROR(IF(VLOOKUP(C2026,' Disaggregation - Section E '!A$315:N975,10,0)=0,"",VLOOKUP(C2026,' Disaggregation - Section E '!A$316:N975,10,0)),"")</f>
        <v/>
      </c>
    </row>
    <row r="2027" spans="1:15" x14ac:dyDescent="0.35">
      <c r="A2027" s="497" t="b">
        <f t="shared" ca="1" si="221"/>
        <v>0</v>
      </c>
      <c r="B2027" s="497"/>
      <c r="C2027" s="517" t="str">
        <f ca="1">IF(COUNTA(D$1665:D2027)=1,"",OFFSET(C2027,-COUNTA(D$1665:D2027)+1,0))</f>
        <v>a1V3p000006jw8wEAA</v>
      </c>
      <c r="D2027" s="512"/>
      <c r="E2027" s="500" t="str">
        <f ca="1">IFERROR(IF(VLOOKUP(C2027,' Disaggregation - Section E '!A$316:N976,7,0)="","",VLOOKUP(C2027,' Disaggregation - Section E '!A$316:N976,7,0)*100),"")</f>
        <v/>
      </c>
      <c r="F2027" s="497"/>
      <c r="G2027" s="502" t="str">
        <f ca="1">IFERROR(IF(VLOOKUP(C2027,' Disaggregation - Section E '!A$316:N976,6,0)="","",VLOOKUP(C2027,' Disaggregation - Section E '!A$316:N976,6,0)),"")</f>
        <v/>
      </c>
      <c r="H2027" s="512" t="str">
        <f ca="1">IFERROR(IF(INDEX(' Disaggregation - Section E '!F$313:F976,MATCH(C2027,' Disaggregation - Section E '!A$313:A976,0)+1,1)&lt;&gt;0,INDEX(' Disaggregation - Section E '!F$313:F976,MATCH(C2027,' Disaggregation - Section E '!A$313:A976,0)+1,1),""),"")</f>
        <v/>
      </c>
      <c r="I2027" s="503" t="str">
        <f ca="1">IFERROR(IF(VLOOKUP(C2027,' Disaggregation - Section E '!A$316:N976,8,0)=0,"",VLOOKUP(C2027,' Disaggregation - Section E '!A$316:N976,8,0)),"")</f>
        <v/>
      </c>
      <c r="J2027" s="503" t="str">
        <f ca="1">IFERROR(IF(VLOOKUP(C2027,' Disaggregation - Section E '!A$316:N976,13,0)=0,"",VLOOKUP(C2027,' Disaggregation - Section E '!A$316:N976,13,0)),"")</f>
        <v/>
      </c>
      <c r="K2027" s="497" t="str">
        <f ca="1">IFERROR(VLOOKUP(C2027,' Disaggregation - Section E '!A$316:N976,3,0),"")</f>
        <v/>
      </c>
      <c r="L2027" s="503" t="str">
        <f ca="1">IFERROR(IF(VLOOKUP(C2027,' Disaggregation - Section E '!A$316:N976,14,0)=0,"",VLOOKUP(C2027,' Disaggregation - Section E '!A$316:N976,14,0)),"")</f>
        <v/>
      </c>
      <c r="M2027" s="497" t="str">
        <f ca="1">IFERROR(IF(VLOOKUP(C2027,' Disaggregation - Section E '!A$316:T976,20,0)=0,"",VLOOKUP(C2027,' Disaggregation - Section E '!A$316:T976,20,0)),"")</f>
        <v/>
      </c>
      <c r="N2027" s="503" t="str">
        <f ca="1">IFERROR(IF(VLOOKUP(C2027,' Disaggregation - Section E '!A$316:N976,9,0)=0,"",VLOOKUP(C2027,' Disaggregation - Section E '!A$316:N976,9,0)),"")</f>
        <v/>
      </c>
      <c r="O2027" s="503" t="str">
        <f ca="1">IFERROR(IF(VLOOKUP(C2027,' Disaggregation - Section E '!A$315:N976,10,0)=0,"",VLOOKUP(C2027,' Disaggregation - Section E '!A$316:N976,10,0)),"")</f>
        <v/>
      </c>
    </row>
    <row r="2028" spans="1:15" x14ac:dyDescent="0.35">
      <c r="A2028" s="497" t="b">
        <f t="shared" ca="1" si="221"/>
        <v>0</v>
      </c>
      <c r="B2028" s="497"/>
      <c r="C2028" s="517" t="str">
        <f ca="1">IF(COUNTA(D$1665:D2028)=1,"",OFFSET(C2028,-COUNTA(D$1665:D2028)+1,0))</f>
        <v>a1V3p000006jw8xEAA</v>
      </c>
      <c r="D2028" s="512"/>
      <c r="E2028" s="500" t="str">
        <f ca="1">IFERROR(IF(VLOOKUP(C2028,' Disaggregation - Section E '!A$316:N977,7,0)="","",VLOOKUP(C2028,' Disaggregation - Section E '!A$316:N977,7,0)*100),"")</f>
        <v/>
      </c>
      <c r="F2028" s="497"/>
      <c r="G2028" s="502" t="str">
        <f ca="1">IFERROR(IF(VLOOKUP(C2028,' Disaggregation - Section E '!A$316:N977,6,0)="","",VLOOKUP(C2028,' Disaggregation - Section E '!A$316:N977,6,0)),"")</f>
        <v/>
      </c>
      <c r="H2028" s="512" t="str">
        <f ca="1">IFERROR(IF(INDEX(' Disaggregation - Section E '!F$313:F977,MATCH(C2028,' Disaggregation - Section E '!A$313:A977,0)+1,1)&lt;&gt;0,INDEX(' Disaggregation - Section E '!F$313:F977,MATCH(C2028,' Disaggregation - Section E '!A$313:A977,0)+1,1),""),"")</f>
        <v/>
      </c>
      <c r="I2028" s="503" t="str">
        <f ca="1">IFERROR(IF(VLOOKUP(C2028,' Disaggregation - Section E '!A$316:N977,8,0)=0,"",VLOOKUP(C2028,' Disaggregation - Section E '!A$316:N977,8,0)),"")</f>
        <v/>
      </c>
      <c r="J2028" s="503" t="str">
        <f ca="1">IFERROR(IF(VLOOKUP(C2028,' Disaggregation - Section E '!A$316:N977,13,0)=0,"",VLOOKUP(C2028,' Disaggregation - Section E '!A$316:N977,13,0)),"")</f>
        <v/>
      </c>
      <c r="K2028" s="497" t="str">
        <f ca="1">IFERROR(VLOOKUP(C2028,' Disaggregation - Section E '!A$316:N977,3,0),"")</f>
        <v/>
      </c>
      <c r="L2028" s="503" t="str">
        <f ca="1">IFERROR(IF(VLOOKUP(C2028,' Disaggregation - Section E '!A$316:N977,14,0)=0,"",VLOOKUP(C2028,' Disaggregation - Section E '!A$316:N977,14,0)),"")</f>
        <v/>
      </c>
      <c r="M2028" s="497" t="str">
        <f ca="1">IFERROR(IF(VLOOKUP(C2028,' Disaggregation - Section E '!A$316:T977,20,0)=0,"",VLOOKUP(C2028,' Disaggregation - Section E '!A$316:T977,20,0)),"")</f>
        <v/>
      </c>
      <c r="N2028" s="503" t="str">
        <f ca="1">IFERROR(IF(VLOOKUP(C2028,' Disaggregation - Section E '!A$316:N977,9,0)=0,"",VLOOKUP(C2028,' Disaggregation - Section E '!A$316:N977,9,0)),"")</f>
        <v/>
      </c>
      <c r="O2028" s="503" t="str">
        <f ca="1">IFERROR(IF(VLOOKUP(C2028,' Disaggregation - Section E '!A$315:N977,10,0)=0,"",VLOOKUP(C2028,' Disaggregation - Section E '!A$316:N977,10,0)),"")</f>
        <v/>
      </c>
    </row>
    <row r="2029" spans="1:15" x14ac:dyDescent="0.35">
      <c r="A2029" s="497" t="b">
        <f t="shared" ca="1" si="221"/>
        <v>0</v>
      </c>
      <c r="B2029" s="497"/>
      <c r="C2029" s="517" t="str">
        <f ca="1">IF(COUNTA(D$1665:D2029)=1,"",OFFSET(C2029,-COUNTA(D$1665:D2029)+1,0))</f>
        <v>a1V3p000006jw8yEAA</v>
      </c>
      <c r="D2029" s="512"/>
      <c r="E2029" s="500" t="str">
        <f ca="1">IFERROR(IF(VLOOKUP(C2029,' Disaggregation - Section E '!A$316:N978,7,0)="","",VLOOKUP(C2029,' Disaggregation - Section E '!A$316:N978,7,0)*100),"")</f>
        <v/>
      </c>
      <c r="F2029" s="497"/>
      <c r="G2029" s="502" t="str">
        <f ca="1">IFERROR(IF(VLOOKUP(C2029,' Disaggregation - Section E '!A$316:N978,6,0)="","",VLOOKUP(C2029,' Disaggregation - Section E '!A$316:N978,6,0)),"")</f>
        <v/>
      </c>
      <c r="H2029" s="512" t="str">
        <f ca="1">IFERROR(IF(INDEX(' Disaggregation - Section E '!F$313:F978,MATCH(C2029,' Disaggregation - Section E '!A$313:A978,0)+1,1)&lt;&gt;0,INDEX(' Disaggregation - Section E '!F$313:F978,MATCH(C2029,' Disaggregation - Section E '!A$313:A978,0)+1,1),""),"")</f>
        <v/>
      </c>
      <c r="I2029" s="503" t="str">
        <f ca="1">IFERROR(IF(VLOOKUP(C2029,' Disaggregation - Section E '!A$316:N978,8,0)=0,"",VLOOKUP(C2029,' Disaggregation - Section E '!A$316:N978,8,0)),"")</f>
        <v/>
      </c>
      <c r="J2029" s="503" t="str">
        <f ca="1">IFERROR(IF(VLOOKUP(C2029,' Disaggregation - Section E '!A$316:N978,13,0)=0,"",VLOOKUP(C2029,' Disaggregation - Section E '!A$316:N978,13,0)),"")</f>
        <v/>
      </c>
      <c r="K2029" s="497" t="str">
        <f ca="1">IFERROR(VLOOKUP(C2029,' Disaggregation - Section E '!A$316:N978,3,0),"")</f>
        <v/>
      </c>
      <c r="L2029" s="503" t="str">
        <f ca="1">IFERROR(IF(VLOOKUP(C2029,' Disaggregation - Section E '!A$316:N978,14,0)=0,"",VLOOKUP(C2029,' Disaggregation - Section E '!A$316:N978,14,0)),"")</f>
        <v/>
      </c>
      <c r="M2029" s="497" t="str">
        <f ca="1">IFERROR(IF(VLOOKUP(C2029,' Disaggregation - Section E '!A$316:T978,20,0)=0,"",VLOOKUP(C2029,' Disaggregation - Section E '!A$316:T978,20,0)),"")</f>
        <v/>
      </c>
      <c r="N2029" s="503" t="str">
        <f ca="1">IFERROR(IF(VLOOKUP(C2029,' Disaggregation - Section E '!A$316:N978,9,0)=0,"",VLOOKUP(C2029,' Disaggregation - Section E '!A$316:N978,9,0)),"")</f>
        <v/>
      </c>
      <c r="O2029" s="503" t="str">
        <f ca="1">IFERROR(IF(VLOOKUP(C2029,' Disaggregation - Section E '!A$315:N978,10,0)=0,"",VLOOKUP(C2029,' Disaggregation - Section E '!A$316:N978,10,0)),"")</f>
        <v/>
      </c>
    </row>
    <row r="2030" spans="1:15" x14ac:dyDescent="0.35">
      <c r="A2030" s="497" t="b">
        <f t="shared" ca="1" si="221"/>
        <v>0</v>
      </c>
      <c r="B2030" s="497"/>
      <c r="C2030" s="517" t="str">
        <f ca="1">IF(COUNTA(D$1665:D2030)=1,"",OFFSET(C2030,-COUNTA(D$1665:D2030)+1,0))</f>
        <v>a1V3p000006jw8zEAA</v>
      </c>
      <c r="D2030" s="512"/>
      <c r="E2030" s="500" t="str">
        <f ca="1">IFERROR(IF(VLOOKUP(C2030,' Disaggregation - Section E '!A$316:N979,7,0)="","",VLOOKUP(C2030,' Disaggregation - Section E '!A$316:N979,7,0)*100),"")</f>
        <v/>
      </c>
      <c r="F2030" s="497"/>
      <c r="G2030" s="502" t="str">
        <f ca="1">IFERROR(IF(VLOOKUP(C2030,' Disaggregation - Section E '!A$316:N979,6,0)="","",VLOOKUP(C2030,' Disaggregation - Section E '!A$316:N979,6,0)),"")</f>
        <v/>
      </c>
      <c r="H2030" s="512" t="str">
        <f ca="1">IFERROR(IF(INDEX(' Disaggregation - Section E '!F$313:F979,MATCH(C2030,' Disaggregation - Section E '!A$313:A979,0)+1,1)&lt;&gt;0,INDEX(' Disaggregation - Section E '!F$313:F979,MATCH(C2030,' Disaggregation - Section E '!A$313:A979,0)+1,1),""),"")</f>
        <v/>
      </c>
      <c r="I2030" s="503" t="str">
        <f ca="1">IFERROR(IF(VLOOKUP(C2030,' Disaggregation - Section E '!A$316:N979,8,0)=0,"",VLOOKUP(C2030,' Disaggregation - Section E '!A$316:N979,8,0)),"")</f>
        <v/>
      </c>
      <c r="J2030" s="503" t="str">
        <f ca="1">IFERROR(IF(VLOOKUP(C2030,' Disaggregation - Section E '!A$316:N979,13,0)=0,"",VLOOKUP(C2030,' Disaggregation - Section E '!A$316:N979,13,0)),"")</f>
        <v/>
      </c>
      <c r="K2030" s="497" t="str">
        <f ca="1">IFERROR(VLOOKUP(C2030,' Disaggregation - Section E '!A$316:N979,3,0),"")</f>
        <v/>
      </c>
      <c r="L2030" s="503" t="str">
        <f ca="1">IFERROR(IF(VLOOKUP(C2030,' Disaggregation - Section E '!A$316:N979,14,0)=0,"",VLOOKUP(C2030,' Disaggregation - Section E '!A$316:N979,14,0)),"")</f>
        <v/>
      </c>
      <c r="M2030" s="497" t="str">
        <f ca="1">IFERROR(IF(VLOOKUP(C2030,' Disaggregation - Section E '!A$316:T979,20,0)=0,"",VLOOKUP(C2030,' Disaggregation - Section E '!A$316:T979,20,0)),"")</f>
        <v/>
      </c>
      <c r="N2030" s="503" t="str">
        <f ca="1">IFERROR(IF(VLOOKUP(C2030,' Disaggregation - Section E '!A$316:N979,9,0)=0,"",VLOOKUP(C2030,' Disaggregation - Section E '!A$316:N979,9,0)),"")</f>
        <v/>
      </c>
      <c r="O2030" s="503" t="str">
        <f ca="1">IFERROR(IF(VLOOKUP(C2030,' Disaggregation - Section E '!A$315:N979,10,0)=0,"",VLOOKUP(C2030,' Disaggregation - Section E '!A$316:N979,10,0)),"")</f>
        <v/>
      </c>
    </row>
    <row r="2031" spans="1:15" x14ac:dyDescent="0.35">
      <c r="A2031" s="497" t="b">
        <f t="shared" ref="A2031:A2094" ca="1" si="222">IF(M2031&lt;&gt;"",TRUE,FALSE)</f>
        <v>0</v>
      </c>
      <c r="B2031" s="497"/>
      <c r="C2031" s="517" t="str">
        <f ca="1">IF(COUNTA(D$1665:D2031)=1,"",OFFSET(C2031,-COUNTA(D$1665:D2031)+1,0))</f>
        <v>a1V3p000006jw90EAA</v>
      </c>
      <c r="D2031" s="512"/>
      <c r="E2031" s="500" t="str">
        <f ca="1">IFERROR(IF(VLOOKUP(C2031,' Disaggregation - Section E '!A$316:N980,7,0)="","",VLOOKUP(C2031,' Disaggregation - Section E '!A$316:N980,7,0)*100),"")</f>
        <v/>
      </c>
      <c r="F2031" s="497"/>
      <c r="G2031" s="502" t="str">
        <f ca="1">IFERROR(IF(VLOOKUP(C2031,' Disaggregation - Section E '!A$316:N980,6,0)="","",VLOOKUP(C2031,' Disaggregation - Section E '!A$316:N980,6,0)),"")</f>
        <v/>
      </c>
      <c r="H2031" s="512" t="str">
        <f ca="1">IFERROR(IF(INDEX(' Disaggregation - Section E '!F$313:F980,MATCH(C2031,' Disaggregation - Section E '!A$313:A980,0)+1,1)&lt;&gt;0,INDEX(' Disaggregation - Section E '!F$313:F980,MATCH(C2031,' Disaggregation - Section E '!A$313:A980,0)+1,1),""),"")</f>
        <v/>
      </c>
      <c r="I2031" s="503" t="str">
        <f ca="1">IFERROR(IF(VLOOKUP(C2031,' Disaggregation - Section E '!A$316:N980,8,0)=0,"",VLOOKUP(C2031,' Disaggregation - Section E '!A$316:N980,8,0)),"")</f>
        <v/>
      </c>
      <c r="J2031" s="503" t="str">
        <f ca="1">IFERROR(IF(VLOOKUP(C2031,' Disaggregation - Section E '!A$316:N980,13,0)=0,"",VLOOKUP(C2031,' Disaggregation - Section E '!A$316:N980,13,0)),"")</f>
        <v/>
      </c>
      <c r="K2031" s="497" t="str">
        <f ca="1">IFERROR(VLOOKUP(C2031,' Disaggregation - Section E '!A$316:N980,3,0),"")</f>
        <v/>
      </c>
      <c r="L2031" s="503" t="str">
        <f ca="1">IFERROR(IF(VLOOKUP(C2031,' Disaggregation - Section E '!A$316:N980,14,0)=0,"",VLOOKUP(C2031,' Disaggregation - Section E '!A$316:N980,14,0)),"")</f>
        <v/>
      </c>
      <c r="M2031" s="497" t="str">
        <f ca="1">IFERROR(IF(VLOOKUP(C2031,' Disaggregation - Section E '!A$316:T980,20,0)=0,"",VLOOKUP(C2031,' Disaggregation - Section E '!A$316:T980,20,0)),"")</f>
        <v/>
      </c>
      <c r="N2031" s="503" t="str">
        <f ca="1">IFERROR(IF(VLOOKUP(C2031,' Disaggregation - Section E '!A$316:N980,9,0)=0,"",VLOOKUP(C2031,' Disaggregation - Section E '!A$316:N980,9,0)),"")</f>
        <v/>
      </c>
      <c r="O2031" s="503" t="str">
        <f ca="1">IFERROR(IF(VLOOKUP(C2031,' Disaggregation - Section E '!A$315:N980,10,0)=0,"",VLOOKUP(C2031,' Disaggregation - Section E '!A$316:N980,10,0)),"")</f>
        <v/>
      </c>
    </row>
    <row r="2032" spans="1:15" x14ac:dyDescent="0.35">
      <c r="A2032" s="497" t="b">
        <f t="shared" ca="1" si="222"/>
        <v>0</v>
      </c>
      <c r="B2032" s="497"/>
      <c r="C2032" s="517" t="str">
        <f ca="1">IF(COUNTA(D$1665:D2032)=1,"",OFFSET(C2032,-COUNTA(D$1665:D2032)+1,0))</f>
        <v>a1V3p000006jw91EAA</v>
      </c>
      <c r="D2032" s="512"/>
      <c r="E2032" s="500" t="str">
        <f ca="1">IFERROR(IF(VLOOKUP(C2032,' Disaggregation - Section E '!A$316:N981,7,0)="","",VLOOKUP(C2032,' Disaggregation - Section E '!A$316:N981,7,0)*100),"")</f>
        <v/>
      </c>
      <c r="F2032" s="497"/>
      <c r="G2032" s="502" t="str">
        <f ca="1">IFERROR(IF(VLOOKUP(C2032,' Disaggregation - Section E '!A$316:N981,6,0)="","",VLOOKUP(C2032,' Disaggregation - Section E '!A$316:N981,6,0)),"")</f>
        <v/>
      </c>
      <c r="H2032" s="512" t="str">
        <f ca="1">IFERROR(IF(INDEX(' Disaggregation - Section E '!F$313:F981,MATCH(C2032,' Disaggregation - Section E '!A$313:A981,0)+1,1)&lt;&gt;0,INDEX(' Disaggregation - Section E '!F$313:F981,MATCH(C2032,' Disaggregation - Section E '!A$313:A981,0)+1,1),""),"")</f>
        <v/>
      </c>
      <c r="I2032" s="503" t="str">
        <f ca="1">IFERROR(IF(VLOOKUP(C2032,' Disaggregation - Section E '!A$316:N981,8,0)=0,"",VLOOKUP(C2032,' Disaggregation - Section E '!A$316:N981,8,0)),"")</f>
        <v/>
      </c>
      <c r="J2032" s="503" t="str">
        <f ca="1">IFERROR(IF(VLOOKUP(C2032,' Disaggregation - Section E '!A$316:N981,13,0)=0,"",VLOOKUP(C2032,' Disaggregation - Section E '!A$316:N981,13,0)),"")</f>
        <v/>
      </c>
      <c r="K2032" s="497" t="str">
        <f ca="1">IFERROR(VLOOKUP(C2032,' Disaggregation - Section E '!A$316:N981,3,0),"")</f>
        <v/>
      </c>
      <c r="L2032" s="503" t="str">
        <f ca="1">IFERROR(IF(VLOOKUP(C2032,' Disaggregation - Section E '!A$316:N981,14,0)=0,"",VLOOKUP(C2032,' Disaggregation - Section E '!A$316:N981,14,0)),"")</f>
        <v/>
      </c>
      <c r="M2032" s="497" t="str">
        <f ca="1">IFERROR(IF(VLOOKUP(C2032,' Disaggregation - Section E '!A$316:T981,20,0)=0,"",VLOOKUP(C2032,' Disaggregation - Section E '!A$316:T981,20,0)),"")</f>
        <v/>
      </c>
      <c r="N2032" s="503" t="str">
        <f ca="1">IFERROR(IF(VLOOKUP(C2032,' Disaggregation - Section E '!A$316:N981,9,0)=0,"",VLOOKUP(C2032,' Disaggregation - Section E '!A$316:N981,9,0)),"")</f>
        <v/>
      </c>
      <c r="O2032" s="503" t="str">
        <f ca="1">IFERROR(IF(VLOOKUP(C2032,' Disaggregation - Section E '!A$315:N981,10,0)=0,"",VLOOKUP(C2032,' Disaggregation - Section E '!A$316:N981,10,0)),"")</f>
        <v/>
      </c>
    </row>
    <row r="2033" spans="1:15" x14ac:dyDescent="0.35">
      <c r="A2033" s="497" t="b">
        <f t="shared" ca="1" si="222"/>
        <v>0</v>
      </c>
      <c r="B2033" s="497"/>
      <c r="C2033" s="517" t="str">
        <f ca="1">IF(COUNTA(D$1665:D2033)=1,"",OFFSET(C2033,-COUNTA(D$1665:D2033)+1,0))</f>
        <v>a1V3p000006jw92EAA</v>
      </c>
      <c r="D2033" s="512"/>
      <c r="E2033" s="500" t="str">
        <f ca="1">IFERROR(IF(VLOOKUP(C2033,' Disaggregation - Section E '!A$316:N982,7,0)="","",VLOOKUP(C2033,' Disaggregation - Section E '!A$316:N982,7,0)*100),"")</f>
        <v/>
      </c>
      <c r="F2033" s="497"/>
      <c r="G2033" s="502" t="str">
        <f ca="1">IFERROR(IF(VLOOKUP(C2033,' Disaggregation - Section E '!A$316:N982,6,0)="","",VLOOKUP(C2033,' Disaggregation - Section E '!A$316:N982,6,0)),"")</f>
        <v/>
      </c>
      <c r="H2033" s="512" t="str">
        <f ca="1">IFERROR(IF(INDEX(' Disaggregation - Section E '!F$313:F982,MATCH(C2033,' Disaggregation - Section E '!A$313:A982,0)+1,1)&lt;&gt;0,INDEX(' Disaggregation - Section E '!F$313:F982,MATCH(C2033,' Disaggregation - Section E '!A$313:A982,0)+1,1),""),"")</f>
        <v/>
      </c>
      <c r="I2033" s="503" t="str">
        <f ca="1">IFERROR(IF(VLOOKUP(C2033,' Disaggregation - Section E '!A$316:N982,8,0)=0,"",VLOOKUP(C2033,' Disaggregation - Section E '!A$316:N982,8,0)),"")</f>
        <v/>
      </c>
      <c r="J2033" s="503" t="str">
        <f ca="1">IFERROR(IF(VLOOKUP(C2033,' Disaggregation - Section E '!A$316:N982,13,0)=0,"",VLOOKUP(C2033,' Disaggregation - Section E '!A$316:N982,13,0)),"")</f>
        <v/>
      </c>
      <c r="K2033" s="497" t="str">
        <f ca="1">IFERROR(VLOOKUP(C2033,' Disaggregation - Section E '!A$316:N982,3,0),"")</f>
        <v/>
      </c>
      <c r="L2033" s="503" t="str">
        <f ca="1">IFERROR(IF(VLOOKUP(C2033,' Disaggregation - Section E '!A$316:N982,14,0)=0,"",VLOOKUP(C2033,' Disaggregation - Section E '!A$316:N982,14,0)),"")</f>
        <v/>
      </c>
      <c r="M2033" s="497" t="str">
        <f ca="1">IFERROR(IF(VLOOKUP(C2033,' Disaggregation - Section E '!A$316:T982,20,0)=0,"",VLOOKUP(C2033,' Disaggregation - Section E '!A$316:T982,20,0)),"")</f>
        <v/>
      </c>
      <c r="N2033" s="503" t="str">
        <f ca="1">IFERROR(IF(VLOOKUP(C2033,' Disaggregation - Section E '!A$316:N982,9,0)=0,"",VLOOKUP(C2033,' Disaggregation - Section E '!A$316:N982,9,0)),"")</f>
        <v/>
      </c>
      <c r="O2033" s="503" t="str">
        <f ca="1">IFERROR(IF(VLOOKUP(C2033,' Disaggregation - Section E '!A$315:N982,10,0)=0,"",VLOOKUP(C2033,' Disaggregation - Section E '!A$316:N982,10,0)),"")</f>
        <v/>
      </c>
    </row>
    <row r="2034" spans="1:15" x14ac:dyDescent="0.35">
      <c r="A2034" s="497" t="b">
        <f t="shared" ca="1" si="222"/>
        <v>0</v>
      </c>
      <c r="B2034" s="497"/>
      <c r="C2034" s="517" t="str">
        <f ca="1">IF(COUNTA(D$1665:D2034)=1,"",OFFSET(C2034,-COUNTA(D$1665:D2034)+1,0))</f>
        <v>a1V3p000006jw93EAA</v>
      </c>
      <c r="D2034" s="512"/>
      <c r="E2034" s="500" t="str">
        <f ca="1">IFERROR(IF(VLOOKUP(C2034,' Disaggregation - Section E '!A$316:N983,7,0)="","",VLOOKUP(C2034,' Disaggregation - Section E '!A$316:N983,7,0)*100),"")</f>
        <v/>
      </c>
      <c r="F2034" s="497"/>
      <c r="G2034" s="502" t="str">
        <f ca="1">IFERROR(IF(VLOOKUP(C2034,' Disaggregation - Section E '!A$316:N983,6,0)="","",VLOOKUP(C2034,' Disaggregation - Section E '!A$316:N983,6,0)),"")</f>
        <v/>
      </c>
      <c r="H2034" s="512" t="str">
        <f ca="1">IFERROR(IF(INDEX(' Disaggregation - Section E '!F$313:F983,MATCH(C2034,' Disaggregation - Section E '!A$313:A983,0)+1,1)&lt;&gt;0,INDEX(' Disaggregation - Section E '!F$313:F983,MATCH(C2034,' Disaggregation - Section E '!A$313:A983,0)+1,1),""),"")</f>
        <v/>
      </c>
      <c r="I2034" s="503" t="str">
        <f ca="1">IFERROR(IF(VLOOKUP(C2034,' Disaggregation - Section E '!A$316:N983,8,0)=0,"",VLOOKUP(C2034,' Disaggregation - Section E '!A$316:N983,8,0)),"")</f>
        <v/>
      </c>
      <c r="J2034" s="503" t="str">
        <f ca="1">IFERROR(IF(VLOOKUP(C2034,' Disaggregation - Section E '!A$316:N983,13,0)=0,"",VLOOKUP(C2034,' Disaggregation - Section E '!A$316:N983,13,0)),"")</f>
        <v/>
      </c>
      <c r="K2034" s="497" t="str">
        <f ca="1">IFERROR(VLOOKUP(C2034,' Disaggregation - Section E '!A$316:N983,3,0),"")</f>
        <v/>
      </c>
      <c r="L2034" s="503" t="str">
        <f ca="1">IFERROR(IF(VLOOKUP(C2034,' Disaggregation - Section E '!A$316:N983,14,0)=0,"",VLOOKUP(C2034,' Disaggregation - Section E '!A$316:N983,14,0)),"")</f>
        <v/>
      </c>
      <c r="M2034" s="497" t="str">
        <f ca="1">IFERROR(IF(VLOOKUP(C2034,' Disaggregation - Section E '!A$316:T983,20,0)=0,"",VLOOKUP(C2034,' Disaggregation - Section E '!A$316:T983,20,0)),"")</f>
        <v/>
      </c>
      <c r="N2034" s="503" t="str">
        <f ca="1">IFERROR(IF(VLOOKUP(C2034,' Disaggregation - Section E '!A$316:N983,9,0)=0,"",VLOOKUP(C2034,' Disaggregation - Section E '!A$316:N983,9,0)),"")</f>
        <v/>
      </c>
      <c r="O2034" s="503" t="str">
        <f ca="1">IFERROR(IF(VLOOKUP(C2034,' Disaggregation - Section E '!A$315:N983,10,0)=0,"",VLOOKUP(C2034,' Disaggregation - Section E '!A$316:N983,10,0)),"")</f>
        <v/>
      </c>
    </row>
    <row r="2035" spans="1:15" x14ac:dyDescent="0.35">
      <c r="A2035" s="497" t="b">
        <f t="shared" ca="1" si="222"/>
        <v>0</v>
      </c>
      <c r="B2035" s="497"/>
      <c r="C2035" s="517" t="str">
        <f ca="1">IF(COUNTA(D$1665:D2035)=1,"",OFFSET(C2035,-COUNTA(D$1665:D2035)+1,0))</f>
        <v>a1V3p000006jw94EAA</v>
      </c>
      <c r="D2035" s="512"/>
      <c r="E2035" s="500" t="str">
        <f ca="1">IFERROR(IF(VLOOKUP(C2035,' Disaggregation - Section E '!A$316:N984,7,0)="","",VLOOKUP(C2035,' Disaggregation - Section E '!A$316:N984,7,0)*100),"")</f>
        <v/>
      </c>
      <c r="F2035" s="497"/>
      <c r="G2035" s="502" t="str">
        <f ca="1">IFERROR(IF(VLOOKUP(C2035,' Disaggregation - Section E '!A$316:N984,6,0)="","",VLOOKUP(C2035,' Disaggregation - Section E '!A$316:N984,6,0)),"")</f>
        <v/>
      </c>
      <c r="H2035" s="512" t="str">
        <f ca="1">IFERROR(IF(INDEX(' Disaggregation - Section E '!F$313:F984,MATCH(C2035,' Disaggregation - Section E '!A$313:A984,0)+1,1)&lt;&gt;0,INDEX(' Disaggregation - Section E '!F$313:F984,MATCH(C2035,' Disaggregation - Section E '!A$313:A984,0)+1,1),""),"")</f>
        <v/>
      </c>
      <c r="I2035" s="503" t="str">
        <f ca="1">IFERROR(IF(VLOOKUP(C2035,' Disaggregation - Section E '!A$316:N984,8,0)=0,"",VLOOKUP(C2035,' Disaggregation - Section E '!A$316:N984,8,0)),"")</f>
        <v/>
      </c>
      <c r="J2035" s="503" t="str">
        <f ca="1">IFERROR(IF(VLOOKUP(C2035,' Disaggregation - Section E '!A$316:N984,13,0)=0,"",VLOOKUP(C2035,' Disaggregation - Section E '!A$316:N984,13,0)),"")</f>
        <v/>
      </c>
      <c r="K2035" s="497" t="str">
        <f ca="1">IFERROR(VLOOKUP(C2035,' Disaggregation - Section E '!A$316:N984,3,0),"")</f>
        <v/>
      </c>
      <c r="L2035" s="503" t="str">
        <f ca="1">IFERROR(IF(VLOOKUP(C2035,' Disaggregation - Section E '!A$316:N984,14,0)=0,"",VLOOKUP(C2035,' Disaggregation - Section E '!A$316:N984,14,0)),"")</f>
        <v/>
      </c>
      <c r="M2035" s="497" t="str">
        <f ca="1">IFERROR(IF(VLOOKUP(C2035,' Disaggregation - Section E '!A$316:T984,20,0)=0,"",VLOOKUP(C2035,' Disaggregation - Section E '!A$316:T984,20,0)),"")</f>
        <v/>
      </c>
      <c r="N2035" s="503" t="str">
        <f ca="1">IFERROR(IF(VLOOKUP(C2035,' Disaggregation - Section E '!A$316:N984,9,0)=0,"",VLOOKUP(C2035,' Disaggregation - Section E '!A$316:N984,9,0)),"")</f>
        <v/>
      </c>
      <c r="O2035" s="503" t="str">
        <f ca="1">IFERROR(IF(VLOOKUP(C2035,' Disaggregation - Section E '!A$315:N984,10,0)=0,"",VLOOKUP(C2035,' Disaggregation - Section E '!A$316:N984,10,0)),"")</f>
        <v/>
      </c>
    </row>
    <row r="2036" spans="1:15" x14ac:dyDescent="0.35">
      <c r="A2036" s="497" t="b">
        <f t="shared" ca="1" si="222"/>
        <v>0</v>
      </c>
      <c r="B2036" s="497"/>
      <c r="C2036" s="517" t="str">
        <f ca="1">IF(COUNTA(D$1665:D2036)=1,"",OFFSET(C2036,-COUNTA(D$1665:D2036)+1,0))</f>
        <v>a1V3p000006jw95EAA</v>
      </c>
      <c r="D2036" s="512"/>
      <c r="E2036" s="500" t="str">
        <f ca="1">IFERROR(IF(VLOOKUP(C2036,' Disaggregation - Section E '!A$316:N985,7,0)="","",VLOOKUP(C2036,' Disaggregation - Section E '!A$316:N985,7,0)*100),"")</f>
        <v/>
      </c>
      <c r="F2036" s="497"/>
      <c r="G2036" s="502" t="str">
        <f ca="1">IFERROR(IF(VLOOKUP(C2036,' Disaggregation - Section E '!A$316:N985,6,0)="","",VLOOKUP(C2036,' Disaggregation - Section E '!A$316:N985,6,0)),"")</f>
        <v/>
      </c>
      <c r="H2036" s="512" t="str">
        <f ca="1">IFERROR(IF(INDEX(' Disaggregation - Section E '!F$313:F985,MATCH(C2036,' Disaggregation - Section E '!A$313:A985,0)+1,1)&lt;&gt;0,INDEX(' Disaggregation - Section E '!F$313:F985,MATCH(C2036,' Disaggregation - Section E '!A$313:A985,0)+1,1),""),"")</f>
        <v/>
      </c>
      <c r="I2036" s="503" t="str">
        <f ca="1">IFERROR(IF(VLOOKUP(C2036,' Disaggregation - Section E '!A$316:N985,8,0)=0,"",VLOOKUP(C2036,' Disaggregation - Section E '!A$316:N985,8,0)),"")</f>
        <v/>
      </c>
      <c r="J2036" s="503" t="str">
        <f ca="1">IFERROR(IF(VLOOKUP(C2036,' Disaggregation - Section E '!A$316:N985,13,0)=0,"",VLOOKUP(C2036,' Disaggregation - Section E '!A$316:N985,13,0)),"")</f>
        <v/>
      </c>
      <c r="K2036" s="497" t="str">
        <f ca="1">IFERROR(VLOOKUP(C2036,' Disaggregation - Section E '!A$316:N985,3,0),"")</f>
        <v/>
      </c>
      <c r="L2036" s="503" t="str">
        <f ca="1">IFERROR(IF(VLOOKUP(C2036,' Disaggregation - Section E '!A$316:N985,14,0)=0,"",VLOOKUP(C2036,' Disaggregation - Section E '!A$316:N985,14,0)),"")</f>
        <v/>
      </c>
      <c r="M2036" s="497" t="str">
        <f ca="1">IFERROR(IF(VLOOKUP(C2036,' Disaggregation - Section E '!A$316:T985,20,0)=0,"",VLOOKUP(C2036,' Disaggregation - Section E '!A$316:T985,20,0)),"")</f>
        <v/>
      </c>
      <c r="N2036" s="503" t="str">
        <f ca="1">IFERROR(IF(VLOOKUP(C2036,' Disaggregation - Section E '!A$316:N985,9,0)=0,"",VLOOKUP(C2036,' Disaggregation - Section E '!A$316:N985,9,0)),"")</f>
        <v/>
      </c>
      <c r="O2036" s="503" t="str">
        <f ca="1">IFERROR(IF(VLOOKUP(C2036,' Disaggregation - Section E '!A$315:N985,10,0)=0,"",VLOOKUP(C2036,' Disaggregation - Section E '!A$316:N985,10,0)),"")</f>
        <v/>
      </c>
    </row>
    <row r="2037" spans="1:15" x14ac:dyDescent="0.35">
      <c r="A2037" s="497" t="b">
        <f t="shared" ca="1" si="222"/>
        <v>0</v>
      </c>
      <c r="B2037" s="497"/>
      <c r="C2037" s="517" t="str">
        <f ca="1">IF(COUNTA(D$1665:D2037)=1,"",OFFSET(C2037,-COUNTA(D$1665:D2037)+1,0))</f>
        <v>a1V3p000006jwBMEAY</v>
      </c>
      <c r="D2037" s="512"/>
      <c r="E2037" s="500" t="str">
        <f ca="1">IFERROR(IF(VLOOKUP(C2037,' Disaggregation - Section E '!A$316:N986,7,0)="","",VLOOKUP(C2037,' Disaggregation - Section E '!A$316:N986,7,0)*100),"")</f>
        <v/>
      </c>
      <c r="F2037" s="497"/>
      <c r="G2037" s="502" t="str">
        <f ca="1">IFERROR(IF(VLOOKUP(C2037,' Disaggregation - Section E '!A$316:N986,6,0)="","",VLOOKUP(C2037,' Disaggregation - Section E '!A$316:N986,6,0)),"")</f>
        <v/>
      </c>
      <c r="H2037" s="512" t="str">
        <f ca="1">IFERROR(IF(INDEX(' Disaggregation - Section E '!F$313:F986,MATCH(C2037,' Disaggregation - Section E '!A$313:A986,0)+1,1)&lt;&gt;0,INDEX(' Disaggregation - Section E '!F$313:F986,MATCH(C2037,' Disaggregation - Section E '!A$313:A986,0)+1,1),""),"")</f>
        <v/>
      </c>
      <c r="I2037" s="503" t="str">
        <f ca="1">IFERROR(IF(VLOOKUP(C2037,' Disaggregation - Section E '!A$316:N986,8,0)=0,"",VLOOKUP(C2037,' Disaggregation - Section E '!A$316:N986,8,0)),"")</f>
        <v/>
      </c>
      <c r="J2037" s="503" t="str">
        <f ca="1">IFERROR(IF(VLOOKUP(C2037,' Disaggregation - Section E '!A$316:N986,13,0)=0,"",VLOOKUP(C2037,' Disaggregation - Section E '!A$316:N986,13,0)),"")</f>
        <v/>
      </c>
      <c r="K2037" s="497" t="str">
        <f ca="1">IFERROR(VLOOKUP(C2037,' Disaggregation - Section E '!A$316:N986,3,0),"")</f>
        <v/>
      </c>
      <c r="L2037" s="503" t="str">
        <f ca="1">IFERROR(IF(VLOOKUP(C2037,' Disaggregation - Section E '!A$316:N986,14,0)=0,"",VLOOKUP(C2037,' Disaggregation - Section E '!A$316:N986,14,0)),"")</f>
        <v/>
      </c>
      <c r="M2037" s="497" t="str">
        <f ca="1">IFERROR(IF(VLOOKUP(C2037,' Disaggregation - Section E '!A$316:T986,20,0)=0,"",VLOOKUP(C2037,' Disaggregation - Section E '!A$316:T986,20,0)),"")</f>
        <v/>
      </c>
      <c r="N2037" s="503" t="str">
        <f ca="1">IFERROR(IF(VLOOKUP(C2037,' Disaggregation - Section E '!A$316:N986,9,0)=0,"",VLOOKUP(C2037,' Disaggregation - Section E '!A$316:N986,9,0)),"")</f>
        <v/>
      </c>
      <c r="O2037" s="503" t="str">
        <f ca="1">IFERROR(IF(VLOOKUP(C2037,' Disaggregation - Section E '!A$315:N986,10,0)=0,"",VLOOKUP(C2037,' Disaggregation - Section E '!A$316:N986,10,0)),"")</f>
        <v/>
      </c>
    </row>
    <row r="2038" spans="1:15" x14ac:dyDescent="0.35">
      <c r="A2038" s="497" t="b">
        <f t="shared" ca="1" si="222"/>
        <v>0</v>
      </c>
      <c r="B2038" s="497"/>
      <c r="C2038" s="517" t="str">
        <f ca="1">IF(COUNTA(D$1665:D2038)=1,"",OFFSET(C2038,-COUNTA(D$1665:D2038)+1,0))</f>
        <v>a1V3p000006jwBNEAY</v>
      </c>
      <c r="D2038" s="512"/>
      <c r="E2038" s="500" t="str">
        <f ca="1">IFERROR(IF(VLOOKUP(C2038,' Disaggregation - Section E '!A$316:N987,7,0)="","",VLOOKUP(C2038,' Disaggregation - Section E '!A$316:N987,7,0)*100),"")</f>
        <v/>
      </c>
      <c r="F2038" s="497"/>
      <c r="G2038" s="502" t="str">
        <f ca="1">IFERROR(IF(VLOOKUP(C2038,' Disaggregation - Section E '!A$316:N987,6,0)="","",VLOOKUP(C2038,' Disaggregation - Section E '!A$316:N987,6,0)),"")</f>
        <v/>
      </c>
      <c r="H2038" s="512" t="str">
        <f ca="1">IFERROR(IF(INDEX(' Disaggregation - Section E '!F$313:F987,MATCH(C2038,' Disaggregation - Section E '!A$313:A987,0)+1,1)&lt;&gt;0,INDEX(' Disaggregation - Section E '!F$313:F987,MATCH(C2038,' Disaggregation - Section E '!A$313:A987,0)+1,1),""),"")</f>
        <v/>
      </c>
      <c r="I2038" s="503" t="str">
        <f ca="1">IFERROR(IF(VLOOKUP(C2038,' Disaggregation - Section E '!A$316:N987,8,0)=0,"",VLOOKUP(C2038,' Disaggregation - Section E '!A$316:N987,8,0)),"")</f>
        <v/>
      </c>
      <c r="J2038" s="503" t="str">
        <f ca="1">IFERROR(IF(VLOOKUP(C2038,' Disaggregation - Section E '!A$316:N987,13,0)=0,"",VLOOKUP(C2038,' Disaggregation - Section E '!A$316:N987,13,0)),"")</f>
        <v/>
      </c>
      <c r="K2038" s="497" t="str">
        <f ca="1">IFERROR(VLOOKUP(C2038,' Disaggregation - Section E '!A$316:N987,3,0),"")</f>
        <v/>
      </c>
      <c r="L2038" s="503" t="str">
        <f ca="1">IFERROR(IF(VLOOKUP(C2038,' Disaggregation - Section E '!A$316:N987,14,0)=0,"",VLOOKUP(C2038,' Disaggregation - Section E '!A$316:N987,14,0)),"")</f>
        <v/>
      </c>
      <c r="M2038" s="497" t="str">
        <f ca="1">IFERROR(IF(VLOOKUP(C2038,' Disaggregation - Section E '!A$316:T987,20,0)=0,"",VLOOKUP(C2038,' Disaggregation - Section E '!A$316:T987,20,0)),"")</f>
        <v/>
      </c>
      <c r="N2038" s="503" t="str">
        <f ca="1">IFERROR(IF(VLOOKUP(C2038,' Disaggregation - Section E '!A$316:N987,9,0)=0,"",VLOOKUP(C2038,' Disaggregation - Section E '!A$316:N987,9,0)),"")</f>
        <v/>
      </c>
      <c r="O2038" s="503" t="str">
        <f ca="1">IFERROR(IF(VLOOKUP(C2038,' Disaggregation - Section E '!A$315:N987,10,0)=0,"",VLOOKUP(C2038,' Disaggregation - Section E '!A$316:N987,10,0)),"")</f>
        <v/>
      </c>
    </row>
    <row r="2039" spans="1:15" x14ac:dyDescent="0.35">
      <c r="A2039" s="497" t="b">
        <f t="shared" ca="1" si="222"/>
        <v>0</v>
      </c>
      <c r="B2039" s="497"/>
      <c r="C2039" s="517" t="str">
        <f ca="1">IF(COUNTA(D$1665:D2039)=1,"",OFFSET(C2039,-COUNTA(D$1665:D2039)+1,0))</f>
        <v>a1V3p000006jwBOEAY</v>
      </c>
      <c r="D2039" s="512"/>
      <c r="E2039" s="500" t="str">
        <f ca="1">IFERROR(IF(VLOOKUP(C2039,' Disaggregation - Section E '!A$316:N988,7,0)="","",VLOOKUP(C2039,' Disaggregation - Section E '!A$316:N988,7,0)*100),"")</f>
        <v/>
      </c>
      <c r="F2039" s="497"/>
      <c r="G2039" s="502" t="str">
        <f ca="1">IFERROR(IF(VLOOKUP(C2039,' Disaggregation - Section E '!A$316:N988,6,0)="","",VLOOKUP(C2039,' Disaggregation - Section E '!A$316:N988,6,0)),"")</f>
        <v/>
      </c>
      <c r="H2039" s="512" t="str">
        <f ca="1">IFERROR(IF(INDEX(' Disaggregation - Section E '!F$313:F988,MATCH(C2039,' Disaggregation - Section E '!A$313:A988,0)+1,1)&lt;&gt;0,INDEX(' Disaggregation - Section E '!F$313:F988,MATCH(C2039,' Disaggregation - Section E '!A$313:A988,0)+1,1),""),"")</f>
        <v/>
      </c>
      <c r="I2039" s="503" t="str">
        <f ca="1">IFERROR(IF(VLOOKUP(C2039,' Disaggregation - Section E '!A$316:N988,8,0)=0,"",VLOOKUP(C2039,' Disaggregation - Section E '!A$316:N988,8,0)),"")</f>
        <v/>
      </c>
      <c r="J2039" s="503" t="str">
        <f ca="1">IFERROR(IF(VLOOKUP(C2039,' Disaggregation - Section E '!A$316:N988,13,0)=0,"",VLOOKUP(C2039,' Disaggregation - Section E '!A$316:N988,13,0)),"")</f>
        <v/>
      </c>
      <c r="K2039" s="497" t="str">
        <f ca="1">IFERROR(VLOOKUP(C2039,' Disaggregation - Section E '!A$316:N988,3,0),"")</f>
        <v/>
      </c>
      <c r="L2039" s="503" t="str">
        <f ca="1">IFERROR(IF(VLOOKUP(C2039,' Disaggregation - Section E '!A$316:N988,14,0)=0,"",VLOOKUP(C2039,' Disaggregation - Section E '!A$316:N988,14,0)),"")</f>
        <v/>
      </c>
      <c r="M2039" s="497" t="str">
        <f ca="1">IFERROR(IF(VLOOKUP(C2039,' Disaggregation - Section E '!A$316:T988,20,0)=0,"",VLOOKUP(C2039,' Disaggregation - Section E '!A$316:T988,20,0)),"")</f>
        <v/>
      </c>
      <c r="N2039" s="503" t="str">
        <f ca="1">IFERROR(IF(VLOOKUP(C2039,' Disaggregation - Section E '!A$316:N988,9,0)=0,"",VLOOKUP(C2039,' Disaggregation - Section E '!A$316:N988,9,0)),"")</f>
        <v/>
      </c>
      <c r="O2039" s="503" t="str">
        <f ca="1">IFERROR(IF(VLOOKUP(C2039,' Disaggregation - Section E '!A$315:N988,10,0)=0,"",VLOOKUP(C2039,' Disaggregation - Section E '!A$316:N988,10,0)),"")</f>
        <v/>
      </c>
    </row>
    <row r="2040" spans="1:15" x14ac:dyDescent="0.35">
      <c r="A2040" s="497" t="b">
        <f t="shared" ca="1" si="222"/>
        <v>0</v>
      </c>
      <c r="B2040" s="497"/>
      <c r="C2040" s="517" t="str">
        <f ca="1">IF(COUNTA(D$1665:D2040)=1,"",OFFSET(C2040,-COUNTA(D$1665:D2040)+1,0))</f>
        <v>a1V3p000006jwBPEAY</v>
      </c>
      <c r="D2040" s="512"/>
      <c r="E2040" s="500" t="str">
        <f ca="1">IFERROR(IF(VLOOKUP(C2040,' Disaggregation - Section E '!A$316:N989,7,0)="","",VLOOKUP(C2040,' Disaggregation - Section E '!A$316:N989,7,0)*100),"")</f>
        <v/>
      </c>
      <c r="F2040" s="497"/>
      <c r="G2040" s="502" t="str">
        <f ca="1">IFERROR(IF(VLOOKUP(C2040,' Disaggregation - Section E '!A$316:N989,6,0)="","",VLOOKUP(C2040,' Disaggregation - Section E '!A$316:N989,6,0)),"")</f>
        <v/>
      </c>
      <c r="H2040" s="512" t="str">
        <f ca="1">IFERROR(IF(INDEX(' Disaggregation - Section E '!F$313:F989,MATCH(C2040,' Disaggregation - Section E '!A$313:A989,0)+1,1)&lt;&gt;0,INDEX(' Disaggregation - Section E '!F$313:F989,MATCH(C2040,' Disaggregation - Section E '!A$313:A989,0)+1,1),""),"")</f>
        <v/>
      </c>
      <c r="I2040" s="503" t="str">
        <f ca="1">IFERROR(IF(VLOOKUP(C2040,' Disaggregation - Section E '!A$316:N989,8,0)=0,"",VLOOKUP(C2040,' Disaggregation - Section E '!A$316:N989,8,0)),"")</f>
        <v/>
      </c>
      <c r="J2040" s="503" t="str">
        <f ca="1">IFERROR(IF(VLOOKUP(C2040,' Disaggregation - Section E '!A$316:N989,13,0)=0,"",VLOOKUP(C2040,' Disaggregation - Section E '!A$316:N989,13,0)),"")</f>
        <v/>
      </c>
      <c r="K2040" s="497" t="str">
        <f ca="1">IFERROR(VLOOKUP(C2040,' Disaggregation - Section E '!A$316:N989,3,0),"")</f>
        <v/>
      </c>
      <c r="L2040" s="503" t="str">
        <f ca="1">IFERROR(IF(VLOOKUP(C2040,' Disaggregation - Section E '!A$316:N989,14,0)=0,"",VLOOKUP(C2040,' Disaggregation - Section E '!A$316:N989,14,0)),"")</f>
        <v/>
      </c>
      <c r="M2040" s="497" t="str">
        <f ca="1">IFERROR(IF(VLOOKUP(C2040,' Disaggregation - Section E '!A$316:T989,20,0)=0,"",VLOOKUP(C2040,' Disaggregation - Section E '!A$316:T989,20,0)),"")</f>
        <v/>
      </c>
      <c r="N2040" s="503" t="str">
        <f ca="1">IFERROR(IF(VLOOKUP(C2040,' Disaggregation - Section E '!A$316:N989,9,0)=0,"",VLOOKUP(C2040,' Disaggregation - Section E '!A$316:N989,9,0)),"")</f>
        <v/>
      </c>
      <c r="O2040" s="503" t="str">
        <f ca="1">IFERROR(IF(VLOOKUP(C2040,' Disaggregation - Section E '!A$315:N989,10,0)=0,"",VLOOKUP(C2040,' Disaggregation - Section E '!A$316:N989,10,0)),"")</f>
        <v/>
      </c>
    </row>
    <row r="2041" spans="1:15" x14ac:dyDescent="0.35">
      <c r="A2041" s="497" t="b">
        <f t="shared" ca="1" si="222"/>
        <v>0</v>
      </c>
      <c r="B2041" s="497"/>
      <c r="C2041" s="517" t="str">
        <f ca="1">IF(COUNTA(D$1665:D2041)=1,"",OFFSET(C2041,-COUNTA(D$1665:D2041)+1,0))</f>
        <v>a1V3p000006jwBQEAY</v>
      </c>
      <c r="D2041" s="512"/>
      <c r="E2041" s="500" t="str">
        <f ca="1">IFERROR(IF(VLOOKUP(C2041,' Disaggregation - Section E '!A$316:N990,7,0)="","",VLOOKUP(C2041,' Disaggregation - Section E '!A$316:N990,7,0)*100),"")</f>
        <v/>
      </c>
      <c r="F2041" s="497"/>
      <c r="G2041" s="502" t="str">
        <f ca="1">IFERROR(IF(VLOOKUP(C2041,' Disaggregation - Section E '!A$316:N990,6,0)="","",VLOOKUP(C2041,' Disaggregation - Section E '!A$316:N990,6,0)),"")</f>
        <v/>
      </c>
      <c r="H2041" s="512" t="str">
        <f ca="1">IFERROR(IF(INDEX(' Disaggregation - Section E '!F$313:F990,MATCH(C2041,' Disaggregation - Section E '!A$313:A990,0)+1,1)&lt;&gt;0,INDEX(' Disaggregation - Section E '!F$313:F990,MATCH(C2041,' Disaggregation - Section E '!A$313:A990,0)+1,1),""),"")</f>
        <v/>
      </c>
      <c r="I2041" s="503" t="str">
        <f ca="1">IFERROR(IF(VLOOKUP(C2041,' Disaggregation - Section E '!A$316:N990,8,0)=0,"",VLOOKUP(C2041,' Disaggregation - Section E '!A$316:N990,8,0)),"")</f>
        <v/>
      </c>
      <c r="J2041" s="503" t="str">
        <f ca="1">IFERROR(IF(VLOOKUP(C2041,' Disaggregation - Section E '!A$316:N990,13,0)=0,"",VLOOKUP(C2041,' Disaggregation - Section E '!A$316:N990,13,0)),"")</f>
        <v/>
      </c>
      <c r="K2041" s="497" t="str">
        <f ca="1">IFERROR(VLOOKUP(C2041,' Disaggregation - Section E '!A$316:N990,3,0),"")</f>
        <v/>
      </c>
      <c r="L2041" s="503" t="str">
        <f ca="1">IFERROR(IF(VLOOKUP(C2041,' Disaggregation - Section E '!A$316:N990,14,0)=0,"",VLOOKUP(C2041,' Disaggregation - Section E '!A$316:N990,14,0)),"")</f>
        <v/>
      </c>
      <c r="M2041" s="497" t="str">
        <f ca="1">IFERROR(IF(VLOOKUP(C2041,' Disaggregation - Section E '!A$316:T990,20,0)=0,"",VLOOKUP(C2041,' Disaggregation - Section E '!A$316:T990,20,0)),"")</f>
        <v/>
      </c>
      <c r="N2041" s="503" t="str">
        <f ca="1">IFERROR(IF(VLOOKUP(C2041,' Disaggregation - Section E '!A$316:N990,9,0)=0,"",VLOOKUP(C2041,' Disaggregation - Section E '!A$316:N990,9,0)),"")</f>
        <v/>
      </c>
      <c r="O2041" s="503" t="str">
        <f ca="1">IFERROR(IF(VLOOKUP(C2041,' Disaggregation - Section E '!A$315:N990,10,0)=0,"",VLOOKUP(C2041,' Disaggregation - Section E '!A$316:N990,10,0)),"")</f>
        <v/>
      </c>
    </row>
    <row r="2042" spans="1:15" x14ac:dyDescent="0.35">
      <c r="A2042" s="497" t="b">
        <f t="shared" ca="1" si="222"/>
        <v>0</v>
      </c>
      <c r="B2042" s="497"/>
      <c r="C2042" s="517" t="str">
        <f ca="1">IF(COUNTA(D$1665:D2042)=1,"",OFFSET(C2042,-COUNTA(D$1665:D2042)+1,0))</f>
        <v>a1V3p000006jwBREAY</v>
      </c>
      <c r="D2042" s="512"/>
      <c r="E2042" s="500" t="str">
        <f ca="1">IFERROR(IF(VLOOKUP(C2042,' Disaggregation - Section E '!A$316:N991,7,0)="","",VLOOKUP(C2042,' Disaggregation - Section E '!A$316:N991,7,0)*100),"")</f>
        <v/>
      </c>
      <c r="F2042" s="497"/>
      <c r="G2042" s="502" t="str">
        <f ca="1">IFERROR(IF(VLOOKUP(C2042,' Disaggregation - Section E '!A$316:N991,6,0)="","",VLOOKUP(C2042,' Disaggregation - Section E '!A$316:N991,6,0)),"")</f>
        <v/>
      </c>
      <c r="H2042" s="512" t="str">
        <f ca="1">IFERROR(IF(INDEX(' Disaggregation - Section E '!F$313:F991,MATCH(C2042,' Disaggregation - Section E '!A$313:A991,0)+1,1)&lt;&gt;0,INDEX(' Disaggregation - Section E '!F$313:F991,MATCH(C2042,' Disaggregation - Section E '!A$313:A991,0)+1,1),""),"")</f>
        <v/>
      </c>
      <c r="I2042" s="503" t="str">
        <f ca="1">IFERROR(IF(VLOOKUP(C2042,' Disaggregation - Section E '!A$316:N991,8,0)=0,"",VLOOKUP(C2042,' Disaggregation - Section E '!A$316:N991,8,0)),"")</f>
        <v/>
      </c>
      <c r="J2042" s="503" t="str">
        <f ca="1">IFERROR(IF(VLOOKUP(C2042,' Disaggregation - Section E '!A$316:N991,13,0)=0,"",VLOOKUP(C2042,' Disaggregation - Section E '!A$316:N991,13,0)),"")</f>
        <v/>
      </c>
      <c r="K2042" s="497" t="str">
        <f ca="1">IFERROR(VLOOKUP(C2042,' Disaggregation - Section E '!A$316:N991,3,0),"")</f>
        <v/>
      </c>
      <c r="L2042" s="503" t="str">
        <f ca="1">IFERROR(IF(VLOOKUP(C2042,' Disaggregation - Section E '!A$316:N991,14,0)=0,"",VLOOKUP(C2042,' Disaggregation - Section E '!A$316:N991,14,0)),"")</f>
        <v/>
      </c>
      <c r="M2042" s="497" t="str">
        <f ca="1">IFERROR(IF(VLOOKUP(C2042,' Disaggregation - Section E '!A$316:T991,20,0)=0,"",VLOOKUP(C2042,' Disaggregation - Section E '!A$316:T991,20,0)),"")</f>
        <v/>
      </c>
      <c r="N2042" s="503" t="str">
        <f ca="1">IFERROR(IF(VLOOKUP(C2042,' Disaggregation - Section E '!A$316:N991,9,0)=0,"",VLOOKUP(C2042,' Disaggregation - Section E '!A$316:N991,9,0)),"")</f>
        <v/>
      </c>
      <c r="O2042" s="503" t="str">
        <f ca="1">IFERROR(IF(VLOOKUP(C2042,' Disaggregation - Section E '!A$315:N991,10,0)=0,"",VLOOKUP(C2042,' Disaggregation - Section E '!A$316:N991,10,0)),"")</f>
        <v/>
      </c>
    </row>
    <row r="2043" spans="1:15" x14ac:dyDescent="0.35">
      <c r="A2043" s="497" t="b">
        <f t="shared" ca="1" si="222"/>
        <v>0</v>
      </c>
      <c r="B2043" s="497"/>
      <c r="C2043" s="517" t="str">
        <f ca="1">IF(COUNTA(D$1665:D2043)=1,"",OFFSET(C2043,-COUNTA(D$1665:D2043)+1,0))</f>
        <v>a1V3p000006jwBSEAY</v>
      </c>
      <c r="D2043" s="512"/>
      <c r="E2043" s="500" t="str">
        <f ca="1">IFERROR(IF(VLOOKUP(C2043,' Disaggregation - Section E '!A$316:N992,7,0)="","",VLOOKUP(C2043,' Disaggregation - Section E '!A$316:N992,7,0)*100),"")</f>
        <v/>
      </c>
      <c r="F2043" s="497"/>
      <c r="G2043" s="502" t="str">
        <f ca="1">IFERROR(IF(VLOOKUP(C2043,' Disaggregation - Section E '!A$316:N992,6,0)="","",VLOOKUP(C2043,' Disaggregation - Section E '!A$316:N992,6,0)),"")</f>
        <v/>
      </c>
      <c r="H2043" s="512" t="str">
        <f ca="1">IFERROR(IF(INDEX(' Disaggregation - Section E '!F$313:F992,MATCH(C2043,' Disaggregation - Section E '!A$313:A992,0)+1,1)&lt;&gt;0,INDEX(' Disaggregation - Section E '!F$313:F992,MATCH(C2043,' Disaggregation - Section E '!A$313:A992,0)+1,1),""),"")</f>
        <v/>
      </c>
      <c r="I2043" s="503" t="str">
        <f ca="1">IFERROR(IF(VLOOKUP(C2043,' Disaggregation - Section E '!A$316:N992,8,0)=0,"",VLOOKUP(C2043,' Disaggregation - Section E '!A$316:N992,8,0)),"")</f>
        <v/>
      </c>
      <c r="J2043" s="503" t="str">
        <f ca="1">IFERROR(IF(VLOOKUP(C2043,' Disaggregation - Section E '!A$316:N992,13,0)=0,"",VLOOKUP(C2043,' Disaggregation - Section E '!A$316:N992,13,0)),"")</f>
        <v/>
      </c>
      <c r="K2043" s="497" t="str">
        <f ca="1">IFERROR(VLOOKUP(C2043,' Disaggregation - Section E '!A$316:N992,3,0),"")</f>
        <v/>
      </c>
      <c r="L2043" s="503" t="str">
        <f ca="1">IFERROR(IF(VLOOKUP(C2043,' Disaggregation - Section E '!A$316:N992,14,0)=0,"",VLOOKUP(C2043,' Disaggregation - Section E '!A$316:N992,14,0)),"")</f>
        <v/>
      </c>
      <c r="M2043" s="497" t="str">
        <f ca="1">IFERROR(IF(VLOOKUP(C2043,' Disaggregation - Section E '!A$316:T992,20,0)=0,"",VLOOKUP(C2043,' Disaggregation - Section E '!A$316:T992,20,0)),"")</f>
        <v/>
      </c>
      <c r="N2043" s="503" t="str">
        <f ca="1">IFERROR(IF(VLOOKUP(C2043,' Disaggregation - Section E '!A$316:N992,9,0)=0,"",VLOOKUP(C2043,' Disaggregation - Section E '!A$316:N992,9,0)),"")</f>
        <v/>
      </c>
      <c r="O2043" s="503" t="str">
        <f ca="1">IFERROR(IF(VLOOKUP(C2043,' Disaggregation - Section E '!A$315:N992,10,0)=0,"",VLOOKUP(C2043,' Disaggregation - Section E '!A$316:N992,10,0)),"")</f>
        <v/>
      </c>
    </row>
    <row r="2044" spans="1:15" x14ac:dyDescent="0.35">
      <c r="A2044" s="497" t="b">
        <f t="shared" ca="1" si="222"/>
        <v>0</v>
      </c>
      <c r="B2044" s="497"/>
      <c r="C2044" s="517" t="str">
        <f ca="1">IF(COUNTA(D$1665:D2044)=1,"",OFFSET(C2044,-COUNTA(D$1665:D2044)+1,0))</f>
        <v>a1V3p000006jwBTEAY</v>
      </c>
      <c r="D2044" s="512"/>
      <c r="E2044" s="500" t="str">
        <f ca="1">IFERROR(IF(VLOOKUP(C2044,' Disaggregation - Section E '!A$316:N993,7,0)="","",VLOOKUP(C2044,' Disaggregation - Section E '!A$316:N993,7,0)*100),"")</f>
        <v/>
      </c>
      <c r="F2044" s="497"/>
      <c r="G2044" s="502" t="str">
        <f ca="1">IFERROR(IF(VLOOKUP(C2044,' Disaggregation - Section E '!A$316:N993,6,0)="","",VLOOKUP(C2044,' Disaggregation - Section E '!A$316:N993,6,0)),"")</f>
        <v/>
      </c>
      <c r="H2044" s="512" t="str">
        <f ca="1">IFERROR(IF(INDEX(' Disaggregation - Section E '!F$313:F993,MATCH(C2044,' Disaggregation - Section E '!A$313:A993,0)+1,1)&lt;&gt;0,INDEX(' Disaggregation - Section E '!F$313:F993,MATCH(C2044,' Disaggregation - Section E '!A$313:A993,0)+1,1),""),"")</f>
        <v/>
      </c>
      <c r="I2044" s="503" t="str">
        <f ca="1">IFERROR(IF(VLOOKUP(C2044,' Disaggregation - Section E '!A$316:N993,8,0)=0,"",VLOOKUP(C2044,' Disaggregation - Section E '!A$316:N993,8,0)),"")</f>
        <v/>
      </c>
      <c r="J2044" s="503" t="str">
        <f ca="1">IFERROR(IF(VLOOKUP(C2044,' Disaggregation - Section E '!A$316:N993,13,0)=0,"",VLOOKUP(C2044,' Disaggregation - Section E '!A$316:N993,13,0)),"")</f>
        <v/>
      </c>
      <c r="K2044" s="497" t="str">
        <f ca="1">IFERROR(VLOOKUP(C2044,' Disaggregation - Section E '!A$316:N993,3,0),"")</f>
        <v/>
      </c>
      <c r="L2044" s="503" t="str">
        <f ca="1">IFERROR(IF(VLOOKUP(C2044,' Disaggregation - Section E '!A$316:N993,14,0)=0,"",VLOOKUP(C2044,' Disaggregation - Section E '!A$316:N993,14,0)),"")</f>
        <v/>
      </c>
      <c r="M2044" s="497" t="str">
        <f ca="1">IFERROR(IF(VLOOKUP(C2044,' Disaggregation - Section E '!A$316:T993,20,0)=0,"",VLOOKUP(C2044,' Disaggregation - Section E '!A$316:T993,20,0)),"")</f>
        <v/>
      </c>
      <c r="N2044" s="503" t="str">
        <f ca="1">IFERROR(IF(VLOOKUP(C2044,' Disaggregation - Section E '!A$316:N993,9,0)=0,"",VLOOKUP(C2044,' Disaggregation - Section E '!A$316:N993,9,0)),"")</f>
        <v/>
      </c>
      <c r="O2044" s="503" t="str">
        <f ca="1">IFERROR(IF(VLOOKUP(C2044,' Disaggregation - Section E '!A$315:N993,10,0)=0,"",VLOOKUP(C2044,' Disaggregation - Section E '!A$316:N993,10,0)),"")</f>
        <v/>
      </c>
    </row>
    <row r="2045" spans="1:15" x14ac:dyDescent="0.35">
      <c r="A2045" s="497" t="b">
        <f t="shared" ca="1" si="222"/>
        <v>0</v>
      </c>
      <c r="B2045" s="497"/>
      <c r="C2045" s="517" t="str">
        <f ca="1">IF(COUNTA(D$1665:D2045)=1,"",OFFSET(C2045,-COUNTA(D$1665:D2045)+1,0))</f>
        <v>a1V3p000006jwBUEAY</v>
      </c>
      <c r="D2045" s="512"/>
      <c r="E2045" s="500" t="str">
        <f ca="1">IFERROR(IF(VLOOKUP(C2045,' Disaggregation - Section E '!A$316:N994,7,0)="","",VLOOKUP(C2045,' Disaggregation - Section E '!A$316:N994,7,0)*100),"")</f>
        <v/>
      </c>
      <c r="F2045" s="497"/>
      <c r="G2045" s="502" t="str">
        <f ca="1">IFERROR(IF(VLOOKUP(C2045,' Disaggregation - Section E '!A$316:N994,6,0)="","",VLOOKUP(C2045,' Disaggregation - Section E '!A$316:N994,6,0)),"")</f>
        <v/>
      </c>
      <c r="H2045" s="512" t="str">
        <f ca="1">IFERROR(IF(INDEX(' Disaggregation - Section E '!F$313:F994,MATCH(C2045,' Disaggregation - Section E '!A$313:A994,0)+1,1)&lt;&gt;0,INDEX(' Disaggregation - Section E '!F$313:F994,MATCH(C2045,' Disaggregation - Section E '!A$313:A994,0)+1,1),""),"")</f>
        <v/>
      </c>
      <c r="I2045" s="503" t="str">
        <f ca="1">IFERROR(IF(VLOOKUP(C2045,' Disaggregation - Section E '!A$316:N994,8,0)=0,"",VLOOKUP(C2045,' Disaggregation - Section E '!A$316:N994,8,0)),"")</f>
        <v/>
      </c>
      <c r="J2045" s="503" t="str">
        <f ca="1">IFERROR(IF(VLOOKUP(C2045,' Disaggregation - Section E '!A$316:N994,13,0)=0,"",VLOOKUP(C2045,' Disaggregation - Section E '!A$316:N994,13,0)),"")</f>
        <v/>
      </c>
      <c r="K2045" s="497" t="str">
        <f ca="1">IFERROR(VLOOKUP(C2045,' Disaggregation - Section E '!A$316:N994,3,0),"")</f>
        <v/>
      </c>
      <c r="L2045" s="503" t="str">
        <f ca="1">IFERROR(IF(VLOOKUP(C2045,' Disaggregation - Section E '!A$316:N994,14,0)=0,"",VLOOKUP(C2045,' Disaggregation - Section E '!A$316:N994,14,0)),"")</f>
        <v/>
      </c>
      <c r="M2045" s="497" t="str">
        <f ca="1">IFERROR(IF(VLOOKUP(C2045,' Disaggregation - Section E '!A$316:T994,20,0)=0,"",VLOOKUP(C2045,' Disaggregation - Section E '!A$316:T994,20,0)),"")</f>
        <v/>
      </c>
      <c r="N2045" s="503" t="str">
        <f ca="1">IFERROR(IF(VLOOKUP(C2045,' Disaggregation - Section E '!A$316:N994,9,0)=0,"",VLOOKUP(C2045,' Disaggregation - Section E '!A$316:N994,9,0)),"")</f>
        <v/>
      </c>
      <c r="O2045" s="503" t="str">
        <f ca="1">IFERROR(IF(VLOOKUP(C2045,' Disaggregation - Section E '!A$315:N994,10,0)=0,"",VLOOKUP(C2045,' Disaggregation - Section E '!A$316:N994,10,0)),"")</f>
        <v/>
      </c>
    </row>
    <row r="2046" spans="1:15" x14ac:dyDescent="0.35">
      <c r="A2046" s="497" t="b">
        <f t="shared" ca="1" si="222"/>
        <v>0</v>
      </c>
      <c r="B2046" s="497"/>
      <c r="C2046" s="517" t="str">
        <f ca="1">IF(COUNTA(D$1665:D2046)=1,"",OFFSET(C2046,-COUNTA(D$1665:D2046)+1,0))</f>
        <v>a1V3p000006jwBVEAY</v>
      </c>
      <c r="D2046" s="512"/>
      <c r="E2046" s="500" t="str">
        <f ca="1">IFERROR(IF(VLOOKUP(C2046,' Disaggregation - Section E '!A$316:N995,7,0)="","",VLOOKUP(C2046,' Disaggregation - Section E '!A$316:N995,7,0)*100),"")</f>
        <v/>
      </c>
      <c r="F2046" s="497"/>
      <c r="G2046" s="502" t="str">
        <f ca="1">IFERROR(IF(VLOOKUP(C2046,' Disaggregation - Section E '!A$316:N995,6,0)="","",VLOOKUP(C2046,' Disaggregation - Section E '!A$316:N995,6,0)),"")</f>
        <v/>
      </c>
      <c r="H2046" s="512" t="str">
        <f ca="1">IFERROR(IF(INDEX(' Disaggregation - Section E '!F$313:F995,MATCH(C2046,' Disaggregation - Section E '!A$313:A995,0)+1,1)&lt;&gt;0,INDEX(' Disaggregation - Section E '!F$313:F995,MATCH(C2046,' Disaggregation - Section E '!A$313:A995,0)+1,1),""),"")</f>
        <v/>
      </c>
      <c r="I2046" s="503" t="str">
        <f ca="1">IFERROR(IF(VLOOKUP(C2046,' Disaggregation - Section E '!A$316:N995,8,0)=0,"",VLOOKUP(C2046,' Disaggregation - Section E '!A$316:N995,8,0)),"")</f>
        <v/>
      </c>
      <c r="J2046" s="503" t="str">
        <f ca="1">IFERROR(IF(VLOOKUP(C2046,' Disaggregation - Section E '!A$316:N995,13,0)=0,"",VLOOKUP(C2046,' Disaggregation - Section E '!A$316:N995,13,0)),"")</f>
        <v/>
      </c>
      <c r="K2046" s="497" t="str">
        <f ca="1">IFERROR(VLOOKUP(C2046,' Disaggregation - Section E '!A$316:N995,3,0),"")</f>
        <v/>
      </c>
      <c r="L2046" s="503" t="str">
        <f ca="1">IFERROR(IF(VLOOKUP(C2046,' Disaggregation - Section E '!A$316:N995,14,0)=0,"",VLOOKUP(C2046,' Disaggregation - Section E '!A$316:N995,14,0)),"")</f>
        <v/>
      </c>
      <c r="M2046" s="497" t="str">
        <f ca="1">IFERROR(IF(VLOOKUP(C2046,' Disaggregation - Section E '!A$316:T995,20,0)=0,"",VLOOKUP(C2046,' Disaggregation - Section E '!A$316:T995,20,0)),"")</f>
        <v/>
      </c>
      <c r="N2046" s="503" t="str">
        <f ca="1">IFERROR(IF(VLOOKUP(C2046,' Disaggregation - Section E '!A$316:N995,9,0)=0,"",VLOOKUP(C2046,' Disaggregation - Section E '!A$316:N995,9,0)),"")</f>
        <v/>
      </c>
      <c r="O2046" s="503" t="str">
        <f ca="1">IFERROR(IF(VLOOKUP(C2046,' Disaggregation - Section E '!A$315:N995,10,0)=0,"",VLOOKUP(C2046,' Disaggregation - Section E '!A$316:N995,10,0)),"")</f>
        <v/>
      </c>
    </row>
    <row r="2047" spans="1:15" x14ac:dyDescent="0.35">
      <c r="A2047" s="497" t="b">
        <f t="shared" ca="1" si="222"/>
        <v>0</v>
      </c>
      <c r="B2047" s="497"/>
      <c r="C2047" s="517" t="str">
        <f ca="1">IF(COUNTA(D$1665:D2047)=1,"",OFFSET(C2047,-COUNTA(D$1665:D2047)+1,0))</f>
        <v>a1V3p000006jw96EAA</v>
      </c>
      <c r="D2047" s="512"/>
      <c r="E2047" s="500" t="str">
        <f ca="1">IFERROR(IF(VLOOKUP(C2047,' Disaggregation - Section E '!A$316:N996,7,0)="","",VLOOKUP(C2047,' Disaggregation - Section E '!A$316:N996,7,0)*100),"")</f>
        <v/>
      </c>
      <c r="F2047" s="497"/>
      <c r="G2047" s="502" t="str">
        <f ca="1">IFERROR(IF(VLOOKUP(C2047,' Disaggregation - Section E '!A$316:N996,6,0)="","",VLOOKUP(C2047,' Disaggregation - Section E '!A$316:N996,6,0)),"")</f>
        <v/>
      </c>
      <c r="H2047" s="512" t="str">
        <f ca="1">IFERROR(IF(INDEX(' Disaggregation - Section E '!F$313:F996,MATCH(C2047,' Disaggregation - Section E '!A$313:A996,0)+1,1)&lt;&gt;0,INDEX(' Disaggregation - Section E '!F$313:F996,MATCH(C2047,' Disaggregation - Section E '!A$313:A996,0)+1,1),""),"")</f>
        <v/>
      </c>
      <c r="I2047" s="503" t="str">
        <f ca="1">IFERROR(IF(VLOOKUP(C2047,' Disaggregation - Section E '!A$316:N996,8,0)=0,"",VLOOKUP(C2047,' Disaggregation - Section E '!A$316:N996,8,0)),"")</f>
        <v/>
      </c>
      <c r="J2047" s="503" t="str">
        <f ca="1">IFERROR(IF(VLOOKUP(C2047,' Disaggregation - Section E '!A$316:N996,13,0)=0,"",VLOOKUP(C2047,' Disaggregation - Section E '!A$316:N996,13,0)),"")</f>
        <v/>
      </c>
      <c r="K2047" s="497" t="str">
        <f ca="1">IFERROR(VLOOKUP(C2047,' Disaggregation - Section E '!A$316:N996,3,0),"")</f>
        <v/>
      </c>
      <c r="L2047" s="503" t="str">
        <f ca="1">IFERROR(IF(VLOOKUP(C2047,' Disaggregation - Section E '!A$316:N996,14,0)=0,"",VLOOKUP(C2047,' Disaggregation - Section E '!A$316:N996,14,0)),"")</f>
        <v/>
      </c>
      <c r="M2047" s="497" t="str">
        <f ca="1">IFERROR(IF(VLOOKUP(C2047,' Disaggregation - Section E '!A$316:T996,20,0)=0,"",VLOOKUP(C2047,' Disaggregation - Section E '!A$316:T996,20,0)),"")</f>
        <v/>
      </c>
      <c r="N2047" s="503" t="str">
        <f ca="1">IFERROR(IF(VLOOKUP(C2047,' Disaggregation - Section E '!A$316:N996,9,0)=0,"",VLOOKUP(C2047,' Disaggregation - Section E '!A$316:N996,9,0)),"")</f>
        <v/>
      </c>
      <c r="O2047" s="503" t="str">
        <f ca="1">IFERROR(IF(VLOOKUP(C2047,' Disaggregation - Section E '!A$315:N996,10,0)=0,"",VLOOKUP(C2047,' Disaggregation - Section E '!A$316:N996,10,0)),"")</f>
        <v/>
      </c>
    </row>
    <row r="2048" spans="1:15" x14ac:dyDescent="0.35">
      <c r="A2048" s="497" t="b">
        <f t="shared" ca="1" si="222"/>
        <v>0</v>
      </c>
      <c r="B2048" s="497"/>
      <c r="C2048" s="517" t="str">
        <f ca="1">IF(COUNTA(D$1665:D2048)=1,"",OFFSET(C2048,-COUNTA(D$1665:D2048)+1,0))</f>
        <v>a1V3p000006jw97EAA</v>
      </c>
      <c r="D2048" s="512"/>
      <c r="E2048" s="500" t="str">
        <f ca="1">IFERROR(IF(VLOOKUP(C2048,' Disaggregation - Section E '!A$316:N997,7,0)="","",VLOOKUP(C2048,' Disaggregation - Section E '!A$316:N997,7,0)*100),"")</f>
        <v/>
      </c>
      <c r="F2048" s="497"/>
      <c r="G2048" s="502" t="str">
        <f ca="1">IFERROR(IF(VLOOKUP(C2048,' Disaggregation - Section E '!A$316:N997,6,0)="","",VLOOKUP(C2048,' Disaggregation - Section E '!A$316:N997,6,0)),"")</f>
        <v/>
      </c>
      <c r="H2048" s="512" t="str">
        <f ca="1">IFERROR(IF(INDEX(' Disaggregation - Section E '!F$313:F997,MATCH(C2048,' Disaggregation - Section E '!A$313:A997,0)+1,1)&lt;&gt;0,INDEX(' Disaggregation - Section E '!F$313:F997,MATCH(C2048,' Disaggregation - Section E '!A$313:A997,0)+1,1),""),"")</f>
        <v/>
      </c>
      <c r="I2048" s="503" t="str">
        <f ca="1">IFERROR(IF(VLOOKUP(C2048,' Disaggregation - Section E '!A$316:N997,8,0)=0,"",VLOOKUP(C2048,' Disaggregation - Section E '!A$316:N997,8,0)),"")</f>
        <v/>
      </c>
      <c r="J2048" s="503" t="str">
        <f ca="1">IFERROR(IF(VLOOKUP(C2048,' Disaggregation - Section E '!A$316:N997,13,0)=0,"",VLOOKUP(C2048,' Disaggregation - Section E '!A$316:N997,13,0)),"")</f>
        <v/>
      </c>
      <c r="K2048" s="497" t="str">
        <f ca="1">IFERROR(VLOOKUP(C2048,' Disaggregation - Section E '!A$316:N997,3,0),"")</f>
        <v/>
      </c>
      <c r="L2048" s="503" t="str">
        <f ca="1">IFERROR(IF(VLOOKUP(C2048,' Disaggregation - Section E '!A$316:N997,14,0)=0,"",VLOOKUP(C2048,' Disaggregation - Section E '!A$316:N997,14,0)),"")</f>
        <v/>
      </c>
      <c r="M2048" s="497" t="str">
        <f ca="1">IFERROR(IF(VLOOKUP(C2048,' Disaggregation - Section E '!A$316:T997,20,0)=0,"",VLOOKUP(C2048,' Disaggregation - Section E '!A$316:T997,20,0)),"")</f>
        <v/>
      </c>
      <c r="N2048" s="503" t="str">
        <f ca="1">IFERROR(IF(VLOOKUP(C2048,' Disaggregation - Section E '!A$316:N997,9,0)=0,"",VLOOKUP(C2048,' Disaggregation - Section E '!A$316:N997,9,0)),"")</f>
        <v/>
      </c>
      <c r="O2048" s="503" t="str">
        <f ca="1">IFERROR(IF(VLOOKUP(C2048,' Disaggregation - Section E '!A$315:N997,10,0)=0,"",VLOOKUP(C2048,' Disaggregation - Section E '!A$316:N997,10,0)),"")</f>
        <v/>
      </c>
    </row>
    <row r="2049" spans="1:15" x14ac:dyDescent="0.35">
      <c r="A2049" s="497" t="b">
        <f t="shared" ca="1" si="222"/>
        <v>0</v>
      </c>
      <c r="B2049" s="497"/>
      <c r="C2049" s="517" t="str">
        <f ca="1">IF(COUNTA(D$1665:D2049)=1,"",OFFSET(C2049,-COUNTA(D$1665:D2049)+1,0))</f>
        <v>a1V3p000006jw98EAA</v>
      </c>
      <c r="D2049" s="512"/>
      <c r="E2049" s="500" t="str">
        <f ca="1">IFERROR(IF(VLOOKUP(C2049,' Disaggregation - Section E '!A$316:N998,7,0)="","",VLOOKUP(C2049,' Disaggregation - Section E '!A$316:N998,7,0)*100),"")</f>
        <v/>
      </c>
      <c r="F2049" s="497"/>
      <c r="G2049" s="502" t="str">
        <f ca="1">IFERROR(IF(VLOOKUP(C2049,' Disaggregation - Section E '!A$316:N998,6,0)="","",VLOOKUP(C2049,' Disaggregation - Section E '!A$316:N998,6,0)),"")</f>
        <v/>
      </c>
      <c r="H2049" s="512" t="str">
        <f ca="1">IFERROR(IF(INDEX(' Disaggregation - Section E '!F$313:F998,MATCH(C2049,' Disaggregation - Section E '!A$313:A998,0)+1,1)&lt;&gt;0,INDEX(' Disaggregation - Section E '!F$313:F998,MATCH(C2049,' Disaggregation - Section E '!A$313:A998,0)+1,1),""),"")</f>
        <v/>
      </c>
      <c r="I2049" s="503" t="str">
        <f ca="1">IFERROR(IF(VLOOKUP(C2049,' Disaggregation - Section E '!A$316:N998,8,0)=0,"",VLOOKUP(C2049,' Disaggregation - Section E '!A$316:N998,8,0)),"")</f>
        <v/>
      </c>
      <c r="J2049" s="503" t="str">
        <f ca="1">IFERROR(IF(VLOOKUP(C2049,' Disaggregation - Section E '!A$316:N998,13,0)=0,"",VLOOKUP(C2049,' Disaggregation - Section E '!A$316:N998,13,0)),"")</f>
        <v/>
      </c>
      <c r="K2049" s="497" t="str">
        <f ca="1">IFERROR(VLOOKUP(C2049,' Disaggregation - Section E '!A$316:N998,3,0),"")</f>
        <v/>
      </c>
      <c r="L2049" s="503" t="str">
        <f ca="1">IFERROR(IF(VLOOKUP(C2049,' Disaggregation - Section E '!A$316:N998,14,0)=0,"",VLOOKUP(C2049,' Disaggregation - Section E '!A$316:N998,14,0)),"")</f>
        <v/>
      </c>
      <c r="M2049" s="497" t="str">
        <f ca="1">IFERROR(IF(VLOOKUP(C2049,' Disaggregation - Section E '!A$316:T998,20,0)=0,"",VLOOKUP(C2049,' Disaggregation - Section E '!A$316:T998,20,0)),"")</f>
        <v/>
      </c>
      <c r="N2049" s="503" t="str">
        <f ca="1">IFERROR(IF(VLOOKUP(C2049,' Disaggregation - Section E '!A$316:N998,9,0)=0,"",VLOOKUP(C2049,' Disaggregation - Section E '!A$316:N998,9,0)),"")</f>
        <v/>
      </c>
      <c r="O2049" s="503" t="str">
        <f ca="1">IFERROR(IF(VLOOKUP(C2049,' Disaggregation - Section E '!A$315:N998,10,0)=0,"",VLOOKUP(C2049,' Disaggregation - Section E '!A$316:N998,10,0)),"")</f>
        <v/>
      </c>
    </row>
    <row r="2050" spans="1:15" x14ac:dyDescent="0.35">
      <c r="A2050" s="497" t="b">
        <f t="shared" ca="1" si="222"/>
        <v>0</v>
      </c>
      <c r="B2050" s="497"/>
      <c r="C2050" s="517" t="str">
        <f ca="1">IF(COUNTA(D$1665:D2050)=1,"",OFFSET(C2050,-COUNTA(D$1665:D2050)+1,0))</f>
        <v>a1V3p000006jw99EAA</v>
      </c>
      <c r="D2050" s="512"/>
      <c r="E2050" s="500" t="str">
        <f ca="1">IFERROR(IF(VLOOKUP(C2050,' Disaggregation - Section E '!A$316:N999,7,0)="","",VLOOKUP(C2050,' Disaggregation - Section E '!A$316:N999,7,0)*100),"")</f>
        <v/>
      </c>
      <c r="F2050" s="497"/>
      <c r="G2050" s="502" t="str">
        <f ca="1">IFERROR(IF(VLOOKUP(C2050,' Disaggregation - Section E '!A$316:N999,6,0)="","",VLOOKUP(C2050,' Disaggregation - Section E '!A$316:N999,6,0)),"")</f>
        <v/>
      </c>
      <c r="H2050" s="512" t="str">
        <f ca="1">IFERROR(IF(INDEX(' Disaggregation - Section E '!F$313:F999,MATCH(C2050,' Disaggregation - Section E '!A$313:A999,0)+1,1)&lt;&gt;0,INDEX(' Disaggregation - Section E '!F$313:F999,MATCH(C2050,' Disaggregation - Section E '!A$313:A999,0)+1,1),""),"")</f>
        <v/>
      </c>
      <c r="I2050" s="503" t="str">
        <f ca="1">IFERROR(IF(VLOOKUP(C2050,' Disaggregation - Section E '!A$316:N999,8,0)=0,"",VLOOKUP(C2050,' Disaggregation - Section E '!A$316:N999,8,0)),"")</f>
        <v/>
      </c>
      <c r="J2050" s="503" t="str">
        <f ca="1">IFERROR(IF(VLOOKUP(C2050,' Disaggregation - Section E '!A$316:N999,13,0)=0,"",VLOOKUP(C2050,' Disaggregation - Section E '!A$316:N999,13,0)),"")</f>
        <v/>
      </c>
      <c r="K2050" s="497" t="str">
        <f ca="1">IFERROR(VLOOKUP(C2050,' Disaggregation - Section E '!A$316:N999,3,0),"")</f>
        <v/>
      </c>
      <c r="L2050" s="503" t="str">
        <f ca="1">IFERROR(IF(VLOOKUP(C2050,' Disaggregation - Section E '!A$316:N999,14,0)=0,"",VLOOKUP(C2050,' Disaggregation - Section E '!A$316:N999,14,0)),"")</f>
        <v/>
      </c>
      <c r="M2050" s="497" t="str">
        <f ca="1">IFERROR(IF(VLOOKUP(C2050,' Disaggregation - Section E '!A$316:T999,20,0)=0,"",VLOOKUP(C2050,' Disaggregation - Section E '!A$316:T999,20,0)),"")</f>
        <v/>
      </c>
      <c r="N2050" s="503" t="str">
        <f ca="1">IFERROR(IF(VLOOKUP(C2050,' Disaggregation - Section E '!A$316:N999,9,0)=0,"",VLOOKUP(C2050,' Disaggregation - Section E '!A$316:N999,9,0)),"")</f>
        <v/>
      </c>
      <c r="O2050" s="503" t="str">
        <f ca="1">IFERROR(IF(VLOOKUP(C2050,' Disaggregation - Section E '!A$315:N999,10,0)=0,"",VLOOKUP(C2050,' Disaggregation - Section E '!A$316:N999,10,0)),"")</f>
        <v/>
      </c>
    </row>
    <row r="2051" spans="1:15" x14ac:dyDescent="0.35">
      <c r="A2051" s="497" t="b">
        <f t="shared" ca="1" si="222"/>
        <v>0</v>
      </c>
      <c r="B2051" s="497"/>
      <c r="C2051" s="517" t="str">
        <f ca="1">IF(COUNTA(D$1665:D2051)=1,"",OFFSET(C2051,-COUNTA(D$1665:D2051)+1,0))</f>
        <v>a1V3p000006jw9AEAQ</v>
      </c>
      <c r="D2051" s="512"/>
      <c r="E2051" s="500" t="str">
        <f ca="1">IFERROR(IF(VLOOKUP(C2051,' Disaggregation - Section E '!A$316:N1000,7,0)="","",VLOOKUP(C2051,' Disaggregation - Section E '!A$316:N1000,7,0)*100),"")</f>
        <v/>
      </c>
      <c r="F2051" s="497"/>
      <c r="G2051" s="502" t="str">
        <f ca="1">IFERROR(IF(VLOOKUP(C2051,' Disaggregation - Section E '!A$316:N1000,6,0)="","",VLOOKUP(C2051,' Disaggregation - Section E '!A$316:N1000,6,0)),"")</f>
        <v/>
      </c>
      <c r="H2051" s="512" t="str">
        <f ca="1">IFERROR(IF(INDEX(' Disaggregation - Section E '!F$313:F1000,MATCH(C2051,' Disaggregation - Section E '!A$313:A1000,0)+1,1)&lt;&gt;0,INDEX(' Disaggregation - Section E '!F$313:F1000,MATCH(C2051,' Disaggregation - Section E '!A$313:A1000,0)+1,1),""),"")</f>
        <v/>
      </c>
      <c r="I2051" s="503" t="str">
        <f ca="1">IFERROR(IF(VLOOKUP(C2051,' Disaggregation - Section E '!A$316:N1000,8,0)=0,"",VLOOKUP(C2051,' Disaggregation - Section E '!A$316:N1000,8,0)),"")</f>
        <v/>
      </c>
      <c r="J2051" s="503" t="str">
        <f ca="1">IFERROR(IF(VLOOKUP(C2051,' Disaggregation - Section E '!A$316:N1000,13,0)=0,"",VLOOKUP(C2051,' Disaggregation - Section E '!A$316:N1000,13,0)),"")</f>
        <v/>
      </c>
      <c r="K2051" s="497" t="str">
        <f ca="1">IFERROR(VLOOKUP(C2051,' Disaggregation - Section E '!A$316:N1000,3,0),"")</f>
        <v/>
      </c>
      <c r="L2051" s="503" t="str">
        <f ca="1">IFERROR(IF(VLOOKUP(C2051,' Disaggregation - Section E '!A$316:N1000,14,0)=0,"",VLOOKUP(C2051,' Disaggregation - Section E '!A$316:N1000,14,0)),"")</f>
        <v/>
      </c>
      <c r="M2051" s="497" t="str">
        <f ca="1">IFERROR(IF(VLOOKUP(C2051,' Disaggregation - Section E '!A$316:T1000,20,0)=0,"",VLOOKUP(C2051,' Disaggregation - Section E '!A$316:T1000,20,0)),"")</f>
        <v/>
      </c>
      <c r="N2051" s="503" t="str">
        <f ca="1">IFERROR(IF(VLOOKUP(C2051,' Disaggregation - Section E '!A$316:N1000,9,0)=0,"",VLOOKUP(C2051,' Disaggregation - Section E '!A$316:N1000,9,0)),"")</f>
        <v/>
      </c>
      <c r="O2051" s="503" t="str">
        <f ca="1">IFERROR(IF(VLOOKUP(C2051,' Disaggregation - Section E '!A$315:N1000,10,0)=0,"",VLOOKUP(C2051,' Disaggregation - Section E '!A$316:N1000,10,0)),"")</f>
        <v/>
      </c>
    </row>
    <row r="2052" spans="1:15" x14ac:dyDescent="0.35">
      <c r="A2052" s="497" t="b">
        <f t="shared" ca="1" si="222"/>
        <v>0</v>
      </c>
      <c r="B2052" s="497"/>
      <c r="C2052" s="517" t="str">
        <f ca="1">IF(COUNTA(D$1665:D2052)=1,"",OFFSET(C2052,-COUNTA(D$1665:D2052)+1,0))</f>
        <v>a1V3p000006jw9BEAQ</v>
      </c>
      <c r="D2052" s="512"/>
      <c r="E2052" s="500" t="str">
        <f ca="1">IFERROR(IF(VLOOKUP(C2052,' Disaggregation - Section E '!A$316:N1001,7,0)="","",VLOOKUP(C2052,' Disaggregation - Section E '!A$316:N1001,7,0)*100),"")</f>
        <v/>
      </c>
      <c r="F2052" s="497"/>
      <c r="G2052" s="502" t="str">
        <f ca="1">IFERROR(IF(VLOOKUP(C2052,' Disaggregation - Section E '!A$316:N1001,6,0)="","",VLOOKUP(C2052,' Disaggregation - Section E '!A$316:N1001,6,0)),"")</f>
        <v/>
      </c>
      <c r="H2052" s="512" t="str">
        <f ca="1">IFERROR(IF(INDEX(' Disaggregation - Section E '!F$313:F1001,MATCH(C2052,' Disaggregation - Section E '!A$313:A1001,0)+1,1)&lt;&gt;0,INDEX(' Disaggregation - Section E '!F$313:F1001,MATCH(C2052,' Disaggregation - Section E '!A$313:A1001,0)+1,1),""),"")</f>
        <v/>
      </c>
      <c r="I2052" s="503" t="str">
        <f ca="1">IFERROR(IF(VLOOKUP(C2052,' Disaggregation - Section E '!A$316:N1001,8,0)=0,"",VLOOKUP(C2052,' Disaggregation - Section E '!A$316:N1001,8,0)),"")</f>
        <v/>
      </c>
      <c r="J2052" s="503" t="str">
        <f ca="1">IFERROR(IF(VLOOKUP(C2052,' Disaggregation - Section E '!A$316:N1001,13,0)=0,"",VLOOKUP(C2052,' Disaggregation - Section E '!A$316:N1001,13,0)),"")</f>
        <v/>
      </c>
      <c r="K2052" s="497" t="str">
        <f ca="1">IFERROR(VLOOKUP(C2052,' Disaggregation - Section E '!A$316:N1001,3,0),"")</f>
        <v/>
      </c>
      <c r="L2052" s="503" t="str">
        <f ca="1">IFERROR(IF(VLOOKUP(C2052,' Disaggregation - Section E '!A$316:N1001,14,0)=0,"",VLOOKUP(C2052,' Disaggregation - Section E '!A$316:N1001,14,0)),"")</f>
        <v/>
      </c>
      <c r="M2052" s="497" t="str">
        <f ca="1">IFERROR(IF(VLOOKUP(C2052,' Disaggregation - Section E '!A$316:T1001,20,0)=0,"",VLOOKUP(C2052,' Disaggregation - Section E '!A$316:T1001,20,0)),"")</f>
        <v/>
      </c>
      <c r="N2052" s="503" t="str">
        <f ca="1">IFERROR(IF(VLOOKUP(C2052,' Disaggregation - Section E '!A$316:N1001,9,0)=0,"",VLOOKUP(C2052,' Disaggregation - Section E '!A$316:N1001,9,0)),"")</f>
        <v/>
      </c>
      <c r="O2052" s="503" t="str">
        <f ca="1">IFERROR(IF(VLOOKUP(C2052,' Disaggregation - Section E '!A$315:N1001,10,0)=0,"",VLOOKUP(C2052,' Disaggregation - Section E '!A$316:N1001,10,0)),"")</f>
        <v/>
      </c>
    </row>
    <row r="2053" spans="1:15" x14ac:dyDescent="0.35">
      <c r="A2053" s="497" t="b">
        <f t="shared" ca="1" si="222"/>
        <v>0</v>
      </c>
      <c r="B2053" s="497"/>
      <c r="C2053" s="517" t="str">
        <f ca="1">IF(COUNTA(D$1665:D2053)=1,"",OFFSET(C2053,-COUNTA(D$1665:D2053)+1,0))</f>
        <v>a1V3p000006jw9CEAQ</v>
      </c>
      <c r="D2053" s="512"/>
      <c r="E2053" s="500" t="str">
        <f ca="1">IFERROR(IF(VLOOKUP(C2053,' Disaggregation - Section E '!A$316:N1002,7,0)="","",VLOOKUP(C2053,' Disaggregation - Section E '!A$316:N1002,7,0)*100),"")</f>
        <v/>
      </c>
      <c r="F2053" s="497"/>
      <c r="G2053" s="502" t="str">
        <f ca="1">IFERROR(IF(VLOOKUP(C2053,' Disaggregation - Section E '!A$316:N1002,6,0)="","",VLOOKUP(C2053,' Disaggregation - Section E '!A$316:N1002,6,0)),"")</f>
        <v/>
      </c>
      <c r="H2053" s="512" t="str">
        <f ca="1">IFERROR(IF(INDEX(' Disaggregation - Section E '!F$313:F1002,MATCH(C2053,' Disaggregation - Section E '!A$313:A1002,0)+1,1)&lt;&gt;0,INDEX(' Disaggregation - Section E '!F$313:F1002,MATCH(C2053,' Disaggregation - Section E '!A$313:A1002,0)+1,1),""),"")</f>
        <v/>
      </c>
      <c r="I2053" s="503" t="str">
        <f ca="1">IFERROR(IF(VLOOKUP(C2053,' Disaggregation - Section E '!A$316:N1002,8,0)=0,"",VLOOKUP(C2053,' Disaggregation - Section E '!A$316:N1002,8,0)),"")</f>
        <v/>
      </c>
      <c r="J2053" s="503" t="str">
        <f ca="1">IFERROR(IF(VLOOKUP(C2053,' Disaggregation - Section E '!A$316:N1002,13,0)=0,"",VLOOKUP(C2053,' Disaggregation - Section E '!A$316:N1002,13,0)),"")</f>
        <v/>
      </c>
      <c r="K2053" s="497" t="str">
        <f ca="1">IFERROR(VLOOKUP(C2053,' Disaggregation - Section E '!A$316:N1002,3,0),"")</f>
        <v/>
      </c>
      <c r="L2053" s="503" t="str">
        <f ca="1">IFERROR(IF(VLOOKUP(C2053,' Disaggregation - Section E '!A$316:N1002,14,0)=0,"",VLOOKUP(C2053,' Disaggregation - Section E '!A$316:N1002,14,0)),"")</f>
        <v/>
      </c>
      <c r="M2053" s="497" t="str">
        <f ca="1">IFERROR(IF(VLOOKUP(C2053,' Disaggregation - Section E '!A$316:T1002,20,0)=0,"",VLOOKUP(C2053,' Disaggregation - Section E '!A$316:T1002,20,0)),"")</f>
        <v/>
      </c>
      <c r="N2053" s="503" t="str">
        <f ca="1">IFERROR(IF(VLOOKUP(C2053,' Disaggregation - Section E '!A$316:N1002,9,0)=0,"",VLOOKUP(C2053,' Disaggregation - Section E '!A$316:N1002,9,0)),"")</f>
        <v/>
      </c>
      <c r="O2053" s="503" t="str">
        <f ca="1">IFERROR(IF(VLOOKUP(C2053,' Disaggregation - Section E '!A$315:N1002,10,0)=0,"",VLOOKUP(C2053,' Disaggregation - Section E '!A$316:N1002,10,0)),"")</f>
        <v/>
      </c>
    </row>
    <row r="2054" spans="1:15" x14ac:dyDescent="0.35">
      <c r="A2054" s="497" t="b">
        <f t="shared" ca="1" si="222"/>
        <v>0</v>
      </c>
      <c r="B2054" s="497"/>
      <c r="C2054" s="517" t="str">
        <f ca="1">IF(COUNTA(D$1665:D2054)=1,"",OFFSET(C2054,-COUNTA(D$1665:D2054)+1,0))</f>
        <v>a1V3p000006jw9DEAQ</v>
      </c>
      <c r="D2054" s="512"/>
      <c r="E2054" s="500" t="str">
        <f ca="1">IFERROR(IF(VLOOKUP(C2054,' Disaggregation - Section E '!A$316:N1003,7,0)="","",VLOOKUP(C2054,' Disaggregation - Section E '!A$316:N1003,7,0)*100),"")</f>
        <v/>
      </c>
      <c r="F2054" s="497"/>
      <c r="G2054" s="502" t="str">
        <f ca="1">IFERROR(IF(VLOOKUP(C2054,' Disaggregation - Section E '!A$316:N1003,6,0)="","",VLOOKUP(C2054,' Disaggregation - Section E '!A$316:N1003,6,0)),"")</f>
        <v/>
      </c>
      <c r="H2054" s="512" t="str">
        <f ca="1">IFERROR(IF(INDEX(' Disaggregation - Section E '!F$313:F1003,MATCH(C2054,' Disaggregation - Section E '!A$313:A1003,0)+1,1)&lt;&gt;0,INDEX(' Disaggregation - Section E '!F$313:F1003,MATCH(C2054,' Disaggregation - Section E '!A$313:A1003,0)+1,1),""),"")</f>
        <v/>
      </c>
      <c r="I2054" s="503" t="str">
        <f ca="1">IFERROR(IF(VLOOKUP(C2054,' Disaggregation - Section E '!A$316:N1003,8,0)=0,"",VLOOKUP(C2054,' Disaggregation - Section E '!A$316:N1003,8,0)),"")</f>
        <v/>
      </c>
      <c r="J2054" s="503" t="str">
        <f ca="1">IFERROR(IF(VLOOKUP(C2054,' Disaggregation - Section E '!A$316:N1003,13,0)=0,"",VLOOKUP(C2054,' Disaggregation - Section E '!A$316:N1003,13,0)),"")</f>
        <v/>
      </c>
      <c r="K2054" s="497" t="str">
        <f ca="1">IFERROR(VLOOKUP(C2054,' Disaggregation - Section E '!A$316:N1003,3,0),"")</f>
        <v/>
      </c>
      <c r="L2054" s="503" t="str">
        <f ca="1">IFERROR(IF(VLOOKUP(C2054,' Disaggregation - Section E '!A$316:N1003,14,0)=0,"",VLOOKUP(C2054,' Disaggregation - Section E '!A$316:N1003,14,0)),"")</f>
        <v/>
      </c>
      <c r="M2054" s="497" t="str">
        <f ca="1">IFERROR(IF(VLOOKUP(C2054,' Disaggregation - Section E '!A$316:T1003,20,0)=0,"",VLOOKUP(C2054,' Disaggregation - Section E '!A$316:T1003,20,0)),"")</f>
        <v/>
      </c>
      <c r="N2054" s="503" t="str">
        <f ca="1">IFERROR(IF(VLOOKUP(C2054,' Disaggregation - Section E '!A$316:N1003,9,0)=0,"",VLOOKUP(C2054,' Disaggregation - Section E '!A$316:N1003,9,0)),"")</f>
        <v/>
      </c>
      <c r="O2054" s="503" t="str">
        <f ca="1">IFERROR(IF(VLOOKUP(C2054,' Disaggregation - Section E '!A$315:N1003,10,0)=0,"",VLOOKUP(C2054,' Disaggregation - Section E '!A$316:N1003,10,0)),"")</f>
        <v/>
      </c>
    </row>
    <row r="2055" spans="1:15" x14ac:dyDescent="0.35">
      <c r="A2055" s="497" t="b">
        <f t="shared" ca="1" si="222"/>
        <v>0</v>
      </c>
      <c r="B2055" s="497"/>
      <c r="C2055" s="517" t="str">
        <f ca="1">IF(COUNTA(D$1665:D2055)=1,"",OFFSET(C2055,-COUNTA(D$1665:D2055)+1,0))</f>
        <v>a1V3p000006jw9EEAQ</v>
      </c>
      <c r="D2055" s="512"/>
      <c r="E2055" s="500" t="str">
        <f ca="1">IFERROR(IF(VLOOKUP(C2055,' Disaggregation - Section E '!A$316:N1004,7,0)="","",VLOOKUP(C2055,' Disaggregation - Section E '!A$316:N1004,7,0)*100),"")</f>
        <v/>
      </c>
      <c r="F2055" s="497"/>
      <c r="G2055" s="502" t="str">
        <f ca="1">IFERROR(IF(VLOOKUP(C2055,' Disaggregation - Section E '!A$316:N1004,6,0)="","",VLOOKUP(C2055,' Disaggregation - Section E '!A$316:N1004,6,0)),"")</f>
        <v/>
      </c>
      <c r="H2055" s="512" t="str">
        <f ca="1">IFERROR(IF(INDEX(' Disaggregation - Section E '!F$313:F1004,MATCH(C2055,' Disaggregation - Section E '!A$313:A1004,0)+1,1)&lt;&gt;0,INDEX(' Disaggregation - Section E '!F$313:F1004,MATCH(C2055,' Disaggregation - Section E '!A$313:A1004,0)+1,1),""),"")</f>
        <v/>
      </c>
      <c r="I2055" s="503" t="str">
        <f ca="1">IFERROR(IF(VLOOKUP(C2055,' Disaggregation - Section E '!A$316:N1004,8,0)=0,"",VLOOKUP(C2055,' Disaggregation - Section E '!A$316:N1004,8,0)),"")</f>
        <v/>
      </c>
      <c r="J2055" s="503" t="str">
        <f ca="1">IFERROR(IF(VLOOKUP(C2055,' Disaggregation - Section E '!A$316:N1004,13,0)=0,"",VLOOKUP(C2055,' Disaggregation - Section E '!A$316:N1004,13,0)),"")</f>
        <v/>
      </c>
      <c r="K2055" s="497" t="str">
        <f ca="1">IFERROR(VLOOKUP(C2055,' Disaggregation - Section E '!A$316:N1004,3,0),"")</f>
        <v/>
      </c>
      <c r="L2055" s="503" t="str">
        <f ca="1">IFERROR(IF(VLOOKUP(C2055,' Disaggregation - Section E '!A$316:N1004,14,0)=0,"",VLOOKUP(C2055,' Disaggregation - Section E '!A$316:N1004,14,0)),"")</f>
        <v/>
      </c>
      <c r="M2055" s="497" t="str">
        <f ca="1">IFERROR(IF(VLOOKUP(C2055,' Disaggregation - Section E '!A$316:T1004,20,0)=0,"",VLOOKUP(C2055,' Disaggregation - Section E '!A$316:T1004,20,0)),"")</f>
        <v/>
      </c>
      <c r="N2055" s="503" t="str">
        <f ca="1">IFERROR(IF(VLOOKUP(C2055,' Disaggregation - Section E '!A$316:N1004,9,0)=0,"",VLOOKUP(C2055,' Disaggregation - Section E '!A$316:N1004,9,0)),"")</f>
        <v/>
      </c>
      <c r="O2055" s="503" t="str">
        <f ca="1">IFERROR(IF(VLOOKUP(C2055,' Disaggregation - Section E '!A$315:N1004,10,0)=0,"",VLOOKUP(C2055,' Disaggregation - Section E '!A$316:N1004,10,0)),"")</f>
        <v/>
      </c>
    </row>
    <row r="2056" spans="1:15" x14ac:dyDescent="0.35">
      <c r="A2056" s="497" t="b">
        <f t="shared" ca="1" si="222"/>
        <v>0</v>
      </c>
      <c r="B2056" s="497"/>
      <c r="C2056" s="517" t="str">
        <f ca="1">IF(COUNTA(D$1665:D2056)=1,"",OFFSET(C2056,-COUNTA(D$1665:D2056)+1,0))</f>
        <v>a1V3p000006jw9FEAQ</v>
      </c>
      <c r="D2056" s="512"/>
      <c r="E2056" s="500" t="str">
        <f ca="1">IFERROR(IF(VLOOKUP(C2056,' Disaggregation - Section E '!A$316:N1005,7,0)="","",VLOOKUP(C2056,' Disaggregation - Section E '!A$316:N1005,7,0)*100),"")</f>
        <v/>
      </c>
      <c r="F2056" s="497"/>
      <c r="G2056" s="502" t="str">
        <f ca="1">IFERROR(IF(VLOOKUP(C2056,' Disaggregation - Section E '!A$316:N1005,6,0)="","",VLOOKUP(C2056,' Disaggregation - Section E '!A$316:N1005,6,0)),"")</f>
        <v/>
      </c>
      <c r="H2056" s="512" t="str">
        <f ca="1">IFERROR(IF(INDEX(' Disaggregation - Section E '!F$313:F1005,MATCH(C2056,' Disaggregation - Section E '!A$313:A1005,0)+1,1)&lt;&gt;0,INDEX(' Disaggregation - Section E '!F$313:F1005,MATCH(C2056,' Disaggregation - Section E '!A$313:A1005,0)+1,1),""),"")</f>
        <v/>
      </c>
      <c r="I2056" s="503" t="str">
        <f ca="1">IFERROR(IF(VLOOKUP(C2056,' Disaggregation - Section E '!A$316:N1005,8,0)=0,"",VLOOKUP(C2056,' Disaggregation - Section E '!A$316:N1005,8,0)),"")</f>
        <v/>
      </c>
      <c r="J2056" s="503" t="str">
        <f ca="1">IFERROR(IF(VLOOKUP(C2056,' Disaggregation - Section E '!A$316:N1005,13,0)=0,"",VLOOKUP(C2056,' Disaggregation - Section E '!A$316:N1005,13,0)),"")</f>
        <v/>
      </c>
      <c r="K2056" s="497" t="str">
        <f ca="1">IFERROR(VLOOKUP(C2056,' Disaggregation - Section E '!A$316:N1005,3,0),"")</f>
        <v/>
      </c>
      <c r="L2056" s="503" t="str">
        <f ca="1">IFERROR(IF(VLOOKUP(C2056,' Disaggregation - Section E '!A$316:N1005,14,0)=0,"",VLOOKUP(C2056,' Disaggregation - Section E '!A$316:N1005,14,0)),"")</f>
        <v/>
      </c>
      <c r="M2056" s="497" t="str">
        <f ca="1">IFERROR(IF(VLOOKUP(C2056,' Disaggregation - Section E '!A$316:T1005,20,0)=0,"",VLOOKUP(C2056,' Disaggregation - Section E '!A$316:T1005,20,0)),"")</f>
        <v/>
      </c>
      <c r="N2056" s="503" t="str">
        <f ca="1">IFERROR(IF(VLOOKUP(C2056,' Disaggregation - Section E '!A$316:N1005,9,0)=0,"",VLOOKUP(C2056,' Disaggregation - Section E '!A$316:N1005,9,0)),"")</f>
        <v/>
      </c>
      <c r="O2056" s="503" t="str">
        <f ca="1">IFERROR(IF(VLOOKUP(C2056,' Disaggregation - Section E '!A$315:N1005,10,0)=0,"",VLOOKUP(C2056,' Disaggregation - Section E '!A$316:N1005,10,0)),"")</f>
        <v/>
      </c>
    </row>
    <row r="2057" spans="1:15" x14ac:dyDescent="0.35">
      <c r="A2057" s="497" t="b">
        <f t="shared" ca="1" si="222"/>
        <v>0</v>
      </c>
      <c r="B2057" s="497"/>
      <c r="C2057" s="517" t="str">
        <f ca="1">IF(COUNTA(D$1665:D2057)=1,"",OFFSET(C2057,-COUNTA(D$1665:D2057)+1,0))</f>
        <v>a1V3p000006jwBWEAY</v>
      </c>
      <c r="D2057" s="512"/>
      <c r="E2057" s="500" t="str">
        <f ca="1">IFERROR(IF(VLOOKUP(C2057,' Disaggregation - Section E '!A$316:N1006,7,0)="","",VLOOKUP(C2057,' Disaggregation - Section E '!A$316:N1006,7,0)*100),"")</f>
        <v/>
      </c>
      <c r="F2057" s="497"/>
      <c r="G2057" s="502" t="str">
        <f ca="1">IFERROR(IF(VLOOKUP(C2057,' Disaggregation - Section E '!A$316:N1006,6,0)="","",VLOOKUP(C2057,' Disaggregation - Section E '!A$316:N1006,6,0)),"")</f>
        <v/>
      </c>
      <c r="H2057" s="512" t="str">
        <f ca="1">IFERROR(IF(INDEX(' Disaggregation - Section E '!F$313:F1006,MATCH(C2057,' Disaggregation - Section E '!A$313:A1006,0)+1,1)&lt;&gt;0,INDEX(' Disaggregation - Section E '!F$313:F1006,MATCH(C2057,' Disaggregation - Section E '!A$313:A1006,0)+1,1),""),"")</f>
        <v/>
      </c>
      <c r="I2057" s="503" t="str">
        <f ca="1">IFERROR(IF(VLOOKUP(C2057,' Disaggregation - Section E '!A$316:N1006,8,0)=0,"",VLOOKUP(C2057,' Disaggregation - Section E '!A$316:N1006,8,0)),"")</f>
        <v/>
      </c>
      <c r="J2057" s="503" t="str">
        <f ca="1">IFERROR(IF(VLOOKUP(C2057,' Disaggregation - Section E '!A$316:N1006,13,0)=0,"",VLOOKUP(C2057,' Disaggregation - Section E '!A$316:N1006,13,0)),"")</f>
        <v/>
      </c>
      <c r="K2057" s="497" t="str">
        <f ca="1">IFERROR(VLOOKUP(C2057,' Disaggregation - Section E '!A$316:N1006,3,0),"")</f>
        <v/>
      </c>
      <c r="L2057" s="503" t="str">
        <f ca="1">IFERROR(IF(VLOOKUP(C2057,' Disaggregation - Section E '!A$316:N1006,14,0)=0,"",VLOOKUP(C2057,' Disaggregation - Section E '!A$316:N1006,14,0)),"")</f>
        <v/>
      </c>
      <c r="M2057" s="497" t="str">
        <f ca="1">IFERROR(IF(VLOOKUP(C2057,' Disaggregation - Section E '!A$316:T1006,20,0)=0,"",VLOOKUP(C2057,' Disaggregation - Section E '!A$316:T1006,20,0)),"")</f>
        <v/>
      </c>
      <c r="N2057" s="503" t="str">
        <f ca="1">IFERROR(IF(VLOOKUP(C2057,' Disaggregation - Section E '!A$316:N1006,9,0)=0,"",VLOOKUP(C2057,' Disaggregation - Section E '!A$316:N1006,9,0)),"")</f>
        <v/>
      </c>
      <c r="O2057" s="503" t="str">
        <f ca="1">IFERROR(IF(VLOOKUP(C2057,' Disaggregation - Section E '!A$315:N1006,10,0)=0,"",VLOOKUP(C2057,' Disaggregation - Section E '!A$316:N1006,10,0)),"")</f>
        <v/>
      </c>
    </row>
    <row r="2058" spans="1:15" x14ac:dyDescent="0.35">
      <c r="A2058" s="497" t="b">
        <f t="shared" ca="1" si="222"/>
        <v>0</v>
      </c>
      <c r="B2058" s="497"/>
      <c r="C2058" s="517" t="str">
        <f ca="1">IF(COUNTA(D$1665:D2058)=1,"",OFFSET(C2058,-COUNTA(D$1665:D2058)+1,0))</f>
        <v>a1V3p000006jwBXEAY</v>
      </c>
      <c r="D2058" s="512"/>
      <c r="E2058" s="500" t="str">
        <f ca="1">IFERROR(IF(VLOOKUP(C2058,' Disaggregation - Section E '!A$316:N1007,7,0)="","",VLOOKUP(C2058,' Disaggregation - Section E '!A$316:N1007,7,0)*100),"")</f>
        <v/>
      </c>
      <c r="F2058" s="497"/>
      <c r="G2058" s="502" t="str">
        <f ca="1">IFERROR(IF(VLOOKUP(C2058,' Disaggregation - Section E '!A$316:N1007,6,0)="","",VLOOKUP(C2058,' Disaggregation - Section E '!A$316:N1007,6,0)),"")</f>
        <v/>
      </c>
      <c r="H2058" s="512" t="str">
        <f ca="1">IFERROR(IF(INDEX(' Disaggregation - Section E '!F$313:F1007,MATCH(C2058,' Disaggregation - Section E '!A$313:A1007,0)+1,1)&lt;&gt;0,INDEX(' Disaggregation - Section E '!F$313:F1007,MATCH(C2058,' Disaggregation - Section E '!A$313:A1007,0)+1,1),""),"")</f>
        <v/>
      </c>
      <c r="I2058" s="503" t="str">
        <f ca="1">IFERROR(IF(VLOOKUP(C2058,' Disaggregation - Section E '!A$316:N1007,8,0)=0,"",VLOOKUP(C2058,' Disaggregation - Section E '!A$316:N1007,8,0)),"")</f>
        <v/>
      </c>
      <c r="J2058" s="503" t="str">
        <f ca="1">IFERROR(IF(VLOOKUP(C2058,' Disaggregation - Section E '!A$316:N1007,13,0)=0,"",VLOOKUP(C2058,' Disaggregation - Section E '!A$316:N1007,13,0)),"")</f>
        <v/>
      </c>
      <c r="K2058" s="497" t="str">
        <f ca="1">IFERROR(VLOOKUP(C2058,' Disaggregation - Section E '!A$316:N1007,3,0),"")</f>
        <v/>
      </c>
      <c r="L2058" s="503" t="str">
        <f ca="1">IFERROR(IF(VLOOKUP(C2058,' Disaggregation - Section E '!A$316:N1007,14,0)=0,"",VLOOKUP(C2058,' Disaggregation - Section E '!A$316:N1007,14,0)),"")</f>
        <v/>
      </c>
      <c r="M2058" s="497" t="str">
        <f ca="1">IFERROR(IF(VLOOKUP(C2058,' Disaggregation - Section E '!A$316:T1007,20,0)=0,"",VLOOKUP(C2058,' Disaggregation - Section E '!A$316:T1007,20,0)),"")</f>
        <v/>
      </c>
      <c r="N2058" s="503" t="str">
        <f ca="1">IFERROR(IF(VLOOKUP(C2058,' Disaggregation - Section E '!A$316:N1007,9,0)=0,"",VLOOKUP(C2058,' Disaggregation - Section E '!A$316:N1007,9,0)),"")</f>
        <v/>
      </c>
      <c r="O2058" s="503" t="str">
        <f ca="1">IFERROR(IF(VLOOKUP(C2058,' Disaggregation - Section E '!A$315:N1007,10,0)=0,"",VLOOKUP(C2058,' Disaggregation - Section E '!A$316:N1007,10,0)),"")</f>
        <v/>
      </c>
    </row>
    <row r="2059" spans="1:15" x14ac:dyDescent="0.35">
      <c r="A2059" s="497" t="b">
        <f t="shared" ca="1" si="222"/>
        <v>0</v>
      </c>
      <c r="B2059" s="497"/>
      <c r="C2059" s="517" t="str">
        <f ca="1">IF(COUNTA(D$1665:D2059)=1,"",OFFSET(C2059,-COUNTA(D$1665:D2059)+1,0))</f>
        <v>a1V3p000006jwBYEAY</v>
      </c>
      <c r="D2059" s="512"/>
      <c r="E2059" s="500" t="str">
        <f ca="1">IFERROR(IF(VLOOKUP(C2059,' Disaggregation - Section E '!A$316:N1008,7,0)="","",VLOOKUP(C2059,' Disaggregation - Section E '!A$316:N1008,7,0)*100),"")</f>
        <v/>
      </c>
      <c r="F2059" s="497"/>
      <c r="G2059" s="502" t="str">
        <f ca="1">IFERROR(IF(VLOOKUP(C2059,' Disaggregation - Section E '!A$316:N1008,6,0)="","",VLOOKUP(C2059,' Disaggregation - Section E '!A$316:N1008,6,0)),"")</f>
        <v/>
      </c>
      <c r="H2059" s="512" t="str">
        <f ca="1">IFERROR(IF(INDEX(' Disaggregation - Section E '!F$313:F1008,MATCH(C2059,' Disaggregation - Section E '!A$313:A1008,0)+1,1)&lt;&gt;0,INDEX(' Disaggregation - Section E '!F$313:F1008,MATCH(C2059,' Disaggregation - Section E '!A$313:A1008,0)+1,1),""),"")</f>
        <v/>
      </c>
      <c r="I2059" s="503" t="str">
        <f ca="1">IFERROR(IF(VLOOKUP(C2059,' Disaggregation - Section E '!A$316:N1008,8,0)=0,"",VLOOKUP(C2059,' Disaggregation - Section E '!A$316:N1008,8,0)),"")</f>
        <v/>
      </c>
      <c r="J2059" s="503" t="str">
        <f ca="1">IFERROR(IF(VLOOKUP(C2059,' Disaggregation - Section E '!A$316:N1008,13,0)=0,"",VLOOKUP(C2059,' Disaggregation - Section E '!A$316:N1008,13,0)),"")</f>
        <v/>
      </c>
      <c r="K2059" s="497" t="str">
        <f ca="1">IFERROR(VLOOKUP(C2059,' Disaggregation - Section E '!A$316:N1008,3,0),"")</f>
        <v/>
      </c>
      <c r="L2059" s="503" t="str">
        <f ca="1">IFERROR(IF(VLOOKUP(C2059,' Disaggregation - Section E '!A$316:N1008,14,0)=0,"",VLOOKUP(C2059,' Disaggregation - Section E '!A$316:N1008,14,0)),"")</f>
        <v/>
      </c>
      <c r="M2059" s="497" t="str">
        <f ca="1">IFERROR(IF(VLOOKUP(C2059,' Disaggregation - Section E '!A$316:T1008,20,0)=0,"",VLOOKUP(C2059,' Disaggregation - Section E '!A$316:T1008,20,0)),"")</f>
        <v/>
      </c>
      <c r="N2059" s="503" t="str">
        <f ca="1">IFERROR(IF(VLOOKUP(C2059,' Disaggregation - Section E '!A$316:N1008,9,0)=0,"",VLOOKUP(C2059,' Disaggregation - Section E '!A$316:N1008,9,0)),"")</f>
        <v/>
      </c>
      <c r="O2059" s="503" t="str">
        <f ca="1">IFERROR(IF(VLOOKUP(C2059,' Disaggregation - Section E '!A$315:N1008,10,0)=0,"",VLOOKUP(C2059,' Disaggregation - Section E '!A$316:N1008,10,0)),"")</f>
        <v/>
      </c>
    </row>
    <row r="2060" spans="1:15" x14ac:dyDescent="0.35">
      <c r="A2060" s="497" t="b">
        <f t="shared" ca="1" si="222"/>
        <v>0</v>
      </c>
      <c r="B2060" s="497"/>
      <c r="C2060" s="517" t="str">
        <f ca="1">IF(COUNTA(D$1665:D2060)=1,"",OFFSET(C2060,-COUNTA(D$1665:D2060)+1,0))</f>
        <v>a1V3p000006jwBZEAY</v>
      </c>
      <c r="D2060" s="512"/>
      <c r="E2060" s="500" t="str">
        <f ca="1">IFERROR(IF(VLOOKUP(C2060,' Disaggregation - Section E '!A$316:N1009,7,0)="","",VLOOKUP(C2060,' Disaggregation - Section E '!A$316:N1009,7,0)*100),"")</f>
        <v/>
      </c>
      <c r="F2060" s="497"/>
      <c r="G2060" s="502" t="str">
        <f ca="1">IFERROR(IF(VLOOKUP(C2060,' Disaggregation - Section E '!A$316:N1009,6,0)="","",VLOOKUP(C2060,' Disaggregation - Section E '!A$316:N1009,6,0)),"")</f>
        <v/>
      </c>
      <c r="H2060" s="512" t="str">
        <f ca="1">IFERROR(IF(INDEX(' Disaggregation - Section E '!F$313:F1009,MATCH(C2060,' Disaggregation - Section E '!A$313:A1009,0)+1,1)&lt;&gt;0,INDEX(' Disaggregation - Section E '!F$313:F1009,MATCH(C2060,' Disaggregation - Section E '!A$313:A1009,0)+1,1),""),"")</f>
        <v/>
      </c>
      <c r="I2060" s="503" t="str">
        <f ca="1">IFERROR(IF(VLOOKUP(C2060,' Disaggregation - Section E '!A$316:N1009,8,0)=0,"",VLOOKUP(C2060,' Disaggregation - Section E '!A$316:N1009,8,0)),"")</f>
        <v/>
      </c>
      <c r="J2060" s="503" t="str">
        <f ca="1">IFERROR(IF(VLOOKUP(C2060,' Disaggregation - Section E '!A$316:N1009,13,0)=0,"",VLOOKUP(C2060,' Disaggregation - Section E '!A$316:N1009,13,0)),"")</f>
        <v/>
      </c>
      <c r="K2060" s="497" t="str">
        <f ca="1">IFERROR(VLOOKUP(C2060,' Disaggregation - Section E '!A$316:N1009,3,0),"")</f>
        <v/>
      </c>
      <c r="L2060" s="503" t="str">
        <f ca="1">IFERROR(IF(VLOOKUP(C2060,' Disaggregation - Section E '!A$316:N1009,14,0)=0,"",VLOOKUP(C2060,' Disaggregation - Section E '!A$316:N1009,14,0)),"")</f>
        <v/>
      </c>
      <c r="M2060" s="497" t="str">
        <f ca="1">IFERROR(IF(VLOOKUP(C2060,' Disaggregation - Section E '!A$316:T1009,20,0)=0,"",VLOOKUP(C2060,' Disaggregation - Section E '!A$316:T1009,20,0)),"")</f>
        <v/>
      </c>
      <c r="N2060" s="503" t="str">
        <f ca="1">IFERROR(IF(VLOOKUP(C2060,' Disaggregation - Section E '!A$316:N1009,9,0)=0,"",VLOOKUP(C2060,' Disaggregation - Section E '!A$316:N1009,9,0)),"")</f>
        <v/>
      </c>
      <c r="O2060" s="503" t="str">
        <f ca="1">IFERROR(IF(VLOOKUP(C2060,' Disaggregation - Section E '!A$315:N1009,10,0)=0,"",VLOOKUP(C2060,' Disaggregation - Section E '!A$316:N1009,10,0)),"")</f>
        <v/>
      </c>
    </row>
    <row r="2061" spans="1:15" x14ac:dyDescent="0.35">
      <c r="A2061" s="497" t="b">
        <f t="shared" ca="1" si="222"/>
        <v>0</v>
      </c>
      <c r="B2061" s="497"/>
      <c r="C2061" s="517" t="str">
        <f ca="1">IF(COUNTA(D$1665:D2061)=1,"",OFFSET(C2061,-COUNTA(D$1665:D2061)+1,0))</f>
        <v>a1V3p000006jwBaEAI</v>
      </c>
      <c r="D2061" s="512"/>
      <c r="E2061" s="500" t="str">
        <f ca="1">IFERROR(IF(VLOOKUP(C2061,' Disaggregation - Section E '!A$316:N1010,7,0)="","",VLOOKUP(C2061,' Disaggregation - Section E '!A$316:N1010,7,0)*100),"")</f>
        <v/>
      </c>
      <c r="F2061" s="497"/>
      <c r="G2061" s="502" t="str">
        <f ca="1">IFERROR(IF(VLOOKUP(C2061,' Disaggregation - Section E '!A$316:N1010,6,0)="","",VLOOKUP(C2061,' Disaggregation - Section E '!A$316:N1010,6,0)),"")</f>
        <v/>
      </c>
      <c r="H2061" s="512" t="str">
        <f ca="1">IFERROR(IF(INDEX(' Disaggregation - Section E '!F$313:F1010,MATCH(C2061,' Disaggregation - Section E '!A$313:A1010,0)+1,1)&lt;&gt;0,INDEX(' Disaggregation - Section E '!F$313:F1010,MATCH(C2061,' Disaggregation - Section E '!A$313:A1010,0)+1,1),""),"")</f>
        <v/>
      </c>
      <c r="I2061" s="503" t="str">
        <f ca="1">IFERROR(IF(VLOOKUP(C2061,' Disaggregation - Section E '!A$316:N1010,8,0)=0,"",VLOOKUP(C2061,' Disaggregation - Section E '!A$316:N1010,8,0)),"")</f>
        <v/>
      </c>
      <c r="J2061" s="503" t="str">
        <f ca="1">IFERROR(IF(VLOOKUP(C2061,' Disaggregation - Section E '!A$316:N1010,13,0)=0,"",VLOOKUP(C2061,' Disaggregation - Section E '!A$316:N1010,13,0)),"")</f>
        <v/>
      </c>
      <c r="K2061" s="497" t="str">
        <f ca="1">IFERROR(VLOOKUP(C2061,' Disaggregation - Section E '!A$316:N1010,3,0),"")</f>
        <v/>
      </c>
      <c r="L2061" s="503" t="str">
        <f ca="1">IFERROR(IF(VLOOKUP(C2061,' Disaggregation - Section E '!A$316:N1010,14,0)=0,"",VLOOKUP(C2061,' Disaggregation - Section E '!A$316:N1010,14,0)),"")</f>
        <v/>
      </c>
      <c r="M2061" s="497" t="str">
        <f ca="1">IFERROR(IF(VLOOKUP(C2061,' Disaggregation - Section E '!A$316:T1010,20,0)=0,"",VLOOKUP(C2061,' Disaggregation - Section E '!A$316:T1010,20,0)),"")</f>
        <v/>
      </c>
      <c r="N2061" s="503" t="str">
        <f ca="1">IFERROR(IF(VLOOKUP(C2061,' Disaggregation - Section E '!A$316:N1010,9,0)=0,"",VLOOKUP(C2061,' Disaggregation - Section E '!A$316:N1010,9,0)),"")</f>
        <v/>
      </c>
      <c r="O2061" s="503" t="str">
        <f ca="1">IFERROR(IF(VLOOKUP(C2061,' Disaggregation - Section E '!A$315:N1010,10,0)=0,"",VLOOKUP(C2061,' Disaggregation - Section E '!A$316:N1010,10,0)),"")</f>
        <v/>
      </c>
    </row>
    <row r="2062" spans="1:15" x14ac:dyDescent="0.35">
      <c r="A2062" s="497" t="b">
        <f t="shared" ca="1" si="222"/>
        <v>0</v>
      </c>
      <c r="B2062" s="497"/>
      <c r="C2062" s="517" t="str">
        <f ca="1">IF(COUNTA(D$1665:D2062)=1,"",OFFSET(C2062,-COUNTA(D$1665:D2062)+1,0))</f>
        <v>a1V3p000006jwBbEAI</v>
      </c>
      <c r="D2062" s="512"/>
      <c r="E2062" s="500" t="str">
        <f ca="1">IFERROR(IF(VLOOKUP(C2062,' Disaggregation - Section E '!A$316:N1011,7,0)="","",VLOOKUP(C2062,' Disaggregation - Section E '!A$316:N1011,7,0)*100),"")</f>
        <v/>
      </c>
      <c r="F2062" s="497"/>
      <c r="G2062" s="502" t="str">
        <f ca="1">IFERROR(IF(VLOOKUP(C2062,' Disaggregation - Section E '!A$316:N1011,6,0)="","",VLOOKUP(C2062,' Disaggregation - Section E '!A$316:N1011,6,0)),"")</f>
        <v/>
      </c>
      <c r="H2062" s="512" t="str">
        <f ca="1">IFERROR(IF(INDEX(' Disaggregation - Section E '!F$313:F1011,MATCH(C2062,' Disaggregation - Section E '!A$313:A1011,0)+1,1)&lt;&gt;0,INDEX(' Disaggregation - Section E '!F$313:F1011,MATCH(C2062,' Disaggregation - Section E '!A$313:A1011,0)+1,1),""),"")</f>
        <v/>
      </c>
      <c r="I2062" s="503" t="str">
        <f ca="1">IFERROR(IF(VLOOKUP(C2062,' Disaggregation - Section E '!A$316:N1011,8,0)=0,"",VLOOKUP(C2062,' Disaggregation - Section E '!A$316:N1011,8,0)),"")</f>
        <v/>
      </c>
      <c r="J2062" s="503" t="str">
        <f ca="1">IFERROR(IF(VLOOKUP(C2062,' Disaggregation - Section E '!A$316:N1011,13,0)=0,"",VLOOKUP(C2062,' Disaggregation - Section E '!A$316:N1011,13,0)),"")</f>
        <v/>
      </c>
      <c r="K2062" s="497" t="str">
        <f ca="1">IFERROR(VLOOKUP(C2062,' Disaggregation - Section E '!A$316:N1011,3,0),"")</f>
        <v/>
      </c>
      <c r="L2062" s="503" t="str">
        <f ca="1">IFERROR(IF(VLOOKUP(C2062,' Disaggregation - Section E '!A$316:N1011,14,0)=0,"",VLOOKUP(C2062,' Disaggregation - Section E '!A$316:N1011,14,0)),"")</f>
        <v/>
      </c>
      <c r="M2062" s="497" t="str">
        <f ca="1">IFERROR(IF(VLOOKUP(C2062,' Disaggregation - Section E '!A$316:T1011,20,0)=0,"",VLOOKUP(C2062,' Disaggregation - Section E '!A$316:T1011,20,0)),"")</f>
        <v/>
      </c>
      <c r="N2062" s="503" t="str">
        <f ca="1">IFERROR(IF(VLOOKUP(C2062,' Disaggregation - Section E '!A$316:N1011,9,0)=0,"",VLOOKUP(C2062,' Disaggregation - Section E '!A$316:N1011,9,0)),"")</f>
        <v/>
      </c>
      <c r="O2062" s="503" t="str">
        <f ca="1">IFERROR(IF(VLOOKUP(C2062,' Disaggregation - Section E '!A$315:N1011,10,0)=0,"",VLOOKUP(C2062,' Disaggregation - Section E '!A$316:N1011,10,0)),"")</f>
        <v/>
      </c>
    </row>
    <row r="2063" spans="1:15" x14ac:dyDescent="0.35">
      <c r="A2063" s="497" t="b">
        <f t="shared" ca="1" si="222"/>
        <v>0</v>
      </c>
      <c r="B2063" s="497"/>
      <c r="C2063" s="517" t="str">
        <f ca="1">IF(COUNTA(D$1665:D2063)=1,"",OFFSET(C2063,-COUNTA(D$1665:D2063)+1,0))</f>
        <v>a1V3p000006jwBcEAI</v>
      </c>
      <c r="D2063" s="512"/>
      <c r="E2063" s="500" t="str">
        <f ca="1">IFERROR(IF(VLOOKUP(C2063,' Disaggregation - Section E '!A$316:N1012,7,0)="","",VLOOKUP(C2063,' Disaggregation - Section E '!A$316:N1012,7,0)*100),"")</f>
        <v/>
      </c>
      <c r="F2063" s="497"/>
      <c r="G2063" s="502" t="str">
        <f ca="1">IFERROR(IF(VLOOKUP(C2063,' Disaggregation - Section E '!A$316:N1012,6,0)="","",VLOOKUP(C2063,' Disaggregation - Section E '!A$316:N1012,6,0)),"")</f>
        <v/>
      </c>
      <c r="H2063" s="512" t="str">
        <f ca="1">IFERROR(IF(INDEX(' Disaggregation - Section E '!F$313:F1012,MATCH(C2063,' Disaggregation - Section E '!A$313:A1012,0)+1,1)&lt;&gt;0,INDEX(' Disaggregation - Section E '!F$313:F1012,MATCH(C2063,' Disaggregation - Section E '!A$313:A1012,0)+1,1),""),"")</f>
        <v/>
      </c>
      <c r="I2063" s="503" t="str">
        <f ca="1">IFERROR(IF(VLOOKUP(C2063,' Disaggregation - Section E '!A$316:N1012,8,0)=0,"",VLOOKUP(C2063,' Disaggregation - Section E '!A$316:N1012,8,0)),"")</f>
        <v/>
      </c>
      <c r="J2063" s="503" t="str">
        <f ca="1">IFERROR(IF(VLOOKUP(C2063,' Disaggregation - Section E '!A$316:N1012,13,0)=0,"",VLOOKUP(C2063,' Disaggregation - Section E '!A$316:N1012,13,0)),"")</f>
        <v/>
      </c>
      <c r="K2063" s="497" t="str">
        <f ca="1">IFERROR(VLOOKUP(C2063,' Disaggregation - Section E '!A$316:N1012,3,0),"")</f>
        <v/>
      </c>
      <c r="L2063" s="503" t="str">
        <f ca="1">IFERROR(IF(VLOOKUP(C2063,' Disaggregation - Section E '!A$316:N1012,14,0)=0,"",VLOOKUP(C2063,' Disaggregation - Section E '!A$316:N1012,14,0)),"")</f>
        <v/>
      </c>
      <c r="M2063" s="497" t="str">
        <f ca="1">IFERROR(IF(VLOOKUP(C2063,' Disaggregation - Section E '!A$316:T1012,20,0)=0,"",VLOOKUP(C2063,' Disaggregation - Section E '!A$316:T1012,20,0)),"")</f>
        <v/>
      </c>
      <c r="N2063" s="503" t="str">
        <f ca="1">IFERROR(IF(VLOOKUP(C2063,' Disaggregation - Section E '!A$316:N1012,9,0)=0,"",VLOOKUP(C2063,' Disaggregation - Section E '!A$316:N1012,9,0)),"")</f>
        <v/>
      </c>
      <c r="O2063" s="503" t="str">
        <f ca="1">IFERROR(IF(VLOOKUP(C2063,' Disaggregation - Section E '!A$315:N1012,10,0)=0,"",VLOOKUP(C2063,' Disaggregation - Section E '!A$316:N1012,10,0)),"")</f>
        <v/>
      </c>
    </row>
    <row r="2064" spans="1:15" x14ac:dyDescent="0.35">
      <c r="A2064" s="497" t="b">
        <f t="shared" ca="1" si="222"/>
        <v>0</v>
      </c>
      <c r="B2064" s="497"/>
      <c r="C2064" s="517" t="str">
        <f ca="1">IF(COUNTA(D$1665:D2064)=1,"",OFFSET(C2064,-COUNTA(D$1665:D2064)+1,0))</f>
        <v>a1V3p000006jwBdEAI</v>
      </c>
      <c r="D2064" s="512"/>
      <c r="E2064" s="500" t="str">
        <f ca="1">IFERROR(IF(VLOOKUP(C2064,' Disaggregation - Section E '!A$316:N1013,7,0)="","",VLOOKUP(C2064,' Disaggregation - Section E '!A$316:N1013,7,0)*100),"")</f>
        <v/>
      </c>
      <c r="F2064" s="497"/>
      <c r="G2064" s="502" t="str">
        <f ca="1">IFERROR(IF(VLOOKUP(C2064,' Disaggregation - Section E '!A$316:N1013,6,0)="","",VLOOKUP(C2064,' Disaggregation - Section E '!A$316:N1013,6,0)),"")</f>
        <v/>
      </c>
      <c r="H2064" s="512" t="str">
        <f ca="1">IFERROR(IF(INDEX(' Disaggregation - Section E '!F$313:F1013,MATCH(C2064,' Disaggregation - Section E '!A$313:A1013,0)+1,1)&lt;&gt;0,INDEX(' Disaggregation - Section E '!F$313:F1013,MATCH(C2064,' Disaggregation - Section E '!A$313:A1013,0)+1,1),""),"")</f>
        <v/>
      </c>
      <c r="I2064" s="503" t="str">
        <f ca="1">IFERROR(IF(VLOOKUP(C2064,' Disaggregation - Section E '!A$316:N1013,8,0)=0,"",VLOOKUP(C2064,' Disaggregation - Section E '!A$316:N1013,8,0)),"")</f>
        <v/>
      </c>
      <c r="J2064" s="503" t="str">
        <f ca="1">IFERROR(IF(VLOOKUP(C2064,' Disaggregation - Section E '!A$316:N1013,13,0)=0,"",VLOOKUP(C2064,' Disaggregation - Section E '!A$316:N1013,13,0)),"")</f>
        <v/>
      </c>
      <c r="K2064" s="497" t="str">
        <f ca="1">IFERROR(VLOOKUP(C2064,' Disaggregation - Section E '!A$316:N1013,3,0),"")</f>
        <v/>
      </c>
      <c r="L2064" s="503" t="str">
        <f ca="1">IFERROR(IF(VLOOKUP(C2064,' Disaggregation - Section E '!A$316:N1013,14,0)=0,"",VLOOKUP(C2064,' Disaggregation - Section E '!A$316:N1013,14,0)),"")</f>
        <v/>
      </c>
      <c r="M2064" s="497" t="str">
        <f ca="1">IFERROR(IF(VLOOKUP(C2064,' Disaggregation - Section E '!A$316:T1013,20,0)=0,"",VLOOKUP(C2064,' Disaggregation - Section E '!A$316:T1013,20,0)),"")</f>
        <v/>
      </c>
      <c r="N2064" s="503" t="str">
        <f ca="1">IFERROR(IF(VLOOKUP(C2064,' Disaggregation - Section E '!A$316:N1013,9,0)=0,"",VLOOKUP(C2064,' Disaggregation - Section E '!A$316:N1013,9,0)),"")</f>
        <v/>
      </c>
      <c r="O2064" s="503" t="str">
        <f ca="1">IFERROR(IF(VLOOKUP(C2064,' Disaggregation - Section E '!A$315:N1013,10,0)=0,"",VLOOKUP(C2064,' Disaggregation - Section E '!A$316:N1013,10,0)),"")</f>
        <v/>
      </c>
    </row>
    <row r="2065" spans="1:15" x14ac:dyDescent="0.35">
      <c r="A2065" s="497" t="b">
        <f t="shared" ca="1" si="222"/>
        <v>0</v>
      </c>
      <c r="B2065" s="497"/>
      <c r="C2065" s="517" t="str">
        <f ca="1">IF(COUNTA(D$1665:D2065)=1,"",OFFSET(C2065,-COUNTA(D$1665:D2065)+1,0))</f>
        <v>a1V3p000006jwBeEAI</v>
      </c>
      <c r="D2065" s="512"/>
      <c r="E2065" s="500" t="str">
        <f ca="1">IFERROR(IF(VLOOKUP(C2065,' Disaggregation - Section E '!A$316:N1014,7,0)="","",VLOOKUP(C2065,' Disaggregation - Section E '!A$316:N1014,7,0)*100),"")</f>
        <v/>
      </c>
      <c r="F2065" s="497"/>
      <c r="G2065" s="502" t="str">
        <f ca="1">IFERROR(IF(VLOOKUP(C2065,' Disaggregation - Section E '!A$316:N1014,6,0)="","",VLOOKUP(C2065,' Disaggregation - Section E '!A$316:N1014,6,0)),"")</f>
        <v/>
      </c>
      <c r="H2065" s="512" t="str">
        <f ca="1">IFERROR(IF(INDEX(' Disaggregation - Section E '!F$313:F1014,MATCH(C2065,' Disaggregation - Section E '!A$313:A1014,0)+1,1)&lt;&gt;0,INDEX(' Disaggregation - Section E '!F$313:F1014,MATCH(C2065,' Disaggregation - Section E '!A$313:A1014,0)+1,1),""),"")</f>
        <v/>
      </c>
      <c r="I2065" s="503" t="str">
        <f ca="1">IFERROR(IF(VLOOKUP(C2065,' Disaggregation - Section E '!A$316:N1014,8,0)=0,"",VLOOKUP(C2065,' Disaggregation - Section E '!A$316:N1014,8,0)),"")</f>
        <v/>
      </c>
      <c r="J2065" s="503" t="str">
        <f ca="1">IFERROR(IF(VLOOKUP(C2065,' Disaggregation - Section E '!A$316:N1014,13,0)=0,"",VLOOKUP(C2065,' Disaggregation - Section E '!A$316:N1014,13,0)),"")</f>
        <v/>
      </c>
      <c r="K2065" s="497" t="str">
        <f ca="1">IFERROR(VLOOKUP(C2065,' Disaggregation - Section E '!A$316:N1014,3,0),"")</f>
        <v/>
      </c>
      <c r="L2065" s="503" t="str">
        <f ca="1">IFERROR(IF(VLOOKUP(C2065,' Disaggregation - Section E '!A$316:N1014,14,0)=0,"",VLOOKUP(C2065,' Disaggregation - Section E '!A$316:N1014,14,0)),"")</f>
        <v/>
      </c>
      <c r="M2065" s="497" t="str">
        <f ca="1">IFERROR(IF(VLOOKUP(C2065,' Disaggregation - Section E '!A$316:T1014,20,0)=0,"",VLOOKUP(C2065,' Disaggregation - Section E '!A$316:T1014,20,0)),"")</f>
        <v/>
      </c>
      <c r="N2065" s="503" t="str">
        <f ca="1">IFERROR(IF(VLOOKUP(C2065,' Disaggregation - Section E '!A$316:N1014,9,0)=0,"",VLOOKUP(C2065,' Disaggregation - Section E '!A$316:N1014,9,0)),"")</f>
        <v/>
      </c>
      <c r="O2065" s="503" t="str">
        <f ca="1">IFERROR(IF(VLOOKUP(C2065,' Disaggregation - Section E '!A$315:N1014,10,0)=0,"",VLOOKUP(C2065,' Disaggregation - Section E '!A$316:N1014,10,0)),"")</f>
        <v/>
      </c>
    </row>
    <row r="2066" spans="1:15" x14ac:dyDescent="0.35">
      <c r="A2066" s="497" t="b">
        <f t="shared" ca="1" si="222"/>
        <v>0</v>
      </c>
      <c r="B2066" s="497"/>
      <c r="C2066" s="517" t="str">
        <f ca="1">IF(COUNTA(D$1665:D2066)=1,"",OFFSET(C2066,-COUNTA(D$1665:D2066)+1,0))</f>
        <v>a1V3p000006jwBfEAI</v>
      </c>
      <c r="D2066" s="512"/>
      <c r="E2066" s="500" t="str">
        <f ca="1">IFERROR(IF(VLOOKUP(C2066,' Disaggregation - Section E '!A$316:N1015,7,0)="","",VLOOKUP(C2066,' Disaggregation - Section E '!A$316:N1015,7,0)*100),"")</f>
        <v/>
      </c>
      <c r="F2066" s="497"/>
      <c r="G2066" s="502" t="str">
        <f ca="1">IFERROR(IF(VLOOKUP(C2066,' Disaggregation - Section E '!A$316:N1015,6,0)="","",VLOOKUP(C2066,' Disaggregation - Section E '!A$316:N1015,6,0)),"")</f>
        <v/>
      </c>
      <c r="H2066" s="512" t="str">
        <f ca="1">IFERROR(IF(INDEX(' Disaggregation - Section E '!F$313:F1015,MATCH(C2066,' Disaggregation - Section E '!A$313:A1015,0)+1,1)&lt;&gt;0,INDEX(' Disaggregation - Section E '!F$313:F1015,MATCH(C2066,' Disaggregation - Section E '!A$313:A1015,0)+1,1),""),"")</f>
        <v/>
      </c>
      <c r="I2066" s="503" t="str">
        <f ca="1">IFERROR(IF(VLOOKUP(C2066,' Disaggregation - Section E '!A$316:N1015,8,0)=0,"",VLOOKUP(C2066,' Disaggregation - Section E '!A$316:N1015,8,0)),"")</f>
        <v/>
      </c>
      <c r="J2066" s="503" t="str">
        <f ca="1">IFERROR(IF(VLOOKUP(C2066,' Disaggregation - Section E '!A$316:N1015,13,0)=0,"",VLOOKUP(C2066,' Disaggregation - Section E '!A$316:N1015,13,0)),"")</f>
        <v/>
      </c>
      <c r="K2066" s="497" t="str">
        <f ca="1">IFERROR(VLOOKUP(C2066,' Disaggregation - Section E '!A$316:N1015,3,0),"")</f>
        <v/>
      </c>
      <c r="L2066" s="503" t="str">
        <f ca="1">IFERROR(IF(VLOOKUP(C2066,' Disaggregation - Section E '!A$316:N1015,14,0)=0,"",VLOOKUP(C2066,' Disaggregation - Section E '!A$316:N1015,14,0)),"")</f>
        <v/>
      </c>
      <c r="M2066" s="497" t="str">
        <f ca="1">IFERROR(IF(VLOOKUP(C2066,' Disaggregation - Section E '!A$316:T1015,20,0)=0,"",VLOOKUP(C2066,' Disaggregation - Section E '!A$316:T1015,20,0)),"")</f>
        <v/>
      </c>
      <c r="N2066" s="503" t="str">
        <f ca="1">IFERROR(IF(VLOOKUP(C2066,' Disaggregation - Section E '!A$316:N1015,9,0)=0,"",VLOOKUP(C2066,' Disaggregation - Section E '!A$316:N1015,9,0)),"")</f>
        <v/>
      </c>
      <c r="O2066" s="503" t="str">
        <f ca="1">IFERROR(IF(VLOOKUP(C2066,' Disaggregation - Section E '!A$315:N1015,10,0)=0,"",VLOOKUP(C2066,' Disaggregation - Section E '!A$316:N1015,10,0)),"")</f>
        <v/>
      </c>
    </row>
    <row r="2067" spans="1:15" x14ac:dyDescent="0.35">
      <c r="A2067" s="497" t="b">
        <f t="shared" ca="1" si="222"/>
        <v>0</v>
      </c>
      <c r="B2067" s="497"/>
      <c r="C2067" s="517" t="str">
        <f ca="1">IF(COUNTA(D$1665:D2067)=1,"",OFFSET(C2067,-COUNTA(D$1665:D2067)+1,0))</f>
        <v>a1V3p000006jw9GEAQ</v>
      </c>
      <c r="D2067" s="512"/>
      <c r="E2067" s="500" t="str">
        <f ca="1">IFERROR(IF(VLOOKUP(C2067,' Disaggregation - Section E '!A$316:N1016,7,0)="","",VLOOKUP(C2067,' Disaggregation - Section E '!A$316:N1016,7,0)*100),"")</f>
        <v/>
      </c>
      <c r="F2067" s="497"/>
      <c r="G2067" s="502" t="str">
        <f ca="1">IFERROR(IF(VLOOKUP(C2067,' Disaggregation - Section E '!A$316:N1016,6,0)="","",VLOOKUP(C2067,' Disaggregation - Section E '!A$316:N1016,6,0)),"")</f>
        <v/>
      </c>
      <c r="H2067" s="512" t="str">
        <f ca="1">IFERROR(IF(INDEX(' Disaggregation - Section E '!F$313:F1016,MATCH(C2067,' Disaggregation - Section E '!A$313:A1016,0)+1,1)&lt;&gt;0,INDEX(' Disaggregation - Section E '!F$313:F1016,MATCH(C2067,' Disaggregation - Section E '!A$313:A1016,0)+1,1),""),"")</f>
        <v/>
      </c>
      <c r="I2067" s="503" t="str">
        <f ca="1">IFERROR(IF(VLOOKUP(C2067,' Disaggregation - Section E '!A$316:N1016,8,0)=0,"",VLOOKUP(C2067,' Disaggregation - Section E '!A$316:N1016,8,0)),"")</f>
        <v/>
      </c>
      <c r="J2067" s="503" t="str">
        <f ca="1">IFERROR(IF(VLOOKUP(C2067,' Disaggregation - Section E '!A$316:N1016,13,0)=0,"",VLOOKUP(C2067,' Disaggregation - Section E '!A$316:N1016,13,0)),"")</f>
        <v/>
      </c>
      <c r="K2067" s="497" t="str">
        <f ca="1">IFERROR(VLOOKUP(C2067,' Disaggregation - Section E '!A$316:N1016,3,0),"")</f>
        <v/>
      </c>
      <c r="L2067" s="503" t="str">
        <f ca="1">IFERROR(IF(VLOOKUP(C2067,' Disaggregation - Section E '!A$316:N1016,14,0)=0,"",VLOOKUP(C2067,' Disaggregation - Section E '!A$316:N1016,14,0)),"")</f>
        <v/>
      </c>
      <c r="M2067" s="497" t="str">
        <f ca="1">IFERROR(IF(VLOOKUP(C2067,' Disaggregation - Section E '!A$316:T1016,20,0)=0,"",VLOOKUP(C2067,' Disaggregation - Section E '!A$316:T1016,20,0)),"")</f>
        <v/>
      </c>
      <c r="N2067" s="503" t="str">
        <f ca="1">IFERROR(IF(VLOOKUP(C2067,' Disaggregation - Section E '!A$316:N1016,9,0)=0,"",VLOOKUP(C2067,' Disaggregation - Section E '!A$316:N1016,9,0)),"")</f>
        <v/>
      </c>
      <c r="O2067" s="503" t="str">
        <f ca="1">IFERROR(IF(VLOOKUP(C2067,' Disaggregation - Section E '!A$315:N1016,10,0)=0,"",VLOOKUP(C2067,' Disaggregation - Section E '!A$316:N1016,10,0)),"")</f>
        <v/>
      </c>
    </row>
    <row r="2068" spans="1:15" x14ac:dyDescent="0.35">
      <c r="A2068" s="497" t="b">
        <f t="shared" ca="1" si="222"/>
        <v>0</v>
      </c>
      <c r="B2068" s="497"/>
      <c r="C2068" s="517" t="str">
        <f ca="1">IF(COUNTA(D$1665:D2068)=1,"",OFFSET(C2068,-COUNTA(D$1665:D2068)+1,0))</f>
        <v>a1V3p000006jw9HEAQ</v>
      </c>
      <c r="D2068" s="512"/>
      <c r="E2068" s="500" t="str">
        <f ca="1">IFERROR(IF(VLOOKUP(C2068,' Disaggregation - Section E '!A$316:N1017,7,0)="","",VLOOKUP(C2068,' Disaggregation - Section E '!A$316:N1017,7,0)*100),"")</f>
        <v/>
      </c>
      <c r="F2068" s="497"/>
      <c r="G2068" s="502" t="str">
        <f ca="1">IFERROR(IF(VLOOKUP(C2068,' Disaggregation - Section E '!A$316:N1017,6,0)="","",VLOOKUP(C2068,' Disaggregation - Section E '!A$316:N1017,6,0)),"")</f>
        <v/>
      </c>
      <c r="H2068" s="512" t="str">
        <f ca="1">IFERROR(IF(INDEX(' Disaggregation - Section E '!F$313:F1017,MATCH(C2068,' Disaggregation - Section E '!A$313:A1017,0)+1,1)&lt;&gt;0,INDEX(' Disaggregation - Section E '!F$313:F1017,MATCH(C2068,' Disaggregation - Section E '!A$313:A1017,0)+1,1),""),"")</f>
        <v/>
      </c>
      <c r="I2068" s="503" t="str">
        <f ca="1">IFERROR(IF(VLOOKUP(C2068,' Disaggregation - Section E '!A$316:N1017,8,0)=0,"",VLOOKUP(C2068,' Disaggregation - Section E '!A$316:N1017,8,0)),"")</f>
        <v/>
      </c>
      <c r="J2068" s="503" t="str">
        <f ca="1">IFERROR(IF(VLOOKUP(C2068,' Disaggregation - Section E '!A$316:N1017,13,0)=0,"",VLOOKUP(C2068,' Disaggregation - Section E '!A$316:N1017,13,0)),"")</f>
        <v/>
      </c>
      <c r="K2068" s="497" t="str">
        <f ca="1">IFERROR(VLOOKUP(C2068,' Disaggregation - Section E '!A$316:N1017,3,0),"")</f>
        <v/>
      </c>
      <c r="L2068" s="503" t="str">
        <f ca="1">IFERROR(IF(VLOOKUP(C2068,' Disaggregation - Section E '!A$316:N1017,14,0)=0,"",VLOOKUP(C2068,' Disaggregation - Section E '!A$316:N1017,14,0)),"")</f>
        <v/>
      </c>
      <c r="M2068" s="497" t="str">
        <f ca="1">IFERROR(IF(VLOOKUP(C2068,' Disaggregation - Section E '!A$316:T1017,20,0)=0,"",VLOOKUP(C2068,' Disaggregation - Section E '!A$316:T1017,20,0)),"")</f>
        <v/>
      </c>
      <c r="N2068" s="503" t="str">
        <f ca="1">IFERROR(IF(VLOOKUP(C2068,' Disaggregation - Section E '!A$316:N1017,9,0)=0,"",VLOOKUP(C2068,' Disaggregation - Section E '!A$316:N1017,9,0)),"")</f>
        <v/>
      </c>
      <c r="O2068" s="503" t="str">
        <f ca="1">IFERROR(IF(VLOOKUP(C2068,' Disaggregation - Section E '!A$315:N1017,10,0)=0,"",VLOOKUP(C2068,' Disaggregation - Section E '!A$316:N1017,10,0)),"")</f>
        <v/>
      </c>
    </row>
    <row r="2069" spans="1:15" x14ac:dyDescent="0.35">
      <c r="A2069" s="497" t="b">
        <f t="shared" ca="1" si="222"/>
        <v>0</v>
      </c>
      <c r="B2069" s="497"/>
      <c r="C2069" s="517" t="str">
        <f ca="1">IF(COUNTA(D$1665:D2069)=1,"",OFFSET(C2069,-COUNTA(D$1665:D2069)+1,0))</f>
        <v>a1V3p000006jw9IEAQ</v>
      </c>
      <c r="D2069" s="512"/>
      <c r="E2069" s="500" t="str">
        <f ca="1">IFERROR(IF(VLOOKUP(C2069,' Disaggregation - Section E '!A$316:N1018,7,0)="","",VLOOKUP(C2069,' Disaggregation - Section E '!A$316:N1018,7,0)*100),"")</f>
        <v/>
      </c>
      <c r="F2069" s="497"/>
      <c r="G2069" s="502" t="str">
        <f ca="1">IFERROR(IF(VLOOKUP(C2069,' Disaggregation - Section E '!A$316:N1018,6,0)="","",VLOOKUP(C2069,' Disaggregation - Section E '!A$316:N1018,6,0)),"")</f>
        <v/>
      </c>
      <c r="H2069" s="512" t="str">
        <f ca="1">IFERROR(IF(INDEX(' Disaggregation - Section E '!F$313:F1018,MATCH(C2069,' Disaggregation - Section E '!A$313:A1018,0)+1,1)&lt;&gt;0,INDEX(' Disaggregation - Section E '!F$313:F1018,MATCH(C2069,' Disaggregation - Section E '!A$313:A1018,0)+1,1),""),"")</f>
        <v/>
      </c>
      <c r="I2069" s="503" t="str">
        <f ca="1">IFERROR(IF(VLOOKUP(C2069,' Disaggregation - Section E '!A$316:N1018,8,0)=0,"",VLOOKUP(C2069,' Disaggregation - Section E '!A$316:N1018,8,0)),"")</f>
        <v/>
      </c>
      <c r="J2069" s="503" t="str">
        <f ca="1">IFERROR(IF(VLOOKUP(C2069,' Disaggregation - Section E '!A$316:N1018,13,0)=0,"",VLOOKUP(C2069,' Disaggregation - Section E '!A$316:N1018,13,0)),"")</f>
        <v/>
      </c>
      <c r="K2069" s="497" t="str">
        <f ca="1">IFERROR(VLOOKUP(C2069,' Disaggregation - Section E '!A$316:N1018,3,0),"")</f>
        <v/>
      </c>
      <c r="L2069" s="503" t="str">
        <f ca="1">IFERROR(IF(VLOOKUP(C2069,' Disaggregation - Section E '!A$316:N1018,14,0)=0,"",VLOOKUP(C2069,' Disaggregation - Section E '!A$316:N1018,14,0)),"")</f>
        <v/>
      </c>
      <c r="M2069" s="497" t="str">
        <f ca="1">IFERROR(IF(VLOOKUP(C2069,' Disaggregation - Section E '!A$316:T1018,20,0)=0,"",VLOOKUP(C2069,' Disaggregation - Section E '!A$316:T1018,20,0)),"")</f>
        <v/>
      </c>
      <c r="N2069" s="503" t="str">
        <f ca="1">IFERROR(IF(VLOOKUP(C2069,' Disaggregation - Section E '!A$316:N1018,9,0)=0,"",VLOOKUP(C2069,' Disaggregation - Section E '!A$316:N1018,9,0)),"")</f>
        <v/>
      </c>
      <c r="O2069" s="503" t="str">
        <f ca="1">IFERROR(IF(VLOOKUP(C2069,' Disaggregation - Section E '!A$315:N1018,10,0)=0,"",VLOOKUP(C2069,' Disaggregation - Section E '!A$316:N1018,10,0)),"")</f>
        <v/>
      </c>
    </row>
    <row r="2070" spans="1:15" x14ac:dyDescent="0.35">
      <c r="A2070" s="497" t="b">
        <f t="shared" ca="1" si="222"/>
        <v>0</v>
      </c>
      <c r="B2070" s="497"/>
      <c r="C2070" s="517" t="str">
        <f ca="1">IF(COUNTA(D$1665:D2070)=1,"",OFFSET(C2070,-COUNTA(D$1665:D2070)+1,0))</f>
        <v>a1V3p000006jw9JEAQ</v>
      </c>
      <c r="D2070" s="512"/>
      <c r="E2070" s="500" t="str">
        <f ca="1">IFERROR(IF(VLOOKUP(C2070,' Disaggregation - Section E '!A$316:N1019,7,0)="","",VLOOKUP(C2070,' Disaggregation - Section E '!A$316:N1019,7,0)*100),"")</f>
        <v/>
      </c>
      <c r="F2070" s="497"/>
      <c r="G2070" s="502" t="str">
        <f ca="1">IFERROR(IF(VLOOKUP(C2070,' Disaggregation - Section E '!A$316:N1019,6,0)="","",VLOOKUP(C2070,' Disaggregation - Section E '!A$316:N1019,6,0)),"")</f>
        <v/>
      </c>
      <c r="H2070" s="512" t="str">
        <f ca="1">IFERROR(IF(INDEX(' Disaggregation - Section E '!F$313:F1019,MATCH(C2070,' Disaggregation - Section E '!A$313:A1019,0)+1,1)&lt;&gt;0,INDEX(' Disaggregation - Section E '!F$313:F1019,MATCH(C2070,' Disaggregation - Section E '!A$313:A1019,0)+1,1),""),"")</f>
        <v/>
      </c>
      <c r="I2070" s="503" t="str">
        <f ca="1">IFERROR(IF(VLOOKUP(C2070,' Disaggregation - Section E '!A$316:N1019,8,0)=0,"",VLOOKUP(C2070,' Disaggregation - Section E '!A$316:N1019,8,0)),"")</f>
        <v/>
      </c>
      <c r="J2070" s="503" t="str">
        <f ca="1">IFERROR(IF(VLOOKUP(C2070,' Disaggregation - Section E '!A$316:N1019,13,0)=0,"",VLOOKUP(C2070,' Disaggregation - Section E '!A$316:N1019,13,0)),"")</f>
        <v/>
      </c>
      <c r="K2070" s="497" t="str">
        <f ca="1">IFERROR(VLOOKUP(C2070,' Disaggregation - Section E '!A$316:N1019,3,0),"")</f>
        <v/>
      </c>
      <c r="L2070" s="503" t="str">
        <f ca="1">IFERROR(IF(VLOOKUP(C2070,' Disaggregation - Section E '!A$316:N1019,14,0)=0,"",VLOOKUP(C2070,' Disaggregation - Section E '!A$316:N1019,14,0)),"")</f>
        <v/>
      </c>
      <c r="M2070" s="497" t="str">
        <f ca="1">IFERROR(IF(VLOOKUP(C2070,' Disaggregation - Section E '!A$316:T1019,20,0)=0,"",VLOOKUP(C2070,' Disaggregation - Section E '!A$316:T1019,20,0)),"")</f>
        <v/>
      </c>
      <c r="N2070" s="503" t="str">
        <f ca="1">IFERROR(IF(VLOOKUP(C2070,' Disaggregation - Section E '!A$316:N1019,9,0)=0,"",VLOOKUP(C2070,' Disaggregation - Section E '!A$316:N1019,9,0)),"")</f>
        <v/>
      </c>
      <c r="O2070" s="503" t="str">
        <f ca="1">IFERROR(IF(VLOOKUP(C2070,' Disaggregation - Section E '!A$315:N1019,10,0)=0,"",VLOOKUP(C2070,' Disaggregation - Section E '!A$316:N1019,10,0)),"")</f>
        <v/>
      </c>
    </row>
    <row r="2071" spans="1:15" x14ac:dyDescent="0.35">
      <c r="A2071" s="497" t="b">
        <f t="shared" ca="1" si="222"/>
        <v>0</v>
      </c>
      <c r="B2071" s="497"/>
      <c r="C2071" s="517" t="str">
        <f ca="1">IF(COUNTA(D$1665:D2071)=1,"",OFFSET(C2071,-COUNTA(D$1665:D2071)+1,0))</f>
        <v>a1V3p000006jw9KEAQ</v>
      </c>
      <c r="D2071" s="512"/>
      <c r="E2071" s="500" t="str">
        <f ca="1">IFERROR(IF(VLOOKUP(C2071,' Disaggregation - Section E '!A$316:N1020,7,0)="","",VLOOKUP(C2071,' Disaggregation - Section E '!A$316:N1020,7,0)*100),"")</f>
        <v/>
      </c>
      <c r="F2071" s="497"/>
      <c r="G2071" s="502" t="str">
        <f ca="1">IFERROR(IF(VLOOKUP(C2071,' Disaggregation - Section E '!A$316:N1020,6,0)="","",VLOOKUP(C2071,' Disaggregation - Section E '!A$316:N1020,6,0)),"")</f>
        <v/>
      </c>
      <c r="H2071" s="512" t="str">
        <f ca="1">IFERROR(IF(INDEX(' Disaggregation - Section E '!F$313:F1020,MATCH(C2071,' Disaggregation - Section E '!A$313:A1020,0)+1,1)&lt;&gt;0,INDEX(' Disaggregation - Section E '!F$313:F1020,MATCH(C2071,' Disaggregation - Section E '!A$313:A1020,0)+1,1),""),"")</f>
        <v/>
      </c>
      <c r="I2071" s="503" t="str">
        <f ca="1">IFERROR(IF(VLOOKUP(C2071,' Disaggregation - Section E '!A$316:N1020,8,0)=0,"",VLOOKUP(C2071,' Disaggregation - Section E '!A$316:N1020,8,0)),"")</f>
        <v/>
      </c>
      <c r="J2071" s="503" t="str">
        <f ca="1">IFERROR(IF(VLOOKUP(C2071,' Disaggregation - Section E '!A$316:N1020,13,0)=0,"",VLOOKUP(C2071,' Disaggregation - Section E '!A$316:N1020,13,0)),"")</f>
        <v/>
      </c>
      <c r="K2071" s="497" t="str">
        <f ca="1">IFERROR(VLOOKUP(C2071,' Disaggregation - Section E '!A$316:N1020,3,0),"")</f>
        <v/>
      </c>
      <c r="L2071" s="503" t="str">
        <f ca="1">IFERROR(IF(VLOOKUP(C2071,' Disaggregation - Section E '!A$316:N1020,14,0)=0,"",VLOOKUP(C2071,' Disaggregation - Section E '!A$316:N1020,14,0)),"")</f>
        <v/>
      </c>
      <c r="M2071" s="497" t="str">
        <f ca="1">IFERROR(IF(VLOOKUP(C2071,' Disaggregation - Section E '!A$316:T1020,20,0)=0,"",VLOOKUP(C2071,' Disaggregation - Section E '!A$316:T1020,20,0)),"")</f>
        <v/>
      </c>
      <c r="N2071" s="503" t="str">
        <f ca="1">IFERROR(IF(VLOOKUP(C2071,' Disaggregation - Section E '!A$316:N1020,9,0)=0,"",VLOOKUP(C2071,' Disaggregation - Section E '!A$316:N1020,9,0)),"")</f>
        <v/>
      </c>
      <c r="O2071" s="503" t="str">
        <f ca="1">IFERROR(IF(VLOOKUP(C2071,' Disaggregation - Section E '!A$315:N1020,10,0)=0,"",VLOOKUP(C2071,' Disaggregation - Section E '!A$316:N1020,10,0)),"")</f>
        <v/>
      </c>
    </row>
    <row r="2072" spans="1:15" x14ac:dyDescent="0.35">
      <c r="A2072" s="497" t="b">
        <f t="shared" ca="1" si="222"/>
        <v>0</v>
      </c>
      <c r="B2072" s="497"/>
      <c r="C2072" s="517" t="str">
        <f ca="1">IF(COUNTA(D$1665:D2072)=1,"",OFFSET(C2072,-COUNTA(D$1665:D2072)+1,0))</f>
        <v>a1V3p000006jw9LEAQ</v>
      </c>
      <c r="D2072" s="512"/>
      <c r="E2072" s="500" t="str">
        <f ca="1">IFERROR(IF(VLOOKUP(C2072,' Disaggregation - Section E '!A$316:N1021,7,0)="","",VLOOKUP(C2072,' Disaggregation - Section E '!A$316:N1021,7,0)*100),"")</f>
        <v/>
      </c>
      <c r="F2072" s="497"/>
      <c r="G2072" s="502" t="str">
        <f ca="1">IFERROR(IF(VLOOKUP(C2072,' Disaggregation - Section E '!A$316:N1021,6,0)="","",VLOOKUP(C2072,' Disaggregation - Section E '!A$316:N1021,6,0)),"")</f>
        <v/>
      </c>
      <c r="H2072" s="512" t="str">
        <f ca="1">IFERROR(IF(INDEX(' Disaggregation - Section E '!F$313:F1021,MATCH(C2072,' Disaggregation - Section E '!A$313:A1021,0)+1,1)&lt;&gt;0,INDEX(' Disaggregation - Section E '!F$313:F1021,MATCH(C2072,' Disaggregation - Section E '!A$313:A1021,0)+1,1),""),"")</f>
        <v/>
      </c>
      <c r="I2072" s="503" t="str">
        <f ca="1">IFERROR(IF(VLOOKUP(C2072,' Disaggregation - Section E '!A$316:N1021,8,0)=0,"",VLOOKUP(C2072,' Disaggregation - Section E '!A$316:N1021,8,0)),"")</f>
        <v/>
      </c>
      <c r="J2072" s="503" t="str">
        <f ca="1">IFERROR(IF(VLOOKUP(C2072,' Disaggregation - Section E '!A$316:N1021,13,0)=0,"",VLOOKUP(C2072,' Disaggregation - Section E '!A$316:N1021,13,0)),"")</f>
        <v/>
      </c>
      <c r="K2072" s="497" t="str">
        <f ca="1">IFERROR(VLOOKUP(C2072,' Disaggregation - Section E '!A$316:N1021,3,0),"")</f>
        <v/>
      </c>
      <c r="L2072" s="503" t="str">
        <f ca="1">IFERROR(IF(VLOOKUP(C2072,' Disaggregation - Section E '!A$316:N1021,14,0)=0,"",VLOOKUP(C2072,' Disaggregation - Section E '!A$316:N1021,14,0)),"")</f>
        <v/>
      </c>
      <c r="M2072" s="497" t="str">
        <f ca="1">IFERROR(IF(VLOOKUP(C2072,' Disaggregation - Section E '!A$316:T1021,20,0)=0,"",VLOOKUP(C2072,' Disaggregation - Section E '!A$316:T1021,20,0)),"")</f>
        <v/>
      </c>
      <c r="N2072" s="503" t="str">
        <f ca="1">IFERROR(IF(VLOOKUP(C2072,' Disaggregation - Section E '!A$316:N1021,9,0)=0,"",VLOOKUP(C2072,' Disaggregation - Section E '!A$316:N1021,9,0)),"")</f>
        <v/>
      </c>
      <c r="O2072" s="503" t="str">
        <f ca="1">IFERROR(IF(VLOOKUP(C2072,' Disaggregation - Section E '!A$315:N1021,10,0)=0,"",VLOOKUP(C2072,' Disaggregation - Section E '!A$316:N1021,10,0)),"")</f>
        <v/>
      </c>
    </row>
    <row r="2073" spans="1:15" x14ac:dyDescent="0.35">
      <c r="A2073" s="497" t="b">
        <f t="shared" ca="1" si="222"/>
        <v>0</v>
      </c>
      <c r="B2073" s="497"/>
      <c r="C2073" s="517" t="str">
        <f ca="1">IF(COUNTA(D$1665:D2073)=1,"",OFFSET(C2073,-COUNTA(D$1665:D2073)+1,0))</f>
        <v>a1V3p000006jw9MEAQ</v>
      </c>
      <c r="D2073" s="512"/>
      <c r="E2073" s="500" t="str">
        <f ca="1">IFERROR(IF(VLOOKUP(C2073,' Disaggregation - Section E '!A$316:N1022,7,0)="","",VLOOKUP(C2073,' Disaggregation - Section E '!A$316:N1022,7,0)*100),"")</f>
        <v/>
      </c>
      <c r="F2073" s="497"/>
      <c r="G2073" s="502" t="str">
        <f ca="1">IFERROR(IF(VLOOKUP(C2073,' Disaggregation - Section E '!A$316:N1022,6,0)="","",VLOOKUP(C2073,' Disaggregation - Section E '!A$316:N1022,6,0)),"")</f>
        <v/>
      </c>
      <c r="H2073" s="512" t="str">
        <f ca="1">IFERROR(IF(INDEX(' Disaggregation - Section E '!F$313:F1022,MATCH(C2073,' Disaggregation - Section E '!A$313:A1022,0)+1,1)&lt;&gt;0,INDEX(' Disaggregation - Section E '!F$313:F1022,MATCH(C2073,' Disaggregation - Section E '!A$313:A1022,0)+1,1),""),"")</f>
        <v/>
      </c>
      <c r="I2073" s="503" t="str">
        <f ca="1">IFERROR(IF(VLOOKUP(C2073,' Disaggregation - Section E '!A$316:N1022,8,0)=0,"",VLOOKUP(C2073,' Disaggregation - Section E '!A$316:N1022,8,0)),"")</f>
        <v/>
      </c>
      <c r="J2073" s="503" t="str">
        <f ca="1">IFERROR(IF(VLOOKUP(C2073,' Disaggregation - Section E '!A$316:N1022,13,0)=0,"",VLOOKUP(C2073,' Disaggregation - Section E '!A$316:N1022,13,0)),"")</f>
        <v/>
      </c>
      <c r="K2073" s="497" t="str">
        <f ca="1">IFERROR(VLOOKUP(C2073,' Disaggregation - Section E '!A$316:N1022,3,0),"")</f>
        <v/>
      </c>
      <c r="L2073" s="503" t="str">
        <f ca="1">IFERROR(IF(VLOOKUP(C2073,' Disaggregation - Section E '!A$316:N1022,14,0)=0,"",VLOOKUP(C2073,' Disaggregation - Section E '!A$316:N1022,14,0)),"")</f>
        <v/>
      </c>
      <c r="M2073" s="497" t="str">
        <f ca="1">IFERROR(IF(VLOOKUP(C2073,' Disaggregation - Section E '!A$316:T1022,20,0)=0,"",VLOOKUP(C2073,' Disaggregation - Section E '!A$316:T1022,20,0)),"")</f>
        <v/>
      </c>
      <c r="N2073" s="503" t="str">
        <f ca="1">IFERROR(IF(VLOOKUP(C2073,' Disaggregation - Section E '!A$316:N1022,9,0)=0,"",VLOOKUP(C2073,' Disaggregation - Section E '!A$316:N1022,9,0)),"")</f>
        <v/>
      </c>
      <c r="O2073" s="503" t="str">
        <f ca="1">IFERROR(IF(VLOOKUP(C2073,' Disaggregation - Section E '!A$315:N1022,10,0)=0,"",VLOOKUP(C2073,' Disaggregation - Section E '!A$316:N1022,10,0)),"")</f>
        <v/>
      </c>
    </row>
    <row r="2074" spans="1:15" x14ac:dyDescent="0.35">
      <c r="A2074" s="497" t="b">
        <f t="shared" ca="1" si="222"/>
        <v>0</v>
      </c>
      <c r="B2074" s="497"/>
      <c r="C2074" s="517" t="str">
        <f ca="1">IF(COUNTA(D$1665:D2074)=1,"",OFFSET(C2074,-COUNTA(D$1665:D2074)+1,0))</f>
        <v>a1V3p000006jw9NEAQ</v>
      </c>
      <c r="D2074" s="512"/>
      <c r="E2074" s="500" t="str">
        <f ca="1">IFERROR(IF(VLOOKUP(C2074,' Disaggregation - Section E '!A$316:N1023,7,0)="","",VLOOKUP(C2074,' Disaggregation - Section E '!A$316:N1023,7,0)*100),"")</f>
        <v/>
      </c>
      <c r="F2074" s="497"/>
      <c r="G2074" s="502" t="str">
        <f ca="1">IFERROR(IF(VLOOKUP(C2074,' Disaggregation - Section E '!A$316:N1023,6,0)="","",VLOOKUP(C2074,' Disaggregation - Section E '!A$316:N1023,6,0)),"")</f>
        <v/>
      </c>
      <c r="H2074" s="512" t="str">
        <f ca="1">IFERROR(IF(INDEX(' Disaggregation - Section E '!F$313:F1023,MATCH(C2074,' Disaggregation - Section E '!A$313:A1023,0)+1,1)&lt;&gt;0,INDEX(' Disaggregation - Section E '!F$313:F1023,MATCH(C2074,' Disaggregation - Section E '!A$313:A1023,0)+1,1),""),"")</f>
        <v/>
      </c>
      <c r="I2074" s="503" t="str">
        <f ca="1">IFERROR(IF(VLOOKUP(C2074,' Disaggregation - Section E '!A$316:N1023,8,0)=0,"",VLOOKUP(C2074,' Disaggregation - Section E '!A$316:N1023,8,0)),"")</f>
        <v/>
      </c>
      <c r="J2074" s="503" t="str">
        <f ca="1">IFERROR(IF(VLOOKUP(C2074,' Disaggregation - Section E '!A$316:N1023,13,0)=0,"",VLOOKUP(C2074,' Disaggregation - Section E '!A$316:N1023,13,0)),"")</f>
        <v/>
      </c>
      <c r="K2074" s="497" t="str">
        <f ca="1">IFERROR(VLOOKUP(C2074,' Disaggregation - Section E '!A$316:N1023,3,0),"")</f>
        <v/>
      </c>
      <c r="L2074" s="503" t="str">
        <f ca="1">IFERROR(IF(VLOOKUP(C2074,' Disaggregation - Section E '!A$316:N1023,14,0)=0,"",VLOOKUP(C2074,' Disaggregation - Section E '!A$316:N1023,14,0)),"")</f>
        <v/>
      </c>
      <c r="M2074" s="497" t="str">
        <f ca="1">IFERROR(IF(VLOOKUP(C2074,' Disaggregation - Section E '!A$316:T1023,20,0)=0,"",VLOOKUP(C2074,' Disaggregation - Section E '!A$316:T1023,20,0)),"")</f>
        <v/>
      </c>
      <c r="N2074" s="503" t="str">
        <f ca="1">IFERROR(IF(VLOOKUP(C2074,' Disaggregation - Section E '!A$316:N1023,9,0)=0,"",VLOOKUP(C2074,' Disaggregation - Section E '!A$316:N1023,9,0)),"")</f>
        <v/>
      </c>
      <c r="O2074" s="503" t="str">
        <f ca="1">IFERROR(IF(VLOOKUP(C2074,' Disaggregation - Section E '!A$315:N1023,10,0)=0,"",VLOOKUP(C2074,' Disaggregation - Section E '!A$316:N1023,10,0)),"")</f>
        <v/>
      </c>
    </row>
    <row r="2075" spans="1:15" x14ac:dyDescent="0.35">
      <c r="A2075" s="497" t="b">
        <f t="shared" ca="1" si="222"/>
        <v>0</v>
      </c>
      <c r="B2075" s="497"/>
      <c r="C2075" s="517" t="str">
        <f ca="1">IF(COUNTA(D$1665:D2075)=1,"",OFFSET(C2075,-COUNTA(D$1665:D2075)+1,0))</f>
        <v>a1V3p000006jw9OEAQ</v>
      </c>
      <c r="D2075" s="512"/>
      <c r="E2075" s="500" t="str">
        <f ca="1">IFERROR(IF(VLOOKUP(C2075,' Disaggregation - Section E '!A$316:N1024,7,0)="","",VLOOKUP(C2075,' Disaggregation - Section E '!A$316:N1024,7,0)*100),"")</f>
        <v/>
      </c>
      <c r="F2075" s="497"/>
      <c r="G2075" s="502" t="str">
        <f ca="1">IFERROR(IF(VLOOKUP(C2075,' Disaggregation - Section E '!A$316:N1024,6,0)="","",VLOOKUP(C2075,' Disaggregation - Section E '!A$316:N1024,6,0)),"")</f>
        <v/>
      </c>
      <c r="H2075" s="512" t="str">
        <f ca="1">IFERROR(IF(INDEX(' Disaggregation - Section E '!F$313:F1024,MATCH(C2075,' Disaggregation - Section E '!A$313:A1024,0)+1,1)&lt;&gt;0,INDEX(' Disaggregation - Section E '!F$313:F1024,MATCH(C2075,' Disaggregation - Section E '!A$313:A1024,0)+1,1),""),"")</f>
        <v/>
      </c>
      <c r="I2075" s="503" t="str">
        <f ca="1">IFERROR(IF(VLOOKUP(C2075,' Disaggregation - Section E '!A$316:N1024,8,0)=0,"",VLOOKUP(C2075,' Disaggregation - Section E '!A$316:N1024,8,0)),"")</f>
        <v/>
      </c>
      <c r="J2075" s="503" t="str">
        <f ca="1">IFERROR(IF(VLOOKUP(C2075,' Disaggregation - Section E '!A$316:N1024,13,0)=0,"",VLOOKUP(C2075,' Disaggregation - Section E '!A$316:N1024,13,0)),"")</f>
        <v/>
      </c>
      <c r="K2075" s="497" t="str">
        <f ca="1">IFERROR(VLOOKUP(C2075,' Disaggregation - Section E '!A$316:N1024,3,0),"")</f>
        <v/>
      </c>
      <c r="L2075" s="503" t="str">
        <f ca="1">IFERROR(IF(VLOOKUP(C2075,' Disaggregation - Section E '!A$316:N1024,14,0)=0,"",VLOOKUP(C2075,' Disaggregation - Section E '!A$316:N1024,14,0)),"")</f>
        <v/>
      </c>
      <c r="M2075" s="497" t="str">
        <f ca="1">IFERROR(IF(VLOOKUP(C2075,' Disaggregation - Section E '!A$316:T1024,20,0)=0,"",VLOOKUP(C2075,' Disaggregation - Section E '!A$316:T1024,20,0)),"")</f>
        <v/>
      </c>
      <c r="N2075" s="503" t="str">
        <f ca="1">IFERROR(IF(VLOOKUP(C2075,' Disaggregation - Section E '!A$316:N1024,9,0)=0,"",VLOOKUP(C2075,' Disaggregation - Section E '!A$316:N1024,9,0)),"")</f>
        <v/>
      </c>
      <c r="O2075" s="503" t="str">
        <f ca="1">IFERROR(IF(VLOOKUP(C2075,' Disaggregation - Section E '!A$315:N1024,10,0)=0,"",VLOOKUP(C2075,' Disaggregation - Section E '!A$316:N1024,10,0)),"")</f>
        <v/>
      </c>
    </row>
    <row r="2076" spans="1:15" x14ac:dyDescent="0.35">
      <c r="A2076" s="497" t="b">
        <f t="shared" ca="1" si="222"/>
        <v>0</v>
      </c>
      <c r="B2076" s="497"/>
      <c r="C2076" s="517" t="str">
        <f ca="1">IF(COUNTA(D$1665:D2076)=1,"",OFFSET(C2076,-COUNTA(D$1665:D2076)+1,0))</f>
        <v>a1V3p000006jw9PEAQ</v>
      </c>
      <c r="D2076" s="512"/>
      <c r="E2076" s="500" t="str">
        <f ca="1">IFERROR(IF(VLOOKUP(C2076,' Disaggregation - Section E '!A$316:N1025,7,0)="","",VLOOKUP(C2076,' Disaggregation - Section E '!A$316:N1025,7,0)*100),"")</f>
        <v/>
      </c>
      <c r="F2076" s="497"/>
      <c r="G2076" s="502" t="str">
        <f ca="1">IFERROR(IF(VLOOKUP(C2076,' Disaggregation - Section E '!A$316:N1025,6,0)="","",VLOOKUP(C2076,' Disaggregation - Section E '!A$316:N1025,6,0)),"")</f>
        <v/>
      </c>
      <c r="H2076" s="512" t="str">
        <f ca="1">IFERROR(IF(INDEX(' Disaggregation - Section E '!F$313:F1025,MATCH(C2076,' Disaggregation - Section E '!A$313:A1025,0)+1,1)&lt;&gt;0,INDEX(' Disaggregation - Section E '!F$313:F1025,MATCH(C2076,' Disaggregation - Section E '!A$313:A1025,0)+1,1),""),"")</f>
        <v/>
      </c>
      <c r="I2076" s="503" t="str">
        <f ca="1">IFERROR(IF(VLOOKUP(C2076,' Disaggregation - Section E '!A$316:N1025,8,0)=0,"",VLOOKUP(C2076,' Disaggregation - Section E '!A$316:N1025,8,0)),"")</f>
        <v/>
      </c>
      <c r="J2076" s="503" t="str">
        <f ca="1">IFERROR(IF(VLOOKUP(C2076,' Disaggregation - Section E '!A$316:N1025,13,0)=0,"",VLOOKUP(C2076,' Disaggregation - Section E '!A$316:N1025,13,0)),"")</f>
        <v/>
      </c>
      <c r="K2076" s="497" t="str">
        <f ca="1">IFERROR(VLOOKUP(C2076,' Disaggregation - Section E '!A$316:N1025,3,0),"")</f>
        <v/>
      </c>
      <c r="L2076" s="503" t="str">
        <f ca="1">IFERROR(IF(VLOOKUP(C2076,' Disaggregation - Section E '!A$316:N1025,14,0)=0,"",VLOOKUP(C2076,' Disaggregation - Section E '!A$316:N1025,14,0)),"")</f>
        <v/>
      </c>
      <c r="M2076" s="497" t="str">
        <f ca="1">IFERROR(IF(VLOOKUP(C2076,' Disaggregation - Section E '!A$316:T1025,20,0)=0,"",VLOOKUP(C2076,' Disaggregation - Section E '!A$316:T1025,20,0)),"")</f>
        <v/>
      </c>
      <c r="N2076" s="503" t="str">
        <f ca="1">IFERROR(IF(VLOOKUP(C2076,' Disaggregation - Section E '!A$316:N1025,9,0)=0,"",VLOOKUP(C2076,' Disaggregation - Section E '!A$316:N1025,9,0)),"")</f>
        <v/>
      </c>
      <c r="O2076" s="503" t="str">
        <f ca="1">IFERROR(IF(VLOOKUP(C2076,' Disaggregation - Section E '!A$315:N1025,10,0)=0,"",VLOOKUP(C2076,' Disaggregation - Section E '!A$316:N1025,10,0)),"")</f>
        <v/>
      </c>
    </row>
    <row r="2077" spans="1:15" x14ac:dyDescent="0.35">
      <c r="A2077" s="497" t="b">
        <f t="shared" ca="1" si="222"/>
        <v>0</v>
      </c>
      <c r="B2077" s="497"/>
      <c r="C2077" s="517" t="str">
        <f ca="1">IF(COUNTA(D$1665:D2077)=1,"",OFFSET(C2077,-COUNTA(D$1665:D2077)+1,0))</f>
        <v>a1V3p000006jwBgEAI</v>
      </c>
      <c r="D2077" s="512"/>
      <c r="E2077" s="500" t="str">
        <f ca="1">IFERROR(IF(VLOOKUP(C2077,' Disaggregation - Section E '!A$316:N1026,7,0)="","",VLOOKUP(C2077,' Disaggregation - Section E '!A$316:N1026,7,0)*100),"")</f>
        <v/>
      </c>
      <c r="F2077" s="497"/>
      <c r="G2077" s="502" t="str">
        <f ca="1">IFERROR(IF(VLOOKUP(C2077,' Disaggregation - Section E '!A$316:N1026,6,0)="","",VLOOKUP(C2077,' Disaggregation - Section E '!A$316:N1026,6,0)),"")</f>
        <v/>
      </c>
      <c r="H2077" s="512" t="str">
        <f ca="1">IFERROR(IF(INDEX(' Disaggregation - Section E '!F$313:F1026,MATCH(C2077,' Disaggregation - Section E '!A$313:A1026,0)+1,1)&lt;&gt;0,INDEX(' Disaggregation - Section E '!F$313:F1026,MATCH(C2077,' Disaggregation - Section E '!A$313:A1026,0)+1,1),""),"")</f>
        <v/>
      </c>
      <c r="I2077" s="503" t="str">
        <f ca="1">IFERROR(IF(VLOOKUP(C2077,' Disaggregation - Section E '!A$316:N1026,8,0)=0,"",VLOOKUP(C2077,' Disaggregation - Section E '!A$316:N1026,8,0)),"")</f>
        <v/>
      </c>
      <c r="J2077" s="503" t="str">
        <f ca="1">IFERROR(IF(VLOOKUP(C2077,' Disaggregation - Section E '!A$316:N1026,13,0)=0,"",VLOOKUP(C2077,' Disaggregation - Section E '!A$316:N1026,13,0)),"")</f>
        <v/>
      </c>
      <c r="K2077" s="497" t="str">
        <f ca="1">IFERROR(VLOOKUP(C2077,' Disaggregation - Section E '!A$316:N1026,3,0),"")</f>
        <v/>
      </c>
      <c r="L2077" s="503" t="str">
        <f ca="1">IFERROR(IF(VLOOKUP(C2077,' Disaggregation - Section E '!A$316:N1026,14,0)=0,"",VLOOKUP(C2077,' Disaggregation - Section E '!A$316:N1026,14,0)),"")</f>
        <v/>
      </c>
      <c r="M2077" s="497" t="str">
        <f ca="1">IFERROR(IF(VLOOKUP(C2077,' Disaggregation - Section E '!A$316:T1026,20,0)=0,"",VLOOKUP(C2077,' Disaggregation - Section E '!A$316:T1026,20,0)),"")</f>
        <v/>
      </c>
      <c r="N2077" s="503" t="str">
        <f ca="1">IFERROR(IF(VLOOKUP(C2077,' Disaggregation - Section E '!A$316:N1026,9,0)=0,"",VLOOKUP(C2077,' Disaggregation - Section E '!A$316:N1026,9,0)),"")</f>
        <v/>
      </c>
      <c r="O2077" s="503" t="str">
        <f ca="1">IFERROR(IF(VLOOKUP(C2077,' Disaggregation - Section E '!A$315:N1026,10,0)=0,"",VLOOKUP(C2077,' Disaggregation - Section E '!A$316:N1026,10,0)),"")</f>
        <v/>
      </c>
    </row>
    <row r="2078" spans="1:15" x14ac:dyDescent="0.35">
      <c r="A2078" s="497" t="b">
        <f t="shared" ca="1" si="222"/>
        <v>0</v>
      </c>
      <c r="B2078" s="497"/>
      <c r="C2078" s="517" t="str">
        <f ca="1">IF(COUNTA(D$1665:D2078)=1,"",OFFSET(C2078,-COUNTA(D$1665:D2078)+1,0))</f>
        <v>a1V3p000006jwBhEAI</v>
      </c>
      <c r="D2078" s="512"/>
      <c r="E2078" s="500" t="str">
        <f ca="1">IFERROR(IF(VLOOKUP(C2078,' Disaggregation - Section E '!A$316:N1027,7,0)="","",VLOOKUP(C2078,' Disaggregation - Section E '!A$316:N1027,7,0)*100),"")</f>
        <v/>
      </c>
      <c r="F2078" s="497"/>
      <c r="G2078" s="502" t="str">
        <f ca="1">IFERROR(IF(VLOOKUP(C2078,' Disaggregation - Section E '!A$316:N1027,6,0)="","",VLOOKUP(C2078,' Disaggregation - Section E '!A$316:N1027,6,0)),"")</f>
        <v/>
      </c>
      <c r="H2078" s="512" t="str">
        <f ca="1">IFERROR(IF(INDEX(' Disaggregation - Section E '!F$313:F1027,MATCH(C2078,' Disaggregation - Section E '!A$313:A1027,0)+1,1)&lt;&gt;0,INDEX(' Disaggregation - Section E '!F$313:F1027,MATCH(C2078,' Disaggregation - Section E '!A$313:A1027,0)+1,1),""),"")</f>
        <v/>
      </c>
      <c r="I2078" s="503" t="str">
        <f ca="1">IFERROR(IF(VLOOKUP(C2078,' Disaggregation - Section E '!A$316:N1027,8,0)=0,"",VLOOKUP(C2078,' Disaggregation - Section E '!A$316:N1027,8,0)),"")</f>
        <v/>
      </c>
      <c r="J2078" s="503" t="str">
        <f ca="1">IFERROR(IF(VLOOKUP(C2078,' Disaggregation - Section E '!A$316:N1027,13,0)=0,"",VLOOKUP(C2078,' Disaggregation - Section E '!A$316:N1027,13,0)),"")</f>
        <v/>
      </c>
      <c r="K2078" s="497" t="str">
        <f ca="1">IFERROR(VLOOKUP(C2078,' Disaggregation - Section E '!A$316:N1027,3,0),"")</f>
        <v/>
      </c>
      <c r="L2078" s="503" t="str">
        <f ca="1">IFERROR(IF(VLOOKUP(C2078,' Disaggregation - Section E '!A$316:N1027,14,0)=0,"",VLOOKUP(C2078,' Disaggregation - Section E '!A$316:N1027,14,0)),"")</f>
        <v/>
      </c>
      <c r="M2078" s="497" t="str">
        <f ca="1">IFERROR(IF(VLOOKUP(C2078,' Disaggregation - Section E '!A$316:T1027,20,0)=0,"",VLOOKUP(C2078,' Disaggregation - Section E '!A$316:T1027,20,0)),"")</f>
        <v/>
      </c>
      <c r="N2078" s="503" t="str">
        <f ca="1">IFERROR(IF(VLOOKUP(C2078,' Disaggregation - Section E '!A$316:N1027,9,0)=0,"",VLOOKUP(C2078,' Disaggregation - Section E '!A$316:N1027,9,0)),"")</f>
        <v/>
      </c>
      <c r="O2078" s="503" t="str">
        <f ca="1">IFERROR(IF(VLOOKUP(C2078,' Disaggregation - Section E '!A$315:N1027,10,0)=0,"",VLOOKUP(C2078,' Disaggregation - Section E '!A$316:N1027,10,0)),"")</f>
        <v/>
      </c>
    </row>
    <row r="2079" spans="1:15" x14ac:dyDescent="0.35">
      <c r="A2079" s="497" t="b">
        <f t="shared" ca="1" si="222"/>
        <v>0</v>
      </c>
      <c r="B2079" s="497"/>
      <c r="C2079" s="517" t="str">
        <f ca="1">IF(COUNTA(D$1665:D2079)=1,"",OFFSET(C2079,-COUNTA(D$1665:D2079)+1,0))</f>
        <v>a1V3p000006jwBiEAI</v>
      </c>
      <c r="D2079" s="512"/>
      <c r="E2079" s="500" t="str">
        <f ca="1">IFERROR(IF(VLOOKUP(C2079,' Disaggregation - Section E '!A$316:N1028,7,0)="","",VLOOKUP(C2079,' Disaggregation - Section E '!A$316:N1028,7,0)*100),"")</f>
        <v/>
      </c>
      <c r="F2079" s="497"/>
      <c r="G2079" s="502" t="str">
        <f ca="1">IFERROR(IF(VLOOKUP(C2079,' Disaggregation - Section E '!A$316:N1028,6,0)="","",VLOOKUP(C2079,' Disaggregation - Section E '!A$316:N1028,6,0)),"")</f>
        <v/>
      </c>
      <c r="H2079" s="512" t="str">
        <f ca="1">IFERROR(IF(INDEX(' Disaggregation - Section E '!F$313:F1028,MATCH(C2079,' Disaggregation - Section E '!A$313:A1028,0)+1,1)&lt;&gt;0,INDEX(' Disaggregation - Section E '!F$313:F1028,MATCH(C2079,' Disaggregation - Section E '!A$313:A1028,0)+1,1),""),"")</f>
        <v/>
      </c>
      <c r="I2079" s="503" t="str">
        <f ca="1">IFERROR(IF(VLOOKUP(C2079,' Disaggregation - Section E '!A$316:N1028,8,0)=0,"",VLOOKUP(C2079,' Disaggregation - Section E '!A$316:N1028,8,0)),"")</f>
        <v/>
      </c>
      <c r="J2079" s="503" t="str">
        <f ca="1">IFERROR(IF(VLOOKUP(C2079,' Disaggregation - Section E '!A$316:N1028,13,0)=0,"",VLOOKUP(C2079,' Disaggregation - Section E '!A$316:N1028,13,0)),"")</f>
        <v/>
      </c>
      <c r="K2079" s="497" t="str">
        <f ca="1">IFERROR(VLOOKUP(C2079,' Disaggregation - Section E '!A$316:N1028,3,0),"")</f>
        <v/>
      </c>
      <c r="L2079" s="503" t="str">
        <f ca="1">IFERROR(IF(VLOOKUP(C2079,' Disaggregation - Section E '!A$316:N1028,14,0)=0,"",VLOOKUP(C2079,' Disaggregation - Section E '!A$316:N1028,14,0)),"")</f>
        <v/>
      </c>
      <c r="M2079" s="497" t="str">
        <f ca="1">IFERROR(IF(VLOOKUP(C2079,' Disaggregation - Section E '!A$316:T1028,20,0)=0,"",VLOOKUP(C2079,' Disaggregation - Section E '!A$316:T1028,20,0)),"")</f>
        <v/>
      </c>
      <c r="N2079" s="503" t="str">
        <f ca="1">IFERROR(IF(VLOOKUP(C2079,' Disaggregation - Section E '!A$316:N1028,9,0)=0,"",VLOOKUP(C2079,' Disaggregation - Section E '!A$316:N1028,9,0)),"")</f>
        <v/>
      </c>
      <c r="O2079" s="503" t="str">
        <f ca="1">IFERROR(IF(VLOOKUP(C2079,' Disaggregation - Section E '!A$315:N1028,10,0)=0,"",VLOOKUP(C2079,' Disaggregation - Section E '!A$316:N1028,10,0)),"")</f>
        <v/>
      </c>
    </row>
    <row r="2080" spans="1:15" x14ac:dyDescent="0.35">
      <c r="A2080" s="497" t="b">
        <f t="shared" ca="1" si="222"/>
        <v>0</v>
      </c>
      <c r="B2080" s="497"/>
      <c r="C2080" s="517" t="str">
        <f ca="1">IF(COUNTA(D$1665:D2080)=1,"",OFFSET(C2080,-COUNTA(D$1665:D2080)+1,0))</f>
        <v>a1V3p000006jwBjEAI</v>
      </c>
      <c r="D2080" s="512"/>
      <c r="E2080" s="500" t="str">
        <f ca="1">IFERROR(IF(VLOOKUP(C2080,' Disaggregation - Section E '!A$316:N1029,7,0)="","",VLOOKUP(C2080,' Disaggregation - Section E '!A$316:N1029,7,0)*100),"")</f>
        <v/>
      </c>
      <c r="F2080" s="497"/>
      <c r="G2080" s="502" t="str">
        <f ca="1">IFERROR(IF(VLOOKUP(C2080,' Disaggregation - Section E '!A$316:N1029,6,0)="","",VLOOKUP(C2080,' Disaggregation - Section E '!A$316:N1029,6,0)),"")</f>
        <v/>
      </c>
      <c r="H2080" s="512" t="str">
        <f ca="1">IFERROR(IF(INDEX(' Disaggregation - Section E '!F$313:F1029,MATCH(C2080,' Disaggregation - Section E '!A$313:A1029,0)+1,1)&lt;&gt;0,INDEX(' Disaggregation - Section E '!F$313:F1029,MATCH(C2080,' Disaggregation - Section E '!A$313:A1029,0)+1,1),""),"")</f>
        <v/>
      </c>
      <c r="I2080" s="503" t="str">
        <f ca="1">IFERROR(IF(VLOOKUP(C2080,' Disaggregation - Section E '!A$316:N1029,8,0)=0,"",VLOOKUP(C2080,' Disaggregation - Section E '!A$316:N1029,8,0)),"")</f>
        <v/>
      </c>
      <c r="J2080" s="503" t="str">
        <f ca="1">IFERROR(IF(VLOOKUP(C2080,' Disaggregation - Section E '!A$316:N1029,13,0)=0,"",VLOOKUP(C2080,' Disaggregation - Section E '!A$316:N1029,13,0)),"")</f>
        <v/>
      </c>
      <c r="K2080" s="497" t="str">
        <f ca="1">IFERROR(VLOOKUP(C2080,' Disaggregation - Section E '!A$316:N1029,3,0),"")</f>
        <v/>
      </c>
      <c r="L2080" s="503" t="str">
        <f ca="1">IFERROR(IF(VLOOKUP(C2080,' Disaggregation - Section E '!A$316:N1029,14,0)=0,"",VLOOKUP(C2080,' Disaggregation - Section E '!A$316:N1029,14,0)),"")</f>
        <v/>
      </c>
      <c r="M2080" s="497" t="str">
        <f ca="1">IFERROR(IF(VLOOKUP(C2080,' Disaggregation - Section E '!A$316:T1029,20,0)=0,"",VLOOKUP(C2080,' Disaggregation - Section E '!A$316:T1029,20,0)),"")</f>
        <v/>
      </c>
      <c r="N2080" s="503" t="str">
        <f ca="1">IFERROR(IF(VLOOKUP(C2080,' Disaggregation - Section E '!A$316:N1029,9,0)=0,"",VLOOKUP(C2080,' Disaggregation - Section E '!A$316:N1029,9,0)),"")</f>
        <v/>
      </c>
      <c r="O2080" s="503" t="str">
        <f ca="1">IFERROR(IF(VLOOKUP(C2080,' Disaggregation - Section E '!A$315:N1029,10,0)=0,"",VLOOKUP(C2080,' Disaggregation - Section E '!A$316:N1029,10,0)),"")</f>
        <v/>
      </c>
    </row>
    <row r="2081" spans="1:15" x14ac:dyDescent="0.35">
      <c r="A2081" s="497" t="b">
        <f t="shared" ca="1" si="222"/>
        <v>0</v>
      </c>
      <c r="B2081" s="497"/>
      <c r="C2081" s="517" t="str">
        <f ca="1">IF(COUNTA(D$1665:D2081)=1,"",OFFSET(C2081,-COUNTA(D$1665:D2081)+1,0))</f>
        <v>a1V3p000006jwBkEAI</v>
      </c>
      <c r="D2081" s="512"/>
      <c r="E2081" s="500" t="str">
        <f ca="1">IFERROR(IF(VLOOKUP(C2081,' Disaggregation - Section E '!A$316:N1030,7,0)="","",VLOOKUP(C2081,' Disaggregation - Section E '!A$316:N1030,7,0)*100),"")</f>
        <v/>
      </c>
      <c r="F2081" s="497"/>
      <c r="G2081" s="502" t="str">
        <f ca="1">IFERROR(IF(VLOOKUP(C2081,' Disaggregation - Section E '!A$316:N1030,6,0)="","",VLOOKUP(C2081,' Disaggregation - Section E '!A$316:N1030,6,0)),"")</f>
        <v/>
      </c>
      <c r="H2081" s="512" t="str">
        <f ca="1">IFERROR(IF(INDEX(' Disaggregation - Section E '!F$313:F1030,MATCH(C2081,' Disaggregation - Section E '!A$313:A1030,0)+1,1)&lt;&gt;0,INDEX(' Disaggregation - Section E '!F$313:F1030,MATCH(C2081,' Disaggregation - Section E '!A$313:A1030,0)+1,1),""),"")</f>
        <v/>
      </c>
      <c r="I2081" s="503" t="str">
        <f ca="1">IFERROR(IF(VLOOKUP(C2081,' Disaggregation - Section E '!A$316:N1030,8,0)=0,"",VLOOKUP(C2081,' Disaggregation - Section E '!A$316:N1030,8,0)),"")</f>
        <v/>
      </c>
      <c r="J2081" s="503" t="str">
        <f ca="1">IFERROR(IF(VLOOKUP(C2081,' Disaggregation - Section E '!A$316:N1030,13,0)=0,"",VLOOKUP(C2081,' Disaggregation - Section E '!A$316:N1030,13,0)),"")</f>
        <v/>
      </c>
      <c r="K2081" s="497" t="str">
        <f ca="1">IFERROR(VLOOKUP(C2081,' Disaggregation - Section E '!A$316:N1030,3,0),"")</f>
        <v/>
      </c>
      <c r="L2081" s="503" t="str">
        <f ca="1">IFERROR(IF(VLOOKUP(C2081,' Disaggregation - Section E '!A$316:N1030,14,0)=0,"",VLOOKUP(C2081,' Disaggregation - Section E '!A$316:N1030,14,0)),"")</f>
        <v/>
      </c>
      <c r="M2081" s="497" t="str">
        <f ca="1">IFERROR(IF(VLOOKUP(C2081,' Disaggregation - Section E '!A$316:T1030,20,0)=0,"",VLOOKUP(C2081,' Disaggregation - Section E '!A$316:T1030,20,0)),"")</f>
        <v/>
      </c>
      <c r="N2081" s="503" t="str">
        <f ca="1">IFERROR(IF(VLOOKUP(C2081,' Disaggregation - Section E '!A$316:N1030,9,0)=0,"",VLOOKUP(C2081,' Disaggregation - Section E '!A$316:N1030,9,0)),"")</f>
        <v/>
      </c>
      <c r="O2081" s="503" t="str">
        <f ca="1">IFERROR(IF(VLOOKUP(C2081,' Disaggregation - Section E '!A$315:N1030,10,0)=0,"",VLOOKUP(C2081,' Disaggregation - Section E '!A$316:N1030,10,0)),"")</f>
        <v/>
      </c>
    </row>
    <row r="2082" spans="1:15" x14ac:dyDescent="0.35">
      <c r="A2082" s="497" t="b">
        <f t="shared" ca="1" si="222"/>
        <v>0</v>
      </c>
      <c r="B2082" s="497"/>
      <c r="C2082" s="517" t="str">
        <f ca="1">IF(COUNTA(D$1665:D2082)=1,"",OFFSET(C2082,-COUNTA(D$1665:D2082)+1,0))</f>
        <v>a1V3p000006jwBlEAI</v>
      </c>
      <c r="D2082" s="512"/>
      <c r="E2082" s="500" t="str">
        <f ca="1">IFERROR(IF(VLOOKUP(C2082,' Disaggregation - Section E '!A$316:N1031,7,0)="","",VLOOKUP(C2082,' Disaggregation - Section E '!A$316:N1031,7,0)*100),"")</f>
        <v/>
      </c>
      <c r="F2082" s="497"/>
      <c r="G2082" s="502" t="str">
        <f ca="1">IFERROR(IF(VLOOKUP(C2082,' Disaggregation - Section E '!A$316:N1031,6,0)="","",VLOOKUP(C2082,' Disaggregation - Section E '!A$316:N1031,6,0)),"")</f>
        <v/>
      </c>
      <c r="H2082" s="512" t="str">
        <f ca="1">IFERROR(IF(INDEX(' Disaggregation - Section E '!F$313:F1031,MATCH(C2082,' Disaggregation - Section E '!A$313:A1031,0)+1,1)&lt;&gt;0,INDEX(' Disaggregation - Section E '!F$313:F1031,MATCH(C2082,' Disaggregation - Section E '!A$313:A1031,0)+1,1),""),"")</f>
        <v/>
      </c>
      <c r="I2082" s="503" t="str">
        <f ca="1">IFERROR(IF(VLOOKUP(C2082,' Disaggregation - Section E '!A$316:N1031,8,0)=0,"",VLOOKUP(C2082,' Disaggregation - Section E '!A$316:N1031,8,0)),"")</f>
        <v/>
      </c>
      <c r="J2082" s="503" t="str">
        <f ca="1">IFERROR(IF(VLOOKUP(C2082,' Disaggregation - Section E '!A$316:N1031,13,0)=0,"",VLOOKUP(C2082,' Disaggregation - Section E '!A$316:N1031,13,0)),"")</f>
        <v/>
      </c>
      <c r="K2082" s="497" t="str">
        <f ca="1">IFERROR(VLOOKUP(C2082,' Disaggregation - Section E '!A$316:N1031,3,0),"")</f>
        <v/>
      </c>
      <c r="L2082" s="503" t="str">
        <f ca="1">IFERROR(IF(VLOOKUP(C2082,' Disaggregation - Section E '!A$316:N1031,14,0)=0,"",VLOOKUP(C2082,' Disaggregation - Section E '!A$316:N1031,14,0)),"")</f>
        <v/>
      </c>
      <c r="M2082" s="497" t="str">
        <f ca="1">IFERROR(IF(VLOOKUP(C2082,' Disaggregation - Section E '!A$316:T1031,20,0)=0,"",VLOOKUP(C2082,' Disaggregation - Section E '!A$316:T1031,20,0)),"")</f>
        <v/>
      </c>
      <c r="N2082" s="503" t="str">
        <f ca="1">IFERROR(IF(VLOOKUP(C2082,' Disaggregation - Section E '!A$316:N1031,9,0)=0,"",VLOOKUP(C2082,' Disaggregation - Section E '!A$316:N1031,9,0)),"")</f>
        <v/>
      </c>
      <c r="O2082" s="503" t="str">
        <f ca="1">IFERROR(IF(VLOOKUP(C2082,' Disaggregation - Section E '!A$315:N1031,10,0)=0,"",VLOOKUP(C2082,' Disaggregation - Section E '!A$316:N1031,10,0)),"")</f>
        <v/>
      </c>
    </row>
    <row r="2083" spans="1:15" x14ac:dyDescent="0.35">
      <c r="A2083" s="497" t="b">
        <f t="shared" ca="1" si="222"/>
        <v>0</v>
      </c>
      <c r="B2083" s="497"/>
      <c r="C2083" s="517" t="str">
        <f ca="1">IF(COUNTA(D$1665:D2083)=1,"",OFFSET(C2083,-COUNTA(D$1665:D2083)+1,0))</f>
        <v>a1V3p000006jwBmEAI</v>
      </c>
      <c r="D2083" s="512"/>
      <c r="E2083" s="500" t="str">
        <f ca="1">IFERROR(IF(VLOOKUP(C2083,' Disaggregation - Section E '!A$316:N1032,7,0)="","",VLOOKUP(C2083,' Disaggregation - Section E '!A$316:N1032,7,0)*100),"")</f>
        <v/>
      </c>
      <c r="F2083" s="497"/>
      <c r="G2083" s="502" t="str">
        <f ca="1">IFERROR(IF(VLOOKUP(C2083,' Disaggregation - Section E '!A$316:N1032,6,0)="","",VLOOKUP(C2083,' Disaggregation - Section E '!A$316:N1032,6,0)),"")</f>
        <v/>
      </c>
      <c r="H2083" s="512" t="str">
        <f ca="1">IFERROR(IF(INDEX(' Disaggregation - Section E '!F$313:F1032,MATCH(C2083,' Disaggregation - Section E '!A$313:A1032,0)+1,1)&lt;&gt;0,INDEX(' Disaggregation - Section E '!F$313:F1032,MATCH(C2083,' Disaggregation - Section E '!A$313:A1032,0)+1,1),""),"")</f>
        <v/>
      </c>
      <c r="I2083" s="503" t="str">
        <f ca="1">IFERROR(IF(VLOOKUP(C2083,' Disaggregation - Section E '!A$316:N1032,8,0)=0,"",VLOOKUP(C2083,' Disaggregation - Section E '!A$316:N1032,8,0)),"")</f>
        <v/>
      </c>
      <c r="J2083" s="503" t="str">
        <f ca="1">IFERROR(IF(VLOOKUP(C2083,' Disaggregation - Section E '!A$316:N1032,13,0)=0,"",VLOOKUP(C2083,' Disaggregation - Section E '!A$316:N1032,13,0)),"")</f>
        <v/>
      </c>
      <c r="K2083" s="497" t="str">
        <f ca="1">IFERROR(VLOOKUP(C2083,' Disaggregation - Section E '!A$316:N1032,3,0),"")</f>
        <v/>
      </c>
      <c r="L2083" s="503" t="str">
        <f ca="1">IFERROR(IF(VLOOKUP(C2083,' Disaggregation - Section E '!A$316:N1032,14,0)=0,"",VLOOKUP(C2083,' Disaggregation - Section E '!A$316:N1032,14,0)),"")</f>
        <v/>
      </c>
      <c r="M2083" s="497" t="str">
        <f ca="1">IFERROR(IF(VLOOKUP(C2083,' Disaggregation - Section E '!A$316:T1032,20,0)=0,"",VLOOKUP(C2083,' Disaggregation - Section E '!A$316:T1032,20,0)),"")</f>
        <v/>
      </c>
      <c r="N2083" s="503" t="str">
        <f ca="1">IFERROR(IF(VLOOKUP(C2083,' Disaggregation - Section E '!A$316:N1032,9,0)=0,"",VLOOKUP(C2083,' Disaggregation - Section E '!A$316:N1032,9,0)),"")</f>
        <v/>
      </c>
      <c r="O2083" s="503" t="str">
        <f ca="1">IFERROR(IF(VLOOKUP(C2083,' Disaggregation - Section E '!A$315:N1032,10,0)=0,"",VLOOKUP(C2083,' Disaggregation - Section E '!A$316:N1032,10,0)),"")</f>
        <v/>
      </c>
    </row>
    <row r="2084" spans="1:15" x14ac:dyDescent="0.35">
      <c r="A2084" s="497" t="b">
        <f t="shared" ca="1" si="222"/>
        <v>0</v>
      </c>
      <c r="B2084" s="497"/>
      <c r="C2084" s="517" t="str">
        <f ca="1">IF(COUNTA(D$1665:D2084)=1,"",OFFSET(C2084,-COUNTA(D$1665:D2084)+1,0))</f>
        <v>a1V3p000006jwBnEAI</v>
      </c>
      <c r="D2084" s="512"/>
      <c r="E2084" s="500" t="str">
        <f ca="1">IFERROR(IF(VLOOKUP(C2084,' Disaggregation - Section E '!A$316:N1033,7,0)="","",VLOOKUP(C2084,' Disaggregation - Section E '!A$316:N1033,7,0)*100),"")</f>
        <v/>
      </c>
      <c r="F2084" s="497"/>
      <c r="G2084" s="502" t="str">
        <f ca="1">IFERROR(IF(VLOOKUP(C2084,' Disaggregation - Section E '!A$316:N1033,6,0)="","",VLOOKUP(C2084,' Disaggregation - Section E '!A$316:N1033,6,0)),"")</f>
        <v/>
      </c>
      <c r="H2084" s="512" t="str">
        <f ca="1">IFERROR(IF(INDEX(' Disaggregation - Section E '!F$313:F1033,MATCH(C2084,' Disaggregation - Section E '!A$313:A1033,0)+1,1)&lt;&gt;0,INDEX(' Disaggregation - Section E '!F$313:F1033,MATCH(C2084,' Disaggregation - Section E '!A$313:A1033,0)+1,1),""),"")</f>
        <v/>
      </c>
      <c r="I2084" s="503" t="str">
        <f ca="1">IFERROR(IF(VLOOKUP(C2084,' Disaggregation - Section E '!A$316:N1033,8,0)=0,"",VLOOKUP(C2084,' Disaggregation - Section E '!A$316:N1033,8,0)),"")</f>
        <v/>
      </c>
      <c r="J2084" s="503" t="str">
        <f ca="1">IFERROR(IF(VLOOKUP(C2084,' Disaggregation - Section E '!A$316:N1033,13,0)=0,"",VLOOKUP(C2084,' Disaggregation - Section E '!A$316:N1033,13,0)),"")</f>
        <v/>
      </c>
      <c r="K2084" s="497" t="str">
        <f ca="1">IFERROR(VLOOKUP(C2084,' Disaggregation - Section E '!A$316:N1033,3,0),"")</f>
        <v/>
      </c>
      <c r="L2084" s="503" t="str">
        <f ca="1">IFERROR(IF(VLOOKUP(C2084,' Disaggregation - Section E '!A$316:N1033,14,0)=0,"",VLOOKUP(C2084,' Disaggregation - Section E '!A$316:N1033,14,0)),"")</f>
        <v/>
      </c>
      <c r="M2084" s="497" t="str">
        <f ca="1">IFERROR(IF(VLOOKUP(C2084,' Disaggregation - Section E '!A$316:T1033,20,0)=0,"",VLOOKUP(C2084,' Disaggregation - Section E '!A$316:T1033,20,0)),"")</f>
        <v/>
      </c>
      <c r="N2084" s="503" t="str">
        <f ca="1">IFERROR(IF(VLOOKUP(C2084,' Disaggregation - Section E '!A$316:N1033,9,0)=0,"",VLOOKUP(C2084,' Disaggregation - Section E '!A$316:N1033,9,0)),"")</f>
        <v/>
      </c>
      <c r="O2084" s="503" t="str">
        <f ca="1">IFERROR(IF(VLOOKUP(C2084,' Disaggregation - Section E '!A$315:N1033,10,0)=0,"",VLOOKUP(C2084,' Disaggregation - Section E '!A$316:N1033,10,0)),"")</f>
        <v/>
      </c>
    </row>
    <row r="2085" spans="1:15" x14ac:dyDescent="0.35">
      <c r="A2085" s="497" t="b">
        <f t="shared" ca="1" si="222"/>
        <v>0</v>
      </c>
      <c r="B2085" s="497"/>
      <c r="C2085" s="517" t="str">
        <f ca="1">IF(COUNTA(D$1665:D2085)=1,"",OFFSET(C2085,-COUNTA(D$1665:D2085)+1,0))</f>
        <v>a1V3p000006jwBoEAI</v>
      </c>
      <c r="D2085" s="512"/>
      <c r="E2085" s="500" t="str">
        <f ca="1">IFERROR(IF(VLOOKUP(C2085,' Disaggregation - Section E '!A$316:N1034,7,0)="","",VLOOKUP(C2085,' Disaggregation - Section E '!A$316:N1034,7,0)*100),"")</f>
        <v/>
      </c>
      <c r="F2085" s="497"/>
      <c r="G2085" s="502" t="str">
        <f ca="1">IFERROR(IF(VLOOKUP(C2085,' Disaggregation - Section E '!A$316:N1034,6,0)="","",VLOOKUP(C2085,' Disaggregation - Section E '!A$316:N1034,6,0)),"")</f>
        <v/>
      </c>
      <c r="H2085" s="512" t="str">
        <f ca="1">IFERROR(IF(INDEX(' Disaggregation - Section E '!F$313:F1034,MATCH(C2085,' Disaggregation - Section E '!A$313:A1034,0)+1,1)&lt;&gt;0,INDEX(' Disaggregation - Section E '!F$313:F1034,MATCH(C2085,' Disaggregation - Section E '!A$313:A1034,0)+1,1),""),"")</f>
        <v/>
      </c>
      <c r="I2085" s="503" t="str">
        <f ca="1">IFERROR(IF(VLOOKUP(C2085,' Disaggregation - Section E '!A$316:N1034,8,0)=0,"",VLOOKUP(C2085,' Disaggregation - Section E '!A$316:N1034,8,0)),"")</f>
        <v/>
      </c>
      <c r="J2085" s="503" t="str">
        <f ca="1">IFERROR(IF(VLOOKUP(C2085,' Disaggregation - Section E '!A$316:N1034,13,0)=0,"",VLOOKUP(C2085,' Disaggregation - Section E '!A$316:N1034,13,0)),"")</f>
        <v/>
      </c>
      <c r="K2085" s="497" t="str">
        <f ca="1">IFERROR(VLOOKUP(C2085,' Disaggregation - Section E '!A$316:N1034,3,0),"")</f>
        <v/>
      </c>
      <c r="L2085" s="503" t="str">
        <f ca="1">IFERROR(IF(VLOOKUP(C2085,' Disaggregation - Section E '!A$316:N1034,14,0)=0,"",VLOOKUP(C2085,' Disaggregation - Section E '!A$316:N1034,14,0)),"")</f>
        <v/>
      </c>
      <c r="M2085" s="497" t="str">
        <f ca="1">IFERROR(IF(VLOOKUP(C2085,' Disaggregation - Section E '!A$316:T1034,20,0)=0,"",VLOOKUP(C2085,' Disaggregation - Section E '!A$316:T1034,20,0)),"")</f>
        <v/>
      </c>
      <c r="N2085" s="503" t="str">
        <f ca="1">IFERROR(IF(VLOOKUP(C2085,' Disaggregation - Section E '!A$316:N1034,9,0)=0,"",VLOOKUP(C2085,' Disaggregation - Section E '!A$316:N1034,9,0)),"")</f>
        <v/>
      </c>
      <c r="O2085" s="503" t="str">
        <f ca="1">IFERROR(IF(VLOOKUP(C2085,' Disaggregation - Section E '!A$315:N1034,10,0)=0,"",VLOOKUP(C2085,' Disaggregation - Section E '!A$316:N1034,10,0)),"")</f>
        <v/>
      </c>
    </row>
    <row r="2086" spans="1:15" x14ac:dyDescent="0.35">
      <c r="A2086" s="497" t="b">
        <f t="shared" ca="1" si="222"/>
        <v>0</v>
      </c>
      <c r="B2086" s="497"/>
      <c r="C2086" s="517" t="str">
        <f ca="1">IF(COUNTA(D$1665:D2086)=1,"",OFFSET(C2086,-COUNTA(D$1665:D2086)+1,0))</f>
        <v>a1V3p000006jwBpEAI</v>
      </c>
      <c r="D2086" s="512"/>
      <c r="E2086" s="500" t="str">
        <f ca="1">IFERROR(IF(VLOOKUP(C2086,' Disaggregation - Section E '!A$316:N1035,7,0)="","",VLOOKUP(C2086,' Disaggregation - Section E '!A$316:N1035,7,0)*100),"")</f>
        <v/>
      </c>
      <c r="F2086" s="497"/>
      <c r="G2086" s="502" t="str">
        <f ca="1">IFERROR(IF(VLOOKUP(C2086,' Disaggregation - Section E '!A$316:N1035,6,0)="","",VLOOKUP(C2086,' Disaggregation - Section E '!A$316:N1035,6,0)),"")</f>
        <v/>
      </c>
      <c r="H2086" s="512" t="str">
        <f ca="1">IFERROR(IF(INDEX(' Disaggregation - Section E '!F$313:F1035,MATCH(C2086,' Disaggregation - Section E '!A$313:A1035,0)+1,1)&lt;&gt;0,INDEX(' Disaggregation - Section E '!F$313:F1035,MATCH(C2086,' Disaggregation - Section E '!A$313:A1035,0)+1,1),""),"")</f>
        <v/>
      </c>
      <c r="I2086" s="503" t="str">
        <f ca="1">IFERROR(IF(VLOOKUP(C2086,' Disaggregation - Section E '!A$316:N1035,8,0)=0,"",VLOOKUP(C2086,' Disaggregation - Section E '!A$316:N1035,8,0)),"")</f>
        <v/>
      </c>
      <c r="J2086" s="503" t="str">
        <f ca="1">IFERROR(IF(VLOOKUP(C2086,' Disaggregation - Section E '!A$316:N1035,13,0)=0,"",VLOOKUP(C2086,' Disaggregation - Section E '!A$316:N1035,13,0)),"")</f>
        <v/>
      </c>
      <c r="K2086" s="497" t="str">
        <f ca="1">IFERROR(VLOOKUP(C2086,' Disaggregation - Section E '!A$316:N1035,3,0),"")</f>
        <v/>
      </c>
      <c r="L2086" s="503" t="str">
        <f ca="1">IFERROR(IF(VLOOKUP(C2086,' Disaggregation - Section E '!A$316:N1035,14,0)=0,"",VLOOKUP(C2086,' Disaggregation - Section E '!A$316:N1035,14,0)),"")</f>
        <v/>
      </c>
      <c r="M2086" s="497" t="str">
        <f ca="1">IFERROR(IF(VLOOKUP(C2086,' Disaggregation - Section E '!A$316:T1035,20,0)=0,"",VLOOKUP(C2086,' Disaggregation - Section E '!A$316:T1035,20,0)),"")</f>
        <v/>
      </c>
      <c r="N2086" s="503" t="str">
        <f ca="1">IFERROR(IF(VLOOKUP(C2086,' Disaggregation - Section E '!A$316:N1035,9,0)=0,"",VLOOKUP(C2086,' Disaggregation - Section E '!A$316:N1035,9,0)),"")</f>
        <v/>
      </c>
      <c r="O2086" s="503" t="str">
        <f ca="1">IFERROR(IF(VLOOKUP(C2086,' Disaggregation - Section E '!A$315:N1035,10,0)=0,"",VLOOKUP(C2086,' Disaggregation - Section E '!A$316:N1035,10,0)),"")</f>
        <v/>
      </c>
    </row>
    <row r="2087" spans="1:15" x14ac:dyDescent="0.35">
      <c r="A2087" s="497" t="b">
        <f t="shared" ca="1" si="222"/>
        <v>0</v>
      </c>
      <c r="B2087" s="497"/>
      <c r="C2087" s="517" t="str">
        <f ca="1">IF(COUNTA(D$1665:D2087)=1,"",OFFSET(C2087,-COUNTA(D$1665:D2087)+1,0))</f>
        <v>a1V3p000006jw9QEAQ</v>
      </c>
      <c r="D2087" s="512"/>
      <c r="E2087" s="500" t="str">
        <f ca="1">IFERROR(IF(VLOOKUP(C2087,' Disaggregation - Section E '!A$316:N1036,7,0)="","",VLOOKUP(C2087,' Disaggregation - Section E '!A$316:N1036,7,0)*100),"")</f>
        <v/>
      </c>
      <c r="F2087" s="497"/>
      <c r="G2087" s="502" t="str">
        <f ca="1">IFERROR(IF(VLOOKUP(C2087,' Disaggregation - Section E '!A$316:N1036,6,0)="","",VLOOKUP(C2087,' Disaggregation - Section E '!A$316:N1036,6,0)),"")</f>
        <v/>
      </c>
      <c r="H2087" s="512" t="str">
        <f ca="1">IFERROR(IF(INDEX(' Disaggregation - Section E '!F$313:F1036,MATCH(C2087,' Disaggregation - Section E '!A$313:A1036,0)+1,1)&lt;&gt;0,INDEX(' Disaggregation - Section E '!F$313:F1036,MATCH(C2087,' Disaggregation - Section E '!A$313:A1036,0)+1,1),""),"")</f>
        <v/>
      </c>
      <c r="I2087" s="503" t="str">
        <f ca="1">IFERROR(IF(VLOOKUP(C2087,' Disaggregation - Section E '!A$316:N1036,8,0)=0,"",VLOOKUP(C2087,' Disaggregation - Section E '!A$316:N1036,8,0)),"")</f>
        <v/>
      </c>
      <c r="J2087" s="503" t="str">
        <f ca="1">IFERROR(IF(VLOOKUP(C2087,' Disaggregation - Section E '!A$316:N1036,13,0)=0,"",VLOOKUP(C2087,' Disaggregation - Section E '!A$316:N1036,13,0)),"")</f>
        <v/>
      </c>
      <c r="K2087" s="497" t="str">
        <f ca="1">IFERROR(VLOOKUP(C2087,' Disaggregation - Section E '!A$316:N1036,3,0),"")</f>
        <v/>
      </c>
      <c r="L2087" s="503" t="str">
        <f ca="1">IFERROR(IF(VLOOKUP(C2087,' Disaggregation - Section E '!A$316:N1036,14,0)=0,"",VLOOKUP(C2087,' Disaggregation - Section E '!A$316:N1036,14,0)),"")</f>
        <v/>
      </c>
      <c r="M2087" s="497" t="str">
        <f ca="1">IFERROR(IF(VLOOKUP(C2087,' Disaggregation - Section E '!A$316:T1036,20,0)=0,"",VLOOKUP(C2087,' Disaggregation - Section E '!A$316:T1036,20,0)),"")</f>
        <v/>
      </c>
      <c r="N2087" s="503" t="str">
        <f ca="1">IFERROR(IF(VLOOKUP(C2087,' Disaggregation - Section E '!A$316:N1036,9,0)=0,"",VLOOKUP(C2087,' Disaggregation - Section E '!A$316:N1036,9,0)),"")</f>
        <v/>
      </c>
      <c r="O2087" s="503" t="str">
        <f ca="1">IFERROR(IF(VLOOKUP(C2087,' Disaggregation - Section E '!A$315:N1036,10,0)=0,"",VLOOKUP(C2087,' Disaggregation - Section E '!A$316:N1036,10,0)),"")</f>
        <v/>
      </c>
    </row>
    <row r="2088" spans="1:15" x14ac:dyDescent="0.35">
      <c r="A2088" s="497" t="b">
        <f t="shared" ca="1" si="222"/>
        <v>0</v>
      </c>
      <c r="B2088" s="497"/>
      <c r="C2088" s="517" t="str">
        <f ca="1">IF(COUNTA(D$1665:D2088)=1,"",OFFSET(C2088,-COUNTA(D$1665:D2088)+1,0))</f>
        <v>a1V3p000006jw9REAQ</v>
      </c>
      <c r="D2088" s="512"/>
      <c r="E2088" s="500" t="str">
        <f ca="1">IFERROR(IF(VLOOKUP(C2088,' Disaggregation - Section E '!A$316:N1037,7,0)="","",VLOOKUP(C2088,' Disaggregation - Section E '!A$316:N1037,7,0)*100),"")</f>
        <v/>
      </c>
      <c r="F2088" s="497"/>
      <c r="G2088" s="502" t="str">
        <f ca="1">IFERROR(IF(VLOOKUP(C2088,' Disaggregation - Section E '!A$316:N1037,6,0)="","",VLOOKUP(C2088,' Disaggregation - Section E '!A$316:N1037,6,0)),"")</f>
        <v/>
      </c>
      <c r="H2088" s="512" t="str">
        <f ca="1">IFERROR(IF(INDEX(' Disaggregation - Section E '!F$313:F1037,MATCH(C2088,' Disaggregation - Section E '!A$313:A1037,0)+1,1)&lt;&gt;0,INDEX(' Disaggregation - Section E '!F$313:F1037,MATCH(C2088,' Disaggregation - Section E '!A$313:A1037,0)+1,1),""),"")</f>
        <v/>
      </c>
      <c r="I2088" s="503" t="str">
        <f ca="1">IFERROR(IF(VLOOKUP(C2088,' Disaggregation - Section E '!A$316:N1037,8,0)=0,"",VLOOKUP(C2088,' Disaggregation - Section E '!A$316:N1037,8,0)),"")</f>
        <v/>
      </c>
      <c r="J2088" s="503" t="str">
        <f ca="1">IFERROR(IF(VLOOKUP(C2088,' Disaggregation - Section E '!A$316:N1037,13,0)=0,"",VLOOKUP(C2088,' Disaggregation - Section E '!A$316:N1037,13,0)),"")</f>
        <v/>
      </c>
      <c r="K2088" s="497" t="str">
        <f ca="1">IFERROR(VLOOKUP(C2088,' Disaggregation - Section E '!A$316:N1037,3,0),"")</f>
        <v/>
      </c>
      <c r="L2088" s="503" t="str">
        <f ca="1">IFERROR(IF(VLOOKUP(C2088,' Disaggregation - Section E '!A$316:N1037,14,0)=0,"",VLOOKUP(C2088,' Disaggregation - Section E '!A$316:N1037,14,0)),"")</f>
        <v/>
      </c>
      <c r="M2088" s="497" t="str">
        <f ca="1">IFERROR(IF(VLOOKUP(C2088,' Disaggregation - Section E '!A$316:T1037,20,0)=0,"",VLOOKUP(C2088,' Disaggregation - Section E '!A$316:T1037,20,0)),"")</f>
        <v/>
      </c>
      <c r="N2088" s="503" t="str">
        <f ca="1">IFERROR(IF(VLOOKUP(C2088,' Disaggregation - Section E '!A$316:N1037,9,0)=0,"",VLOOKUP(C2088,' Disaggregation - Section E '!A$316:N1037,9,0)),"")</f>
        <v/>
      </c>
      <c r="O2088" s="503" t="str">
        <f ca="1">IFERROR(IF(VLOOKUP(C2088,' Disaggregation - Section E '!A$315:N1037,10,0)=0,"",VLOOKUP(C2088,' Disaggregation - Section E '!A$316:N1037,10,0)),"")</f>
        <v/>
      </c>
    </row>
    <row r="2089" spans="1:15" x14ac:dyDescent="0.35">
      <c r="A2089" s="497" t="b">
        <f t="shared" ca="1" si="222"/>
        <v>0</v>
      </c>
      <c r="B2089" s="497"/>
      <c r="C2089" s="517" t="str">
        <f ca="1">IF(COUNTA(D$1665:D2089)=1,"",OFFSET(C2089,-COUNTA(D$1665:D2089)+1,0))</f>
        <v>a1V3p000006jw9SEAQ</v>
      </c>
      <c r="D2089" s="512"/>
      <c r="E2089" s="500" t="str">
        <f ca="1">IFERROR(IF(VLOOKUP(C2089,' Disaggregation - Section E '!A$316:N1038,7,0)="","",VLOOKUP(C2089,' Disaggregation - Section E '!A$316:N1038,7,0)*100),"")</f>
        <v/>
      </c>
      <c r="F2089" s="497"/>
      <c r="G2089" s="502" t="str">
        <f ca="1">IFERROR(IF(VLOOKUP(C2089,' Disaggregation - Section E '!A$316:N1038,6,0)="","",VLOOKUP(C2089,' Disaggregation - Section E '!A$316:N1038,6,0)),"")</f>
        <v/>
      </c>
      <c r="H2089" s="512" t="str">
        <f ca="1">IFERROR(IF(INDEX(' Disaggregation - Section E '!F$313:F1038,MATCH(C2089,' Disaggregation - Section E '!A$313:A1038,0)+1,1)&lt;&gt;0,INDEX(' Disaggregation - Section E '!F$313:F1038,MATCH(C2089,' Disaggregation - Section E '!A$313:A1038,0)+1,1),""),"")</f>
        <v/>
      </c>
      <c r="I2089" s="503" t="str">
        <f ca="1">IFERROR(IF(VLOOKUP(C2089,' Disaggregation - Section E '!A$316:N1038,8,0)=0,"",VLOOKUP(C2089,' Disaggregation - Section E '!A$316:N1038,8,0)),"")</f>
        <v/>
      </c>
      <c r="J2089" s="503" t="str">
        <f ca="1">IFERROR(IF(VLOOKUP(C2089,' Disaggregation - Section E '!A$316:N1038,13,0)=0,"",VLOOKUP(C2089,' Disaggregation - Section E '!A$316:N1038,13,0)),"")</f>
        <v/>
      </c>
      <c r="K2089" s="497" t="str">
        <f ca="1">IFERROR(VLOOKUP(C2089,' Disaggregation - Section E '!A$316:N1038,3,0),"")</f>
        <v/>
      </c>
      <c r="L2089" s="503" t="str">
        <f ca="1">IFERROR(IF(VLOOKUP(C2089,' Disaggregation - Section E '!A$316:N1038,14,0)=0,"",VLOOKUP(C2089,' Disaggregation - Section E '!A$316:N1038,14,0)),"")</f>
        <v/>
      </c>
      <c r="M2089" s="497" t="str">
        <f ca="1">IFERROR(IF(VLOOKUP(C2089,' Disaggregation - Section E '!A$316:T1038,20,0)=0,"",VLOOKUP(C2089,' Disaggregation - Section E '!A$316:T1038,20,0)),"")</f>
        <v/>
      </c>
      <c r="N2089" s="503" t="str">
        <f ca="1">IFERROR(IF(VLOOKUP(C2089,' Disaggregation - Section E '!A$316:N1038,9,0)=0,"",VLOOKUP(C2089,' Disaggregation - Section E '!A$316:N1038,9,0)),"")</f>
        <v/>
      </c>
      <c r="O2089" s="503" t="str">
        <f ca="1">IFERROR(IF(VLOOKUP(C2089,' Disaggregation - Section E '!A$315:N1038,10,0)=0,"",VLOOKUP(C2089,' Disaggregation - Section E '!A$316:N1038,10,0)),"")</f>
        <v/>
      </c>
    </row>
    <row r="2090" spans="1:15" x14ac:dyDescent="0.35">
      <c r="A2090" s="497" t="b">
        <f t="shared" ca="1" si="222"/>
        <v>0</v>
      </c>
      <c r="B2090" s="497"/>
      <c r="C2090" s="517" t="str">
        <f ca="1">IF(COUNTA(D$1665:D2090)=1,"",OFFSET(C2090,-COUNTA(D$1665:D2090)+1,0))</f>
        <v>a1V3p000006jw9TEAQ</v>
      </c>
      <c r="D2090" s="512"/>
      <c r="E2090" s="500" t="str">
        <f ca="1">IFERROR(IF(VLOOKUP(C2090,' Disaggregation - Section E '!A$316:N1039,7,0)="","",VLOOKUP(C2090,' Disaggregation - Section E '!A$316:N1039,7,0)*100),"")</f>
        <v/>
      </c>
      <c r="F2090" s="497"/>
      <c r="G2090" s="502" t="str">
        <f ca="1">IFERROR(IF(VLOOKUP(C2090,' Disaggregation - Section E '!A$316:N1039,6,0)="","",VLOOKUP(C2090,' Disaggregation - Section E '!A$316:N1039,6,0)),"")</f>
        <v/>
      </c>
      <c r="H2090" s="512" t="str">
        <f ca="1">IFERROR(IF(INDEX(' Disaggregation - Section E '!F$313:F1039,MATCH(C2090,' Disaggregation - Section E '!A$313:A1039,0)+1,1)&lt;&gt;0,INDEX(' Disaggregation - Section E '!F$313:F1039,MATCH(C2090,' Disaggregation - Section E '!A$313:A1039,0)+1,1),""),"")</f>
        <v/>
      </c>
      <c r="I2090" s="503" t="str">
        <f ca="1">IFERROR(IF(VLOOKUP(C2090,' Disaggregation - Section E '!A$316:N1039,8,0)=0,"",VLOOKUP(C2090,' Disaggregation - Section E '!A$316:N1039,8,0)),"")</f>
        <v/>
      </c>
      <c r="J2090" s="503" t="str">
        <f ca="1">IFERROR(IF(VLOOKUP(C2090,' Disaggregation - Section E '!A$316:N1039,13,0)=0,"",VLOOKUP(C2090,' Disaggregation - Section E '!A$316:N1039,13,0)),"")</f>
        <v/>
      </c>
      <c r="K2090" s="497" t="str">
        <f ca="1">IFERROR(VLOOKUP(C2090,' Disaggregation - Section E '!A$316:N1039,3,0),"")</f>
        <v/>
      </c>
      <c r="L2090" s="503" t="str">
        <f ca="1">IFERROR(IF(VLOOKUP(C2090,' Disaggregation - Section E '!A$316:N1039,14,0)=0,"",VLOOKUP(C2090,' Disaggregation - Section E '!A$316:N1039,14,0)),"")</f>
        <v/>
      </c>
      <c r="M2090" s="497" t="str">
        <f ca="1">IFERROR(IF(VLOOKUP(C2090,' Disaggregation - Section E '!A$316:T1039,20,0)=0,"",VLOOKUP(C2090,' Disaggregation - Section E '!A$316:T1039,20,0)),"")</f>
        <v/>
      </c>
      <c r="N2090" s="503" t="str">
        <f ca="1">IFERROR(IF(VLOOKUP(C2090,' Disaggregation - Section E '!A$316:N1039,9,0)=0,"",VLOOKUP(C2090,' Disaggregation - Section E '!A$316:N1039,9,0)),"")</f>
        <v/>
      </c>
      <c r="O2090" s="503" t="str">
        <f ca="1">IFERROR(IF(VLOOKUP(C2090,' Disaggregation - Section E '!A$315:N1039,10,0)=0,"",VLOOKUP(C2090,' Disaggregation - Section E '!A$316:N1039,10,0)),"")</f>
        <v/>
      </c>
    </row>
    <row r="2091" spans="1:15" x14ac:dyDescent="0.35">
      <c r="A2091" s="497" t="b">
        <f t="shared" ca="1" si="222"/>
        <v>0</v>
      </c>
      <c r="B2091" s="497"/>
      <c r="C2091" s="517" t="str">
        <f ca="1">IF(COUNTA(D$1665:D2091)=1,"",OFFSET(C2091,-COUNTA(D$1665:D2091)+1,0))</f>
        <v>a1V3p000006jw9UEAQ</v>
      </c>
      <c r="D2091" s="512"/>
      <c r="E2091" s="500" t="str">
        <f ca="1">IFERROR(IF(VLOOKUP(C2091,' Disaggregation - Section E '!A$316:N1040,7,0)="","",VLOOKUP(C2091,' Disaggregation - Section E '!A$316:N1040,7,0)*100),"")</f>
        <v/>
      </c>
      <c r="F2091" s="497"/>
      <c r="G2091" s="502" t="str">
        <f ca="1">IFERROR(IF(VLOOKUP(C2091,' Disaggregation - Section E '!A$316:N1040,6,0)="","",VLOOKUP(C2091,' Disaggregation - Section E '!A$316:N1040,6,0)),"")</f>
        <v/>
      </c>
      <c r="H2091" s="512" t="str">
        <f ca="1">IFERROR(IF(INDEX(' Disaggregation - Section E '!F$313:F1040,MATCH(C2091,' Disaggregation - Section E '!A$313:A1040,0)+1,1)&lt;&gt;0,INDEX(' Disaggregation - Section E '!F$313:F1040,MATCH(C2091,' Disaggregation - Section E '!A$313:A1040,0)+1,1),""),"")</f>
        <v/>
      </c>
      <c r="I2091" s="503" t="str">
        <f ca="1">IFERROR(IF(VLOOKUP(C2091,' Disaggregation - Section E '!A$316:N1040,8,0)=0,"",VLOOKUP(C2091,' Disaggregation - Section E '!A$316:N1040,8,0)),"")</f>
        <v/>
      </c>
      <c r="J2091" s="503" t="str">
        <f ca="1">IFERROR(IF(VLOOKUP(C2091,' Disaggregation - Section E '!A$316:N1040,13,0)=0,"",VLOOKUP(C2091,' Disaggregation - Section E '!A$316:N1040,13,0)),"")</f>
        <v/>
      </c>
      <c r="K2091" s="497" t="str">
        <f ca="1">IFERROR(VLOOKUP(C2091,' Disaggregation - Section E '!A$316:N1040,3,0),"")</f>
        <v/>
      </c>
      <c r="L2091" s="503" t="str">
        <f ca="1">IFERROR(IF(VLOOKUP(C2091,' Disaggregation - Section E '!A$316:N1040,14,0)=0,"",VLOOKUP(C2091,' Disaggregation - Section E '!A$316:N1040,14,0)),"")</f>
        <v/>
      </c>
      <c r="M2091" s="497" t="str">
        <f ca="1">IFERROR(IF(VLOOKUP(C2091,' Disaggregation - Section E '!A$316:T1040,20,0)=0,"",VLOOKUP(C2091,' Disaggregation - Section E '!A$316:T1040,20,0)),"")</f>
        <v/>
      </c>
      <c r="N2091" s="503" t="str">
        <f ca="1">IFERROR(IF(VLOOKUP(C2091,' Disaggregation - Section E '!A$316:N1040,9,0)=0,"",VLOOKUP(C2091,' Disaggregation - Section E '!A$316:N1040,9,0)),"")</f>
        <v/>
      </c>
      <c r="O2091" s="503" t="str">
        <f ca="1">IFERROR(IF(VLOOKUP(C2091,' Disaggregation - Section E '!A$315:N1040,10,0)=0,"",VLOOKUP(C2091,' Disaggregation - Section E '!A$316:N1040,10,0)),"")</f>
        <v/>
      </c>
    </row>
    <row r="2092" spans="1:15" x14ac:dyDescent="0.35">
      <c r="A2092" s="497" t="b">
        <f t="shared" ca="1" si="222"/>
        <v>0</v>
      </c>
      <c r="B2092" s="497"/>
      <c r="C2092" s="517" t="str">
        <f ca="1">IF(COUNTA(D$1665:D2092)=1,"",OFFSET(C2092,-COUNTA(D$1665:D2092)+1,0))</f>
        <v>a1V3p000006jw9VEAQ</v>
      </c>
      <c r="D2092" s="512"/>
      <c r="E2092" s="500" t="str">
        <f ca="1">IFERROR(IF(VLOOKUP(C2092,' Disaggregation - Section E '!A$316:N1041,7,0)="","",VLOOKUP(C2092,' Disaggregation - Section E '!A$316:N1041,7,0)*100),"")</f>
        <v/>
      </c>
      <c r="F2092" s="497"/>
      <c r="G2092" s="502" t="str">
        <f ca="1">IFERROR(IF(VLOOKUP(C2092,' Disaggregation - Section E '!A$316:N1041,6,0)="","",VLOOKUP(C2092,' Disaggregation - Section E '!A$316:N1041,6,0)),"")</f>
        <v/>
      </c>
      <c r="H2092" s="512" t="str">
        <f ca="1">IFERROR(IF(INDEX(' Disaggregation - Section E '!F$313:F1041,MATCH(C2092,' Disaggregation - Section E '!A$313:A1041,0)+1,1)&lt;&gt;0,INDEX(' Disaggregation - Section E '!F$313:F1041,MATCH(C2092,' Disaggregation - Section E '!A$313:A1041,0)+1,1),""),"")</f>
        <v/>
      </c>
      <c r="I2092" s="503" t="str">
        <f ca="1">IFERROR(IF(VLOOKUP(C2092,' Disaggregation - Section E '!A$316:N1041,8,0)=0,"",VLOOKUP(C2092,' Disaggregation - Section E '!A$316:N1041,8,0)),"")</f>
        <v/>
      </c>
      <c r="J2092" s="503" t="str">
        <f ca="1">IFERROR(IF(VLOOKUP(C2092,' Disaggregation - Section E '!A$316:N1041,13,0)=0,"",VLOOKUP(C2092,' Disaggregation - Section E '!A$316:N1041,13,0)),"")</f>
        <v/>
      </c>
      <c r="K2092" s="497" t="str">
        <f ca="1">IFERROR(VLOOKUP(C2092,' Disaggregation - Section E '!A$316:N1041,3,0),"")</f>
        <v/>
      </c>
      <c r="L2092" s="503" t="str">
        <f ca="1">IFERROR(IF(VLOOKUP(C2092,' Disaggregation - Section E '!A$316:N1041,14,0)=0,"",VLOOKUP(C2092,' Disaggregation - Section E '!A$316:N1041,14,0)),"")</f>
        <v/>
      </c>
      <c r="M2092" s="497" t="str">
        <f ca="1">IFERROR(IF(VLOOKUP(C2092,' Disaggregation - Section E '!A$316:T1041,20,0)=0,"",VLOOKUP(C2092,' Disaggregation - Section E '!A$316:T1041,20,0)),"")</f>
        <v/>
      </c>
      <c r="N2092" s="503" t="str">
        <f ca="1">IFERROR(IF(VLOOKUP(C2092,' Disaggregation - Section E '!A$316:N1041,9,0)=0,"",VLOOKUP(C2092,' Disaggregation - Section E '!A$316:N1041,9,0)),"")</f>
        <v/>
      </c>
      <c r="O2092" s="503" t="str">
        <f ca="1">IFERROR(IF(VLOOKUP(C2092,' Disaggregation - Section E '!A$315:N1041,10,0)=0,"",VLOOKUP(C2092,' Disaggregation - Section E '!A$316:N1041,10,0)),"")</f>
        <v/>
      </c>
    </row>
    <row r="2093" spans="1:15" x14ac:dyDescent="0.35">
      <c r="A2093" s="497" t="b">
        <f t="shared" ca="1" si="222"/>
        <v>0</v>
      </c>
      <c r="B2093" s="497"/>
      <c r="C2093" s="517" t="str">
        <f ca="1">IF(COUNTA(D$1665:D2093)=1,"",OFFSET(C2093,-COUNTA(D$1665:D2093)+1,0))</f>
        <v>a1V3p000006jw9WEAQ</v>
      </c>
      <c r="D2093" s="512"/>
      <c r="E2093" s="500" t="str">
        <f ca="1">IFERROR(IF(VLOOKUP(C2093,' Disaggregation - Section E '!A$316:N1042,7,0)="","",VLOOKUP(C2093,' Disaggregation - Section E '!A$316:N1042,7,0)*100),"")</f>
        <v/>
      </c>
      <c r="F2093" s="497"/>
      <c r="G2093" s="502" t="str">
        <f ca="1">IFERROR(IF(VLOOKUP(C2093,' Disaggregation - Section E '!A$316:N1042,6,0)="","",VLOOKUP(C2093,' Disaggregation - Section E '!A$316:N1042,6,0)),"")</f>
        <v/>
      </c>
      <c r="H2093" s="512" t="str">
        <f ca="1">IFERROR(IF(INDEX(' Disaggregation - Section E '!F$313:F1042,MATCH(C2093,' Disaggregation - Section E '!A$313:A1042,0)+1,1)&lt;&gt;0,INDEX(' Disaggregation - Section E '!F$313:F1042,MATCH(C2093,' Disaggregation - Section E '!A$313:A1042,0)+1,1),""),"")</f>
        <v/>
      </c>
      <c r="I2093" s="503" t="str">
        <f ca="1">IFERROR(IF(VLOOKUP(C2093,' Disaggregation - Section E '!A$316:N1042,8,0)=0,"",VLOOKUP(C2093,' Disaggregation - Section E '!A$316:N1042,8,0)),"")</f>
        <v/>
      </c>
      <c r="J2093" s="503" t="str">
        <f ca="1">IFERROR(IF(VLOOKUP(C2093,' Disaggregation - Section E '!A$316:N1042,13,0)=0,"",VLOOKUP(C2093,' Disaggregation - Section E '!A$316:N1042,13,0)),"")</f>
        <v/>
      </c>
      <c r="K2093" s="497" t="str">
        <f ca="1">IFERROR(VLOOKUP(C2093,' Disaggregation - Section E '!A$316:N1042,3,0),"")</f>
        <v/>
      </c>
      <c r="L2093" s="503" t="str">
        <f ca="1">IFERROR(IF(VLOOKUP(C2093,' Disaggregation - Section E '!A$316:N1042,14,0)=0,"",VLOOKUP(C2093,' Disaggregation - Section E '!A$316:N1042,14,0)),"")</f>
        <v/>
      </c>
      <c r="M2093" s="497" t="str">
        <f ca="1">IFERROR(IF(VLOOKUP(C2093,' Disaggregation - Section E '!A$316:T1042,20,0)=0,"",VLOOKUP(C2093,' Disaggregation - Section E '!A$316:T1042,20,0)),"")</f>
        <v/>
      </c>
      <c r="N2093" s="503" t="str">
        <f ca="1">IFERROR(IF(VLOOKUP(C2093,' Disaggregation - Section E '!A$316:N1042,9,0)=0,"",VLOOKUP(C2093,' Disaggregation - Section E '!A$316:N1042,9,0)),"")</f>
        <v/>
      </c>
      <c r="O2093" s="503" t="str">
        <f ca="1">IFERROR(IF(VLOOKUP(C2093,' Disaggregation - Section E '!A$315:N1042,10,0)=0,"",VLOOKUP(C2093,' Disaggregation - Section E '!A$316:N1042,10,0)),"")</f>
        <v/>
      </c>
    </row>
    <row r="2094" spans="1:15" x14ac:dyDescent="0.35">
      <c r="A2094" s="497" t="b">
        <f t="shared" ca="1" si="222"/>
        <v>0</v>
      </c>
      <c r="B2094" s="497"/>
      <c r="C2094" s="517" t="str">
        <f ca="1">IF(COUNTA(D$1665:D2094)=1,"",OFFSET(C2094,-COUNTA(D$1665:D2094)+1,0))</f>
        <v>a1V3p000006jw9XEAQ</v>
      </c>
      <c r="D2094" s="512"/>
      <c r="E2094" s="500" t="str">
        <f ca="1">IFERROR(IF(VLOOKUP(C2094,' Disaggregation - Section E '!A$316:N1043,7,0)="","",VLOOKUP(C2094,' Disaggregation - Section E '!A$316:N1043,7,0)*100),"")</f>
        <v/>
      </c>
      <c r="F2094" s="497"/>
      <c r="G2094" s="502" t="str">
        <f ca="1">IFERROR(IF(VLOOKUP(C2094,' Disaggregation - Section E '!A$316:N1043,6,0)="","",VLOOKUP(C2094,' Disaggregation - Section E '!A$316:N1043,6,0)),"")</f>
        <v/>
      </c>
      <c r="H2094" s="512" t="str">
        <f ca="1">IFERROR(IF(INDEX(' Disaggregation - Section E '!F$313:F1043,MATCH(C2094,' Disaggregation - Section E '!A$313:A1043,0)+1,1)&lt;&gt;0,INDEX(' Disaggregation - Section E '!F$313:F1043,MATCH(C2094,' Disaggregation - Section E '!A$313:A1043,0)+1,1),""),"")</f>
        <v/>
      </c>
      <c r="I2094" s="503" t="str">
        <f ca="1">IFERROR(IF(VLOOKUP(C2094,' Disaggregation - Section E '!A$316:N1043,8,0)=0,"",VLOOKUP(C2094,' Disaggregation - Section E '!A$316:N1043,8,0)),"")</f>
        <v/>
      </c>
      <c r="J2094" s="503" t="str">
        <f ca="1">IFERROR(IF(VLOOKUP(C2094,' Disaggregation - Section E '!A$316:N1043,13,0)=0,"",VLOOKUP(C2094,' Disaggregation - Section E '!A$316:N1043,13,0)),"")</f>
        <v/>
      </c>
      <c r="K2094" s="497" t="str">
        <f ca="1">IFERROR(VLOOKUP(C2094,' Disaggregation - Section E '!A$316:N1043,3,0),"")</f>
        <v/>
      </c>
      <c r="L2094" s="503" t="str">
        <f ca="1">IFERROR(IF(VLOOKUP(C2094,' Disaggregation - Section E '!A$316:N1043,14,0)=0,"",VLOOKUP(C2094,' Disaggregation - Section E '!A$316:N1043,14,0)),"")</f>
        <v/>
      </c>
      <c r="M2094" s="497" t="str">
        <f ca="1">IFERROR(IF(VLOOKUP(C2094,' Disaggregation - Section E '!A$316:T1043,20,0)=0,"",VLOOKUP(C2094,' Disaggregation - Section E '!A$316:T1043,20,0)),"")</f>
        <v/>
      </c>
      <c r="N2094" s="503" t="str">
        <f ca="1">IFERROR(IF(VLOOKUP(C2094,' Disaggregation - Section E '!A$316:N1043,9,0)=0,"",VLOOKUP(C2094,' Disaggregation - Section E '!A$316:N1043,9,0)),"")</f>
        <v/>
      </c>
      <c r="O2094" s="503" t="str">
        <f ca="1">IFERROR(IF(VLOOKUP(C2094,' Disaggregation - Section E '!A$315:N1043,10,0)=0,"",VLOOKUP(C2094,' Disaggregation - Section E '!A$316:N1043,10,0)),"")</f>
        <v/>
      </c>
    </row>
    <row r="2095" spans="1:15" x14ac:dyDescent="0.35">
      <c r="A2095" s="497" t="b">
        <f t="shared" ref="A2095:A2116" ca="1" si="223">IF(M2095&lt;&gt;"",TRUE,FALSE)</f>
        <v>0</v>
      </c>
      <c r="B2095" s="497"/>
      <c r="C2095" s="517" t="str">
        <f ca="1">IF(COUNTA(D$1665:D2095)=1,"",OFFSET(C2095,-COUNTA(D$1665:D2095)+1,0))</f>
        <v>a1V3p000006jw9YEAQ</v>
      </c>
      <c r="D2095" s="512"/>
      <c r="E2095" s="500" t="str">
        <f ca="1">IFERROR(IF(VLOOKUP(C2095,' Disaggregation - Section E '!A$316:N1044,7,0)="","",VLOOKUP(C2095,' Disaggregation - Section E '!A$316:N1044,7,0)*100),"")</f>
        <v/>
      </c>
      <c r="F2095" s="497"/>
      <c r="G2095" s="502" t="str">
        <f ca="1">IFERROR(IF(VLOOKUP(C2095,' Disaggregation - Section E '!A$316:N1044,6,0)="","",VLOOKUP(C2095,' Disaggregation - Section E '!A$316:N1044,6,0)),"")</f>
        <v/>
      </c>
      <c r="H2095" s="512" t="str">
        <f ca="1">IFERROR(IF(INDEX(' Disaggregation - Section E '!F$313:F1044,MATCH(C2095,' Disaggregation - Section E '!A$313:A1044,0)+1,1)&lt;&gt;0,INDEX(' Disaggregation - Section E '!F$313:F1044,MATCH(C2095,' Disaggregation - Section E '!A$313:A1044,0)+1,1),""),"")</f>
        <v/>
      </c>
      <c r="I2095" s="503" t="str">
        <f ca="1">IFERROR(IF(VLOOKUP(C2095,' Disaggregation - Section E '!A$316:N1044,8,0)=0,"",VLOOKUP(C2095,' Disaggregation - Section E '!A$316:N1044,8,0)),"")</f>
        <v/>
      </c>
      <c r="J2095" s="503" t="str">
        <f ca="1">IFERROR(IF(VLOOKUP(C2095,' Disaggregation - Section E '!A$316:N1044,13,0)=0,"",VLOOKUP(C2095,' Disaggregation - Section E '!A$316:N1044,13,0)),"")</f>
        <v/>
      </c>
      <c r="K2095" s="497" t="str">
        <f ca="1">IFERROR(VLOOKUP(C2095,' Disaggregation - Section E '!A$316:N1044,3,0),"")</f>
        <v/>
      </c>
      <c r="L2095" s="503" t="str">
        <f ca="1">IFERROR(IF(VLOOKUP(C2095,' Disaggregation - Section E '!A$316:N1044,14,0)=0,"",VLOOKUP(C2095,' Disaggregation - Section E '!A$316:N1044,14,0)),"")</f>
        <v/>
      </c>
      <c r="M2095" s="497" t="str">
        <f ca="1">IFERROR(IF(VLOOKUP(C2095,' Disaggregation - Section E '!A$316:T1044,20,0)=0,"",VLOOKUP(C2095,' Disaggregation - Section E '!A$316:T1044,20,0)),"")</f>
        <v/>
      </c>
      <c r="N2095" s="503" t="str">
        <f ca="1">IFERROR(IF(VLOOKUP(C2095,' Disaggregation - Section E '!A$316:N1044,9,0)=0,"",VLOOKUP(C2095,' Disaggregation - Section E '!A$316:N1044,9,0)),"")</f>
        <v/>
      </c>
      <c r="O2095" s="503" t="str">
        <f ca="1">IFERROR(IF(VLOOKUP(C2095,' Disaggregation - Section E '!A$315:N1044,10,0)=0,"",VLOOKUP(C2095,' Disaggregation - Section E '!A$316:N1044,10,0)),"")</f>
        <v/>
      </c>
    </row>
    <row r="2096" spans="1:15" x14ac:dyDescent="0.35">
      <c r="A2096" s="497" t="b">
        <f t="shared" ca="1" si="223"/>
        <v>0</v>
      </c>
      <c r="B2096" s="497"/>
      <c r="C2096" s="517" t="str">
        <f ca="1">IF(COUNTA(D$1665:D2096)=1,"",OFFSET(C2096,-COUNTA(D$1665:D2096)+1,0))</f>
        <v>a1V3p000006jw9ZEAQ</v>
      </c>
      <c r="D2096" s="512"/>
      <c r="E2096" s="500" t="str">
        <f ca="1">IFERROR(IF(VLOOKUP(C2096,' Disaggregation - Section E '!A$316:N1045,7,0)="","",VLOOKUP(C2096,' Disaggregation - Section E '!A$316:N1045,7,0)*100),"")</f>
        <v/>
      </c>
      <c r="F2096" s="497"/>
      <c r="G2096" s="502" t="str">
        <f ca="1">IFERROR(IF(VLOOKUP(C2096,' Disaggregation - Section E '!A$316:N1045,6,0)="","",VLOOKUP(C2096,' Disaggregation - Section E '!A$316:N1045,6,0)),"")</f>
        <v/>
      </c>
      <c r="H2096" s="512" t="str">
        <f ca="1">IFERROR(IF(INDEX(' Disaggregation - Section E '!F$313:F1045,MATCH(C2096,' Disaggregation - Section E '!A$313:A1045,0)+1,1)&lt;&gt;0,INDEX(' Disaggregation - Section E '!F$313:F1045,MATCH(C2096,' Disaggregation - Section E '!A$313:A1045,0)+1,1),""),"")</f>
        <v/>
      </c>
      <c r="I2096" s="503" t="str">
        <f ca="1">IFERROR(IF(VLOOKUP(C2096,' Disaggregation - Section E '!A$316:N1045,8,0)=0,"",VLOOKUP(C2096,' Disaggregation - Section E '!A$316:N1045,8,0)),"")</f>
        <v/>
      </c>
      <c r="J2096" s="503" t="str">
        <f ca="1">IFERROR(IF(VLOOKUP(C2096,' Disaggregation - Section E '!A$316:N1045,13,0)=0,"",VLOOKUP(C2096,' Disaggregation - Section E '!A$316:N1045,13,0)),"")</f>
        <v/>
      </c>
      <c r="K2096" s="497" t="str">
        <f ca="1">IFERROR(VLOOKUP(C2096,' Disaggregation - Section E '!A$316:N1045,3,0),"")</f>
        <v/>
      </c>
      <c r="L2096" s="503" t="str">
        <f ca="1">IFERROR(IF(VLOOKUP(C2096,' Disaggregation - Section E '!A$316:N1045,14,0)=0,"",VLOOKUP(C2096,' Disaggregation - Section E '!A$316:N1045,14,0)),"")</f>
        <v/>
      </c>
      <c r="M2096" s="497" t="str">
        <f ca="1">IFERROR(IF(VLOOKUP(C2096,' Disaggregation - Section E '!A$316:T1045,20,0)=0,"",VLOOKUP(C2096,' Disaggregation - Section E '!A$316:T1045,20,0)),"")</f>
        <v/>
      </c>
      <c r="N2096" s="503" t="str">
        <f ca="1">IFERROR(IF(VLOOKUP(C2096,' Disaggregation - Section E '!A$316:N1045,9,0)=0,"",VLOOKUP(C2096,' Disaggregation - Section E '!A$316:N1045,9,0)),"")</f>
        <v/>
      </c>
      <c r="O2096" s="503" t="str">
        <f ca="1">IFERROR(IF(VLOOKUP(C2096,' Disaggregation - Section E '!A$315:N1045,10,0)=0,"",VLOOKUP(C2096,' Disaggregation - Section E '!A$316:N1045,10,0)),"")</f>
        <v/>
      </c>
    </row>
    <row r="2097" spans="1:15" x14ac:dyDescent="0.35">
      <c r="A2097" s="497" t="b">
        <f t="shared" ca="1" si="223"/>
        <v>0</v>
      </c>
      <c r="B2097" s="497"/>
      <c r="C2097" s="517" t="str">
        <f ca="1">IF(COUNTA(D$1665:D2097)=1,"",OFFSET(C2097,-COUNTA(D$1665:D2097)+1,0))</f>
        <v>a1V3p000006jwBqEAI</v>
      </c>
      <c r="D2097" s="512"/>
      <c r="E2097" s="500" t="str">
        <f ca="1">IFERROR(IF(VLOOKUP(C2097,' Disaggregation - Section E '!A$316:N1046,7,0)="","",VLOOKUP(C2097,' Disaggregation - Section E '!A$316:N1046,7,0)*100),"")</f>
        <v/>
      </c>
      <c r="F2097" s="497"/>
      <c r="G2097" s="502" t="str">
        <f ca="1">IFERROR(IF(VLOOKUP(C2097,' Disaggregation - Section E '!A$316:N1046,6,0)="","",VLOOKUP(C2097,' Disaggregation - Section E '!A$316:N1046,6,0)),"")</f>
        <v/>
      </c>
      <c r="H2097" s="512" t="str">
        <f ca="1">IFERROR(IF(INDEX(' Disaggregation - Section E '!F$313:F1046,MATCH(C2097,' Disaggregation - Section E '!A$313:A1046,0)+1,1)&lt;&gt;0,INDEX(' Disaggregation - Section E '!F$313:F1046,MATCH(C2097,' Disaggregation - Section E '!A$313:A1046,0)+1,1),""),"")</f>
        <v/>
      </c>
      <c r="I2097" s="503" t="str">
        <f ca="1">IFERROR(IF(VLOOKUP(C2097,' Disaggregation - Section E '!A$316:N1046,8,0)=0,"",VLOOKUP(C2097,' Disaggregation - Section E '!A$316:N1046,8,0)),"")</f>
        <v/>
      </c>
      <c r="J2097" s="503" t="str">
        <f ca="1">IFERROR(IF(VLOOKUP(C2097,' Disaggregation - Section E '!A$316:N1046,13,0)=0,"",VLOOKUP(C2097,' Disaggregation - Section E '!A$316:N1046,13,0)),"")</f>
        <v/>
      </c>
      <c r="K2097" s="497" t="str">
        <f ca="1">IFERROR(VLOOKUP(C2097,' Disaggregation - Section E '!A$316:N1046,3,0),"")</f>
        <v/>
      </c>
      <c r="L2097" s="503" t="str">
        <f ca="1">IFERROR(IF(VLOOKUP(C2097,' Disaggregation - Section E '!A$316:N1046,14,0)=0,"",VLOOKUP(C2097,' Disaggregation - Section E '!A$316:N1046,14,0)),"")</f>
        <v/>
      </c>
      <c r="M2097" s="497" t="str">
        <f ca="1">IFERROR(IF(VLOOKUP(C2097,' Disaggregation - Section E '!A$316:T1046,20,0)=0,"",VLOOKUP(C2097,' Disaggregation - Section E '!A$316:T1046,20,0)),"")</f>
        <v/>
      </c>
      <c r="N2097" s="503" t="str">
        <f ca="1">IFERROR(IF(VLOOKUP(C2097,' Disaggregation - Section E '!A$316:N1046,9,0)=0,"",VLOOKUP(C2097,' Disaggregation - Section E '!A$316:N1046,9,0)),"")</f>
        <v/>
      </c>
      <c r="O2097" s="503" t="str">
        <f ca="1">IFERROR(IF(VLOOKUP(C2097,' Disaggregation - Section E '!A$315:N1046,10,0)=0,"",VLOOKUP(C2097,' Disaggregation - Section E '!A$316:N1046,10,0)),"")</f>
        <v/>
      </c>
    </row>
    <row r="2098" spans="1:15" x14ac:dyDescent="0.35">
      <c r="A2098" s="497" t="b">
        <f t="shared" ca="1" si="223"/>
        <v>0</v>
      </c>
      <c r="B2098" s="497"/>
      <c r="C2098" s="517" t="str">
        <f ca="1">IF(COUNTA(D$1665:D2098)=1,"",OFFSET(C2098,-COUNTA(D$1665:D2098)+1,0))</f>
        <v>a1V3p000006jwBrEAI</v>
      </c>
      <c r="D2098" s="512"/>
      <c r="E2098" s="500" t="str">
        <f ca="1">IFERROR(IF(VLOOKUP(C2098,' Disaggregation - Section E '!A$316:N1047,7,0)="","",VLOOKUP(C2098,' Disaggregation - Section E '!A$316:N1047,7,0)*100),"")</f>
        <v/>
      </c>
      <c r="F2098" s="497"/>
      <c r="G2098" s="502" t="str">
        <f ca="1">IFERROR(IF(VLOOKUP(C2098,' Disaggregation - Section E '!A$316:N1047,6,0)="","",VLOOKUP(C2098,' Disaggregation - Section E '!A$316:N1047,6,0)),"")</f>
        <v/>
      </c>
      <c r="H2098" s="512" t="str">
        <f ca="1">IFERROR(IF(INDEX(' Disaggregation - Section E '!F$313:F1047,MATCH(C2098,' Disaggregation - Section E '!A$313:A1047,0)+1,1)&lt;&gt;0,INDEX(' Disaggregation - Section E '!F$313:F1047,MATCH(C2098,' Disaggregation - Section E '!A$313:A1047,0)+1,1),""),"")</f>
        <v/>
      </c>
      <c r="I2098" s="503" t="str">
        <f ca="1">IFERROR(IF(VLOOKUP(C2098,' Disaggregation - Section E '!A$316:N1047,8,0)=0,"",VLOOKUP(C2098,' Disaggregation - Section E '!A$316:N1047,8,0)),"")</f>
        <v/>
      </c>
      <c r="J2098" s="503" t="str">
        <f ca="1">IFERROR(IF(VLOOKUP(C2098,' Disaggregation - Section E '!A$316:N1047,13,0)=0,"",VLOOKUP(C2098,' Disaggregation - Section E '!A$316:N1047,13,0)),"")</f>
        <v/>
      </c>
      <c r="K2098" s="497" t="str">
        <f ca="1">IFERROR(VLOOKUP(C2098,' Disaggregation - Section E '!A$316:N1047,3,0),"")</f>
        <v/>
      </c>
      <c r="L2098" s="503" t="str">
        <f ca="1">IFERROR(IF(VLOOKUP(C2098,' Disaggregation - Section E '!A$316:N1047,14,0)=0,"",VLOOKUP(C2098,' Disaggregation - Section E '!A$316:N1047,14,0)),"")</f>
        <v/>
      </c>
      <c r="M2098" s="497" t="str">
        <f ca="1">IFERROR(IF(VLOOKUP(C2098,' Disaggregation - Section E '!A$316:T1047,20,0)=0,"",VLOOKUP(C2098,' Disaggregation - Section E '!A$316:T1047,20,0)),"")</f>
        <v/>
      </c>
      <c r="N2098" s="503" t="str">
        <f ca="1">IFERROR(IF(VLOOKUP(C2098,' Disaggregation - Section E '!A$316:N1047,9,0)=0,"",VLOOKUP(C2098,' Disaggregation - Section E '!A$316:N1047,9,0)),"")</f>
        <v/>
      </c>
      <c r="O2098" s="503" t="str">
        <f ca="1">IFERROR(IF(VLOOKUP(C2098,' Disaggregation - Section E '!A$315:N1047,10,0)=0,"",VLOOKUP(C2098,' Disaggregation - Section E '!A$316:N1047,10,0)),"")</f>
        <v/>
      </c>
    </row>
    <row r="2099" spans="1:15" x14ac:dyDescent="0.35">
      <c r="A2099" s="497" t="b">
        <f t="shared" ca="1" si="223"/>
        <v>0</v>
      </c>
      <c r="B2099" s="497"/>
      <c r="C2099" s="517" t="str">
        <f ca="1">IF(COUNTA(D$1665:D2099)=1,"",OFFSET(C2099,-COUNTA(D$1665:D2099)+1,0))</f>
        <v>a1V3p000006jwBsEAI</v>
      </c>
      <c r="D2099" s="512"/>
      <c r="E2099" s="500" t="str">
        <f ca="1">IFERROR(IF(VLOOKUP(C2099,' Disaggregation - Section E '!A$316:N1048,7,0)="","",VLOOKUP(C2099,' Disaggregation - Section E '!A$316:N1048,7,0)*100),"")</f>
        <v/>
      </c>
      <c r="F2099" s="497"/>
      <c r="G2099" s="502" t="str">
        <f ca="1">IFERROR(IF(VLOOKUP(C2099,' Disaggregation - Section E '!A$316:N1048,6,0)="","",VLOOKUP(C2099,' Disaggregation - Section E '!A$316:N1048,6,0)),"")</f>
        <v/>
      </c>
      <c r="H2099" s="512" t="str">
        <f ca="1">IFERROR(IF(INDEX(' Disaggregation - Section E '!F$313:F1048,MATCH(C2099,' Disaggregation - Section E '!A$313:A1048,0)+1,1)&lt;&gt;0,INDEX(' Disaggregation - Section E '!F$313:F1048,MATCH(C2099,' Disaggregation - Section E '!A$313:A1048,0)+1,1),""),"")</f>
        <v/>
      </c>
      <c r="I2099" s="503" t="str">
        <f ca="1">IFERROR(IF(VLOOKUP(C2099,' Disaggregation - Section E '!A$316:N1048,8,0)=0,"",VLOOKUP(C2099,' Disaggregation - Section E '!A$316:N1048,8,0)),"")</f>
        <v/>
      </c>
      <c r="J2099" s="503" t="str">
        <f ca="1">IFERROR(IF(VLOOKUP(C2099,' Disaggregation - Section E '!A$316:N1048,13,0)=0,"",VLOOKUP(C2099,' Disaggregation - Section E '!A$316:N1048,13,0)),"")</f>
        <v/>
      </c>
      <c r="K2099" s="497" t="str">
        <f ca="1">IFERROR(VLOOKUP(C2099,' Disaggregation - Section E '!A$316:N1048,3,0),"")</f>
        <v/>
      </c>
      <c r="L2099" s="503" t="str">
        <f ca="1">IFERROR(IF(VLOOKUP(C2099,' Disaggregation - Section E '!A$316:N1048,14,0)=0,"",VLOOKUP(C2099,' Disaggregation - Section E '!A$316:N1048,14,0)),"")</f>
        <v/>
      </c>
      <c r="M2099" s="497" t="str">
        <f ca="1">IFERROR(IF(VLOOKUP(C2099,' Disaggregation - Section E '!A$316:T1048,20,0)=0,"",VLOOKUP(C2099,' Disaggregation - Section E '!A$316:T1048,20,0)),"")</f>
        <v/>
      </c>
      <c r="N2099" s="503" t="str">
        <f ca="1">IFERROR(IF(VLOOKUP(C2099,' Disaggregation - Section E '!A$316:N1048,9,0)=0,"",VLOOKUP(C2099,' Disaggregation - Section E '!A$316:N1048,9,0)),"")</f>
        <v/>
      </c>
      <c r="O2099" s="503" t="str">
        <f ca="1">IFERROR(IF(VLOOKUP(C2099,' Disaggregation - Section E '!A$315:N1048,10,0)=0,"",VLOOKUP(C2099,' Disaggregation - Section E '!A$316:N1048,10,0)),"")</f>
        <v/>
      </c>
    </row>
    <row r="2100" spans="1:15" x14ac:dyDescent="0.35">
      <c r="A2100" s="497" t="b">
        <f t="shared" ca="1" si="223"/>
        <v>0</v>
      </c>
      <c r="B2100" s="497"/>
      <c r="C2100" s="517" t="str">
        <f ca="1">IF(COUNTA(D$1665:D2100)=1,"",OFFSET(C2100,-COUNTA(D$1665:D2100)+1,0))</f>
        <v>a1V3p000006jwBtEAI</v>
      </c>
      <c r="D2100" s="512"/>
      <c r="E2100" s="500" t="str">
        <f ca="1">IFERROR(IF(VLOOKUP(C2100,' Disaggregation - Section E '!A$316:N1049,7,0)="","",VLOOKUP(C2100,' Disaggregation - Section E '!A$316:N1049,7,0)*100),"")</f>
        <v/>
      </c>
      <c r="F2100" s="497"/>
      <c r="G2100" s="502" t="str">
        <f ca="1">IFERROR(IF(VLOOKUP(C2100,' Disaggregation - Section E '!A$316:N1049,6,0)="","",VLOOKUP(C2100,' Disaggregation - Section E '!A$316:N1049,6,0)),"")</f>
        <v/>
      </c>
      <c r="H2100" s="512" t="str">
        <f ca="1">IFERROR(IF(INDEX(' Disaggregation - Section E '!F$313:F1049,MATCH(C2100,' Disaggregation - Section E '!A$313:A1049,0)+1,1)&lt;&gt;0,INDEX(' Disaggregation - Section E '!F$313:F1049,MATCH(C2100,' Disaggregation - Section E '!A$313:A1049,0)+1,1),""),"")</f>
        <v/>
      </c>
      <c r="I2100" s="503" t="str">
        <f ca="1">IFERROR(IF(VLOOKUP(C2100,' Disaggregation - Section E '!A$316:N1049,8,0)=0,"",VLOOKUP(C2100,' Disaggregation - Section E '!A$316:N1049,8,0)),"")</f>
        <v/>
      </c>
      <c r="J2100" s="503" t="str">
        <f ca="1">IFERROR(IF(VLOOKUP(C2100,' Disaggregation - Section E '!A$316:N1049,13,0)=0,"",VLOOKUP(C2100,' Disaggregation - Section E '!A$316:N1049,13,0)),"")</f>
        <v/>
      </c>
      <c r="K2100" s="497" t="str">
        <f ca="1">IFERROR(VLOOKUP(C2100,' Disaggregation - Section E '!A$316:N1049,3,0),"")</f>
        <v/>
      </c>
      <c r="L2100" s="503" t="str">
        <f ca="1">IFERROR(IF(VLOOKUP(C2100,' Disaggregation - Section E '!A$316:N1049,14,0)=0,"",VLOOKUP(C2100,' Disaggregation - Section E '!A$316:N1049,14,0)),"")</f>
        <v/>
      </c>
      <c r="M2100" s="497" t="str">
        <f ca="1">IFERROR(IF(VLOOKUP(C2100,' Disaggregation - Section E '!A$316:T1049,20,0)=0,"",VLOOKUP(C2100,' Disaggregation - Section E '!A$316:T1049,20,0)),"")</f>
        <v/>
      </c>
      <c r="N2100" s="503" t="str">
        <f ca="1">IFERROR(IF(VLOOKUP(C2100,' Disaggregation - Section E '!A$316:N1049,9,0)=0,"",VLOOKUP(C2100,' Disaggregation - Section E '!A$316:N1049,9,0)),"")</f>
        <v/>
      </c>
      <c r="O2100" s="503" t="str">
        <f ca="1">IFERROR(IF(VLOOKUP(C2100,' Disaggregation - Section E '!A$315:N1049,10,0)=0,"",VLOOKUP(C2100,' Disaggregation - Section E '!A$316:N1049,10,0)),"")</f>
        <v/>
      </c>
    </row>
    <row r="2101" spans="1:15" x14ac:dyDescent="0.35">
      <c r="A2101" s="497" t="b">
        <f t="shared" ca="1" si="223"/>
        <v>0</v>
      </c>
      <c r="B2101" s="497"/>
      <c r="C2101" s="517" t="str">
        <f ca="1">IF(COUNTA(D$1665:D2101)=1,"",OFFSET(C2101,-COUNTA(D$1665:D2101)+1,0))</f>
        <v>a1V3p000006jwBuEAI</v>
      </c>
      <c r="D2101" s="512"/>
      <c r="E2101" s="500" t="str">
        <f ca="1">IFERROR(IF(VLOOKUP(C2101,' Disaggregation - Section E '!A$316:N1050,7,0)="","",VLOOKUP(C2101,' Disaggregation - Section E '!A$316:N1050,7,0)*100),"")</f>
        <v/>
      </c>
      <c r="F2101" s="497"/>
      <c r="G2101" s="502" t="str">
        <f ca="1">IFERROR(IF(VLOOKUP(C2101,' Disaggregation - Section E '!A$316:N1050,6,0)="","",VLOOKUP(C2101,' Disaggregation - Section E '!A$316:N1050,6,0)),"")</f>
        <v/>
      </c>
      <c r="H2101" s="512" t="str">
        <f ca="1">IFERROR(IF(INDEX(' Disaggregation - Section E '!F$313:F1050,MATCH(C2101,' Disaggregation - Section E '!A$313:A1050,0)+1,1)&lt;&gt;0,INDEX(' Disaggregation - Section E '!F$313:F1050,MATCH(C2101,' Disaggregation - Section E '!A$313:A1050,0)+1,1),""),"")</f>
        <v/>
      </c>
      <c r="I2101" s="503" t="str">
        <f ca="1">IFERROR(IF(VLOOKUP(C2101,' Disaggregation - Section E '!A$316:N1050,8,0)=0,"",VLOOKUP(C2101,' Disaggregation - Section E '!A$316:N1050,8,0)),"")</f>
        <v/>
      </c>
      <c r="J2101" s="503" t="str">
        <f ca="1">IFERROR(IF(VLOOKUP(C2101,' Disaggregation - Section E '!A$316:N1050,13,0)=0,"",VLOOKUP(C2101,' Disaggregation - Section E '!A$316:N1050,13,0)),"")</f>
        <v/>
      </c>
      <c r="K2101" s="497" t="str">
        <f ca="1">IFERROR(VLOOKUP(C2101,' Disaggregation - Section E '!A$316:N1050,3,0),"")</f>
        <v/>
      </c>
      <c r="L2101" s="503" t="str">
        <f ca="1">IFERROR(IF(VLOOKUP(C2101,' Disaggregation - Section E '!A$316:N1050,14,0)=0,"",VLOOKUP(C2101,' Disaggregation - Section E '!A$316:N1050,14,0)),"")</f>
        <v/>
      </c>
      <c r="M2101" s="497" t="str">
        <f ca="1">IFERROR(IF(VLOOKUP(C2101,' Disaggregation - Section E '!A$316:T1050,20,0)=0,"",VLOOKUP(C2101,' Disaggregation - Section E '!A$316:T1050,20,0)),"")</f>
        <v/>
      </c>
      <c r="N2101" s="503" t="str">
        <f ca="1">IFERROR(IF(VLOOKUP(C2101,' Disaggregation - Section E '!A$316:N1050,9,0)=0,"",VLOOKUP(C2101,' Disaggregation - Section E '!A$316:N1050,9,0)),"")</f>
        <v/>
      </c>
      <c r="O2101" s="503" t="str">
        <f ca="1">IFERROR(IF(VLOOKUP(C2101,' Disaggregation - Section E '!A$315:N1050,10,0)=0,"",VLOOKUP(C2101,' Disaggregation - Section E '!A$316:N1050,10,0)),"")</f>
        <v/>
      </c>
    </row>
    <row r="2102" spans="1:15" x14ac:dyDescent="0.35">
      <c r="A2102" s="497" t="b">
        <f t="shared" ca="1" si="223"/>
        <v>0</v>
      </c>
      <c r="B2102" s="497"/>
      <c r="C2102" s="517" t="str">
        <f ca="1">IF(COUNTA(D$1665:D2102)=1,"",OFFSET(C2102,-COUNTA(D$1665:D2102)+1,0))</f>
        <v>a1V3p000006jwBvEAI</v>
      </c>
      <c r="D2102" s="512"/>
      <c r="E2102" s="500" t="str">
        <f ca="1">IFERROR(IF(VLOOKUP(C2102,' Disaggregation - Section E '!A$316:N1051,7,0)="","",VLOOKUP(C2102,' Disaggregation - Section E '!A$316:N1051,7,0)*100),"")</f>
        <v/>
      </c>
      <c r="F2102" s="497"/>
      <c r="G2102" s="502" t="str">
        <f ca="1">IFERROR(IF(VLOOKUP(C2102,' Disaggregation - Section E '!A$316:N1051,6,0)="","",VLOOKUP(C2102,' Disaggregation - Section E '!A$316:N1051,6,0)),"")</f>
        <v/>
      </c>
      <c r="H2102" s="512" t="str">
        <f ca="1">IFERROR(IF(INDEX(' Disaggregation - Section E '!F$313:F1051,MATCH(C2102,' Disaggregation - Section E '!A$313:A1051,0)+1,1)&lt;&gt;0,INDEX(' Disaggregation - Section E '!F$313:F1051,MATCH(C2102,' Disaggregation - Section E '!A$313:A1051,0)+1,1),""),"")</f>
        <v/>
      </c>
      <c r="I2102" s="503" t="str">
        <f ca="1">IFERROR(IF(VLOOKUP(C2102,' Disaggregation - Section E '!A$316:N1051,8,0)=0,"",VLOOKUP(C2102,' Disaggregation - Section E '!A$316:N1051,8,0)),"")</f>
        <v/>
      </c>
      <c r="J2102" s="503" t="str">
        <f ca="1">IFERROR(IF(VLOOKUP(C2102,' Disaggregation - Section E '!A$316:N1051,13,0)=0,"",VLOOKUP(C2102,' Disaggregation - Section E '!A$316:N1051,13,0)),"")</f>
        <v/>
      </c>
      <c r="K2102" s="497" t="str">
        <f ca="1">IFERROR(VLOOKUP(C2102,' Disaggregation - Section E '!A$316:N1051,3,0),"")</f>
        <v/>
      </c>
      <c r="L2102" s="503" t="str">
        <f ca="1">IFERROR(IF(VLOOKUP(C2102,' Disaggregation - Section E '!A$316:N1051,14,0)=0,"",VLOOKUP(C2102,' Disaggregation - Section E '!A$316:N1051,14,0)),"")</f>
        <v/>
      </c>
      <c r="M2102" s="497" t="str">
        <f ca="1">IFERROR(IF(VLOOKUP(C2102,' Disaggregation - Section E '!A$316:T1051,20,0)=0,"",VLOOKUP(C2102,' Disaggregation - Section E '!A$316:T1051,20,0)),"")</f>
        <v/>
      </c>
      <c r="N2102" s="503" t="str">
        <f ca="1">IFERROR(IF(VLOOKUP(C2102,' Disaggregation - Section E '!A$316:N1051,9,0)=0,"",VLOOKUP(C2102,' Disaggregation - Section E '!A$316:N1051,9,0)),"")</f>
        <v/>
      </c>
      <c r="O2102" s="503" t="str">
        <f ca="1">IFERROR(IF(VLOOKUP(C2102,' Disaggregation - Section E '!A$315:N1051,10,0)=0,"",VLOOKUP(C2102,' Disaggregation - Section E '!A$316:N1051,10,0)),"")</f>
        <v/>
      </c>
    </row>
    <row r="2103" spans="1:15" x14ac:dyDescent="0.35">
      <c r="A2103" s="497" t="b">
        <f t="shared" ca="1" si="223"/>
        <v>0</v>
      </c>
      <c r="B2103" s="497"/>
      <c r="C2103" s="517" t="str">
        <f ca="1">IF(COUNTA(D$1665:D2103)=1,"",OFFSET(C2103,-COUNTA(D$1665:D2103)+1,0))</f>
        <v>a1V3p000006jwBwEAI</v>
      </c>
      <c r="D2103" s="512"/>
      <c r="E2103" s="500" t="str">
        <f ca="1">IFERROR(IF(VLOOKUP(C2103,' Disaggregation - Section E '!A$316:N1052,7,0)="","",VLOOKUP(C2103,' Disaggregation - Section E '!A$316:N1052,7,0)*100),"")</f>
        <v/>
      </c>
      <c r="F2103" s="497"/>
      <c r="G2103" s="502" t="str">
        <f ca="1">IFERROR(IF(VLOOKUP(C2103,' Disaggregation - Section E '!A$316:N1052,6,0)="","",VLOOKUP(C2103,' Disaggregation - Section E '!A$316:N1052,6,0)),"")</f>
        <v/>
      </c>
      <c r="H2103" s="512" t="str">
        <f ca="1">IFERROR(IF(INDEX(' Disaggregation - Section E '!F$313:F1052,MATCH(C2103,' Disaggregation - Section E '!A$313:A1052,0)+1,1)&lt;&gt;0,INDEX(' Disaggregation - Section E '!F$313:F1052,MATCH(C2103,' Disaggregation - Section E '!A$313:A1052,0)+1,1),""),"")</f>
        <v/>
      </c>
      <c r="I2103" s="503" t="str">
        <f ca="1">IFERROR(IF(VLOOKUP(C2103,' Disaggregation - Section E '!A$316:N1052,8,0)=0,"",VLOOKUP(C2103,' Disaggregation - Section E '!A$316:N1052,8,0)),"")</f>
        <v/>
      </c>
      <c r="J2103" s="503" t="str">
        <f ca="1">IFERROR(IF(VLOOKUP(C2103,' Disaggregation - Section E '!A$316:N1052,13,0)=0,"",VLOOKUP(C2103,' Disaggregation - Section E '!A$316:N1052,13,0)),"")</f>
        <v/>
      </c>
      <c r="K2103" s="497" t="str">
        <f ca="1">IFERROR(VLOOKUP(C2103,' Disaggregation - Section E '!A$316:N1052,3,0),"")</f>
        <v/>
      </c>
      <c r="L2103" s="503" t="str">
        <f ca="1">IFERROR(IF(VLOOKUP(C2103,' Disaggregation - Section E '!A$316:N1052,14,0)=0,"",VLOOKUP(C2103,' Disaggregation - Section E '!A$316:N1052,14,0)),"")</f>
        <v/>
      </c>
      <c r="M2103" s="497" t="str">
        <f ca="1">IFERROR(IF(VLOOKUP(C2103,' Disaggregation - Section E '!A$316:T1052,20,0)=0,"",VLOOKUP(C2103,' Disaggregation - Section E '!A$316:T1052,20,0)),"")</f>
        <v/>
      </c>
      <c r="N2103" s="503" t="str">
        <f ca="1">IFERROR(IF(VLOOKUP(C2103,' Disaggregation - Section E '!A$316:N1052,9,0)=0,"",VLOOKUP(C2103,' Disaggregation - Section E '!A$316:N1052,9,0)),"")</f>
        <v/>
      </c>
      <c r="O2103" s="503" t="str">
        <f ca="1">IFERROR(IF(VLOOKUP(C2103,' Disaggregation - Section E '!A$315:N1052,10,0)=0,"",VLOOKUP(C2103,' Disaggregation - Section E '!A$316:N1052,10,0)),"")</f>
        <v/>
      </c>
    </row>
    <row r="2104" spans="1:15" x14ac:dyDescent="0.35">
      <c r="A2104" s="497" t="b">
        <f t="shared" ca="1" si="223"/>
        <v>0</v>
      </c>
      <c r="B2104" s="497"/>
      <c r="C2104" s="517" t="str">
        <f ca="1">IF(COUNTA(D$1665:D2104)=1,"",OFFSET(C2104,-COUNTA(D$1665:D2104)+1,0))</f>
        <v>a1V3p000006jwBxEAI</v>
      </c>
      <c r="D2104" s="512"/>
      <c r="E2104" s="500" t="str">
        <f ca="1">IFERROR(IF(VLOOKUP(C2104,' Disaggregation - Section E '!A$316:N1053,7,0)="","",VLOOKUP(C2104,' Disaggregation - Section E '!A$316:N1053,7,0)*100),"")</f>
        <v/>
      </c>
      <c r="F2104" s="497"/>
      <c r="G2104" s="502" t="str">
        <f ca="1">IFERROR(IF(VLOOKUP(C2104,' Disaggregation - Section E '!A$316:N1053,6,0)="","",VLOOKUP(C2104,' Disaggregation - Section E '!A$316:N1053,6,0)),"")</f>
        <v/>
      </c>
      <c r="H2104" s="512" t="str">
        <f ca="1">IFERROR(IF(INDEX(' Disaggregation - Section E '!F$313:F1053,MATCH(C2104,' Disaggregation - Section E '!A$313:A1053,0)+1,1)&lt;&gt;0,INDEX(' Disaggregation - Section E '!F$313:F1053,MATCH(C2104,' Disaggregation - Section E '!A$313:A1053,0)+1,1),""),"")</f>
        <v/>
      </c>
      <c r="I2104" s="503" t="str">
        <f ca="1">IFERROR(IF(VLOOKUP(C2104,' Disaggregation - Section E '!A$316:N1053,8,0)=0,"",VLOOKUP(C2104,' Disaggregation - Section E '!A$316:N1053,8,0)),"")</f>
        <v/>
      </c>
      <c r="J2104" s="503" t="str">
        <f ca="1">IFERROR(IF(VLOOKUP(C2104,' Disaggregation - Section E '!A$316:N1053,13,0)=0,"",VLOOKUP(C2104,' Disaggregation - Section E '!A$316:N1053,13,0)),"")</f>
        <v/>
      </c>
      <c r="K2104" s="497" t="str">
        <f ca="1">IFERROR(VLOOKUP(C2104,' Disaggregation - Section E '!A$316:N1053,3,0),"")</f>
        <v/>
      </c>
      <c r="L2104" s="503" t="str">
        <f ca="1">IFERROR(IF(VLOOKUP(C2104,' Disaggregation - Section E '!A$316:N1053,14,0)=0,"",VLOOKUP(C2104,' Disaggregation - Section E '!A$316:N1053,14,0)),"")</f>
        <v/>
      </c>
      <c r="M2104" s="497" t="str">
        <f ca="1">IFERROR(IF(VLOOKUP(C2104,' Disaggregation - Section E '!A$316:T1053,20,0)=0,"",VLOOKUP(C2104,' Disaggregation - Section E '!A$316:T1053,20,0)),"")</f>
        <v/>
      </c>
      <c r="N2104" s="503" t="str">
        <f ca="1">IFERROR(IF(VLOOKUP(C2104,' Disaggregation - Section E '!A$316:N1053,9,0)=0,"",VLOOKUP(C2104,' Disaggregation - Section E '!A$316:N1053,9,0)),"")</f>
        <v/>
      </c>
      <c r="O2104" s="503" t="str">
        <f ca="1">IFERROR(IF(VLOOKUP(C2104,' Disaggregation - Section E '!A$315:N1053,10,0)=0,"",VLOOKUP(C2104,' Disaggregation - Section E '!A$316:N1053,10,0)),"")</f>
        <v/>
      </c>
    </row>
    <row r="2105" spans="1:15" x14ac:dyDescent="0.35">
      <c r="A2105" s="497" t="b">
        <f t="shared" ca="1" si="223"/>
        <v>0</v>
      </c>
      <c r="B2105" s="497"/>
      <c r="C2105" s="517" t="str">
        <f ca="1">IF(COUNTA(D$1665:D2105)=1,"",OFFSET(C2105,-COUNTA(D$1665:D2105)+1,0))</f>
        <v>a1V3p000006jwByEAI</v>
      </c>
      <c r="D2105" s="512"/>
      <c r="E2105" s="500" t="str">
        <f ca="1">IFERROR(IF(VLOOKUP(C2105,' Disaggregation - Section E '!A$316:N1054,7,0)="","",VLOOKUP(C2105,' Disaggregation - Section E '!A$316:N1054,7,0)*100),"")</f>
        <v/>
      </c>
      <c r="F2105" s="497"/>
      <c r="G2105" s="502" t="str">
        <f ca="1">IFERROR(IF(VLOOKUP(C2105,' Disaggregation - Section E '!A$316:N1054,6,0)="","",VLOOKUP(C2105,' Disaggregation - Section E '!A$316:N1054,6,0)),"")</f>
        <v/>
      </c>
      <c r="H2105" s="512" t="str">
        <f ca="1">IFERROR(IF(INDEX(' Disaggregation - Section E '!F$313:F1054,MATCH(C2105,' Disaggregation - Section E '!A$313:A1054,0)+1,1)&lt;&gt;0,INDEX(' Disaggregation - Section E '!F$313:F1054,MATCH(C2105,' Disaggregation - Section E '!A$313:A1054,0)+1,1),""),"")</f>
        <v/>
      </c>
      <c r="I2105" s="503" t="str">
        <f ca="1">IFERROR(IF(VLOOKUP(C2105,' Disaggregation - Section E '!A$316:N1054,8,0)=0,"",VLOOKUP(C2105,' Disaggregation - Section E '!A$316:N1054,8,0)),"")</f>
        <v/>
      </c>
      <c r="J2105" s="503" t="str">
        <f ca="1">IFERROR(IF(VLOOKUP(C2105,' Disaggregation - Section E '!A$316:N1054,13,0)=0,"",VLOOKUP(C2105,' Disaggregation - Section E '!A$316:N1054,13,0)),"")</f>
        <v/>
      </c>
      <c r="K2105" s="497" t="str">
        <f ca="1">IFERROR(VLOOKUP(C2105,' Disaggregation - Section E '!A$316:N1054,3,0),"")</f>
        <v/>
      </c>
      <c r="L2105" s="503" t="str">
        <f ca="1">IFERROR(IF(VLOOKUP(C2105,' Disaggregation - Section E '!A$316:N1054,14,0)=0,"",VLOOKUP(C2105,' Disaggregation - Section E '!A$316:N1054,14,0)),"")</f>
        <v/>
      </c>
      <c r="M2105" s="497" t="str">
        <f ca="1">IFERROR(IF(VLOOKUP(C2105,' Disaggregation - Section E '!A$316:T1054,20,0)=0,"",VLOOKUP(C2105,' Disaggregation - Section E '!A$316:T1054,20,0)),"")</f>
        <v/>
      </c>
      <c r="N2105" s="503" t="str">
        <f ca="1">IFERROR(IF(VLOOKUP(C2105,' Disaggregation - Section E '!A$316:N1054,9,0)=0,"",VLOOKUP(C2105,' Disaggregation - Section E '!A$316:N1054,9,0)),"")</f>
        <v/>
      </c>
      <c r="O2105" s="503" t="str">
        <f ca="1">IFERROR(IF(VLOOKUP(C2105,' Disaggregation - Section E '!A$315:N1054,10,0)=0,"",VLOOKUP(C2105,' Disaggregation - Section E '!A$316:N1054,10,0)),"")</f>
        <v/>
      </c>
    </row>
    <row r="2106" spans="1:15" x14ac:dyDescent="0.35">
      <c r="A2106" s="497" t="b">
        <f t="shared" ca="1" si="223"/>
        <v>0</v>
      </c>
      <c r="B2106" s="497"/>
      <c r="C2106" s="517" t="str">
        <f ca="1">IF(COUNTA(D$1665:D2106)=1,"",OFFSET(C2106,-COUNTA(D$1665:D2106)+1,0))</f>
        <v>a1V3p000006jwBzEAI</v>
      </c>
      <c r="D2106" s="512"/>
      <c r="E2106" s="500" t="str">
        <f ca="1">IFERROR(IF(VLOOKUP(C2106,' Disaggregation - Section E '!A$316:N1055,7,0)="","",VLOOKUP(C2106,' Disaggregation - Section E '!A$316:N1055,7,0)*100),"")</f>
        <v/>
      </c>
      <c r="F2106" s="497"/>
      <c r="G2106" s="502" t="str">
        <f ca="1">IFERROR(IF(VLOOKUP(C2106,' Disaggregation - Section E '!A$316:N1055,6,0)="","",VLOOKUP(C2106,' Disaggregation - Section E '!A$316:N1055,6,0)),"")</f>
        <v/>
      </c>
      <c r="H2106" s="512" t="str">
        <f ca="1">IFERROR(IF(INDEX(' Disaggregation - Section E '!F$313:F1055,MATCH(C2106,' Disaggregation - Section E '!A$313:A1055,0)+1,1)&lt;&gt;0,INDEX(' Disaggregation - Section E '!F$313:F1055,MATCH(C2106,' Disaggregation - Section E '!A$313:A1055,0)+1,1),""),"")</f>
        <v/>
      </c>
      <c r="I2106" s="503" t="str">
        <f ca="1">IFERROR(IF(VLOOKUP(C2106,' Disaggregation - Section E '!A$316:N1055,8,0)=0,"",VLOOKUP(C2106,' Disaggregation - Section E '!A$316:N1055,8,0)),"")</f>
        <v/>
      </c>
      <c r="J2106" s="503" t="str">
        <f ca="1">IFERROR(IF(VLOOKUP(C2106,' Disaggregation - Section E '!A$316:N1055,13,0)=0,"",VLOOKUP(C2106,' Disaggregation - Section E '!A$316:N1055,13,0)),"")</f>
        <v/>
      </c>
      <c r="K2106" s="497" t="str">
        <f ca="1">IFERROR(VLOOKUP(C2106,' Disaggregation - Section E '!A$316:N1055,3,0),"")</f>
        <v/>
      </c>
      <c r="L2106" s="503" t="str">
        <f ca="1">IFERROR(IF(VLOOKUP(C2106,' Disaggregation - Section E '!A$316:N1055,14,0)=0,"",VLOOKUP(C2106,' Disaggregation - Section E '!A$316:N1055,14,0)),"")</f>
        <v/>
      </c>
      <c r="M2106" s="497" t="str">
        <f ca="1">IFERROR(IF(VLOOKUP(C2106,' Disaggregation - Section E '!A$316:T1055,20,0)=0,"",VLOOKUP(C2106,' Disaggregation - Section E '!A$316:T1055,20,0)),"")</f>
        <v/>
      </c>
      <c r="N2106" s="503" t="str">
        <f ca="1">IFERROR(IF(VLOOKUP(C2106,' Disaggregation - Section E '!A$316:N1055,9,0)=0,"",VLOOKUP(C2106,' Disaggregation - Section E '!A$316:N1055,9,0)),"")</f>
        <v/>
      </c>
      <c r="O2106" s="503" t="str">
        <f ca="1">IFERROR(IF(VLOOKUP(C2106,' Disaggregation - Section E '!A$315:N1055,10,0)=0,"",VLOOKUP(C2106,' Disaggregation - Section E '!A$316:N1055,10,0)),"")</f>
        <v/>
      </c>
    </row>
    <row r="2107" spans="1:15" x14ac:dyDescent="0.35">
      <c r="A2107" s="497" t="b">
        <f t="shared" ca="1" si="223"/>
        <v>0</v>
      </c>
      <c r="B2107" s="497"/>
      <c r="C2107" s="517" t="str">
        <f ca="1">IF(COUNTA(D$1665:D2107)=1,"",OFFSET(C2107,-COUNTA(D$1665:D2107)+1,0))</f>
        <v>a1V3p000006jw9aEAA</v>
      </c>
      <c r="D2107" s="512"/>
      <c r="E2107" s="500" t="str">
        <f ca="1">IFERROR(IF(VLOOKUP(C2107,' Disaggregation - Section E '!A$316:N1056,7,0)="","",VLOOKUP(C2107,' Disaggregation - Section E '!A$316:N1056,7,0)*100),"")</f>
        <v/>
      </c>
      <c r="F2107" s="497"/>
      <c r="G2107" s="502" t="str">
        <f ca="1">IFERROR(IF(VLOOKUP(C2107,' Disaggregation - Section E '!A$316:N1056,6,0)="","",VLOOKUP(C2107,' Disaggregation - Section E '!A$316:N1056,6,0)),"")</f>
        <v/>
      </c>
      <c r="H2107" s="512" t="str">
        <f ca="1">IFERROR(IF(INDEX(' Disaggregation - Section E '!F$313:F1056,MATCH(C2107,' Disaggregation - Section E '!A$313:A1056,0)+1,1)&lt;&gt;0,INDEX(' Disaggregation - Section E '!F$313:F1056,MATCH(C2107,' Disaggregation - Section E '!A$313:A1056,0)+1,1),""),"")</f>
        <v/>
      </c>
      <c r="I2107" s="503" t="str">
        <f ca="1">IFERROR(IF(VLOOKUP(C2107,' Disaggregation - Section E '!A$316:N1056,8,0)=0,"",VLOOKUP(C2107,' Disaggregation - Section E '!A$316:N1056,8,0)),"")</f>
        <v/>
      </c>
      <c r="J2107" s="503" t="str">
        <f ca="1">IFERROR(IF(VLOOKUP(C2107,' Disaggregation - Section E '!A$316:N1056,13,0)=0,"",VLOOKUP(C2107,' Disaggregation - Section E '!A$316:N1056,13,0)),"")</f>
        <v/>
      </c>
      <c r="K2107" s="497" t="str">
        <f ca="1">IFERROR(VLOOKUP(C2107,' Disaggregation - Section E '!A$316:N1056,3,0),"")</f>
        <v/>
      </c>
      <c r="L2107" s="503" t="str">
        <f ca="1">IFERROR(IF(VLOOKUP(C2107,' Disaggregation - Section E '!A$316:N1056,14,0)=0,"",VLOOKUP(C2107,' Disaggregation - Section E '!A$316:N1056,14,0)),"")</f>
        <v/>
      </c>
      <c r="M2107" s="497" t="str">
        <f ca="1">IFERROR(IF(VLOOKUP(C2107,' Disaggregation - Section E '!A$316:T1056,20,0)=0,"",VLOOKUP(C2107,' Disaggregation - Section E '!A$316:T1056,20,0)),"")</f>
        <v/>
      </c>
      <c r="N2107" s="503" t="str">
        <f ca="1">IFERROR(IF(VLOOKUP(C2107,' Disaggregation - Section E '!A$316:N1056,9,0)=0,"",VLOOKUP(C2107,' Disaggregation - Section E '!A$316:N1056,9,0)),"")</f>
        <v/>
      </c>
      <c r="O2107" s="503" t="str">
        <f ca="1">IFERROR(IF(VLOOKUP(C2107,' Disaggregation - Section E '!A$315:N1056,10,0)=0,"",VLOOKUP(C2107,' Disaggregation - Section E '!A$316:N1056,10,0)),"")</f>
        <v/>
      </c>
    </row>
    <row r="2108" spans="1:15" x14ac:dyDescent="0.35">
      <c r="A2108" s="497" t="b">
        <f t="shared" ca="1" si="223"/>
        <v>0</v>
      </c>
      <c r="B2108" s="497"/>
      <c r="C2108" s="517" t="str">
        <f ca="1">IF(COUNTA(D$1665:D2108)=1,"",OFFSET(C2108,-COUNTA(D$1665:D2108)+1,0))</f>
        <v>a1V3p000006jw9bEAA</v>
      </c>
      <c r="D2108" s="512"/>
      <c r="E2108" s="500" t="str">
        <f ca="1">IFERROR(IF(VLOOKUP(C2108,' Disaggregation - Section E '!A$316:N1057,7,0)="","",VLOOKUP(C2108,' Disaggregation - Section E '!A$316:N1057,7,0)*100),"")</f>
        <v/>
      </c>
      <c r="F2108" s="497"/>
      <c r="G2108" s="502" t="str">
        <f ca="1">IFERROR(IF(VLOOKUP(C2108,' Disaggregation - Section E '!A$316:N1057,6,0)="","",VLOOKUP(C2108,' Disaggregation - Section E '!A$316:N1057,6,0)),"")</f>
        <v/>
      </c>
      <c r="H2108" s="512" t="str">
        <f ca="1">IFERROR(IF(INDEX(' Disaggregation - Section E '!F$313:F1057,MATCH(C2108,' Disaggregation - Section E '!A$313:A1057,0)+1,1)&lt;&gt;0,INDEX(' Disaggregation - Section E '!F$313:F1057,MATCH(C2108,' Disaggregation - Section E '!A$313:A1057,0)+1,1),""),"")</f>
        <v/>
      </c>
      <c r="I2108" s="503" t="str">
        <f ca="1">IFERROR(IF(VLOOKUP(C2108,' Disaggregation - Section E '!A$316:N1057,8,0)=0,"",VLOOKUP(C2108,' Disaggregation - Section E '!A$316:N1057,8,0)),"")</f>
        <v/>
      </c>
      <c r="J2108" s="503" t="str">
        <f ca="1">IFERROR(IF(VLOOKUP(C2108,' Disaggregation - Section E '!A$316:N1057,13,0)=0,"",VLOOKUP(C2108,' Disaggregation - Section E '!A$316:N1057,13,0)),"")</f>
        <v/>
      </c>
      <c r="K2108" s="497" t="str">
        <f ca="1">IFERROR(VLOOKUP(C2108,' Disaggregation - Section E '!A$316:N1057,3,0),"")</f>
        <v/>
      </c>
      <c r="L2108" s="503" t="str">
        <f ca="1">IFERROR(IF(VLOOKUP(C2108,' Disaggregation - Section E '!A$316:N1057,14,0)=0,"",VLOOKUP(C2108,' Disaggregation - Section E '!A$316:N1057,14,0)),"")</f>
        <v/>
      </c>
      <c r="M2108" s="497" t="str">
        <f ca="1">IFERROR(IF(VLOOKUP(C2108,' Disaggregation - Section E '!A$316:T1057,20,0)=0,"",VLOOKUP(C2108,' Disaggregation - Section E '!A$316:T1057,20,0)),"")</f>
        <v/>
      </c>
      <c r="N2108" s="503" t="str">
        <f ca="1">IFERROR(IF(VLOOKUP(C2108,' Disaggregation - Section E '!A$316:N1057,9,0)=0,"",VLOOKUP(C2108,' Disaggregation - Section E '!A$316:N1057,9,0)),"")</f>
        <v/>
      </c>
      <c r="O2108" s="503" t="str">
        <f ca="1">IFERROR(IF(VLOOKUP(C2108,' Disaggregation - Section E '!A$315:N1057,10,0)=0,"",VLOOKUP(C2108,' Disaggregation - Section E '!A$316:N1057,10,0)),"")</f>
        <v/>
      </c>
    </row>
    <row r="2109" spans="1:15" x14ac:dyDescent="0.35">
      <c r="A2109" s="497" t="b">
        <f t="shared" ca="1" si="223"/>
        <v>0</v>
      </c>
      <c r="B2109" s="497"/>
      <c r="C2109" s="517" t="str">
        <f ca="1">IF(COUNTA(D$1665:D2109)=1,"",OFFSET(C2109,-COUNTA(D$1665:D2109)+1,0))</f>
        <v>a1V3p000006jw9cEAA</v>
      </c>
      <c r="D2109" s="512"/>
      <c r="E2109" s="500" t="str">
        <f ca="1">IFERROR(IF(VLOOKUP(C2109,' Disaggregation - Section E '!A$316:N1058,7,0)="","",VLOOKUP(C2109,' Disaggregation - Section E '!A$316:N1058,7,0)*100),"")</f>
        <v/>
      </c>
      <c r="F2109" s="497"/>
      <c r="G2109" s="502" t="str">
        <f ca="1">IFERROR(IF(VLOOKUP(C2109,' Disaggregation - Section E '!A$316:N1058,6,0)="","",VLOOKUP(C2109,' Disaggregation - Section E '!A$316:N1058,6,0)),"")</f>
        <v/>
      </c>
      <c r="H2109" s="512" t="str">
        <f ca="1">IFERROR(IF(INDEX(' Disaggregation - Section E '!F$313:F1058,MATCH(C2109,' Disaggregation - Section E '!A$313:A1058,0)+1,1)&lt;&gt;0,INDEX(' Disaggregation - Section E '!F$313:F1058,MATCH(C2109,' Disaggregation - Section E '!A$313:A1058,0)+1,1),""),"")</f>
        <v/>
      </c>
      <c r="I2109" s="503" t="str">
        <f ca="1">IFERROR(IF(VLOOKUP(C2109,' Disaggregation - Section E '!A$316:N1058,8,0)=0,"",VLOOKUP(C2109,' Disaggregation - Section E '!A$316:N1058,8,0)),"")</f>
        <v/>
      </c>
      <c r="J2109" s="503" t="str">
        <f ca="1">IFERROR(IF(VLOOKUP(C2109,' Disaggregation - Section E '!A$316:N1058,13,0)=0,"",VLOOKUP(C2109,' Disaggregation - Section E '!A$316:N1058,13,0)),"")</f>
        <v/>
      </c>
      <c r="K2109" s="497" t="str">
        <f ca="1">IFERROR(VLOOKUP(C2109,' Disaggregation - Section E '!A$316:N1058,3,0),"")</f>
        <v/>
      </c>
      <c r="L2109" s="503" t="str">
        <f ca="1">IFERROR(IF(VLOOKUP(C2109,' Disaggregation - Section E '!A$316:N1058,14,0)=0,"",VLOOKUP(C2109,' Disaggregation - Section E '!A$316:N1058,14,0)),"")</f>
        <v/>
      </c>
      <c r="M2109" s="497" t="str">
        <f ca="1">IFERROR(IF(VLOOKUP(C2109,' Disaggregation - Section E '!A$316:T1058,20,0)=0,"",VLOOKUP(C2109,' Disaggregation - Section E '!A$316:T1058,20,0)),"")</f>
        <v/>
      </c>
      <c r="N2109" s="503" t="str">
        <f ca="1">IFERROR(IF(VLOOKUP(C2109,' Disaggregation - Section E '!A$316:N1058,9,0)=0,"",VLOOKUP(C2109,' Disaggregation - Section E '!A$316:N1058,9,0)),"")</f>
        <v/>
      </c>
      <c r="O2109" s="503" t="str">
        <f ca="1">IFERROR(IF(VLOOKUP(C2109,' Disaggregation - Section E '!A$315:N1058,10,0)=0,"",VLOOKUP(C2109,' Disaggregation - Section E '!A$316:N1058,10,0)),"")</f>
        <v/>
      </c>
    </row>
    <row r="2110" spans="1:15" x14ac:dyDescent="0.35">
      <c r="A2110" s="497" t="b">
        <f t="shared" ca="1" si="223"/>
        <v>0</v>
      </c>
      <c r="B2110" s="497"/>
      <c r="C2110" s="517" t="str">
        <f ca="1">IF(COUNTA(D$1665:D2110)=1,"",OFFSET(C2110,-COUNTA(D$1665:D2110)+1,0))</f>
        <v>a1V3p000006jw9dEAA</v>
      </c>
      <c r="D2110" s="512"/>
      <c r="E2110" s="500" t="str">
        <f ca="1">IFERROR(IF(VLOOKUP(C2110,' Disaggregation - Section E '!A$316:N1059,7,0)="","",VLOOKUP(C2110,' Disaggregation - Section E '!A$316:N1059,7,0)*100),"")</f>
        <v/>
      </c>
      <c r="F2110" s="497"/>
      <c r="G2110" s="502" t="str">
        <f ca="1">IFERROR(IF(VLOOKUP(C2110,' Disaggregation - Section E '!A$316:N1059,6,0)="","",VLOOKUP(C2110,' Disaggregation - Section E '!A$316:N1059,6,0)),"")</f>
        <v/>
      </c>
      <c r="H2110" s="512" t="str">
        <f ca="1">IFERROR(IF(INDEX(' Disaggregation - Section E '!F$313:F1059,MATCH(C2110,' Disaggregation - Section E '!A$313:A1059,0)+1,1)&lt;&gt;0,INDEX(' Disaggregation - Section E '!F$313:F1059,MATCH(C2110,' Disaggregation - Section E '!A$313:A1059,0)+1,1),""),"")</f>
        <v/>
      </c>
      <c r="I2110" s="503" t="str">
        <f ca="1">IFERROR(IF(VLOOKUP(C2110,' Disaggregation - Section E '!A$316:N1059,8,0)=0,"",VLOOKUP(C2110,' Disaggregation - Section E '!A$316:N1059,8,0)),"")</f>
        <v/>
      </c>
      <c r="J2110" s="503" t="str">
        <f ca="1">IFERROR(IF(VLOOKUP(C2110,' Disaggregation - Section E '!A$316:N1059,13,0)=0,"",VLOOKUP(C2110,' Disaggregation - Section E '!A$316:N1059,13,0)),"")</f>
        <v/>
      </c>
      <c r="K2110" s="497" t="str">
        <f ca="1">IFERROR(VLOOKUP(C2110,' Disaggregation - Section E '!A$316:N1059,3,0),"")</f>
        <v/>
      </c>
      <c r="L2110" s="503" t="str">
        <f ca="1">IFERROR(IF(VLOOKUP(C2110,' Disaggregation - Section E '!A$316:N1059,14,0)=0,"",VLOOKUP(C2110,' Disaggregation - Section E '!A$316:N1059,14,0)),"")</f>
        <v/>
      </c>
      <c r="M2110" s="497" t="str">
        <f ca="1">IFERROR(IF(VLOOKUP(C2110,' Disaggregation - Section E '!A$316:T1059,20,0)=0,"",VLOOKUP(C2110,' Disaggregation - Section E '!A$316:T1059,20,0)),"")</f>
        <v/>
      </c>
      <c r="N2110" s="503" t="str">
        <f ca="1">IFERROR(IF(VLOOKUP(C2110,' Disaggregation - Section E '!A$316:N1059,9,0)=0,"",VLOOKUP(C2110,' Disaggregation - Section E '!A$316:N1059,9,0)),"")</f>
        <v/>
      </c>
      <c r="O2110" s="503" t="str">
        <f ca="1">IFERROR(IF(VLOOKUP(C2110,' Disaggregation - Section E '!A$315:N1059,10,0)=0,"",VLOOKUP(C2110,' Disaggregation - Section E '!A$316:N1059,10,0)),"")</f>
        <v/>
      </c>
    </row>
    <row r="2111" spans="1:15" x14ac:dyDescent="0.35">
      <c r="A2111" s="497" t="b">
        <f t="shared" ca="1" si="223"/>
        <v>0</v>
      </c>
      <c r="B2111" s="497"/>
      <c r="C2111" s="517" t="str">
        <f ca="1">IF(COUNTA(D$1665:D2111)=1,"",OFFSET(C2111,-COUNTA(D$1665:D2111)+1,0))</f>
        <v>a1V3p000006jw9eEAA</v>
      </c>
      <c r="D2111" s="512"/>
      <c r="E2111" s="500" t="str">
        <f ca="1">IFERROR(IF(VLOOKUP(C2111,' Disaggregation - Section E '!A$316:N1060,7,0)="","",VLOOKUP(C2111,' Disaggregation - Section E '!A$316:N1060,7,0)*100),"")</f>
        <v/>
      </c>
      <c r="F2111" s="497"/>
      <c r="G2111" s="502" t="str">
        <f ca="1">IFERROR(IF(VLOOKUP(C2111,' Disaggregation - Section E '!A$316:N1060,6,0)="","",VLOOKUP(C2111,' Disaggregation - Section E '!A$316:N1060,6,0)),"")</f>
        <v/>
      </c>
      <c r="H2111" s="512" t="str">
        <f ca="1">IFERROR(IF(INDEX(' Disaggregation - Section E '!F$313:F1060,MATCH(C2111,' Disaggregation - Section E '!A$313:A1060,0)+1,1)&lt;&gt;0,INDEX(' Disaggregation - Section E '!F$313:F1060,MATCH(C2111,' Disaggregation - Section E '!A$313:A1060,0)+1,1),""),"")</f>
        <v/>
      </c>
      <c r="I2111" s="503" t="str">
        <f ca="1">IFERROR(IF(VLOOKUP(C2111,' Disaggregation - Section E '!A$316:N1060,8,0)=0,"",VLOOKUP(C2111,' Disaggregation - Section E '!A$316:N1060,8,0)),"")</f>
        <v/>
      </c>
      <c r="J2111" s="503" t="str">
        <f ca="1">IFERROR(IF(VLOOKUP(C2111,' Disaggregation - Section E '!A$316:N1060,13,0)=0,"",VLOOKUP(C2111,' Disaggregation - Section E '!A$316:N1060,13,0)),"")</f>
        <v/>
      </c>
      <c r="K2111" s="497" t="str">
        <f ca="1">IFERROR(VLOOKUP(C2111,' Disaggregation - Section E '!A$316:N1060,3,0),"")</f>
        <v/>
      </c>
      <c r="L2111" s="503" t="str">
        <f ca="1">IFERROR(IF(VLOOKUP(C2111,' Disaggregation - Section E '!A$316:N1060,14,0)=0,"",VLOOKUP(C2111,' Disaggregation - Section E '!A$316:N1060,14,0)),"")</f>
        <v/>
      </c>
      <c r="M2111" s="497" t="str">
        <f ca="1">IFERROR(IF(VLOOKUP(C2111,' Disaggregation - Section E '!A$316:T1060,20,0)=0,"",VLOOKUP(C2111,' Disaggregation - Section E '!A$316:T1060,20,0)),"")</f>
        <v/>
      </c>
      <c r="N2111" s="503" t="str">
        <f ca="1">IFERROR(IF(VLOOKUP(C2111,' Disaggregation - Section E '!A$316:N1060,9,0)=0,"",VLOOKUP(C2111,' Disaggregation - Section E '!A$316:N1060,9,0)),"")</f>
        <v/>
      </c>
      <c r="O2111" s="503" t="str">
        <f ca="1">IFERROR(IF(VLOOKUP(C2111,' Disaggregation - Section E '!A$315:N1060,10,0)=0,"",VLOOKUP(C2111,' Disaggregation - Section E '!A$316:N1060,10,0)),"")</f>
        <v/>
      </c>
    </row>
    <row r="2112" spans="1:15" x14ac:dyDescent="0.35">
      <c r="A2112" s="497" t="b">
        <f t="shared" ca="1" si="223"/>
        <v>0</v>
      </c>
      <c r="B2112" s="497"/>
      <c r="C2112" s="517" t="str">
        <f ca="1">IF(COUNTA(D$1665:D2112)=1,"",OFFSET(C2112,-COUNTA(D$1665:D2112)+1,0))</f>
        <v>a1V3p000006jw9fEAA</v>
      </c>
      <c r="D2112" s="512"/>
      <c r="E2112" s="500" t="str">
        <f ca="1">IFERROR(IF(VLOOKUP(C2112,' Disaggregation - Section E '!A$316:N1061,7,0)="","",VLOOKUP(C2112,' Disaggregation - Section E '!A$316:N1061,7,0)*100),"")</f>
        <v/>
      </c>
      <c r="F2112" s="497"/>
      <c r="G2112" s="502" t="str">
        <f ca="1">IFERROR(IF(VLOOKUP(C2112,' Disaggregation - Section E '!A$316:N1061,6,0)="","",VLOOKUP(C2112,' Disaggregation - Section E '!A$316:N1061,6,0)),"")</f>
        <v/>
      </c>
      <c r="H2112" s="512" t="str">
        <f ca="1">IFERROR(IF(INDEX(' Disaggregation - Section E '!F$313:F1061,MATCH(C2112,' Disaggregation - Section E '!A$313:A1061,0)+1,1)&lt;&gt;0,INDEX(' Disaggregation - Section E '!F$313:F1061,MATCH(C2112,' Disaggregation - Section E '!A$313:A1061,0)+1,1),""),"")</f>
        <v/>
      </c>
      <c r="I2112" s="503" t="str">
        <f ca="1">IFERROR(IF(VLOOKUP(C2112,' Disaggregation - Section E '!A$316:N1061,8,0)=0,"",VLOOKUP(C2112,' Disaggregation - Section E '!A$316:N1061,8,0)),"")</f>
        <v/>
      </c>
      <c r="J2112" s="503" t="str">
        <f ca="1">IFERROR(IF(VLOOKUP(C2112,' Disaggregation - Section E '!A$316:N1061,13,0)=0,"",VLOOKUP(C2112,' Disaggregation - Section E '!A$316:N1061,13,0)),"")</f>
        <v/>
      </c>
      <c r="K2112" s="497" t="str">
        <f ca="1">IFERROR(VLOOKUP(C2112,' Disaggregation - Section E '!A$316:N1061,3,0),"")</f>
        <v/>
      </c>
      <c r="L2112" s="503" t="str">
        <f ca="1">IFERROR(IF(VLOOKUP(C2112,' Disaggregation - Section E '!A$316:N1061,14,0)=0,"",VLOOKUP(C2112,' Disaggregation - Section E '!A$316:N1061,14,0)),"")</f>
        <v/>
      </c>
      <c r="M2112" s="497" t="str">
        <f ca="1">IFERROR(IF(VLOOKUP(C2112,' Disaggregation - Section E '!A$316:T1061,20,0)=0,"",VLOOKUP(C2112,' Disaggregation - Section E '!A$316:T1061,20,0)),"")</f>
        <v/>
      </c>
      <c r="N2112" s="503" t="str">
        <f ca="1">IFERROR(IF(VLOOKUP(C2112,' Disaggregation - Section E '!A$316:N1061,9,0)=0,"",VLOOKUP(C2112,' Disaggregation - Section E '!A$316:N1061,9,0)),"")</f>
        <v/>
      </c>
      <c r="O2112" s="503" t="str">
        <f ca="1">IFERROR(IF(VLOOKUP(C2112,' Disaggregation - Section E '!A$315:N1061,10,0)=0,"",VLOOKUP(C2112,' Disaggregation - Section E '!A$316:N1061,10,0)),"")</f>
        <v/>
      </c>
    </row>
    <row r="2113" spans="1:15" x14ac:dyDescent="0.35">
      <c r="A2113" s="497" t="b">
        <f t="shared" ca="1" si="223"/>
        <v>0</v>
      </c>
      <c r="B2113" s="497"/>
      <c r="C2113" s="517" t="str">
        <f ca="1">IF(COUNTA(D$1665:D2113)=1,"",OFFSET(C2113,-COUNTA(D$1665:D2113)+1,0))</f>
        <v>a1V3p000006jw9gEAA</v>
      </c>
      <c r="D2113" s="512"/>
      <c r="E2113" s="500" t="str">
        <f ca="1">IFERROR(IF(VLOOKUP(C2113,' Disaggregation - Section E '!A$316:N1062,7,0)="","",VLOOKUP(C2113,' Disaggregation - Section E '!A$316:N1062,7,0)*100),"")</f>
        <v/>
      </c>
      <c r="F2113" s="497"/>
      <c r="G2113" s="502" t="str">
        <f ca="1">IFERROR(IF(VLOOKUP(C2113,' Disaggregation - Section E '!A$316:N1062,6,0)="","",VLOOKUP(C2113,' Disaggregation - Section E '!A$316:N1062,6,0)),"")</f>
        <v/>
      </c>
      <c r="H2113" s="512" t="str">
        <f ca="1">IFERROR(IF(INDEX(' Disaggregation - Section E '!F$313:F1062,MATCH(C2113,' Disaggregation - Section E '!A$313:A1062,0)+1,1)&lt;&gt;0,INDEX(' Disaggregation - Section E '!F$313:F1062,MATCH(C2113,' Disaggregation - Section E '!A$313:A1062,0)+1,1),""),"")</f>
        <v/>
      </c>
      <c r="I2113" s="503" t="str">
        <f ca="1">IFERROR(IF(VLOOKUP(C2113,' Disaggregation - Section E '!A$316:N1062,8,0)=0,"",VLOOKUP(C2113,' Disaggregation - Section E '!A$316:N1062,8,0)),"")</f>
        <v/>
      </c>
      <c r="J2113" s="503" t="str">
        <f ca="1">IFERROR(IF(VLOOKUP(C2113,' Disaggregation - Section E '!A$316:N1062,13,0)=0,"",VLOOKUP(C2113,' Disaggregation - Section E '!A$316:N1062,13,0)),"")</f>
        <v/>
      </c>
      <c r="K2113" s="497" t="str">
        <f ca="1">IFERROR(VLOOKUP(C2113,' Disaggregation - Section E '!A$316:N1062,3,0),"")</f>
        <v/>
      </c>
      <c r="L2113" s="503" t="str">
        <f ca="1">IFERROR(IF(VLOOKUP(C2113,' Disaggregation - Section E '!A$316:N1062,14,0)=0,"",VLOOKUP(C2113,' Disaggregation - Section E '!A$316:N1062,14,0)),"")</f>
        <v/>
      </c>
      <c r="M2113" s="497" t="str">
        <f ca="1">IFERROR(IF(VLOOKUP(C2113,' Disaggregation - Section E '!A$316:T1062,20,0)=0,"",VLOOKUP(C2113,' Disaggregation - Section E '!A$316:T1062,20,0)),"")</f>
        <v/>
      </c>
      <c r="N2113" s="503" t="str">
        <f ca="1">IFERROR(IF(VLOOKUP(C2113,' Disaggregation - Section E '!A$316:N1062,9,0)=0,"",VLOOKUP(C2113,' Disaggregation - Section E '!A$316:N1062,9,0)),"")</f>
        <v/>
      </c>
      <c r="O2113" s="503" t="str">
        <f ca="1">IFERROR(IF(VLOOKUP(C2113,' Disaggregation - Section E '!A$315:N1062,10,0)=0,"",VLOOKUP(C2113,' Disaggregation - Section E '!A$316:N1062,10,0)),"")</f>
        <v/>
      </c>
    </row>
    <row r="2114" spans="1:15" x14ac:dyDescent="0.35">
      <c r="A2114" s="497" t="b">
        <f t="shared" ca="1" si="223"/>
        <v>0</v>
      </c>
      <c r="B2114" s="497"/>
      <c r="C2114" s="517" t="str">
        <f ca="1">IF(COUNTA(D$1665:D2114)=1,"",OFFSET(C2114,-COUNTA(D$1665:D2114)+1,0))</f>
        <v>a1V3p000006jw9hEAA</v>
      </c>
      <c r="D2114" s="512"/>
      <c r="E2114" s="500" t="str">
        <f ca="1">IFERROR(IF(VLOOKUP(C2114,' Disaggregation - Section E '!A$316:N1063,7,0)="","",VLOOKUP(C2114,' Disaggregation - Section E '!A$316:N1063,7,0)*100),"")</f>
        <v/>
      </c>
      <c r="F2114" s="497"/>
      <c r="G2114" s="502" t="str">
        <f ca="1">IFERROR(IF(VLOOKUP(C2114,' Disaggregation - Section E '!A$316:N1063,6,0)="","",VLOOKUP(C2114,' Disaggregation - Section E '!A$316:N1063,6,0)),"")</f>
        <v/>
      </c>
      <c r="H2114" s="512" t="str">
        <f ca="1">IFERROR(IF(INDEX(' Disaggregation - Section E '!F$313:F1063,MATCH(C2114,' Disaggregation - Section E '!A$313:A1063,0)+1,1)&lt;&gt;0,INDEX(' Disaggregation - Section E '!F$313:F1063,MATCH(C2114,' Disaggregation - Section E '!A$313:A1063,0)+1,1),""),"")</f>
        <v/>
      </c>
      <c r="I2114" s="503" t="str">
        <f ca="1">IFERROR(IF(VLOOKUP(C2114,' Disaggregation - Section E '!A$316:N1063,8,0)=0,"",VLOOKUP(C2114,' Disaggregation - Section E '!A$316:N1063,8,0)),"")</f>
        <v/>
      </c>
      <c r="J2114" s="503" t="str">
        <f ca="1">IFERROR(IF(VLOOKUP(C2114,' Disaggregation - Section E '!A$316:N1063,13,0)=0,"",VLOOKUP(C2114,' Disaggregation - Section E '!A$316:N1063,13,0)),"")</f>
        <v/>
      </c>
      <c r="K2114" s="497" t="str">
        <f ca="1">IFERROR(VLOOKUP(C2114,' Disaggregation - Section E '!A$316:N1063,3,0),"")</f>
        <v/>
      </c>
      <c r="L2114" s="503" t="str">
        <f ca="1">IFERROR(IF(VLOOKUP(C2114,' Disaggregation - Section E '!A$316:N1063,14,0)=0,"",VLOOKUP(C2114,' Disaggregation - Section E '!A$316:N1063,14,0)),"")</f>
        <v/>
      </c>
      <c r="M2114" s="497" t="str">
        <f ca="1">IFERROR(IF(VLOOKUP(C2114,' Disaggregation - Section E '!A$316:T1063,20,0)=0,"",VLOOKUP(C2114,' Disaggregation - Section E '!A$316:T1063,20,0)),"")</f>
        <v/>
      </c>
      <c r="N2114" s="503" t="str">
        <f ca="1">IFERROR(IF(VLOOKUP(C2114,' Disaggregation - Section E '!A$316:N1063,9,0)=0,"",VLOOKUP(C2114,' Disaggregation - Section E '!A$316:N1063,9,0)),"")</f>
        <v/>
      </c>
      <c r="O2114" s="503" t="str">
        <f ca="1">IFERROR(IF(VLOOKUP(C2114,' Disaggregation - Section E '!A$315:N1063,10,0)=0,"",VLOOKUP(C2114,' Disaggregation - Section E '!A$316:N1063,10,0)),"")</f>
        <v/>
      </c>
    </row>
    <row r="2115" spans="1:15" x14ac:dyDescent="0.35">
      <c r="A2115" s="497" t="b">
        <f t="shared" ca="1" si="223"/>
        <v>0</v>
      </c>
      <c r="B2115" s="497"/>
      <c r="C2115" s="517" t="str">
        <f ca="1">IF(COUNTA(D$1665:D2115)=1,"",OFFSET(C2115,-COUNTA(D$1665:D2115)+1,0))</f>
        <v>a1V3p000006jw9iEAA</v>
      </c>
      <c r="D2115" s="512"/>
      <c r="E2115" s="500" t="str">
        <f ca="1">IFERROR(IF(VLOOKUP(C2115,' Disaggregation - Section E '!A$316:N1064,7,0)="","",VLOOKUP(C2115,' Disaggregation - Section E '!A$316:N1064,7,0)*100),"")</f>
        <v/>
      </c>
      <c r="F2115" s="497"/>
      <c r="G2115" s="502" t="str">
        <f ca="1">IFERROR(IF(VLOOKUP(C2115,' Disaggregation - Section E '!A$316:N1064,6,0)="","",VLOOKUP(C2115,' Disaggregation - Section E '!A$316:N1064,6,0)),"")</f>
        <v/>
      </c>
      <c r="H2115" s="512" t="str">
        <f ca="1">IFERROR(IF(INDEX(' Disaggregation - Section E '!F$313:F1064,MATCH(C2115,' Disaggregation - Section E '!A$313:A1064,0)+1,1)&lt;&gt;0,INDEX(' Disaggregation - Section E '!F$313:F1064,MATCH(C2115,' Disaggregation - Section E '!A$313:A1064,0)+1,1),""),"")</f>
        <v/>
      </c>
      <c r="I2115" s="503" t="str">
        <f ca="1">IFERROR(IF(VLOOKUP(C2115,' Disaggregation - Section E '!A$316:N1064,8,0)=0,"",VLOOKUP(C2115,' Disaggregation - Section E '!A$316:N1064,8,0)),"")</f>
        <v/>
      </c>
      <c r="J2115" s="503" t="str">
        <f ca="1">IFERROR(IF(VLOOKUP(C2115,' Disaggregation - Section E '!A$316:N1064,13,0)=0,"",VLOOKUP(C2115,' Disaggregation - Section E '!A$316:N1064,13,0)),"")</f>
        <v/>
      </c>
      <c r="K2115" s="497" t="str">
        <f ca="1">IFERROR(VLOOKUP(C2115,' Disaggregation - Section E '!A$316:N1064,3,0),"")</f>
        <v/>
      </c>
      <c r="L2115" s="503" t="str">
        <f ca="1">IFERROR(IF(VLOOKUP(C2115,' Disaggregation - Section E '!A$316:N1064,14,0)=0,"",VLOOKUP(C2115,' Disaggregation - Section E '!A$316:N1064,14,0)),"")</f>
        <v/>
      </c>
      <c r="M2115" s="497" t="str">
        <f ca="1">IFERROR(IF(VLOOKUP(C2115,' Disaggregation - Section E '!A$316:T1064,20,0)=0,"",VLOOKUP(C2115,' Disaggregation - Section E '!A$316:T1064,20,0)),"")</f>
        <v/>
      </c>
      <c r="N2115" s="503" t="str">
        <f ca="1">IFERROR(IF(VLOOKUP(C2115,' Disaggregation - Section E '!A$316:N1064,9,0)=0,"",VLOOKUP(C2115,' Disaggregation - Section E '!A$316:N1064,9,0)),"")</f>
        <v/>
      </c>
      <c r="O2115" s="503" t="str">
        <f ca="1">IFERROR(IF(VLOOKUP(C2115,' Disaggregation - Section E '!A$315:N1064,10,0)=0,"",VLOOKUP(C2115,' Disaggregation - Section E '!A$316:N1064,10,0)),"")</f>
        <v/>
      </c>
    </row>
    <row r="2116" spans="1:15" x14ac:dyDescent="0.35">
      <c r="A2116" s="497" t="b">
        <f t="shared" ca="1" si="223"/>
        <v>0</v>
      </c>
      <c r="B2116" s="497"/>
      <c r="C2116" s="517" t="str">
        <f ca="1">IF(COUNTA(D$1665:D2116)=1,"",OFFSET(C2116,-COUNTA(D$1665:D2116)+1,0))</f>
        <v>a1V3p000006jw9jEAA</v>
      </c>
      <c r="D2116" s="512"/>
      <c r="E2116" s="500" t="str">
        <f ca="1">IFERROR(IF(VLOOKUP(C2116,' Disaggregation - Section E '!A$316:N1065,7,0)="","",VLOOKUP(C2116,' Disaggregation - Section E '!A$316:N1065,7,0)*100),"")</f>
        <v/>
      </c>
      <c r="F2116" s="497"/>
      <c r="G2116" s="502" t="str">
        <f ca="1">IFERROR(IF(VLOOKUP(C2116,' Disaggregation - Section E '!A$316:N1065,6,0)="","",VLOOKUP(C2116,' Disaggregation - Section E '!A$316:N1065,6,0)),"")</f>
        <v/>
      </c>
      <c r="H2116" s="512" t="str">
        <f ca="1">IFERROR(IF(INDEX(' Disaggregation - Section E '!F$313:F1065,MATCH(C2116,' Disaggregation - Section E '!A$313:A1065,0)+1,1)&lt;&gt;0,INDEX(' Disaggregation - Section E '!F$313:F1065,MATCH(C2116,' Disaggregation - Section E '!A$313:A1065,0)+1,1),""),"")</f>
        <v/>
      </c>
      <c r="I2116" s="503" t="str">
        <f ca="1">IFERROR(IF(VLOOKUP(C2116,' Disaggregation - Section E '!A$316:N1065,8,0)=0,"",VLOOKUP(C2116,' Disaggregation - Section E '!A$316:N1065,8,0)),"")</f>
        <v/>
      </c>
      <c r="J2116" s="503" t="str">
        <f ca="1">IFERROR(IF(VLOOKUP(C2116,' Disaggregation - Section E '!A$316:N1065,13,0)=0,"",VLOOKUP(C2116,' Disaggregation - Section E '!A$316:N1065,13,0)),"")</f>
        <v/>
      </c>
      <c r="K2116" s="497" t="str">
        <f ca="1">IFERROR(VLOOKUP(C2116,' Disaggregation - Section E '!A$316:N1065,3,0),"")</f>
        <v/>
      </c>
      <c r="L2116" s="503" t="str">
        <f ca="1">IFERROR(IF(VLOOKUP(C2116,' Disaggregation - Section E '!A$316:N1065,14,0)=0,"",VLOOKUP(C2116,' Disaggregation - Section E '!A$316:N1065,14,0)),"")</f>
        <v/>
      </c>
      <c r="M2116" s="497" t="str">
        <f ca="1">IFERROR(IF(VLOOKUP(C2116,' Disaggregation - Section E '!A$316:T1065,20,0)=0,"",VLOOKUP(C2116,' Disaggregation - Section E '!A$316:T1065,20,0)),"")</f>
        <v/>
      </c>
      <c r="N2116" s="503" t="str">
        <f ca="1">IFERROR(IF(VLOOKUP(C2116,' Disaggregation - Section E '!A$316:N1065,9,0)=0,"",VLOOKUP(C2116,' Disaggregation - Section E '!A$316:N1065,9,0)),"")</f>
        <v/>
      </c>
      <c r="O2116" s="503" t="str">
        <f ca="1">IFERROR(IF(VLOOKUP(C2116,' Disaggregation - Section E '!A$315:N1065,10,0)=0,"",VLOOKUP(C2116,' Disaggregation - Section E '!A$316:N1065,10,0)),"")</f>
        <v/>
      </c>
    </row>
    <row r="2118" spans="1:15" x14ac:dyDescent="0.35">
      <c r="A2118" s="507" t="s">
        <v>276</v>
      </c>
    </row>
    <row r="2119" spans="1:15" x14ac:dyDescent="0.35">
      <c r="A2119" s="497" t="s">
        <v>46</v>
      </c>
      <c r="B2119" s="497"/>
      <c r="C2119" s="497" t="s">
        <v>48</v>
      </c>
      <c r="D2119" s="497" t="s">
        <v>20</v>
      </c>
      <c r="E2119" s="497" t="s">
        <v>4</v>
      </c>
      <c r="F2119" s="497" t="s">
        <v>27</v>
      </c>
      <c r="G2119" s="497" t="s">
        <v>2</v>
      </c>
      <c r="H2119" s="497" t="s">
        <v>3</v>
      </c>
      <c r="I2119" s="497" t="s">
        <v>29</v>
      </c>
      <c r="J2119" s="497" t="s">
        <v>18</v>
      </c>
      <c r="K2119" s="497" t="s">
        <v>357</v>
      </c>
      <c r="L2119" s="497" t="s">
        <v>9</v>
      </c>
      <c r="M2119" s="497" t="s">
        <v>364</v>
      </c>
      <c r="N2119" s="497" t="s">
        <v>472</v>
      </c>
      <c r="O2119" s="497" t="s">
        <v>473</v>
      </c>
    </row>
    <row r="2120" spans="1:15" hidden="1" x14ac:dyDescent="0.35">
      <c r="A2120" s="497" t="b">
        <f ca="1">IF(M2120&lt;&gt;"",TRUE,FALSE)</f>
        <v>0</v>
      </c>
      <c r="B2120" s="497"/>
      <c r="C2120" s="515" t="str">
        <f ca="1">IF(COUNTA(D$2119:D2120)=1,"",OFFSET(B2120,-COUNTA(D$2119:D2120)+1,1))</f>
        <v/>
      </c>
      <c r="D2120" s="512"/>
      <c r="E2120" s="500" t="str">
        <f ca="1">IFERROR(IF(VLOOKUP(C2120,' Disaggregation - Section E '!A$10:J309,7,0)="","",VLOOKUP(C2120,' Disaggregation - Section E '!A$10:J309,7,0)*100),"")</f>
        <v/>
      </c>
      <c r="F2120" s="503" t="str">
        <f ca="1">IFERROR(IF(VLOOKUP(C2120,' Disaggregation - Section E '!A$10:N309,5,0)=0,"",VLOOKUP(C2120,' Disaggregation - Section E '!A$10:N309,5,0)),"")</f>
        <v/>
      </c>
      <c r="G2120" s="502" t="str">
        <f ca="1">IFERROR(IF(VLOOKUP(C2120,' Disaggregation - Section E '!A$10:N309,6,0)="","",VLOOKUP(C2120,' Disaggregation - Section E '!A$10:N309,6,0)),"")</f>
        <v/>
      </c>
      <c r="H2120" s="512" t="str">
        <f ca="1">IFERROR(IF(INDEX(' Disaggregation - Section E '!F$10:F309,MATCH(C2120,' Disaggregation - Section E '!A$10:A309,0)+1,1)&lt;&gt;0,INDEX(' Disaggregation - Section E '!F$10:F309,MATCH(C2120,' Disaggregation - Section E '!A$10:A309,0)+1,1),""),"")</f>
        <v/>
      </c>
      <c r="I2120" s="503" t="str">
        <f ca="1">IFERROR(IF(VLOOKUP(C2120,' Disaggregation - Section E '!A$10:N309,8,0)=0,"",VLOOKUP(C2120,' Disaggregation - Section E '!A$10:N309,8,0)),"")</f>
        <v/>
      </c>
      <c r="J2120" s="503" t="str">
        <f ca="1">IFERROR(IF(VLOOKUP(C2120,' Disaggregation - Section E '!A$10:N309,13,0)=0,"",VLOOKUP(C2120,' Disaggregation - Section E '!A$10:N309,13,0)),"")</f>
        <v/>
      </c>
      <c r="K2120" s="497" t="str">
        <f ca="1">IFERROR(VLOOKUP(C2120,' Disaggregation - Section E '!A$10:N309,3,0),"")</f>
        <v/>
      </c>
      <c r="L2120" s="503" t="str">
        <f ca="1">IFERROR(IF(VLOOKUP(C2120,' Disaggregation - Section E '!A$10:N309,14,0)=0,"",VLOOKUP(C2120,' Disaggregation - Section E '!A$10:N309,14,0)),"")</f>
        <v/>
      </c>
      <c r="M2120" s="497" t="str">
        <f ca="1">IFERROR(IF(VLOOKUP(C2120,' Disaggregation - Section E '!A$10:T309,20,0)=0,"",VLOOKUP(C2120,' Disaggregation - Section E '!A$10:T309,20,0)),"")</f>
        <v/>
      </c>
      <c r="N2120" s="503" t="str">
        <f ca="1">IFERROR(IF(VLOOKUP(C2120,' Disaggregation - Section E '!A$10:N309,9,0)=0,"",VLOOKUP(C2120,' Disaggregation - Section E '!A$10:N309,9,0)),"")</f>
        <v/>
      </c>
      <c r="O2120" s="503" t="str">
        <f ca="1">IFERROR(IF(VLOOKUP(C2120,' Disaggregation - Section E '!A$10:N309,10,0)=0,"",VLOOKUP(C2120,' Disaggregation - Section E '!A$10:N309,10,0)),"")</f>
        <v/>
      </c>
    </row>
    <row r="2121" spans="1:15" x14ac:dyDescent="0.35">
      <c r="A2121" s="497" t="b">
        <v>1</v>
      </c>
      <c r="B2121" s="497"/>
      <c r="C2121" s="515" t="s">
        <v>4038</v>
      </c>
      <c r="D2121" s="512">
        <v>1</v>
      </c>
      <c r="E2121" s="500"/>
      <c r="F2121" s="503" t="s">
        <v>1516</v>
      </c>
      <c r="G2121" s="502"/>
      <c r="H2121" s="512"/>
      <c r="I2121" s="503" t="s">
        <v>1032</v>
      </c>
      <c r="J2121" s="503"/>
      <c r="K2121" s="497" t="str">
        <f ca="1">IFERROR(VLOOKUP(C2121,' Disaggregation - Section E '!A$10:N310,3,0),"")</f>
        <v>HIV I-9a⁽ᴹ⁾ Porcentaje de HSH y viven con el VIH</v>
      </c>
      <c r="L2121" s="503" t="s">
        <v>4037</v>
      </c>
      <c r="M2121" s="497" t="s">
        <v>1515</v>
      </c>
      <c r="N2121" s="503"/>
      <c r="O2121" s="503" t="s">
        <v>9912</v>
      </c>
    </row>
    <row r="2122" spans="1:15" x14ac:dyDescent="0.35">
      <c r="A2122" s="497" t="b">
        <v>1</v>
      </c>
      <c r="B2122" s="497"/>
      <c r="C2122" s="515" t="s">
        <v>4040</v>
      </c>
      <c r="D2122" s="512">
        <v>1</v>
      </c>
      <c r="E2122" s="500"/>
      <c r="F2122" s="503" t="s">
        <v>1522</v>
      </c>
      <c r="G2122" s="502"/>
      <c r="H2122" s="512"/>
      <c r="I2122" s="503" t="s">
        <v>1032</v>
      </c>
      <c r="J2122" s="503"/>
      <c r="K2122" s="497" t="str">
        <f ca="1">IFERROR(VLOOKUP(C2122,' Disaggregation - Section E '!A$10:N311,3,0),"")</f>
        <v>HIV I-9a⁽ᴹ⁾ Porcentaje de HSH y viven con el VIH</v>
      </c>
      <c r="L2122" s="503" t="s">
        <v>4037</v>
      </c>
      <c r="M2122" s="497" t="s">
        <v>1521</v>
      </c>
      <c r="N2122" s="503"/>
      <c r="O2122" s="503" t="s">
        <v>9912</v>
      </c>
    </row>
    <row r="2123" spans="1:15" x14ac:dyDescent="0.35">
      <c r="A2123" s="497" t="b">
        <v>0</v>
      </c>
      <c r="B2123" s="497"/>
      <c r="C2123" s="515" t="s">
        <v>4042</v>
      </c>
      <c r="D2123" s="512">
        <v>1</v>
      </c>
      <c r="E2123" s="500"/>
      <c r="F2123" s="503"/>
      <c r="G2123" s="502"/>
      <c r="H2123" s="512"/>
      <c r="I2123" s="503"/>
      <c r="J2123" s="503"/>
      <c r="K2123" s="497" t="str">
        <f ca="1">IFERROR(VLOOKUP(C2123,' Disaggregation - Section E '!A$10:N312,3,0),"")</f>
        <v>HIV I-9a⁽ᴹ⁾ Porcentaje de HSH y viven con el VIH</v>
      </c>
      <c r="L2123" s="503"/>
      <c r="M2123" s="497"/>
      <c r="N2123" s="503"/>
      <c r="O2123" s="503"/>
    </row>
    <row r="2124" spans="1:15" x14ac:dyDescent="0.35">
      <c r="A2124" s="497" t="b">
        <v>0</v>
      </c>
      <c r="B2124" s="497"/>
      <c r="C2124" s="515" t="s">
        <v>4044</v>
      </c>
      <c r="D2124" s="512">
        <v>1</v>
      </c>
      <c r="E2124" s="500"/>
      <c r="F2124" s="503"/>
      <c r="G2124" s="502"/>
      <c r="H2124" s="512"/>
      <c r="I2124" s="503"/>
      <c r="J2124" s="503"/>
      <c r="K2124" s="497" t="str">
        <f ca="1">IFERROR(VLOOKUP(C2124,' Disaggregation - Section E '!A$10:N313,3,0),"")</f>
        <v>HIV I-9a⁽ᴹ⁾ Porcentaje de HSH y viven con el VIH</v>
      </c>
      <c r="L2124" s="503"/>
      <c r="M2124" s="497"/>
      <c r="N2124" s="503"/>
      <c r="O2124" s="503"/>
    </row>
    <row r="2125" spans="1:15" x14ac:dyDescent="0.35">
      <c r="A2125" s="497" t="b">
        <v>0</v>
      </c>
      <c r="B2125" s="497"/>
      <c r="C2125" s="515" t="s">
        <v>4046</v>
      </c>
      <c r="D2125" s="512">
        <v>1</v>
      </c>
      <c r="E2125" s="500"/>
      <c r="F2125" s="503"/>
      <c r="G2125" s="502"/>
      <c r="H2125" s="512"/>
      <c r="I2125" s="503"/>
      <c r="J2125" s="503"/>
      <c r="K2125" s="497" t="str">
        <f ca="1">IFERROR(VLOOKUP(C2125,' Disaggregation - Section E '!A$10:N314,3,0),"")</f>
        <v>HIV I-9a⁽ᴹ⁾ Porcentaje de HSH y viven con el VIH</v>
      </c>
      <c r="L2125" s="503"/>
      <c r="M2125" s="497"/>
      <c r="N2125" s="503"/>
      <c r="O2125" s="503"/>
    </row>
    <row r="2126" spans="1:15" x14ac:dyDescent="0.35">
      <c r="A2126" s="497" t="b">
        <v>0</v>
      </c>
      <c r="B2126" s="497"/>
      <c r="C2126" s="515" t="s">
        <v>4048</v>
      </c>
      <c r="D2126" s="512">
        <v>1</v>
      </c>
      <c r="E2126" s="500"/>
      <c r="F2126" s="503"/>
      <c r="G2126" s="502"/>
      <c r="H2126" s="512"/>
      <c r="I2126" s="503"/>
      <c r="J2126" s="503"/>
      <c r="K2126" s="497" t="str">
        <f ca="1">IFERROR(VLOOKUP(C2126,' Disaggregation - Section E '!A$10:N315,3,0),"")</f>
        <v>HIV I-9a⁽ᴹ⁾ Porcentaje de HSH y viven con el VIH</v>
      </c>
      <c r="L2126" s="503"/>
      <c r="M2126" s="497"/>
      <c r="N2126" s="503"/>
      <c r="O2126" s="503"/>
    </row>
    <row r="2127" spans="1:15" x14ac:dyDescent="0.35">
      <c r="A2127" s="497" t="b">
        <v>0</v>
      </c>
      <c r="B2127" s="497"/>
      <c r="C2127" s="515" t="s">
        <v>4050</v>
      </c>
      <c r="D2127" s="512">
        <v>1</v>
      </c>
      <c r="E2127" s="500"/>
      <c r="F2127" s="503"/>
      <c r="G2127" s="502"/>
      <c r="H2127" s="512"/>
      <c r="I2127" s="503"/>
      <c r="J2127" s="503"/>
      <c r="K2127" s="497" t="str">
        <f ca="1">IFERROR(VLOOKUP(C2127,' Disaggregation - Section E '!A$10:N316,3,0),"")</f>
        <v>HIV I-9a⁽ᴹ⁾ Porcentaje de HSH y viven con el VIH</v>
      </c>
      <c r="L2127" s="503"/>
      <c r="M2127" s="497"/>
      <c r="N2127" s="503"/>
      <c r="O2127" s="503"/>
    </row>
    <row r="2128" spans="1:15" x14ac:dyDescent="0.35">
      <c r="A2128" s="497" t="b">
        <v>0</v>
      </c>
      <c r="B2128" s="497"/>
      <c r="C2128" s="515" t="s">
        <v>4052</v>
      </c>
      <c r="D2128" s="512">
        <v>1</v>
      </c>
      <c r="E2128" s="500"/>
      <c r="F2128" s="503"/>
      <c r="G2128" s="502"/>
      <c r="H2128" s="512"/>
      <c r="I2128" s="503"/>
      <c r="J2128" s="503"/>
      <c r="K2128" s="497" t="str">
        <f ca="1">IFERROR(VLOOKUP(C2128,' Disaggregation - Section E '!A$10:N317,3,0),"")</f>
        <v>HIV I-9a⁽ᴹ⁾ Porcentaje de HSH y viven con el VIH</v>
      </c>
      <c r="L2128" s="503"/>
      <c r="M2128" s="497"/>
      <c r="N2128" s="503"/>
      <c r="O2128" s="503"/>
    </row>
    <row r="2129" spans="1:15" x14ac:dyDescent="0.35">
      <c r="A2129" s="497" t="b">
        <v>0</v>
      </c>
      <c r="B2129" s="497"/>
      <c r="C2129" s="515" t="s">
        <v>4054</v>
      </c>
      <c r="D2129" s="512">
        <v>1</v>
      </c>
      <c r="E2129" s="500"/>
      <c r="F2129" s="503"/>
      <c r="G2129" s="502"/>
      <c r="H2129" s="512"/>
      <c r="I2129" s="503"/>
      <c r="J2129" s="503"/>
      <c r="K2129" s="497" t="str">
        <f ca="1">IFERROR(VLOOKUP(C2129,' Disaggregation - Section E '!A$10:N318,3,0),"")</f>
        <v>HIV I-9a⁽ᴹ⁾ Porcentaje de HSH y viven con el VIH</v>
      </c>
      <c r="L2129" s="503"/>
      <c r="M2129" s="497"/>
      <c r="N2129" s="503"/>
      <c r="O2129" s="503"/>
    </row>
    <row r="2130" spans="1:15" x14ac:dyDescent="0.35">
      <c r="A2130" s="497" t="b">
        <v>0</v>
      </c>
      <c r="B2130" s="497"/>
      <c r="C2130" s="515" t="s">
        <v>4056</v>
      </c>
      <c r="D2130" s="512">
        <v>1</v>
      </c>
      <c r="E2130" s="500"/>
      <c r="F2130" s="503"/>
      <c r="G2130" s="502"/>
      <c r="H2130" s="512"/>
      <c r="I2130" s="503"/>
      <c r="J2130" s="503"/>
      <c r="K2130" s="497" t="str">
        <f ca="1">IFERROR(VLOOKUP(C2130,' Disaggregation - Section E '!A$10:N319,3,0),"")</f>
        <v>HIV I-9a⁽ᴹ⁾ Porcentaje de HSH y viven con el VIH</v>
      </c>
      <c r="L2130" s="503"/>
      <c r="M2130" s="497"/>
      <c r="N2130" s="503"/>
      <c r="O2130" s="503"/>
    </row>
    <row r="2131" spans="1:15" x14ac:dyDescent="0.35">
      <c r="A2131" s="497" t="b">
        <v>0</v>
      </c>
      <c r="B2131" s="497"/>
      <c r="C2131" s="515" t="s">
        <v>4354</v>
      </c>
      <c r="D2131" s="512">
        <v>2</v>
      </c>
      <c r="E2131" s="500"/>
      <c r="F2131" s="503"/>
      <c r="G2131" s="502"/>
      <c r="H2131" s="512"/>
      <c r="I2131" s="503"/>
      <c r="J2131" s="503"/>
      <c r="K2131" s="497" t="str">
        <f ca="1">IFERROR(VLOOKUP(C2131,' Disaggregation - Section E '!A$10:N320,3,0),"")</f>
        <v>HIV I-9b⁽ᴹ⁾ Porcentaje de personas transgénero que viven con el VIH</v>
      </c>
      <c r="L2131" s="503"/>
      <c r="M2131" s="497"/>
      <c r="N2131" s="503"/>
      <c r="O2131" s="503"/>
    </row>
    <row r="2132" spans="1:15" x14ac:dyDescent="0.35">
      <c r="A2132" s="497" t="b">
        <v>0</v>
      </c>
      <c r="B2132" s="497"/>
      <c r="C2132" s="515" t="s">
        <v>4356</v>
      </c>
      <c r="D2132" s="512">
        <v>2</v>
      </c>
      <c r="E2132" s="500"/>
      <c r="F2132" s="503"/>
      <c r="G2132" s="502"/>
      <c r="H2132" s="512"/>
      <c r="I2132" s="503"/>
      <c r="J2132" s="503"/>
      <c r="K2132" s="497" t="str">
        <f ca="1">IFERROR(VLOOKUP(C2132,' Disaggregation - Section E '!A$10:N321,3,0),"")</f>
        <v>HIV I-9b⁽ᴹ⁾ Porcentaje de personas transgénero que viven con el VIH</v>
      </c>
      <c r="L2132" s="503"/>
      <c r="M2132" s="497"/>
      <c r="N2132" s="503"/>
      <c r="O2132" s="503" t="s">
        <v>9913</v>
      </c>
    </row>
    <row r="2133" spans="1:15" x14ac:dyDescent="0.35">
      <c r="A2133" s="497" t="b">
        <v>0</v>
      </c>
      <c r="B2133" s="497"/>
      <c r="C2133" s="515" t="s">
        <v>4358</v>
      </c>
      <c r="D2133" s="512">
        <v>2</v>
      </c>
      <c r="E2133" s="500"/>
      <c r="F2133" s="503"/>
      <c r="G2133" s="502"/>
      <c r="H2133" s="512"/>
      <c r="I2133" s="503"/>
      <c r="J2133" s="503"/>
      <c r="K2133" s="497" t="str">
        <f ca="1">IFERROR(VLOOKUP(C2133,' Disaggregation - Section E '!A$10:N322,3,0),"")</f>
        <v>HIV I-9b⁽ᴹ⁾ Porcentaje de personas transgénero que viven con el VIH</v>
      </c>
      <c r="L2133" s="503"/>
      <c r="M2133" s="497"/>
      <c r="N2133" s="503"/>
      <c r="O2133" s="503"/>
    </row>
    <row r="2134" spans="1:15" x14ac:dyDescent="0.35">
      <c r="A2134" s="497" t="b">
        <v>0</v>
      </c>
      <c r="B2134" s="497"/>
      <c r="C2134" s="515" t="s">
        <v>4360</v>
      </c>
      <c r="D2134" s="512">
        <v>2</v>
      </c>
      <c r="E2134" s="500"/>
      <c r="F2134" s="503"/>
      <c r="G2134" s="502"/>
      <c r="H2134" s="512"/>
      <c r="I2134" s="503"/>
      <c r="J2134" s="503"/>
      <c r="K2134" s="497" t="str">
        <f ca="1">IFERROR(VLOOKUP(C2134,' Disaggregation - Section E '!A$10:N323,3,0),"")</f>
        <v>HIV I-9b⁽ᴹ⁾ Porcentaje de personas transgénero que viven con el VIH</v>
      </c>
      <c r="L2134" s="503"/>
      <c r="M2134" s="497"/>
      <c r="N2134" s="503"/>
      <c r="O2134" s="503"/>
    </row>
    <row r="2135" spans="1:15" x14ac:dyDescent="0.35">
      <c r="A2135" s="497" t="b">
        <v>0</v>
      </c>
      <c r="B2135" s="497"/>
      <c r="C2135" s="515" t="s">
        <v>4362</v>
      </c>
      <c r="D2135" s="512">
        <v>2</v>
      </c>
      <c r="E2135" s="500"/>
      <c r="F2135" s="503"/>
      <c r="G2135" s="502"/>
      <c r="H2135" s="512"/>
      <c r="I2135" s="503"/>
      <c r="J2135" s="503"/>
      <c r="K2135" s="497" t="str">
        <f ca="1">IFERROR(VLOOKUP(C2135,' Disaggregation - Section E '!A$10:N324,3,0),"")</f>
        <v>HIV I-9b⁽ᴹ⁾ Porcentaje de personas transgénero que viven con el VIH</v>
      </c>
      <c r="L2135" s="503"/>
      <c r="M2135" s="497"/>
      <c r="N2135" s="503"/>
      <c r="O2135" s="503"/>
    </row>
    <row r="2136" spans="1:15" x14ac:dyDescent="0.35">
      <c r="A2136" s="497" t="b">
        <v>0</v>
      </c>
      <c r="B2136" s="497"/>
      <c r="C2136" s="515" t="s">
        <v>4364</v>
      </c>
      <c r="D2136" s="512">
        <v>2</v>
      </c>
      <c r="E2136" s="500"/>
      <c r="F2136" s="503"/>
      <c r="G2136" s="502"/>
      <c r="H2136" s="512"/>
      <c r="I2136" s="503"/>
      <c r="J2136" s="503"/>
      <c r="K2136" s="497" t="str">
        <f ca="1">IFERROR(VLOOKUP(C2136,' Disaggregation - Section E '!A$10:N325,3,0),"")</f>
        <v>HIV I-9b⁽ᴹ⁾ Porcentaje de personas transgénero que viven con el VIH</v>
      </c>
      <c r="L2136" s="503"/>
      <c r="M2136" s="497"/>
      <c r="N2136" s="503"/>
      <c r="O2136" s="503"/>
    </row>
    <row r="2137" spans="1:15" x14ac:dyDescent="0.35">
      <c r="A2137" s="497" t="b">
        <v>0</v>
      </c>
      <c r="B2137" s="497"/>
      <c r="C2137" s="515" t="s">
        <v>4366</v>
      </c>
      <c r="D2137" s="512">
        <v>2</v>
      </c>
      <c r="E2137" s="500"/>
      <c r="F2137" s="503"/>
      <c r="G2137" s="502"/>
      <c r="H2137" s="512"/>
      <c r="I2137" s="503"/>
      <c r="J2137" s="503"/>
      <c r="K2137" s="497" t="str">
        <f ca="1">IFERROR(VLOOKUP(C2137,' Disaggregation - Section E '!A$10:N326,3,0),"")</f>
        <v>HIV I-9b⁽ᴹ⁾ Porcentaje de personas transgénero que viven con el VIH</v>
      </c>
      <c r="L2137" s="503"/>
      <c r="M2137" s="497"/>
      <c r="N2137" s="503"/>
      <c r="O2137" s="503"/>
    </row>
    <row r="2138" spans="1:15" x14ac:dyDescent="0.35">
      <c r="A2138" s="497" t="b">
        <v>0</v>
      </c>
      <c r="B2138" s="497"/>
      <c r="C2138" s="515" t="s">
        <v>4368</v>
      </c>
      <c r="D2138" s="512">
        <v>2</v>
      </c>
      <c r="E2138" s="500"/>
      <c r="F2138" s="503"/>
      <c r="G2138" s="502"/>
      <c r="H2138" s="512"/>
      <c r="I2138" s="503"/>
      <c r="J2138" s="503"/>
      <c r="K2138" s="497" t="str">
        <f ca="1">IFERROR(VLOOKUP(C2138,' Disaggregation - Section E '!A$10:N327,3,0),"")</f>
        <v>HIV I-9b⁽ᴹ⁾ Porcentaje de personas transgénero que viven con el VIH</v>
      </c>
      <c r="L2138" s="503"/>
      <c r="M2138" s="497"/>
      <c r="N2138" s="503"/>
      <c r="O2138" s="503"/>
    </row>
    <row r="2139" spans="1:15" x14ac:dyDescent="0.35">
      <c r="A2139" s="497" t="b">
        <v>0</v>
      </c>
      <c r="B2139" s="497"/>
      <c r="C2139" s="515" t="s">
        <v>4370</v>
      </c>
      <c r="D2139" s="512">
        <v>2</v>
      </c>
      <c r="E2139" s="500"/>
      <c r="F2139" s="503"/>
      <c r="G2139" s="502"/>
      <c r="H2139" s="512"/>
      <c r="I2139" s="503"/>
      <c r="J2139" s="503"/>
      <c r="K2139" s="497" t="str">
        <f ca="1">IFERROR(VLOOKUP(C2139,' Disaggregation - Section E '!A$10:N328,3,0),"")</f>
        <v>HIV I-9b⁽ᴹ⁾ Porcentaje de personas transgénero que viven con el VIH</v>
      </c>
      <c r="L2139" s="503"/>
      <c r="M2139" s="497"/>
      <c r="N2139" s="503"/>
      <c r="O2139" s="503"/>
    </row>
    <row r="2140" spans="1:15" x14ac:dyDescent="0.35">
      <c r="A2140" s="497" t="b">
        <v>0</v>
      </c>
      <c r="B2140" s="497"/>
      <c r="C2140" s="515" t="s">
        <v>4372</v>
      </c>
      <c r="D2140" s="512">
        <v>2</v>
      </c>
      <c r="E2140" s="500"/>
      <c r="F2140" s="503"/>
      <c r="G2140" s="502"/>
      <c r="H2140" s="512"/>
      <c r="I2140" s="503"/>
      <c r="J2140" s="503"/>
      <c r="K2140" s="497" t="str">
        <f ca="1">IFERROR(VLOOKUP(C2140,' Disaggregation - Section E '!A$10:N329,3,0),"")</f>
        <v>HIV I-9b⁽ᴹ⁾ Porcentaje de personas transgénero que viven con el VIH</v>
      </c>
      <c r="L2140" s="503"/>
      <c r="M2140" s="497"/>
      <c r="N2140" s="503"/>
      <c r="O2140" s="503"/>
    </row>
    <row r="2141" spans="1:15" x14ac:dyDescent="0.35">
      <c r="A2141" s="497" t="b">
        <v>1</v>
      </c>
      <c r="B2141" s="497"/>
      <c r="C2141" s="515" t="s">
        <v>4060</v>
      </c>
      <c r="D2141" s="512">
        <v>3</v>
      </c>
      <c r="E2141" s="500">
        <v>37</v>
      </c>
      <c r="F2141" s="503" t="s">
        <v>1516</v>
      </c>
      <c r="G2141" s="502"/>
      <c r="H2141" s="512"/>
      <c r="I2141" s="503" t="s">
        <v>1032</v>
      </c>
      <c r="J2141" s="503"/>
      <c r="K2141" s="497" t="str">
        <f ca="1">IFERROR(VLOOKUP(C2141,' Disaggregation - Section E '!A$10:N330,3,0),"")</f>
        <v/>
      </c>
      <c r="L2141" s="503" t="s">
        <v>4059</v>
      </c>
      <c r="M2141" s="497" t="s">
        <v>1525</v>
      </c>
      <c r="N2141" s="503"/>
      <c r="O2141" s="503" t="s">
        <v>9912</v>
      </c>
    </row>
    <row r="2142" spans="1:15" x14ac:dyDescent="0.35">
      <c r="A2142" s="497" t="b">
        <v>1</v>
      </c>
      <c r="B2142" s="497"/>
      <c r="C2142" s="515" t="s">
        <v>4062</v>
      </c>
      <c r="D2142" s="512">
        <v>3</v>
      </c>
      <c r="E2142" s="500"/>
      <c r="F2142" s="503" t="s">
        <v>1522</v>
      </c>
      <c r="G2142" s="502"/>
      <c r="H2142" s="512"/>
      <c r="I2142" s="503" t="s">
        <v>1032</v>
      </c>
      <c r="J2142" s="503"/>
      <c r="K2142" s="497" t="str">
        <f ca="1">IFERROR(VLOOKUP(C2142,' Disaggregation - Section E '!A$10:N331,3,0),"")</f>
        <v/>
      </c>
      <c r="L2142" s="503" t="s">
        <v>4059</v>
      </c>
      <c r="M2142" s="497" t="s">
        <v>1530</v>
      </c>
      <c r="N2142" s="503"/>
      <c r="O2142" s="503" t="s">
        <v>9912</v>
      </c>
    </row>
    <row r="2143" spans="1:15" x14ac:dyDescent="0.35">
      <c r="A2143" s="497" t="b">
        <v>0</v>
      </c>
      <c r="B2143" s="497"/>
      <c r="C2143" s="515" t="s">
        <v>4064</v>
      </c>
      <c r="D2143" s="512">
        <v>3</v>
      </c>
      <c r="E2143" s="500"/>
      <c r="F2143" s="503"/>
      <c r="G2143" s="502"/>
      <c r="H2143" s="512"/>
      <c r="I2143" s="503"/>
      <c r="J2143" s="503"/>
      <c r="K2143" s="497" t="str">
        <f ca="1">IFERROR(VLOOKUP(C2143,' Disaggregation - Section E '!A$10:N332,3,0),"")</f>
        <v/>
      </c>
      <c r="L2143" s="503"/>
      <c r="M2143" s="497"/>
      <c r="N2143" s="503"/>
      <c r="O2143" s="503"/>
    </row>
    <row r="2144" spans="1:15" x14ac:dyDescent="0.35">
      <c r="A2144" s="497" t="b">
        <v>0</v>
      </c>
      <c r="B2144" s="497"/>
      <c r="C2144" s="515" t="s">
        <v>4066</v>
      </c>
      <c r="D2144" s="512">
        <v>3</v>
      </c>
      <c r="E2144" s="500"/>
      <c r="F2144" s="503"/>
      <c r="G2144" s="502"/>
      <c r="H2144" s="512"/>
      <c r="I2144" s="503"/>
      <c r="J2144" s="503"/>
      <c r="K2144" s="497" t="str">
        <f ca="1">IFERROR(VLOOKUP(C2144,' Disaggregation - Section E '!A$10:N333,3,0),"")</f>
        <v/>
      </c>
      <c r="L2144" s="503"/>
      <c r="M2144" s="497"/>
      <c r="N2144" s="503"/>
      <c r="O2144" s="503"/>
    </row>
    <row r="2145" spans="1:15" x14ac:dyDescent="0.35">
      <c r="A2145" s="497" t="b">
        <v>0</v>
      </c>
      <c r="B2145" s="497"/>
      <c r="C2145" s="515" t="s">
        <v>4068</v>
      </c>
      <c r="D2145" s="512">
        <v>3</v>
      </c>
      <c r="E2145" s="500"/>
      <c r="F2145" s="503"/>
      <c r="G2145" s="502"/>
      <c r="H2145" s="512"/>
      <c r="I2145" s="503"/>
      <c r="J2145" s="503"/>
      <c r="K2145" s="497" t="str">
        <f ca="1">IFERROR(VLOOKUP(C2145,' Disaggregation - Section E '!A$10:N334,3,0),"")</f>
        <v/>
      </c>
      <c r="L2145" s="503"/>
      <c r="M2145" s="497"/>
      <c r="N2145" s="503"/>
      <c r="O2145" s="503"/>
    </row>
    <row r="2146" spans="1:15" x14ac:dyDescent="0.35">
      <c r="A2146" s="497" t="b">
        <v>0</v>
      </c>
      <c r="B2146" s="497"/>
      <c r="C2146" s="515" t="s">
        <v>4070</v>
      </c>
      <c r="D2146" s="512">
        <v>3</v>
      </c>
      <c r="E2146" s="500"/>
      <c r="F2146" s="503"/>
      <c r="G2146" s="502"/>
      <c r="H2146" s="512"/>
      <c r="I2146" s="503"/>
      <c r="J2146" s="503"/>
      <c r="K2146" s="497" t="str">
        <f ca="1">IFERROR(VLOOKUP(C2146,' Disaggregation - Section E '!A$10:N335,3,0),"")</f>
        <v/>
      </c>
      <c r="L2146" s="503"/>
      <c r="M2146" s="497"/>
      <c r="N2146" s="503"/>
      <c r="O2146" s="503"/>
    </row>
    <row r="2147" spans="1:15" x14ac:dyDescent="0.35">
      <c r="A2147" s="497" t="b">
        <v>0</v>
      </c>
      <c r="B2147" s="497"/>
      <c r="C2147" s="515" t="s">
        <v>4072</v>
      </c>
      <c r="D2147" s="512">
        <v>3</v>
      </c>
      <c r="E2147" s="500"/>
      <c r="F2147" s="503"/>
      <c r="G2147" s="502"/>
      <c r="H2147" s="512"/>
      <c r="I2147" s="503"/>
      <c r="J2147" s="503"/>
      <c r="K2147" s="497" t="str">
        <f ca="1">IFERROR(VLOOKUP(C2147,' Disaggregation - Section E '!A$10:N336,3,0),"")</f>
        <v/>
      </c>
      <c r="L2147" s="503"/>
      <c r="M2147" s="497"/>
      <c r="N2147" s="503"/>
      <c r="O2147" s="503"/>
    </row>
    <row r="2148" spans="1:15" x14ac:dyDescent="0.35">
      <c r="A2148" s="497" t="b">
        <v>0</v>
      </c>
      <c r="B2148" s="497"/>
      <c r="C2148" s="515" t="s">
        <v>4074</v>
      </c>
      <c r="D2148" s="512">
        <v>3</v>
      </c>
      <c r="E2148" s="500"/>
      <c r="F2148" s="503"/>
      <c r="G2148" s="502"/>
      <c r="H2148" s="512"/>
      <c r="I2148" s="503"/>
      <c r="J2148" s="503"/>
      <c r="K2148" s="497" t="str">
        <f ca="1">IFERROR(VLOOKUP(C2148,' Disaggregation - Section E '!A$10:N337,3,0),"")</f>
        <v/>
      </c>
      <c r="L2148" s="503"/>
      <c r="M2148" s="497"/>
      <c r="N2148" s="503"/>
      <c r="O2148" s="503"/>
    </row>
    <row r="2149" spans="1:15" x14ac:dyDescent="0.35">
      <c r="A2149" s="497" t="b">
        <v>0</v>
      </c>
      <c r="B2149" s="497"/>
      <c r="C2149" s="515" t="s">
        <v>4076</v>
      </c>
      <c r="D2149" s="512">
        <v>3</v>
      </c>
      <c r="E2149" s="500"/>
      <c r="F2149" s="503"/>
      <c r="G2149" s="502"/>
      <c r="H2149" s="512"/>
      <c r="I2149" s="503"/>
      <c r="J2149" s="503"/>
      <c r="K2149" s="497" t="str">
        <f ca="1">IFERROR(VLOOKUP(C2149,' Disaggregation - Section E '!A$10:N338,3,0),"")</f>
        <v/>
      </c>
      <c r="L2149" s="503"/>
      <c r="M2149" s="497"/>
      <c r="N2149" s="503"/>
      <c r="O2149" s="503"/>
    </row>
    <row r="2150" spans="1:15" x14ac:dyDescent="0.35">
      <c r="A2150" s="497" t="b">
        <v>0</v>
      </c>
      <c r="B2150" s="497"/>
      <c r="C2150" s="515" t="s">
        <v>4078</v>
      </c>
      <c r="D2150" s="512">
        <v>3</v>
      </c>
      <c r="E2150" s="500"/>
      <c r="F2150" s="503"/>
      <c r="G2150" s="502"/>
      <c r="H2150" s="512"/>
      <c r="I2150" s="503"/>
      <c r="J2150" s="503"/>
      <c r="K2150" s="497" t="str">
        <f ca="1">IFERROR(VLOOKUP(C2150,' Disaggregation - Section E '!A$10:N339,3,0),"")</f>
        <v/>
      </c>
      <c r="L2150" s="503"/>
      <c r="M2150" s="497"/>
      <c r="N2150" s="503"/>
      <c r="O2150" s="503"/>
    </row>
    <row r="2151" spans="1:15" x14ac:dyDescent="0.35">
      <c r="A2151" s="497" t="b">
        <v>0</v>
      </c>
      <c r="B2151" s="497"/>
      <c r="C2151" s="515" t="s">
        <v>4375</v>
      </c>
      <c r="D2151" s="512">
        <v>4</v>
      </c>
      <c r="E2151" s="500"/>
      <c r="F2151" s="503"/>
      <c r="G2151" s="502"/>
      <c r="H2151" s="512"/>
      <c r="I2151" s="503"/>
      <c r="J2151" s="503"/>
      <c r="K2151" s="497" t="str">
        <f ca="1">IFERROR(VLOOKUP(C2151,' Disaggregation - Section E '!A$10:N340,3,0),"")</f>
        <v/>
      </c>
      <c r="L2151" s="503"/>
      <c r="M2151" s="497"/>
      <c r="N2151" s="503"/>
      <c r="O2151" s="503"/>
    </row>
    <row r="2152" spans="1:15" x14ac:dyDescent="0.35">
      <c r="A2152" s="497" t="b">
        <v>0</v>
      </c>
      <c r="B2152" s="497"/>
      <c r="C2152" s="515" t="s">
        <v>4377</v>
      </c>
      <c r="D2152" s="512">
        <v>4</v>
      </c>
      <c r="E2152" s="500"/>
      <c r="F2152" s="503"/>
      <c r="G2152" s="502"/>
      <c r="H2152" s="512"/>
      <c r="I2152" s="503"/>
      <c r="J2152" s="503"/>
      <c r="K2152" s="497" t="str">
        <f ca="1">IFERROR(VLOOKUP(C2152,' Disaggregation - Section E '!A$10:N341,3,0),"")</f>
        <v/>
      </c>
      <c r="L2152" s="503"/>
      <c r="M2152" s="497"/>
      <c r="N2152" s="503"/>
      <c r="O2152" s="503"/>
    </row>
    <row r="2153" spans="1:15" x14ac:dyDescent="0.35">
      <c r="A2153" s="497" t="b">
        <v>0</v>
      </c>
      <c r="B2153" s="497"/>
      <c r="C2153" s="515" t="s">
        <v>4379</v>
      </c>
      <c r="D2153" s="512">
        <v>4</v>
      </c>
      <c r="E2153" s="500"/>
      <c r="F2153" s="503"/>
      <c r="G2153" s="502"/>
      <c r="H2153" s="512"/>
      <c r="I2153" s="503"/>
      <c r="J2153" s="503"/>
      <c r="K2153" s="497" t="str">
        <f ca="1">IFERROR(VLOOKUP(C2153,' Disaggregation - Section E '!A$10:N342,3,0),"")</f>
        <v/>
      </c>
      <c r="L2153" s="503"/>
      <c r="M2153" s="497"/>
      <c r="N2153" s="503"/>
      <c r="O2153" s="503"/>
    </row>
    <row r="2154" spans="1:15" x14ac:dyDescent="0.35">
      <c r="A2154" s="497" t="b">
        <v>0</v>
      </c>
      <c r="B2154" s="497"/>
      <c r="C2154" s="515" t="s">
        <v>4381</v>
      </c>
      <c r="D2154" s="512">
        <v>4</v>
      </c>
      <c r="E2154" s="500"/>
      <c r="F2154" s="503"/>
      <c r="G2154" s="502"/>
      <c r="H2154" s="512"/>
      <c r="I2154" s="503"/>
      <c r="J2154" s="503"/>
      <c r="K2154" s="497" t="str">
        <f ca="1">IFERROR(VLOOKUP(C2154,' Disaggregation - Section E '!A$10:N343,3,0),"")</f>
        <v/>
      </c>
      <c r="L2154" s="503"/>
      <c r="M2154" s="497"/>
      <c r="N2154" s="503"/>
      <c r="O2154" s="503"/>
    </row>
    <row r="2155" spans="1:15" x14ac:dyDescent="0.35">
      <c r="A2155" s="497" t="b">
        <v>0</v>
      </c>
      <c r="B2155" s="497"/>
      <c r="C2155" s="515" t="s">
        <v>4383</v>
      </c>
      <c r="D2155" s="512">
        <v>4</v>
      </c>
      <c r="E2155" s="500"/>
      <c r="F2155" s="503"/>
      <c r="G2155" s="502"/>
      <c r="H2155" s="512"/>
      <c r="I2155" s="503"/>
      <c r="J2155" s="503"/>
      <c r="K2155" s="497" t="str">
        <f ca="1">IFERROR(VLOOKUP(C2155,' Disaggregation - Section E '!A$10:N344,3,0),"")</f>
        <v/>
      </c>
      <c r="L2155" s="503"/>
      <c r="M2155" s="497"/>
      <c r="N2155" s="503"/>
      <c r="O2155" s="503"/>
    </row>
    <row r="2156" spans="1:15" x14ac:dyDescent="0.35">
      <c r="A2156" s="497" t="b">
        <v>0</v>
      </c>
      <c r="B2156" s="497"/>
      <c r="C2156" s="515" t="s">
        <v>4385</v>
      </c>
      <c r="D2156" s="512">
        <v>4</v>
      </c>
      <c r="E2156" s="500"/>
      <c r="F2156" s="503"/>
      <c r="G2156" s="502"/>
      <c r="H2156" s="512"/>
      <c r="I2156" s="503"/>
      <c r="J2156" s="503"/>
      <c r="K2156" s="497" t="str">
        <f ca="1">IFERROR(VLOOKUP(C2156,' Disaggregation - Section E '!A$10:N345,3,0),"")</f>
        <v/>
      </c>
      <c r="L2156" s="503"/>
      <c r="M2156" s="497"/>
      <c r="N2156" s="503"/>
      <c r="O2156" s="503"/>
    </row>
    <row r="2157" spans="1:15" x14ac:dyDescent="0.35">
      <c r="A2157" s="497" t="b">
        <v>0</v>
      </c>
      <c r="B2157" s="497"/>
      <c r="C2157" s="515" t="s">
        <v>4387</v>
      </c>
      <c r="D2157" s="512">
        <v>4</v>
      </c>
      <c r="E2157" s="500"/>
      <c r="F2157" s="503"/>
      <c r="G2157" s="502"/>
      <c r="H2157" s="512"/>
      <c r="I2157" s="503"/>
      <c r="J2157" s="503"/>
      <c r="K2157" s="497" t="str">
        <f ca="1">IFERROR(VLOOKUP(C2157,' Disaggregation - Section E '!A$10:N346,3,0),"")</f>
        <v/>
      </c>
      <c r="L2157" s="503"/>
      <c r="M2157" s="497"/>
      <c r="N2157" s="503"/>
      <c r="O2157" s="503"/>
    </row>
    <row r="2158" spans="1:15" x14ac:dyDescent="0.35">
      <c r="A2158" s="497" t="b">
        <v>0</v>
      </c>
      <c r="B2158" s="497"/>
      <c r="C2158" s="515" t="s">
        <v>4389</v>
      </c>
      <c r="D2158" s="512">
        <v>4</v>
      </c>
      <c r="E2158" s="500"/>
      <c r="F2158" s="503"/>
      <c r="G2158" s="502"/>
      <c r="H2158" s="512"/>
      <c r="I2158" s="503"/>
      <c r="J2158" s="503"/>
      <c r="K2158" s="497" t="str">
        <f ca="1">IFERROR(VLOOKUP(C2158,' Disaggregation - Section E '!A$10:N347,3,0),"")</f>
        <v/>
      </c>
      <c r="L2158" s="503"/>
      <c r="M2158" s="497"/>
      <c r="N2158" s="503"/>
      <c r="O2158" s="503"/>
    </row>
    <row r="2159" spans="1:15" x14ac:dyDescent="0.35">
      <c r="A2159" s="497" t="b">
        <v>0</v>
      </c>
      <c r="B2159" s="497"/>
      <c r="C2159" s="515" t="s">
        <v>4391</v>
      </c>
      <c r="D2159" s="512">
        <v>4</v>
      </c>
      <c r="E2159" s="500"/>
      <c r="F2159" s="503"/>
      <c r="G2159" s="502"/>
      <c r="H2159" s="512"/>
      <c r="I2159" s="503"/>
      <c r="J2159" s="503"/>
      <c r="K2159" s="497" t="str">
        <f ca="1">IFERROR(VLOOKUP(C2159,' Disaggregation - Section E '!A$10:N348,3,0),"")</f>
        <v/>
      </c>
      <c r="L2159" s="503"/>
      <c r="M2159" s="497"/>
      <c r="N2159" s="503"/>
      <c r="O2159" s="503"/>
    </row>
    <row r="2160" spans="1:15" x14ac:dyDescent="0.35">
      <c r="A2160" s="497" t="b">
        <v>0</v>
      </c>
      <c r="B2160" s="497"/>
      <c r="C2160" s="515" t="s">
        <v>4393</v>
      </c>
      <c r="D2160" s="512">
        <v>4</v>
      </c>
      <c r="E2160" s="500"/>
      <c r="F2160" s="503"/>
      <c r="G2160" s="502"/>
      <c r="H2160" s="512"/>
      <c r="I2160" s="503"/>
      <c r="J2160" s="503"/>
      <c r="K2160" s="497" t="str">
        <f ca="1">IFERROR(VLOOKUP(C2160,' Disaggregation - Section E '!A$10:N349,3,0),"")</f>
        <v/>
      </c>
      <c r="L2160" s="503"/>
      <c r="M2160" s="497"/>
      <c r="N2160" s="503"/>
      <c r="O2160" s="503"/>
    </row>
    <row r="2161" spans="1:15" x14ac:dyDescent="0.35">
      <c r="A2161" s="497" t="b">
        <v>0</v>
      </c>
      <c r="B2161" s="497"/>
      <c r="C2161" s="515" t="s">
        <v>4081</v>
      </c>
      <c r="D2161" s="512">
        <v>5</v>
      </c>
      <c r="E2161" s="500"/>
      <c r="F2161" s="503"/>
      <c r="G2161" s="502"/>
      <c r="H2161" s="512"/>
      <c r="I2161" s="503"/>
      <c r="J2161" s="503"/>
      <c r="K2161" s="497" t="str">
        <f ca="1">IFERROR(VLOOKUP(C2161,' Disaggregation - Section E '!A$10:N350,3,0),"")</f>
        <v/>
      </c>
      <c r="L2161" s="503"/>
      <c r="M2161" s="497"/>
      <c r="N2161" s="503"/>
      <c r="O2161" s="503"/>
    </row>
    <row r="2162" spans="1:15" x14ac:dyDescent="0.35">
      <c r="A2162" s="497" t="b">
        <v>0</v>
      </c>
      <c r="B2162" s="497"/>
      <c r="C2162" s="515" t="s">
        <v>4083</v>
      </c>
      <c r="D2162" s="512">
        <v>5</v>
      </c>
      <c r="E2162" s="500"/>
      <c r="F2162" s="503"/>
      <c r="G2162" s="502"/>
      <c r="H2162" s="512"/>
      <c r="I2162" s="503" t="s">
        <v>1032</v>
      </c>
      <c r="J2162" s="503"/>
      <c r="K2162" s="497" t="str">
        <f ca="1">IFERROR(VLOOKUP(C2162,' Disaggregation - Section E '!A$10:N351,3,0),"")</f>
        <v/>
      </c>
      <c r="L2162" s="503"/>
      <c r="M2162" s="497"/>
      <c r="N2162" s="503"/>
      <c r="O2162" s="503"/>
    </row>
    <row r="2163" spans="1:15" x14ac:dyDescent="0.35">
      <c r="A2163" s="497" t="b">
        <v>0</v>
      </c>
      <c r="B2163" s="497"/>
      <c r="C2163" s="515" t="s">
        <v>4085</v>
      </c>
      <c r="D2163" s="512">
        <v>5</v>
      </c>
      <c r="E2163" s="500"/>
      <c r="F2163" s="503"/>
      <c r="G2163" s="502"/>
      <c r="H2163" s="512"/>
      <c r="I2163" s="503"/>
      <c r="J2163" s="503"/>
      <c r="K2163" s="497" t="str">
        <f ca="1">IFERROR(VLOOKUP(C2163,' Disaggregation - Section E '!A$10:N352,3,0),"")</f>
        <v/>
      </c>
      <c r="L2163" s="503"/>
      <c r="M2163" s="497"/>
      <c r="N2163" s="503"/>
      <c r="O2163" s="503"/>
    </row>
    <row r="2164" spans="1:15" x14ac:dyDescent="0.35">
      <c r="A2164" s="497" t="b">
        <v>0</v>
      </c>
      <c r="B2164" s="497"/>
      <c r="C2164" s="515" t="s">
        <v>4087</v>
      </c>
      <c r="D2164" s="512">
        <v>5</v>
      </c>
      <c r="E2164" s="500"/>
      <c r="F2164" s="503"/>
      <c r="G2164" s="502"/>
      <c r="H2164" s="512"/>
      <c r="I2164" s="503" t="s">
        <v>1032</v>
      </c>
      <c r="J2164" s="503"/>
      <c r="K2164" s="497" t="str">
        <f ca="1">IFERROR(VLOOKUP(C2164,' Disaggregation - Section E '!A$10:N353,3,0),"")</f>
        <v/>
      </c>
      <c r="L2164" s="503"/>
      <c r="M2164" s="497"/>
      <c r="N2164" s="503"/>
      <c r="O2164" s="503"/>
    </row>
    <row r="2165" spans="1:15" x14ac:dyDescent="0.35">
      <c r="A2165" s="497" t="b">
        <v>0</v>
      </c>
      <c r="B2165" s="497"/>
      <c r="C2165" s="515" t="s">
        <v>4089</v>
      </c>
      <c r="D2165" s="512">
        <v>5</v>
      </c>
      <c r="E2165" s="500"/>
      <c r="F2165" s="503"/>
      <c r="G2165" s="502"/>
      <c r="H2165" s="512"/>
      <c r="I2165" s="503" t="s">
        <v>1032</v>
      </c>
      <c r="J2165" s="503"/>
      <c r="K2165" s="497" t="str">
        <f ca="1">IFERROR(VLOOKUP(C2165,' Disaggregation - Section E '!A$10:N354,3,0),"")</f>
        <v/>
      </c>
      <c r="L2165" s="503"/>
      <c r="M2165" s="497"/>
      <c r="N2165" s="503"/>
      <c r="O2165" s="503"/>
    </row>
    <row r="2166" spans="1:15" x14ac:dyDescent="0.35">
      <c r="A2166" s="497" t="b">
        <v>0</v>
      </c>
      <c r="B2166" s="497"/>
      <c r="C2166" s="515" t="s">
        <v>4091</v>
      </c>
      <c r="D2166" s="512">
        <v>5</v>
      </c>
      <c r="E2166" s="500"/>
      <c r="F2166" s="503"/>
      <c r="G2166" s="502"/>
      <c r="H2166" s="512"/>
      <c r="I2166" s="503"/>
      <c r="J2166" s="503"/>
      <c r="K2166" s="497" t="str">
        <f ca="1">IFERROR(VLOOKUP(C2166,' Disaggregation - Section E '!A$10:N355,3,0),"")</f>
        <v/>
      </c>
      <c r="L2166" s="503"/>
      <c r="M2166" s="497"/>
      <c r="N2166" s="503"/>
      <c r="O2166" s="503"/>
    </row>
    <row r="2167" spans="1:15" x14ac:dyDescent="0.35">
      <c r="A2167" s="497" t="b">
        <v>0</v>
      </c>
      <c r="B2167" s="497"/>
      <c r="C2167" s="515" t="s">
        <v>4093</v>
      </c>
      <c r="D2167" s="512">
        <v>5</v>
      </c>
      <c r="E2167" s="500"/>
      <c r="F2167" s="503"/>
      <c r="G2167" s="502"/>
      <c r="H2167" s="512"/>
      <c r="I2167" s="503"/>
      <c r="J2167" s="503"/>
      <c r="K2167" s="497" t="str">
        <f ca="1">IFERROR(VLOOKUP(C2167,' Disaggregation - Section E '!A$10:N356,3,0),"")</f>
        <v/>
      </c>
      <c r="L2167" s="503"/>
      <c r="M2167" s="497"/>
      <c r="N2167" s="503"/>
      <c r="O2167" s="503"/>
    </row>
    <row r="2168" spans="1:15" x14ac:dyDescent="0.35">
      <c r="A2168" s="497" t="b">
        <v>0</v>
      </c>
      <c r="B2168" s="497"/>
      <c r="C2168" s="515" t="s">
        <v>4095</v>
      </c>
      <c r="D2168" s="512">
        <v>5</v>
      </c>
      <c r="E2168" s="500"/>
      <c r="F2168" s="503"/>
      <c r="G2168" s="502"/>
      <c r="H2168" s="512"/>
      <c r="I2168" s="503"/>
      <c r="J2168" s="503"/>
      <c r="K2168" s="497" t="str">
        <f ca="1">IFERROR(VLOOKUP(C2168,' Disaggregation - Section E '!A$10:N357,3,0),"")</f>
        <v/>
      </c>
      <c r="L2168" s="503"/>
      <c r="M2168" s="497"/>
      <c r="N2168" s="503"/>
      <c r="O2168" s="503"/>
    </row>
    <row r="2169" spans="1:15" x14ac:dyDescent="0.35">
      <c r="A2169" s="497" t="b">
        <v>0</v>
      </c>
      <c r="B2169" s="497"/>
      <c r="C2169" s="515" t="s">
        <v>4097</v>
      </c>
      <c r="D2169" s="512">
        <v>5</v>
      </c>
      <c r="E2169" s="500"/>
      <c r="F2169" s="503"/>
      <c r="G2169" s="502"/>
      <c r="H2169" s="512"/>
      <c r="I2169" s="503"/>
      <c r="J2169" s="503"/>
      <c r="K2169" s="497" t="str">
        <f ca="1">IFERROR(VLOOKUP(C2169,' Disaggregation - Section E '!A$10:N358,3,0),"")</f>
        <v/>
      </c>
      <c r="L2169" s="503"/>
      <c r="M2169" s="497"/>
      <c r="N2169" s="503"/>
      <c r="O2169" s="503"/>
    </row>
    <row r="2170" spans="1:15" x14ac:dyDescent="0.35">
      <c r="A2170" s="497" t="b">
        <v>0</v>
      </c>
      <c r="B2170" s="497"/>
      <c r="C2170" s="515" t="s">
        <v>4099</v>
      </c>
      <c r="D2170" s="512">
        <v>5</v>
      </c>
      <c r="E2170" s="500"/>
      <c r="F2170" s="503"/>
      <c r="G2170" s="502"/>
      <c r="H2170" s="512"/>
      <c r="I2170" s="503"/>
      <c r="J2170" s="503"/>
      <c r="K2170" s="497" t="str">
        <f ca="1">IFERROR(VLOOKUP(C2170,' Disaggregation - Section E '!A$10:N359,3,0),"")</f>
        <v/>
      </c>
      <c r="L2170" s="503"/>
      <c r="M2170" s="497"/>
      <c r="N2170" s="503"/>
      <c r="O2170" s="503"/>
    </row>
    <row r="2171" spans="1:15" x14ac:dyDescent="0.35">
      <c r="A2171" s="497" t="b">
        <v>0</v>
      </c>
      <c r="B2171" s="497"/>
      <c r="C2171" s="515" t="s">
        <v>4396</v>
      </c>
      <c r="D2171" s="512">
        <v>6</v>
      </c>
      <c r="E2171" s="500"/>
      <c r="F2171" s="503"/>
      <c r="G2171" s="502"/>
      <c r="H2171" s="512"/>
      <c r="I2171" s="503"/>
      <c r="J2171" s="503"/>
      <c r="K2171" s="497" t="str">
        <f ca="1">IFERROR(VLOOKUP(C2171,' Disaggregation - Section E '!A$10:N360,3,0),"")</f>
        <v/>
      </c>
      <c r="L2171" s="503"/>
      <c r="M2171" s="497"/>
      <c r="N2171" s="503"/>
      <c r="O2171" s="503"/>
    </row>
    <row r="2172" spans="1:15" x14ac:dyDescent="0.35">
      <c r="A2172" s="497" t="b">
        <v>0</v>
      </c>
      <c r="B2172" s="497"/>
      <c r="C2172" s="515" t="s">
        <v>4398</v>
      </c>
      <c r="D2172" s="512">
        <v>6</v>
      </c>
      <c r="E2172" s="500"/>
      <c r="F2172" s="503"/>
      <c r="G2172" s="502"/>
      <c r="H2172" s="512"/>
      <c r="I2172" s="503"/>
      <c r="J2172" s="503"/>
      <c r="K2172" s="497" t="str">
        <f ca="1">IFERROR(VLOOKUP(C2172,' Disaggregation - Section E '!A$10:N361,3,0),"")</f>
        <v/>
      </c>
      <c r="L2172" s="503"/>
      <c r="M2172" s="497"/>
      <c r="N2172" s="503"/>
      <c r="O2172" s="503"/>
    </row>
    <row r="2173" spans="1:15" x14ac:dyDescent="0.35">
      <c r="A2173" s="497" t="b">
        <v>0</v>
      </c>
      <c r="B2173" s="497"/>
      <c r="C2173" s="515" t="s">
        <v>4400</v>
      </c>
      <c r="D2173" s="512">
        <v>6</v>
      </c>
      <c r="E2173" s="500"/>
      <c r="F2173" s="503"/>
      <c r="G2173" s="502"/>
      <c r="H2173" s="512"/>
      <c r="I2173" s="503"/>
      <c r="J2173" s="503"/>
      <c r="K2173" s="497" t="str">
        <f ca="1">IFERROR(VLOOKUP(C2173,' Disaggregation - Section E '!A$10:N362,3,0),"")</f>
        <v/>
      </c>
      <c r="L2173" s="503"/>
      <c r="M2173" s="497"/>
      <c r="N2173" s="503"/>
      <c r="O2173" s="503"/>
    </row>
    <row r="2174" spans="1:15" x14ac:dyDescent="0.35">
      <c r="A2174" s="497" t="b">
        <v>0</v>
      </c>
      <c r="B2174" s="497"/>
      <c r="C2174" s="515" t="s">
        <v>4402</v>
      </c>
      <c r="D2174" s="512">
        <v>6</v>
      </c>
      <c r="E2174" s="500"/>
      <c r="F2174" s="503"/>
      <c r="G2174" s="502"/>
      <c r="H2174" s="512"/>
      <c r="I2174" s="503"/>
      <c r="J2174" s="503"/>
      <c r="K2174" s="497" t="str">
        <f ca="1">IFERROR(VLOOKUP(C2174,' Disaggregation - Section E '!A$10:N363,3,0),"")</f>
        <v/>
      </c>
      <c r="L2174" s="503"/>
      <c r="M2174" s="497"/>
      <c r="N2174" s="503"/>
      <c r="O2174" s="503"/>
    </row>
    <row r="2175" spans="1:15" x14ac:dyDescent="0.35">
      <c r="A2175" s="497" t="b">
        <v>0</v>
      </c>
      <c r="B2175" s="497"/>
      <c r="C2175" s="515" t="s">
        <v>4404</v>
      </c>
      <c r="D2175" s="512">
        <v>6</v>
      </c>
      <c r="E2175" s="500"/>
      <c r="F2175" s="503"/>
      <c r="G2175" s="502"/>
      <c r="H2175" s="512"/>
      <c r="I2175" s="503"/>
      <c r="J2175" s="503"/>
      <c r="K2175" s="497" t="str">
        <f ca="1">IFERROR(VLOOKUP(C2175,' Disaggregation - Section E '!A$10:N364,3,0),"")</f>
        <v/>
      </c>
      <c r="L2175" s="503"/>
      <c r="M2175" s="497"/>
      <c r="N2175" s="503"/>
      <c r="O2175" s="503"/>
    </row>
    <row r="2176" spans="1:15" x14ac:dyDescent="0.35">
      <c r="A2176" s="497" t="b">
        <v>0</v>
      </c>
      <c r="B2176" s="497"/>
      <c r="C2176" s="515" t="s">
        <v>4406</v>
      </c>
      <c r="D2176" s="512">
        <v>6</v>
      </c>
      <c r="E2176" s="500"/>
      <c r="F2176" s="503"/>
      <c r="G2176" s="502"/>
      <c r="H2176" s="512"/>
      <c r="I2176" s="503"/>
      <c r="J2176" s="503"/>
      <c r="K2176" s="497" t="str">
        <f ca="1">IFERROR(VLOOKUP(C2176,' Disaggregation - Section E '!A$10:N365,3,0),"")</f>
        <v/>
      </c>
      <c r="L2176" s="503"/>
      <c r="M2176" s="497"/>
      <c r="N2176" s="503"/>
      <c r="O2176" s="503"/>
    </row>
    <row r="2177" spans="1:15" x14ac:dyDescent="0.35">
      <c r="A2177" s="497" t="b">
        <v>0</v>
      </c>
      <c r="B2177" s="497"/>
      <c r="C2177" s="515" t="s">
        <v>4408</v>
      </c>
      <c r="D2177" s="512">
        <v>6</v>
      </c>
      <c r="E2177" s="500"/>
      <c r="F2177" s="503"/>
      <c r="G2177" s="502"/>
      <c r="H2177" s="512"/>
      <c r="I2177" s="503"/>
      <c r="J2177" s="503"/>
      <c r="K2177" s="497" t="str">
        <f ca="1">IFERROR(VLOOKUP(C2177,' Disaggregation - Section E '!A$10:N366,3,0),"")</f>
        <v/>
      </c>
      <c r="L2177" s="503"/>
      <c r="M2177" s="497"/>
      <c r="N2177" s="503"/>
      <c r="O2177" s="503"/>
    </row>
    <row r="2178" spans="1:15" x14ac:dyDescent="0.35">
      <c r="A2178" s="497" t="b">
        <v>0</v>
      </c>
      <c r="B2178" s="497"/>
      <c r="C2178" s="515" t="s">
        <v>4410</v>
      </c>
      <c r="D2178" s="512">
        <v>6</v>
      </c>
      <c r="E2178" s="500"/>
      <c r="F2178" s="503"/>
      <c r="G2178" s="502"/>
      <c r="H2178" s="512"/>
      <c r="I2178" s="503"/>
      <c r="J2178" s="503"/>
      <c r="K2178" s="497" t="str">
        <f ca="1">IFERROR(VLOOKUP(C2178,' Disaggregation - Section E '!A$10:N367,3,0),"")</f>
        <v/>
      </c>
      <c r="L2178" s="503"/>
      <c r="M2178" s="497"/>
      <c r="N2178" s="503"/>
      <c r="O2178" s="503"/>
    </row>
    <row r="2179" spans="1:15" x14ac:dyDescent="0.35">
      <c r="A2179" s="497" t="b">
        <v>0</v>
      </c>
      <c r="B2179" s="497"/>
      <c r="C2179" s="515" t="s">
        <v>4412</v>
      </c>
      <c r="D2179" s="512">
        <v>6</v>
      </c>
      <c r="E2179" s="500"/>
      <c r="F2179" s="503"/>
      <c r="G2179" s="502"/>
      <c r="H2179" s="512"/>
      <c r="I2179" s="503"/>
      <c r="J2179" s="503"/>
      <c r="K2179" s="497" t="str">
        <f ca="1">IFERROR(VLOOKUP(C2179,' Disaggregation - Section E '!A$10:N368,3,0),"")</f>
        <v/>
      </c>
      <c r="L2179" s="503"/>
      <c r="M2179" s="497"/>
      <c r="N2179" s="503"/>
      <c r="O2179" s="503"/>
    </row>
    <row r="2180" spans="1:15" x14ac:dyDescent="0.35">
      <c r="A2180" s="497" t="b">
        <v>0</v>
      </c>
      <c r="B2180" s="497"/>
      <c r="C2180" s="515" t="s">
        <v>4414</v>
      </c>
      <c r="D2180" s="512">
        <v>6</v>
      </c>
      <c r="E2180" s="500"/>
      <c r="F2180" s="503"/>
      <c r="G2180" s="502"/>
      <c r="H2180" s="512"/>
      <c r="I2180" s="503"/>
      <c r="J2180" s="503"/>
      <c r="K2180" s="497" t="str">
        <f ca="1">IFERROR(VLOOKUP(C2180,' Disaggregation - Section E '!A$10:N369,3,0),"")</f>
        <v/>
      </c>
      <c r="L2180" s="503"/>
      <c r="M2180" s="497"/>
      <c r="N2180" s="503"/>
      <c r="O2180" s="503"/>
    </row>
    <row r="2181" spans="1:15" x14ac:dyDescent="0.35">
      <c r="A2181" s="497" t="b">
        <v>0</v>
      </c>
      <c r="B2181" s="497"/>
      <c r="C2181" s="515" t="s">
        <v>4102</v>
      </c>
      <c r="D2181" s="512">
        <v>7</v>
      </c>
      <c r="E2181" s="500"/>
      <c r="F2181" s="503"/>
      <c r="G2181" s="502"/>
      <c r="H2181" s="512"/>
      <c r="I2181" s="503"/>
      <c r="J2181" s="503"/>
      <c r="K2181" s="497" t="str">
        <f ca="1">IFERROR(VLOOKUP(C2181,' Disaggregation - Section E '!A$10:N370,3,0),"")</f>
        <v/>
      </c>
      <c r="L2181" s="503"/>
      <c r="M2181" s="497"/>
      <c r="N2181" s="503"/>
      <c r="O2181" s="503"/>
    </row>
    <row r="2182" spans="1:15" x14ac:dyDescent="0.35">
      <c r="A2182" s="497" t="b">
        <v>0</v>
      </c>
      <c r="B2182" s="497"/>
      <c r="C2182" s="515" t="s">
        <v>4104</v>
      </c>
      <c r="D2182" s="512">
        <v>7</v>
      </c>
      <c r="E2182" s="500"/>
      <c r="F2182" s="503"/>
      <c r="G2182" s="502"/>
      <c r="H2182" s="512"/>
      <c r="I2182" s="503"/>
      <c r="J2182" s="503"/>
      <c r="K2182" s="497" t="str">
        <f ca="1">IFERROR(VLOOKUP(C2182,' Disaggregation - Section E '!A$10:N371,3,0),"")</f>
        <v/>
      </c>
      <c r="L2182" s="503"/>
      <c r="M2182" s="497"/>
      <c r="N2182" s="503"/>
      <c r="O2182" s="503"/>
    </row>
    <row r="2183" spans="1:15" x14ac:dyDescent="0.35">
      <c r="A2183" s="497" t="b">
        <v>0</v>
      </c>
      <c r="B2183" s="497"/>
      <c r="C2183" s="515" t="s">
        <v>4106</v>
      </c>
      <c r="D2183" s="512">
        <v>7</v>
      </c>
      <c r="E2183" s="500"/>
      <c r="F2183" s="503"/>
      <c r="G2183" s="502"/>
      <c r="H2183" s="512"/>
      <c r="I2183" s="503"/>
      <c r="J2183" s="503"/>
      <c r="K2183" s="497" t="str">
        <f ca="1">IFERROR(VLOOKUP(C2183,' Disaggregation - Section E '!A$10:N372,3,0),"")</f>
        <v/>
      </c>
      <c r="L2183" s="503"/>
      <c r="M2183" s="497"/>
      <c r="N2183" s="503"/>
      <c r="O2183" s="503"/>
    </row>
    <row r="2184" spans="1:15" x14ac:dyDescent="0.35">
      <c r="A2184" s="497" t="b">
        <v>0</v>
      </c>
      <c r="B2184" s="497"/>
      <c r="C2184" s="515" t="s">
        <v>4108</v>
      </c>
      <c r="D2184" s="512">
        <v>7</v>
      </c>
      <c r="E2184" s="500"/>
      <c r="F2184" s="503"/>
      <c r="G2184" s="502"/>
      <c r="H2184" s="512"/>
      <c r="I2184" s="503"/>
      <c r="J2184" s="503"/>
      <c r="K2184" s="497" t="str">
        <f ca="1">IFERROR(VLOOKUP(C2184,' Disaggregation - Section E '!A$10:N373,3,0),"")</f>
        <v/>
      </c>
      <c r="L2184" s="503"/>
      <c r="M2184" s="497"/>
      <c r="N2184" s="503"/>
      <c r="O2184" s="503"/>
    </row>
    <row r="2185" spans="1:15" x14ac:dyDescent="0.35">
      <c r="A2185" s="497" t="b">
        <v>0</v>
      </c>
      <c r="B2185" s="497"/>
      <c r="C2185" s="515" t="s">
        <v>4110</v>
      </c>
      <c r="D2185" s="512">
        <v>7</v>
      </c>
      <c r="E2185" s="500"/>
      <c r="F2185" s="503"/>
      <c r="G2185" s="502"/>
      <c r="H2185" s="512"/>
      <c r="I2185" s="503"/>
      <c r="J2185" s="503"/>
      <c r="K2185" s="497" t="str">
        <f ca="1">IFERROR(VLOOKUP(C2185,' Disaggregation - Section E '!A$10:N374,3,0),"")</f>
        <v/>
      </c>
      <c r="L2185" s="503"/>
      <c r="M2185" s="497"/>
      <c r="N2185" s="503"/>
      <c r="O2185" s="503"/>
    </row>
    <row r="2186" spans="1:15" x14ac:dyDescent="0.35">
      <c r="A2186" s="497" t="b">
        <v>0</v>
      </c>
      <c r="B2186" s="497"/>
      <c r="C2186" s="515" t="s">
        <v>4112</v>
      </c>
      <c r="D2186" s="512">
        <v>7</v>
      </c>
      <c r="E2186" s="500"/>
      <c r="F2186" s="503"/>
      <c r="G2186" s="502"/>
      <c r="H2186" s="512"/>
      <c r="I2186" s="503"/>
      <c r="J2186" s="503"/>
      <c r="K2186" s="497" t="str">
        <f ca="1">IFERROR(VLOOKUP(C2186,' Disaggregation - Section E '!A$10:N375,3,0),"")</f>
        <v/>
      </c>
      <c r="L2186" s="503"/>
      <c r="M2186" s="497"/>
      <c r="N2186" s="503"/>
      <c r="O2186" s="503"/>
    </row>
    <row r="2187" spans="1:15" x14ac:dyDescent="0.35">
      <c r="A2187" s="497" t="b">
        <v>0</v>
      </c>
      <c r="B2187" s="497"/>
      <c r="C2187" s="515" t="s">
        <v>4114</v>
      </c>
      <c r="D2187" s="512">
        <v>7</v>
      </c>
      <c r="E2187" s="500"/>
      <c r="F2187" s="503"/>
      <c r="G2187" s="502"/>
      <c r="H2187" s="512"/>
      <c r="I2187" s="503"/>
      <c r="J2187" s="503"/>
      <c r="K2187" s="497" t="str">
        <f ca="1">IFERROR(VLOOKUP(C2187,' Disaggregation - Section E '!A$10:N376,3,0),"")</f>
        <v/>
      </c>
      <c r="L2187" s="503"/>
      <c r="M2187" s="497"/>
      <c r="N2187" s="503"/>
      <c r="O2187" s="503"/>
    </row>
    <row r="2188" spans="1:15" x14ac:dyDescent="0.35">
      <c r="A2188" s="497" t="b">
        <v>0</v>
      </c>
      <c r="B2188" s="497"/>
      <c r="C2188" s="515" t="s">
        <v>4116</v>
      </c>
      <c r="D2188" s="512">
        <v>7</v>
      </c>
      <c r="E2188" s="500"/>
      <c r="F2188" s="503"/>
      <c r="G2188" s="502"/>
      <c r="H2188" s="512"/>
      <c r="I2188" s="503"/>
      <c r="J2188" s="503"/>
      <c r="K2188" s="497" t="str">
        <f ca="1">IFERROR(VLOOKUP(C2188,' Disaggregation - Section E '!A$10:N377,3,0),"")</f>
        <v/>
      </c>
      <c r="L2188" s="503"/>
      <c r="M2188" s="497"/>
      <c r="N2188" s="503"/>
      <c r="O2188" s="503"/>
    </row>
    <row r="2189" spans="1:15" x14ac:dyDescent="0.35">
      <c r="A2189" s="497" t="b">
        <v>0</v>
      </c>
      <c r="B2189" s="497"/>
      <c r="C2189" s="515" t="s">
        <v>4118</v>
      </c>
      <c r="D2189" s="512">
        <v>7</v>
      </c>
      <c r="E2189" s="500"/>
      <c r="F2189" s="503"/>
      <c r="G2189" s="502"/>
      <c r="H2189" s="512"/>
      <c r="I2189" s="503"/>
      <c r="J2189" s="503"/>
      <c r="K2189" s="497" t="str">
        <f ca="1">IFERROR(VLOOKUP(C2189,' Disaggregation - Section E '!A$10:N378,3,0),"")</f>
        <v/>
      </c>
      <c r="L2189" s="503"/>
      <c r="M2189" s="497"/>
      <c r="N2189" s="503"/>
      <c r="O2189" s="503"/>
    </row>
    <row r="2190" spans="1:15" x14ac:dyDescent="0.35">
      <c r="A2190" s="497" t="b">
        <v>0</v>
      </c>
      <c r="B2190" s="497"/>
      <c r="C2190" s="515" t="s">
        <v>4120</v>
      </c>
      <c r="D2190" s="512">
        <v>7</v>
      </c>
      <c r="E2190" s="500"/>
      <c r="F2190" s="503"/>
      <c r="G2190" s="502"/>
      <c r="H2190" s="512"/>
      <c r="I2190" s="503"/>
      <c r="J2190" s="503"/>
      <c r="K2190" s="497" t="str">
        <f ca="1">IFERROR(VLOOKUP(C2190,' Disaggregation - Section E '!A$10:N379,3,0),"")</f>
        <v/>
      </c>
      <c r="L2190" s="503"/>
      <c r="M2190" s="497"/>
      <c r="N2190" s="503"/>
      <c r="O2190" s="503"/>
    </row>
    <row r="2191" spans="1:15" x14ac:dyDescent="0.35">
      <c r="A2191" s="497" t="b">
        <v>0</v>
      </c>
      <c r="B2191" s="497"/>
      <c r="C2191" s="515" t="s">
        <v>4417</v>
      </c>
      <c r="D2191" s="512">
        <v>8</v>
      </c>
      <c r="E2191" s="500"/>
      <c r="F2191" s="503"/>
      <c r="G2191" s="502"/>
      <c r="H2191" s="512"/>
      <c r="I2191" s="503"/>
      <c r="J2191" s="503"/>
      <c r="K2191" s="497" t="str">
        <f ca="1">IFERROR(VLOOKUP(C2191,' Disaggregation - Section E '!A$10:N380,3,0),"")</f>
        <v/>
      </c>
      <c r="L2191" s="503"/>
      <c r="M2191" s="497"/>
      <c r="N2191" s="503"/>
      <c r="O2191" s="503"/>
    </row>
    <row r="2192" spans="1:15" x14ac:dyDescent="0.35">
      <c r="A2192" s="497" t="b">
        <v>0</v>
      </c>
      <c r="B2192" s="497"/>
      <c r="C2192" s="515" t="s">
        <v>4419</v>
      </c>
      <c r="D2192" s="512">
        <v>8</v>
      </c>
      <c r="E2192" s="500"/>
      <c r="F2192" s="503"/>
      <c r="G2192" s="502"/>
      <c r="H2192" s="512"/>
      <c r="I2192" s="503"/>
      <c r="J2192" s="503"/>
      <c r="K2192" s="497" t="str">
        <f ca="1">IFERROR(VLOOKUP(C2192,' Disaggregation - Section E '!A$10:N381,3,0),"")</f>
        <v/>
      </c>
      <c r="L2192" s="503"/>
      <c r="M2192" s="497"/>
      <c r="N2192" s="503"/>
      <c r="O2192" s="503"/>
    </row>
    <row r="2193" spans="1:15" x14ac:dyDescent="0.35">
      <c r="A2193" s="497" t="b">
        <v>0</v>
      </c>
      <c r="B2193" s="497"/>
      <c r="C2193" s="515" t="s">
        <v>4421</v>
      </c>
      <c r="D2193" s="512">
        <v>8</v>
      </c>
      <c r="E2193" s="500"/>
      <c r="F2193" s="503"/>
      <c r="G2193" s="502"/>
      <c r="H2193" s="512"/>
      <c r="I2193" s="503"/>
      <c r="J2193" s="503"/>
      <c r="K2193" s="497" t="str">
        <f ca="1">IFERROR(VLOOKUP(C2193,' Disaggregation - Section E '!A$10:N382,3,0),"")</f>
        <v/>
      </c>
      <c r="L2193" s="503"/>
      <c r="M2193" s="497"/>
      <c r="N2193" s="503"/>
      <c r="O2193" s="503"/>
    </row>
    <row r="2194" spans="1:15" x14ac:dyDescent="0.35">
      <c r="A2194" s="497" t="b">
        <v>0</v>
      </c>
      <c r="B2194" s="497"/>
      <c r="C2194" s="515" t="s">
        <v>4423</v>
      </c>
      <c r="D2194" s="512">
        <v>8</v>
      </c>
      <c r="E2194" s="500"/>
      <c r="F2194" s="503"/>
      <c r="G2194" s="502"/>
      <c r="H2194" s="512"/>
      <c r="I2194" s="503"/>
      <c r="J2194" s="503"/>
      <c r="K2194" s="497" t="str">
        <f ca="1">IFERROR(VLOOKUP(C2194,' Disaggregation - Section E '!A$10:N383,3,0),"")</f>
        <v/>
      </c>
      <c r="L2194" s="503"/>
      <c r="M2194" s="497"/>
      <c r="N2194" s="503"/>
      <c r="O2194" s="503"/>
    </row>
    <row r="2195" spans="1:15" x14ac:dyDescent="0.35">
      <c r="A2195" s="497" t="b">
        <v>0</v>
      </c>
      <c r="B2195" s="497"/>
      <c r="C2195" s="515" t="s">
        <v>4425</v>
      </c>
      <c r="D2195" s="512">
        <v>8</v>
      </c>
      <c r="E2195" s="500"/>
      <c r="F2195" s="503"/>
      <c r="G2195" s="502"/>
      <c r="H2195" s="512"/>
      <c r="I2195" s="503"/>
      <c r="J2195" s="503"/>
      <c r="K2195" s="497" t="str">
        <f ca="1">IFERROR(VLOOKUP(C2195,' Disaggregation - Section E '!A$10:N384,3,0),"")</f>
        <v/>
      </c>
      <c r="L2195" s="503"/>
      <c r="M2195" s="497"/>
      <c r="N2195" s="503"/>
      <c r="O2195" s="503"/>
    </row>
    <row r="2196" spans="1:15" x14ac:dyDescent="0.35">
      <c r="A2196" s="497" t="b">
        <v>0</v>
      </c>
      <c r="B2196" s="497"/>
      <c r="C2196" s="515" t="s">
        <v>4427</v>
      </c>
      <c r="D2196" s="512">
        <v>8</v>
      </c>
      <c r="E2196" s="500"/>
      <c r="F2196" s="503"/>
      <c r="G2196" s="502"/>
      <c r="H2196" s="512"/>
      <c r="I2196" s="503"/>
      <c r="J2196" s="503"/>
      <c r="K2196" s="497" t="str">
        <f ca="1">IFERROR(VLOOKUP(C2196,' Disaggregation - Section E '!A$10:N385,3,0),"")</f>
        <v/>
      </c>
      <c r="L2196" s="503"/>
      <c r="M2196" s="497"/>
      <c r="N2196" s="503"/>
      <c r="O2196" s="503"/>
    </row>
    <row r="2197" spans="1:15" x14ac:dyDescent="0.35">
      <c r="A2197" s="497" t="b">
        <v>0</v>
      </c>
      <c r="B2197" s="497"/>
      <c r="C2197" s="515" t="s">
        <v>4429</v>
      </c>
      <c r="D2197" s="512">
        <v>8</v>
      </c>
      <c r="E2197" s="500"/>
      <c r="F2197" s="503"/>
      <c r="G2197" s="502"/>
      <c r="H2197" s="512"/>
      <c r="I2197" s="503"/>
      <c r="J2197" s="503"/>
      <c r="K2197" s="497" t="str">
        <f ca="1">IFERROR(VLOOKUP(C2197,' Disaggregation - Section E '!A$10:N386,3,0),"")</f>
        <v/>
      </c>
      <c r="L2197" s="503"/>
      <c r="M2197" s="497"/>
      <c r="N2197" s="503"/>
      <c r="O2197" s="503"/>
    </row>
    <row r="2198" spans="1:15" x14ac:dyDescent="0.35">
      <c r="A2198" s="497" t="b">
        <v>0</v>
      </c>
      <c r="B2198" s="497"/>
      <c r="C2198" s="515" t="s">
        <v>4431</v>
      </c>
      <c r="D2198" s="512">
        <v>8</v>
      </c>
      <c r="E2198" s="500"/>
      <c r="F2198" s="503"/>
      <c r="G2198" s="502"/>
      <c r="H2198" s="512"/>
      <c r="I2198" s="503"/>
      <c r="J2198" s="503"/>
      <c r="K2198" s="497" t="str">
        <f ca="1">IFERROR(VLOOKUP(C2198,' Disaggregation - Section E '!A$10:N387,3,0),"")</f>
        <v/>
      </c>
      <c r="L2198" s="503"/>
      <c r="M2198" s="497"/>
      <c r="N2198" s="503"/>
      <c r="O2198" s="503"/>
    </row>
    <row r="2199" spans="1:15" x14ac:dyDescent="0.35">
      <c r="A2199" s="497" t="b">
        <v>0</v>
      </c>
      <c r="B2199" s="497"/>
      <c r="C2199" s="515" t="s">
        <v>4433</v>
      </c>
      <c r="D2199" s="512">
        <v>8</v>
      </c>
      <c r="E2199" s="500"/>
      <c r="F2199" s="503"/>
      <c r="G2199" s="502"/>
      <c r="H2199" s="512"/>
      <c r="I2199" s="503"/>
      <c r="J2199" s="503"/>
      <c r="K2199" s="497" t="str">
        <f ca="1">IFERROR(VLOOKUP(C2199,' Disaggregation - Section E '!A$10:N388,3,0),"")</f>
        <v/>
      </c>
      <c r="L2199" s="503"/>
      <c r="M2199" s="497"/>
      <c r="N2199" s="503"/>
      <c r="O2199" s="503"/>
    </row>
    <row r="2200" spans="1:15" x14ac:dyDescent="0.35">
      <c r="A2200" s="497" t="b">
        <v>0</v>
      </c>
      <c r="B2200" s="497"/>
      <c r="C2200" s="515" t="s">
        <v>4435</v>
      </c>
      <c r="D2200" s="512">
        <v>8</v>
      </c>
      <c r="E2200" s="500"/>
      <c r="F2200" s="503"/>
      <c r="G2200" s="502"/>
      <c r="H2200" s="512"/>
      <c r="I2200" s="503"/>
      <c r="J2200" s="503"/>
      <c r="K2200" s="497" t="str">
        <f ca="1">IFERROR(VLOOKUP(C2200,' Disaggregation - Section E '!A$10:N389,3,0),"")</f>
        <v/>
      </c>
      <c r="L2200" s="503"/>
      <c r="M2200" s="497"/>
      <c r="N2200" s="503"/>
      <c r="O2200" s="503"/>
    </row>
    <row r="2201" spans="1:15" x14ac:dyDescent="0.35">
      <c r="A2201" s="497" t="b">
        <v>0</v>
      </c>
      <c r="B2201" s="497"/>
      <c r="C2201" s="515" t="s">
        <v>4123</v>
      </c>
      <c r="D2201" s="512">
        <v>9</v>
      </c>
      <c r="E2201" s="500"/>
      <c r="F2201" s="503"/>
      <c r="G2201" s="502"/>
      <c r="H2201" s="512"/>
      <c r="I2201" s="503"/>
      <c r="J2201" s="503"/>
      <c r="K2201" s="497" t="str">
        <f ca="1">IFERROR(VLOOKUP(C2201,' Disaggregation - Section E '!A$10:N390,3,0),"")</f>
        <v/>
      </c>
      <c r="L2201" s="503"/>
      <c r="M2201" s="497"/>
      <c r="N2201" s="503"/>
      <c r="O2201" s="503"/>
    </row>
    <row r="2202" spans="1:15" x14ac:dyDescent="0.35">
      <c r="A2202" s="497" t="b">
        <v>0</v>
      </c>
      <c r="B2202" s="497"/>
      <c r="C2202" s="515" t="s">
        <v>4125</v>
      </c>
      <c r="D2202" s="512">
        <v>9</v>
      </c>
      <c r="E2202" s="500"/>
      <c r="F2202" s="503"/>
      <c r="G2202" s="502"/>
      <c r="H2202" s="512"/>
      <c r="I2202" s="503"/>
      <c r="J2202" s="503"/>
      <c r="K2202" s="497" t="str">
        <f ca="1">IFERROR(VLOOKUP(C2202,' Disaggregation - Section E '!A$10:N391,3,0),"")</f>
        <v/>
      </c>
      <c r="L2202" s="503"/>
      <c r="M2202" s="497"/>
      <c r="N2202" s="503"/>
      <c r="O2202" s="503"/>
    </row>
    <row r="2203" spans="1:15" x14ac:dyDescent="0.35">
      <c r="A2203" s="497" t="b">
        <v>0</v>
      </c>
      <c r="B2203" s="497"/>
      <c r="C2203" s="515" t="s">
        <v>4127</v>
      </c>
      <c r="D2203" s="512">
        <v>9</v>
      </c>
      <c r="E2203" s="500"/>
      <c r="F2203" s="503"/>
      <c r="G2203" s="502"/>
      <c r="H2203" s="512"/>
      <c r="I2203" s="503"/>
      <c r="J2203" s="503"/>
      <c r="K2203" s="497" t="str">
        <f ca="1">IFERROR(VLOOKUP(C2203,' Disaggregation - Section E '!A$10:N392,3,0),"")</f>
        <v/>
      </c>
      <c r="L2203" s="503"/>
      <c r="M2203" s="497"/>
      <c r="N2203" s="503"/>
      <c r="O2203" s="503"/>
    </row>
    <row r="2204" spans="1:15" x14ac:dyDescent="0.35">
      <c r="A2204" s="497" t="b">
        <v>0</v>
      </c>
      <c r="B2204" s="497"/>
      <c r="C2204" s="515" t="s">
        <v>4129</v>
      </c>
      <c r="D2204" s="512">
        <v>9</v>
      </c>
      <c r="E2204" s="500"/>
      <c r="F2204" s="503"/>
      <c r="G2204" s="502"/>
      <c r="H2204" s="512"/>
      <c r="I2204" s="503"/>
      <c r="J2204" s="503"/>
      <c r="K2204" s="497" t="str">
        <f ca="1">IFERROR(VLOOKUP(C2204,' Disaggregation - Section E '!A$10:N393,3,0),"")</f>
        <v/>
      </c>
      <c r="L2204" s="503"/>
      <c r="M2204" s="497"/>
      <c r="N2204" s="503"/>
      <c r="O2204" s="503"/>
    </row>
    <row r="2205" spans="1:15" x14ac:dyDescent="0.35">
      <c r="A2205" s="497" t="b">
        <v>0</v>
      </c>
      <c r="B2205" s="497"/>
      <c r="C2205" s="515" t="s">
        <v>4131</v>
      </c>
      <c r="D2205" s="512">
        <v>9</v>
      </c>
      <c r="E2205" s="500"/>
      <c r="F2205" s="503"/>
      <c r="G2205" s="502"/>
      <c r="H2205" s="512"/>
      <c r="I2205" s="503"/>
      <c r="J2205" s="503"/>
      <c r="K2205" s="497" t="str">
        <f ca="1">IFERROR(VLOOKUP(C2205,' Disaggregation - Section E '!A$10:N394,3,0),"")</f>
        <v/>
      </c>
      <c r="L2205" s="503"/>
      <c r="M2205" s="497"/>
      <c r="N2205" s="503"/>
      <c r="O2205" s="503"/>
    </row>
    <row r="2206" spans="1:15" x14ac:dyDescent="0.35">
      <c r="A2206" s="497" t="b">
        <v>0</v>
      </c>
      <c r="B2206" s="497"/>
      <c r="C2206" s="515" t="s">
        <v>4133</v>
      </c>
      <c r="D2206" s="512">
        <v>9</v>
      </c>
      <c r="E2206" s="500"/>
      <c r="F2206" s="503"/>
      <c r="G2206" s="502"/>
      <c r="H2206" s="512"/>
      <c r="I2206" s="503"/>
      <c r="J2206" s="503"/>
      <c r="K2206" s="497" t="str">
        <f ca="1">IFERROR(VLOOKUP(C2206,' Disaggregation - Section E '!A$10:N395,3,0),"")</f>
        <v/>
      </c>
      <c r="L2206" s="503"/>
      <c r="M2206" s="497"/>
      <c r="N2206" s="503"/>
      <c r="O2206" s="503"/>
    </row>
    <row r="2207" spans="1:15" x14ac:dyDescent="0.35">
      <c r="A2207" s="497" t="b">
        <v>0</v>
      </c>
      <c r="B2207" s="497"/>
      <c r="C2207" s="515" t="s">
        <v>4135</v>
      </c>
      <c r="D2207" s="512">
        <v>9</v>
      </c>
      <c r="E2207" s="500"/>
      <c r="F2207" s="503"/>
      <c r="G2207" s="502"/>
      <c r="H2207" s="512"/>
      <c r="I2207" s="503"/>
      <c r="J2207" s="503"/>
      <c r="K2207" s="497" t="str">
        <f ca="1">IFERROR(VLOOKUP(C2207,' Disaggregation - Section E '!A$10:N396,3,0),"")</f>
        <v/>
      </c>
      <c r="L2207" s="503"/>
      <c r="M2207" s="497"/>
      <c r="N2207" s="503"/>
      <c r="O2207" s="503"/>
    </row>
    <row r="2208" spans="1:15" x14ac:dyDescent="0.35">
      <c r="A2208" s="497" t="b">
        <v>0</v>
      </c>
      <c r="B2208" s="497"/>
      <c r="C2208" s="515" t="s">
        <v>4137</v>
      </c>
      <c r="D2208" s="512">
        <v>9</v>
      </c>
      <c r="E2208" s="500"/>
      <c r="F2208" s="503"/>
      <c r="G2208" s="502"/>
      <c r="H2208" s="512"/>
      <c r="I2208" s="503"/>
      <c r="J2208" s="503"/>
      <c r="K2208" s="497" t="str">
        <f ca="1">IFERROR(VLOOKUP(C2208,' Disaggregation - Section E '!A$10:N397,3,0),"")</f>
        <v/>
      </c>
      <c r="L2208" s="503"/>
      <c r="M2208" s="497"/>
      <c r="N2208" s="503"/>
      <c r="O2208" s="503"/>
    </row>
    <row r="2209" spans="1:15" x14ac:dyDescent="0.35">
      <c r="A2209" s="497" t="b">
        <v>0</v>
      </c>
      <c r="B2209" s="497"/>
      <c r="C2209" s="515" t="s">
        <v>4139</v>
      </c>
      <c r="D2209" s="512">
        <v>9</v>
      </c>
      <c r="E2209" s="500"/>
      <c r="F2209" s="503"/>
      <c r="G2209" s="502"/>
      <c r="H2209" s="512"/>
      <c r="I2209" s="503"/>
      <c r="J2209" s="503"/>
      <c r="K2209" s="497" t="str">
        <f ca="1">IFERROR(VLOOKUP(C2209,' Disaggregation - Section E '!A$10:N398,3,0),"")</f>
        <v/>
      </c>
      <c r="L2209" s="503"/>
      <c r="M2209" s="497"/>
      <c r="N2209" s="503"/>
      <c r="O2209" s="503"/>
    </row>
    <row r="2210" spans="1:15" x14ac:dyDescent="0.35">
      <c r="A2210" s="497" t="b">
        <v>0</v>
      </c>
      <c r="B2210" s="497"/>
      <c r="C2210" s="515" t="s">
        <v>4141</v>
      </c>
      <c r="D2210" s="512">
        <v>9</v>
      </c>
      <c r="E2210" s="500"/>
      <c r="F2210" s="503"/>
      <c r="G2210" s="502"/>
      <c r="H2210" s="512"/>
      <c r="I2210" s="503"/>
      <c r="J2210" s="503"/>
      <c r="K2210" s="497" t="str">
        <f ca="1">IFERROR(VLOOKUP(C2210,' Disaggregation - Section E '!A$10:N399,3,0),"")</f>
        <v/>
      </c>
      <c r="L2210" s="503"/>
      <c r="M2210" s="497"/>
      <c r="N2210" s="503"/>
      <c r="O2210" s="503"/>
    </row>
    <row r="2211" spans="1:15" x14ac:dyDescent="0.35">
      <c r="A2211" s="497" t="b">
        <v>0</v>
      </c>
      <c r="B2211" s="497"/>
      <c r="C2211" s="515" t="s">
        <v>4438</v>
      </c>
      <c r="D2211" s="512">
        <v>10</v>
      </c>
      <c r="E2211" s="500"/>
      <c r="F2211" s="503"/>
      <c r="G2211" s="502"/>
      <c r="H2211" s="512"/>
      <c r="I2211" s="503"/>
      <c r="J2211" s="503"/>
      <c r="K2211" s="497" t="str">
        <f ca="1">IFERROR(VLOOKUP(C2211,' Disaggregation - Section E '!A$10:N400,3,0),"")</f>
        <v/>
      </c>
      <c r="L2211" s="503"/>
      <c r="M2211" s="497"/>
      <c r="N2211" s="503"/>
      <c r="O2211" s="503"/>
    </row>
    <row r="2212" spans="1:15" x14ac:dyDescent="0.35">
      <c r="A2212" s="497" t="b">
        <v>0</v>
      </c>
      <c r="B2212" s="497"/>
      <c r="C2212" s="515" t="s">
        <v>4440</v>
      </c>
      <c r="D2212" s="512">
        <v>10</v>
      </c>
      <c r="E2212" s="500"/>
      <c r="F2212" s="503"/>
      <c r="G2212" s="502"/>
      <c r="H2212" s="512"/>
      <c r="I2212" s="503"/>
      <c r="J2212" s="503"/>
      <c r="K2212" s="497" t="str">
        <f ca="1">IFERROR(VLOOKUP(C2212,' Disaggregation - Section E '!A$10:N401,3,0),"")</f>
        <v/>
      </c>
      <c r="L2212" s="503"/>
      <c r="M2212" s="497"/>
      <c r="N2212" s="503"/>
      <c r="O2212" s="503"/>
    </row>
    <row r="2213" spans="1:15" x14ac:dyDescent="0.35">
      <c r="A2213" s="497" t="b">
        <v>0</v>
      </c>
      <c r="B2213" s="497"/>
      <c r="C2213" s="515" t="s">
        <v>4442</v>
      </c>
      <c r="D2213" s="512">
        <v>10</v>
      </c>
      <c r="E2213" s="500"/>
      <c r="F2213" s="503"/>
      <c r="G2213" s="502"/>
      <c r="H2213" s="512"/>
      <c r="I2213" s="503"/>
      <c r="J2213" s="503"/>
      <c r="K2213" s="497" t="str">
        <f ca="1">IFERROR(VLOOKUP(C2213,' Disaggregation - Section E '!A$10:N402,3,0),"")</f>
        <v/>
      </c>
      <c r="L2213" s="503"/>
      <c r="M2213" s="497"/>
      <c r="N2213" s="503"/>
      <c r="O2213" s="503"/>
    </row>
    <row r="2214" spans="1:15" x14ac:dyDescent="0.35">
      <c r="A2214" s="497" t="b">
        <v>0</v>
      </c>
      <c r="B2214" s="497"/>
      <c r="C2214" s="515" t="s">
        <v>4444</v>
      </c>
      <c r="D2214" s="512">
        <v>10</v>
      </c>
      <c r="E2214" s="500"/>
      <c r="F2214" s="503"/>
      <c r="G2214" s="502"/>
      <c r="H2214" s="512"/>
      <c r="I2214" s="503"/>
      <c r="J2214" s="503"/>
      <c r="K2214" s="497" t="str">
        <f ca="1">IFERROR(VLOOKUP(C2214,' Disaggregation - Section E '!A$10:N403,3,0),"")</f>
        <v/>
      </c>
      <c r="L2214" s="503"/>
      <c r="M2214" s="497"/>
      <c r="N2214" s="503"/>
      <c r="O2214" s="503"/>
    </row>
    <row r="2215" spans="1:15" x14ac:dyDescent="0.35">
      <c r="A2215" s="497" t="b">
        <v>0</v>
      </c>
      <c r="B2215" s="497"/>
      <c r="C2215" s="515" t="s">
        <v>4446</v>
      </c>
      <c r="D2215" s="512">
        <v>10</v>
      </c>
      <c r="E2215" s="500"/>
      <c r="F2215" s="503"/>
      <c r="G2215" s="502"/>
      <c r="H2215" s="512"/>
      <c r="I2215" s="503"/>
      <c r="J2215" s="503"/>
      <c r="K2215" s="497" t="str">
        <f ca="1">IFERROR(VLOOKUP(C2215,' Disaggregation - Section E '!A$10:N404,3,0),"")</f>
        <v/>
      </c>
      <c r="L2215" s="503"/>
      <c r="M2215" s="497"/>
      <c r="N2215" s="503"/>
      <c r="O2215" s="503"/>
    </row>
    <row r="2216" spans="1:15" x14ac:dyDescent="0.35">
      <c r="A2216" s="497" t="b">
        <v>0</v>
      </c>
      <c r="B2216" s="497"/>
      <c r="C2216" s="515" t="s">
        <v>4448</v>
      </c>
      <c r="D2216" s="512">
        <v>10</v>
      </c>
      <c r="E2216" s="500"/>
      <c r="F2216" s="503"/>
      <c r="G2216" s="502"/>
      <c r="H2216" s="512"/>
      <c r="I2216" s="503"/>
      <c r="J2216" s="503"/>
      <c r="K2216" s="497" t="str">
        <f ca="1">IFERROR(VLOOKUP(C2216,' Disaggregation - Section E '!A$10:N405,3,0),"")</f>
        <v/>
      </c>
      <c r="L2216" s="503"/>
      <c r="M2216" s="497"/>
      <c r="N2216" s="503"/>
      <c r="O2216" s="503"/>
    </row>
    <row r="2217" spans="1:15" x14ac:dyDescent="0.35">
      <c r="A2217" s="497" t="b">
        <v>0</v>
      </c>
      <c r="B2217" s="497"/>
      <c r="C2217" s="515" t="s">
        <v>4450</v>
      </c>
      <c r="D2217" s="512">
        <v>10</v>
      </c>
      <c r="E2217" s="500"/>
      <c r="F2217" s="503"/>
      <c r="G2217" s="502"/>
      <c r="H2217" s="512"/>
      <c r="I2217" s="503"/>
      <c r="J2217" s="503"/>
      <c r="K2217" s="497" t="str">
        <f ca="1">IFERROR(VLOOKUP(C2217,' Disaggregation - Section E '!A$10:N406,3,0),"")</f>
        <v/>
      </c>
      <c r="L2217" s="503"/>
      <c r="M2217" s="497"/>
      <c r="N2217" s="503"/>
      <c r="O2217" s="503"/>
    </row>
    <row r="2218" spans="1:15" x14ac:dyDescent="0.35">
      <c r="A2218" s="497" t="b">
        <v>0</v>
      </c>
      <c r="B2218" s="497"/>
      <c r="C2218" s="515" t="s">
        <v>4452</v>
      </c>
      <c r="D2218" s="512">
        <v>10</v>
      </c>
      <c r="E2218" s="500"/>
      <c r="F2218" s="503"/>
      <c r="G2218" s="502"/>
      <c r="H2218" s="512"/>
      <c r="I2218" s="503"/>
      <c r="J2218" s="503"/>
      <c r="K2218" s="497" t="str">
        <f ca="1">IFERROR(VLOOKUP(C2218,' Disaggregation - Section E '!A$10:N407,3,0),"")</f>
        <v/>
      </c>
      <c r="L2218" s="503"/>
      <c r="M2218" s="497"/>
      <c r="N2218" s="503"/>
      <c r="O2218" s="503"/>
    </row>
    <row r="2219" spans="1:15" x14ac:dyDescent="0.35">
      <c r="A2219" s="497" t="b">
        <v>0</v>
      </c>
      <c r="B2219" s="497"/>
      <c r="C2219" s="515" t="s">
        <v>4454</v>
      </c>
      <c r="D2219" s="512">
        <v>10</v>
      </c>
      <c r="E2219" s="500"/>
      <c r="F2219" s="503"/>
      <c r="G2219" s="502"/>
      <c r="H2219" s="512"/>
      <c r="I2219" s="503"/>
      <c r="J2219" s="503"/>
      <c r="K2219" s="497" t="str">
        <f ca="1">IFERROR(VLOOKUP(C2219,' Disaggregation - Section E '!A$10:N408,3,0),"")</f>
        <v/>
      </c>
      <c r="L2219" s="503"/>
      <c r="M2219" s="497"/>
      <c r="N2219" s="503"/>
      <c r="O2219" s="503"/>
    </row>
    <row r="2220" spans="1:15" x14ac:dyDescent="0.35">
      <c r="A2220" s="497" t="b">
        <v>0</v>
      </c>
      <c r="B2220" s="497"/>
      <c r="C2220" s="515" t="s">
        <v>4456</v>
      </c>
      <c r="D2220" s="512">
        <v>10</v>
      </c>
      <c r="E2220" s="500"/>
      <c r="F2220" s="503"/>
      <c r="G2220" s="502"/>
      <c r="H2220" s="512"/>
      <c r="I2220" s="503"/>
      <c r="J2220" s="503"/>
      <c r="K2220" s="497" t="str">
        <f ca="1">IFERROR(VLOOKUP(C2220,' Disaggregation - Section E '!A$10:N409,3,0),"")</f>
        <v/>
      </c>
      <c r="L2220" s="503"/>
      <c r="M2220" s="497"/>
      <c r="N2220" s="503"/>
      <c r="O2220" s="503"/>
    </row>
    <row r="2221" spans="1:15" x14ac:dyDescent="0.35">
      <c r="A2221" s="497" t="b">
        <v>0</v>
      </c>
      <c r="B2221" s="497"/>
      <c r="C2221" s="515" t="s">
        <v>4144</v>
      </c>
      <c r="D2221" s="512">
        <v>11</v>
      </c>
      <c r="E2221" s="500"/>
      <c r="F2221" s="503"/>
      <c r="G2221" s="502"/>
      <c r="H2221" s="512"/>
      <c r="I2221" s="503"/>
      <c r="J2221" s="503"/>
      <c r="K2221" s="497" t="str">
        <f ca="1">IFERROR(VLOOKUP(C2221,' Disaggregation - Section E '!A$10:N410,3,0),"")</f>
        <v/>
      </c>
      <c r="L2221" s="503"/>
      <c r="M2221" s="497"/>
      <c r="N2221" s="503"/>
      <c r="O2221" s="503"/>
    </row>
    <row r="2222" spans="1:15" x14ac:dyDescent="0.35">
      <c r="A2222" s="497" t="b">
        <v>0</v>
      </c>
      <c r="B2222" s="497"/>
      <c r="C2222" s="515" t="s">
        <v>4146</v>
      </c>
      <c r="D2222" s="512">
        <v>11</v>
      </c>
      <c r="E2222" s="500"/>
      <c r="F2222" s="503"/>
      <c r="G2222" s="502"/>
      <c r="H2222" s="512"/>
      <c r="I2222" s="503"/>
      <c r="J2222" s="503"/>
      <c r="K2222" s="497" t="str">
        <f ca="1">IFERROR(VLOOKUP(C2222,' Disaggregation - Section E '!A$10:N411,3,0),"")</f>
        <v/>
      </c>
      <c r="L2222" s="503"/>
      <c r="M2222" s="497"/>
      <c r="N2222" s="503"/>
      <c r="O2222" s="503"/>
    </row>
    <row r="2223" spans="1:15" x14ac:dyDescent="0.35">
      <c r="A2223" s="497" t="b">
        <v>0</v>
      </c>
      <c r="B2223" s="497"/>
      <c r="C2223" s="515" t="s">
        <v>4148</v>
      </c>
      <c r="D2223" s="512">
        <v>11</v>
      </c>
      <c r="E2223" s="500"/>
      <c r="F2223" s="503"/>
      <c r="G2223" s="502"/>
      <c r="H2223" s="512"/>
      <c r="I2223" s="503"/>
      <c r="J2223" s="503"/>
      <c r="K2223" s="497" t="str">
        <f ca="1">IFERROR(VLOOKUP(C2223,' Disaggregation - Section E '!A$10:N412,3,0),"")</f>
        <v/>
      </c>
      <c r="L2223" s="503"/>
      <c r="M2223" s="497"/>
      <c r="N2223" s="503"/>
      <c r="O2223" s="503"/>
    </row>
    <row r="2224" spans="1:15" x14ac:dyDescent="0.35">
      <c r="A2224" s="497" t="b">
        <v>0</v>
      </c>
      <c r="B2224" s="497"/>
      <c r="C2224" s="515" t="s">
        <v>4150</v>
      </c>
      <c r="D2224" s="512">
        <v>11</v>
      </c>
      <c r="E2224" s="500"/>
      <c r="F2224" s="503"/>
      <c r="G2224" s="502"/>
      <c r="H2224" s="512"/>
      <c r="I2224" s="503"/>
      <c r="J2224" s="503"/>
      <c r="K2224" s="497" t="str">
        <f ca="1">IFERROR(VLOOKUP(C2224,' Disaggregation - Section E '!A$10:N413,3,0),"")</f>
        <v/>
      </c>
      <c r="L2224" s="503"/>
      <c r="M2224" s="497"/>
      <c r="N2224" s="503"/>
      <c r="O2224" s="503"/>
    </row>
    <row r="2225" spans="1:15" x14ac:dyDescent="0.35">
      <c r="A2225" s="497" t="b">
        <v>0</v>
      </c>
      <c r="B2225" s="497"/>
      <c r="C2225" s="515" t="s">
        <v>4152</v>
      </c>
      <c r="D2225" s="512">
        <v>11</v>
      </c>
      <c r="E2225" s="500"/>
      <c r="F2225" s="503"/>
      <c r="G2225" s="502"/>
      <c r="H2225" s="512"/>
      <c r="I2225" s="503"/>
      <c r="J2225" s="503"/>
      <c r="K2225" s="497" t="str">
        <f ca="1">IFERROR(VLOOKUP(C2225,' Disaggregation - Section E '!A$10:N414,3,0),"")</f>
        <v/>
      </c>
      <c r="L2225" s="503"/>
      <c r="M2225" s="497"/>
      <c r="N2225" s="503"/>
      <c r="O2225" s="503"/>
    </row>
    <row r="2226" spans="1:15" x14ac:dyDescent="0.35">
      <c r="A2226" s="497" t="b">
        <v>0</v>
      </c>
      <c r="B2226" s="497"/>
      <c r="C2226" s="515" t="s">
        <v>4154</v>
      </c>
      <c r="D2226" s="512">
        <v>11</v>
      </c>
      <c r="E2226" s="500"/>
      <c r="F2226" s="503"/>
      <c r="G2226" s="502"/>
      <c r="H2226" s="512"/>
      <c r="I2226" s="503"/>
      <c r="J2226" s="503"/>
      <c r="K2226" s="497" t="str">
        <f ca="1">IFERROR(VLOOKUP(C2226,' Disaggregation - Section E '!A$10:N415,3,0),"")</f>
        <v/>
      </c>
      <c r="L2226" s="503"/>
      <c r="M2226" s="497"/>
      <c r="N2226" s="503"/>
      <c r="O2226" s="503"/>
    </row>
    <row r="2227" spans="1:15" x14ac:dyDescent="0.35">
      <c r="A2227" s="497" t="b">
        <v>0</v>
      </c>
      <c r="B2227" s="497"/>
      <c r="C2227" s="515" t="s">
        <v>4156</v>
      </c>
      <c r="D2227" s="512">
        <v>11</v>
      </c>
      <c r="E2227" s="500"/>
      <c r="F2227" s="503"/>
      <c r="G2227" s="502"/>
      <c r="H2227" s="512"/>
      <c r="I2227" s="503"/>
      <c r="J2227" s="503"/>
      <c r="K2227" s="497" t="str">
        <f ca="1">IFERROR(VLOOKUP(C2227,' Disaggregation - Section E '!A$10:N416,3,0),"")</f>
        <v/>
      </c>
      <c r="L2227" s="503"/>
      <c r="M2227" s="497"/>
      <c r="N2227" s="503"/>
      <c r="O2227" s="503"/>
    </row>
    <row r="2228" spans="1:15" x14ac:dyDescent="0.35">
      <c r="A2228" s="497" t="b">
        <v>0</v>
      </c>
      <c r="B2228" s="497"/>
      <c r="C2228" s="515" t="s">
        <v>4158</v>
      </c>
      <c r="D2228" s="512">
        <v>11</v>
      </c>
      <c r="E2228" s="500"/>
      <c r="F2228" s="503"/>
      <c r="G2228" s="502"/>
      <c r="H2228" s="512"/>
      <c r="I2228" s="503"/>
      <c r="J2228" s="503"/>
      <c r="K2228" s="497" t="str">
        <f ca="1">IFERROR(VLOOKUP(C2228,' Disaggregation - Section E '!A$10:N417,3,0),"")</f>
        <v/>
      </c>
      <c r="L2228" s="503"/>
      <c r="M2228" s="497"/>
      <c r="N2228" s="503"/>
      <c r="O2228" s="503"/>
    </row>
    <row r="2229" spans="1:15" x14ac:dyDescent="0.35">
      <c r="A2229" s="497" t="b">
        <v>0</v>
      </c>
      <c r="B2229" s="497"/>
      <c r="C2229" s="515" t="s">
        <v>4160</v>
      </c>
      <c r="D2229" s="512">
        <v>11</v>
      </c>
      <c r="E2229" s="500"/>
      <c r="F2229" s="503"/>
      <c r="G2229" s="502"/>
      <c r="H2229" s="512"/>
      <c r="I2229" s="503"/>
      <c r="J2229" s="503"/>
      <c r="K2229" s="497" t="str">
        <f ca="1">IFERROR(VLOOKUP(C2229,' Disaggregation - Section E '!A$10:N418,3,0),"")</f>
        <v/>
      </c>
      <c r="L2229" s="503"/>
      <c r="M2229" s="497"/>
      <c r="N2229" s="503"/>
      <c r="O2229" s="503"/>
    </row>
    <row r="2230" spans="1:15" x14ac:dyDescent="0.35">
      <c r="A2230" s="497" t="b">
        <v>0</v>
      </c>
      <c r="B2230" s="497"/>
      <c r="C2230" s="515" t="s">
        <v>4162</v>
      </c>
      <c r="D2230" s="512">
        <v>11</v>
      </c>
      <c r="E2230" s="500"/>
      <c r="F2230" s="503"/>
      <c r="G2230" s="502"/>
      <c r="H2230" s="512"/>
      <c r="I2230" s="503"/>
      <c r="J2230" s="503"/>
      <c r="K2230" s="497" t="str">
        <f ca="1">IFERROR(VLOOKUP(C2230,' Disaggregation - Section E '!A$10:N419,3,0),"")</f>
        <v/>
      </c>
      <c r="L2230" s="503"/>
      <c r="M2230" s="497"/>
      <c r="N2230" s="503"/>
      <c r="O2230" s="503"/>
    </row>
    <row r="2231" spans="1:15" x14ac:dyDescent="0.35">
      <c r="A2231" s="497" t="b">
        <v>0</v>
      </c>
      <c r="B2231" s="497"/>
      <c r="C2231" s="515" t="s">
        <v>4480</v>
      </c>
      <c r="D2231" s="512">
        <v>12</v>
      </c>
      <c r="E2231" s="500"/>
      <c r="F2231" s="503"/>
      <c r="G2231" s="502"/>
      <c r="H2231" s="512"/>
      <c r="I2231" s="503"/>
      <c r="J2231" s="503"/>
      <c r="K2231" s="497" t="str">
        <f ca="1">IFERROR(VLOOKUP(C2231,' Disaggregation - Section E '!A$10:N420,3,0),"")</f>
        <v/>
      </c>
      <c r="L2231" s="503"/>
      <c r="M2231" s="497"/>
      <c r="N2231" s="503"/>
      <c r="O2231" s="503"/>
    </row>
    <row r="2232" spans="1:15" x14ac:dyDescent="0.35">
      <c r="A2232" s="497" t="b">
        <v>0</v>
      </c>
      <c r="B2232" s="497"/>
      <c r="C2232" s="515" t="s">
        <v>4482</v>
      </c>
      <c r="D2232" s="512">
        <v>12</v>
      </c>
      <c r="E2232" s="500"/>
      <c r="F2232" s="503"/>
      <c r="G2232" s="502"/>
      <c r="H2232" s="512"/>
      <c r="I2232" s="503"/>
      <c r="J2232" s="503"/>
      <c r="K2232" s="497" t="str">
        <f ca="1">IFERROR(VLOOKUP(C2232,' Disaggregation - Section E '!A$10:N421,3,0),"")</f>
        <v/>
      </c>
      <c r="L2232" s="503"/>
      <c r="M2232" s="497"/>
      <c r="N2232" s="503"/>
      <c r="O2232" s="503"/>
    </row>
    <row r="2233" spans="1:15" x14ac:dyDescent="0.35">
      <c r="A2233" s="497" t="b">
        <v>0</v>
      </c>
      <c r="B2233" s="497"/>
      <c r="C2233" s="515" t="s">
        <v>4484</v>
      </c>
      <c r="D2233" s="512">
        <v>12</v>
      </c>
      <c r="E2233" s="500"/>
      <c r="F2233" s="503"/>
      <c r="G2233" s="502"/>
      <c r="H2233" s="512"/>
      <c r="I2233" s="503"/>
      <c r="J2233" s="503"/>
      <c r="K2233" s="497" t="str">
        <f ca="1">IFERROR(VLOOKUP(C2233,' Disaggregation - Section E '!A$10:N422,3,0),"")</f>
        <v/>
      </c>
      <c r="L2233" s="503"/>
      <c r="M2233" s="497"/>
      <c r="N2233" s="503"/>
      <c r="O2233" s="503"/>
    </row>
    <row r="2234" spans="1:15" x14ac:dyDescent="0.35">
      <c r="A2234" s="497" t="b">
        <v>0</v>
      </c>
      <c r="B2234" s="497"/>
      <c r="C2234" s="515" t="s">
        <v>4486</v>
      </c>
      <c r="D2234" s="512">
        <v>12</v>
      </c>
      <c r="E2234" s="500"/>
      <c r="F2234" s="503"/>
      <c r="G2234" s="502"/>
      <c r="H2234" s="512"/>
      <c r="I2234" s="503"/>
      <c r="J2234" s="503"/>
      <c r="K2234" s="497" t="str">
        <f ca="1">IFERROR(VLOOKUP(C2234,' Disaggregation - Section E '!A$10:N423,3,0),"")</f>
        <v/>
      </c>
      <c r="L2234" s="503"/>
      <c r="M2234" s="497"/>
      <c r="N2234" s="503"/>
      <c r="O2234" s="503"/>
    </row>
    <row r="2235" spans="1:15" x14ac:dyDescent="0.35">
      <c r="A2235" s="497" t="b">
        <v>0</v>
      </c>
      <c r="B2235" s="497"/>
      <c r="C2235" s="515" t="s">
        <v>4488</v>
      </c>
      <c r="D2235" s="512">
        <v>12</v>
      </c>
      <c r="E2235" s="500"/>
      <c r="F2235" s="503"/>
      <c r="G2235" s="502"/>
      <c r="H2235" s="512"/>
      <c r="I2235" s="503"/>
      <c r="J2235" s="503"/>
      <c r="K2235" s="497" t="str">
        <f ca="1">IFERROR(VLOOKUP(C2235,' Disaggregation - Section E '!A$10:N424,3,0),"")</f>
        <v/>
      </c>
      <c r="L2235" s="503"/>
      <c r="M2235" s="497"/>
      <c r="N2235" s="503"/>
      <c r="O2235" s="503"/>
    </row>
    <row r="2236" spans="1:15" x14ac:dyDescent="0.35">
      <c r="A2236" s="497" t="b">
        <v>0</v>
      </c>
      <c r="B2236" s="497"/>
      <c r="C2236" s="515" t="s">
        <v>4490</v>
      </c>
      <c r="D2236" s="512">
        <v>12</v>
      </c>
      <c r="E2236" s="500"/>
      <c r="F2236" s="503"/>
      <c r="G2236" s="502"/>
      <c r="H2236" s="512"/>
      <c r="I2236" s="503"/>
      <c r="J2236" s="503"/>
      <c r="K2236" s="497" t="str">
        <f ca="1">IFERROR(VLOOKUP(C2236,' Disaggregation - Section E '!A$10:N425,3,0),"")</f>
        <v/>
      </c>
      <c r="L2236" s="503"/>
      <c r="M2236" s="497"/>
      <c r="N2236" s="503"/>
      <c r="O2236" s="503"/>
    </row>
    <row r="2237" spans="1:15" x14ac:dyDescent="0.35">
      <c r="A2237" s="497" t="b">
        <v>0</v>
      </c>
      <c r="B2237" s="497"/>
      <c r="C2237" s="515" t="s">
        <v>4492</v>
      </c>
      <c r="D2237" s="512">
        <v>12</v>
      </c>
      <c r="E2237" s="500"/>
      <c r="F2237" s="503"/>
      <c r="G2237" s="502"/>
      <c r="H2237" s="512"/>
      <c r="I2237" s="503"/>
      <c r="J2237" s="503"/>
      <c r="K2237" s="497" t="str">
        <f ca="1">IFERROR(VLOOKUP(C2237,' Disaggregation - Section E '!A$10:N426,3,0),"")</f>
        <v/>
      </c>
      <c r="L2237" s="503"/>
      <c r="M2237" s="497"/>
      <c r="N2237" s="503"/>
      <c r="O2237" s="503"/>
    </row>
    <row r="2238" spans="1:15" x14ac:dyDescent="0.35">
      <c r="A2238" s="497" t="b">
        <v>0</v>
      </c>
      <c r="B2238" s="497"/>
      <c r="C2238" s="515" t="s">
        <v>4494</v>
      </c>
      <c r="D2238" s="512">
        <v>12</v>
      </c>
      <c r="E2238" s="500"/>
      <c r="F2238" s="503"/>
      <c r="G2238" s="502"/>
      <c r="H2238" s="512"/>
      <c r="I2238" s="503"/>
      <c r="J2238" s="503"/>
      <c r="K2238" s="497" t="str">
        <f ca="1">IFERROR(VLOOKUP(C2238,' Disaggregation - Section E '!A$10:N427,3,0),"")</f>
        <v/>
      </c>
      <c r="L2238" s="503"/>
      <c r="M2238" s="497"/>
      <c r="N2238" s="503"/>
      <c r="O2238" s="503"/>
    </row>
    <row r="2239" spans="1:15" x14ac:dyDescent="0.35">
      <c r="A2239" s="497" t="b">
        <v>0</v>
      </c>
      <c r="B2239" s="497"/>
      <c r="C2239" s="515" t="s">
        <v>4496</v>
      </c>
      <c r="D2239" s="512">
        <v>12</v>
      </c>
      <c r="E2239" s="500"/>
      <c r="F2239" s="503"/>
      <c r="G2239" s="502"/>
      <c r="H2239" s="512"/>
      <c r="I2239" s="503"/>
      <c r="J2239" s="503"/>
      <c r="K2239" s="497" t="str">
        <f ca="1">IFERROR(VLOOKUP(C2239,' Disaggregation - Section E '!A$10:N428,3,0),"")</f>
        <v/>
      </c>
      <c r="L2239" s="503"/>
      <c r="M2239" s="497"/>
      <c r="N2239" s="503"/>
      <c r="O2239" s="503"/>
    </row>
    <row r="2240" spans="1:15" x14ac:dyDescent="0.35">
      <c r="A2240" s="497" t="b">
        <v>0</v>
      </c>
      <c r="B2240" s="497"/>
      <c r="C2240" s="515" t="s">
        <v>4498</v>
      </c>
      <c r="D2240" s="512">
        <v>12</v>
      </c>
      <c r="E2240" s="500"/>
      <c r="F2240" s="503"/>
      <c r="G2240" s="502"/>
      <c r="H2240" s="512"/>
      <c r="I2240" s="503"/>
      <c r="J2240" s="503"/>
      <c r="K2240" s="497" t="str">
        <f ca="1">IFERROR(VLOOKUP(C2240,' Disaggregation - Section E '!A$10:N429,3,0),"")</f>
        <v/>
      </c>
      <c r="L2240" s="503"/>
      <c r="M2240" s="497"/>
      <c r="N2240" s="503"/>
      <c r="O2240" s="503"/>
    </row>
    <row r="2241" spans="1:15" x14ac:dyDescent="0.35">
      <c r="A2241" s="497" t="b">
        <v>0</v>
      </c>
      <c r="B2241" s="497"/>
      <c r="C2241" s="515" t="s">
        <v>4165</v>
      </c>
      <c r="D2241" s="512">
        <v>13</v>
      </c>
      <c r="E2241" s="500"/>
      <c r="F2241" s="503"/>
      <c r="G2241" s="502"/>
      <c r="H2241" s="512"/>
      <c r="I2241" s="503"/>
      <c r="J2241" s="503"/>
      <c r="K2241" s="497" t="str">
        <f ca="1">IFERROR(VLOOKUP(C2241,' Disaggregation - Section E '!A$10:N430,3,0),"")</f>
        <v/>
      </c>
      <c r="L2241" s="503"/>
      <c r="M2241" s="497"/>
      <c r="N2241" s="503"/>
      <c r="O2241" s="503"/>
    </row>
    <row r="2242" spans="1:15" x14ac:dyDescent="0.35">
      <c r="A2242" s="497" t="b">
        <v>0</v>
      </c>
      <c r="B2242" s="497"/>
      <c r="C2242" s="515" t="s">
        <v>4167</v>
      </c>
      <c r="D2242" s="512">
        <v>13</v>
      </c>
      <c r="E2242" s="500"/>
      <c r="F2242" s="503"/>
      <c r="G2242" s="502"/>
      <c r="H2242" s="512"/>
      <c r="I2242" s="503"/>
      <c r="J2242" s="503"/>
      <c r="K2242" s="497" t="str">
        <f ca="1">IFERROR(VLOOKUP(C2242,' Disaggregation - Section E '!A$10:N431,3,0),"")</f>
        <v/>
      </c>
      <c r="L2242" s="503"/>
      <c r="M2242" s="497"/>
      <c r="N2242" s="503"/>
      <c r="O2242" s="503"/>
    </row>
    <row r="2243" spans="1:15" x14ac:dyDescent="0.35">
      <c r="A2243" s="497" t="b">
        <v>0</v>
      </c>
      <c r="B2243" s="497"/>
      <c r="C2243" s="515" t="s">
        <v>4169</v>
      </c>
      <c r="D2243" s="512">
        <v>13</v>
      </c>
      <c r="E2243" s="500"/>
      <c r="F2243" s="503"/>
      <c r="G2243" s="502"/>
      <c r="H2243" s="512"/>
      <c r="I2243" s="503"/>
      <c r="J2243" s="503"/>
      <c r="K2243" s="497" t="str">
        <f ca="1">IFERROR(VLOOKUP(C2243,' Disaggregation - Section E '!A$10:N432,3,0),"")</f>
        <v/>
      </c>
      <c r="L2243" s="503"/>
      <c r="M2243" s="497"/>
      <c r="N2243" s="503"/>
      <c r="O2243" s="503"/>
    </row>
    <row r="2244" spans="1:15" x14ac:dyDescent="0.35">
      <c r="A2244" s="497" t="b">
        <v>0</v>
      </c>
      <c r="B2244" s="497"/>
      <c r="C2244" s="515" t="s">
        <v>4171</v>
      </c>
      <c r="D2244" s="512">
        <v>13</v>
      </c>
      <c r="E2244" s="500"/>
      <c r="F2244" s="503"/>
      <c r="G2244" s="502"/>
      <c r="H2244" s="512"/>
      <c r="I2244" s="503"/>
      <c r="J2244" s="503"/>
      <c r="K2244" s="497" t="str">
        <f ca="1">IFERROR(VLOOKUP(C2244,' Disaggregation - Section E '!A$10:N433,3,0),"")</f>
        <v/>
      </c>
      <c r="L2244" s="503"/>
      <c r="M2244" s="497"/>
      <c r="N2244" s="503"/>
      <c r="O2244" s="503"/>
    </row>
    <row r="2245" spans="1:15" x14ac:dyDescent="0.35">
      <c r="A2245" s="497" t="b">
        <v>0</v>
      </c>
      <c r="B2245" s="497"/>
      <c r="C2245" s="515" t="s">
        <v>4173</v>
      </c>
      <c r="D2245" s="512">
        <v>13</v>
      </c>
      <c r="E2245" s="500"/>
      <c r="F2245" s="503"/>
      <c r="G2245" s="502"/>
      <c r="H2245" s="512"/>
      <c r="I2245" s="503"/>
      <c r="J2245" s="503"/>
      <c r="K2245" s="497" t="str">
        <f ca="1">IFERROR(VLOOKUP(C2245,' Disaggregation - Section E '!A$10:N434,3,0),"")</f>
        <v/>
      </c>
      <c r="L2245" s="503"/>
      <c r="M2245" s="497"/>
      <c r="N2245" s="503"/>
      <c r="O2245" s="503"/>
    </row>
    <row r="2246" spans="1:15" x14ac:dyDescent="0.35">
      <c r="A2246" s="497" t="b">
        <v>0</v>
      </c>
      <c r="B2246" s="497"/>
      <c r="C2246" s="515" t="s">
        <v>4175</v>
      </c>
      <c r="D2246" s="512">
        <v>13</v>
      </c>
      <c r="E2246" s="500"/>
      <c r="F2246" s="503"/>
      <c r="G2246" s="502"/>
      <c r="H2246" s="512"/>
      <c r="I2246" s="503"/>
      <c r="J2246" s="503"/>
      <c r="K2246" s="497" t="str">
        <f ca="1">IFERROR(VLOOKUP(C2246,' Disaggregation - Section E '!A$10:N435,3,0),"")</f>
        <v/>
      </c>
      <c r="L2246" s="503"/>
      <c r="M2246" s="497"/>
      <c r="N2246" s="503"/>
      <c r="O2246" s="503"/>
    </row>
    <row r="2247" spans="1:15" x14ac:dyDescent="0.35">
      <c r="A2247" s="497" t="b">
        <v>0</v>
      </c>
      <c r="B2247" s="497"/>
      <c r="C2247" s="515" t="s">
        <v>4177</v>
      </c>
      <c r="D2247" s="512">
        <v>13</v>
      </c>
      <c r="E2247" s="500"/>
      <c r="F2247" s="503"/>
      <c r="G2247" s="502"/>
      <c r="H2247" s="512"/>
      <c r="I2247" s="503"/>
      <c r="J2247" s="503"/>
      <c r="K2247" s="497" t="str">
        <f ca="1">IFERROR(VLOOKUP(C2247,' Disaggregation - Section E '!A$10:N436,3,0),"")</f>
        <v/>
      </c>
      <c r="L2247" s="503"/>
      <c r="M2247" s="497"/>
      <c r="N2247" s="503"/>
      <c r="O2247" s="503"/>
    </row>
    <row r="2248" spans="1:15" x14ac:dyDescent="0.35">
      <c r="A2248" s="497" t="b">
        <v>0</v>
      </c>
      <c r="B2248" s="497"/>
      <c r="C2248" s="515" t="s">
        <v>4179</v>
      </c>
      <c r="D2248" s="512">
        <v>13</v>
      </c>
      <c r="E2248" s="500"/>
      <c r="F2248" s="503"/>
      <c r="G2248" s="502"/>
      <c r="H2248" s="512"/>
      <c r="I2248" s="503"/>
      <c r="J2248" s="503"/>
      <c r="K2248" s="497" t="str">
        <f ca="1">IFERROR(VLOOKUP(C2248,' Disaggregation - Section E '!A$10:N437,3,0),"")</f>
        <v/>
      </c>
      <c r="L2248" s="503"/>
      <c r="M2248" s="497"/>
      <c r="N2248" s="503"/>
      <c r="O2248" s="503"/>
    </row>
    <row r="2249" spans="1:15" x14ac:dyDescent="0.35">
      <c r="A2249" s="497" t="b">
        <v>0</v>
      </c>
      <c r="B2249" s="497"/>
      <c r="C2249" s="515" t="s">
        <v>4181</v>
      </c>
      <c r="D2249" s="512">
        <v>13</v>
      </c>
      <c r="E2249" s="500"/>
      <c r="F2249" s="503"/>
      <c r="G2249" s="502"/>
      <c r="H2249" s="512"/>
      <c r="I2249" s="503"/>
      <c r="J2249" s="503"/>
      <c r="K2249" s="497" t="str">
        <f ca="1">IFERROR(VLOOKUP(C2249,' Disaggregation - Section E '!A$10:N438,3,0),"")</f>
        <v/>
      </c>
      <c r="L2249" s="503"/>
      <c r="M2249" s="497"/>
      <c r="N2249" s="503"/>
      <c r="O2249" s="503"/>
    </row>
    <row r="2250" spans="1:15" x14ac:dyDescent="0.35">
      <c r="A2250" s="497" t="b">
        <v>0</v>
      </c>
      <c r="B2250" s="497"/>
      <c r="C2250" s="515" t="s">
        <v>4183</v>
      </c>
      <c r="D2250" s="512">
        <v>13</v>
      </c>
      <c r="E2250" s="500"/>
      <c r="F2250" s="503"/>
      <c r="G2250" s="502"/>
      <c r="H2250" s="512"/>
      <c r="I2250" s="503"/>
      <c r="J2250" s="503"/>
      <c r="K2250" s="497" t="str">
        <f ca="1">IFERROR(VLOOKUP(C2250,' Disaggregation - Section E '!A$10:N439,3,0),"")</f>
        <v/>
      </c>
      <c r="L2250" s="503"/>
      <c r="M2250" s="497"/>
      <c r="N2250" s="503"/>
      <c r="O2250" s="503"/>
    </row>
    <row r="2251" spans="1:15" x14ac:dyDescent="0.35">
      <c r="A2251" s="497" t="b">
        <v>0</v>
      </c>
      <c r="B2251" s="497"/>
      <c r="C2251" s="515" t="s">
        <v>4501</v>
      </c>
      <c r="D2251" s="512">
        <v>14</v>
      </c>
      <c r="E2251" s="500"/>
      <c r="F2251" s="503"/>
      <c r="G2251" s="502"/>
      <c r="H2251" s="512"/>
      <c r="I2251" s="503"/>
      <c r="J2251" s="503"/>
      <c r="K2251" s="497" t="str">
        <f ca="1">IFERROR(VLOOKUP(C2251,' Disaggregation - Section E '!A$10:N440,3,0),"")</f>
        <v/>
      </c>
      <c r="L2251" s="503"/>
      <c r="M2251" s="497"/>
      <c r="N2251" s="503"/>
      <c r="O2251" s="503"/>
    </row>
    <row r="2252" spans="1:15" x14ac:dyDescent="0.35">
      <c r="A2252" s="497" t="b">
        <v>0</v>
      </c>
      <c r="B2252" s="497"/>
      <c r="C2252" s="515" t="s">
        <v>4503</v>
      </c>
      <c r="D2252" s="512">
        <v>14</v>
      </c>
      <c r="E2252" s="500"/>
      <c r="F2252" s="503"/>
      <c r="G2252" s="502"/>
      <c r="H2252" s="512"/>
      <c r="I2252" s="503"/>
      <c r="J2252" s="503"/>
      <c r="K2252" s="497" t="str">
        <f ca="1">IFERROR(VLOOKUP(C2252,' Disaggregation - Section E '!A$10:N441,3,0),"")</f>
        <v/>
      </c>
      <c r="L2252" s="503"/>
      <c r="M2252" s="497"/>
      <c r="N2252" s="503"/>
      <c r="O2252" s="503"/>
    </row>
    <row r="2253" spans="1:15" x14ac:dyDescent="0.35">
      <c r="A2253" s="497" t="b">
        <v>0</v>
      </c>
      <c r="B2253" s="497"/>
      <c r="C2253" s="515" t="s">
        <v>4505</v>
      </c>
      <c r="D2253" s="512">
        <v>14</v>
      </c>
      <c r="E2253" s="500"/>
      <c r="F2253" s="503"/>
      <c r="G2253" s="502"/>
      <c r="H2253" s="512"/>
      <c r="I2253" s="503"/>
      <c r="J2253" s="503"/>
      <c r="K2253" s="497" t="str">
        <f ca="1">IFERROR(VLOOKUP(C2253,' Disaggregation - Section E '!A$10:N442,3,0),"")</f>
        <v/>
      </c>
      <c r="L2253" s="503"/>
      <c r="M2253" s="497"/>
      <c r="N2253" s="503"/>
      <c r="O2253" s="503"/>
    </row>
    <row r="2254" spans="1:15" x14ac:dyDescent="0.35">
      <c r="A2254" s="497" t="b">
        <v>0</v>
      </c>
      <c r="B2254" s="497"/>
      <c r="C2254" s="515" t="s">
        <v>4507</v>
      </c>
      <c r="D2254" s="512">
        <v>14</v>
      </c>
      <c r="E2254" s="500"/>
      <c r="F2254" s="503"/>
      <c r="G2254" s="502"/>
      <c r="H2254" s="512"/>
      <c r="I2254" s="503"/>
      <c r="J2254" s="503"/>
      <c r="K2254" s="497" t="str">
        <f ca="1">IFERROR(VLOOKUP(C2254,' Disaggregation - Section E '!A$10:N443,3,0),"")</f>
        <v/>
      </c>
      <c r="L2254" s="503"/>
      <c r="M2254" s="497"/>
      <c r="N2254" s="503"/>
      <c r="O2254" s="503"/>
    </row>
    <row r="2255" spans="1:15" x14ac:dyDescent="0.35">
      <c r="A2255" s="497" t="b">
        <v>0</v>
      </c>
      <c r="B2255" s="497"/>
      <c r="C2255" s="515" t="s">
        <v>4509</v>
      </c>
      <c r="D2255" s="512">
        <v>14</v>
      </c>
      <c r="E2255" s="500"/>
      <c r="F2255" s="503"/>
      <c r="G2255" s="502"/>
      <c r="H2255" s="512"/>
      <c r="I2255" s="503"/>
      <c r="J2255" s="503"/>
      <c r="K2255" s="497" t="str">
        <f ca="1">IFERROR(VLOOKUP(C2255,' Disaggregation - Section E '!A$10:N444,3,0),"")</f>
        <v/>
      </c>
      <c r="L2255" s="503"/>
      <c r="M2255" s="497"/>
      <c r="N2255" s="503"/>
      <c r="O2255" s="503"/>
    </row>
    <row r="2256" spans="1:15" x14ac:dyDescent="0.35">
      <c r="A2256" s="497" t="b">
        <v>0</v>
      </c>
      <c r="B2256" s="497"/>
      <c r="C2256" s="515" t="s">
        <v>4511</v>
      </c>
      <c r="D2256" s="512">
        <v>14</v>
      </c>
      <c r="E2256" s="500"/>
      <c r="F2256" s="503"/>
      <c r="G2256" s="502"/>
      <c r="H2256" s="512"/>
      <c r="I2256" s="503"/>
      <c r="J2256" s="503"/>
      <c r="K2256" s="497" t="str">
        <f ca="1">IFERROR(VLOOKUP(C2256,' Disaggregation - Section E '!A$10:N445,3,0),"")</f>
        <v/>
      </c>
      <c r="L2256" s="503"/>
      <c r="M2256" s="497"/>
      <c r="N2256" s="503"/>
      <c r="O2256" s="503"/>
    </row>
    <row r="2257" spans="1:15" x14ac:dyDescent="0.35">
      <c r="A2257" s="497" t="b">
        <v>0</v>
      </c>
      <c r="B2257" s="497"/>
      <c r="C2257" s="515" t="s">
        <v>4513</v>
      </c>
      <c r="D2257" s="512">
        <v>14</v>
      </c>
      <c r="E2257" s="500"/>
      <c r="F2257" s="503"/>
      <c r="G2257" s="502"/>
      <c r="H2257" s="512"/>
      <c r="I2257" s="503"/>
      <c r="J2257" s="503"/>
      <c r="K2257" s="497" t="str">
        <f ca="1">IFERROR(VLOOKUP(C2257,' Disaggregation - Section E '!A$10:N446,3,0),"")</f>
        <v/>
      </c>
      <c r="L2257" s="503"/>
      <c r="M2257" s="497"/>
      <c r="N2257" s="503"/>
      <c r="O2257" s="503"/>
    </row>
    <row r="2258" spans="1:15" x14ac:dyDescent="0.35">
      <c r="A2258" s="497" t="b">
        <v>0</v>
      </c>
      <c r="B2258" s="497"/>
      <c r="C2258" s="515" t="s">
        <v>4515</v>
      </c>
      <c r="D2258" s="512">
        <v>14</v>
      </c>
      <c r="E2258" s="500"/>
      <c r="F2258" s="503"/>
      <c r="G2258" s="502"/>
      <c r="H2258" s="512"/>
      <c r="I2258" s="503"/>
      <c r="J2258" s="503"/>
      <c r="K2258" s="497" t="str">
        <f ca="1">IFERROR(VLOOKUP(C2258,' Disaggregation - Section E '!A$10:N447,3,0),"")</f>
        <v/>
      </c>
      <c r="L2258" s="503"/>
      <c r="M2258" s="497"/>
      <c r="N2258" s="503"/>
      <c r="O2258" s="503"/>
    </row>
    <row r="2259" spans="1:15" x14ac:dyDescent="0.35">
      <c r="A2259" s="497" t="b">
        <v>0</v>
      </c>
      <c r="B2259" s="497"/>
      <c r="C2259" s="515" t="s">
        <v>4517</v>
      </c>
      <c r="D2259" s="512">
        <v>14</v>
      </c>
      <c r="E2259" s="500"/>
      <c r="F2259" s="503"/>
      <c r="G2259" s="502"/>
      <c r="H2259" s="512"/>
      <c r="I2259" s="503"/>
      <c r="J2259" s="503"/>
      <c r="K2259" s="497" t="str">
        <f ca="1">IFERROR(VLOOKUP(C2259,' Disaggregation - Section E '!A$10:N448,3,0),"")</f>
        <v/>
      </c>
      <c r="L2259" s="503"/>
      <c r="M2259" s="497"/>
      <c r="N2259" s="503"/>
      <c r="O2259" s="503"/>
    </row>
    <row r="2260" spans="1:15" x14ac:dyDescent="0.35">
      <c r="A2260" s="497" t="b">
        <v>0</v>
      </c>
      <c r="B2260" s="497"/>
      <c r="C2260" s="515" t="s">
        <v>4519</v>
      </c>
      <c r="D2260" s="512">
        <v>14</v>
      </c>
      <c r="E2260" s="500"/>
      <c r="F2260" s="503"/>
      <c r="G2260" s="502"/>
      <c r="H2260" s="512"/>
      <c r="I2260" s="503"/>
      <c r="J2260" s="503"/>
      <c r="K2260" s="497" t="str">
        <f ca="1">IFERROR(VLOOKUP(C2260,' Disaggregation - Section E '!A$10:N449,3,0),"")</f>
        <v/>
      </c>
      <c r="L2260" s="503"/>
      <c r="M2260" s="497"/>
      <c r="N2260" s="503"/>
      <c r="O2260" s="503"/>
    </row>
    <row r="2261" spans="1:15" x14ac:dyDescent="0.35">
      <c r="A2261" s="497" t="b">
        <v>0</v>
      </c>
      <c r="B2261" s="497"/>
      <c r="C2261" s="515" t="s">
        <v>4186</v>
      </c>
      <c r="D2261" s="512">
        <v>15</v>
      </c>
      <c r="E2261" s="500"/>
      <c r="F2261" s="503"/>
      <c r="G2261" s="502"/>
      <c r="H2261" s="512"/>
      <c r="I2261" s="503"/>
      <c r="J2261" s="503"/>
      <c r="K2261" s="497" t="str">
        <f ca="1">IFERROR(VLOOKUP(C2261,' Disaggregation - Section E '!A$10:N450,3,0),"")</f>
        <v/>
      </c>
      <c r="L2261" s="503"/>
      <c r="M2261" s="497"/>
      <c r="N2261" s="503"/>
      <c r="O2261" s="503"/>
    </row>
    <row r="2262" spans="1:15" x14ac:dyDescent="0.35">
      <c r="A2262" s="497" t="b">
        <v>0</v>
      </c>
      <c r="B2262" s="497"/>
      <c r="C2262" s="515" t="s">
        <v>4188</v>
      </c>
      <c r="D2262" s="512">
        <v>15</v>
      </c>
      <c r="E2262" s="500"/>
      <c r="F2262" s="503"/>
      <c r="G2262" s="502"/>
      <c r="H2262" s="512"/>
      <c r="I2262" s="503"/>
      <c r="J2262" s="503"/>
      <c r="K2262" s="497" t="str">
        <f ca="1">IFERROR(VLOOKUP(C2262,' Disaggregation - Section E '!A$10:N451,3,0),"")</f>
        <v/>
      </c>
      <c r="L2262" s="503"/>
      <c r="M2262" s="497"/>
      <c r="N2262" s="503"/>
      <c r="O2262" s="503"/>
    </row>
    <row r="2263" spans="1:15" x14ac:dyDescent="0.35">
      <c r="A2263" s="497" t="b">
        <v>0</v>
      </c>
      <c r="B2263" s="497"/>
      <c r="C2263" s="515" t="s">
        <v>4190</v>
      </c>
      <c r="D2263" s="512">
        <v>15</v>
      </c>
      <c r="E2263" s="500"/>
      <c r="F2263" s="503"/>
      <c r="G2263" s="502"/>
      <c r="H2263" s="512"/>
      <c r="I2263" s="503"/>
      <c r="J2263" s="503"/>
      <c r="K2263" s="497" t="str">
        <f ca="1">IFERROR(VLOOKUP(C2263,' Disaggregation - Section E '!A$10:N452,3,0),"")</f>
        <v/>
      </c>
      <c r="L2263" s="503"/>
      <c r="M2263" s="497"/>
      <c r="N2263" s="503"/>
      <c r="O2263" s="503"/>
    </row>
    <row r="2264" spans="1:15" x14ac:dyDescent="0.35">
      <c r="A2264" s="497" t="b">
        <v>0</v>
      </c>
      <c r="B2264" s="497"/>
      <c r="C2264" s="515" t="s">
        <v>4192</v>
      </c>
      <c r="D2264" s="512">
        <v>15</v>
      </c>
      <c r="E2264" s="500"/>
      <c r="F2264" s="503"/>
      <c r="G2264" s="502"/>
      <c r="H2264" s="512"/>
      <c r="I2264" s="503"/>
      <c r="J2264" s="503"/>
      <c r="K2264" s="497" t="str">
        <f ca="1">IFERROR(VLOOKUP(C2264,' Disaggregation - Section E '!A$10:N453,3,0),"")</f>
        <v/>
      </c>
      <c r="L2264" s="503"/>
      <c r="M2264" s="497"/>
      <c r="N2264" s="503"/>
      <c r="O2264" s="503"/>
    </row>
    <row r="2265" spans="1:15" x14ac:dyDescent="0.35">
      <c r="A2265" s="497" t="b">
        <v>0</v>
      </c>
      <c r="B2265" s="497"/>
      <c r="C2265" s="515" t="s">
        <v>4194</v>
      </c>
      <c r="D2265" s="512">
        <v>15</v>
      </c>
      <c r="E2265" s="500"/>
      <c r="F2265" s="503"/>
      <c r="G2265" s="502"/>
      <c r="H2265" s="512"/>
      <c r="I2265" s="503"/>
      <c r="J2265" s="503"/>
      <c r="K2265" s="497" t="str">
        <f ca="1">IFERROR(VLOOKUP(C2265,' Disaggregation - Section E '!A$10:N454,3,0),"")</f>
        <v/>
      </c>
      <c r="L2265" s="503"/>
      <c r="M2265" s="497"/>
      <c r="N2265" s="503"/>
      <c r="O2265" s="503"/>
    </row>
    <row r="2266" spans="1:15" x14ac:dyDescent="0.35">
      <c r="A2266" s="497" t="b">
        <v>0</v>
      </c>
      <c r="B2266" s="497"/>
      <c r="C2266" s="515" t="s">
        <v>4196</v>
      </c>
      <c r="D2266" s="512">
        <v>15</v>
      </c>
      <c r="E2266" s="500"/>
      <c r="F2266" s="503"/>
      <c r="G2266" s="502"/>
      <c r="H2266" s="512"/>
      <c r="I2266" s="503"/>
      <c r="J2266" s="503"/>
      <c r="K2266" s="497" t="str">
        <f ca="1">IFERROR(VLOOKUP(C2266,' Disaggregation - Section E '!A$10:N455,3,0),"")</f>
        <v/>
      </c>
      <c r="L2266" s="503"/>
      <c r="M2266" s="497"/>
      <c r="N2266" s="503"/>
      <c r="O2266" s="503"/>
    </row>
    <row r="2267" spans="1:15" x14ac:dyDescent="0.35">
      <c r="A2267" s="497" t="b">
        <v>0</v>
      </c>
      <c r="B2267" s="497"/>
      <c r="C2267" s="515" t="s">
        <v>4198</v>
      </c>
      <c r="D2267" s="512">
        <v>15</v>
      </c>
      <c r="E2267" s="500"/>
      <c r="F2267" s="503"/>
      <c r="G2267" s="502"/>
      <c r="H2267" s="512"/>
      <c r="I2267" s="503"/>
      <c r="J2267" s="503"/>
      <c r="K2267" s="497" t="str">
        <f ca="1">IFERROR(VLOOKUP(C2267,' Disaggregation - Section E '!A$10:N456,3,0),"")</f>
        <v/>
      </c>
      <c r="L2267" s="503"/>
      <c r="M2267" s="497"/>
      <c r="N2267" s="503"/>
      <c r="O2267" s="503"/>
    </row>
    <row r="2268" spans="1:15" x14ac:dyDescent="0.35">
      <c r="A2268" s="497" t="b">
        <v>0</v>
      </c>
      <c r="B2268" s="497"/>
      <c r="C2268" s="515" t="s">
        <v>4200</v>
      </c>
      <c r="D2268" s="512">
        <v>15</v>
      </c>
      <c r="E2268" s="500"/>
      <c r="F2268" s="503"/>
      <c r="G2268" s="502"/>
      <c r="H2268" s="512"/>
      <c r="I2268" s="503"/>
      <c r="J2268" s="503"/>
      <c r="K2268" s="497" t="str">
        <f ca="1">IFERROR(VLOOKUP(C2268,' Disaggregation - Section E '!A$10:N457,3,0),"")</f>
        <v/>
      </c>
      <c r="L2268" s="503"/>
      <c r="M2268" s="497"/>
      <c r="N2268" s="503"/>
      <c r="O2268" s="503"/>
    </row>
    <row r="2269" spans="1:15" x14ac:dyDescent="0.35">
      <c r="A2269" s="497" t="b">
        <v>0</v>
      </c>
      <c r="B2269" s="497"/>
      <c r="C2269" s="515" t="s">
        <v>4202</v>
      </c>
      <c r="D2269" s="512">
        <v>15</v>
      </c>
      <c r="E2269" s="500"/>
      <c r="F2269" s="503"/>
      <c r="G2269" s="502"/>
      <c r="H2269" s="512"/>
      <c r="I2269" s="503"/>
      <c r="J2269" s="503"/>
      <c r="K2269" s="497" t="str">
        <f ca="1">IFERROR(VLOOKUP(C2269,' Disaggregation - Section E '!A$10:N458,3,0),"")</f>
        <v/>
      </c>
      <c r="L2269" s="503"/>
      <c r="M2269" s="497"/>
      <c r="N2269" s="503"/>
      <c r="O2269" s="503"/>
    </row>
    <row r="2270" spans="1:15" x14ac:dyDescent="0.35">
      <c r="A2270" s="497" t="b">
        <v>0</v>
      </c>
      <c r="B2270" s="497"/>
      <c r="C2270" s="515" t="s">
        <v>4204</v>
      </c>
      <c r="D2270" s="512">
        <v>15</v>
      </c>
      <c r="E2270" s="500"/>
      <c r="F2270" s="503"/>
      <c r="G2270" s="502"/>
      <c r="H2270" s="512"/>
      <c r="I2270" s="503"/>
      <c r="J2270" s="503"/>
      <c r="K2270" s="497" t="str">
        <f ca="1">IFERROR(VLOOKUP(C2270,' Disaggregation - Section E '!A$10:N459,3,0),"")</f>
        <v/>
      </c>
      <c r="L2270" s="503"/>
      <c r="M2270" s="497"/>
      <c r="N2270" s="503"/>
      <c r="O2270" s="503"/>
    </row>
    <row r="2271" spans="1:15" x14ac:dyDescent="0.35">
      <c r="A2271" s="497" t="b">
        <v>0</v>
      </c>
      <c r="B2271" s="497"/>
      <c r="C2271" s="515" t="s">
        <v>4522</v>
      </c>
      <c r="D2271" s="512">
        <v>16</v>
      </c>
      <c r="E2271" s="500"/>
      <c r="F2271" s="503"/>
      <c r="G2271" s="502"/>
      <c r="H2271" s="512"/>
      <c r="I2271" s="503"/>
      <c r="J2271" s="503"/>
      <c r="K2271" s="497" t="str">
        <f ca="1">IFERROR(VLOOKUP(C2271,' Disaggregation - Section E '!A$10:N460,3,0),"")</f>
        <v/>
      </c>
      <c r="L2271" s="503"/>
      <c r="M2271" s="497"/>
      <c r="N2271" s="503"/>
      <c r="O2271" s="503"/>
    </row>
    <row r="2272" spans="1:15" x14ac:dyDescent="0.35">
      <c r="A2272" s="497" t="b">
        <v>0</v>
      </c>
      <c r="B2272" s="497"/>
      <c r="C2272" s="515" t="s">
        <v>4524</v>
      </c>
      <c r="D2272" s="512">
        <v>16</v>
      </c>
      <c r="E2272" s="500"/>
      <c r="F2272" s="503"/>
      <c r="G2272" s="502"/>
      <c r="H2272" s="512"/>
      <c r="I2272" s="503"/>
      <c r="J2272" s="503"/>
      <c r="K2272" s="497" t="str">
        <f ca="1">IFERROR(VLOOKUP(C2272,' Disaggregation - Section E '!A$10:N461,3,0),"")</f>
        <v/>
      </c>
      <c r="L2272" s="503"/>
      <c r="M2272" s="497"/>
      <c r="N2272" s="503"/>
      <c r="O2272" s="503"/>
    </row>
    <row r="2273" spans="1:15" x14ac:dyDescent="0.35">
      <c r="A2273" s="497" t="b">
        <v>0</v>
      </c>
      <c r="B2273" s="497"/>
      <c r="C2273" s="515" t="s">
        <v>4526</v>
      </c>
      <c r="D2273" s="512">
        <v>16</v>
      </c>
      <c r="E2273" s="500"/>
      <c r="F2273" s="503"/>
      <c r="G2273" s="502"/>
      <c r="H2273" s="512"/>
      <c r="I2273" s="503"/>
      <c r="J2273" s="503"/>
      <c r="K2273" s="497" t="str">
        <f ca="1">IFERROR(VLOOKUP(C2273,' Disaggregation - Section E '!A$10:N462,3,0),"")</f>
        <v/>
      </c>
      <c r="L2273" s="503"/>
      <c r="M2273" s="497"/>
      <c r="N2273" s="503"/>
      <c r="O2273" s="503"/>
    </row>
    <row r="2274" spans="1:15" x14ac:dyDescent="0.35">
      <c r="A2274" s="497" t="b">
        <v>0</v>
      </c>
      <c r="B2274" s="497"/>
      <c r="C2274" s="515" t="s">
        <v>4528</v>
      </c>
      <c r="D2274" s="512">
        <v>16</v>
      </c>
      <c r="E2274" s="500"/>
      <c r="F2274" s="503"/>
      <c r="G2274" s="502"/>
      <c r="H2274" s="512"/>
      <c r="I2274" s="503"/>
      <c r="J2274" s="503"/>
      <c r="K2274" s="497" t="str">
        <f ca="1">IFERROR(VLOOKUP(C2274,' Disaggregation - Section E '!A$10:N463,3,0),"")</f>
        <v/>
      </c>
      <c r="L2274" s="503"/>
      <c r="M2274" s="497"/>
      <c r="N2274" s="503"/>
      <c r="O2274" s="503"/>
    </row>
    <row r="2275" spans="1:15" x14ac:dyDescent="0.35">
      <c r="A2275" s="497" t="b">
        <v>0</v>
      </c>
      <c r="B2275" s="497"/>
      <c r="C2275" s="515" t="s">
        <v>4530</v>
      </c>
      <c r="D2275" s="512">
        <v>16</v>
      </c>
      <c r="E2275" s="500"/>
      <c r="F2275" s="503"/>
      <c r="G2275" s="502"/>
      <c r="H2275" s="512"/>
      <c r="I2275" s="503"/>
      <c r="J2275" s="503"/>
      <c r="K2275" s="497" t="str">
        <f ca="1">IFERROR(VLOOKUP(C2275,' Disaggregation - Section E '!A$10:N464,3,0),"")</f>
        <v/>
      </c>
      <c r="L2275" s="503"/>
      <c r="M2275" s="497"/>
      <c r="N2275" s="503"/>
      <c r="O2275" s="503"/>
    </row>
    <row r="2276" spans="1:15" x14ac:dyDescent="0.35">
      <c r="A2276" s="497" t="b">
        <v>0</v>
      </c>
      <c r="B2276" s="497"/>
      <c r="C2276" s="515" t="s">
        <v>4532</v>
      </c>
      <c r="D2276" s="512">
        <v>16</v>
      </c>
      <c r="E2276" s="500"/>
      <c r="F2276" s="503"/>
      <c r="G2276" s="502"/>
      <c r="H2276" s="512"/>
      <c r="I2276" s="503"/>
      <c r="J2276" s="503"/>
      <c r="K2276" s="497" t="str">
        <f ca="1">IFERROR(VLOOKUP(C2276,' Disaggregation - Section E '!A$10:N465,3,0),"")</f>
        <v/>
      </c>
      <c r="L2276" s="503"/>
      <c r="M2276" s="497"/>
      <c r="N2276" s="503"/>
      <c r="O2276" s="503"/>
    </row>
    <row r="2277" spans="1:15" x14ac:dyDescent="0.35">
      <c r="A2277" s="497" t="b">
        <v>0</v>
      </c>
      <c r="B2277" s="497"/>
      <c r="C2277" s="515" t="s">
        <v>4534</v>
      </c>
      <c r="D2277" s="512">
        <v>16</v>
      </c>
      <c r="E2277" s="500"/>
      <c r="F2277" s="503"/>
      <c r="G2277" s="502"/>
      <c r="H2277" s="512"/>
      <c r="I2277" s="503"/>
      <c r="J2277" s="503"/>
      <c r="K2277" s="497" t="str">
        <f ca="1">IFERROR(VLOOKUP(C2277,' Disaggregation - Section E '!A$10:N466,3,0),"")</f>
        <v/>
      </c>
      <c r="L2277" s="503"/>
      <c r="M2277" s="497"/>
      <c r="N2277" s="503"/>
      <c r="O2277" s="503"/>
    </row>
    <row r="2278" spans="1:15" x14ac:dyDescent="0.35">
      <c r="A2278" s="497" t="b">
        <v>0</v>
      </c>
      <c r="B2278" s="497"/>
      <c r="C2278" s="515" t="s">
        <v>4536</v>
      </c>
      <c r="D2278" s="512">
        <v>16</v>
      </c>
      <c r="E2278" s="500"/>
      <c r="F2278" s="503"/>
      <c r="G2278" s="502"/>
      <c r="H2278" s="512"/>
      <c r="I2278" s="503"/>
      <c r="J2278" s="503"/>
      <c r="K2278" s="497" t="str">
        <f ca="1">IFERROR(VLOOKUP(C2278,' Disaggregation - Section E '!A$10:N467,3,0),"")</f>
        <v/>
      </c>
      <c r="L2278" s="503"/>
      <c r="M2278" s="497"/>
      <c r="N2278" s="503"/>
      <c r="O2278" s="503"/>
    </row>
    <row r="2279" spans="1:15" x14ac:dyDescent="0.35">
      <c r="A2279" s="497" t="b">
        <v>0</v>
      </c>
      <c r="B2279" s="497"/>
      <c r="C2279" s="515" t="s">
        <v>4538</v>
      </c>
      <c r="D2279" s="512">
        <v>16</v>
      </c>
      <c r="E2279" s="500"/>
      <c r="F2279" s="503"/>
      <c r="G2279" s="502"/>
      <c r="H2279" s="512"/>
      <c r="I2279" s="503"/>
      <c r="J2279" s="503"/>
      <c r="K2279" s="497" t="str">
        <f ca="1">IFERROR(VLOOKUP(C2279,' Disaggregation - Section E '!A$10:N468,3,0),"")</f>
        <v/>
      </c>
      <c r="L2279" s="503"/>
      <c r="M2279" s="497"/>
      <c r="N2279" s="503"/>
      <c r="O2279" s="503"/>
    </row>
    <row r="2280" spans="1:15" x14ac:dyDescent="0.35">
      <c r="A2280" s="497" t="b">
        <v>0</v>
      </c>
      <c r="B2280" s="497"/>
      <c r="C2280" s="515" t="s">
        <v>4540</v>
      </c>
      <c r="D2280" s="512">
        <v>16</v>
      </c>
      <c r="E2280" s="500"/>
      <c r="F2280" s="503"/>
      <c r="G2280" s="502"/>
      <c r="H2280" s="512"/>
      <c r="I2280" s="503"/>
      <c r="J2280" s="503"/>
      <c r="K2280" s="497" t="str">
        <f ca="1">IFERROR(VLOOKUP(C2280,' Disaggregation - Section E '!A$10:N469,3,0),"")</f>
        <v/>
      </c>
      <c r="L2280" s="503"/>
      <c r="M2280" s="497"/>
      <c r="N2280" s="503"/>
      <c r="O2280" s="503"/>
    </row>
    <row r="2281" spans="1:15" x14ac:dyDescent="0.35">
      <c r="A2281" s="497" t="b">
        <v>0</v>
      </c>
      <c r="B2281" s="497"/>
      <c r="C2281" s="515" t="s">
        <v>4207</v>
      </c>
      <c r="D2281" s="512">
        <v>17</v>
      </c>
      <c r="E2281" s="500"/>
      <c r="F2281" s="503"/>
      <c r="G2281" s="502"/>
      <c r="H2281" s="512"/>
      <c r="I2281" s="503"/>
      <c r="J2281" s="503"/>
      <c r="K2281" s="497" t="str">
        <f ca="1">IFERROR(VLOOKUP(C2281,' Disaggregation - Section E '!A$10:N470,3,0),"")</f>
        <v/>
      </c>
      <c r="L2281" s="503"/>
      <c r="M2281" s="497"/>
      <c r="N2281" s="503"/>
      <c r="O2281" s="503"/>
    </row>
    <row r="2282" spans="1:15" x14ac:dyDescent="0.35">
      <c r="A2282" s="497" t="b">
        <v>0</v>
      </c>
      <c r="B2282" s="497"/>
      <c r="C2282" s="515" t="s">
        <v>4209</v>
      </c>
      <c r="D2282" s="512">
        <v>17</v>
      </c>
      <c r="E2282" s="500"/>
      <c r="F2282" s="503"/>
      <c r="G2282" s="502"/>
      <c r="H2282" s="512"/>
      <c r="I2282" s="503"/>
      <c r="J2282" s="503"/>
      <c r="K2282" s="497" t="str">
        <f ca="1">IFERROR(VLOOKUP(C2282,' Disaggregation - Section E '!A$10:N471,3,0),"")</f>
        <v/>
      </c>
      <c r="L2282" s="503"/>
      <c r="M2282" s="497"/>
      <c r="N2282" s="503"/>
      <c r="O2282" s="503"/>
    </row>
    <row r="2283" spans="1:15" x14ac:dyDescent="0.35">
      <c r="A2283" s="497" t="b">
        <v>0</v>
      </c>
      <c r="B2283" s="497"/>
      <c r="C2283" s="515" t="s">
        <v>4211</v>
      </c>
      <c r="D2283" s="512">
        <v>17</v>
      </c>
      <c r="E2283" s="500"/>
      <c r="F2283" s="503"/>
      <c r="G2283" s="502"/>
      <c r="H2283" s="512"/>
      <c r="I2283" s="503"/>
      <c r="J2283" s="503"/>
      <c r="K2283" s="497" t="str">
        <f ca="1">IFERROR(VLOOKUP(C2283,' Disaggregation - Section E '!A$10:N472,3,0),"")</f>
        <v/>
      </c>
      <c r="L2283" s="503"/>
      <c r="M2283" s="497"/>
      <c r="N2283" s="503"/>
      <c r="O2283" s="503"/>
    </row>
    <row r="2284" spans="1:15" x14ac:dyDescent="0.35">
      <c r="A2284" s="497" t="b">
        <v>0</v>
      </c>
      <c r="B2284" s="497"/>
      <c r="C2284" s="515" t="s">
        <v>4213</v>
      </c>
      <c r="D2284" s="512">
        <v>17</v>
      </c>
      <c r="E2284" s="500"/>
      <c r="F2284" s="503"/>
      <c r="G2284" s="502"/>
      <c r="H2284" s="512"/>
      <c r="I2284" s="503"/>
      <c r="J2284" s="503"/>
      <c r="K2284" s="497" t="str">
        <f ca="1">IFERROR(VLOOKUP(C2284,' Disaggregation - Section E '!A$10:N473,3,0),"")</f>
        <v/>
      </c>
      <c r="L2284" s="503"/>
      <c r="M2284" s="497"/>
      <c r="N2284" s="503"/>
      <c r="O2284" s="503"/>
    </row>
    <row r="2285" spans="1:15" x14ac:dyDescent="0.35">
      <c r="A2285" s="497" t="b">
        <v>0</v>
      </c>
      <c r="B2285" s="497"/>
      <c r="C2285" s="515" t="s">
        <v>4215</v>
      </c>
      <c r="D2285" s="512">
        <v>17</v>
      </c>
      <c r="E2285" s="500"/>
      <c r="F2285" s="503"/>
      <c r="G2285" s="502"/>
      <c r="H2285" s="512"/>
      <c r="I2285" s="503"/>
      <c r="J2285" s="503"/>
      <c r="K2285" s="497" t="str">
        <f ca="1">IFERROR(VLOOKUP(C2285,' Disaggregation - Section E '!A$10:N474,3,0),"")</f>
        <v/>
      </c>
      <c r="L2285" s="503"/>
      <c r="M2285" s="497"/>
      <c r="N2285" s="503"/>
      <c r="O2285" s="503"/>
    </row>
    <row r="2286" spans="1:15" x14ac:dyDescent="0.35">
      <c r="A2286" s="497" t="b">
        <v>0</v>
      </c>
      <c r="B2286" s="497"/>
      <c r="C2286" s="515" t="s">
        <v>4217</v>
      </c>
      <c r="D2286" s="512">
        <v>17</v>
      </c>
      <c r="E2286" s="500"/>
      <c r="F2286" s="503"/>
      <c r="G2286" s="502"/>
      <c r="H2286" s="512"/>
      <c r="I2286" s="503"/>
      <c r="J2286" s="503"/>
      <c r="K2286" s="497" t="str">
        <f ca="1">IFERROR(VLOOKUP(C2286,' Disaggregation - Section E '!A$10:N475,3,0),"")</f>
        <v/>
      </c>
      <c r="L2286" s="503"/>
      <c r="M2286" s="497"/>
      <c r="N2286" s="503"/>
      <c r="O2286" s="503"/>
    </row>
    <row r="2287" spans="1:15" x14ac:dyDescent="0.35">
      <c r="A2287" s="497" t="b">
        <v>0</v>
      </c>
      <c r="B2287" s="497"/>
      <c r="C2287" s="515" t="s">
        <v>4219</v>
      </c>
      <c r="D2287" s="512">
        <v>17</v>
      </c>
      <c r="E2287" s="500"/>
      <c r="F2287" s="503"/>
      <c r="G2287" s="502"/>
      <c r="H2287" s="512"/>
      <c r="I2287" s="503"/>
      <c r="J2287" s="503"/>
      <c r="K2287" s="497" t="str">
        <f ca="1">IFERROR(VLOOKUP(C2287,' Disaggregation - Section E '!A$10:N476,3,0),"")</f>
        <v/>
      </c>
      <c r="L2287" s="503"/>
      <c r="M2287" s="497"/>
      <c r="N2287" s="503"/>
      <c r="O2287" s="503"/>
    </row>
    <row r="2288" spans="1:15" x14ac:dyDescent="0.35">
      <c r="A2288" s="497" t="b">
        <v>0</v>
      </c>
      <c r="B2288" s="497"/>
      <c r="C2288" s="515" t="s">
        <v>4221</v>
      </c>
      <c r="D2288" s="512">
        <v>17</v>
      </c>
      <c r="E2288" s="500"/>
      <c r="F2288" s="503"/>
      <c r="G2288" s="502"/>
      <c r="H2288" s="512"/>
      <c r="I2288" s="503"/>
      <c r="J2288" s="503"/>
      <c r="K2288" s="497" t="str">
        <f ca="1">IFERROR(VLOOKUP(C2288,' Disaggregation - Section E '!A$10:N477,3,0),"")</f>
        <v/>
      </c>
      <c r="L2288" s="503"/>
      <c r="M2288" s="497"/>
      <c r="N2288" s="503"/>
      <c r="O2288" s="503"/>
    </row>
    <row r="2289" spans="1:15" x14ac:dyDescent="0.35">
      <c r="A2289" s="497" t="b">
        <v>0</v>
      </c>
      <c r="B2289" s="497"/>
      <c r="C2289" s="515" t="s">
        <v>4223</v>
      </c>
      <c r="D2289" s="512">
        <v>17</v>
      </c>
      <c r="E2289" s="500"/>
      <c r="F2289" s="503"/>
      <c r="G2289" s="502"/>
      <c r="H2289" s="512"/>
      <c r="I2289" s="503"/>
      <c r="J2289" s="503"/>
      <c r="K2289" s="497" t="str">
        <f ca="1">IFERROR(VLOOKUP(C2289,' Disaggregation - Section E '!A$10:N478,3,0),"")</f>
        <v/>
      </c>
      <c r="L2289" s="503"/>
      <c r="M2289" s="497"/>
      <c r="N2289" s="503"/>
      <c r="O2289" s="503"/>
    </row>
    <row r="2290" spans="1:15" x14ac:dyDescent="0.35">
      <c r="A2290" s="497" t="b">
        <v>0</v>
      </c>
      <c r="B2290" s="497"/>
      <c r="C2290" s="515" t="s">
        <v>4225</v>
      </c>
      <c r="D2290" s="512">
        <v>17</v>
      </c>
      <c r="E2290" s="500"/>
      <c r="F2290" s="503"/>
      <c r="G2290" s="502"/>
      <c r="H2290" s="512"/>
      <c r="I2290" s="503"/>
      <c r="J2290" s="503"/>
      <c r="K2290" s="497" t="str">
        <f ca="1">IFERROR(VLOOKUP(C2290,' Disaggregation - Section E '!A$10:N479,3,0),"")</f>
        <v/>
      </c>
      <c r="L2290" s="503"/>
      <c r="M2290" s="497"/>
      <c r="N2290" s="503"/>
      <c r="O2290" s="503"/>
    </row>
    <row r="2291" spans="1:15" x14ac:dyDescent="0.35">
      <c r="A2291" s="497" t="b">
        <v>0</v>
      </c>
      <c r="B2291" s="497"/>
      <c r="C2291" s="515" t="s">
        <v>4459</v>
      </c>
      <c r="D2291" s="512">
        <v>18</v>
      </c>
      <c r="E2291" s="500"/>
      <c r="F2291" s="503"/>
      <c r="G2291" s="502"/>
      <c r="H2291" s="512"/>
      <c r="I2291" s="503"/>
      <c r="J2291" s="503"/>
      <c r="K2291" s="497" t="str">
        <f ca="1">IFERROR(VLOOKUP(C2291,' Disaggregation - Section E '!A$10:N480,3,0),"")</f>
        <v/>
      </c>
      <c r="L2291" s="503"/>
      <c r="M2291" s="497"/>
      <c r="N2291" s="503"/>
      <c r="O2291" s="503"/>
    </row>
    <row r="2292" spans="1:15" x14ac:dyDescent="0.35">
      <c r="A2292" s="497" t="b">
        <v>0</v>
      </c>
      <c r="B2292" s="497"/>
      <c r="C2292" s="515" t="s">
        <v>4461</v>
      </c>
      <c r="D2292" s="512">
        <v>18</v>
      </c>
      <c r="E2292" s="500"/>
      <c r="F2292" s="503"/>
      <c r="G2292" s="502"/>
      <c r="H2292" s="512"/>
      <c r="I2292" s="503"/>
      <c r="J2292" s="503"/>
      <c r="K2292" s="497" t="str">
        <f ca="1">IFERROR(VLOOKUP(C2292,' Disaggregation - Section E '!A$10:N481,3,0),"")</f>
        <v/>
      </c>
      <c r="L2292" s="503"/>
      <c r="M2292" s="497"/>
      <c r="N2292" s="503"/>
      <c r="O2292" s="503"/>
    </row>
    <row r="2293" spans="1:15" x14ac:dyDescent="0.35">
      <c r="A2293" s="497" t="b">
        <v>0</v>
      </c>
      <c r="B2293" s="497"/>
      <c r="C2293" s="515" t="s">
        <v>4463</v>
      </c>
      <c r="D2293" s="512">
        <v>18</v>
      </c>
      <c r="E2293" s="500"/>
      <c r="F2293" s="503"/>
      <c r="G2293" s="502"/>
      <c r="H2293" s="512"/>
      <c r="I2293" s="503"/>
      <c r="J2293" s="503"/>
      <c r="K2293" s="497" t="str">
        <f ca="1">IFERROR(VLOOKUP(C2293,' Disaggregation - Section E '!A$10:N482,3,0),"")</f>
        <v/>
      </c>
      <c r="L2293" s="503"/>
      <c r="M2293" s="497"/>
      <c r="N2293" s="503"/>
      <c r="O2293" s="503"/>
    </row>
    <row r="2294" spans="1:15" x14ac:dyDescent="0.35">
      <c r="A2294" s="497" t="b">
        <v>0</v>
      </c>
      <c r="B2294" s="497"/>
      <c r="C2294" s="515" t="s">
        <v>4465</v>
      </c>
      <c r="D2294" s="512">
        <v>18</v>
      </c>
      <c r="E2294" s="500"/>
      <c r="F2294" s="503"/>
      <c r="G2294" s="502"/>
      <c r="H2294" s="512"/>
      <c r="I2294" s="503"/>
      <c r="J2294" s="503"/>
      <c r="K2294" s="497" t="str">
        <f ca="1">IFERROR(VLOOKUP(C2294,' Disaggregation - Section E '!A$10:N483,3,0),"")</f>
        <v/>
      </c>
      <c r="L2294" s="503"/>
      <c r="M2294" s="497"/>
      <c r="N2294" s="503"/>
      <c r="O2294" s="503"/>
    </row>
    <row r="2295" spans="1:15" x14ac:dyDescent="0.35">
      <c r="A2295" s="497" t="b">
        <v>0</v>
      </c>
      <c r="B2295" s="497"/>
      <c r="C2295" s="515" t="s">
        <v>4467</v>
      </c>
      <c r="D2295" s="512">
        <v>18</v>
      </c>
      <c r="E2295" s="500"/>
      <c r="F2295" s="503"/>
      <c r="G2295" s="502"/>
      <c r="H2295" s="512"/>
      <c r="I2295" s="503"/>
      <c r="J2295" s="503"/>
      <c r="K2295" s="497" t="str">
        <f ca="1">IFERROR(VLOOKUP(C2295,' Disaggregation - Section E '!A$10:N484,3,0),"")</f>
        <v/>
      </c>
      <c r="L2295" s="503"/>
      <c r="M2295" s="497"/>
      <c r="N2295" s="503"/>
      <c r="O2295" s="503"/>
    </row>
    <row r="2296" spans="1:15" x14ac:dyDescent="0.35">
      <c r="A2296" s="497" t="b">
        <v>0</v>
      </c>
      <c r="B2296" s="497"/>
      <c r="C2296" s="515" t="s">
        <v>4469</v>
      </c>
      <c r="D2296" s="512">
        <v>18</v>
      </c>
      <c r="E2296" s="500"/>
      <c r="F2296" s="503"/>
      <c r="G2296" s="502"/>
      <c r="H2296" s="512"/>
      <c r="I2296" s="503"/>
      <c r="J2296" s="503"/>
      <c r="K2296" s="497" t="str">
        <f ca="1">IFERROR(VLOOKUP(C2296,' Disaggregation - Section E '!A$10:N485,3,0),"")</f>
        <v/>
      </c>
      <c r="L2296" s="503"/>
      <c r="M2296" s="497"/>
      <c r="N2296" s="503"/>
      <c r="O2296" s="503"/>
    </row>
    <row r="2297" spans="1:15" x14ac:dyDescent="0.35">
      <c r="A2297" s="497" t="b">
        <v>0</v>
      </c>
      <c r="B2297" s="497"/>
      <c r="C2297" s="515" t="s">
        <v>4471</v>
      </c>
      <c r="D2297" s="512">
        <v>18</v>
      </c>
      <c r="E2297" s="500"/>
      <c r="F2297" s="503"/>
      <c r="G2297" s="502"/>
      <c r="H2297" s="512"/>
      <c r="I2297" s="503"/>
      <c r="J2297" s="503"/>
      <c r="K2297" s="497" t="str">
        <f ca="1">IFERROR(VLOOKUP(C2297,' Disaggregation - Section E '!A$10:N486,3,0),"")</f>
        <v/>
      </c>
      <c r="L2297" s="503"/>
      <c r="M2297" s="497"/>
      <c r="N2297" s="503"/>
      <c r="O2297" s="503"/>
    </row>
    <row r="2298" spans="1:15" x14ac:dyDescent="0.35">
      <c r="A2298" s="497" t="b">
        <v>0</v>
      </c>
      <c r="B2298" s="497"/>
      <c r="C2298" s="515" t="s">
        <v>4473</v>
      </c>
      <c r="D2298" s="512">
        <v>18</v>
      </c>
      <c r="E2298" s="500"/>
      <c r="F2298" s="503"/>
      <c r="G2298" s="502"/>
      <c r="H2298" s="512"/>
      <c r="I2298" s="503"/>
      <c r="J2298" s="503"/>
      <c r="K2298" s="497" t="str">
        <f ca="1">IFERROR(VLOOKUP(C2298,' Disaggregation - Section E '!A$10:N487,3,0),"")</f>
        <v/>
      </c>
      <c r="L2298" s="503"/>
      <c r="M2298" s="497"/>
      <c r="N2298" s="503"/>
      <c r="O2298" s="503"/>
    </row>
    <row r="2299" spans="1:15" x14ac:dyDescent="0.35">
      <c r="A2299" s="497" t="b">
        <v>0</v>
      </c>
      <c r="B2299" s="497"/>
      <c r="C2299" s="515" t="s">
        <v>4475</v>
      </c>
      <c r="D2299" s="512">
        <v>18</v>
      </c>
      <c r="E2299" s="500"/>
      <c r="F2299" s="503"/>
      <c r="G2299" s="502"/>
      <c r="H2299" s="512"/>
      <c r="I2299" s="503"/>
      <c r="J2299" s="503"/>
      <c r="K2299" s="497" t="str">
        <f ca="1">IFERROR(VLOOKUP(C2299,' Disaggregation - Section E '!A$10:N488,3,0),"")</f>
        <v/>
      </c>
      <c r="L2299" s="503"/>
      <c r="M2299" s="497"/>
      <c r="N2299" s="503"/>
      <c r="O2299" s="503"/>
    </row>
    <row r="2300" spans="1:15" x14ac:dyDescent="0.35">
      <c r="A2300" s="497" t="b">
        <v>0</v>
      </c>
      <c r="B2300" s="497"/>
      <c r="C2300" s="515" t="s">
        <v>4477</v>
      </c>
      <c r="D2300" s="512">
        <v>18</v>
      </c>
      <c r="E2300" s="500"/>
      <c r="F2300" s="503"/>
      <c r="G2300" s="502"/>
      <c r="H2300" s="512"/>
      <c r="I2300" s="503"/>
      <c r="J2300" s="503"/>
      <c r="K2300" s="497" t="str">
        <f ca="1">IFERROR(VLOOKUP(C2300,' Disaggregation - Section E '!A$10:N489,3,0),"")</f>
        <v/>
      </c>
      <c r="L2300" s="503"/>
      <c r="M2300" s="497"/>
      <c r="N2300" s="503"/>
      <c r="O2300" s="503"/>
    </row>
    <row r="2301" spans="1:15" x14ac:dyDescent="0.35">
      <c r="A2301" s="497" t="b">
        <v>0</v>
      </c>
      <c r="B2301" s="497"/>
      <c r="C2301" s="515" t="s">
        <v>4228</v>
      </c>
      <c r="D2301" s="512">
        <v>19</v>
      </c>
      <c r="E2301" s="500"/>
      <c r="F2301" s="503"/>
      <c r="G2301" s="502"/>
      <c r="H2301" s="512"/>
      <c r="I2301" s="503"/>
      <c r="J2301" s="503"/>
      <c r="K2301" s="497" t="str">
        <f ca="1">IFERROR(VLOOKUP(C2301,' Disaggregation - Section E '!A$10:N490,3,0),"")</f>
        <v/>
      </c>
      <c r="L2301" s="503"/>
      <c r="M2301" s="497"/>
      <c r="N2301" s="503"/>
      <c r="O2301" s="503"/>
    </row>
    <row r="2302" spans="1:15" x14ac:dyDescent="0.35">
      <c r="A2302" s="497" t="b">
        <v>0</v>
      </c>
      <c r="B2302" s="497"/>
      <c r="C2302" s="515" t="s">
        <v>4230</v>
      </c>
      <c r="D2302" s="512">
        <v>19</v>
      </c>
      <c r="E2302" s="500"/>
      <c r="F2302" s="503"/>
      <c r="G2302" s="502"/>
      <c r="H2302" s="512"/>
      <c r="I2302" s="503"/>
      <c r="J2302" s="503"/>
      <c r="K2302" s="497" t="str">
        <f ca="1">IFERROR(VLOOKUP(C2302,' Disaggregation - Section E '!A$10:N491,3,0),"")</f>
        <v/>
      </c>
      <c r="L2302" s="503"/>
      <c r="M2302" s="497"/>
      <c r="N2302" s="503"/>
      <c r="O2302" s="503"/>
    </row>
    <row r="2303" spans="1:15" x14ac:dyDescent="0.35">
      <c r="A2303" s="497" t="b">
        <v>0</v>
      </c>
      <c r="B2303" s="497"/>
      <c r="C2303" s="515" t="s">
        <v>4232</v>
      </c>
      <c r="D2303" s="512">
        <v>19</v>
      </c>
      <c r="E2303" s="500"/>
      <c r="F2303" s="503"/>
      <c r="G2303" s="502"/>
      <c r="H2303" s="512"/>
      <c r="I2303" s="503"/>
      <c r="J2303" s="503"/>
      <c r="K2303" s="497" t="str">
        <f ca="1">IFERROR(VLOOKUP(C2303,' Disaggregation - Section E '!A$10:N492,3,0),"")</f>
        <v/>
      </c>
      <c r="L2303" s="503"/>
      <c r="M2303" s="497"/>
      <c r="N2303" s="503"/>
      <c r="O2303" s="503"/>
    </row>
    <row r="2304" spans="1:15" x14ac:dyDescent="0.35">
      <c r="A2304" s="497" t="b">
        <v>0</v>
      </c>
      <c r="B2304" s="497"/>
      <c r="C2304" s="515" t="s">
        <v>4234</v>
      </c>
      <c r="D2304" s="512">
        <v>19</v>
      </c>
      <c r="E2304" s="500"/>
      <c r="F2304" s="503"/>
      <c r="G2304" s="502"/>
      <c r="H2304" s="512"/>
      <c r="I2304" s="503"/>
      <c r="J2304" s="503"/>
      <c r="K2304" s="497" t="str">
        <f ca="1">IFERROR(VLOOKUP(C2304,' Disaggregation - Section E '!A$10:N493,3,0),"")</f>
        <v/>
      </c>
      <c r="L2304" s="503"/>
      <c r="M2304" s="497"/>
      <c r="N2304" s="503"/>
      <c r="O2304" s="503"/>
    </row>
    <row r="2305" spans="1:15" x14ac:dyDescent="0.35">
      <c r="A2305" s="497" t="b">
        <v>0</v>
      </c>
      <c r="B2305" s="497"/>
      <c r="C2305" s="515" t="s">
        <v>4236</v>
      </c>
      <c r="D2305" s="512">
        <v>19</v>
      </c>
      <c r="E2305" s="500"/>
      <c r="F2305" s="503"/>
      <c r="G2305" s="502"/>
      <c r="H2305" s="512"/>
      <c r="I2305" s="503"/>
      <c r="J2305" s="503"/>
      <c r="K2305" s="497" t="str">
        <f ca="1">IFERROR(VLOOKUP(C2305,' Disaggregation - Section E '!A$10:N494,3,0),"")</f>
        <v/>
      </c>
      <c r="L2305" s="503"/>
      <c r="M2305" s="497"/>
      <c r="N2305" s="503"/>
      <c r="O2305" s="503"/>
    </row>
    <row r="2306" spans="1:15" x14ac:dyDescent="0.35">
      <c r="A2306" s="497" t="b">
        <v>0</v>
      </c>
      <c r="B2306" s="497"/>
      <c r="C2306" s="515" t="s">
        <v>4238</v>
      </c>
      <c r="D2306" s="512">
        <v>19</v>
      </c>
      <c r="E2306" s="500"/>
      <c r="F2306" s="503"/>
      <c r="G2306" s="502"/>
      <c r="H2306" s="512"/>
      <c r="I2306" s="503"/>
      <c r="J2306" s="503"/>
      <c r="K2306" s="497" t="str">
        <f ca="1">IFERROR(VLOOKUP(C2306,' Disaggregation - Section E '!A$10:N495,3,0),"")</f>
        <v/>
      </c>
      <c r="L2306" s="503"/>
      <c r="M2306" s="497"/>
      <c r="N2306" s="503"/>
      <c r="O2306" s="503"/>
    </row>
    <row r="2307" spans="1:15" x14ac:dyDescent="0.35">
      <c r="A2307" s="497" t="b">
        <v>0</v>
      </c>
      <c r="B2307" s="497"/>
      <c r="C2307" s="515" t="s">
        <v>4240</v>
      </c>
      <c r="D2307" s="512">
        <v>19</v>
      </c>
      <c r="E2307" s="500"/>
      <c r="F2307" s="503"/>
      <c r="G2307" s="502"/>
      <c r="H2307" s="512"/>
      <c r="I2307" s="503"/>
      <c r="J2307" s="503"/>
      <c r="K2307" s="497" t="str">
        <f ca="1">IFERROR(VLOOKUP(C2307,' Disaggregation - Section E '!A$10:N496,3,0),"")</f>
        <v/>
      </c>
      <c r="L2307" s="503"/>
      <c r="M2307" s="497"/>
      <c r="N2307" s="503"/>
      <c r="O2307" s="503"/>
    </row>
    <row r="2308" spans="1:15" x14ac:dyDescent="0.35">
      <c r="A2308" s="497" t="b">
        <v>0</v>
      </c>
      <c r="B2308" s="497"/>
      <c r="C2308" s="515" t="s">
        <v>4242</v>
      </c>
      <c r="D2308" s="512">
        <v>19</v>
      </c>
      <c r="E2308" s="500"/>
      <c r="F2308" s="503"/>
      <c r="G2308" s="502"/>
      <c r="H2308" s="512"/>
      <c r="I2308" s="503"/>
      <c r="J2308" s="503"/>
      <c r="K2308" s="497" t="str">
        <f ca="1">IFERROR(VLOOKUP(C2308,' Disaggregation - Section E '!A$10:N497,3,0),"")</f>
        <v/>
      </c>
      <c r="L2308" s="503"/>
      <c r="M2308" s="497"/>
      <c r="N2308" s="503"/>
      <c r="O2308" s="503"/>
    </row>
    <row r="2309" spans="1:15" x14ac:dyDescent="0.35">
      <c r="A2309" s="497" t="b">
        <v>0</v>
      </c>
      <c r="B2309" s="497"/>
      <c r="C2309" s="515" t="s">
        <v>4244</v>
      </c>
      <c r="D2309" s="512">
        <v>19</v>
      </c>
      <c r="E2309" s="500"/>
      <c r="F2309" s="503"/>
      <c r="G2309" s="502"/>
      <c r="H2309" s="512"/>
      <c r="I2309" s="503"/>
      <c r="J2309" s="503"/>
      <c r="K2309" s="497" t="str">
        <f ca="1">IFERROR(VLOOKUP(C2309,' Disaggregation - Section E '!A$10:N498,3,0),"")</f>
        <v/>
      </c>
      <c r="L2309" s="503"/>
      <c r="M2309" s="497"/>
      <c r="N2309" s="503"/>
      <c r="O2309" s="503"/>
    </row>
    <row r="2310" spans="1:15" x14ac:dyDescent="0.35">
      <c r="A2310" s="497" t="b">
        <v>0</v>
      </c>
      <c r="B2310" s="497"/>
      <c r="C2310" s="515" t="s">
        <v>4246</v>
      </c>
      <c r="D2310" s="512">
        <v>19</v>
      </c>
      <c r="E2310" s="500"/>
      <c r="F2310" s="503"/>
      <c r="G2310" s="502"/>
      <c r="H2310" s="512"/>
      <c r="I2310" s="503"/>
      <c r="J2310" s="503"/>
      <c r="K2310" s="497" t="str">
        <f ca="1">IFERROR(VLOOKUP(C2310,' Disaggregation - Section E '!A$10:N499,3,0),"")</f>
        <v/>
      </c>
      <c r="L2310" s="503"/>
      <c r="M2310" s="497"/>
      <c r="N2310" s="503"/>
      <c r="O2310" s="503"/>
    </row>
    <row r="2311" spans="1:15" x14ac:dyDescent="0.35">
      <c r="A2311" s="497" t="b">
        <v>0</v>
      </c>
      <c r="B2311" s="497"/>
      <c r="C2311" s="515" t="s">
        <v>4543</v>
      </c>
      <c r="D2311" s="512">
        <v>20</v>
      </c>
      <c r="E2311" s="500"/>
      <c r="F2311" s="503"/>
      <c r="G2311" s="502"/>
      <c r="H2311" s="512"/>
      <c r="I2311" s="503"/>
      <c r="J2311" s="503"/>
      <c r="K2311" s="497" t="str">
        <f ca="1">IFERROR(VLOOKUP(C2311,' Disaggregation - Section E '!A$10:N500,3,0),"")</f>
        <v/>
      </c>
      <c r="L2311" s="503"/>
      <c r="M2311" s="497"/>
      <c r="N2311" s="503"/>
      <c r="O2311" s="503"/>
    </row>
    <row r="2312" spans="1:15" x14ac:dyDescent="0.35">
      <c r="A2312" s="497" t="b">
        <v>0</v>
      </c>
      <c r="B2312" s="497"/>
      <c r="C2312" s="515" t="s">
        <v>4545</v>
      </c>
      <c r="D2312" s="512">
        <v>20</v>
      </c>
      <c r="E2312" s="500"/>
      <c r="F2312" s="503"/>
      <c r="G2312" s="502"/>
      <c r="H2312" s="512"/>
      <c r="I2312" s="503"/>
      <c r="J2312" s="503"/>
      <c r="K2312" s="497" t="str">
        <f ca="1">IFERROR(VLOOKUP(C2312,' Disaggregation - Section E '!A$10:N501,3,0),"")</f>
        <v/>
      </c>
      <c r="L2312" s="503"/>
      <c r="M2312" s="497"/>
      <c r="N2312" s="503"/>
      <c r="O2312" s="503"/>
    </row>
    <row r="2313" spans="1:15" x14ac:dyDescent="0.35">
      <c r="A2313" s="497" t="b">
        <v>0</v>
      </c>
      <c r="B2313" s="497"/>
      <c r="C2313" s="515" t="s">
        <v>4547</v>
      </c>
      <c r="D2313" s="512">
        <v>20</v>
      </c>
      <c r="E2313" s="500"/>
      <c r="F2313" s="503"/>
      <c r="G2313" s="502"/>
      <c r="H2313" s="512"/>
      <c r="I2313" s="503"/>
      <c r="J2313" s="503"/>
      <c r="K2313" s="497" t="str">
        <f ca="1">IFERROR(VLOOKUP(C2313,' Disaggregation - Section E '!A$10:N502,3,0),"")</f>
        <v/>
      </c>
      <c r="L2313" s="503"/>
      <c r="M2313" s="497"/>
      <c r="N2313" s="503"/>
      <c r="O2313" s="503"/>
    </row>
    <row r="2314" spans="1:15" x14ac:dyDescent="0.35">
      <c r="A2314" s="497" t="b">
        <v>0</v>
      </c>
      <c r="B2314" s="497"/>
      <c r="C2314" s="515" t="s">
        <v>4549</v>
      </c>
      <c r="D2314" s="512">
        <v>20</v>
      </c>
      <c r="E2314" s="500"/>
      <c r="F2314" s="503"/>
      <c r="G2314" s="502"/>
      <c r="H2314" s="512"/>
      <c r="I2314" s="503"/>
      <c r="J2314" s="503"/>
      <c r="K2314" s="497" t="str">
        <f ca="1">IFERROR(VLOOKUP(C2314,' Disaggregation - Section E '!A$10:N503,3,0),"")</f>
        <v/>
      </c>
      <c r="L2314" s="503"/>
      <c r="M2314" s="497"/>
      <c r="N2314" s="503"/>
      <c r="O2314" s="503"/>
    </row>
    <row r="2315" spans="1:15" x14ac:dyDescent="0.35">
      <c r="A2315" s="497" t="b">
        <v>0</v>
      </c>
      <c r="B2315" s="497"/>
      <c r="C2315" s="515" t="s">
        <v>4551</v>
      </c>
      <c r="D2315" s="512">
        <v>20</v>
      </c>
      <c r="E2315" s="500"/>
      <c r="F2315" s="503"/>
      <c r="G2315" s="502"/>
      <c r="H2315" s="512"/>
      <c r="I2315" s="503"/>
      <c r="J2315" s="503"/>
      <c r="K2315" s="497" t="str">
        <f ca="1">IFERROR(VLOOKUP(C2315,' Disaggregation - Section E '!A$10:N504,3,0),"")</f>
        <v/>
      </c>
      <c r="L2315" s="503"/>
      <c r="M2315" s="497"/>
      <c r="N2315" s="503"/>
      <c r="O2315" s="503"/>
    </row>
    <row r="2316" spans="1:15" x14ac:dyDescent="0.35">
      <c r="A2316" s="497" t="b">
        <v>0</v>
      </c>
      <c r="B2316" s="497"/>
      <c r="C2316" s="515" t="s">
        <v>4553</v>
      </c>
      <c r="D2316" s="512">
        <v>20</v>
      </c>
      <c r="E2316" s="500"/>
      <c r="F2316" s="503"/>
      <c r="G2316" s="502"/>
      <c r="H2316" s="512"/>
      <c r="I2316" s="503"/>
      <c r="J2316" s="503"/>
      <c r="K2316" s="497" t="str">
        <f ca="1">IFERROR(VLOOKUP(C2316,' Disaggregation - Section E '!A$10:N505,3,0),"")</f>
        <v/>
      </c>
      <c r="L2316" s="503"/>
      <c r="M2316" s="497"/>
      <c r="N2316" s="503"/>
      <c r="O2316" s="503"/>
    </row>
    <row r="2317" spans="1:15" x14ac:dyDescent="0.35">
      <c r="A2317" s="497" t="b">
        <v>0</v>
      </c>
      <c r="B2317" s="497"/>
      <c r="C2317" s="515" t="s">
        <v>4555</v>
      </c>
      <c r="D2317" s="512">
        <v>20</v>
      </c>
      <c r="E2317" s="500"/>
      <c r="F2317" s="503"/>
      <c r="G2317" s="502"/>
      <c r="H2317" s="512"/>
      <c r="I2317" s="503"/>
      <c r="J2317" s="503"/>
      <c r="K2317" s="497" t="str">
        <f ca="1">IFERROR(VLOOKUP(C2317,' Disaggregation - Section E '!A$10:N506,3,0),"")</f>
        <v/>
      </c>
      <c r="L2317" s="503"/>
      <c r="M2317" s="497"/>
      <c r="N2317" s="503"/>
      <c r="O2317" s="503"/>
    </row>
    <row r="2318" spans="1:15" x14ac:dyDescent="0.35">
      <c r="A2318" s="497" t="b">
        <v>0</v>
      </c>
      <c r="B2318" s="497"/>
      <c r="C2318" s="515" t="s">
        <v>4557</v>
      </c>
      <c r="D2318" s="512">
        <v>20</v>
      </c>
      <c r="E2318" s="500"/>
      <c r="F2318" s="503"/>
      <c r="G2318" s="502"/>
      <c r="H2318" s="512"/>
      <c r="I2318" s="503"/>
      <c r="J2318" s="503"/>
      <c r="K2318" s="497" t="str">
        <f ca="1">IFERROR(VLOOKUP(C2318,' Disaggregation - Section E '!A$10:N507,3,0),"")</f>
        <v/>
      </c>
      <c r="L2318" s="503"/>
      <c r="M2318" s="497"/>
      <c r="N2318" s="503"/>
      <c r="O2318" s="503"/>
    </row>
    <row r="2319" spans="1:15" x14ac:dyDescent="0.35">
      <c r="A2319" s="497" t="b">
        <v>0</v>
      </c>
      <c r="B2319" s="497"/>
      <c r="C2319" s="515" t="s">
        <v>4559</v>
      </c>
      <c r="D2319" s="512">
        <v>20</v>
      </c>
      <c r="E2319" s="500"/>
      <c r="F2319" s="503"/>
      <c r="G2319" s="502"/>
      <c r="H2319" s="512"/>
      <c r="I2319" s="503"/>
      <c r="J2319" s="503"/>
      <c r="K2319" s="497" t="str">
        <f ca="1">IFERROR(VLOOKUP(C2319,' Disaggregation - Section E '!A$10:N508,3,0),"")</f>
        <v/>
      </c>
      <c r="L2319" s="503"/>
      <c r="M2319" s="497"/>
      <c r="N2319" s="503"/>
      <c r="O2319" s="503"/>
    </row>
    <row r="2320" spans="1:15" x14ac:dyDescent="0.35">
      <c r="A2320" s="497" t="b">
        <v>0</v>
      </c>
      <c r="B2320" s="497"/>
      <c r="C2320" s="515" t="s">
        <v>4561</v>
      </c>
      <c r="D2320" s="512">
        <v>20</v>
      </c>
      <c r="E2320" s="500"/>
      <c r="F2320" s="503"/>
      <c r="G2320" s="502"/>
      <c r="H2320" s="512"/>
      <c r="I2320" s="503"/>
      <c r="J2320" s="503"/>
      <c r="K2320" s="497" t="str">
        <f ca="1">IFERROR(VLOOKUP(C2320,' Disaggregation - Section E '!A$10:N509,3,0),"")</f>
        <v/>
      </c>
      <c r="L2320" s="503"/>
      <c r="M2320" s="497"/>
      <c r="N2320" s="503"/>
      <c r="O2320" s="503"/>
    </row>
    <row r="2321" spans="1:15" x14ac:dyDescent="0.35">
      <c r="A2321" s="497" t="b">
        <v>0</v>
      </c>
      <c r="B2321" s="497"/>
      <c r="C2321" s="515" t="s">
        <v>4249</v>
      </c>
      <c r="D2321" s="512">
        <v>21</v>
      </c>
      <c r="E2321" s="500"/>
      <c r="F2321" s="503"/>
      <c r="G2321" s="502"/>
      <c r="H2321" s="512"/>
      <c r="I2321" s="503"/>
      <c r="J2321" s="503"/>
      <c r="K2321" s="497" t="str">
        <f ca="1">IFERROR(VLOOKUP(C2321,' Disaggregation - Section E '!A$10:N510,3,0),"")</f>
        <v/>
      </c>
      <c r="L2321" s="503"/>
      <c r="M2321" s="497"/>
      <c r="N2321" s="503"/>
      <c r="O2321" s="503"/>
    </row>
    <row r="2322" spans="1:15" x14ac:dyDescent="0.35">
      <c r="A2322" s="497" t="b">
        <v>0</v>
      </c>
      <c r="B2322" s="497"/>
      <c r="C2322" s="515" t="s">
        <v>4251</v>
      </c>
      <c r="D2322" s="512">
        <v>21</v>
      </c>
      <c r="E2322" s="500"/>
      <c r="F2322" s="503"/>
      <c r="G2322" s="502"/>
      <c r="H2322" s="512"/>
      <c r="I2322" s="503"/>
      <c r="J2322" s="503"/>
      <c r="K2322" s="497" t="str">
        <f ca="1">IFERROR(VLOOKUP(C2322,' Disaggregation - Section E '!A$10:N511,3,0),"")</f>
        <v/>
      </c>
      <c r="L2322" s="503"/>
      <c r="M2322" s="497"/>
      <c r="N2322" s="503"/>
      <c r="O2322" s="503"/>
    </row>
    <row r="2323" spans="1:15" x14ac:dyDescent="0.35">
      <c r="A2323" s="497" t="b">
        <v>0</v>
      </c>
      <c r="B2323" s="497"/>
      <c r="C2323" s="515" t="s">
        <v>4253</v>
      </c>
      <c r="D2323" s="512">
        <v>21</v>
      </c>
      <c r="E2323" s="500"/>
      <c r="F2323" s="503"/>
      <c r="G2323" s="502"/>
      <c r="H2323" s="512"/>
      <c r="I2323" s="503"/>
      <c r="J2323" s="503"/>
      <c r="K2323" s="497" t="str">
        <f ca="1">IFERROR(VLOOKUP(C2323,' Disaggregation - Section E '!A$10:N512,3,0),"")</f>
        <v/>
      </c>
      <c r="L2323" s="503"/>
      <c r="M2323" s="497"/>
      <c r="N2323" s="503"/>
      <c r="O2323" s="503"/>
    </row>
    <row r="2324" spans="1:15" x14ac:dyDescent="0.35">
      <c r="A2324" s="497" t="b">
        <v>0</v>
      </c>
      <c r="B2324" s="497"/>
      <c r="C2324" s="515" t="s">
        <v>4255</v>
      </c>
      <c r="D2324" s="512">
        <v>21</v>
      </c>
      <c r="E2324" s="500"/>
      <c r="F2324" s="503"/>
      <c r="G2324" s="502"/>
      <c r="H2324" s="512"/>
      <c r="I2324" s="503"/>
      <c r="J2324" s="503"/>
      <c r="K2324" s="497" t="str">
        <f ca="1">IFERROR(VLOOKUP(C2324,' Disaggregation - Section E '!A$10:N513,3,0),"")</f>
        <v/>
      </c>
      <c r="L2324" s="503"/>
      <c r="M2324" s="497"/>
      <c r="N2324" s="503"/>
      <c r="O2324" s="503"/>
    </row>
    <row r="2325" spans="1:15" x14ac:dyDescent="0.35">
      <c r="A2325" s="497" t="b">
        <v>0</v>
      </c>
      <c r="B2325" s="497"/>
      <c r="C2325" s="515" t="s">
        <v>4257</v>
      </c>
      <c r="D2325" s="512">
        <v>21</v>
      </c>
      <c r="E2325" s="500"/>
      <c r="F2325" s="503"/>
      <c r="G2325" s="502"/>
      <c r="H2325" s="512"/>
      <c r="I2325" s="503"/>
      <c r="J2325" s="503"/>
      <c r="K2325" s="497" t="str">
        <f ca="1">IFERROR(VLOOKUP(C2325,' Disaggregation - Section E '!A$10:N514,3,0),"")</f>
        <v/>
      </c>
      <c r="L2325" s="503"/>
      <c r="M2325" s="497"/>
      <c r="N2325" s="503"/>
      <c r="O2325" s="503"/>
    </row>
    <row r="2326" spans="1:15" x14ac:dyDescent="0.35">
      <c r="A2326" s="497" t="b">
        <v>0</v>
      </c>
      <c r="B2326" s="497"/>
      <c r="C2326" s="515" t="s">
        <v>4259</v>
      </c>
      <c r="D2326" s="512">
        <v>21</v>
      </c>
      <c r="E2326" s="500"/>
      <c r="F2326" s="503"/>
      <c r="G2326" s="502"/>
      <c r="H2326" s="512"/>
      <c r="I2326" s="503"/>
      <c r="J2326" s="503"/>
      <c r="K2326" s="497" t="str">
        <f ca="1">IFERROR(VLOOKUP(C2326,' Disaggregation - Section E '!A$10:N515,3,0),"")</f>
        <v/>
      </c>
      <c r="L2326" s="503"/>
      <c r="M2326" s="497"/>
      <c r="N2326" s="503"/>
      <c r="O2326" s="503"/>
    </row>
    <row r="2327" spans="1:15" x14ac:dyDescent="0.35">
      <c r="A2327" s="497" t="b">
        <v>0</v>
      </c>
      <c r="B2327" s="497"/>
      <c r="C2327" s="515" t="s">
        <v>4261</v>
      </c>
      <c r="D2327" s="512">
        <v>21</v>
      </c>
      <c r="E2327" s="500"/>
      <c r="F2327" s="503"/>
      <c r="G2327" s="502"/>
      <c r="H2327" s="512"/>
      <c r="I2327" s="503"/>
      <c r="J2327" s="503"/>
      <c r="K2327" s="497" t="str">
        <f ca="1">IFERROR(VLOOKUP(C2327,' Disaggregation - Section E '!A$10:N516,3,0),"")</f>
        <v/>
      </c>
      <c r="L2327" s="503"/>
      <c r="M2327" s="497"/>
      <c r="N2327" s="503"/>
      <c r="O2327" s="503"/>
    </row>
    <row r="2328" spans="1:15" x14ac:dyDescent="0.35">
      <c r="A2328" s="497" t="b">
        <v>0</v>
      </c>
      <c r="B2328" s="497"/>
      <c r="C2328" s="515" t="s">
        <v>4263</v>
      </c>
      <c r="D2328" s="512">
        <v>21</v>
      </c>
      <c r="E2328" s="500"/>
      <c r="F2328" s="503"/>
      <c r="G2328" s="502"/>
      <c r="H2328" s="512"/>
      <c r="I2328" s="503"/>
      <c r="J2328" s="503"/>
      <c r="K2328" s="497" t="str">
        <f ca="1">IFERROR(VLOOKUP(C2328,' Disaggregation - Section E '!A$10:N517,3,0),"")</f>
        <v/>
      </c>
      <c r="L2328" s="503"/>
      <c r="M2328" s="497"/>
      <c r="N2328" s="503"/>
      <c r="O2328" s="503"/>
    </row>
    <row r="2329" spans="1:15" x14ac:dyDescent="0.35">
      <c r="A2329" s="497" t="b">
        <v>0</v>
      </c>
      <c r="B2329" s="497"/>
      <c r="C2329" s="515" t="s">
        <v>4265</v>
      </c>
      <c r="D2329" s="512">
        <v>21</v>
      </c>
      <c r="E2329" s="500"/>
      <c r="F2329" s="503"/>
      <c r="G2329" s="502"/>
      <c r="H2329" s="512"/>
      <c r="I2329" s="503"/>
      <c r="J2329" s="503"/>
      <c r="K2329" s="497" t="str">
        <f ca="1">IFERROR(VLOOKUP(C2329,' Disaggregation - Section E '!A$10:N518,3,0),"")</f>
        <v/>
      </c>
      <c r="L2329" s="503"/>
      <c r="M2329" s="497"/>
      <c r="N2329" s="503"/>
      <c r="O2329" s="503"/>
    </row>
    <row r="2330" spans="1:15" x14ac:dyDescent="0.35">
      <c r="A2330" s="497" t="b">
        <v>0</v>
      </c>
      <c r="B2330" s="497"/>
      <c r="C2330" s="515" t="s">
        <v>4267</v>
      </c>
      <c r="D2330" s="512">
        <v>21</v>
      </c>
      <c r="E2330" s="500"/>
      <c r="F2330" s="503"/>
      <c r="G2330" s="502"/>
      <c r="H2330" s="512"/>
      <c r="I2330" s="503"/>
      <c r="J2330" s="503"/>
      <c r="K2330" s="497" t="str">
        <f ca="1">IFERROR(VLOOKUP(C2330,' Disaggregation - Section E '!A$10:N519,3,0),"")</f>
        <v/>
      </c>
      <c r="L2330" s="503"/>
      <c r="M2330" s="497"/>
      <c r="N2330" s="503"/>
      <c r="O2330" s="503"/>
    </row>
    <row r="2331" spans="1:15" x14ac:dyDescent="0.35">
      <c r="A2331" s="497" t="b">
        <v>0</v>
      </c>
      <c r="B2331" s="497"/>
      <c r="C2331" s="515" t="s">
        <v>4564</v>
      </c>
      <c r="D2331" s="512">
        <v>22</v>
      </c>
      <c r="E2331" s="500"/>
      <c r="F2331" s="503"/>
      <c r="G2331" s="502"/>
      <c r="H2331" s="512"/>
      <c r="I2331" s="503"/>
      <c r="J2331" s="503"/>
      <c r="K2331" s="497" t="str">
        <f ca="1">IFERROR(VLOOKUP(C2331,' Disaggregation - Section E '!A$10:N520,3,0),"")</f>
        <v/>
      </c>
      <c r="L2331" s="503"/>
      <c r="M2331" s="497"/>
      <c r="N2331" s="503"/>
      <c r="O2331" s="503"/>
    </row>
    <row r="2332" spans="1:15" x14ac:dyDescent="0.35">
      <c r="A2332" s="497" t="b">
        <v>0</v>
      </c>
      <c r="B2332" s="497"/>
      <c r="C2332" s="515" t="s">
        <v>4566</v>
      </c>
      <c r="D2332" s="512">
        <v>22</v>
      </c>
      <c r="E2332" s="500"/>
      <c r="F2332" s="503"/>
      <c r="G2332" s="502"/>
      <c r="H2332" s="512"/>
      <c r="I2332" s="503"/>
      <c r="J2332" s="503"/>
      <c r="K2332" s="497" t="str">
        <f ca="1">IFERROR(VLOOKUP(C2332,' Disaggregation - Section E '!A$10:N521,3,0),"")</f>
        <v/>
      </c>
      <c r="L2332" s="503"/>
      <c r="M2332" s="497"/>
      <c r="N2332" s="503"/>
      <c r="O2332" s="503"/>
    </row>
    <row r="2333" spans="1:15" x14ac:dyDescent="0.35">
      <c r="A2333" s="497" t="b">
        <v>0</v>
      </c>
      <c r="B2333" s="497"/>
      <c r="C2333" s="515" t="s">
        <v>4568</v>
      </c>
      <c r="D2333" s="512">
        <v>22</v>
      </c>
      <c r="E2333" s="500"/>
      <c r="F2333" s="503"/>
      <c r="G2333" s="502"/>
      <c r="H2333" s="512"/>
      <c r="I2333" s="503"/>
      <c r="J2333" s="503"/>
      <c r="K2333" s="497" t="str">
        <f ca="1">IFERROR(VLOOKUP(C2333,' Disaggregation - Section E '!A$10:N522,3,0),"")</f>
        <v/>
      </c>
      <c r="L2333" s="503"/>
      <c r="M2333" s="497"/>
      <c r="N2333" s="503"/>
      <c r="O2333" s="503"/>
    </row>
    <row r="2334" spans="1:15" x14ac:dyDescent="0.35">
      <c r="A2334" s="497" t="b">
        <v>0</v>
      </c>
      <c r="B2334" s="497"/>
      <c r="C2334" s="515" t="s">
        <v>4570</v>
      </c>
      <c r="D2334" s="512">
        <v>22</v>
      </c>
      <c r="E2334" s="500"/>
      <c r="F2334" s="503"/>
      <c r="G2334" s="502"/>
      <c r="H2334" s="512"/>
      <c r="I2334" s="503"/>
      <c r="J2334" s="503"/>
      <c r="K2334" s="497" t="str">
        <f ca="1">IFERROR(VLOOKUP(C2334,' Disaggregation - Section E '!A$10:N523,3,0),"")</f>
        <v/>
      </c>
      <c r="L2334" s="503"/>
      <c r="M2334" s="497"/>
      <c r="N2334" s="503"/>
      <c r="O2334" s="503"/>
    </row>
    <row r="2335" spans="1:15" x14ac:dyDescent="0.35">
      <c r="A2335" s="497" t="b">
        <v>0</v>
      </c>
      <c r="B2335" s="497"/>
      <c r="C2335" s="515" t="s">
        <v>4572</v>
      </c>
      <c r="D2335" s="512">
        <v>22</v>
      </c>
      <c r="E2335" s="500"/>
      <c r="F2335" s="503"/>
      <c r="G2335" s="502"/>
      <c r="H2335" s="512"/>
      <c r="I2335" s="503"/>
      <c r="J2335" s="503"/>
      <c r="K2335" s="497" t="str">
        <f ca="1">IFERROR(VLOOKUP(C2335,' Disaggregation - Section E '!A$10:N524,3,0),"")</f>
        <v/>
      </c>
      <c r="L2335" s="503"/>
      <c r="M2335" s="497"/>
      <c r="N2335" s="503"/>
      <c r="O2335" s="503"/>
    </row>
    <row r="2336" spans="1:15" x14ac:dyDescent="0.35">
      <c r="A2336" s="497" t="b">
        <v>0</v>
      </c>
      <c r="B2336" s="497"/>
      <c r="C2336" s="515" t="s">
        <v>4574</v>
      </c>
      <c r="D2336" s="512">
        <v>22</v>
      </c>
      <c r="E2336" s="500"/>
      <c r="F2336" s="503"/>
      <c r="G2336" s="502"/>
      <c r="H2336" s="512"/>
      <c r="I2336" s="503"/>
      <c r="J2336" s="503"/>
      <c r="K2336" s="497" t="str">
        <f ca="1">IFERROR(VLOOKUP(C2336,' Disaggregation - Section E '!A$10:N525,3,0),"")</f>
        <v/>
      </c>
      <c r="L2336" s="503"/>
      <c r="M2336" s="497"/>
      <c r="N2336" s="503"/>
      <c r="O2336" s="503"/>
    </row>
    <row r="2337" spans="1:15" x14ac:dyDescent="0.35">
      <c r="A2337" s="497" t="b">
        <v>0</v>
      </c>
      <c r="B2337" s="497"/>
      <c r="C2337" s="515" t="s">
        <v>4576</v>
      </c>
      <c r="D2337" s="512">
        <v>22</v>
      </c>
      <c r="E2337" s="500"/>
      <c r="F2337" s="503"/>
      <c r="G2337" s="502"/>
      <c r="H2337" s="512"/>
      <c r="I2337" s="503"/>
      <c r="J2337" s="503"/>
      <c r="K2337" s="497" t="str">
        <f ca="1">IFERROR(VLOOKUP(C2337,' Disaggregation - Section E '!A$10:N526,3,0),"")</f>
        <v/>
      </c>
      <c r="L2337" s="503"/>
      <c r="M2337" s="497"/>
      <c r="N2337" s="503"/>
      <c r="O2337" s="503"/>
    </row>
    <row r="2338" spans="1:15" x14ac:dyDescent="0.35">
      <c r="A2338" s="497" t="b">
        <v>0</v>
      </c>
      <c r="B2338" s="497"/>
      <c r="C2338" s="515" t="s">
        <v>4578</v>
      </c>
      <c r="D2338" s="512">
        <v>22</v>
      </c>
      <c r="E2338" s="500"/>
      <c r="F2338" s="503"/>
      <c r="G2338" s="502"/>
      <c r="H2338" s="512"/>
      <c r="I2338" s="503"/>
      <c r="J2338" s="503"/>
      <c r="K2338" s="497" t="str">
        <f ca="1">IFERROR(VLOOKUP(C2338,' Disaggregation - Section E '!A$10:N527,3,0),"")</f>
        <v/>
      </c>
      <c r="L2338" s="503"/>
      <c r="M2338" s="497"/>
      <c r="N2338" s="503"/>
      <c r="O2338" s="503"/>
    </row>
    <row r="2339" spans="1:15" x14ac:dyDescent="0.35">
      <c r="A2339" s="497" t="b">
        <v>0</v>
      </c>
      <c r="B2339" s="497"/>
      <c r="C2339" s="515" t="s">
        <v>4580</v>
      </c>
      <c r="D2339" s="512">
        <v>22</v>
      </c>
      <c r="E2339" s="500"/>
      <c r="F2339" s="503"/>
      <c r="G2339" s="502"/>
      <c r="H2339" s="512"/>
      <c r="I2339" s="503"/>
      <c r="J2339" s="503"/>
      <c r="K2339" s="497" t="str">
        <f ca="1">IFERROR(VLOOKUP(C2339,' Disaggregation - Section E '!A$10:N528,3,0),"")</f>
        <v/>
      </c>
      <c r="L2339" s="503"/>
      <c r="M2339" s="497"/>
      <c r="N2339" s="503"/>
      <c r="O2339" s="503"/>
    </row>
    <row r="2340" spans="1:15" x14ac:dyDescent="0.35">
      <c r="A2340" s="497" t="b">
        <v>0</v>
      </c>
      <c r="B2340" s="497"/>
      <c r="C2340" s="515" t="s">
        <v>4582</v>
      </c>
      <c r="D2340" s="512">
        <v>22</v>
      </c>
      <c r="E2340" s="500"/>
      <c r="F2340" s="503"/>
      <c r="G2340" s="502"/>
      <c r="H2340" s="512"/>
      <c r="I2340" s="503"/>
      <c r="J2340" s="503"/>
      <c r="K2340" s="497" t="str">
        <f ca="1">IFERROR(VLOOKUP(C2340,' Disaggregation - Section E '!A$10:N529,3,0),"")</f>
        <v/>
      </c>
      <c r="L2340" s="503"/>
      <c r="M2340" s="497"/>
      <c r="N2340" s="503"/>
      <c r="O2340" s="503"/>
    </row>
    <row r="2341" spans="1:15" x14ac:dyDescent="0.35">
      <c r="A2341" s="497" t="b">
        <v>0</v>
      </c>
      <c r="B2341" s="497"/>
      <c r="C2341" s="515" t="s">
        <v>4270</v>
      </c>
      <c r="D2341" s="512">
        <v>23</v>
      </c>
      <c r="E2341" s="500"/>
      <c r="F2341" s="503"/>
      <c r="G2341" s="502"/>
      <c r="H2341" s="512"/>
      <c r="I2341" s="503"/>
      <c r="J2341" s="503"/>
      <c r="K2341" s="497" t="str">
        <f ca="1">IFERROR(VLOOKUP(C2341,' Disaggregation - Section E '!A$10:N530,3,0),"")</f>
        <v/>
      </c>
      <c r="L2341" s="503"/>
      <c r="M2341" s="497"/>
      <c r="N2341" s="503"/>
      <c r="O2341" s="503"/>
    </row>
    <row r="2342" spans="1:15" x14ac:dyDescent="0.35">
      <c r="A2342" s="497" t="b">
        <v>0</v>
      </c>
      <c r="B2342" s="497"/>
      <c r="C2342" s="515" t="s">
        <v>4272</v>
      </c>
      <c r="D2342" s="512">
        <v>23</v>
      </c>
      <c r="E2342" s="500"/>
      <c r="F2342" s="503"/>
      <c r="G2342" s="502"/>
      <c r="H2342" s="512"/>
      <c r="I2342" s="503"/>
      <c r="J2342" s="503"/>
      <c r="K2342" s="497" t="str">
        <f ca="1">IFERROR(VLOOKUP(C2342,' Disaggregation - Section E '!A$10:N531,3,0),"")</f>
        <v/>
      </c>
      <c r="L2342" s="503"/>
      <c r="M2342" s="497"/>
      <c r="N2342" s="503"/>
      <c r="O2342" s="503"/>
    </row>
    <row r="2343" spans="1:15" x14ac:dyDescent="0.35">
      <c r="A2343" s="497" t="b">
        <v>0</v>
      </c>
      <c r="B2343" s="497"/>
      <c r="C2343" s="515" t="s">
        <v>4274</v>
      </c>
      <c r="D2343" s="512">
        <v>23</v>
      </c>
      <c r="E2343" s="500"/>
      <c r="F2343" s="503"/>
      <c r="G2343" s="502"/>
      <c r="H2343" s="512"/>
      <c r="I2343" s="503"/>
      <c r="J2343" s="503"/>
      <c r="K2343" s="497" t="str">
        <f ca="1">IFERROR(VLOOKUP(C2343,' Disaggregation - Section E '!A$10:N532,3,0),"")</f>
        <v/>
      </c>
      <c r="L2343" s="503"/>
      <c r="M2343" s="497"/>
      <c r="N2343" s="503"/>
      <c r="O2343" s="503"/>
    </row>
    <row r="2344" spans="1:15" x14ac:dyDescent="0.35">
      <c r="A2344" s="497" t="b">
        <v>0</v>
      </c>
      <c r="B2344" s="497"/>
      <c r="C2344" s="515" t="s">
        <v>4276</v>
      </c>
      <c r="D2344" s="512">
        <v>23</v>
      </c>
      <c r="E2344" s="500"/>
      <c r="F2344" s="503"/>
      <c r="G2344" s="502"/>
      <c r="H2344" s="512"/>
      <c r="I2344" s="503"/>
      <c r="J2344" s="503"/>
      <c r="K2344" s="497" t="str">
        <f ca="1">IFERROR(VLOOKUP(C2344,' Disaggregation - Section E '!A$10:N533,3,0),"")</f>
        <v/>
      </c>
      <c r="L2344" s="503"/>
      <c r="M2344" s="497"/>
      <c r="N2344" s="503"/>
      <c r="O2344" s="503"/>
    </row>
    <row r="2345" spans="1:15" x14ac:dyDescent="0.35">
      <c r="A2345" s="497" t="b">
        <v>0</v>
      </c>
      <c r="B2345" s="497"/>
      <c r="C2345" s="515" t="s">
        <v>4278</v>
      </c>
      <c r="D2345" s="512">
        <v>23</v>
      </c>
      <c r="E2345" s="500"/>
      <c r="F2345" s="503"/>
      <c r="G2345" s="502"/>
      <c r="H2345" s="512"/>
      <c r="I2345" s="503"/>
      <c r="J2345" s="503"/>
      <c r="K2345" s="497" t="str">
        <f ca="1">IFERROR(VLOOKUP(C2345,' Disaggregation - Section E '!A$10:N534,3,0),"")</f>
        <v/>
      </c>
      <c r="L2345" s="503"/>
      <c r="M2345" s="497"/>
      <c r="N2345" s="503"/>
      <c r="O2345" s="503"/>
    </row>
    <row r="2346" spans="1:15" x14ac:dyDescent="0.35">
      <c r="A2346" s="497" t="b">
        <v>0</v>
      </c>
      <c r="B2346" s="497"/>
      <c r="C2346" s="515" t="s">
        <v>4280</v>
      </c>
      <c r="D2346" s="512">
        <v>23</v>
      </c>
      <c r="E2346" s="500"/>
      <c r="F2346" s="503"/>
      <c r="G2346" s="502"/>
      <c r="H2346" s="512"/>
      <c r="I2346" s="503"/>
      <c r="J2346" s="503"/>
      <c r="K2346" s="497" t="str">
        <f ca="1">IFERROR(VLOOKUP(C2346,' Disaggregation - Section E '!A$10:N535,3,0),"")</f>
        <v/>
      </c>
      <c r="L2346" s="503"/>
      <c r="M2346" s="497"/>
      <c r="N2346" s="503"/>
      <c r="O2346" s="503"/>
    </row>
    <row r="2347" spans="1:15" x14ac:dyDescent="0.35">
      <c r="A2347" s="497" t="b">
        <v>0</v>
      </c>
      <c r="B2347" s="497"/>
      <c r="C2347" s="515" t="s">
        <v>4282</v>
      </c>
      <c r="D2347" s="512">
        <v>23</v>
      </c>
      <c r="E2347" s="500"/>
      <c r="F2347" s="503"/>
      <c r="G2347" s="502"/>
      <c r="H2347" s="512"/>
      <c r="I2347" s="503"/>
      <c r="J2347" s="503"/>
      <c r="K2347" s="497" t="str">
        <f ca="1">IFERROR(VLOOKUP(C2347,' Disaggregation - Section E '!A$10:N536,3,0),"")</f>
        <v/>
      </c>
      <c r="L2347" s="503"/>
      <c r="M2347" s="497"/>
      <c r="N2347" s="503"/>
      <c r="O2347" s="503"/>
    </row>
    <row r="2348" spans="1:15" x14ac:dyDescent="0.35">
      <c r="A2348" s="497" t="b">
        <v>0</v>
      </c>
      <c r="B2348" s="497"/>
      <c r="C2348" s="515" t="s">
        <v>4284</v>
      </c>
      <c r="D2348" s="512">
        <v>23</v>
      </c>
      <c r="E2348" s="500"/>
      <c r="F2348" s="503"/>
      <c r="G2348" s="502"/>
      <c r="H2348" s="512"/>
      <c r="I2348" s="503"/>
      <c r="J2348" s="503"/>
      <c r="K2348" s="497" t="str">
        <f ca="1">IFERROR(VLOOKUP(C2348,' Disaggregation - Section E '!A$10:N537,3,0),"")</f>
        <v/>
      </c>
      <c r="L2348" s="503"/>
      <c r="M2348" s="497"/>
      <c r="N2348" s="503"/>
      <c r="O2348" s="503"/>
    </row>
    <row r="2349" spans="1:15" x14ac:dyDescent="0.35">
      <c r="A2349" s="497" t="b">
        <v>0</v>
      </c>
      <c r="B2349" s="497"/>
      <c r="C2349" s="515" t="s">
        <v>4286</v>
      </c>
      <c r="D2349" s="512">
        <v>23</v>
      </c>
      <c r="E2349" s="500"/>
      <c r="F2349" s="503"/>
      <c r="G2349" s="502"/>
      <c r="H2349" s="512"/>
      <c r="I2349" s="503"/>
      <c r="J2349" s="503"/>
      <c r="K2349" s="497" t="str">
        <f ca="1">IFERROR(VLOOKUP(C2349,' Disaggregation - Section E '!A$10:N538,3,0),"")</f>
        <v/>
      </c>
      <c r="L2349" s="503"/>
      <c r="M2349" s="497"/>
      <c r="N2349" s="503"/>
      <c r="O2349" s="503"/>
    </row>
    <row r="2350" spans="1:15" x14ac:dyDescent="0.35">
      <c r="A2350" s="497" t="b">
        <v>0</v>
      </c>
      <c r="B2350" s="497"/>
      <c r="C2350" s="515" t="s">
        <v>4288</v>
      </c>
      <c r="D2350" s="512">
        <v>23</v>
      </c>
      <c r="E2350" s="500"/>
      <c r="F2350" s="503"/>
      <c r="G2350" s="502"/>
      <c r="H2350" s="512"/>
      <c r="I2350" s="503"/>
      <c r="J2350" s="503"/>
      <c r="K2350" s="497" t="str">
        <f ca="1">IFERROR(VLOOKUP(C2350,' Disaggregation - Section E '!A$10:N539,3,0),"")</f>
        <v/>
      </c>
      <c r="L2350" s="503"/>
      <c r="M2350" s="497"/>
      <c r="N2350" s="503"/>
      <c r="O2350" s="503"/>
    </row>
    <row r="2351" spans="1:15" x14ac:dyDescent="0.35">
      <c r="A2351" s="497" t="b">
        <v>0</v>
      </c>
      <c r="B2351" s="497"/>
      <c r="C2351" s="515" t="s">
        <v>4585</v>
      </c>
      <c r="D2351" s="512">
        <v>24</v>
      </c>
      <c r="E2351" s="500"/>
      <c r="F2351" s="503"/>
      <c r="G2351" s="502"/>
      <c r="H2351" s="512"/>
      <c r="I2351" s="503"/>
      <c r="J2351" s="503"/>
      <c r="K2351" s="497" t="str">
        <f ca="1">IFERROR(VLOOKUP(C2351,' Disaggregation - Section E '!A$10:N540,3,0),"")</f>
        <v/>
      </c>
      <c r="L2351" s="503"/>
      <c r="M2351" s="497"/>
      <c r="N2351" s="503"/>
      <c r="O2351" s="503"/>
    </row>
    <row r="2352" spans="1:15" x14ac:dyDescent="0.35">
      <c r="A2352" s="497" t="b">
        <v>0</v>
      </c>
      <c r="B2352" s="497"/>
      <c r="C2352" s="515" t="s">
        <v>4587</v>
      </c>
      <c r="D2352" s="512">
        <v>24</v>
      </c>
      <c r="E2352" s="500"/>
      <c r="F2352" s="503"/>
      <c r="G2352" s="502"/>
      <c r="H2352" s="512"/>
      <c r="I2352" s="503"/>
      <c r="J2352" s="503"/>
      <c r="K2352" s="497" t="str">
        <f ca="1">IFERROR(VLOOKUP(C2352,' Disaggregation - Section E '!A$10:N541,3,0),"")</f>
        <v/>
      </c>
      <c r="L2352" s="503"/>
      <c r="M2352" s="497"/>
      <c r="N2352" s="503"/>
      <c r="O2352" s="503"/>
    </row>
    <row r="2353" spans="1:15" x14ac:dyDescent="0.35">
      <c r="A2353" s="497" t="b">
        <v>0</v>
      </c>
      <c r="B2353" s="497"/>
      <c r="C2353" s="515" t="s">
        <v>4589</v>
      </c>
      <c r="D2353" s="512">
        <v>24</v>
      </c>
      <c r="E2353" s="500"/>
      <c r="F2353" s="503"/>
      <c r="G2353" s="502"/>
      <c r="H2353" s="512"/>
      <c r="I2353" s="503"/>
      <c r="J2353" s="503"/>
      <c r="K2353" s="497" t="str">
        <f ca="1">IFERROR(VLOOKUP(C2353,' Disaggregation - Section E '!A$10:N542,3,0),"")</f>
        <v/>
      </c>
      <c r="L2353" s="503"/>
      <c r="M2353" s="497"/>
      <c r="N2353" s="503"/>
      <c r="O2353" s="503"/>
    </row>
    <row r="2354" spans="1:15" x14ac:dyDescent="0.35">
      <c r="A2354" s="497" t="b">
        <v>0</v>
      </c>
      <c r="B2354" s="497"/>
      <c r="C2354" s="515" t="s">
        <v>4591</v>
      </c>
      <c r="D2354" s="512">
        <v>24</v>
      </c>
      <c r="E2354" s="500"/>
      <c r="F2354" s="503"/>
      <c r="G2354" s="502"/>
      <c r="H2354" s="512"/>
      <c r="I2354" s="503"/>
      <c r="J2354" s="503"/>
      <c r="K2354" s="497" t="str">
        <f ca="1">IFERROR(VLOOKUP(C2354,' Disaggregation - Section E '!A$10:N543,3,0),"")</f>
        <v/>
      </c>
      <c r="L2354" s="503"/>
      <c r="M2354" s="497"/>
      <c r="N2354" s="503"/>
      <c r="O2354" s="503"/>
    </row>
    <row r="2355" spans="1:15" x14ac:dyDescent="0.35">
      <c r="A2355" s="497" t="b">
        <v>0</v>
      </c>
      <c r="B2355" s="497"/>
      <c r="C2355" s="515" t="s">
        <v>4593</v>
      </c>
      <c r="D2355" s="512">
        <v>24</v>
      </c>
      <c r="E2355" s="500"/>
      <c r="F2355" s="503"/>
      <c r="G2355" s="502"/>
      <c r="H2355" s="512"/>
      <c r="I2355" s="503"/>
      <c r="J2355" s="503"/>
      <c r="K2355" s="497" t="str">
        <f ca="1">IFERROR(VLOOKUP(C2355,' Disaggregation - Section E '!A$10:N544,3,0),"")</f>
        <v/>
      </c>
      <c r="L2355" s="503"/>
      <c r="M2355" s="497"/>
      <c r="N2355" s="503"/>
      <c r="O2355" s="503"/>
    </row>
    <row r="2356" spans="1:15" x14ac:dyDescent="0.35">
      <c r="A2356" s="497" t="b">
        <v>0</v>
      </c>
      <c r="B2356" s="497"/>
      <c r="C2356" s="515" t="s">
        <v>4595</v>
      </c>
      <c r="D2356" s="512">
        <v>24</v>
      </c>
      <c r="E2356" s="500"/>
      <c r="F2356" s="503"/>
      <c r="G2356" s="502"/>
      <c r="H2356" s="512"/>
      <c r="I2356" s="503"/>
      <c r="J2356" s="503"/>
      <c r="K2356" s="497" t="str">
        <f ca="1">IFERROR(VLOOKUP(C2356,' Disaggregation - Section E '!A$10:N545,3,0),"")</f>
        <v/>
      </c>
      <c r="L2356" s="503"/>
      <c r="M2356" s="497"/>
      <c r="N2356" s="503"/>
      <c r="O2356" s="503"/>
    </row>
    <row r="2357" spans="1:15" x14ac:dyDescent="0.35">
      <c r="A2357" s="497" t="b">
        <v>0</v>
      </c>
      <c r="B2357" s="497"/>
      <c r="C2357" s="515" t="s">
        <v>4597</v>
      </c>
      <c r="D2357" s="512">
        <v>24</v>
      </c>
      <c r="E2357" s="500"/>
      <c r="F2357" s="503"/>
      <c r="G2357" s="502"/>
      <c r="H2357" s="512"/>
      <c r="I2357" s="503"/>
      <c r="J2357" s="503"/>
      <c r="K2357" s="497" t="str">
        <f ca="1">IFERROR(VLOOKUP(C2357,' Disaggregation - Section E '!A$10:N546,3,0),"")</f>
        <v/>
      </c>
      <c r="L2357" s="503"/>
      <c r="M2357" s="497"/>
      <c r="N2357" s="503"/>
      <c r="O2357" s="503"/>
    </row>
    <row r="2358" spans="1:15" x14ac:dyDescent="0.35">
      <c r="A2358" s="497" t="b">
        <v>0</v>
      </c>
      <c r="B2358" s="497"/>
      <c r="C2358" s="515" t="s">
        <v>4599</v>
      </c>
      <c r="D2358" s="512">
        <v>24</v>
      </c>
      <c r="E2358" s="500"/>
      <c r="F2358" s="503"/>
      <c r="G2358" s="502"/>
      <c r="H2358" s="512"/>
      <c r="I2358" s="503"/>
      <c r="J2358" s="503"/>
      <c r="K2358" s="497" t="str">
        <f ca="1">IFERROR(VLOOKUP(C2358,' Disaggregation - Section E '!A$10:N547,3,0),"")</f>
        <v/>
      </c>
      <c r="L2358" s="503"/>
      <c r="M2358" s="497"/>
      <c r="N2358" s="503"/>
      <c r="O2358" s="503"/>
    </row>
    <row r="2359" spans="1:15" x14ac:dyDescent="0.35">
      <c r="A2359" s="497" t="b">
        <v>0</v>
      </c>
      <c r="B2359" s="497"/>
      <c r="C2359" s="515" t="s">
        <v>4601</v>
      </c>
      <c r="D2359" s="512">
        <v>24</v>
      </c>
      <c r="E2359" s="500"/>
      <c r="F2359" s="503"/>
      <c r="G2359" s="502"/>
      <c r="H2359" s="512"/>
      <c r="I2359" s="503"/>
      <c r="J2359" s="503"/>
      <c r="K2359" s="497" t="str">
        <f ca="1">IFERROR(VLOOKUP(C2359,' Disaggregation - Section E '!A$10:N548,3,0),"")</f>
        <v/>
      </c>
      <c r="L2359" s="503"/>
      <c r="M2359" s="497"/>
      <c r="N2359" s="503"/>
      <c r="O2359" s="503"/>
    </row>
    <row r="2360" spans="1:15" x14ac:dyDescent="0.35">
      <c r="A2360" s="497" t="b">
        <v>0</v>
      </c>
      <c r="B2360" s="497"/>
      <c r="C2360" s="515" t="s">
        <v>4603</v>
      </c>
      <c r="D2360" s="512">
        <v>24</v>
      </c>
      <c r="E2360" s="500"/>
      <c r="F2360" s="503"/>
      <c r="G2360" s="502"/>
      <c r="H2360" s="512"/>
      <c r="I2360" s="503"/>
      <c r="J2360" s="503"/>
      <c r="K2360" s="497" t="str">
        <f ca="1">IFERROR(VLOOKUP(C2360,' Disaggregation - Section E '!A$10:N549,3,0),"")</f>
        <v/>
      </c>
      <c r="L2360" s="503"/>
      <c r="M2360" s="497"/>
      <c r="N2360" s="503"/>
      <c r="O2360" s="503"/>
    </row>
    <row r="2361" spans="1:15" x14ac:dyDescent="0.35">
      <c r="A2361" s="497" t="b">
        <v>0</v>
      </c>
      <c r="B2361" s="497"/>
      <c r="C2361" s="515" t="s">
        <v>4291</v>
      </c>
      <c r="D2361" s="512">
        <v>25</v>
      </c>
      <c r="E2361" s="500"/>
      <c r="F2361" s="503"/>
      <c r="G2361" s="502"/>
      <c r="H2361" s="512"/>
      <c r="I2361" s="503"/>
      <c r="J2361" s="503"/>
      <c r="K2361" s="497" t="str">
        <f ca="1">IFERROR(VLOOKUP(C2361,' Disaggregation - Section E '!A$10:N550,3,0),"")</f>
        <v/>
      </c>
      <c r="L2361" s="503"/>
      <c r="M2361" s="497"/>
      <c r="N2361" s="503"/>
      <c r="O2361" s="503"/>
    </row>
    <row r="2362" spans="1:15" x14ac:dyDescent="0.35">
      <c r="A2362" s="497" t="b">
        <v>0</v>
      </c>
      <c r="B2362" s="497"/>
      <c r="C2362" s="515" t="s">
        <v>4293</v>
      </c>
      <c r="D2362" s="512">
        <v>25</v>
      </c>
      <c r="E2362" s="500"/>
      <c r="F2362" s="503"/>
      <c r="G2362" s="502"/>
      <c r="H2362" s="512"/>
      <c r="I2362" s="503"/>
      <c r="J2362" s="503"/>
      <c r="K2362" s="497" t="str">
        <f ca="1">IFERROR(VLOOKUP(C2362,' Disaggregation - Section E '!A$10:N551,3,0),"")</f>
        <v/>
      </c>
      <c r="L2362" s="503"/>
      <c r="M2362" s="497"/>
      <c r="N2362" s="503"/>
      <c r="O2362" s="503"/>
    </row>
    <row r="2363" spans="1:15" x14ac:dyDescent="0.35">
      <c r="A2363" s="497" t="b">
        <v>0</v>
      </c>
      <c r="B2363" s="497"/>
      <c r="C2363" s="515" t="s">
        <v>4295</v>
      </c>
      <c r="D2363" s="512">
        <v>25</v>
      </c>
      <c r="E2363" s="500"/>
      <c r="F2363" s="503"/>
      <c r="G2363" s="502"/>
      <c r="H2363" s="512"/>
      <c r="I2363" s="503"/>
      <c r="J2363" s="503"/>
      <c r="K2363" s="497" t="str">
        <f ca="1">IFERROR(VLOOKUP(C2363,' Disaggregation - Section E '!A$10:N552,3,0),"")</f>
        <v/>
      </c>
      <c r="L2363" s="503"/>
      <c r="M2363" s="497"/>
      <c r="N2363" s="503"/>
      <c r="O2363" s="503"/>
    </row>
    <row r="2364" spans="1:15" x14ac:dyDescent="0.35">
      <c r="A2364" s="497" t="b">
        <v>0</v>
      </c>
      <c r="B2364" s="497"/>
      <c r="C2364" s="515" t="s">
        <v>4297</v>
      </c>
      <c r="D2364" s="512">
        <v>25</v>
      </c>
      <c r="E2364" s="500"/>
      <c r="F2364" s="503"/>
      <c r="G2364" s="502"/>
      <c r="H2364" s="512"/>
      <c r="I2364" s="503"/>
      <c r="J2364" s="503"/>
      <c r="K2364" s="497" t="str">
        <f ca="1">IFERROR(VLOOKUP(C2364,' Disaggregation - Section E '!A$10:N553,3,0),"")</f>
        <v/>
      </c>
      <c r="L2364" s="503"/>
      <c r="M2364" s="497"/>
      <c r="N2364" s="503"/>
      <c r="O2364" s="503"/>
    </row>
    <row r="2365" spans="1:15" x14ac:dyDescent="0.35">
      <c r="A2365" s="497" t="b">
        <v>0</v>
      </c>
      <c r="B2365" s="497"/>
      <c r="C2365" s="515" t="s">
        <v>4299</v>
      </c>
      <c r="D2365" s="512">
        <v>25</v>
      </c>
      <c r="E2365" s="500"/>
      <c r="F2365" s="503"/>
      <c r="G2365" s="502"/>
      <c r="H2365" s="512"/>
      <c r="I2365" s="503"/>
      <c r="J2365" s="503"/>
      <c r="K2365" s="497" t="str">
        <f ca="1">IFERROR(VLOOKUP(C2365,' Disaggregation - Section E '!A$10:N554,3,0),"")</f>
        <v/>
      </c>
      <c r="L2365" s="503"/>
      <c r="M2365" s="497"/>
      <c r="N2365" s="503"/>
      <c r="O2365" s="503"/>
    </row>
    <row r="2366" spans="1:15" x14ac:dyDescent="0.35">
      <c r="A2366" s="497" t="b">
        <v>0</v>
      </c>
      <c r="B2366" s="497"/>
      <c r="C2366" s="515" t="s">
        <v>4301</v>
      </c>
      <c r="D2366" s="512">
        <v>25</v>
      </c>
      <c r="E2366" s="500"/>
      <c r="F2366" s="503"/>
      <c r="G2366" s="502"/>
      <c r="H2366" s="512"/>
      <c r="I2366" s="503"/>
      <c r="J2366" s="503"/>
      <c r="K2366" s="497" t="str">
        <f ca="1">IFERROR(VLOOKUP(C2366,' Disaggregation - Section E '!A$10:N555,3,0),"")</f>
        <v/>
      </c>
      <c r="L2366" s="503"/>
      <c r="M2366" s="497"/>
      <c r="N2366" s="503"/>
      <c r="O2366" s="503"/>
    </row>
    <row r="2367" spans="1:15" x14ac:dyDescent="0.35">
      <c r="A2367" s="497" t="b">
        <v>0</v>
      </c>
      <c r="B2367" s="497"/>
      <c r="C2367" s="515" t="s">
        <v>4303</v>
      </c>
      <c r="D2367" s="512">
        <v>25</v>
      </c>
      <c r="E2367" s="500"/>
      <c r="F2367" s="503"/>
      <c r="G2367" s="502"/>
      <c r="H2367" s="512"/>
      <c r="I2367" s="503"/>
      <c r="J2367" s="503"/>
      <c r="K2367" s="497" t="str">
        <f ca="1">IFERROR(VLOOKUP(C2367,' Disaggregation - Section E '!A$10:N556,3,0),"")</f>
        <v/>
      </c>
      <c r="L2367" s="503"/>
      <c r="M2367" s="497"/>
      <c r="N2367" s="503"/>
      <c r="O2367" s="503"/>
    </row>
    <row r="2368" spans="1:15" x14ac:dyDescent="0.35">
      <c r="A2368" s="497" t="b">
        <v>0</v>
      </c>
      <c r="B2368" s="497"/>
      <c r="C2368" s="515" t="s">
        <v>4305</v>
      </c>
      <c r="D2368" s="512">
        <v>25</v>
      </c>
      <c r="E2368" s="500"/>
      <c r="F2368" s="503"/>
      <c r="G2368" s="502"/>
      <c r="H2368" s="512"/>
      <c r="I2368" s="503"/>
      <c r="J2368" s="503"/>
      <c r="K2368" s="497" t="str">
        <f ca="1">IFERROR(VLOOKUP(C2368,' Disaggregation - Section E '!A$10:N557,3,0),"")</f>
        <v/>
      </c>
      <c r="L2368" s="503"/>
      <c r="M2368" s="497"/>
      <c r="N2368" s="503"/>
      <c r="O2368" s="503"/>
    </row>
    <row r="2369" spans="1:15" x14ac:dyDescent="0.35">
      <c r="A2369" s="497" t="b">
        <v>0</v>
      </c>
      <c r="B2369" s="497"/>
      <c r="C2369" s="515" t="s">
        <v>4307</v>
      </c>
      <c r="D2369" s="512">
        <v>25</v>
      </c>
      <c r="E2369" s="500"/>
      <c r="F2369" s="503"/>
      <c r="G2369" s="502"/>
      <c r="H2369" s="512"/>
      <c r="I2369" s="503"/>
      <c r="J2369" s="503"/>
      <c r="K2369" s="497" t="str">
        <f ca="1">IFERROR(VLOOKUP(C2369,' Disaggregation - Section E '!A$10:N558,3,0),"")</f>
        <v/>
      </c>
      <c r="L2369" s="503"/>
      <c r="M2369" s="497"/>
      <c r="N2369" s="503"/>
      <c r="O2369" s="503"/>
    </row>
    <row r="2370" spans="1:15" x14ac:dyDescent="0.35">
      <c r="A2370" s="497" t="b">
        <v>0</v>
      </c>
      <c r="B2370" s="497"/>
      <c r="C2370" s="515" t="s">
        <v>4309</v>
      </c>
      <c r="D2370" s="512">
        <v>25</v>
      </c>
      <c r="E2370" s="500"/>
      <c r="F2370" s="503"/>
      <c r="G2370" s="502"/>
      <c r="H2370" s="512"/>
      <c r="I2370" s="503"/>
      <c r="J2370" s="503"/>
      <c r="K2370" s="497" t="str">
        <f ca="1">IFERROR(VLOOKUP(C2370,' Disaggregation - Section E '!A$10:N559,3,0),"")</f>
        <v/>
      </c>
      <c r="L2370" s="503"/>
      <c r="M2370" s="497"/>
      <c r="N2370" s="503"/>
      <c r="O2370" s="503"/>
    </row>
    <row r="2371" spans="1:15" x14ac:dyDescent="0.35">
      <c r="A2371" s="497" t="b">
        <v>0</v>
      </c>
      <c r="B2371" s="497"/>
      <c r="C2371" s="515" t="s">
        <v>4627</v>
      </c>
      <c r="D2371" s="512">
        <v>26</v>
      </c>
      <c r="E2371" s="500"/>
      <c r="F2371" s="503"/>
      <c r="G2371" s="502"/>
      <c r="H2371" s="512"/>
      <c r="I2371" s="503"/>
      <c r="J2371" s="503"/>
      <c r="K2371" s="497" t="str">
        <f ca="1">IFERROR(VLOOKUP(C2371,' Disaggregation - Section E '!A$10:N560,3,0),"")</f>
        <v/>
      </c>
      <c r="L2371" s="503"/>
      <c r="M2371" s="497"/>
      <c r="N2371" s="503"/>
      <c r="O2371" s="503"/>
    </row>
    <row r="2372" spans="1:15" x14ac:dyDescent="0.35">
      <c r="A2372" s="497" t="b">
        <v>0</v>
      </c>
      <c r="B2372" s="497"/>
      <c r="C2372" s="515" t="s">
        <v>4629</v>
      </c>
      <c r="D2372" s="512">
        <v>26</v>
      </c>
      <c r="E2372" s="500"/>
      <c r="F2372" s="503"/>
      <c r="G2372" s="502"/>
      <c r="H2372" s="512"/>
      <c r="I2372" s="503"/>
      <c r="J2372" s="503"/>
      <c r="K2372" s="497" t="str">
        <f ca="1">IFERROR(VLOOKUP(C2372,' Disaggregation - Section E '!A$10:N561,3,0),"")</f>
        <v/>
      </c>
      <c r="L2372" s="503"/>
      <c r="M2372" s="497"/>
      <c r="N2372" s="503"/>
      <c r="O2372" s="503"/>
    </row>
    <row r="2373" spans="1:15" x14ac:dyDescent="0.35">
      <c r="A2373" s="497" t="b">
        <v>0</v>
      </c>
      <c r="B2373" s="497"/>
      <c r="C2373" s="515" t="s">
        <v>4631</v>
      </c>
      <c r="D2373" s="512">
        <v>26</v>
      </c>
      <c r="E2373" s="500"/>
      <c r="F2373" s="503"/>
      <c r="G2373" s="502"/>
      <c r="H2373" s="512"/>
      <c r="I2373" s="503"/>
      <c r="J2373" s="503"/>
      <c r="K2373" s="497" t="str">
        <f ca="1">IFERROR(VLOOKUP(C2373,' Disaggregation - Section E '!A$10:N562,3,0),"")</f>
        <v/>
      </c>
      <c r="L2373" s="503"/>
      <c r="M2373" s="497"/>
      <c r="N2373" s="503"/>
      <c r="O2373" s="503"/>
    </row>
    <row r="2374" spans="1:15" x14ac:dyDescent="0.35">
      <c r="A2374" s="497" t="b">
        <v>0</v>
      </c>
      <c r="B2374" s="497"/>
      <c r="C2374" s="515" t="s">
        <v>4633</v>
      </c>
      <c r="D2374" s="512">
        <v>26</v>
      </c>
      <c r="E2374" s="500"/>
      <c r="F2374" s="503"/>
      <c r="G2374" s="502"/>
      <c r="H2374" s="512"/>
      <c r="I2374" s="503"/>
      <c r="J2374" s="503"/>
      <c r="K2374" s="497" t="str">
        <f ca="1">IFERROR(VLOOKUP(C2374,' Disaggregation - Section E '!A$10:N563,3,0),"")</f>
        <v/>
      </c>
      <c r="L2374" s="503"/>
      <c r="M2374" s="497"/>
      <c r="N2374" s="503"/>
      <c r="O2374" s="503"/>
    </row>
    <row r="2375" spans="1:15" x14ac:dyDescent="0.35">
      <c r="A2375" s="497" t="b">
        <v>0</v>
      </c>
      <c r="B2375" s="497"/>
      <c r="C2375" s="515" t="s">
        <v>4635</v>
      </c>
      <c r="D2375" s="512">
        <v>26</v>
      </c>
      <c r="E2375" s="500"/>
      <c r="F2375" s="503"/>
      <c r="G2375" s="502"/>
      <c r="H2375" s="512"/>
      <c r="I2375" s="503"/>
      <c r="J2375" s="503"/>
      <c r="K2375" s="497" t="str">
        <f ca="1">IFERROR(VLOOKUP(C2375,' Disaggregation - Section E '!A$10:N564,3,0),"")</f>
        <v/>
      </c>
      <c r="L2375" s="503"/>
      <c r="M2375" s="497"/>
      <c r="N2375" s="503"/>
      <c r="O2375" s="503"/>
    </row>
    <row r="2376" spans="1:15" x14ac:dyDescent="0.35">
      <c r="A2376" s="497" t="b">
        <v>0</v>
      </c>
      <c r="B2376" s="497"/>
      <c r="C2376" s="515" t="s">
        <v>4637</v>
      </c>
      <c r="D2376" s="512">
        <v>26</v>
      </c>
      <c r="E2376" s="500"/>
      <c r="F2376" s="503"/>
      <c r="G2376" s="502"/>
      <c r="H2376" s="512"/>
      <c r="I2376" s="503"/>
      <c r="J2376" s="503"/>
      <c r="K2376" s="497" t="str">
        <f ca="1">IFERROR(VLOOKUP(C2376,' Disaggregation - Section E '!A$10:N565,3,0),"")</f>
        <v/>
      </c>
      <c r="L2376" s="503"/>
      <c r="M2376" s="497"/>
      <c r="N2376" s="503"/>
      <c r="O2376" s="503"/>
    </row>
    <row r="2377" spans="1:15" x14ac:dyDescent="0.35">
      <c r="A2377" s="497" t="b">
        <v>0</v>
      </c>
      <c r="B2377" s="497"/>
      <c r="C2377" s="515" t="s">
        <v>4639</v>
      </c>
      <c r="D2377" s="512">
        <v>26</v>
      </c>
      <c r="E2377" s="500"/>
      <c r="F2377" s="503"/>
      <c r="G2377" s="502"/>
      <c r="H2377" s="512"/>
      <c r="I2377" s="503"/>
      <c r="J2377" s="503"/>
      <c r="K2377" s="497" t="str">
        <f ca="1">IFERROR(VLOOKUP(C2377,' Disaggregation - Section E '!A$10:N566,3,0),"")</f>
        <v/>
      </c>
      <c r="L2377" s="503"/>
      <c r="M2377" s="497"/>
      <c r="N2377" s="503"/>
      <c r="O2377" s="503"/>
    </row>
    <row r="2378" spans="1:15" x14ac:dyDescent="0.35">
      <c r="A2378" s="497" t="b">
        <v>0</v>
      </c>
      <c r="B2378" s="497"/>
      <c r="C2378" s="515" t="s">
        <v>4641</v>
      </c>
      <c r="D2378" s="512">
        <v>26</v>
      </c>
      <c r="E2378" s="500"/>
      <c r="F2378" s="503"/>
      <c r="G2378" s="502"/>
      <c r="H2378" s="512"/>
      <c r="I2378" s="503"/>
      <c r="J2378" s="503"/>
      <c r="K2378" s="497" t="str">
        <f ca="1">IFERROR(VLOOKUP(C2378,' Disaggregation - Section E '!A$10:N567,3,0),"")</f>
        <v/>
      </c>
      <c r="L2378" s="503"/>
      <c r="M2378" s="497"/>
      <c r="N2378" s="503"/>
      <c r="O2378" s="503"/>
    </row>
    <row r="2379" spans="1:15" x14ac:dyDescent="0.35">
      <c r="A2379" s="497" t="b">
        <v>0</v>
      </c>
      <c r="B2379" s="497"/>
      <c r="C2379" s="515" t="s">
        <v>4643</v>
      </c>
      <c r="D2379" s="512">
        <v>26</v>
      </c>
      <c r="E2379" s="500"/>
      <c r="F2379" s="503"/>
      <c r="G2379" s="502"/>
      <c r="H2379" s="512"/>
      <c r="I2379" s="503"/>
      <c r="J2379" s="503"/>
      <c r="K2379" s="497" t="str">
        <f ca="1">IFERROR(VLOOKUP(C2379,' Disaggregation - Section E '!A$10:N568,3,0),"")</f>
        <v/>
      </c>
      <c r="L2379" s="503"/>
      <c r="M2379" s="497"/>
      <c r="N2379" s="503"/>
      <c r="O2379" s="503"/>
    </row>
    <row r="2380" spans="1:15" x14ac:dyDescent="0.35">
      <c r="A2380" s="497" t="b">
        <v>0</v>
      </c>
      <c r="B2380" s="497"/>
      <c r="C2380" s="515" t="s">
        <v>4645</v>
      </c>
      <c r="D2380" s="512">
        <v>26</v>
      </c>
      <c r="E2380" s="500"/>
      <c r="F2380" s="503"/>
      <c r="G2380" s="502"/>
      <c r="H2380" s="512"/>
      <c r="I2380" s="503"/>
      <c r="J2380" s="503"/>
      <c r="K2380" s="497" t="str">
        <f ca="1">IFERROR(VLOOKUP(C2380,' Disaggregation - Section E '!A$10:N569,3,0),"")</f>
        <v/>
      </c>
      <c r="L2380" s="503"/>
      <c r="M2380" s="497"/>
      <c r="N2380" s="503"/>
      <c r="O2380" s="503"/>
    </row>
    <row r="2381" spans="1:15" x14ac:dyDescent="0.35">
      <c r="A2381" s="497" t="b">
        <v>0</v>
      </c>
      <c r="B2381" s="497"/>
      <c r="C2381" s="515" t="s">
        <v>4312</v>
      </c>
      <c r="D2381" s="512">
        <v>27</v>
      </c>
      <c r="E2381" s="500"/>
      <c r="F2381" s="503"/>
      <c r="G2381" s="502"/>
      <c r="H2381" s="512"/>
      <c r="I2381" s="503"/>
      <c r="J2381" s="503"/>
      <c r="K2381" s="497" t="str">
        <f ca="1">IFERROR(VLOOKUP(C2381,' Disaggregation - Section E '!A$10:N570,3,0),"")</f>
        <v/>
      </c>
      <c r="L2381" s="503"/>
      <c r="M2381" s="497"/>
      <c r="N2381" s="503"/>
      <c r="O2381" s="503"/>
    </row>
    <row r="2382" spans="1:15" x14ac:dyDescent="0.35">
      <c r="A2382" s="497" t="b">
        <v>0</v>
      </c>
      <c r="B2382" s="497"/>
      <c r="C2382" s="515" t="s">
        <v>4314</v>
      </c>
      <c r="D2382" s="512">
        <v>27</v>
      </c>
      <c r="E2382" s="500"/>
      <c r="F2382" s="503"/>
      <c r="G2382" s="502"/>
      <c r="H2382" s="512"/>
      <c r="I2382" s="503"/>
      <c r="J2382" s="503"/>
      <c r="K2382" s="497" t="str">
        <f ca="1">IFERROR(VLOOKUP(C2382,' Disaggregation - Section E '!A$10:N571,3,0),"")</f>
        <v/>
      </c>
      <c r="L2382" s="503"/>
      <c r="M2382" s="497"/>
      <c r="N2382" s="503"/>
      <c r="O2382" s="503"/>
    </row>
    <row r="2383" spans="1:15" x14ac:dyDescent="0.35">
      <c r="A2383" s="497" t="b">
        <v>0</v>
      </c>
      <c r="B2383" s="497"/>
      <c r="C2383" s="515" t="s">
        <v>4316</v>
      </c>
      <c r="D2383" s="512">
        <v>27</v>
      </c>
      <c r="E2383" s="500"/>
      <c r="F2383" s="503"/>
      <c r="G2383" s="502"/>
      <c r="H2383" s="512"/>
      <c r="I2383" s="503"/>
      <c r="J2383" s="503"/>
      <c r="K2383" s="497" t="str">
        <f ca="1">IFERROR(VLOOKUP(C2383,' Disaggregation - Section E '!A$10:N572,3,0),"")</f>
        <v/>
      </c>
      <c r="L2383" s="503"/>
      <c r="M2383" s="497"/>
      <c r="N2383" s="503"/>
      <c r="O2383" s="503"/>
    </row>
    <row r="2384" spans="1:15" x14ac:dyDescent="0.35">
      <c r="A2384" s="497" t="b">
        <v>0</v>
      </c>
      <c r="B2384" s="497"/>
      <c r="C2384" s="515" t="s">
        <v>4318</v>
      </c>
      <c r="D2384" s="512">
        <v>27</v>
      </c>
      <c r="E2384" s="500"/>
      <c r="F2384" s="503"/>
      <c r="G2384" s="502"/>
      <c r="H2384" s="512"/>
      <c r="I2384" s="503"/>
      <c r="J2384" s="503"/>
      <c r="K2384" s="497" t="str">
        <f ca="1">IFERROR(VLOOKUP(C2384,' Disaggregation - Section E '!A$10:N573,3,0),"")</f>
        <v/>
      </c>
      <c r="L2384" s="503"/>
      <c r="M2384" s="497"/>
      <c r="N2384" s="503"/>
      <c r="O2384" s="503"/>
    </row>
    <row r="2385" spans="1:15" x14ac:dyDescent="0.35">
      <c r="A2385" s="497" t="b">
        <v>0</v>
      </c>
      <c r="B2385" s="497"/>
      <c r="C2385" s="515" t="s">
        <v>4320</v>
      </c>
      <c r="D2385" s="512">
        <v>27</v>
      </c>
      <c r="E2385" s="500"/>
      <c r="F2385" s="503"/>
      <c r="G2385" s="502"/>
      <c r="H2385" s="512"/>
      <c r="I2385" s="503"/>
      <c r="J2385" s="503"/>
      <c r="K2385" s="497" t="str">
        <f ca="1">IFERROR(VLOOKUP(C2385,' Disaggregation - Section E '!A$10:N574,3,0),"")</f>
        <v/>
      </c>
      <c r="L2385" s="503"/>
      <c r="M2385" s="497"/>
      <c r="N2385" s="503"/>
      <c r="O2385" s="503"/>
    </row>
    <row r="2386" spans="1:15" x14ac:dyDescent="0.35">
      <c r="A2386" s="497" t="b">
        <v>0</v>
      </c>
      <c r="B2386" s="497"/>
      <c r="C2386" s="515" t="s">
        <v>4322</v>
      </c>
      <c r="D2386" s="512">
        <v>27</v>
      </c>
      <c r="E2386" s="500"/>
      <c r="F2386" s="503"/>
      <c r="G2386" s="502"/>
      <c r="H2386" s="512"/>
      <c r="I2386" s="503"/>
      <c r="J2386" s="503"/>
      <c r="K2386" s="497" t="str">
        <f ca="1">IFERROR(VLOOKUP(C2386,' Disaggregation - Section E '!A$10:N575,3,0),"")</f>
        <v/>
      </c>
      <c r="L2386" s="503"/>
      <c r="M2386" s="497"/>
      <c r="N2386" s="503"/>
      <c r="O2386" s="503"/>
    </row>
    <row r="2387" spans="1:15" x14ac:dyDescent="0.35">
      <c r="A2387" s="497" t="b">
        <v>0</v>
      </c>
      <c r="B2387" s="497"/>
      <c r="C2387" s="515" t="s">
        <v>4324</v>
      </c>
      <c r="D2387" s="512">
        <v>27</v>
      </c>
      <c r="E2387" s="500"/>
      <c r="F2387" s="503"/>
      <c r="G2387" s="502"/>
      <c r="H2387" s="512"/>
      <c r="I2387" s="503"/>
      <c r="J2387" s="503"/>
      <c r="K2387" s="497" t="str">
        <f ca="1">IFERROR(VLOOKUP(C2387,' Disaggregation - Section E '!A$10:N576,3,0),"")</f>
        <v/>
      </c>
      <c r="L2387" s="503"/>
      <c r="M2387" s="497"/>
      <c r="N2387" s="503"/>
      <c r="O2387" s="503"/>
    </row>
    <row r="2388" spans="1:15" x14ac:dyDescent="0.35">
      <c r="A2388" s="497" t="b">
        <v>0</v>
      </c>
      <c r="B2388" s="497"/>
      <c r="C2388" s="515" t="s">
        <v>4326</v>
      </c>
      <c r="D2388" s="512">
        <v>27</v>
      </c>
      <c r="E2388" s="500"/>
      <c r="F2388" s="503"/>
      <c r="G2388" s="502"/>
      <c r="H2388" s="512"/>
      <c r="I2388" s="503"/>
      <c r="J2388" s="503"/>
      <c r="K2388" s="497" t="str">
        <f ca="1">IFERROR(VLOOKUP(C2388,' Disaggregation - Section E '!A$10:N577,3,0),"")</f>
        <v/>
      </c>
      <c r="L2388" s="503"/>
      <c r="M2388" s="497"/>
      <c r="N2388" s="503"/>
      <c r="O2388" s="503"/>
    </row>
    <row r="2389" spans="1:15" x14ac:dyDescent="0.35">
      <c r="A2389" s="497" t="b">
        <v>0</v>
      </c>
      <c r="B2389" s="497"/>
      <c r="C2389" s="515" t="s">
        <v>4328</v>
      </c>
      <c r="D2389" s="512">
        <v>27</v>
      </c>
      <c r="E2389" s="500"/>
      <c r="F2389" s="503"/>
      <c r="G2389" s="502"/>
      <c r="H2389" s="512"/>
      <c r="I2389" s="503"/>
      <c r="J2389" s="503"/>
      <c r="K2389" s="497" t="str">
        <f ca="1">IFERROR(VLOOKUP(C2389,' Disaggregation - Section E '!A$10:N578,3,0),"")</f>
        <v/>
      </c>
      <c r="L2389" s="503"/>
      <c r="M2389" s="497"/>
      <c r="N2389" s="503"/>
      <c r="O2389" s="503"/>
    </row>
    <row r="2390" spans="1:15" x14ac:dyDescent="0.35">
      <c r="A2390" s="497" t="b">
        <v>0</v>
      </c>
      <c r="B2390" s="497"/>
      <c r="C2390" s="515" t="s">
        <v>4330</v>
      </c>
      <c r="D2390" s="512">
        <v>27</v>
      </c>
      <c r="E2390" s="500"/>
      <c r="F2390" s="503"/>
      <c r="G2390" s="502"/>
      <c r="H2390" s="512"/>
      <c r="I2390" s="503"/>
      <c r="J2390" s="503"/>
      <c r="K2390" s="497" t="str">
        <f ca="1">IFERROR(VLOOKUP(C2390,' Disaggregation - Section E '!A$10:N579,3,0),"")</f>
        <v/>
      </c>
      <c r="L2390" s="503"/>
      <c r="M2390" s="497"/>
      <c r="N2390" s="503"/>
      <c r="O2390" s="503"/>
    </row>
    <row r="2391" spans="1:15" x14ac:dyDescent="0.35">
      <c r="A2391" s="497" t="b">
        <v>0</v>
      </c>
      <c r="B2391" s="497"/>
      <c r="C2391" s="515" t="s">
        <v>4648</v>
      </c>
      <c r="D2391" s="512">
        <v>28</v>
      </c>
      <c r="E2391" s="500"/>
      <c r="F2391" s="503"/>
      <c r="G2391" s="502"/>
      <c r="H2391" s="512"/>
      <c r="I2391" s="503"/>
      <c r="J2391" s="503"/>
      <c r="K2391" s="497" t="str">
        <f ca="1">IFERROR(VLOOKUP(C2391,' Disaggregation - Section E '!A$10:N580,3,0),"")</f>
        <v/>
      </c>
      <c r="L2391" s="503"/>
      <c r="M2391" s="497"/>
      <c r="N2391" s="503"/>
      <c r="O2391" s="503"/>
    </row>
    <row r="2392" spans="1:15" x14ac:dyDescent="0.35">
      <c r="A2392" s="497" t="b">
        <v>0</v>
      </c>
      <c r="B2392" s="497"/>
      <c r="C2392" s="515" t="s">
        <v>4650</v>
      </c>
      <c r="D2392" s="512">
        <v>28</v>
      </c>
      <c r="E2392" s="500"/>
      <c r="F2392" s="503"/>
      <c r="G2392" s="502"/>
      <c r="H2392" s="512"/>
      <c r="I2392" s="503"/>
      <c r="J2392" s="503"/>
      <c r="K2392" s="497" t="str">
        <f ca="1">IFERROR(VLOOKUP(C2392,' Disaggregation - Section E '!A$10:N581,3,0),"")</f>
        <v/>
      </c>
      <c r="L2392" s="503"/>
      <c r="M2392" s="497"/>
      <c r="N2392" s="503"/>
      <c r="O2392" s="503"/>
    </row>
    <row r="2393" spans="1:15" x14ac:dyDescent="0.35">
      <c r="A2393" s="497" t="b">
        <v>0</v>
      </c>
      <c r="B2393" s="497"/>
      <c r="C2393" s="515" t="s">
        <v>4652</v>
      </c>
      <c r="D2393" s="512">
        <v>28</v>
      </c>
      <c r="E2393" s="500"/>
      <c r="F2393" s="503"/>
      <c r="G2393" s="502"/>
      <c r="H2393" s="512"/>
      <c r="I2393" s="503"/>
      <c r="J2393" s="503"/>
      <c r="K2393" s="497" t="str">
        <f ca="1">IFERROR(VLOOKUP(C2393,' Disaggregation - Section E '!A$10:N582,3,0),"")</f>
        <v/>
      </c>
      <c r="L2393" s="503"/>
      <c r="M2393" s="497"/>
      <c r="N2393" s="503"/>
      <c r="O2393" s="503"/>
    </row>
    <row r="2394" spans="1:15" x14ac:dyDescent="0.35">
      <c r="A2394" s="497" t="b">
        <v>0</v>
      </c>
      <c r="B2394" s="497"/>
      <c r="C2394" s="515" t="s">
        <v>4654</v>
      </c>
      <c r="D2394" s="512">
        <v>28</v>
      </c>
      <c r="E2394" s="500"/>
      <c r="F2394" s="503"/>
      <c r="G2394" s="502"/>
      <c r="H2394" s="512"/>
      <c r="I2394" s="503"/>
      <c r="J2394" s="503"/>
      <c r="K2394" s="497" t="str">
        <f ca="1">IFERROR(VLOOKUP(C2394,' Disaggregation - Section E '!A$10:N583,3,0),"")</f>
        <v/>
      </c>
      <c r="L2394" s="503"/>
      <c r="M2394" s="497"/>
      <c r="N2394" s="503"/>
      <c r="O2394" s="503"/>
    </row>
    <row r="2395" spans="1:15" x14ac:dyDescent="0.35">
      <c r="A2395" s="497" t="b">
        <v>0</v>
      </c>
      <c r="B2395" s="497"/>
      <c r="C2395" s="515" t="s">
        <v>4656</v>
      </c>
      <c r="D2395" s="512">
        <v>28</v>
      </c>
      <c r="E2395" s="500"/>
      <c r="F2395" s="503"/>
      <c r="G2395" s="502"/>
      <c r="H2395" s="512"/>
      <c r="I2395" s="503"/>
      <c r="J2395" s="503"/>
      <c r="K2395" s="497" t="str">
        <f ca="1">IFERROR(VLOOKUP(C2395,' Disaggregation - Section E '!A$10:N584,3,0),"")</f>
        <v/>
      </c>
      <c r="L2395" s="503"/>
      <c r="M2395" s="497"/>
      <c r="N2395" s="503"/>
      <c r="O2395" s="503"/>
    </row>
    <row r="2396" spans="1:15" x14ac:dyDescent="0.35">
      <c r="A2396" s="497" t="b">
        <v>0</v>
      </c>
      <c r="B2396" s="497"/>
      <c r="C2396" s="515" t="s">
        <v>4658</v>
      </c>
      <c r="D2396" s="512">
        <v>28</v>
      </c>
      <c r="E2396" s="500"/>
      <c r="F2396" s="503"/>
      <c r="G2396" s="502"/>
      <c r="H2396" s="512"/>
      <c r="I2396" s="503"/>
      <c r="J2396" s="503"/>
      <c r="K2396" s="497" t="str">
        <f ca="1">IFERROR(VLOOKUP(C2396,' Disaggregation - Section E '!A$10:N585,3,0),"")</f>
        <v/>
      </c>
      <c r="L2396" s="503"/>
      <c r="M2396" s="497"/>
      <c r="N2396" s="503"/>
      <c r="O2396" s="503"/>
    </row>
    <row r="2397" spans="1:15" x14ac:dyDescent="0.35">
      <c r="A2397" s="497" t="b">
        <v>0</v>
      </c>
      <c r="B2397" s="497"/>
      <c r="C2397" s="515" t="s">
        <v>4660</v>
      </c>
      <c r="D2397" s="512">
        <v>28</v>
      </c>
      <c r="E2397" s="500"/>
      <c r="F2397" s="503"/>
      <c r="G2397" s="502"/>
      <c r="H2397" s="512"/>
      <c r="I2397" s="503"/>
      <c r="J2397" s="503"/>
      <c r="K2397" s="497" t="str">
        <f ca="1">IFERROR(VLOOKUP(C2397,' Disaggregation - Section E '!A$10:N586,3,0),"")</f>
        <v/>
      </c>
      <c r="L2397" s="503"/>
      <c r="M2397" s="497"/>
      <c r="N2397" s="503"/>
      <c r="O2397" s="503"/>
    </row>
    <row r="2398" spans="1:15" x14ac:dyDescent="0.35">
      <c r="A2398" s="497" t="b">
        <v>0</v>
      </c>
      <c r="B2398" s="497"/>
      <c r="C2398" s="515" t="s">
        <v>4662</v>
      </c>
      <c r="D2398" s="512">
        <v>28</v>
      </c>
      <c r="E2398" s="500"/>
      <c r="F2398" s="503"/>
      <c r="G2398" s="502"/>
      <c r="H2398" s="512"/>
      <c r="I2398" s="503"/>
      <c r="J2398" s="503"/>
      <c r="K2398" s="497" t="str">
        <f ca="1">IFERROR(VLOOKUP(C2398,' Disaggregation - Section E '!A$10:N587,3,0),"")</f>
        <v/>
      </c>
      <c r="L2398" s="503"/>
      <c r="M2398" s="497"/>
      <c r="N2398" s="503"/>
      <c r="O2398" s="503"/>
    </row>
    <row r="2399" spans="1:15" x14ac:dyDescent="0.35">
      <c r="A2399" s="497" t="b">
        <v>0</v>
      </c>
      <c r="B2399" s="497"/>
      <c r="C2399" s="515" t="s">
        <v>4664</v>
      </c>
      <c r="D2399" s="512">
        <v>28</v>
      </c>
      <c r="E2399" s="500"/>
      <c r="F2399" s="503"/>
      <c r="G2399" s="502"/>
      <c r="H2399" s="512"/>
      <c r="I2399" s="503"/>
      <c r="J2399" s="503"/>
      <c r="K2399" s="497" t="str">
        <f ca="1">IFERROR(VLOOKUP(C2399,' Disaggregation - Section E '!A$10:N588,3,0),"")</f>
        <v/>
      </c>
      <c r="L2399" s="503"/>
      <c r="M2399" s="497"/>
      <c r="N2399" s="503"/>
      <c r="O2399" s="503"/>
    </row>
    <row r="2400" spans="1:15" x14ac:dyDescent="0.35">
      <c r="A2400" s="497" t="b">
        <v>0</v>
      </c>
      <c r="B2400" s="497"/>
      <c r="C2400" s="515" t="s">
        <v>4666</v>
      </c>
      <c r="D2400" s="512">
        <v>28</v>
      </c>
      <c r="E2400" s="500"/>
      <c r="F2400" s="503"/>
      <c r="G2400" s="502"/>
      <c r="H2400" s="512"/>
      <c r="I2400" s="503"/>
      <c r="J2400" s="503"/>
      <c r="K2400" s="497" t="str">
        <f ca="1">IFERROR(VLOOKUP(C2400,' Disaggregation - Section E '!A$10:N589,3,0),"")</f>
        <v/>
      </c>
      <c r="L2400" s="503"/>
      <c r="M2400" s="497"/>
      <c r="N2400" s="503"/>
      <c r="O2400" s="503"/>
    </row>
    <row r="2401" spans="1:15" x14ac:dyDescent="0.35">
      <c r="A2401" s="497" t="b">
        <v>0</v>
      </c>
      <c r="B2401" s="497"/>
      <c r="C2401" s="515" t="s">
        <v>4333</v>
      </c>
      <c r="D2401" s="512">
        <v>29</v>
      </c>
      <c r="E2401" s="500"/>
      <c r="F2401" s="503"/>
      <c r="G2401" s="502"/>
      <c r="H2401" s="512"/>
      <c r="I2401" s="503"/>
      <c r="J2401" s="503"/>
      <c r="K2401" s="497" t="str">
        <f ca="1">IFERROR(VLOOKUP(C2401,' Disaggregation - Section E '!A$10:N590,3,0),"")</f>
        <v/>
      </c>
      <c r="L2401" s="503"/>
      <c r="M2401" s="497"/>
      <c r="N2401" s="503"/>
      <c r="O2401" s="503"/>
    </row>
    <row r="2402" spans="1:15" x14ac:dyDescent="0.35">
      <c r="A2402" s="497" t="b">
        <v>0</v>
      </c>
      <c r="B2402" s="497"/>
      <c r="C2402" s="515" t="s">
        <v>4335</v>
      </c>
      <c r="D2402" s="512">
        <v>29</v>
      </c>
      <c r="E2402" s="500"/>
      <c r="F2402" s="503"/>
      <c r="G2402" s="502"/>
      <c r="H2402" s="512"/>
      <c r="I2402" s="503"/>
      <c r="J2402" s="503"/>
      <c r="K2402" s="497" t="str">
        <f ca="1">IFERROR(VLOOKUP(C2402,' Disaggregation - Section E '!A$10:N591,3,0),"")</f>
        <v/>
      </c>
      <c r="L2402" s="503"/>
      <c r="M2402" s="497"/>
      <c r="N2402" s="503"/>
      <c r="O2402" s="503"/>
    </row>
    <row r="2403" spans="1:15" x14ac:dyDescent="0.35">
      <c r="A2403" s="497" t="b">
        <v>0</v>
      </c>
      <c r="B2403" s="497"/>
      <c r="C2403" s="515" t="s">
        <v>4337</v>
      </c>
      <c r="D2403" s="512">
        <v>29</v>
      </c>
      <c r="E2403" s="500"/>
      <c r="F2403" s="503"/>
      <c r="G2403" s="502"/>
      <c r="H2403" s="512"/>
      <c r="I2403" s="503"/>
      <c r="J2403" s="503"/>
      <c r="K2403" s="497" t="str">
        <f ca="1">IFERROR(VLOOKUP(C2403,' Disaggregation - Section E '!A$10:N592,3,0),"")</f>
        <v/>
      </c>
      <c r="L2403" s="503"/>
      <c r="M2403" s="497"/>
      <c r="N2403" s="503"/>
      <c r="O2403" s="503"/>
    </row>
    <row r="2404" spans="1:15" x14ac:dyDescent="0.35">
      <c r="A2404" s="497" t="b">
        <v>0</v>
      </c>
      <c r="B2404" s="497"/>
      <c r="C2404" s="515" t="s">
        <v>4339</v>
      </c>
      <c r="D2404" s="512">
        <v>29</v>
      </c>
      <c r="E2404" s="500"/>
      <c r="F2404" s="503"/>
      <c r="G2404" s="502"/>
      <c r="H2404" s="512"/>
      <c r="I2404" s="503"/>
      <c r="J2404" s="503"/>
      <c r="K2404" s="497" t="str">
        <f ca="1">IFERROR(VLOOKUP(C2404,' Disaggregation - Section E '!A$10:N593,3,0),"")</f>
        <v/>
      </c>
      <c r="L2404" s="503"/>
      <c r="M2404" s="497"/>
      <c r="N2404" s="503"/>
      <c r="O2404" s="503"/>
    </row>
    <row r="2405" spans="1:15" x14ac:dyDescent="0.35">
      <c r="A2405" s="497" t="b">
        <v>0</v>
      </c>
      <c r="B2405" s="497"/>
      <c r="C2405" s="515" t="s">
        <v>4341</v>
      </c>
      <c r="D2405" s="512">
        <v>29</v>
      </c>
      <c r="E2405" s="500"/>
      <c r="F2405" s="503"/>
      <c r="G2405" s="502"/>
      <c r="H2405" s="512"/>
      <c r="I2405" s="503"/>
      <c r="J2405" s="503"/>
      <c r="K2405" s="497" t="str">
        <f ca="1">IFERROR(VLOOKUP(C2405,' Disaggregation - Section E '!A$10:N594,3,0),"")</f>
        <v/>
      </c>
      <c r="L2405" s="503"/>
      <c r="M2405" s="497"/>
      <c r="N2405" s="503"/>
      <c r="O2405" s="503"/>
    </row>
    <row r="2406" spans="1:15" x14ac:dyDescent="0.35">
      <c r="A2406" s="497" t="b">
        <v>0</v>
      </c>
      <c r="B2406" s="497"/>
      <c r="C2406" s="515" t="s">
        <v>4343</v>
      </c>
      <c r="D2406" s="512">
        <v>29</v>
      </c>
      <c r="E2406" s="500"/>
      <c r="F2406" s="503"/>
      <c r="G2406" s="502"/>
      <c r="H2406" s="512"/>
      <c r="I2406" s="503"/>
      <c r="J2406" s="503"/>
      <c r="K2406" s="497" t="str">
        <f ca="1">IFERROR(VLOOKUP(C2406,' Disaggregation - Section E '!A$10:N595,3,0),"")</f>
        <v/>
      </c>
      <c r="L2406" s="503"/>
      <c r="M2406" s="497"/>
      <c r="N2406" s="503"/>
      <c r="O2406" s="503"/>
    </row>
    <row r="2407" spans="1:15" x14ac:dyDescent="0.35">
      <c r="A2407" s="497" t="b">
        <v>0</v>
      </c>
      <c r="B2407" s="497"/>
      <c r="C2407" s="515" t="s">
        <v>4345</v>
      </c>
      <c r="D2407" s="512">
        <v>29</v>
      </c>
      <c r="E2407" s="500"/>
      <c r="F2407" s="503"/>
      <c r="G2407" s="502"/>
      <c r="H2407" s="512"/>
      <c r="I2407" s="503"/>
      <c r="J2407" s="503"/>
      <c r="K2407" s="497" t="str">
        <f ca="1">IFERROR(VLOOKUP(C2407,' Disaggregation - Section E '!A$10:N596,3,0),"")</f>
        <v/>
      </c>
      <c r="L2407" s="503"/>
      <c r="M2407" s="497"/>
      <c r="N2407" s="503"/>
      <c r="O2407" s="503"/>
    </row>
    <row r="2408" spans="1:15" x14ac:dyDescent="0.35">
      <c r="A2408" s="497" t="b">
        <v>0</v>
      </c>
      <c r="B2408" s="497"/>
      <c r="C2408" s="515" t="s">
        <v>4347</v>
      </c>
      <c r="D2408" s="512">
        <v>29</v>
      </c>
      <c r="E2408" s="500"/>
      <c r="F2408" s="503"/>
      <c r="G2408" s="502"/>
      <c r="H2408" s="512"/>
      <c r="I2408" s="503"/>
      <c r="J2408" s="503"/>
      <c r="K2408" s="497" t="str">
        <f ca="1">IFERROR(VLOOKUP(C2408,' Disaggregation - Section E '!A$10:N597,3,0),"")</f>
        <v/>
      </c>
      <c r="L2408" s="503"/>
      <c r="M2408" s="497"/>
      <c r="N2408" s="503"/>
      <c r="O2408" s="503"/>
    </row>
    <row r="2409" spans="1:15" x14ac:dyDescent="0.35">
      <c r="A2409" s="497" t="b">
        <v>0</v>
      </c>
      <c r="B2409" s="497"/>
      <c r="C2409" s="515" t="s">
        <v>4349</v>
      </c>
      <c r="D2409" s="512">
        <v>29</v>
      </c>
      <c r="E2409" s="500"/>
      <c r="F2409" s="503"/>
      <c r="G2409" s="502"/>
      <c r="H2409" s="512"/>
      <c r="I2409" s="503"/>
      <c r="J2409" s="503"/>
      <c r="K2409" s="497" t="str">
        <f ca="1">IFERROR(VLOOKUP(C2409,' Disaggregation - Section E '!A$10:N598,3,0),"")</f>
        <v/>
      </c>
      <c r="L2409" s="503"/>
      <c r="M2409" s="497"/>
      <c r="N2409" s="503"/>
      <c r="O2409" s="503"/>
    </row>
    <row r="2410" spans="1:15" x14ac:dyDescent="0.35">
      <c r="A2410" s="497" t="b">
        <v>0</v>
      </c>
      <c r="B2410" s="497"/>
      <c r="C2410" s="515" t="s">
        <v>4351</v>
      </c>
      <c r="D2410" s="512">
        <v>29</v>
      </c>
      <c r="E2410" s="500"/>
      <c r="F2410" s="503"/>
      <c r="G2410" s="502"/>
      <c r="H2410" s="512"/>
      <c r="I2410" s="503"/>
      <c r="J2410" s="503"/>
      <c r="K2410" s="497" t="str">
        <f ca="1">IFERROR(VLOOKUP(C2410,' Disaggregation - Section E '!A$10:N599,3,0),"")</f>
        <v/>
      </c>
      <c r="L2410" s="503"/>
      <c r="M2410" s="497"/>
      <c r="N2410" s="503"/>
      <c r="O2410" s="503"/>
    </row>
    <row r="2411" spans="1:15" x14ac:dyDescent="0.35">
      <c r="A2411" s="497" t="b">
        <v>0</v>
      </c>
      <c r="B2411" s="497"/>
      <c r="C2411" s="515" t="s">
        <v>4606</v>
      </c>
      <c r="D2411" s="512">
        <v>30</v>
      </c>
      <c r="E2411" s="500"/>
      <c r="F2411" s="503"/>
      <c r="G2411" s="502"/>
      <c r="H2411" s="512"/>
      <c r="I2411" s="503"/>
      <c r="J2411" s="503"/>
      <c r="K2411" s="497" t="str">
        <f ca="1">IFERROR(VLOOKUP(C2411,' Disaggregation - Section E '!A$10:N600,3,0),"")</f>
        <v/>
      </c>
      <c r="L2411" s="503"/>
      <c r="M2411" s="497"/>
      <c r="N2411" s="503"/>
      <c r="O2411" s="503"/>
    </row>
    <row r="2412" spans="1:15" x14ac:dyDescent="0.35">
      <c r="A2412" s="497" t="b">
        <v>0</v>
      </c>
      <c r="B2412" s="497"/>
      <c r="C2412" s="515" t="s">
        <v>4608</v>
      </c>
      <c r="D2412" s="512">
        <v>30</v>
      </c>
      <c r="E2412" s="500"/>
      <c r="F2412" s="503"/>
      <c r="G2412" s="502"/>
      <c r="H2412" s="512"/>
      <c r="I2412" s="503"/>
      <c r="J2412" s="503"/>
      <c r="K2412" s="497" t="str">
        <f ca="1">IFERROR(VLOOKUP(C2412,' Disaggregation - Section E '!A$10:N601,3,0),"")</f>
        <v/>
      </c>
      <c r="L2412" s="503"/>
      <c r="M2412" s="497"/>
      <c r="N2412" s="503"/>
      <c r="O2412" s="503"/>
    </row>
    <row r="2413" spans="1:15" x14ac:dyDescent="0.35">
      <c r="A2413" s="497" t="b">
        <v>0</v>
      </c>
      <c r="B2413" s="497"/>
      <c r="C2413" s="515" t="s">
        <v>4610</v>
      </c>
      <c r="D2413" s="512">
        <v>30</v>
      </c>
      <c r="E2413" s="500"/>
      <c r="F2413" s="503"/>
      <c r="G2413" s="502"/>
      <c r="H2413" s="512"/>
      <c r="I2413" s="503"/>
      <c r="J2413" s="503"/>
      <c r="K2413" s="497" t="str">
        <f ca="1">IFERROR(VLOOKUP(C2413,' Disaggregation - Section E '!A$10:N602,3,0),"")</f>
        <v/>
      </c>
      <c r="L2413" s="503"/>
      <c r="M2413" s="497"/>
      <c r="N2413" s="503"/>
      <c r="O2413" s="503"/>
    </row>
    <row r="2414" spans="1:15" x14ac:dyDescent="0.35">
      <c r="A2414" s="497" t="b">
        <v>0</v>
      </c>
      <c r="B2414" s="497"/>
      <c r="C2414" s="515" t="s">
        <v>4612</v>
      </c>
      <c r="D2414" s="512">
        <v>30</v>
      </c>
      <c r="E2414" s="500"/>
      <c r="F2414" s="503"/>
      <c r="G2414" s="502"/>
      <c r="H2414" s="512"/>
      <c r="I2414" s="503"/>
      <c r="J2414" s="503"/>
      <c r="K2414" s="497" t="str">
        <f ca="1">IFERROR(VLOOKUP(C2414,' Disaggregation - Section E '!A$10:N603,3,0),"")</f>
        <v/>
      </c>
      <c r="L2414" s="503"/>
      <c r="M2414" s="497"/>
      <c r="N2414" s="503"/>
      <c r="O2414" s="503"/>
    </row>
    <row r="2415" spans="1:15" x14ac:dyDescent="0.35">
      <c r="A2415" s="497" t="b">
        <v>0</v>
      </c>
      <c r="B2415" s="497"/>
      <c r="C2415" s="515" t="s">
        <v>4614</v>
      </c>
      <c r="D2415" s="512">
        <v>30</v>
      </c>
      <c r="E2415" s="500"/>
      <c r="F2415" s="503"/>
      <c r="G2415" s="502"/>
      <c r="H2415" s="512"/>
      <c r="I2415" s="503"/>
      <c r="J2415" s="503"/>
      <c r="K2415" s="497" t="str">
        <f ca="1">IFERROR(VLOOKUP(C2415,' Disaggregation - Section E '!A$10:N604,3,0),"")</f>
        <v/>
      </c>
      <c r="L2415" s="503"/>
      <c r="M2415" s="497"/>
      <c r="N2415" s="503"/>
      <c r="O2415" s="503"/>
    </row>
    <row r="2416" spans="1:15" x14ac:dyDescent="0.35">
      <c r="A2416" s="497" t="b">
        <v>0</v>
      </c>
      <c r="B2416" s="497"/>
      <c r="C2416" s="515" t="s">
        <v>4616</v>
      </c>
      <c r="D2416" s="512">
        <v>30</v>
      </c>
      <c r="E2416" s="500"/>
      <c r="F2416" s="503"/>
      <c r="G2416" s="502"/>
      <c r="H2416" s="512"/>
      <c r="I2416" s="503"/>
      <c r="J2416" s="503"/>
      <c r="K2416" s="497" t="str">
        <f ca="1">IFERROR(VLOOKUP(C2416,' Disaggregation - Section E '!A$10:N605,3,0),"")</f>
        <v/>
      </c>
      <c r="L2416" s="503"/>
      <c r="M2416" s="497"/>
      <c r="N2416" s="503"/>
      <c r="O2416" s="503"/>
    </row>
    <row r="2417" spans="1:15" x14ac:dyDescent="0.35">
      <c r="A2417" s="497" t="b">
        <v>0</v>
      </c>
      <c r="B2417" s="497"/>
      <c r="C2417" s="515" t="s">
        <v>4618</v>
      </c>
      <c r="D2417" s="512">
        <v>30</v>
      </c>
      <c r="E2417" s="500"/>
      <c r="F2417" s="503"/>
      <c r="G2417" s="502"/>
      <c r="H2417" s="512"/>
      <c r="I2417" s="503"/>
      <c r="J2417" s="503"/>
      <c r="K2417" s="497" t="str">
        <f ca="1">IFERROR(VLOOKUP(C2417,' Disaggregation - Section E '!A$10:N606,3,0),"")</f>
        <v/>
      </c>
      <c r="L2417" s="503"/>
      <c r="M2417" s="497"/>
      <c r="N2417" s="503"/>
      <c r="O2417" s="503"/>
    </row>
    <row r="2418" spans="1:15" x14ac:dyDescent="0.35">
      <c r="A2418" s="497" t="b">
        <v>0</v>
      </c>
      <c r="B2418" s="497"/>
      <c r="C2418" s="515" t="s">
        <v>4620</v>
      </c>
      <c r="D2418" s="512">
        <v>30</v>
      </c>
      <c r="E2418" s="500"/>
      <c r="F2418" s="503"/>
      <c r="G2418" s="502"/>
      <c r="H2418" s="512"/>
      <c r="I2418" s="503"/>
      <c r="J2418" s="503"/>
      <c r="K2418" s="497" t="str">
        <f ca="1">IFERROR(VLOOKUP(C2418,' Disaggregation - Section E '!A$10:N607,3,0),"")</f>
        <v/>
      </c>
      <c r="L2418" s="503"/>
      <c r="M2418" s="497"/>
      <c r="N2418" s="503"/>
      <c r="O2418" s="503"/>
    </row>
    <row r="2419" spans="1:15" x14ac:dyDescent="0.35">
      <c r="A2419" s="497" t="b">
        <v>0</v>
      </c>
      <c r="B2419" s="497"/>
      <c r="C2419" s="515" t="s">
        <v>4622</v>
      </c>
      <c r="D2419" s="512">
        <v>30</v>
      </c>
      <c r="E2419" s="500"/>
      <c r="F2419" s="503"/>
      <c r="G2419" s="502"/>
      <c r="H2419" s="512"/>
      <c r="I2419" s="503"/>
      <c r="J2419" s="503"/>
      <c r="K2419" s="497" t="str">
        <f ca="1">IFERROR(VLOOKUP(C2419,' Disaggregation - Section E '!A$10:N608,3,0),"")</f>
        <v/>
      </c>
      <c r="L2419" s="503"/>
      <c r="M2419" s="497"/>
      <c r="N2419" s="503"/>
      <c r="O2419" s="503"/>
    </row>
    <row r="2420" spans="1:15" x14ac:dyDescent="0.35">
      <c r="A2420" s="497" t="b">
        <v>0</v>
      </c>
      <c r="B2420" s="497"/>
      <c r="C2420" s="515" t="s">
        <v>4624</v>
      </c>
      <c r="D2420" s="512">
        <v>30</v>
      </c>
      <c r="E2420" s="500"/>
      <c r="F2420" s="503"/>
      <c r="G2420" s="502"/>
      <c r="H2420" s="512"/>
      <c r="I2420" s="503"/>
      <c r="J2420" s="503"/>
      <c r="K2420" s="497" t="str">
        <f ca="1">IFERROR(VLOOKUP(C2420,' Disaggregation - Section E '!A$10:N609,3,0),"")</f>
        <v/>
      </c>
      <c r="L2420" s="503"/>
      <c r="M2420" s="497"/>
      <c r="N2420" s="503"/>
      <c r="O2420" s="503"/>
    </row>
    <row r="2421" spans="1:15" x14ac:dyDescent="0.35">
      <c r="A2421" s="497" t="b">
        <f t="shared" ref="A2421:A2484" ca="1" si="224">IF(M2421&lt;&gt;"",TRUE,FALSE)</f>
        <v>1</v>
      </c>
      <c r="B2421" s="497"/>
      <c r="C2421" s="517" t="str">
        <f ca="1">IF(COUNTA(D$2119:D2421)=1,"",OFFSET(B2421,-COUNTA(D$2119:D2421)+1,1))</f>
        <v>a1G3p000005ncDHEAY</v>
      </c>
      <c r="D2421" s="512"/>
      <c r="E2421" s="500" t="str">
        <f ca="1">IFERROR(IF(VLOOKUP(C2421,' Disaggregation - Section E '!A$10:J610,7,0)="","",VLOOKUP(C2421,' Disaggregation - Section E '!A$10:J610,7,0)*100),"")</f>
        <v/>
      </c>
      <c r="F2421" s="503" t="str">
        <f ca="1">IFERROR(IF(VLOOKUP(C2421,' Disaggregation - Section E '!A$10:N610,5,0)=0,"",VLOOKUP(C2421,' Disaggregation - Section E '!A$10:N610,5,0)),"")</f>
        <v>25+</v>
      </c>
      <c r="G2421" s="502" t="str">
        <f ca="1">IFERROR(IF(VLOOKUP(C2421,' Disaggregation - Section E '!A$10:N610,6,0)="","",VLOOKUP(C2421,' Disaggregation - Section E '!A$10:N610,6,0)),"")</f>
        <v/>
      </c>
      <c r="H2421" s="512" t="str">
        <f ca="1">IFERROR(IF(INDEX(' Disaggregation - Section E '!F$10:F610,MATCH(C2421,' Disaggregation - Section E '!A$10:A610,0)+1,1)&lt;&gt;0,INDEX(' Disaggregation - Section E '!F$10:F610,MATCH(C2421,' Disaggregation - Section E '!A$10:A610,0)+1,1),""),"")</f>
        <v/>
      </c>
      <c r="I2421" s="503">
        <f ca="1">IFERROR(IF(VLOOKUP(C2421,' Disaggregation - Section E '!A$10:N610,8,0)=0,"",VLOOKUP(C2421,' Disaggregation - Section E '!A$10:N610,8,0)),"")</f>
        <v>2019</v>
      </c>
      <c r="J2421" s="503" t="str">
        <f ca="1">IFERROR(IF(VLOOKUP(C2421,' Disaggregation - Section E '!A$10:N610,13,0)=0,"",VLOOKUP(C2421,' Disaggregation - Section E '!A$10:N610,13,0)),"")</f>
        <v/>
      </c>
      <c r="K2421" s="497" t="str">
        <f ca="1">IFERROR(VLOOKUP(C2421,' Disaggregation - Section E '!A$10:N610,3,0),"")</f>
        <v>HIV I-9a⁽ᴹ⁾ Porcentaje de HSH y viven con el VIH</v>
      </c>
      <c r="L2421" s="503" t="str">
        <f ca="1">IFERROR(IF(VLOOKUP(C2421,' Disaggregation - Section E '!A$10:N610,14,0)=0,"",VLOOKUP(C2421,' Disaggregation - Section E '!A$10:N610,14,0)),"")</f>
        <v>Being a focused country, no disaggregation is required</v>
      </c>
      <c r="M2421" s="497" t="str">
        <f ca="1">IFERROR(IF(VLOOKUP(C2421,' Disaggregation - Section E '!A$10:T610,20,0)=0,"",VLOOKUP(C2421,' Disaggregation - Section E '!A$10:T610,20,0)),"")</f>
        <v>IDR-00657</v>
      </c>
      <c r="N2421" s="503" t="str">
        <f ca="1">IFERROR(IF(VLOOKUP(C2421,' Disaggregation - Section E '!A$10:N610,9,0)=0,"",VLOOKUP(C2421,' Disaggregation - Section E '!A$10:N610,9,0)),"")</f>
        <v/>
      </c>
      <c r="O2421" s="503" t="str">
        <f ca="1">IFERROR(IF(VLOOKUP(C2421,' Disaggregation - Section E '!A$10:N610,10,0)=0,"",VLOOKUP(C2421,' Disaggregation - Section E '!A$10:N610,10,0)),"")</f>
        <v>Al ser un país focalizado no se requiere desagregación</v>
      </c>
    </row>
    <row r="2422" spans="1:15" x14ac:dyDescent="0.35">
      <c r="A2422" s="497" t="b">
        <f t="shared" ca="1" si="224"/>
        <v>1</v>
      </c>
      <c r="B2422" s="497"/>
      <c r="C2422" s="517" t="str">
        <f ca="1">IF(COUNTA(D$2119:D2422)=1,"",OFFSET(B2422,-COUNTA(D$2119:D2422)+1,1))</f>
        <v>a1G3p000005ncDIEAY</v>
      </c>
      <c r="D2422" s="512"/>
      <c r="E2422" s="500" t="str">
        <f ca="1">IFERROR(IF(VLOOKUP(C2422,' Disaggregation - Section E '!A$10:J611,7,0)="","",VLOOKUP(C2422,' Disaggregation - Section E '!A$10:J611,7,0)*100),"")</f>
        <v/>
      </c>
      <c r="F2422" s="503" t="str">
        <f ca="1">IFERROR(IF(VLOOKUP(C2422,' Disaggregation - Section E '!A$10:N611,5,0)=0,"",VLOOKUP(C2422,' Disaggregation - Section E '!A$10:N611,5,0)),"")</f>
        <v>&lt;25</v>
      </c>
      <c r="G2422" s="502" t="str">
        <f ca="1">IFERROR(IF(VLOOKUP(C2422,' Disaggregation - Section E '!A$10:N611,6,0)="","",VLOOKUP(C2422,' Disaggregation - Section E '!A$10:N611,6,0)),"")</f>
        <v/>
      </c>
      <c r="H2422" s="512" t="str">
        <f ca="1">IFERROR(IF(INDEX(' Disaggregation - Section E '!F$10:F611,MATCH(C2422,' Disaggregation - Section E '!A$10:A611,0)+1,1)&lt;&gt;0,INDEX(' Disaggregation - Section E '!F$10:F611,MATCH(C2422,' Disaggregation - Section E '!A$10:A611,0)+1,1),""),"")</f>
        <v/>
      </c>
      <c r="I2422" s="503">
        <f ca="1">IFERROR(IF(VLOOKUP(C2422,' Disaggregation - Section E '!A$10:N611,8,0)=0,"",VLOOKUP(C2422,' Disaggregation - Section E '!A$10:N611,8,0)),"")</f>
        <v>2019</v>
      </c>
      <c r="J2422" s="503" t="str">
        <f ca="1">IFERROR(IF(VLOOKUP(C2422,' Disaggregation - Section E '!A$10:N611,13,0)=0,"",VLOOKUP(C2422,' Disaggregation - Section E '!A$10:N611,13,0)),"")</f>
        <v/>
      </c>
      <c r="K2422" s="497" t="str">
        <f ca="1">IFERROR(VLOOKUP(C2422,' Disaggregation - Section E '!A$10:N611,3,0),"")</f>
        <v>HIV I-9a⁽ᴹ⁾ Porcentaje de HSH y viven con el VIH</v>
      </c>
      <c r="L2422" s="503" t="str">
        <f ca="1">IFERROR(IF(VLOOKUP(C2422,' Disaggregation - Section E '!A$10:N611,14,0)=0,"",VLOOKUP(C2422,' Disaggregation - Section E '!A$10:N611,14,0)),"")</f>
        <v>Being a focused country, no disaggregation is required</v>
      </c>
      <c r="M2422" s="497" t="str">
        <f ca="1">IFERROR(IF(VLOOKUP(C2422,' Disaggregation - Section E '!A$10:T611,20,0)=0,"",VLOOKUP(C2422,' Disaggregation - Section E '!A$10:T611,20,0)),"")</f>
        <v>IDR-00656</v>
      </c>
      <c r="N2422" s="503" t="str">
        <f ca="1">IFERROR(IF(VLOOKUP(C2422,' Disaggregation - Section E '!A$10:N611,9,0)=0,"",VLOOKUP(C2422,' Disaggregation - Section E '!A$10:N611,9,0)),"")</f>
        <v/>
      </c>
      <c r="O2422" s="503" t="str">
        <f ca="1">IFERROR(IF(VLOOKUP(C2422,' Disaggregation - Section E '!A$10:N611,10,0)=0,"",VLOOKUP(C2422,' Disaggregation - Section E '!A$10:N611,10,0)),"")</f>
        <v>Al ser un país focalizado no se requiere desagregación</v>
      </c>
    </row>
    <row r="2423" spans="1:15" x14ac:dyDescent="0.35">
      <c r="A2423" s="497" t="b">
        <f t="shared" ca="1" si="224"/>
        <v>0</v>
      </c>
      <c r="B2423" s="497"/>
      <c r="C2423" s="517" t="str">
        <f ca="1">IF(COUNTA(D$2119:D2423)=1,"",OFFSET(B2423,-COUNTA(D$2119:D2423)+1,1))</f>
        <v>a1G3p000005ncDJEAY</v>
      </c>
      <c r="D2423" s="512"/>
      <c r="E2423" s="500" t="str">
        <f ca="1">IFERROR(IF(VLOOKUP(C2423,' Disaggregation - Section E '!A$10:J612,7,0)="","",VLOOKUP(C2423,' Disaggregation - Section E '!A$10:J612,7,0)*100),"")</f>
        <v/>
      </c>
      <c r="F2423" s="503" t="str">
        <f ca="1">IFERROR(IF(VLOOKUP(C2423,' Disaggregation - Section E '!A$10:N612,5,0)=0,"",VLOOKUP(C2423,' Disaggregation - Section E '!A$10:N612,5,0)),"")</f>
        <v/>
      </c>
      <c r="G2423" s="502" t="str">
        <f ca="1">IFERROR(IF(VLOOKUP(C2423,' Disaggregation - Section E '!A$10:N612,6,0)="","",VLOOKUP(C2423,' Disaggregation - Section E '!A$10:N612,6,0)),"")</f>
        <v/>
      </c>
      <c r="H2423" s="512" t="str">
        <f ca="1">IFERROR(IF(INDEX(' Disaggregation - Section E '!F$10:F612,MATCH(C2423,' Disaggregation - Section E '!A$10:A612,0)+1,1)&lt;&gt;0,INDEX(' Disaggregation - Section E '!F$10:F612,MATCH(C2423,' Disaggregation - Section E '!A$10:A612,0)+1,1),""),"")</f>
        <v/>
      </c>
      <c r="I2423" s="503" t="str">
        <f ca="1">IFERROR(IF(VLOOKUP(C2423,' Disaggregation - Section E '!A$10:N612,8,0)=0,"",VLOOKUP(C2423,' Disaggregation - Section E '!A$10:N612,8,0)),"")</f>
        <v/>
      </c>
      <c r="J2423" s="503" t="str">
        <f ca="1">IFERROR(IF(VLOOKUP(C2423,' Disaggregation - Section E '!A$10:N612,13,0)=0,"",VLOOKUP(C2423,' Disaggregation - Section E '!A$10:N612,13,0)),"")</f>
        <v/>
      </c>
      <c r="K2423" s="497" t="str">
        <f ca="1">IFERROR(VLOOKUP(C2423,' Disaggregation - Section E '!A$10:N612,3,0),"")</f>
        <v>HIV I-9a⁽ᴹ⁾ Porcentaje de HSH y viven con el VIH</v>
      </c>
      <c r="L2423" s="503" t="str">
        <f ca="1">IFERROR(IF(VLOOKUP(C2423,' Disaggregation - Section E '!A$10:N612,14,0)=0,"",VLOOKUP(C2423,' Disaggregation - Section E '!A$10:N612,14,0)),"")</f>
        <v/>
      </c>
      <c r="M2423" s="497" t="str">
        <f ca="1">IFERROR(IF(VLOOKUP(C2423,' Disaggregation - Section E '!A$10:T612,20,0)=0,"",VLOOKUP(C2423,' Disaggregation - Section E '!A$10:T612,20,0)),"")</f>
        <v/>
      </c>
      <c r="N2423" s="503" t="str">
        <f ca="1">IFERROR(IF(VLOOKUP(C2423,' Disaggregation - Section E '!A$10:N612,9,0)=0,"",VLOOKUP(C2423,' Disaggregation - Section E '!A$10:N612,9,0)),"")</f>
        <v/>
      </c>
      <c r="O2423" s="503" t="str">
        <f ca="1">IFERROR(IF(VLOOKUP(C2423,' Disaggregation - Section E '!A$10:N612,10,0)=0,"",VLOOKUP(C2423,' Disaggregation - Section E '!A$10:N612,10,0)),"")</f>
        <v/>
      </c>
    </row>
    <row r="2424" spans="1:15" x14ac:dyDescent="0.35">
      <c r="A2424" s="497" t="b">
        <f t="shared" ca="1" si="224"/>
        <v>0</v>
      </c>
      <c r="B2424" s="497"/>
      <c r="C2424" s="517" t="str">
        <f ca="1">IF(COUNTA(D$2119:D2424)=1,"",OFFSET(B2424,-COUNTA(D$2119:D2424)+1,1))</f>
        <v>a1G3p000005ncDKEAY</v>
      </c>
      <c r="D2424" s="512"/>
      <c r="E2424" s="500" t="str">
        <f ca="1">IFERROR(IF(VLOOKUP(C2424,' Disaggregation - Section E '!A$10:J613,7,0)="","",VLOOKUP(C2424,' Disaggregation - Section E '!A$10:J613,7,0)*100),"")</f>
        <v/>
      </c>
      <c r="F2424" s="503" t="str">
        <f ca="1">IFERROR(IF(VLOOKUP(C2424,' Disaggregation - Section E '!A$10:N613,5,0)=0,"",VLOOKUP(C2424,' Disaggregation - Section E '!A$10:N613,5,0)),"")</f>
        <v/>
      </c>
      <c r="G2424" s="502" t="str">
        <f ca="1">IFERROR(IF(VLOOKUP(C2424,' Disaggregation - Section E '!A$10:N613,6,0)="","",VLOOKUP(C2424,' Disaggregation - Section E '!A$10:N613,6,0)),"")</f>
        <v/>
      </c>
      <c r="H2424" s="512" t="str">
        <f ca="1">IFERROR(IF(INDEX(' Disaggregation - Section E '!F$10:F613,MATCH(C2424,' Disaggregation - Section E '!A$10:A613,0)+1,1)&lt;&gt;0,INDEX(' Disaggregation - Section E '!F$10:F613,MATCH(C2424,' Disaggregation - Section E '!A$10:A613,0)+1,1),""),"")</f>
        <v/>
      </c>
      <c r="I2424" s="503" t="str">
        <f ca="1">IFERROR(IF(VLOOKUP(C2424,' Disaggregation - Section E '!A$10:N613,8,0)=0,"",VLOOKUP(C2424,' Disaggregation - Section E '!A$10:N613,8,0)),"")</f>
        <v/>
      </c>
      <c r="J2424" s="503" t="str">
        <f ca="1">IFERROR(IF(VLOOKUP(C2424,' Disaggregation - Section E '!A$10:N613,13,0)=0,"",VLOOKUP(C2424,' Disaggregation - Section E '!A$10:N613,13,0)),"")</f>
        <v/>
      </c>
      <c r="K2424" s="497" t="str">
        <f ca="1">IFERROR(VLOOKUP(C2424,' Disaggregation - Section E '!A$10:N613,3,0),"")</f>
        <v>HIV I-9a⁽ᴹ⁾ Porcentaje de HSH y viven con el VIH</v>
      </c>
      <c r="L2424" s="503" t="str">
        <f ca="1">IFERROR(IF(VLOOKUP(C2424,' Disaggregation - Section E '!A$10:N613,14,0)=0,"",VLOOKUP(C2424,' Disaggregation - Section E '!A$10:N613,14,0)),"")</f>
        <v/>
      </c>
      <c r="M2424" s="497" t="str">
        <f ca="1">IFERROR(IF(VLOOKUP(C2424,' Disaggregation - Section E '!A$10:T613,20,0)=0,"",VLOOKUP(C2424,' Disaggregation - Section E '!A$10:T613,20,0)),"")</f>
        <v/>
      </c>
      <c r="N2424" s="503" t="str">
        <f ca="1">IFERROR(IF(VLOOKUP(C2424,' Disaggregation - Section E '!A$10:N613,9,0)=0,"",VLOOKUP(C2424,' Disaggregation - Section E '!A$10:N613,9,0)),"")</f>
        <v/>
      </c>
      <c r="O2424" s="503" t="str">
        <f ca="1">IFERROR(IF(VLOOKUP(C2424,' Disaggregation - Section E '!A$10:N613,10,0)=0,"",VLOOKUP(C2424,' Disaggregation - Section E '!A$10:N613,10,0)),"")</f>
        <v/>
      </c>
    </row>
    <row r="2425" spans="1:15" x14ac:dyDescent="0.35">
      <c r="A2425" s="497" t="b">
        <f t="shared" ca="1" si="224"/>
        <v>0</v>
      </c>
      <c r="B2425" s="497"/>
      <c r="C2425" s="517" t="str">
        <f ca="1">IF(COUNTA(D$2119:D2425)=1,"",OFFSET(B2425,-COUNTA(D$2119:D2425)+1,1))</f>
        <v>a1G3p000005ncDLEAY</v>
      </c>
      <c r="D2425" s="512"/>
      <c r="E2425" s="500" t="str">
        <f ca="1">IFERROR(IF(VLOOKUP(C2425,' Disaggregation - Section E '!A$10:J614,7,0)="","",VLOOKUP(C2425,' Disaggregation - Section E '!A$10:J614,7,0)*100),"")</f>
        <v/>
      </c>
      <c r="F2425" s="503" t="str">
        <f ca="1">IFERROR(IF(VLOOKUP(C2425,' Disaggregation - Section E '!A$10:N614,5,0)=0,"",VLOOKUP(C2425,' Disaggregation - Section E '!A$10:N614,5,0)),"")</f>
        <v/>
      </c>
      <c r="G2425" s="502" t="str">
        <f ca="1">IFERROR(IF(VLOOKUP(C2425,' Disaggregation - Section E '!A$10:N614,6,0)="","",VLOOKUP(C2425,' Disaggregation - Section E '!A$10:N614,6,0)),"")</f>
        <v/>
      </c>
      <c r="H2425" s="512" t="str">
        <f ca="1">IFERROR(IF(INDEX(' Disaggregation - Section E '!F$10:F614,MATCH(C2425,' Disaggregation - Section E '!A$10:A614,0)+1,1)&lt;&gt;0,INDEX(' Disaggregation - Section E '!F$10:F614,MATCH(C2425,' Disaggregation - Section E '!A$10:A614,0)+1,1),""),"")</f>
        <v/>
      </c>
      <c r="I2425" s="503" t="str">
        <f ca="1">IFERROR(IF(VLOOKUP(C2425,' Disaggregation - Section E '!A$10:N614,8,0)=0,"",VLOOKUP(C2425,' Disaggregation - Section E '!A$10:N614,8,0)),"")</f>
        <v/>
      </c>
      <c r="J2425" s="503" t="str">
        <f ca="1">IFERROR(IF(VLOOKUP(C2425,' Disaggregation - Section E '!A$10:N614,13,0)=0,"",VLOOKUP(C2425,' Disaggregation - Section E '!A$10:N614,13,0)),"")</f>
        <v/>
      </c>
      <c r="K2425" s="497" t="str">
        <f ca="1">IFERROR(VLOOKUP(C2425,' Disaggregation - Section E '!A$10:N614,3,0),"")</f>
        <v>HIV I-9a⁽ᴹ⁾ Porcentaje de HSH y viven con el VIH</v>
      </c>
      <c r="L2425" s="503" t="str">
        <f ca="1">IFERROR(IF(VLOOKUP(C2425,' Disaggregation - Section E '!A$10:N614,14,0)=0,"",VLOOKUP(C2425,' Disaggregation - Section E '!A$10:N614,14,0)),"")</f>
        <v/>
      </c>
      <c r="M2425" s="497" t="str">
        <f ca="1">IFERROR(IF(VLOOKUP(C2425,' Disaggregation - Section E '!A$10:T614,20,0)=0,"",VLOOKUP(C2425,' Disaggregation - Section E '!A$10:T614,20,0)),"")</f>
        <v/>
      </c>
      <c r="N2425" s="503" t="str">
        <f ca="1">IFERROR(IF(VLOOKUP(C2425,' Disaggregation - Section E '!A$10:N614,9,0)=0,"",VLOOKUP(C2425,' Disaggregation - Section E '!A$10:N614,9,0)),"")</f>
        <v/>
      </c>
      <c r="O2425" s="503" t="str">
        <f ca="1">IFERROR(IF(VLOOKUP(C2425,' Disaggregation - Section E '!A$10:N614,10,0)=0,"",VLOOKUP(C2425,' Disaggregation - Section E '!A$10:N614,10,0)),"")</f>
        <v/>
      </c>
    </row>
    <row r="2426" spans="1:15" x14ac:dyDescent="0.35">
      <c r="A2426" s="497" t="b">
        <f t="shared" ca="1" si="224"/>
        <v>0</v>
      </c>
      <c r="B2426" s="497"/>
      <c r="C2426" s="517" t="str">
        <f ca="1">IF(COUNTA(D$2119:D2426)=1,"",OFFSET(B2426,-COUNTA(D$2119:D2426)+1,1))</f>
        <v>a1G3p000005ncDMEAY</v>
      </c>
      <c r="D2426" s="512"/>
      <c r="E2426" s="500" t="str">
        <f ca="1">IFERROR(IF(VLOOKUP(C2426,' Disaggregation - Section E '!A$10:J615,7,0)="","",VLOOKUP(C2426,' Disaggregation - Section E '!A$10:J615,7,0)*100),"")</f>
        <v/>
      </c>
      <c r="F2426" s="503" t="str">
        <f ca="1">IFERROR(IF(VLOOKUP(C2426,' Disaggregation - Section E '!A$10:N615,5,0)=0,"",VLOOKUP(C2426,' Disaggregation - Section E '!A$10:N615,5,0)),"")</f>
        <v/>
      </c>
      <c r="G2426" s="502" t="str">
        <f ca="1">IFERROR(IF(VLOOKUP(C2426,' Disaggregation - Section E '!A$10:N615,6,0)="","",VLOOKUP(C2426,' Disaggregation - Section E '!A$10:N615,6,0)),"")</f>
        <v/>
      </c>
      <c r="H2426" s="512" t="str">
        <f ca="1">IFERROR(IF(INDEX(' Disaggregation - Section E '!F$10:F615,MATCH(C2426,' Disaggregation - Section E '!A$10:A615,0)+1,1)&lt;&gt;0,INDEX(' Disaggregation - Section E '!F$10:F615,MATCH(C2426,' Disaggregation - Section E '!A$10:A615,0)+1,1),""),"")</f>
        <v/>
      </c>
      <c r="I2426" s="503" t="str">
        <f ca="1">IFERROR(IF(VLOOKUP(C2426,' Disaggregation - Section E '!A$10:N615,8,0)=0,"",VLOOKUP(C2426,' Disaggregation - Section E '!A$10:N615,8,0)),"")</f>
        <v/>
      </c>
      <c r="J2426" s="503" t="str">
        <f ca="1">IFERROR(IF(VLOOKUP(C2426,' Disaggregation - Section E '!A$10:N615,13,0)=0,"",VLOOKUP(C2426,' Disaggregation - Section E '!A$10:N615,13,0)),"")</f>
        <v/>
      </c>
      <c r="K2426" s="497" t="str">
        <f ca="1">IFERROR(VLOOKUP(C2426,' Disaggregation - Section E '!A$10:N615,3,0),"")</f>
        <v>HIV I-9a⁽ᴹ⁾ Porcentaje de HSH y viven con el VIH</v>
      </c>
      <c r="L2426" s="503" t="str">
        <f ca="1">IFERROR(IF(VLOOKUP(C2426,' Disaggregation - Section E '!A$10:N615,14,0)=0,"",VLOOKUP(C2426,' Disaggregation - Section E '!A$10:N615,14,0)),"")</f>
        <v/>
      </c>
      <c r="M2426" s="497" t="str">
        <f ca="1">IFERROR(IF(VLOOKUP(C2426,' Disaggregation - Section E '!A$10:T615,20,0)=0,"",VLOOKUP(C2426,' Disaggregation - Section E '!A$10:T615,20,0)),"")</f>
        <v/>
      </c>
      <c r="N2426" s="503" t="str">
        <f ca="1">IFERROR(IF(VLOOKUP(C2426,' Disaggregation - Section E '!A$10:N615,9,0)=0,"",VLOOKUP(C2426,' Disaggregation - Section E '!A$10:N615,9,0)),"")</f>
        <v/>
      </c>
      <c r="O2426" s="503" t="str">
        <f ca="1">IFERROR(IF(VLOOKUP(C2426,' Disaggregation - Section E '!A$10:N615,10,0)=0,"",VLOOKUP(C2426,' Disaggregation - Section E '!A$10:N615,10,0)),"")</f>
        <v/>
      </c>
    </row>
    <row r="2427" spans="1:15" x14ac:dyDescent="0.35">
      <c r="A2427" s="497" t="b">
        <f t="shared" ca="1" si="224"/>
        <v>0</v>
      </c>
      <c r="B2427" s="497"/>
      <c r="C2427" s="517" t="str">
        <f ca="1">IF(COUNTA(D$2119:D2427)=1,"",OFFSET(B2427,-COUNTA(D$2119:D2427)+1,1))</f>
        <v>a1G3p000005ncDNEAY</v>
      </c>
      <c r="D2427" s="512"/>
      <c r="E2427" s="500" t="str">
        <f ca="1">IFERROR(IF(VLOOKUP(C2427,' Disaggregation - Section E '!A$10:J616,7,0)="","",VLOOKUP(C2427,' Disaggregation - Section E '!A$10:J616,7,0)*100),"")</f>
        <v/>
      </c>
      <c r="F2427" s="503" t="str">
        <f ca="1">IFERROR(IF(VLOOKUP(C2427,' Disaggregation - Section E '!A$10:N616,5,0)=0,"",VLOOKUP(C2427,' Disaggregation - Section E '!A$10:N616,5,0)),"")</f>
        <v/>
      </c>
      <c r="G2427" s="502" t="str">
        <f ca="1">IFERROR(IF(VLOOKUP(C2427,' Disaggregation - Section E '!A$10:N616,6,0)="","",VLOOKUP(C2427,' Disaggregation - Section E '!A$10:N616,6,0)),"")</f>
        <v/>
      </c>
      <c r="H2427" s="512" t="str">
        <f ca="1">IFERROR(IF(INDEX(' Disaggregation - Section E '!F$10:F616,MATCH(C2427,' Disaggregation - Section E '!A$10:A616,0)+1,1)&lt;&gt;0,INDEX(' Disaggregation - Section E '!F$10:F616,MATCH(C2427,' Disaggregation - Section E '!A$10:A616,0)+1,1),""),"")</f>
        <v/>
      </c>
      <c r="I2427" s="503" t="str">
        <f ca="1">IFERROR(IF(VLOOKUP(C2427,' Disaggregation - Section E '!A$10:N616,8,0)=0,"",VLOOKUP(C2427,' Disaggregation - Section E '!A$10:N616,8,0)),"")</f>
        <v/>
      </c>
      <c r="J2427" s="503" t="str">
        <f ca="1">IFERROR(IF(VLOOKUP(C2427,' Disaggregation - Section E '!A$10:N616,13,0)=0,"",VLOOKUP(C2427,' Disaggregation - Section E '!A$10:N616,13,0)),"")</f>
        <v/>
      </c>
      <c r="K2427" s="497" t="str">
        <f ca="1">IFERROR(VLOOKUP(C2427,' Disaggregation - Section E '!A$10:N616,3,0),"")</f>
        <v>HIV I-9a⁽ᴹ⁾ Porcentaje de HSH y viven con el VIH</v>
      </c>
      <c r="L2427" s="503" t="str">
        <f ca="1">IFERROR(IF(VLOOKUP(C2427,' Disaggregation - Section E '!A$10:N616,14,0)=0,"",VLOOKUP(C2427,' Disaggregation - Section E '!A$10:N616,14,0)),"")</f>
        <v/>
      </c>
      <c r="M2427" s="497" t="str">
        <f ca="1">IFERROR(IF(VLOOKUP(C2427,' Disaggregation - Section E '!A$10:T616,20,0)=0,"",VLOOKUP(C2427,' Disaggregation - Section E '!A$10:T616,20,0)),"")</f>
        <v/>
      </c>
      <c r="N2427" s="503" t="str">
        <f ca="1">IFERROR(IF(VLOOKUP(C2427,' Disaggregation - Section E '!A$10:N616,9,0)=0,"",VLOOKUP(C2427,' Disaggregation - Section E '!A$10:N616,9,0)),"")</f>
        <v/>
      </c>
      <c r="O2427" s="503" t="str">
        <f ca="1">IFERROR(IF(VLOOKUP(C2427,' Disaggregation - Section E '!A$10:N616,10,0)=0,"",VLOOKUP(C2427,' Disaggregation - Section E '!A$10:N616,10,0)),"")</f>
        <v/>
      </c>
    </row>
    <row r="2428" spans="1:15" x14ac:dyDescent="0.35">
      <c r="A2428" s="497" t="b">
        <f t="shared" ca="1" si="224"/>
        <v>0</v>
      </c>
      <c r="B2428" s="497"/>
      <c r="C2428" s="517" t="str">
        <f ca="1">IF(COUNTA(D$2119:D2428)=1,"",OFFSET(B2428,-COUNTA(D$2119:D2428)+1,1))</f>
        <v>a1G3p000005ncDOEAY</v>
      </c>
      <c r="D2428" s="512"/>
      <c r="E2428" s="500" t="str">
        <f ca="1">IFERROR(IF(VLOOKUP(C2428,' Disaggregation - Section E '!A$10:J617,7,0)="","",VLOOKUP(C2428,' Disaggregation - Section E '!A$10:J617,7,0)*100),"")</f>
        <v/>
      </c>
      <c r="F2428" s="503" t="str">
        <f ca="1">IFERROR(IF(VLOOKUP(C2428,' Disaggregation - Section E '!A$10:N617,5,0)=0,"",VLOOKUP(C2428,' Disaggregation - Section E '!A$10:N617,5,0)),"")</f>
        <v/>
      </c>
      <c r="G2428" s="502" t="str">
        <f ca="1">IFERROR(IF(VLOOKUP(C2428,' Disaggregation - Section E '!A$10:N617,6,0)="","",VLOOKUP(C2428,' Disaggregation - Section E '!A$10:N617,6,0)),"")</f>
        <v/>
      </c>
      <c r="H2428" s="512" t="str">
        <f ca="1">IFERROR(IF(INDEX(' Disaggregation - Section E '!F$10:F617,MATCH(C2428,' Disaggregation - Section E '!A$10:A617,0)+1,1)&lt;&gt;0,INDEX(' Disaggregation - Section E '!F$10:F617,MATCH(C2428,' Disaggregation - Section E '!A$10:A617,0)+1,1),""),"")</f>
        <v/>
      </c>
      <c r="I2428" s="503" t="str">
        <f ca="1">IFERROR(IF(VLOOKUP(C2428,' Disaggregation - Section E '!A$10:N617,8,0)=0,"",VLOOKUP(C2428,' Disaggregation - Section E '!A$10:N617,8,0)),"")</f>
        <v/>
      </c>
      <c r="J2428" s="503" t="str">
        <f ca="1">IFERROR(IF(VLOOKUP(C2428,' Disaggregation - Section E '!A$10:N617,13,0)=0,"",VLOOKUP(C2428,' Disaggregation - Section E '!A$10:N617,13,0)),"")</f>
        <v/>
      </c>
      <c r="K2428" s="497" t="str">
        <f ca="1">IFERROR(VLOOKUP(C2428,' Disaggregation - Section E '!A$10:N617,3,0),"")</f>
        <v>HIV I-9a⁽ᴹ⁾ Porcentaje de HSH y viven con el VIH</v>
      </c>
      <c r="L2428" s="503" t="str">
        <f ca="1">IFERROR(IF(VLOOKUP(C2428,' Disaggregation - Section E '!A$10:N617,14,0)=0,"",VLOOKUP(C2428,' Disaggregation - Section E '!A$10:N617,14,0)),"")</f>
        <v/>
      </c>
      <c r="M2428" s="497" t="str">
        <f ca="1">IFERROR(IF(VLOOKUP(C2428,' Disaggregation - Section E '!A$10:T617,20,0)=0,"",VLOOKUP(C2428,' Disaggregation - Section E '!A$10:T617,20,0)),"")</f>
        <v/>
      </c>
      <c r="N2428" s="503" t="str">
        <f ca="1">IFERROR(IF(VLOOKUP(C2428,' Disaggregation - Section E '!A$10:N617,9,0)=0,"",VLOOKUP(C2428,' Disaggregation - Section E '!A$10:N617,9,0)),"")</f>
        <v/>
      </c>
      <c r="O2428" s="503" t="str">
        <f ca="1">IFERROR(IF(VLOOKUP(C2428,' Disaggregation - Section E '!A$10:N617,10,0)=0,"",VLOOKUP(C2428,' Disaggregation - Section E '!A$10:N617,10,0)),"")</f>
        <v/>
      </c>
    </row>
    <row r="2429" spans="1:15" x14ac:dyDescent="0.35">
      <c r="A2429" s="497" t="b">
        <f t="shared" ca="1" si="224"/>
        <v>0</v>
      </c>
      <c r="B2429" s="497"/>
      <c r="C2429" s="517" t="str">
        <f ca="1">IF(COUNTA(D$2119:D2429)=1,"",OFFSET(B2429,-COUNTA(D$2119:D2429)+1,1))</f>
        <v>a1G3p000005ncDPEAY</v>
      </c>
      <c r="D2429" s="512"/>
      <c r="E2429" s="500" t="str">
        <f ca="1">IFERROR(IF(VLOOKUP(C2429,' Disaggregation - Section E '!A$10:J618,7,0)="","",VLOOKUP(C2429,' Disaggregation - Section E '!A$10:J618,7,0)*100),"")</f>
        <v/>
      </c>
      <c r="F2429" s="503" t="str">
        <f ca="1">IFERROR(IF(VLOOKUP(C2429,' Disaggregation - Section E '!A$10:N618,5,0)=0,"",VLOOKUP(C2429,' Disaggregation - Section E '!A$10:N618,5,0)),"")</f>
        <v/>
      </c>
      <c r="G2429" s="502" t="str">
        <f ca="1">IFERROR(IF(VLOOKUP(C2429,' Disaggregation - Section E '!A$10:N618,6,0)="","",VLOOKUP(C2429,' Disaggregation - Section E '!A$10:N618,6,0)),"")</f>
        <v/>
      </c>
      <c r="H2429" s="512" t="str">
        <f ca="1">IFERROR(IF(INDEX(' Disaggregation - Section E '!F$10:F618,MATCH(C2429,' Disaggregation - Section E '!A$10:A618,0)+1,1)&lt;&gt;0,INDEX(' Disaggregation - Section E '!F$10:F618,MATCH(C2429,' Disaggregation - Section E '!A$10:A618,0)+1,1),""),"")</f>
        <v/>
      </c>
      <c r="I2429" s="503" t="str">
        <f ca="1">IFERROR(IF(VLOOKUP(C2429,' Disaggregation - Section E '!A$10:N618,8,0)=0,"",VLOOKUP(C2429,' Disaggregation - Section E '!A$10:N618,8,0)),"")</f>
        <v/>
      </c>
      <c r="J2429" s="503" t="str">
        <f ca="1">IFERROR(IF(VLOOKUP(C2429,' Disaggregation - Section E '!A$10:N618,13,0)=0,"",VLOOKUP(C2429,' Disaggregation - Section E '!A$10:N618,13,0)),"")</f>
        <v/>
      </c>
      <c r="K2429" s="497" t="str">
        <f ca="1">IFERROR(VLOOKUP(C2429,' Disaggregation - Section E '!A$10:N618,3,0),"")</f>
        <v>HIV I-9a⁽ᴹ⁾ Porcentaje de HSH y viven con el VIH</v>
      </c>
      <c r="L2429" s="503" t="str">
        <f ca="1">IFERROR(IF(VLOOKUP(C2429,' Disaggregation - Section E '!A$10:N618,14,0)=0,"",VLOOKUP(C2429,' Disaggregation - Section E '!A$10:N618,14,0)),"")</f>
        <v/>
      </c>
      <c r="M2429" s="497" t="str">
        <f ca="1">IFERROR(IF(VLOOKUP(C2429,' Disaggregation - Section E '!A$10:T618,20,0)=0,"",VLOOKUP(C2429,' Disaggregation - Section E '!A$10:T618,20,0)),"")</f>
        <v/>
      </c>
      <c r="N2429" s="503" t="str">
        <f ca="1">IFERROR(IF(VLOOKUP(C2429,' Disaggregation - Section E '!A$10:N618,9,0)=0,"",VLOOKUP(C2429,' Disaggregation - Section E '!A$10:N618,9,0)),"")</f>
        <v/>
      </c>
      <c r="O2429" s="503" t="str">
        <f ca="1">IFERROR(IF(VLOOKUP(C2429,' Disaggregation - Section E '!A$10:N618,10,0)=0,"",VLOOKUP(C2429,' Disaggregation - Section E '!A$10:N618,10,0)),"")</f>
        <v/>
      </c>
    </row>
    <row r="2430" spans="1:15" x14ac:dyDescent="0.35">
      <c r="A2430" s="497" t="b">
        <f t="shared" ca="1" si="224"/>
        <v>0</v>
      </c>
      <c r="B2430" s="497"/>
      <c r="C2430" s="517" t="str">
        <f ca="1">IF(COUNTA(D$2119:D2430)=1,"",OFFSET(B2430,-COUNTA(D$2119:D2430)+1,1))</f>
        <v>a1G3p000005ncDQEAY</v>
      </c>
      <c r="D2430" s="512"/>
      <c r="E2430" s="500" t="str">
        <f ca="1">IFERROR(IF(VLOOKUP(C2430,' Disaggregation - Section E '!A$10:J619,7,0)="","",VLOOKUP(C2430,' Disaggregation - Section E '!A$10:J619,7,0)*100),"")</f>
        <v/>
      </c>
      <c r="F2430" s="503" t="str">
        <f ca="1">IFERROR(IF(VLOOKUP(C2430,' Disaggregation - Section E '!A$10:N619,5,0)=0,"",VLOOKUP(C2430,' Disaggregation - Section E '!A$10:N619,5,0)),"")</f>
        <v/>
      </c>
      <c r="G2430" s="502" t="str">
        <f ca="1">IFERROR(IF(VLOOKUP(C2430,' Disaggregation - Section E '!A$10:N619,6,0)="","",VLOOKUP(C2430,' Disaggregation - Section E '!A$10:N619,6,0)),"")</f>
        <v/>
      </c>
      <c r="H2430" s="512" t="str">
        <f ca="1">IFERROR(IF(INDEX(' Disaggregation - Section E '!F$10:F619,MATCH(C2430,' Disaggregation - Section E '!A$10:A619,0)+1,1)&lt;&gt;0,INDEX(' Disaggregation - Section E '!F$10:F619,MATCH(C2430,' Disaggregation - Section E '!A$10:A619,0)+1,1),""),"")</f>
        <v/>
      </c>
      <c r="I2430" s="503" t="str">
        <f ca="1">IFERROR(IF(VLOOKUP(C2430,' Disaggregation - Section E '!A$10:N619,8,0)=0,"",VLOOKUP(C2430,' Disaggregation - Section E '!A$10:N619,8,0)),"")</f>
        <v/>
      </c>
      <c r="J2430" s="503" t="str">
        <f ca="1">IFERROR(IF(VLOOKUP(C2430,' Disaggregation - Section E '!A$10:N619,13,0)=0,"",VLOOKUP(C2430,' Disaggregation - Section E '!A$10:N619,13,0)),"")</f>
        <v/>
      </c>
      <c r="K2430" s="497" t="str">
        <f ca="1">IFERROR(VLOOKUP(C2430,' Disaggregation - Section E '!A$10:N619,3,0),"")</f>
        <v>HIV I-9a⁽ᴹ⁾ Porcentaje de HSH y viven con el VIH</v>
      </c>
      <c r="L2430" s="503" t="str">
        <f ca="1">IFERROR(IF(VLOOKUP(C2430,' Disaggregation - Section E '!A$10:N619,14,0)=0,"",VLOOKUP(C2430,' Disaggregation - Section E '!A$10:N619,14,0)),"")</f>
        <v/>
      </c>
      <c r="M2430" s="497" t="str">
        <f ca="1">IFERROR(IF(VLOOKUP(C2430,' Disaggregation - Section E '!A$10:T619,20,0)=0,"",VLOOKUP(C2430,' Disaggregation - Section E '!A$10:T619,20,0)),"")</f>
        <v/>
      </c>
      <c r="N2430" s="503" t="str">
        <f ca="1">IFERROR(IF(VLOOKUP(C2430,' Disaggregation - Section E '!A$10:N619,9,0)=0,"",VLOOKUP(C2430,' Disaggregation - Section E '!A$10:N619,9,0)),"")</f>
        <v/>
      </c>
      <c r="O2430" s="503" t="str">
        <f ca="1">IFERROR(IF(VLOOKUP(C2430,' Disaggregation - Section E '!A$10:N619,10,0)=0,"",VLOOKUP(C2430,' Disaggregation - Section E '!A$10:N619,10,0)),"")</f>
        <v/>
      </c>
    </row>
    <row r="2431" spans="1:15" x14ac:dyDescent="0.35">
      <c r="A2431" s="497" t="b">
        <f t="shared" ca="1" si="224"/>
        <v>1</v>
      </c>
      <c r="B2431" s="497"/>
      <c r="C2431" s="517" t="str">
        <f ca="1">IF(COUNTA(D$2119:D2431)=1,"",OFFSET(B2431,-COUNTA(D$2119:D2431)+1,1))</f>
        <v>a1G3p000005ncFhEAI</v>
      </c>
      <c r="D2431" s="512"/>
      <c r="E2431" s="500" t="str">
        <f ca="1">IFERROR(IF(VLOOKUP(C2431,' Disaggregation - Section E '!A$10:J620,7,0)="","",VLOOKUP(C2431,' Disaggregation - Section E '!A$10:J620,7,0)*100),"")</f>
        <v/>
      </c>
      <c r="F2431" s="503" t="str">
        <f ca="1">IFERROR(IF(VLOOKUP(C2431,' Disaggregation - Section E '!A$10:N620,5,0)=0,"",VLOOKUP(C2431,' Disaggregation - Section E '!A$10:N620,5,0)),"")</f>
        <v>25+</v>
      </c>
      <c r="G2431" s="502" t="str">
        <f ca="1">IFERROR(IF(VLOOKUP(C2431,' Disaggregation - Section E '!A$10:N620,6,0)="","",VLOOKUP(C2431,' Disaggregation - Section E '!A$10:N620,6,0)),"")</f>
        <v/>
      </c>
      <c r="H2431" s="512" t="str">
        <f ca="1">IFERROR(IF(INDEX(' Disaggregation - Section E '!F$10:F620,MATCH(C2431,' Disaggregation - Section E '!A$10:A620,0)+1,1)&lt;&gt;0,INDEX(' Disaggregation - Section E '!F$10:F620,MATCH(C2431,' Disaggregation - Section E '!A$10:A620,0)+1,1),""),"")</f>
        <v/>
      </c>
      <c r="I2431" s="503" t="str">
        <f ca="1">IFERROR(IF(VLOOKUP(C2431,' Disaggregation - Section E '!A$10:N620,8,0)=0,"",VLOOKUP(C2431,' Disaggregation - Section E '!A$10:N620,8,0)),"")</f>
        <v/>
      </c>
      <c r="J2431" s="503" t="str">
        <f ca="1">IFERROR(IF(VLOOKUP(C2431,' Disaggregation - Section E '!A$10:N620,13,0)=0,"",VLOOKUP(C2431,' Disaggregation - Section E '!A$10:N620,13,0)),"")</f>
        <v/>
      </c>
      <c r="K2431" s="497" t="str">
        <f ca="1">IFERROR(VLOOKUP(C2431,' Disaggregation - Section E '!A$10:N620,3,0),"")</f>
        <v>HIV I-9b⁽ᴹ⁾ Porcentaje de personas transgénero que viven con el VIH</v>
      </c>
      <c r="L2431" s="503" t="str">
        <f ca="1">IFERROR(IF(VLOOKUP(C2431,' Disaggregation - Section E '!A$10:N620,14,0)=0,"",VLOOKUP(C2431,' Disaggregation - Section E '!A$10:N620,14,0)),"")</f>
        <v/>
      </c>
      <c r="M2431" s="497" t="str">
        <f ca="1">IFERROR(IF(VLOOKUP(C2431,' Disaggregation - Section E '!A$10:T620,20,0)=0,"",VLOOKUP(C2431,' Disaggregation - Section E '!A$10:T620,20,0)),"")</f>
        <v>IDR-00659</v>
      </c>
      <c r="N2431" s="503" t="str">
        <f ca="1">IFERROR(IF(VLOOKUP(C2431,' Disaggregation - Section E '!A$10:N620,9,0)=0,"",VLOOKUP(C2431,' Disaggregation - Section E '!A$10:N620,9,0)),"")</f>
        <v/>
      </c>
      <c r="O2431" s="503" t="str">
        <f ca="1">IFERROR(IF(VLOOKUP(C2431,' Disaggregation - Section E '!A$10:N620,10,0)=0,"",VLOOKUP(C2431,' Disaggregation - Section E '!A$10:N620,10,0)),"")</f>
        <v/>
      </c>
    </row>
    <row r="2432" spans="1:15" x14ac:dyDescent="0.35">
      <c r="A2432" s="497" t="b">
        <f t="shared" ca="1" si="224"/>
        <v>1</v>
      </c>
      <c r="B2432" s="497"/>
      <c r="C2432" s="517" t="str">
        <f ca="1">IF(COUNTA(D$2119:D2432)=1,"",OFFSET(B2432,-COUNTA(D$2119:D2432)+1,1))</f>
        <v>a1G3p000005ncFiEAI</v>
      </c>
      <c r="D2432" s="512"/>
      <c r="E2432" s="500" t="str">
        <f ca="1">IFERROR(IF(VLOOKUP(C2432,' Disaggregation - Section E '!A$10:J621,7,0)="","",VLOOKUP(C2432,' Disaggregation - Section E '!A$10:J621,7,0)*100),"")</f>
        <v/>
      </c>
      <c r="F2432" s="503" t="str">
        <f ca="1">IFERROR(IF(VLOOKUP(C2432,' Disaggregation - Section E '!A$10:N621,5,0)=0,"",VLOOKUP(C2432,' Disaggregation - Section E '!A$10:N621,5,0)),"")</f>
        <v>&lt;25</v>
      </c>
      <c r="G2432" s="502" t="str">
        <f ca="1">IFERROR(IF(VLOOKUP(C2432,' Disaggregation - Section E '!A$10:N621,6,0)="","",VLOOKUP(C2432,' Disaggregation - Section E '!A$10:N621,6,0)),"")</f>
        <v/>
      </c>
      <c r="H2432" s="512" t="str">
        <f ca="1">IFERROR(IF(INDEX(' Disaggregation - Section E '!F$10:F621,MATCH(C2432,' Disaggregation - Section E '!A$10:A621,0)+1,1)&lt;&gt;0,INDEX(' Disaggregation - Section E '!F$10:F621,MATCH(C2432,' Disaggregation - Section E '!A$10:A621,0)+1,1),""),"")</f>
        <v/>
      </c>
      <c r="I2432" s="503" t="str">
        <f ca="1">IFERROR(IF(VLOOKUP(C2432,' Disaggregation - Section E '!A$10:N621,8,0)=0,"",VLOOKUP(C2432,' Disaggregation - Section E '!A$10:N621,8,0)),"")</f>
        <v/>
      </c>
      <c r="J2432" s="503" t="str">
        <f ca="1">IFERROR(IF(VLOOKUP(C2432,' Disaggregation - Section E '!A$10:N621,13,0)=0,"",VLOOKUP(C2432,' Disaggregation - Section E '!A$10:N621,13,0)),"")</f>
        <v/>
      </c>
      <c r="K2432" s="497" t="str">
        <f ca="1">IFERROR(VLOOKUP(C2432,' Disaggregation - Section E '!A$10:N621,3,0),"")</f>
        <v>HIV I-9b⁽ᴹ⁾ Porcentaje de personas transgénero que viven con el VIH</v>
      </c>
      <c r="L2432" s="503" t="str">
        <f ca="1">IFERROR(IF(VLOOKUP(C2432,' Disaggregation - Section E '!A$10:N621,14,0)=0,"",VLOOKUP(C2432,' Disaggregation - Section E '!A$10:N621,14,0)),"")</f>
        <v/>
      </c>
      <c r="M2432" s="497" t="str">
        <f ca="1">IFERROR(IF(VLOOKUP(C2432,' Disaggregation - Section E '!A$10:T621,20,0)=0,"",VLOOKUP(C2432,' Disaggregation - Section E '!A$10:T621,20,0)),"")</f>
        <v>IDR-00658</v>
      </c>
      <c r="N2432" s="503" t="str">
        <f ca="1">IFERROR(IF(VLOOKUP(C2432,' Disaggregation - Section E '!A$10:N621,9,0)=0,"",VLOOKUP(C2432,' Disaggregation - Section E '!A$10:N621,9,0)),"")</f>
        <v/>
      </c>
      <c r="O2432" s="503" t="str">
        <f ca="1">IFERROR(IF(VLOOKUP(C2432,' Disaggregation - Section E '!A$10:N621,10,0)=0,"",VLOOKUP(C2432,' Disaggregation - Section E '!A$10:N621,10,0)),"")</f>
        <v>al ser un país focalizado no se solicita desagregacion para los indicadores</v>
      </c>
    </row>
    <row r="2433" spans="1:15" x14ac:dyDescent="0.35">
      <c r="A2433" s="497" t="b">
        <f t="shared" ca="1" si="224"/>
        <v>0</v>
      </c>
      <c r="B2433" s="497"/>
      <c r="C2433" s="517" t="str">
        <f ca="1">IF(COUNTA(D$2119:D2433)=1,"",OFFSET(B2433,-COUNTA(D$2119:D2433)+1,1))</f>
        <v>a1G3p000005ncFjEAI</v>
      </c>
      <c r="D2433" s="512"/>
      <c r="E2433" s="500" t="str">
        <f ca="1">IFERROR(IF(VLOOKUP(C2433,' Disaggregation - Section E '!A$10:J622,7,0)="","",VLOOKUP(C2433,' Disaggregation - Section E '!A$10:J622,7,0)*100),"")</f>
        <v/>
      </c>
      <c r="F2433" s="503" t="str">
        <f ca="1">IFERROR(IF(VLOOKUP(C2433,' Disaggregation - Section E '!A$10:N622,5,0)=0,"",VLOOKUP(C2433,' Disaggregation - Section E '!A$10:N622,5,0)),"")</f>
        <v/>
      </c>
      <c r="G2433" s="502" t="str">
        <f ca="1">IFERROR(IF(VLOOKUP(C2433,' Disaggregation - Section E '!A$10:N622,6,0)="","",VLOOKUP(C2433,' Disaggregation - Section E '!A$10:N622,6,0)),"")</f>
        <v/>
      </c>
      <c r="H2433" s="512" t="str">
        <f ca="1">IFERROR(IF(INDEX(' Disaggregation - Section E '!F$10:F622,MATCH(C2433,' Disaggregation - Section E '!A$10:A622,0)+1,1)&lt;&gt;0,INDEX(' Disaggregation - Section E '!F$10:F622,MATCH(C2433,' Disaggregation - Section E '!A$10:A622,0)+1,1),""),"")</f>
        <v/>
      </c>
      <c r="I2433" s="503" t="str">
        <f ca="1">IFERROR(IF(VLOOKUP(C2433,' Disaggregation - Section E '!A$10:N622,8,0)=0,"",VLOOKUP(C2433,' Disaggregation - Section E '!A$10:N622,8,0)),"")</f>
        <v/>
      </c>
      <c r="J2433" s="503" t="str">
        <f ca="1">IFERROR(IF(VLOOKUP(C2433,' Disaggregation - Section E '!A$10:N622,13,0)=0,"",VLOOKUP(C2433,' Disaggregation - Section E '!A$10:N622,13,0)),"")</f>
        <v/>
      </c>
      <c r="K2433" s="497" t="str">
        <f ca="1">IFERROR(VLOOKUP(C2433,' Disaggregation - Section E '!A$10:N622,3,0),"")</f>
        <v>HIV I-9b⁽ᴹ⁾ Porcentaje de personas transgénero que viven con el VIH</v>
      </c>
      <c r="L2433" s="503" t="str">
        <f ca="1">IFERROR(IF(VLOOKUP(C2433,' Disaggregation - Section E '!A$10:N622,14,0)=0,"",VLOOKUP(C2433,' Disaggregation - Section E '!A$10:N622,14,0)),"")</f>
        <v/>
      </c>
      <c r="M2433" s="497" t="str">
        <f ca="1">IFERROR(IF(VLOOKUP(C2433,' Disaggregation - Section E '!A$10:T622,20,0)=0,"",VLOOKUP(C2433,' Disaggregation - Section E '!A$10:T622,20,0)),"")</f>
        <v/>
      </c>
      <c r="N2433" s="503" t="str">
        <f ca="1">IFERROR(IF(VLOOKUP(C2433,' Disaggregation - Section E '!A$10:N622,9,0)=0,"",VLOOKUP(C2433,' Disaggregation - Section E '!A$10:N622,9,0)),"")</f>
        <v/>
      </c>
      <c r="O2433" s="503" t="str">
        <f ca="1">IFERROR(IF(VLOOKUP(C2433,' Disaggregation - Section E '!A$10:N622,10,0)=0,"",VLOOKUP(C2433,' Disaggregation - Section E '!A$10:N622,10,0)),"")</f>
        <v/>
      </c>
    </row>
    <row r="2434" spans="1:15" x14ac:dyDescent="0.35">
      <c r="A2434" s="497" t="b">
        <f t="shared" ca="1" si="224"/>
        <v>0</v>
      </c>
      <c r="B2434" s="497"/>
      <c r="C2434" s="517" t="str">
        <f ca="1">IF(COUNTA(D$2119:D2434)=1,"",OFFSET(B2434,-COUNTA(D$2119:D2434)+1,1))</f>
        <v>a1G3p000005ncFkEAI</v>
      </c>
      <c r="D2434" s="512"/>
      <c r="E2434" s="500" t="str">
        <f ca="1">IFERROR(IF(VLOOKUP(C2434,' Disaggregation - Section E '!A$10:J623,7,0)="","",VLOOKUP(C2434,' Disaggregation - Section E '!A$10:J623,7,0)*100),"")</f>
        <v/>
      </c>
      <c r="F2434" s="503" t="str">
        <f ca="1">IFERROR(IF(VLOOKUP(C2434,' Disaggregation - Section E '!A$10:N623,5,0)=0,"",VLOOKUP(C2434,' Disaggregation - Section E '!A$10:N623,5,0)),"")</f>
        <v/>
      </c>
      <c r="G2434" s="502" t="str">
        <f ca="1">IFERROR(IF(VLOOKUP(C2434,' Disaggregation - Section E '!A$10:N623,6,0)="","",VLOOKUP(C2434,' Disaggregation - Section E '!A$10:N623,6,0)),"")</f>
        <v/>
      </c>
      <c r="H2434" s="512" t="str">
        <f ca="1">IFERROR(IF(INDEX(' Disaggregation - Section E '!F$10:F623,MATCH(C2434,' Disaggregation - Section E '!A$10:A623,0)+1,1)&lt;&gt;0,INDEX(' Disaggregation - Section E '!F$10:F623,MATCH(C2434,' Disaggregation - Section E '!A$10:A623,0)+1,1),""),"")</f>
        <v/>
      </c>
      <c r="I2434" s="503" t="str">
        <f ca="1">IFERROR(IF(VLOOKUP(C2434,' Disaggregation - Section E '!A$10:N623,8,0)=0,"",VLOOKUP(C2434,' Disaggregation - Section E '!A$10:N623,8,0)),"")</f>
        <v/>
      </c>
      <c r="J2434" s="503" t="str">
        <f ca="1">IFERROR(IF(VLOOKUP(C2434,' Disaggregation - Section E '!A$10:N623,13,0)=0,"",VLOOKUP(C2434,' Disaggregation - Section E '!A$10:N623,13,0)),"")</f>
        <v/>
      </c>
      <c r="K2434" s="497" t="str">
        <f ca="1">IFERROR(VLOOKUP(C2434,' Disaggregation - Section E '!A$10:N623,3,0),"")</f>
        <v>HIV I-9b⁽ᴹ⁾ Porcentaje de personas transgénero que viven con el VIH</v>
      </c>
      <c r="L2434" s="503" t="str">
        <f ca="1">IFERROR(IF(VLOOKUP(C2434,' Disaggregation - Section E '!A$10:N623,14,0)=0,"",VLOOKUP(C2434,' Disaggregation - Section E '!A$10:N623,14,0)),"")</f>
        <v/>
      </c>
      <c r="M2434" s="497" t="str">
        <f ca="1">IFERROR(IF(VLOOKUP(C2434,' Disaggregation - Section E '!A$10:T623,20,0)=0,"",VLOOKUP(C2434,' Disaggregation - Section E '!A$10:T623,20,0)),"")</f>
        <v/>
      </c>
      <c r="N2434" s="503" t="str">
        <f ca="1">IFERROR(IF(VLOOKUP(C2434,' Disaggregation - Section E '!A$10:N623,9,0)=0,"",VLOOKUP(C2434,' Disaggregation - Section E '!A$10:N623,9,0)),"")</f>
        <v/>
      </c>
      <c r="O2434" s="503" t="str">
        <f ca="1">IFERROR(IF(VLOOKUP(C2434,' Disaggregation - Section E '!A$10:N623,10,0)=0,"",VLOOKUP(C2434,' Disaggregation - Section E '!A$10:N623,10,0)),"")</f>
        <v/>
      </c>
    </row>
    <row r="2435" spans="1:15" x14ac:dyDescent="0.35">
      <c r="A2435" s="497" t="b">
        <f t="shared" ca="1" si="224"/>
        <v>0</v>
      </c>
      <c r="B2435" s="497"/>
      <c r="C2435" s="517" t="str">
        <f ca="1">IF(COUNTA(D$2119:D2435)=1,"",OFFSET(B2435,-COUNTA(D$2119:D2435)+1,1))</f>
        <v>a1G3p000005ncFlEAI</v>
      </c>
      <c r="D2435" s="512"/>
      <c r="E2435" s="500" t="str">
        <f ca="1">IFERROR(IF(VLOOKUP(C2435,' Disaggregation - Section E '!A$10:J624,7,0)="","",VLOOKUP(C2435,' Disaggregation - Section E '!A$10:J624,7,0)*100),"")</f>
        <v/>
      </c>
      <c r="F2435" s="503" t="str">
        <f ca="1">IFERROR(IF(VLOOKUP(C2435,' Disaggregation - Section E '!A$10:N624,5,0)=0,"",VLOOKUP(C2435,' Disaggregation - Section E '!A$10:N624,5,0)),"")</f>
        <v/>
      </c>
      <c r="G2435" s="502" t="str">
        <f ca="1">IFERROR(IF(VLOOKUP(C2435,' Disaggregation - Section E '!A$10:N624,6,0)="","",VLOOKUP(C2435,' Disaggregation - Section E '!A$10:N624,6,0)),"")</f>
        <v/>
      </c>
      <c r="H2435" s="512" t="str">
        <f ca="1">IFERROR(IF(INDEX(' Disaggregation - Section E '!F$10:F624,MATCH(C2435,' Disaggregation - Section E '!A$10:A624,0)+1,1)&lt;&gt;0,INDEX(' Disaggregation - Section E '!F$10:F624,MATCH(C2435,' Disaggregation - Section E '!A$10:A624,0)+1,1),""),"")</f>
        <v/>
      </c>
      <c r="I2435" s="503" t="str">
        <f ca="1">IFERROR(IF(VLOOKUP(C2435,' Disaggregation - Section E '!A$10:N624,8,0)=0,"",VLOOKUP(C2435,' Disaggregation - Section E '!A$10:N624,8,0)),"")</f>
        <v/>
      </c>
      <c r="J2435" s="503" t="str">
        <f ca="1">IFERROR(IF(VLOOKUP(C2435,' Disaggregation - Section E '!A$10:N624,13,0)=0,"",VLOOKUP(C2435,' Disaggregation - Section E '!A$10:N624,13,0)),"")</f>
        <v/>
      </c>
      <c r="K2435" s="497" t="str">
        <f ca="1">IFERROR(VLOOKUP(C2435,' Disaggregation - Section E '!A$10:N624,3,0),"")</f>
        <v>HIV I-9b⁽ᴹ⁾ Porcentaje de personas transgénero que viven con el VIH</v>
      </c>
      <c r="L2435" s="503" t="str">
        <f ca="1">IFERROR(IF(VLOOKUP(C2435,' Disaggregation - Section E '!A$10:N624,14,0)=0,"",VLOOKUP(C2435,' Disaggregation - Section E '!A$10:N624,14,0)),"")</f>
        <v/>
      </c>
      <c r="M2435" s="497" t="str">
        <f ca="1">IFERROR(IF(VLOOKUP(C2435,' Disaggregation - Section E '!A$10:T624,20,0)=0,"",VLOOKUP(C2435,' Disaggregation - Section E '!A$10:T624,20,0)),"")</f>
        <v/>
      </c>
      <c r="N2435" s="503" t="str">
        <f ca="1">IFERROR(IF(VLOOKUP(C2435,' Disaggregation - Section E '!A$10:N624,9,0)=0,"",VLOOKUP(C2435,' Disaggregation - Section E '!A$10:N624,9,0)),"")</f>
        <v/>
      </c>
      <c r="O2435" s="503" t="str">
        <f ca="1">IFERROR(IF(VLOOKUP(C2435,' Disaggregation - Section E '!A$10:N624,10,0)=0,"",VLOOKUP(C2435,' Disaggregation - Section E '!A$10:N624,10,0)),"")</f>
        <v/>
      </c>
    </row>
    <row r="2436" spans="1:15" x14ac:dyDescent="0.35">
      <c r="A2436" s="497" t="b">
        <f t="shared" ca="1" si="224"/>
        <v>0</v>
      </c>
      <c r="B2436" s="497"/>
      <c r="C2436" s="517" t="str">
        <f ca="1">IF(COUNTA(D$2119:D2436)=1,"",OFFSET(B2436,-COUNTA(D$2119:D2436)+1,1))</f>
        <v>a1G3p000005ncFmEAI</v>
      </c>
      <c r="D2436" s="512"/>
      <c r="E2436" s="500" t="str">
        <f ca="1">IFERROR(IF(VLOOKUP(C2436,' Disaggregation - Section E '!A$10:J625,7,0)="","",VLOOKUP(C2436,' Disaggregation - Section E '!A$10:J625,7,0)*100),"")</f>
        <v/>
      </c>
      <c r="F2436" s="503" t="str">
        <f ca="1">IFERROR(IF(VLOOKUP(C2436,' Disaggregation - Section E '!A$10:N625,5,0)=0,"",VLOOKUP(C2436,' Disaggregation - Section E '!A$10:N625,5,0)),"")</f>
        <v/>
      </c>
      <c r="G2436" s="502" t="str">
        <f ca="1">IFERROR(IF(VLOOKUP(C2436,' Disaggregation - Section E '!A$10:N625,6,0)="","",VLOOKUP(C2436,' Disaggregation - Section E '!A$10:N625,6,0)),"")</f>
        <v/>
      </c>
      <c r="H2436" s="512" t="str">
        <f ca="1">IFERROR(IF(INDEX(' Disaggregation - Section E '!F$10:F625,MATCH(C2436,' Disaggregation - Section E '!A$10:A625,0)+1,1)&lt;&gt;0,INDEX(' Disaggregation - Section E '!F$10:F625,MATCH(C2436,' Disaggregation - Section E '!A$10:A625,0)+1,1),""),"")</f>
        <v/>
      </c>
      <c r="I2436" s="503" t="str">
        <f ca="1">IFERROR(IF(VLOOKUP(C2436,' Disaggregation - Section E '!A$10:N625,8,0)=0,"",VLOOKUP(C2436,' Disaggregation - Section E '!A$10:N625,8,0)),"")</f>
        <v/>
      </c>
      <c r="J2436" s="503" t="str">
        <f ca="1">IFERROR(IF(VLOOKUP(C2436,' Disaggregation - Section E '!A$10:N625,13,0)=0,"",VLOOKUP(C2436,' Disaggregation - Section E '!A$10:N625,13,0)),"")</f>
        <v/>
      </c>
      <c r="K2436" s="497" t="str">
        <f ca="1">IFERROR(VLOOKUP(C2436,' Disaggregation - Section E '!A$10:N625,3,0),"")</f>
        <v>HIV I-9b⁽ᴹ⁾ Porcentaje de personas transgénero que viven con el VIH</v>
      </c>
      <c r="L2436" s="503" t="str">
        <f ca="1">IFERROR(IF(VLOOKUP(C2436,' Disaggregation - Section E '!A$10:N625,14,0)=0,"",VLOOKUP(C2436,' Disaggregation - Section E '!A$10:N625,14,0)),"")</f>
        <v/>
      </c>
      <c r="M2436" s="497" t="str">
        <f ca="1">IFERROR(IF(VLOOKUP(C2436,' Disaggregation - Section E '!A$10:T625,20,0)=0,"",VLOOKUP(C2436,' Disaggregation - Section E '!A$10:T625,20,0)),"")</f>
        <v/>
      </c>
      <c r="N2436" s="503" t="str">
        <f ca="1">IFERROR(IF(VLOOKUP(C2436,' Disaggregation - Section E '!A$10:N625,9,0)=0,"",VLOOKUP(C2436,' Disaggregation - Section E '!A$10:N625,9,0)),"")</f>
        <v/>
      </c>
      <c r="O2436" s="503" t="str">
        <f ca="1">IFERROR(IF(VLOOKUP(C2436,' Disaggregation - Section E '!A$10:N625,10,0)=0,"",VLOOKUP(C2436,' Disaggregation - Section E '!A$10:N625,10,0)),"")</f>
        <v/>
      </c>
    </row>
    <row r="2437" spans="1:15" x14ac:dyDescent="0.35">
      <c r="A2437" s="497" t="b">
        <f t="shared" ca="1" si="224"/>
        <v>0</v>
      </c>
      <c r="B2437" s="497"/>
      <c r="C2437" s="517" t="str">
        <f ca="1">IF(COUNTA(D$2119:D2437)=1,"",OFFSET(B2437,-COUNTA(D$2119:D2437)+1,1))</f>
        <v>a1G3p000005ncFnEAI</v>
      </c>
      <c r="D2437" s="512"/>
      <c r="E2437" s="500" t="str">
        <f ca="1">IFERROR(IF(VLOOKUP(C2437,' Disaggregation - Section E '!A$10:J626,7,0)="","",VLOOKUP(C2437,' Disaggregation - Section E '!A$10:J626,7,0)*100),"")</f>
        <v/>
      </c>
      <c r="F2437" s="503" t="str">
        <f ca="1">IFERROR(IF(VLOOKUP(C2437,' Disaggregation - Section E '!A$10:N626,5,0)=0,"",VLOOKUP(C2437,' Disaggregation - Section E '!A$10:N626,5,0)),"")</f>
        <v/>
      </c>
      <c r="G2437" s="502" t="str">
        <f ca="1">IFERROR(IF(VLOOKUP(C2437,' Disaggregation - Section E '!A$10:N626,6,0)="","",VLOOKUP(C2437,' Disaggregation - Section E '!A$10:N626,6,0)),"")</f>
        <v/>
      </c>
      <c r="H2437" s="512" t="str">
        <f ca="1">IFERROR(IF(INDEX(' Disaggregation - Section E '!F$10:F626,MATCH(C2437,' Disaggregation - Section E '!A$10:A626,0)+1,1)&lt;&gt;0,INDEX(' Disaggregation - Section E '!F$10:F626,MATCH(C2437,' Disaggregation - Section E '!A$10:A626,0)+1,1),""),"")</f>
        <v/>
      </c>
      <c r="I2437" s="503" t="str">
        <f ca="1">IFERROR(IF(VLOOKUP(C2437,' Disaggregation - Section E '!A$10:N626,8,0)=0,"",VLOOKUP(C2437,' Disaggregation - Section E '!A$10:N626,8,0)),"")</f>
        <v/>
      </c>
      <c r="J2437" s="503" t="str">
        <f ca="1">IFERROR(IF(VLOOKUP(C2437,' Disaggregation - Section E '!A$10:N626,13,0)=0,"",VLOOKUP(C2437,' Disaggregation - Section E '!A$10:N626,13,0)),"")</f>
        <v/>
      </c>
      <c r="K2437" s="497" t="str">
        <f ca="1">IFERROR(VLOOKUP(C2437,' Disaggregation - Section E '!A$10:N626,3,0),"")</f>
        <v>HIV I-9b⁽ᴹ⁾ Porcentaje de personas transgénero que viven con el VIH</v>
      </c>
      <c r="L2437" s="503" t="str">
        <f ca="1">IFERROR(IF(VLOOKUP(C2437,' Disaggregation - Section E '!A$10:N626,14,0)=0,"",VLOOKUP(C2437,' Disaggregation - Section E '!A$10:N626,14,0)),"")</f>
        <v/>
      </c>
      <c r="M2437" s="497" t="str">
        <f ca="1">IFERROR(IF(VLOOKUP(C2437,' Disaggregation - Section E '!A$10:T626,20,0)=0,"",VLOOKUP(C2437,' Disaggregation - Section E '!A$10:T626,20,0)),"")</f>
        <v/>
      </c>
      <c r="N2437" s="503" t="str">
        <f ca="1">IFERROR(IF(VLOOKUP(C2437,' Disaggregation - Section E '!A$10:N626,9,0)=0,"",VLOOKUP(C2437,' Disaggregation - Section E '!A$10:N626,9,0)),"")</f>
        <v/>
      </c>
      <c r="O2437" s="503" t="str">
        <f ca="1">IFERROR(IF(VLOOKUP(C2437,' Disaggregation - Section E '!A$10:N626,10,0)=0,"",VLOOKUP(C2437,' Disaggregation - Section E '!A$10:N626,10,0)),"")</f>
        <v/>
      </c>
    </row>
    <row r="2438" spans="1:15" x14ac:dyDescent="0.35">
      <c r="A2438" s="497" t="b">
        <f t="shared" ca="1" si="224"/>
        <v>0</v>
      </c>
      <c r="B2438" s="497"/>
      <c r="C2438" s="517" t="str">
        <f ca="1">IF(COUNTA(D$2119:D2438)=1,"",OFFSET(B2438,-COUNTA(D$2119:D2438)+1,1))</f>
        <v>a1G3p000005ncFoEAI</v>
      </c>
      <c r="D2438" s="512"/>
      <c r="E2438" s="500" t="str">
        <f ca="1">IFERROR(IF(VLOOKUP(C2438,' Disaggregation - Section E '!A$10:J627,7,0)="","",VLOOKUP(C2438,' Disaggregation - Section E '!A$10:J627,7,0)*100),"")</f>
        <v/>
      </c>
      <c r="F2438" s="503" t="str">
        <f ca="1">IFERROR(IF(VLOOKUP(C2438,' Disaggregation - Section E '!A$10:N627,5,0)=0,"",VLOOKUP(C2438,' Disaggregation - Section E '!A$10:N627,5,0)),"")</f>
        <v/>
      </c>
      <c r="G2438" s="502" t="str">
        <f ca="1">IFERROR(IF(VLOOKUP(C2438,' Disaggregation - Section E '!A$10:N627,6,0)="","",VLOOKUP(C2438,' Disaggregation - Section E '!A$10:N627,6,0)),"")</f>
        <v/>
      </c>
      <c r="H2438" s="512" t="str">
        <f ca="1">IFERROR(IF(INDEX(' Disaggregation - Section E '!F$10:F627,MATCH(C2438,' Disaggregation - Section E '!A$10:A627,0)+1,1)&lt;&gt;0,INDEX(' Disaggregation - Section E '!F$10:F627,MATCH(C2438,' Disaggregation - Section E '!A$10:A627,0)+1,1),""),"")</f>
        <v/>
      </c>
      <c r="I2438" s="503" t="str">
        <f ca="1">IFERROR(IF(VLOOKUP(C2438,' Disaggregation - Section E '!A$10:N627,8,0)=0,"",VLOOKUP(C2438,' Disaggregation - Section E '!A$10:N627,8,0)),"")</f>
        <v/>
      </c>
      <c r="J2438" s="503" t="str">
        <f ca="1">IFERROR(IF(VLOOKUP(C2438,' Disaggregation - Section E '!A$10:N627,13,0)=0,"",VLOOKUP(C2438,' Disaggregation - Section E '!A$10:N627,13,0)),"")</f>
        <v/>
      </c>
      <c r="K2438" s="497" t="str">
        <f ca="1">IFERROR(VLOOKUP(C2438,' Disaggregation - Section E '!A$10:N627,3,0),"")</f>
        <v>HIV I-9b⁽ᴹ⁾ Porcentaje de personas transgénero que viven con el VIH</v>
      </c>
      <c r="L2438" s="503" t="str">
        <f ca="1">IFERROR(IF(VLOOKUP(C2438,' Disaggregation - Section E '!A$10:N627,14,0)=0,"",VLOOKUP(C2438,' Disaggregation - Section E '!A$10:N627,14,0)),"")</f>
        <v/>
      </c>
      <c r="M2438" s="497" t="str">
        <f ca="1">IFERROR(IF(VLOOKUP(C2438,' Disaggregation - Section E '!A$10:T627,20,0)=0,"",VLOOKUP(C2438,' Disaggregation - Section E '!A$10:T627,20,0)),"")</f>
        <v/>
      </c>
      <c r="N2438" s="503" t="str">
        <f ca="1">IFERROR(IF(VLOOKUP(C2438,' Disaggregation - Section E '!A$10:N627,9,0)=0,"",VLOOKUP(C2438,' Disaggregation - Section E '!A$10:N627,9,0)),"")</f>
        <v/>
      </c>
      <c r="O2438" s="503" t="str">
        <f ca="1">IFERROR(IF(VLOOKUP(C2438,' Disaggregation - Section E '!A$10:N627,10,0)=0,"",VLOOKUP(C2438,' Disaggregation - Section E '!A$10:N627,10,0)),"")</f>
        <v/>
      </c>
    </row>
    <row r="2439" spans="1:15" x14ac:dyDescent="0.35">
      <c r="A2439" s="497" t="b">
        <f t="shared" ca="1" si="224"/>
        <v>0</v>
      </c>
      <c r="B2439" s="497"/>
      <c r="C2439" s="517" t="str">
        <f ca="1">IF(COUNTA(D$2119:D2439)=1,"",OFFSET(B2439,-COUNTA(D$2119:D2439)+1,1))</f>
        <v>a1G3p000005ncFpEAI</v>
      </c>
      <c r="D2439" s="512"/>
      <c r="E2439" s="500" t="str">
        <f ca="1">IFERROR(IF(VLOOKUP(C2439,' Disaggregation - Section E '!A$10:J628,7,0)="","",VLOOKUP(C2439,' Disaggregation - Section E '!A$10:J628,7,0)*100),"")</f>
        <v/>
      </c>
      <c r="F2439" s="503" t="str">
        <f ca="1">IFERROR(IF(VLOOKUP(C2439,' Disaggregation - Section E '!A$10:N628,5,0)=0,"",VLOOKUP(C2439,' Disaggregation - Section E '!A$10:N628,5,0)),"")</f>
        <v/>
      </c>
      <c r="G2439" s="502" t="str">
        <f ca="1">IFERROR(IF(VLOOKUP(C2439,' Disaggregation - Section E '!A$10:N628,6,0)="","",VLOOKUP(C2439,' Disaggregation - Section E '!A$10:N628,6,0)),"")</f>
        <v/>
      </c>
      <c r="H2439" s="512" t="str">
        <f ca="1">IFERROR(IF(INDEX(' Disaggregation - Section E '!F$10:F628,MATCH(C2439,' Disaggregation - Section E '!A$10:A628,0)+1,1)&lt;&gt;0,INDEX(' Disaggregation - Section E '!F$10:F628,MATCH(C2439,' Disaggregation - Section E '!A$10:A628,0)+1,1),""),"")</f>
        <v/>
      </c>
      <c r="I2439" s="503" t="str">
        <f ca="1">IFERROR(IF(VLOOKUP(C2439,' Disaggregation - Section E '!A$10:N628,8,0)=0,"",VLOOKUP(C2439,' Disaggregation - Section E '!A$10:N628,8,0)),"")</f>
        <v/>
      </c>
      <c r="J2439" s="503" t="str">
        <f ca="1">IFERROR(IF(VLOOKUP(C2439,' Disaggregation - Section E '!A$10:N628,13,0)=0,"",VLOOKUP(C2439,' Disaggregation - Section E '!A$10:N628,13,0)),"")</f>
        <v/>
      </c>
      <c r="K2439" s="497" t="str">
        <f ca="1">IFERROR(VLOOKUP(C2439,' Disaggregation - Section E '!A$10:N628,3,0),"")</f>
        <v>HIV I-9b⁽ᴹ⁾ Porcentaje de personas transgénero que viven con el VIH</v>
      </c>
      <c r="L2439" s="503" t="str">
        <f ca="1">IFERROR(IF(VLOOKUP(C2439,' Disaggregation - Section E '!A$10:N628,14,0)=0,"",VLOOKUP(C2439,' Disaggregation - Section E '!A$10:N628,14,0)),"")</f>
        <v/>
      </c>
      <c r="M2439" s="497" t="str">
        <f ca="1">IFERROR(IF(VLOOKUP(C2439,' Disaggregation - Section E '!A$10:T628,20,0)=0,"",VLOOKUP(C2439,' Disaggregation - Section E '!A$10:T628,20,0)),"")</f>
        <v/>
      </c>
      <c r="N2439" s="503" t="str">
        <f ca="1">IFERROR(IF(VLOOKUP(C2439,' Disaggregation - Section E '!A$10:N628,9,0)=0,"",VLOOKUP(C2439,' Disaggregation - Section E '!A$10:N628,9,0)),"")</f>
        <v/>
      </c>
      <c r="O2439" s="503" t="str">
        <f ca="1">IFERROR(IF(VLOOKUP(C2439,' Disaggregation - Section E '!A$10:N628,10,0)=0,"",VLOOKUP(C2439,' Disaggregation - Section E '!A$10:N628,10,0)),"")</f>
        <v/>
      </c>
    </row>
    <row r="2440" spans="1:15" x14ac:dyDescent="0.35">
      <c r="A2440" s="497" t="b">
        <f t="shared" ca="1" si="224"/>
        <v>0</v>
      </c>
      <c r="B2440" s="497"/>
      <c r="C2440" s="517" t="str">
        <f ca="1">IF(COUNTA(D$2119:D2440)=1,"",OFFSET(B2440,-COUNTA(D$2119:D2440)+1,1))</f>
        <v>a1G3p000005ncFqEAI</v>
      </c>
      <c r="D2440" s="512"/>
      <c r="E2440" s="500" t="str">
        <f ca="1">IFERROR(IF(VLOOKUP(C2440,' Disaggregation - Section E '!A$10:J629,7,0)="","",VLOOKUP(C2440,' Disaggregation - Section E '!A$10:J629,7,0)*100),"")</f>
        <v/>
      </c>
      <c r="F2440" s="503" t="str">
        <f ca="1">IFERROR(IF(VLOOKUP(C2440,' Disaggregation - Section E '!A$10:N629,5,0)=0,"",VLOOKUP(C2440,' Disaggregation - Section E '!A$10:N629,5,0)),"")</f>
        <v/>
      </c>
      <c r="G2440" s="502" t="str">
        <f ca="1">IFERROR(IF(VLOOKUP(C2440,' Disaggregation - Section E '!A$10:N629,6,0)="","",VLOOKUP(C2440,' Disaggregation - Section E '!A$10:N629,6,0)),"")</f>
        <v/>
      </c>
      <c r="H2440" s="512" t="str">
        <f ca="1">IFERROR(IF(INDEX(' Disaggregation - Section E '!F$10:F629,MATCH(C2440,' Disaggregation - Section E '!A$10:A629,0)+1,1)&lt;&gt;0,INDEX(' Disaggregation - Section E '!F$10:F629,MATCH(C2440,' Disaggregation - Section E '!A$10:A629,0)+1,1),""),"")</f>
        <v/>
      </c>
      <c r="I2440" s="503" t="str">
        <f ca="1">IFERROR(IF(VLOOKUP(C2440,' Disaggregation - Section E '!A$10:N629,8,0)=0,"",VLOOKUP(C2440,' Disaggregation - Section E '!A$10:N629,8,0)),"")</f>
        <v/>
      </c>
      <c r="J2440" s="503" t="str">
        <f ca="1">IFERROR(IF(VLOOKUP(C2440,' Disaggregation - Section E '!A$10:N629,13,0)=0,"",VLOOKUP(C2440,' Disaggregation - Section E '!A$10:N629,13,0)),"")</f>
        <v/>
      </c>
      <c r="K2440" s="497" t="str">
        <f ca="1">IFERROR(VLOOKUP(C2440,' Disaggregation - Section E '!A$10:N629,3,0),"")</f>
        <v>HIV I-9b⁽ᴹ⁾ Porcentaje de personas transgénero que viven con el VIH</v>
      </c>
      <c r="L2440" s="503" t="str">
        <f ca="1">IFERROR(IF(VLOOKUP(C2440,' Disaggregation - Section E '!A$10:N629,14,0)=0,"",VLOOKUP(C2440,' Disaggregation - Section E '!A$10:N629,14,0)),"")</f>
        <v/>
      </c>
      <c r="M2440" s="497" t="str">
        <f ca="1">IFERROR(IF(VLOOKUP(C2440,' Disaggregation - Section E '!A$10:T629,20,0)=0,"",VLOOKUP(C2440,' Disaggregation - Section E '!A$10:T629,20,0)),"")</f>
        <v/>
      </c>
      <c r="N2440" s="503" t="str">
        <f ca="1">IFERROR(IF(VLOOKUP(C2440,' Disaggregation - Section E '!A$10:N629,9,0)=0,"",VLOOKUP(C2440,' Disaggregation - Section E '!A$10:N629,9,0)),"")</f>
        <v/>
      </c>
      <c r="O2440" s="503" t="str">
        <f ca="1">IFERROR(IF(VLOOKUP(C2440,' Disaggregation - Section E '!A$10:N629,10,0)=0,"",VLOOKUP(C2440,' Disaggregation - Section E '!A$10:N629,10,0)),"")</f>
        <v/>
      </c>
    </row>
    <row r="2441" spans="1:15" x14ac:dyDescent="0.35">
      <c r="A2441" s="497" t="b">
        <f t="shared" ca="1" si="224"/>
        <v>0</v>
      </c>
      <c r="B2441" s="497"/>
      <c r="C2441" s="517" t="str">
        <f ca="1">IF(COUNTA(D$2119:D2441)=1,"",OFFSET(B2441,-COUNTA(D$2119:D2441)+1,1))</f>
        <v>a1G3p000005ncDREAY</v>
      </c>
      <c r="D2441" s="512"/>
      <c r="E2441" s="500">
        <f ca="1">IFERROR(IF(VLOOKUP(C2441,' Disaggregation - Section E '!A$10:J630,7,0)="","",VLOOKUP(C2441,' Disaggregation - Section E '!A$10:J630,7,0)*100),"")</f>
        <v>37</v>
      </c>
      <c r="F2441" s="503" t="str">
        <f ca="1">IFERROR(IF(VLOOKUP(C2441,' Disaggregation - Section E '!A$10:N630,5,0)=0,"",VLOOKUP(C2441,' Disaggregation - Section E '!A$10:N630,5,0)),"")</f>
        <v/>
      </c>
      <c r="G2441" s="502" t="str">
        <f ca="1">IFERROR(IF(VLOOKUP(C2441,' Disaggregation - Section E '!A$10:N630,6,0)="","",VLOOKUP(C2441,' Disaggregation - Section E '!A$10:N630,6,0)),"")</f>
        <v/>
      </c>
      <c r="H2441" s="512" t="str">
        <f ca="1">IFERROR(IF(INDEX(' Disaggregation - Section E '!F$10:F630,MATCH(C2441,' Disaggregation - Section E '!A$10:A630,0)+1,1)&lt;&gt;0,INDEX(' Disaggregation - Section E '!F$10:F630,MATCH(C2441,' Disaggregation - Section E '!A$10:A630,0)+1,1),""),"")</f>
        <v/>
      </c>
      <c r="I2441" s="503">
        <f ca="1">IFERROR(IF(VLOOKUP(C2441,' Disaggregation - Section E '!A$10:N630,8,0)=0,"",VLOOKUP(C2441,' Disaggregation - Section E '!A$10:N630,8,0)),"")</f>
        <v>2019</v>
      </c>
      <c r="J2441" s="503" t="str">
        <f ca="1">IFERROR(IF(VLOOKUP(C2441,' Disaggregation - Section E '!A$10:N630,13,0)=0,"",VLOOKUP(C2441,' Disaggregation - Section E '!A$10:N630,13,0)),"")</f>
        <v/>
      </c>
      <c r="K2441" s="497" t="str">
        <f ca="1">IFERROR(VLOOKUP(C2441,' Disaggregation - Section E '!A$10:N630,3,0),"")</f>
        <v/>
      </c>
      <c r="L2441" s="503" t="str">
        <f ca="1">IFERROR(IF(VLOOKUP(C2441,' Disaggregation - Section E '!A$10:N630,14,0)=0,"",VLOOKUP(C2441,' Disaggregation - Section E '!A$10:N630,14,0)),"")</f>
        <v>Being a focused country, no disaggretation is required</v>
      </c>
      <c r="M2441" s="497" t="str">
        <f ca="1">IFERROR(IF(VLOOKUP(C2441,' Disaggregation - Section E '!A$10:T630,20,0)=0,"",VLOOKUP(C2441,' Disaggregation - Section E '!A$10:T630,20,0)),"")</f>
        <v/>
      </c>
      <c r="N2441" s="503" t="str">
        <f ca="1">IFERROR(IF(VLOOKUP(C2441,' Disaggregation - Section E '!A$10:N630,9,0)=0,"",VLOOKUP(C2441,' Disaggregation - Section E '!A$10:N630,9,0)),"")</f>
        <v/>
      </c>
      <c r="O2441" s="503" t="str">
        <f ca="1">IFERROR(IF(VLOOKUP(C2441,' Disaggregation - Section E '!A$10:N630,10,0)=0,"",VLOOKUP(C2441,' Disaggregation - Section E '!A$10:N630,10,0)),"")</f>
        <v>Al ser un país focalizado no se requiere desagregación</v>
      </c>
    </row>
    <row r="2442" spans="1:15" x14ac:dyDescent="0.35">
      <c r="A2442" s="497" t="b">
        <f t="shared" ca="1" si="224"/>
        <v>0</v>
      </c>
      <c r="B2442" s="497"/>
      <c r="C2442" s="517" t="str">
        <f ca="1">IF(COUNTA(D$2119:D2442)=1,"",OFFSET(B2442,-COUNTA(D$2119:D2442)+1,1))</f>
        <v>a1G3p000005ncDSEAY</v>
      </c>
      <c r="D2442" s="512"/>
      <c r="E2442" s="500" t="str">
        <f ca="1">IFERROR(IF(VLOOKUP(C2442,' Disaggregation - Section E '!A$10:J631,7,0)="","",VLOOKUP(C2442,' Disaggregation - Section E '!A$10:J631,7,0)*100),"")</f>
        <v/>
      </c>
      <c r="F2442" s="503" t="str">
        <f ca="1">IFERROR(IF(VLOOKUP(C2442,' Disaggregation - Section E '!A$10:N631,5,0)=0,"",VLOOKUP(C2442,' Disaggregation - Section E '!A$10:N631,5,0)),"")</f>
        <v/>
      </c>
      <c r="G2442" s="502" t="str">
        <f ca="1">IFERROR(IF(VLOOKUP(C2442,' Disaggregation - Section E '!A$10:N631,6,0)="","",VLOOKUP(C2442,' Disaggregation - Section E '!A$10:N631,6,0)),"")</f>
        <v/>
      </c>
      <c r="H2442" s="512" t="str">
        <f ca="1">IFERROR(IF(INDEX(' Disaggregation - Section E '!F$10:F631,MATCH(C2442,' Disaggregation - Section E '!A$10:A631,0)+1,1)&lt;&gt;0,INDEX(' Disaggregation - Section E '!F$10:F631,MATCH(C2442,' Disaggregation - Section E '!A$10:A631,0)+1,1),""),"")</f>
        <v/>
      </c>
      <c r="I2442" s="503">
        <f ca="1">IFERROR(IF(VLOOKUP(C2442,' Disaggregation - Section E '!A$10:N631,8,0)=0,"",VLOOKUP(C2442,' Disaggregation - Section E '!A$10:N631,8,0)),"")</f>
        <v>2019</v>
      </c>
      <c r="J2442" s="503" t="str">
        <f ca="1">IFERROR(IF(VLOOKUP(C2442,' Disaggregation - Section E '!A$10:N631,13,0)=0,"",VLOOKUP(C2442,' Disaggregation - Section E '!A$10:N631,13,0)),"")</f>
        <v/>
      </c>
      <c r="K2442" s="497" t="str">
        <f ca="1">IFERROR(VLOOKUP(C2442,' Disaggregation - Section E '!A$10:N631,3,0),"")</f>
        <v/>
      </c>
      <c r="L2442" s="503" t="str">
        <f ca="1">IFERROR(IF(VLOOKUP(C2442,' Disaggregation - Section E '!A$10:N631,14,0)=0,"",VLOOKUP(C2442,' Disaggregation - Section E '!A$10:N631,14,0)),"")</f>
        <v>Being a focused country, no disaggretation is required</v>
      </c>
      <c r="M2442" s="497" t="str">
        <f ca="1">IFERROR(IF(VLOOKUP(C2442,' Disaggregation - Section E '!A$10:T631,20,0)=0,"",VLOOKUP(C2442,' Disaggregation - Section E '!A$10:T631,20,0)),"")</f>
        <v/>
      </c>
      <c r="N2442" s="503" t="str">
        <f ca="1">IFERROR(IF(VLOOKUP(C2442,' Disaggregation - Section E '!A$10:N631,9,0)=0,"",VLOOKUP(C2442,' Disaggregation - Section E '!A$10:N631,9,0)),"")</f>
        <v/>
      </c>
      <c r="O2442" s="503" t="str">
        <f ca="1">IFERROR(IF(VLOOKUP(C2442,' Disaggregation - Section E '!A$10:N631,10,0)=0,"",VLOOKUP(C2442,' Disaggregation - Section E '!A$10:N631,10,0)),"")</f>
        <v>Al ser un país focalizado no se requiere desagregación</v>
      </c>
    </row>
    <row r="2443" spans="1:15" x14ac:dyDescent="0.35">
      <c r="A2443" s="497" t="b">
        <f t="shared" ca="1" si="224"/>
        <v>0</v>
      </c>
      <c r="B2443" s="497"/>
      <c r="C2443" s="517" t="str">
        <f ca="1">IF(COUNTA(D$2119:D2443)=1,"",OFFSET(B2443,-COUNTA(D$2119:D2443)+1,1))</f>
        <v>a1G3p000005ncDTEAY</v>
      </c>
      <c r="D2443" s="512"/>
      <c r="E2443" s="500" t="str">
        <f ca="1">IFERROR(IF(VLOOKUP(C2443,' Disaggregation - Section E '!A$10:J632,7,0)="","",VLOOKUP(C2443,' Disaggregation - Section E '!A$10:J632,7,0)*100),"")</f>
        <v/>
      </c>
      <c r="F2443" s="503" t="str">
        <f ca="1">IFERROR(IF(VLOOKUP(C2443,' Disaggregation - Section E '!A$10:N632,5,0)=0,"",VLOOKUP(C2443,' Disaggregation - Section E '!A$10:N632,5,0)),"")</f>
        <v/>
      </c>
      <c r="G2443" s="502" t="str">
        <f ca="1">IFERROR(IF(VLOOKUP(C2443,' Disaggregation - Section E '!A$10:N632,6,0)="","",VLOOKUP(C2443,' Disaggregation - Section E '!A$10:N632,6,0)),"")</f>
        <v/>
      </c>
      <c r="H2443" s="512" t="str">
        <f ca="1">IFERROR(IF(INDEX(' Disaggregation - Section E '!F$10:F632,MATCH(C2443,' Disaggregation - Section E '!A$10:A632,0)+1,1)&lt;&gt;0,INDEX(' Disaggregation - Section E '!F$10:F632,MATCH(C2443,' Disaggregation - Section E '!A$10:A632,0)+1,1),""),"")</f>
        <v/>
      </c>
      <c r="I2443" s="503" t="str">
        <f ca="1">IFERROR(IF(VLOOKUP(C2443,' Disaggregation - Section E '!A$10:N632,8,0)=0,"",VLOOKUP(C2443,' Disaggregation - Section E '!A$10:N632,8,0)),"")</f>
        <v/>
      </c>
      <c r="J2443" s="503" t="str">
        <f ca="1">IFERROR(IF(VLOOKUP(C2443,' Disaggregation - Section E '!A$10:N632,13,0)=0,"",VLOOKUP(C2443,' Disaggregation - Section E '!A$10:N632,13,0)),"")</f>
        <v/>
      </c>
      <c r="K2443" s="497" t="str">
        <f ca="1">IFERROR(VLOOKUP(C2443,' Disaggregation - Section E '!A$10:N632,3,0),"")</f>
        <v/>
      </c>
      <c r="L2443" s="503" t="str">
        <f ca="1">IFERROR(IF(VLOOKUP(C2443,' Disaggregation - Section E '!A$10:N632,14,0)=0,"",VLOOKUP(C2443,' Disaggregation - Section E '!A$10:N632,14,0)),"")</f>
        <v/>
      </c>
      <c r="M2443" s="497" t="str">
        <f ca="1">IFERROR(IF(VLOOKUP(C2443,' Disaggregation - Section E '!A$10:T632,20,0)=0,"",VLOOKUP(C2443,' Disaggregation - Section E '!A$10:T632,20,0)),"")</f>
        <v/>
      </c>
      <c r="N2443" s="503" t="str">
        <f ca="1">IFERROR(IF(VLOOKUP(C2443,' Disaggregation - Section E '!A$10:N632,9,0)=0,"",VLOOKUP(C2443,' Disaggregation - Section E '!A$10:N632,9,0)),"")</f>
        <v/>
      </c>
      <c r="O2443" s="503" t="str">
        <f ca="1">IFERROR(IF(VLOOKUP(C2443,' Disaggregation - Section E '!A$10:N632,10,0)=0,"",VLOOKUP(C2443,' Disaggregation - Section E '!A$10:N632,10,0)),"")</f>
        <v/>
      </c>
    </row>
    <row r="2444" spans="1:15" x14ac:dyDescent="0.35">
      <c r="A2444" s="497" t="b">
        <f t="shared" ca="1" si="224"/>
        <v>0</v>
      </c>
      <c r="B2444" s="497"/>
      <c r="C2444" s="517" t="str">
        <f ca="1">IF(COUNTA(D$2119:D2444)=1,"",OFFSET(B2444,-COUNTA(D$2119:D2444)+1,1))</f>
        <v>a1G3p000005ncDUEAY</v>
      </c>
      <c r="D2444" s="512"/>
      <c r="E2444" s="500" t="str">
        <f ca="1">IFERROR(IF(VLOOKUP(C2444,' Disaggregation - Section E '!A$10:J633,7,0)="","",VLOOKUP(C2444,' Disaggregation - Section E '!A$10:J633,7,0)*100),"")</f>
        <v/>
      </c>
      <c r="F2444" s="503" t="str">
        <f ca="1">IFERROR(IF(VLOOKUP(C2444,' Disaggregation - Section E '!A$10:N633,5,0)=0,"",VLOOKUP(C2444,' Disaggregation - Section E '!A$10:N633,5,0)),"")</f>
        <v/>
      </c>
      <c r="G2444" s="502" t="str">
        <f ca="1">IFERROR(IF(VLOOKUP(C2444,' Disaggregation - Section E '!A$10:N633,6,0)="","",VLOOKUP(C2444,' Disaggregation - Section E '!A$10:N633,6,0)),"")</f>
        <v/>
      </c>
      <c r="H2444" s="512" t="str">
        <f ca="1">IFERROR(IF(INDEX(' Disaggregation - Section E '!F$10:F633,MATCH(C2444,' Disaggregation - Section E '!A$10:A633,0)+1,1)&lt;&gt;0,INDEX(' Disaggregation - Section E '!F$10:F633,MATCH(C2444,' Disaggregation - Section E '!A$10:A633,0)+1,1),""),"")</f>
        <v/>
      </c>
      <c r="I2444" s="503" t="str">
        <f ca="1">IFERROR(IF(VLOOKUP(C2444,' Disaggregation - Section E '!A$10:N633,8,0)=0,"",VLOOKUP(C2444,' Disaggregation - Section E '!A$10:N633,8,0)),"")</f>
        <v/>
      </c>
      <c r="J2444" s="503" t="str">
        <f ca="1">IFERROR(IF(VLOOKUP(C2444,' Disaggregation - Section E '!A$10:N633,13,0)=0,"",VLOOKUP(C2444,' Disaggregation - Section E '!A$10:N633,13,0)),"")</f>
        <v/>
      </c>
      <c r="K2444" s="497" t="str">
        <f ca="1">IFERROR(VLOOKUP(C2444,' Disaggregation - Section E '!A$10:N633,3,0),"")</f>
        <v/>
      </c>
      <c r="L2444" s="503" t="str">
        <f ca="1">IFERROR(IF(VLOOKUP(C2444,' Disaggregation - Section E '!A$10:N633,14,0)=0,"",VLOOKUP(C2444,' Disaggregation - Section E '!A$10:N633,14,0)),"")</f>
        <v/>
      </c>
      <c r="M2444" s="497" t="str">
        <f ca="1">IFERROR(IF(VLOOKUP(C2444,' Disaggregation - Section E '!A$10:T633,20,0)=0,"",VLOOKUP(C2444,' Disaggregation - Section E '!A$10:T633,20,0)),"")</f>
        <v/>
      </c>
      <c r="N2444" s="503" t="str">
        <f ca="1">IFERROR(IF(VLOOKUP(C2444,' Disaggregation - Section E '!A$10:N633,9,0)=0,"",VLOOKUP(C2444,' Disaggregation - Section E '!A$10:N633,9,0)),"")</f>
        <v/>
      </c>
      <c r="O2444" s="503" t="str">
        <f ca="1">IFERROR(IF(VLOOKUP(C2444,' Disaggregation - Section E '!A$10:N633,10,0)=0,"",VLOOKUP(C2444,' Disaggregation - Section E '!A$10:N633,10,0)),"")</f>
        <v/>
      </c>
    </row>
    <row r="2445" spans="1:15" x14ac:dyDescent="0.35">
      <c r="A2445" s="497" t="b">
        <f t="shared" ca="1" si="224"/>
        <v>0</v>
      </c>
      <c r="B2445" s="497"/>
      <c r="C2445" s="517" t="str">
        <f ca="1">IF(COUNTA(D$2119:D2445)=1,"",OFFSET(B2445,-COUNTA(D$2119:D2445)+1,1))</f>
        <v>a1G3p000005ncDVEAY</v>
      </c>
      <c r="D2445" s="512"/>
      <c r="E2445" s="500" t="str">
        <f ca="1">IFERROR(IF(VLOOKUP(C2445,' Disaggregation - Section E '!A$10:J634,7,0)="","",VLOOKUP(C2445,' Disaggregation - Section E '!A$10:J634,7,0)*100),"")</f>
        <v/>
      </c>
      <c r="F2445" s="503" t="str">
        <f ca="1">IFERROR(IF(VLOOKUP(C2445,' Disaggregation - Section E '!A$10:N634,5,0)=0,"",VLOOKUP(C2445,' Disaggregation - Section E '!A$10:N634,5,0)),"")</f>
        <v/>
      </c>
      <c r="G2445" s="502" t="str">
        <f ca="1">IFERROR(IF(VLOOKUP(C2445,' Disaggregation - Section E '!A$10:N634,6,0)="","",VLOOKUP(C2445,' Disaggregation - Section E '!A$10:N634,6,0)),"")</f>
        <v/>
      </c>
      <c r="H2445" s="512" t="str">
        <f ca="1">IFERROR(IF(INDEX(' Disaggregation - Section E '!F$10:F634,MATCH(C2445,' Disaggregation - Section E '!A$10:A634,0)+1,1)&lt;&gt;0,INDEX(' Disaggregation - Section E '!F$10:F634,MATCH(C2445,' Disaggregation - Section E '!A$10:A634,0)+1,1),""),"")</f>
        <v/>
      </c>
      <c r="I2445" s="503" t="str">
        <f ca="1">IFERROR(IF(VLOOKUP(C2445,' Disaggregation - Section E '!A$10:N634,8,0)=0,"",VLOOKUP(C2445,' Disaggregation - Section E '!A$10:N634,8,0)),"")</f>
        <v/>
      </c>
      <c r="J2445" s="503" t="str">
        <f ca="1">IFERROR(IF(VLOOKUP(C2445,' Disaggregation - Section E '!A$10:N634,13,0)=0,"",VLOOKUP(C2445,' Disaggregation - Section E '!A$10:N634,13,0)),"")</f>
        <v/>
      </c>
      <c r="K2445" s="497" t="str">
        <f ca="1">IFERROR(VLOOKUP(C2445,' Disaggregation - Section E '!A$10:N634,3,0),"")</f>
        <v/>
      </c>
      <c r="L2445" s="503" t="str">
        <f ca="1">IFERROR(IF(VLOOKUP(C2445,' Disaggregation - Section E '!A$10:N634,14,0)=0,"",VLOOKUP(C2445,' Disaggregation - Section E '!A$10:N634,14,0)),"")</f>
        <v/>
      </c>
      <c r="M2445" s="497" t="str">
        <f ca="1">IFERROR(IF(VLOOKUP(C2445,' Disaggregation - Section E '!A$10:T634,20,0)=0,"",VLOOKUP(C2445,' Disaggregation - Section E '!A$10:T634,20,0)),"")</f>
        <v/>
      </c>
      <c r="N2445" s="503" t="str">
        <f ca="1">IFERROR(IF(VLOOKUP(C2445,' Disaggregation - Section E '!A$10:N634,9,0)=0,"",VLOOKUP(C2445,' Disaggregation - Section E '!A$10:N634,9,0)),"")</f>
        <v/>
      </c>
      <c r="O2445" s="503" t="str">
        <f ca="1">IFERROR(IF(VLOOKUP(C2445,' Disaggregation - Section E '!A$10:N634,10,0)=0,"",VLOOKUP(C2445,' Disaggregation - Section E '!A$10:N634,10,0)),"")</f>
        <v/>
      </c>
    </row>
    <row r="2446" spans="1:15" x14ac:dyDescent="0.35">
      <c r="A2446" s="497" t="b">
        <f t="shared" ca="1" si="224"/>
        <v>0</v>
      </c>
      <c r="B2446" s="497"/>
      <c r="C2446" s="517" t="str">
        <f ca="1">IF(COUNTA(D$2119:D2446)=1,"",OFFSET(B2446,-COUNTA(D$2119:D2446)+1,1))</f>
        <v>a1G3p000005ncDWEAY</v>
      </c>
      <c r="D2446" s="512"/>
      <c r="E2446" s="500" t="str">
        <f ca="1">IFERROR(IF(VLOOKUP(C2446,' Disaggregation - Section E '!A$10:J635,7,0)="","",VLOOKUP(C2446,' Disaggregation - Section E '!A$10:J635,7,0)*100),"")</f>
        <v/>
      </c>
      <c r="F2446" s="503" t="str">
        <f ca="1">IFERROR(IF(VLOOKUP(C2446,' Disaggregation - Section E '!A$10:N635,5,0)=0,"",VLOOKUP(C2446,' Disaggregation - Section E '!A$10:N635,5,0)),"")</f>
        <v/>
      </c>
      <c r="G2446" s="502" t="str">
        <f ca="1">IFERROR(IF(VLOOKUP(C2446,' Disaggregation - Section E '!A$10:N635,6,0)="","",VLOOKUP(C2446,' Disaggregation - Section E '!A$10:N635,6,0)),"")</f>
        <v/>
      </c>
      <c r="H2446" s="512" t="str">
        <f ca="1">IFERROR(IF(INDEX(' Disaggregation - Section E '!F$10:F635,MATCH(C2446,' Disaggregation - Section E '!A$10:A635,0)+1,1)&lt;&gt;0,INDEX(' Disaggregation - Section E '!F$10:F635,MATCH(C2446,' Disaggregation - Section E '!A$10:A635,0)+1,1),""),"")</f>
        <v/>
      </c>
      <c r="I2446" s="503" t="str">
        <f ca="1">IFERROR(IF(VLOOKUP(C2446,' Disaggregation - Section E '!A$10:N635,8,0)=0,"",VLOOKUP(C2446,' Disaggregation - Section E '!A$10:N635,8,0)),"")</f>
        <v/>
      </c>
      <c r="J2446" s="503" t="str">
        <f ca="1">IFERROR(IF(VLOOKUP(C2446,' Disaggregation - Section E '!A$10:N635,13,0)=0,"",VLOOKUP(C2446,' Disaggregation - Section E '!A$10:N635,13,0)),"")</f>
        <v/>
      </c>
      <c r="K2446" s="497" t="str">
        <f ca="1">IFERROR(VLOOKUP(C2446,' Disaggregation - Section E '!A$10:N635,3,0),"")</f>
        <v/>
      </c>
      <c r="L2446" s="503" t="str">
        <f ca="1">IFERROR(IF(VLOOKUP(C2446,' Disaggregation - Section E '!A$10:N635,14,0)=0,"",VLOOKUP(C2446,' Disaggregation - Section E '!A$10:N635,14,0)),"")</f>
        <v/>
      </c>
      <c r="M2446" s="497" t="str">
        <f ca="1">IFERROR(IF(VLOOKUP(C2446,' Disaggregation - Section E '!A$10:T635,20,0)=0,"",VLOOKUP(C2446,' Disaggregation - Section E '!A$10:T635,20,0)),"")</f>
        <v/>
      </c>
      <c r="N2446" s="503" t="str">
        <f ca="1">IFERROR(IF(VLOOKUP(C2446,' Disaggregation - Section E '!A$10:N635,9,0)=0,"",VLOOKUP(C2446,' Disaggregation - Section E '!A$10:N635,9,0)),"")</f>
        <v/>
      </c>
      <c r="O2446" s="503" t="str">
        <f ca="1">IFERROR(IF(VLOOKUP(C2446,' Disaggregation - Section E '!A$10:N635,10,0)=0,"",VLOOKUP(C2446,' Disaggregation - Section E '!A$10:N635,10,0)),"")</f>
        <v/>
      </c>
    </row>
    <row r="2447" spans="1:15" x14ac:dyDescent="0.35">
      <c r="A2447" s="497" t="b">
        <f t="shared" ca="1" si="224"/>
        <v>0</v>
      </c>
      <c r="B2447" s="497"/>
      <c r="C2447" s="517" t="str">
        <f ca="1">IF(COUNTA(D$2119:D2447)=1,"",OFFSET(B2447,-COUNTA(D$2119:D2447)+1,1))</f>
        <v>a1G3p000005ncDXEAY</v>
      </c>
      <c r="D2447" s="512"/>
      <c r="E2447" s="500" t="str">
        <f ca="1">IFERROR(IF(VLOOKUP(C2447,' Disaggregation - Section E '!A$10:J636,7,0)="","",VLOOKUP(C2447,' Disaggregation - Section E '!A$10:J636,7,0)*100),"")</f>
        <v/>
      </c>
      <c r="F2447" s="503" t="str">
        <f ca="1">IFERROR(IF(VLOOKUP(C2447,' Disaggregation - Section E '!A$10:N636,5,0)=0,"",VLOOKUP(C2447,' Disaggregation - Section E '!A$10:N636,5,0)),"")</f>
        <v/>
      </c>
      <c r="G2447" s="502" t="str">
        <f ca="1">IFERROR(IF(VLOOKUP(C2447,' Disaggregation - Section E '!A$10:N636,6,0)="","",VLOOKUP(C2447,' Disaggregation - Section E '!A$10:N636,6,0)),"")</f>
        <v/>
      </c>
      <c r="H2447" s="512" t="str">
        <f ca="1">IFERROR(IF(INDEX(' Disaggregation - Section E '!F$10:F636,MATCH(C2447,' Disaggregation - Section E '!A$10:A636,0)+1,1)&lt;&gt;0,INDEX(' Disaggregation - Section E '!F$10:F636,MATCH(C2447,' Disaggregation - Section E '!A$10:A636,0)+1,1),""),"")</f>
        <v/>
      </c>
      <c r="I2447" s="503" t="str">
        <f ca="1">IFERROR(IF(VLOOKUP(C2447,' Disaggregation - Section E '!A$10:N636,8,0)=0,"",VLOOKUP(C2447,' Disaggregation - Section E '!A$10:N636,8,0)),"")</f>
        <v/>
      </c>
      <c r="J2447" s="503" t="str">
        <f ca="1">IFERROR(IF(VLOOKUP(C2447,' Disaggregation - Section E '!A$10:N636,13,0)=0,"",VLOOKUP(C2447,' Disaggregation - Section E '!A$10:N636,13,0)),"")</f>
        <v/>
      </c>
      <c r="K2447" s="497" t="str">
        <f ca="1">IFERROR(VLOOKUP(C2447,' Disaggregation - Section E '!A$10:N636,3,0),"")</f>
        <v/>
      </c>
      <c r="L2447" s="503" t="str">
        <f ca="1">IFERROR(IF(VLOOKUP(C2447,' Disaggregation - Section E '!A$10:N636,14,0)=0,"",VLOOKUP(C2447,' Disaggregation - Section E '!A$10:N636,14,0)),"")</f>
        <v/>
      </c>
      <c r="M2447" s="497" t="str">
        <f ca="1">IFERROR(IF(VLOOKUP(C2447,' Disaggregation - Section E '!A$10:T636,20,0)=0,"",VLOOKUP(C2447,' Disaggregation - Section E '!A$10:T636,20,0)),"")</f>
        <v/>
      </c>
      <c r="N2447" s="503" t="str">
        <f ca="1">IFERROR(IF(VLOOKUP(C2447,' Disaggregation - Section E '!A$10:N636,9,0)=0,"",VLOOKUP(C2447,' Disaggregation - Section E '!A$10:N636,9,0)),"")</f>
        <v/>
      </c>
      <c r="O2447" s="503" t="str">
        <f ca="1">IFERROR(IF(VLOOKUP(C2447,' Disaggregation - Section E '!A$10:N636,10,0)=0,"",VLOOKUP(C2447,' Disaggregation - Section E '!A$10:N636,10,0)),"")</f>
        <v/>
      </c>
    </row>
    <row r="2448" spans="1:15" x14ac:dyDescent="0.35">
      <c r="A2448" s="497" t="b">
        <f t="shared" ca="1" si="224"/>
        <v>0</v>
      </c>
      <c r="B2448" s="497"/>
      <c r="C2448" s="517" t="str">
        <f ca="1">IF(COUNTA(D$2119:D2448)=1,"",OFFSET(B2448,-COUNTA(D$2119:D2448)+1,1))</f>
        <v>a1G3p000005ncDYEAY</v>
      </c>
      <c r="D2448" s="512"/>
      <c r="E2448" s="500" t="str">
        <f ca="1">IFERROR(IF(VLOOKUP(C2448,' Disaggregation - Section E '!A$10:J637,7,0)="","",VLOOKUP(C2448,' Disaggregation - Section E '!A$10:J637,7,0)*100),"")</f>
        <v/>
      </c>
      <c r="F2448" s="503" t="str">
        <f ca="1">IFERROR(IF(VLOOKUP(C2448,' Disaggregation - Section E '!A$10:N637,5,0)=0,"",VLOOKUP(C2448,' Disaggregation - Section E '!A$10:N637,5,0)),"")</f>
        <v/>
      </c>
      <c r="G2448" s="502" t="str">
        <f ca="1">IFERROR(IF(VLOOKUP(C2448,' Disaggregation - Section E '!A$10:N637,6,0)="","",VLOOKUP(C2448,' Disaggregation - Section E '!A$10:N637,6,0)),"")</f>
        <v/>
      </c>
      <c r="H2448" s="512" t="str">
        <f ca="1">IFERROR(IF(INDEX(' Disaggregation - Section E '!F$10:F637,MATCH(C2448,' Disaggregation - Section E '!A$10:A637,0)+1,1)&lt;&gt;0,INDEX(' Disaggregation - Section E '!F$10:F637,MATCH(C2448,' Disaggregation - Section E '!A$10:A637,0)+1,1),""),"")</f>
        <v/>
      </c>
      <c r="I2448" s="503" t="str">
        <f ca="1">IFERROR(IF(VLOOKUP(C2448,' Disaggregation - Section E '!A$10:N637,8,0)=0,"",VLOOKUP(C2448,' Disaggregation - Section E '!A$10:N637,8,0)),"")</f>
        <v/>
      </c>
      <c r="J2448" s="503" t="str">
        <f ca="1">IFERROR(IF(VLOOKUP(C2448,' Disaggregation - Section E '!A$10:N637,13,0)=0,"",VLOOKUP(C2448,' Disaggregation - Section E '!A$10:N637,13,0)),"")</f>
        <v/>
      </c>
      <c r="K2448" s="497" t="str">
        <f ca="1">IFERROR(VLOOKUP(C2448,' Disaggregation - Section E '!A$10:N637,3,0),"")</f>
        <v/>
      </c>
      <c r="L2448" s="503" t="str">
        <f ca="1">IFERROR(IF(VLOOKUP(C2448,' Disaggregation - Section E '!A$10:N637,14,0)=0,"",VLOOKUP(C2448,' Disaggregation - Section E '!A$10:N637,14,0)),"")</f>
        <v/>
      </c>
      <c r="M2448" s="497" t="str">
        <f ca="1">IFERROR(IF(VLOOKUP(C2448,' Disaggregation - Section E '!A$10:T637,20,0)=0,"",VLOOKUP(C2448,' Disaggregation - Section E '!A$10:T637,20,0)),"")</f>
        <v/>
      </c>
      <c r="N2448" s="503" t="str">
        <f ca="1">IFERROR(IF(VLOOKUP(C2448,' Disaggregation - Section E '!A$10:N637,9,0)=0,"",VLOOKUP(C2448,' Disaggregation - Section E '!A$10:N637,9,0)),"")</f>
        <v/>
      </c>
      <c r="O2448" s="503" t="str">
        <f ca="1">IFERROR(IF(VLOOKUP(C2448,' Disaggregation - Section E '!A$10:N637,10,0)=0,"",VLOOKUP(C2448,' Disaggregation - Section E '!A$10:N637,10,0)),"")</f>
        <v/>
      </c>
    </row>
    <row r="2449" spans="1:15" x14ac:dyDescent="0.35">
      <c r="A2449" s="497" t="b">
        <f t="shared" ca="1" si="224"/>
        <v>0</v>
      </c>
      <c r="B2449" s="497"/>
      <c r="C2449" s="517" t="str">
        <f ca="1">IF(COUNTA(D$2119:D2449)=1,"",OFFSET(B2449,-COUNTA(D$2119:D2449)+1,1))</f>
        <v>a1G3p000005ncDZEAY</v>
      </c>
      <c r="D2449" s="512"/>
      <c r="E2449" s="500" t="str">
        <f ca="1">IFERROR(IF(VLOOKUP(C2449,' Disaggregation - Section E '!A$10:J638,7,0)="","",VLOOKUP(C2449,' Disaggregation - Section E '!A$10:J638,7,0)*100),"")</f>
        <v/>
      </c>
      <c r="F2449" s="503" t="str">
        <f ca="1">IFERROR(IF(VLOOKUP(C2449,' Disaggregation - Section E '!A$10:N638,5,0)=0,"",VLOOKUP(C2449,' Disaggregation - Section E '!A$10:N638,5,0)),"")</f>
        <v/>
      </c>
      <c r="G2449" s="502" t="str">
        <f ca="1">IFERROR(IF(VLOOKUP(C2449,' Disaggregation - Section E '!A$10:N638,6,0)="","",VLOOKUP(C2449,' Disaggregation - Section E '!A$10:N638,6,0)),"")</f>
        <v/>
      </c>
      <c r="H2449" s="512" t="str">
        <f ca="1">IFERROR(IF(INDEX(' Disaggregation - Section E '!F$10:F638,MATCH(C2449,' Disaggregation - Section E '!A$10:A638,0)+1,1)&lt;&gt;0,INDEX(' Disaggregation - Section E '!F$10:F638,MATCH(C2449,' Disaggregation - Section E '!A$10:A638,0)+1,1),""),"")</f>
        <v/>
      </c>
      <c r="I2449" s="503" t="str">
        <f ca="1">IFERROR(IF(VLOOKUP(C2449,' Disaggregation - Section E '!A$10:N638,8,0)=0,"",VLOOKUP(C2449,' Disaggregation - Section E '!A$10:N638,8,0)),"")</f>
        <v/>
      </c>
      <c r="J2449" s="503" t="str">
        <f ca="1">IFERROR(IF(VLOOKUP(C2449,' Disaggregation - Section E '!A$10:N638,13,0)=0,"",VLOOKUP(C2449,' Disaggregation - Section E '!A$10:N638,13,0)),"")</f>
        <v/>
      </c>
      <c r="K2449" s="497" t="str">
        <f ca="1">IFERROR(VLOOKUP(C2449,' Disaggregation - Section E '!A$10:N638,3,0),"")</f>
        <v/>
      </c>
      <c r="L2449" s="503" t="str">
        <f ca="1">IFERROR(IF(VLOOKUP(C2449,' Disaggregation - Section E '!A$10:N638,14,0)=0,"",VLOOKUP(C2449,' Disaggregation - Section E '!A$10:N638,14,0)),"")</f>
        <v/>
      </c>
      <c r="M2449" s="497" t="str">
        <f ca="1">IFERROR(IF(VLOOKUP(C2449,' Disaggregation - Section E '!A$10:T638,20,0)=0,"",VLOOKUP(C2449,' Disaggregation - Section E '!A$10:T638,20,0)),"")</f>
        <v/>
      </c>
      <c r="N2449" s="503" t="str">
        <f ca="1">IFERROR(IF(VLOOKUP(C2449,' Disaggregation - Section E '!A$10:N638,9,0)=0,"",VLOOKUP(C2449,' Disaggregation - Section E '!A$10:N638,9,0)),"")</f>
        <v/>
      </c>
      <c r="O2449" s="503" t="str">
        <f ca="1">IFERROR(IF(VLOOKUP(C2449,' Disaggregation - Section E '!A$10:N638,10,0)=0,"",VLOOKUP(C2449,' Disaggregation - Section E '!A$10:N638,10,0)),"")</f>
        <v/>
      </c>
    </row>
    <row r="2450" spans="1:15" x14ac:dyDescent="0.35">
      <c r="A2450" s="497" t="b">
        <f t="shared" ca="1" si="224"/>
        <v>0</v>
      </c>
      <c r="B2450" s="497"/>
      <c r="C2450" s="517" t="str">
        <f ca="1">IF(COUNTA(D$2119:D2450)=1,"",OFFSET(B2450,-COUNTA(D$2119:D2450)+1,1))</f>
        <v>a1G3p000005ncDaEAI</v>
      </c>
      <c r="D2450" s="512"/>
      <c r="E2450" s="500" t="str">
        <f ca="1">IFERROR(IF(VLOOKUP(C2450,' Disaggregation - Section E '!A$10:J639,7,0)="","",VLOOKUP(C2450,' Disaggregation - Section E '!A$10:J639,7,0)*100),"")</f>
        <v/>
      </c>
      <c r="F2450" s="503" t="str">
        <f ca="1">IFERROR(IF(VLOOKUP(C2450,' Disaggregation - Section E '!A$10:N639,5,0)=0,"",VLOOKUP(C2450,' Disaggregation - Section E '!A$10:N639,5,0)),"")</f>
        <v/>
      </c>
      <c r="G2450" s="502" t="str">
        <f ca="1">IFERROR(IF(VLOOKUP(C2450,' Disaggregation - Section E '!A$10:N639,6,0)="","",VLOOKUP(C2450,' Disaggregation - Section E '!A$10:N639,6,0)),"")</f>
        <v/>
      </c>
      <c r="H2450" s="512" t="str">
        <f ca="1">IFERROR(IF(INDEX(' Disaggregation - Section E '!F$10:F639,MATCH(C2450,' Disaggregation - Section E '!A$10:A639,0)+1,1)&lt;&gt;0,INDEX(' Disaggregation - Section E '!F$10:F639,MATCH(C2450,' Disaggregation - Section E '!A$10:A639,0)+1,1),""),"")</f>
        <v/>
      </c>
      <c r="I2450" s="503" t="str">
        <f ca="1">IFERROR(IF(VLOOKUP(C2450,' Disaggregation - Section E '!A$10:N639,8,0)=0,"",VLOOKUP(C2450,' Disaggregation - Section E '!A$10:N639,8,0)),"")</f>
        <v/>
      </c>
      <c r="J2450" s="503" t="str">
        <f ca="1">IFERROR(IF(VLOOKUP(C2450,' Disaggregation - Section E '!A$10:N639,13,0)=0,"",VLOOKUP(C2450,' Disaggregation - Section E '!A$10:N639,13,0)),"")</f>
        <v/>
      </c>
      <c r="K2450" s="497" t="str">
        <f ca="1">IFERROR(VLOOKUP(C2450,' Disaggregation - Section E '!A$10:N639,3,0),"")</f>
        <v/>
      </c>
      <c r="L2450" s="503" t="str">
        <f ca="1">IFERROR(IF(VLOOKUP(C2450,' Disaggregation - Section E '!A$10:N639,14,0)=0,"",VLOOKUP(C2450,' Disaggregation - Section E '!A$10:N639,14,0)),"")</f>
        <v/>
      </c>
      <c r="M2450" s="497" t="str">
        <f ca="1">IFERROR(IF(VLOOKUP(C2450,' Disaggregation - Section E '!A$10:T639,20,0)=0,"",VLOOKUP(C2450,' Disaggregation - Section E '!A$10:T639,20,0)),"")</f>
        <v/>
      </c>
      <c r="N2450" s="503" t="str">
        <f ca="1">IFERROR(IF(VLOOKUP(C2450,' Disaggregation - Section E '!A$10:N639,9,0)=0,"",VLOOKUP(C2450,' Disaggregation - Section E '!A$10:N639,9,0)),"")</f>
        <v/>
      </c>
      <c r="O2450" s="503" t="str">
        <f ca="1">IFERROR(IF(VLOOKUP(C2450,' Disaggregation - Section E '!A$10:N639,10,0)=0,"",VLOOKUP(C2450,' Disaggregation - Section E '!A$10:N639,10,0)),"")</f>
        <v/>
      </c>
    </row>
    <row r="2451" spans="1:15" x14ac:dyDescent="0.35">
      <c r="A2451" s="497" t="b">
        <f t="shared" ca="1" si="224"/>
        <v>0</v>
      </c>
      <c r="B2451" s="497"/>
      <c r="C2451" s="517" t="str">
        <f ca="1">IF(COUNTA(D$2119:D2451)=1,"",OFFSET(B2451,-COUNTA(D$2119:D2451)+1,1))</f>
        <v>a1G3p000005ncFrEAI</v>
      </c>
      <c r="D2451" s="512"/>
      <c r="E2451" s="500" t="str">
        <f ca="1">IFERROR(IF(VLOOKUP(C2451,' Disaggregation - Section E '!A$10:J640,7,0)="","",VLOOKUP(C2451,' Disaggregation - Section E '!A$10:J640,7,0)*100),"")</f>
        <v/>
      </c>
      <c r="F2451" s="503" t="str">
        <f ca="1">IFERROR(IF(VLOOKUP(C2451,' Disaggregation - Section E '!A$10:N640,5,0)=0,"",VLOOKUP(C2451,' Disaggregation - Section E '!A$10:N640,5,0)),"")</f>
        <v/>
      </c>
      <c r="G2451" s="502" t="str">
        <f ca="1">IFERROR(IF(VLOOKUP(C2451,' Disaggregation - Section E '!A$10:N640,6,0)="","",VLOOKUP(C2451,' Disaggregation - Section E '!A$10:N640,6,0)),"")</f>
        <v/>
      </c>
      <c r="H2451" s="512" t="str">
        <f ca="1">IFERROR(IF(INDEX(' Disaggregation - Section E '!F$10:F640,MATCH(C2451,' Disaggregation - Section E '!A$10:A640,0)+1,1)&lt;&gt;0,INDEX(' Disaggregation - Section E '!F$10:F640,MATCH(C2451,' Disaggregation - Section E '!A$10:A640,0)+1,1),""),"")</f>
        <v/>
      </c>
      <c r="I2451" s="503" t="str">
        <f ca="1">IFERROR(IF(VLOOKUP(C2451,' Disaggregation - Section E '!A$10:N640,8,0)=0,"",VLOOKUP(C2451,' Disaggregation - Section E '!A$10:N640,8,0)),"")</f>
        <v/>
      </c>
      <c r="J2451" s="503" t="str">
        <f ca="1">IFERROR(IF(VLOOKUP(C2451,' Disaggregation - Section E '!A$10:N640,13,0)=0,"",VLOOKUP(C2451,' Disaggregation - Section E '!A$10:N640,13,0)),"")</f>
        <v/>
      </c>
      <c r="K2451" s="497" t="str">
        <f ca="1">IFERROR(VLOOKUP(C2451,' Disaggregation - Section E '!A$10:N640,3,0),"")</f>
        <v/>
      </c>
      <c r="L2451" s="503" t="str">
        <f ca="1">IFERROR(IF(VLOOKUP(C2451,' Disaggregation - Section E '!A$10:N640,14,0)=0,"",VLOOKUP(C2451,' Disaggregation - Section E '!A$10:N640,14,0)),"")</f>
        <v/>
      </c>
      <c r="M2451" s="497" t="str">
        <f ca="1">IFERROR(IF(VLOOKUP(C2451,' Disaggregation - Section E '!A$10:T640,20,0)=0,"",VLOOKUP(C2451,' Disaggregation - Section E '!A$10:T640,20,0)),"")</f>
        <v/>
      </c>
      <c r="N2451" s="503" t="str">
        <f ca="1">IFERROR(IF(VLOOKUP(C2451,' Disaggregation - Section E '!A$10:N640,9,0)=0,"",VLOOKUP(C2451,' Disaggregation - Section E '!A$10:N640,9,0)),"")</f>
        <v/>
      </c>
      <c r="O2451" s="503" t="str">
        <f ca="1">IFERROR(IF(VLOOKUP(C2451,' Disaggregation - Section E '!A$10:N640,10,0)=0,"",VLOOKUP(C2451,' Disaggregation - Section E '!A$10:N640,10,0)),"")</f>
        <v/>
      </c>
    </row>
    <row r="2452" spans="1:15" x14ac:dyDescent="0.35">
      <c r="A2452" s="497" t="b">
        <f t="shared" ca="1" si="224"/>
        <v>0</v>
      </c>
      <c r="B2452" s="497"/>
      <c r="C2452" s="517" t="str">
        <f ca="1">IF(COUNTA(D$2119:D2452)=1,"",OFFSET(B2452,-COUNTA(D$2119:D2452)+1,1))</f>
        <v>a1G3p000005ncFsEAI</v>
      </c>
      <c r="D2452" s="512"/>
      <c r="E2452" s="500" t="str">
        <f ca="1">IFERROR(IF(VLOOKUP(C2452,' Disaggregation - Section E '!A$10:J641,7,0)="","",VLOOKUP(C2452,' Disaggregation - Section E '!A$10:J641,7,0)*100),"")</f>
        <v/>
      </c>
      <c r="F2452" s="503" t="str">
        <f ca="1">IFERROR(IF(VLOOKUP(C2452,' Disaggregation - Section E '!A$10:N641,5,0)=0,"",VLOOKUP(C2452,' Disaggregation - Section E '!A$10:N641,5,0)),"")</f>
        <v/>
      </c>
      <c r="G2452" s="502" t="str">
        <f ca="1">IFERROR(IF(VLOOKUP(C2452,' Disaggregation - Section E '!A$10:N641,6,0)="","",VLOOKUP(C2452,' Disaggregation - Section E '!A$10:N641,6,0)),"")</f>
        <v/>
      </c>
      <c r="H2452" s="512" t="str">
        <f ca="1">IFERROR(IF(INDEX(' Disaggregation - Section E '!F$10:F641,MATCH(C2452,' Disaggregation - Section E '!A$10:A641,0)+1,1)&lt;&gt;0,INDEX(' Disaggregation - Section E '!F$10:F641,MATCH(C2452,' Disaggregation - Section E '!A$10:A641,0)+1,1),""),"")</f>
        <v/>
      </c>
      <c r="I2452" s="503" t="str">
        <f ca="1">IFERROR(IF(VLOOKUP(C2452,' Disaggregation - Section E '!A$10:N641,8,0)=0,"",VLOOKUP(C2452,' Disaggregation - Section E '!A$10:N641,8,0)),"")</f>
        <v/>
      </c>
      <c r="J2452" s="503" t="str">
        <f ca="1">IFERROR(IF(VLOOKUP(C2452,' Disaggregation - Section E '!A$10:N641,13,0)=0,"",VLOOKUP(C2452,' Disaggregation - Section E '!A$10:N641,13,0)),"")</f>
        <v/>
      </c>
      <c r="K2452" s="497" t="str">
        <f ca="1">IFERROR(VLOOKUP(C2452,' Disaggregation - Section E '!A$10:N641,3,0),"")</f>
        <v/>
      </c>
      <c r="L2452" s="503" t="str">
        <f ca="1">IFERROR(IF(VLOOKUP(C2452,' Disaggregation - Section E '!A$10:N641,14,0)=0,"",VLOOKUP(C2452,' Disaggregation - Section E '!A$10:N641,14,0)),"")</f>
        <v/>
      </c>
      <c r="M2452" s="497" t="str">
        <f ca="1">IFERROR(IF(VLOOKUP(C2452,' Disaggregation - Section E '!A$10:T641,20,0)=0,"",VLOOKUP(C2452,' Disaggregation - Section E '!A$10:T641,20,0)),"")</f>
        <v/>
      </c>
      <c r="N2452" s="503" t="str">
        <f ca="1">IFERROR(IF(VLOOKUP(C2452,' Disaggregation - Section E '!A$10:N641,9,0)=0,"",VLOOKUP(C2452,' Disaggregation - Section E '!A$10:N641,9,0)),"")</f>
        <v/>
      </c>
      <c r="O2452" s="503" t="str">
        <f ca="1">IFERROR(IF(VLOOKUP(C2452,' Disaggregation - Section E '!A$10:N641,10,0)=0,"",VLOOKUP(C2452,' Disaggregation - Section E '!A$10:N641,10,0)),"")</f>
        <v/>
      </c>
    </row>
    <row r="2453" spans="1:15" x14ac:dyDescent="0.35">
      <c r="A2453" s="497" t="b">
        <f t="shared" ca="1" si="224"/>
        <v>0</v>
      </c>
      <c r="B2453" s="497"/>
      <c r="C2453" s="517" t="str">
        <f ca="1">IF(COUNTA(D$2119:D2453)=1,"",OFFSET(B2453,-COUNTA(D$2119:D2453)+1,1))</f>
        <v>a1G3p000005ncFtEAI</v>
      </c>
      <c r="D2453" s="512"/>
      <c r="E2453" s="500" t="str">
        <f ca="1">IFERROR(IF(VLOOKUP(C2453,' Disaggregation - Section E '!A$10:J642,7,0)="","",VLOOKUP(C2453,' Disaggregation - Section E '!A$10:J642,7,0)*100),"")</f>
        <v/>
      </c>
      <c r="F2453" s="503" t="str">
        <f ca="1">IFERROR(IF(VLOOKUP(C2453,' Disaggregation - Section E '!A$10:N642,5,0)=0,"",VLOOKUP(C2453,' Disaggregation - Section E '!A$10:N642,5,0)),"")</f>
        <v/>
      </c>
      <c r="G2453" s="502" t="str">
        <f ca="1">IFERROR(IF(VLOOKUP(C2453,' Disaggregation - Section E '!A$10:N642,6,0)="","",VLOOKUP(C2453,' Disaggregation - Section E '!A$10:N642,6,0)),"")</f>
        <v/>
      </c>
      <c r="H2453" s="512" t="str">
        <f ca="1">IFERROR(IF(INDEX(' Disaggregation - Section E '!F$10:F642,MATCH(C2453,' Disaggregation - Section E '!A$10:A642,0)+1,1)&lt;&gt;0,INDEX(' Disaggregation - Section E '!F$10:F642,MATCH(C2453,' Disaggregation - Section E '!A$10:A642,0)+1,1),""),"")</f>
        <v/>
      </c>
      <c r="I2453" s="503" t="str">
        <f ca="1">IFERROR(IF(VLOOKUP(C2453,' Disaggregation - Section E '!A$10:N642,8,0)=0,"",VLOOKUP(C2453,' Disaggregation - Section E '!A$10:N642,8,0)),"")</f>
        <v/>
      </c>
      <c r="J2453" s="503" t="str">
        <f ca="1">IFERROR(IF(VLOOKUP(C2453,' Disaggregation - Section E '!A$10:N642,13,0)=0,"",VLOOKUP(C2453,' Disaggregation - Section E '!A$10:N642,13,0)),"")</f>
        <v/>
      </c>
      <c r="K2453" s="497" t="str">
        <f ca="1">IFERROR(VLOOKUP(C2453,' Disaggregation - Section E '!A$10:N642,3,0),"")</f>
        <v/>
      </c>
      <c r="L2453" s="503" t="str">
        <f ca="1">IFERROR(IF(VLOOKUP(C2453,' Disaggregation - Section E '!A$10:N642,14,0)=0,"",VLOOKUP(C2453,' Disaggregation - Section E '!A$10:N642,14,0)),"")</f>
        <v/>
      </c>
      <c r="M2453" s="497" t="str">
        <f ca="1">IFERROR(IF(VLOOKUP(C2453,' Disaggregation - Section E '!A$10:T642,20,0)=0,"",VLOOKUP(C2453,' Disaggregation - Section E '!A$10:T642,20,0)),"")</f>
        <v/>
      </c>
      <c r="N2453" s="503" t="str">
        <f ca="1">IFERROR(IF(VLOOKUP(C2453,' Disaggregation - Section E '!A$10:N642,9,0)=0,"",VLOOKUP(C2453,' Disaggregation - Section E '!A$10:N642,9,0)),"")</f>
        <v/>
      </c>
      <c r="O2453" s="503" t="str">
        <f ca="1">IFERROR(IF(VLOOKUP(C2453,' Disaggregation - Section E '!A$10:N642,10,0)=0,"",VLOOKUP(C2453,' Disaggregation - Section E '!A$10:N642,10,0)),"")</f>
        <v/>
      </c>
    </row>
    <row r="2454" spans="1:15" x14ac:dyDescent="0.35">
      <c r="A2454" s="497" t="b">
        <f t="shared" ca="1" si="224"/>
        <v>0</v>
      </c>
      <c r="B2454" s="497"/>
      <c r="C2454" s="517" t="str">
        <f ca="1">IF(COUNTA(D$2119:D2454)=1,"",OFFSET(B2454,-COUNTA(D$2119:D2454)+1,1))</f>
        <v>a1G3p000005ncFuEAI</v>
      </c>
      <c r="D2454" s="512"/>
      <c r="E2454" s="500" t="str">
        <f ca="1">IFERROR(IF(VLOOKUP(C2454,' Disaggregation - Section E '!A$10:J643,7,0)="","",VLOOKUP(C2454,' Disaggregation - Section E '!A$10:J643,7,0)*100),"")</f>
        <v/>
      </c>
      <c r="F2454" s="503" t="str">
        <f ca="1">IFERROR(IF(VLOOKUP(C2454,' Disaggregation - Section E '!A$10:N643,5,0)=0,"",VLOOKUP(C2454,' Disaggregation - Section E '!A$10:N643,5,0)),"")</f>
        <v/>
      </c>
      <c r="G2454" s="502" t="str">
        <f ca="1">IFERROR(IF(VLOOKUP(C2454,' Disaggregation - Section E '!A$10:N643,6,0)="","",VLOOKUP(C2454,' Disaggregation - Section E '!A$10:N643,6,0)),"")</f>
        <v/>
      </c>
      <c r="H2454" s="512" t="str">
        <f ca="1">IFERROR(IF(INDEX(' Disaggregation - Section E '!F$10:F643,MATCH(C2454,' Disaggregation - Section E '!A$10:A643,0)+1,1)&lt;&gt;0,INDEX(' Disaggregation - Section E '!F$10:F643,MATCH(C2454,' Disaggregation - Section E '!A$10:A643,0)+1,1),""),"")</f>
        <v/>
      </c>
      <c r="I2454" s="503" t="str">
        <f ca="1">IFERROR(IF(VLOOKUP(C2454,' Disaggregation - Section E '!A$10:N643,8,0)=0,"",VLOOKUP(C2454,' Disaggregation - Section E '!A$10:N643,8,0)),"")</f>
        <v/>
      </c>
      <c r="J2454" s="503" t="str">
        <f ca="1">IFERROR(IF(VLOOKUP(C2454,' Disaggregation - Section E '!A$10:N643,13,0)=0,"",VLOOKUP(C2454,' Disaggregation - Section E '!A$10:N643,13,0)),"")</f>
        <v/>
      </c>
      <c r="K2454" s="497" t="str">
        <f ca="1">IFERROR(VLOOKUP(C2454,' Disaggregation - Section E '!A$10:N643,3,0),"")</f>
        <v/>
      </c>
      <c r="L2454" s="503" t="str">
        <f ca="1">IFERROR(IF(VLOOKUP(C2454,' Disaggregation - Section E '!A$10:N643,14,0)=0,"",VLOOKUP(C2454,' Disaggregation - Section E '!A$10:N643,14,0)),"")</f>
        <v/>
      </c>
      <c r="M2454" s="497" t="str">
        <f ca="1">IFERROR(IF(VLOOKUP(C2454,' Disaggregation - Section E '!A$10:T643,20,0)=0,"",VLOOKUP(C2454,' Disaggregation - Section E '!A$10:T643,20,0)),"")</f>
        <v/>
      </c>
      <c r="N2454" s="503" t="str">
        <f ca="1">IFERROR(IF(VLOOKUP(C2454,' Disaggregation - Section E '!A$10:N643,9,0)=0,"",VLOOKUP(C2454,' Disaggregation - Section E '!A$10:N643,9,0)),"")</f>
        <v/>
      </c>
      <c r="O2454" s="503" t="str">
        <f ca="1">IFERROR(IF(VLOOKUP(C2454,' Disaggregation - Section E '!A$10:N643,10,0)=0,"",VLOOKUP(C2454,' Disaggregation - Section E '!A$10:N643,10,0)),"")</f>
        <v/>
      </c>
    </row>
    <row r="2455" spans="1:15" x14ac:dyDescent="0.35">
      <c r="A2455" s="497" t="b">
        <f t="shared" ca="1" si="224"/>
        <v>0</v>
      </c>
      <c r="B2455" s="497"/>
      <c r="C2455" s="517" t="str">
        <f ca="1">IF(COUNTA(D$2119:D2455)=1,"",OFFSET(B2455,-COUNTA(D$2119:D2455)+1,1))</f>
        <v>a1G3p000005ncFvEAI</v>
      </c>
      <c r="D2455" s="512"/>
      <c r="E2455" s="500" t="str">
        <f ca="1">IFERROR(IF(VLOOKUP(C2455,' Disaggregation - Section E '!A$10:J644,7,0)="","",VLOOKUP(C2455,' Disaggregation - Section E '!A$10:J644,7,0)*100),"")</f>
        <v/>
      </c>
      <c r="F2455" s="503" t="str">
        <f ca="1">IFERROR(IF(VLOOKUP(C2455,' Disaggregation - Section E '!A$10:N644,5,0)=0,"",VLOOKUP(C2455,' Disaggregation - Section E '!A$10:N644,5,0)),"")</f>
        <v/>
      </c>
      <c r="G2455" s="502" t="str">
        <f ca="1">IFERROR(IF(VLOOKUP(C2455,' Disaggregation - Section E '!A$10:N644,6,0)="","",VLOOKUP(C2455,' Disaggregation - Section E '!A$10:N644,6,0)),"")</f>
        <v/>
      </c>
      <c r="H2455" s="512" t="str">
        <f ca="1">IFERROR(IF(INDEX(' Disaggregation - Section E '!F$10:F644,MATCH(C2455,' Disaggregation - Section E '!A$10:A644,0)+1,1)&lt;&gt;0,INDEX(' Disaggregation - Section E '!F$10:F644,MATCH(C2455,' Disaggregation - Section E '!A$10:A644,0)+1,1),""),"")</f>
        <v/>
      </c>
      <c r="I2455" s="503" t="str">
        <f ca="1">IFERROR(IF(VLOOKUP(C2455,' Disaggregation - Section E '!A$10:N644,8,0)=0,"",VLOOKUP(C2455,' Disaggregation - Section E '!A$10:N644,8,0)),"")</f>
        <v/>
      </c>
      <c r="J2455" s="503" t="str">
        <f ca="1">IFERROR(IF(VLOOKUP(C2455,' Disaggregation - Section E '!A$10:N644,13,0)=0,"",VLOOKUP(C2455,' Disaggregation - Section E '!A$10:N644,13,0)),"")</f>
        <v/>
      </c>
      <c r="K2455" s="497" t="str">
        <f ca="1">IFERROR(VLOOKUP(C2455,' Disaggregation - Section E '!A$10:N644,3,0),"")</f>
        <v/>
      </c>
      <c r="L2455" s="503" t="str">
        <f ca="1">IFERROR(IF(VLOOKUP(C2455,' Disaggregation - Section E '!A$10:N644,14,0)=0,"",VLOOKUP(C2455,' Disaggregation - Section E '!A$10:N644,14,0)),"")</f>
        <v/>
      </c>
      <c r="M2455" s="497" t="str">
        <f ca="1">IFERROR(IF(VLOOKUP(C2455,' Disaggregation - Section E '!A$10:T644,20,0)=0,"",VLOOKUP(C2455,' Disaggregation - Section E '!A$10:T644,20,0)),"")</f>
        <v/>
      </c>
      <c r="N2455" s="503" t="str">
        <f ca="1">IFERROR(IF(VLOOKUP(C2455,' Disaggregation - Section E '!A$10:N644,9,0)=0,"",VLOOKUP(C2455,' Disaggregation - Section E '!A$10:N644,9,0)),"")</f>
        <v/>
      </c>
      <c r="O2455" s="503" t="str">
        <f ca="1">IFERROR(IF(VLOOKUP(C2455,' Disaggregation - Section E '!A$10:N644,10,0)=0,"",VLOOKUP(C2455,' Disaggregation - Section E '!A$10:N644,10,0)),"")</f>
        <v/>
      </c>
    </row>
    <row r="2456" spans="1:15" x14ac:dyDescent="0.35">
      <c r="A2456" s="497" t="b">
        <f t="shared" ca="1" si="224"/>
        <v>0</v>
      </c>
      <c r="B2456" s="497"/>
      <c r="C2456" s="517" t="str">
        <f ca="1">IF(COUNTA(D$2119:D2456)=1,"",OFFSET(B2456,-COUNTA(D$2119:D2456)+1,1))</f>
        <v>a1G3p000005ncFwEAI</v>
      </c>
      <c r="D2456" s="512"/>
      <c r="E2456" s="500" t="str">
        <f ca="1">IFERROR(IF(VLOOKUP(C2456,' Disaggregation - Section E '!A$10:J645,7,0)="","",VLOOKUP(C2456,' Disaggregation - Section E '!A$10:J645,7,0)*100),"")</f>
        <v/>
      </c>
      <c r="F2456" s="503" t="str">
        <f ca="1">IFERROR(IF(VLOOKUP(C2456,' Disaggregation - Section E '!A$10:N645,5,0)=0,"",VLOOKUP(C2456,' Disaggregation - Section E '!A$10:N645,5,0)),"")</f>
        <v/>
      </c>
      <c r="G2456" s="502" t="str">
        <f ca="1">IFERROR(IF(VLOOKUP(C2456,' Disaggregation - Section E '!A$10:N645,6,0)="","",VLOOKUP(C2456,' Disaggregation - Section E '!A$10:N645,6,0)),"")</f>
        <v/>
      </c>
      <c r="H2456" s="512" t="str">
        <f ca="1">IFERROR(IF(INDEX(' Disaggregation - Section E '!F$10:F645,MATCH(C2456,' Disaggregation - Section E '!A$10:A645,0)+1,1)&lt;&gt;0,INDEX(' Disaggregation - Section E '!F$10:F645,MATCH(C2456,' Disaggregation - Section E '!A$10:A645,0)+1,1),""),"")</f>
        <v/>
      </c>
      <c r="I2456" s="503" t="str">
        <f ca="1">IFERROR(IF(VLOOKUP(C2456,' Disaggregation - Section E '!A$10:N645,8,0)=0,"",VLOOKUP(C2456,' Disaggregation - Section E '!A$10:N645,8,0)),"")</f>
        <v/>
      </c>
      <c r="J2456" s="503" t="str">
        <f ca="1">IFERROR(IF(VLOOKUP(C2456,' Disaggregation - Section E '!A$10:N645,13,0)=0,"",VLOOKUP(C2456,' Disaggregation - Section E '!A$10:N645,13,0)),"")</f>
        <v/>
      </c>
      <c r="K2456" s="497" t="str">
        <f ca="1">IFERROR(VLOOKUP(C2456,' Disaggregation - Section E '!A$10:N645,3,0),"")</f>
        <v/>
      </c>
      <c r="L2456" s="503" t="str">
        <f ca="1">IFERROR(IF(VLOOKUP(C2456,' Disaggregation - Section E '!A$10:N645,14,0)=0,"",VLOOKUP(C2456,' Disaggregation - Section E '!A$10:N645,14,0)),"")</f>
        <v/>
      </c>
      <c r="M2456" s="497" t="str">
        <f ca="1">IFERROR(IF(VLOOKUP(C2456,' Disaggregation - Section E '!A$10:T645,20,0)=0,"",VLOOKUP(C2456,' Disaggregation - Section E '!A$10:T645,20,0)),"")</f>
        <v/>
      </c>
      <c r="N2456" s="503" t="str">
        <f ca="1">IFERROR(IF(VLOOKUP(C2456,' Disaggregation - Section E '!A$10:N645,9,0)=0,"",VLOOKUP(C2456,' Disaggregation - Section E '!A$10:N645,9,0)),"")</f>
        <v/>
      </c>
      <c r="O2456" s="503" t="str">
        <f ca="1">IFERROR(IF(VLOOKUP(C2456,' Disaggregation - Section E '!A$10:N645,10,0)=0,"",VLOOKUP(C2456,' Disaggregation - Section E '!A$10:N645,10,0)),"")</f>
        <v/>
      </c>
    </row>
    <row r="2457" spans="1:15" x14ac:dyDescent="0.35">
      <c r="A2457" s="497" t="b">
        <f t="shared" ca="1" si="224"/>
        <v>0</v>
      </c>
      <c r="B2457" s="497"/>
      <c r="C2457" s="517" t="str">
        <f ca="1">IF(COUNTA(D$2119:D2457)=1,"",OFFSET(B2457,-COUNTA(D$2119:D2457)+1,1))</f>
        <v>a1G3p000005ncFxEAI</v>
      </c>
      <c r="D2457" s="512"/>
      <c r="E2457" s="500" t="str">
        <f ca="1">IFERROR(IF(VLOOKUP(C2457,' Disaggregation - Section E '!A$10:J646,7,0)="","",VLOOKUP(C2457,' Disaggregation - Section E '!A$10:J646,7,0)*100),"")</f>
        <v/>
      </c>
      <c r="F2457" s="503" t="str">
        <f ca="1">IFERROR(IF(VLOOKUP(C2457,' Disaggregation - Section E '!A$10:N646,5,0)=0,"",VLOOKUP(C2457,' Disaggregation - Section E '!A$10:N646,5,0)),"")</f>
        <v/>
      </c>
      <c r="G2457" s="502" t="str">
        <f ca="1">IFERROR(IF(VLOOKUP(C2457,' Disaggregation - Section E '!A$10:N646,6,0)="","",VLOOKUP(C2457,' Disaggregation - Section E '!A$10:N646,6,0)),"")</f>
        <v/>
      </c>
      <c r="H2457" s="512" t="str">
        <f ca="1">IFERROR(IF(INDEX(' Disaggregation - Section E '!F$10:F646,MATCH(C2457,' Disaggregation - Section E '!A$10:A646,0)+1,1)&lt;&gt;0,INDEX(' Disaggregation - Section E '!F$10:F646,MATCH(C2457,' Disaggregation - Section E '!A$10:A646,0)+1,1),""),"")</f>
        <v/>
      </c>
      <c r="I2457" s="503" t="str">
        <f ca="1">IFERROR(IF(VLOOKUP(C2457,' Disaggregation - Section E '!A$10:N646,8,0)=0,"",VLOOKUP(C2457,' Disaggregation - Section E '!A$10:N646,8,0)),"")</f>
        <v/>
      </c>
      <c r="J2457" s="503" t="str">
        <f ca="1">IFERROR(IF(VLOOKUP(C2457,' Disaggregation - Section E '!A$10:N646,13,0)=0,"",VLOOKUP(C2457,' Disaggregation - Section E '!A$10:N646,13,0)),"")</f>
        <v/>
      </c>
      <c r="K2457" s="497" t="str">
        <f ca="1">IFERROR(VLOOKUP(C2457,' Disaggregation - Section E '!A$10:N646,3,0),"")</f>
        <v/>
      </c>
      <c r="L2457" s="503" t="str">
        <f ca="1">IFERROR(IF(VLOOKUP(C2457,' Disaggregation - Section E '!A$10:N646,14,0)=0,"",VLOOKUP(C2457,' Disaggregation - Section E '!A$10:N646,14,0)),"")</f>
        <v/>
      </c>
      <c r="M2457" s="497" t="str">
        <f ca="1">IFERROR(IF(VLOOKUP(C2457,' Disaggregation - Section E '!A$10:T646,20,0)=0,"",VLOOKUP(C2457,' Disaggregation - Section E '!A$10:T646,20,0)),"")</f>
        <v/>
      </c>
      <c r="N2457" s="503" t="str">
        <f ca="1">IFERROR(IF(VLOOKUP(C2457,' Disaggregation - Section E '!A$10:N646,9,0)=0,"",VLOOKUP(C2457,' Disaggregation - Section E '!A$10:N646,9,0)),"")</f>
        <v/>
      </c>
      <c r="O2457" s="503" t="str">
        <f ca="1">IFERROR(IF(VLOOKUP(C2457,' Disaggregation - Section E '!A$10:N646,10,0)=0,"",VLOOKUP(C2457,' Disaggregation - Section E '!A$10:N646,10,0)),"")</f>
        <v/>
      </c>
    </row>
    <row r="2458" spans="1:15" x14ac:dyDescent="0.35">
      <c r="A2458" s="497" t="b">
        <f t="shared" ca="1" si="224"/>
        <v>0</v>
      </c>
      <c r="B2458" s="497"/>
      <c r="C2458" s="517" t="str">
        <f ca="1">IF(COUNTA(D$2119:D2458)=1,"",OFFSET(B2458,-COUNTA(D$2119:D2458)+1,1))</f>
        <v>a1G3p000005ncFyEAI</v>
      </c>
      <c r="D2458" s="512"/>
      <c r="E2458" s="500" t="str">
        <f ca="1">IFERROR(IF(VLOOKUP(C2458,' Disaggregation - Section E '!A$10:J647,7,0)="","",VLOOKUP(C2458,' Disaggregation - Section E '!A$10:J647,7,0)*100),"")</f>
        <v/>
      </c>
      <c r="F2458" s="503" t="str">
        <f ca="1">IFERROR(IF(VLOOKUP(C2458,' Disaggregation - Section E '!A$10:N647,5,0)=0,"",VLOOKUP(C2458,' Disaggregation - Section E '!A$10:N647,5,0)),"")</f>
        <v/>
      </c>
      <c r="G2458" s="502" t="str">
        <f ca="1">IFERROR(IF(VLOOKUP(C2458,' Disaggregation - Section E '!A$10:N647,6,0)="","",VLOOKUP(C2458,' Disaggregation - Section E '!A$10:N647,6,0)),"")</f>
        <v/>
      </c>
      <c r="H2458" s="512" t="str">
        <f ca="1">IFERROR(IF(INDEX(' Disaggregation - Section E '!F$10:F647,MATCH(C2458,' Disaggregation - Section E '!A$10:A647,0)+1,1)&lt;&gt;0,INDEX(' Disaggregation - Section E '!F$10:F647,MATCH(C2458,' Disaggregation - Section E '!A$10:A647,0)+1,1),""),"")</f>
        <v/>
      </c>
      <c r="I2458" s="503" t="str">
        <f ca="1">IFERROR(IF(VLOOKUP(C2458,' Disaggregation - Section E '!A$10:N647,8,0)=0,"",VLOOKUP(C2458,' Disaggregation - Section E '!A$10:N647,8,0)),"")</f>
        <v/>
      </c>
      <c r="J2458" s="503" t="str">
        <f ca="1">IFERROR(IF(VLOOKUP(C2458,' Disaggregation - Section E '!A$10:N647,13,0)=0,"",VLOOKUP(C2458,' Disaggregation - Section E '!A$10:N647,13,0)),"")</f>
        <v/>
      </c>
      <c r="K2458" s="497" t="str">
        <f ca="1">IFERROR(VLOOKUP(C2458,' Disaggregation - Section E '!A$10:N647,3,0),"")</f>
        <v/>
      </c>
      <c r="L2458" s="503" t="str">
        <f ca="1">IFERROR(IF(VLOOKUP(C2458,' Disaggregation - Section E '!A$10:N647,14,0)=0,"",VLOOKUP(C2458,' Disaggregation - Section E '!A$10:N647,14,0)),"")</f>
        <v/>
      </c>
      <c r="M2458" s="497" t="str">
        <f ca="1">IFERROR(IF(VLOOKUP(C2458,' Disaggregation - Section E '!A$10:T647,20,0)=0,"",VLOOKUP(C2458,' Disaggregation - Section E '!A$10:T647,20,0)),"")</f>
        <v/>
      </c>
      <c r="N2458" s="503" t="str">
        <f ca="1">IFERROR(IF(VLOOKUP(C2458,' Disaggregation - Section E '!A$10:N647,9,0)=0,"",VLOOKUP(C2458,' Disaggregation - Section E '!A$10:N647,9,0)),"")</f>
        <v/>
      </c>
      <c r="O2458" s="503" t="str">
        <f ca="1">IFERROR(IF(VLOOKUP(C2458,' Disaggregation - Section E '!A$10:N647,10,0)=0,"",VLOOKUP(C2458,' Disaggregation - Section E '!A$10:N647,10,0)),"")</f>
        <v/>
      </c>
    </row>
    <row r="2459" spans="1:15" x14ac:dyDescent="0.35">
      <c r="A2459" s="497" t="b">
        <f t="shared" ca="1" si="224"/>
        <v>0</v>
      </c>
      <c r="B2459" s="497"/>
      <c r="C2459" s="517" t="str">
        <f ca="1">IF(COUNTA(D$2119:D2459)=1,"",OFFSET(B2459,-COUNTA(D$2119:D2459)+1,1))</f>
        <v>a1G3p000005ncFzEAI</v>
      </c>
      <c r="D2459" s="512"/>
      <c r="E2459" s="500" t="str">
        <f ca="1">IFERROR(IF(VLOOKUP(C2459,' Disaggregation - Section E '!A$10:J648,7,0)="","",VLOOKUP(C2459,' Disaggregation - Section E '!A$10:J648,7,0)*100),"")</f>
        <v/>
      </c>
      <c r="F2459" s="503" t="str">
        <f ca="1">IFERROR(IF(VLOOKUP(C2459,' Disaggregation - Section E '!A$10:N648,5,0)=0,"",VLOOKUP(C2459,' Disaggregation - Section E '!A$10:N648,5,0)),"")</f>
        <v/>
      </c>
      <c r="G2459" s="502" t="str">
        <f ca="1">IFERROR(IF(VLOOKUP(C2459,' Disaggregation - Section E '!A$10:N648,6,0)="","",VLOOKUP(C2459,' Disaggregation - Section E '!A$10:N648,6,0)),"")</f>
        <v/>
      </c>
      <c r="H2459" s="512" t="str">
        <f ca="1">IFERROR(IF(INDEX(' Disaggregation - Section E '!F$10:F648,MATCH(C2459,' Disaggregation - Section E '!A$10:A648,0)+1,1)&lt;&gt;0,INDEX(' Disaggregation - Section E '!F$10:F648,MATCH(C2459,' Disaggregation - Section E '!A$10:A648,0)+1,1),""),"")</f>
        <v/>
      </c>
      <c r="I2459" s="503" t="str">
        <f ca="1">IFERROR(IF(VLOOKUP(C2459,' Disaggregation - Section E '!A$10:N648,8,0)=0,"",VLOOKUP(C2459,' Disaggregation - Section E '!A$10:N648,8,0)),"")</f>
        <v/>
      </c>
      <c r="J2459" s="503" t="str">
        <f ca="1">IFERROR(IF(VLOOKUP(C2459,' Disaggregation - Section E '!A$10:N648,13,0)=0,"",VLOOKUP(C2459,' Disaggregation - Section E '!A$10:N648,13,0)),"")</f>
        <v/>
      </c>
      <c r="K2459" s="497" t="str">
        <f ca="1">IFERROR(VLOOKUP(C2459,' Disaggregation - Section E '!A$10:N648,3,0),"")</f>
        <v/>
      </c>
      <c r="L2459" s="503" t="str">
        <f ca="1">IFERROR(IF(VLOOKUP(C2459,' Disaggregation - Section E '!A$10:N648,14,0)=0,"",VLOOKUP(C2459,' Disaggregation - Section E '!A$10:N648,14,0)),"")</f>
        <v/>
      </c>
      <c r="M2459" s="497" t="str">
        <f ca="1">IFERROR(IF(VLOOKUP(C2459,' Disaggregation - Section E '!A$10:T648,20,0)=0,"",VLOOKUP(C2459,' Disaggregation - Section E '!A$10:T648,20,0)),"")</f>
        <v/>
      </c>
      <c r="N2459" s="503" t="str">
        <f ca="1">IFERROR(IF(VLOOKUP(C2459,' Disaggregation - Section E '!A$10:N648,9,0)=0,"",VLOOKUP(C2459,' Disaggregation - Section E '!A$10:N648,9,0)),"")</f>
        <v/>
      </c>
      <c r="O2459" s="503" t="str">
        <f ca="1">IFERROR(IF(VLOOKUP(C2459,' Disaggregation - Section E '!A$10:N648,10,0)=0,"",VLOOKUP(C2459,' Disaggregation - Section E '!A$10:N648,10,0)),"")</f>
        <v/>
      </c>
    </row>
    <row r="2460" spans="1:15" x14ac:dyDescent="0.35">
      <c r="A2460" s="497" t="b">
        <f t="shared" ca="1" si="224"/>
        <v>0</v>
      </c>
      <c r="B2460" s="497"/>
      <c r="C2460" s="517" t="str">
        <f ca="1">IF(COUNTA(D$2119:D2460)=1,"",OFFSET(B2460,-COUNTA(D$2119:D2460)+1,1))</f>
        <v>a1G3p000005ncG0EAI</v>
      </c>
      <c r="D2460" s="512"/>
      <c r="E2460" s="500" t="str">
        <f ca="1">IFERROR(IF(VLOOKUP(C2460,' Disaggregation - Section E '!A$10:J649,7,0)="","",VLOOKUP(C2460,' Disaggregation - Section E '!A$10:J649,7,0)*100),"")</f>
        <v/>
      </c>
      <c r="F2460" s="503" t="str">
        <f ca="1">IFERROR(IF(VLOOKUP(C2460,' Disaggregation - Section E '!A$10:N649,5,0)=0,"",VLOOKUP(C2460,' Disaggregation - Section E '!A$10:N649,5,0)),"")</f>
        <v/>
      </c>
      <c r="G2460" s="502" t="str">
        <f ca="1">IFERROR(IF(VLOOKUP(C2460,' Disaggregation - Section E '!A$10:N649,6,0)="","",VLOOKUP(C2460,' Disaggregation - Section E '!A$10:N649,6,0)),"")</f>
        <v/>
      </c>
      <c r="H2460" s="512" t="str">
        <f ca="1">IFERROR(IF(INDEX(' Disaggregation - Section E '!F$10:F649,MATCH(C2460,' Disaggregation - Section E '!A$10:A649,0)+1,1)&lt;&gt;0,INDEX(' Disaggregation - Section E '!F$10:F649,MATCH(C2460,' Disaggregation - Section E '!A$10:A649,0)+1,1),""),"")</f>
        <v/>
      </c>
      <c r="I2460" s="503" t="str">
        <f ca="1">IFERROR(IF(VLOOKUP(C2460,' Disaggregation - Section E '!A$10:N649,8,0)=0,"",VLOOKUP(C2460,' Disaggregation - Section E '!A$10:N649,8,0)),"")</f>
        <v/>
      </c>
      <c r="J2460" s="503" t="str">
        <f ca="1">IFERROR(IF(VLOOKUP(C2460,' Disaggregation - Section E '!A$10:N649,13,0)=0,"",VLOOKUP(C2460,' Disaggregation - Section E '!A$10:N649,13,0)),"")</f>
        <v/>
      </c>
      <c r="K2460" s="497" t="str">
        <f ca="1">IFERROR(VLOOKUP(C2460,' Disaggregation - Section E '!A$10:N649,3,0),"")</f>
        <v/>
      </c>
      <c r="L2460" s="503" t="str">
        <f ca="1">IFERROR(IF(VLOOKUP(C2460,' Disaggregation - Section E '!A$10:N649,14,0)=0,"",VLOOKUP(C2460,' Disaggregation - Section E '!A$10:N649,14,0)),"")</f>
        <v/>
      </c>
      <c r="M2460" s="497" t="str">
        <f ca="1">IFERROR(IF(VLOOKUP(C2460,' Disaggregation - Section E '!A$10:T649,20,0)=0,"",VLOOKUP(C2460,' Disaggregation - Section E '!A$10:T649,20,0)),"")</f>
        <v/>
      </c>
      <c r="N2460" s="503" t="str">
        <f ca="1">IFERROR(IF(VLOOKUP(C2460,' Disaggregation - Section E '!A$10:N649,9,0)=0,"",VLOOKUP(C2460,' Disaggregation - Section E '!A$10:N649,9,0)),"")</f>
        <v/>
      </c>
      <c r="O2460" s="503" t="str">
        <f ca="1">IFERROR(IF(VLOOKUP(C2460,' Disaggregation - Section E '!A$10:N649,10,0)=0,"",VLOOKUP(C2460,' Disaggregation - Section E '!A$10:N649,10,0)),"")</f>
        <v/>
      </c>
    </row>
    <row r="2461" spans="1:15" x14ac:dyDescent="0.35">
      <c r="A2461" s="497" t="b">
        <f t="shared" ca="1" si="224"/>
        <v>0</v>
      </c>
      <c r="B2461" s="497"/>
      <c r="C2461" s="517" t="str">
        <f ca="1">IF(COUNTA(D$2119:D2461)=1,"",OFFSET(B2461,-COUNTA(D$2119:D2461)+1,1))</f>
        <v>a1G3p000005ncDbEAI</v>
      </c>
      <c r="D2461" s="512"/>
      <c r="E2461" s="500" t="str">
        <f ca="1">IFERROR(IF(VLOOKUP(C2461,' Disaggregation - Section E '!A$10:J650,7,0)="","",VLOOKUP(C2461,' Disaggregation - Section E '!A$10:J650,7,0)*100),"")</f>
        <v/>
      </c>
      <c r="F2461" s="503" t="str">
        <f ca="1">IFERROR(IF(VLOOKUP(C2461,' Disaggregation - Section E '!A$10:N650,5,0)=0,"",VLOOKUP(C2461,' Disaggregation - Section E '!A$10:N650,5,0)),"")</f>
        <v/>
      </c>
      <c r="G2461" s="502" t="str">
        <f ca="1">IFERROR(IF(VLOOKUP(C2461,' Disaggregation - Section E '!A$10:N650,6,0)="","",VLOOKUP(C2461,' Disaggregation - Section E '!A$10:N650,6,0)),"")</f>
        <v/>
      </c>
      <c r="H2461" s="512" t="str">
        <f ca="1">IFERROR(IF(INDEX(' Disaggregation - Section E '!F$10:F650,MATCH(C2461,' Disaggregation - Section E '!A$10:A650,0)+1,1)&lt;&gt;0,INDEX(' Disaggregation - Section E '!F$10:F650,MATCH(C2461,' Disaggregation - Section E '!A$10:A650,0)+1,1),""),"")</f>
        <v/>
      </c>
      <c r="I2461" s="503" t="str">
        <f ca="1">IFERROR(IF(VLOOKUP(C2461,' Disaggregation - Section E '!A$10:N650,8,0)=0,"",VLOOKUP(C2461,' Disaggregation - Section E '!A$10:N650,8,0)),"")</f>
        <v/>
      </c>
      <c r="J2461" s="503" t="str">
        <f ca="1">IFERROR(IF(VLOOKUP(C2461,' Disaggregation - Section E '!A$10:N650,13,0)=0,"",VLOOKUP(C2461,' Disaggregation - Section E '!A$10:N650,13,0)),"")</f>
        <v/>
      </c>
      <c r="K2461" s="497" t="str">
        <f ca="1">IFERROR(VLOOKUP(C2461,' Disaggregation - Section E '!A$10:N650,3,0),"")</f>
        <v/>
      </c>
      <c r="L2461" s="503" t="str">
        <f ca="1">IFERROR(IF(VLOOKUP(C2461,' Disaggregation - Section E '!A$10:N650,14,0)=0,"",VLOOKUP(C2461,' Disaggregation - Section E '!A$10:N650,14,0)),"")</f>
        <v/>
      </c>
      <c r="M2461" s="497" t="str">
        <f ca="1">IFERROR(IF(VLOOKUP(C2461,' Disaggregation - Section E '!A$10:T650,20,0)=0,"",VLOOKUP(C2461,' Disaggregation - Section E '!A$10:T650,20,0)),"")</f>
        <v/>
      </c>
      <c r="N2461" s="503" t="str">
        <f ca="1">IFERROR(IF(VLOOKUP(C2461,' Disaggregation - Section E '!A$10:N650,9,0)=0,"",VLOOKUP(C2461,' Disaggregation - Section E '!A$10:N650,9,0)),"")</f>
        <v/>
      </c>
      <c r="O2461" s="503" t="str">
        <f ca="1">IFERROR(IF(VLOOKUP(C2461,' Disaggregation - Section E '!A$10:N650,10,0)=0,"",VLOOKUP(C2461,' Disaggregation - Section E '!A$10:N650,10,0)),"")</f>
        <v/>
      </c>
    </row>
    <row r="2462" spans="1:15" x14ac:dyDescent="0.35">
      <c r="A2462" s="497" t="b">
        <f t="shared" ca="1" si="224"/>
        <v>0</v>
      </c>
      <c r="B2462" s="497"/>
      <c r="C2462" s="517" t="str">
        <f ca="1">IF(COUNTA(D$2119:D2462)=1,"",OFFSET(B2462,-COUNTA(D$2119:D2462)+1,1))</f>
        <v>a1G3p000005ncDcEAI</v>
      </c>
      <c r="D2462" s="512"/>
      <c r="E2462" s="500" t="str">
        <f ca="1">IFERROR(IF(VLOOKUP(C2462,' Disaggregation - Section E '!A$10:J651,7,0)="","",VLOOKUP(C2462,' Disaggregation - Section E '!A$10:J651,7,0)*100),"")</f>
        <v/>
      </c>
      <c r="F2462" s="503" t="str">
        <f ca="1">IFERROR(IF(VLOOKUP(C2462,' Disaggregation - Section E '!A$10:N651,5,0)=0,"",VLOOKUP(C2462,' Disaggregation - Section E '!A$10:N651,5,0)),"")</f>
        <v/>
      </c>
      <c r="G2462" s="502" t="str">
        <f ca="1">IFERROR(IF(VLOOKUP(C2462,' Disaggregation - Section E '!A$10:N651,6,0)="","",VLOOKUP(C2462,' Disaggregation - Section E '!A$10:N651,6,0)),"")</f>
        <v/>
      </c>
      <c r="H2462" s="512" t="str">
        <f ca="1">IFERROR(IF(INDEX(' Disaggregation - Section E '!F$10:F651,MATCH(C2462,' Disaggregation - Section E '!A$10:A651,0)+1,1)&lt;&gt;0,INDEX(' Disaggregation - Section E '!F$10:F651,MATCH(C2462,' Disaggregation - Section E '!A$10:A651,0)+1,1),""),"")</f>
        <v/>
      </c>
      <c r="I2462" s="503">
        <f ca="1">IFERROR(IF(VLOOKUP(C2462,' Disaggregation - Section E '!A$10:N651,8,0)=0,"",VLOOKUP(C2462,' Disaggregation - Section E '!A$10:N651,8,0)),"")</f>
        <v>2019</v>
      </c>
      <c r="J2462" s="503" t="str">
        <f ca="1">IFERROR(IF(VLOOKUP(C2462,' Disaggregation - Section E '!A$10:N651,13,0)=0,"",VLOOKUP(C2462,' Disaggregation - Section E '!A$10:N651,13,0)),"")</f>
        <v/>
      </c>
      <c r="K2462" s="497" t="str">
        <f ca="1">IFERROR(VLOOKUP(C2462,' Disaggregation - Section E '!A$10:N651,3,0),"")</f>
        <v/>
      </c>
      <c r="L2462" s="503" t="str">
        <f ca="1">IFERROR(IF(VLOOKUP(C2462,' Disaggregation - Section E '!A$10:N651,14,0)=0,"",VLOOKUP(C2462,' Disaggregation - Section E '!A$10:N651,14,0)),"")</f>
        <v/>
      </c>
      <c r="M2462" s="497" t="str">
        <f ca="1">IFERROR(IF(VLOOKUP(C2462,' Disaggregation - Section E '!A$10:T651,20,0)=0,"",VLOOKUP(C2462,' Disaggregation - Section E '!A$10:T651,20,0)),"")</f>
        <v/>
      </c>
      <c r="N2462" s="503" t="str">
        <f ca="1">IFERROR(IF(VLOOKUP(C2462,' Disaggregation - Section E '!A$10:N651,9,0)=0,"",VLOOKUP(C2462,' Disaggregation - Section E '!A$10:N651,9,0)),"")</f>
        <v/>
      </c>
      <c r="O2462" s="503" t="str">
        <f ca="1">IFERROR(IF(VLOOKUP(C2462,' Disaggregation - Section E '!A$10:N651,10,0)=0,"",VLOOKUP(C2462,' Disaggregation - Section E '!A$10:N651,10,0)),"")</f>
        <v/>
      </c>
    </row>
    <row r="2463" spans="1:15" x14ac:dyDescent="0.35">
      <c r="A2463" s="497" t="b">
        <f t="shared" ca="1" si="224"/>
        <v>0</v>
      </c>
      <c r="B2463" s="497"/>
      <c r="C2463" s="517" t="str">
        <f ca="1">IF(COUNTA(D$2119:D2463)=1,"",OFFSET(B2463,-COUNTA(D$2119:D2463)+1,1))</f>
        <v>a1G3p000005ncDdEAI</v>
      </c>
      <c r="D2463" s="512"/>
      <c r="E2463" s="500" t="str">
        <f ca="1">IFERROR(IF(VLOOKUP(C2463,' Disaggregation - Section E '!A$10:J652,7,0)="","",VLOOKUP(C2463,' Disaggregation - Section E '!A$10:J652,7,0)*100),"")</f>
        <v/>
      </c>
      <c r="F2463" s="503" t="str">
        <f ca="1">IFERROR(IF(VLOOKUP(C2463,' Disaggregation - Section E '!A$10:N652,5,0)=0,"",VLOOKUP(C2463,' Disaggregation - Section E '!A$10:N652,5,0)),"")</f>
        <v/>
      </c>
      <c r="G2463" s="502" t="str">
        <f ca="1">IFERROR(IF(VLOOKUP(C2463,' Disaggregation - Section E '!A$10:N652,6,0)="","",VLOOKUP(C2463,' Disaggregation - Section E '!A$10:N652,6,0)),"")</f>
        <v/>
      </c>
      <c r="H2463" s="512" t="str">
        <f ca="1">IFERROR(IF(INDEX(' Disaggregation - Section E '!F$10:F652,MATCH(C2463,' Disaggregation - Section E '!A$10:A652,0)+1,1)&lt;&gt;0,INDEX(' Disaggregation - Section E '!F$10:F652,MATCH(C2463,' Disaggregation - Section E '!A$10:A652,0)+1,1),""),"")</f>
        <v/>
      </c>
      <c r="I2463" s="503" t="str">
        <f ca="1">IFERROR(IF(VLOOKUP(C2463,' Disaggregation - Section E '!A$10:N652,8,0)=0,"",VLOOKUP(C2463,' Disaggregation - Section E '!A$10:N652,8,0)),"")</f>
        <v/>
      </c>
      <c r="J2463" s="503" t="str">
        <f ca="1">IFERROR(IF(VLOOKUP(C2463,' Disaggregation - Section E '!A$10:N652,13,0)=0,"",VLOOKUP(C2463,' Disaggregation - Section E '!A$10:N652,13,0)),"")</f>
        <v/>
      </c>
      <c r="K2463" s="497" t="str">
        <f ca="1">IFERROR(VLOOKUP(C2463,' Disaggregation - Section E '!A$10:N652,3,0),"")</f>
        <v/>
      </c>
      <c r="L2463" s="503" t="str">
        <f ca="1">IFERROR(IF(VLOOKUP(C2463,' Disaggregation - Section E '!A$10:N652,14,0)=0,"",VLOOKUP(C2463,' Disaggregation - Section E '!A$10:N652,14,0)),"")</f>
        <v/>
      </c>
      <c r="M2463" s="497" t="str">
        <f ca="1">IFERROR(IF(VLOOKUP(C2463,' Disaggregation - Section E '!A$10:T652,20,0)=0,"",VLOOKUP(C2463,' Disaggregation - Section E '!A$10:T652,20,0)),"")</f>
        <v/>
      </c>
      <c r="N2463" s="503" t="str">
        <f ca="1">IFERROR(IF(VLOOKUP(C2463,' Disaggregation - Section E '!A$10:N652,9,0)=0,"",VLOOKUP(C2463,' Disaggregation - Section E '!A$10:N652,9,0)),"")</f>
        <v/>
      </c>
      <c r="O2463" s="503" t="str">
        <f ca="1">IFERROR(IF(VLOOKUP(C2463,' Disaggregation - Section E '!A$10:N652,10,0)=0,"",VLOOKUP(C2463,' Disaggregation - Section E '!A$10:N652,10,0)),"")</f>
        <v/>
      </c>
    </row>
    <row r="2464" spans="1:15" x14ac:dyDescent="0.35">
      <c r="A2464" s="497" t="b">
        <f t="shared" ca="1" si="224"/>
        <v>0</v>
      </c>
      <c r="B2464" s="497"/>
      <c r="C2464" s="517" t="str">
        <f ca="1">IF(COUNTA(D$2119:D2464)=1,"",OFFSET(B2464,-COUNTA(D$2119:D2464)+1,1))</f>
        <v>a1G3p000005ncDeEAI</v>
      </c>
      <c r="D2464" s="512"/>
      <c r="E2464" s="500" t="str">
        <f ca="1">IFERROR(IF(VLOOKUP(C2464,' Disaggregation - Section E '!A$10:J653,7,0)="","",VLOOKUP(C2464,' Disaggregation - Section E '!A$10:J653,7,0)*100),"")</f>
        <v/>
      </c>
      <c r="F2464" s="503" t="str">
        <f ca="1">IFERROR(IF(VLOOKUP(C2464,' Disaggregation - Section E '!A$10:N653,5,0)=0,"",VLOOKUP(C2464,' Disaggregation - Section E '!A$10:N653,5,0)),"")</f>
        <v/>
      </c>
      <c r="G2464" s="502" t="str">
        <f ca="1">IFERROR(IF(VLOOKUP(C2464,' Disaggregation - Section E '!A$10:N653,6,0)="","",VLOOKUP(C2464,' Disaggregation - Section E '!A$10:N653,6,0)),"")</f>
        <v/>
      </c>
      <c r="H2464" s="512" t="str">
        <f ca="1">IFERROR(IF(INDEX(' Disaggregation - Section E '!F$10:F653,MATCH(C2464,' Disaggregation - Section E '!A$10:A653,0)+1,1)&lt;&gt;0,INDEX(' Disaggregation - Section E '!F$10:F653,MATCH(C2464,' Disaggregation - Section E '!A$10:A653,0)+1,1),""),"")</f>
        <v/>
      </c>
      <c r="I2464" s="503">
        <f ca="1">IFERROR(IF(VLOOKUP(C2464,' Disaggregation - Section E '!A$10:N653,8,0)=0,"",VLOOKUP(C2464,' Disaggregation - Section E '!A$10:N653,8,0)),"")</f>
        <v>2019</v>
      </c>
      <c r="J2464" s="503" t="str">
        <f ca="1">IFERROR(IF(VLOOKUP(C2464,' Disaggregation - Section E '!A$10:N653,13,0)=0,"",VLOOKUP(C2464,' Disaggregation - Section E '!A$10:N653,13,0)),"")</f>
        <v/>
      </c>
      <c r="K2464" s="497" t="str">
        <f ca="1">IFERROR(VLOOKUP(C2464,' Disaggregation - Section E '!A$10:N653,3,0),"")</f>
        <v/>
      </c>
      <c r="L2464" s="503" t="str">
        <f ca="1">IFERROR(IF(VLOOKUP(C2464,' Disaggregation - Section E '!A$10:N653,14,0)=0,"",VLOOKUP(C2464,' Disaggregation - Section E '!A$10:N653,14,0)),"")</f>
        <v/>
      </c>
      <c r="M2464" s="497" t="str">
        <f ca="1">IFERROR(IF(VLOOKUP(C2464,' Disaggregation - Section E '!A$10:T653,20,0)=0,"",VLOOKUP(C2464,' Disaggregation - Section E '!A$10:T653,20,0)),"")</f>
        <v/>
      </c>
      <c r="N2464" s="503" t="str">
        <f ca="1">IFERROR(IF(VLOOKUP(C2464,' Disaggregation - Section E '!A$10:N653,9,0)=0,"",VLOOKUP(C2464,' Disaggregation - Section E '!A$10:N653,9,0)),"")</f>
        <v/>
      </c>
      <c r="O2464" s="503" t="str">
        <f ca="1">IFERROR(IF(VLOOKUP(C2464,' Disaggregation - Section E '!A$10:N653,10,0)=0,"",VLOOKUP(C2464,' Disaggregation - Section E '!A$10:N653,10,0)),"")</f>
        <v/>
      </c>
    </row>
    <row r="2465" spans="1:15" x14ac:dyDescent="0.35">
      <c r="A2465" s="497" t="b">
        <f t="shared" ca="1" si="224"/>
        <v>0</v>
      </c>
      <c r="B2465" s="497"/>
      <c r="C2465" s="517" t="str">
        <f ca="1">IF(COUNTA(D$2119:D2465)=1,"",OFFSET(B2465,-COUNTA(D$2119:D2465)+1,1))</f>
        <v>a1G3p000005ncDfEAI</v>
      </c>
      <c r="D2465" s="512"/>
      <c r="E2465" s="500" t="str">
        <f ca="1">IFERROR(IF(VLOOKUP(C2465,' Disaggregation - Section E '!A$10:J654,7,0)="","",VLOOKUP(C2465,' Disaggregation - Section E '!A$10:J654,7,0)*100),"")</f>
        <v/>
      </c>
      <c r="F2465" s="503" t="str">
        <f ca="1">IFERROR(IF(VLOOKUP(C2465,' Disaggregation - Section E '!A$10:N654,5,0)=0,"",VLOOKUP(C2465,' Disaggregation - Section E '!A$10:N654,5,0)),"")</f>
        <v/>
      </c>
      <c r="G2465" s="502" t="str">
        <f ca="1">IFERROR(IF(VLOOKUP(C2465,' Disaggregation - Section E '!A$10:N654,6,0)="","",VLOOKUP(C2465,' Disaggregation - Section E '!A$10:N654,6,0)),"")</f>
        <v/>
      </c>
      <c r="H2465" s="512" t="str">
        <f ca="1">IFERROR(IF(INDEX(' Disaggregation - Section E '!F$10:F654,MATCH(C2465,' Disaggregation - Section E '!A$10:A654,0)+1,1)&lt;&gt;0,INDEX(' Disaggregation - Section E '!F$10:F654,MATCH(C2465,' Disaggregation - Section E '!A$10:A654,0)+1,1),""),"")</f>
        <v/>
      </c>
      <c r="I2465" s="503">
        <f ca="1">IFERROR(IF(VLOOKUP(C2465,' Disaggregation - Section E '!A$10:N654,8,0)=0,"",VLOOKUP(C2465,' Disaggregation - Section E '!A$10:N654,8,0)),"")</f>
        <v>2019</v>
      </c>
      <c r="J2465" s="503" t="str">
        <f ca="1">IFERROR(IF(VLOOKUP(C2465,' Disaggregation - Section E '!A$10:N654,13,0)=0,"",VLOOKUP(C2465,' Disaggregation - Section E '!A$10:N654,13,0)),"")</f>
        <v/>
      </c>
      <c r="K2465" s="497" t="str">
        <f ca="1">IFERROR(VLOOKUP(C2465,' Disaggregation - Section E '!A$10:N654,3,0),"")</f>
        <v/>
      </c>
      <c r="L2465" s="503" t="str">
        <f ca="1">IFERROR(IF(VLOOKUP(C2465,' Disaggregation - Section E '!A$10:N654,14,0)=0,"",VLOOKUP(C2465,' Disaggregation - Section E '!A$10:N654,14,0)),"")</f>
        <v/>
      </c>
      <c r="M2465" s="497" t="str">
        <f ca="1">IFERROR(IF(VLOOKUP(C2465,' Disaggregation - Section E '!A$10:T654,20,0)=0,"",VLOOKUP(C2465,' Disaggregation - Section E '!A$10:T654,20,0)),"")</f>
        <v/>
      </c>
      <c r="N2465" s="503" t="str">
        <f ca="1">IFERROR(IF(VLOOKUP(C2465,' Disaggregation - Section E '!A$10:N654,9,0)=0,"",VLOOKUP(C2465,' Disaggregation - Section E '!A$10:N654,9,0)),"")</f>
        <v/>
      </c>
      <c r="O2465" s="503" t="str">
        <f ca="1">IFERROR(IF(VLOOKUP(C2465,' Disaggregation - Section E '!A$10:N654,10,0)=0,"",VLOOKUP(C2465,' Disaggregation - Section E '!A$10:N654,10,0)),"")</f>
        <v/>
      </c>
    </row>
    <row r="2466" spans="1:15" x14ac:dyDescent="0.35">
      <c r="A2466" s="497" t="b">
        <f t="shared" ca="1" si="224"/>
        <v>0</v>
      </c>
      <c r="B2466" s="497"/>
      <c r="C2466" s="517" t="str">
        <f ca="1">IF(COUNTA(D$2119:D2466)=1,"",OFFSET(B2466,-COUNTA(D$2119:D2466)+1,1))</f>
        <v>a1G3p000005ncDgEAI</v>
      </c>
      <c r="D2466" s="512"/>
      <c r="E2466" s="500" t="str">
        <f ca="1">IFERROR(IF(VLOOKUP(C2466,' Disaggregation - Section E '!A$10:J655,7,0)="","",VLOOKUP(C2466,' Disaggregation - Section E '!A$10:J655,7,0)*100),"")</f>
        <v/>
      </c>
      <c r="F2466" s="503" t="str">
        <f ca="1">IFERROR(IF(VLOOKUP(C2466,' Disaggregation - Section E '!A$10:N655,5,0)=0,"",VLOOKUP(C2466,' Disaggregation - Section E '!A$10:N655,5,0)),"")</f>
        <v/>
      </c>
      <c r="G2466" s="502" t="str">
        <f ca="1">IFERROR(IF(VLOOKUP(C2466,' Disaggregation - Section E '!A$10:N655,6,0)="","",VLOOKUP(C2466,' Disaggregation - Section E '!A$10:N655,6,0)),"")</f>
        <v/>
      </c>
      <c r="H2466" s="512" t="str">
        <f ca="1">IFERROR(IF(INDEX(' Disaggregation - Section E '!F$10:F655,MATCH(C2466,' Disaggregation - Section E '!A$10:A655,0)+1,1)&lt;&gt;0,INDEX(' Disaggregation - Section E '!F$10:F655,MATCH(C2466,' Disaggregation - Section E '!A$10:A655,0)+1,1),""),"")</f>
        <v/>
      </c>
      <c r="I2466" s="503" t="str">
        <f ca="1">IFERROR(IF(VLOOKUP(C2466,' Disaggregation - Section E '!A$10:N655,8,0)=0,"",VLOOKUP(C2466,' Disaggregation - Section E '!A$10:N655,8,0)),"")</f>
        <v/>
      </c>
      <c r="J2466" s="503" t="str">
        <f ca="1">IFERROR(IF(VLOOKUP(C2466,' Disaggregation - Section E '!A$10:N655,13,0)=0,"",VLOOKUP(C2466,' Disaggregation - Section E '!A$10:N655,13,0)),"")</f>
        <v/>
      </c>
      <c r="K2466" s="497" t="str">
        <f ca="1">IFERROR(VLOOKUP(C2466,' Disaggregation - Section E '!A$10:N655,3,0),"")</f>
        <v/>
      </c>
      <c r="L2466" s="503" t="str">
        <f ca="1">IFERROR(IF(VLOOKUP(C2466,' Disaggregation - Section E '!A$10:N655,14,0)=0,"",VLOOKUP(C2466,' Disaggregation - Section E '!A$10:N655,14,0)),"")</f>
        <v/>
      </c>
      <c r="M2466" s="497" t="str">
        <f ca="1">IFERROR(IF(VLOOKUP(C2466,' Disaggregation - Section E '!A$10:T655,20,0)=0,"",VLOOKUP(C2466,' Disaggregation - Section E '!A$10:T655,20,0)),"")</f>
        <v/>
      </c>
      <c r="N2466" s="503" t="str">
        <f ca="1">IFERROR(IF(VLOOKUP(C2466,' Disaggregation - Section E '!A$10:N655,9,0)=0,"",VLOOKUP(C2466,' Disaggregation - Section E '!A$10:N655,9,0)),"")</f>
        <v/>
      </c>
      <c r="O2466" s="503" t="str">
        <f ca="1">IFERROR(IF(VLOOKUP(C2466,' Disaggregation - Section E '!A$10:N655,10,0)=0,"",VLOOKUP(C2466,' Disaggregation - Section E '!A$10:N655,10,0)),"")</f>
        <v/>
      </c>
    </row>
    <row r="2467" spans="1:15" x14ac:dyDescent="0.35">
      <c r="A2467" s="497" t="b">
        <f t="shared" ca="1" si="224"/>
        <v>0</v>
      </c>
      <c r="B2467" s="497"/>
      <c r="C2467" s="517" t="str">
        <f ca="1">IF(COUNTA(D$2119:D2467)=1,"",OFFSET(B2467,-COUNTA(D$2119:D2467)+1,1))</f>
        <v>a1G3p000005ncDhEAI</v>
      </c>
      <c r="D2467" s="512"/>
      <c r="E2467" s="500" t="str">
        <f ca="1">IFERROR(IF(VLOOKUP(C2467,' Disaggregation - Section E '!A$10:J656,7,0)="","",VLOOKUP(C2467,' Disaggregation - Section E '!A$10:J656,7,0)*100),"")</f>
        <v/>
      </c>
      <c r="F2467" s="503" t="str">
        <f ca="1">IFERROR(IF(VLOOKUP(C2467,' Disaggregation - Section E '!A$10:N656,5,0)=0,"",VLOOKUP(C2467,' Disaggregation - Section E '!A$10:N656,5,0)),"")</f>
        <v/>
      </c>
      <c r="G2467" s="502" t="str">
        <f ca="1">IFERROR(IF(VLOOKUP(C2467,' Disaggregation - Section E '!A$10:N656,6,0)="","",VLOOKUP(C2467,' Disaggregation - Section E '!A$10:N656,6,0)),"")</f>
        <v/>
      </c>
      <c r="H2467" s="512" t="str">
        <f ca="1">IFERROR(IF(INDEX(' Disaggregation - Section E '!F$10:F656,MATCH(C2467,' Disaggregation - Section E '!A$10:A656,0)+1,1)&lt;&gt;0,INDEX(' Disaggregation - Section E '!F$10:F656,MATCH(C2467,' Disaggregation - Section E '!A$10:A656,0)+1,1),""),"")</f>
        <v/>
      </c>
      <c r="I2467" s="503" t="str">
        <f ca="1">IFERROR(IF(VLOOKUP(C2467,' Disaggregation - Section E '!A$10:N656,8,0)=0,"",VLOOKUP(C2467,' Disaggregation - Section E '!A$10:N656,8,0)),"")</f>
        <v/>
      </c>
      <c r="J2467" s="503" t="str">
        <f ca="1">IFERROR(IF(VLOOKUP(C2467,' Disaggregation - Section E '!A$10:N656,13,0)=0,"",VLOOKUP(C2467,' Disaggregation - Section E '!A$10:N656,13,0)),"")</f>
        <v/>
      </c>
      <c r="K2467" s="497" t="str">
        <f ca="1">IFERROR(VLOOKUP(C2467,' Disaggregation - Section E '!A$10:N656,3,0),"")</f>
        <v/>
      </c>
      <c r="L2467" s="503" t="str">
        <f ca="1">IFERROR(IF(VLOOKUP(C2467,' Disaggregation - Section E '!A$10:N656,14,0)=0,"",VLOOKUP(C2467,' Disaggregation - Section E '!A$10:N656,14,0)),"")</f>
        <v/>
      </c>
      <c r="M2467" s="497" t="str">
        <f ca="1">IFERROR(IF(VLOOKUP(C2467,' Disaggregation - Section E '!A$10:T656,20,0)=0,"",VLOOKUP(C2467,' Disaggregation - Section E '!A$10:T656,20,0)),"")</f>
        <v/>
      </c>
      <c r="N2467" s="503" t="str">
        <f ca="1">IFERROR(IF(VLOOKUP(C2467,' Disaggregation - Section E '!A$10:N656,9,0)=0,"",VLOOKUP(C2467,' Disaggregation - Section E '!A$10:N656,9,0)),"")</f>
        <v/>
      </c>
      <c r="O2467" s="503" t="str">
        <f ca="1">IFERROR(IF(VLOOKUP(C2467,' Disaggregation - Section E '!A$10:N656,10,0)=0,"",VLOOKUP(C2467,' Disaggregation - Section E '!A$10:N656,10,0)),"")</f>
        <v/>
      </c>
    </row>
    <row r="2468" spans="1:15" x14ac:dyDescent="0.35">
      <c r="A2468" s="497" t="b">
        <f t="shared" ca="1" si="224"/>
        <v>0</v>
      </c>
      <c r="B2468" s="497"/>
      <c r="C2468" s="517" t="str">
        <f ca="1">IF(COUNTA(D$2119:D2468)=1,"",OFFSET(B2468,-COUNTA(D$2119:D2468)+1,1))</f>
        <v>a1G3p000005ncDiEAI</v>
      </c>
      <c r="D2468" s="512"/>
      <c r="E2468" s="500" t="str">
        <f ca="1">IFERROR(IF(VLOOKUP(C2468,' Disaggregation - Section E '!A$10:J657,7,0)="","",VLOOKUP(C2468,' Disaggregation - Section E '!A$10:J657,7,0)*100),"")</f>
        <v/>
      </c>
      <c r="F2468" s="503" t="str">
        <f ca="1">IFERROR(IF(VLOOKUP(C2468,' Disaggregation - Section E '!A$10:N657,5,0)=0,"",VLOOKUP(C2468,' Disaggregation - Section E '!A$10:N657,5,0)),"")</f>
        <v/>
      </c>
      <c r="G2468" s="502" t="str">
        <f ca="1">IFERROR(IF(VLOOKUP(C2468,' Disaggregation - Section E '!A$10:N657,6,0)="","",VLOOKUP(C2468,' Disaggregation - Section E '!A$10:N657,6,0)),"")</f>
        <v/>
      </c>
      <c r="H2468" s="512" t="str">
        <f ca="1">IFERROR(IF(INDEX(' Disaggregation - Section E '!F$10:F657,MATCH(C2468,' Disaggregation - Section E '!A$10:A657,0)+1,1)&lt;&gt;0,INDEX(' Disaggregation - Section E '!F$10:F657,MATCH(C2468,' Disaggregation - Section E '!A$10:A657,0)+1,1),""),"")</f>
        <v/>
      </c>
      <c r="I2468" s="503" t="str">
        <f ca="1">IFERROR(IF(VLOOKUP(C2468,' Disaggregation - Section E '!A$10:N657,8,0)=0,"",VLOOKUP(C2468,' Disaggregation - Section E '!A$10:N657,8,0)),"")</f>
        <v/>
      </c>
      <c r="J2468" s="503" t="str">
        <f ca="1">IFERROR(IF(VLOOKUP(C2468,' Disaggregation - Section E '!A$10:N657,13,0)=0,"",VLOOKUP(C2468,' Disaggregation - Section E '!A$10:N657,13,0)),"")</f>
        <v/>
      </c>
      <c r="K2468" s="497" t="str">
        <f ca="1">IFERROR(VLOOKUP(C2468,' Disaggregation - Section E '!A$10:N657,3,0),"")</f>
        <v/>
      </c>
      <c r="L2468" s="503" t="str">
        <f ca="1">IFERROR(IF(VLOOKUP(C2468,' Disaggregation - Section E '!A$10:N657,14,0)=0,"",VLOOKUP(C2468,' Disaggregation - Section E '!A$10:N657,14,0)),"")</f>
        <v/>
      </c>
      <c r="M2468" s="497" t="str">
        <f ca="1">IFERROR(IF(VLOOKUP(C2468,' Disaggregation - Section E '!A$10:T657,20,0)=0,"",VLOOKUP(C2468,' Disaggregation - Section E '!A$10:T657,20,0)),"")</f>
        <v/>
      </c>
      <c r="N2468" s="503" t="str">
        <f ca="1">IFERROR(IF(VLOOKUP(C2468,' Disaggregation - Section E '!A$10:N657,9,0)=0,"",VLOOKUP(C2468,' Disaggregation - Section E '!A$10:N657,9,0)),"")</f>
        <v/>
      </c>
      <c r="O2468" s="503" t="str">
        <f ca="1">IFERROR(IF(VLOOKUP(C2468,' Disaggregation - Section E '!A$10:N657,10,0)=0,"",VLOOKUP(C2468,' Disaggregation - Section E '!A$10:N657,10,0)),"")</f>
        <v/>
      </c>
    </row>
    <row r="2469" spans="1:15" x14ac:dyDescent="0.35">
      <c r="A2469" s="497" t="b">
        <f t="shared" ca="1" si="224"/>
        <v>0</v>
      </c>
      <c r="B2469" s="497"/>
      <c r="C2469" s="517" t="str">
        <f ca="1">IF(COUNTA(D$2119:D2469)=1,"",OFFSET(B2469,-COUNTA(D$2119:D2469)+1,1))</f>
        <v>a1G3p000005ncDjEAI</v>
      </c>
      <c r="D2469" s="512"/>
      <c r="E2469" s="500" t="str">
        <f ca="1">IFERROR(IF(VLOOKUP(C2469,' Disaggregation - Section E '!A$10:J658,7,0)="","",VLOOKUP(C2469,' Disaggregation - Section E '!A$10:J658,7,0)*100),"")</f>
        <v/>
      </c>
      <c r="F2469" s="503" t="str">
        <f ca="1">IFERROR(IF(VLOOKUP(C2469,' Disaggregation - Section E '!A$10:N658,5,0)=0,"",VLOOKUP(C2469,' Disaggregation - Section E '!A$10:N658,5,0)),"")</f>
        <v/>
      </c>
      <c r="G2469" s="502" t="str">
        <f ca="1">IFERROR(IF(VLOOKUP(C2469,' Disaggregation - Section E '!A$10:N658,6,0)="","",VLOOKUP(C2469,' Disaggregation - Section E '!A$10:N658,6,0)),"")</f>
        <v/>
      </c>
      <c r="H2469" s="512" t="str">
        <f ca="1">IFERROR(IF(INDEX(' Disaggregation - Section E '!F$10:F658,MATCH(C2469,' Disaggregation - Section E '!A$10:A658,0)+1,1)&lt;&gt;0,INDEX(' Disaggregation - Section E '!F$10:F658,MATCH(C2469,' Disaggregation - Section E '!A$10:A658,0)+1,1),""),"")</f>
        <v/>
      </c>
      <c r="I2469" s="503" t="str">
        <f ca="1">IFERROR(IF(VLOOKUP(C2469,' Disaggregation - Section E '!A$10:N658,8,0)=0,"",VLOOKUP(C2469,' Disaggregation - Section E '!A$10:N658,8,0)),"")</f>
        <v/>
      </c>
      <c r="J2469" s="503" t="str">
        <f ca="1">IFERROR(IF(VLOOKUP(C2469,' Disaggregation - Section E '!A$10:N658,13,0)=0,"",VLOOKUP(C2469,' Disaggregation - Section E '!A$10:N658,13,0)),"")</f>
        <v/>
      </c>
      <c r="K2469" s="497" t="str">
        <f ca="1">IFERROR(VLOOKUP(C2469,' Disaggregation - Section E '!A$10:N658,3,0),"")</f>
        <v/>
      </c>
      <c r="L2469" s="503" t="str">
        <f ca="1">IFERROR(IF(VLOOKUP(C2469,' Disaggregation - Section E '!A$10:N658,14,0)=0,"",VLOOKUP(C2469,' Disaggregation - Section E '!A$10:N658,14,0)),"")</f>
        <v/>
      </c>
      <c r="M2469" s="497" t="str">
        <f ca="1">IFERROR(IF(VLOOKUP(C2469,' Disaggregation - Section E '!A$10:T658,20,0)=0,"",VLOOKUP(C2469,' Disaggregation - Section E '!A$10:T658,20,0)),"")</f>
        <v/>
      </c>
      <c r="N2469" s="503" t="str">
        <f ca="1">IFERROR(IF(VLOOKUP(C2469,' Disaggregation - Section E '!A$10:N658,9,0)=0,"",VLOOKUP(C2469,' Disaggregation - Section E '!A$10:N658,9,0)),"")</f>
        <v/>
      </c>
      <c r="O2469" s="503" t="str">
        <f ca="1">IFERROR(IF(VLOOKUP(C2469,' Disaggregation - Section E '!A$10:N658,10,0)=0,"",VLOOKUP(C2469,' Disaggregation - Section E '!A$10:N658,10,0)),"")</f>
        <v/>
      </c>
    </row>
    <row r="2470" spans="1:15" x14ac:dyDescent="0.35">
      <c r="A2470" s="497" t="b">
        <f t="shared" ca="1" si="224"/>
        <v>0</v>
      </c>
      <c r="B2470" s="497"/>
      <c r="C2470" s="517" t="str">
        <f ca="1">IF(COUNTA(D$2119:D2470)=1,"",OFFSET(B2470,-COUNTA(D$2119:D2470)+1,1))</f>
        <v>a1G3p000005ncDkEAI</v>
      </c>
      <c r="D2470" s="512"/>
      <c r="E2470" s="500" t="str">
        <f ca="1">IFERROR(IF(VLOOKUP(C2470,' Disaggregation - Section E '!A$10:J659,7,0)="","",VLOOKUP(C2470,' Disaggregation - Section E '!A$10:J659,7,0)*100),"")</f>
        <v/>
      </c>
      <c r="F2470" s="503" t="str">
        <f ca="1">IFERROR(IF(VLOOKUP(C2470,' Disaggregation - Section E '!A$10:N659,5,0)=0,"",VLOOKUP(C2470,' Disaggregation - Section E '!A$10:N659,5,0)),"")</f>
        <v/>
      </c>
      <c r="G2470" s="502" t="str">
        <f ca="1">IFERROR(IF(VLOOKUP(C2470,' Disaggregation - Section E '!A$10:N659,6,0)="","",VLOOKUP(C2470,' Disaggregation - Section E '!A$10:N659,6,0)),"")</f>
        <v/>
      </c>
      <c r="H2470" s="512" t="str">
        <f ca="1">IFERROR(IF(INDEX(' Disaggregation - Section E '!F$10:F659,MATCH(C2470,' Disaggregation - Section E '!A$10:A659,0)+1,1)&lt;&gt;0,INDEX(' Disaggregation - Section E '!F$10:F659,MATCH(C2470,' Disaggregation - Section E '!A$10:A659,0)+1,1),""),"")</f>
        <v/>
      </c>
      <c r="I2470" s="503" t="str">
        <f ca="1">IFERROR(IF(VLOOKUP(C2470,' Disaggregation - Section E '!A$10:N659,8,0)=0,"",VLOOKUP(C2470,' Disaggregation - Section E '!A$10:N659,8,0)),"")</f>
        <v/>
      </c>
      <c r="J2470" s="503" t="str">
        <f ca="1">IFERROR(IF(VLOOKUP(C2470,' Disaggregation - Section E '!A$10:N659,13,0)=0,"",VLOOKUP(C2470,' Disaggregation - Section E '!A$10:N659,13,0)),"")</f>
        <v/>
      </c>
      <c r="K2470" s="497" t="str">
        <f ca="1">IFERROR(VLOOKUP(C2470,' Disaggregation - Section E '!A$10:N659,3,0),"")</f>
        <v/>
      </c>
      <c r="L2470" s="503" t="str">
        <f ca="1">IFERROR(IF(VLOOKUP(C2470,' Disaggregation - Section E '!A$10:N659,14,0)=0,"",VLOOKUP(C2470,' Disaggregation - Section E '!A$10:N659,14,0)),"")</f>
        <v/>
      </c>
      <c r="M2470" s="497" t="str">
        <f ca="1">IFERROR(IF(VLOOKUP(C2470,' Disaggregation - Section E '!A$10:T659,20,0)=0,"",VLOOKUP(C2470,' Disaggregation - Section E '!A$10:T659,20,0)),"")</f>
        <v/>
      </c>
      <c r="N2470" s="503" t="str">
        <f ca="1">IFERROR(IF(VLOOKUP(C2470,' Disaggregation - Section E '!A$10:N659,9,0)=0,"",VLOOKUP(C2470,' Disaggregation - Section E '!A$10:N659,9,0)),"")</f>
        <v/>
      </c>
      <c r="O2470" s="503" t="str">
        <f ca="1">IFERROR(IF(VLOOKUP(C2470,' Disaggregation - Section E '!A$10:N659,10,0)=0,"",VLOOKUP(C2470,' Disaggregation - Section E '!A$10:N659,10,0)),"")</f>
        <v/>
      </c>
    </row>
    <row r="2471" spans="1:15" x14ac:dyDescent="0.35">
      <c r="A2471" s="497" t="b">
        <f t="shared" ca="1" si="224"/>
        <v>0</v>
      </c>
      <c r="B2471" s="497"/>
      <c r="C2471" s="517" t="str">
        <f ca="1">IF(COUNTA(D$2119:D2471)=1,"",OFFSET(B2471,-COUNTA(D$2119:D2471)+1,1))</f>
        <v>a1G3p000005ncG1EAI</v>
      </c>
      <c r="D2471" s="512"/>
      <c r="E2471" s="500" t="str">
        <f ca="1">IFERROR(IF(VLOOKUP(C2471,' Disaggregation - Section E '!A$10:J660,7,0)="","",VLOOKUP(C2471,' Disaggregation - Section E '!A$10:J660,7,0)*100),"")</f>
        <v/>
      </c>
      <c r="F2471" s="503" t="str">
        <f ca="1">IFERROR(IF(VLOOKUP(C2471,' Disaggregation - Section E '!A$10:N660,5,0)=0,"",VLOOKUP(C2471,' Disaggregation - Section E '!A$10:N660,5,0)),"")</f>
        <v/>
      </c>
      <c r="G2471" s="502" t="str">
        <f ca="1">IFERROR(IF(VLOOKUP(C2471,' Disaggregation - Section E '!A$10:N660,6,0)="","",VLOOKUP(C2471,' Disaggregation - Section E '!A$10:N660,6,0)),"")</f>
        <v/>
      </c>
      <c r="H2471" s="512" t="str">
        <f ca="1">IFERROR(IF(INDEX(' Disaggregation - Section E '!F$10:F660,MATCH(C2471,' Disaggregation - Section E '!A$10:A660,0)+1,1)&lt;&gt;0,INDEX(' Disaggregation - Section E '!F$10:F660,MATCH(C2471,' Disaggregation - Section E '!A$10:A660,0)+1,1),""),"")</f>
        <v/>
      </c>
      <c r="I2471" s="503" t="str">
        <f ca="1">IFERROR(IF(VLOOKUP(C2471,' Disaggregation - Section E '!A$10:N660,8,0)=0,"",VLOOKUP(C2471,' Disaggregation - Section E '!A$10:N660,8,0)),"")</f>
        <v/>
      </c>
      <c r="J2471" s="503" t="str">
        <f ca="1">IFERROR(IF(VLOOKUP(C2471,' Disaggregation - Section E '!A$10:N660,13,0)=0,"",VLOOKUP(C2471,' Disaggregation - Section E '!A$10:N660,13,0)),"")</f>
        <v/>
      </c>
      <c r="K2471" s="497" t="str">
        <f ca="1">IFERROR(VLOOKUP(C2471,' Disaggregation - Section E '!A$10:N660,3,0),"")</f>
        <v/>
      </c>
      <c r="L2471" s="503" t="str">
        <f ca="1">IFERROR(IF(VLOOKUP(C2471,' Disaggregation - Section E '!A$10:N660,14,0)=0,"",VLOOKUP(C2471,' Disaggregation - Section E '!A$10:N660,14,0)),"")</f>
        <v/>
      </c>
      <c r="M2471" s="497" t="str">
        <f ca="1">IFERROR(IF(VLOOKUP(C2471,' Disaggregation - Section E '!A$10:T660,20,0)=0,"",VLOOKUP(C2471,' Disaggregation - Section E '!A$10:T660,20,0)),"")</f>
        <v/>
      </c>
      <c r="N2471" s="503" t="str">
        <f ca="1">IFERROR(IF(VLOOKUP(C2471,' Disaggregation - Section E '!A$10:N660,9,0)=0,"",VLOOKUP(C2471,' Disaggregation - Section E '!A$10:N660,9,0)),"")</f>
        <v/>
      </c>
      <c r="O2471" s="503" t="str">
        <f ca="1">IFERROR(IF(VLOOKUP(C2471,' Disaggregation - Section E '!A$10:N660,10,0)=0,"",VLOOKUP(C2471,' Disaggregation - Section E '!A$10:N660,10,0)),"")</f>
        <v/>
      </c>
    </row>
    <row r="2472" spans="1:15" x14ac:dyDescent="0.35">
      <c r="A2472" s="497" t="b">
        <f t="shared" ca="1" si="224"/>
        <v>0</v>
      </c>
      <c r="B2472" s="497"/>
      <c r="C2472" s="517" t="str">
        <f ca="1">IF(COUNTA(D$2119:D2472)=1,"",OFFSET(B2472,-COUNTA(D$2119:D2472)+1,1))</f>
        <v>a1G3p000005ncG2EAI</v>
      </c>
      <c r="D2472" s="512"/>
      <c r="E2472" s="500" t="str">
        <f ca="1">IFERROR(IF(VLOOKUP(C2472,' Disaggregation - Section E '!A$10:J661,7,0)="","",VLOOKUP(C2472,' Disaggregation - Section E '!A$10:J661,7,0)*100),"")</f>
        <v/>
      </c>
      <c r="F2472" s="503" t="str">
        <f ca="1">IFERROR(IF(VLOOKUP(C2472,' Disaggregation - Section E '!A$10:N661,5,0)=0,"",VLOOKUP(C2472,' Disaggregation - Section E '!A$10:N661,5,0)),"")</f>
        <v/>
      </c>
      <c r="G2472" s="502" t="str">
        <f ca="1">IFERROR(IF(VLOOKUP(C2472,' Disaggregation - Section E '!A$10:N661,6,0)="","",VLOOKUP(C2472,' Disaggregation - Section E '!A$10:N661,6,0)),"")</f>
        <v/>
      </c>
      <c r="H2472" s="512" t="str">
        <f ca="1">IFERROR(IF(INDEX(' Disaggregation - Section E '!F$10:F661,MATCH(C2472,' Disaggregation - Section E '!A$10:A661,0)+1,1)&lt;&gt;0,INDEX(' Disaggregation - Section E '!F$10:F661,MATCH(C2472,' Disaggregation - Section E '!A$10:A661,0)+1,1),""),"")</f>
        <v/>
      </c>
      <c r="I2472" s="503" t="str">
        <f ca="1">IFERROR(IF(VLOOKUP(C2472,' Disaggregation - Section E '!A$10:N661,8,0)=0,"",VLOOKUP(C2472,' Disaggregation - Section E '!A$10:N661,8,0)),"")</f>
        <v/>
      </c>
      <c r="J2472" s="503" t="str">
        <f ca="1">IFERROR(IF(VLOOKUP(C2472,' Disaggregation - Section E '!A$10:N661,13,0)=0,"",VLOOKUP(C2472,' Disaggregation - Section E '!A$10:N661,13,0)),"")</f>
        <v/>
      </c>
      <c r="K2472" s="497" t="str">
        <f ca="1">IFERROR(VLOOKUP(C2472,' Disaggregation - Section E '!A$10:N661,3,0),"")</f>
        <v/>
      </c>
      <c r="L2472" s="503" t="str">
        <f ca="1">IFERROR(IF(VLOOKUP(C2472,' Disaggregation - Section E '!A$10:N661,14,0)=0,"",VLOOKUP(C2472,' Disaggregation - Section E '!A$10:N661,14,0)),"")</f>
        <v/>
      </c>
      <c r="M2472" s="497" t="str">
        <f ca="1">IFERROR(IF(VLOOKUP(C2472,' Disaggregation - Section E '!A$10:T661,20,0)=0,"",VLOOKUP(C2472,' Disaggregation - Section E '!A$10:T661,20,0)),"")</f>
        <v/>
      </c>
      <c r="N2472" s="503" t="str">
        <f ca="1">IFERROR(IF(VLOOKUP(C2472,' Disaggregation - Section E '!A$10:N661,9,0)=0,"",VLOOKUP(C2472,' Disaggregation - Section E '!A$10:N661,9,0)),"")</f>
        <v/>
      </c>
      <c r="O2472" s="503" t="str">
        <f ca="1">IFERROR(IF(VLOOKUP(C2472,' Disaggregation - Section E '!A$10:N661,10,0)=0,"",VLOOKUP(C2472,' Disaggregation - Section E '!A$10:N661,10,0)),"")</f>
        <v/>
      </c>
    </row>
    <row r="2473" spans="1:15" x14ac:dyDescent="0.35">
      <c r="A2473" s="497" t="b">
        <f t="shared" ca="1" si="224"/>
        <v>0</v>
      </c>
      <c r="B2473" s="497"/>
      <c r="C2473" s="517" t="str">
        <f ca="1">IF(COUNTA(D$2119:D2473)=1,"",OFFSET(B2473,-COUNTA(D$2119:D2473)+1,1))</f>
        <v>a1G3p000005ncG3EAI</v>
      </c>
      <c r="D2473" s="512"/>
      <c r="E2473" s="500" t="str">
        <f ca="1">IFERROR(IF(VLOOKUP(C2473,' Disaggregation - Section E '!A$10:J662,7,0)="","",VLOOKUP(C2473,' Disaggregation - Section E '!A$10:J662,7,0)*100),"")</f>
        <v/>
      </c>
      <c r="F2473" s="503" t="str">
        <f ca="1">IFERROR(IF(VLOOKUP(C2473,' Disaggregation - Section E '!A$10:N662,5,0)=0,"",VLOOKUP(C2473,' Disaggregation - Section E '!A$10:N662,5,0)),"")</f>
        <v/>
      </c>
      <c r="G2473" s="502" t="str">
        <f ca="1">IFERROR(IF(VLOOKUP(C2473,' Disaggregation - Section E '!A$10:N662,6,0)="","",VLOOKUP(C2473,' Disaggregation - Section E '!A$10:N662,6,0)),"")</f>
        <v/>
      </c>
      <c r="H2473" s="512" t="str">
        <f ca="1">IFERROR(IF(INDEX(' Disaggregation - Section E '!F$10:F662,MATCH(C2473,' Disaggregation - Section E '!A$10:A662,0)+1,1)&lt;&gt;0,INDEX(' Disaggregation - Section E '!F$10:F662,MATCH(C2473,' Disaggregation - Section E '!A$10:A662,0)+1,1),""),"")</f>
        <v/>
      </c>
      <c r="I2473" s="503" t="str">
        <f ca="1">IFERROR(IF(VLOOKUP(C2473,' Disaggregation - Section E '!A$10:N662,8,0)=0,"",VLOOKUP(C2473,' Disaggregation - Section E '!A$10:N662,8,0)),"")</f>
        <v/>
      </c>
      <c r="J2473" s="503" t="str">
        <f ca="1">IFERROR(IF(VLOOKUP(C2473,' Disaggregation - Section E '!A$10:N662,13,0)=0,"",VLOOKUP(C2473,' Disaggregation - Section E '!A$10:N662,13,0)),"")</f>
        <v/>
      </c>
      <c r="K2473" s="497" t="str">
        <f ca="1">IFERROR(VLOOKUP(C2473,' Disaggregation - Section E '!A$10:N662,3,0),"")</f>
        <v/>
      </c>
      <c r="L2473" s="503" t="str">
        <f ca="1">IFERROR(IF(VLOOKUP(C2473,' Disaggregation - Section E '!A$10:N662,14,0)=0,"",VLOOKUP(C2473,' Disaggregation - Section E '!A$10:N662,14,0)),"")</f>
        <v/>
      </c>
      <c r="M2473" s="497" t="str">
        <f ca="1">IFERROR(IF(VLOOKUP(C2473,' Disaggregation - Section E '!A$10:T662,20,0)=0,"",VLOOKUP(C2473,' Disaggregation - Section E '!A$10:T662,20,0)),"")</f>
        <v/>
      </c>
      <c r="N2473" s="503" t="str">
        <f ca="1">IFERROR(IF(VLOOKUP(C2473,' Disaggregation - Section E '!A$10:N662,9,0)=0,"",VLOOKUP(C2473,' Disaggregation - Section E '!A$10:N662,9,0)),"")</f>
        <v/>
      </c>
      <c r="O2473" s="503" t="str">
        <f ca="1">IFERROR(IF(VLOOKUP(C2473,' Disaggregation - Section E '!A$10:N662,10,0)=0,"",VLOOKUP(C2473,' Disaggregation - Section E '!A$10:N662,10,0)),"")</f>
        <v/>
      </c>
    </row>
    <row r="2474" spans="1:15" x14ac:dyDescent="0.35">
      <c r="A2474" s="497" t="b">
        <f t="shared" ca="1" si="224"/>
        <v>0</v>
      </c>
      <c r="B2474" s="497"/>
      <c r="C2474" s="517" t="str">
        <f ca="1">IF(COUNTA(D$2119:D2474)=1,"",OFFSET(B2474,-COUNTA(D$2119:D2474)+1,1))</f>
        <v>a1G3p000005ncG4EAI</v>
      </c>
      <c r="D2474" s="512"/>
      <c r="E2474" s="500" t="str">
        <f ca="1">IFERROR(IF(VLOOKUP(C2474,' Disaggregation - Section E '!A$10:J663,7,0)="","",VLOOKUP(C2474,' Disaggregation - Section E '!A$10:J663,7,0)*100),"")</f>
        <v/>
      </c>
      <c r="F2474" s="503" t="str">
        <f ca="1">IFERROR(IF(VLOOKUP(C2474,' Disaggregation - Section E '!A$10:N663,5,0)=0,"",VLOOKUP(C2474,' Disaggregation - Section E '!A$10:N663,5,0)),"")</f>
        <v/>
      </c>
      <c r="G2474" s="502" t="str">
        <f ca="1">IFERROR(IF(VLOOKUP(C2474,' Disaggregation - Section E '!A$10:N663,6,0)="","",VLOOKUP(C2474,' Disaggregation - Section E '!A$10:N663,6,0)),"")</f>
        <v/>
      </c>
      <c r="H2474" s="512" t="str">
        <f ca="1">IFERROR(IF(INDEX(' Disaggregation - Section E '!F$10:F663,MATCH(C2474,' Disaggregation - Section E '!A$10:A663,0)+1,1)&lt;&gt;0,INDEX(' Disaggregation - Section E '!F$10:F663,MATCH(C2474,' Disaggregation - Section E '!A$10:A663,0)+1,1),""),"")</f>
        <v/>
      </c>
      <c r="I2474" s="503" t="str">
        <f ca="1">IFERROR(IF(VLOOKUP(C2474,' Disaggregation - Section E '!A$10:N663,8,0)=0,"",VLOOKUP(C2474,' Disaggregation - Section E '!A$10:N663,8,0)),"")</f>
        <v/>
      </c>
      <c r="J2474" s="503" t="str">
        <f ca="1">IFERROR(IF(VLOOKUP(C2474,' Disaggregation - Section E '!A$10:N663,13,0)=0,"",VLOOKUP(C2474,' Disaggregation - Section E '!A$10:N663,13,0)),"")</f>
        <v/>
      </c>
      <c r="K2474" s="497" t="str">
        <f ca="1">IFERROR(VLOOKUP(C2474,' Disaggregation - Section E '!A$10:N663,3,0),"")</f>
        <v/>
      </c>
      <c r="L2474" s="503" t="str">
        <f ca="1">IFERROR(IF(VLOOKUP(C2474,' Disaggregation - Section E '!A$10:N663,14,0)=0,"",VLOOKUP(C2474,' Disaggregation - Section E '!A$10:N663,14,0)),"")</f>
        <v/>
      </c>
      <c r="M2474" s="497" t="str">
        <f ca="1">IFERROR(IF(VLOOKUP(C2474,' Disaggregation - Section E '!A$10:T663,20,0)=0,"",VLOOKUP(C2474,' Disaggregation - Section E '!A$10:T663,20,0)),"")</f>
        <v/>
      </c>
      <c r="N2474" s="503" t="str">
        <f ca="1">IFERROR(IF(VLOOKUP(C2474,' Disaggregation - Section E '!A$10:N663,9,0)=0,"",VLOOKUP(C2474,' Disaggregation - Section E '!A$10:N663,9,0)),"")</f>
        <v/>
      </c>
      <c r="O2474" s="503" t="str">
        <f ca="1">IFERROR(IF(VLOOKUP(C2474,' Disaggregation - Section E '!A$10:N663,10,0)=0,"",VLOOKUP(C2474,' Disaggregation - Section E '!A$10:N663,10,0)),"")</f>
        <v/>
      </c>
    </row>
    <row r="2475" spans="1:15" x14ac:dyDescent="0.35">
      <c r="A2475" s="497" t="b">
        <f t="shared" ca="1" si="224"/>
        <v>0</v>
      </c>
      <c r="B2475" s="497"/>
      <c r="C2475" s="517" t="str">
        <f ca="1">IF(COUNTA(D$2119:D2475)=1,"",OFFSET(B2475,-COUNTA(D$2119:D2475)+1,1))</f>
        <v>a1G3p000005ncG5EAI</v>
      </c>
      <c r="D2475" s="512"/>
      <c r="E2475" s="500" t="str">
        <f ca="1">IFERROR(IF(VLOOKUP(C2475,' Disaggregation - Section E '!A$10:J664,7,0)="","",VLOOKUP(C2475,' Disaggregation - Section E '!A$10:J664,7,0)*100),"")</f>
        <v/>
      </c>
      <c r="F2475" s="503" t="str">
        <f ca="1">IFERROR(IF(VLOOKUP(C2475,' Disaggregation - Section E '!A$10:N664,5,0)=0,"",VLOOKUP(C2475,' Disaggregation - Section E '!A$10:N664,5,0)),"")</f>
        <v/>
      </c>
      <c r="G2475" s="502" t="str">
        <f ca="1">IFERROR(IF(VLOOKUP(C2475,' Disaggregation - Section E '!A$10:N664,6,0)="","",VLOOKUP(C2475,' Disaggregation - Section E '!A$10:N664,6,0)),"")</f>
        <v/>
      </c>
      <c r="H2475" s="512" t="str">
        <f ca="1">IFERROR(IF(INDEX(' Disaggregation - Section E '!F$10:F664,MATCH(C2475,' Disaggregation - Section E '!A$10:A664,0)+1,1)&lt;&gt;0,INDEX(' Disaggregation - Section E '!F$10:F664,MATCH(C2475,' Disaggregation - Section E '!A$10:A664,0)+1,1),""),"")</f>
        <v/>
      </c>
      <c r="I2475" s="503" t="str">
        <f ca="1">IFERROR(IF(VLOOKUP(C2475,' Disaggregation - Section E '!A$10:N664,8,0)=0,"",VLOOKUP(C2475,' Disaggregation - Section E '!A$10:N664,8,0)),"")</f>
        <v/>
      </c>
      <c r="J2475" s="503" t="str">
        <f ca="1">IFERROR(IF(VLOOKUP(C2475,' Disaggregation - Section E '!A$10:N664,13,0)=0,"",VLOOKUP(C2475,' Disaggregation - Section E '!A$10:N664,13,0)),"")</f>
        <v/>
      </c>
      <c r="K2475" s="497" t="str">
        <f ca="1">IFERROR(VLOOKUP(C2475,' Disaggregation - Section E '!A$10:N664,3,0),"")</f>
        <v/>
      </c>
      <c r="L2475" s="503" t="str">
        <f ca="1">IFERROR(IF(VLOOKUP(C2475,' Disaggregation - Section E '!A$10:N664,14,0)=0,"",VLOOKUP(C2475,' Disaggregation - Section E '!A$10:N664,14,0)),"")</f>
        <v/>
      </c>
      <c r="M2475" s="497" t="str">
        <f ca="1">IFERROR(IF(VLOOKUP(C2475,' Disaggregation - Section E '!A$10:T664,20,0)=0,"",VLOOKUP(C2475,' Disaggregation - Section E '!A$10:T664,20,0)),"")</f>
        <v/>
      </c>
      <c r="N2475" s="503" t="str">
        <f ca="1">IFERROR(IF(VLOOKUP(C2475,' Disaggregation - Section E '!A$10:N664,9,0)=0,"",VLOOKUP(C2475,' Disaggregation - Section E '!A$10:N664,9,0)),"")</f>
        <v/>
      </c>
      <c r="O2475" s="503" t="str">
        <f ca="1">IFERROR(IF(VLOOKUP(C2475,' Disaggregation - Section E '!A$10:N664,10,0)=0,"",VLOOKUP(C2475,' Disaggregation - Section E '!A$10:N664,10,0)),"")</f>
        <v/>
      </c>
    </row>
    <row r="2476" spans="1:15" x14ac:dyDescent="0.35">
      <c r="A2476" s="497" t="b">
        <f t="shared" ca="1" si="224"/>
        <v>0</v>
      </c>
      <c r="B2476" s="497"/>
      <c r="C2476" s="517" t="str">
        <f ca="1">IF(COUNTA(D$2119:D2476)=1,"",OFFSET(B2476,-COUNTA(D$2119:D2476)+1,1))</f>
        <v>a1G3p000005ncG6EAI</v>
      </c>
      <c r="D2476" s="512"/>
      <c r="E2476" s="500" t="str">
        <f ca="1">IFERROR(IF(VLOOKUP(C2476,' Disaggregation - Section E '!A$10:J665,7,0)="","",VLOOKUP(C2476,' Disaggregation - Section E '!A$10:J665,7,0)*100),"")</f>
        <v/>
      </c>
      <c r="F2476" s="503" t="str">
        <f ca="1">IFERROR(IF(VLOOKUP(C2476,' Disaggregation - Section E '!A$10:N665,5,0)=0,"",VLOOKUP(C2476,' Disaggregation - Section E '!A$10:N665,5,0)),"")</f>
        <v/>
      </c>
      <c r="G2476" s="502" t="str">
        <f ca="1">IFERROR(IF(VLOOKUP(C2476,' Disaggregation - Section E '!A$10:N665,6,0)="","",VLOOKUP(C2476,' Disaggregation - Section E '!A$10:N665,6,0)),"")</f>
        <v/>
      </c>
      <c r="H2476" s="512" t="str">
        <f ca="1">IFERROR(IF(INDEX(' Disaggregation - Section E '!F$10:F665,MATCH(C2476,' Disaggregation - Section E '!A$10:A665,0)+1,1)&lt;&gt;0,INDEX(' Disaggregation - Section E '!F$10:F665,MATCH(C2476,' Disaggregation - Section E '!A$10:A665,0)+1,1),""),"")</f>
        <v/>
      </c>
      <c r="I2476" s="503" t="str">
        <f ca="1">IFERROR(IF(VLOOKUP(C2476,' Disaggregation - Section E '!A$10:N665,8,0)=0,"",VLOOKUP(C2476,' Disaggregation - Section E '!A$10:N665,8,0)),"")</f>
        <v/>
      </c>
      <c r="J2476" s="503" t="str">
        <f ca="1">IFERROR(IF(VLOOKUP(C2476,' Disaggregation - Section E '!A$10:N665,13,0)=0,"",VLOOKUP(C2476,' Disaggregation - Section E '!A$10:N665,13,0)),"")</f>
        <v/>
      </c>
      <c r="K2476" s="497" t="str">
        <f ca="1">IFERROR(VLOOKUP(C2476,' Disaggregation - Section E '!A$10:N665,3,0),"")</f>
        <v/>
      </c>
      <c r="L2476" s="503" t="str">
        <f ca="1">IFERROR(IF(VLOOKUP(C2476,' Disaggregation - Section E '!A$10:N665,14,0)=0,"",VLOOKUP(C2476,' Disaggregation - Section E '!A$10:N665,14,0)),"")</f>
        <v/>
      </c>
      <c r="M2476" s="497" t="str">
        <f ca="1">IFERROR(IF(VLOOKUP(C2476,' Disaggregation - Section E '!A$10:T665,20,0)=0,"",VLOOKUP(C2476,' Disaggregation - Section E '!A$10:T665,20,0)),"")</f>
        <v/>
      </c>
      <c r="N2476" s="503" t="str">
        <f ca="1">IFERROR(IF(VLOOKUP(C2476,' Disaggregation - Section E '!A$10:N665,9,0)=0,"",VLOOKUP(C2476,' Disaggregation - Section E '!A$10:N665,9,0)),"")</f>
        <v/>
      </c>
      <c r="O2476" s="503" t="str">
        <f ca="1">IFERROR(IF(VLOOKUP(C2476,' Disaggregation - Section E '!A$10:N665,10,0)=0,"",VLOOKUP(C2476,' Disaggregation - Section E '!A$10:N665,10,0)),"")</f>
        <v/>
      </c>
    </row>
    <row r="2477" spans="1:15" x14ac:dyDescent="0.35">
      <c r="A2477" s="497" t="b">
        <f t="shared" ca="1" si="224"/>
        <v>0</v>
      </c>
      <c r="B2477" s="497"/>
      <c r="C2477" s="517" t="str">
        <f ca="1">IF(COUNTA(D$2119:D2477)=1,"",OFFSET(B2477,-COUNTA(D$2119:D2477)+1,1))</f>
        <v>a1G3p000005ncG7EAI</v>
      </c>
      <c r="D2477" s="512"/>
      <c r="E2477" s="500" t="str">
        <f ca="1">IFERROR(IF(VLOOKUP(C2477,' Disaggregation - Section E '!A$10:J666,7,0)="","",VLOOKUP(C2477,' Disaggregation - Section E '!A$10:J666,7,0)*100),"")</f>
        <v/>
      </c>
      <c r="F2477" s="503" t="str">
        <f ca="1">IFERROR(IF(VLOOKUP(C2477,' Disaggregation - Section E '!A$10:N666,5,0)=0,"",VLOOKUP(C2477,' Disaggregation - Section E '!A$10:N666,5,0)),"")</f>
        <v/>
      </c>
      <c r="G2477" s="502" t="str">
        <f ca="1">IFERROR(IF(VLOOKUP(C2477,' Disaggregation - Section E '!A$10:N666,6,0)="","",VLOOKUP(C2477,' Disaggregation - Section E '!A$10:N666,6,0)),"")</f>
        <v/>
      </c>
      <c r="H2477" s="512" t="str">
        <f ca="1">IFERROR(IF(INDEX(' Disaggregation - Section E '!F$10:F666,MATCH(C2477,' Disaggregation - Section E '!A$10:A666,0)+1,1)&lt;&gt;0,INDEX(' Disaggregation - Section E '!F$10:F666,MATCH(C2477,' Disaggregation - Section E '!A$10:A666,0)+1,1),""),"")</f>
        <v/>
      </c>
      <c r="I2477" s="503" t="str">
        <f ca="1">IFERROR(IF(VLOOKUP(C2477,' Disaggregation - Section E '!A$10:N666,8,0)=0,"",VLOOKUP(C2477,' Disaggregation - Section E '!A$10:N666,8,0)),"")</f>
        <v/>
      </c>
      <c r="J2477" s="503" t="str">
        <f ca="1">IFERROR(IF(VLOOKUP(C2477,' Disaggregation - Section E '!A$10:N666,13,0)=0,"",VLOOKUP(C2477,' Disaggregation - Section E '!A$10:N666,13,0)),"")</f>
        <v/>
      </c>
      <c r="K2477" s="497" t="str">
        <f ca="1">IFERROR(VLOOKUP(C2477,' Disaggregation - Section E '!A$10:N666,3,0),"")</f>
        <v/>
      </c>
      <c r="L2477" s="503" t="str">
        <f ca="1">IFERROR(IF(VLOOKUP(C2477,' Disaggregation - Section E '!A$10:N666,14,0)=0,"",VLOOKUP(C2477,' Disaggregation - Section E '!A$10:N666,14,0)),"")</f>
        <v/>
      </c>
      <c r="M2477" s="497" t="str">
        <f ca="1">IFERROR(IF(VLOOKUP(C2477,' Disaggregation - Section E '!A$10:T666,20,0)=0,"",VLOOKUP(C2477,' Disaggregation - Section E '!A$10:T666,20,0)),"")</f>
        <v/>
      </c>
      <c r="N2477" s="503" t="str">
        <f ca="1">IFERROR(IF(VLOOKUP(C2477,' Disaggregation - Section E '!A$10:N666,9,0)=0,"",VLOOKUP(C2477,' Disaggregation - Section E '!A$10:N666,9,0)),"")</f>
        <v/>
      </c>
      <c r="O2477" s="503" t="str">
        <f ca="1">IFERROR(IF(VLOOKUP(C2477,' Disaggregation - Section E '!A$10:N666,10,0)=0,"",VLOOKUP(C2477,' Disaggregation - Section E '!A$10:N666,10,0)),"")</f>
        <v/>
      </c>
    </row>
    <row r="2478" spans="1:15" x14ac:dyDescent="0.35">
      <c r="A2478" s="497" t="b">
        <f t="shared" ca="1" si="224"/>
        <v>0</v>
      </c>
      <c r="B2478" s="497"/>
      <c r="C2478" s="517" t="str">
        <f ca="1">IF(COUNTA(D$2119:D2478)=1,"",OFFSET(B2478,-COUNTA(D$2119:D2478)+1,1))</f>
        <v>a1G3p000005ncG8EAI</v>
      </c>
      <c r="D2478" s="512"/>
      <c r="E2478" s="500" t="str">
        <f ca="1">IFERROR(IF(VLOOKUP(C2478,' Disaggregation - Section E '!A$10:J667,7,0)="","",VLOOKUP(C2478,' Disaggregation - Section E '!A$10:J667,7,0)*100),"")</f>
        <v/>
      </c>
      <c r="F2478" s="503" t="str">
        <f ca="1">IFERROR(IF(VLOOKUP(C2478,' Disaggregation - Section E '!A$10:N667,5,0)=0,"",VLOOKUP(C2478,' Disaggregation - Section E '!A$10:N667,5,0)),"")</f>
        <v/>
      </c>
      <c r="G2478" s="502" t="str">
        <f ca="1">IFERROR(IF(VLOOKUP(C2478,' Disaggregation - Section E '!A$10:N667,6,0)="","",VLOOKUP(C2478,' Disaggregation - Section E '!A$10:N667,6,0)),"")</f>
        <v/>
      </c>
      <c r="H2478" s="512" t="str">
        <f ca="1">IFERROR(IF(INDEX(' Disaggregation - Section E '!F$10:F667,MATCH(C2478,' Disaggregation - Section E '!A$10:A667,0)+1,1)&lt;&gt;0,INDEX(' Disaggregation - Section E '!F$10:F667,MATCH(C2478,' Disaggregation - Section E '!A$10:A667,0)+1,1),""),"")</f>
        <v/>
      </c>
      <c r="I2478" s="503" t="str">
        <f ca="1">IFERROR(IF(VLOOKUP(C2478,' Disaggregation - Section E '!A$10:N667,8,0)=0,"",VLOOKUP(C2478,' Disaggregation - Section E '!A$10:N667,8,0)),"")</f>
        <v/>
      </c>
      <c r="J2478" s="503" t="str">
        <f ca="1">IFERROR(IF(VLOOKUP(C2478,' Disaggregation - Section E '!A$10:N667,13,0)=0,"",VLOOKUP(C2478,' Disaggregation - Section E '!A$10:N667,13,0)),"")</f>
        <v/>
      </c>
      <c r="K2478" s="497" t="str">
        <f ca="1">IFERROR(VLOOKUP(C2478,' Disaggregation - Section E '!A$10:N667,3,0),"")</f>
        <v/>
      </c>
      <c r="L2478" s="503" t="str">
        <f ca="1">IFERROR(IF(VLOOKUP(C2478,' Disaggregation - Section E '!A$10:N667,14,0)=0,"",VLOOKUP(C2478,' Disaggregation - Section E '!A$10:N667,14,0)),"")</f>
        <v/>
      </c>
      <c r="M2478" s="497" t="str">
        <f ca="1">IFERROR(IF(VLOOKUP(C2478,' Disaggregation - Section E '!A$10:T667,20,0)=0,"",VLOOKUP(C2478,' Disaggregation - Section E '!A$10:T667,20,0)),"")</f>
        <v/>
      </c>
      <c r="N2478" s="503" t="str">
        <f ca="1">IFERROR(IF(VLOOKUP(C2478,' Disaggregation - Section E '!A$10:N667,9,0)=0,"",VLOOKUP(C2478,' Disaggregation - Section E '!A$10:N667,9,0)),"")</f>
        <v/>
      </c>
      <c r="O2478" s="503" t="str">
        <f ca="1">IFERROR(IF(VLOOKUP(C2478,' Disaggregation - Section E '!A$10:N667,10,0)=0,"",VLOOKUP(C2478,' Disaggregation - Section E '!A$10:N667,10,0)),"")</f>
        <v/>
      </c>
    </row>
    <row r="2479" spans="1:15" x14ac:dyDescent="0.35">
      <c r="A2479" s="497" t="b">
        <f t="shared" ca="1" si="224"/>
        <v>0</v>
      </c>
      <c r="B2479" s="497"/>
      <c r="C2479" s="517" t="str">
        <f ca="1">IF(COUNTA(D$2119:D2479)=1,"",OFFSET(B2479,-COUNTA(D$2119:D2479)+1,1))</f>
        <v>a1G3p000005ncG9EAI</v>
      </c>
      <c r="D2479" s="512"/>
      <c r="E2479" s="500" t="str">
        <f ca="1">IFERROR(IF(VLOOKUP(C2479,' Disaggregation - Section E '!A$10:J668,7,0)="","",VLOOKUP(C2479,' Disaggregation - Section E '!A$10:J668,7,0)*100),"")</f>
        <v/>
      </c>
      <c r="F2479" s="503" t="str">
        <f ca="1">IFERROR(IF(VLOOKUP(C2479,' Disaggregation - Section E '!A$10:N668,5,0)=0,"",VLOOKUP(C2479,' Disaggregation - Section E '!A$10:N668,5,0)),"")</f>
        <v/>
      </c>
      <c r="G2479" s="502" t="str">
        <f ca="1">IFERROR(IF(VLOOKUP(C2479,' Disaggregation - Section E '!A$10:N668,6,0)="","",VLOOKUP(C2479,' Disaggregation - Section E '!A$10:N668,6,0)),"")</f>
        <v/>
      </c>
      <c r="H2479" s="512" t="str">
        <f ca="1">IFERROR(IF(INDEX(' Disaggregation - Section E '!F$10:F668,MATCH(C2479,' Disaggregation - Section E '!A$10:A668,0)+1,1)&lt;&gt;0,INDEX(' Disaggregation - Section E '!F$10:F668,MATCH(C2479,' Disaggregation - Section E '!A$10:A668,0)+1,1),""),"")</f>
        <v/>
      </c>
      <c r="I2479" s="503" t="str">
        <f ca="1">IFERROR(IF(VLOOKUP(C2479,' Disaggregation - Section E '!A$10:N668,8,0)=0,"",VLOOKUP(C2479,' Disaggregation - Section E '!A$10:N668,8,0)),"")</f>
        <v/>
      </c>
      <c r="J2479" s="503" t="str">
        <f ca="1">IFERROR(IF(VLOOKUP(C2479,' Disaggregation - Section E '!A$10:N668,13,0)=0,"",VLOOKUP(C2479,' Disaggregation - Section E '!A$10:N668,13,0)),"")</f>
        <v/>
      </c>
      <c r="K2479" s="497" t="str">
        <f ca="1">IFERROR(VLOOKUP(C2479,' Disaggregation - Section E '!A$10:N668,3,0),"")</f>
        <v/>
      </c>
      <c r="L2479" s="503" t="str">
        <f ca="1">IFERROR(IF(VLOOKUP(C2479,' Disaggregation - Section E '!A$10:N668,14,0)=0,"",VLOOKUP(C2479,' Disaggregation - Section E '!A$10:N668,14,0)),"")</f>
        <v/>
      </c>
      <c r="M2479" s="497" t="str">
        <f ca="1">IFERROR(IF(VLOOKUP(C2479,' Disaggregation - Section E '!A$10:T668,20,0)=0,"",VLOOKUP(C2479,' Disaggregation - Section E '!A$10:T668,20,0)),"")</f>
        <v/>
      </c>
      <c r="N2479" s="503" t="str">
        <f ca="1">IFERROR(IF(VLOOKUP(C2479,' Disaggregation - Section E '!A$10:N668,9,0)=0,"",VLOOKUP(C2479,' Disaggregation - Section E '!A$10:N668,9,0)),"")</f>
        <v/>
      </c>
      <c r="O2479" s="503" t="str">
        <f ca="1">IFERROR(IF(VLOOKUP(C2479,' Disaggregation - Section E '!A$10:N668,10,0)=0,"",VLOOKUP(C2479,' Disaggregation - Section E '!A$10:N668,10,0)),"")</f>
        <v/>
      </c>
    </row>
    <row r="2480" spans="1:15" x14ac:dyDescent="0.35">
      <c r="A2480" s="497" t="b">
        <f t="shared" ca="1" si="224"/>
        <v>0</v>
      </c>
      <c r="B2480" s="497"/>
      <c r="C2480" s="517" t="str">
        <f ca="1">IF(COUNTA(D$2119:D2480)=1,"",OFFSET(B2480,-COUNTA(D$2119:D2480)+1,1))</f>
        <v>a1G3p000005ncGAEAY</v>
      </c>
      <c r="D2480" s="512"/>
      <c r="E2480" s="500" t="str">
        <f ca="1">IFERROR(IF(VLOOKUP(C2480,' Disaggregation - Section E '!A$10:J669,7,0)="","",VLOOKUP(C2480,' Disaggregation - Section E '!A$10:J669,7,0)*100),"")</f>
        <v/>
      </c>
      <c r="F2480" s="503" t="str">
        <f ca="1">IFERROR(IF(VLOOKUP(C2480,' Disaggregation - Section E '!A$10:N669,5,0)=0,"",VLOOKUP(C2480,' Disaggregation - Section E '!A$10:N669,5,0)),"")</f>
        <v/>
      </c>
      <c r="G2480" s="502" t="str">
        <f ca="1">IFERROR(IF(VLOOKUP(C2480,' Disaggregation - Section E '!A$10:N669,6,0)="","",VLOOKUP(C2480,' Disaggregation - Section E '!A$10:N669,6,0)),"")</f>
        <v/>
      </c>
      <c r="H2480" s="512" t="str">
        <f ca="1">IFERROR(IF(INDEX(' Disaggregation - Section E '!F$10:F669,MATCH(C2480,' Disaggregation - Section E '!A$10:A669,0)+1,1)&lt;&gt;0,INDEX(' Disaggregation - Section E '!F$10:F669,MATCH(C2480,' Disaggregation - Section E '!A$10:A669,0)+1,1),""),"")</f>
        <v/>
      </c>
      <c r="I2480" s="503" t="str">
        <f ca="1">IFERROR(IF(VLOOKUP(C2480,' Disaggregation - Section E '!A$10:N669,8,0)=0,"",VLOOKUP(C2480,' Disaggregation - Section E '!A$10:N669,8,0)),"")</f>
        <v/>
      </c>
      <c r="J2480" s="503" t="str">
        <f ca="1">IFERROR(IF(VLOOKUP(C2480,' Disaggregation - Section E '!A$10:N669,13,0)=0,"",VLOOKUP(C2480,' Disaggregation - Section E '!A$10:N669,13,0)),"")</f>
        <v/>
      </c>
      <c r="K2480" s="497" t="str">
        <f ca="1">IFERROR(VLOOKUP(C2480,' Disaggregation - Section E '!A$10:N669,3,0),"")</f>
        <v/>
      </c>
      <c r="L2480" s="503" t="str">
        <f ca="1">IFERROR(IF(VLOOKUP(C2480,' Disaggregation - Section E '!A$10:N669,14,0)=0,"",VLOOKUP(C2480,' Disaggregation - Section E '!A$10:N669,14,0)),"")</f>
        <v/>
      </c>
      <c r="M2480" s="497" t="str">
        <f ca="1">IFERROR(IF(VLOOKUP(C2480,' Disaggregation - Section E '!A$10:T669,20,0)=0,"",VLOOKUP(C2480,' Disaggregation - Section E '!A$10:T669,20,0)),"")</f>
        <v/>
      </c>
      <c r="N2480" s="503" t="str">
        <f ca="1">IFERROR(IF(VLOOKUP(C2480,' Disaggregation - Section E '!A$10:N669,9,0)=0,"",VLOOKUP(C2480,' Disaggregation - Section E '!A$10:N669,9,0)),"")</f>
        <v/>
      </c>
      <c r="O2480" s="503" t="str">
        <f ca="1">IFERROR(IF(VLOOKUP(C2480,' Disaggregation - Section E '!A$10:N669,10,0)=0,"",VLOOKUP(C2480,' Disaggregation - Section E '!A$10:N669,10,0)),"")</f>
        <v/>
      </c>
    </row>
    <row r="2481" spans="1:15" x14ac:dyDescent="0.35">
      <c r="A2481" s="497" t="b">
        <f t="shared" ca="1" si="224"/>
        <v>0</v>
      </c>
      <c r="B2481" s="497"/>
      <c r="C2481" s="517" t="str">
        <f ca="1">IF(COUNTA(D$2119:D2481)=1,"",OFFSET(B2481,-COUNTA(D$2119:D2481)+1,1))</f>
        <v>a1G3p000005ncDlEAI</v>
      </c>
      <c r="D2481" s="512"/>
      <c r="E2481" s="500" t="str">
        <f ca="1">IFERROR(IF(VLOOKUP(C2481,' Disaggregation - Section E '!A$10:J670,7,0)="","",VLOOKUP(C2481,' Disaggregation - Section E '!A$10:J670,7,0)*100),"")</f>
        <v/>
      </c>
      <c r="F2481" s="503" t="str">
        <f ca="1">IFERROR(IF(VLOOKUP(C2481,' Disaggregation - Section E '!A$10:N670,5,0)=0,"",VLOOKUP(C2481,' Disaggregation - Section E '!A$10:N670,5,0)),"")</f>
        <v/>
      </c>
      <c r="G2481" s="502" t="str">
        <f ca="1">IFERROR(IF(VLOOKUP(C2481,' Disaggregation - Section E '!A$10:N670,6,0)="","",VLOOKUP(C2481,' Disaggregation - Section E '!A$10:N670,6,0)),"")</f>
        <v/>
      </c>
      <c r="H2481" s="512" t="str">
        <f ca="1">IFERROR(IF(INDEX(' Disaggregation - Section E '!F$10:F670,MATCH(C2481,' Disaggregation - Section E '!A$10:A670,0)+1,1)&lt;&gt;0,INDEX(' Disaggregation - Section E '!F$10:F670,MATCH(C2481,' Disaggregation - Section E '!A$10:A670,0)+1,1),""),"")</f>
        <v/>
      </c>
      <c r="I2481" s="503" t="str">
        <f ca="1">IFERROR(IF(VLOOKUP(C2481,' Disaggregation - Section E '!A$10:N670,8,0)=0,"",VLOOKUP(C2481,' Disaggregation - Section E '!A$10:N670,8,0)),"")</f>
        <v/>
      </c>
      <c r="J2481" s="503" t="str">
        <f ca="1">IFERROR(IF(VLOOKUP(C2481,' Disaggregation - Section E '!A$10:N670,13,0)=0,"",VLOOKUP(C2481,' Disaggregation - Section E '!A$10:N670,13,0)),"")</f>
        <v/>
      </c>
      <c r="K2481" s="497" t="str">
        <f ca="1">IFERROR(VLOOKUP(C2481,' Disaggregation - Section E '!A$10:N670,3,0),"")</f>
        <v/>
      </c>
      <c r="L2481" s="503" t="str">
        <f ca="1">IFERROR(IF(VLOOKUP(C2481,' Disaggregation - Section E '!A$10:N670,14,0)=0,"",VLOOKUP(C2481,' Disaggregation - Section E '!A$10:N670,14,0)),"")</f>
        <v/>
      </c>
      <c r="M2481" s="497" t="str">
        <f ca="1">IFERROR(IF(VLOOKUP(C2481,' Disaggregation - Section E '!A$10:T670,20,0)=0,"",VLOOKUP(C2481,' Disaggregation - Section E '!A$10:T670,20,0)),"")</f>
        <v/>
      </c>
      <c r="N2481" s="503" t="str">
        <f ca="1">IFERROR(IF(VLOOKUP(C2481,' Disaggregation - Section E '!A$10:N670,9,0)=0,"",VLOOKUP(C2481,' Disaggregation - Section E '!A$10:N670,9,0)),"")</f>
        <v/>
      </c>
      <c r="O2481" s="503" t="str">
        <f ca="1">IFERROR(IF(VLOOKUP(C2481,' Disaggregation - Section E '!A$10:N670,10,0)=0,"",VLOOKUP(C2481,' Disaggregation - Section E '!A$10:N670,10,0)),"")</f>
        <v/>
      </c>
    </row>
    <row r="2482" spans="1:15" x14ac:dyDescent="0.35">
      <c r="A2482" s="497" t="b">
        <f t="shared" ca="1" si="224"/>
        <v>0</v>
      </c>
      <c r="B2482" s="497"/>
      <c r="C2482" s="517" t="str">
        <f ca="1">IF(COUNTA(D$2119:D2482)=1,"",OFFSET(B2482,-COUNTA(D$2119:D2482)+1,1))</f>
        <v>a1G3p000005ncDmEAI</v>
      </c>
      <c r="D2482" s="512"/>
      <c r="E2482" s="500" t="str">
        <f ca="1">IFERROR(IF(VLOOKUP(C2482,' Disaggregation - Section E '!A$10:J671,7,0)="","",VLOOKUP(C2482,' Disaggregation - Section E '!A$10:J671,7,0)*100),"")</f>
        <v/>
      </c>
      <c r="F2482" s="503" t="str">
        <f ca="1">IFERROR(IF(VLOOKUP(C2482,' Disaggregation - Section E '!A$10:N671,5,0)=0,"",VLOOKUP(C2482,' Disaggregation - Section E '!A$10:N671,5,0)),"")</f>
        <v/>
      </c>
      <c r="G2482" s="502" t="str">
        <f ca="1">IFERROR(IF(VLOOKUP(C2482,' Disaggregation - Section E '!A$10:N671,6,0)="","",VLOOKUP(C2482,' Disaggregation - Section E '!A$10:N671,6,0)),"")</f>
        <v/>
      </c>
      <c r="H2482" s="512" t="str">
        <f ca="1">IFERROR(IF(INDEX(' Disaggregation - Section E '!F$10:F671,MATCH(C2482,' Disaggregation - Section E '!A$10:A671,0)+1,1)&lt;&gt;0,INDEX(' Disaggregation - Section E '!F$10:F671,MATCH(C2482,' Disaggregation - Section E '!A$10:A671,0)+1,1),""),"")</f>
        <v/>
      </c>
      <c r="I2482" s="503" t="str">
        <f ca="1">IFERROR(IF(VLOOKUP(C2482,' Disaggregation - Section E '!A$10:N671,8,0)=0,"",VLOOKUP(C2482,' Disaggregation - Section E '!A$10:N671,8,0)),"")</f>
        <v/>
      </c>
      <c r="J2482" s="503" t="str">
        <f ca="1">IFERROR(IF(VLOOKUP(C2482,' Disaggregation - Section E '!A$10:N671,13,0)=0,"",VLOOKUP(C2482,' Disaggregation - Section E '!A$10:N671,13,0)),"")</f>
        <v/>
      </c>
      <c r="K2482" s="497" t="str">
        <f ca="1">IFERROR(VLOOKUP(C2482,' Disaggregation - Section E '!A$10:N671,3,0),"")</f>
        <v/>
      </c>
      <c r="L2482" s="503" t="str">
        <f ca="1">IFERROR(IF(VLOOKUP(C2482,' Disaggregation - Section E '!A$10:N671,14,0)=0,"",VLOOKUP(C2482,' Disaggregation - Section E '!A$10:N671,14,0)),"")</f>
        <v/>
      </c>
      <c r="M2482" s="497" t="str">
        <f ca="1">IFERROR(IF(VLOOKUP(C2482,' Disaggregation - Section E '!A$10:T671,20,0)=0,"",VLOOKUP(C2482,' Disaggregation - Section E '!A$10:T671,20,0)),"")</f>
        <v/>
      </c>
      <c r="N2482" s="503" t="str">
        <f ca="1">IFERROR(IF(VLOOKUP(C2482,' Disaggregation - Section E '!A$10:N671,9,0)=0,"",VLOOKUP(C2482,' Disaggregation - Section E '!A$10:N671,9,0)),"")</f>
        <v/>
      </c>
      <c r="O2482" s="503" t="str">
        <f ca="1">IFERROR(IF(VLOOKUP(C2482,' Disaggregation - Section E '!A$10:N671,10,0)=0,"",VLOOKUP(C2482,' Disaggregation - Section E '!A$10:N671,10,0)),"")</f>
        <v/>
      </c>
    </row>
    <row r="2483" spans="1:15" x14ac:dyDescent="0.35">
      <c r="A2483" s="497" t="b">
        <f t="shared" ca="1" si="224"/>
        <v>0</v>
      </c>
      <c r="B2483" s="497"/>
      <c r="C2483" s="517" t="str">
        <f ca="1">IF(COUNTA(D$2119:D2483)=1,"",OFFSET(B2483,-COUNTA(D$2119:D2483)+1,1))</f>
        <v>a1G3p000005ncDnEAI</v>
      </c>
      <c r="D2483" s="512"/>
      <c r="E2483" s="500" t="str">
        <f ca="1">IFERROR(IF(VLOOKUP(C2483,' Disaggregation - Section E '!A$10:J672,7,0)="","",VLOOKUP(C2483,' Disaggregation - Section E '!A$10:J672,7,0)*100),"")</f>
        <v/>
      </c>
      <c r="F2483" s="503" t="str">
        <f ca="1">IFERROR(IF(VLOOKUP(C2483,' Disaggregation - Section E '!A$10:N672,5,0)=0,"",VLOOKUP(C2483,' Disaggregation - Section E '!A$10:N672,5,0)),"")</f>
        <v/>
      </c>
      <c r="G2483" s="502" t="str">
        <f ca="1">IFERROR(IF(VLOOKUP(C2483,' Disaggregation - Section E '!A$10:N672,6,0)="","",VLOOKUP(C2483,' Disaggregation - Section E '!A$10:N672,6,0)),"")</f>
        <v/>
      </c>
      <c r="H2483" s="512" t="str">
        <f ca="1">IFERROR(IF(INDEX(' Disaggregation - Section E '!F$10:F672,MATCH(C2483,' Disaggregation - Section E '!A$10:A672,0)+1,1)&lt;&gt;0,INDEX(' Disaggregation - Section E '!F$10:F672,MATCH(C2483,' Disaggregation - Section E '!A$10:A672,0)+1,1),""),"")</f>
        <v/>
      </c>
      <c r="I2483" s="503" t="str">
        <f ca="1">IFERROR(IF(VLOOKUP(C2483,' Disaggregation - Section E '!A$10:N672,8,0)=0,"",VLOOKUP(C2483,' Disaggregation - Section E '!A$10:N672,8,0)),"")</f>
        <v/>
      </c>
      <c r="J2483" s="503" t="str">
        <f ca="1">IFERROR(IF(VLOOKUP(C2483,' Disaggregation - Section E '!A$10:N672,13,0)=0,"",VLOOKUP(C2483,' Disaggregation - Section E '!A$10:N672,13,0)),"")</f>
        <v/>
      </c>
      <c r="K2483" s="497" t="str">
        <f ca="1">IFERROR(VLOOKUP(C2483,' Disaggregation - Section E '!A$10:N672,3,0),"")</f>
        <v/>
      </c>
      <c r="L2483" s="503" t="str">
        <f ca="1">IFERROR(IF(VLOOKUP(C2483,' Disaggregation - Section E '!A$10:N672,14,0)=0,"",VLOOKUP(C2483,' Disaggregation - Section E '!A$10:N672,14,0)),"")</f>
        <v/>
      </c>
      <c r="M2483" s="497" t="str">
        <f ca="1">IFERROR(IF(VLOOKUP(C2483,' Disaggregation - Section E '!A$10:T672,20,0)=0,"",VLOOKUP(C2483,' Disaggregation - Section E '!A$10:T672,20,0)),"")</f>
        <v/>
      </c>
      <c r="N2483" s="503" t="str">
        <f ca="1">IFERROR(IF(VLOOKUP(C2483,' Disaggregation - Section E '!A$10:N672,9,0)=0,"",VLOOKUP(C2483,' Disaggregation - Section E '!A$10:N672,9,0)),"")</f>
        <v/>
      </c>
      <c r="O2483" s="503" t="str">
        <f ca="1">IFERROR(IF(VLOOKUP(C2483,' Disaggregation - Section E '!A$10:N672,10,0)=0,"",VLOOKUP(C2483,' Disaggregation - Section E '!A$10:N672,10,0)),"")</f>
        <v/>
      </c>
    </row>
    <row r="2484" spans="1:15" x14ac:dyDescent="0.35">
      <c r="A2484" s="497" t="b">
        <f t="shared" ca="1" si="224"/>
        <v>0</v>
      </c>
      <c r="B2484" s="497"/>
      <c r="C2484" s="517" t="str">
        <f ca="1">IF(COUNTA(D$2119:D2484)=1,"",OFFSET(B2484,-COUNTA(D$2119:D2484)+1,1))</f>
        <v>a1G3p000005ncDoEAI</v>
      </c>
      <c r="D2484" s="512"/>
      <c r="E2484" s="500" t="str">
        <f ca="1">IFERROR(IF(VLOOKUP(C2484,' Disaggregation - Section E '!A$10:J673,7,0)="","",VLOOKUP(C2484,' Disaggregation - Section E '!A$10:J673,7,0)*100),"")</f>
        <v/>
      </c>
      <c r="F2484" s="503" t="str">
        <f ca="1">IFERROR(IF(VLOOKUP(C2484,' Disaggregation - Section E '!A$10:N673,5,0)=0,"",VLOOKUP(C2484,' Disaggregation - Section E '!A$10:N673,5,0)),"")</f>
        <v/>
      </c>
      <c r="G2484" s="502" t="str">
        <f ca="1">IFERROR(IF(VLOOKUP(C2484,' Disaggregation - Section E '!A$10:N673,6,0)="","",VLOOKUP(C2484,' Disaggregation - Section E '!A$10:N673,6,0)),"")</f>
        <v/>
      </c>
      <c r="H2484" s="512" t="str">
        <f ca="1">IFERROR(IF(INDEX(' Disaggregation - Section E '!F$10:F673,MATCH(C2484,' Disaggregation - Section E '!A$10:A673,0)+1,1)&lt;&gt;0,INDEX(' Disaggregation - Section E '!F$10:F673,MATCH(C2484,' Disaggregation - Section E '!A$10:A673,0)+1,1),""),"")</f>
        <v/>
      </c>
      <c r="I2484" s="503" t="str">
        <f ca="1">IFERROR(IF(VLOOKUP(C2484,' Disaggregation - Section E '!A$10:N673,8,0)=0,"",VLOOKUP(C2484,' Disaggregation - Section E '!A$10:N673,8,0)),"")</f>
        <v/>
      </c>
      <c r="J2484" s="503" t="str">
        <f ca="1">IFERROR(IF(VLOOKUP(C2484,' Disaggregation - Section E '!A$10:N673,13,0)=0,"",VLOOKUP(C2484,' Disaggregation - Section E '!A$10:N673,13,0)),"")</f>
        <v/>
      </c>
      <c r="K2484" s="497" t="str">
        <f ca="1">IFERROR(VLOOKUP(C2484,' Disaggregation - Section E '!A$10:N673,3,0),"")</f>
        <v/>
      </c>
      <c r="L2484" s="503" t="str">
        <f ca="1">IFERROR(IF(VLOOKUP(C2484,' Disaggregation - Section E '!A$10:N673,14,0)=0,"",VLOOKUP(C2484,' Disaggregation - Section E '!A$10:N673,14,0)),"")</f>
        <v/>
      </c>
      <c r="M2484" s="497" t="str">
        <f ca="1">IFERROR(IF(VLOOKUP(C2484,' Disaggregation - Section E '!A$10:T673,20,0)=0,"",VLOOKUP(C2484,' Disaggregation - Section E '!A$10:T673,20,0)),"")</f>
        <v/>
      </c>
      <c r="N2484" s="503" t="str">
        <f ca="1">IFERROR(IF(VLOOKUP(C2484,' Disaggregation - Section E '!A$10:N673,9,0)=0,"",VLOOKUP(C2484,' Disaggregation - Section E '!A$10:N673,9,0)),"")</f>
        <v/>
      </c>
      <c r="O2484" s="503" t="str">
        <f ca="1">IFERROR(IF(VLOOKUP(C2484,' Disaggregation - Section E '!A$10:N673,10,0)=0,"",VLOOKUP(C2484,' Disaggregation - Section E '!A$10:N673,10,0)),"")</f>
        <v/>
      </c>
    </row>
    <row r="2485" spans="1:15" x14ac:dyDescent="0.35">
      <c r="A2485" s="497" t="b">
        <f t="shared" ref="A2485:A2495" ca="1" si="225">IF(M2485&lt;&gt;"",TRUE,FALSE)</f>
        <v>0</v>
      </c>
      <c r="B2485" s="497"/>
      <c r="C2485" s="517" t="str">
        <f ca="1">IF(COUNTA(D$2119:D2485)=1,"",OFFSET(B2485,-COUNTA(D$2119:D2485)+1,1))</f>
        <v>a1G3p000005ncDpEAI</v>
      </c>
      <c r="D2485" s="512"/>
      <c r="E2485" s="500" t="str">
        <f ca="1">IFERROR(IF(VLOOKUP(C2485,' Disaggregation - Section E '!A$10:J674,7,0)="","",VLOOKUP(C2485,' Disaggregation - Section E '!A$10:J674,7,0)*100),"")</f>
        <v/>
      </c>
      <c r="F2485" s="503" t="str">
        <f ca="1">IFERROR(IF(VLOOKUP(C2485,' Disaggregation - Section E '!A$10:N674,5,0)=0,"",VLOOKUP(C2485,' Disaggregation - Section E '!A$10:N674,5,0)),"")</f>
        <v/>
      </c>
      <c r="G2485" s="502" t="str">
        <f ca="1">IFERROR(IF(VLOOKUP(C2485,' Disaggregation - Section E '!A$10:N674,6,0)="","",VLOOKUP(C2485,' Disaggregation - Section E '!A$10:N674,6,0)),"")</f>
        <v/>
      </c>
      <c r="H2485" s="512" t="str">
        <f ca="1">IFERROR(IF(INDEX(' Disaggregation - Section E '!F$10:F674,MATCH(C2485,' Disaggregation - Section E '!A$10:A674,0)+1,1)&lt;&gt;0,INDEX(' Disaggregation - Section E '!F$10:F674,MATCH(C2485,' Disaggregation - Section E '!A$10:A674,0)+1,1),""),"")</f>
        <v/>
      </c>
      <c r="I2485" s="503" t="str">
        <f ca="1">IFERROR(IF(VLOOKUP(C2485,' Disaggregation - Section E '!A$10:N674,8,0)=0,"",VLOOKUP(C2485,' Disaggregation - Section E '!A$10:N674,8,0)),"")</f>
        <v/>
      </c>
      <c r="J2485" s="503" t="str">
        <f ca="1">IFERROR(IF(VLOOKUP(C2485,' Disaggregation - Section E '!A$10:N674,13,0)=0,"",VLOOKUP(C2485,' Disaggregation - Section E '!A$10:N674,13,0)),"")</f>
        <v/>
      </c>
      <c r="K2485" s="497" t="str">
        <f ca="1">IFERROR(VLOOKUP(C2485,' Disaggregation - Section E '!A$10:N674,3,0),"")</f>
        <v/>
      </c>
      <c r="L2485" s="503" t="str">
        <f ca="1">IFERROR(IF(VLOOKUP(C2485,' Disaggregation - Section E '!A$10:N674,14,0)=0,"",VLOOKUP(C2485,' Disaggregation - Section E '!A$10:N674,14,0)),"")</f>
        <v/>
      </c>
      <c r="M2485" s="497" t="str">
        <f ca="1">IFERROR(IF(VLOOKUP(C2485,' Disaggregation - Section E '!A$10:T674,20,0)=0,"",VLOOKUP(C2485,' Disaggregation - Section E '!A$10:T674,20,0)),"")</f>
        <v/>
      </c>
      <c r="N2485" s="503" t="str">
        <f ca="1">IFERROR(IF(VLOOKUP(C2485,' Disaggregation - Section E '!A$10:N674,9,0)=0,"",VLOOKUP(C2485,' Disaggregation - Section E '!A$10:N674,9,0)),"")</f>
        <v/>
      </c>
      <c r="O2485" s="503" t="str">
        <f ca="1">IFERROR(IF(VLOOKUP(C2485,' Disaggregation - Section E '!A$10:N674,10,0)=0,"",VLOOKUP(C2485,' Disaggregation - Section E '!A$10:N674,10,0)),"")</f>
        <v/>
      </c>
    </row>
    <row r="2486" spans="1:15" x14ac:dyDescent="0.35">
      <c r="A2486" s="497" t="b">
        <f t="shared" ca="1" si="225"/>
        <v>0</v>
      </c>
      <c r="B2486" s="497"/>
      <c r="C2486" s="517" t="str">
        <f ca="1">IF(COUNTA(D$2119:D2486)=1,"",OFFSET(B2486,-COUNTA(D$2119:D2486)+1,1))</f>
        <v>a1G3p000005ncDqEAI</v>
      </c>
      <c r="D2486" s="512"/>
      <c r="E2486" s="500" t="str">
        <f ca="1">IFERROR(IF(VLOOKUP(C2486,' Disaggregation - Section E '!A$10:J675,7,0)="","",VLOOKUP(C2486,' Disaggregation - Section E '!A$10:J675,7,0)*100),"")</f>
        <v/>
      </c>
      <c r="F2486" s="503" t="str">
        <f ca="1">IFERROR(IF(VLOOKUP(C2486,' Disaggregation - Section E '!A$10:N675,5,0)=0,"",VLOOKUP(C2486,' Disaggregation - Section E '!A$10:N675,5,0)),"")</f>
        <v/>
      </c>
      <c r="G2486" s="502" t="str">
        <f ca="1">IFERROR(IF(VLOOKUP(C2486,' Disaggregation - Section E '!A$10:N675,6,0)="","",VLOOKUP(C2486,' Disaggregation - Section E '!A$10:N675,6,0)),"")</f>
        <v/>
      </c>
      <c r="H2486" s="512" t="str">
        <f ca="1">IFERROR(IF(INDEX(' Disaggregation - Section E '!F$10:F675,MATCH(C2486,' Disaggregation - Section E '!A$10:A675,0)+1,1)&lt;&gt;0,INDEX(' Disaggregation - Section E '!F$10:F675,MATCH(C2486,' Disaggregation - Section E '!A$10:A675,0)+1,1),""),"")</f>
        <v/>
      </c>
      <c r="I2486" s="503" t="str">
        <f ca="1">IFERROR(IF(VLOOKUP(C2486,' Disaggregation - Section E '!A$10:N675,8,0)=0,"",VLOOKUP(C2486,' Disaggregation - Section E '!A$10:N675,8,0)),"")</f>
        <v/>
      </c>
      <c r="J2486" s="503" t="str">
        <f ca="1">IFERROR(IF(VLOOKUP(C2486,' Disaggregation - Section E '!A$10:N675,13,0)=0,"",VLOOKUP(C2486,' Disaggregation - Section E '!A$10:N675,13,0)),"")</f>
        <v/>
      </c>
      <c r="K2486" s="497" t="str">
        <f ca="1">IFERROR(VLOOKUP(C2486,' Disaggregation - Section E '!A$10:N675,3,0),"")</f>
        <v/>
      </c>
      <c r="L2486" s="503" t="str">
        <f ca="1">IFERROR(IF(VLOOKUP(C2486,' Disaggregation - Section E '!A$10:N675,14,0)=0,"",VLOOKUP(C2486,' Disaggregation - Section E '!A$10:N675,14,0)),"")</f>
        <v/>
      </c>
      <c r="M2486" s="497" t="str">
        <f ca="1">IFERROR(IF(VLOOKUP(C2486,' Disaggregation - Section E '!A$10:T675,20,0)=0,"",VLOOKUP(C2486,' Disaggregation - Section E '!A$10:T675,20,0)),"")</f>
        <v/>
      </c>
      <c r="N2486" s="503" t="str">
        <f ca="1">IFERROR(IF(VLOOKUP(C2486,' Disaggregation - Section E '!A$10:N675,9,0)=0,"",VLOOKUP(C2486,' Disaggregation - Section E '!A$10:N675,9,0)),"")</f>
        <v/>
      </c>
      <c r="O2486" s="503" t="str">
        <f ca="1">IFERROR(IF(VLOOKUP(C2486,' Disaggregation - Section E '!A$10:N675,10,0)=0,"",VLOOKUP(C2486,' Disaggregation - Section E '!A$10:N675,10,0)),"")</f>
        <v/>
      </c>
    </row>
    <row r="2487" spans="1:15" x14ac:dyDescent="0.35">
      <c r="A2487" s="497" t="b">
        <f t="shared" ca="1" si="225"/>
        <v>0</v>
      </c>
      <c r="B2487" s="497"/>
      <c r="C2487" s="517" t="str">
        <f ca="1">IF(COUNTA(D$2119:D2487)=1,"",OFFSET(B2487,-COUNTA(D$2119:D2487)+1,1))</f>
        <v>a1G3p000005ncDrEAI</v>
      </c>
      <c r="D2487" s="512"/>
      <c r="E2487" s="500" t="str">
        <f ca="1">IFERROR(IF(VLOOKUP(C2487,' Disaggregation - Section E '!A$10:J676,7,0)="","",VLOOKUP(C2487,' Disaggregation - Section E '!A$10:J676,7,0)*100),"")</f>
        <v/>
      </c>
      <c r="F2487" s="503" t="str">
        <f ca="1">IFERROR(IF(VLOOKUP(C2487,' Disaggregation - Section E '!A$10:N676,5,0)=0,"",VLOOKUP(C2487,' Disaggregation - Section E '!A$10:N676,5,0)),"")</f>
        <v/>
      </c>
      <c r="G2487" s="502" t="str">
        <f ca="1">IFERROR(IF(VLOOKUP(C2487,' Disaggregation - Section E '!A$10:N676,6,0)="","",VLOOKUP(C2487,' Disaggregation - Section E '!A$10:N676,6,0)),"")</f>
        <v/>
      </c>
      <c r="H2487" s="512" t="str">
        <f ca="1">IFERROR(IF(INDEX(' Disaggregation - Section E '!F$10:F676,MATCH(C2487,' Disaggregation - Section E '!A$10:A676,0)+1,1)&lt;&gt;0,INDEX(' Disaggregation - Section E '!F$10:F676,MATCH(C2487,' Disaggregation - Section E '!A$10:A676,0)+1,1),""),"")</f>
        <v/>
      </c>
      <c r="I2487" s="503" t="str">
        <f ca="1">IFERROR(IF(VLOOKUP(C2487,' Disaggregation - Section E '!A$10:N676,8,0)=0,"",VLOOKUP(C2487,' Disaggregation - Section E '!A$10:N676,8,0)),"")</f>
        <v/>
      </c>
      <c r="J2487" s="503" t="str">
        <f ca="1">IFERROR(IF(VLOOKUP(C2487,' Disaggregation - Section E '!A$10:N676,13,0)=0,"",VLOOKUP(C2487,' Disaggregation - Section E '!A$10:N676,13,0)),"")</f>
        <v/>
      </c>
      <c r="K2487" s="497" t="str">
        <f ca="1">IFERROR(VLOOKUP(C2487,' Disaggregation - Section E '!A$10:N676,3,0),"")</f>
        <v/>
      </c>
      <c r="L2487" s="503" t="str">
        <f ca="1">IFERROR(IF(VLOOKUP(C2487,' Disaggregation - Section E '!A$10:N676,14,0)=0,"",VLOOKUP(C2487,' Disaggregation - Section E '!A$10:N676,14,0)),"")</f>
        <v/>
      </c>
      <c r="M2487" s="497" t="str">
        <f ca="1">IFERROR(IF(VLOOKUP(C2487,' Disaggregation - Section E '!A$10:T676,20,0)=0,"",VLOOKUP(C2487,' Disaggregation - Section E '!A$10:T676,20,0)),"")</f>
        <v/>
      </c>
      <c r="N2487" s="503" t="str">
        <f ca="1">IFERROR(IF(VLOOKUP(C2487,' Disaggregation - Section E '!A$10:N676,9,0)=0,"",VLOOKUP(C2487,' Disaggregation - Section E '!A$10:N676,9,0)),"")</f>
        <v/>
      </c>
      <c r="O2487" s="503" t="str">
        <f ca="1">IFERROR(IF(VLOOKUP(C2487,' Disaggregation - Section E '!A$10:N676,10,0)=0,"",VLOOKUP(C2487,' Disaggregation - Section E '!A$10:N676,10,0)),"")</f>
        <v/>
      </c>
    </row>
    <row r="2488" spans="1:15" x14ac:dyDescent="0.35">
      <c r="A2488" s="497" t="b">
        <f t="shared" ca="1" si="225"/>
        <v>0</v>
      </c>
      <c r="B2488" s="497"/>
      <c r="C2488" s="517" t="str">
        <f ca="1">IF(COUNTA(D$2119:D2488)=1,"",OFFSET(B2488,-COUNTA(D$2119:D2488)+1,1))</f>
        <v>a1G3p000005ncDsEAI</v>
      </c>
      <c r="D2488" s="512"/>
      <c r="E2488" s="500" t="str">
        <f ca="1">IFERROR(IF(VLOOKUP(C2488,' Disaggregation - Section E '!A$10:J677,7,0)="","",VLOOKUP(C2488,' Disaggregation - Section E '!A$10:J677,7,0)*100),"")</f>
        <v/>
      </c>
      <c r="F2488" s="503" t="str">
        <f ca="1">IFERROR(IF(VLOOKUP(C2488,' Disaggregation - Section E '!A$10:N677,5,0)=0,"",VLOOKUP(C2488,' Disaggregation - Section E '!A$10:N677,5,0)),"")</f>
        <v/>
      </c>
      <c r="G2488" s="502" t="str">
        <f ca="1">IFERROR(IF(VLOOKUP(C2488,' Disaggregation - Section E '!A$10:N677,6,0)="","",VLOOKUP(C2488,' Disaggregation - Section E '!A$10:N677,6,0)),"")</f>
        <v/>
      </c>
      <c r="H2488" s="512" t="str">
        <f ca="1">IFERROR(IF(INDEX(' Disaggregation - Section E '!F$10:F677,MATCH(C2488,' Disaggregation - Section E '!A$10:A677,0)+1,1)&lt;&gt;0,INDEX(' Disaggregation - Section E '!F$10:F677,MATCH(C2488,' Disaggregation - Section E '!A$10:A677,0)+1,1),""),"")</f>
        <v/>
      </c>
      <c r="I2488" s="503" t="str">
        <f ca="1">IFERROR(IF(VLOOKUP(C2488,' Disaggregation - Section E '!A$10:N677,8,0)=0,"",VLOOKUP(C2488,' Disaggregation - Section E '!A$10:N677,8,0)),"")</f>
        <v/>
      </c>
      <c r="J2488" s="503" t="str">
        <f ca="1">IFERROR(IF(VLOOKUP(C2488,' Disaggregation - Section E '!A$10:N677,13,0)=0,"",VLOOKUP(C2488,' Disaggregation - Section E '!A$10:N677,13,0)),"")</f>
        <v/>
      </c>
      <c r="K2488" s="497" t="str">
        <f ca="1">IFERROR(VLOOKUP(C2488,' Disaggregation - Section E '!A$10:N677,3,0),"")</f>
        <v/>
      </c>
      <c r="L2488" s="503" t="str">
        <f ca="1">IFERROR(IF(VLOOKUP(C2488,' Disaggregation - Section E '!A$10:N677,14,0)=0,"",VLOOKUP(C2488,' Disaggregation - Section E '!A$10:N677,14,0)),"")</f>
        <v/>
      </c>
      <c r="M2488" s="497" t="str">
        <f ca="1">IFERROR(IF(VLOOKUP(C2488,' Disaggregation - Section E '!A$10:T677,20,0)=0,"",VLOOKUP(C2488,' Disaggregation - Section E '!A$10:T677,20,0)),"")</f>
        <v/>
      </c>
      <c r="N2488" s="503" t="str">
        <f ca="1">IFERROR(IF(VLOOKUP(C2488,' Disaggregation - Section E '!A$10:N677,9,0)=0,"",VLOOKUP(C2488,' Disaggregation - Section E '!A$10:N677,9,0)),"")</f>
        <v/>
      </c>
      <c r="O2488" s="503" t="str">
        <f ca="1">IFERROR(IF(VLOOKUP(C2488,' Disaggregation - Section E '!A$10:N677,10,0)=0,"",VLOOKUP(C2488,' Disaggregation - Section E '!A$10:N677,10,0)),"")</f>
        <v/>
      </c>
    </row>
    <row r="2489" spans="1:15" x14ac:dyDescent="0.35">
      <c r="A2489" s="497" t="b">
        <f t="shared" ca="1" si="225"/>
        <v>0</v>
      </c>
      <c r="B2489" s="497"/>
      <c r="C2489" s="517" t="str">
        <f ca="1">IF(COUNTA(D$2119:D2489)=1,"",OFFSET(B2489,-COUNTA(D$2119:D2489)+1,1))</f>
        <v>a1G3p000005ncDtEAI</v>
      </c>
      <c r="D2489" s="512"/>
      <c r="E2489" s="500" t="str">
        <f ca="1">IFERROR(IF(VLOOKUP(C2489,' Disaggregation - Section E '!A$10:J678,7,0)="","",VLOOKUP(C2489,' Disaggregation - Section E '!A$10:J678,7,0)*100),"")</f>
        <v/>
      </c>
      <c r="F2489" s="503" t="str">
        <f ca="1">IFERROR(IF(VLOOKUP(C2489,' Disaggregation - Section E '!A$10:N678,5,0)=0,"",VLOOKUP(C2489,' Disaggregation - Section E '!A$10:N678,5,0)),"")</f>
        <v/>
      </c>
      <c r="G2489" s="502" t="str">
        <f ca="1">IFERROR(IF(VLOOKUP(C2489,' Disaggregation - Section E '!A$10:N678,6,0)="","",VLOOKUP(C2489,' Disaggregation - Section E '!A$10:N678,6,0)),"")</f>
        <v/>
      </c>
      <c r="H2489" s="512" t="str">
        <f ca="1">IFERROR(IF(INDEX(' Disaggregation - Section E '!F$10:F678,MATCH(C2489,' Disaggregation - Section E '!A$10:A678,0)+1,1)&lt;&gt;0,INDEX(' Disaggregation - Section E '!F$10:F678,MATCH(C2489,' Disaggregation - Section E '!A$10:A678,0)+1,1),""),"")</f>
        <v/>
      </c>
      <c r="I2489" s="503" t="str">
        <f ca="1">IFERROR(IF(VLOOKUP(C2489,' Disaggregation - Section E '!A$10:N678,8,0)=0,"",VLOOKUP(C2489,' Disaggregation - Section E '!A$10:N678,8,0)),"")</f>
        <v/>
      </c>
      <c r="J2489" s="503" t="str">
        <f ca="1">IFERROR(IF(VLOOKUP(C2489,' Disaggregation - Section E '!A$10:N678,13,0)=0,"",VLOOKUP(C2489,' Disaggregation - Section E '!A$10:N678,13,0)),"")</f>
        <v/>
      </c>
      <c r="K2489" s="497" t="str">
        <f ca="1">IFERROR(VLOOKUP(C2489,' Disaggregation - Section E '!A$10:N678,3,0),"")</f>
        <v/>
      </c>
      <c r="L2489" s="503" t="str">
        <f ca="1">IFERROR(IF(VLOOKUP(C2489,' Disaggregation - Section E '!A$10:N678,14,0)=0,"",VLOOKUP(C2489,' Disaggregation - Section E '!A$10:N678,14,0)),"")</f>
        <v/>
      </c>
      <c r="M2489" s="497" t="str">
        <f ca="1">IFERROR(IF(VLOOKUP(C2489,' Disaggregation - Section E '!A$10:T678,20,0)=0,"",VLOOKUP(C2489,' Disaggregation - Section E '!A$10:T678,20,0)),"")</f>
        <v/>
      </c>
      <c r="N2489" s="503" t="str">
        <f ca="1">IFERROR(IF(VLOOKUP(C2489,' Disaggregation - Section E '!A$10:N678,9,0)=0,"",VLOOKUP(C2489,' Disaggregation - Section E '!A$10:N678,9,0)),"")</f>
        <v/>
      </c>
      <c r="O2489" s="503" t="str">
        <f ca="1">IFERROR(IF(VLOOKUP(C2489,' Disaggregation - Section E '!A$10:N678,10,0)=0,"",VLOOKUP(C2489,' Disaggregation - Section E '!A$10:N678,10,0)),"")</f>
        <v/>
      </c>
    </row>
    <row r="2490" spans="1:15" x14ac:dyDescent="0.35">
      <c r="A2490" s="497" t="b">
        <f t="shared" ca="1" si="225"/>
        <v>0</v>
      </c>
      <c r="B2490" s="497"/>
      <c r="C2490" s="517" t="str">
        <f ca="1">IF(COUNTA(D$2119:D2490)=1,"",OFFSET(B2490,-COUNTA(D$2119:D2490)+1,1))</f>
        <v>a1G3p000005ncDuEAI</v>
      </c>
      <c r="D2490" s="512"/>
      <c r="E2490" s="500" t="str">
        <f ca="1">IFERROR(IF(VLOOKUP(C2490,' Disaggregation - Section E '!A$10:J679,7,0)="","",VLOOKUP(C2490,' Disaggregation - Section E '!A$10:J679,7,0)*100),"")</f>
        <v/>
      </c>
      <c r="F2490" s="503" t="str">
        <f ca="1">IFERROR(IF(VLOOKUP(C2490,' Disaggregation - Section E '!A$10:N679,5,0)=0,"",VLOOKUP(C2490,' Disaggregation - Section E '!A$10:N679,5,0)),"")</f>
        <v/>
      </c>
      <c r="G2490" s="502" t="str">
        <f ca="1">IFERROR(IF(VLOOKUP(C2490,' Disaggregation - Section E '!A$10:N679,6,0)="","",VLOOKUP(C2490,' Disaggregation - Section E '!A$10:N679,6,0)),"")</f>
        <v/>
      </c>
      <c r="H2490" s="512" t="str">
        <f ca="1">IFERROR(IF(INDEX(' Disaggregation - Section E '!F$10:F679,MATCH(C2490,' Disaggregation - Section E '!A$10:A679,0)+1,1)&lt;&gt;0,INDEX(' Disaggregation - Section E '!F$10:F679,MATCH(C2490,' Disaggregation - Section E '!A$10:A679,0)+1,1),""),"")</f>
        <v/>
      </c>
      <c r="I2490" s="503" t="str">
        <f ca="1">IFERROR(IF(VLOOKUP(C2490,' Disaggregation - Section E '!A$10:N679,8,0)=0,"",VLOOKUP(C2490,' Disaggregation - Section E '!A$10:N679,8,0)),"")</f>
        <v/>
      </c>
      <c r="J2490" s="503" t="str">
        <f ca="1">IFERROR(IF(VLOOKUP(C2490,' Disaggregation - Section E '!A$10:N679,13,0)=0,"",VLOOKUP(C2490,' Disaggregation - Section E '!A$10:N679,13,0)),"")</f>
        <v/>
      </c>
      <c r="K2490" s="497" t="str">
        <f ca="1">IFERROR(VLOOKUP(C2490,' Disaggregation - Section E '!A$10:N679,3,0),"")</f>
        <v/>
      </c>
      <c r="L2490" s="503" t="str">
        <f ca="1">IFERROR(IF(VLOOKUP(C2490,' Disaggregation - Section E '!A$10:N679,14,0)=0,"",VLOOKUP(C2490,' Disaggregation - Section E '!A$10:N679,14,0)),"")</f>
        <v/>
      </c>
      <c r="M2490" s="497" t="str">
        <f ca="1">IFERROR(IF(VLOOKUP(C2490,' Disaggregation - Section E '!A$10:T679,20,0)=0,"",VLOOKUP(C2490,' Disaggregation - Section E '!A$10:T679,20,0)),"")</f>
        <v/>
      </c>
      <c r="N2490" s="503" t="str">
        <f ca="1">IFERROR(IF(VLOOKUP(C2490,' Disaggregation - Section E '!A$10:N679,9,0)=0,"",VLOOKUP(C2490,' Disaggregation - Section E '!A$10:N679,9,0)),"")</f>
        <v/>
      </c>
      <c r="O2490" s="503" t="str">
        <f ca="1">IFERROR(IF(VLOOKUP(C2490,' Disaggregation - Section E '!A$10:N679,10,0)=0,"",VLOOKUP(C2490,' Disaggregation - Section E '!A$10:N679,10,0)),"")</f>
        <v/>
      </c>
    </row>
    <row r="2491" spans="1:15" x14ac:dyDescent="0.35">
      <c r="A2491" s="497" t="b">
        <f t="shared" ca="1" si="225"/>
        <v>0</v>
      </c>
      <c r="B2491" s="497"/>
      <c r="C2491" s="517" t="str">
        <f ca="1">IF(COUNTA(D$2119:D2491)=1,"",OFFSET(B2491,-COUNTA(D$2119:D2491)+1,1))</f>
        <v>a1G3p000005ncGBEAY</v>
      </c>
      <c r="D2491" s="512"/>
      <c r="E2491" s="500" t="str">
        <f ca="1">IFERROR(IF(VLOOKUP(C2491,' Disaggregation - Section E '!A$10:J680,7,0)="","",VLOOKUP(C2491,' Disaggregation - Section E '!A$10:J680,7,0)*100),"")</f>
        <v/>
      </c>
      <c r="F2491" s="503" t="str">
        <f ca="1">IFERROR(IF(VLOOKUP(C2491,' Disaggregation - Section E '!A$10:N680,5,0)=0,"",VLOOKUP(C2491,' Disaggregation - Section E '!A$10:N680,5,0)),"")</f>
        <v/>
      </c>
      <c r="G2491" s="502" t="str">
        <f ca="1">IFERROR(IF(VLOOKUP(C2491,' Disaggregation - Section E '!A$10:N680,6,0)="","",VLOOKUP(C2491,' Disaggregation - Section E '!A$10:N680,6,0)),"")</f>
        <v/>
      </c>
      <c r="H2491" s="512" t="str">
        <f ca="1">IFERROR(IF(INDEX(' Disaggregation - Section E '!F$10:F680,MATCH(C2491,' Disaggregation - Section E '!A$10:A680,0)+1,1)&lt;&gt;0,INDEX(' Disaggregation - Section E '!F$10:F680,MATCH(C2491,' Disaggregation - Section E '!A$10:A680,0)+1,1),""),"")</f>
        <v/>
      </c>
      <c r="I2491" s="503" t="str">
        <f ca="1">IFERROR(IF(VLOOKUP(C2491,' Disaggregation - Section E '!A$10:N680,8,0)=0,"",VLOOKUP(C2491,' Disaggregation - Section E '!A$10:N680,8,0)),"")</f>
        <v/>
      </c>
      <c r="J2491" s="503" t="str">
        <f ca="1">IFERROR(IF(VLOOKUP(C2491,' Disaggregation - Section E '!A$10:N680,13,0)=0,"",VLOOKUP(C2491,' Disaggregation - Section E '!A$10:N680,13,0)),"")</f>
        <v/>
      </c>
      <c r="K2491" s="497" t="str">
        <f ca="1">IFERROR(VLOOKUP(C2491,' Disaggregation - Section E '!A$10:N680,3,0),"")</f>
        <v/>
      </c>
      <c r="L2491" s="503" t="str">
        <f ca="1">IFERROR(IF(VLOOKUP(C2491,' Disaggregation - Section E '!A$10:N680,14,0)=0,"",VLOOKUP(C2491,' Disaggregation - Section E '!A$10:N680,14,0)),"")</f>
        <v/>
      </c>
      <c r="M2491" s="497" t="str">
        <f ca="1">IFERROR(IF(VLOOKUP(C2491,' Disaggregation - Section E '!A$10:T680,20,0)=0,"",VLOOKUP(C2491,' Disaggregation - Section E '!A$10:T680,20,0)),"")</f>
        <v/>
      </c>
      <c r="N2491" s="503" t="str">
        <f ca="1">IFERROR(IF(VLOOKUP(C2491,' Disaggregation - Section E '!A$10:N680,9,0)=0,"",VLOOKUP(C2491,' Disaggregation - Section E '!A$10:N680,9,0)),"")</f>
        <v/>
      </c>
      <c r="O2491" s="503" t="str">
        <f ca="1">IFERROR(IF(VLOOKUP(C2491,' Disaggregation - Section E '!A$10:N680,10,0)=0,"",VLOOKUP(C2491,' Disaggregation - Section E '!A$10:N680,10,0)),"")</f>
        <v/>
      </c>
    </row>
    <row r="2492" spans="1:15" x14ac:dyDescent="0.35">
      <c r="A2492" s="497" t="b">
        <f t="shared" ca="1" si="225"/>
        <v>0</v>
      </c>
      <c r="B2492" s="497"/>
      <c r="C2492" s="517" t="str">
        <f ca="1">IF(COUNTA(D$2119:D2492)=1,"",OFFSET(B2492,-COUNTA(D$2119:D2492)+1,1))</f>
        <v>a1G3p000005ncGCEAY</v>
      </c>
      <c r="D2492" s="512"/>
      <c r="E2492" s="500" t="str">
        <f ca="1">IFERROR(IF(VLOOKUP(C2492,' Disaggregation - Section E '!A$10:J681,7,0)="","",VLOOKUP(C2492,' Disaggregation - Section E '!A$10:J681,7,0)*100),"")</f>
        <v/>
      </c>
      <c r="F2492" s="503" t="str">
        <f ca="1">IFERROR(IF(VLOOKUP(C2492,' Disaggregation - Section E '!A$10:N681,5,0)=0,"",VLOOKUP(C2492,' Disaggregation - Section E '!A$10:N681,5,0)),"")</f>
        <v/>
      </c>
      <c r="G2492" s="502" t="str">
        <f ca="1">IFERROR(IF(VLOOKUP(C2492,' Disaggregation - Section E '!A$10:N681,6,0)="","",VLOOKUP(C2492,' Disaggregation - Section E '!A$10:N681,6,0)),"")</f>
        <v/>
      </c>
      <c r="H2492" s="512" t="str">
        <f ca="1">IFERROR(IF(INDEX(' Disaggregation - Section E '!F$10:F681,MATCH(C2492,' Disaggregation - Section E '!A$10:A681,0)+1,1)&lt;&gt;0,INDEX(' Disaggregation - Section E '!F$10:F681,MATCH(C2492,' Disaggregation - Section E '!A$10:A681,0)+1,1),""),"")</f>
        <v/>
      </c>
      <c r="I2492" s="503" t="str">
        <f ca="1">IFERROR(IF(VLOOKUP(C2492,' Disaggregation - Section E '!A$10:N681,8,0)=0,"",VLOOKUP(C2492,' Disaggregation - Section E '!A$10:N681,8,0)),"")</f>
        <v/>
      </c>
      <c r="J2492" s="503" t="str">
        <f ca="1">IFERROR(IF(VLOOKUP(C2492,' Disaggregation - Section E '!A$10:N681,13,0)=0,"",VLOOKUP(C2492,' Disaggregation - Section E '!A$10:N681,13,0)),"")</f>
        <v/>
      </c>
      <c r="K2492" s="497" t="str">
        <f ca="1">IFERROR(VLOOKUP(C2492,' Disaggregation - Section E '!A$10:N681,3,0),"")</f>
        <v/>
      </c>
      <c r="L2492" s="503" t="str">
        <f ca="1">IFERROR(IF(VLOOKUP(C2492,' Disaggregation - Section E '!A$10:N681,14,0)=0,"",VLOOKUP(C2492,' Disaggregation - Section E '!A$10:N681,14,0)),"")</f>
        <v/>
      </c>
      <c r="M2492" s="497" t="str">
        <f ca="1">IFERROR(IF(VLOOKUP(C2492,' Disaggregation - Section E '!A$10:T681,20,0)=0,"",VLOOKUP(C2492,' Disaggregation - Section E '!A$10:T681,20,0)),"")</f>
        <v/>
      </c>
      <c r="N2492" s="503" t="str">
        <f ca="1">IFERROR(IF(VLOOKUP(C2492,' Disaggregation - Section E '!A$10:N681,9,0)=0,"",VLOOKUP(C2492,' Disaggregation - Section E '!A$10:N681,9,0)),"")</f>
        <v/>
      </c>
      <c r="O2492" s="503" t="str">
        <f ca="1">IFERROR(IF(VLOOKUP(C2492,' Disaggregation - Section E '!A$10:N681,10,0)=0,"",VLOOKUP(C2492,' Disaggregation - Section E '!A$10:N681,10,0)),"")</f>
        <v/>
      </c>
    </row>
    <row r="2493" spans="1:15" x14ac:dyDescent="0.35">
      <c r="A2493" s="497" t="b">
        <f t="shared" ca="1" si="225"/>
        <v>0</v>
      </c>
      <c r="B2493" s="497"/>
      <c r="C2493" s="517" t="str">
        <f ca="1">IF(COUNTA(D$2119:D2493)=1,"",OFFSET(B2493,-COUNTA(D$2119:D2493)+1,1))</f>
        <v>a1G3p000005ncGDEAY</v>
      </c>
      <c r="D2493" s="512"/>
      <c r="E2493" s="500" t="str">
        <f ca="1">IFERROR(IF(VLOOKUP(C2493,' Disaggregation - Section E '!A$10:J682,7,0)="","",VLOOKUP(C2493,' Disaggregation - Section E '!A$10:J682,7,0)*100),"")</f>
        <v/>
      </c>
      <c r="F2493" s="503" t="str">
        <f ca="1">IFERROR(IF(VLOOKUP(C2493,' Disaggregation - Section E '!A$10:N682,5,0)=0,"",VLOOKUP(C2493,' Disaggregation - Section E '!A$10:N682,5,0)),"")</f>
        <v/>
      </c>
      <c r="G2493" s="502" t="str">
        <f ca="1">IFERROR(IF(VLOOKUP(C2493,' Disaggregation - Section E '!A$10:N682,6,0)="","",VLOOKUP(C2493,' Disaggregation - Section E '!A$10:N682,6,0)),"")</f>
        <v/>
      </c>
      <c r="H2493" s="512" t="str">
        <f ca="1">IFERROR(IF(INDEX(' Disaggregation - Section E '!F$10:F682,MATCH(C2493,' Disaggregation - Section E '!A$10:A682,0)+1,1)&lt;&gt;0,INDEX(' Disaggregation - Section E '!F$10:F682,MATCH(C2493,' Disaggregation - Section E '!A$10:A682,0)+1,1),""),"")</f>
        <v/>
      </c>
      <c r="I2493" s="503" t="str">
        <f ca="1">IFERROR(IF(VLOOKUP(C2493,' Disaggregation - Section E '!A$10:N682,8,0)=0,"",VLOOKUP(C2493,' Disaggregation - Section E '!A$10:N682,8,0)),"")</f>
        <v/>
      </c>
      <c r="J2493" s="503" t="str">
        <f ca="1">IFERROR(IF(VLOOKUP(C2493,' Disaggregation - Section E '!A$10:N682,13,0)=0,"",VLOOKUP(C2493,' Disaggregation - Section E '!A$10:N682,13,0)),"")</f>
        <v/>
      </c>
      <c r="K2493" s="497" t="str">
        <f ca="1">IFERROR(VLOOKUP(C2493,' Disaggregation - Section E '!A$10:N682,3,0),"")</f>
        <v/>
      </c>
      <c r="L2493" s="503" t="str">
        <f ca="1">IFERROR(IF(VLOOKUP(C2493,' Disaggregation - Section E '!A$10:N682,14,0)=0,"",VLOOKUP(C2493,' Disaggregation - Section E '!A$10:N682,14,0)),"")</f>
        <v/>
      </c>
      <c r="M2493" s="497" t="str">
        <f ca="1">IFERROR(IF(VLOOKUP(C2493,' Disaggregation - Section E '!A$10:T682,20,0)=0,"",VLOOKUP(C2493,' Disaggregation - Section E '!A$10:T682,20,0)),"")</f>
        <v/>
      </c>
      <c r="N2493" s="503" t="str">
        <f ca="1">IFERROR(IF(VLOOKUP(C2493,' Disaggregation - Section E '!A$10:N682,9,0)=0,"",VLOOKUP(C2493,' Disaggregation - Section E '!A$10:N682,9,0)),"")</f>
        <v/>
      </c>
      <c r="O2493" s="503" t="str">
        <f ca="1">IFERROR(IF(VLOOKUP(C2493,' Disaggregation - Section E '!A$10:N682,10,0)=0,"",VLOOKUP(C2493,' Disaggregation - Section E '!A$10:N682,10,0)),"")</f>
        <v/>
      </c>
    </row>
    <row r="2494" spans="1:15" x14ac:dyDescent="0.35">
      <c r="A2494" s="497" t="b">
        <f t="shared" ca="1" si="225"/>
        <v>0</v>
      </c>
      <c r="B2494" s="497"/>
      <c r="C2494" s="517" t="str">
        <f ca="1">IF(COUNTA(D$2119:D2494)=1,"",OFFSET(B2494,-COUNTA(D$2119:D2494)+1,1))</f>
        <v>a1G3p000005ncGEEAY</v>
      </c>
      <c r="D2494" s="512"/>
      <c r="E2494" s="500" t="str">
        <f ca="1">IFERROR(IF(VLOOKUP(C2494,' Disaggregation - Section E '!A$10:J683,7,0)="","",VLOOKUP(C2494,' Disaggregation - Section E '!A$10:J683,7,0)*100),"")</f>
        <v/>
      </c>
      <c r="F2494" s="503" t="str">
        <f ca="1">IFERROR(IF(VLOOKUP(C2494,' Disaggregation - Section E '!A$10:N683,5,0)=0,"",VLOOKUP(C2494,' Disaggregation - Section E '!A$10:N683,5,0)),"")</f>
        <v/>
      </c>
      <c r="G2494" s="502" t="str">
        <f ca="1">IFERROR(IF(VLOOKUP(C2494,' Disaggregation - Section E '!A$10:N683,6,0)="","",VLOOKUP(C2494,' Disaggregation - Section E '!A$10:N683,6,0)),"")</f>
        <v/>
      </c>
      <c r="H2494" s="512" t="str">
        <f ca="1">IFERROR(IF(INDEX(' Disaggregation - Section E '!F$10:F683,MATCH(C2494,' Disaggregation - Section E '!A$10:A683,0)+1,1)&lt;&gt;0,INDEX(' Disaggregation - Section E '!F$10:F683,MATCH(C2494,' Disaggregation - Section E '!A$10:A683,0)+1,1),""),"")</f>
        <v/>
      </c>
      <c r="I2494" s="503" t="str">
        <f ca="1">IFERROR(IF(VLOOKUP(C2494,' Disaggregation - Section E '!A$10:N683,8,0)=0,"",VLOOKUP(C2494,' Disaggregation - Section E '!A$10:N683,8,0)),"")</f>
        <v/>
      </c>
      <c r="J2494" s="503" t="str">
        <f ca="1">IFERROR(IF(VLOOKUP(C2494,' Disaggregation - Section E '!A$10:N683,13,0)=0,"",VLOOKUP(C2494,' Disaggregation - Section E '!A$10:N683,13,0)),"")</f>
        <v/>
      </c>
      <c r="K2494" s="497" t="str">
        <f ca="1">IFERROR(VLOOKUP(C2494,' Disaggregation - Section E '!A$10:N683,3,0),"")</f>
        <v/>
      </c>
      <c r="L2494" s="503" t="str">
        <f ca="1">IFERROR(IF(VLOOKUP(C2494,' Disaggregation - Section E '!A$10:N683,14,0)=0,"",VLOOKUP(C2494,' Disaggregation - Section E '!A$10:N683,14,0)),"")</f>
        <v/>
      </c>
      <c r="M2494" s="497" t="str">
        <f ca="1">IFERROR(IF(VLOOKUP(C2494,' Disaggregation - Section E '!A$10:T683,20,0)=0,"",VLOOKUP(C2494,' Disaggregation - Section E '!A$10:T683,20,0)),"")</f>
        <v/>
      </c>
      <c r="N2494" s="503" t="str">
        <f ca="1">IFERROR(IF(VLOOKUP(C2494,' Disaggregation - Section E '!A$10:N683,9,0)=0,"",VLOOKUP(C2494,' Disaggregation - Section E '!A$10:N683,9,0)),"")</f>
        <v/>
      </c>
      <c r="O2494" s="503" t="str">
        <f ca="1">IFERROR(IF(VLOOKUP(C2494,' Disaggregation - Section E '!A$10:N683,10,0)=0,"",VLOOKUP(C2494,' Disaggregation - Section E '!A$10:N683,10,0)),"")</f>
        <v/>
      </c>
    </row>
    <row r="2495" spans="1:15" x14ac:dyDescent="0.35">
      <c r="A2495" s="497" t="b">
        <f t="shared" ca="1" si="225"/>
        <v>0</v>
      </c>
      <c r="B2495" s="497"/>
      <c r="C2495" s="517" t="str">
        <f ca="1">IF(COUNTA(D$2119:D2495)=1,"",OFFSET(B2495,-COUNTA(D$2119:D2495)+1,1))</f>
        <v>a1G3p000005ncGFEAY</v>
      </c>
      <c r="D2495" s="512"/>
      <c r="E2495" s="500" t="str">
        <f ca="1">IFERROR(IF(VLOOKUP(C2495,' Disaggregation - Section E '!A$10:J684,7,0)="","",VLOOKUP(C2495,' Disaggregation - Section E '!A$10:J684,7,0)*100),"")</f>
        <v/>
      </c>
      <c r="F2495" s="503" t="str">
        <f ca="1">IFERROR(IF(VLOOKUP(C2495,' Disaggregation - Section E '!A$10:N684,5,0)=0,"",VLOOKUP(C2495,' Disaggregation - Section E '!A$10:N684,5,0)),"")</f>
        <v/>
      </c>
      <c r="G2495" s="502" t="str">
        <f ca="1">IFERROR(IF(VLOOKUP(C2495,' Disaggregation - Section E '!A$10:N684,6,0)="","",VLOOKUP(C2495,' Disaggregation - Section E '!A$10:N684,6,0)),"")</f>
        <v/>
      </c>
      <c r="H2495" s="512" t="str">
        <f ca="1">IFERROR(IF(INDEX(' Disaggregation - Section E '!F$10:F684,MATCH(C2495,' Disaggregation - Section E '!A$10:A684,0)+1,1)&lt;&gt;0,INDEX(' Disaggregation - Section E '!F$10:F684,MATCH(C2495,' Disaggregation - Section E '!A$10:A684,0)+1,1),""),"")</f>
        <v/>
      </c>
      <c r="I2495" s="503" t="str">
        <f ca="1">IFERROR(IF(VLOOKUP(C2495,' Disaggregation - Section E '!A$10:N684,8,0)=0,"",VLOOKUP(C2495,' Disaggregation - Section E '!A$10:N684,8,0)),"")</f>
        <v/>
      </c>
      <c r="J2495" s="503" t="str">
        <f ca="1">IFERROR(IF(VLOOKUP(C2495,' Disaggregation - Section E '!A$10:N684,13,0)=0,"",VLOOKUP(C2495,' Disaggregation - Section E '!A$10:N684,13,0)),"")</f>
        <v/>
      </c>
      <c r="K2495" s="497" t="str">
        <f ca="1">IFERROR(VLOOKUP(C2495,' Disaggregation - Section E '!A$10:N684,3,0),"")</f>
        <v/>
      </c>
      <c r="L2495" s="503" t="str">
        <f ca="1">IFERROR(IF(VLOOKUP(C2495,' Disaggregation - Section E '!A$10:N684,14,0)=0,"",VLOOKUP(C2495,' Disaggregation - Section E '!A$10:N684,14,0)),"")</f>
        <v/>
      </c>
      <c r="M2495" s="497" t="str">
        <f ca="1">IFERROR(IF(VLOOKUP(C2495,' Disaggregation - Section E '!A$10:T684,20,0)=0,"",VLOOKUP(C2495,' Disaggregation - Section E '!A$10:T684,20,0)),"")</f>
        <v/>
      </c>
      <c r="N2495" s="503" t="str">
        <f ca="1">IFERROR(IF(VLOOKUP(C2495,' Disaggregation - Section E '!A$10:N684,9,0)=0,"",VLOOKUP(C2495,' Disaggregation - Section E '!A$10:N684,9,0)),"")</f>
        <v/>
      </c>
      <c r="O2495" s="503" t="str">
        <f ca="1">IFERROR(IF(VLOOKUP(C2495,' Disaggregation - Section E '!A$10:N684,10,0)=0,"",VLOOKUP(C2495,' Disaggregation - Section E '!A$10:N684,10,0)),"")</f>
        <v/>
      </c>
    </row>
    <row r="2497" spans="1:16" x14ac:dyDescent="0.35">
      <c r="A2497" s="507" t="s">
        <v>278</v>
      </c>
    </row>
    <row r="2498" spans="1:16" x14ac:dyDescent="0.35">
      <c r="A2498" s="497" t="s">
        <v>46</v>
      </c>
      <c r="B2498" s="497"/>
      <c r="C2498" s="497" t="s">
        <v>48</v>
      </c>
      <c r="D2498" s="497" t="s">
        <v>25</v>
      </c>
      <c r="E2498" s="497" t="s">
        <v>4</v>
      </c>
      <c r="F2498" s="497" t="s">
        <v>27</v>
      </c>
      <c r="G2498" s="497" t="s">
        <v>2</v>
      </c>
      <c r="H2498" s="497" t="s">
        <v>3</v>
      </c>
      <c r="I2498" s="497" t="s">
        <v>146</v>
      </c>
      <c r="J2498" s="497" t="s">
        <v>18</v>
      </c>
      <c r="K2498" s="497" t="s">
        <v>357</v>
      </c>
      <c r="L2498" s="497"/>
      <c r="M2498" s="497" t="s">
        <v>364</v>
      </c>
      <c r="N2498" s="497" t="s">
        <v>9</v>
      </c>
      <c r="O2498" s="497" t="s">
        <v>472</v>
      </c>
      <c r="P2498" s="497" t="s">
        <v>473</v>
      </c>
    </row>
    <row r="2499" spans="1:16" hidden="1" x14ac:dyDescent="0.35">
      <c r="A2499" s="497" t="b">
        <f ca="1">IF(M2499&lt;&gt;"",TRUE,FALSE)</f>
        <v>0</v>
      </c>
      <c r="B2499" s="497"/>
      <c r="C2499" s="497" t="str">
        <f ca="1">IF(COUNTA(D$2498:D2499)=1,"",OFFSET(B2497,-COUNTA(D$2498:D2499)+3,1))</f>
        <v/>
      </c>
      <c r="D2499" s="512"/>
      <c r="E2499" s="500" t="str">
        <f ca="1">IFERROR(IF(VLOOKUP(C2499,' Disaggregation - Section E '!A$618:N623,7,0)="","",VLOOKUP(C2499,' Disaggregation - Section E '!A$618:N623,7,0)*100),"")</f>
        <v/>
      </c>
      <c r="F2499" s="503" t="str">
        <f ca="1">IFERROR(VLOOKUP(C2499,' Disaggregation - Section E '!A$618:N623,5,0),"")</f>
        <v/>
      </c>
      <c r="G2499" s="502" t="str">
        <f ca="1">IFERROR(IF(VLOOKUP(C2499,' Disaggregation - Section E '!A$618:N623,6,0)="","",VLOOKUP(C2499,' Disaggregation - Section E '!A$618:N623,6,0)),"")</f>
        <v/>
      </c>
      <c r="H2499" s="512" t="str">
        <f ca="1">IFERROR(IF(INDEX(' Disaggregation - Section E '!F$618:F1820,MATCH(C2499,' Disaggregation - Section E '!A$618:A1820,0)+1,1)&lt;&gt;0,INDEX(' Disaggregation - Section E '!F$618:F$1820,MATCH(C2499,' Disaggregation - Section E '!A$618:A1820,0)+1,1),""),"")</f>
        <v/>
      </c>
      <c r="I2499" s="503" t="str">
        <f ca="1">IFERROR(IF(VLOOKUP(C2499,' Disaggregation - Section E '!A$618:N623,8,0)=0,"",VLOOKUP(C2499,' Disaggregation - Section E '!A$618:N623,8,0)),"")</f>
        <v/>
      </c>
      <c r="J2499" s="503" t="str">
        <f ca="1">IFERROR(IF(VLOOKUP(C2499,' Disaggregation - Section E '!A$618:N1820,13,0)=0,"",VLOOKUP(C2499,' Disaggregation - Section E '!A$618:N1820,13,0)),"")</f>
        <v/>
      </c>
      <c r="K2499" s="497" t="str">
        <f ca="1">IFERROR(VLOOKUP(C2499,' Disaggregation - Section E '!A$618:N623,3,0),"")</f>
        <v/>
      </c>
      <c r="L2499" s="497"/>
      <c r="M2499" s="497" t="str">
        <f ca="1">IFERROR(IF(VLOOKUP(C2499,' Disaggregation - Section E '!A$618:T623,20,0)=0,"",VLOOKUP(C2499,' Disaggregation - Section E '!A$618:T623,20,0)),"")</f>
        <v/>
      </c>
      <c r="N2499" s="503" t="str">
        <f ca="1">IFERROR(IF(VLOOKUP(C2499,' Disaggregation - Section E '!A$618:N623,14,0)=0,"",VLOOKUP(C2499,' Disaggregation - Section E '!A$618:N623,14,0)),"")</f>
        <v/>
      </c>
      <c r="O2499" s="503" t="str">
        <f ca="1">IFERROR(IF(VLOOKUP(C2499,' Disaggregation - Section E '!A$618:N623,9,0)=0,"",VLOOKUP(C2499,' Disaggregation - Section E '!A$618:N623,9,0)),"")</f>
        <v/>
      </c>
      <c r="P2499" s="503" t="str">
        <f ca="1">IFERROR(IF(VLOOKUP(C2499,' Disaggregation - Section E '!A$618:N623,10,0)=0,"",VLOOKUP(C2499,' Disaggregation - Section E '!A$618:N623,10,0)),"")</f>
        <v/>
      </c>
    </row>
    <row r="2500" spans="1:16" x14ac:dyDescent="0.35">
      <c r="A2500" s="497" t="b">
        <v>0</v>
      </c>
      <c r="B2500" s="497"/>
      <c r="C2500" s="497" t="s">
        <v>5300</v>
      </c>
      <c r="D2500" s="512">
        <v>1</v>
      </c>
      <c r="E2500" s="500"/>
      <c r="F2500" s="503"/>
      <c r="G2500" s="502"/>
      <c r="H2500" s="512"/>
      <c r="I2500" s="503"/>
      <c r="J2500" s="503"/>
      <c r="K2500" s="497" t="str">
        <f ca="1">IFERROR(VLOOKUP(C2500,' Disaggregation - Section E '!A$618:N624,3,0),"")</f>
        <v>HTS-Other 1 Porcentaje de resultados de VIH positivos entre el total de pruebas de VIH realizadas en HSH</v>
      </c>
      <c r="L2500" s="497"/>
      <c r="M2500" s="497"/>
      <c r="N2500" s="503"/>
      <c r="O2500" s="503"/>
      <c r="P2500" s="503"/>
    </row>
    <row r="2501" spans="1:16" x14ac:dyDescent="0.35">
      <c r="A2501" s="497" t="b">
        <v>0</v>
      </c>
      <c r="B2501" s="497"/>
      <c r="C2501" s="497" t="s">
        <v>5302</v>
      </c>
      <c r="D2501" s="512">
        <v>1</v>
      </c>
      <c r="E2501" s="500"/>
      <c r="F2501" s="503"/>
      <c r="G2501" s="502"/>
      <c r="H2501" s="512"/>
      <c r="I2501" s="503"/>
      <c r="J2501" s="503"/>
      <c r="K2501" s="497" t="str">
        <f ca="1">IFERROR(VLOOKUP(C2501,' Disaggregation - Section E '!A$618:N625,3,0),"")</f>
        <v>HTS-Other 1 Porcentaje de resultados de VIH positivos entre el total de pruebas de VIH realizadas en HSH</v>
      </c>
      <c r="L2501" s="497"/>
      <c r="M2501" s="497"/>
      <c r="N2501" s="503"/>
      <c r="O2501" s="503"/>
      <c r="P2501" s="503"/>
    </row>
    <row r="2502" spans="1:16" x14ac:dyDescent="0.35">
      <c r="A2502" s="497" t="b">
        <v>0</v>
      </c>
      <c r="B2502" s="497"/>
      <c r="C2502" s="497" t="s">
        <v>5304</v>
      </c>
      <c r="D2502" s="512">
        <v>1</v>
      </c>
      <c r="E2502" s="500"/>
      <c r="F2502" s="503"/>
      <c r="G2502" s="502"/>
      <c r="H2502" s="512"/>
      <c r="I2502" s="503"/>
      <c r="J2502" s="503"/>
      <c r="K2502" s="497" t="str">
        <f ca="1">IFERROR(VLOOKUP(C2502,' Disaggregation - Section E '!A$618:N626,3,0),"")</f>
        <v>HTS-Other 1 Porcentaje de resultados de VIH positivos entre el total de pruebas de VIH realizadas en HSH</v>
      </c>
      <c r="L2502" s="497"/>
      <c r="M2502" s="497"/>
      <c r="N2502" s="503"/>
      <c r="O2502" s="503"/>
      <c r="P2502" s="503"/>
    </row>
    <row r="2503" spans="1:16" x14ac:dyDescent="0.35">
      <c r="A2503" s="497" t="b">
        <v>0</v>
      </c>
      <c r="B2503" s="497"/>
      <c r="C2503" s="497" t="s">
        <v>5306</v>
      </c>
      <c r="D2503" s="512">
        <v>1</v>
      </c>
      <c r="E2503" s="500"/>
      <c r="F2503" s="503"/>
      <c r="G2503" s="502"/>
      <c r="H2503" s="512"/>
      <c r="I2503" s="503"/>
      <c r="J2503" s="503"/>
      <c r="K2503" s="497" t="str">
        <f ca="1">IFERROR(VLOOKUP(C2503,' Disaggregation - Section E '!A$618:N627,3,0),"")</f>
        <v>HTS-Other 1 Porcentaje de resultados de VIH positivos entre el total de pruebas de VIH realizadas en HSH</v>
      </c>
      <c r="L2503" s="497"/>
      <c r="M2503" s="497"/>
      <c r="N2503" s="503"/>
      <c r="O2503" s="503"/>
      <c r="P2503" s="503"/>
    </row>
    <row r="2504" spans="1:16" x14ac:dyDescent="0.35">
      <c r="A2504" s="497" t="b">
        <v>0</v>
      </c>
      <c r="B2504" s="497"/>
      <c r="C2504" s="497" t="s">
        <v>5308</v>
      </c>
      <c r="D2504" s="512">
        <v>1</v>
      </c>
      <c r="E2504" s="500"/>
      <c r="F2504" s="503"/>
      <c r="G2504" s="502"/>
      <c r="H2504" s="512"/>
      <c r="I2504" s="503"/>
      <c r="J2504" s="503"/>
      <c r="K2504" s="497" t="str">
        <f ca="1">IFERROR(VLOOKUP(C2504,' Disaggregation - Section E '!A$618:N628,3,0),"")</f>
        <v/>
      </c>
      <c r="L2504" s="497"/>
      <c r="M2504" s="497"/>
      <c r="N2504" s="503"/>
      <c r="O2504" s="503"/>
      <c r="P2504" s="503"/>
    </row>
    <row r="2505" spans="1:16" x14ac:dyDescent="0.35">
      <c r="A2505" s="497" t="b">
        <v>0</v>
      </c>
      <c r="B2505" s="497"/>
      <c r="C2505" s="497" t="s">
        <v>5310</v>
      </c>
      <c r="D2505" s="512">
        <v>1</v>
      </c>
      <c r="E2505" s="500"/>
      <c r="F2505" s="503"/>
      <c r="G2505" s="502"/>
      <c r="H2505" s="512"/>
      <c r="I2505" s="503"/>
      <c r="J2505" s="503"/>
      <c r="K2505" s="497" t="str">
        <f ca="1">IFERROR(VLOOKUP(C2505,' Disaggregation - Section E '!A$618:N629,3,0),"")</f>
        <v/>
      </c>
      <c r="L2505" s="497"/>
      <c r="M2505" s="497"/>
      <c r="N2505" s="503"/>
      <c r="O2505" s="503"/>
      <c r="P2505" s="503"/>
    </row>
    <row r="2506" spans="1:16" x14ac:dyDescent="0.35">
      <c r="A2506" s="497" t="b">
        <v>0</v>
      </c>
      <c r="B2506" s="497"/>
      <c r="C2506" s="497" t="s">
        <v>5312</v>
      </c>
      <c r="D2506" s="512">
        <v>1</v>
      </c>
      <c r="E2506" s="500"/>
      <c r="F2506" s="503"/>
      <c r="G2506" s="502"/>
      <c r="H2506" s="512"/>
      <c r="I2506" s="503"/>
      <c r="J2506" s="503"/>
      <c r="K2506" s="497" t="str">
        <f ca="1">IFERROR(VLOOKUP(C2506,' Disaggregation - Section E '!A$618:N630,3,0),"")</f>
        <v/>
      </c>
      <c r="L2506" s="497"/>
      <c r="M2506" s="497"/>
      <c r="N2506" s="503"/>
      <c r="O2506" s="503"/>
      <c r="P2506" s="503"/>
    </row>
    <row r="2507" spans="1:16" x14ac:dyDescent="0.35">
      <c r="A2507" s="497" t="b">
        <v>0</v>
      </c>
      <c r="B2507" s="497"/>
      <c r="C2507" s="497" t="s">
        <v>5314</v>
      </c>
      <c r="D2507" s="512">
        <v>1</v>
      </c>
      <c r="E2507" s="500"/>
      <c r="F2507" s="503"/>
      <c r="G2507" s="502"/>
      <c r="H2507" s="512"/>
      <c r="I2507" s="503"/>
      <c r="J2507" s="503"/>
      <c r="K2507" s="497" t="str">
        <f ca="1">IFERROR(VLOOKUP(C2507,' Disaggregation - Section E '!A$618:N631,3,0),"")</f>
        <v/>
      </c>
      <c r="L2507" s="497"/>
      <c r="M2507" s="497"/>
      <c r="N2507" s="503"/>
      <c r="O2507" s="503"/>
      <c r="P2507" s="503"/>
    </row>
    <row r="2508" spans="1:16" x14ac:dyDescent="0.35">
      <c r="A2508" s="497" t="b">
        <v>0</v>
      </c>
      <c r="B2508" s="497"/>
      <c r="C2508" s="497" t="s">
        <v>5316</v>
      </c>
      <c r="D2508" s="512">
        <v>1</v>
      </c>
      <c r="E2508" s="500"/>
      <c r="F2508" s="503"/>
      <c r="G2508" s="502"/>
      <c r="H2508" s="512"/>
      <c r="I2508" s="503"/>
      <c r="J2508" s="503"/>
      <c r="K2508" s="497" t="str">
        <f ca="1">IFERROR(VLOOKUP(C2508,' Disaggregation - Section E '!A$618:N632,3,0),"")</f>
        <v/>
      </c>
      <c r="L2508" s="497"/>
      <c r="M2508" s="497"/>
      <c r="N2508" s="503"/>
      <c r="O2508" s="503"/>
      <c r="P2508" s="503"/>
    </row>
    <row r="2509" spans="1:16" x14ac:dyDescent="0.35">
      <c r="A2509" s="497" t="b">
        <v>0</v>
      </c>
      <c r="B2509" s="497"/>
      <c r="C2509" s="497" t="s">
        <v>5318</v>
      </c>
      <c r="D2509" s="512">
        <v>1</v>
      </c>
      <c r="E2509" s="500"/>
      <c r="F2509" s="503"/>
      <c r="G2509" s="502"/>
      <c r="H2509" s="512"/>
      <c r="I2509" s="503"/>
      <c r="J2509" s="503"/>
      <c r="K2509" s="497" t="str">
        <f ca="1">IFERROR(VLOOKUP(C2509,' Disaggregation - Section E '!A$618:N633,3,0),"")</f>
        <v/>
      </c>
      <c r="L2509" s="497"/>
      <c r="M2509" s="497"/>
      <c r="N2509" s="503"/>
      <c r="O2509" s="503"/>
      <c r="P2509" s="503"/>
    </row>
    <row r="2510" spans="1:16" x14ac:dyDescent="0.35">
      <c r="A2510" s="497" t="b">
        <v>0</v>
      </c>
      <c r="B2510" s="497"/>
      <c r="C2510" s="497" t="s">
        <v>5320</v>
      </c>
      <c r="D2510" s="512">
        <v>1</v>
      </c>
      <c r="E2510" s="500"/>
      <c r="F2510" s="503"/>
      <c r="G2510" s="502"/>
      <c r="H2510" s="512"/>
      <c r="I2510" s="503"/>
      <c r="J2510" s="503"/>
      <c r="K2510" s="497" t="str">
        <f ca="1">IFERROR(VLOOKUP(C2510,' Disaggregation - Section E '!A$618:N634,3,0),"")</f>
        <v/>
      </c>
      <c r="L2510" s="497"/>
      <c r="M2510" s="497"/>
      <c r="N2510" s="503"/>
      <c r="O2510" s="503"/>
      <c r="P2510" s="503"/>
    </row>
    <row r="2511" spans="1:16" x14ac:dyDescent="0.35">
      <c r="A2511" s="497" t="b">
        <v>0</v>
      </c>
      <c r="B2511" s="497"/>
      <c r="C2511" s="497" t="s">
        <v>5322</v>
      </c>
      <c r="D2511" s="512">
        <v>1</v>
      </c>
      <c r="E2511" s="500"/>
      <c r="F2511" s="503"/>
      <c r="G2511" s="502"/>
      <c r="H2511" s="512"/>
      <c r="I2511" s="503"/>
      <c r="J2511" s="503"/>
      <c r="K2511" s="497" t="str">
        <f ca="1">IFERROR(VLOOKUP(C2511,' Disaggregation - Section E '!A$618:N635,3,0),"")</f>
        <v/>
      </c>
      <c r="L2511" s="497"/>
      <c r="M2511" s="497"/>
      <c r="N2511" s="503"/>
      <c r="O2511" s="503"/>
      <c r="P2511" s="503"/>
    </row>
    <row r="2512" spans="1:16" x14ac:dyDescent="0.35">
      <c r="A2512" s="497" t="b">
        <v>0</v>
      </c>
      <c r="B2512" s="497"/>
      <c r="C2512" s="497" t="s">
        <v>5324</v>
      </c>
      <c r="D2512" s="512">
        <v>1</v>
      </c>
      <c r="E2512" s="500"/>
      <c r="F2512" s="503"/>
      <c r="G2512" s="502"/>
      <c r="H2512" s="512"/>
      <c r="I2512" s="503"/>
      <c r="J2512" s="503"/>
      <c r="K2512" s="497" t="str">
        <f ca="1">IFERROR(VLOOKUP(C2512,' Disaggregation - Section E '!A$618:N636,3,0),"")</f>
        <v/>
      </c>
      <c r="L2512" s="497"/>
      <c r="M2512" s="497"/>
      <c r="N2512" s="503"/>
      <c r="O2512" s="503"/>
      <c r="P2512" s="503"/>
    </row>
    <row r="2513" spans="1:16" x14ac:dyDescent="0.35">
      <c r="A2513" s="497" t="b">
        <v>0</v>
      </c>
      <c r="B2513" s="497"/>
      <c r="C2513" s="497" t="s">
        <v>5326</v>
      </c>
      <c r="D2513" s="512">
        <v>1</v>
      </c>
      <c r="E2513" s="500"/>
      <c r="F2513" s="503"/>
      <c r="G2513" s="502"/>
      <c r="H2513" s="512"/>
      <c r="I2513" s="503"/>
      <c r="J2513" s="503"/>
      <c r="K2513" s="497" t="str">
        <f ca="1">IFERROR(VLOOKUP(C2513,' Disaggregation - Section E '!A$618:N637,3,0),"")</f>
        <v/>
      </c>
      <c r="L2513" s="497"/>
      <c r="M2513" s="497"/>
      <c r="N2513" s="503"/>
      <c r="O2513" s="503"/>
      <c r="P2513" s="503"/>
    </row>
    <row r="2514" spans="1:16" x14ac:dyDescent="0.35">
      <c r="A2514" s="497" t="b">
        <v>0</v>
      </c>
      <c r="B2514" s="497"/>
      <c r="C2514" s="497" t="s">
        <v>5328</v>
      </c>
      <c r="D2514" s="512">
        <v>1</v>
      </c>
      <c r="E2514" s="500"/>
      <c r="F2514" s="503"/>
      <c r="G2514" s="502"/>
      <c r="H2514" s="512"/>
      <c r="I2514" s="503"/>
      <c r="J2514" s="503"/>
      <c r="K2514" s="497" t="str">
        <f ca="1">IFERROR(VLOOKUP(C2514,' Disaggregation - Section E '!A$618:N638,3,0),"")</f>
        <v/>
      </c>
      <c r="L2514" s="497"/>
      <c r="M2514" s="497"/>
      <c r="N2514" s="503"/>
      <c r="O2514" s="503"/>
      <c r="P2514" s="503"/>
    </row>
    <row r="2515" spans="1:16" x14ac:dyDescent="0.35">
      <c r="A2515" s="497" t="b">
        <v>0</v>
      </c>
      <c r="B2515" s="497"/>
      <c r="C2515" s="497" t="s">
        <v>5330</v>
      </c>
      <c r="D2515" s="512">
        <v>1</v>
      </c>
      <c r="E2515" s="500"/>
      <c r="F2515" s="503"/>
      <c r="G2515" s="502"/>
      <c r="H2515" s="512"/>
      <c r="I2515" s="503"/>
      <c r="J2515" s="503"/>
      <c r="K2515" s="497" t="str">
        <f ca="1">IFERROR(VLOOKUP(C2515,' Disaggregation - Section E '!A$618:N639,3,0),"")</f>
        <v/>
      </c>
      <c r="L2515" s="497"/>
      <c r="M2515" s="497"/>
      <c r="N2515" s="503"/>
      <c r="O2515" s="503"/>
      <c r="P2515" s="503"/>
    </row>
    <row r="2516" spans="1:16" x14ac:dyDescent="0.35">
      <c r="A2516" s="497" t="b">
        <v>0</v>
      </c>
      <c r="B2516" s="497"/>
      <c r="C2516" s="497" t="s">
        <v>5332</v>
      </c>
      <c r="D2516" s="512">
        <v>1</v>
      </c>
      <c r="E2516" s="500"/>
      <c r="F2516" s="503"/>
      <c r="G2516" s="502"/>
      <c r="H2516" s="512"/>
      <c r="I2516" s="503"/>
      <c r="J2516" s="503"/>
      <c r="K2516" s="497" t="str">
        <f ca="1">IFERROR(VLOOKUP(C2516,' Disaggregation - Section E '!A$618:N640,3,0),"")</f>
        <v/>
      </c>
      <c r="L2516" s="497"/>
      <c r="M2516" s="497"/>
      <c r="N2516" s="503"/>
      <c r="O2516" s="503"/>
      <c r="P2516" s="503"/>
    </row>
    <row r="2517" spans="1:16" x14ac:dyDescent="0.35">
      <c r="A2517" s="497" t="b">
        <v>0</v>
      </c>
      <c r="B2517" s="497"/>
      <c r="C2517" s="497" t="s">
        <v>5334</v>
      </c>
      <c r="D2517" s="512">
        <v>1</v>
      </c>
      <c r="E2517" s="500"/>
      <c r="F2517" s="503"/>
      <c r="G2517" s="502"/>
      <c r="H2517" s="512"/>
      <c r="I2517" s="503"/>
      <c r="J2517" s="503"/>
      <c r="K2517" s="497" t="str">
        <f ca="1">IFERROR(VLOOKUP(C2517,' Disaggregation - Section E '!A$618:N641,3,0),"")</f>
        <v/>
      </c>
      <c r="L2517" s="497"/>
      <c r="M2517" s="497"/>
      <c r="N2517" s="503"/>
      <c r="O2517" s="503"/>
      <c r="P2517" s="503"/>
    </row>
    <row r="2518" spans="1:16" x14ac:dyDescent="0.35">
      <c r="A2518" s="497" t="b">
        <v>0</v>
      </c>
      <c r="B2518" s="497"/>
      <c r="C2518" s="497" t="s">
        <v>5336</v>
      </c>
      <c r="D2518" s="512">
        <v>1</v>
      </c>
      <c r="E2518" s="500"/>
      <c r="F2518" s="503"/>
      <c r="G2518" s="502"/>
      <c r="H2518" s="512"/>
      <c r="I2518" s="503"/>
      <c r="J2518" s="503"/>
      <c r="K2518" s="497" t="str">
        <f ca="1">IFERROR(VLOOKUP(C2518,' Disaggregation - Section E '!A$618:N642,3,0),"")</f>
        <v/>
      </c>
      <c r="L2518" s="497"/>
      <c r="M2518" s="497"/>
      <c r="N2518" s="503"/>
      <c r="O2518" s="503"/>
      <c r="P2518" s="503"/>
    </row>
    <row r="2519" spans="1:16" x14ac:dyDescent="0.35">
      <c r="A2519" s="497" t="b">
        <v>0</v>
      </c>
      <c r="B2519" s="497"/>
      <c r="C2519" s="497" t="s">
        <v>5338</v>
      </c>
      <c r="D2519" s="512">
        <v>1</v>
      </c>
      <c r="E2519" s="500"/>
      <c r="F2519" s="503"/>
      <c r="G2519" s="502"/>
      <c r="H2519" s="512"/>
      <c r="I2519" s="503"/>
      <c r="J2519" s="503"/>
      <c r="K2519" s="497" t="str">
        <f ca="1">IFERROR(VLOOKUP(C2519,' Disaggregation - Section E '!A$618:N643,3,0),"")</f>
        <v/>
      </c>
      <c r="L2519" s="497"/>
      <c r="M2519" s="497"/>
      <c r="N2519" s="503"/>
      <c r="O2519" s="503"/>
      <c r="P2519" s="503"/>
    </row>
    <row r="2520" spans="1:16" x14ac:dyDescent="0.35">
      <c r="A2520" s="497" t="b">
        <v>0</v>
      </c>
      <c r="B2520" s="497"/>
      <c r="C2520" s="497" t="s">
        <v>6654</v>
      </c>
      <c r="D2520" s="512">
        <v>2</v>
      </c>
      <c r="E2520" s="500"/>
      <c r="F2520" s="503"/>
      <c r="G2520" s="502"/>
      <c r="H2520" s="512"/>
      <c r="I2520" s="503"/>
      <c r="J2520" s="503"/>
      <c r="K2520" s="497" t="str">
        <f ca="1">IFERROR(VLOOKUP(C2520,' Disaggregation - Section E '!A$618:N644,3,0),"")</f>
        <v/>
      </c>
      <c r="L2520" s="497"/>
      <c r="M2520" s="497"/>
      <c r="N2520" s="503"/>
      <c r="O2520" s="503"/>
      <c r="P2520" s="503"/>
    </row>
    <row r="2521" spans="1:16" x14ac:dyDescent="0.35">
      <c r="A2521" s="497" t="b">
        <v>0</v>
      </c>
      <c r="B2521" s="497"/>
      <c r="C2521" s="497" t="s">
        <v>6656</v>
      </c>
      <c r="D2521" s="512">
        <v>2</v>
      </c>
      <c r="E2521" s="500"/>
      <c r="F2521" s="503"/>
      <c r="G2521" s="502"/>
      <c r="H2521" s="512"/>
      <c r="I2521" s="503"/>
      <c r="J2521" s="503"/>
      <c r="K2521" s="497" t="str">
        <f ca="1">IFERROR(VLOOKUP(C2521,' Disaggregation - Section E '!A$618:N645,3,0),"")</f>
        <v/>
      </c>
      <c r="L2521" s="497"/>
      <c r="M2521" s="497"/>
      <c r="N2521" s="503"/>
      <c r="O2521" s="503"/>
      <c r="P2521" s="503"/>
    </row>
    <row r="2522" spans="1:16" x14ac:dyDescent="0.35">
      <c r="A2522" s="497" t="b">
        <v>0</v>
      </c>
      <c r="B2522" s="497"/>
      <c r="C2522" s="497" t="s">
        <v>6658</v>
      </c>
      <c r="D2522" s="512">
        <v>2</v>
      </c>
      <c r="E2522" s="500"/>
      <c r="F2522" s="503"/>
      <c r="G2522" s="502"/>
      <c r="H2522" s="512"/>
      <c r="I2522" s="503"/>
      <c r="J2522" s="503"/>
      <c r="K2522" s="497" t="str">
        <f ca="1">IFERROR(VLOOKUP(C2522,' Disaggregation - Section E '!A$618:N646,3,0),"")</f>
        <v/>
      </c>
      <c r="L2522" s="497"/>
      <c r="M2522" s="497"/>
      <c r="N2522" s="503"/>
      <c r="O2522" s="503"/>
      <c r="P2522" s="503"/>
    </row>
    <row r="2523" spans="1:16" x14ac:dyDescent="0.35">
      <c r="A2523" s="497" t="b">
        <v>0</v>
      </c>
      <c r="B2523" s="497"/>
      <c r="C2523" s="497" t="s">
        <v>6660</v>
      </c>
      <c r="D2523" s="512">
        <v>2</v>
      </c>
      <c r="E2523" s="500"/>
      <c r="F2523" s="503"/>
      <c r="G2523" s="502"/>
      <c r="H2523" s="512"/>
      <c r="I2523" s="503"/>
      <c r="J2523" s="503"/>
      <c r="K2523" s="497" t="str">
        <f ca="1">IFERROR(VLOOKUP(C2523,' Disaggregation - Section E '!A$618:N647,3,0),"")</f>
        <v/>
      </c>
      <c r="L2523" s="497"/>
      <c r="M2523" s="497"/>
      <c r="N2523" s="503"/>
      <c r="O2523" s="503"/>
      <c r="P2523" s="503"/>
    </row>
    <row r="2524" spans="1:16" x14ac:dyDescent="0.35">
      <c r="A2524" s="497" t="b">
        <v>0</v>
      </c>
      <c r="B2524" s="497"/>
      <c r="C2524" s="497" t="s">
        <v>6662</v>
      </c>
      <c r="D2524" s="512">
        <v>2</v>
      </c>
      <c r="E2524" s="500"/>
      <c r="F2524" s="503"/>
      <c r="G2524" s="502"/>
      <c r="H2524" s="512"/>
      <c r="I2524" s="503"/>
      <c r="J2524" s="503"/>
      <c r="K2524" s="497" t="str">
        <f ca="1">IFERROR(VLOOKUP(C2524,' Disaggregation - Section E '!A$618:N648,3,0),"")</f>
        <v/>
      </c>
      <c r="L2524" s="497"/>
      <c r="M2524" s="497"/>
      <c r="N2524" s="503"/>
      <c r="O2524" s="503"/>
      <c r="P2524" s="503"/>
    </row>
    <row r="2525" spans="1:16" x14ac:dyDescent="0.35">
      <c r="A2525" s="497" t="b">
        <v>0</v>
      </c>
      <c r="B2525" s="497"/>
      <c r="C2525" s="497" t="s">
        <v>6664</v>
      </c>
      <c r="D2525" s="512">
        <v>2</v>
      </c>
      <c r="E2525" s="500"/>
      <c r="F2525" s="503"/>
      <c r="G2525" s="502"/>
      <c r="H2525" s="512"/>
      <c r="I2525" s="503"/>
      <c r="J2525" s="503"/>
      <c r="K2525" s="497" t="str">
        <f ca="1">IFERROR(VLOOKUP(C2525,' Disaggregation - Section E '!A$618:N649,3,0),"")</f>
        <v/>
      </c>
      <c r="L2525" s="497"/>
      <c r="M2525" s="497"/>
      <c r="N2525" s="503"/>
      <c r="O2525" s="503"/>
      <c r="P2525" s="503"/>
    </row>
    <row r="2526" spans="1:16" x14ac:dyDescent="0.35">
      <c r="A2526" s="497" t="b">
        <v>0</v>
      </c>
      <c r="B2526" s="497"/>
      <c r="C2526" s="497" t="s">
        <v>6666</v>
      </c>
      <c r="D2526" s="512">
        <v>2</v>
      </c>
      <c r="E2526" s="500"/>
      <c r="F2526" s="503"/>
      <c r="G2526" s="502"/>
      <c r="H2526" s="512"/>
      <c r="I2526" s="503"/>
      <c r="J2526" s="503"/>
      <c r="K2526" s="497" t="str">
        <f ca="1">IFERROR(VLOOKUP(C2526,' Disaggregation - Section E '!A$618:N650,3,0),"")</f>
        <v/>
      </c>
      <c r="L2526" s="497"/>
      <c r="M2526" s="497"/>
      <c r="N2526" s="503"/>
      <c r="O2526" s="503"/>
      <c r="P2526" s="503"/>
    </row>
    <row r="2527" spans="1:16" x14ac:dyDescent="0.35">
      <c r="A2527" s="497" t="b">
        <v>0</v>
      </c>
      <c r="B2527" s="497"/>
      <c r="C2527" s="497" t="s">
        <v>6668</v>
      </c>
      <c r="D2527" s="512">
        <v>2</v>
      </c>
      <c r="E2527" s="500"/>
      <c r="F2527" s="503"/>
      <c r="G2527" s="502"/>
      <c r="H2527" s="512"/>
      <c r="I2527" s="503"/>
      <c r="J2527" s="503"/>
      <c r="K2527" s="497" t="str">
        <f ca="1">IFERROR(VLOOKUP(C2527,' Disaggregation - Section E '!A$618:N651,3,0),"")</f>
        <v/>
      </c>
      <c r="L2527" s="497"/>
      <c r="M2527" s="497"/>
      <c r="N2527" s="503"/>
      <c r="O2527" s="503"/>
      <c r="P2527" s="503"/>
    </row>
    <row r="2528" spans="1:16" x14ac:dyDescent="0.35">
      <c r="A2528" s="497" t="b">
        <v>0</v>
      </c>
      <c r="B2528" s="497"/>
      <c r="C2528" s="497" t="s">
        <v>6670</v>
      </c>
      <c r="D2528" s="512">
        <v>2</v>
      </c>
      <c r="E2528" s="500"/>
      <c r="F2528" s="503"/>
      <c r="G2528" s="502"/>
      <c r="H2528" s="512"/>
      <c r="I2528" s="503"/>
      <c r="J2528" s="503"/>
      <c r="K2528" s="497" t="str">
        <f ca="1">IFERROR(VLOOKUP(C2528,' Disaggregation - Section E '!A$618:N652,3,0),"")</f>
        <v/>
      </c>
      <c r="L2528" s="497"/>
      <c r="M2528" s="497"/>
      <c r="N2528" s="503"/>
      <c r="O2528" s="503"/>
      <c r="P2528" s="503"/>
    </row>
    <row r="2529" spans="1:16" x14ac:dyDescent="0.35">
      <c r="A2529" s="497" t="b">
        <v>0</v>
      </c>
      <c r="B2529" s="497"/>
      <c r="C2529" s="497" t="s">
        <v>6672</v>
      </c>
      <c r="D2529" s="512">
        <v>2</v>
      </c>
      <c r="E2529" s="500"/>
      <c r="F2529" s="503"/>
      <c r="G2529" s="502"/>
      <c r="H2529" s="512"/>
      <c r="I2529" s="503"/>
      <c r="J2529" s="503"/>
      <c r="K2529" s="497" t="str">
        <f ca="1">IFERROR(VLOOKUP(C2529,' Disaggregation - Section E '!A$618:N653,3,0),"")</f>
        <v/>
      </c>
      <c r="L2529" s="497"/>
      <c r="M2529" s="497"/>
      <c r="N2529" s="503"/>
      <c r="O2529" s="503"/>
      <c r="P2529" s="503"/>
    </row>
    <row r="2530" spans="1:16" x14ac:dyDescent="0.35">
      <c r="A2530" s="497" t="b">
        <v>0</v>
      </c>
      <c r="B2530" s="497"/>
      <c r="C2530" s="497" t="s">
        <v>6674</v>
      </c>
      <c r="D2530" s="512">
        <v>2</v>
      </c>
      <c r="E2530" s="500"/>
      <c r="F2530" s="503"/>
      <c r="G2530" s="502"/>
      <c r="H2530" s="512"/>
      <c r="I2530" s="503"/>
      <c r="J2530" s="503"/>
      <c r="K2530" s="497" t="str">
        <f ca="1">IFERROR(VLOOKUP(C2530,' Disaggregation - Section E '!A$618:N654,3,0),"")</f>
        <v/>
      </c>
      <c r="L2530" s="497"/>
      <c r="M2530" s="497"/>
      <c r="N2530" s="503"/>
      <c r="O2530" s="503"/>
      <c r="P2530" s="503"/>
    </row>
    <row r="2531" spans="1:16" x14ac:dyDescent="0.35">
      <c r="A2531" s="497" t="b">
        <v>0</v>
      </c>
      <c r="B2531" s="497"/>
      <c r="C2531" s="497" t="s">
        <v>6676</v>
      </c>
      <c r="D2531" s="512">
        <v>2</v>
      </c>
      <c r="E2531" s="500"/>
      <c r="F2531" s="503"/>
      <c r="G2531" s="502"/>
      <c r="H2531" s="512"/>
      <c r="I2531" s="503"/>
      <c r="J2531" s="503"/>
      <c r="K2531" s="497" t="str">
        <f ca="1">IFERROR(VLOOKUP(C2531,' Disaggregation - Section E '!A$618:N655,3,0),"")</f>
        <v/>
      </c>
      <c r="L2531" s="497"/>
      <c r="M2531" s="497"/>
      <c r="N2531" s="503"/>
      <c r="O2531" s="503"/>
      <c r="P2531" s="503"/>
    </row>
    <row r="2532" spans="1:16" x14ac:dyDescent="0.35">
      <c r="A2532" s="497" t="b">
        <v>0</v>
      </c>
      <c r="B2532" s="497"/>
      <c r="C2532" s="497" t="s">
        <v>6678</v>
      </c>
      <c r="D2532" s="512">
        <v>2</v>
      </c>
      <c r="E2532" s="500"/>
      <c r="F2532" s="503"/>
      <c r="G2532" s="502"/>
      <c r="H2532" s="512"/>
      <c r="I2532" s="503"/>
      <c r="J2532" s="503"/>
      <c r="K2532" s="497" t="str">
        <f ca="1">IFERROR(VLOOKUP(C2532,' Disaggregation - Section E '!A$618:N656,3,0),"")</f>
        <v/>
      </c>
      <c r="L2532" s="497"/>
      <c r="M2532" s="497"/>
      <c r="N2532" s="503"/>
      <c r="O2532" s="503"/>
      <c r="P2532" s="503"/>
    </row>
    <row r="2533" spans="1:16" x14ac:dyDescent="0.35">
      <c r="A2533" s="497" t="b">
        <v>0</v>
      </c>
      <c r="B2533" s="497"/>
      <c r="C2533" s="497" t="s">
        <v>6680</v>
      </c>
      <c r="D2533" s="512">
        <v>2</v>
      </c>
      <c r="E2533" s="500"/>
      <c r="F2533" s="503"/>
      <c r="G2533" s="502"/>
      <c r="H2533" s="512"/>
      <c r="I2533" s="503"/>
      <c r="J2533" s="503"/>
      <c r="K2533" s="497" t="str">
        <f ca="1">IFERROR(VLOOKUP(C2533,' Disaggregation - Section E '!A$618:N657,3,0),"")</f>
        <v/>
      </c>
      <c r="L2533" s="497"/>
      <c r="M2533" s="497"/>
      <c r="N2533" s="503"/>
      <c r="O2533" s="503"/>
      <c r="P2533" s="503"/>
    </row>
    <row r="2534" spans="1:16" x14ac:dyDescent="0.35">
      <c r="A2534" s="497" t="b">
        <v>0</v>
      </c>
      <c r="B2534" s="497"/>
      <c r="C2534" s="497" t="s">
        <v>6682</v>
      </c>
      <c r="D2534" s="512">
        <v>2</v>
      </c>
      <c r="E2534" s="500"/>
      <c r="F2534" s="503"/>
      <c r="G2534" s="502"/>
      <c r="H2534" s="512"/>
      <c r="I2534" s="503"/>
      <c r="J2534" s="503"/>
      <c r="K2534" s="497" t="str">
        <f ca="1">IFERROR(VLOOKUP(C2534,' Disaggregation - Section E '!A$618:N658,3,0),"")</f>
        <v/>
      </c>
      <c r="L2534" s="497"/>
      <c r="M2534" s="497"/>
      <c r="N2534" s="503"/>
      <c r="O2534" s="503"/>
      <c r="P2534" s="503"/>
    </row>
    <row r="2535" spans="1:16" x14ac:dyDescent="0.35">
      <c r="A2535" s="497" t="b">
        <v>0</v>
      </c>
      <c r="B2535" s="497"/>
      <c r="C2535" s="497" t="s">
        <v>6684</v>
      </c>
      <c r="D2535" s="512">
        <v>2</v>
      </c>
      <c r="E2535" s="500"/>
      <c r="F2535" s="503"/>
      <c r="G2535" s="502"/>
      <c r="H2535" s="512"/>
      <c r="I2535" s="503"/>
      <c r="J2535" s="503"/>
      <c r="K2535" s="497" t="str">
        <f ca="1">IFERROR(VLOOKUP(C2535,' Disaggregation - Section E '!A$618:N659,3,0),"")</f>
        <v/>
      </c>
      <c r="L2535" s="497"/>
      <c r="M2535" s="497"/>
      <c r="N2535" s="503"/>
      <c r="O2535" s="503"/>
      <c r="P2535" s="503"/>
    </row>
    <row r="2536" spans="1:16" x14ac:dyDescent="0.35">
      <c r="A2536" s="497" t="b">
        <v>0</v>
      </c>
      <c r="B2536" s="497"/>
      <c r="C2536" s="497" t="s">
        <v>6686</v>
      </c>
      <c r="D2536" s="512">
        <v>2</v>
      </c>
      <c r="E2536" s="500"/>
      <c r="F2536" s="503"/>
      <c r="G2536" s="502"/>
      <c r="H2536" s="512"/>
      <c r="I2536" s="503"/>
      <c r="J2536" s="503"/>
      <c r="K2536" s="497" t="str">
        <f ca="1">IFERROR(VLOOKUP(C2536,' Disaggregation - Section E '!A$618:N660,3,0),"")</f>
        <v/>
      </c>
      <c r="L2536" s="497"/>
      <c r="M2536" s="497"/>
      <c r="N2536" s="503"/>
      <c r="O2536" s="503"/>
      <c r="P2536" s="503"/>
    </row>
    <row r="2537" spans="1:16" x14ac:dyDescent="0.35">
      <c r="A2537" s="497" t="b">
        <v>0</v>
      </c>
      <c r="B2537" s="497"/>
      <c r="C2537" s="497" t="s">
        <v>6688</v>
      </c>
      <c r="D2537" s="512">
        <v>2</v>
      </c>
      <c r="E2537" s="500"/>
      <c r="F2537" s="503"/>
      <c r="G2537" s="502"/>
      <c r="H2537" s="512"/>
      <c r="I2537" s="503"/>
      <c r="J2537" s="503"/>
      <c r="K2537" s="497" t="str">
        <f ca="1">IFERROR(VLOOKUP(C2537,' Disaggregation - Section E '!A$618:N661,3,0),"")</f>
        <v/>
      </c>
      <c r="L2537" s="497"/>
      <c r="M2537" s="497"/>
      <c r="N2537" s="503"/>
      <c r="O2537" s="503"/>
      <c r="P2537" s="503"/>
    </row>
    <row r="2538" spans="1:16" x14ac:dyDescent="0.35">
      <c r="A2538" s="497" t="b">
        <v>0</v>
      </c>
      <c r="B2538" s="497"/>
      <c r="C2538" s="497" t="s">
        <v>6690</v>
      </c>
      <c r="D2538" s="512">
        <v>2</v>
      </c>
      <c r="E2538" s="500"/>
      <c r="F2538" s="503"/>
      <c r="G2538" s="502"/>
      <c r="H2538" s="512"/>
      <c r="I2538" s="503"/>
      <c r="J2538" s="503"/>
      <c r="K2538" s="497" t="str">
        <f ca="1">IFERROR(VLOOKUP(C2538,' Disaggregation - Section E '!A$618:N662,3,0),"")</f>
        <v/>
      </c>
      <c r="L2538" s="497"/>
      <c r="M2538" s="497"/>
      <c r="N2538" s="503"/>
      <c r="O2538" s="503"/>
      <c r="P2538" s="503"/>
    </row>
    <row r="2539" spans="1:16" x14ac:dyDescent="0.35">
      <c r="A2539" s="497" t="b">
        <v>0</v>
      </c>
      <c r="B2539" s="497"/>
      <c r="C2539" s="497" t="s">
        <v>6692</v>
      </c>
      <c r="D2539" s="512">
        <v>2</v>
      </c>
      <c r="E2539" s="500"/>
      <c r="F2539" s="503"/>
      <c r="G2539" s="502"/>
      <c r="H2539" s="512"/>
      <c r="I2539" s="503"/>
      <c r="J2539" s="503"/>
      <c r="K2539" s="497" t="str">
        <f ca="1">IFERROR(VLOOKUP(C2539,' Disaggregation - Section E '!A$618:N663,3,0),"")</f>
        <v/>
      </c>
      <c r="L2539" s="497"/>
      <c r="M2539" s="497"/>
      <c r="N2539" s="503"/>
      <c r="O2539" s="503"/>
      <c r="P2539" s="503"/>
    </row>
    <row r="2540" spans="1:16" x14ac:dyDescent="0.35">
      <c r="A2540" s="497" t="b">
        <v>0</v>
      </c>
      <c r="B2540" s="497"/>
      <c r="C2540" s="497" t="s">
        <v>5341</v>
      </c>
      <c r="D2540" s="512">
        <v>3</v>
      </c>
      <c r="E2540" s="500"/>
      <c r="F2540" s="503"/>
      <c r="G2540" s="502"/>
      <c r="H2540" s="512"/>
      <c r="I2540" s="503"/>
      <c r="J2540" s="503"/>
      <c r="K2540" s="497" t="str">
        <f ca="1">IFERROR(VLOOKUP(C2540,' Disaggregation - Section E '!A$618:N664,3,0),"")</f>
        <v/>
      </c>
      <c r="L2540" s="497"/>
      <c r="M2540" s="497"/>
      <c r="N2540" s="503"/>
      <c r="O2540" s="503"/>
      <c r="P2540" s="503"/>
    </row>
    <row r="2541" spans="1:16" x14ac:dyDescent="0.35">
      <c r="A2541" s="497" t="b">
        <v>0</v>
      </c>
      <c r="B2541" s="497"/>
      <c r="C2541" s="497" t="s">
        <v>5343</v>
      </c>
      <c r="D2541" s="512">
        <v>3</v>
      </c>
      <c r="E2541" s="500"/>
      <c r="F2541" s="503"/>
      <c r="G2541" s="502"/>
      <c r="H2541" s="512"/>
      <c r="I2541" s="503"/>
      <c r="J2541" s="503"/>
      <c r="K2541" s="497" t="str">
        <f ca="1">IFERROR(VLOOKUP(C2541,' Disaggregation - Section E '!A$618:N665,3,0),"")</f>
        <v/>
      </c>
      <c r="L2541" s="497"/>
      <c r="M2541" s="497"/>
      <c r="N2541" s="503"/>
      <c r="O2541" s="503"/>
      <c r="P2541" s="503"/>
    </row>
    <row r="2542" spans="1:16" x14ac:dyDescent="0.35">
      <c r="A2542" s="497" t="b">
        <v>0</v>
      </c>
      <c r="B2542" s="497"/>
      <c r="C2542" s="497" t="s">
        <v>5345</v>
      </c>
      <c r="D2542" s="512">
        <v>3</v>
      </c>
      <c r="E2542" s="500"/>
      <c r="F2542" s="503"/>
      <c r="G2542" s="502"/>
      <c r="H2542" s="512"/>
      <c r="I2542" s="503"/>
      <c r="J2542" s="503"/>
      <c r="K2542" s="497" t="str">
        <f ca="1">IFERROR(VLOOKUP(C2542,' Disaggregation - Section E '!A$618:N666,3,0),"")</f>
        <v/>
      </c>
      <c r="L2542" s="497"/>
      <c r="M2542" s="497"/>
      <c r="N2542" s="503"/>
      <c r="O2542" s="503"/>
      <c r="P2542" s="503"/>
    </row>
    <row r="2543" spans="1:16" x14ac:dyDescent="0.35">
      <c r="A2543" s="497" t="b">
        <v>0</v>
      </c>
      <c r="B2543" s="497"/>
      <c r="C2543" s="497" t="s">
        <v>5347</v>
      </c>
      <c r="D2543" s="512">
        <v>3</v>
      </c>
      <c r="E2543" s="500"/>
      <c r="F2543" s="503"/>
      <c r="G2543" s="502"/>
      <c r="H2543" s="512"/>
      <c r="I2543" s="503"/>
      <c r="J2543" s="503"/>
      <c r="K2543" s="497" t="str">
        <f ca="1">IFERROR(VLOOKUP(C2543,' Disaggregation - Section E '!A$618:N667,3,0),"")</f>
        <v/>
      </c>
      <c r="L2543" s="497"/>
      <c r="M2543" s="497"/>
      <c r="N2543" s="503"/>
      <c r="O2543" s="503"/>
      <c r="P2543" s="503"/>
    </row>
    <row r="2544" spans="1:16" x14ac:dyDescent="0.35">
      <c r="A2544" s="497" t="b">
        <v>0</v>
      </c>
      <c r="B2544" s="497"/>
      <c r="C2544" s="497" t="s">
        <v>5349</v>
      </c>
      <c r="D2544" s="512">
        <v>3</v>
      </c>
      <c r="E2544" s="500"/>
      <c r="F2544" s="503"/>
      <c r="G2544" s="502"/>
      <c r="H2544" s="512"/>
      <c r="I2544" s="503"/>
      <c r="J2544" s="503"/>
      <c r="K2544" s="497" t="str">
        <f ca="1">IFERROR(VLOOKUP(C2544,' Disaggregation - Section E '!A$618:N668,3,0),"")</f>
        <v/>
      </c>
      <c r="L2544" s="497"/>
      <c r="M2544" s="497"/>
      <c r="N2544" s="503"/>
      <c r="O2544" s="503"/>
      <c r="P2544" s="503"/>
    </row>
    <row r="2545" spans="1:16" x14ac:dyDescent="0.35">
      <c r="A2545" s="497" t="b">
        <v>0</v>
      </c>
      <c r="B2545" s="497"/>
      <c r="C2545" s="497" t="s">
        <v>5351</v>
      </c>
      <c r="D2545" s="512">
        <v>3</v>
      </c>
      <c r="E2545" s="500"/>
      <c r="F2545" s="503"/>
      <c r="G2545" s="502"/>
      <c r="H2545" s="512"/>
      <c r="I2545" s="503"/>
      <c r="J2545" s="503"/>
      <c r="K2545" s="497" t="str">
        <f ca="1">IFERROR(VLOOKUP(C2545,' Disaggregation - Section E '!A$618:N669,3,0),"")</f>
        <v/>
      </c>
      <c r="L2545" s="497"/>
      <c r="M2545" s="497"/>
      <c r="N2545" s="503"/>
      <c r="O2545" s="503"/>
      <c r="P2545" s="503"/>
    </row>
    <row r="2546" spans="1:16" x14ac:dyDescent="0.35">
      <c r="A2546" s="497" t="b">
        <v>0</v>
      </c>
      <c r="B2546" s="497"/>
      <c r="C2546" s="497" t="s">
        <v>5353</v>
      </c>
      <c r="D2546" s="512">
        <v>3</v>
      </c>
      <c r="E2546" s="500"/>
      <c r="F2546" s="503"/>
      <c r="G2546" s="502"/>
      <c r="H2546" s="512"/>
      <c r="I2546" s="503"/>
      <c r="J2546" s="503"/>
      <c r="K2546" s="497" t="str">
        <f ca="1">IFERROR(VLOOKUP(C2546,' Disaggregation - Section E '!A$618:N670,3,0),"")</f>
        <v/>
      </c>
      <c r="L2546" s="497"/>
      <c r="M2546" s="497"/>
      <c r="N2546" s="503"/>
      <c r="O2546" s="503"/>
      <c r="P2546" s="503"/>
    </row>
    <row r="2547" spans="1:16" x14ac:dyDescent="0.35">
      <c r="A2547" s="497" t="b">
        <v>0</v>
      </c>
      <c r="B2547" s="497"/>
      <c r="C2547" s="497" t="s">
        <v>5355</v>
      </c>
      <c r="D2547" s="512">
        <v>3</v>
      </c>
      <c r="E2547" s="500"/>
      <c r="F2547" s="503"/>
      <c r="G2547" s="502"/>
      <c r="H2547" s="512"/>
      <c r="I2547" s="503"/>
      <c r="J2547" s="503"/>
      <c r="K2547" s="497" t="str">
        <f ca="1">IFERROR(VLOOKUP(C2547,' Disaggregation - Section E '!A$618:N671,3,0),"")</f>
        <v/>
      </c>
      <c r="L2547" s="497"/>
      <c r="M2547" s="497"/>
      <c r="N2547" s="503"/>
      <c r="O2547" s="503"/>
      <c r="P2547" s="503"/>
    </row>
    <row r="2548" spans="1:16" x14ac:dyDescent="0.35">
      <c r="A2548" s="497" t="b">
        <v>0</v>
      </c>
      <c r="B2548" s="497"/>
      <c r="C2548" s="497" t="s">
        <v>5357</v>
      </c>
      <c r="D2548" s="512">
        <v>3</v>
      </c>
      <c r="E2548" s="500"/>
      <c r="F2548" s="503"/>
      <c r="G2548" s="502"/>
      <c r="H2548" s="512"/>
      <c r="I2548" s="503"/>
      <c r="J2548" s="503"/>
      <c r="K2548" s="497" t="str">
        <f ca="1">IFERROR(VLOOKUP(C2548,' Disaggregation - Section E '!A$618:N672,3,0),"")</f>
        <v/>
      </c>
      <c r="L2548" s="497"/>
      <c r="M2548" s="497"/>
      <c r="N2548" s="503"/>
      <c r="O2548" s="503"/>
      <c r="P2548" s="503"/>
    </row>
    <row r="2549" spans="1:16" x14ac:dyDescent="0.35">
      <c r="A2549" s="497" t="b">
        <v>0</v>
      </c>
      <c r="B2549" s="497"/>
      <c r="C2549" s="497" t="s">
        <v>5359</v>
      </c>
      <c r="D2549" s="512">
        <v>3</v>
      </c>
      <c r="E2549" s="500"/>
      <c r="F2549" s="503"/>
      <c r="G2549" s="502"/>
      <c r="H2549" s="512"/>
      <c r="I2549" s="503"/>
      <c r="J2549" s="503"/>
      <c r="K2549" s="497" t="str">
        <f ca="1">IFERROR(VLOOKUP(C2549,' Disaggregation - Section E '!A$618:N673,3,0),"")</f>
        <v/>
      </c>
      <c r="L2549" s="497"/>
      <c r="M2549" s="497"/>
      <c r="N2549" s="503"/>
      <c r="O2549" s="503"/>
      <c r="P2549" s="503"/>
    </row>
    <row r="2550" spans="1:16" x14ac:dyDescent="0.35">
      <c r="A2550" s="497" t="b">
        <v>0</v>
      </c>
      <c r="B2550" s="497"/>
      <c r="C2550" s="497" t="s">
        <v>5361</v>
      </c>
      <c r="D2550" s="512">
        <v>3</v>
      </c>
      <c r="E2550" s="500"/>
      <c r="F2550" s="503"/>
      <c r="G2550" s="502"/>
      <c r="H2550" s="512"/>
      <c r="I2550" s="503"/>
      <c r="J2550" s="503"/>
      <c r="K2550" s="497" t="str">
        <f ca="1">IFERROR(VLOOKUP(C2550,' Disaggregation - Section E '!A$618:N674,3,0),"")</f>
        <v/>
      </c>
      <c r="L2550" s="497"/>
      <c r="M2550" s="497"/>
      <c r="N2550" s="503"/>
      <c r="O2550" s="503"/>
      <c r="P2550" s="503"/>
    </row>
    <row r="2551" spans="1:16" x14ac:dyDescent="0.35">
      <c r="A2551" s="497" t="b">
        <v>0</v>
      </c>
      <c r="B2551" s="497"/>
      <c r="C2551" s="497" t="s">
        <v>5363</v>
      </c>
      <c r="D2551" s="512">
        <v>3</v>
      </c>
      <c r="E2551" s="500"/>
      <c r="F2551" s="503"/>
      <c r="G2551" s="502"/>
      <c r="H2551" s="512"/>
      <c r="I2551" s="503"/>
      <c r="J2551" s="503"/>
      <c r="K2551" s="497" t="str">
        <f ca="1">IFERROR(VLOOKUP(C2551,' Disaggregation - Section E '!A$618:N675,3,0),"")</f>
        <v/>
      </c>
      <c r="L2551" s="497"/>
      <c r="M2551" s="497"/>
      <c r="N2551" s="503"/>
      <c r="O2551" s="503"/>
      <c r="P2551" s="503"/>
    </row>
    <row r="2552" spans="1:16" x14ac:dyDescent="0.35">
      <c r="A2552" s="497" t="b">
        <v>0</v>
      </c>
      <c r="B2552" s="497"/>
      <c r="C2552" s="497" t="s">
        <v>5365</v>
      </c>
      <c r="D2552" s="512">
        <v>3</v>
      </c>
      <c r="E2552" s="500"/>
      <c r="F2552" s="503"/>
      <c r="G2552" s="502"/>
      <c r="H2552" s="512"/>
      <c r="I2552" s="503"/>
      <c r="J2552" s="503"/>
      <c r="K2552" s="497" t="str">
        <f ca="1">IFERROR(VLOOKUP(C2552,' Disaggregation - Section E '!A$618:N676,3,0),"")</f>
        <v/>
      </c>
      <c r="L2552" s="497"/>
      <c r="M2552" s="497"/>
      <c r="N2552" s="503"/>
      <c r="O2552" s="503"/>
      <c r="P2552" s="503"/>
    </row>
    <row r="2553" spans="1:16" x14ac:dyDescent="0.35">
      <c r="A2553" s="497" t="b">
        <v>0</v>
      </c>
      <c r="B2553" s="497"/>
      <c r="C2553" s="497" t="s">
        <v>5367</v>
      </c>
      <c r="D2553" s="512">
        <v>3</v>
      </c>
      <c r="E2553" s="500"/>
      <c r="F2553" s="503"/>
      <c r="G2553" s="502"/>
      <c r="H2553" s="512"/>
      <c r="I2553" s="503"/>
      <c r="J2553" s="503"/>
      <c r="K2553" s="497" t="str">
        <f ca="1">IFERROR(VLOOKUP(C2553,' Disaggregation - Section E '!A$618:N677,3,0),"")</f>
        <v/>
      </c>
      <c r="L2553" s="497"/>
      <c r="M2553" s="497"/>
      <c r="N2553" s="503"/>
      <c r="O2553" s="503"/>
      <c r="P2553" s="503"/>
    </row>
    <row r="2554" spans="1:16" x14ac:dyDescent="0.35">
      <c r="A2554" s="497" t="b">
        <v>0</v>
      </c>
      <c r="B2554" s="497"/>
      <c r="C2554" s="497" t="s">
        <v>5369</v>
      </c>
      <c r="D2554" s="512">
        <v>3</v>
      </c>
      <c r="E2554" s="500"/>
      <c r="F2554" s="503"/>
      <c r="G2554" s="502"/>
      <c r="H2554" s="512"/>
      <c r="I2554" s="503"/>
      <c r="J2554" s="503"/>
      <c r="K2554" s="497" t="str">
        <f ca="1">IFERROR(VLOOKUP(C2554,' Disaggregation - Section E '!A$618:N678,3,0),"")</f>
        <v/>
      </c>
      <c r="L2554" s="497"/>
      <c r="M2554" s="497"/>
      <c r="N2554" s="503"/>
      <c r="O2554" s="503"/>
      <c r="P2554" s="503"/>
    </row>
    <row r="2555" spans="1:16" x14ac:dyDescent="0.35">
      <c r="A2555" s="497" t="b">
        <v>0</v>
      </c>
      <c r="B2555" s="497"/>
      <c r="C2555" s="497" t="s">
        <v>5371</v>
      </c>
      <c r="D2555" s="512">
        <v>3</v>
      </c>
      <c r="E2555" s="500"/>
      <c r="F2555" s="503"/>
      <c r="G2555" s="502"/>
      <c r="H2555" s="512"/>
      <c r="I2555" s="503"/>
      <c r="J2555" s="503"/>
      <c r="K2555" s="497" t="str">
        <f ca="1">IFERROR(VLOOKUP(C2555,' Disaggregation - Section E '!A$618:N679,3,0),"")</f>
        <v/>
      </c>
      <c r="L2555" s="497"/>
      <c r="M2555" s="497"/>
      <c r="N2555" s="503"/>
      <c r="O2555" s="503"/>
      <c r="P2555" s="503"/>
    </row>
    <row r="2556" spans="1:16" x14ac:dyDescent="0.35">
      <c r="A2556" s="497" t="b">
        <v>0</v>
      </c>
      <c r="B2556" s="497"/>
      <c r="C2556" s="497" t="s">
        <v>5373</v>
      </c>
      <c r="D2556" s="512">
        <v>3</v>
      </c>
      <c r="E2556" s="500"/>
      <c r="F2556" s="503"/>
      <c r="G2556" s="502"/>
      <c r="H2556" s="512"/>
      <c r="I2556" s="503"/>
      <c r="J2556" s="503"/>
      <c r="K2556" s="497" t="str">
        <f ca="1">IFERROR(VLOOKUP(C2556,' Disaggregation - Section E '!A$618:N680,3,0),"")</f>
        <v/>
      </c>
      <c r="L2556" s="497"/>
      <c r="M2556" s="497"/>
      <c r="N2556" s="503"/>
      <c r="O2556" s="503"/>
      <c r="P2556" s="503"/>
    </row>
    <row r="2557" spans="1:16" x14ac:dyDescent="0.35">
      <c r="A2557" s="497" t="b">
        <v>0</v>
      </c>
      <c r="B2557" s="497"/>
      <c r="C2557" s="497" t="s">
        <v>5375</v>
      </c>
      <c r="D2557" s="512">
        <v>3</v>
      </c>
      <c r="E2557" s="500"/>
      <c r="F2557" s="503"/>
      <c r="G2557" s="502"/>
      <c r="H2557" s="512"/>
      <c r="I2557" s="503"/>
      <c r="J2557" s="503"/>
      <c r="K2557" s="497" t="str">
        <f ca="1">IFERROR(VLOOKUP(C2557,' Disaggregation - Section E '!A$618:N681,3,0),"")</f>
        <v/>
      </c>
      <c r="L2557" s="497"/>
      <c r="M2557" s="497"/>
      <c r="N2557" s="503"/>
      <c r="O2557" s="503"/>
      <c r="P2557" s="503"/>
    </row>
    <row r="2558" spans="1:16" x14ac:dyDescent="0.35">
      <c r="A2558" s="497" t="b">
        <v>0</v>
      </c>
      <c r="B2558" s="497"/>
      <c r="C2558" s="497" t="s">
        <v>5377</v>
      </c>
      <c r="D2558" s="512">
        <v>3</v>
      </c>
      <c r="E2558" s="500"/>
      <c r="F2558" s="503"/>
      <c r="G2558" s="502"/>
      <c r="H2558" s="512"/>
      <c r="I2558" s="503"/>
      <c r="J2558" s="503"/>
      <c r="K2558" s="497" t="str">
        <f ca="1">IFERROR(VLOOKUP(C2558,' Disaggregation - Section E '!A$618:N682,3,0),"")</f>
        <v/>
      </c>
      <c r="L2558" s="497"/>
      <c r="M2558" s="497"/>
      <c r="N2558" s="503"/>
      <c r="O2558" s="503"/>
      <c r="P2558" s="503"/>
    </row>
    <row r="2559" spans="1:16" x14ac:dyDescent="0.35">
      <c r="A2559" s="497" t="b">
        <v>0</v>
      </c>
      <c r="B2559" s="497"/>
      <c r="C2559" s="497" t="s">
        <v>5379</v>
      </c>
      <c r="D2559" s="512">
        <v>3</v>
      </c>
      <c r="E2559" s="500"/>
      <c r="F2559" s="503"/>
      <c r="G2559" s="502"/>
      <c r="H2559" s="512"/>
      <c r="I2559" s="503"/>
      <c r="J2559" s="503"/>
      <c r="K2559" s="497" t="str">
        <f ca="1">IFERROR(VLOOKUP(C2559,' Disaggregation - Section E '!A$618:N683,3,0),"")</f>
        <v/>
      </c>
      <c r="L2559" s="497"/>
      <c r="M2559" s="497"/>
      <c r="N2559" s="503"/>
      <c r="O2559" s="503"/>
      <c r="P2559" s="503"/>
    </row>
    <row r="2560" spans="1:16" x14ac:dyDescent="0.35">
      <c r="A2560" s="497" t="b">
        <v>1</v>
      </c>
      <c r="B2560" s="497"/>
      <c r="C2560" s="497" t="s">
        <v>6695</v>
      </c>
      <c r="D2560" s="512">
        <v>4</v>
      </c>
      <c r="E2560" s="500"/>
      <c r="F2560" s="503" t="s">
        <v>2448</v>
      </c>
      <c r="G2560" s="502"/>
      <c r="H2560" s="512"/>
      <c r="I2560" s="503"/>
      <c r="J2560" s="503"/>
      <c r="K2560" s="497" t="str">
        <f ca="1">IFERROR(VLOOKUP(C2560,' Disaggregation - Section E '!A$618:N684,3,0),"")</f>
        <v/>
      </c>
      <c r="L2560" s="497"/>
      <c r="M2560" s="497" t="s">
        <v>2444</v>
      </c>
      <c r="N2560" s="503" t="s">
        <v>6612</v>
      </c>
      <c r="O2560" s="503"/>
      <c r="P2560" s="503" t="s">
        <v>10234</v>
      </c>
    </row>
    <row r="2561" spans="1:16" x14ac:dyDescent="0.35">
      <c r="A2561" s="497" t="b">
        <v>1</v>
      </c>
      <c r="B2561" s="497"/>
      <c r="C2561" s="497" t="s">
        <v>6697</v>
      </c>
      <c r="D2561" s="512">
        <v>4</v>
      </c>
      <c r="E2561" s="500"/>
      <c r="F2561" s="503" t="s">
        <v>2456</v>
      </c>
      <c r="G2561" s="502"/>
      <c r="H2561" s="512"/>
      <c r="I2561" s="503"/>
      <c r="J2561" s="503"/>
      <c r="K2561" s="497" t="str">
        <f ca="1">IFERROR(VLOOKUP(C2561,' Disaggregation - Section E '!A$618:N685,3,0),"")</f>
        <v/>
      </c>
      <c r="L2561" s="497"/>
      <c r="M2561" s="497" t="s">
        <v>2455</v>
      </c>
      <c r="N2561" s="503" t="s">
        <v>6612</v>
      </c>
      <c r="O2561" s="503"/>
      <c r="P2561" s="503" t="s">
        <v>10234</v>
      </c>
    </row>
    <row r="2562" spans="1:16" x14ac:dyDescent="0.35">
      <c r="A2562" s="497" t="b">
        <v>1</v>
      </c>
      <c r="B2562" s="497"/>
      <c r="C2562" s="497" t="s">
        <v>6699</v>
      </c>
      <c r="D2562" s="512">
        <v>4</v>
      </c>
      <c r="E2562" s="500"/>
      <c r="F2562" s="503" t="s">
        <v>1453</v>
      </c>
      <c r="G2562" s="502"/>
      <c r="H2562" s="512"/>
      <c r="I2562" s="503"/>
      <c r="J2562" s="503"/>
      <c r="K2562" s="497" t="str">
        <f ca="1">IFERROR(VLOOKUP(C2562,' Disaggregation - Section E '!A$618:N686,3,0),"")</f>
        <v/>
      </c>
      <c r="L2562" s="497"/>
      <c r="M2562" s="497" t="s">
        <v>2460</v>
      </c>
      <c r="N2562" s="503" t="s">
        <v>6612</v>
      </c>
      <c r="O2562" s="503"/>
      <c r="P2562" s="503" t="s">
        <v>10234</v>
      </c>
    </row>
    <row r="2563" spans="1:16" x14ac:dyDescent="0.35">
      <c r="A2563" s="497" t="b">
        <v>1</v>
      </c>
      <c r="B2563" s="497"/>
      <c r="C2563" s="497" t="s">
        <v>6701</v>
      </c>
      <c r="D2563" s="512">
        <v>4</v>
      </c>
      <c r="E2563" s="500"/>
      <c r="F2563" s="503" t="s">
        <v>1458</v>
      </c>
      <c r="G2563" s="502"/>
      <c r="H2563" s="512"/>
      <c r="I2563" s="503"/>
      <c r="J2563" s="503"/>
      <c r="K2563" s="497" t="str">
        <f ca="1">IFERROR(VLOOKUP(C2563,' Disaggregation - Section E '!A$618:N687,3,0),"")</f>
        <v/>
      </c>
      <c r="L2563" s="497"/>
      <c r="M2563" s="497" t="s">
        <v>2462</v>
      </c>
      <c r="N2563" s="503" t="s">
        <v>6612</v>
      </c>
      <c r="O2563" s="503"/>
      <c r="P2563" s="503" t="s">
        <v>10234</v>
      </c>
    </row>
    <row r="2564" spans="1:16" x14ac:dyDescent="0.35">
      <c r="A2564" s="497" t="b">
        <v>1</v>
      </c>
      <c r="B2564" s="497"/>
      <c r="C2564" s="497" t="s">
        <v>6703</v>
      </c>
      <c r="D2564" s="512">
        <v>4</v>
      </c>
      <c r="E2564" s="500"/>
      <c r="F2564" s="503" t="s">
        <v>1465</v>
      </c>
      <c r="G2564" s="502"/>
      <c r="H2564" s="512"/>
      <c r="I2564" s="503"/>
      <c r="J2564" s="503"/>
      <c r="K2564" s="497" t="str">
        <f ca="1">IFERROR(VLOOKUP(C2564,' Disaggregation - Section E '!A$618:N688,3,0),"")</f>
        <v/>
      </c>
      <c r="L2564" s="497"/>
      <c r="M2564" s="497" t="s">
        <v>2464</v>
      </c>
      <c r="N2564" s="503" t="s">
        <v>6612</v>
      </c>
      <c r="O2564" s="503"/>
      <c r="P2564" s="503" t="s">
        <v>10234</v>
      </c>
    </row>
    <row r="2565" spans="1:16" x14ac:dyDescent="0.35">
      <c r="A2565" s="497" t="b">
        <v>1</v>
      </c>
      <c r="B2565" s="497"/>
      <c r="C2565" s="497" t="s">
        <v>6705</v>
      </c>
      <c r="D2565" s="512">
        <v>4</v>
      </c>
      <c r="E2565" s="500"/>
      <c r="F2565" s="503" t="s">
        <v>1468</v>
      </c>
      <c r="G2565" s="502"/>
      <c r="H2565" s="512"/>
      <c r="I2565" s="503"/>
      <c r="J2565" s="503"/>
      <c r="K2565" s="497" t="str">
        <f ca="1">IFERROR(VLOOKUP(C2565,' Disaggregation - Section E '!A$618:N689,3,0),"")</f>
        <v/>
      </c>
      <c r="L2565" s="497"/>
      <c r="M2565" s="497" t="s">
        <v>2466</v>
      </c>
      <c r="N2565" s="503" t="s">
        <v>6612</v>
      </c>
      <c r="O2565" s="503"/>
      <c r="P2565" s="503" t="s">
        <v>10234</v>
      </c>
    </row>
    <row r="2566" spans="1:16" x14ac:dyDescent="0.35">
      <c r="A2566" s="497" t="b">
        <v>0</v>
      </c>
      <c r="B2566" s="497"/>
      <c r="C2566" s="497" t="s">
        <v>6707</v>
      </c>
      <c r="D2566" s="512">
        <v>4</v>
      </c>
      <c r="E2566" s="500"/>
      <c r="F2566" s="503"/>
      <c r="G2566" s="502"/>
      <c r="H2566" s="512"/>
      <c r="I2566" s="503"/>
      <c r="J2566" s="503"/>
      <c r="K2566" s="497" t="str">
        <f ca="1">IFERROR(VLOOKUP(C2566,' Disaggregation - Section E '!A$618:N690,3,0),"")</f>
        <v/>
      </c>
      <c r="L2566" s="497"/>
      <c r="M2566" s="497"/>
      <c r="N2566" s="503"/>
      <c r="O2566" s="503"/>
      <c r="P2566" s="503"/>
    </row>
    <row r="2567" spans="1:16" x14ac:dyDescent="0.35">
      <c r="A2567" s="497" t="b">
        <v>0</v>
      </c>
      <c r="B2567" s="497"/>
      <c r="C2567" s="497" t="s">
        <v>6709</v>
      </c>
      <c r="D2567" s="512">
        <v>4</v>
      </c>
      <c r="E2567" s="500"/>
      <c r="F2567" s="503"/>
      <c r="G2567" s="502"/>
      <c r="H2567" s="512"/>
      <c r="I2567" s="503"/>
      <c r="J2567" s="503"/>
      <c r="K2567" s="497" t="str">
        <f ca="1">IFERROR(VLOOKUP(C2567,' Disaggregation - Section E '!A$618:N691,3,0),"")</f>
        <v/>
      </c>
      <c r="L2567" s="497"/>
      <c r="M2567" s="497"/>
      <c r="N2567" s="503"/>
      <c r="O2567" s="503"/>
      <c r="P2567" s="503"/>
    </row>
    <row r="2568" spans="1:16" x14ac:dyDescent="0.35">
      <c r="A2568" s="497" t="b">
        <v>0</v>
      </c>
      <c r="B2568" s="497"/>
      <c r="C2568" s="497" t="s">
        <v>6711</v>
      </c>
      <c r="D2568" s="512">
        <v>4</v>
      </c>
      <c r="E2568" s="500"/>
      <c r="F2568" s="503"/>
      <c r="G2568" s="502"/>
      <c r="H2568" s="512"/>
      <c r="I2568" s="503"/>
      <c r="J2568" s="503"/>
      <c r="K2568" s="497" t="str">
        <f ca="1">IFERROR(VLOOKUP(C2568,' Disaggregation - Section E '!A$618:N692,3,0),"")</f>
        <v/>
      </c>
      <c r="L2568" s="497"/>
      <c r="M2568" s="497"/>
      <c r="N2568" s="503"/>
      <c r="O2568" s="503"/>
      <c r="P2568" s="503"/>
    </row>
    <row r="2569" spans="1:16" x14ac:dyDescent="0.35">
      <c r="A2569" s="497" t="b">
        <v>0</v>
      </c>
      <c r="B2569" s="497"/>
      <c r="C2569" s="497" t="s">
        <v>6713</v>
      </c>
      <c r="D2569" s="512">
        <v>4</v>
      </c>
      <c r="E2569" s="500"/>
      <c r="F2569" s="503"/>
      <c r="G2569" s="502"/>
      <c r="H2569" s="512"/>
      <c r="I2569" s="503"/>
      <c r="J2569" s="503"/>
      <c r="K2569" s="497" t="str">
        <f ca="1">IFERROR(VLOOKUP(C2569,' Disaggregation - Section E '!A$618:N693,3,0),"")</f>
        <v/>
      </c>
      <c r="L2569" s="497"/>
      <c r="M2569" s="497"/>
      <c r="N2569" s="503"/>
      <c r="O2569" s="503"/>
      <c r="P2569" s="503"/>
    </row>
    <row r="2570" spans="1:16" x14ac:dyDescent="0.35">
      <c r="A2570" s="497" t="b">
        <v>0</v>
      </c>
      <c r="B2570" s="497"/>
      <c r="C2570" s="497" t="s">
        <v>6715</v>
      </c>
      <c r="D2570" s="512">
        <v>4</v>
      </c>
      <c r="E2570" s="500"/>
      <c r="F2570" s="503"/>
      <c r="G2570" s="502"/>
      <c r="H2570" s="512"/>
      <c r="I2570" s="503"/>
      <c r="J2570" s="503"/>
      <c r="K2570" s="497" t="str">
        <f ca="1">IFERROR(VLOOKUP(C2570,' Disaggregation - Section E '!A$618:N694,3,0),"")</f>
        <v/>
      </c>
      <c r="L2570" s="497"/>
      <c r="M2570" s="497"/>
      <c r="N2570" s="503"/>
      <c r="O2570" s="503"/>
      <c r="P2570" s="503"/>
    </row>
    <row r="2571" spans="1:16" x14ac:dyDescent="0.35">
      <c r="A2571" s="497" t="b">
        <v>0</v>
      </c>
      <c r="B2571" s="497"/>
      <c r="C2571" s="497" t="s">
        <v>6717</v>
      </c>
      <c r="D2571" s="512">
        <v>4</v>
      </c>
      <c r="E2571" s="500"/>
      <c r="F2571" s="503"/>
      <c r="G2571" s="502"/>
      <c r="H2571" s="512"/>
      <c r="I2571" s="503"/>
      <c r="J2571" s="503"/>
      <c r="K2571" s="497" t="str">
        <f ca="1">IFERROR(VLOOKUP(C2571,' Disaggregation - Section E '!A$618:N695,3,0),"")</f>
        <v/>
      </c>
      <c r="L2571" s="497"/>
      <c r="M2571" s="497"/>
      <c r="N2571" s="503"/>
      <c r="O2571" s="503"/>
      <c r="P2571" s="503"/>
    </row>
    <row r="2572" spans="1:16" x14ac:dyDescent="0.35">
      <c r="A2572" s="497" t="b">
        <v>0</v>
      </c>
      <c r="B2572" s="497"/>
      <c r="C2572" s="497" t="s">
        <v>6719</v>
      </c>
      <c r="D2572" s="512">
        <v>4</v>
      </c>
      <c r="E2572" s="500"/>
      <c r="F2572" s="503"/>
      <c r="G2572" s="502"/>
      <c r="H2572" s="512"/>
      <c r="I2572" s="503"/>
      <c r="J2572" s="503"/>
      <c r="K2572" s="497" t="str">
        <f ca="1">IFERROR(VLOOKUP(C2572,' Disaggregation - Section E '!A$618:N696,3,0),"")</f>
        <v/>
      </c>
      <c r="L2572" s="497"/>
      <c r="M2572" s="497"/>
      <c r="N2572" s="503"/>
      <c r="O2572" s="503"/>
      <c r="P2572" s="503"/>
    </row>
    <row r="2573" spans="1:16" x14ac:dyDescent="0.35">
      <c r="A2573" s="497" t="b">
        <v>0</v>
      </c>
      <c r="B2573" s="497"/>
      <c r="C2573" s="497" t="s">
        <v>6721</v>
      </c>
      <c r="D2573" s="512">
        <v>4</v>
      </c>
      <c r="E2573" s="500"/>
      <c r="F2573" s="503"/>
      <c r="G2573" s="502"/>
      <c r="H2573" s="512"/>
      <c r="I2573" s="503"/>
      <c r="J2573" s="503"/>
      <c r="K2573" s="497" t="str">
        <f ca="1">IFERROR(VLOOKUP(C2573,' Disaggregation - Section E '!A$618:N697,3,0),"")</f>
        <v/>
      </c>
      <c r="L2573" s="497"/>
      <c r="M2573" s="497"/>
      <c r="N2573" s="503"/>
      <c r="O2573" s="503"/>
      <c r="P2573" s="503"/>
    </row>
    <row r="2574" spans="1:16" x14ac:dyDescent="0.35">
      <c r="A2574" s="497" t="b">
        <v>0</v>
      </c>
      <c r="B2574" s="497"/>
      <c r="C2574" s="497" t="s">
        <v>6723</v>
      </c>
      <c r="D2574" s="512">
        <v>4</v>
      </c>
      <c r="E2574" s="500"/>
      <c r="F2574" s="503"/>
      <c r="G2574" s="502"/>
      <c r="H2574" s="512"/>
      <c r="I2574" s="503"/>
      <c r="J2574" s="503"/>
      <c r="K2574" s="497" t="str">
        <f ca="1">IFERROR(VLOOKUP(C2574,' Disaggregation - Section E '!A$618:N698,3,0),"")</f>
        <v/>
      </c>
      <c r="L2574" s="497"/>
      <c r="M2574" s="497"/>
      <c r="N2574" s="503"/>
      <c r="O2574" s="503"/>
      <c r="P2574" s="503"/>
    </row>
    <row r="2575" spans="1:16" x14ac:dyDescent="0.35">
      <c r="A2575" s="497" t="b">
        <v>0</v>
      </c>
      <c r="B2575" s="497"/>
      <c r="C2575" s="497" t="s">
        <v>6725</v>
      </c>
      <c r="D2575" s="512">
        <v>4</v>
      </c>
      <c r="E2575" s="500"/>
      <c r="F2575" s="503"/>
      <c r="G2575" s="502"/>
      <c r="H2575" s="512"/>
      <c r="I2575" s="503"/>
      <c r="J2575" s="503"/>
      <c r="K2575" s="497" t="str">
        <f ca="1">IFERROR(VLOOKUP(C2575,' Disaggregation - Section E '!A$618:N699,3,0),"")</f>
        <v/>
      </c>
      <c r="L2575" s="497"/>
      <c r="M2575" s="497"/>
      <c r="N2575" s="503"/>
      <c r="O2575" s="503"/>
      <c r="P2575" s="503"/>
    </row>
    <row r="2576" spans="1:16" x14ac:dyDescent="0.35">
      <c r="A2576" s="497" t="b">
        <v>0</v>
      </c>
      <c r="B2576" s="497"/>
      <c r="C2576" s="497" t="s">
        <v>6727</v>
      </c>
      <c r="D2576" s="512">
        <v>4</v>
      </c>
      <c r="E2576" s="500"/>
      <c r="F2576" s="503"/>
      <c r="G2576" s="502"/>
      <c r="H2576" s="512"/>
      <c r="I2576" s="503"/>
      <c r="J2576" s="503"/>
      <c r="K2576" s="497" t="str">
        <f ca="1">IFERROR(VLOOKUP(C2576,' Disaggregation - Section E '!A$618:N700,3,0),"")</f>
        <v/>
      </c>
      <c r="L2576" s="497"/>
      <c r="M2576" s="497"/>
      <c r="N2576" s="503"/>
      <c r="O2576" s="503"/>
      <c r="P2576" s="503"/>
    </row>
    <row r="2577" spans="1:16" x14ac:dyDescent="0.35">
      <c r="A2577" s="497" t="b">
        <v>0</v>
      </c>
      <c r="B2577" s="497"/>
      <c r="C2577" s="497" t="s">
        <v>6729</v>
      </c>
      <c r="D2577" s="512">
        <v>4</v>
      </c>
      <c r="E2577" s="500"/>
      <c r="F2577" s="503"/>
      <c r="G2577" s="502"/>
      <c r="H2577" s="512"/>
      <c r="I2577" s="503"/>
      <c r="J2577" s="503"/>
      <c r="K2577" s="497" t="str">
        <f ca="1">IFERROR(VLOOKUP(C2577,' Disaggregation - Section E '!A$618:N701,3,0),"")</f>
        <v/>
      </c>
      <c r="L2577" s="497"/>
      <c r="M2577" s="497"/>
      <c r="N2577" s="503"/>
      <c r="O2577" s="503"/>
      <c r="P2577" s="503"/>
    </row>
    <row r="2578" spans="1:16" x14ac:dyDescent="0.35">
      <c r="A2578" s="497" t="b">
        <v>0</v>
      </c>
      <c r="B2578" s="497"/>
      <c r="C2578" s="497" t="s">
        <v>6731</v>
      </c>
      <c r="D2578" s="512">
        <v>4</v>
      </c>
      <c r="E2578" s="500"/>
      <c r="F2578" s="503"/>
      <c r="G2578" s="502"/>
      <c r="H2578" s="512"/>
      <c r="I2578" s="503"/>
      <c r="J2578" s="503"/>
      <c r="K2578" s="497" t="str">
        <f ca="1">IFERROR(VLOOKUP(C2578,' Disaggregation - Section E '!A$618:N702,3,0),"")</f>
        <v/>
      </c>
      <c r="L2578" s="497"/>
      <c r="M2578" s="497"/>
      <c r="N2578" s="503"/>
      <c r="O2578" s="503"/>
      <c r="P2578" s="503"/>
    </row>
    <row r="2579" spans="1:16" x14ac:dyDescent="0.35">
      <c r="A2579" s="497" t="b">
        <v>0</v>
      </c>
      <c r="B2579" s="497"/>
      <c r="C2579" s="497" t="s">
        <v>6733</v>
      </c>
      <c r="D2579" s="512">
        <v>4</v>
      </c>
      <c r="E2579" s="500"/>
      <c r="F2579" s="503"/>
      <c r="G2579" s="502"/>
      <c r="H2579" s="512"/>
      <c r="I2579" s="503"/>
      <c r="J2579" s="503"/>
      <c r="K2579" s="497" t="str">
        <f ca="1">IFERROR(VLOOKUP(C2579,' Disaggregation - Section E '!A$618:N703,3,0),"")</f>
        <v/>
      </c>
      <c r="L2579" s="497"/>
      <c r="M2579" s="497"/>
      <c r="N2579" s="503"/>
      <c r="O2579" s="503"/>
      <c r="P2579" s="503"/>
    </row>
    <row r="2580" spans="1:16" x14ac:dyDescent="0.35">
      <c r="A2580" s="497" t="b">
        <v>0</v>
      </c>
      <c r="B2580" s="497"/>
      <c r="C2580" s="497" t="s">
        <v>5382</v>
      </c>
      <c r="D2580" s="512">
        <v>5</v>
      </c>
      <c r="E2580" s="500"/>
      <c r="F2580" s="503"/>
      <c r="G2580" s="502"/>
      <c r="H2580" s="512"/>
      <c r="I2580" s="503"/>
      <c r="J2580" s="503"/>
      <c r="K2580" s="497" t="str">
        <f ca="1">IFERROR(VLOOKUP(C2580,' Disaggregation - Section E '!A$618:N704,3,0),"")</f>
        <v/>
      </c>
      <c r="L2580" s="497"/>
      <c r="M2580" s="497"/>
      <c r="N2580" s="503"/>
      <c r="O2580" s="503"/>
      <c r="P2580" s="503"/>
    </row>
    <row r="2581" spans="1:16" x14ac:dyDescent="0.35">
      <c r="A2581" s="497" t="b">
        <v>0</v>
      </c>
      <c r="B2581" s="497"/>
      <c r="C2581" s="497" t="s">
        <v>5384</v>
      </c>
      <c r="D2581" s="512">
        <v>5</v>
      </c>
      <c r="E2581" s="500"/>
      <c r="F2581" s="503"/>
      <c r="G2581" s="502"/>
      <c r="H2581" s="512"/>
      <c r="I2581" s="503"/>
      <c r="J2581" s="503"/>
      <c r="K2581" s="497" t="str">
        <f ca="1">IFERROR(VLOOKUP(C2581,' Disaggregation - Section E '!A$618:N705,3,0),"")</f>
        <v/>
      </c>
      <c r="L2581" s="497"/>
      <c r="M2581" s="497"/>
      <c r="N2581" s="503"/>
      <c r="O2581" s="503"/>
      <c r="P2581" s="503"/>
    </row>
    <row r="2582" spans="1:16" x14ac:dyDescent="0.35">
      <c r="A2582" s="497" t="b">
        <v>0</v>
      </c>
      <c r="B2582" s="497"/>
      <c r="C2582" s="497" t="s">
        <v>5386</v>
      </c>
      <c r="D2582" s="512">
        <v>5</v>
      </c>
      <c r="E2582" s="500"/>
      <c r="F2582" s="503"/>
      <c r="G2582" s="502"/>
      <c r="H2582" s="512"/>
      <c r="I2582" s="503"/>
      <c r="J2582" s="503"/>
      <c r="K2582" s="497" t="str">
        <f ca="1">IFERROR(VLOOKUP(C2582,' Disaggregation - Section E '!A$618:N706,3,0),"")</f>
        <v/>
      </c>
      <c r="L2582" s="497"/>
      <c r="M2582" s="497"/>
      <c r="N2582" s="503"/>
      <c r="O2582" s="503"/>
      <c r="P2582" s="503"/>
    </row>
    <row r="2583" spans="1:16" x14ac:dyDescent="0.35">
      <c r="A2583" s="497" t="b">
        <v>0</v>
      </c>
      <c r="B2583" s="497"/>
      <c r="C2583" s="497" t="s">
        <v>5388</v>
      </c>
      <c r="D2583" s="512">
        <v>5</v>
      </c>
      <c r="E2583" s="500"/>
      <c r="F2583" s="503"/>
      <c r="G2583" s="502"/>
      <c r="H2583" s="512"/>
      <c r="I2583" s="503"/>
      <c r="J2583" s="503"/>
      <c r="K2583" s="497" t="str">
        <f ca="1">IFERROR(VLOOKUP(C2583,' Disaggregation - Section E '!A$618:N707,3,0),"")</f>
        <v/>
      </c>
      <c r="L2583" s="497"/>
      <c r="M2583" s="497"/>
      <c r="N2583" s="503"/>
      <c r="O2583" s="503"/>
      <c r="P2583" s="503"/>
    </row>
    <row r="2584" spans="1:16" x14ac:dyDescent="0.35">
      <c r="A2584" s="497" t="b">
        <v>0</v>
      </c>
      <c r="B2584" s="497"/>
      <c r="C2584" s="497" t="s">
        <v>5390</v>
      </c>
      <c r="D2584" s="512">
        <v>5</v>
      </c>
      <c r="E2584" s="500"/>
      <c r="F2584" s="503"/>
      <c r="G2584" s="502"/>
      <c r="H2584" s="512"/>
      <c r="I2584" s="503"/>
      <c r="J2584" s="503"/>
      <c r="K2584" s="497" t="str">
        <f ca="1">IFERROR(VLOOKUP(C2584,' Disaggregation - Section E '!A$618:N708,3,0),"")</f>
        <v/>
      </c>
      <c r="L2584" s="497"/>
      <c r="M2584" s="497"/>
      <c r="N2584" s="503"/>
      <c r="O2584" s="503"/>
      <c r="P2584" s="503"/>
    </row>
    <row r="2585" spans="1:16" x14ac:dyDescent="0.35">
      <c r="A2585" s="497" t="b">
        <v>0</v>
      </c>
      <c r="B2585" s="497"/>
      <c r="C2585" s="497" t="s">
        <v>5392</v>
      </c>
      <c r="D2585" s="512">
        <v>5</v>
      </c>
      <c r="E2585" s="500"/>
      <c r="F2585" s="503"/>
      <c r="G2585" s="502"/>
      <c r="H2585" s="512"/>
      <c r="I2585" s="503"/>
      <c r="J2585" s="503"/>
      <c r="K2585" s="497" t="str">
        <f ca="1">IFERROR(VLOOKUP(C2585,' Disaggregation - Section E '!A$618:N709,3,0),"")</f>
        <v/>
      </c>
      <c r="L2585" s="497"/>
      <c r="M2585" s="497"/>
      <c r="N2585" s="503"/>
      <c r="O2585" s="503"/>
      <c r="P2585" s="503"/>
    </row>
    <row r="2586" spans="1:16" x14ac:dyDescent="0.35">
      <c r="A2586" s="497" t="b">
        <v>0</v>
      </c>
      <c r="B2586" s="497"/>
      <c r="C2586" s="497" t="s">
        <v>5394</v>
      </c>
      <c r="D2586" s="512">
        <v>5</v>
      </c>
      <c r="E2586" s="500"/>
      <c r="F2586" s="503"/>
      <c r="G2586" s="502"/>
      <c r="H2586" s="512"/>
      <c r="I2586" s="503"/>
      <c r="J2586" s="503"/>
      <c r="K2586" s="497" t="str">
        <f ca="1">IFERROR(VLOOKUP(C2586,' Disaggregation - Section E '!A$618:N710,3,0),"")</f>
        <v/>
      </c>
      <c r="L2586" s="497"/>
      <c r="M2586" s="497"/>
      <c r="N2586" s="503"/>
      <c r="O2586" s="503"/>
      <c r="P2586" s="503"/>
    </row>
    <row r="2587" spans="1:16" x14ac:dyDescent="0.35">
      <c r="A2587" s="497" t="b">
        <v>0</v>
      </c>
      <c r="B2587" s="497"/>
      <c r="C2587" s="497" t="s">
        <v>5396</v>
      </c>
      <c r="D2587" s="512">
        <v>5</v>
      </c>
      <c r="E2587" s="500"/>
      <c r="F2587" s="503"/>
      <c r="G2587" s="502"/>
      <c r="H2587" s="512"/>
      <c r="I2587" s="503"/>
      <c r="J2587" s="503"/>
      <c r="K2587" s="497" t="str">
        <f ca="1">IFERROR(VLOOKUP(C2587,' Disaggregation - Section E '!A$618:N711,3,0),"")</f>
        <v/>
      </c>
      <c r="L2587" s="497"/>
      <c r="M2587" s="497"/>
      <c r="N2587" s="503"/>
      <c r="O2587" s="503"/>
      <c r="P2587" s="503"/>
    </row>
    <row r="2588" spans="1:16" x14ac:dyDescent="0.35">
      <c r="A2588" s="497" t="b">
        <v>0</v>
      </c>
      <c r="B2588" s="497"/>
      <c r="C2588" s="497" t="s">
        <v>5398</v>
      </c>
      <c r="D2588" s="512">
        <v>5</v>
      </c>
      <c r="E2588" s="500"/>
      <c r="F2588" s="503"/>
      <c r="G2588" s="502"/>
      <c r="H2588" s="512"/>
      <c r="I2588" s="503"/>
      <c r="J2588" s="503"/>
      <c r="K2588" s="497" t="str">
        <f ca="1">IFERROR(VLOOKUP(C2588,' Disaggregation - Section E '!A$618:N712,3,0),"")</f>
        <v/>
      </c>
      <c r="L2588" s="497"/>
      <c r="M2588" s="497"/>
      <c r="N2588" s="503"/>
      <c r="O2588" s="503"/>
      <c r="P2588" s="503"/>
    </row>
    <row r="2589" spans="1:16" x14ac:dyDescent="0.35">
      <c r="A2589" s="497" t="b">
        <v>0</v>
      </c>
      <c r="B2589" s="497"/>
      <c r="C2589" s="497" t="s">
        <v>5400</v>
      </c>
      <c r="D2589" s="512">
        <v>5</v>
      </c>
      <c r="E2589" s="500"/>
      <c r="F2589" s="503"/>
      <c r="G2589" s="502"/>
      <c r="H2589" s="512"/>
      <c r="I2589" s="503"/>
      <c r="J2589" s="503"/>
      <c r="K2589" s="497" t="str">
        <f ca="1">IFERROR(VLOOKUP(C2589,' Disaggregation - Section E '!A$618:N713,3,0),"")</f>
        <v/>
      </c>
      <c r="L2589" s="497"/>
      <c r="M2589" s="497"/>
      <c r="N2589" s="503"/>
      <c r="O2589" s="503"/>
      <c r="P2589" s="503"/>
    </row>
    <row r="2590" spans="1:16" x14ac:dyDescent="0.35">
      <c r="A2590" s="497" t="b">
        <v>0</v>
      </c>
      <c r="B2590" s="497"/>
      <c r="C2590" s="497" t="s">
        <v>5402</v>
      </c>
      <c r="D2590" s="512">
        <v>5</v>
      </c>
      <c r="E2590" s="500"/>
      <c r="F2590" s="503"/>
      <c r="G2590" s="502"/>
      <c r="H2590" s="512"/>
      <c r="I2590" s="503"/>
      <c r="J2590" s="503"/>
      <c r="K2590" s="497" t="str">
        <f ca="1">IFERROR(VLOOKUP(C2590,' Disaggregation - Section E '!A$618:N714,3,0),"")</f>
        <v/>
      </c>
      <c r="L2590" s="497"/>
      <c r="M2590" s="497"/>
      <c r="N2590" s="503"/>
      <c r="O2590" s="503"/>
      <c r="P2590" s="503"/>
    </row>
    <row r="2591" spans="1:16" x14ac:dyDescent="0.35">
      <c r="A2591" s="497" t="b">
        <v>0</v>
      </c>
      <c r="B2591" s="497"/>
      <c r="C2591" s="497" t="s">
        <v>5404</v>
      </c>
      <c r="D2591" s="512">
        <v>5</v>
      </c>
      <c r="E2591" s="500"/>
      <c r="F2591" s="503"/>
      <c r="G2591" s="502"/>
      <c r="H2591" s="512"/>
      <c r="I2591" s="503"/>
      <c r="J2591" s="503"/>
      <c r="K2591" s="497" t="str">
        <f ca="1">IFERROR(VLOOKUP(C2591,' Disaggregation - Section E '!A$618:N715,3,0),"")</f>
        <v/>
      </c>
      <c r="L2591" s="497"/>
      <c r="M2591" s="497"/>
      <c r="N2591" s="503"/>
      <c r="O2591" s="503"/>
      <c r="P2591" s="503"/>
    </row>
    <row r="2592" spans="1:16" x14ac:dyDescent="0.35">
      <c r="A2592" s="497" t="b">
        <v>0</v>
      </c>
      <c r="B2592" s="497"/>
      <c r="C2592" s="497" t="s">
        <v>5406</v>
      </c>
      <c r="D2592" s="512">
        <v>5</v>
      </c>
      <c r="E2592" s="500"/>
      <c r="F2592" s="503"/>
      <c r="G2592" s="502"/>
      <c r="H2592" s="512"/>
      <c r="I2592" s="503"/>
      <c r="J2592" s="503"/>
      <c r="K2592" s="497" t="str">
        <f ca="1">IFERROR(VLOOKUP(C2592,' Disaggregation - Section E '!A$618:N716,3,0),"")</f>
        <v/>
      </c>
      <c r="L2592" s="497"/>
      <c r="M2592" s="497"/>
      <c r="N2592" s="503"/>
      <c r="O2592" s="503"/>
      <c r="P2592" s="503"/>
    </row>
    <row r="2593" spans="1:16" x14ac:dyDescent="0.35">
      <c r="A2593" s="497" t="b">
        <v>0</v>
      </c>
      <c r="B2593" s="497"/>
      <c r="C2593" s="497" t="s">
        <v>5408</v>
      </c>
      <c r="D2593" s="512">
        <v>5</v>
      </c>
      <c r="E2593" s="500"/>
      <c r="F2593" s="503"/>
      <c r="G2593" s="502"/>
      <c r="H2593" s="512"/>
      <c r="I2593" s="503"/>
      <c r="J2593" s="503"/>
      <c r="K2593" s="497" t="str">
        <f ca="1">IFERROR(VLOOKUP(C2593,' Disaggregation - Section E '!A$618:N717,3,0),"")</f>
        <v/>
      </c>
      <c r="L2593" s="497"/>
      <c r="M2593" s="497"/>
      <c r="N2593" s="503"/>
      <c r="O2593" s="503"/>
      <c r="P2593" s="503"/>
    </row>
    <row r="2594" spans="1:16" x14ac:dyDescent="0.35">
      <c r="A2594" s="497" t="b">
        <v>0</v>
      </c>
      <c r="B2594" s="497"/>
      <c r="C2594" s="497" t="s">
        <v>5410</v>
      </c>
      <c r="D2594" s="512">
        <v>5</v>
      </c>
      <c r="E2594" s="500"/>
      <c r="F2594" s="503"/>
      <c r="G2594" s="502"/>
      <c r="H2594" s="512"/>
      <c r="I2594" s="503"/>
      <c r="J2594" s="503"/>
      <c r="K2594" s="497" t="str">
        <f ca="1">IFERROR(VLOOKUP(C2594,' Disaggregation - Section E '!A$618:N718,3,0),"")</f>
        <v/>
      </c>
      <c r="L2594" s="497"/>
      <c r="M2594" s="497"/>
      <c r="N2594" s="503"/>
      <c r="O2594" s="503"/>
      <c r="P2594" s="503"/>
    </row>
    <row r="2595" spans="1:16" x14ac:dyDescent="0.35">
      <c r="A2595" s="497" t="b">
        <v>0</v>
      </c>
      <c r="B2595" s="497"/>
      <c r="C2595" s="497" t="s">
        <v>5412</v>
      </c>
      <c r="D2595" s="512">
        <v>5</v>
      </c>
      <c r="E2595" s="500"/>
      <c r="F2595" s="503"/>
      <c r="G2595" s="502"/>
      <c r="H2595" s="512"/>
      <c r="I2595" s="503"/>
      <c r="J2595" s="503"/>
      <c r="K2595" s="497" t="str">
        <f ca="1">IFERROR(VLOOKUP(C2595,' Disaggregation - Section E '!A$618:N719,3,0),"")</f>
        <v/>
      </c>
      <c r="L2595" s="497"/>
      <c r="M2595" s="497"/>
      <c r="N2595" s="503"/>
      <c r="O2595" s="503"/>
      <c r="P2595" s="503"/>
    </row>
    <row r="2596" spans="1:16" x14ac:dyDescent="0.35">
      <c r="A2596" s="497" t="b">
        <v>0</v>
      </c>
      <c r="B2596" s="497"/>
      <c r="C2596" s="497" t="s">
        <v>5414</v>
      </c>
      <c r="D2596" s="512">
        <v>5</v>
      </c>
      <c r="E2596" s="500"/>
      <c r="F2596" s="503"/>
      <c r="G2596" s="502"/>
      <c r="H2596" s="512"/>
      <c r="I2596" s="503"/>
      <c r="J2596" s="503"/>
      <c r="K2596" s="497" t="str">
        <f ca="1">IFERROR(VLOOKUP(C2596,' Disaggregation - Section E '!A$618:N720,3,0),"")</f>
        <v/>
      </c>
      <c r="L2596" s="497"/>
      <c r="M2596" s="497"/>
      <c r="N2596" s="503"/>
      <c r="O2596" s="503"/>
      <c r="P2596" s="503"/>
    </row>
    <row r="2597" spans="1:16" x14ac:dyDescent="0.35">
      <c r="A2597" s="497" t="b">
        <v>0</v>
      </c>
      <c r="B2597" s="497"/>
      <c r="C2597" s="497" t="s">
        <v>5416</v>
      </c>
      <c r="D2597" s="512">
        <v>5</v>
      </c>
      <c r="E2597" s="500"/>
      <c r="F2597" s="503"/>
      <c r="G2597" s="502"/>
      <c r="H2597" s="512"/>
      <c r="I2597" s="503"/>
      <c r="J2597" s="503"/>
      <c r="K2597" s="497" t="str">
        <f ca="1">IFERROR(VLOOKUP(C2597,' Disaggregation - Section E '!A$618:N721,3,0),"")</f>
        <v/>
      </c>
      <c r="L2597" s="497"/>
      <c r="M2597" s="497"/>
      <c r="N2597" s="503"/>
      <c r="O2597" s="503"/>
      <c r="P2597" s="503"/>
    </row>
    <row r="2598" spans="1:16" x14ac:dyDescent="0.35">
      <c r="A2598" s="497" t="b">
        <v>0</v>
      </c>
      <c r="B2598" s="497"/>
      <c r="C2598" s="497" t="s">
        <v>5418</v>
      </c>
      <c r="D2598" s="512">
        <v>5</v>
      </c>
      <c r="E2598" s="500"/>
      <c r="F2598" s="503"/>
      <c r="G2598" s="502"/>
      <c r="H2598" s="512"/>
      <c r="I2598" s="503"/>
      <c r="J2598" s="503"/>
      <c r="K2598" s="497" t="str">
        <f ca="1">IFERROR(VLOOKUP(C2598,' Disaggregation - Section E '!A$618:N722,3,0),"")</f>
        <v/>
      </c>
      <c r="L2598" s="497"/>
      <c r="M2598" s="497"/>
      <c r="N2598" s="503"/>
      <c r="O2598" s="503"/>
      <c r="P2598" s="503"/>
    </row>
    <row r="2599" spans="1:16" x14ac:dyDescent="0.35">
      <c r="A2599" s="497" t="b">
        <v>0</v>
      </c>
      <c r="B2599" s="497"/>
      <c r="C2599" s="497" t="s">
        <v>5420</v>
      </c>
      <c r="D2599" s="512">
        <v>5</v>
      </c>
      <c r="E2599" s="500"/>
      <c r="F2599" s="503"/>
      <c r="G2599" s="502"/>
      <c r="H2599" s="512"/>
      <c r="I2599" s="503"/>
      <c r="J2599" s="503"/>
      <c r="K2599" s="497" t="str">
        <f ca="1">IFERROR(VLOOKUP(C2599,' Disaggregation - Section E '!A$618:N723,3,0),"")</f>
        <v/>
      </c>
      <c r="L2599" s="497"/>
      <c r="M2599" s="497"/>
      <c r="N2599" s="503"/>
      <c r="O2599" s="503"/>
      <c r="P2599" s="503"/>
    </row>
    <row r="2600" spans="1:16" x14ac:dyDescent="0.35">
      <c r="A2600" s="497" t="b">
        <v>0</v>
      </c>
      <c r="B2600" s="497"/>
      <c r="C2600" s="497" t="s">
        <v>6530</v>
      </c>
      <c r="D2600" s="512">
        <v>6</v>
      </c>
      <c r="E2600" s="500"/>
      <c r="F2600" s="503"/>
      <c r="G2600" s="502"/>
      <c r="H2600" s="512"/>
      <c r="I2600" s="503"/>
      <c r="J2600" s="503"/>
      <c r="K2600" s="497" t="str">
        <f ca="1">IFERROR(VLOOKUP(C2600,' Disaggregation - Section E '!A$618:N724,3,0),"")</f>
        <v/>
      </c>
      <c r="L2600" s="497"/>
      <c r="M2600" s="497"/>
      <c r="N2600" s="503"/>
      <c r="O2600" s="503"/>
      <c r="P2600" s="503"/>
    </row>
    <row r="2601" spans="1:16" x14ac:dyDescent="0.35">
      <c r="A2601" s="497" t="b">
        <v>0</v>
      </c>
      <c r="B2601" s="497"/>
      <c r="C2601" s="497" t="s">
        <v>6532</v>
      </c>
      <c r="D2601" s="512">
        <v>6</v>
      </c>
      <c r="E2601" s="500"/>
      <c r="F2601" s="503"/>
      <c r="G2601" s="502"/>
      <c r="H2601" s="512"/>
      <c r="I2601" s="503"/>
      <c r="J2601" s="503"/>
      <c r="K2601" s="497" t="str">
        <f ca="1">IFERROR(VLOOKUP(C2601,' Disaggregation - Section E '!A$618:N725,3,0),"")</f>
        <v/>
      </c>
      <c r="L2601" s="497"/>
      <c r="M2601" s="497"/>
      <c r="N2601" s="503"/>
      <c r="O2601" s="503"/>
      <c r="P2601" s="503"/>
    </row>
    <row r="2602" spans="1:16" x14ac:dyDescent="0.35">
      <c r="A2602" s="497" t="b">
        <v>0</v>
      </c>
      <c r="B2602" s="497"/>
      <c r="C2602" s="497" t="s">
        <v>6534</v>
      </c>
      <c r="D2602" s="512">
        <v>6</v>
      </c>
      <c r="E2602" s="500"/>
      <c r="F2602" s="503"/>
      <c r="G2602" s="502"/>
      <c r="H2602" s="512"/>
      <c r="I2602" s="503"/>
      <c r="J2602" s="503"/>
      <c r="K2602" s="497" t="str">
        <f ca="1">IFERROR(VLOOKUP(C2602,' Disaggregation - Section E '!A$618:N726,3,0),"")</f>
        <v/>
      </c>
      <c r="L2602" s="497"/>
      <c r="M2602" s="497"/>
      <c r="N2602" s="503"/>
      <c r="O2602" s="503"/>
      <c r="P2602" s="503"/>
    </row>
    <row r="2603" spans="1:16" x14ac:dyDescent="0.35">
      <c r="A2603" s="497" t="b">
        <v>0</v>
      </c>
      <c r="B2603" s="497"/>
      <c r="C2603" s="497" t="s">
        <v>6536</v>
      </c>
      <c r="D2603" s="512">
        <v>6</v>
      </c>
      <c r="E2603" s="500"/>
      <c r="F2603" s="503"/>
      <c r="G2603" s="502"/>
      <c r="H2603" s="512"/>
      <c r="I2603" s="503"/>
      <c r="J2603" s="503"/>
      <c r="K2603" s="497" t="str">
        <f ca="1">IFERROR(VLOOKUP(C2603,' Disaggregation - Section E '!A$618:N727,3,0),"")</f>
        <v/>
      </c>
      <c r="L2603" s="497"/>
      <c r="M2603" s="497"/>
      <c r="N2603" s="503"/>
      <c r="O2603" s="503"/>
      <c r="P2603" s="503"/>
    </row>
    <row r="2604" spans="1:16" x14ac:dyDescent="0.35">
      <c r="A2604" s="497" t="b">
        <v>0</v>
      </c>
      <c r="B2604" s="497"/>
      <c r="C2604" s="497" t="s">
        <v>6538</v>
      </c>
      <c r="D2604" s="512">
        <v>6</v>
      </c>
      <c r="E2604" s="500"/>
      <c r="F2604" s="503"/>
      <c r="G2604" s="502"/>
      <c r="H2604" s="512"/>
      <c r="I2604" s="503"/>
      <c r="J2604" s="503"/>
      <c r="K2604" s="497" t="str">
        <f ca="1">IFERROR(VLOOKUP(C2604,' Disaggregation - Section E '!A$618:N728,3,0),"")</f>
        <v/>
      </c>
      <c r="L2604" s="497"/>
      <c r="M2604" s="497"/>
      <c r="N2604" s="503"/>
      <c r="O2604" s="503"/>
      <c r="P2604" s="503"/>
    </row>
    <row r="2605" spans="1:16" x14ac:dyDescent="0.35">
      <c r="A2605" s="497" t="b">
        <v>0</v>
      </c>
      <c r="B2605" s="497"/>
      <c r="C2605" s="497" t="s">
        <v>6540</v>
      </c>
      <c r="D2605" s="512">
        <v>6</v>
      </c>
      <c r="E2605" s="500"/>
      <c r="F2605" s="503"/>
      <c r="G2605" s="502"/>
      <c r="H2605" s="512"/>
      <c r="I2605" s="503"/>
      <c r="J2605" s="503"/>
      <c r="K2605" s="497" t="str">
        <f ca="1">IFERROR(VLOOKUP(C2605,' Disaggregation - Section E '!A$618:N729,3,0),"")</f>
        <v/>
      </c>
      <c r="L2605" s="497"/>
      <c r="M2605" s="497"/>
      <c r="N2605" s="503"/>
      <c r="O2605" s="503"/>
      <c r="P2605" s="503"/>
    </row>
    <row r="2606" spans="1:16" x14ac:dyDescent="0.35">
      <c r="A2606" s="497" t="b">
        <v>0</v>
      </c>
      <c r="B2606" s="497"/>
      <c r="C2606" s="497" t="s">
        <v>6542</v>
      </c>
      <c r="D2606" s="512">
        <v>6</v>
      </c>
      <c r="E2606" s="500"/>
      <c r="F2606" s="503"/>
      <c r="G2606" s="502"/>
      <c r="H2606" s="512"/>
      <c r="I2606" s="503"/>
      <c r="J2606" s="503"/>
      <c r="K2606" s="497" t="str">
        <f ca="1">IFERROR(VLOOKUP(C2606,' Disaggregation - Section E '!A$618:N730,3,0),"")</f>
        <v/>
      </c>
      <c r="L2606" s="497"/>
      <c r="M2606" s="497"/>
      <c r="N2606" s="503"/>
      <c r="O2606" s="503"/>
      <c r="P2606" s="503"/>
    </row>
    <row r="2607" spans="1:16" x14ac:dyDescent="0.35">
      <c r="A2607" s="497" t="b">
        <v>0</v>
      </c>
      <c r="B2607" s="497"/>
      <c r="C2607" s="497" t="s">
        <v>6544</v>
      </c>
      <c r="D2607" s="512">
        <v>6</v>
      </c>
      <c r="E2607" s="500"/>
      <c r="F2607" s="503"/>
      <c r="G2607" s="502"/>
      <c r="H2607" s="512"/>
      <c r="I2607" s="503"/>
      <c r="J2607" s="503"/>
      <c r="K2607" s="497" t="str">
        <f ca="1">IFERROR(VLOOKUP(C2607,' Disaggregation - Section E '!A$618:N731,3,0),"")</f>
        <v/>
      </c>
      <c r="L2607" s="497"/>
      <c r="M2607" s="497"/>
      <c r="N2607" s="503"/>
      <c r="O2607" s="503"/>
      <c r="P2607" s="503"/>
    </row>
    <row r="2608" spans="1:16" x14ac:dyDescent="0.35">
      <c r="A2608" s="497" t="b">
        <v>0</v>
      </c>
      <c r="B2608" s="497"/>
      <c r="C2608" s="497" t="s">
        <v>6546</v>
      </c>
      <c r="D2608" s="512">
        <v>6</v>
      </c>
      <c r="E2608" s="500"/>
      <c r="F2608" s="503"/>
      <c r="G2608" s="502"/>
      <c r="H2608" s="512"/>
      <c r="I2608" s="503"/>
      <c r="J2608" s="503"/>
      <c r="K2608" s="497" t="str">
        <f ca="1">IFERROR(VLOOKUP(C2608,' Disaggregation - Section E '!A$618:N732,3,0),"")</f>
        <v/>
      </c>
      <c r="L2608" s="497"/>
      <c r="M2608" s="497"/>
      <c r="N2608" s="503"/>
      <c r="O2608" s="503"/>
      <c r="P2608" s="503"/>
    </row>
    <row r="2609" spans="1:16" x14ac:dyDescent="0.35">
      <c r="A2609" s="497" t="b">
        <v>0</v>
      </c>
      <c r="B2609" s="497"/>
      <c r="C2609" s="497" t="s">
        <v>6548</v>
      </c>
      <c r="D2609" s="512">
        <v>6</v>
      </c>
      <c r="E2609" s="500"/>
      <c r="F2609" s="503"/>
      <c r="G2609" s="502"/>
      <c r="H2609" s="512"/>
      <c r="I2609" s="503"/>
      <c r="J2609" s="503"/>
      <c r="K2609" s="497" t="str">
        <f ca="1">IFERROR(VLOOKUP(C2609,' Disaggregation - Section E '!A$618:N733,3,0),"")</f>
        <v/>
      </c>
      <c r="L2609" s="497"/>
      <c r="M2609" s="497"/>
      <c r="N2609" s="503"/>
      <c r="O2609" s="503"/>
      <c r="P2609" s="503"/>
    </row>
    <row r="2610" spans="1:16" x14ac:dyDescent="0.35">
      <c r="A2610" s="497" t="b">
        <v>0</v>
      </c>
      <c r="B2610" s="497"/>
      <c r="C2610" s="497" t="s">
        <v>6550</v>
      </c>
      <c r="D2610" s="512">
        <v>6</v>
      </c>
      <c r="E2610" s="500"/>
      <c r="F2610" s="503"/>
      <c r="G2610" s="502"/>
      <c r="H2610" s="512"/>
      <c r="I2610" s="503"/>
      <c r="J2610" s="503"/>
      <c r="K2610" s="497" t="str">
        <f ca="1">IFERROR(VLOOKUP(C2610,' Disaggregation - Section E '!A$618:N734,3,0),"")</f>
        <v/>
      </c>
      <c r="L2610" s="497"/>
      <c r="M2610" s="497"/>
      <c r="N2610" s="503"/>
      <c r="O2610" s="503"/>
      <c r="P2610" s="503"/>
    </row>
    <row r="2611" spans="1:16" x14ac:dyDescent="0.35">
      <c r="A2611" s="497" t="b">
        <v>0</v>
      </c>
      <c r="B2611" s="497"/>
      <c r="C2611" s="497" t="s">
        <v>6552</v>
      </c>
      <c r="D2611" s="512">
        <v>6</v>
      </c>
      <c r="E2611" s="500"/>
      <c r="F2611" s="503"/>
      <c r="G2611" s="502"/>
      <c r="H2611" s="512"/>
      <c r="I2611" s="503"/>
      <c r="J2611" s="503"/>
      <c r="K2611" s="497" t="str">
        <f ca="1">IFERROR(VLOOKUP(C2611,' Disaggregation - Section E '!A$618:N735,3,0),"")</f>
        <v/>
      </c>
      <c r="L2611" s="497"/>
      <c r="M2611" s="497"/>
      <c r="N2611" s="503"/>
      <c r="O2611" s="503"/>
      <c r="P2611" s="503"/>
    </row>
    <row r="2612" spans="1:16" x14ac:dyDescent="0.35">
      <c r="A2612" s="497" t="b">
        <v>0</v>
      </c>
      <c r="B2612" s="497"/>
      <c r="C2612" s="497" t="s">
        <v>6554</v>
      </c>
      <c r="D2612" s="512">
        <v>6</v>
      </c>
      <c r="E2612" s="500"/>
      <c r="F2612" s="503"/>
      <c r="G2612" s="502"/>
      <c r="H2612" s="512"/>
      <c r="I2612" s="503"/>
      <c r="J2612" s="503"/>
      <c r="K2612" s="497" t="str">
        <f ca="1">IFERROR(VLOOKUP(C2612,' Disaggregation - Section E '!A$618:N736,3,0),"")</f>
        <v/>
      </c>
      <c r="L2612" s="497"/>
      <c r="M2612" s="497"/>
      <c r="N2612" s="503"/>
      <c r="O2612" s="503"/>
      <c r="P2612" s="503"/>
    </row>
    <row r="2613" spans="1:16" x14ac:dyDescent="0.35">
      <c r="A2613" s="497" t="b">
        <v>0</v>
      </c>
      <c r="B2613" s="497"/>
      <c r="C2613" s="497" t="s">
        <v>6556</v>
      </c>
      <c r="D2613" s="512">
        <v>6</v>
      </c>
      <c r="E2613" s="500"/>
      <c r="F2613" s="503"/>
      <c r="G2613" s="502"/>
      <c r="H2613" s="512"/>
      <c r="I2613" s="503"/>
      <c r="J2613" s="503"/>
      <c r="K2613" s="497" t="str">
        <f ca="1">IFERROR(VLOOKUP(C2613,' Disaggregation - Section E '!A$618:N737,3,0),"")</f>
        <v/>
      </c>
      <c r="L2613" s="497"/>
      <c r="M2613" s="497"/>
      <c r="N2613" s="503"/>
      <c r="O2613" s="503"/>
      <c r="P2613" s="503"/>
    </row>
    <row r="2614" spans="1:16" x14ac:dyDescent="0.35">
      <c r="A2614" s="497" t="b">
        <v>0</v>
      </c>
      <c r="B2614" s="497"/>
      <c r="C2614" s="497" t="s">
        <v>6558</v>
      </c>
      <c r="D2614" s="512">
        <v>6</v>
      </c>
      <c r="E2614" s="500"/>
      <c r="F2614" s="503"/>
      <c r="G2614" s="502"/>
      <c r="H2614" s="512"/>
      <c r="I2614" s="503"/>
      <c r="J2614" s="503"/>
      <c r="K2614" s="497" t="str">
        <f ca="1">IFERROR(VLOOKUP(C2614,' Disaggregation - Section E '!A$618:N738,3,0),"")</f>
        <v/>
      </c>
      <c r="L2614" s="497"/>
      <c r="M2614" s="497"/>
      <c r="N2614" s="503"/>
      <c r="O2614" s="503"/>
      <c r="P2614" s="503"/>
    </row>
    <row r="2615" spans="1:16" x14ac:dyDescent="0.35">
      <c r="A2615" s="497" t="b">
        <v>0</v>
      </c>
      <c r="B2615" s="497"/>
      <c r="C2615" s="497" t="s">
        <v>6560</v>
      </c>
      <c r="D2615" s="512">
        <v>6</v>
      </c>
      <c r="E2615" s="500"/>
      <c r="F2615" s="503"/>
      <c r="G2615" s="502"/>
      <c r="H2615" s="512"/>
      <c r="I2615" s="503"/>
      <c r="J2615" s="503"/>
      <c r="K2615" s="497" t="str">
        <f ca="1">IFERROR(VLOOKUP(C2615,' Disaggregation - Section E '!A$618:N739,3,0),"")</f>
        <v/>
      </c>
      <c r="L2615" s="497"/>
      <c r="M2615" s="497"/>
      <c r="N2615" s="503"/>
      <c r="O2615" s="503"/>
      <c r="P2615" s="503"/>
    </row>
    <row r="2616" spans="1:16" x14ac:dyDescent="0.35">
      <c r="A2616" s="497" t="b">
        <v>0</v>
      </c>
      <c r="B2616" s="497"/>
      <c r="C2616" s="497" t="s">
        <v>6562</v>
      </c>
      <c r="D2616" s="512">
        <v>6</v>
      </c>
      <c r="E2616" s="500"/>
      <c r="F2616" s="503"/>
      <c r="G2616" s="502"/>
      <c r="H2616" s="512"/>
      <c r="I2616" s="503"/>
      <c r="J2616" s="503"/>
      <c r="K2616" s="497" t="str">
        <f ca="1">IFERROR(VLOOKUP(C2616,' Disaggregation - Section E '!A$618:N740,3,0),"")</f>
        <v/>
      </c>
      <c r="L2616" s="497"/>
      <c r="M2616" s="497"/>
      <c r="N2616" s="503"/>
      <c r="O2616" s="503"/>
      <c r="P2616" s="503"/>
    </row>
    <row r="2617" spans="1:16" x14ac:dyDescent="0.35">
      <c r="A2617" s="497" t="b">
        <v>0</v>
      </c>
      <c r="B2617" s="497"/>
      <c r="C2617" s="497" t="s">
        <v>6564</v>
      </c>
      <c r="D2617" s="512">
        <v>6</v>
      </c>
      <c r="E2617" s="500"/>
      <c r="F2617" s="503"/>
      <c r="G2617" s="502"/>
      <c r="H2617" s="512"/>
      <c r="I2617" s="503"/>
      <c r="J2617" s="503"/>
      <c r="K2617" s="497" t="str">
        <f ca="1">IFERROR(VLOOKUP(C2617,' Disaggregation - Section E '!A$618:N741,3,0),"")</f>
        <v/>
      </c>
      <c r="L2617" s="497"/>
      <c r="M2617" s="497"/>
      <c r="N2617" s="503"/>
      <c r="O2617" s="503"/>
      <c r="P2617" s="503"/>
    </row>
    <row r="2618" spans="1:16" x14ac:dyDescent="0.35">
      <c r="A2618" s="497" t="b">
        <v>0</v>
      </c>
      <c r="B2618" s="497"/>
      <c r="C2618" s="497" t="s">
        <v>6566</v>
      </c>
      <c r="D2618" s="512">
        <v>6</v>
      </c>
      <c r="E2618" s="500"/>
      <c r="F2618" s="503"/>
      <c r="G2618" s="502"/>
      <c r="H2618" s="512"/>
      <c r="I2618" s="503"/>
      <c r="J2618" s="503"/>
      <c r="K2618" s="497" t="str">
        <f ca="1">IFERROR(VLOOKUP(C2618,' Disaggregation - Section E '!A$618:N742,3,0),"")</f>
        <v/>
      </c>
      <c r="L2618" s="497"/>
      <c r="M2618" s="497"/>
      <c r="N2618" s="503"/>
      <c r="O2618" s="503"/>
      <c r="P2618" s="503"/>
    </row>
    <row r="2619" spans="1:16" x14ac:dyDescent="0.35">
      <c r="A2619" s="497" t="b">
        <v>0</v>
      </c>
      <c r="B2619" s="497"/>
      <c r="C2619" s="497" t="s">
        <v>6568</v>
      </c>
      <c r="D2619" s="512">
        <v>6</v>
      </c>
      <c r="E2619" s="500"/>
      <c r="F2619" s="503"/>
      <c r="G2619" s="502"/>
      <c r="H2619" s="512"/>
      <c r="I2619" s="503"/>
      <c r="J2619" s="503"/>
      <c r="K2619" s="497" t="str">
        <f ca="1">IFERROR(VLOOKUP(C2619,' Disaggregation - Section E '!A$618:N743,3,0),"")</f>
        <v/>
      </c>
      <c r="L2619" s="497"/>
      <c r="M2619" s="497"/>
      <c r="N2619" s="503"/>
      <c r="O2619" s="503"/>
      <c r="P2619" s="503"/>
    </row>
    <row r="2620" spans="1:16" x14ac:dyDescent="0.35">
      <c r="A2620" s="497" t="b">
        <v>1</v>
      </c>
      <c r="B2620" s="497"/>
      <c r="C2620" s="497" t="s">
        <v>5423</v>
      </c>
      <c r="D2620" s="512">
        <v>7</v>
      </c>
      <c r="E2620" s="500"/>
      <c r="F2620" s="503" t="s">
        <v>1516</v>
      </c>
      <c r="G2620" s="502"/>
      <c r="H2620" s="512"/>
      <c r="I2620" s="503"/>
      <c r="J2620" s="503"/>
      <c r="K2620" s="497" t="str">
        <f ca="1">IFERROR(VLOOKUP(C2620,' Disaggregation - Section E '!A$618:N744,3,0),"")</f>
        <v/>
      </c>
      <c r="L2620" s="497"/>
      <c r="M2620" s="497" t="s">
        <v>1997</v>
      </c>
      <c r="N2620" s="503" t="s">
        <v>4037</v>
      </c>
      <c r="O2620" s="503"/>
      <c r="P2620" s="503" t="s">
        <v>9912</v>
      </c>
    </row>
    <row r="2621" spans="1:16" x14ac:dyDescent="0.35">
      <c r="A2621" s="497" t="b">
        <v>1</v>
      </c>
      <c r="B2621" s="497"/>
      <c r="C2621" s="497" t="s">
        <v>5425</v>
      </c>
      <c r="D2621" s="512">
        <v>7</v>
      </c>
      <c r="E2621" s="500"/>
      <c r="F2621" s="503" t="s">
        <v>1522</v>
      </c>
      <c r="G2621" s="502"/>
      <c r="H2621" s="512"/>
      <c r="I2621" s="503"/>
      <c r="J2621" s="503"/>
      <c r="K2621" s="497" t="str">
        <f ca="1">IFERROR(VLOOKUP(C2621,' Disaggregation - Section E '!A$618:N745,3,0),"")</f>
        <v/>
      </c>
      <c r="L2621" s="497"/>
      <c r="M2621" s="497" t="s">
        <v>2002</v>
      </c>
      <c r="N2621" s="503" t="s">
        <v>4037</v>
      </c>
      <c r="O2621" s="503"/>
      <c r="P2621" s="503" t="s">
        <v>9912</v>
      </c>
    </row>
    <row r="2622" spans="1:16" x14ac:dyDescent="0.35">
      <c r="A2622" s="497" t="b">
        <v>0</v>
      </c>
      <c r="B2622" s="497"/>
      <c r="C2622" s="497" t="s">
        <v>5427</v>
      </c>
      <c r="D2622" s="512">
        <v>7</v>
      </c>
      <c r="E2622" s="500"/>
      <c r="F2622" s="503"/>
      <c r="G2622" s="502"/>
      <c r="H2622" s="512"/>
      <c r="I2622" s="503"/>
      <c r="J2622" s="503"/>
      <c r="K2622" s="497" t="str">
        <f ca="1">IFERROR(VLOOKUP(C2622,' Disaggregation - Section E '!A$618:N746,3,0),"")</f>
        <v/>
      </c>
      <c r="L2622" s="497"/>
      <c r="M2622" s="497"/>
      <c r="N2622" s="503"/>
      <c r="O2622" s="503"/>
      <c r="P2622" s="503"/>
    </row>
    <row r="2623" spans="1:16" x14ac:dyDescent="0.35">
      <c r="A2623" s="497" t="b">
        <v>0</v>
      </c>
      <c r="B2623" s="497"/>
      <c r="C2623" s="497" t="s">
        <v>5429</v>
      </c>
      <c r="D2623" s="512">
        <v>7</v>
      </c>
      <c r="E2623" s="500"/>
      <c r="F2623" s="503"/>
      <c r="G2623" s="502"/>
      <c r="H2623" s="512"/>
      <c r="I2623" s="503"/>
      <c r="J2623" s="503"/>
      <c r="K2623" s="497" t="str">
        <f ca="1">IFERROR(VLOOKUP(C2623,' Disaggregation - Section E '!A$618:N747,3,0),"")</f>
        <v/>
      </c>
      <c r="L2623" s="497"/>
      <c r="M2623" s="497"/>
      <c r="N2623" s="503"/>
      <c r="O2623" s="503"/>
      <c r="P2623" s="503"/>
    </row>
    <row r="2624" spans="1:16" x14ac:dyDescent="0.35">
      <c r="A2624" s="497" t="b">
        <v>0</v>
      </c>
      <c r="B2624" s="497"/>
      <c r="C2624" s="497" t="s">
        <v>5431</v>
      </c>
      <c r="D2624" s="512">
        <v>7</v>
      </c>
      <c r="E2624" s="500"/>
      <c r="F2624" s="503"/>
      <c r="G2624" s="502"/>
      <c r="H2624" s="512"/>
      <c r="I2624" s="503"/>
      <c r="J2624" s="503"/>
      <c r="K2624" s="497" t="str">
        <f ca="1">IFERROR(VLOOKUP(C2624,' Disaggregation - Section E '!A$618:N748,3,0),"")</f>
        <v/>
      </c>
      <c r="L2624" s="497"/>
      <c r="M2624" s="497"/>
      <c r="N2624" s="503"/>
      <c r="O2624" s="503"/>
      <c r="P2624" s="503"/>
    </row>
    <row r="2625" spans="1:16" x14ac:dyDescent="0.35">
      <c r="A2625" s="497" t="b">
        <v>0</v>
      </c>
      <c r="B2625" s="497"/>
      <c r="C2625" s="497" t="s">
        <v>5433</v>
      </c>
      <c r="D2625" s="512">
        <v>7</v>
      </c>
      <c r="E2625" s="500"/>
      <c r="F2625" s="503"/>
      <c r="G2625" s="502"/>
      <c r="H2625" s="512"/>
      <c r="I2625" s="503"/>
      <c r="J2625" s="503"/>
      <c r="K2625" s="497" t="str">
        <f ca="1">IFERROR(VLOOKUP(C2625,' Disaggregation - Section E '!A$618:N749,3,0),"")</f>
        <v/>
      </c>
      <c r="L2625" s="497"/>
      <c r="M2625" s="497"/>
      <c r="N2625" s="503"/>
      <c r="O2625" s="503"/>
      <c r="P2625" s="503"/>
    </row>
    <row r="2626" spans="1:16" x14ac:dyDescent="0.35">
      <c r="A2626" s="497" t="b">
        <v>0</v>
      </c>
      <c r="B2626" s="497"/>
      <c r="C2626" s="497" t="s">
        <v>5435</v>
      </c>
      <c r="D2626" s="512">
        <v>7</v>
      </c>
      <c r="E2626" s="500"/>
      <c r="F2626" s="503"/>
      <c r="G2626" s="502"/>
      <c r="H2626" s="512"/>
      <c r="I2626" s="503"/>
      <c r="J2626" s="503"/>
      <c r="K2626" s="497" t="str">
        <f ca="1">IFERROR(VLOOKUP(C2626,' Disaggregation - Section E '!A$618:N750,3,0),"")</f>
        <v/>
      </c>
      <c r="L2626" s="497"/>
      <c r="M2626" s="497"/>
      <c r="N2626" s="503"/>
      <c r="O2626" s="503"/>
      <c r="P2626" s="503"/>
    </row>
    <row r="2627" spans="1:16" x14ac:dyDescent="0.35">
      <c r="A2627" s="497" t="b">
        <v>0</v>
      </c>
      <c r="B2627" s="497"/>
      <c r="C2627" s="497" t="s">
        <v>5437</v>
      </c>
      <c r="D2627" s="512">
        <v>7</v>
      </c>
      <c r="E2627" s="500"/>
      <c r="F2627" s="503"/>
      <c r="G2627" s="502"/>
      <c r="H2627" s="512"/>
      <c r="I2627" s="503"/>
      <c r="J2627" s="503"/>
      <c r="K2627" s="497" t="str">
        <f ca="1">IFERROR(VLOOKUP(C2627,' Disaggregation - Section E '!A$618:N751,3,0),"")</f>
        <v/>
      </c>
      <c r="L2627" s="497"/>
      <c r="M2627" s="497"/>
      <c r="N2627" s="503"/>
      <c r="O2627" s="503"/>
      <c r="P2627" s="503"/>
    </row>
    <row r="2628" spans="1:16" x14ac:dyDescent="0.35">
      <c r="A2628" s="497" t="b">
        <v>0</v>
      </c>
      <c r="B2628" s="497"/>
      <c r="C2628" s="497" t="s">
        <v>5439</v>
      </c>
      <c r="D2628" s="512">
        <v>7</v>
      </c>
      <c r="E2628" s="500"/>
      <c r="F2628" s="503"/>
      <c r="G2628" s="502"/>
      <c r="H2628" s="512"/>
      <c r="I2628" s="503"/>
      <c r="J2628" s="503"/>
      <c r="K2628" s="497" t="str">
        <f ca="1">IFERROR(VLOOKUP(C2628,' Disaggregation - Section E '!A$618:N752,3,0),"")</f>
        <v/>
      </c>
      <c r="L2628" s="497"/>
      <c r="M2628" s="497"/>
      <c r="N2628" s="503"/>
      <c r="O2628" s="503"/>
      <c r="P2628" s="503"/>
    </row>
    <row r="2629" spans="1:16" x14ac:dyDescent="0.35">
      <c r="A2629" s="497" t="b">
        <v>0</v>
      </c>
      <c r="B2629" s="497"/>
      <c r="C2629" s="497" t="s">
        <v>5441</v>
      </c>
      <c r="D2629" s="512">
        <v>7</v>
      </c>
      <c r="E2629" s="500"/>
      <c r="F2629" s="503"/>
      <c r="G2629" s="502"/>
      <c r="H2629" s="512"/>
      <c r="I2629" s="503"/>
      <c r="J2629" s="503"/>
      <c r="K2629" s="497" t="str">
        <f ca="1">IFERROR(VLOOKUP(C2629,' Disaggregation - Section E '!A$618:N753,3,0),"")</f>
        <v/>
      </c>
      <c r="L2629" s="497"/>
      <c r="M2629" s="497"/>
      <c r="N2629" s="503"/>
      <c r="O2629" s="503"/>
      <c r="P2629" s="503"/>
    </row>
    <row r="2630" spans="1:16" x14ac:dyDescent="0.35">
      <c r="A2630" s="497" t="b">
        <v>0</v>
      </c>
      <c r="B2630" s="497"/>
      <c r="C2630" s="497" t="s">
        <v>5443</v>
      </c>
      <c r="D2630" s="512">
        <v>7</v>
      </c>
      <c r="E2630" s="500"/>
      <c r="F2630" s="503"/>
      <c r="G2630" s="502"/>
      <c r="H2630" s="512"/>
      <c r="I2630" s="503"/>
      <c r="J2630" s="503"/>
      <c r="K2630" s="497" t="str">
        <f ca="1">IFERROR(VLOOKUP(C2630,' Disaggregation - Section E '!A$618:N754,3,0),"")</f>
        <v/>
      </c>
      <c r="L2630" s="497"/>
      <c r="M2630" s="497"/>
      <c r="N2630" s="503"/>
      <c r="O2630" s="503"/>
      <c r="P2630" s="503"/>
    </row>
    <row r="2631" spans="1:16" x14ac:dyDescent="0.35">
      <c r="A2631" s="497" t="b">
        <v>0</v>
      </c>
      <c r="B2631" s="497"/>
      <c r="C2631" s="497" t="s">
        <v>5445</v>
      </c>
      <c r="D2631" s="512">
        <v>7</v>
      </c>
      <c r="E2631" s="500"/>
      <c r="F2631" s="503"/>
      <c r="G2631" s="502"/>
      <c r="H2631" s="512"/>
      <c r="I2631" s="503"/>
      <c r="J2631" s="503"/>
      <c r="K2631" s="497" t="str">
        <f ca="1">IFERROR(VLOOKUP(C2631,' Disaggregation - Section E '!A$618:N755,3,0),"")</f>
        <v/>
      </c>
      <c r="L2631" s="497"/>
      <c r="M2631" s="497"/>
      <c r="N2631" s="503"/>
      <c r="O2631" s="503"/>
      <c r="P2631" s="503"/>
    </row>
    <row r="2632" spans="1:16" x14ac:dyDescent="0.35">
      <c r="A2632" s="497" t="b">
        <v>0</v>
      </c>
      <c r="B2632" s="497"/>
      <c r="C2632" s="497" t="s">
        <v>5447</v>
      </c>
      <c r="D2632" s="512">
        <v>7</v>
      </c>
      <c r="E2632" s="500"/>
      <c r="F2632" s="503"/>
      <c r="G2632" s="502"/>
      <c r="H2632" s="512"/>
      <c r="I2632" s="503"/>
      <c r="J2632" s="503"/>
      <c r="K2632" s="497" t="str">
        <f ca="1">IFERROR(VLOOKUP(C2632,' Disaggregation - Section E '!A$618:N756,3,0),"")</f>
        <v/>
      </c>
      <c r="L2632" s="497"/>
      <c r="M2632" s="497"/>
      <c r="N2632" s="503"/>
      <c r="O2632" s="503"/>
      <c r="P2632" s="503"/>
    </row>
    <row r="2633" spans="1:16" x14ac:dyDescent="0.35">
      <c r="A2633" s="497" t="b">
        <v>0</v>
      </c>
      <c r="B2633" s="497"/>
      <c r="C2633" s="497" t="s">
        <v>5449</v>
      </c>
      <c r="D2633" s="512">
        <v>7</v>
      </c>
      <c r="E2633" s="500"/>
      <c r="F2633" s="503"/>
      <c r="G2633" s="502"/>
      <c r="H2633" s="512"/>
      <c r="I2633" s="503"/>
      <c r="J2633" s="503"/>
      <c r="K2633" s="497" t="str">
        <f ca="1">IFERROR(VLOOKUP(C2633,' Disaggregation - Section E '!A$618:N757,3,0),"")</f>
        <v/>
      </c>
      <c r="L2633" s="497"/>
      <c r="M2633" s="497"/>
      <c r="N2633" s="503"/>
      <c r="O2633" s="503"/>
      <c r="P2633" s="503"/>
    </row>
    <row r="2634" spans="1:16" x14ac:dyDescent="0.35">
      <c r="A2634" s="497" t="b">
        <v>0</v>
      </c>
      <c r="B2634" s="497"/>
      <c r="C2634" s="497" t="s">
        <v>5451</v>
      </c>
      <c r="D2634" s="512">
        <v>7</v>
      </c>
      <c r="E2634" s="500"/>
      <c r="F2634" s="503"/>
      <c r="G2634" s="502"/>
      <c r="H2634" s="512"/>
      <c r="I2634" s="503"/>
      <c r="J2634" s="503"/>
      <c r="K2634" s="497" t="str">
        <f ca="1">IFERROR(VLOOKUP(C2634,' Disaggregation - Section E '!A$618:N758,3,0),"")</f>
        <v/>
      </c>
      <c r="L2634" s="497"/>
      <c r="M2634" s="497"/>
      <c r="N2634" s="503"/>
      <c r="O2634" s="503"/>
      <c r="P2634" s="503"/>
    </row>
    <row r="2635" spans="1:16" x14ac:dyDescent="0.35">
      <c r="A2635" s="497" t="b">
        <v>0</v>
      </c>
      <c r="B2635" s="497"/>
      <c r="C2635" s="497" t="s">
        <v>5453</v>
      </c>
      <c r="D2635" s="512">
        <v>7</v>
      </c>
      <c r="E2635" s="500"/>
      <c r="F2635" s="503"/>
      <c r="G2635" s="502"/>
      <c r="H2635" s="512"/>
      <c r="I2635" s="503"/>
      <c r="J2635" s="503"/>
      <c r="K2635" s="497" t="str">
        <f ca="1">IFERROR(VLOOKUP(C2635,' Disaggregation - Section E '!A$618:N759,3,0),"")</f>
        <v/>
      </c>
      <c r="L2635" s="497"/>
      <c r="M2635" s="497"/>
      <c r="N2635" s="503"/>
      <c r="O2635" s="503"/>
      <c r="P2635" s="503"/>
    </row>
    <row r="2636" spans="1:16" x14ac:dyDescent="0.35">
      <c r="A2636" s="497" t="b">
        <v>0</v>
      </c>
      <c r="B2636" s="497"/>
      <c r="C2636" s="497" t="s">
        <v>5455</v>
      </c>
      <c r="D2636" s="512">
        <v>7</v>
      </c>
      <c r="E2636" s="500"/>
      <c r="F2636" s="503"/>
      <c r="G2636" s="502"/>
      <c r="H2636" s="512"/>
      <c r="I2636" s="503"/>
      <c r="J2636" s="503"/>
      <c r="K2636" s="497" t="str">
        <f ca="1">IFERROR(VLOOKUP(C2636,' Disaggregation - Section E '!A$618:N760,3,0),"")</f>
        <v/>
      </c>
      <c r="L2636" s="497"/>
      <c r="M2636" s="497"/>
      <c r="N2636" s="503"/>
      <c r="O2636" s="503"/>
      <c r="P2636" s="503"/>
    </row>
    <row r="2637" spans="1:16" x14ac:dyDescent="0.35">
      <c r="A2637" s="497" t="b">
        <v>0</v>
      </c>
      <c r="B2637" s="497"/>
      <c r="C2637" s="497" t="s">
        <v>5457</v>
      </c>
      <c r="D2637" s="512">
        <v>7</v>
      </c>
      <c r="E2637" s="500"/>
      <c r="F2637" s="503"/>
      <c r="G2637" s="502"/>
      <c r="H2637" s="512"/>
      <c r="I2637" s="503"/>
      <c r="J2637" s="503"/>
      <c r="K2637" s="497" t="str">
        <f ca="1">IFERROR(VLOOKUP(C2637,' Disaggregation - Section E '!A$618:N761,3,0),"")</f>
        <v/>
      </c>
      <c r="L2637" s="497"/>
      <c r="M2637" s="497"/>
      <c r="N2637" s="503"/>
      <c r="O2637" s="503"/>
      <c r="P2637" s="503"/>
    </row>
    <row r="2638" spans="1:16" x14ac:dyDescent="0.35">
      <c r="A2638" s="497" t="b">
        <v>0</v>
      </c>
      <c r="B2638" s="497"/>
      <c r="C2638" s="497" t="s">
        <v>5459</v>
      </c>
      <c r="D2638" s="512">
        <v>7</v>
      </c>
      <c r="E2638" s="500"/>
      <c r="F2638" s="503"/>
      <c r="G2638" s="502"/>
      <c r="H2638" s="512"/>
      <c r="I2638" s="503"/>
      <c r="J2638" s="503"/>
      <c r="K2638" s="497" t="str">
        <f ca="1">IFERROR(VLOOKUP(C2638,' Disaggregation - Section E '!A$618:N762,3,0),"")</f>
        <v/>
      </c>
      <c r="L2638" s="497"/>
      <c r="M2638" s="497"/>
      <c r="N2638" s="503"/>
      <c r="O2638" s="503"/>
      <c r="P2638" s="503"/>
    </row>
    <row r="2639" spans="1:16" x14ac:dyDescent="0.35">
      <c r="A2639" s="497" t="b">
        <v>0</v>
      </c>
      <c r="B2639" s="497"/>
      <c r="C2639" s="497" t="s">
        <v>5461</v>
      </c>
      <c r="D2639" s="512">
        <v>7</v>
      </c>
      <c r="E2639" s="500"/>
      <c r="F2639" s="503"/>
      <c r="G2639" s="502"/>
      <c r="H2639" s="512"/>
      <c r="I2639" s="503"/>
      <c r="J2639" s="503"/>
      <c r="K2639" s="497" t="str">
        <f ca="1">IFERROR(VLOOKUP(C2639,' Disaggregation - Section E '!A$618:N763,3,0),"")</f>
        <v/>
      </c>
      <c r="L2639" s="497"/>
      <c r="M2639" s="497"/>
      <c r="N2639" s="503"/>
      <c r="O2639" s="503"/>
      <c r="P2639" s="503"/>
    </row>
    <row r="2640" spans="1:16" x14ac:dyDescent="0.35">
      <c r="A2640" s="497" t="b">
        <v>0</v>
      </c>
      <c r="B2640" s="497"/>
      <c r="C2640" s="497" t="s">
        <v>6571</v>
      </c>
      <c r="D2640" s="512">
        <v>8</v>
      </c>
      <c r="E2640" s="500"/>
      <c r="F2640" s="503"/>
      <c r="G2640" s="502"/>
      <c r="H2640" s="512"/>
      <c r="I2640" s="503"/>
      <c r="J2640" s="503"/>
      <c r="K2640" s="497" t="str">
        <f ca="1">IFERROR(VLOOKUP(C2640,' Disaggregation - Section E '!A$618:N764,3,0),"")</f>
        <v/>
      </c>
      <c r="L2640" s="497"/>
      <c r="M2640" s="497"/>
      <c r="N2640" s="503"/>
      <c r="O2640" s="503"/>
      <c r="P2640" s="503"/>
    </row>
    <row r="2641" spans="1:16" x14ac:dyDescent="0.35">
      <c r="A2641" s="497" t="b">
        <v>0</v>
      </c>
      <c r="B2641" s="497"/>
      <c r="C2641" s="497" t="s">
        <v>6573</v>
      </c>
      <c r="D2641" s="512">
        <v>8</v>
      </c>
      <c r="E2641" s="500"/>
      <c r="F2641" s="503"/>
      <c r="G2641" s="502"/>
      <c r="H2641" s="512"/>
      <c r="I2641" s="503"/>
      <c r="J2641" s="503"/>
      <c r="K2641" s="497" t="str">
        <f ca="1">IFERROR(VLOOKUP(C2641,' Disaggregation - Section E '!A$618:N765,3,0),"")</f>
        <v/>
      </c>
      <c r="L2641" s="497"/>
      <c r="M2641" s="497"/>
      <c r="N2641" s="503"/>
      <c r="O2641" s="503"/>
      <c r="P2641" s="503"/>
    </row>
    <row r="2642" spans="1:16" x14ac:dyDescent="0.35">
      <c r="A2642" s="497" t="b">
        <v>0</v>
      </c>
      <c r="B2642" s="497"/>
      <c r="C2642" s="497" t="s">
        <v>6575</v>
      </c>
      <c r="D2642" s="512">
        <v>8</v>
      </c>
      <c r="E2642" s="500"/>
      <c r="F2642" s="503"/>
      <c r="G2642" s="502"/>
      <c r="H2642" s="512"/>
      <c r="I2642" s="503"/>
      <c r="J2642" s="503"/>
      <c r="K2642" s="497" t="str">
        <f ca="1">IFERROR(VLOOKUP(C2642,' Disaggregation - Section E '!A$618:N766,3,0),"")</f>
        <v/>
      </c>
      <c r="L2642" s="497"/>
      <c r="M2642" s="497"/>
      <c r="N2642" s="503"/>
      <c r="O2642" s="503"/>
      <c r="P2642" s="503"/>
    </row>
    <row r="2643" spans="1:16" x14ac:dyDescent="0.35">
      <c r="A2643" s="497" t="b">
        <v>0</v>
      </c>
      <c r="B2643" s="497"/>
      <c r="C2643" s="497" t="s">
        <v>6577</v>
      </c>
      <c r="D2643" s="512">
        <v>8</v>
      </c>
      <c r="E2643" s="500"/>
      <c r="F2643" s="503"/>
      <c r="G2643" s="502"/>
      <c r="H2643" s="512"/>
      <c r="I2643" s="503"/>
      <c r="J2643" s="503"/>
      <c r="K2643" s="497" t="str">
        <f ca="1">IFERROR(VLOOKUP(C2643,' Disaggregation - Section E '!A$618:N767,3,0),"")</f>
        <v/>
      </c>
      <c r="L2643" s="497"/>
      <c r="M2643" s="497"/>
      <c r="N2643" s="503"/>
      <c r="O2643" s="503"/>
      <c r="P2643" s="503"/>
    </row>
    <row r="2644" spans="1:16" x14ac:dyDescent="0.35">
      <c r="A2644" s="497" t="b">
        <v>0</v>
      </c>
      <c r="B2644" s="497"/>
      <c r="C2644" s="497" t="s">
        <v>6579</v>
      </c>
      <c r="D2644" s="512">
        <v>8</v>
      </c>
      <c r="E2644" s="500"/>
      <c r="F2644" s="503"/>
      <c r="G2644" s="502"/>
      <c r="H2644" s="512"/>
      <c r="I2644" s="503"/>
      <c r="J2644" s="503"/>
      <c r="K2644" s="497" t="str">
        <f ca="1">IFERROR(VLOOKUP(C2644,' Disaggregation - Section E '!A$618:N768,3,0),"")</f>
        <v/>
      </c>
      <c r="L2644" s="497"/>
      <c r="M2644" s="497"/>
      <c r="N2644" s="503"/>
      <c r="O2644" s="503"/>
      <c r="P2644" s="503"/>
    </row>
    <row r="2645" spans="1:16" x14ac:dyDescent="0.35">
      <c r="A2645" s="497" t="b">
        <v>0</v>
      </c>
      <c r="B2645" s="497"/>
      <c r="C2645" s="497" t="s">
        <v>6581</v>
      </c>
      <c r="D2645" s="512">
        <v>8</v>
      </c>
      <c r="E2645" s="500"/>
      <c r="F2645" s="503"/>
      <c r="G2645" s="502"/>
      <c r="H2645" s="512"/>
      <c r="I2645" s="503"/>
      <c r="J2645" s="503"/>
      <c r="K2645" s="497" t="str">
        <f ca="1">IFERROR(VLOOKUP(C2645,' Disaggregation - Section E '!A$618:N769,3,0),"")</f>
        <v/>
      </c>
      <c r="L2645" s="497"/>
      <c r="M2645" s="497"/>
      <c r="N2645" s="503"/>
      <c r="O2645" s="503"/>
      <c r="P2645" s="503"/>
    </row>
    <row r="2646" spans="1:16" x14ac:dyDescent="0.35">
      <c r="A2646" s="497" t="b">
        <v>0</v>
      </c>
      <c r="B2646" s="497"/>
      <c r="C2646" s="497" t="s">
        <v>6583</v>
      </c>
      <c r="D2646" s="512">
        <v>8</v>
      </c>
      <c r="E2646" s="500"/>
      <c r="F2646" s="503"/>
      <c r="G2646" s="502"/>
      <c r="H2646" s="512"/>
      <c r="I2646" s="503"/>
      <c r="J2646" s="503"/>
      <c r="K2646" s="497" t="str">
        <f ca="1">IFERROR(VLOOKUP(C2646,' Disaggregation - Section E '!A$618:N770,3,0),"")</f>
        <v/>
      </c>
      <c r="L2646" s="497"/>
      <c r="M2646" s="497"/>
      <c r="N2646" s="503"/>
      <c r="O2646" s="503"/>
      <c r="P2646" s="503"/>
    </row>
    <row r="2647" spans="1:16" x14ac:dyDescent="0.35">
      <c r="A2647" s="497" t="b">
        <v>0</v>
      </c>
      <c r="B2647" s="497"/>
      <c r="C2647" s="497" t="s">
        <v>6585</v>
      </c>
      <c r="D2647" s="512">
        <v>8</v>
      </c>
      <c r="E2647" s="500"/>
      <c r="F2647" s="503"/>
      <c r="G2647" s="502"/>
      <c r="H2647" s="512"/>
      <c r="I2647" s="503"/>
      <c r="J2647" s="503"/>
      <c r="K2647" s="497" t="str">
        <f ca="1">IFERROR(VLOOKUP(C2647,' Disaggregation - Section E '!A$618:N771,3,0),"")</f>
        <v/>
      </c>
      <c r="L2647" s="497"/>
      <c r="M2647" s="497"/>
      <c r="N2647" s="503"/>
      <c r="O2647" s="503"/>
      <c r="P2647" s="503"/>
    </row>
    <row r="2648" spans="1:16" x14ac:dyDescent="0.35">
      <c r="A2648" s="497" t="b">
        <v>0</v>
      </c>
      <c r="B2648" s="497"/>
      <c r="C2648" s="497" t="s">
        <v>6587</v>
      </c>
      <c r="D2648" s="512">
        <v>8</v>
      </c>
      <c r="E2648" s="500"/>
      <c r="F2648" s="503"/>
      <c r="G2648" s="502"/>
      <c r="H2648" s="512"/>
      <c r="I2648" s="503"/>
      <c r="J2648" s="503"/>
      <c r="K2648" s="497" t="str">
        <f ca="1">IFERROR(VLOOKUP(C2648,' Disaggregation - Section E '!A$618:N772,3,0),"")</f>
        <v/>
      </c>
      <c r="L2648" s="497"/>
      <c r="M2648" s="497"/>
      <c r="N2648" s="503"/>
      <c r="O2648" s="503"/>
      <c r="P2648" s="503"/>
    </row>
    <row r="2649" spans="1:16" x14ac:dyDescent="0.35">
      <c r="A2649" s="497" t="b">
        <v>0</v>
      </c>
      <c r="B2649" s="497"/>
      <c r="C2649" s="497" t="s">
        <v>6589</v>
      </c>
      <c r="D2649" s="512">
        <v>8</v>
      </c>
      <c r="E2649" s="500"/>
      <c r="F2649" s="503"/>
      <c r="G2649" s="502"/>
      <c r="H2649" s="512"/>
      <c r="I2649" s="503"/>
      <c r="J2649" s="503"/>
      <c r="K2649" s="497" t="str">
        <f ca="1">IFERROR(VLOOKUP(C2649,' Disaggregation - Section E '!A$618:N773,3,0),"")</f>
        <v/>
      </c>
      <c r="L2649" s="497"/>
      <c r="M2649" s="497"/>
      <c r="N2649" s="503"/>
      <c r="O2649" s="503"/>
      <c r="P2649" s="503"/>
    </row>
    <row r="2650" spans="1:16" x14ac:dyDescent="0.35">
      <c r="A2650" s="497" t="b">
        <v>0</v>
      </c>
      <c r="B2650" s="497"/>
      <c r="C2650" s="497" t="s">
        <v>6591</v>
      </c>
      <c r="D2650" s="512">
        <v>8</v>
      </c>
      <c r="E2650" s="500"/>
      <c r="F2650" s="503"/>
      <c r="G2650" s="502"/>
      <c r="H2650" s="512"/>
      <c r="I2650" s="503"/>
      <c r="J2650" s="503"/>
      <c r="K2650" s="497" t="str">
        <f ca="1">IFERROR(VLOOKUP(C2650,' Disaggregation - Section E '!A$618:N774,3,0),"")</f>
        <v/>
      </c>
      <c r="L2650" s="497"/>
      <c r="M2650" s="497"/>
      <c r="N2650" s="503"/>
      <c r="O2650" s="503"/>
      <c r="P2650" s="503"/>
    </row>
    <row r="2651" spans="1:16" x14ac:dyDescent="0.35">
      <c r="A2651" s="497" t="b">
        <v>0</v>
      </c>
      <c r="B2651" s="497"/>
      <c r="C2651" s="497" t="s">
        <v>6593</v>
      </c>
      <c r="D2651" s="512">
        <v>8</v>
      </c>
      <c r="E2651" s="500"/>
      <c r="F2651" s="503"/>
      <c r="G2651" s="502"/>
      <c r="H2651" s="512"/>
      <c r="I2651" s="503"/>
      <c r="J2651" s="503"/>
      <c r="K2651" s="497" t="str">
        <f ca="1">IFERROR(VLOOKUP(C2651,' Disaggregation - Section E '!A$618:N775,3,0),"")</f>
        <v/>
      </c>
      <c r="L2651" s="497"/>
      <c r="M2651" s="497"/>
      <c r="N2651" s="503"/>
      <c r="O2651" s="503"/>
      <c r="P2651" s="503"/>
    </row>
    <row r="2652" spans="1:16" x14ac:dyDescent="0.35">
      <c r="A2652" s="497" t="b">
        <v>0</v>
      </c>
      <c r="B2652" s="497"/>
      <c r="C2652" s="497" t="s">
        <v>6595</v>
      </c>
      <c r="D2652" s="512">
        <v>8</v>
      </c>
      <c r="E2652" s="500"/>
      <c r="F2652" s="503"/>
      <c r="G2652" s="502"/>
      <c r="H2652" s="512"/>
      <c r="I2652" s="503"/>
      <c r="J2652" s="503"/>
      <c r="K2652" s="497" t="str">
        <f ca="1">IFERROR(VLOOKUP(C2652,' Disaggregation - Section E '!A$618:N776,3,0),"")</f>
        <v/>
      </c>
      <c r="L2652" s="497"/>
      <c r="M2652" s="497"/>
      <c r="N2652" s="503"/>
      <c r="O2652" s="503"/>
      <c r="P2652" s="503"/>
    </row>
    <row r="2653" spans="1:16" x14ac:dyDescent="0.35">
      <c r="A2653" s="497" t="b">
        <v>0</v>
      </c>
      <c r="B2653" s="497"/>
      <c r="C2653" s="497" t="s">
        <v>6597</v>
      </c>
      <c r="D2653" s="512">
        <v>8</v>
      </c>
      <c r="E2653" s="500"/>
      <c r="F2653" s="503"/>
      <c r="G2653" s="502"/>
      <c r="H2653" s="512"/>
      <c r="I2653" s="503"/>
      <c r="J2653" s="503"/>
      <c r="K2653" s="497" t="str">
        <f ca="1">IFERROR(VLOOKUP(C2653,' Disaggregation - Section E '!A$618:N777,3,0),"")</f>
        <v/>
      </c>
      <c r="L2653" s="497"/>
      <c r="M2653" s="497"/>
      <c r="N2653" s="503"/>
      <c r="O2653" s="503"/>
      <c r="P2653" s="503"/>
    </row>
    <row r="2654" spans="1:16" x14ac:dyDescent="0.35">
      <c r="A2654" s="497" t="b">
        <v>0</v>
      </c>
      <c r="B2654" s="497"/>
      <c r="C2654" s="497" t="s">
        <v>6599</v>
      </c>
      <c r="D2654" s="512">
        <v>8</v>
      </c>
      <c r="E2654" s="500"/>
      <c r="F2654" s="503"/>
      <c r="G2654" s="502"/>
      <c r="H2654" s="512"/>
      <c r="I2654" s="503"/>
      <c r="J2654" s="503"/>
      <c r="K2654" s="497" t="str">
        <f ca="1">IFERROR(VLOOKUP(C2654,' Disaggregation - Section E '!A$618:N778,3,0),"")</f>
        <v/>
      </c>
      <c r="L2654" s="497"/>
      <c r="M2654" s="497"/>
      <c r="N2654" s="503"/>
      <c r="O2654" s="503"/>
      <c r="P2654" s="503"/>
    </row>
    <row r="2655" spans="1:16" x14ac:dyDescent="0.35">
      <c r="A2655" s="497" t="b">
        <v>0</v>
      </c>
      <c r="B2655" s="497"/>
      <c r="C2655" s="497" t="s">
        <v>6601</v>
      </c>
      <c r="D2655" s="512">
        <v>8</v>
      </c>
      <c r="E2655" s="500"/>
      <c r="F2655" s="503"/>
      <c r="G2655" s="502"/>
      <c r="H2655" s="512"/>
      <c r="I2655" s="503"/>
      <c r="J2655" s="503"/>
      <c r="K2655" s="497" t="str">
        <f ca="1">IFERROR(VLOOKUP(C2655,' Disaggregation - Section E '!A$618:N779,3,0),"")</f>
        <v/>
      </c>
      <c r="L2655" s="497"/>
      <c r="M2655" s="497"/>
      <c r="N2655" s="503"/>
      <c r="O2655" s="503"/>
      <c r="P2655" s="503"/>
    </row>
    <row r="2656" spans="1:16" x14ac:dyDescent="0.35">
      <c r="A2656" s="497" t="b">
        <v>0</v>
      </c>
      <c r="B2656" s="497"/>
      <c r="C2656" s="497" t="s">
        <v>6603</v>
      </c>
      <c r="D2656" s="512">
        <v>8</v>
      </c>
      <c r="E2656" s="500"/>
      <c r="F2656" s="503"/>
      <c r="G2656" s="502"/>
      <c r="H2656" s="512"/>
      <c r="I2656" s="503"/>
      <c r="J2656" s="503"/>
      <c r="K2656" s="497" t="str">
        <f ca="1">IFERROR(VLOOKUP(C2656,' Disaggregation - Section E '!A$618:N780,3,0),"")</f>
        <v/>
      </c>
      <c r="L2656" s="497"/>
      <c r="M2656" s="497"/>
      <c r="N2656" s="503"/>
      <c r="O2656" s="503"/>
      <c r="P2656" s="503"/>
    </row>
    <row r="2657" spans="1:16" x14ac:dyDescent="0.35">
      <c r="A2657" s="497" t="b">
        <v>0</v>
      </c>
      <c r="B2657" s="497"/>
      <c r="C2657" s="497" t="s">
        <v>6605</v>
      </c>
      <c r="D2657" s="512">
        <v>8</v>
      </c>
      <c r="E2657" s="500"/>
      <c r="F2657" s="503"/>
      <c r="G2657" s="502"/>
      <c r="H2657" s="512"/>
      <c r="I2657" s="503"/>
      <c r="J2657" s="503"/>
      <c r="K2657" s="497" t="str">
        <f ca="1">IFERROR(VLOOKUP(C2657,' Disaggregation - Section E '!A$618:N781,3,0),"")</f>
        <v/>
      </c>
      <c r="L2657" s="497"/>
      <c r="M2657" s="497"/>
      <c r="N2657" s="503"/>
      <c r="O2657" s="503"/>
      <c r="P2657" s="503"/>
    </row>
    <row r="2658" spans="1:16" x14ac:dyDescent="0.35">
      <c r="A2658" s="497" t="b">
        <v>0</v>
      </c>
      <c r="B2658" s="497"/>
      <c r="C2658" s="497" t="s">
        <v>6607</v>
      </c>
      <c r="D2658" s="512">
        <v>8</v>
      </c>
      <c r="E2658" s="500"/>
      <c r="F2658" s="503"/>
      <c r="G2658" s="502"/>
      <c r="H2658" s="512"/>
      <c r="I2658" s="503"/>
      <c r="J2658" s="503"/>
      <c r="K2658" s="497" t="str">
        <f ca="1">IFERROR(VLOOKUP(C2658,' Disaggregation - Section E '!A$618:N782,3,0),"")</f>
        <v/>
      </c>
      <c r="L2658" s="497"/>
      <c r="M2658" s="497"/>
      <c r="N2658" s="503"/>
      <c r="O2658" s="503"/>
      <c r="P2658" s="503"/>
    </row>
    <row r="2659" spans="1:16" x14ac:dyDescent="0.35">
      <c r="A2659" s="497" t="b">
        <v>0</v>
      </c>
      <c r="B2659" s="497"/>
      <c r="C2659" s="497" t="s">
        <v>6609</v>
      </c>
      <c r="D2659" s="512">
        <v>8</v>
      </c>
      <c r="E2659" s="500"/>
      <c r="F2659" s="503"/>
      <c r="G2659" s="502"/>
      <c r="H2659" s="512"/>
      <c r="I2659" s="503"/>
      <c r="J2659" s="503"/>
      <c r="K2659" s="497" t="str">
        <f ca="1">IFERROR(VLOOKUP(C2659,' Disaggregation - Section E '!A$618:N783,3,0),"")</f>
        <v/>
      </c>
      <c r="L2659" s="497"/>
      <c r="M2659" s="497"/>
      <c r="N2659" s="503"/>
      <c r="O2659" s="503"/>
      <c r="P2659" s="503"/>
    </row>
    <row r="2660" spans="1:16" x14ac:dyDescent="0.35">
      <c r="A2660" s="497" t="b">
        <v>1</v>
      </c>
      <c r="B2660" s="497"/>
      <c r="C2660" s="497" t="s">
        <v>5464</v>
      </c>
      <c r="D2660" s="512">
        <v>9</v>
      </c>
      <c r="E2660" s="500"/>
      <c r="F2660" s="503" t="s">
        <v>1516</v>
      </c>
      <c r="G2660" s="502"/>
      <c r="H2660" s="512"/>
      <c r="I2660" s="503"/>
      <c r="J2660" s="503"/>
      <c r="K2660" s="497" t="str">
        <f ca="1">IFERROR(VLOOKUP(C2660,' Disaggregation - Section E '!A$618:N784,3,0),"")</f>
        <v/>
      </c>
      <c r="L2660" s="497"/>
      <c r="M2660" s="497" t="s">
        <v>2005</v>
      </c>
      <c r="N2660" s="503" t="s">
        <v>4037</v>
      </c>
      <c r="O2660" s="503"/>
      <c r="P2660" s="503" t="s">
        <v>9912</v>
      </c>
    </row>
    <row r="2661" spans="1:16" x14ac:dyDescent="0.35">
      <c r="A2661" s="497" t="b">
        <v>1</v>
      </c>
      <c r="B2661" s="497"/>
      <c r="C2661" s="497" t="s">
        <v>5466</v>
      </c>
      <c r="D2661" s="512">
        <v>9</v>
      </c>
      <c r="E2661" s="500"/>
      <c r="F2661" s="503" t="s">
        <v>1522</v>
      </c>
      <c r="G2661" s="502"/>
      <c r="H2661" s="512"/>
      <c r="I2661" s="503"/>
      <c r="J2661" s="503"/>
      <c r="K2661" s="497" t="str">
        <f ca="1">IFERROR(VLOOKUP(C2661,' Disaggregation - Section E '!A$618:N785,3,0),"")</f>
        <v/>
      </c>
      <c r="L2661" s="497"/>
      <c r="M2661" s="497" t="s">
        <v>2010</v>
      </c>
      <c r="N2661" s="503" t="s">
        <v>4037</v>
      </c>
      <c r="O2661" s="503"/>
      <c r="P2661" s="503" t="s">
        <v>9912</v>
      </c>
    </row>
    <row r="2662" spans="1:16" x14ac:dyDescent="0.35">
      <c r="A2662" s="497" t="b">
        <v>0</v>
      </c>
      <c r="B2662" s="497"/>
      <c r="C2662" s="497" t="s">
        <v>5468</v>
      </c>
      <c r="D2662" s="512">
        <v>9</v>
      </c>
      <c r="E2662" s="500"/>
      <c r="F2662" s="503"/>
      <c r="G2662" s="502"/>
      <c r="H2662" s="512"/>
      <c r="I2662" s="503"/>
      <c r="J2662" s="503"/>
      <c r="K2662" s="497" t="str">
        <f ca="1">IFERROR(VLOOKUP(C2662,' Disaggregation - Section E '!A$618:N786,3,0),"")</f>
        <v/>
      </c>
      <c r="L2662" s="497"/>
      <c r="M2662" s="497"/>
      <c r="N2662" s="503"/>
      <c r="O2662" s="503"/>
      <c r="P2662" s="503"/>
    </row>
    <row r="2663" spans="1:16" x14ac:dyDescent="0.35">
      <c r="A2663" s="497" t="b">
        <v>0</v>
      </c>
      <c r="B2663" s="497"/>
      <c r="C2663" s="497" t="s">
        <v>5470</v>
      </c>
      <c r="D2663" s="512">
        <v>9</v>
      </c>
      <c r="E2663" s="500"/>
      <c r="F2663" s="503"/>
      <c r="G2663" s="502"/>
      <c r="H2663" s="512"/>
      <c r="I2663" s="503"/>
      <c r="J2663" s="503"/>
      <c r="K2663" s="497" t="str">
        <f ca="1">IFERROR(VLOOKUP(C2663,' Disaggregation - Section E '!A$618:N787,3,0),"")</f>
        <v/>
      </c>
      <c r="L2663" s="497"/>
      <c r="M2663" s="497"/>
      <c r="N2663" s="503"/>
      <c r="O2663" s="503"/>
      <c r="P2663" s="503"/>
    </row>
    <row r="2664" spans="1:16" x14ac:dyDescent="0.35">
      <c r="A2664" s="497" t="b">
        <v>0</v>
      </c>
      <c r="B2664" s="497"/>
      <c r="C2664" s="497" t="s">
        <v>5472</v>
      </c>
      <c r="D2664" s="512">
        <v>9</v>
      </c>
      <c r="E2664" s="500"/>
      <c r="F2664" s="503"/>
      <c r="G2664" s="502"/>
      <c r="H2664" s="512"/>
      <c r="I2664" s="503"/>
      <c r="J2664" s="503"/>
      <c r="K2664" s="497" t="str">
        <f ca="1">IFERROR(VLOOKUP(C2664,' Disaggregation - Section E '!A$618:N788,3,0),"")</f>
        <v/>
      </c>
      <c r="L2664" s="497"/>
      <c r="M2664" s="497"/>
      <c r="N2664" s="503"/>
      <c r="O2664" s="503"/>
      <c r="P2664" s="503"/>
    </row>
    <row r="2665" spans="1:16" x14ac:dyDescent="0.35">
      <c r="A2665" s="497" t="b">
        <v>0</v>
      </c>
      <c r="B2665" s="497"/>
      <c r="C2665" s="497" t="s">
        <v>5474</v>
      </c>
      <c r="D2665" s="512">
        <v>9</v>
      </c>
      <c r="E2665" s="500"/>
      <c r="F2665" s="503"/>
      <c r="G2665" s="502"/>
      <c r="H2665" s="512"/>
      <c r="I2665" s="503"/>
      <c r="J2665" s="503"/>
      <c r="K2665" s="497" t="str">
        <f ca="1">IFERROR(VLOOKUP(C2665,' Disaggregation - Section E '!A$618:N789,3,0),"")</f>
        <v/>
      </c>
      <c r="L2665" s="497"/>
      <c r="M2665" s="497"/>
      <c r="N2665" s="503"/>
      <c r="O2665" s="503"/>
      <c r="P2665" s="503"/>
    </row>
    <row r="2666" spans="1:16" x14ac:dyDescent="0.35">
      <c r="A2666" s="497" t="b">
        <v>0</v>
      </c>
      <c r="B2666" s="497"/>
      <c r="C2666" s="497" t="s">
        <v>5476</v>
      </c>
      <c r="D2666" s="512">
        <v>9</v>
      </c>
      <c r="E2666" s="500"/>
      <c r="F2666" s="503"/>
      <c r="G2666" s="502"/>
      <c r="H2666" s="512"/>
      <c r="I2666" s="503"/>
      <c r="J2666" s="503"/>
      <c r="K2666" s="497" t="str">
        <f ca="1">IFERROR(VLOOKUP(C2666,' Disaggregation - Section E '!A$618:N790,3,0),"")</f>
        <v/>
      </c>
      <c r="L2666" s="497"/>
      <c r="M2666" s="497"/>
      <c r="N2666" s="503"/>
      <c r="O2666" s="503"/>
      <c r="P2666" s="503"/>
    </row>
    <row r="2667" spans="1:16" x14ac:dyDescent="0.35">
      <c r="A2667" s="497" t="b">
        <v>0</v>
      </c>
      <c r="B2667" s="497"/>
      <c r="C2667" s="497" t="s">
        <v>5478</v>
      </c>
      <c r="D2667" s="512">
        <v>9</v>
      </c>
      <c r="E2667" s="500"/>
      <c r="F2667" s="503"/>
      <c r="G2667" s="502"/>
      <c r="H2667" s="512"/>
      <c r="I2667" s="503"/>
      <c r="J2667" s="503"/>
      <c r="K2667" s="497" t="str">
        <f ca="1">IFERROR(VLOOKUP(C2667,' Disaggregation - Section E '!A$618:N791,3,0),"")</f>
        <v/>
      </c>
      <c r="L2667" s="497"/>
      <c r="M2667" s="497"/>
      <c r="N2667" s="503"/>
      <c r="O2667" s="503"/>
      <c r="P2667" s="503"/>
    </row>
    <row r="2668" spans="1:16" x14ac:dyDescent="0.35">
      <c r="A2668" s="497" t="b">
        <v>0</v>
      </c>
      <c r="B2668" s="497"/>
      <c r="C2668" s="497" t="s">
        <v>5480</v>
      </c>
      <c r="D2668" s="512">
        <v>9</v>
      </c>
      <c r="E2668" s="500"/>
      <c r="F2668" s="503"/>
      <c r="G2668" s="502"/>
      <c r="H2668" s="512"/>
      <c r="I2668" s="503"/>
      <c r="J2668" s="503"/>
      <c r="K2668" s="497" t="str">
        <f ca="1">IFERROR(VLOOKUP(C2668,' Disaggregation - Section E '!A$618:N792,3,0),"")</f>
        <v/>
      </c>
      <c r="L2668" s="497"/>
      <c r="M2668" s="497"/>
      <c r="N2668" s="503"/>
      <c r="O2668" s="503"/>
      <c r="P2668" s="503"/>
    </row>
    <row r="2669" spans="1:16" x14ac:dyDescent="0.35">
      <c r="A2669" s="497" t="b">
        <v>0</v>
      </c>
      <c r="B2669" s="497"/>
      <c r="C2669" s="497" t="s">
        <v>5482</v>
      </c>
      <c r="D2669" s="512">
        <v>9</v>
      </c>
      <c r="E2669" s="500"/>
      <c r="F2669" s="503"/>
      <c r="G2669" s="502"/>
      <c r="H2669" s="512"/>
      <c r="I2669" s="503"/>
      <c r="J2669" s="503"/>
      <c r="K2669" s="497" t="str">
        <f ca="1">IFERROR(VLOOKUP(C2669,' Disaggregation - Section E '!A$618:N793,3,0),"")</f>
        <v/>
      </c>
      <c r="L2669" s="497"/>
      <c r="M2669" s="497"/>
      <c r="N2669" s="503"/>
      <c r="O2669" s="503"/>
      <c r="P2669" s="503"/>
    </row>
    <row r="2670" spans="1:16" x14ac:dyDescent="0.35">
      <c r="A2670" s="497" t="b">
        <v>0</v>
      </c>
      <c r="B2670" s="497"/>
      <c r="C2670" s="497" t="s">
        <v>5484</v>
      </c>
      <c r="D2670" s="512">
        <v>9</v>
      </c>
      <c r="E2670" s="500"/>
      <c r="F2670" s="503"/>
      <c r="G2670" s="502"/>
      <c r="H2670" s="512"/>
      <c r="I2670" s="503"/>
      <c r="J2670" s="503"/>
      <c r="K2670" s="497" t="str">
        <f ca="1">IFERROR(VLOOKUP(C2670,' Disaggregation - Section E '!A$618:N794,3,0),"")</f>
        <v/>
      </c>
      <c r="L2670" s="497"/>
      <c r="M2670" s="497"/>
      <c r="N2670" s="503"/>
      <c r="O2670" s="503"/>
      <c r="P2670" s="503"/>
    </row>
    <row r="2671" spans="1:16" x14ac:dyDescent="0.35">
      <c r="A2671" s="497" t="b">
        <v>0</v>
      </c>
      <c r="B2671" s="497"/>
      <c r="C2671" s="497" t="s">
        <v>5486</v>
      </c>
      <c r="D2671" s="512">
        <v>9</v>
      </c>
      <c r="E2671" s="500"/>
      <c r="F2671" s="503"/>
      <c r="G2671" s="502"/>
      <c r="H2671" s="512"/>
      <c r="I2671" s="503"/>
      <c r="J2671" s="503"/>
      <c r="K2671" s="497" t="str">
        <f ca="1">IFERROR(VLOOKUP(C2671,' Disaggregation - Section E '!A$618:N795,3,0),"")</f>
        <v/>
      </c>
      <c r="L2671" s="497"/>
      <c r="M2671" s="497"/>
      <c r="N2671" s="503"/>
      <c r="O2671" s="503"/>
      <c r="P2671" s="503"/>
    </row>
    <row r="2672" spans="1:16" x14ac:dyDescent="0.35">
      <c r="A2672" s="497" t="b">
        <v>0</v>
      </c>
      <c r="B2672" s="497"/>
      <c r="C2672" s="497" t="s">
        <v>5488</v>
      </c>
      <c r="D2672" s="512">
        <v>9</v>
      </c>
      <c r="E2672" s="500"/>
      <c r="F2672" s="503"/>
      <c r="G2672" s="502"/>
      <c r="H2672" s="512"/>
      <c r="I2672" s="503"/>
      <c r="J2672" s="503"/>
      <c r="K2672" s="497" t="str">
        <f ca="1">IFERROR(VLOOKUP(C2672,' Disaggregation - Section E '!A$618:N796,3,0),"")</f>
        <v/>
      </c>
      <c r="L2672" s="497"/>
      <c r="M2672" s="497"/>
      <c r="N2672" s="503"/>
      <c r="O2672" s="503"/>
      <c r="P2672" s="503"/>
    </row>
    <row r="2673" spans="1:16" x14ac:dyDescent="0.35">
      <c r="A2673" s="497" t="b">
        <v>0</v>
      </c>
      <c r="B2673" s="497"/>
      <c r="C2673" s="497" t="s">
        <v>5490</v>
      </c>
      <c r="D2673" s="512">
        <v>9</v>
      </c>
      <c r="E2673" s="500"/>
      <c r="F2673" s="503"/>
      <c r="G2673" s="502"/>
      <c r="H2673" s="512"/>
      <c r="I2673" s="503"/>
      <c r="J2673" s="503"/>
      <c r="K2673" s="497" t="str">
        <f ca="1">IFERROR(VLOOKUP(C2673,' Disaggregation - Section E '!A$618:N797,3,0),"")</f>
        <v/>
      </c>
      <c r="L2673" s="497"/>
      <c r="M2673" s="497"/>
      <c r="N2673" s="503"/>
      <c r="O2673" s="503"/>
      <c r="P2673" s="503"/>
    </row>
    <row r="2674" spans="1:16" x14ac:dyDescent="0.35">
      <c r="A2674" s="497" t="b">
        <v>0</v>
      </c>
      <c r="B2674" s="497"/>
      <c r="C2674" s="497" t="s">
        <v>5492</v>
      </c>
      <c r="D2674" s="512">
        <v>9</v>
      </c>
      <c r="E2674" s="500"/>
      <c r="F2674" s="503"/>
      <c r="G2674" s="502"/>
      <c r="H2674" s="512"/>
      <c r="I2674" s="503"/>
      <c r="J2674" s="503"/>
      <c r="K2674" s="497" t="str">
        <f ca="1">IFERROR(VLOOKUP(C2674,' Disaggregation - Section E '!A$618:N798,3,0),"")</f>
        <v/>
      </c>
      <c r="L2674" s="497"/>
      <c r="M2674" s="497"/>
      <c r="N2674" s="503"/>
      <c r="O2674" s="503"/>
      <c r="P2674" s="503"/>
    </row>
    <row r="2675" spans="1:16" x14ac:dyDescent="0.35">
      <c r="A2675" s="497" t="b">
        <v>0</v>
      </c>
      <c r="B2675" s="497"/>
      <c r="C2675" s="497" t="s">
        <v>5494</v>
      </c>
      <c r="D2675" s="512">
        <v>9</v>
      </c>
      <c r="E2675" s="500"/>
      <c r="F2675" s="503"/>
      <c r="G2675" s="502"/>
      <c r="H2675" s="512"/>
      <c r="I2675" s="503"/>
      <c r="J2675" s="503"/>
      <c r="K2675" s="497" t="str">
        <f ca="1">IFERROR(VLOOKUP(C2675,' Disaggregation - Section E '!A$618:N799,3,0),"")</f>
        <v/>
      </c>
      <c r="L2675" s="497"/>
      <c r="M2675" s="497"/>
      <c r="N2675" s="503"/>
      <c r="O2675" s="503"/>
      <c r="P2675" s="503"/>
    </row>
    <row r="2676" spans="1:16" x14ac:dyDescent="0.35">
      <c r="A2676" s="497" t="b">
        <v>0</v>
      </c>
      <c r="B2676" s="497"/>
      <c r="C2676" s="497" t="s">
        <v>5496</v>
      </c>
      <c r="D2676" s="512">
        <v>9</v>
      </c>
      <c r="E2676" s="500"/>
      <c r="F2676" s="503"/>
      <c r="G2676" s="502"/>
      <c r="H2676" s="512"/>
      <c r="I2676" s="503"/>
      <c r="J2676" s="503"/>
      <c r="K2676" s="497" t="str">
        <f ca="1">IFERROR(VLOOKUP(C2676,' Disaggregation - Section E '!A$618:N800,3,0),"")</f>
        <v/>
      </c>
      <c r="L2676" s="497"/>
      <c r="M2676" s="497"/>
      <c r="N2676" s="503"/>
      <c r="O2676" s="503"/>
      <c r="P2676" s="503"/>
    </row>
    <row r="2677" spans="1:16" x14ac:dyDescent="0.35">
      <c r="A2677" s="497" t="b">
        <v>0</v>
      </c>
      <c r="B2677" s="497"/>
      <c r="C2677" s="497" t="s">
        <v>5498</v>
      </c>
      <c r="D2677" s="512">
        <v>9</v>
      </c>
      <c r="E2677" s="500"/>
      <c r="F2677" s="503"/>
      <c r="G2677" s="502"/>
      <c r="H2677" s="512"/>
      <c r="I2677" s="503"/>
      <c r="J2677" s="503"/>
      <c r="K2677" s="497" t="str">
        <f ca="1">IFERROR(VLOOKUP(C2677,' Disaggregation - Section E '!A$618:N801,3,0),"")</f>
        <v/>
      </c>
      <c r="L2677" s="497"/>
      <c r="M2677" s="497"/>
      <c r="N2677" s="503"/>
      <c r="O2677" s="503"/>
      <c r="P2677" s="503"/>
    </row>
    <row r="2678" spans="1:16" x14ac:dyDescent="0.35">
      <c r="A2678" s="497" t="b">
        <v>0</v>
      </c>
      <c r="B2678" s="497"/>
      <c r="C2678" s="497" t="s">
        <v>5500</v>
      </c>
      <c r="D2678" s="512">
        <v>9</v>
      </c>
      <c r="E2678" s="500"/>
      <c r="F2678" s="503"/>
      <c r="G2678" s="502"/>
      <c r="H2678" s="512"/>
      <c r="I2678" s="503"/>
      <c r="J2678" s="503"/>
      <c r="K2678" s="497" t="str">
        <f ca="1">IFERROR(VLOOKUP(C2678,' Disaggregation - Section E '!A$618:N802,3,0),"")</f>
        <v/>
      </c>
      <c r="L2678" s="497"/>
      <c r="M2678" s="497"/>
      <c r="N2678" s="503"/>
      <c r="O2678" s="503"/>
      <c r="P2678" s="503"/>
    </row>
    <row r="2679" spans="1:16" x14ac:dyDescent="0.35">
      <c r="A2679" s="497" t="b">
        <v>0</v>
      </c>
      <c r="B2679" s="497"/>
      <c r="C2679" s="497" t="s">
        <v>5502</v>
      </c>
      <c r="D2679" s="512">
        <v>9</v>
      </c>
      <c r="E2679" s="500"/>
      <c r="F2679" s="503"/>
      <c r="G2679" s="502"/>
      <c r="H2679" s="512"/>
      <c r="I2679" s="503"/>
      <c r="J2679" s="503"/>
      <c r="K2679" s="497" t="str">
        <f ca="1">IFERROR(VLOOKUP(C2679,' Disaggregation - Section E '!A$618:N803,3,0),"")</f>
        <v/>
      </c>
      <c r="L2679" s="497"/>
      <c r="M2679" s="497"/>
      <c r="N2679" s="503"/>
      <c r="O2679" s="503"/>
      <c r="P2679" s="503"/>
    </row>
    <row r="2680" spans="1:16" x14ac:dyDescent="0.35">
      <c r="A2680" s="497" t="b">
        <v>1</v>
      </c>
      <c r="B2680" s="497"/>
      <c r="C2680" s="497" t="s">
        <v>6613</v>
      </c>
      <c r="D2680" s="512">
        <v>10</v>
      </c>
      <c r="E2680" s="500"/>
      <c r="F2680" s="503" t="s">
        <v>2365</v>
      </c>
      <c r="G2680" s="502"/>
      <c r="H2680" s="512"/>
      <c r="I2680" s="503"/>
      <c r="J2680" s="503"/>
      <c r="K2680" s="497" t="str">
        <f ca="1">IFERROR(VLOOKUP(C2680,' Disaggregation - Section E '!A$618:N804,3,0),"")</f>
        <v/>
      </c>
      <c r="L2680" s="497"/>
      <c r="M2680" s="497" t="s">
        <v>2363</v>
      </c>
      <c r="N2680" s="503" t="s">
        <v>6612</v>
      </c>
      <c r="O2680" s="503"/>
      <c r="P2680" s="503" t="s">
        <v>10234</v>
      </c>
    </row>
    <row r="2681" spans="1:16" x14ac:dyDescent="0.35">
      <c r="A2681" s="497" t="b">
        <v>1</v>
      </c>
      <c r="B2681" s="497"/>
      <c r="C2681" s="497" t="s">
        <v>6615</v>
      </c>
      <c r="D2681" s="512">
        <v>10</v>
      </c>
      <c r="E2681" s="500"/>
      <c r="F2681" s="503" t="s">
        <v>2373</v>
      </c>
      <c r="G2681" s="502"/>
      <c r="H2681" s="512"/>
      <c r="I2681" s="503"/>
      <c r="J2681" s="503"/>
      <c r="K2681" s="497" t="str">
        <f ca="1">IFERROR(VLOOKUP(C2681,' Disaggregation - Section E '!A$618:N805,3,0),"")</f>
        <v/>
      </c>
      <c r="L2681" s="497"/>
      <c r="M2681" s="497" t="s">
        <v>2372</v>
      </c>
      <c r="N2681" s="503" t="s">
        <v>6612</v>
      </c>
      <c r="O2681" s="503"/>
      <c r="P2681" s="503" t="s">
        <v>10234</v>
      </c>
    </row>
    <row r="2682" spans="1:16" x14ac:dyDescent="0.35">
      <c r="A2682" s="497" t="b">
        <v>1</v>
      </c>
      <c r="B2682" s="497"/>
      <c r="C2682" s="497" t="s">
        <v>6617</v>
      </c>
      <c r="D2682" s="512">
        <v>10</v>
      </c>
      <c r="E2682" s="500"/>
      <c r="F2682" s="503" t="s">
        <v>2071</v>
      </c>
      <c r="G2682" s="502"/>
      <c r="H2682" s="512"/>
      <c r="I2682" s="503"/>
      <c r="J2682" s="503"/>
      <c r="K2682" s="497" t="str">
        <f ca="1">IFERROR(VLOOKUP(C2682,' Disaggregation - Section E '!A$618:N806,3,0),"")</f>
        <v/>
      </c>
      <c r="L2682" s="497"/>
      <c r="M2682" s="497" t="s">
        <v>2377</v>
      </c>
      <c r="N2682" s="503" t="s">
        <v>6612</v>
      </c>
      <c r="O2682" s="503"/>
      <c r="P2682" s="503" t="s">
        <v>10234</v>
      </c>
    </row>
    <row r="2683" spans="1:16" x14ac:dyDescent="0.35">
      <c r="A2683" s="497" t="b">
        <v>1</v>
      </c>
      <c r="B2683" s="497"/>
      <c r="C2683" s="497" t="s">
        <v>6619</v>
      </c>
      <c r="D2683" s="512">
        <v>10</v>
      </c>
      <c r="E2683" s="500"/>
      <c r="F2683" s="503" t="s">
        <v>2079</v>
      </c>
      <c r="G2683" s="502"/>
      <c r="H2683" s="512"/>
      <c r="I2683" s="503"/>
      <c r="J2683" s="503"/>
      <c r="K2683" s="497" t="str">
        <f ca="1">IFERROR(VLOOKUP(C2683,' Disaggregation - Section E '!A$618:N807,3,0),"")</f>
        <v/>
      </c>
      <c r="L2683" s="497"/>
      <c r="M2683" s="497" t="s">
        <v>2379</v>
      </c>
      <c r="N2683" s="503" t="s">
        <v>6612</v>
      </c>
      <c r="O2683" s="503"/>
      <c r="P2683" s="503" t="s">
        <v>10234</v>
      </c>
    </row>
    <row r="2684" spans="1:16" x14ac:dyDescent="0.35">
      <c r="A2684" s="497" t="b">
        <v>1</v>
      </c>
      <c r="B2684" s="497"/>
      <c r="C2684" s="497" t="s">
        <v>6621</v>
      </c>
      <c r="D2684" s="512">
        <v>10</v>
      </c>
      <c r="E2684" s="500"/>
      <c r="F2684" s="503" t="s">
        <v>1453</v>
      </c>
      <c r="G2684" s="502"/>
      <c r="H2684" s="512"/>
      <c r="I2684" s="503"/>
      <c r="J2684" s="503"/>
      <c r="K2684" s="497" t="str">
        <f ca="1">IFERROR(VLOOKUP(C2684,' Disaggregation - Section E '!A$618:N808,3,0),"")</f>
        <v/>
      </c>
      <c r="L2684" s="497"/>
      <c r="M2684" s="497" t="s">
        <v>2381</v>
      </c>
      <c r="N2684" s="503" t="s">
        <v>6612</v>
      </c>
      <c r="O2684" s="503"/>
      <c r="P2684" s="503" t="s">
        <v>10234</v>
      </c>
    </row>
    <row r="2685" spans="1:16" x14ac:dyDescent="0.35">
      <c r="A2685" s="497" t="b">
        <v>1</v>
      </c>
      <c r="B2685" s="497"/>
      <c r="C2685" s="497" t="s">
        <v>6623</v>
      </c>
      <c r="D2685" s="512">
        <v>10</v>
      </c>
      <c r="E2685" s="500"/>
      <c r="F2685" s="503" t="s">
        <v>1458</v>
      </c>
      <c r="G2685" s="502"/>
      <c r="H2685" s="512"/>
      <c r="I2685" s="503"/>
      <c r="J2685" s="503"/>
      <c r="K2685" s="497" t="str">
        <f ca="1">IFERROR(VLOOKUP(C2685,' Disaggregation - Section E '!A$618:N809,3,0),"")</f>
        <v/>
      </c>
      <c r="L2685" s="497"/>
      <c r="M2685" s="497" t="s">
        <v>2383</v>
      </c>
      <c r="N2685" s="503" t="s">
        <v>6612</v>
      </c>
      <c r="O2685" s="503"/>
      <c r="P2685" s="503" t="s">
        <v>10234</v>
      </c>
    </row>
    <row r="2686" spans="1:16" x14ac:dyDescent="0.35">
      <c r="A2686" s="497" t="b">
        <v>1</v>
      </c>
      <c r="B2686" s="497"/>
      <c r="C2686" s="497" t="s">
        <v>6625</v>
      </c>
      <c r="D2686" s="512">
        <v>10</v>
      </c>
      <c r="E2686" s="500"/>
      <c r="F2686" s="503" t="s">
        <v>1465</v>
      </c>
      <c r="G2686" s="502"/>
      <c r="H2686" s="512"/>
      <c r="I2686" s="503"/>
      <c r="J2686" s="503"/>
      <c r="K2686" s="497" t="str">
        <f ca="1">IFERROR(VLOOKUP(C2686,' Disaggregation - Section E '!A$618:N810,3,0),"")</f>
        <v/>
      </c>
      <c r="L2686" s="497"/>
      <c r="M2686" s="497" t="s">
        <v>2385</v>
      </c>
      <c r="N2686" s="503" t="s">
        <v>6612</v>
      </c>
      <c r="O2686" s="503"/>
      <c r="P2686" s="503" t="s">
        <v>10234</v>
      </c>
    </row>
    <row r="2687" spans="1:16" x14ac:dyDescent="0.35">
      <c r="A2687" s="497" t="b">
        <v>1</v>
      </c>
      <c r="B2687" s="497"/>
      <c r="C2687" s="497" t="s">
        <v>6627</v>
      </c>
      <c r="D2687" s="512">
        <v>10</v>
      </c>
      <c r="E2687" s="500"/>
      <c r="F2687" s="503" t="s">
        <v>1468</v>
      </c>
      <c r="G2687" s="502"/>
      <c r="H2687" s="512"/>
      <c r="I2687" s="503"/>
      <c r="J2687" s="503"/>
      <c r="K2687" s="497" t="str">
        <f ca="1">IFERROR(VLOOKUP(C2687,' Disaggregation - Section E '!A$618:N811,3,0),"")</f>
        <v/>
      </c>
      <c r="L2687" s="497"/>
      <c r="M2687" s="497" t="s">
        <v>2387</v>
      </c>
      <c r="N2687" s="503" t="s">
        <v>6612</v>
      </c>
      <c r="O2687" s="503"/>
      <c r="P2687" s="503" t="s">
        <v>10234</v>
      </c>
    </row>
    <row r="2688" spans="1:16" x14ac:dyDescent="0.35">
      <c r="A2688" s="497" t="b">
        <v>0</v>
      </c>
      <c r="B2688" s="497"/>
      <c r="C2688" s="497" t="s">
        <v>6629</v>
      </c>
      <c r="D2688" s="512">
        <v>10</v>
      </c>
      <c r="E2688" s="500"/>
      <c r="F2688" s="503"/>
      <c r="G2688" s="502"/>
      <c r="H2688" s="512"/>
      <c r="I2688" s="503"/>
      <c r="J2688" s="503"/>
      <c r="K2688" s="497" t="str">
        <f ca="1">IFERROR(VLOOKUP(C2688,' Disaggregation - Section E '!A$618:N812,3,0),"")</f>
        <v/>
      </c>
      <c r="L2688" s="497"/>
      <c r="M2688" s="497"/>
      <c r="N2688" s="503"/>
      <c r="O2688" s="503"/>
      <c r="P2688" s="503"/>
    </row>
    <row r="2689" spans="1:16" x14ac:dyDescent="0.35">
      <c r="A2689" s="497" t="b">
        <v>0</v>
      </c>
      <c r="B2689" s="497"/>
      <c r="C2689" s="497" t="s">
        <v>6631</v>
      </c>
      <c r="D2689" s="512">
        <v>10</v>
      </c>
      <c r="E2689" s="500"/>
      <c r="F2689" s="503"/>
      <c r="G2689" s="502"/>
      <c r="H2689" s="512"/>
      <c r="I2689" s="503"/>
      <c r="J2689" s="503"/>
      <c r="K2689" s="497" t="str">
        <f ca="1">IFERROR(VLOOKUP(C2689,' Disaggregation - Section E '!A$618:N813,3,0),"")</f>
        <v/>
      </c>
      <c r="L2689" s="497"/>
      <c r="M2689" s="497"/>
      <c r="N2689" s="503"/>
      <c r="O2689" s="503"/>
      <c r="P2689" s="503"/>
    </row>
    <row r="2690" spans="1:16" x14ac:dyDescent="0.35">
      <c r="A2690" s="497" t="b">
        <v>0</v>
      </c>
      <c r="B2690" s="497"/>
      <c r="C2690" s="497" t="s">
        <v>6633</v>
      </c>
      <c r="D2690" s="512">
        <v>10</v>
      </c>
      <c r="E2690" s="500"/>
      <c r="F2690" s="503"/>
      <c r="G2690" s="502"/>
      <c r="H2690" s="512"/>
      <c r="I2690" s="503"/>
      <c r="J2690" s="503"/>
      <c r="K2690" s="497" t="str">
        <f ca="1">IFERROR(VLOOKUP(C2690,' Disaggregation - Section E '!A$618:N814,3,0),"")</f>
        <v/>
      </c>
      <c r="L2690" s="497"/>
      <c r="M2690" s="497"/>
      <c r="N2690" s="503"/>
      <c r="O2690" s="503"/>
      <c r="P2690" s="503"/>
    </row>
    <row r="2691" spans="1:16" x14ac:dyDescent="0.35">
      <c r="A2691" s="497" t="b">
        <v>0</v>
      </c>
      <c r="B2691" s="497"/>
      <c r="C2691" s="497" t="s">
        <v>6635</v>
      </c>
      <c r="D2691" s="512">
        <v>10</v>
      </c>
      <c r="E2691" s="500"/>
      <c r="F2691" s="503"/>
      <c r="G2691" s="502"/>
      <c r="H2691" s="512"/>
      <c r="I2691" s="503"/>
      <c r="J2691" s="503"/>
      <c r="K2691" s="497" t="str">
        <f ca="1">IFERROR(VLOOKUP(C2691,' Disaggregation - Section E '!A$618:N815,3,0),"")</f>
        <v/>
      </c>
      <c r="L2691" s="497"/>
      <c r="M2691" s="497"/>
      <c r="N2691" s="503"/>
      <c r="O2691" s="503"/>
      <c r="P2691" s="503"/>
    </row>
    <row r="2692" spans="1:16" x14ac:dyDescent="0.35">
      <c r="A2692" s="497" t="b">
        <v>0</v>
      </c>
      <c r="B2692" s="497"/>
      <c r="C2692" s="497" t="s">
        <v>6637</v>
      </c>
      <c r="D2692" s="512">
        <v>10</v>
      </c>
      <c r="E2692" s="500"/>
      <c r="F2692" s="503"/>
      <c r="G2692" s="502"/>
      <c r="H2692" s="512"/>
      <c r="I2692" s="503"/>
      <c r="J2692" s="503"/>
      <c r="K2692" s="497" t="str">
        <f ca="1">IFERROR(VLOOKUP(C2692,' Disaggregation - Section E '!A$618:N816,3,0),"")</f>
        <v/>
      </c>
      <c r="L2692" s="497"/>
      <c r="M2692" s="497"/>
      <c r="N2692" s="503"/>
      <c r="O2692" s="503"/>
      <c r="P2692" s="503"/>
    </row>
    <row r="2693" spans="1:16" x14ac:dyDescent="0.35">
      <c r="A2693" s="497" t="b">
        <v>0</v>
      </c>
      <c r="B2693" s="497"/>
      <c r="C2693" s="497" t="s">
        <v>6639</v>
      </c>
      <c r="D2693" s="512">
        <v>10</v>
      </c>
      <c r="E2693" s="500"/>
      <c r="F2693" s="503"/>
      <c r="G2693" s="502"/>
      <c r="H2693" s="512"/>
      <c r="I2693" s="503"/>
      <c r="J2693" s="503"/>
      <c r="K2693" s="497" t="str">
        <f ca="1">IFERROR(VLOOKUP(C2693,' Disaggregation - Section E '!A$618:N817,3,0),"")</f>
        <v/>
      </c>
      <c r="L2693" s="497"/>
      <c r="M2693" s="497"/>
      <c r="N2693" s="503"/>
      <c r="O2693" s="503"/>
      <c r="P2693" s="503"/>
    </row>
    <row r="2694" spans="1:16" x14ac:dyDescent="0.35">
      <c r="A2694" s="497" t="b">
        <v>0</v>
      </c>
      <c r="B2694" s="497"/>
      <c r="C2694" s="497" t="s">
        <v>6641</v>
      </c>
      <c r="D2694" s="512">
        <v>10</v>
      </c>
      <c r="E2694" s="500"/>
      <c r="F2694" s="503"/>
      <c r="G2694" s="502"/>
      <c r="H2694" s="512"/>
      <c r="I2694" s="503"/>
      <c r="J2694" s="503"/>
      <c r="K2694" s="497" t="str">
        <f ca="1">IFERROR(VLOOKUP(C2694,' Disaggregation - Section E '!A$618:N818,3,0),"")</f>
        <v/>
      </c>
      <c r="L2694" s="497"/>
      <c r="M2694" s="497"/>
      <c r="N2694" s="503"/>
      <c r="O2694" s="503"/>
      <c r="P2694" s="503"/>
    </row>
    <row r="2695" spans="1:16" x14ac:dyDescent="0.35">
      <c r="A2695" s="497" t="b">
        <v>0</v>
      </c>
      <c r="B2695" s="497"/>
      <c r="C2695" s="497" t="s">
        <v>6643</v>
      </c>
      <c r="D2695" s="512">
        <v>10</v>
      </c>
      <c r="E2695" s="500"/>
      <c r="F2695" s="503"/>
      <c r="G2695" s="502"/>
      <c r="H2695" s="512"/>
      <c r="I2695" s="503"/>
      <c r="J2695" s="503"/>
      <c r="K2695" s="497" t="str">
        <f ca="1">IFERROR(VLOOKUP(C2695,' Disaggregation - Section E '!A$618:N819,3,0),"")</f>
        <v/>
      </c>
      <c r="L2695" s="497"/>
      <c r="M2695" s="497"/>
      <c r="N2695" s="503"/>
      <c r="O2695" s="503"/>
      <c r="P2695" s="503"/>
    </row>
    <row r="2696" spans="1:16" x14ac:dyDescent="0.35">
      <c r="A2696" s="497" t="b">
        <v>0</v>
      </c>
      <c r="B2696" s="497"/>
      <c r="C2696" s="497" t="s">
        <v>6645</v>
      </c>
      <c r="D2696" s="512">
        <v>10</v>
      </c>
      <c r="E2696" s="500"/>
      <c r="F2696" s="503"/>
      <c r="G2696" s="502"/>
      <c r="H2696" s="512"/>
      <c r="I2696" s="503"/>
      <c r="J2696" s="503"/>
      <c r="K2696" s="497" t="str">
        <f ca="1">IFERROR(VLOOKUP(C2696,' Disaggregation - Section E '!A$618:N820,3,0),"")</f>
        <v/>
      </c>
      <c r="L2696" s="497"/>
      <c r="M2696" s="497"/>
      <c r="N2696" s="503"/>
      <c r="O2696" s="503"/>
      <c r="P2696" s="503"/>
    </row>
    <row r="2697" spans="1:16" x14ac:dyDescent="0.35">
      <c r="A2697" s="497" t="b">
        <v>0</v>
      </c>
      <c r="B2697" s="497"/>
      <c r="C2697" s="497" t="s">
        <v>6647</v>
      </c>
      <c r="D2697" s="512">
        <v>10</v>
      </c>
      <c r="E2697" s="500"/>
      <c r="F2697" s="503"/>
      <c r="G2697" s="502"/>
      <c r="H2697" s="512"/>
      <c r="I2697" s="503"/>
      <c r="J2697" s="503"/>
      <c r="K2697" s="497" t="str">
        <f ca="1">IFERROR(VLOOKUP(C2697,' Disaggregation - Section E '!A$618:N821,3,0),"")</f>
        <v/>
      </c>
      <c r="L2697" s="497"/>
      <c r="M2697" s="497"/>
      <c r="N2697" s="503"/>
      <c r="O2697" s="503"/>
      <c r="P2697" s="503"/>
    </row>
    <row r="2698" spans="1:16" x14ac:dyDescent="0.35">
      <c r="A2698" s="497" t="b">
        <v>0</v>
      </c>
      <c r="B2698" s="497"/>
      <c r="C2698" s="497" t="s">
        <v>6649</v>
      </c>
      <c r="D2698" s="512">
        <v>10</v>
      </c>
      <c r="E2698" s="500"/>
      <c r="F2698" s="503"/>
      <c r="G2698" s="502"/>
      <c r="H2698" s="512"/>
      <c r="I2698" s="503"/>
      <c r="J2698" s="503"/>
      <c r="K2698" s="497" t="str">
        <f ca="1">IFERROR(VLOOKUP(C2698,' Disaggregation - Section E '!A$618:N822,3,0),"")</f>
        <v/>
      </c>
      <c r="L2698" s="497"/>
      <c r="M2698" s="497"/>
      <c r="N2698" s="503"/>
      <c r="O2698" s="503"/>
      <c r="P2698" s="503"/>
    </row>
    <row r="2699" spans="1:16" x14ac:dyDescent="0.35">
      <c r="A2699" s="497" t="b">
        <v>0</v>
      </c>
      <c r="B2699" s="497"/>
      <c r="C2699" s="497" t="s">
        <v>6651</v>
      </c>
      <c r="D2699" s="512">
        <v>10</v>
      </c>
      <c r="E2699" s="500"/>
      <c r="F2699" s="503"/>
      <c r="G2699" s="502"/>
      <c r="H2699" s="512"/>
      <c r="I2699" s="503"/>
      <c r="J2699" s="503"/>
      <c r="K2699" s="497" t="str">
        <f ca="1">IFERROR(VLOOKUP(C2699,' Disaggregation - Section E '!A$618:N823,3,0),"")</f>
        <v/>
      </c>
      <c r="L2699" s="497"/>
      <c r="M2699" s="497"/>
      <c r="N2699" s="503"/>
      <c r="O2699" s="503"/>
      <c r="P2699" s="503"/>
    </row>
    <row r="2700" spans="1:16" x14ac:dyDescent="0.35">
      <c r="A2700" s="497" t="b">
        <v>1</v>
      </c>
      <c r="B2700" s="497"/>
      <c r="C2700" s="497" t="s">
        <v>5505</v>
      </c>
      <c r="D2700" s="512">
        <v>11</v>
      </c>
      <c r="E2700" s="500"/>
      <c r="F2700" s="503" t="s">
        <v>1534</v>
      </c>
      <c r="G2700" s="502"/>
      <c r="H2700" s="512"/>
      <c r="I2700" s="503"/>
      <c r="J2700" s="503"/>
      <c r="K2700" s="497" t="str">
        <f ca="1">IFERROR(VLOOKUP(C2700,' Disaggregation - Section E '!A$618:N824,3,0),"")</f>
        <v/>
      </c>
      <c r="L2700" s="497"/>
      <c r="M2700" s="497" t="s">
        <v>2013</v>
      </c>
      <c r="N2700" s="503" t="s">
        <v>4037</v>
      </c>
      <c r="O2700" s="503"/>
      <c r="P2700" s="503" t="s">
        <v>9912</v>
      </c>
    </row>
    <row r="2701" spans="1:16" x14ac:dyDescent="0.35">
      <c r="A2701" s="497" t="b">
        <v>1</v>
      </c>
      <c r="B2701" s="497"/>
      <c r="C2701" s="497" t="s">
        <v>5507</v>
      </c>
      <c r="D2701" s="512">
        <v>11</v>
      </c>
      <c r="E2701" s="500"/>
      <c r="F2701" s="503" t="s">
        <v>1453</v>
      </c>
      <c r="G2701" s="502"/>
      <c r="H2701" s="512"/>
      <c r="I2701" s="503"/>
      <c r="J2701" s="503"/>
      <c r="K2701" s="497" t="str">
        <f ca="1">IFERROR(VLOOKUP(C2701,' Disaggregation - Section E '!A$618:N825,3,0),"")</f>
        <v/>
      </c>
      <c r="L2701" s="497"/>
      <c r="M2701" s="497" t="s">
        <v>2018</v>
      </c>
      <c r="N2701" s="503" t="s">
        <v>4037</v>
      </c>
      <c r="O2701" s="503"/>
      <c r="P2701" s="503" t="s">
        <v>9912</v>
      </c>
    </row>
    <row r="2702" spans="1:16" x14ac:dyDescent="0.35">
      <c r="A2702" s="497" t="b">
        <v>1</v>
      </c>
      <c r="B2702" s="497"/>
      <c r="C2702" s="497" t="s">
        <v>5509</v>
      </c>
      <c r="D2702" s="512">
        <v>11</v>
      </c>
      <c r="E2702" s="500"/>
      <c r="F2702" s="503" t="s">
        <v>1458</v>
      </c>
      <c r="G2702" s="502"/>
      <c r="H2702" s="512"/>
      <c r="I2702" s="503"/>
      <c r="J2702" s="503"/>
      <c r="K2702" s="497" t="str">
        <f ca="1">IFERROR(VLOOKUP(C2702,' Disaggregation - Section E '!A$618:N826,3,0),"")</f>
        <v/>
      </c>
      <c r="L2702" s="497"/>
      <c r="M2702" s="497" t="s">
        <v>2020</v>
      </c>
      <c r="N2702" s="503" t="s">
        <v>4037</v>
      </c>
      <c r="O2702" s="503"/>
      <c r="P2702" s="503" t="s">
        <v>9912</v>
      </c>
    </row>
    <row r="2703" spans="1:16" x14ac:dyDescent="0.35">
      <c r="A2703" s="497" t="b">
        <v>1</v>
      </c>
      <c r="B2703" s="497"/>
      <c r="C2703" s="497" t="s">
        <v>5511</v>
      </c>
      <c r="D2703" s="512">
        <v>11</v>
      </c>
      <c r="E2703" s="500"/>
      <c r="F2703" s="503" t="s">
        <v>1516</v>
      </c>
      <c r="G2703" s="502"/>
      <c r="H2703" s="512"/>
      <c r="I2703" s="503"/>
      <c r="J2703" s="503"/>
      <c r="K2703" s="497" t="str">
        <f ca="1">IFERROR(VLOOKUP(C2703,' Disaggregation - Section E '!A$618:N827,3,0),"")</f>
        <v/>
      </c>
      <c r="L2703" s="497"/>
      <c r="M2703" s="497" t="s">
        <v>2022</v>
      </c>
      <c r="N2703" s="503" t="s">
        <v>4037</v>
      </c>
      <c r="O2703" s="503"/>
      <c r="P2703" s="503" t="s">
        <v>9912</v>
      </c>
    </row>
    <row r="2704" spans="1:16" x14ac:dyDescent="0.35">
      <c r="A2704" s="497" t="b">
        <v>1</v>
      </c>
      <c r="B2704" s="497"/>
      <c r="C2704" s="497" t="s">
        <v>5513</v>
      </c>
      <c r="D2704" s="512">
        <v>11</v>
      </c>
      <c r="E2704" s="500"/>
      <c r="F2704" s="503" t="s">
        <v>1522</v>
      </c>
      <c r="G2704" s="502"/>
      <c r="H2704" s="512"/>
      <c r="I2704" s="503"/>
      <c r="J2704" s="503"/>
      <c r="K2704" s="497" t="str">
        <f ca="1">IFERROR(VLOOKUP(C2704,' Disaggregation - Section E '!A$618:N828,3,0),"")</f>
        <v/>
      </c>
      <c r="L2704" s="497"/>
      <c r="M2704" s="497" t="s">
        <v>2024</v>
      </c>
      <c r="N2704" s="503" t="s">
        <v>4037</v>
      </c>
      <c r="O2704" s="503"/>
      <c r="P2704" s="503" t="s">
        <v>9912</v>
      </c>
    </row>
    <row r="2705" spans="1:16" x14ac:dyDescent="0.35">
      <c r="A2705" s="497" t="b">
        <v>0</v>
      </c>
      <c r="B2705" s="497"/>
      <c r="C2705" s="497" t="s">
        <v>5515</v>
      </c>
      <c r="D2705" s="512">
        <v>11</v>
      </c>
      <c r="E2705" s="500"/>
      <c r="F2705" s="503"/>
      <c r="G2705" s="502"/>
      <c r="H2705" s="512"/>
      <c r="I2705" s="503"/>
      <c r="J2705" s="503"/>
      <c r="K2705" s="497" t="str">
        <f ca="1">IFERROR(VLOOKUP(C2705,' Disaggregation - Section E '!A$618:N829,3,0),"")</f>
        <v/>
      </c>
      <c r="L2705" s="497"/>
      <c r="M2705" s="497"/>
      <c r="N2705" s="503"/>
      <c r="O2705" s="503"/>
      <c r="P2705" s="503"/>
    </row>
    <row r="2706" spans="1:16" x14ac:dyDescent="0.35">
      <c r="A2706" s="497" t="b">
        <v>0</v>
      </c>
      <c r="B2706" s="497"/>
      <c r="C2706" s="497" t="s">
        <v>5517</v>
      </c>
      <c r="D2706" s="512">
        <v>11</v>
      </c>
      <c r="E2706" s="500"/>
      <c r="F2706" s="503"/>
      <c r="G2706" s="502"/>
      <c r="H2706" s="512"/>
      <c r="I2706" s="503"/>
      <c r="J2706" s="503"/>
      <c r="K2706" s="497" t="str">
        <f ca="1">IFERROR(VLOOKUP(C2706,' Disaggregation - Section E '!A$618:N830,3,0),"")</f>
        <v/>
      </c>
      <c r="L2706" s="497"/>
      <c r="M2706" s="497"/>
      <c r="N2706" s="503"/>
      <c r="O2706" s="503"/>
      <c r="P2706" s="503"/>
    </row>
    <row r="2707" spans="1:16" x14ac:dyDescent="0.35">
      <c r="A2707" s="497" t="b">
        <v>0</v>
      </c>
      <c r="B2707" s="497"/>
      <c r="C2707" s="497" t="s">
        <v>5519</v>
      </c>
      <c r="D2707" s="512">
        <v>11</v>
      </c>
      <c r="E2707" s="500"/>
      <c r="F2707" s="503"/>
      <c r="G2707" s="502"/>
      <c r="H2707" s="512"/>
      <c r="I2707" s="503"/>
      <c r="J2707" s="503"/>
      <c r="K2707" s="497" t="str">
        <f ca="1">IFERROR(VLOOKUP(C2707,' Disaggregation - Section E '!A$618:N831,3,0),"")</f>
        <v/>
      </c>
      <c r="L2707" s="497"/>
      <c r="M2707" s="497"/>
      <c r="N2707" s="503"/>
      <c r="O2707" s="503"/>
      <c r="P2707" s="503"/>
    </row>
    <row r="2708" spans="1:16" x14ac:dyDescent="0.35">
      <c r="A2708" s="497" t="b">
        <v>0</v>
      </c>
      <c r="B2708" s="497"/>
      <c r="C2708" s="497" t="s">
        <v>5521</v>
      </c>
      <c r="D2708" s="512">
        <v>11</v>
      </c>
      <c r="E2708" s="500"/>
      <c r="F2708" s="503"/>
      <c r="G2708" s="502"/>
      <c r="H2708" s="512"/>
      <c r="I2708" s="503"/>
      <c r="J2708" s="503"/>
      <c r="K2708" s="497" t="str">
        <f ca="1">IFERROR(VLOOKUP(C2708,' Disaggregation - Section E '!A$618:N832,3,0),"")</f>
        <v/>
      </c>
      <c r="L2708" s="497"/>
      <c r="M2708" s="497"/>
      <c r="N2708" s="503"/>
      <c r="O2708" s="503"/>
      <c r="P2708" s="503"/>
    </row>
    <row r="2709" spans="1:16" x14ac:dyDescent="0.35">
      <c r="A2709" s="497" t="b">
        <v>0</v>
      </c>
      <c r="B2709" s="497"/>
      <c r="C2709" s="497" t="s">
        <v>5523</v>
      </c>
      <c r="D2709" s="512">
        <v>11</v>
      </c>
      <c r="E2709" s="500"/>
      <c r="F2709" s="503"/>
      <c r="G2709" s="502"/>
      <c r="H2709" s="512"/>
      <c r="I2709" s="503"/>
      <c r="J2709" s="503"/>
      <c r="K2709" s="497" t="str">
        <f ca="1">IFERROR(VLOOKUP(C2709,' Disaggregation - Section E '!A$618:N833,3,0),"")</f>
        <v/>
      </c>
      <c r="L2709" s="497"/>
      <c r="M2709" s="497"/>
      <c r="N2709" s="503"/>
      <c r="O2709" s="503"/>
      <c r="P2709" s="503"/>
    </row>
    <row r="2710" spans="1:16" x14ac:dyDescent="0.35">
      <c r="A2710" s="497" t="b">
        <v>0</v>
      </c>
      <c r="B2710" s="497"/>
      <c r="C2710" s="497" t="s">
        <v>5525</v>
      </c>
      <c r="D2710" s="512">
        <v>11</v>
      </c>
      <c r="E2710" s="500"/>
      <c r="F2710" s="503"/>
      <c r="G2710" s="502"/>
      <c r="H2710" s="512"/>
      <c r="I2710" s="503"/>
      <c r="J2710" s="503"/>
      <c r="K2710" s="497" t="str">
        <f ca="1">IFERROR(VLOOKUP(C2710,' Disaggregation - Section E '!A$618:N834,3,0),"")</f>
        <v/>
      </c>
      <c r="L2710" s="497"/>
      <c r="M2710" s="497"/>
      <c r="N2710" s="503"/>
      <c r="O2710" s="503"/>
      <c r="P2710" s="503"/>
    </row>
    <row r="2711" spans="1:16" x14ac:dyDescent="0.35">
      <c r="A2711" s="497" t="b">
        <v>0</v>
      </c>
      <c r="B2711" s="497"/>
      <c r="C2711" s="497" t="s">
        <v>5527</v>
      </c>
      <c r="D2711" s="512">
        <v>11</v>
      </c>
      <c r="E2711" s="500"/>
      <c r="F2711" s="503"/>
      <c r="G2711" s="502"/>
      <c r="H2711" s="512"/>
      <c r="I2711" s="503"/>
      <c r="J2711" s="503"/>
      <c r="K2711" s="497" t="str">
        <f ca="1">IFERROR(VLOOKUP(C2711,' Disaggregation - Section E '!A$618:N835,3,0),"")</f>
        <v/>
      </c>
      <c r="L2711" s="497"/>
      <c r="M2711" s="497"/>
      <c r="N2711" s="503"/>
      <c r="O2711" s="503"/>
      <c r="P2711" s="503"/>
    </row>
    <row r="2712" spans="1:16" x14ac:dyDescent="0.35">
      <c r="A2712" s="497" t="b">
        <v>0</v>
      </c>
      <c r="B2712" s="497"/>
      <c r="C2712" s="497" t="s">
        <v>5529</v>
      </c>
      <c r="D2712" s="512">
        <v>11</v>
      </c>
      <c r="E2712" s="500"/>
      <c r="F2712" s="503"/>
      <c r="G2712" s="502"/>
      <c r="H2712" s="512"/>
      <c r="I2712" s="503"/>
      <c r="J2712" s="503"/>
      <c r="K2712" s="497" t="str">
        <f ca="1">IFERROR(VLOOKUP(C2712,' Disaggregation - Section E '!A$618:N836,3,0),"")</f>
        <v/>
      </c>
      <c r="L2712" s="497"/>
      <c r="M2712" s="497"/>
      <c r="N2712" s="503"/>
      <c r="O2712" s="503"/>
      <c r="P2712" s="503"/>
    </row>
    <row r="2713" spans="1:16" x14ac:dyDescent="0.35">
      <c r="A2713" s="497" t="b">
        <v>0</v>
      </c>
      <c r="B2713" s="497"/>
      <c r="C2713" s="497" t="s">
        <v>5531</v>
      </c>
      <c r="D2713" s="512">
        <v>11</v>
      </c>
      <c r="E2713" s="500"/>
      <c r="F2713" s="503"/>
      <c r="G2713" s="502"/>
      <c r="H2713" s="512"/>
      <c r="I2713" s="503"/>
      <c r="J2713" s="503"/>
      <c r="K2713" s="497" t="str">
        <f ca="1">IFERROR(VLOOKUP(C2713,' Disaggregation - Section E '!A$618:N837,3,0),"")</f>
        <v/>
      </c>
      <c r="L2713" s="497"/>
      <c r="M2713" s="497"/>
      <c r="N2713" s="503"/>
      <c r="O2713" s="503"/>
      <c r="P2713" s="503"/>
    </row>
    <row r="2714" spans="1:16" x14ac:dyDescent="0.35">
      <c r="A2714" s="497" t="b">
        <v>0</v>
      </c>
      <c r="B2714" s="497"/>
      <c r="C2714" s="497" t="s">
        <v>5533</v>
      </c>
      <c r="D2714" s="512">
        <v>11</v>
      </c>
      <c r="E2714" s="500"/>
      <c r="F2714" s="503"/>
      <c r="G2714" s="502"/>
      <c r="H2714" s="512"/>
      <c r="I2714" s="503"/>
      <c r="J2714" s="503"/>
      <c r="K2714" s="497" t="str">
        <f ca="1">IFERROR(VLOOKUP(C2714,' Disaggregation - Section E '!A$618:N838,3,0),"")</f>
        <v/>
      </c>
      <c r="L2714" s="497"/>
      <c r="M2714" s="497"/>
      <c r="N2714" s="503"/>
      <c r="O2714" s="503"/>
      <c r="P2714" s="503"/>
    </row>
    <row r="2715" spans="1:16" x14ac:dyDescent="0.35">
      <c r="A2715" s="497" t="b">
        <v>0</v>
      </c>
      <c r="B2715" s="497"/>
      <c r="C2715" s="497" t="s">
        <v>5535</v>
      </c>
      <c r="D2715" s="512">
        <v>11</v>
      </c>
      <c r="E2715" s="500"/>
      <c r="F2715" s="503"/>
      <c r="G2715" s="502"/>
      <c r="H2715" s="512"/>
      <c r="I2715" s="503"/>
      <c r="J2715" s="503"/>
      <c r="K2715" s="497" t="str">
        <f ca="1">IFERROR(VLOOKUP(C2715,' Disaggregation - Section E '!A$618:N839,3,0),"")</f>
        <v/>
      </c>
      <c r="L2715" s="497"/>
      <c r="M2715" s="497"/>
      <c r="N2715" s="503"/>
      <c r="O2715" s="503"/>
      <c r="P2715" s="503"/>
    </row>
    <row r="2716" spans="1:16" x14ac:dyDescent="0.35">
      <c r="A2716" s="497" t="b">
        <v>0</v>
      </c>
      <c r="B2716" s="497"/>
      <c r="C2716" s="497" t="s">
        <v>5537</v>
      </c>
      <c r="D2716" s="512">
        <v>11</v>
      </c>
      <c r="E2716" s="500"/>
      <c r="F2716" s="503"/>
      <c r="G2716" s="502"/>
      <c r="H2716" s="512"/>
      <c r="I2716" s="503"/>
      <c r="J2716" s="503"/>
      <c r="K2716" s="497" t="str">
        <f ca="1">IFERROR(VLOOKUP(C2716,' Disaggregation - Section E '!A$618:N840,3,0),"")</f>
        <v/>
      </c>
      <c r="L2716" s="497"/>
      <c r="M2716" s="497"/>
      <c r="N2716" s="503"/>
      <c r="O2716" s="503"/>
      <c r="P2716" s="503"/>
    </row>
    <row r="2717" spans="1:16" x14ac:dyDescent="0.35">
      <c r="A2717" s="497" t="b">
        <v>0</v>
      </c>
      <c r="B2717" s="497"/>
      <c r="C2717" s="497" t="s">
        <v>5539</v>
      </c>
      <c r="D2717" s="512">
        <v>11</v>
      </c>
      <c r="E2717" s="500"/>
      <c r="F2717" s="503"/>
      <c r="G2717" s="502"/>
      <c r="H2717" s="512"/>
      <c r="I2717" s="503"/>
      <c r="J2717" s="503"/>
      <c r="K2717" s="497" t="str">
        <f ca="1">IFERROR(VLOOKUP(C2717,' Disaggregation - Section E '!A$618:N841,3,0),"")</f>
        <v/>
      </c>
      <c r="L2717" s="497"/>
      <c r="M2717" s="497"/>
      <c r="N2717" s="503"/>
      <c r="O2717" s="503"/>
      <c r="P2717" s="503"/>
    </row>
    <row r="2718" spans="1:16" x14ac:dyDescent="0.35">
      <c r="A2718" s="497" t="b">
        <v>0</v>
      </c>
      <c r="B2718" s="497"/>
      <c r="C2718" s="497" t="s">
        <v>5541</v>
      </c>
      <c r="D2718" s="512">
        <v>11</v>
      </c>
      <c r="E2718" s="500"/>
      <c r="F2718" s="503"/>
      <c r="G2718" s="502"/>
      <c r="H2718" s="512"/>
      <c r="I2718" s="503"/>
      <c r="J2718" s="503"/>
      <c r="K2718" s="497" t="str">
        <f ca="1">IFERROR(VLOOKUP(C2718,' Disaggregation - Section E '!A$618:N842,3,0),"")</f>
        <v/>
      </c>
      <c r="L2718" s="497"/>
      <c r="M2718" s="497"/>
      <c r="N2718" s="503"/>
      <c r="O2718" s="503"/>
      <c r="P2718" s="503"/>
    </row>
    <row r="2719" spans="1:16" x14ac:dyDescent="0.35">
      <c r="A2719" s="497" t="b">
        <v>0</v>
      </c>
      <c r="B2719" s="497"/>
      <c r="C2719" s="497" t="s">
        <v>5543</v>
      </c>
      <c r="D2719" s="512">
        <v>11</v>
      </c>
      <c r="E2719" s="500"/>
      <c r="F2719" s="503"/>
      <c r="G2719" s="502"/>
      <c r="H2719" s="512"/>
      <c r="I2719" s="503"/>
      <c r="J2719" s="503"/>
      <c r="K2719" s="497" t="str">
        <f ca="1">IFERROR(VLOOKUP(C2719,' Disaggregation - Section E '!A$618:N843,3,0),"")</f>
        <v/>
      </c>
      <c r="L2719" s="497"/>
      <c r="M2719" s="497"/>
      <c r="N2719" s="503"/>
      <c r="O2719" s="503"/>
      <c r="P2719" s="503"/>
    </row>
    <row r="2720" spans="1:16" x14ac:dyDescent="0.35">
      <c r="A2720" s="497" t="b">
        <v>0</v>
      </c>
      <c r="B2720" s="497"/>
      <c r="C2720" s="497" t="s">
        <v>6736</v>
      </c>
      <c r="D2720" s="512">
        <v>12</v>
      </c>
      <c r="E2720" s="500"/>
      <c r="F2720" s="503"/>
      <c r="G2720" s="502"/>
      <c r="H2720" s="512"/>
      <c r="I2720" s="503"/>
      <c r="J2720" s="503"/>
      <c r="K2720" s="497" t="str">
        <f ca="1">IFERROR(VLOOKUP(C2720,' Disaggregation - Section E '!A$618:N844,3,0),"")</f>
        <v/>
      </c>
      <c r="L2720" s="497"/>
      <c r="M2720" s="497"/>
      <c r="N2720" s="503"/>
      <c r="O2720" s="503"/>
      <c r="P2720" s="503"/>
    </row>
    <row r="2721" spans="1:16" x14ac:dyDescent="0.35">
      <c r="A2721" s="497" t="b">
        <v>0</v>
      </c>
      <c r="B2721" s="497"/>
      <c r="C2721" s="497" t="s">
        <v>6738</v>
      </c>
      <c r="D2721" s="512">
        <v>12</v>
      </c>
      <c r="E2721" s="500"/>
      <c r="F2721" s="503"/>
      <c r="G2721" s="502"/>
      <c r="H2721" s="512"/>
      <c r="I2721" s="503"/>
      <c r="J2721" s="503"/>
      <c r="K2721" s="497" t="str">
        <f ca="1">IFERROR(VLOOKUP(C2721,' Disaggregation - Section E '!A$618:N845,3,0),"")</f>
        <v/>
      </c>
      <c r="L2721" s="497"/>
      <c r="M2721" s="497"/>
      <c r="N2721" s="503"/>
      <c r="O2721" s="503"/>
      <c r="P2721" s="503"/>
    </row>
    <row r="2722" spans="1:16" x14ac:dyDescent="0.35">
      <c r="A2722" s="497" t="b">
        <v>0</v>
      </c>
      <c r="B2722" s="497"/>
      <c r="C2722" s="497" t="s">
        <v>6740</v>
      </c>
      <c r="D2722" s="512">
        <v>12</v>
      </c>
      <c r="E2722" s="500"/>
      <c r="F2722" s="503"/>
      <c r="G2722" s="502"/>
      <c r="H2722" s="512"/>
      <c r="I2722" s="503"/>
      <c r="J2722" s="503"/>
      <c r="K2722" s="497" t="str">
        <f ca="1">IFERROR(VLOOKUP(C2722,' Disaggregation - Section E '!A$618:N846,3,0),"")</f>
        <v/>
      </c>
      <c r="L2722" s="497"/>
      <c r="M2722" s="497"/>
      <c r="N2722" s="503"/>
      <c r="O2722" s="503"/>
      <c r="P2722" s="503"/>
    </row>
    <row r="2723" spans="1:16" x14ac:dyDescent="0.35">
      <c r="A2723" s="497" t="b">
        <v>0</v>
      </c>
      <c r="B2723" s="497"/>
      <c r="C2723" s="497" t="s">
        <v>6742</v>
      </c>
      <c r="D2723" s="512">
        <v>12</v>
      </c>
      <c r="E2723" s="500"/>
      <c r="F2723" s="503"/>
      <c r="G2723" s="502"/>
      <c r="H2723" s="512"/>
      <c r="I2723" s="503"/>
      <c r="J2723" s="503"/>
      <c r="K2723" s="497" t="str">
        <f ca="1">IFERROR(VLOOKUP(C2723,' Disaggregation - Section E '!A$618:N847,3,0),"")</f>
        <v/>
      </c>
      <c r="L2723" s="497"/>
      <c r="M2723" s="497"/>
      <c r="N2723" s="503"/>
      <c r="O2723" s="503"/>
      <c r="P2723" s="503"/>
    </row>
    <row r="2724" spans="1:16" x14ac:dyDescent="0.35">
      <c r="A2724" s="497" t="b">
        <v>0</v>
      </c>
      <c r="B2724" s="497"/>
      <c r="C2724" s="497" t="s">
        <v>6744</v>
      </c>
      <c r="D2724" s="512">
        <v>12</v>
      </c>
      <c r="E2724" s="500"/>
      <c r="F2724" s="503"/>
      <c r="G2724" s="502"/>
      <c r="H2724" s="512"/>
      <c r="I2724" s="503"/>
      <c r="J2724" s="503"/>
      <c r="K2724" s="497" t="str">
        <f ca="1">IFERROR(VLOOKUP(C2724,' Disaggregation - Section E '!A$618:N848,3,0),"")</f>
        <v/>
      </c>
      <c r="L2724" s="497"/>
      <c r="M2724" s="497"/>
      <c r="N2724" s="503"/>
      <c r="O2724" s="503"/>
      <c r="P2724" s="503"/>
    </row>
    <row r="2725" spans="1:16" x14ac:dyDescent="0.35">
      <c r="A2725" s="497" t="b">
        <v>0</v>
      </c>
      <c r="B2725" s="497"/>
      <c r="C2725" s="497" t="s">
        <v>6746</v>
      </c>
      <c r="D2725" s="512">
        <v>12</v>
      </c>
      <c r="E2725" s="500"/>
      <c r="F2725" s="503"/>
      <c r="G2725" s="502"/>
      <c r="H2725" s="512"/>
      <c r="I2725" s="503"/>
      <c r="J2725" s="503"/>
      <c r="K2725" s="497" t="str">
        <f ca="1">IFERROR(VLOOKUP(C2725,' Disaggregation - Section E '!A$618:N849,3,0),"")</f>
        <v/>
      </c>
      <c r="L2725" s="497"/>
      <c r="M2725" s="497"/>
      <c r="N2725" s="503"/>
      <c r="O2725" s="503"/>
      <c r="P2725" s="503"/>
    </row>
    <row r="2726" spans="1:16" x14ac:dyDescent="0.35">
      <c r="A2726" s="497" t="b">
        <v>0</v>
      </c>
      <c r="B2726" s="497"/>
      <c r="C2726" s="497" t="s">
        <v>6748</v>
      </c>
      <c r="D2726" s="512">
        <v>12</v>
      </c>
      <c r="E2726" s="500"/>
      <c r="F2726" s="503"/>
      <c r="G2726" s="502"/>
      <c r="H2726" s="512"/>
      <c r="I2726" s="503"/>
      <c r="J2726" s="503"/>
      <c r="K2726" s="497" t="str">
        <f ca="1">IFERROR(VLOOKUP(C2726,' Disaggregation - Section E '!A$618:N850,3,0),"")</f>
        <v/>
      </c>
      <c r="L2726" s="497"/>
      <c r="M2726" s="497"/>
      <c r="N2726" s="503"/>
      <c r="O2726" s="503"/>
      <c r="P2726" s="503"/>
    </row>
    <row r="2727" spans="1:16" x14ac:dyDescent="0.35">
      <c r="A2727" s="497" t="b">
        <v>0</v>
      </c>
      <c r="B2727" s="497"/>
      <c r="C2727" s="497" t="s">
        <v>6750</v>
      </c>
      <c r="D2727" s="512">
        <v>12</v>
      </c>
      <c r="E2727" s="500"/>
      <c r="F2727" s="503"/>
      <c r="G2727" s="502"/>
      <c r="H2727" s="512"/>
      <c r="I2727" s="503"/>
      <c r="J2727" s="503"/>
      <c r="K2727" s="497" t="str">
        <f ca="1">IFERROR(VLOOKUP(C2727,' Disaggregation - Section E '!A$618:N851,3,0),"")</f>
        <v/>
      </c>
      <c r="L2727" s="497"/>
      <c r="M2727" s="497"/>
      <c r="N2727" s="503"/>
      <c r="O2727" s="503"/>
      <c r="P2727" s="503"/>
    </row>
    <row r="2728" spans="1:16" x14ac:dyDescent="0.35">
      <c r="A2728" s="497" t="b">
        <v>0</v>
      </c>
      <c r="B2728" s="497"/>
      <c r="C2728" s="497" t="s">
        <v>6752</v>
      </c>
      <c r="D2728" s="512">
        <v>12</v>
      </c>
      <c r="E2728" s="500"/>
      <c r="F2728" s="503"/>
      <c r="G2728" s="502"/>
      <c r="H2728" s="512"/>
      <c r="I2728" s="503"/>
      <c r="J2728" s="503"/>
      <c r="K2728" s="497" t="str">
        <f ca="1">IFERROR(VLOOKUP(C2728,' Disaggregation - Section E '!A$618:N852,3,0),"")</f>
        <v/>
      </c>
      <c r="L2728" s="497"/>
      <c r="M2728" s="497"/>
      <c r="N2728" s="503"/>
      <c r="O2728" s="503"/>
      <c r="P2728" s="503"/>
    </row>
    <row r="2729" spans="1:16" x14ac:dyDescent="0.35">
      <c r="A2729" s="497" t="b">
        <v>0</v>
      </c>
      <c r="B2729" s="497"/>
      <c r="C2729" s="497" t="s">
        <v>6754</v>
      </c>
      <c r="D2729" s="512">
        <v>12</v>
      </c>
      <c r="E2729" s="500"/>
      <c r="F2729" s="503"/>
      <c r="G2729" s="502"/>
      <c r="H2729" s="512"/>
      <c r="I2729" s="503"/>
      <c r="J2729" s="503"/>
      <c r="K2729" s="497" t="str">
        <f ca="1">IFERROR(VLOOKUP(C2729,' Disaggregation - Section E '!A$618:N853,3,0),"")</f>
        <v/>
      </c>
      <c r="L2729" s="497"/>
      <c r="M2729" s="497"/>
      <c r="N2729" s="503"/>
      <c r="O2729" s="503"/>
      <c r="P2729" s="503"/>
    </row>
    <row r="2730" spans="1:16" x14ac:dyDescent="0.35">
      <c r="A2730" s="497" t="b">
        <v>0</v>
      </c>
      <c r="B2730" s="497"/>
      <c r="C2730" s="497" t="s">
        <v>6756</v>
      </c>
      <c r="D2730" s="512">
        <v>12</v>
      </c>
      <c r="E2730" s="500"/>
      <c r="F2730" s="503"/>
      <c r="G2730" s="502"/>
      <c r="H2730" s="512"/>
      <c r="I2730" s="503"/>
      <c r="J2730" s="503"/>
      <c r="K2730" s="497" t="str">
        <f ca="1">IFERROR(VLOOKUP(C2730,' Disaggregation - Section E '!A$618:N854,3,0),"")</f>
        <v/>
      </c>
      <c r="L2730" s="497"/>
      <c r="M2730" s="497"/>
      <c r="N2730" s="503"/>
      <c r="O2730" s="503"/>
      <c r="P2730" s="503"/>
    </row>
    <row r="2731" spans="1:16" x14ac:dyDescent="0.35">
      <c r="A2731" s="497" t="b">
        <v>0</v>
      </c>
      <c r="B2731" s="497"/>
      <c r="C2731" s="497" t="s">
        <v>6758</v>
      </c>
      <c r="D2731" s="512">
        <v>12</v>
      </c>
      <c r="E2731" s="500"/>
      <c r="F2731" s="503"/>
      <c r="G2731" s="502"/>
      <c r="H2731" s="512"/>
      <c r="I2731" s="503"/>
      <c r="J2731" s="503"/>
      <c r="K2731" s="497" t="str">
        <f ca="1">IFERROR(VLOOKUP(C2731,' Disaggregation - Section E '!A$618:N855,3,0),"")</f>
        <v/>
      </c>
      <c r="L2731" s="497"/>
      <c r="M2731" s="497"/>
      <c r="N2731" s="503"/>
      <c r="O2731" s="503"/>
      <c r="P2731" s="503"/>
    </row>
    <row r="2732" spans="1:16" x14ac:dyDescent="0.35">
      <c r="A2732" s="497" t="b">
        <v>0</v>
      </c>
      <c r="B2732" s="497"/>
      <c r="C2732" s="497" t="s">
        <v>6760</v>
      </c>
      <c r="D2732" s="512">
        <v>12</v>
      </c>
      <c r="E2732" s="500"/>
      <c r="F2732" s="503"/>
      <c r="G2732" s="502"/>
      <c r="H2732" s="512"/>
      <c r="I2732" s="503"/>
      <c r="J2732" s="503"/>
      <c r="K2732" s="497" t="str">
        <f ca="1">IFERROR(VLOOKUP(C2732,' Disaggregation - Section E '!A$618:N856,3,0),"")</f>
        <v/>
      </c>
      <c r="L2732" s="497"/>
      <c r="M2732" s="497"/>
      <c r="N2732" s="503"/>
      <c r="O2732" s="503"/>
      <c r="P2732" s="503"/>
    </row>
    <row r="2733" spans="1:16" x14ac:dyDescent="0.35">
      <c r="A2733" s="497" t="b">
        <v>0</v>
      </c>
      <c r="B2733" s="497"/>
      <c r="C2733" s="497" t="s">
        <v>6762</v>
      </c>
      <c r="D2733" s="512">
        <v>12</v>
      </c>
      <c r="E2733" s="500"/>
      <c r="F2733" s="503"/>
      <c r="G2733" s="502"/>
      <c r="H2733" s="512"/>
      <c r="I2733" s="503"/>
      <c r="J2733" s="503"/>
      <c r="K2733" s="497" t="str">
        <f ca="1">IFERROR(VLOOKUP(C2733,' Disaggregation - Section E '!A$618:N857,3,0),"")</f>
        <v/>
      </c>
      <c r="L2733" s="497"/>
      <c r="M2733" s="497"/>
      <c r="N2733" s="503"/>
      <c r="O2733" s="503"/>
      <c r="P2733" s="503"/>
    </row>
    <row r="2734" spans="1:16" x14ac:dyDescent="0.35">
      <c r="A2734" s="497" t="b">
        <v>0</v>
      </c>
      <c r="B2734" s="497"/>
      <c r="C2734" s="497" t="s">
        <v>6764</v>
      </c>
      <c r="D2734" s="512">
        <v>12</v>
      </c>
      <c r="E2734" s="500"/>
      <c r="F2734" s="503"/>
      <c r="G2734" s="502"/>
      <c r="H2734" s="512"/>
      <c r="I2734" s="503"/>
      <c r="J2734" s="503"/>
      <c r="K2734" s="497" t="str">
        <f ca="1">IFERROR(VLOOKUP(C2734,' Disaggregation - Section E '!A$618:N858,3,0),"")</f>
        <v/>
      </c>
      <c r="L2734" s="497"/>
      <c r="M2734" s="497"/>
      <c r="N2734" s="503"/>
      <c r="O2734" s="503"/>
      <c r="P2734" s="503"/>
    </row>
    <row r="2735" spans="1:16" x14ac:dyDescent="0.35">
      <c r="A2735" s="497" t="b">
        <v>0</v>
      </c>
      <c r="B2735" s="497"/>
      <c r="C2735" s="497" t="s">
        <v>6766</v>
      </c>
      <c r="D2735" s="512">
        <v>12</v>
      </c>
      <c r="E2735" s="500"/>
      <c r="F2735" s="503"/>
      <c r="G2735" s="502"/>
      <c r="H2735" s="512"/>
      <c r="I2735" s="503"/>
      <c r="J2735" s="503"/>
      <c r="K2735" s="497" t="str">
        <f ca="1">IFERROR(VLOOKUP(C2735,' Disaggregation - Section E '!A$618:N859,3,0),"")</f>
        <v/>
      </c>
      <c r="L2735" s="497"/>
      <c r="M2735" s="497"/>
      <c r="N2735" s="503"/>
      <c r="O2735" s="503"/>
      <c r="P2735" s="503"/>
    </row>
    <row r="2736" spans="1:16" x14ac:dyDescent="0.35">
      <c r="A2736" s="497" t="b">
        <v>0</v>
      </c>
      <c r="B2736" s="497"/>
      <c r="C2736" s="497" t="s">
        <v>6768</v>
      </c>
      <c r="D2736" s="512">
        <v>12</v>
      </c>
      <c r="E2736" s="500"/>
      <c r="F2736" s="503"/>
      <c r="G2736" s="502"/>
      <c r="H2736" s="512"/>
      <c r="I2736" s="503"/>
      <c r="J2736" s="503"/>
      <c r="K2736" s="497" t="str">
        <f ca="1">IFERROR(VLOOKUP(C2736,' Disaggregation - Section E '!A$618:N860,3,0),"")</f>
        <v/>
      </c>
      <c r="L2736" s="497"/>
      <c r="M2736" s="497"/>
      <c r="N2736" s="503"/>
      <c r="O2736" s="503"/>
      <c r="P2736" s="503"/>
    </row>
    <row r="2737" spans="1:16" x14ac:dyDescent="0.35">
      <c r="A2737" s="497" t="b">
        <v>0</v>
      </c>
      <c r="B2737" s="497"/>
      <c r="C2737" s="497" t="s">
        <v>6770</v>
      </c>
      <c r="D2737" s="512">
        <v>12</v>
      </c>
      <c r="E2737" s="500"/>
      <c r="F2737" s="503"/>
      <c r="G2737" s="502"/>
      <c r="H2737" s="512"/>
      <c r="I2737" s="503"/>
      <c r="J2737" s="503"/>
      <c r="K2737" s="497" t="str">
        <f ca="1">IFERROR(VLOOKUP(C2737,' Disaggregation - Section E '!A$618:N861,3,0),"")</f>
        <v/>
      </c>
      <c r="L2737" s="497"/>
      <c r="M2737" s="497"/>
      <c r="N2737" s="503"/>
      <c r="O2737" s="503"/>
      <c r="P2737" s="503"/>
    </row>
    <row r="2738" spans="1:16" x14ac:dyDescent="0.35">
      <c r="A2738" s="497" t="b">
        <v>0</v>
      </c>
      <c r="B2738" s="497"/>
      <c r="C2738" s="497" t="s">
        <v>6772</v>
      </c>
      <c r="D2738" s="512">
        <v>12</v>
      </c>
      <c r="E2738" s="500"/>
      <c r="F2738" s="503"/>
      <c r="G2738" s="502"/>
      <c r="H2738" s="512"/>
      <c r="I2738" s="503"/>
      <c r="J2738" s="503"/>
      <c r="K2738" s="497" t="str">
        <f ca="1">IFERROR(VLOOKUP(C2738,' Disaggregation - Section E '!A$618:N862,3,0),"")</f>
        <v/>
      </c>
      <c r="L2738" s="497"/>
      <c r="M2738" s="497"/>
      <c r="N2738" s="503"/>
      <c r="O2738" s="503"/>
      <c r="P2738" s="503"/>
    </row>
    <row r="2739" spans="1:16" x14ac:dyDescent="0.35">
      <c r="A2739" s="497" t="b">
        <v>0</v>
      </c>
      <c r="B2739" s="497"/>
      <c r="C2739" s="497" t="s">
        <v>6774</v>
      </c>
      <c r="D2739" s="512">
        <v>12</v>
      </c>
      <c r="E2739" s="500"/>
      <c r="F2739" s="503"/>
      <c r="G2739" s="502"/>
      <c r="H2739" s="512"/>
      <c r="I2739" s="503"/>
      <c r="J2739" s="503"/>
      <c r="K2739" s="497" t="str">
        <f ca="1">IFERROR(VLOOKUP(C2739,' Disaggregation - Section E '!A$618:N863,3,0),"")</f>
        <v/>
      </c>
      <c r="L2739" s="497"/>
      <c r="M2739" s="497"/>
      <c r="N2739" s="503"/>
      <c r="O2739" s="503"/>
      <c r="P2739" s="503"/>
    </row>
    <row r="2740" spans="1:16" x14ac:dyDescent="0.35">
      <c r="A2740" s="497" t="b">
        <v>1</v>
      </c>
      <c r="B2740" s="497"/>
      <c r="C2740" s="497" t="s">
        <v>5628</v>
      </c>
      <c r="D2740" s="512">
        <v>13</v>
      </c>
      <c r="E2740" s="500"/>
      <c r="F2740" s="503" t="s">
        <v>1837</v>
      </c>
      <c r="G2740" s="502"/>
      <c r="H2740" s="512"/>
      <c r="I2740" s="503"/>
      <c r="J2740" s="503"/>
      <c r="K2740" s="497" t="str">
        <f ca="1">IFERROR(VLOOKUP(C2740,' Disaggregation - Section E '!A$618:N864,3,0),"")</f>
        <v/>
      </c>
      <c r="L2740" s="497"/>
      <c r="M2740" s="497" t="s">
        <v>2259</v>
      </c>
      <c r="N2740" s="503" t="s">
        <v>4037</v>
      </c>
      <c r="O2740" s="503"/>
      <c r="P2740" s="503" t="s">
        <v>9912</v>
      </c>
    </row>
    <row r="2741" spans="1:16" x14ac:dyDescent="0.35">
      <c r="A2741" s="497" t="b">
        <v>1</v>
      </c>
      <c r="B2741" s="497"/>
      <c r="C2741" s="497" t="s">
        <v>5630</v>
      </c>
      <c r="D2741" s="512">
        <v>13</v>
      </c>
      <c r="E2741" s="500"/>
      <c r="F2741" s="503" t="s">
        <v>1845</v>
      </c>
      <c r="G2741" s="502"/>
      <c r="H2741" s="512"/>
      <c r="I2741" s="503"/>
      <c r="J2741" s="503"/>
      <c r="K2741" s="497" t="str">
        <f ca="1">IFERROR(VLOOKUP(C2741,' Disaggregation - Section E '!A$618:N865,3,0),"")</f>
        <v/>
      </c>
      <c r="L2741" s="497"/>
      <c r="M2741" s="497" t="s">
        <v>2264</v>
      </c>
      <c r="N2741" s="503" t="s">
        <v>4037</v>
      </c>
      <c r="O2741" s="503"/>
      <c r="P2741" s="503" t="s">
        <v>9912</v>
      </c>
    </row>
    <row r="2742" spans="1:16" x14ac:dyDescent="0.35">
      <c r="A2742" s="497" t="b">
        <v>1</v>
      </c>
      <c r="B2742" s="497"/>
      <c r="C2742" s="497" t="s">
        <v>5632</v>
      </c>
      <c r="D2742" s="512">
        <v>13</v>
      </c>
      <c r="E2742" s="500"/>
      <c r="F2742" s="503" t="s">
        <v>1850</v>
      </c>
      <c r="G2742" s="502"/>
      <c r="H2742" s="512"/>
      <c r="I2742" s="503"/>
      <c r="J2742" s="503"/>
      <c r="K2742" s="497" t="str">
        <f ca="1">IFERROR(VLOOKUP(C2742,' Disaggregation - Section E '!A$618:N866,3,0),"")</f>
        <v/>
      </c>
      <c r="L2742" s="497"/>
      <c r="M2742" s="497" t="s">
        <v>2266</v>
      </c>
      <c r="N2742" s="503" t="s">
        <v>4037</v>
      </c>
      <c r="O2742" s="503"/>
      <c r="P2742" s="503" t="s">
        <v>9912</v>
      </c>
    </row>
    <row r="2743" spans="1:16" x14ac:dyDescent="0.35">
      <c r="A2743" s="497" t="b">
        <v>1</v>
      </c>
      <c r="B2743" s="497"/>
      <c r="C2743" s="497" t="s">
        <v>5634</v>
      </c>
      <c r="D2743" s="512">
        <v>13</v>
      </c>
      <c r="E2743" s="500"/>
      <c r="F2743" s="503" t="s">
        <v>1855</v>
      </c>
      <c r="G2743" s="502"/>
      <c r="H2743" s="512"/>
      <c r="I2743" s="503"/>
      <c r="J2743" s="503"/>
      <c r="K2743" s="497" t="str">
        <f ca="1">IFERROR(VLOOKUP(C2743,' Disaggregation - Section E '!A$618:N867,3,0),"")</f>
        <v/>
      </c>
      <c r="L2743" s="497"/>
      <c r="M2743" s="497" t="s">
        <v>2268</v>
      </c>
      <c r="N2743" s="503" t="s">
        <v>4037</v>
      </c>
      <c r="O2743" s="503"/>
      <c r="P2743" s="503" t="s">
        <v>9912</v>
      </c>
    </row>
    <row r="2744" spans="1:16" x14ac:dyDescent="0.35">
      <c r="A2744" s="497" t="b">
        <v>1</v>
      </c>
      <c r="B2744" s="497"/>
      <c r="C2744" s="497" t="s">
        <v>5636</v>
      </c>
      <c r="D2744" s="512">
        <v>13</v>
      </c>
      <c r="E2744" s="500"/>
      <c r="F2744" s="503" t="s">
        <v>2274</v>
      </c>
      <c r="G2744" s="502"/>
      <c r="H2744" s="512"/>
      <c r="I2744" s="503"/>
      <c r="J2744" s="503"/>
      <c r="K2744" s="497" t="str">
        <f ca="1">IFERROR(VLOOKUP(C2744,' Disaggregation - Section E '!A$618:N868,3,0),"")</f>
        <v/>
      </c>
      <c r="L2744" s="497"/>
      <c r="M2744" s="497" t="s">
        <v>2270</v>
      </c>
      <c r="N2744" s="503" t="s">
        <v>4037</v>
      </c>
      <c r="O2744" s="503"/>
      <c r="P2744" s="503" t="s">
        <v>9912</v>
      </c>
    </row>
    <row r="2745" spans="1:16" x14ac:dyDescent="0.35">
      <c r="A2745" s="497" t="b">
        <v>1</v>
      </c>
      <c r="B2745" s="497"/>
      <c r="C2745" s="497" t="s">
        <v>5638</v>
      </c>
      <c r="D2745" s="512">
        <v>13</v>
      </c>
      <c r="E2745" s="500"/>
      <c r="F2745" s="503" t="s">
        <v>2279</v>
      </c>
      <c r="G2745" s="502"/>
      <c r="H2745" s="512"/>
      <c r="I2745" s="503"/>
      <c r="J2745" s="503"/>
      <c r="K2745" s="497" t="str">
        <f ca="1">IFERROR(VLOOKUP(C2745,' Disaggregation - Section E '!A$618:N869,3,0),"")</f>
        <v/>
      </c>
      <c r="L2745" s="497"/>
      <c r="M2745" s="497" t="s">
        <v>2278</v>
      </c>
      <c r="N2745" s="503" t="s">
        <v>4037</v>
      </c>
      <c r="O2745" s="503"/>
      <c r="P2745" s="503" t="s">
        <v>9912</v>
      </c>
    </row>
    <row r="2746" spans="1:16" x14ac:dyDescent="0.35">
      <c r="A2746" s="497" t="b">
        <v>1</v>
      </c>
      <c r="B2746" s="497"/>
      <c r="C2746" s="497" t="s">
        <v>5640</v>
      </c>
      <c r="D2746" s="512">
        <v>13</v>
      </c>
      <c r="E2746" s="500"/>
      <c r="F2746" s="503" t="s">
        <v>2284</v>
      </c>
      <c r="G2746" s="502"/>
      <c r="H2746" s="512"/>
      <c r="I2746" s="503"/>
      <c r="J2746" s="503"/>
      <c r="K2746" s="497" t="str">
        <f ca="1">IFERROR(VLOOKUP(C2746,' Disaggregation - Section E '!A$618:N870,3,0),"")</f>
        <v/>
      </c>
      <c r="L2746" s="497"/>
      <c r="M2746" s="497" t="s">
        <v>2283</v>
      </c>
      <c r="N2746" s="503" t="s">
        <v>4037</v>
      </c>
      <c r="O2746" s="503"/>
      <c r="P2746" s="503" t="s">
        <v>9912</v>
      </c>
    </row>
    <row r="2747" spans="1:16" x14ac:dyDescent="0.35">
      <c r="A2747" s="497" t="b">
        <v>1</v>
      </c>
      <c r="B2747" s="497"/>
      <c r="C2747" s="497" t="s">
        <v>5642</v>
      </c>
      <c r="D2747" s="512">
        <v>13</v>
      </c>
      <c r="E2747" s="500"/>
      <c r="F2747" s="503" t="s">
        <v>1427</v>
      </c>
      <c r="G2747" s="502"/>
      <c r="H2747" s="512"/>
      <c r="I2747" s="503"/>
      <c r="J2747" s="503"/>
      <c r="K2747" s="497" t="str">
        <f ca="1">IFERROR(VLOOKUP(C2747,' Disaggregation - Section E '!A$618:N871,3,0),"")</f>
        <v/>
      </c>
      <c r="L2747" s="497"/>
      <c r="M2747" s="497" t="s">
        <v>2288</v>
      </c>
      <c r="N2747" s="503" t="s">
        <v>4037</v>
      </c>
      <c r="O2747" s="503"/>
      <c r="P2747" s="503" t="s">
        <v>9912</v>
      </c>
    </row>
    <row r="2748" spans="1:16" x14ac:dyDescent="0.35">
      <c r="A2748" s="497" t="b">
        <v>1</v>
      </c>
      <c r="B2748" s="497"/>
      <c r="C2748" s="497" t="s">
        <v>5644</v>
      </c>
      <c r="D2748" s="512">
        <v>13</v>
      </c>
      <c r="E2748" s="500"/>
      <c r="F2748" s="503" t="s">
        <v>1435</v>
      </c>
      <c r="G2748" s="502"/>
      <c r="H2748" s="512"/>
      <c r="I2748" s="503"/>
      <c r="J2748" s="503"/>
      <c r="K2748" s="497" t="str">
        <f ca="1">IFERROR(VLOOKUP(C2748,' Disaggregation - Section E '!A$618:N872,3,0),"")</f>
        <v/>
      </c>
      <c r="L2748" s="497"/>
      <c r="M2748" s="497" t="s">
        <v>2290</v>
      </c>
      <c r="N2748" s="503" t="s">
        <v>4037</v>
      </c>
      <c r="O2748" s="503"/>
      <c r="P2748" s="503" t="s">
        <v>9912</v>
      </c>
    </row>
    <row r="2749" spans="1:16" x14ac:dyDescent="0.35">
      <c r="A2749" s="497" t="b">
        <v>1</v>
      </c>
      <c r="B2749" s="497"/>
      <c r="C2749" s="497" t="s">
        <v>5646</v>
      </c>
      <c r="D2749" s="512">
        <v>13</v>
      </c>
      <c r="E2749" s="500"/>
      <c r="F2749" s="503" t="s">
        <v>1440</v>
      </c>
      <c r="G2749" s="502"/>
      <c r="H2749" s="512"/>
      <c r="I2749" s="503"/>
      <c r="J2749" s="503"/>
      <c r="K2749" s="497" t="str">
        <f ca="1">IFERROR(VLOOKUP(C2749,' Disaggregation - Section E '!A$618:N873,3,0),"")</f>
        <v/>
      </c>
      <c r="L2749" s="497"/>
      <c r="M2749" s="497" t="s">
        <v>2292</v>
      </c>
      <c r="N2749" s="503" t="s">
        <v>4037</v>
      </c>
      <c r="O2749" s="503"/>
      <c r="P2749" s="503" t="s">
        <v>9912</v>
      </c>
    </row>
    <row r="2750" spans="1:16" x14ac:dyDescent="0.35">
      <c r="A2750" s="497" t="b">
        <v>1</v>
      </c>
      <c r="B2750" s="497"/>
      <c r="C2750" s="497" t="s">
        <v>5648</v>
      </c>
      <c r="D2750" s="512">
        <v>13</v>
      </c>
      <c r="E2750" s="500"/>
      <c r="F2750" s="503" t="s">
        <v>1445</v>
      </c>
      <c r="G2750" s="502"/>
      <c r="H2750" s="512"/>
      <c r="I2750" s="503"/>
      <c r="J2750" s="503"/>
      <c r="K2750" s="497" t="str">
        <f ca="1">IFERROR(VLOOKUP(C2750,' Disaggregation - Section E '!A$618:N874,3,0),"")</f>
        <v/>
      </c>
      <c r="L2750" s="497"/>
      <c r="M2750" s="497" t="s">
        <v>2294</v>
      </c>
      <c r="N2750" s="503" t="s">
        <v>4037</v>
      </c>
      <c r="O2750" s="503"/>
      <c r="P2750" s="503" t="s">
        <v>9912</v>
      </c>
    </row>
    <row r="2751" spans="1:16" x14ac:dyDescent="0.35">
      <c r="A2751" s="497" t="b">
        <v>1</v>
      </c>
      <c r="B2751" s="497"/>
      <c r="C2751" s="497" t="s">
        <v>5650</v>
      </c>
      <c r="D2751" s="512">
        <v>13</v>
      </c>
      <c r="E2751" s="500"/>
      <c r="F2751" s="503" t="s">
        <v>2297</v>
      </c>
      <c r="G2751" s="502"/>
      <c r="H2751" s="512"/>
      <c r="I2751" s="503"/>
      <c r="J2751" s="503"/>
      <c r="K2751" s="497" t="str">
        <f ca="1">IFERROR(VLOOKUP(C2751,' Disaggregation - Section E '!A$618:N875,3,0),"")</f>
        <v/>
      </c>
      <c r="L2751" s="497"/>
      <c r="M2751" s="497" t="s">
        <v>2296</v>
      </c>
      <c r="N2751" s="503" t="s">
        <v>4037</v>
      </c>
      <c r="O2751" s="503"/>
      <c r="P2751" s="503" t="s">
        <v>9912</v>
      </c>
    </row>
    <row r="2752" spans="1:16" x14ac:dyDescent="0.35">
      <c r="A2752" s="497" t="b">
        <v>1</v>
      </c>
      <c r="B2752" s="497"/>
      <c r="C2752" s="497" t="s">
        <v>5652</v>
      </c>
      <c r="D2752" s="512">
        <v>13</v>
      </c>
      <c r="E2752" s="500"/>
      <c r="F2752" s="503" t="s">
        <v>2302</v>
      </c>
      <c r="G2752" s="502"/>
      <c r="H2752" s="512"/>
      <c r="I2752" s="503"/>
      <c r="J2752" s="503"/>
      <c r="K2752" s="497" t="str">
        <f ca="1">IFERROR(VLOOKUP(C2752,' Disaggregation - Section E '!A$618:N876,3,0),"")</f>
        <v/>
      </c>
      <c r="L2752" s="497"/>
      <c r="M2752" s="497" t="s">
        <v>2301</v>
      </c>
      <c r="N2752" s="503" t="s">
        <v>4037</v>
      </c>
      <c r="O2752" s="503"/>
      <c r="P2752" s="503" t="s">
        <v>9912</v>
      </c>
    </row>
    <row r="2753" spans="1:16" x14ac:dyDescent="0.35">
      <c r="A2753" s="497" t="b">
        <v>1</v>
      </c>
      <c r="B2753" s="497"/>
      <c r="C2753" s="497" t="s">
        <v>5654</v>
      </c>
      <c r="D2753" s="512">
        <v>13</v>
      </c>
      <c r="E2753" s="500"/>
      <c r="F2753" s="503" t="s">
        <v>1534</v>
      </c>
      <c r="G2753" s="502"/>
      <c r="H2753" s="512"/>
      <c r="I2753" s="503"/>
      <c r="J2753" s="503"/>
      <c r="K2753" s="497" t="str">
        <f ca="1">IFERROR(VLOOKUP(C2753,' Disaggregation - Section E '!A$618:N877,3,0),"")</f>
        <v/>
      </c>
      <c r="L2753" s="497"/>
      <c r="M2753" s="497" t="s">
        <v>2306</v>
      </c>
      <c r="N2753" s="503" t="s">
        <v>4037</v>
      </c>
      <c r="O2753" s="503"/>
      <c r="P2753" s="503" t="s">
        <v>9912</v>
      </c>
    </row>
    <row r="2754" spans="1:16" x14ac:dyDescent="0.35">
      <c r="A2754" s="497" t="b">
        <v>1</v>
      </c>
      <c r="B2754" s="497"/>
      <c r="C2754" s="497" t="s">
        <v>5656</v>
      </c>
      <c r="D2754" s="512">
        <v>13</v>
      </c>
      <c r="E2754" s="500"/>
      <c r="F2754" s="503" t="s">
        <v>1453</v>
      </c>
      <c r="G2754" s="502"/>
      <c r="H2754" s="512"/>
      <c r="I2754" s="503"/>
      <c r="J2754" s="503"/>
      <c r="K2754" s="497" t="str">
        <f ca="1">IFERROR(VLOOKUP(C2754,' Disaggregation - Section E '!A$618:N878,3,0),"")</f>
        <v/>
      </c>
      <c r="L2754" s="497"/>
      <c r="M2754" s="497" t="s">
        <v>2308</v>
      </c>
      <c r="N2754" s="503" t="s">
        <v>4037</v>
      </c>
      <c r="O2754" s="503"/>
      <c r="P2754" s="503" t="s">
        <v>9912</v>
      </c>
    </row>
    <row r="2755" spans="1:16" x14ac:dyDescent="0.35">
      <c r="A2755" s="497" t="b">
        <v>1</v>
      </c>
      <c r="B2755" s="497"/>
      <c r="C2755" s="497" t="s">
        <v>5658</v>
      </c>
      <c r="D2755" s="512">
        <v>13</v>
      </c>
      <c r="E2755" s="500"/>
      <c r="F2755" s="503" t="s">
        <v>1458</v>
      </c>
      <c r="G2755" s="502"/>
      <c r="H2755" s="512"/>
      <c r="I2755" s="503"/>
      <c r="J2755" s="503"/>
      <c r="K2755" s="497" t="str">
        <f ca="1">IFERROR(VLOOKUP(C2755,' Disaggregation - Section E '!A$618:N879,3,0),"")</f>
        <v/>
      </c>
      <c r="L2755" s="497"/>
      <c r="M2755" s="497" t="s">
        <v>2310</v>
      </c>
      <c r="N2755" s="503" t="s">
        <v>4037</v>
      </c>
      <c r="O2755" s="503"/>
      <c r="P2755" s="503" t="s">
        <v>9912</v>
      </c>
    </row>
    <row r="2756" spans="1:16" x14ac:dyDescent="0.35">
      <c r="A2756" s="497" t="b">
        <v>1</v>
      </c>
      <c r="B2756" s="497"/>
      <c r="C2756" s="497" t="s">
        <v>5660</v>
      </c>
      <c r="D2756" s="512">
        <v>13</v>
      </c>
      <c r="E2756" s="500"/>
      <c r="F2756" s="503" t="s">
        <v>1465</v>
      </c>
      <c r="G2756" s="502"/>
      <c r="H2756" s="512"/>
      <c r="I2756" s="503"/>
      <c r="J2756" s="503"/>
      <c r="K2756" s="497" t="str">
        <f ca="1">IFERROR(VLOOKUP(C2756,' Disaggregation - Section E '!A$618:N880,3,0),"")</f>
        <v/>
      </c>
      <c r="L2756" s="497"/>
      <c r="M2756" s="497" t="s">
        <v>2312</v>
      </c>
      <c r="N2756" s="503" t="s">
        <v>4037</v>
      </c>
      <c r="O2756" s="503"/>
      <c r="P2756" s="503" t="s">
        <v>9912</v>
      </c>
    </row>
    <row r="2757" spans="1:16" x14ac:dyDescent="0.35">
      <c r="A2757" s="497" t="b">
        <v>1</v>
      </c>
      <c r="B2757" s="497"/>
      <c r="C2757" s="497" t="s">
        <v>5662</v>
      </c>
      <c r="D2757" s="512">
        <v>13</v>
      </c>
      <c r="E2757" s="500"/>
      <c r="F2757" s="503" t="s">
        <v>1468</v>
      </c>
      <c r="G2757" s="502"/>
      <c r="H2757" s="512"/>
      <c r="I2757" s="503"/>
      <c r="J2757" s="503"/>
      <c r="K2757" s="497" t="str">
        <f ca="1">IFERROR(VLOOKUP(C2757,' Disaggregation - Section E '!A$618:N881,3,0),"")</f>
        <v/>
      </c>
      <c r="L2757" s="497"/>
      <c r="M2757" s="497" t="s">
        <v>2314</v>
      </c>
      <c r="N2757" s="503" t="s">
        <v>4037</v>
      </c>
      <c r="O2757" s="503"/>
      <c r="P2757" s="503" t="s">
        <v>9912</v>
      </c>
    </row>
    <row r="2758" spans="1:16" x14ac:dyDescent="0.35">
      <c r="A2758" s="497" t="b">
        <v>0</v>
      </c>
      <c r="B2758" s="497"/>
      <c r="C2758" s="497" t="s">
        <v>5664</v>
      </c>
      <c r="D2758" s="512">
        <v>13</v>
      </c>
      <c r="E2758" s="500"/>
      <c r="F2758" s="503"/>
      <c r="G2758" s="502"/>
      <c r="H2758" s="512"/>
      <c r="I2758" s="503"/>
      <c r="J2758" s="503"/>
      <c r="K2758" s="497" t="str">
        <f ca="1">IFERROR(VLOOKUP(C2758,' Disaggregation - Section E '!A$618:N882,3,0),"")</f>
        <v/>
      </c>
      <c r="L2758" s="497"/>
      <c r="M2758" s="497"/>
      <c r="N2758" s="503"/>
      <c r="O2758" s="503"/>
      <c r="P2758" s="503"/>
    </row>
    <row r="2759" spans="1:16" x14ac:dyDescent="0.35">
      <c r="A2759" s="497" t="b">
        <v>0</v>
      </c>
      <c r="B2759" s="497"/>
      <c r="C2759" s="497" t="s">
        <v>5666</v>
      </c>
      <c r="D2759" s="512">
        <v>13</v>
      </c>
      <c r="E2759" s="500"/>
      <c r="F2759" s="503"/>
      <c r="G2759" s="502"/>
      <c r="H2759" s="512"/>
      <c r="I2759" s="503"/>
      <c r="J2759" s="503"/>
      <c r="K2759" s="497" t="str">
        <f ca="1">IFERROR(VLOOKUP(C2759,' Disaggregation - Section E '!A$618:N883,3,0),"")</f>
        <v/>
      </c>
      <c r="L2759" s="497"/>
      <c r="M2759" s="497"/>
      <c r="N2759" s="503"/>
      <c r="O2759" s="503"/>
      <c r="P2759" s="503"/>
    </row>
    <row r="2760" spans="1:16" x14ac:dyDescent="0.35">
      <c r="A2760" s="497" t="b">
        <v>0</v>
      </c>
      <c r="B2760" s="497"/>
      <c r="C2760" s="497" t="s">
        <v>6777</v>
      </c>
      <c r="D2760" s="512">
        <v>14</v>
      </c>
      <c r="E2760" s="500"/>
      <c r="F2760" s="503"/>
      <c r="G2760" s="502"/>
      <c r="H2760" s="512"/>
      <c r="I2760" s="503"/>
      <c r="J2760" s="503"/>
      <c r="K2760" s="497" t="str">
        <f ca="1">IFERROR(VLOOKUP(C2760,' Disaggregation - Section E '!A$618:N884,3,0),"")</f>
        <v/>
      </c>
      <c r="L2760" s="497"/>
      <c r="M2760" s="497"/>
      <c r="N2760" s="503"/>
      <c r="O2760" s="503"/>
      <c r="P2760" s="503"/>
    </row>
    <row r="2761" spans="1:16" x14ac:dyDescent="0.35">
      <c r="A2761" s="497" t="b">
        <v>0</v>
      </c>
      <c r="B2761" s="497"/>
      <c r="C2761" s="497" t="s">
        <v>6779</v>
      </c>
      <c r="D2761" s="512">
        <v>14</v>
      </c>
      <c r="E2761" s="500"/>
      <c r="F2761" s="503"/>
      <c r="G2761" s="502"/>
      <c r="H2761" s="512"/>
      <c r="I2761" s="503"/>
      <c r="J2761" s="503"/>
      <c r="K2761" s="497" t="str">
        <f ca="1">IFERROR(VLOOKUP(C2761,' Disaggregation - Section E '!A$618:N885,3,0),"")</f>
        <v/>
      </c>
      <c r="L2761" s="497"/>
      <c r="M2761" s="497"/>
      <c r="N2761" s="503"/>
      <c r="O2761" s="503"/>
      <c r="P2761" s="503"/>
    </row>
    <row r="2762" spans="1:16" x14ac:dyDescent="0.35">
      <c r="A2762" s="497" t="b">
        <v>0</v>
      </c>
      <c r="B2762" s="497"/>
      <c r="C2762" s="497" t="s">
        <v>6781</v>
      </c>
      <c r="D2762" s="512">
        <v>14</v>
      </c>
      <c r="E2762" s="500"/>
      <c r="F2762" s="503"/>
      <c r="G2762" s="502"/>
      <c r="H2762" s="512"/>
      <c r="I2762" s="503"/>
      <c r="J2762" s="503"/>
      <c r="K2762" s="497" t="str">
        <f ca="1">IFERROR(VLOOKUP(C2762,' Disaggregation - Section E '!A$618:N886,3,0),"")</f>
        <v/>
      </c>
      <c r="L2762" s="497"/>
      <c r="M2762" s="497"/>
      <c r="N2762" s="503"/>
      <c r="O2762" s="503"/>
      <c r="P2762" s="503"/>
    </row>
    <row r="2763" spans="1:16" x14ac:dyDescent="0.35">
      <c r="A2763" s="497" t="b">
        <v>0</v>
      </c>
      <c r="B2763" s="497"/>
      <c r="C2763" s="497" t="s">
        <v>6783</v>
      </c>
      <c r="D2763" s="512">
        <v>14</v>
      </c>
      <c r="E2763" s="500"/>
      <c r="F2763" s="503"/>
      <c r="G2763" s="502"/>
      <c r="H2763" s="512"/>
      <c r="I2763" s="503"/>
      <c r="J2763" s="503"/>
      <c r="K2763" s="497" t="str">
        <f ca="1">IFERROR(VLOOKUP(C2763,' Disaggregation - Section E '!A$618:N887,3,0),"")</f>
        <v/>
      </c>
      <c r="L2763" s="497"/>
      <c r="M2763" s="497"/>
      <c r="N2763" s="503"/>
      <c r="O2763" s="503"/>
      <c r="P2763" s="503"/>
    </row>
    <row r="2764" spans="1:16" x14ac:dyDescent="0.35">
      <c r="A2764" s="497" t="b">
        <v>0</v>
      </c>
      <c r="B2764" s="497"/>
      <c r="C2764" s="497" t="s">
        <v>6785</v>
      </c>
      <c r="D2764" s="512">
        <v>14</v>
      </c>
      <c r="E2764" s="500"/>
      <c r="F2764" s="503"/>
      <c r="G2764" s="502"/>
      <c r="H2764" s="512"/>
      <c r="I2764" s="503"/>
      <c r="J2764" s="503"/>
      <c r="K2764" s="497" t="str">
        <f ca="1">IFERROR(VLOOKUP(C2764,' Disaggregation - Section E '!A$618:N888,3,0),"")</f>
        <v/>
      </c>
      <c r="L2764" s="497"/>
      <c r="M2764" s="497"/>
      <c r="N2764" s="503"/>
      <c r="O2764" s="503"/>
      <c r="P2764" s="503"/>
    </row>
    <row r="2765" spans="1:16" x14ac:dyDescent="0.35">
      <c r="A2765" s="497" t="b">
        <v>0</v>
      </c>
      <c r="B2765" s="497"/>
      <c r="C2765" s="497" t="s">
        <v>6787</v>
      </c>
      <c r="D2765" s="512">
        <v>14</v>
      </c>
      <c r="E2765" s="500"/>
      <c r="F2765" s="503"/>
      <c r="G2765" s="502"/>
      <c r="H2765" s="512"/>
      <c r="I2765" s="503"/>
      <c r="J2765" s="503"/>
      <c r="K2765" s="497" t="str">
        <f ca="1">IFERROR(VLOOKUP(C2765,' Disaggregation - Section E '!A$618:N889,3,0),"")</f>
        <v/>
      </c>
      <c r="L2765" s="497"/>
      <c r="M2765" s="497"/>
      <c r="N2765" s="503"/>
      <c r="O2765" s="503"/>
      <c r="P2765" s="503"/>
    </row>
    <row r="2766" spans="1:16" x14ac:dyDescent="0.35">
      <c r="A2766" s="497" t="b">
        <v>0</v>
      </c>
      <c r="B2766" s="497"/>
      <c r="C2766" s="497" t="s">
        <v>6789</v>
      </c>
      <c r="D2766" s="512">
        <v>14</v>
      </c>
      <c r="E2766" s="500"/>
      <c r="F2766" s="503"/>
      <c r="G2766" s="502"/>
      <c r="H2766" s="512"/>
      <c r="I2766" s="503"/>
      <c r="J2766" s="503"/>
      <c r="K2766" s="497" t="str">
        <f ca="1">IFERROR(VLOOKUP(C2766,' Disaggregation - Section E '!A$618:N890,3,0),"")</f>
        <v/>
      </c>
      <c r="L2766" s="497"/>
      <c r="M2766" s="497"/>
      <c r="N2766" s="503"/>
      <c r="O2766" s="503"/>
      <c r="P2766" s="503"/>
    </row>
    <row r="2767" spans="1:16" x14ac:dyDescent="0.35">
      <c r="A2767" s="497" t="b">
        <v>0</v>
      </c>
      <c r="B2767" s="497"/>
      <c r="C2767" s="497" t="s">
        <v>6791</v>
      </c>
      <c r="D2767" s="512">
        <v>14</v>
      </c>
      <c r="E2767" s="500"/>
      <c r="F2767" s="503"/>
      <c r="G2767" s="502"/>
      <c r="H2767" s="512"/>
      <c r="I2767" s="503"/>
      <c r="J2767" s="503"/>
      <c r="K2767" s="497" t="str">
        <f ca="1">IFERROR(VLOOKUP(C2767,' Disaggregation - Section E '!A$618:N891,3,0),"")</f>
        <v/>
      </c>
      <c r="L2767" s="497"/>
      <c r="M2767" s="497"/>
      <c r="N2767" s="503"/>
      <c r="O2767" s="503"/>
      <c r="P2767" s="503"/>
    </row>
    <row r="2768" spans="1:16" x14ac:dyDescent="0.35">
      <c r="A2768" s="497" t="b">
        <v>0</v>
      </c>
      <c r="B2768" s="497"/>
      <c r="C2768" s="497" t="s">
        <v>6793</v>
      </c>
      <c r="D2768" s="512">
        <v>14</v>
      </c>
      <c r="E2768" s="500"/>
      <c r="F2768" s="503"/>
      <c r="G2768" s="502"/>
      <c r="H2768" s="512"/>
      <c r="I2768" s="503"/>
      <c r="J2768" s="503"/>
      <c r="K2768" s="497" t="str">
        <f ca="1">IFERROR(VLOOKUP(C2768,' Disaggregation - Section E '!A$618:N892,3,0),"")</f>
        <v/>
      </c>
      <c r="L2768" s="497"/>
      <c r="M2768" s="497"/>
      <c r="N2768" s="503"/>
      <c r="O2768" s="503"/>
      <c r="P2768" s="503"/>
    </row>
    <row r="2769" spans="1:16" x14ac:dyDescent="0.35">
      <c r="A2769" s="497" t="b">
        <v>0</v>
      </c>
      <c r="B2769" s="497"/>
      <c r="C2769" s="497" t="s">
        <v>6795</v>
      </c>
      <c r="D2769" s="512">
        <v>14</v>
      </c>
      <c r="E2769" s="500"/>
      <c r="F2769" s="503"/>
      <c r="G2769" s="502"/>
      <c r="H2769" s="512"/>
      <c r="I2769" s="503"/>
      <c r="J2769" s="503"/>
      <c r="K2769" s="497" t="str">
        <f ca="1">IFERROR(VLOOKUP(C2769,' Disaggregation - Section E '!A$618:N893,3,0),"")</f>
        <v/>
      </c>
      <c r="L2769" s="497"/>
      <c r="M2769" s="497"/>
      <c r="N2769" s="503"/>
      <c r="O2769" s="503"/>
      <c r="P2769" s="503"/>
    </row>
    <row r="2770" spans="1:16" x14ac:dyDescent="0.35">
      <c r="A2770" s="497" t="b">
        <v>0</v>
      </c>
      <c r="B2770" s="497"/>
      <c r="C2770" s="497" t="s">
        <v>6797</v>
      </c>
      <c r="D2770" s="512">
        <v>14</v>
      </c>
      <c r="E2770" s="500"/>
      <c r="F2770" s="503"/>
      <c r="G2770" s="502"/>
      <c r="H2770" s="512"/>
      <c r="I2770" s="503"/>
      <c r="J2770" s="503"/>
      <c r="K2770" s="497" t="str">
        <f ca="1">IFERROR(VLOOKUP(C2770,' Disaggregation - Section E '!A$618:N894,3,0),"")</f>
        <v/>
      </c>
      <c r="L2770" s="497"/>
      <c r="M2770" s="497"/>
      <c r="N2770" s="503"/>
      <c r="O2770" s="503"/>
      <c r="P2770" s="503"/>
    </row>
    <row r="2771" spans="1:16" x14ac:dyDescent="0.35">
      <c r="A2771" s="497" t="b">
        <v>0</v>
      </c>
      <c r="B2771" s="497"/>
      <c r="C2771" s="497" t="s">
        <v>6799</v>
      </c>
      <c r="D2771" s="512">
        <v>14</v>
      </c>
      <c r="E2771" s="500"/>
      <c r="F2771" s="503"/>
      <c r="G2771" s="502"/>
      <c r="H2771" s="512"/>
      <c r="I2771" s="503"/>
      <c r="J2771" s="503"/>
      <c r="K2771" s="497" t="str">
        <f ca="1">IFERROR(VLOOKUP(C2771,' Disaggregation - Section E '!A$618:N895,3,0),"")</f>
        <v/>
      </c>
      <c r="L2771" s="497"/>
      <c r="M2771" s="497"/>
      <c r="N2771" s="503"/>
      <c r="O2771" s="503"/>
      <c r="P2771" s="503"/>
    </row>
    <row r="2772" spans="1:16" x14ac:dyDescent="0.35">
      <c r="A2772" s="497" t="b">
        <v>0</v>
      </c>
      <c r="B2772" s="497"/>
      <c r="C2772" s="497" t="s">
        <v>6801</v>
      </c>
      <c r="D2772" s="512">
        <v>14</v>
      </c>
      <c r="E2772" s="500"/>
      <c r="F2772" s="503"/>
      <c r="G2772" s="502"/>
      <c r="H2772" s="512"/>
      <c r="I2772" s="503"/>
      <c r="J2772" s="503"/>
      <c r="K2772" s="497" t="str">
        <f ca="1">IFERROR(VLOOKUP(C2772,' Disaggregation - Section E '!A$618:N896,3,0),"")</f>
        <v/>
      </c>
      <c r="L2772" s="497"/>
      <c r="M2772" s="497"/>
      <c r="N2772" s="503"/>
      <c r="O2772" s="503"/>
      <c r="P2772" s="503"/>
    </row>
    <row r="2773" spans="1:16" x14ac:dyDescent="0.35">
      <c r="A2773" s="497" t="b">
        <v>0</v>
      </c>
      <c r="B2773" s="497"/>
      <c r="C2773" s="497" t="s">
        <v>6803</v>
      </c>
      <c r="D2773" s="512">
        <v>14</v>
      </c>
      <c r="E2773" s="500"/>
      <c r="F2773" s="503"/>
      <c r="G2773" s="502"/>
      <c r="H2773" s="512"/>
      <c r="I2773" s="503"/>
      <c r="J2773" s="503"/>
      <c r="K2773" s="497" t="str">
        <f ca="1">IFERROR(VLOOKUP(C2773,' Disaggregation - Section E '!A$618:N897,3,0),"")</f>
        <v/>
      </c>
      <c r="L2773" s="497"/>
      <c r="M2773" s="497"/>
      <c r="N2773" s="503"/>
      <c r="O2773" s="503"/>
      <c r="P2773" s="503"/>
    </row>
    <row r="2774" spans="1:16" x14ac:dyDescent="0.35">
      <c r="A2774" s="497" t="b">
        <v>0</v>
      </c>
      <c r="B2774" s="497"/>
      <c r="C2774" s="497" t="s">
        <v>6805</v>
      </c>
      <c r="D2774" s="512">
        <v>14</v>
      </c>
      <c r="E2774" s="500"/>
      <c r="F2774" s="503"/>
      <c r="G2774" s="502"/>
      <c r="H2774" s="512"/>
      <c r="I2774" s="503"/>
      <c r="J2774" s="503"/>
      <c r="K2774" s="497" t="str">
        <f ca="1">IFERROR(VLOOKUP(C2774,' Disaggregation - Section E '!A$618:N898,3,0),"")</f>
        <v/>
      </c>
      <c r="L2774" s="497"/>
      <c r="M2774" s="497"/>
      <c r="N2774" s="503"/>
      <c r="O2774" s="503"/>
      <c r="P2774" s="503"/>
    </row>
    <row r="2775" spans="1:16" x14ac:dyDescent="0.35">
      <c r="A2775" s="497" t="b">
        <v>0</v>
      </c>
      <c r="B2775" s="497"/>
      <c r="C2775" s="497" t="s">
        <v>6807</v>
      </c>
      <c r="D2775" s="512">
        <v>14</v>
      </c>
      <c r="E2775" s="500"/>
      <c r="F2775" s="503"/>
      <c r="G2775" s="502"/>
      <c r="H2775" s="512"/>
      <c r="I2775" s="503"/>
      <c r="J2775" s="503"/>
      <c r="K2775" s="497" t="str">
        <f ca="1">IFERROR(VLOOKUP(C2775,' Disaggregation - Section E '!A$618:N899,3,0),"")</f>
        <v/>
      </c>
      <c r="L2775" s="497"/>
      <c r="M2775" s="497"/>
      <c r="N2775" s="503"/>
      <c r="O2775" s="503"/>
      <c r="P2775" s="503"/>
    </row>
    <row r="2776" spans="1:16" x14ac:dyDescent="0.35">
      <c r="A2776" s="497" t="b">
        <v>0</v>
      </c>
      <c r="B2776" s="497"/>
      <c r="C2776" s="497" t="s">
        <v>6809</v>
      </c>
      <c r="D2776" s="512">
        <v>14</v>
      </c>
      <c r="E2776" s="500"/>
      <c r="F2776" s="503"/>
      <c r="G2776" s="502"/>
      <c r="H2776" s="512"/>
      <c r="I2776" s="503"/>
      <c r="J2776" s="503"/>
      <c r="K2776" s="497" t="str">
        <f ca="1">IFERROR(VLOOKUP(C2776,' Disaggregation - Section E '!A$618:N900,3,0),"")</f>
        <v/>
      </c>
      <c r="L2776" s="497"/>
      <c r="M2776" s="497"/>
      <c r="N2776" s="503"/>
      <c r="O2776" s="503"/>
      <c r="P2776" s="503"/>
    </row>
    <row r="2777" spans="1:16" x14ac:dyDescent="0.35">
      <c r="A2777" s="497" t="b">
        <v>0</v>
      </c>
      <c r="B2777" s="497"/>
      <c r="C2777" s="497" t="s">
        <v>6811</v>
      </c>
      <c r="D2777" s="512">
        <v>14</v>
      </c>
      <c r="E2777" s="500"/>
      <c r="F2777" s="503"/>
      <c r="G2777" s="502"/>
      <c r="H2777" s="512"/>
      <c r="I2777" s="503"/>
      <c r="J2777" s="503"/>
      <c r="K2777" s="497" t="str">
        <f ca="1">IFERROR(VLOOKUP(C2777,' Disaggregation - Section E '!A$618:N901,3,0),"")</f>
        <v/>
      </c>
      <c r="L2777" s="497"/>
      <c r="M2777" s="497"/>
      <c r="N2777" s="503"/>
      <c r="O2777" s="503"/>
      <c r="P2777" s="503"/>
    </row>
    <row r="2778" spans="1:16" x14ac:dyDescent="0.35">
      <c r="A2778" s="497" t="b">
        <v>0</v>
      </c>
      <c r="B2778" s="497"/>
      <c r="C2778" s="497" t="s">
        <v>6813</v>
      </c>
      <c r="D2778" s="512">
        <v>14</v>
      </c>
      <c r="E2778" s="500"/>
      <c r="F2778" s="503"/>
      <c r="G2778" s="502"/>
      <c r="H2778" s="512"/>
      <c r="I2778" s="503"/>
      <c r="J2778" s="503"/>
      <c r="K2778" s="497" t="str">
        <f ca="1">IFERROR(VLOOKUP(C2778,' Disaggregation - Section E '!A$618:N902,3,0),"")</f>
        <v/>
      </c>
      <c r="L2778" s="497"/>
      <c r="M2778" s="497"/>
      <c r="N2778" s="503"/>
      <c r="O2778" s="503"/>
      <c r="P2778" s="503"/>
    </row>
    <row r="2779" spans="1:16" x14ac:dyDescent="0.35">
      <c r="A2779" s="497" t="b">
        <v>0</v>
      </c>
      <c r="B2779" s="497"/>
      <c r="C2779" s="497" t="s">
        <v>6815</v>
      </c>
      <c r="D2779" s="512">
        <v>14</v>
      </c>
      <c r="E2779" s="500"/>
      <c r="F2779" s="503"/>
      <c r="G2779" s="502"/>
      <c r="H2779" s="512"/>
      <c r="I2779" s="503"/>
      <c r="J2779" s="503"/>
      <c r="K2779" s="497" t="str">
        <f ca="1">IFERROR(VLOOKUP(C2779,' Disaggregation - Section E '!A$618:N903,3,0),"")</f>
        <v/>
      </c>
      <c r="L2779" s="497"/>
      <c r="M2779" s="497"/>
      <c r="N2779" s="503"/>
      <c r="O2779" s="503"/>
      <c r="P2779" s="503"/>
    </row>
    <row r="2780" spans="1:16" x14ac:dyDescent="0.35">
      <c r="A2780" s="497" t="b">
        <v>0</v>
      </c>
      <c r="B2780" s="497"/>
      <c r="C2780" s="497" t="s">
        <v>5546</v>
      </c>
      <c r="D2780" s="512">
        <v>15</v>
      </c>
      <c r="E2780" s="500"/>
      <c r="F2780" s="503"/>
      <c r="G2780" s="502"/>
      <c r="H2780" s="512"/>
      <c r="I2780" s="503"/>
      <c r="J2780" s="503"/>
      <c r="K2780" s="497" t="str">
        <f ca="1">IFERROR(VLOOKUP(C2780,' Disaggregation - Section E '!A$618:N904,3,0),"")</f>
        <v/>
      </c>
      <c r="L2780" s="497"/>
      <c r="M2780" s="497"/>
      <c r="N2780" s="503"/>
      <c r="O2780" s="503"/>
      <c r="P2780" s="503"/>
    </row>
    <row r="2781" spans="1:16" x14ac:dyDescent="0.35">
      <c r="A2781" s="497" t="b">
        <v>0</v>
      </c>
      <c r="B2781" s="497"/>
      <c r="C2781" s="497" t="s">
        <v>5548</v>
      </c>
      <c r="D2781" s="512">
        <v>15</v>
      </c>
      <c r="E2781" s="500"/>
      <c r="F2781" s="503"/>
      <c r="G2781" s="502"/>
      <c r="H2781" s="512"/>
      <c r="I2781" s="503"/>
      <c r="J2781" s="503"/>
      <c r="K2781" s="497" t="str">
        <f ca="1">IFERROR(VLOOKUP(C2781,' Disaggregation - Section E '!A$618:N905,3,0),"")</f>
        <v/>
      </c>
      <c r="L2781" s="497"/>
      <c r="M2781" s="497"/>
      <c r="N2781" s="503"/>
      <c r="O2781" s="503"/>
      <c r="P2781" s="503"/>
    </row>
    <row r="2782" spans="1:16" x14ac:dyDescent="0.35">
      <c r="A2782" s="497" t="b">
        <v>0</v>
      </c>
      <c r="B2782" s="497"/>
      <c r="C2782" s="497" t="s">
        <v>5550</v>
      </c>
      <c r="D2782" s="512">
        <v>15</v>
      </c>
      <c r="E2782" s="500"/>
      <c r="F2782" s="503"/>
      <c r="G2782" s="502"/>
      <c r="H2782" s="512"/>
      <c r="I2782" s="503"/>
      <c r="J2782" s="503"/>
      <c r="K2782" s="497" t="str">
        <f ca="1">IFERROR(VLOOKUP(C2782,' Disaggregation - Section E '!A$618:N906,3,0),"")</f>
        <v/>
      </c>
      <c r="L2782" s="497"/>
      <c r="M2782" s="497"/>
      <c r="N2782" s="503"/>
      <c r="O2782" s="503"/>
      <c r="P2782" s="503"/>
    </row>
    <row r="2783" spans="1:16" x14ac:dyDescent="0.35">
      <c r="A2783" s="497" t="b">
        <v>0</v>
      </c>
      <c r="B2783" s="497"/>
      <c r="C2783" s="497" t="s">
        <v>5552</v>
      </c>
      <c r="D2783" s="512">
        <v>15</v>
      </c>
      <c r="E2783" s="500"/>
      <c r="F2783" s="503"/>
      <c r="G2783" s="502"/>
      <c r="H2783" s="512"/>
      <c r="I2783" s="503"/>
      <c r="J2783" s="503"/>
      <c r="K2783" s="497" t="str">
        <f ca="1">IFERROR(VLOOKUP(C2783,' Disaggregation - Section E '!A$618:N907,3,0),"")</f>
        <v/>
      </c>
      <c r="L2783" s="497"/>
      <c r="M2783" s="497"/>
      <c r="N2783" s="503"/>
      <c r="O2783" s="503"/>
      <c r="P2783" s="503"/>
    </row>
    <row r="2784" spans="1:16" x14ac:dyDescent="0.35">
      <c r="A2784" s="497" t="b">
        <v>0</v>
      </c>
      <c r="B2784" s="497"/>
      <c r="C2784" s="497" t="s">
        <v>5554</v>
      </c>
      <c r="D2784" s="512">
        <v>15</v>
      </c>
      <c r="E2784" s="500"/>
      <c r="F2784" s="503"/>
      <c r="G2784" s="502"/>
      <c r="H2784" s="512"/>
      <c r="I2784" s="503"/>
      <c r="J2784" s="503"/>
      <c r="K2784" s="497" t="str">
        <f ca="1">IFERROR(VLOOKUP(C2784,' Disaggregation - Section E '!A$618:N908,3,0),"")</f>
        <v/>
      </c>
      <c r="L2784" s="497"/>
      <c r="M2784" s="497"/>
      <c r="N2784" s="503"/>
      <c r="O2784" s="503"/>
      <c r="P2784" s="503"/>
    </row>
    <row r="2785" spans="1:16" x14ac:dyDescent="0.35">
      <c r="A2785" s="497" t="b">
        <v>0</v>
      </c>
      <c r="B2785" s="497"/>
      <c r="C2785" s="497" t="s">
        <v>5556</v>
      </c>
      <c r="D2785" s="512">
        <v>15</v>
      </c>
      <c r="E2785" s="500"/>
      <c r="F2785" s="503"/>
      <c r="G2785" s="502"/>
      <c r="H2785" s="512"/>
      <c r="I2785" s="503"/>
      <c r="J2785" s="503"/>
      <c r="K2785" s="497" t="str">
        <f ca="1">IFERROR(VLOOKUP(C2785,' Disaggregation - Section E '!A$618:N909,3,0),"")</f>
        <v/>
      </c>
      <c r="L2785" s="497"/>
      <c r="M2785" s="497"/>
      <c r="N2785" s="503"/>
      <c r="O2785" s="503"/>
      <c r="P2785" s="503"/>
    </row>
    <row r="2786" spans="1:16" x14ac:dyDescent="0.35">
      <c r="A2786" s="497" t="b">
        <v>0</v>
      </c>
      <c r="B2786" s="497"/>
      <c r="C2786" s="497" t="s">
        <v>5558</v>
      </c>
      <c r="D2786" s="512">
        <v>15</v>
      </c>
      <c r="E2786" s="500"/>
      <c r="F2786" s="503"/>
      <c r="G2786" s="502"/>
      <c r="H2786" s="512"/>
      <c r="I2786" s="503"/>
      <c r="J2786" s="503"/>
      <c r="K2786" s="497" t="str">
        <f ca="1">IFERROR(VLOOKUP(C2786,' Disaggregation - Section E '!A$618:N910,3,0),"")</f>
        <v/>
      </c>
      <c r="L2786" s="497"/>
      <c r="M2786" s="497"/>
      <c r="N2786" s="503"/>
      <c r="O2786" s="503"/>
      <c r="P2786" s="503"/>
    </row>
    <row r="2787" spans="1:16" x14ac:dyDescent="0.35">
      <c r="A2787" s="497" t="b">
        <v>0</v>
      </c>
      <c r="B2787" s="497"/>
      <c r="C2787" s="497" t="s">
        <v>5560</v>
      </c>
      <c r="D2787" s="512">
        <v>15</v>
      </c>
      <c r="E2787" s="500"/>
      <c r="F2787" s="503"/>
      <c r="G2787" s="502"/>
      <c r="H2787" s="512"/>
      <c r="I2787" s="503"/>
      <c r="J2787" s="503"/>
      <c r="K2787" s="497" t="str">
        <f ca="1">IFERROR(VLOOKUP(C2787,' Disaggregation - Section E '!A$618:N911,3,0),"")</f>
        <v/>
      </c>
      <c r="L2787" s="497"/>
      <c r="M2787" s="497"/>
      <c r="N2787" s="503"/>
      <c r="O2787" s="503"/>
      <c r="P2787" s="503"/>
    </row>
    <row r="2788" spans="1:16" x14ac:dyDescent="0.35">
      <c r="A2788" s="497" t="b">
        <v>0</v>
      </c>
      <c r="B2788" s="497"/>
      <c r="C2788" s="497" t="s">
        <v>5562</v>
      </c>
      <c r="D2788" s="512">
        <v>15</v>
      </c>
      <c r="E2788" s="500"/>
      <c r="F2788" s="503"/>
      <c r="G2788" s="502"/>
      <c r="H2788" s="512"/>
      <c r="I2788" s="503"/>
      <c r="J2788" s="503"/>
      <c r="K2788" s="497" t="str">
        <f ca="1">IFERROR(VLOOKUP(C2788,' Disaggregation - Section E '!A$618:N912,3,0),"")</f>
        <v/>
      </c>
      <c r="L2788" s="497"/>
      <c r="M2788" s="497"/>
      <c r="N2788" s="503"/>
      <c r="O2788" s="503"/>
      <c r="P2788" s="503"/>
    </row>
    <row r="2789" spans="1:16" x14ac:dyDescent="0.35">
      <c r="A2789" s="497" t="b">
        <v>0</v>
      </c>
      <c r="B2789" s="497"/>
      <c r="C2789" s="497" t="s">
        <v>5564</v>
      </c>
      <c r="D2789" s="512">
        <v>15</v>
      </c>
      <c r="E2789" s="500"/>
      <c r="F2789" s="503"/>
      <c r="G2789" s="502"/>
      <c r="H2789" s="512"/>
      <c r="I2789" s="503"/>
      <c r="J2789" s="503"/>
      <c r="K2789" s="497" t="str">
        <f ca="1">IFERROR(VLOOKUP(C2789,' Disaggregation - Section E '!A$618:N913,3,0),"")</f>
        <v/>
      </c>
      <c r="L2789" s="497"/>
      <c r="M2789" s="497"/>
      <c r="N2789" s="503"/>
      <c r="O2789" s="503"/>
      <c r="P2789" s="503"/>
    </row>
    <row r="2790" spans="1:16" x14ac:dyDescent="0.35">
      <c r="A2790" s="497" t="b">
        <v>0</v>
      </c>
      <c r="B2790" s="497"/>
      <c r="C2790" s="497" t="s">
        <v>5566</v>
      </c>
      <c r="D2790" s="512">
        <v>15</v>
      </c>
      <c r="E2790" s="500"/>
      <c r="F2790" s="503"/>
      <c r="G2790" s="502"/>
      <c r="H2790" s="512"/>
      <c r="I2790" s="503"/>
      <c r="J2790" s="503"/>
      <c r="K2790" s="497" t="str">
        <f ca="1">IFERROR(VLOOKUP(C2790,' Disaggregation - Section E '!A$618:N914,3,0),"")</f>
        <v/>
      </c>
      <c r="L2790" s="497"/>
      <c r="M2790" s="497"/>
      <c r="N2790" s="503"/>
      <c r="O2790" s="503"/>
      <c r="P2790" s="503"/>
    </row>
    <row r="2791" spans="1:16" x14ac:dyDescent="0.35">
      <c r="A2791" s="497" t="b">
        <v>0</v>
      </c>
      <c r="B2791" s="497"/>
      <c r="C2791" s="497" t="s">
        <v>5568</v>
      </c>
      <c r="D2791" s="512">
        <v>15</v>
      </c>
      <c r="E2791" s="500"/>
      <c r="F2791" s="503"/>
      <c r="G2791" s="502"/>
      <c r="H2791" s="512"/>
      <c r="I2791" s="503"/>
      <c r="J2791" s="503"/>
      <c r="K2791" s="497" t="str">
        <f ca="1">IFERROR(VLOOKUP(C2791,' Disaggregation - Section E '!A$618:N915,3,0),"")</f>
        <v/>
      </c>
      <c r="L2791" s="497"/>
      <c r="M2791" s="497"/>
      <c r="N2791" s="503"/>
      <c r="O2791" s="503"/>
      <c r="P2791" s="503"/>
    </row>
    <row r="2792" spans="1:16" x14ac:dyDescent="0.35">
      <c r="A2792" s="497" t="b">
        <v>0</v>
      </c>
      <c r="B2792" s="497"/>
      <c r="C2792" s="497" t="s">
        <v>5570</v>
      </c>
      <c r="D2792" s="512">
        <v>15</v>
      </c>
      <c r="E2792" s="500"/>
      <c r="F2792" s="503"/>
      <c r="G2792" s="502"/>
      <c r="H2792" s="512"/>
      <c r="I2792" s="503"/>
      <c r="J2792" s="503"/>
      <c r="K2792" s="497" t="str">
        <f ca="1">IFERROR(VLOOKUP(C2792,' Disaggregation - Section E '!A$618:N916,3,0),"")</f>
        <v/>
      </c>
      <c r="L2792" s="497"/>
      <c r="M2792" s="497"/>
      <c r="N2792" s="503"/>
      <c r="O2792" s="503"/>
      <c r="P2792" s="503"/>
    </row>
    <row r="2793" spans="1:16" x14ac:dyDescent="0.35">
      <c r="A2793" s="497" t="b">
        <v>0</v>
      </c>
      <c r="B2793" s="497"/>
      <c r="C2793" s="497" t="s">
        <v>5572</v>
      </c>
      <c r="D2793" s="512">
        <v>15</v>
      </c>
      <c r="E2793" s="500"/>
      <c r="F2793" s="503"/>
      <c r="G2793" s="502"/>
      <c r="H2793" s="512"/>
      <c r="I2793" s="503"/>
      <c r="J2793" s="503"/>
      <c r="K2793" s="497" t="str">
        <f ca="1">IFERROR(VLOOKUP(C2793,' Disaggregation - Section E '!A$618:N917,3,0),"")</f>
        <v/>
      </c>
      <c r="L2793" s="497"/>
      <c r="M2793" s="497"/>
      <c r="N2793" s="503"/>
      <c r="O2793" s="503"/>
      <c r="P2793" s="503"/>
    </row>
    <row r="2794" spans="1:16" x14ac:dyDescent="0.35">
      <c r="A2794" s="497" t="b">
        <v>0</v>
      </c>
      <c r="B2794" s="497"/>
      <c r="C2794" s="497" t="s">
        <v>5574</v>
      </c>
      <c r="D2794" s="512">
        <v>15</v>
      </c>
      <c r="E2794" s="500"/>
      <c r="F2794" s="503"/>
      <c r="G2794" s="502"/>
      <c r="H2794" s="512"/>
      <c r="I2794" s="503"/>
      <c r="J2794" s="503"/>
      <c r="K2794" s="497" t="str">
        <f ca="1">IFERROR(VLOOKUP(C2794,' Disaggregation - Section E '!A$618:N918,3,0),"")</f>
        <v/>
      </c>
      <c r="L2794" s="497"/>
      <c r="M2794" s="497"/>
      <c r="N2794" s="503"/>
      <c r="O2794" s="503"/>
      <c r="P2794" s="503"/>
    </row>
    <row r="2795" spans="1:16" x14ac:dyDescent="0.35">
      <c r="A2795" s="497" t="b">
        <v>0</v>
      </c>
      <c r="B2795" s="497"/>
      <c r="C2795" s="497" t="s">
        <v>5576</v>
      </c>
      <c r="D2795" s="512">
        <v>15</v>
      </c>
      <c r="E2795" s="500"/>
      <c r="F2795" s="503"/>
      <c r="G2795" s="502"/>
      <c r="H2795" s="512"/>
      <c r="I2795" s="503"/>
      <c r="J2795" s="503"/>
      <c r="K2795" s="497" t="str">
        <f ca="1">IFERROR(VLOOKUP(C2795,' Disaggregation - Section E '!A$618:N919,3,0),"")</f>
        <v/>
      </c>
      <c r="L2795" s="497"/>
      <c r="M2795" s="497"/>
      <c r="N2795" s="503"/>
      <c r="O2795" s="503"/>
      <c r="P2795" s="503"/>
    </row>
    <row r="2796" spans="1:16" x14ac:dyDescent="0.35">
      <c r="A2796" s="497" t="b">
        <v>0</v>
      </c>
      <c r="B2796" s="497"/>
      <c r="C2796" s="497" t="s">
        <v>5578</v>
      </c>
      <c r="D2796" s="512">
        <v>15</v>
      </c>
      <c r="E2796" s="500"/>
      <c r="F2796" s="503"/>
      <c r="G2796" s="502"/>
      <c r="H2796" s="512"/>
      <c r="I2796" s="503"/>
      <c r="J2796" s="503"/>
      <c r="K2796" s="497" t="str">
        <f ca="1">IFERROR(VLOOKUP(C2796,' Disaggregation - Section E '!A$618:N920,3,0),"")</f>
        <v/>
      </c>
      <c r="L2796" s="497"/>
      <c r="M2796" s="497"/>
      <c r="N2796" s="503"/>
      <c r="O2796" s="503"/>
      <c r="P2796" s="503"/>
    </row>
    <row r="2797" spans="1:16" x14ac:dyDescent="0.35">
      <c r="A2797" s="497" t="b">
        <v>0</v>
      </c>
      <c r="B2797" s="497"/>
      <c r="C2797" s="497" t="s">
        <v>5580</v>
      </c>
      <c r="D2797" s="512">
        <v>15</v>
      </c>
      <c r="E2797" s="500"/>
      <c r="F2797" s="503"/>
      <c r="G2797" s="502"/>
      <c r="H2797" s="512"/>
      <c r="I2797" s="503"/>
      <c r="J2797" s="503"/>
      <c r="K2797" s="497" t="str">
        <f ca="1">IFERROR(VLOOKUP(C2797,' Disaggregation - Section E '!A$618:N921,3,0),"")</f>
        <v/>
      </c>
      <c r="L2797" s="497"/>
      <c r="M2797" s="497"/>
      <c r="N2797" s="503"/>
      <c r="O2797" s="503"/>
      <c r="P2797" s="503"/>
    </row>
    <row r="2798" spans="1:16" x14ac:dyDescent="0.35">
      <c r="A2798" s="497" t="b">
        <v>0</v>
      </c>
      <c r="B2798" s="497"/>
      <c r="C2798" s="497" t="s">
        <v>5582</v>
      </c>
      <c r="D2798" s="512">
        <v>15</v>
      </c>
      <c r="E2798" s="500"/>
      <c r="F2798" s="503"/>
      <c r="G2798" s="502"/>
      <c r="H2798" s="512"/>
      <c r="I2798" s="503"/>
      <c r="J2798" s="503"/>
      <c r="K2798" s="497" t="str">
        <f ca="1">IFERROR(VLOOKUP(C2798,' Disaggregation - Section E '!A$618:N922,3,0),"")</f>
        <v/>
      </c>
      <c r="L2798" s="497"/>
      <c r="M2798" s="497"/>
      <c r="N2798" s="503"/>
      <c r="O2798" s="503"/>
      <c r="P2798" s="503"/>
    </row>
    <row r="2799" spans="1:16" x14ac:dyDescent="0.35">
      <c r="A2799" s="497" t="b">
        <v>0</v>
      </c>
      <c r="B2799" s="497"/>
      <c r="C2799" s="497" t="s">
        <v>5584</v>
      </c>
      <c r="D2799" s="512">
        <v>15</v>
      </c>
      <c r="E2799" s="500"/>
      <c r="F2799" s="503"/>
      <c r="G2799" s="502"/>
      <c r="H2799" s="512"/>
      <c r="I2799" s="503"/>
      <c r="J2799" s="503"/>
      <c r="K2799" s="497" t="str">
        <f ca="1">IFERROR(VLOOKUP(C2799,' Disaggregation - Section E '!A$618:N923,3,0),"")</f>
        <v/>
      </c>
      <c r="L2799" s="497"/>
      <c r="M2799" s="497"/>
      <c r="N2799" s="503"/>
      <c r="O2799" s="503"/>
      <c r="P2799" s="503"/>
    </row>
    <row r="2800" spans="1:16" x14ac:dyDescent="0.35">
      <c r="A2800" s="497" t="b">
        <v>0</v>
      </c>
      <c r="B2800" s="497"/>
      <c r="C2800" s="497" t="s">
        <v>6818</v>
      </c>
      <c r="D2800" s="512">
        <v>16</v>
      </c>
      <c r="E2800" s="500"/>
      <c r="F2800" s="503"/>
      <c r="G2800" s="502"/>
      <c r="H2800" s="512"/>
      <c r="I2800" s="503"/>
      <c r="J2800" s="503"/>
      <c r="K2800" s="497" t="str">
        <f ca="1">IFERROR(VLOOKUP(C2800,' Disaggregation - Section E '!A$618:N924,3,0),"")</f>
        <v/>
      </c>
      <c r="L2800" s="497"/>
      <c r="M2800" s="497"/>
      <c r="N2800" s="503"/>
      <c r="O2800" s="503"/>
      <c r="P2800" s="503"/>
    </row>
    <row r="2801" spans="1:16" x14ac:dyDescent="0.35">
      <c r="A2801" s="497" t="b">
        <v>0</v>
      </c>
      <c r="B2801" s="497"/>
      <c r="C2801" s="497" t="s">
        <v>6820</v>
      </c>
      <c r="D2801" s="512">
        <v>16</v>
      </c>
      <c r="E2801" s="500"/>
      <c r="F2801" s="503"/>
      <c r="G2801" s="502"/>
      <c r="H2801" s="512"/>
      <c r="I2801" s="503"/>
      <c r="J2801" s="503"/>
      <c r="K2801" s="497" t="str">
        <f ca="1">IFERROR(VLOOKUP(C2801,' Disaggregation - Section E '!A$618:N925,3,0),"")</f>
        <v/>
      </c>
      <c r="L2801" s="497"/>
      <c r="M2801" s="497"/>
      <c r="N2801" s="503"/>
      <c r="O2801" s="503"/>
      <c r="P2801" s="503"/>
    </row>
    <row r="2802" spans="1:16" x14ac:dyDescent="0.35">
      <c r="A2802" s="497" t="b">
        <v>0</v>
      </c>
      <c r="B2802" s="497"/>
      <c r="C2802" s="497" t="s">
        <v>6822</v>
      </c>
      <c r="D2802" s="512">
        <v>16</v>
      </c>
      <c r="E2802" s="500"/>
      <c r="F2802" s="503"/>
      <c r="G2802" s="502"/>
      <c r="H2802" s="512"/>
      <c r="I2802" s="503"/>
      <c r="J2802" s="503"/>
      <c r="K2802" s="497" t="str">
        <f ca="1">IFERROR(VLOOKUP(C2802,' Disaggregation - Section E '!A$618:N926,3,0),"")</f>
        <v/>
      </c>
      <c r="L2802" s="497"/>
      <c r="M2802" s="497"/>
      <c r="N2802" s="503"/>
      <c r="O2802" s="503"/>
      <c r="P2802" s="503"/>
    </row>
    <row r="2803" spans="1:16" x14ac:dyDescent="0.35">
      <c r="A2803" s="497" t="b">
        <v>0</v>
      </c>
      <c r="B2803" s="497"/>
      <c r="C2803" s="497" t="s">
        <v>6824</v>
      </c>
      <c r="D2803" s="512">
        <v>16</v>
      </c>
      <c r="E2803" s="500"/>
      <c r="F2803" s="503"/>
      <c r="G2803" s="502"/>
      <c r="H2803" s="512"/>
      <c r="I2803" s="503"/>
      <c r="J2803" s="503"/>
      <c r="K2803" s="497" t="str">
        <f ca="1">IFERROR(VLOOKUP(C2803,' Disaggregation - Section E '!A$618:N927,3,0),"")</f>
        <v/>
      </c>
      <c r="L2803" s="497"/>
      <c r="M2803" s="497"/>
      <c r="N2803" s="503"/>
      <c r="O2803" s="503"/>
      <c r="P2803" s="503"/>
    </row>
    <row r="2804" spans="1:16" x14ac:dyDescent="0.35">
      <c r="A2804" s="497" t="b">
        <v>0</v>
      </c>
      <c r="B2804" s="497"/>
      <c r="C2804" s="497" t="s">
        <v>6826</v>
      </c>
      <c r="D2804" s="512">
        <v>16</v>
      </c>
      <c r="E2804" s="500"/>
      <c r="F2804" s="503"/>
      <c r="G2804" s="502"/>
      <c r="H2804" s="512"/>
      <c r="I2804" s="503"/>
      <c r="J2804" s="503"/>
      <c r="K2804" s="497" t="str">
        <f ca="1">IFERROR(VLOOKUP(C2804,' Disaggregation - Section E '!A$618:N928,3,0),"")</f>
        <v/>
      </c>
      <c r="L2804" s="497"/>
      <c r="M2804" s="497"/>
      <c r="N2804" s="503"/>
      <c r="O2804" s="503"/>
      <c r="P2804" s="503"/>
    </row>
    <row r="2805" spans="1:16" x14ac:dyDescent="0.35">
      <c r="A2805" s="497" t="b">
        <v>0</v>
      </c>
      <c r="B2805" s="497"/>
      <c r="C2805" s="497" t="s">
        <v>6828</v>
      </c>
      <c r="D2805" s="512">
        <v>16</v>
      </c>
      <c r="E2805" s="500"/>
      <c r="F2805" s="503"/>
      <c r="G2805" s="502"/>
      <c r="H2805" s="512"/>
      <c r="I2805" s="503"/>
      <c r="J2805" s="503"/>
      <c r="K2805" s="497" t="str">
        <f ca="1">IFERROR(VLOOKUP(C2805,' Disaggregation - Section E '!A$618:N929,3,0),"")</f>
        <v/>
      </c>
      <c r="L2805" s="497"/>
      <c r="M2805" s="497"/>
      <c r="N2805" s="503"/>
      <c r="O2805" s="503"/>
      <c r="P2805" s="503"/>
    </row>
    <row r="2806" spans="1:16" x14ac:dyDescent="0.35">
      <c r="A2806" s="497" t="b">
        <v>0</v>
      </c>
      <c r="B2806" s="497"/>
      <c r="C2806" s="497" t="s">
        <v>6830</v>
      </c>
      <c r="D2806" s="512">
        <v>16</v>
      </c>
      <c r="E2806" s="500"/>
      <c r="F2806" s="503"/>
      <c r="G2806" s="502"/>
      <c r="H2806" s="512"/>
      <c r="I2806" s="503"/>
      <c r="J2806" s="503"/>
      <c r="K2806" s="497" t="str">
        <f ca="1">IFERROR(VLOOKUP(C2806,' Disaggregation - Section E '!A$618:N930,3,0),"")</f>
        <v/>
      </c>
      <c r="L2806" s="497"/>
      <c r="M2806" s="497"/>
      <c r="N2806" s="503"/>
      <c r="O2806" s="503"/>
      <c r="P2806" s="503"/>
    </row>
    <row r="2807" spans="1:16" x14ac:dyDescent="0.35">
      <c r="A2807" s="497" t="b">
        <v>0</v>
      </c>
      <c r="B2807" s="497"/>
      <c r="C2807" s="497" t="s">
        <v>6832</v>
      </c>
      <c r="D2807" s="512">
        <v>16</v>
      </c>
      <c r="E2807" s="500"/>
      <c r="F2807" s="503"/>
      <c r="G2807" s="502"/>
      <c r="H2807" s="512"/>
      <c r="I2807" s="503"/>
      <c r="J2807" s="503"/>
      <c r="K2807" s="497" t="str">
        <f ca="1">IFERROR(VLOOKUP(C2807,' Disaggregation - Section E '!A$618:N931,3,0),"")</f>
        <v/>
      </c>
      <c r="L2807" s="497"/>
      <c r="M2807" s="497"/>
      <c r="N2807" s="503"/>
      <c r="O2807" s="503"/>
      <c r="P2807" s="503"/>
    </row>
    <row r="2808" spans="1:16" x14ac:dyDescent="0.35">
      <c r="A2808" s="497" t="b">
        <v>0</v>
      </c>
      <c r="B2808" s="497"/>
      <c r="C2808" s="497" t="s">
        <v>6834</v>
      </c>
      <c r="D2808" s="512">
        <v>16</v>
      </c>
      <c r="E2808" s="500"/>
      <c r="F2808" s="503"/>
      <c r="G2808" s="502"/>
      <c r="H2808" s="512"/>
      <c r="I2808" s="503"/>
      <c r="J2808" s="503"/>
      <c r="K2808" s="497" t="str">
        <f ca="1">IFERROR(VLOOKUP(C2808,' Disaggregation - Section E '!A$618:N932,3,0),"")</f>
        <v/>
      </c>
      <c r="L2808" s="497"/>
      <c r="M2808" s="497"/>
      <c r="N2808" s="503"/>
      <c r="O2808" s="503"/>
      <c r="P2808" s="503"/>
    </row>
    <row r="2809" spans="1:16" x14ac:dyDescent="0.35">
      <c r="A2809" s="497" t="b">
        <v>0</v>
      </c>
      <c r="B2809" s="497"/>
      <c r="C2809" s="497" t="s">
        <v>6836</v>
      </c>
      <c r="D2809" s="512">
        <v>16</v>
      </c>
      <c r="E2809" s="500"/>
      <c r="F2809" s="503"/>
      <c r="G2809" s="502"/>
      <c r="H2809" s="512"/>
      <c r="I2809" s="503"/>
      <c r="J2809" s="503"/>
      <c r="K2809" s="497" t="str">
        <f ca="1">IFERROR(VLOOKUP(C2809,' Disaggregation - Section E '!A$618:N933,3,0),"")</f>
        <v/>
      </c>
      <c r="L2809" s="497"/>
      <c r="M2809" s="497"/>
      <c r="N2809" s="503"/>
      <c r="O2809" s="503"/>
      <c r="P2809" s="503"/>
    </row>
    <row r="2810" spans="1:16" x14ac:dyDescent="0.35">
      <c r="A2810" s="497" t="b">
        <v>0</v>
      </c>
      <c r="B2810" s="497"/>
      <c r="C2810" s="497" t="s">
        <v>6838</v>
      </c>
      <c r="D2810" s="512">
        <v>16</v>
      </c>
      <c r="E2810" s="500"/>
      <c r="F2810" s="503"/>
      <c r="G2810" s="502"/>
      <c r="H2810" s="512"/>
      <c r="I2810" s="503"/>
      <c r="J2810" s="503"/>
      <c r="K2810" s="497" t="str">
        <f ca="1">IFERROR(VLOOKUP(C2810,' Disaggregation - Section E '!A$618:N934,3,0),"")</f>
        <v/>
      </c>
      <c r="L2810" s="497"/>
      <c r="M2810" s="497"/>
      <c r="N2810" s="503"/>
      <c r="O2810" s="503"/>
      <c r="P2810" s="503"/>
    </row>
    <row r="2811" spans="1:16" x14ac:dyDescent="0.35">
      <c r="A2811" s="497" t="b">
        <v>0</v>
      </c>
      <c r="B2811" s="497"/>
      <c r="C2811" s="497" t="s">
        <v>6840</v>
      </c>
      <c r="D2811" s="512">
        <v>16</v>
      </c>
      <c r="E2811" s="500"/>
      <c r="F2811" s="503"/>
      <c r="G2811" s="502"/>
      <c r="H2811" s="512"/>
      <c r="I2811" s="503"/>
      <c r="J2811" s="503"/>
      <c r="K2811" s="497" t="str">
        <f ca="1">IFERROR(VLOOKUP(C2811,' Disaggregation - Section E '!A$618:N935,3,0),"")</f>
        <v/>
      </c>
      <c r="L2811" s="497"/>
      <c r="M2811" s="497"/>
      <c r="N2811" s="503"/>
      <c r="O2811" s="503"/>
      <c r="P2811" s="503"/>
    </row>
    <row r="2812" spans="1:16" x14ac:dyDescent="0.35">
      <c r="A2812" s="497" t="b">
        <v>0</v>
      </c>
      <c r="B2812" s="497"/>
      <c r="C2812" s="497" t="s">
        <v>6842</v>
      </c>
      <c r="D2812" s="512">
        <v>16</v>
      </c>
      <c r="E2812" s="500"/>
      <c r="F2812" s="503"/>
      <c r="G2812" s="502"/>
      <c r="H2812" s="512"/>
      <c r="I2812" s="503"/>
      <c r="J2812" s="503"/>
      <c r="K2812" s="497" t="str">
        <f ca="1">IFERROR(VLOOKUP(C2812,' Disaggregation - Section E '!A$618:N936,3,0),"")</f>
        <v/>
      </c>
      <c r="L2812" s="497"/>
      <c r="M2812" s="497"/>
      <c r="N2812" s="503"/>
      <c r="O2812" s="503"/>
      <c r="P2812" s="503"/>
    </row>
    <row r="2813" spans="1:16" x14ac:dyDescent="0.35">
      <c r="A2813" s="497" t="b">
        <v>0</v>
      </c>
      <c r="B2813" s="497"/>
      <c r="C2813" s="497" t="s">
        <v>6844</v>
      </c>
      <c r="D2813" s="512">
        <v>16</v>
      </c>
      <c r="E2813" s="500"/>
      <c r="F2813" s="503"/>
      <c r="G2813" s="502"/>
      <c r="H2813" s="512"/>
      <c r="I2813" s="503"/>
      <c r="J2813" s="503"/>
      <c r="K2813" s="497" t="str">
        <f ca="1">IFERROR(VLOOKUP(C2813,' Disaggregation - Section E '!A$618:N937,3,0),"")</f>
        <v/>
      </c>
      <c r="L2813" s="497"/>
      <c r="M2813" s="497"/>
      <c r="N2813" s="503"/>
      <c r="O2813" s="503"/>
      <c r="P2813" s="503"/>
    </row>
    <row r="2814" spans="1:16" x14ac:dyDescent="0.35">
      <c r="A2814" s="497" t="b">
        <v>0</v>
      </c>
      <c r="B2814" s="497"/>
      <c r="C2814" s="497" t="s">
        <v>6846</v>
      </c>
      <c r="D2814" s="512">
        <v>16</v>
      </c>
      <c r="E2814" s="500"/>
      <c r="F2814" s="503"/>
      <c r="G2814" s="502"/>
      <c r="H2814" s="512"/>
      <c r="I2814" s="503"/>
      <c r="J2814" s="503"/>
      <c r="K2814" s="497" t="str">
        <f ca="1">IFERROR(VLOOKUP(C2814,' Disaggregation - Section E '!A$618:N938,3,0),"")</f>
        <v/>
      </c>
      <c r="L2814" s="497"/>
      <c r="M2814" s="497"/>
      <c r="N2814" s="503"/>
      <c r="O2814" s="503"/>
      <c r="P2814" s="503"/>
    </row>
    <row r="2815" spans="1:16" x14ac:dyDescent="0.35">
      <c r="A2815" s="497" t="b">
        <v>0</v>
      </c>
      <c r="B2815" s="497"/>
      <c r="C2815" s="497" t="s">
        <v>6848</v>
      </c>
      <c r="D2815" s="512">
        <v>16</v>
      </c>
      <c r="E2815" s="500"/>
      <c r="F2815" s="503"/>
      <c r="G2815" s="502"/>
      <c r="H2815" s="512"/>
      <c r="I2815" s="503"/>
      <c r="J2815" s="503"/>
      <c r="K2815" s="497" t="str">
        <f ca="1">IFERROR(VLOOKUP(C2815,' Disaggregation - Section E '!A$618:N939,3,0),"")</f>
        <v/>
      </c>
      <c r="L2815" s="497"/>
      <c r="M2815" s="497"/>
      <c r="N2815" s="503"/>
      <c r="O2815" s="503"/>
      <c r="P2815" s="503"/>
    </row>
    <row r="2816" spans="1:16" x14ac:dyDescent="0.35">
      <c r="A2816" s="497" t="b">
        <v>0</v>
      </c>
      <c r="B2816" s="497"/>
      <c r="C2816" s="497" t="s">
        <v>6850</v>
      </c>
      <c r="D2816" s="512">
        <v>16</v>
      </c>
      <c r="E2816" s="500"/>
      <c r="F2816" s="503"/>
      <c r="G2816" s="502"/>
      <c r="H2816" s="512"/>
      <c r="I2816" s="503"/>
      <c r="J2816" s="503"/>
      <c r="K2816" s="497" t="str">
        <f ca="1">IFERROR(VLOOKUP(C2816,' Disaggregation - Section E '!A$618:N940,3,0),"")</f>
        <v/>
      </c>
      <c r="L2816" s="497"/>
      <c r="M2816" s="497"/>
      <c r="N2816" s="503"/>
      <c r="O2816" s="503"/>
      <c r="P2816" s="503"/>
    </row>
    <row r="2817" spans="1:16" x14ac:dyDescent="0.35">
      <c r="A2817" s="497" t="b">
        <v>0</v>
      </c>
      <c r="B2817" s="497"/>
      <c r="C2817" s="497" t="s">
        <v>6852</v>
      </c>
      <c r="D2817" s="512">
        <v>16</v>
      </c>
      <c r="E2817" s="500"/>
      <c r="F2817" s="503"/>
      <c r="G2817" s="502"/>
      <c r="H2817" s="512"/>
      <c r="I2817" s="503"/>
      <c r="J2817" s="503"/>
      <c r="K2817" s="497" t="str">
        <f ca="1">IFERROR(VLOOKUP(C2817,' Disaggregation - Section E '!A$618:N941,3,0),"")</f>
        <v/>
      </c>
      <c r="L2817" s="497"/>
      <c r="M2817" s="497"/>
      <c r="N2817" s="503"/>
      <c r="O2817" s="503"/>
      <c r="P2817" s="503"/>
    </row>
    <row r="2818" spans="1:16" x14ac:dyDescent="0.35">
      <c r="A2818" s="497" t="b">
        <v>0</v>
      </c>
      <c r="B2818" s="497"/>
      <c r="C2818" s="497" t="s">
        <v>6854</v>
      </c>
      <c r="D2818" s="512">
        <v>16</v>
      </c>
      <c r="E2818" s="500"/>
      <c r="F2818" s="503"/>
      <c r="G2818" s="502"/>
      <c r="H2818" s="512"/>
      <c r="I2818" s="503"/>
      <c r="J2818" s="503"/>
      <c r="K2818" s="497" t="str">
        <f ca="1">IFERROR(VLOOKUP(C2818,' Disaggregation - Section E '!A$618:N942,3,0),"")</f>
        <v/>
      </c>
      <c r="L2818" s="497"/>
      <c r="M2818" s="497"/>
      <c r="N2818" s="503"/>
      <c r="O2818" s="503"/>
      <c r="P2818" s="503"/>
    </row>
    <row r="2819" spans="1:16" x14ac:dyDescent="0.35">
      <c r="A2819" s="497" t="b">
        <v>0</v>
      </c>
      <c r="B2819" s="497"/>
      <c r="C2819" s="497" t="s">
        <v>6856</v>
      </c>
      <c r="D2819" s="512">
        <v>16</v>
      </c>
      <c r="E2819" s="500"/>
      <c r="F2819" s="503"/>
      <c r="G2819" s="502"/>
      <c r="H2819" s="512"/>
      <c r="I2819" s="503"/>
      <c r="J2819" s="503"/>
      <c r="K2819" s="497" t="str">
        <f ca="1">IFERROR(VLOOKUP(C2819,' Disaggregation - Section E '!A$618:N943,3,0),"")</f>
        <v/>
      </c>
      <c r="L2819" s="497"/>
      <c r="M2819" s="497"/>
      <c r="N2819" s="503"/>
      <c r="O2819" s="503"/>
      <c r="P2819" s="503"/>
    </row>
    <row r="2820" spans="1:16" x14ac:dyDescent="0.35">
      <c r="A2820" s="497" t="b">
        <v>0</v>
      </c>
      <c r="B2820" s="497"/>
      <c r="C2820" s="497" t="s">
        <v>5587</v>
      </c>
      <c r="D2820" s="512">
        <v>17</v>
      </c>
      <c r="E2820" s="500"/>
      <c r="F2820" s="503"/>
      <c r="G2820" s="502"/>
      <c r="H2820" s="512"/>
      <c r="I2820" s="503"/>
      <c r="J2820" s="503"/>
      <c r="K2820" s="497" t="str">
        <f ca="1">IFERROR(VLOOKUP(C2820,' Disaggregation - Section E '!A$618:N944,3,0),"")</f>
        <v/>
      </c>
      <c r="L2820" s="497"/>
      <c r="M2820" s="497"/>
      <c r="N2820" s="503"/>
      <c r="O2820" s="503"/>
      <c r="P2820" s="503"/>
    </row>
    <row r="2821" spans="1:16" x14ac:dyDescent="0.35">
      <c r="A2821" s="497" t="b">
        <v>0</v>
      </c>
      <c r="B2821" s="497"/>
      <c r="C2821" s="497" t="s">
        <v>5589</v>
      </c>
      <c r="D2821" s="512">
        <v>17</v>
      </c>
      <c r="E2821" s="500"/>
      <c r="F2821" s="503"/>
      <c r="G2821" s="502"/>
      <c r="H2821" s="512"/>
      <c r="I2821" s="503"/>
      <c r="J2821" s="503"/>
      <c r="K2821" s="497" t="str">
        <f ca="1">IFERROR(VLOOKUP(C2821,' Disaggregation - Section E '!A$618:N945,3,0),"")</f>
        <v/>
      </c>
      <c r="L2821" s="497"/>
      <c r="M2821" s="497"/>
      <c r="N2821" s="503"/>
      <c r="O2821" s="503"/>
      <c r="P2821" s="503"/>
    </row>
    <row r="2822" spans="1:16" x14ac:dyDescent="0.35">
      <c r="A2822" s="497" t="b">
        <v>0</v>
      </c>
      <c r="B2822" s="497"/>
      <c r="C2822" s="497" t="s">
        <v>5591</v>
      </c>
      <c r="D2822" s="512">
        <v>17</v>
      </c>
      <c r="E2822" s="500"/>
      <c r="F2822" s="503"/>
      <c r="G2822" s="502"/>
      <c r="H2822" s="512"/>
      <c r="I2822" s="503"/>
      <c r="J2822" s="503"/>
      <c r="K2822" s="497" t="str">
        <f ca="1">IFERROR(VLOOKUP(C2822,' Disaggregation - Section E '!A$618:N946,3,0),"")</f>
        <v/>
      </c>
      <c r="L2822" s="497"/>
      <c r="M2822" s="497"/>
      <c r="N2822" s="503"/>
      <c r="O2822" s="503"/>
      <c r="P2822" s="503"/>
    </row>
    <row r="2823" spans="1:16" x14ac:dyDescent="0.35">
      <c r="A2823" s="497" t="b">
        <v>0</v>
      </c>
      <c r="B2823" s="497"/>
      <c r="C2823" s="497" t="s">
        <v>5593</v>
      </c>
      <c r="D2823" s="512">
        <v>17</v>
      </c>
      <c r="E2823" s="500"/>
      <c r="F2823" s="503"/>
      <c r="G2823" s="502"/>
      <c r="H2823" s="512"/>
      <c r="I2823" s="503"/>
      <c r="J2823" s="503"/>
      <c r="K2823" s="497" t="str">
        <f ca="1">IFERROR(VLOOKUP(C2823,' Disaggregation - Section E '!A$618:N947,3,0),"")</f>
        <v/>
      </c>
      <c r="L2823" s="497"/>
      <c r="M2823" s="497"/>
      <c r="N2823" s="503"/>
      <c r="O2823" s="503"/>
      <c r="P2823" s="503"/>
    </row>
    <row r="2824" spans="1:16" x14ac:dyDescent="0.35">
      <c r="A2824" s="497" t="b">
        <v>0</v>
      </c>
      <c r="B2824" s="497"/>
      <c r="C2824" s="497" t="s">
        <v>5595</v>
      </c>
      <c r="D2824" s="512">
        <v>17</v>
      </c>
      <c r="E2824" s="500"/>
      <c r="F2824" s="503"/>
      <c r="G2824" s="502"/>
      <c r="H2824" s="512"/>
      <c r="I2824" s="503"/>
      <c r="J2824" s="503"/>
      <c r="K2824" s="497" t="str">
        <f ca="1">IFERROR(VLOOKUP(C2824,' Disaggregation - Section E '!A$618:N948,3,0),"")</f>
        <v/>
      </c>
      <c r="L2824" s="497"/>
      <c r="M2824" s="497"/>
      <c r="N2824" s="503"/>
      <c r="O2824" s="503"/>
      <c r="P2824" s="503"/>
    </row>
    <row r="2825" spans="1:16" x14ac:dyDescent="0.35">
      <c r="A2825" s="497" t="b">
        <v>0</v>
      </c>
      <c r="B2825" s="497"/>
      <c r="C2825" s="497" t="s">
        <v>5597</v>
      </c>
      <c r="D2825" s="512">
        <v>17</v>
      </c>
      <c r="E2825" s="500"/>
      <c r="F2825" s="503"/>
      <c r="G2825" s="502"/>
      <c r="H2825" s="512"/>
      <c r="I2825" s="503"/>
      <c r="J2825" s="503"/>
      <c r="K2825" s="497" t="str">
        <f ca="1">IFERROR(VLOOKUP(C2825,' Disaggregation - Section E '!A$618:N949,3,0),"")</f>
        <v/>
      </c>
      <c r="L2825" s="497"/>
      <c r="M2825" s="497"/>
      <c r="N2825" s="503"/>
      <c r="O2825" s="503"/>
      <c r="P2825" s="503"/>
    </row>
    <row r="2826" spans="1:16" x14ac:dyDescent="0.35">
      <c r="A2826" s="497" t="b">
        <v>0</v>
      </c>
      <c r="B2826" s="497"/>
      <c r="C2826" s="497" t="s">
        <v>5599</v>
      </c>
      <c r="D2826" s="512">
        <v>17</v>
      </c>
      <c r="E2826" s="500"/>
      <c r="F2826" s="503"/>
      <c r="G2826" s="502"/>
      <c r="H2826" s="512"/>
      <c r="I2826" s="503"/>
      <c r="J2826" s="503"/>
      <c r="K2826" s="497" t="str">
        <f ca="1">IFERROR(VLOOKUP(C2826,' Disaggregation - Section E '!A$618:N950,3,0),"")</f>
        <v/>
      </c>
      <c r="L2826" s="497"/>
      <c r="M2826" s="497"/>
      <c r="N2826" s="503"/>
      <c r="O2826" s="503"/>
      <c r="P2826" s="503"/>
    </row>
    <row r="2827" spans="1:16" x14ac:dyDescent="0.35">
      <c r="A2827" s="497" t="b">
        <v>0</v>
      </c>
      <c r="B2827" s="497"/>
      <c r="C2827" s="497" t="s">
        <v>5601</v>
      </c>
      <c r="D2827" s="512">
        <v>17</v>
      </c>
      <c r="E2827" s="500"/>
      <c r="F2827" s="503"/>
      <c r="G2827" s="502"/>
      <c r="H2827" s="512"/>
      <c r="I2827" s="503"/>
      <c r="J2827" s="503"/>
      <c r="K2827" s="497" t="str">
        <f ca="1">IFERROR(VLOOKUP(C2827,' Disaggregation - Section E '!A$618:N951,3,0),"")</f>
        <v/>
      </c>
      <c r="L2827" s="497"/>
      <c r="M2827" s="497"/>
      <c r="N2827" s="503"/>
      <c r="O2827" s="503"/>
      <c r="P2827" s="503"/>
    </row>
    <row r="2828" spans="1:16" x14ac:dyDescent="0.35">
      <c r="A2828" s="497" t="b">
        <v>0</v>
      </c>
      <c r="B2828" s="497"/>
      <c r="C2828" s="497" t="s">
        <v>5603</v>
      </c>
      <c r="D2828" s="512">
        <v>17</v>
      </c>
      <c r="E2828" s="500"/>
      <c r="F2828" s="503"/>
      <c r="G2828" s="502"/>
      <c r="H2828" s="512"/>
      <c r="I2828" s="503"/>
      <c r="J2828" s="503"/>
      <c r="K2828" s="497" t="str">
        <f ca="1">IFERROR(VLOOKUP(C2828,' Disaggregation - Section E '!A$618:N952,3,0),"")</f>
        <v/>
      </c>
      <c r="L2828" s="497"/>
      <c r="M2828" s="497"/>
      <c r="N2828" s="503"/>
      <c r="O2828" s="503"/>
      <c r="P2828" s="503"/>
    </row>
    <row r="2829" spans="1:16" x14ac:dyDescent="0.35">
      <c r="A2829" s="497" t="b">
        <v>0</v>
      </c>
      <c r="B2829" s="497"/>
      <c r="C2829" s="497" t="s">
        <v>5605</v>
      </c>
      <c r="D2829" s="512">
        <v>17</v>
      </c>
      <c r="E2829" s="500"/>
      <c r="F2829" s="503"/>
      <c r="G2829" s="502"/>
      <c r="H2829" s="512"/>
      <c r="I2829" s="503"/>
      <c r="J2829" s="503"/>
      <c r="K2829" s="497" t="str">
        <f ca="1">IFERROR(VLOOKUP(C2829,' Disaggregation - Section E '!A$618:N953,3,0),"")</f>
        <v/>
      </c>
      <c r="L2829" s="497"/>
      <c r="M2829" s="497"/>
      <c r="N2829" s="503"/>
      <c r="O2829" s="503"/>
      <c r="P2829" s="503"/>
    </row>
    <row r="2830" spans="1:16" x14ac:dyDescent="0.35">
      <c r="A2830" s="497" t="b">
        <v>0</v>
      </c>
      <c r="B2830" s="497"/>
      <c r="C2830" s="497" t="s">
        <v>5607</v>
      </c>
      <c r="D2830" s="512">
        <v>17</v>
      </c>
      <c r="E2830" s="500"/>
      <c r="F2830" s="503"/>
      <c r="G2830" s="502"/>
      <c r="H2830" s="512"/>
      <c r="I2830" s="503"/>
      <c r="J2830" s="503"/>
      <c r="K2830" s="497" t="str">
        <f ca="1">IFERROR(VLOOKUP(C2830,' Disaggregation - Section E '!A$618:N954,3,0),"")</f>
        <v/>
      </c>
      <c r="L2830" s="497"/>
      <c r="M2830" s="497"/>
      <c r="N2830" s="503"/>
      <c r="O2830" s="503"/>
      <c r="P2830" s="503"/>
    </row>
    <row r="2831" spans="1:16" x14ac:dyDescent="0.35">
      <c r="A2831" s="497" t="b">
        <v>0</v>
      </c>
      <c r="B2831" s="497"/>
      <c r="C2831" s="497" t="s">
        <v>5609</v>
      </c>
      <c r="D2831" s="512">
        <v>17</v>
      </c>
      <c r="E2831" s="500"/>
      <c r="F2831" s="503"/>
      <c r="G2831" s="502"/>
      <c r="H2831" s="512"/>
      <c r="I2831" s="503"/>
      <c r="J2831" s="503"/>
      <c r="K2831" s="497" t="str">
        <f ca="1">IFERROR(VLOOKUP(C2831,' Disaggregation - Section E '!A$618:N955,3,0),"")</f>
        <v/>
      </c>
      <c r="L2831" s="497"/>
      <c r="M2831" s="497"/>
      <c r="N2831" s="503"/>
      <c r="O2831" s="503"/>
      <c r="P2831" s="503"/>
    </row>
    <row r="2832" spans="1:16" x14ac:dyDescent="0.35">
      <c r="A2832" s="497" t="b">
        <v>0</v>
      </c>
      <c r="B2832" s="497"/>
      <c r="C2832" s="497" t="s">
        <v>5611</v>
      </c>
      <c r="D2832" s="512">
        <v>17</v>
      </c>
      <c r="E2832" s="500"/>
      <c r="F2832" s="503"/>
      <c r="G2832" s="502"/>
      <c r="H2832" s="512"/>
      <c r="I2832" s="503"/>
      <c r="J2832" s="503"/>
      <c r="K2832" s="497" t="str">
        <f ca="1">IFERROR(VLOOKUP(C2832,' Disaggregation - Section E '!A$618:N956,3,0),"")</f>
        <v/>
      </c>
      <c r="L2832" s="497"/>
      <c r="M2832" s="497"/>
      <c r="N2832" s="503"/>
      <c r="O2832" s="503"/>
      <c r="P2832" s="503"/>
    </row>
    <row r="2833" spans="1:16" x14ac:dyDescent="0.35">
      <c r="A2833" s="497" t="b">
        <v>0</v>
      </c>
      <c r="B2833" s="497"/>
      <c r="C2833" s="497" t="s">
        <v>5613</v>
      </c>
      <c r="D2833" s="512">
        <v>17</v>
      </c>
      <c r="E2833" s="500"/>
      <c r="F2833" s="503"/>
      <c r="G2833" s="502"/>
      <c r="H2833" s="512"/>
      <c r="I2833" s="503"/>
      <c r="J2833" s="503"/>
      <c r="K2833" s="497" t="str">
        <f ca="1">IFERROR(VLOOKUP(C2833,' Disaggregation - Section E '!A$618:N957,3,0),"")</f>
        <v/>
      </c>
      <c r="L2833" s="497"/>
      <c r="M2833" s="497"/>
      <c r="N2833" s="503"/>
      <c r="O2833" s="503"/>
      <c r="P2833" s="503"/>
    </row>
    <row r="2834" spans="1:16" x14ac:dyDescent="0.35">
      <c r="A2834" s="497" t="b">
        <v>0</v>
      </c>
      <c r="B2834" s="497"/>
      <c r="C2834" s="497" t="s">
        <v>5615</v>
      </c>
      <c r="D2834" s="512">
        <v>17</v>
      </c>
      <c r="E2834" s="500"/>
      <c r="F2834" s="503"/>
      <c r="G2834" s="502"/>
      <c r="H2834" s="512"/>
      <c r="I2834" s="503"/>
      <c r="J2834" s="503"/>
      <c r="K2834" s="497" t="str">
        <f ca="1">IFERROR(VLOOKUP(C2834,' Disaggregation - Section E '!A$618:N958,3,0),"")</f>
        <v/>
      </c>
      <c r="L2834" s="497"/>
      <c r="M2834" s="497"/>
      <c r="N2834" s="503"/>
      <c r="O2834" s="503"/>
      <c r="P2834" s="503"/>
    </row>
    <row r="2835" spans="1:16" x14ac:dyDescent="0.35">
      <c r="A2835" s="497" t="b">
        <v>0</v>
      </c>
      <c r="B2835" s="497"/>
      <c r="C2835" s="497" t="s">
        <v>5617</v>
      </c>
      <c r="D2835" s="512">
        <v>17</v>
      </c>
      <c r="E2835" s="500"/>
      <c r="F2835" s="503"/>
      <c r="G2835" s="502"/>
      <c r="H2835" s="512"/>
      <c r="I2835" s="503"/>
      <c r="J2835" s="503"/>
      <c r="K2835" s="497" t="str">
        <f ca="1">IFERROR(VLOOKUP(C2835,' Disaggregation - Section E '!A$618:N959,3,0),"")</f>
        <v/>
      </c>
      <c r="L2835" s="497"/>
      <c r="M2835" s="497"/>
      <c r="N2835" s="503"/>
      <c r="O2835" s="503"/>
      <c r="P2835" s="503"/>
    </row>
    <row r="2836" spans="1:16" x14ac:dyDescent="0.35">
      <c r="A2836" s="497" t="b">
        <v>0</v>
      </c>
      <c r="B2836" s="497"/>
      <c r="C2836" s="497" t="s">
        <v>5619</v>
      </c>
      <c r="D2836" s="512">
        <v>17</v>
      </c>
      <c r="E2836" s="500"/>
      <c r="F2836" s="503"/>
      <c r="G2836" s="502"/>
      <c r="H2836" s="512"/>
      <c r="I2836" s="503"/>
      <c r="J2836" s="503"/>
      <c r="K2836" s="497" t="str">
        <f ca="1">IFERROR(VLOOKUP(C2836,' Disaggregation - Section E '!A$618:N960,3,0),"")</f>
        <v/>
      </c>
      <c r="L2836" s="497"/>
      <c r="M2836" s="497"/>
      <c r="N2836" s="503"/>
      <c r="O2836" s="503"/>
      <c r="P2836" s="503"/>
    </row>
    <row r="2837" spans="1:16" x14ac:dyDescent="0.35">
      <c r="A2837" s="497" t="b">
        <v>0</v>
      </c>
      <c r="B2837" s="497"/>
      <c r="C2837" s="497" t="s">
        <v>5621</v>
      </c>
      <c r="D2837" s="512">
        <v>17</v>
      </c>
      <c r="E2837" s="500"/>
      <c r="F2837" s="503"/>
      <c r="G2837" s="502"/>
      <c r="H2837" s="512"/>
      <c r="I2837" s="503"/>
      <c r="J2837" s="503"/>
      <c r="K2837" s="497" t="str">
        <f ca="1">IFERROR(VLOOKUP(C2837,' Disaggregation - Section E '!A$618:N961,3,0),"")</f>
        <v/>
      </c>
      <c r="L2837" s="497"/>
      <c r="M2837" s="497"/>
      <c r="N2837" s="503"/>
      <c r="O2837" s="503"/>
      <c r="P2837" s="503"/>
    </row>
    <row r="2838" spans="1:16" x14ac:dyDescent="0.35">
      <c r="A2838" s="497" t="b">
        <v>0</v>
      </c>
      <c r="B2838" s="497"/>
      <c r="C2838" s="497" t="s">
        <v>5623</v>
      </c>
      <c r="D2838" s="512">
        <v>17</v>
      </c>
      <c r="E2838" s="500"/>
      <c r="F2838" s="503"/>
      <c r="G2838" s="502"/>
      <c r="H2838" s="512"/>
      <c r="I2838" s="503"/>
      <c r="J2838" s="503"/>
      <c r="K2838" s="497" t="str">
        <f ca="1">IFERROR(VLOOKUP(C2838,' Disaggregation - Section E '!A$618:N962,3,0),"")</f>
        <v/>
      </c>
      <c r="L2838" s="497"/>
      <c r="M2838" s="497"/>
      <c r="N2838" s="503"/>
      <c r="O2838" s="503"/>
      <c r="P2838" s="503"/>
    </row>
    <row r="2839" spans="1:16" x14ac:dyDescent="0.35">
      <c r="A2839" s="497" t="b">
        <v>0</v>
      </c>
      <c r="B2839" s="497"/>
      <c r="C2839" s="497" t="s">
        <v>5625</v>
      </c>
      <c r="D2839" s="512">
        <v>17</v>
      </c>
      <c r="E2839" s="500"/>
      <c r="F2839" s="503"/>
      <c r="G2839" s="502"/>
      <c r="H2839" s="512"/>
      <c r="I2839" s="503"/>
      <c r="J2839" s="503"/>
      <c r="K2839" s="497" t="str">
        <f ca="1">IFERROR(VLOOKUP(C2839,' Disaggregation - Section E '!A$618:N963,3,0),"")</f>
        <v/>
      </c>
      <c r="L2839" s="497"/>
      <c r="M2839" s="497"/>
      <c r="N2839" s="503"/>
      <c r="O2839" s="503"/>
      <c r="P2839" s="503"/>
    </row>
    <row r="2840" spans="1:16" x14ac:dyDescent="0.35">
      <c r="A2840" s="497" t="b">
        <v>0</v>
      </c>
      <c r="B2840" s="497"/>
      <c r="C2840" s="497" t="s">
        <v>6859</v>
      </c>
      <c r="D2840" s="512">
        <v>18</v>
      </c>
      <c r="E2840" s="500"/>
      <c r="F2840" s="503"/>
      <c r="G2840" s="502"/>
      <c r="H2840" s="512"/>
      <c r="I2840" s="503"/>
      <c r="J2840" s="503"/>
      <c r="K2840" s="497" t="str">
        <f ca="1">IFERROR(VLOOKUP(C2840,' Disaggregation - Section E '!A$618:N964,3,0),"")</f>
        <v/>
      </c>
      <c r="L2840" s="497"/>
      <c r="M2840" s="497"/>
      <c r="N2840" s="503"/>
      <c r="O2840" s="503"/>
      <c r="P2840" s="503"/>
    </row>
    <row r="2841" spans="1:16" x14ac:dyDescent="0.35">
      <c r="A2841" s="497" t="b">
        <v>0</v>
      </c>
      <c r="B2841" s="497"/>
      <c r="C2841" s="497" t="s">
        <v>6861</v>
      </c>
      <c r="D2841" s="512">
        <v>18</v>
      </c>
      <c r="E2841" s="500"/>
      <c r="F2841" s="503"/>
      <c r="G2841" s="502"/>
      <c r="H2841" s="512"/>
      <c r="I2841" s="503"/>
      <c r="J2841" s="503"/>
      <c r="K2841" s="497" t="str">
        <f ca="1">IFERROR(VLOOKUP(C2841,' Disaggregation - Section E '!A$618:N965,3,0),"")</f>
        <v/>
      </c>
      <c r="L2841" s="497"/>
      <c r="M2841" s="497"/>
      <c r="N2841" s="503"/>
      <c r="O2841" s="503"/>
      <c r="P2841" s="503"/>
    </row>
    <row r="2842" spans="1:16" x14ac:dyDescent="0.35">
      <c r="A2842" s="497" t="b">
        <v>0</v>
      </c>
      <c r="B2842" s="497"/>
      <c r="C2842" s="497" t="s">
        <v>6863</v>
      </c>
      <c r="D2842" s="512">
        <v>18</v>
      </c>
      <c r="E2842" s="500"/>
      <c r="F2842" s="503"/>
      <c r="G2842" s="502"/>
      <c r="H2842" s="512"/>
      <c r="I2842" s="503"/>
      <c r="J2842" s="503"/>
      <c r="K2842" s="497" t="str">
        <f ca="1">IFERROR(VLOOKUP(C2842,' Disaggregation - Section E '!A$618:N966,3,0),"")</f>
        <v/>
      </c>
      <c r="L2842" s="497"/>
      <c r="M2842" s="497"/>
      <c r="N2842" s="503"/>
      <c r="O2842" s="503"/>
      <c r="P2842" s="503"/>
    </row>
    <row r="2843" spans="1:16" x14ac:dyDescent="0.35">
      <c r="A2843" s="497" t="b">
        <v>0</v>
      </c>
      <c r="B2843" s="497"/>
      <c r="C2843" s="497" t="s">
        <v>6865</v>
      </c>
      <c r="D2843" s="512">
        <v>18</v>
      </c>
      <c r="E2843" s="500"/>
      <c r="F2843" s="503"/>
      <c r="G2843" s="502"/>
      <c r="H2843" s="512"/>
      <c r="I2843" s="503"/>
      <c r="J2843" s="503"/>
      <c r="K2843" s="497" t="str">
        <f ca="1">IFERROR(VLOOKUP(C2843,' Disaggregation - Section E '!A$618:N967,3,0),"")</f>
        <v/>
      </c>
      <c r="L2843" s="497"/>
      <c r="M2843" s="497"/>
      <c r="N2843" s="503"/>
      <c r="O2843" s="503"/>
      <c r="P2843" s="503"/>
    </row>
    <row r="2844" spans="1:16" x14ac:dyDescent="0.35">
      <c r="A2844" s="497" t="b">
        <v>0</v>
      </c>
      <c r="B2844" s="497"/>
      <c r="C2844" s="497" t="s">
        <v>6867</v>
      </c>
      <c r="D2844" s="512">
        <v>18</v>
      </c>
      <c r="E2844" s="500"/>
      <c r="F2844" s="503"/>
      <c r="G2844" s="502"/>
      <c r="H2844" s="512"/>
      <c r="I2844" s="503"/>
      <c r="J2844" s="503"/>
      <c r="K2844" s="497" t="str">
        <f ca="1">IFERROR(VLOOKUP(C2844,' Disaggregation - Section E '!A$618:N968,3,0),"")</f>
        <v/>
      </c>
      <c r="L2844" s="497"/>
      <c r="M2844" s="497"/>
      <c r="N2844" s="503"/>
      <c r="O2844" s="503"/>
      <c r="P2844" s="503"/>
    </row>
    <row r="2845" spans="1:16" x14ac:dyDescent="0.35">
      <c r="A2845" s="497" t="b">
        <v>0</v>
      </c>
      <c r="B2845" s="497"/>
      <c r="C2845" s="497" t="s">
        <v>6869</v>
      </c>
      <c r="D2845" s="512">
        <v>18</v>
      </c>
      <c r="E2845" s="500"/>
      <c r="F2845" s="503"/>
      <c r="G2845" s="502"/>
      <c r="H2845" s="512"/>
      <c r="I2845" s="503"/>
      <c r="J2845" s="503"/>
      <c r="K2845" s="497" t="str">
        <f ca="1">IFERROR(VLOOKUP(C2845,' Disaggregation - Section E '!A$618:N969,3,0),"")</f>
        <v/>
      </c>
      <c r="L2845" s="497"/>
      <c r="M2845" s="497"/>
      <c r="N2845" s="503"/>
      <c r="O2845" s="503"/>
      <c r="P2845" s="503"/>
    </row>
    <row r="2846" spans="1:16" x14ac:dyDescent="0.35">
      <c r="A2846" s="497" t="b">
        <v>0</v>
      </c>
      <c r="B2846" s="497"/>
      <c r="C2846" s="497" t="s">
        <v>6871</v>
      </c>
      <c r="D2846" s="512">
        <v>18</v>
      </c>
      <c r="E2846" s="500"/>
      <c r="F2846" s="503"/>
      <c r="G2846" s="502"/>
      <c r="H2846" s="512"/>
      <c r="I2846" s="503"/>
      <c r="J2846" s="503"/>
      <c r="K2846" s="497" t="str">
        <f ca="1">IFERROR(VLOOKUP(C2846,' Disaggregation - Section E '!A$618:N970,3,0),"")</f>
        <v/>
      </c>
      <c r="L2846" s="497"/>
      <c r="M2846" s="497"/>
      <c r="N2846" s="503"/>
      <c r="O2846" s="503"/>
      <c r="P2846" s="503"/>
    </row>
    <row r="2847" spans="1:16" x14ac:dyDescent="0.35">
      <c r="A2847" s="497" t="b">
        <v>0</v>
      </c>
      <c r="B2847" s="497"/>
      <c r="C2847" s="497" t="s">
        <v>6873</v>
      </c>
      <c r="D2847" s="512">
        <v>18</v>
      </c>
      <c r="E2847" s="500"/>
      <c r="F2847" s="503"/>
      <c r="G2847" s="502"/>
      <c r="H2847" s="512"/>
      <c r="I2847" s="503"/>
      <c r="J2847" s="503"/>
      <c r="K2847" s="497" t="str">
        <f ca="1">IFERROR(VLOOKUP(C2847,' Disaggregation - Section E '!A$618:N971,3,0),"")</f>
        <v/>
      </c>
      <c r="L2847" s="497"/>
      <c r="M2847" s="497"/>
      <c r="N2847" s="503"/>
      <c r="O2847" s="503"/>
      <c r="P2847" s="503"/>
    </row>
    <row r="2848" spans="1:16" x14ac:dyDescent="0.35">
      <c r="A2848" s="497" t="b">
        <v>0</v>
      </c>
      <c r="B2848" s="497"/>
      <c r="C2848" s="497" t="s">
        <v>6875</v>
      </c>
      <c r="D2848" s="512">
        <v>18</v>
      </c>
      <c r="E2848" s="500"/>
      <c r="F2848" s="503"/>
      <c r="G2848" s="502"/>
      <c r="H2848" s="512"/>
      <c r="I2848" s="503"/>
      <c r="J2848" s="503"/>
      <c r="K2848" s="497" t="str">
        <f ca="1">IFERROR(VLOOKUP(C2848,' Disaggregation - Section E '!A$618:N972,3,0),"")</f>
        <v/>
      </c>
      <c r="L2848" s="497"/>
      <c r="M2848" s="497"/>
      <c r="N2848" s="503"/>
      <c r="O2848" s="503"/>
      <c r="P2848" s="503"/>
    </row>
    <row r="2849" spans="1:16" x14ac:dyDescent="0.35">
      <c r="A2849" s="497" t="b">
        <v>0</v>
      </c>
      <c r="B2849" s="497"/>
      <c r="C2849" s="497" t="s">
        <v>6877</v>
      </c>
      <c r="D2849" s="512">
        <v>18</v>
      </c>
      <c r="E2849" s="500"/>
      <c r="F2849" s="503"/>
      <c r="G2849" s="502"/>
      <c r="H2849" s="512"/>
      <c r="I2849" s="503"/>
      <c r="J2849" s="503"/>
      <c r="K2849" s="497" t="str">
        <f ca="1">IFERROR(VLOOKUP(C2849,' Disaggregation - Section E '!A$618:N973,3,0),"")</f>
        <v/>
      </c>
      <c r="L2849" s="497"/>
      <c r="M2849" s="497"/>
      <c r="N2849" s="503"/>
      <c r="O2849" s="503"/>
      <c r="P2849" s="503"/>
    </row>
    <row r="2850" spans="1:16" x14ac:dyDescent="0.35">
      <c r="A2850" s="497" t="b">
        <v>0</v>
      </c>
      <c r="B2850" s="497"/>
      <c r="C2850" s="497" t="s">
        <v>6879</v>
      </c>
      <c r="D2850" s="512">
        <v>18</v>
      </c>
      <c r="E2850" s="500"/>
      <c r="F2850" s="503"/>
      <c r="G2850" s="502"/>
      <c r="H2850" s="512"/>
      <c r="I2850" s="503"/>
      <c r="J2850" s="503"/>
      <c r="K2850" s="497" t="str">
        <f ca="1">IFERROR(VLOOKUP(C2850,' Disaggregation - Section E '!A$618:N974,3,0),"")</f>
        <v/>
      </c>
      <c r="L2850" s="497"/>
      <c r="M2850" s="497"/>
      <c r="N2850" s="503"/>
      <c r="O2850" s="503"/>
      <c r="P2850" s="503"/>
    </row>
    <row r="2851" spans="1:16" x14ac:dyDescent="0.35">
      <c r="A2851" s="497" t="b">
        <v>0</v>
      </c>
      <c r="B2851" s="497"/>
      <c r="C2851" s="497" t="s">
        <v>6881</v>
      </c>
      <c r="D2851" s="512">
        <v>18</v>
      </c>
      <c r="E2851" s="500"/>
      <c r="F2851" s="503"/>
      <c r="G2851" s="502"/>
      <c r="H2851" s="512"/>
      <c r="I2851" s="503"/>
      <c r="J2851" s="503"/>
      <c r="K2851" s="497" t="str">
        <f ca="1">IFERROR(VLOOKUP(C2851,' Disaggregation - Section E '!A$618:N975,3,0),"")</f>
        <v/>
      </c>
      <c r="L2851" s="497"/>
      <c r="M2851" s="497"/>
      <c r="N2851" s="503"/>
      <c r="O2851" s="503"/>
      <c r="P2851" s="503"/>
    </row>
    <row r="2852" spans="1:16" x14ac:dyDescent="0.35">
      <c r="A2852" s="497" t="b">
        <v>0</v>
      </c>
      <c r="B2852" s="497"/>
      <c r="C2852" s="497" t="s">
        <v>6883</v>
      </c>
      <c r="D2852" s="512">
        <v>18</v>
      </c>
      <c r="E2852" s="500"/>
      <c r="F2852" s="503"/>
      <c r="G2852" s="502"/>
      <c r="H2852" s="512"/>
      <c r="I2852" s="503"/>
      <c r="J2852" s="503"/>
      <c r="K2852" s="497" t="str">
        <f ca="1">IFERROR(VLOOKUP(C2852,' Disaggregation - Section E '!A$618:N976,3,0),"")</f>
        <v/>
      </c>
      <c r="L2852" s="497"/>
      <c r="M2852" s="497"/>
      <c r="N2852" s="503"/>
      <c r="O2852" s="503"/>
      <c r="P2852" s="503"/>
    </row>
    <row r="2853" spans="1:16" x14ac:dyDescent="0.35">
      <c r="A2853" s="497" t="b">
        <v>0</v>
      </c>
      <c r="B2853" s="497"/>
      <c r="C2853" s="497" t="s">
        <v>6885</v>
      </c>
      <c r="D2853" s="512">
        <v>18</v>
      </c>
      <c r="E2853" s="500"/>
      <c r="F2853" s="503"/>
      <c r="G2853" s="502"/>
      <c r="H2853" s="512"/>
      <c r="I2853" s="503"/>
      <c r="J2853" s="503"/>
      <c r="K2853" s="497" t="str">
        <f ca="1">IFERROR(VLOOKUP(C2853,' Disaggregation - Section E '!A$618:N977,3,0),"")</f>
        <v/>
      </c>
      <c r="L2853" s="497"/>
      <c r="M2853" s="497"/>
      <c r="N2853" s="503"/>
      <c r="O2853" s="503"/>
      <c r="P2853" s="503"/>
    </row>
    <row r="2854" spans="1:16" x14ac:dyDescent="0.35">
      <c r="A2854" s="497" t="b">
        <v>0</v>
      </c>
      <c r="B2854" s="497"/>
      <c r="C2854" s="497" t="s">
        <v>6887</v>
      </c>
      <c r="D2854" s="512">
        <v>18</v>
      </c>
      <c r="E2854" s="500"/>
      <c r="F2854" s="503"/>
      <c r="G2854" s="502"/>
      <c r="H2854" s="512"/>
      <c r="I2854" s="503"/>
      <c r="J2854" s="503"/>
      <c r="K2854" s="497" t="str">
        <f ca="1">IFERROR(VLOOKUP(C2854,' Disaggregation - Section E '!A$618:N978,3,0),"")</f>
        <v/>
      </c>
      <c r="L2854" s="497"/>
      <c r="M2854" s="497"/>
      <c r="N2854" s="503"/>
      <c r="O2854" s="503"/>
      <c r="P2854" s="503"/>
    </row>
    <row r="2855" spans="1:16" x14ac:dyDescent="0.35">
      <c r="A2855" s="497" t="b">
        <v>0</v>
      </c>
      <c r="B2855" s="497"/>
      <c r="C2855" s="497" t="s">
        <v>6889</v>
      </c>
      <c r="D2855" s="512">
        <v>18</v>
      </c>
      <c r="E2855" s="500"/>
      <c r="F2855" s="503"/>
      <c r="G2855" s="502"/>
      <c r="H2855" s="512"/>
      <c r="I2855" s="503"/>
      <c r="J2855" s="503"/>
      <c r="K2855" s="497" t="str">
        <f ca="1">IFERROR(VLOOKUP(C2855,' Disaggregation - Section E '!A$618:N979,3,0),"")</f>
        <v/>
      </c>
      <c r="L2855" s="497"/>
      <c r="M2855" s="497"/>
      <c r="N2855" s="503"/>
      <c r="O2855" s="503"/>
      <c r="P2855" s="503"/>
    </row>
    <row r="2856" spans="1:16" x14ac:dyDescent="0.35">
      <c r="A2856" s="497" t="b">
        <v>0</v>
      </c>
      <c r="B2856" s="497"/>
      <c r="C2856" s="497" t="s">
        <v>6891</v>
      </c>
      <c r="D2856" s="512">
        <v>18</v>
      </c>
      <c r="E2856" s="500"/>
      <c r="F2856" s="503"/>
      <c r="G2856" s="502"/>
      <c r="H2856" s="512"/>
      <c r="I2856" s="503"/>
      <c r="J2856" s="503"/>
      <c r="K2856" s="497" t="str">
        <f ca="1">IFERROR(VLOOKUP(C2856,' Disaggregation - Section E '!A$618:N980,3,0),"")</f>
        <v/>
      </c>
      <c r="L2856" s="497"/>
      <c r="M2856" s="497"/>
      <c r="N2856" s="503"/>
      <c r="O2856" s="503"/>
      <c r="P2856" s="503"/>
    </row>
    <row r="2857" spans="1:16" x14ac:dyDescent="0.35">
      <c r="A2857" s="497" t="b">
        <v>0</v>
      </c>
      <c r="B2857" s="497"/>
      <c r="C2857" s="497" t="s">
        <v>6893</v>
      </c>
      <c r="D2857" s="512">
        <v>18</v>
      </c>
      <c r="E2857" s="500"/>
      <c r="F2857" s="503"/>
      <c r="G2857" s="502"/>
      <c r="H2857" s="512"/>
      <c r="I2857" s="503"/>
      <c r="J2857" s="503"/>
      <c r="K2857" s="497" t="str">
        <f ca="1">IFERROR(VLOOKUP(C2857,' Disaggregation - Section E '!A$618:N981,3,0),"")</f>
        <v/>
      </c>
      <c r="L2857" s="497"/>
      <c r="M2857" s="497"/>
      <c r="N2857" s="503"/>
      <c r="O2857" s="503"/>
      <c r="P2857" s="503"/>
    </row>
    <row r="2858" spans="1:16" x14ac:dyDescent="0.35">
      <c r="A2858" s="497" t="b">
        <v>0</v>
      </c>
      <c r="B2858" s="497"/>
      <c r="C2858" s="497" t="s">
        <v>6895</v>
      </c>
      <c r="D2858" s="512">
        <v>18</v>
      </c>
      <c r="E2858" s="500"/>
      <c r="F2858" s="503"/>
      <c r="G2858" s="502"/>
      <c r="H2858" s="512"/>
      <c r="I2858" s="503"/>
      <c r="J2858" s="503"/>
      <c r="K2858" s="497" t="str">
        <f ca="1">IFERROR(VLOOKUP(C2858,' Disaggregation - Section E '!A$618:N982,3,0),"")</f>
        <v/>
      </c>
      <c r="L2858" s="497"/>
      <c r="M2858" s="497"/>
      <c r="N2858" s="503"/>
      <c r="O2858" s="503"/>
      <c r="P2858" s="503"/>
    </row>
    <row r="2859" spans="1:16" x14ac:dyDescent="0.35">
      <c r="A2859" s="497" t="b">
        <v>0</v>
      </c>
      <c r="B2859" s="497"/>
      <c r="C2859" s="497" t="s">
        <v>6897</v>
      </c>
      <c r="D2859" s="512">
        <v>18</v>
      </c>
      <c r="E2859" s="500"/>
      <c r="F2859" s="503"/>
      <c r="G2859" s="502"/>
      <c r="H2859" s="512"/>
      <c r="I2859" s="503"/>
      <c r="J2859" s="503"/>
      <c r="K2859" s="497" t="str">
        <f ca="1">IFERROR(VLOOKUP(C2859,' Disaggregation - Section E '!A$618:N983,3,0),"")</f>
        <v/>
      </c>
      <c r="L2859" s="497"/>
      <c r="M2859" s="497"/>
      <c r="N2859" s="503"/>
      <c r="O2859" s="503"/>
      <c r="P2859" s="503"/>
    </row>
    <row r="2860" spans="1:16" x14ac:dyDescent="0.35">
      <c r="A2860" s="497" t="b">
        <v>0</v>
      </c>
      <c r="B2860" s="497"/>
      <c r="C2860" s="497" t="s">
        <v>5669</v>
      </c>
      <c r="D2860" s="512">
        <v>19</v>
      </c>
      <c r="E2860" s="500"/>
      <c r="F2860" s="503"/>
      <c r="G2860" s="502"/>
      <c r="H2860" s="512"/>
      <c r="I2860" s="503"/>
      <c r="J2860" s="503"/>
      <c r="K2860" s="497" t="str">
        <f ca="1">IFERROR(VLOOKUP(C2860,' Disaggregation - Section E '!A$618:N984,3,0),"")</f>
        <v/>
      </c>
      <c r="L2860" s="497"/>
      <c r="M2860" s="497"/>
      <c r="N2860" s="503"/>
      <c r="O2860" s="503"/>
      <c r="P2860" s="503"/>
    </row>
    <row r="2861" spans="1:16" x14ac:dyDescent="0.35">
      <c r="A2861" s="497" t="b">
        <v>0</v>
      </c>
      <c r="B2861" s="497"/>
      <c r="C2861" s="497" t="s">
        <v>5671</v>
      </c>
      <c r="D2861" s="512">
        <v>19</v>
      </c>
      <c r="E2861" s="500"/>
      <c r="F2861" s="503"/>
      <c r="G2861" s="502"/>
      <c r="H2861" s="512"/>
      <c r="I2861" s="503"/>
      <c r="J2861" s="503"/>
      <c r="K2861" s="497" t="str">
        <f ca="1">IFERROR(VLOOKUP(C2861,' Disaggregation - Section E '!A$618:N985,3,0),"")</f>
        <v/>
      </c>
      <c r="L2861" s="497"/>
      <c r="M2861" s="497"/>
      <c r="N2861" s="503"/>
      <c r="O2861" s="503"/>
      <c r="P2861" s="503"/>
    </row>
    <row r="2862" spans="1:16" x14ac:dyDescent="0.35">
      <c r="A2862" s="497" t="b">
        <v>0</v>
      </c>
      <c r="B2862" s="497"/>
      <c r="C2862" s="497" t="s">
        <v>5673</v>
      </c>
      <c r="D2862" s="512">
        <v>19</v>
      </c>
      <c r="E2862" s="500"/>
      <c r="F2862" s="503"/>
      <c r="G2862" s="502"/>
      <c r="H2862" s="512"/>
      <c r="I2862" s="503"/>
      <c r="J2862" s="503"/>
      <c r="K2862" s="497" t="str">
        <f ca="1">IFERROR(VLOOKUP(C2862,' Disaggregation - Section E '!A$618:N986,3,0),"")</f>
        <v/>
      </c>
      <c r="L2862" s="497"/>
      <c r="M2862" s="497"/>
      <c r="N2862" s="503"/>
      <c r="O2862" s="503"/>
      <c r="P2862" s="503"/>
    </row>
    <row r="2863" spans="1:16" x14ac:dyDescent="0.35">
      <c r="A2863" s="497" t="b">
        <v>0</v>
      </c>
      <c r="B2863" s="497"/>
      <c r="C2863" s="497" t="s">
        <v>5675</v>
      </c>
      <c r="D2863" s="512">
        <v>19</v>
      </c>
      <c r="E2863" s="500"/>
      <c r="F2863" s="503"/>
      <c r="G2863" s="502"/>
      <c r="H2863" s="512"/>
      <c r="I2863" s="503"/>
      <c r="J2863" s="503"/>
      <c r="K2863" s="497" t="str">
        <f ca="1">IFERROR(VLOOKUP(C2863,' Disaggregation - Section E '!A$618:N987,3,0),"")</f>
        <v/>
      </c>
      <c r="L2863" s="497"/>
      <c r="M2863" s="497"/>
      <c r="N2863" s="503"/>
      <c r="O2863" s="503"/>
      <c r="P2863" s="503"/>
    </row>
    <row r="2864" spans="1:16" x14ac:dyDescent="0.35">
      <c r="A2864" s="497" t="b">
        <v>0</v>
      </c>
      <c r="B2864" s="497"/>
      <c r="C2864" s="497" t="s">
        <v>5677</v>
      </c>
      <c r="D2864" s="512">
        <v>19</v>
      </c>
      <c r="E2864" s="500"/>
      <c r="F2864" s="503"/>
      <c r="G2864" s="502"/>
      <c r="H2864" s="512"/>
      <c r="I2864" s="503"/>
      <c r="J2864" s="503"/>
      <c r="K2864" s="497" t="str">
        <f ca="1">IFERROR(VLOOKUP(C2864,' Disaggregation - Section E '!A$618:N988,3,0),"")</f>
        <v/>
      </c>
      <c r="L2864" s="497"/>
      <c r="M2864" s="497"/>
      <c r="N2864" s="503"/>
      <c r="O2864" s="503"/>
      <c r="P2864" s="503"/>
    </row>
    <row r="2865" spans="1:16" x14ac:dyDescent="0.35">
      <c r="A2865" s="497" t="b">
        <v>0</v>
      </c>
      <c r="B2865" s="497"/>
      <c r="C2865" s="497" t="s">
        <v>5679</v>
      </c>
      <c r="D2865" s="512">
        <v>19</v>
      </c>
      <c r="E2865" s="500"/>
      <c r="F2865" s="503"/>
      <c r="G2865" s="502"/>
      <c r="H2865" s="512"/>
      <c r="I2865" s="503"/>
      <c r="J2865" s="503"/>
      <c r="K2865" s="497" t="str">
        <f ca="1">IFERROR(VLOOKUP(C2865,' Disaggregation - Section E '!A$618:N989,3,0),"")</f>
        <v/>
      </c>
      <c r="L2865" s="497"/>
      <c r="M2865" s="497"/>
      <c r="N2865" s="503"/>
      <c r="O2865" s="503"/>
      <c r="P2865" s="503"/>
    </row>
    <row r="2866" spans="1:16" x14ac:dyDescent="0.35">
      <c r="A2866" s="497" t="b">
        <v>0</v>
      </c>
      <c r="B2866" s="497"/>
      <c r="C2866" s="497" t="s">
        <v>5681</v>
      </c>
      <c r="D2866" s="512">
        <v>19</v>
      </c>
      <c r="E2866" s="500"/>
      <c r="F2866" s="503"/>
      <c r="G2866" s="502"/>
      <c r="H2866" s="512"/>
      <c r="I2866" s="503"/>
      <c r="J2866" s="503"/>
      <c r="K2866" s="497" t="str">
        <f ca="1">IFERROR(VLOOKUP(C2866,' Disaggregation - Section E '!A$618:N990,3,0),"")</f>
        <v/>
      </c>
      <c r="L2866" s="497"/>
      <c r="M2866" s="497"/>
      <c r="N2866" s="503"/>
      <c r="O2866" s="503"/>
      <c r="P2866" s="503"/>
    </row>
    <row r="2867" spans="1:16" x14ac:dyDescent="0.35">
      <c r="A2867" s="497" t="b">
        <v>0</v>
      </c>
      <c r="B2867" s="497"/>
      <c r="C2867" s="497" t="s">
        <v>5683</v>
      </c>
      <c r="D2867" s="512">
        <v>19</v>
      </c>
      <c r="E2867" s="500"/>
      <c r="F2867" s="503"/>
      <c r="G2867" s="502"/>
      <c r="H2867" s="512"/>
      <c r="I2867" s="503"/>
      <c r="J2867" s="503"/>
      <c r="K2867" s="497" t="str">
        <f ca="1">IFERROR(VLOOKUP(C2867,' Disaggregation - Section E '!A$618:N991,3,0),"")</f>
        <v/>
      </c>
      <c r="L2867" s="497"/>
      <c r="M2867" s="497"/>
      <c r="N2867" s="503"/>
      <c r="O2867" s="503"/>
      <c r="P2867" s="503"/>
    </row>
    <row r="2868" spans="1:16" x14ac:dyDescent="0.35">
      <c r="A2868" s="497" t="b">
        <v>0</v>
      </c>
      <c r="B2868" s="497"/>
      <c r="C2868" s="497" t="s">
        <v>5685</v>
      </c>
      <c r="D2868" s="512">
        <v>19</v>
      </c>
      <c r="E2868" s="500"/>
      <c r="F2868" s="503"/>
      <c r="G2868" s="502"/>
      <c r="H2868" s="512"/>
      <c r="I2868" s="503"/>
      <c r="J2868" s="503"/>
      <c r="K2868" s="497" t="str">
        <f ca="1">IFERROR(VLOOKUP(C2868,' Disaggregation - Section E '!A$618:N992,3,0),"")</f>
        <v/>
      </c>
      <c r="L2868" s="497"/>
      <c r="M2868" s="497"/>
      <c r="N2868" s="503"/>
      <c r="O2868" s="503"/>
      <c r="P2868" s="503"/>
    </row>
    <row r="2869" spans="1:16" x14ac:dyDescent="0.35">
      <c r="A2869" s="497" t="b">
        <v>0</v>
      </c>
      <c r="B2869" s="497"/>
      <c r="C2869" s="497" t="s">
        <v>5687</v>
      </c>
      <c r="D2869" s="512">
        <v>19</v>
      </c>
      <c r="E2869" s="500"/>
      <c r="F2869" s="503"/>
      <c r="G2869" s="502"/>
      <c r="H2869" s="512"/>
      <c r="I2869" s="503"/>
      <c r="J2869" s="503"/>
      <c r="K2869" s="497" t="str">
        <f ca="1">IFERROR(VLOOKUP(C2869,' Disaggregation - Section E '!A$618:N993,3,0),"")</f>
        <v/>
      </c>
      <c r="L2869" s="497"/>
      <c r="M2869" s="497"/>
      <c r="N2869" s="503"/>
      <c r="O2869" s="503"/>
      <c r="P2869" s="503"/>
    </row>
    <row r="2870" spans="1:16" x14ac:dyDescent="0.35">
      <c r="A2870" s="497" t="b">
        <v>0</v>
      </c>
      <c r="B2870" s="497"/>
      <c r="C2870" s="497" t="s">
        <v>5689</v>
      </c>
      <c r="D2870" s="512">
        <v>19</v>
      </c>
      <c r="E2870" s="500"/>
      <c r="F2870" s="503"/>
      <c r="G2870" s="502"/>
      <c r="H2870" s="512"/>
      <c r="I2870" s="503"/>
      <c r="J2870" s="503"/>
      <c r="K2870" s="497" t="str">
        <f ca="1">IFERROR(VLOOKUP(C2870,' Disaggregation - Section E '!A$618:N994,3,0),"")</f>
        <v/>
      </c>
      <c r="L2870" s="497"/>
      <c r="M2870" s="497"/>
      <c r="N2870" s="503"/>
      <c r="O2870" s="503"/>
      <c r="P2870" s="503"/>
    </row>
    <row r="2871" spans="1:16" x14ac:dyDescent="0.35">
      <c r="A2871" s="497" t="b">
        <v>0</v>
      </c>
      <c r="B2871" s="497"/>
      <c r="C2871" s="497" t="s">
        <v>5691</v>
      </c>
      <c r="D2871" s="512">
        <v>19</v>
      </c>
      <c r="E2871" s="500"/>
      <c r="F2871" s="503"/>
      <c r="G2871" s="502"/>
      <c r="H2871" s="512"/>
      <c r="I2871" s="503"/>
      <c r="J2871" s="503"/>
      <c r="K2871" s="497" t="str">
        <f ca="1">IFERROR(VLOOKUP(C2871,' Disaggregation - Section E '!A$618:N995,3,0),"")</f>
        <v/>
      </c>
      <c r="L2871" s="497"/>
      <c r="M2871" s="497"/>
      <c r="N2871" s="503"/>
      <c r="O2871" s="503"/>
      <c r="P2871" s="503"/>
    </row>
    <row r="2872" spans="1:16" x14ac:dyDescent="0.35">
      <c r="A2872" s="497" t="b">
        <v>0</v>
      </c>
      <c r="B2872" s="497"/>
      <c r="C2872" s="497" t="s">
        <v>5693</v>
      </c>
      <c r="D2872" s="512">
        <v>19</v>
      </c>
      <c r="E2872" s="500"/>
      <c r="F2872" s="503"/>
      <c r="G2872" s="502"/>
      <c r="H2872" s="512"/>
      <c r="I2872" s="503"/>
      <c r="J2872" s="503"/>
      <c r="K2872" s="497" t="str">
        <f ca="1">IFERROR(VLOOKUP(C2872,' Disaggregation - Section E '!A$618:N996,3,0),"")</f>
        <v/>
      </c>
      <c r="L2872" s="497"/>
      <c r="M2872" s="497"/>
      <c r="N2872" s="503"/>
      <c r="O2872" s="503"/>
      <c r="P2872" s="503"/>
    </row>
    <row r="2873" spans="1:16" x14ac:dyDescent="0.35">
      <c r="A2873" s="497" t="b">
        <v>0</v>
      </c>
      <c r="B2873" s="497"/>
      <c r="C2873" s="497" t="s">
        <v>5695</v>
      </c>
      <c r="D2873" s="512">
        <v>19</v>
      </c>
      <c r="E2873" s="500"/>
      <c r="F2873" s="503"/>
      <c r="G2873" s="502"/>
      <c r="H2873" s="512"/>
      <c r="I2873" s="503"/>
      <c r="J2873" s="503"/>
      <c r="K2873" s="497" t="str">
        <f ca="1">IFERROR(VLOOKUP(C2873,' Disaggregation - Section E '!A$618:N997,3,0),"")</f>
        <v/>
      </c>
      <c r="L2873" s="497"/>
      <c r="M2873" s="497"/>
      <c r="N2873" s="503"/>
      <c r="O2873" s="503"/>
      <c r="P2873" s="503"/>
    </row>
    <row r="2874" spans="1:16" x14ac:dyDescent="0.35">
      <c r="A2874" s="497" t="b">
        <v>0</v>
      </c>
      <c r="B2874" s="497"/>
      <c r="C2874" s="497" t="s">
        <v>5697</v>
      </c>
      <c r="D2874" s="512">
        <v>19</v>
      </c>
      <c r="E2874" s="500"/>
      <c r="F2874" s="503"/>
      <c r="G2874" s="502"/>
      <c r="H2874" s="512"/>
      <c r="I2874" s="503"/>
      <c r="J2874" s="503"/>
      <c r="K2874" s="497" t="str">
        <f ca="1">IFERROR(VLOOKUP(C2874,' Disaggregation - Section E '!A$618:N998,3,0),"")</f>
        <v/>
      </c>
      <c r="L2874" s="497"/>
      <c r="M2874" s="497"/>
      <c r="N2874" s="503"/>
      <c r="O2874" s="503"/>
      <c r="P2874" s="503"/>
    </row>
    <row r="2875" spans="1:16" x14ac:dyDescent="0.35">
      <c r="A2875" s="497" t="b">
        <v>0</v>
      </c>
      <c r="B2875" s="497"/>
      <c r="C2875" s="497" t="s">
        <v>5699</v>
      </c>
      <c r="D2875" s="512">
        <v>19</v>
      </c>
      <c r="E2875" s="500"/>
      <c r="F2875" s="503"/>
      <c r="G2875" s="502"/>
      <c r="H2875" s="512"/>
      <c r="I2875" s="503"/>
      <c r="J2875" s="503"/>
      <c r="K2875" s="497" t="str">
        <f ca="1">IFERROR(VLOOKUP(C2875,' Disaggregation - Section E '!A$618:N999,3,0),"")</f>
        <v/>
      </c>
      <c r="L2875" s="497"/>
      <c r="M2875" s="497"/>
      <c r="N2875" s="503"/>
      <c r="O2875" s="503"/>
      <c r="P2875" s="503"/>
    </row>
    <row r="2876" spans="1:16" x14ac:dyDescent="0.35">
      <c r="A2876" s="497" t="b">
        <v>0</v>
      </c>
      <c r="B2876" s="497"/>
      <c r="C2876" s="497" t="s">
        <v>5701</v>
      </c>
      <c r="D2876" s="512">
        <v>19</v>
      </c>
      <c r="E2876" s="500"/>
      <c r="F2876" s="503"/>
      <c r="G2876" s="502"/>
      <c r="H2876" s="512"/>
      <c r="I2876" s="503"/>
      <c r="J2876" s="503"/>
      <c r="K2876" s="497" t="str">
        <f ca="1">IFERROR(VLOOKUP(C2876,' Disaggregation - Section E '!A$618:N1000,3,0),"")</f>
        <v/>
      </c>
      <c r="L2876" s="497"/>
      <c r="M2876" s="497"/>
      <c r="N2876" s="503"/>
      <c r="O2876" s="503"/>
      <c r="P2876" s="503"/>
    </row>
    <row r="2877" spans="1:16" x14ac:dyDescent="0.35">
      <c r="A2877" s="497" t="b">
        <v>0</v>
      </c>
      <c r="B2877" s="497"/>
      <c r="C2877" s="497" t="s">
        <v>5703</v>
      </c>
      <c r="D2877" s="512">
        <v>19</v>
      </c>
      <c r="E2877" s="500"/>
      <c r="F2877" s="503"/>
      <c r="G2877" s="502"/>
      <c r="H2877" s="512"/>
      <c r="I2877" s="503"/>
      <c r="J2877" s="503"/>
      <c r="K2877" s="497" t="str">
        <f ca="1">IFERROR(VLOOKUP(C2877,' Disaggregation - Section E '!A$618:N1001,3,0),"")</f>
        <v/>
      </c>
      <c r="L2877" s="497"/>
      <c r="M2877" s="497"/>
      <c r="N2877" s="503"/>
      <c r="O2877" s="503"/>
      <c r="P2877" s="503"/>
    </row>
    <row r="2878" spans="1:16" x14ac:dyDescent="0.35">
      <c r="A2878" s="497" t="b">
        <v>0</v>
      </c>
      <c r="B2878" s="497"/>
      <c r="C2878" s="497" t="s">
        <v>5705</v>
      </c>
      <c r="D2878" s="512">
        <v>19</v>
      </c>
      <c r="E2878" s="500"/>
      <c r="F2878" s="503"/>
      <c r="G2878" s="502"/>
      <c r="H2878" s="512"/>
      <c r="I2878" s="503"/>
      <c r="J2878" s="503"/>
      <c r="K2878" s="497" t="str">
        <f ca="1">IFERROR(VLOOKUP(C2878,' Disaggregation - Section E '!A$618:N1002,3,0),"")</f>
        <v/>
      </c>
      <c r="L2878" s="497"/>
      <c r="M2878" s="497"/>
      <c r="N2878" s="503"/>
      <c r="O2878" s="503"/>
      <c r="P2878" s="503"/>
    </row>
    <row r="2879" spans="1:16" x14ac:dyDescent="0.35">
      <c r="A2879" s="497" t="b">
        <v>0</v>
      </c>
      <c r="B2879" s="497"/>
      <c r="C2879" s="497" t="s">
        <v>5707</v>
      </c>
      <c r="D2879" s="512">
        <v>19</v>
      </c>
      <c r="E2879" s="500"/>
      <c r="F2879" s="503"/>
      <c r="G2879" s="502"/>
      <c r="H2879" s="512"/>
      <c r="I2879" s="503"/>
      <c r="J2879" s="503"/>
      <c r="K2879" s="497" t="str">
        <f ca="1">IFERROR(VLOOKUP(C2879,' Disaggregation - Section E '!A$618:N1003,3,0),"")</f>
        <v/>
      </c>
      <c r="L2879" s="497"/>
      <c r="M2879" s="497"/>
      <c r="N2879" s="503"/>
      <c r="O2879" s="503"/>
      <c r="P2879" s="503"/>
    </row>
    <row r="2880" spans="1:16" x14ac:dyDescent="0.35">
      <c r="A2880" s="497" t="b">
        <v>0</v>
      </c>
      <c r="B2880" s="497"/>
      <c r="C2880" s="497" t="s">
        <v>6900</v>
      </c>
      <c r="D2880" s="512">
        <v>20</v>
      </c>
      <c r="E2880" s="500"/>
      <c r="F2880" s="503"/>
      <c r="G2880" s="502"/>
      <c r="H2880" s="512"/>
      <c r="I2880" s="503"/>
      <c r="J2880" s="503"/>
      <c r="K2880" s="497" t="str">
        <f ca="1">IFERROR(VLOOKUP(C2880,' Disaggregation - Section E '!A$618:N1004,3,0),"")</f>
        <v/>
      </c>
      <c r="L2880" s="497"/>
      <c r="M2880" s="497"/>
      <c r="N2880" s="503"/>
      <c r="O2880" s="503"/>
      <c r="P2880" s="503"/>
    </row>
    <row r="2881" spans="1:16" x14ac:dyDescent="0.35">
      <c r="A2881" s="497" t="b">
        <v>0</v>
      </c>
      <c r="B2881" s="497"/>
      <c r="C2881" s="497" t="s">
        <v>6902</v>
      </c>
      <c r="D2881" s="512">
        <v>20</v>
      </c>
      <c r="E2881" s="500"/>
      <c r="F2881" s="503"/>
      <c r="G2881" s="502"/>
      <c r="H2881" s="512"/>
      <c r="I2881" s="503"/>
      <c r="J2881" s="503"/>
      <c r="K2881" s="497" t="str">
        <f ca="1">IFERROR(VLOOKUP(C2881,' Disaggregation - Section E '!A$618:N1005,3,0),"")</f>
        <v/>
      </c>
      <c r="L2881" s="497"/>
      <c r="M2881" s="497"/>
      <c r="N2881" s="503"/>
      <c r="O2881" s="503"/>
      <c r="P2881" s="503"/>
    </row>
    <row r="2882" spans="1:16" x14ac:dyDescent="0.35">
      <c r="A2882" s="497" t="b">
        <v>0</v>
      </c>
      <c r="B2882" s="497"/>
      <c r="C2882" s="497" t="s">
        <v>6904</v>
      </c>
      <c r="D2882" s="512">
        <v>20</v>
      </c>
      <c r="E2882" s="500"/>
      <c r="F2882" s="503"/>
      <c r="G2882" s="502"/>
      <c r="H2882" s="512"/>
      <c r="I2882" s="503"/>
      <c r="J2882" s="503"/>
      <c r="K2882" s="497" t="str">
        <f ca="1">IFERROR(VLOOKUP(C2882,' Disaggregation - Section E '!A$618:N1006,3,0),"")</f>
        <v/>
      </c>
      <c r="L2882" s="497"/>
      <c r="M2882" s="497"/>
      <c r="N2882" s="503"/>
      <c r="O2882" s="503"/>
      <c r="P2882" s="503"/>
    </row>
    <row r="2883" spans="1:16" x14ac:dyDescent="0.35">
      <c r="A2883" s="497" t="b">
        <v>0</v>
      </c>
      <c r="B2883" s="497"/>
      <c r="C2883" s="497" t="s">
        <v>6906</v>
      </c>
      <c r="D2883" s="512">
        <v>20</v>
      </c>
      <c r="E2883" s="500"/>
      <c r="F2883" s="503"/>
      <c r="G2883" s="502"/>
      <c r="H2883" s="512"/>
      <c r="I2883" s="503"/>
      <c r="J2883" s="503"/>
      <c r="K2883" s="497" t="str">
        <f ca="1">IFERROR(VLOOKUP(C2883,' Disaggregation - Section E '!A$618:N1007,3,0),"")</f>
        <v/>
      </c>
      <c r="L2883" s="497"/>
      <c r="M2883" s="497"/>
      <c r="N2883" s="503"/>
      <c r="O2883" s="503"/>
      <c r="P2883" s="503"/>
    </row>
    <row r="2884" spans="1:16" x14ac:dyDescent="0.35">
      <c r="A2884" s="497" t="b">
        <v>0</v>
      </c>
      <c r="B2884" s="497"/>
      <c r="C2884" s="497" t="s">
        <v>6908</v>
      </c>
      <c r="D2884" s="512">
        <v>20</v>
      </c>
      <c r="E2884" s="500"/>
      <c r="F2884" s="503"/>
      <c r="G2884" s="502"/>
      <c r="H2884" s="512"/>
      <c r="I2884" s="503"/>
      <c r="J2884" s="503"/>
      <c r="K2884" s="497" t="str">
        <f ca="1">IFERROR(VLOOKUP(C2884,' Disaggregation - Section E '!A$618:N1008,3,0),"")</f>
        <v/>
      </c>
      <c r="L2884" s="497"/>
      <c r="M2884" s="497"/>
      <c r="N2884" s="503"/>
      <c r="O2884" s="503"/>
      <c r="P2884" s="503"/>
    </row>
    <row r="2885" spans="1:16" x14ac:dyDescent="0.35">
      <c r="A2885" s="497" t="b">
        <v>0</v>
      </c>
      <c r="B2885" s="497"/>
      <c r="C2885" s="497" t="s">
        <v>6910</v>
      </c>
      <c r="D2885" s="512">
        <v>20</v>
      </c>
      <c r="E2885" s="500"/>
      <c r="F2885" s="503"/>
      <c r="G2885" s="502"/>
      <c r="H2885" s="512"/>
      <c r="I2885" s="503"/>
      <c r="J2885" s="503"/>
      <c r="K2885" s="497" t="str">
        <f ca="1">IFERROR(VLOOKUP(C2885,' Disaggregation - Section E '!A$618:N1009,3,0),"")</f>
        <v/>
      </c>
      <c r="L2885" s="497"/>
      <c r="M2885" s="497"/>
      <c r="N2885" s="503"/>
      <c r="O2885" s="503"/>
      <c r="P2885" s="503"/>
    </row>
    <row r="2886" spans="1:16" x14ac:dyDescent="0.35">
      <c r="A2886" s="497" t="b">
        <v>0</v>
      </c>
      <c r="B2886" s="497"/>
      <c r="C2886" s="497" t="s">
        <v>6912</v>
      </c>
      <c r="D2886" s="512">
        <v>20</v>
      </c>
      <c r="E2886" s="500"/>
      <c r="F2886" s="503"/>
      <c r="G2886" s="502"/>
      <c r="H2886" s="512"/>
      <c r="I2886" s="503"/>
      <c r="J2886" s="503"/>
      <c r="K2886" s="497" t="str">
        <f ca="1">IFERROR(VLOOKUP(C2886,' Disaggregation - Section E '!A$618:N1010,3,0),"")</f>
        <v/>
      </c>
      <c r="L2886" s="497"/>
      <c r="M2886" s="497"/>
      <c r="N2886" s="503"/>
      <c r="O2886" s="503"/>
      <c r="P2886" s="503"/>
    </row>
    <row r="2887" spans="1:16" x14ac:dyDescent="0.35">
      <c r="A2887" s="497" t="b">
        <v>0</v>
      </c>
      <c r="B2887" s="497"/>
      <c r="C2887" s="497" t="s">
        <v>6914</v>
      </c>
      <c r="D2887" s="512">
        <v>20</v>
      </c>
      <c r="E2887" s="500"/>
      <c r="F2887" s="503"/>
      <c r="G2887" s="502"/>
      <c r="H2887" s="512"/>
      <c r="I2887" s="503"/>
      <c r="J2887" s="503"/>
      <c r="K2887" s="497" t="str">
        <f ca="1">IFERROR(VLOOKUP(C2887,' Disaggregation - Section E '!A$618:N1011,3,0),"")</f>
        <v/>
      </c>
      <c r="L2887" s="497"/>
      <c r="M2887" s="497"/>
      <c r="N2887" s="503"/>
      <c r="O2887" s="503"/>
      <c r="P2887" s="503"/>
    </row>
    <row r="2888" spans="1:16" x14ac:dyDescent="0.35">
      <c r="A2888" s="497" t="b">
        <v>0</v>
      </c>
      <c r="B2888" s="497"/>
      <c r="C2888" s="497" t="s">
        <v>6916</v>
      </c>
      <c r="D2888" s="512">
        <v>20</v>
      </c>
      <c r="E2888" s="500"/>
      <c r="F2888" s="503"/>
      <c r="G2888" s="502"/>
      <c r="H2888" s="512"/>
      <c r="I2888" s="503"/>
      <c r="J2888" s="503"/>
      <c r="K2888" s="497" t="str">
        <f ca="1">IFERROR(VLOOKUP(C2888,' Disaggregation - Section E '!A$618:N1012,3,0),"")</f>
        <v/>
      </c>
      <c r="L2888" s="497"/>
      <c r="M2888" s="497"/>
      <c r="N2888" s="503"/>
      <c r="O2888" s="503"/>
      <c r="P2888" s="503"/>
    </row>
    <row r="2889" spans="1:16" x14ac:dyDescent="0.35">
      <c r="A2889" s="497" t="b">
        <v>0</v>
      </c>
      <c r="B2889" s="497"/>
      <c r="C2889" s="497" t="s">
        <v>6918</v>
      </c>
      <c r="D2889" s="512">
        <v>20</v>
      </c>
      <c r="E2889" s="500"/>
      <c r="F2889" s="503"/>
      <c r="G2889" s="502"/>
      <c r="H2889" s="512"/>
      <c r="I2889" s="503"/>
      <c r="J2889" s="503"/>
      <c r="K2889" s="497" t="str">
        <f ca="1">IFERROR(VLOOKUP(C2889,' Disaggregation - Section E '!A$618:N1013,3,0),"")</f>
        <v/>
      </c>
      <c r="L2889" s="497"/>
      <c r="M2889" s="497"/>
      <c r="N2889" s="503"/>
      <c r="O2889" s="503"/>
      <c r="P2889" s="503"/>
    </row>
    <row r="2890" spans="1:16" x14ac:dyDescent="0.35">
      <c r="A2890" s="497" t="b">
        <v>0</v>
      </c>
      <c r="B2890" s="497"/>
      <c r="C2890" s="497" t="s">
        <v>6920</v>
      </c>
      <c r="D2890" s="512">
        <v>20</v>
      </c>
      <c r="E2890" s="500"/>
      <c r="F2890" s="503"/>
      <c r="G2890" s="502"/>
      <c r="H2890" s="512"/>
      <c r="I2890" s="503"/>
      <c r="J2890" s="503"/>
      <c r="K2890" s="497" t="str">
        <f ca="1">IFERROR(VLOOKUP(C2890,' Disaggregation - Section E '!A$618:N1014,3,0),"")</f>
        <v/>
      </c>
      <c r="L2890" s="497"/>
      <c r="M2890" s="497"/>
      <c r="N2890" s="503"/>
      <c r="O2890" s="503"/>
      <c r="P2890" s="503"/>
    </row>
    <row r="2891" spans="1:16" x14ac:dyDescent="0.35">
      <c r="A2891" s="497" t="b">
        <v>0</v>
      </c>
      <c r="B2891" s="497"/>
      <c r="C2891" s="497" t="s">
        <v>6922</v>
      </c>
      <c r="D2891" s="512">
        <v>20</v>
      </c>
      <c r="E2891" s="500"/>
      <c r="F2891" s="503"/>
      <c r="G2891" s="502"/>
      <c r="H2891" s="512"/>
      <c r="I2891" s="503"/>
      <c r="J2891" s="503"/>
      <c r="K2891" s="497" t="str">
        <f ca="1">IFERROR(VLOOKUP(C2891,' Disaggregation - Section E '!A$618:N1015,3,0),"")</f>
        <v/>
      </c>
      <c r="L2891" s="497"/>
      <c r="M2891" s="497"/>
      <c r="N2891" s="503"/>
      <c r="O2891" s="503"/>
      <c r="P2891" s="503"/>
    </row>
    <row r="2892" spans="1:16" x14ac:dyDescent="0.35">
      <c r="A2892" s="497" t="b">
        <v>0</v>
      </c>
      <c r="B2892" s="497"/>
      <c r="C2892" s="497" t="s">
        <v>6924</v>
      </c>
      <c r="D2892" s="512">
        <v>20</v>
      </c>
      <c r="E2892" s="500"/>
      <c r="F2892" s="503"/>
      <c r="G2892" s="502"/>
      <c r="H2892" s="512"/>
      <c r="I2892" s="503"/>
      <c r="J2892" s="503"/>
      <c r="K2892" s="497" t="str">
        <f ca="1">IFERROR(VLOOKUP(C2892,' Disaggregation - Section E '!A$618:N1016,3,0),"")</f>
        <v/>
      </c>
      <c r="L2892" s="497"/>
      <c r="M2892" s="497"/>
      <c r="N2892" s="503"/>
      <c r="O2892" s="503"/>
      <c r="P2892" s="503"/>
    </row>
    <row r="2893" spans="1:16" x14ac:dyDescent="0.35">
      <c r="A2893" s="497" t="b">
        <v>0</v>
      </c>
      <c r="B2893" s="497"/>
      <c r="C2893" s="497" t="s">
        <v>6926</v>
      </c>
      <c r="D2893" s="512">
        <v>20</v>
      </c>
      <c r="E2893" s="500"/>
      <c r="F2893" s="503"/>
      <c r="G2893" s="502"/>
      <c r="H2893" s="512"/>
      <c r="I2893" s="503"/>
      <c r="J2893" s="503"/>
      <c r="K2893" s="497" t="str">
        <f ca="1">IFERROR(VLOOKUP(C2893,' Disaggregation - Section E '!A$618:N1017,3,0),"")</f>
        <v/>
      </c>
      <c r="L2893" s="497"/>
      <c r="M2893" s="497"/>
      <c r="N2893" s="503"/>
      <c r="O2893" s="503"/>
      <c r="P2893" s="503"/>
    </row>
    <row r="2894" spans="1:16" x14ac:dyDescent="0.35">
      <c r="A2894" s="497" t="b">
        <v>0</v>
      </c>
      <c r="B2894" s="497"/>
      <c r="C2894" s="497" t="s">
        <v>6928</v>
      </c>
      <c r="D2894" s="512">
        <v>20</v>
      </c>
      <c r="E2894" s="500"/>
      <c r="F2894" s="503"/>
      <c r="G2894" s="502"/>
      <c r="H2894" s="512"/>
      <c r="I2894" s="503"/>
      <c r="J2894" s="503"/>
      <c r="K2894" s="497" t="str">
        <f ca="1">IFERROR(VLOOKUP(C2894,' Disaggregation - Section E '!A$618:N1018,3,0),"")</f>
        <v/>
      </c>
      <c r="L2894" s="497"/>
      <c r="M2894" s="497"/>
      <c r="N2894" s="503"/>
      <c r="O2894" s="503"/>
      <c r="P2894" s="503"/>
    </row>
    <row r="2895" spans="1:16" x14ac:dyDescent="0.35">
      <c r="A2895" s="497" t="b">
        <v>0</v>
      </c>
      <c r="B2895" s="497"/>
      <c r="C2895" s="497" t="s">
        <v>6930</v>
      </c>
      <c r="D2895" s="512">
        <v>20</v>
      </c>
      <c r="E2895" s="500"/>
      <c r="F2895" s="503"/>
      <c r="G2895" s="502"/>
      <c r="H2895" s="512"/>
      <c r="I2895" s="503"/>
      <c r="J2895" s="503"/>
      <c r="K2895" s="497" t="str">
        <f ca="1">IFERROR(VLOOKUP(C2895,' Disaggregation - Section E '!A$618:N1019,3,0),"")</f>
        <v/>
      </c>
      <c r="L2895" s="497"/>
      <c r="M2895" s="497"/>
      <c r="N2895" s="503"/>
      <c r="O2895" s="503"/>
      <c r="P2895" s="503"/>
    </row>
    <row r="2896" spans="1:16" x14ac:dyDescent="0.35">
      <c r="A2896" s="497" t="b">
        <v>0</v>
      </c>
      <c r="B2896" s="497"/>
      <c r="C2896" s="497" t="s">
        <v>6932</v>
      </c>
      <c r="D2896" s="512">
        <v>20</v>
      </c>
      <c r="E2896" s="500"/>
      <c r="F2896" s="503"/>
      <c r="G2896" s="502"/>
      <c r="H2896" s="512"/>
      <c r="I2896" s="503"/>
      <c r="J2896" s="503"/>
      <c r="K2896" s="497" t="str">
        <f ca="1">IFERROR(VLOOKUP(C2896,' Disaggregation - Section E '!A$618:N1020,3,0),"")</f>
        <v/>
      </c>
      <c r="L2896" s="497"/>
      <c r="M2896" s="497"/>
      <c r="N2896" s="503"/>
      <c r="O2896" s="503"/>
      <c r="P2896" s="503"/>
    </row>
    <row r="2897" spans="1:16" x14ac:dyDescent="0.35">
      <c r="A2897" s="497" t="b">
        <v>0</v>
      </c>
      <c r="B2897" s="497"/>
      <c r="C2897" s="497" t="s">
        <v>6934</v>
      </c>
      <c r="D2897" s="512">
        <v>20</v>
      </c>
      <c r="E2897" s="500"/>
      <c r="F2897" s="503"/>
      <c r="G2897" s="502"/>
      <c r="H2897" s="512"/>
      <c r="I2897" s="503"/>
      <c r="J2897" s="503"/>
      <c r="K2897" s="497" t="str">
        <f ca="1">IFERROR(VLOOKUP(C2897,' Disaggregation - Section E '!A$618:N1021,3,0),"")</f>
        <v/>
      </c>
      <c r="L2897" s="497"/>
      <c r="M2897" s="497"/>
      <c r="N2897" s="503"/>
      <c r="O2897" s="503"/>
      <c r="P2897" s="503"/>
    </row>
    <row r="2898" spans="1:16" x14ac:dyDescent="0.35">
      <c r="A2898" s="497" t="b">
        <v>0</v>
      </c>
      <c r="B2898" s="497"/>
      <c r="C2898" s="497" t="s">
        <v>6936</v>
      </c>
      <c r="D2898" s="512">
        <v>20</v>
      </c>
      <c r="E2898" s="500"/>
      <c r="F2898" s="503"/>
      <c r="G2898" s="502"/>
      <c r="H2898" s="512"/>
      <c r="I2898" s="503"/>
      <c r="J2898" s="503"/>
      <c r="K2898" s="497" t="str">
        <f ca="1">IFERROR(VLOOKUP(C2898,' Disaggregation - Section E '!A$618:N1022,3,0),"")</f>
        <v/>
      </c>
      <c r="L2898" s="497"/>
      <c r="M2898" s="497"/>
      <c r="N2898" s="503"/>
      <c r="O2898" s="503"/>
      <c r="P2898" s="503"/>
    </row>
    <row r="2899" spans="1:16" x14ac:dyDescent="0.35">
      <c r="A2899" s="497" t="b">
        <v>0</v>
      </c>
      <c r="B2899" s="497"/>
      <c r="C2899" s="497" t="s">
        <v>6938</v>
      </c>
      <c r="D2899" s="512">
        <v>20</v>
      </c>
      <c r="E2899" s="500"/>
      <c r="F2899" s="503"/>
      <c r="G2899" s="502"/>
      <c r="H2899" s="512"/>
      <c r="I2899" s="503"/>
      <c r="J2899" s="503"/>
      <c r="K2899" s="497" t="str">
        <f ca="1">IFERROR(VLOOKUP(C2899,' Disaggregation - Section E '!A$618:N1023,3,0),"")</f>
        <v/>
      </c>
      <c r="L2899" s="497"/>
      <c r="M2899" s="497"/>
      <c r="N2899" s="503"/>
      <c r="O2899" s="503"/>
      <c r="P2899" s="503"/>
    </row>
    <row r="2900" spans="1:16" x14ac:dyDescent="0.35">
      <c r="A2900" s="497" t="b">
        <v>0</v>
      </c>
      <c r="B2900" s="497"/>
      <c r="C2900" s="497" t="s">
        <v>5710</v>
      </c>
      <c r="D2900" s="512">
        <v>21</v>
      </c>
      <c r="E2900" s="500"/>
      <c r="F2900" s="503"/>
      <c r="G2900" s="502"/>
      <c r="H2900" s="512"/>
      <c r="I2900" s="503"/>
      <c r="J2900" s="503"/>
      <c r="K2900" s="497" t="str">
        <f ca="1">IFERROR(VLOOKUP(C2900,' Disaggregation - Section E '!A$618:N1024,3,0),"")</f>
        <v/>
      </c>
      <c r="L2900" s="497"/>
      <c r="M2900" s="497"/>
      <c r="N2900" s="503"/>
      <c r="O2900" s="503"/>
      <c r="P2900" s="503"/>
    </row>
    <row r="2901" spans="1:16" x14ac:dyDescent="0.35">
      <c r="A2901" s="497" t="b">
        <v>0</v>
      </c>
      <c r="B2901" s="497"/>
      <c r="C2901" s="497" t="s">
        <v>5712</v>
      </c>
      <c r="D2901" s="512">
        <v>21</v>
      </c>
      <c r="E2901" s="500"/>
      <c r="F2901" s="503"/>
      <c r="G2901" s="502"/>
      <c r="H2901" s="512"/>
      <c r="I2901" s="503"/>
      <c r="J2901" s="503"/>
      <c r="K2901" s="497" t="str">
        <f ca="1">IFERROR(VLOOKUP(C2901,' Disaggregation - Section E '!A$618:N1025,3,0),"")</f>
        <v/>
      </c>
      <c r="L2901" s="497"/>
      <c r="M2901" s="497"/>
      <c r="N2901" s="503"/>
      <c r="O2901" s="503"/>
      <c r="P2901" s="503"/>
    </row>
    <row r="2902" spans="1:16" x14ac:dyDescent="0.35">
      <c r="A2902" s="497" t="b">
        <v>0</v>
      </c>
      <c r="B2902" s="497"/>
      <c r="C2902" s="497" t="s">
        <v>5714</v>
      </c>
      <c r="D2902" s="512">
        <v>21</v>
      </c>
      <c r="E2902" s="500"/>
      <c r="F2902" s="503"/>
      <c r="G2902" s="502"/>
      <c r="H2902" s="512"/>
      <c r="I2902" s="503"/>
      <c r="J2902" s="503"/>
      <c r="K2902" s="497" t="str">
        <f ca="1">IFERROR(VLOOKUP(C2902,' Disaggregation - Section E '!A$618:N1026,3,0),"")</f>
        <v/>
      </c>
      <c r="L2902" s="497"/>
      <c r="M2902" s="497"/>
      <c r="N2902" s="503"/>
      <c r="O2902" s="503"/>
      <c r="P2902" s="503"/>
    </row>
    <row r="2903" spans="1:16" x14ac:dyDescent="0.35">
      <c r="A2903" s="497" t="b">
        <v>0</v>
      </c>
      <c r="B2903" s="497"/>
      <c r="C2903" s="497" t="s">
        <v>5716</v>
      </c>
      <c r="D2903" s="512">
        <v>21</v>
      </c>
      <c r="E2903" s="500"/>
      <c r="F2903" s="503"/>
      <c r="G2903" s="502"/>
      <c r="H2903" s="512"/>
      <c r="I2903" s="503"/>
      <c r="J2903" s="503"/>
      <c r="K2903" s="497" t="str">
        <f ca="1">IFERROR(VLOOKUP(C2903,' Disaggregation - Section E '!A$618:N1027,3,0),"")</f>
        <v/>
      </c>
      <c r="L2903" s="497"/>
      <c r="M2903" s="497"/>
      <c r="N2903" s="503"/>
      <c r="O2903" s="503"/>
      <c r="P2903" s="503"/>
    </row>
    <row r="2904" spans="1:16" x14ac:dyDescent="0.35">
      <c r="A2904" s="497" t="b">
        <v>0</v>
      </c>
      <c r="B2904" s="497"/>
      <c r="C2904" s="497" t="s">
        <v>5718</v>
      </c>
      <c r="D2904" s="512">
        <v>21</v>
      </c>
      <c r="E2904" s="500"/>
      <c r="F2904" s="503"/>
      <c r="G2904" s="502"/>
      <c r="H2904" s="512"/>
      <c r="I2904" s="503"/>
      <c r="J2904" s="503"/>
      <c r="K2904" s="497" t="str">
        <f ca="1">IFERROR(VLOOKUP(C2904,' Disaggregation - Section E '!A$618:N1028,3,0),"")</f>
        <v/>
      </c>
      <c r="L2904" s="497"/>
      <c r="M2904" s="497"/>
      <c r="N2904" s="503"/>
      <c r="O2904" s="503"/>
      <c r="P2904" s="503"/>
    </row>
    <row r="2905" spans="1:16" x14ac:dyDescent="0.35">
      <c r="A2905" s="497" t="b">
        <v>0</v>
      </c>
      <c r="B2905" s="497"/>
      <c r="C2905" s="497" t="s">
        <v>5720</v>
      </c>
      <c r="D2905" s="512">
        <v>21</v>
      </c>
      <c r="E2905" s="500"/>
      <c r="F2905" s="503"/>
      <c r="G2905" s="502"/>
      <c r="H2905" s="512"/>
      <c r="I2905" s="503"/>
      <c r="J2905" s="503"/>
      <c r="K2905" s="497" t="str">
        <f ca="1">IFERROR(VLOOKUP(C2905,' Disaggregation - Section E '!A$618:N1029,3,0),"")</f>
        <v/>
      </c>
      <c r="L2905" s="497"/>
      <c r="M2905" s="497"/>
      <c r="N2905" s="503"/>
      <c r="O2905" s="503"/>
      <c r="P2905" s="503"/>
    </row>
    <row r="2906" spans="1:16" x14ac:dyDescent="0.35">
      <c r="A2906" s="497" t="b">
        <v>0</v>
      </c>
      <c r="B2906" s="497"/>
      <c r="C2906" s="497" t="s">
        <v>5722</v>
      </c>
      <c r="D2906" s="512">
        <v>21</v>
      </c>
      <c r="E2906" s="500"/>
      <c r="F2906" s="503"/>
      <c r="G2906" s="502"/>
      <c r="H2906" s="512"/>
      <c r="I2906" s="503"/>
      <c r="J2906" s="503"/>
      <c r="K2906" s="497" t="str">
        <f ca="1">IFERROR(VLOOKUP(C2906,' Disaggregation - Section E '!A$618:N1030,3,0),"")</f>
        <v/>
      </c>
      <c r="L2906" s="497"/>
      <c r="M2906" s="497"/>
      <c r="N2906" s="503"/>
      <c r="O2906" s="503"/>
      <c r="P2906" s="503"/>
    </row>
    <row r="2907" spans="1:16" x14ac:dyDescent="0.35">
      <c r="A2907" s="497" t="b">
        <v>0</v>
      </c>
      <c r="B2907" s="497"/>
      <c r="C2907" s="497" t="s">
        <v>5724</v>
      </c>
      <c r="D2907" s="512">
        <v>21</v>
      </c>
      <c r="E2907" s="500"/>
      <c r="F2907" s="503"/>
      <c r="G2907" s="502"/>
      <c r="H2907" s="512"/>
      <c r="I2907" s="503"/>
      <c r="J2907" s="503"/>
      <c r="K2907" s="497" t="str">
        <f ca="1">IFERROR(VLOOKUP(C2907,' Disaggregation - Section E '!A$618:N1031,3,0),"")</f>
        <v/>
      </c>
      <c r="L2907" s="497"/>
      <c r="M2907" s="497"/>
      <c r="N2907" s="503"/>
      <c r="O2907" s="503"/>
      <c r="P2907" s="503"/>
    </row>
    <row r="2908" spans="1:16" x14ac:dyDescent="0.35">
      <c r="A2908" s="497" t="b">
        <v>0</v>
      </c>
      <c r="B2908" s="497"/>
      <c r="C2908" s="497" t="s">
        <v>5726</v>
      </c>
      <c r="D2908" s="512">
        <v>21</v>
      </c>
      <c r="E2908" s="500"/>
      <c r="F2908" s="503"/>
      <c r="G2908" s="502"/>
      <c r="H2908" s="512"/>
      <c r="I2908" s="503"/>
      <c r="J2908" s="503"/>
      <c r="K2908" s="497" t="str">
        <f ca="1">IFERROR(VLOOKUP(C2908,' Disaggregation - Section E '!A$618:N1032,3,0),"")</f>
        <v/>
      </c>
      <c r="L2908" s="497"/>
      <c r="M2908" s="497"/>
      <c r="N2908" s="503"/>
      <c r="O2908" s="503"/>
      <c r="P2908" s="503"/>
    </row>
    <row r="2909" spans="1:16" x14ac:dyDescent="0.35">
      <c r="A2909" s="497" t="b">
        <v>0</v>
      </c>
      <c r="B2909" s="497"/>
      <c r="C2909" s="497" t="s">
        <v>5728</v>
      </c>
      <c r="D2909" s="512">
        <v>21</v>
      </c>
      <c r="E2909" s="500"/>
      <c r="F2909" s="503"/>
      <c r="G2909" s="502"/>
      <c r="H2909" s="512"/>
      <c r="I2909" s="503"/>
      <c r="J2909" s="503"/>
      <c r="K2909" s="497" t="str">
        <f ca="1">IFERROR(VLOOKUP(C2909,' Disaggregation - Section E '!A$618:N1033,3,0),"")</f>
        <v/>
      </c>
      <c r="L2909" s="497"/>
      <c r="M2909" s="497"/>
      <c r="N2909" s="503"/>
      <c r="O2909" s="503"/>
      <c r="P2909" s="503"/>
    </row>
    <row r="2910" spans="1:16" x14ac:dyDescent="0.35">
      <c r="A2910" s="497" t="b">
        <v>0</v>
      </c>
      <c r="B2910" s="497"/>
      <c r="C2910" s="497" t="s">
        <v>5730</v>
      </c>
      <c r="D2910" s="512">
        <v>21</v>
      </c>
      <c r="E2910" s="500"/>
      <c r="F2910" s="503"/>
      <c r="G2910" s="502"/>
      <c r="H2910" s="512"/>
      <c r="I2910" s="503"/>
      <c r="J2910" s="503"/>
      <c r="K2910" s="497" t="str">
        <f ca="1">IFERROR(VLOOKUP(C2910,' Disaggregation - Section E '!A$618:N1034,3,0),"")</f>
        <v/>
      </c>
      <c r="L2910" s="497"/>
      <c r="M2910" s="497"/>
      <c r="N2910" s="503"/>
      <c r="O2910" s="503"/>
      <c r="P2910" s="503"/>
    </row>
    <row r="2911" spans="1:16" x14ac:dyDescent="0.35">
      <c r="A2911" s="497" t="b">
        <v>0</v>
      </c>
      <c r="B2911" s="497"/>
      <c r="C2911" s="497" t="s">
        <v>5732</v>
      </c>
      <c r="D2911" s="512">
        <v>21</v>
      </c>
      <c r="E2911" s="500"/>
      <c r="F2911" s="503"/>
      <c r="G2911" s="502"/>
      <c r="H2911" s="512"/>
      <c r="I2911" s="503"/>
      <c r="J2911" s="503"/>
      <c r="K2911" s="497" t="str">
        <f ca="1">IFERROR(VLOOKUP(C2911,' Disaggregation - Section E '!A$618:N1035,3,0),"")</f>
        <v/>
      </c>
      <c r="L2911" s="497"/>
      <c r="M2911" s="497"/>
      <c r="N2911" s="503"/>
      <c r="O2911" s="503"/>
      <c r="P2911" s="503"/>
    </row>
    <row r="2912" spans="1:16" x14ac:dyDescent="0.35">
      <c r="A2912" s="497" t="b">
        <v>0</v>
      </c>
      <c r="B2912" s="497"/>
      <c r="C2912" s="497" t="s">
        <v>5734</v>
      </c>
      <c r="D2912" s="512">
        <v>21</v>
      </c>
      <c r="E2912" s="500"/>
      <c r="F2912" s="503"/>
      <c r="G2912" s="502"/>
      <c r="H2912" s="512"/>
      <c r="I2912" s="503"/>
      <c r="J2912" s="503"/>
      <c r="K2912" s="497" t="str">
        <f ca="1">IFERROR(VLOOKUP(C2912,' Disaggregation - Section E '!A$618:N1036,3,0),"")</f>
        <v/>
      </c>
      <c r="L2912" s="497"/>
      <c r="M2912" s="497"/>
      <c r="N2912" s="503"/>
      <c r="O2912" s="503"/>
      <c r="P2912" s="503"/>
    </row>
    <row r="2913" spans="1:16" x14ac:dyDescent="0.35">
      <c r="A2913" s="497" t="b">
        <v>0</v>
      </c>
      <c r="B2913" s="497"/>
      <c r="C2913" s="497" t="s">
        <v>5736</v>
      </c>
      <c r="D2913" s="512">
        <v>21</v>
      </c>
      <c r="E2913" s="500"/>
      <c r="F2913" s="503"/>
      <c r="G2913" s="502"/>
      <c r="H2913" s="512"/>
      <c r="I2913" s="503"/>
      <c r="J2913" s="503"/>
      <c r="K2913" s="497" t="str">
        <f ca="1">IFERROR(VLOOKUP(C2913,' Disaggregation - Section E '!A$618:N1037,3,0),"")</f>
        <v/>
      </c>
      <c r="L2913" s="497"/>
      <c r="M2913" s="497"/>
      <c r="N2913" s="503"/>
      <c r="O2913" s="503"/>
      <c r="P2913" s="503"/>
    </row>
    <row r="2914" spans="1:16" x14ac:dyDescent="0.35">
      <c r="A2914" s="497" t="b">
        <v>0</v>
      </c>
      <c r="B2914" s="497"/>
      <c r="C2914" s="497" t="s">
        <v>5738</v>
      </c>
      <c r="D2914" s="512">
        <v>21</v>
      </c>
      <c r="E2914" s="500"/>
      <c r="F2914" s="503"/>
      <c r="G2914" s="502"/>
      <c r="H2914" s="512"/>
      <c r="I2914" s="503"/>
      <c r="J2914" s="503"/>
      <c r="K2914" s="497" t="str">
        <f ca="1">IFERROR(VLOOKUP(C2914,' Disaggregation - Section E '!A$618:N1038,3,0),"")</f>
        <v/>
      </c>
      <c r="L2914" s="497"/>
      <c r="M2914" s="497"/>
      <c r="N2914" s="503"/>
      <c r="O2914" s="503"/>
      <c r="P2914" s="503"/>
    </row>
    <row r="2915" spans="1:16" x14ac:dyDescent="0.35">
      <c r="A2915" s="497" t="b">
        <v>0</v>
      </c>
      <c r="B2915" s="497"/>
      <c r="C2915" s="497" t="s">
        <v>5740</v>
      </c>
      <c r="D2915" s="512">
        <v>21</v>
      </c>
      <c r="E2915" s="500"/>
      <c r="F2915" s="503"/>
      <c r="G2915" s="502"/>
      <c r="H2915" s="512"/>
      <c r="I2915" s="503"/>
      <c r="J2915" s="503"/>
      <c r="K2915" s="497" t="str">
        <f ca="1">IFERROR(VLOOKUP(C2915,' Disaggregation - Section E '!A$618:N1039,3,0),"")</f>
        <v/>
      </c>
      <c r="L2915" s="497"/>
      <c r="M2915" s="497"/>
      <c r="N2915" s="503"/>
      <c r="O2915" s="503"/>
      <c r="P2915" s="503"/>
    </row>
    <row r="2916" spans="1:16" x14ac:dyDescent="0.35">
      <c r="A2916" s="497" t="b">
        <v>0</v>
      </c>
      <c r="B2916" s="497"/>
      <c r="C2916" s="497" t="s">
        <v>5742</v>
      </c>
      <c r="D2916" s="512">
        <v>21</v>
      </c>
      <c r="E2916" s="500"/>
      <c r="F2916" s="503"/>
      <c r="G2916" s="502"/>
      <c r="H2916" s="512"/>
      <c r="I2916" s="503"/>
      <c r="J2916" s="503"/>
      <c r="K2916" s="497" t="str">
        <f ca="1">IFERROR(VLOOKUP(C2916,' Disaggregation - Section E '!A$618:N1040,3,0),"")</f>
        <v/>
      </c>
      <c r="L2916" s="497"/>
      <c r="M2916" s="497"/>
      <c r="N2916" s="503"/>
      <c r="O2916" s="503"/>
      <c r="P2916" s="503"/>
    </row>
    <row r="2917" spans="1:16" x14ac:dyDescent="0.35">
      <c r="A2917" s="497" t="b">
        <v>0</v>
      </c>
      <c r="B2917" s="497"/>
      <c r="C2917" s="497" t="s">
        <v>5744</v>
      </c>
      <c r="D2917" s="512">
        <v>21</v>
      </c>
      <c r="E2917" s="500"/>
      <c r="F2917" s="503"/>
      <c r="G2917" s="502"/>
      <c r="H2917" s="512"/>
      <c r="I2917" s="503"/>
      <c r="J2917" s="503"/>
      <c r="K2917" s="497" t="str">
        <f ca="1">IFERROR(VLOOKUP(C2917,' Disaggregation - Section E '!A$618:N1041,3,0),"")</f>
        <v/>
      </c>
      <c r="L2917" s="497"/>
      <c r="M2917" s="497"/>
      <c r="N2917" s="503"/>
      <c r="O2917" s="503"/>
      <c r="P2917" s="503"/>
    </row>
    <row r="2918" spans="1:16" x14ac:dyDescent="0.35">
      <c r="A2918" s="497" t="b">
        <v>0</v>
      </c>
      <c r="B2918" s="497"/>
      <c r="C2918" s="497" t="s">
        <v>5746</v>
      </c>
      <c r="D2918" s="512">
        <v>21</v>
      </c>
      <c r="E2918" s="500"/>
      <c r="F2918" s="503"/>
      <c r="G2918" s="502"/>
      <c r="H2918" s="512"/>
      <c r="I2918" s="503"/>
      <c r="J2918" s="503"/>
      <c r="K2918" s="497" t="str">
        <f ca="1">IFERROR(VLOOKUP(C2918,' Disaggregation - Section E '!A$618:N1042,3,0),"")</f>
        <v/>
      </c>
      <c r="L2918" s="497"/>
      <c r="M2918" s="497"/>
      <c r="N2918" s="503"/>
      <c r="O2918" s="503"/>
      <c r="P2918" s="503"/>
    </row>
    <row r="2919" spans="1:16" x14ac:dyDescent="0.35">
      <c r="A2919" s="497" t="b">
        <v>0</v>
      </c>
      <c r="B2919" s="497"/>
      <c r="C2919" s="497" t="s">
        <v>5748</v>
      </c>
      <c r="D2919" s="512">
        <v>21</v>
      </c>
      <c r="E2919" s="500"/>
      <c r="F2919" s="503"/>
      <c r="G2919" s="502"/>
      <c r="H2919" s="512"/>
      <c r="I2919" s="503"/>
      <c r="J2919" s="503"/>
      <c r="K2919" s="497" t="str">
        <f ca="1">IFERROR(VLOOKUP(C2919,' Disaggregation - Section E '!A$618:N1043,3,0),"")</f>
        <v/>
      </c>
      <c r="L2919" s="497"/>
      <c r="M2919" s="497"/>
      <c r="N2919" s="503"/>
      <c r="O2919" s="503"/>
      <c r="P2919" s="503"/>
    </row>
    <row r="2920" spans="1:16" x14ac:dyDescent="0.35">
      <c r="A2920" s="497" t="b">
        <v>0</v>
      </c>
      <c r="B2920" s="497"/>
      <c r="C2920" s="497" t="s">
        <v>6941</v>
      </c>
      <c r="D2920" s="512">
        <v>22</v>
      </c>
      <c r="E2920" s="500"/>
      <c r="F2920" s="503"/>
      <c r="G2920" s="502"/>
      <c r="H2920" s="512"/>
      <c r="I2920" s="503"/>
      <c r="J2920" s="503"/>
      <c r="K2920" s="497" t="str">
        <f ca="1">IFERROR(VLOOKUP(C2920,' Disaggregation - Section E '!A$618:N1044,3,0),"")</f>
        <v/>
      </c>
      <c r="L2920" s="497"/>
      <c r="M2920" s="497"/>
      <c r="N2920" s="503"/>
      <c r="O2920" s="503"/>
      <c r="P2920" s="503"/>
    </row>
    <row r="2921" spans="1:16" x14ac:dyDescent="0.35">
      <c r="A2921" s="497" t="b">
        <v>0</v>
      </c>
      <c r="B2921" s="497"/>
      <c r="C2921" s="497" t="s">
        <v>6943</v>
      </c>
      <c r="D2921" s="512">
        <v>22</v>
      </c>
      <c r="E2921" s="500"/>
      <c r="F2921" s="503"/>
      <c r="G2921" s="502"/>
      <c r="H2921" s="512"/>
      <c r="I2921" s="503"/>
      <c r="J2921" s="503"/>
      <c r="K2921" s="497" t="str">
        <f ca="1">IFERROR(VLOOKUP(C2921,' Disaggregation - Section E '!A$618:N1045,3,0),"")</f>
        <v/>
      </c>
      <c r="L2921" s="497"/>
      <c r="M2921" s="497"/>
      <c r="N2921" s="503"/>
      <c r="O2921" s="503"/>
      <c r="P2921" s="503"/>
    </row>
    <row r="2922" spans="1:16" x14ac:dyDescent="0.35">
      <c r="A2922" s="497" t="b">
        <v>0</v>
      </c>
      <c r="B2922" s="497"/>
      <c r="C2922" s="497" t="s">
        <v>6945</v>
      </c>
      <c r="D2922" s="512">
        <v>22</v>
      </c>
      <c r="E2922" s="500"/>
      <c r="F2922" s="503"/>
      <c r="G2922" s="502"/>
      <c r="H2922" s="512"/>
      <c r="I2922" s="503"/>
      <c r="J2922" s="503"/>
      <c r="K2922" s="497" t="str">
        <f ca="1">IFERROR(VLOOKUP(C2922,' Disaggregation - Section E '!A$618:N1046,3,0),"")</f>
        <v/>
      </c>
      <c r="L2922" s="497"/>
      <c r="M2922" s="497"/>
      <c r="N2922" s="503"/>
      <c r="O2922" s="503"/>
      <c r="P2922" s="503"/>
    </row>
    <row r="2923" spans="1:16" x14ac:dyDescent="0.35">
      <c r="A2923" s="497" t="b">
        <v>0</v>
      </c>
      <c r="B2923" s="497"/>
      <c r="C2923" s="497" t="s">
        <v>6947</v>
      </c>
      <c r="D2923" s="512">
        <v>22</v>
      </c>
      <c r="E2923" s="500"/>
      <c r="F2923" s="503"/>
      <c r="G2923" s="502"/>
      <c r="H2923" s="512"/>
      <c r="I2923" s="503"/>
      <c r="J2923" s="503"/>
      <c r="K2923" s="497" t="str">
        <f ca="1">IFERROR(VLOOKUP(C2923,' Disaggregation - Section E '!A$618:N1047,3,0),"")</f>
        <v/>
      </c>
      <c r="L2923" s="497"/>
      <c r="M2923" s="497"/>
      <c r="N2923" s="503"/>
      <c r="O2923" s="503"/>
      <c r="P2923" s="503"/>
    </row>
    <row r="2924" spans="1:16" x14ac:dyDescent="0.35">
      <c r="A2924" s="497" t="b">
        <v>0</v>
      </c>
      <c r="B2924" s="497"/>
      <c r="C2924" s="497" t="s">
        <v>6949</v>
      </c>
      <c r="D2924" s="512">
        <v>22</v>
      </c>
      <c r="E2924" s="500"/>
      <c r="F2924" s="503"/>
      <c r="G2924" s="502"/>
      <c r="H2924" s="512"/>
      <c r="I2924" s="503"/>
      <c r="J2924" s="503"/>
      <c r="K2924" s="497" t="str">
        <f ca="1">IFERROR(VLOOKUP(C2924,' Disaggregation - Section E '!A$618:N1048,3,0),"")</f>
        <v/>
      </c>
      <c r="L2924" s="497"/>
      <c r="M2924" s="497"/>
      <c r="N2924" s="503"/>
      <c r="O2924" s="503"/>
      <c r="P2924" s="503"/>
    </row>
    <row r="2925" spans="1:16" x14ac:dyDescent="0.35">
      <c r="A2925" s="497" t="b">
        <v>0</v>
      </c>
      <c r="B2925" s="497"/>
      <c r="C2925" s="497" t="s">
        <v>6951</v>
      </c>
      <c r="D2925" s="512">
        <v>22</v>
      </c>
      <c r="E2925" s="500"/>
      <c r="F2925" s="503"/>
      <c r="G2925" s="502"/>
      <c r="H2925" s="512"/>
      <c r="I2925" s="503"/>
      <c r="J2925" s="503"/>
      <c r="K2925" s="497" t="str">
        <f ca="1">IFERROR(VLOOKUP(C2925,' Disaggregation - Section E '!A$618:N1049,3,0),"")</f>
        <v/>
      </c>
      <c r="L2925" s="497"/>
      <c r="M2925" s="497"/>
      <c r="N2925" s="503"/>
      <c r="O2925" s="503"/>
      <c r="P2925" s="503"/>
    </row>
    <row r="2926" spans="1:16" x14ac:dyDescent="0.35">
      <c r="A2926" s="497" t="b">
        <v>0</v>
      </c>
      <c r="B2926" s="497"/>
      <c r="C2926" s="497" t="s">
        <v>6953</v>
      </c>
      <c r="D2926" s="512">
        <v>22</v>
      </c>
      <c r="E2926" s="500"/>
      <c r="F2926" s="503"/>
      <c r="G2926" s="502"/>
      <c r="H2926" s="512"/>
      <c r="I2926" s="503"/>
      <c r="J2926" s="503"/>
      <c r="K2926" s="497" t="str">
        <f ca="1">IFERROR(VLOOKUP(C2926,' Disaggregation - Section E '!A$618:N1050,3,0),"")</f>
        <v/>
      </c>
      <c r="L2926" s="497"/>
      <c r="M2926" s="497"/>
      <c r="N2926" s="503"/>
      <c r="O2926" s="503"/>
      <c r="P2926" s="503"/>
    </row>
    <row r="2927" spans="1:16" x14ac:dyDescent="0.35">
      <c r="A2927" s="497" t="b">
        <v>0</v>
      </c>
      <c r="B2927" s="497"/>
      <c r="C2927" s="497" t="s">
        <v>6955</v>
      </c>
      <c r="D2927" s="512">
        <v>22</v>
      </c>
      <c r="E2927" s="500"/>
      <c r="F2927" s="503"/>
      <c r="G2927" s="502"/>
      <c r="H2927" s="512"/>
      <c r="I2927" s="503"/>
      <c r="J2927" s="503"/>
      <c r="K2927" s="497" t="str">
        <f ca="1">IFERROR(VLOOKUP(C2927,' Disaggregation - Section E '!A$618:N1051,3,0),"")</f>
        <v/>
      </c>
      <c r="L2927" s="497"/>
      <c r="M2927" s="497"/>
      <c r="N2927" s="503"/>
      <c r="O2927" s="503"/>
      <c r="P2927" s="503"/>
    </row>
    <row r="2928" spans="1:16" x14ac:dyDescent="0.35">
      <c r="A2928" s="497" t="b">
        <v>0</v>
      </c>
      <c r="B2928" s="497"/>
      <c r="C2928" s="497" t="s">
        <v>6957</v>
      </c>
      <c r="D2928" s="512">
        <v>22</v>
      </c>
      <c r="E2928" s="500"/>
      <c r="F2928" s="503"/>
      <c r="G2928" s="502"/>
      <c r="H2928" s="512"/>
      <c r="I2928" s="503"/>
      <c r="J2928" s="503"/>
      <c r="K2928" s="497" t="str">
        <f ca="1">IFERROR(VLOOKUP(C2928,' Disaggregation - Section E '!A$618:N1052,3,0),"")</f>
        <v/>
      </c>
      <c r="L2928" s="497"/>
      <c r="M2928" s="497"/>
      <c r="N2928" s="503"/>
      <c r="O2928" s="503"/>
      <c r="P2928" s="503"/>
    </row>
    <row r="2929" spans="1:16" x14ac:dyDescent="0.35">
      <c r="A2929" s="497" t="b">
        <v>0</v>
      </c>
      <c r="B2929" s="497"/>
      <c r="C2929" s="497" t="s">
        <v>6959</v>
      </c>
      <c r="D2929" s="512">
        <v>22</v>
      </c>
      <c r="E2929" s="500"/>
      <c r="F2929" s="503"/>
      <c r="G2929" s="502"/>
      <c r="H2929" s="512"/>
      <c r="I2929" s="503"/>
      <c r="J2929" s="503"/>
      <c r="K2929" s="497" t="str">
        <f ca="1">IFERROR(VLOOKUP(C2929,' Disaggregation - Section E '!A$618:N1053,3,0),"")</f>
        <v/>
      </c>
      <c r="L2929" s="497"/>
      <c r="M2929" s="497"/>
      <c r="N2929" s="503"/>
      <c r="O2929" s="503"/>
      <c r="P2929" s="503"/>
    </row>
    <row r="2930" spans="1:16" x14ac:dyDescent="0.35">
      <c r="A2930" s="497" t="b">
        <v>0</v>
      </c>
      <c r="B2930" s="497"/>
      <c r="C2930" s="497" t="s">
        <v>6961</v>
      </c>
      <c r="D2930" s="512">
        <v>22</v>
      </c>
      <c r="E2930" s="500"/>
      <c r="F2930" s="503"/>
      <c r="G2930" s="502"/>
      <c r="H2930" s="512"/>
      <c r="I2930" s="503"/>
      <c r="J2930" s="503"/>
      <c r="K2930" s="497" t="str">
        <f ca="1">IFERROR(VLOOKUP(C2930,' Disaggregation - Section E '!A$618:N1054,3,0),"")</f>
        <v/>
      </c>
      <c r="L2930" s="497"/>
      <c r="M2930" s="497"/>
      <c r="N2930" s="503"/>
      <c r="O2930" s="503"/>
      <c r="P2930" s="503"/>
    </row>
    <row r="2931" spans="1:16" x14ac:dyDescent="0.35">
      <c r="A2931" s="497" t="b">
        <v>0</v>
      </c>
      <c r="B2931" s="497"/>
      <c r="C2931" s="497" t="s">
        <v>6963</v>
      </c>
      <c r="D2931" s="512">
        <v>22</v>
      </c>
      <c r="E2931" s="500"/>
      <c r="F2931" s="503"/>
      <c r="G2931" s="502"/>
      <c r="H2931" s="512"/>
      <c r="I2931" s="503"/>
      <c r="J2931" s="503"/>
      <c r="K2931" s="497" t="str">
        <f ca="1">IFERROR(VLOOKUP(C2931,' Disaggregation - Section E '!A$618:N1055,3,0),"")</f>
        <v/>
      </c>
      <c r="L2931" s="497"/>
      <c r="M2931" s="497"/>
      <c r="N2931" s="503"/>
      <c r="O2931" s="503"/>
      <c r="P2931" s="503"/>
    </row>
    <row r="2932" spans="1:16" x14ac:dyDescent="0.35">
      <c r="A2932" s="497" t="b">
        <v>0</v>
      </c>
      <c r="B2932" s="497"/>
      <c r="C2932" s="497" t="s">
        <v>6965</v>
      </c>
      <c r="D2932" s="512">
        <v>22</v>
      </c>
      <c r="E2932" s="500"/>
      <c r="F2932" s="503"/>
      <c r="G2932" s="502"/>
      <c r="H2932" s="512"/>
      <c r="I2932" s="503"/>
      <c r="J2932" s="503"/>
      <c r="K2932" s="497" t="str">
        <f ca="1">IFERROR(VLOOKUP(C2932,' Disaggregation - Section E '!A$618:N1056,3,0),"")</f>
        <v/>
      </c>
      <c r="L2932" s="497"/>
      <c r="M2932" s="497"/>
      <c r="N2932" s="503"/>
      <c r="O2932" s="503"/>
      <c r="P2932" s="503"/>
    </row>
    <row r="2933" spans="1:16" x14ac:dyDescent="0.35">
      <c r="A2933" s="497" t="b">
        <v>0</v>
      </c>
      <c r="B2933" s="497"/>
      <c r="C2933" s="497" t="s">
        <v>6967</v>
      </c>
      <c r="D2933" s="512">
        <v>22</v>
      </c>
      <c r="E2933" s="500"/>
      <c r="F2933" s="503"/>
      <c r="G2933" s="502"/>
      <c r="H2933" s="512"/>
      <c r="I2933" s="503"/>
      <c r="J2933" s="503"/>
      <c r="K2933" s="497" t="str">
        <f ca="1">IFERROR(VLOOKUP(C2933,' Disaggregation - Section E '!A$618:N1057,3,0),"")</f>
        <v/>
      </c>
      <c r="L2933" s="497"/>
      <c r="M2933" s="497"/>
      <c r="N2933" s="503"/>
      <c r="O2933" s="503"/>
      <c r="P2933" s="503"/>
    </row>
    <row r="2934" spans="1:16" x14ac:dyDescent="0.35">
      <c r="A2934" s="497" t="b">
        <v>0</v>
      </c>
      <c r="B2934" s="497"/>
      <c r="C2934" s="497" t="s">
        <v>6969</v>
      </c>
      <c r="D2934" s="512">
        <v>22</v>
      </c>
      <c r="E2934" s="500"/>
      <c r="F2934" s="503"/>
      <c r="G2934" s="502"/>
      <c r="H2934" s="512"/>
      <c r="I2934" s="503"/>
      <c r="J2934" s="503"/>
      <c r="K2934" s="497" t="str">
        <f ca="1">IFERROR(VLOOKUP(C2934,' Disaggregation - Section E '!A$618:N1058,3,0),"")</f>
        <v/>
      </c>
      <c r="L2934" s="497"/>
      <c r="M2934" s="497"/>
      <c r="N2934" s="503"/>
      <c r="O2934" s="503"/>
      <c r="P2934" s="503"/>
    </row>
    <row r="2935" spans="1:16" x14ac:dyDescent="0.35">
      <c r="A2935" s="497" t="b">
        <v>0</v>
      </c>
      <c r="B2935" s="497"/>
      <c r="C2935" s="497" t="s">
        <v>6971</v>
      </c>
      <c r="D2935" s="512">
        <v>22</v>
      </c>
      <c r="E2935" s="500"/>
      <c r="F2935" s="503"/>
      <c r="G2935" s="502"/>
      <c r="H2935" s="512"/>
      <c r="I2935" s="503"/>
      <c r="J2935" s="503"/>
      <c r="K2935" s="497" t="str">
        <f ca="1">IFERROR(VLOOKUP(C2935,' Disaggregation - Section E '!A$618:N1059,3,0),"")</f>
        <v/>
      </c>
      <c r="L2935" s="497"/>
      <c r="M2935" s="497"/>
      <c r="N2935" s="503"/>
      <c r="O2935" s="503"/>
      <c r="P2935" s="503"/>
    </row>
    <row r="2936" spans="1:16" x14ac:dyDescent="0.35">
      <c r="A2936" s="497" t="b">
        <v>0</v>
      </c>
      <c r="B2936" s="497"/>
      <c r="C2936" s="497" t="s">
        <v>6973</v>
      </c>
      <c r="D2936" s="512">
        <v>22</v>
      </c>
      <c r="E2936" s="500"/>
      <c r="F2936" s="503"/>
      <c r="G2936" s="502"/>
      <c r="H2936" s="512"/>
      <c r="I2936" s="503"/>
      <c r="J2936" s="503"/>
      <c r="K2936" s="497" t="str">
        <f ca="1">IFERROR(VLOOKUP(C2936,' Disaggregation - Section E '!A$618:N1060,3,0),"")</f>
        <v/>
      </c>
      <c r="L2936" s="497"/>
      <c r="M2936" s="497"/>
      <c r="N2936" s="503"/>
      <c r="O2936" s="503"/>
      <c r="P2936" s="503"/>
    </row>
    <row r="2937" spans="1:16" x14ac:dyDescent="0.35">
      <c r="A2937" s="497" t="b">
        <v>0</v>
      </c>
      <c r="B2937" s="497"/>
      <c r="C2937" s="497" t="s">
        <v>6975</v>
      </c>
      <c r="D2937" s="512">
        <v>22</v>
      </c>
      <c r="E2937" s="500"/>
      <c r="F2937" s="503"/>
      <c r="G2937" s="502"/>
      <c r="H2937" s="512"/>
      <c r="I2937" s="503"/>
      <c r="J2937" s="503"/>
      <c r="K2937" s="497" t="str">
        <f ca="1">IFERROR(VLOOKUP(C2937,' Disaggregation - Section E '!A$618:N1061,3,0),"")</f>
        <v/>
      </c>
      <c r="L2937" s="497"/>
      <c r="M2937" s="497"/>
      <c r="N2937" s="503"/>
      <c r="O2937" s="503"/>
      <c r="P2937" s="503"/>
    </row>
    <row r="2938" spans="1:16" x14ac:dyDescent="0.35">
      <c r="A2938" s="497" t="b">
        <v>0</v>
      </c>
      <c r="B2938" s="497"/>
      <c r="C2938" s="497" t="s">
        <v>6977</v>
      </c>
      <c r="D2938" s="512">
        <v>22</v>
      </c>
      <c r="E2938" s="500"/>
      <c r="F2938" s="503"/>
      <c r="G2938" s="502"/>
      <c r="H2938" s="512"/>
      <c r="I2938" s="503"/>
      <c r="J2938" s="503"/>
      <c r="K2938" s="497" t="str">
        <f ca="1">IFERROR(VLOOKUP(C2938,' Disaggregation - Section E '!A$618:N1062,3,0),"")</f>
        <v/>
      </c>
      <c r="L2938" s="497"/>
      <c r="M2938" s="497"/>
      <c r="N2938" s="503"/>
      <c r="O2938" s="503"/>
      <c r="P2938" s="503"/>
    </row>
    <row r="2939" spans="1:16" x14ac:dyDescent="0.35">
      <c r="A2939" s="497" t="b">
        <v>0</v>
      </c>
      <c r="B2939" s="497"/>
      <c r="C2939" s="497" t="s">
        <v>6979</v>
      </c>
      <c r="D2939" s="512">
        <v>22</v>
      </c>
      <c r="E2939" s="500"/>
      <c r="F2939" s="503"/>
      <c r="G2939" s="502"/>
      <c r="H2939" s="512"/>
      <c r="I2939" s="503"/>
      <c r="J2939" s="503"/>
      <c r="K2939" s="497" t="str">
        <f ca="1">IFERROR(VLOOKUP(C2939,' Disaggregation - Section E '!A$618:N1063,3,0),"")</f>
        <v/>
      </c>
      <c r="L2939" s="497"/>
      <c r="M2939" s="497"/>
      <c r="N2939" s="503"/>
      <c r="O2939" s="503"/>
      <c r="P2939" s="503"/>
    </row>
    <row r="2940" spans="1:16" x14ac:dyDescent="0.35">
      <c r="A2940" s="497" t="b">
        <v>0</v>
      </c>
      <c r="B2940" s="497"/>
      <c r="C2940" s="497" t="s">
        <v>5751</v>
      </c>
      <c r="D2940" s="512">
        <v>23</v>
      </c>
      <c r="E2940" s="500"/>
      <c r="F2940" s="503"/>
      <c r="G2940" s="502"/>
      <c r="H2940" s="512"/>
      <c r="I2940" s="503"/>
      <c r="J2940" s="503"/>
      <c r="K2940" s="497" t="str">
        <f ca="1">IFERROR(VLOOKUP(C2940,' Disaggregation - Section E '!A$618:N1064,3,0),"")</f>
        <v/>
      </c>
      <c r="L2940" s="497"/>
      <c r="M2940" s="497"/>
      <c r="N2940" s="503"/>
      <c r="O2940" s="503"/>
      <c r="P2940" s="503"/>
    </row>
    <row r="2941" spans="1:16" x14ac:dyDescent="0.35">
      <c r="A2941" s="497" t="b">
        <v>0</v>
      </c>
      <c r="B2941" s="497"/>
      <c r="C2941" s="497" t="s">
        <v>5753</v>
      </c>
      <c r="D2941" s="512">
        <v>23</v>
      </c>
      <c r="E2941" s="500"/>
      <c r="F2941" s="503"/>
      <c r="G2941" s="502"/>
      <c r="H2941" s="512"/>
      <c r="I2941" s="503"/>
      <c r="J2941" s="503"/>
      <c r="K2941" s="497" t="str">
        <f ca="1">IFERROR(VLOOKUP(C2941,' Disaggregation - Section E '!A$618:N1065,3,0),"")</f>
        <v/>
      </c>
      <c r="L2941" s="497"/>
      <c r="M2941" s="497"/>
      <c r="N2941" s="503"/>
      <c r="O2941" s="503"/>
      <c r="P2941" s="503"/>
    </row>
    <row r="2942" spans="1:16" x14ac:dyDescent="0.35">
      <c r="A2942" s="497" t="b">
        <v>0</v>
      </c>
      <c r="B2942" s="497"/>
      <c r="C2942" s="497" t="s">
        <v>5755</v>
      </c>
      <c r="D2942" s="512">
        <v>23</v>
      </c>
      <c r="E2942" s="500"/>
      <c r="F2942" s="503"/>
      <c r="G2942" s="502"/>
      <c r="H2942" s="512"/>
      <c r="I2942" s="503"/>
      <c r="J2942" s="503"/>
      <c r="K2942" s="497" t="str">
        <f ca="1">IFERROR(VLOOKUP(C2942,' Disaggregation - Section E '!A$618:N1066,3,0),"")</f>
        <v/>
      </c>
      <c r="L2942" s="497"/>
      <c r="M2942" s="497"/>
      <c r="N2942" s="503"/>
      <c r="O2942" s="503"/>
      <c r="P2942" s="503"/>
    </row>
    <row r="2943" spans="1:16" x14ac:dyDescent="0.35">
      <c r="A2943" s="497" t="b">
        <v>0</v>
      </c>
      <c r="B2943" s="497"/>
      <c r="C2943" s="497" t="s">
        <v>5757</v>
      </c>
      <c r="D2943" s="512">
        <v>23</v>
      </c>
      <c r="E2943" s="500"/>
      <c r="F2943" s="503"/>
      <c r="G2943" s="502"/>
      <c r="H2943" s="512"/>
      <c r="I2943" s="503"/>
      <c r="J2943" s="503"/>
      <c r="K2943" s="497" t="str">
        <f ca="1">IFERROR(VLOOKUP(C2943,' Disaggregation - Section E '!A$618:N1067,3,0),"")</f>
        <v/>
      </c>
      <c r="L2943" s="497"/>
      <c r="M2943" s="497"/>
      <c r="N2943" s="503"/>
      <c r="O2943" s="503"/>
      <c r="P2943" s="503"/>
    </row>
    <row r="2944" spans="1:16" x14ac:dyDescent="0.35">
      <c r="A2944" s="497" t="b">
        <v>0</v>
      </c>
      <c r="B2944" s="497"/>
      <c r="C2944" s="497" t="s">
        <v>5759</v>
      </c>
      <c r="D2944" s="512">
        <v>23</v>
      </c>
      <c r="E2944" s="500"/>
      <c r="F2944" s="503"/>
      <c r="G2944" s="502"/>
      <c r="H2944" s="512"/>
      <c r="I2944" s="503"/>
      <c r="J2944" s="503"/>
      <c r="K2944" s="497" t="str">
        <f ca="1">IFERROR(VLOOKUP(C2944,' Disaggregation - Section E '!A$618:N1068,3,0),"")</f>
        <v/>
      </c>
      <c r="L2944" s="497"/>
      <c r="M2944" s="497"/>
      <c r="N2944" s="503"/>
      <c r="O2944" s="503"/>
      <c r="P2944" s="503"/>
    </row>
    <row r="2945" spans="1:16" x14ac:dyDescent="0.35">
      <c r="A2945" s="497" t="b">
        <v>0</v>
      </c>
      <c r="B2945" s="497"/>
      <c r="C2945" s="497" t="s">
        <v>5761</v>
      </c>
      <c r="D2945" s="512">
        <v>23</v>
      </c>
      <c r="E2945" s="500"/>
      <c r="F2945" s="503"/>
      <c r="G2945" s="502"/>
      <c r="H2945" s="512"/>
      <c r="I2945" s="503"/>
      <c r="J2945" s="503"/>
      <c r="K2945" s="497" t="str">
        <f ca="1">IFERROR(VLOOKUP(C2945,' Disaggregation - Section E '!A$618:N1069,3,0),"")</f>
        <v/>
      </c>
      <c r="L2945" s="497"/>
      <c r="M2945" s="497"/>
      <c r="N2945" s="503"/>
      <c r="O2945" s="503"/>
      <c r="P2945" s="503"/>
    </row>
    <row r="2946" spans="1:16" x14ac:dyDescent="0.35">
      <c r="A2946" s="497" t="b">
        <v>0</v>
      </c>
      <c r="B2946" s="497"/>
      <c r="C2946" s="497" t="s">
        <v>5763</v>
      </c>
      <c r="D2946" s="512">
        <v>23</v>
      </c>
      <c r="E2946" s="500"/>
      <c r="F2946" s="503"/>
      <c r="G2946" s="502"/>
      <c r="H2946" s="512"/>
      <c r="I2946" s="503"/>
      <c r="J2946" s="503"/>
      <c r="K2946" s="497" t="str">
        <f ca="1">IFERROR(VLOOKUP(C2946,' Disaggregation - Section E '!A$618:N1070,3,0),"")</f>
        <v/>
      </c>
      <c r="L2946" s="497"/>
      <c r="M2946" s="497"/>
      <c r="N2946" s="503"/>
      <c r="O2946" s="503"/>
      <c r="P2946" s="503"/>
    </row>
    <row r="2947" spans="1:16" x14ac:dyDescent="0.35">
      <c r="A2947" s="497" t="b">
        <v>0</v>
      </c>
      <c r="B2947" s="497"/>
      <c r="C2947" s="497" t="s">
        <v>5765</v>
      </c>
      <c r="D2947" s="512">
        <v>23</v>
      </c>
      <c r="E2947" s="500"/>
      <c r="F2947" s="503"/>
      <c r="G2947" s="502"/>
      <c r="H2947" s="512"/>
      <c r="I2947" s="503"/>
      <c r="J2947" s="503"/>
      <c r="K2947" s="497" t="str">
        <f ca="1">IFERROR(VLOOKUP(C2947,' Disaggregation - Section E '!A$618:N1071,3,0),"")</f>
        <v/>
      </c>
      <c r="L2947" s="497"/>
      <c r="M2947" s="497"/>
      <c r="N2947" s="503"/>
      <c r="O2947" s="503"/>
      <c r="P2947" s="503"/>
    </row>
    <row r="2948" spans="1:16" x14ac:dyDescent="0.35">
      <c r="A2948" s="497" t="b">
        <v>0</v>
      </c>
      <c r="B2948" s="497"/>
      <c r="C2948" s="497" t="s">
        <v>5767</v>
      </c>
      <c r="D2948" s="512">
        <v>23</v>
      </c>
      <c r="E2948" s="500"/>
      <c r="F2948" s="503"/>
      <c r="G2948" s="502"/>
      <c r="H2948" s="512"/>
      <c r="I2948" s="503"/>
      <c r="J2948" s="503"/>
      <c r="K2948" s="497" t="str">
        <f ca="1">IFERROR(VLOOKUP(C2948,' Disaggregation - Section E '!A$618:N1072,3,0),"")</f>
        <v/>
      </c>
      <c r="L2948" s="497"/>
      <c r="M2948" s="497"/>
      <c r="N2948" s="503"/>
      <c r="O2948" s="503"/>
      <c r="P2948" s="503"/>
    </row>
    <row r="2949" spans="1:16" x14ac:dyDescent="0.35">
      <c r="A2949" s="497" t="b">
        <v>0</v>
      </c>
      <c r="B2949" s="497"/>
      <c r="C2949" s="497" t="s">
        <v>5769</v>
      </c>
      <c r="D2949" s="512">
        <v>23</v>
      </c>
      <c r="E2949" s="500"/>
      <c r="F2949" s="503"/>
      <c r="G2949" s="502"/>
      <c r="H2949" s="512"/>
      <c r="I2949" s="503"/>
      <c r="J2949" s="503"/>
      <c r="K2949" s="497" t="str">
        <f ca="1">IFERROR(VLOOKUP(C2949,' Disaggregation - Section E '!A$618:N1073,3,0),"")</f>
        <v/>
      </c>
      <c r="L2949" s="497"/>
      <c r="M2949" s="497"/>
      <c r="N2949" s="503"/>
      <c r="O2949" s="503"/>
      <c r="P2949" s="503"/>
    </row>
    <row r="2950" spans="1:16" x14ac:dyDescent="0.35">
      <c r="A2950" s="497" t="b">
        <v>0</v>
      </c>
      <c r="B2950" s="497"/>
      <c r="C2950" s="497" t="s">
        <v>5771</v>
      </c>
      <c r="D2950" s="512">
        <v>23</v>
      </c>
      <c r="E2950" s="500"/>
      <c r="F2950" s="503"/>
      <c r="G2950" s="502"/>
      <c r="H2950" s="512"/>
      <c r="I2950" s="503"/>
      <c r="J2950" s="503"/>
      <c r="K2950" s="497" t="str">
        <f ca="1">IFERROR(VLOOKUP(C2950,' Disaggregation - Section E '!A$618:N1074,3,0),"")</f>
        <v/>
      </c>
      <c r="L2950" s="497"/>
      <c r="M2950" s="497"/>
      <c r="N2950" s="503"/>
      <c r="O2950" s="503"/>
      <c r="P2950" s="503"/>
    </row>
    <row r="2951" spans="1:16" x14ac:dyDescent="0.35">
      <c r="A2951" s="497" t="b">
        <v>0</v>
      </c>
      <c r="B2951" s="497"/>
      <c r="C2951" s="497" t="s">
        <v>5773</v>
      </c>
      <c r="D2951" s="512">
        <v>23</v>
      </c>
      <c r="E2951" s="500"/>
      <c r="F2951" s="503"/>
      <c r="G2951" s="502"/>
      <c r="H2951" s="512"/>
      <c r="I2951" s="503"/>
      <c r="J2951" s="503"/>
      <c r="K2951" s="497" t="str">
        <f ca="1">IFERROR(VLOOKUP(C2951,' Disaggregation - Section E '!A$618:N1075,3,0),"")</f>
        <v/>
      </c>
      <c r="L2951" s="497"/>
      <c r="M2951" s="497"/>
      <c r="N2951" s="503"/>
      <c r="O2951" s="503"/>
      <c r="P2951" s="503"/>
    </row>
    <row r="2952" spans="1:16" x14ac:dyDescent="0.35">
      <c r="A2952" s="497" t="b">
        <v>0</v>
      </c>
      <c r="B2952" s="497"/>
      <c r="C2952" s="497" t="s">
        <v>5775</v>
      </c>
      <c r="D2952" s="512">
        <v>23</v>
      </c>
      <c r="E2952" s="500"/>
      <c r="F2952" s="503"/>
      <c r="G2952" s="502"/>
      <c r="H2952" s="512"/>
      <c r="I2952" s="503"/>
      <c r="J2952" s="503"/>
      <c r="K2952" s="497" t="str">
        <f ca="1">IFERROR(VLOOKUP(C2952,' Disaggregation - Section E '!A$618:N1076,3,0),"")</f>
        <v/>
      </c>
      <c r="L2952" s="497"/>
      <c r="M2952" s="497"/>
      <c r="N2952" s="503"/>
      <c r="O2952" s="503"/>
      <c r="P2952" s="503"/>
    </row>
    <row r="2953" spans="1:16" x14ac:dyDescent="0.35">
      <c r="A2953" s="497" t="b">
        <v>0</v>
      </c>
      <c r="B2953" s="497"/>
      <c r="C2953" s="497" t="s">
        <v>5777</v>
      </c>
      <c r="D2953" s="512">
        <v>23</v>
      </c>
      <c r="E2953" s="500"/>
      <c r="F2953" s="503"/>
      <c r="G2953" s="502"/>
      <c r="H2953" s="512"/>
      <c r="I2953" s="503"/>
      <c r="J2953" s="503"/>
      <c r="K2953" s="497" t="str">
        <f ca="1">IFERROR(VLOOKUP(C2953,' Disaggregation - Section E '!A$618:N1077,3,0),"")</f>
        <v/>
      </c>
      <c r="L2953" s="497"/>
      <c r="M2953" s="497"/>
      <c r="N2953" s="503"/>
      <c r="O2953" s="503"/>
      <c r="P2953" s="503"/>
    </row>
    <row r="2954" spans="1:16" x14ac:dyDescent="0.35">
      <c r="A2954" s="497" t="b">
        <v>0</v>
      </c>
      <c r="B2954" s="497"/>
      <c r="C2954" s="497" t="s">
        <v>5779</v>
      </c>
      <c r="D2954" s="512">
        <v>23</v>
      </c>
      <c r="E2954" s="500"/>
      <c r="F2954" s="503"/>
      <c r="G2954" s="502"/>
      <c r="H2954" s="512"/>
      <c r="I2954" s="503"/>
      <c r="J2954" s="503"/>
      <c r="K2954" s="497" t="str">
        <f ca="1">IFERROR(VLOOKUP(C2954,' Disaggregation - Section E '!A$618:N1078,3,0),"")</f>
        <v/>
      </c>
      <c r="L2954" s="497"/>
      <c r="M2954" s="497"/>
      <c r="N2954" s="503"/>
      <c r="O2954" s="503"/>
      <c r="P2954" s="503"/>
    </row>
    <row r="2955" spans="1:16" x14ac:dyDescent="0.35">
      <c r="A2955" s="497" t="b">
        <v>0</v>
      </c>
      <c r="B2955" s="497"/>
      <c r="C2955" s="497" t="s">
        <v>5781</v>
      </c>
      <c r="D2955" s="512">
        <v>23</v>
      </c>
      <c r="E2955" s="500"/>
      <c r="F2955" s="503"/>
      <c r="G2955" s="502"/>
      <c r="H2955" s="512"/>
      <c r="I2955" s="503"/>
      <c r="J2955" s="503"/>
      <c r="K2955" s="497" t="str">
        <f ca="1">IFERROR(VLOOKUP(C2955,' Disaggregation - Section E '!A$618:N1079,3,0),"")</f>
        <v/>
      </c>
      <c r="L2955" s="497"/>
      <c r="M2955" s="497"/>
      <c r="N2955" s="503"/>
      <c r="O2955" s="503"/>
      <c r="P2955" s="503"/>
    </row>
    <row r="2956" spans="1:16" x14ac:dyDescent="0.35">
      <c r="A2956" s="497" t="b">
        <v>0</v>
      </c>
      <c r="B2956" s="497"/>
      <c r="C2956" s="497" t="s">
        <v>5783</v>
      </c>
      <c r="D2956" s="512">
        <v>23</v>
      </c>
      <c r="E2956" s="500"/>
      <c r="F2956" s="503"/>
      <c r="G2956" s="502"/>
      <c r="H2956" s="512"/>
      <c r="I2956" s="503"/>
      <c r="J2956" s="503"/>
      <c r="K2956" s="497" t="str">
        <f ca="1">IFERROR(VLOOKUP(C2956,' Disaggregation - Section E '!A$618:N1080,3,0),"")</f>
        <v/>
      </c>
      <c r="L2956" s="497"/>
      <c r="M2956" s="497"/>
      <c r="N2956" s="503"/>
      <c r="O2956" s="503"/>
      <c r="P2956" s="503"/>
    </row>
    <row r="2957" spans="1:16" x14ac:dyDescent="0.35">
      <c r="A2957" s="497" t="b">
        <v>0</v>
      </c>
      <c r="B2957" s="497"/>
      <c r="C2957" s="497" t="s">
        <v>5785</v>
      </c>
      <c r="D2957" s="512">
        <v>23</v>
      </c>
      <c r="E2957" s="500"/>
      <c r="F2957" s="503"/>
      <c r="G2957" s="502"/>
      <c r="H2957" s="512"/>
      <c r="I2957" s="503"/>
      <c r="J2957" s="503"/>
      <c r="K2957" s="497" t="str">
        <f ca="1">IFERROR(VLOOKUP(C2957,' Disaggregation - Section E '!A$618:N1081,3,0),"")</f>
        <v/>
      </c>
      <c r="L2957" s="497"/>
      <c r="M2957" s="497"/>
      <c r="N2957" s="503"/>
      <c r="O2957" s="503"/>
      <c r="P2957" s="503"/>
    </row>
    <row r="2958" spans="1:16" x14ac:dyDescent="0.35">
      <c r="A2958" s="497" t="b">
        <v>0</v>
      </c>
      <c r="B2958" s="497"/>
      <c r="C2958" s="497" t="s">
        <v>5787</v>
      </c>
      <c r="D2958" s="512">
        <v>23</v>
      </c>
      <c r="E2958" s="500"/>
      <c r="F2958" s="503"/>
      <c r="G2958" s="502"/>
      <c r="H2958" s="512"/>
      <c r="I2958" s="503"/>
      <c r="J2958" s="503"/>
      <c r="K2958" s="497" t="str">
        <f ca="1">IFERROR(VLOOKUP(C2958,' Disaggregation - Section E '!A$618:N1082,3,0),"")</f>
        <v/>
      </c>
      <c r="L2958" s="497"/>
      <c r="M2958" s="497"/>
      <c r="N2958" s="503"/>
      <c r="O2958" s="503"/>
      <c r="P2958" s="503"/>
    </row>
    <row r="2959" spans="1:16" x14ac:dyDescent="0.35">
      <c r="A2959" s="497" t="b">
        <v>0</v>
      </c>
      <c r="B2959" s="497"/>
      <c r="C2959" s="497" t="s">
        <v>5789</v>
      </c>
      <c r="D2959" s="512">
        <v>23</v>
      </c>
      <c r="E2959" s="500"/>
      <c r="F2959" s="503"/>
      <c r="G2959" s="502"/>
      <c r="H2959" s="512"/>
      <c r="I2959" s="503"/>
      <c r="J2959" s="503"/>
      <c r="K2959" s="497" t="str">
        <f ca="1">IFERROR(VLOOKUP(C2959,' Disaggregation - Section E '!A$618:N1083,3,0),"")</f>
        <v/>
      </c>
      <c r="L2959" s="497"/>
      <c r="M2959" s="497"/>
      <c r="N2959" s="503"/>
      <c r="O2959" s="503"/>
      <c r="P2959" s="503"/>
    </row>
    <row r="2960" spans="1:16" x14ac:dyDescent="0.35">
      <c r="A2960" s="497" t="b">
        <v>0</v>
      </c>
      <c r="B2960" s="497"/>
      <c r="C2960" s="497" t="s">
        <v>6982</v>
      </c>
      <c r="D2960" s="512">
        <v>24</v>
      </c>
      <c r="E2960" s="500"/>
      <c r="F2960" s="503"/>
      <c r="G2960" s="502"/>
      <c r="H2960" s="512"/>
      <c r="I2960" s="503"/>
      <c r="J2960" s="503"/>
      <c r="K2960" s="497" t="str">
        <f ca="1">IFERROR(VLOOKUP(C2960,' Disaggregation - Section E '!A$618:N1084,3,0),"")</f>
        <v/>
      </c>
      <c r="L2960" s="497"/>
      <c r="M2960" s="497"/>
      <c r="N2960" s="503"/>
      <c r="O2960" s="503"/>
      <c r="P2960" s="503"/>
    </row>
    <row r="2961" spans="1:16" x14ac:dyDescent="0.35">
      <c r="A2961" s="497" t="b">
        <v>0</v>
      </c>
      <c r="B2961" s="497"/>
      <c r="C2961" s="497" t="s">
        <v>6984</v>
      </c>
      <c r="D2961" s="512">
        <v>24</v>
      </c>
      <c r="E2961" s="500"/>
      <c r="F2961" s="503"/>
      <c r="G2961" s="502"/>
      <c r="H2961" s="512"/>
      <c r="I2961" s="503"/>
      <c r="J2961" s="503"/>
      <c r="K2961" s="497" t="str">
        <f ca="1">IFERROR(VLOOKUP(C2961,' Disaggregation - Section E '!A$618:N1085,3,0),"")</f>
        <v/>
      </c>
      <c r="L2961" s="497"/>
      <c r="M2961" s="497"/>
      <c r="N2961" s="503"/>
      <c r="O2961" s="503"/>
      <c r="P2961" s="503"/>
    </row>
    <row r="2962" spans="1:16" x14ac:dyDescent="0.35">
      <c r="A2962" s="497" t="b">
        <v>0</v>
      </c>
      <c r="B2962" s="497"/>
      <c r="C2962" s="497" t="s">
        <v>6986</v>
      </c>
      <c r="D2962" s="512">
        <v>24</v>
      </c>
      <c r="E2962" s="500"/>
      <c r="F2962" s="503"/>
      <c r="G2962" s="502"/>
      <c r="H2962" s="512"/>
      <c r="I2962" s="503"/>
      <c r="J2962" s="503"/>
      <c r="K2962" s="497" t="str">
        <f ca="1">IFERROR(VLOOKUP(C2962,' Disaggregation - Section E '!A$618:N1086,3,0),"")</f>
        <v/>
      </c>
      <c r="L2962" s="497"/>
      <c r="M2962" s="497"/>
      <c r="N2962" s="503"/>
      <c r="O2962" s="503"/>
      <c r="P2962" s="503"/>
    </row>
    <row r="2963" spans="1:16" x14ac:dyDescent="0.35">
      <c r="A2963" s="497" t="b">
        <v>0</v>
      </c>
      <c r="B2963" s="497"/>
      <c r="C2963" s="497" t="s">
        <v>6988</v>
      </c>
      <c r="D2963" s="512">
        <v>24</v>
      </c>
      <c r="E2963" s="500"/>
      <c r="F2963" s="503"/>
      <c r="G2963" s="502"/>
      <c r="H2963" s="512"/>
      <c r="I2963" s="503"/>
      <c r="J2963" s="503"/>
      <c r="K2963" s="497" t="str">
        <f ca="1">IFERROR(VLOOKUP(C2963,' Disaggregation - Section E '!A$618:N1087,3,0),"")</f>
        <v/>
      </c>
      <c r="L2963" s="497"/>
      <c r="M2963" s="497"/>
      <c r="N2963" s="503"/>
      <c r="O2963" s="503"/>
      <c r="P2963" s="503"/>
    </row>
    <row r="2964" spans="1:16" x14ac:dyDescent="0.35">
      <c r="A2964" s="497" t="b">
        <v>0</v>
      </c>
      <c r="B2964" s="497"/>
      <c r="C2964" s="497" t="s">
        <v>6990</v>
      </c>
      <c r="D2964" s="512">
        <v>24</v>
      </c>
      <c r="E2964" s="500"/>
      <c r="F2964" s="503"/>
      <c r="G2964" s="502"/>
      <c r="H2964" s="512"/>
      <c r="I2964" s="503"/>
      <c r="J2964" s="503"/>
      <c r="K2964" s="497" t="str">
        <f ca="1">IFERROR(VLOOKUP(C2964,' Disaggregation - Section E '!A$618:N1088,3,0),"")</f>
        <v/>
      </c>
      <c r="L2964" s="497"/>
      <c r="M2964" s="497"/>
      <c r="N2964" s="503"/>
      <c r="O2964" s="503"/>
      <c r="P2964" s="503"/>
    </row>
    <row r="2965" spans="1:16" x14ac:dyDescent="0.35">
      <c r="A2965" s="497" t="b">
        <v>0</v>
      </c>
      <c r="B2965" s="497"/>
      <c r="C2965" s="497" t="s">
        <v>6992</v>
      </c>
      <c r="D2965" s="512">
        <v>24</v>
      </c>
      <c r="E2965" s="500"/>
      <c r="F2965" s="503"/>
      <c r="G2965" s="502"/>
      <c r="H2965" s="512"/>
      <c r="I2965" s="503"/>
      <c r="J2965" s="503"/>
      <c r="K2965" s="497" t="str">
        <f ca="1">IFERROR(VLOOKUP(C2965,' Disaggregation - Section E '!A$618:N1089,3,0),"")</f>
        <v/>
      </c>
      <c r="L2965" s="497"/>
      <c r="M2965" s="497"/>
      <c r="N2965" s="503"/>
      <c r="O2965" s="503"/>
      <c r="P2965" s="503"/>
    </row>
    <row r="2966" spans="1:16" x14ac:dyDescent="0.35">
      <c r="A2966" s="497" t="b">
        <v>0</v>
      </c>
      <c r="B2966" s="497"/>
      <c r="C2966" s="497" t="s">
        <v>6994</v>
      </c>
      <c r="D2966" s="512">
        <v>24</v>
      </c>
      <c r="E2966" s="500"/>
      <c r="F2966" s="503"/>
      <c r="G2966" s="502"/>
      <c r="H2966" s="512"/>
      <c r="I2966" s="503"/>
      <c r="J2966" s="503"/>
      <c r="K2966" s="497" t="str">
        <f ca="1">IFERROR(VLOOKUP(C2966,' Disaggregation - Section E '!A$618:N1090,3,0),"")</f>
        <v/>
      </c>
      <c r="L2966" s="497"/>
      <c r="M2966" s="497"/>
      <c r="N2966" s="503"/>
      <c r="O2966" s="503"/>
      <c r="P2966" s="503"/>
    </row>
    <row r="2967" spans="1:16" x14ac:dyDescent="0.35">
      <c r="A2967" s="497" t="b">
        <v>0</v>
      </c>
      <c r="B2967" s="497"/>
      <c r="C2967" s="497" t="s">
        <v>6996</v>
      </c>
      <c r="D2967" s="512">
        <v>24</v>
      </c>
      <c r="E2967" s="500"/>
      <c r="F2967" s="503"/>
      <c r="G2967" s="502"/>
      <c r="H2967" s="512"/>
      <c r="I2967" s="503"/>
      <c r="J2967" s="503"/>
      <c r="K2967" s="497" t="str">
        <f ca="1">IFERROR(VLOOKUP(C2967,' Disaggregation - Section E '!A$618:N1091,3,0),"")</f>
        <v/>
      </c>
      <c r="L2967" s="497"/>
      <c r="M2967" s="497"/>
      <c r="N2967" s="503"/>
      <c r="O2967" s="503"/>
      <c r="P2967" s="503"/>
    </row>
    <row r="2968" spans="1:16" x14ac:dyDescent="0.35">
      <c r="A2968" s="497" t="b">
        <v>0</v>
      </c>
      <c r="B2968" s="497"/>
      <c r="C2968" s="497" t="s">
        <v>6998</v>
      </c>
      <c r="D2968" s="512">
        <v>24</v>
      </c>
      <c r="E2968" s="500"/>
      <c r="F2968" s="503"/>
      <c r="G2968" s="502"/>
      <c r="H2968" s="512"/>
      <c r="I2968" s="503"/>
      <c r="J2968" s="503"/>
      <c r="K2968" s="497" t="str">
        <f ca="1">IFERROR(VLOOKUP(C2968,' Disaggregation - Section E '!A$618:N1092,3,0),"")</f>
        <v/>
      </c>
      <c r="L2968" s="497"/>
      <c r="M2968" s="497"/>
      <c r="N2968" s="503"/>
      <c r="O2968" s="503"/>
      <c r="P2968" s="503"/>
    </row>
    <row r="2969" spans="1:16" x14ac:dyDescent="0.35">
      <c r="A2969" s="497" t="b">
        <v>0</v>
      </c>
      <c r="B2969" s="497"/>
      <c r="C2969" s="497" t="s">
        <v>7000</v>
      </c>
      <c r="D2969" s="512">
        <v>24</v>
      </c>
      <c r="E2969" s="500"/>
      <c r="F2969" s="503"/>
      <c r="G2969" s="502"/>
      <c r="H2969" s="512"/>
      <c r="I2969" s="503"/>
      <c r="J2969" s="503"/>
      <c r="K2969" s="497" t="str">
        <f ca="1">IFERROR(VLOOKUP(C2969,' Disaggregation - Section E '!A$618:N1093,3,0),"")</f>
        <v/>
      </c>
      <c r="L2969" s="497"/>
      <c r="M2969" s="497"/>
      <c r="N2969" s="503"/>
      <c r="O2969" s="503"/>
      <c r="P2969" s="503"/>
    </row>
    <row r="2970" spans="1:16" x14ac:dyDescent="0.35">
      <c r="A2970" s="497" t="b">
        <v>0</v>
      </c>
      <c r="B2970" s="497"/>
      <c r="C2970" s="497" t="s">
        <v>7002</v>
      </c>
      <c r="D2970" s="512">
        <v>24</v>
      </c>
      <c r="E2970" s="500"/>
      <c r="F2970" s="503"/>
      <c r="G2970" s="502"/>
      <c r="H2970" s="512"/>
      <c r="I2970" s="503"/>
      <c r="J2970" s="503"/>
      <c r="K2970" s="497" t="str">
        <f ca="1">IFERROR(VLOOKUP(C2970,' Disaggregation - Section E '!A$618:N1094,3,0),"")</f>
        <v/>
      </c>
      <c r="L2970" s="497"/>
      <c r="M2970" s="497"/>
      <c r="N2970" s="503"/>
      <c r="O2970" s="503"/>
      <c r="P2970" s="503"/>
    </row>
    <row r="2971" spans="1:16" x14ac:dyDescent="0.35">
      <c r="A2971" s="497" t="b">
        <v>0</v>
      </c>
      <c r="B2971" s="497"/>
      <c r="C2971" s="497" t="s">
        <v>7004</v>
      </c>
      <c r="D2971" s="512">
        <v>24</v>
      </c>
      <c r="E2971" s="500"/>
      <c r="F2971" s="503"/>
      <c r="G2971" s="502"/>
      <c r="H2971" s="512"/>
      <c r="I2971" s="503"/>
      <c r="J2971" s="503"/>
      <c r="K2971" s="497" t="str">
        <f ca="1">IFERROR(VLOOKUP(C2971,' Disaggregation - Section E '!A$618:N1095,3,0),"")</f>
        <v/>
      </c>
      <c r="L2971" s="497"/>
      <c r="M2971" s="497"/>
      <c r="N2971" s="503"/>
      <c r="O2971" s="503"/>
      <c r="P2971" s="503"/>
    </row>
    <row r="2972" spans="1:16" x14ac:dyDescent="0.35">
      <c r="A2972" s="497" t="b">
        <v>0</v>
      </c>
      <c r="B2972" s="497"/>
      <c r="C2972" s="497" t="s">
        <v>7006</v>
      </c>
      <c r="D2972" s="512">
        <v>24</v>
      </c>
      <c r="E2972" s="500"/>
      <c r="F2972" s="503"/>
      <c r="G2972" s="502"/>
      <c r="H2972" s="512"/>
      <c r="I2972" s="503"/>
      <c r="J2972" s="503"/>
      <c r="K2972" s="497" t="str">
        <f ca="1">IFERROR(VLOOKUP(C2972,' Disaggregation - Section E '!A$618:N1096,3,0),"")</f>
        <v/>
      </c>
      <c r="L2972" s="497"/>
      <c r="M2972" s="497"/>
      <c r="N2972" s="503"/>
      <c r="O2972" s="503"/>
      <c r="P2972" s="503"/>
    </row>
    <row r="2973" spans="1:16" x14ac:dyDescent="0.35">
      <c r="A2973" s="497" t="b">
        <v>0</v>
      </c>
      <c r="B2973" s="497"/>
      <c r="C2973" s="497" t="s">
        <v>7008</v>
      </c>
      <c r="D2973" s="512">
        <v>24</v>
      </c>
      <c r="E2973" s="500"/>
      <c r="F2973" s="503"/>
      <c r="G2973" s="502"/>
      <c r="H2973" s="512"/>
      <c r="I2973" s="503"/>
      <c r="J2973" s="503"/>
      <c r="K2973" s="497" t="str">
        <f ca="1">IFERROR(VLOOKUP(C2973,' Disaggregation - Section E '!A$618:N1097,3,0),"")</f>
        <v/>
      </c>
      <c r="L2973" s="497"/>
      <c r="M2973" s="497"/>
      <c r="N2973" s="503"/>
      <c r="O2973" s="503"/>
      <c r="P2973" s="503"/>
    </row>
    <row r="2974" spans="1:16" x14ac:dyDescent="0.35">
      <c r="A2974" s="497" t="b">
        <v>0</v>
      </c>
      <c r="B2974" s="497"/>
      <c r="C2974" s="497" t="s">
        <v>7010</v>
      </c>
      <c r="D2974" s="512">
        <v>24</v>
      </c>
      <c r="E2974" s="500"/>
      <c r="F2974" s="503"/>
      <c r="G2974" s="502"/>
      <c r="H2974" s="512"/>
      <c r="I2974" s="503"/>
      <c r="J2974" s="503"/>
      <c r="K2974" s="497" t="str">
        <f ca="1">IFERROR(VLOOKUP(C2974,' Disaggregation - Section E '!A$618:N1098,3,0),"")</f>
        <v/>
      </c>
      <c r="L2974" s="497"/>
      <c r="M2974" s="497"/>
      <c r="N2974" s="503"/>
      <c r="O2974" s="503"/>
      <c r="P2974" s="503"/>
    </row>
    <row r="2975" spans="1:16" x14ac:dyDescent="0.35">
      <c r="A2975" s="497" t="b">
        <v>0</v>
      </c>
      <c r="B2975" s="497"/>
      <c r="C2975" s="497" t="s">
        <v>7012</v>
      </c>
      <c r="D2975" s="512">
        <v>24</v>
      </c>
      <c r="E2975" s="500"/>
      <c r="F2975" s="503"/>
      <c r="G2975" s="502"/>
      <c r="H2975" s="512"/>
      <c r="I2975" s="503"/>
      <c r="J2975" s="503"/>
      <c r="K2975" s="497" t="str">
        <f ca="1">IFERROR(VLOOKUP(C2975,' Disaggregation - Section E '!A$618:N1099,3,0),"")</f>
        <v/>
      </c>
      <c r="L2975" s="497"/>
      <c r="M2975" s="497"/>
      <c r="N2975" s="503"/>
      <c r="O2975" s="503"/>
      <c r="P2975" s="503"/>
    </row>
    <row r="2976" spans="1:16" x14ac:dyDescent="0.35">
      <c r="A2976" s="497" t="b">
        <v>0</v>
      </c>
      <c r="B2976" s="497"/>
      <c r="C2976" s="497" t="s">
        <v>7014</v>
      </c>
      <c r="D2976" s="512">
        <v>24</v>
      </c>
      <c r="E2976" s="500"/>
      <c r="F2976" s="503"/>
      <c r="G2976" s="502"/>
      <c r="H2976" s="512"/>
      <c r="I2976" s="503"/>
      <c r="J2976" s="503"/>
      <c r="K2976" s="497" t="str">
        <f ca="1">IFERROR(VLOOKUP(C2976,' Disaggregation - Section E '!A$618:N1100,3,0),"")</f>
        <v/>
      </c>
      <c r="L2976" s="497"/>
      <c r="M2976" s="497"/>
      <c r="N2976" s="503"/>
      <c r="O2976" s="503"/>
      <c r="P2976" s="503"/>
    </row>
    <row r="2977" spans="1:16" x14ac:dyDescent="0.35">
      <c r="A2977" s="497" t="b">
        <v>0</v>
      </c>
      <c r="B2977" s="497"/>
      <c r="C2977" s="497" t="s">
        <v>7016</v>
      </c>
      <c r="D2977" s="512">
        <v>24</v>
      </c>
      <c r="E2977" s="500"/>
      <c r="F2977" s="503"/>
      <c r="G2977" s="502"/>
      <c r="H2977" s="512"/>
      <c r="I2977" s="503"/>
      <c r="J2977" s="503"/>
      <c r="K2977" s="497" t="str">
        <f ca="1">IFERROR(VLOOKUP(C2977,' Disaggregation - Section E '!A$618:N1101,3,0),"")</f>
        <v/>
      </c>
      <c r="L2977" s="497"/>
      <c r="M2977" s="497"/>
      <c r="N2977" s="503"/>
      <c r="O2977" s="503"/>
      <c r="P2977" s="503"/>
    </row>
    <row r="2978" spans="1:16" x14ac:dyDescent="0.35">
      <c r="A2978" s="497" t="b">
        <v>0</v>
      </c>
      <c r="B2978" s="497"/>
      <c r="C2978" s="497" t="s">
        <v>7018</v>
      </c>
      <c r="D2978" s="512">
        <v>24</v>
      </c>
      <c r="E2978" s="500"/>
      <c r="F2978" s="503"/>
      <c r="G2978" s="502"/>
      <c r="H2978" s="512"/>
      <c r="I2978" s="503"/>
      <c r="J2978" s="503"/>
      <c r="K2978" s="497" t="str">
        <f ca="1">IFERROR(VLOOKUP(C2978,' Disaggregation - Section E '!A$618:N1102,3,0),"")</f>
        <v/>
      </c>
      <c r="L2978" s="497"/>
      <c r="M2978" s="497"/>
      <c r="N2978" s="503"/>
      <c r="O2978" s="503"/>
      <c r="P2978" s="503"/>
    </row>
    <row r="2979" spans="1:16" x14ac:dyDescent="0.35">
      <c r="A2979" s="497" t="b">
        <v>0</v>
      </c>
      <c r="B2979" s="497"/>
      <c r="C2979" s="497" t="s">
        <v>7020</v>
      </c>
      <c r="D2979" s="512">
        <v>24</v>
      </c>
      <c r="E2979" s="500"/>
      <c r="F2979" s="503"/>
      <c r="G2979" s="502"/>
      <c r="H2979" s="512"/>
      <c r="I2979" s="503"/>
      <c r="J2979" s="503"/>
      <c r="K2979" s="497" t="str">
        <f ca="1">IFERROR(VLOOKUP(C2979,' Disaggregation - Section E '!A$618:N1103,3,0),"")</f>
        <v/>
      </c>
      <c r="L2979" s="497"/>
      <c r="M2979" s="497"/>
      <c r="N2979" s="503"/>
      <c r="O2979" s="503"/>
      <c r="P2979" s="503"/>
    </row>
    <row r="2980" spans="1:16" x14ac:dyDescent="0.35">
      <c r="A2980" s="497" t="b">
        <v>0</v>
      </c>
      <c r="B2980" s="497"/>
      <c r="C2980" s="497" t="s">
        <v>5792</v>
      </c>
      <c r="D2980" s="512">
        <v>25</v>
      </c>
      <c r="E2980" s="500"/>
      <c r="F2980" s="503"/>
      <c r="G2980" s="502"/>
      <c r="H2980" s="512"/>
      <c r="I2980" s="503"/>
      <c r="J2980" s="503"/>
      <c r="K2980" s="497" t="str">
        <f ca="1">IFERROR(VLOOKUP(C2980,' Disaggregation - Section E '!A$618:N1104,3,0),"")</f>
        <v/>
      </c>
      <c r="L2980" s="497"/>
      <c r="M2980" s="497"/>
      <c r="N2980" s="503"/>
      <c r="O2980" s="503"/>
      <c r="P2980" s="503"/>
    </row>
    <row r="2981" spans="1:16" x14ac:dyDescent="0.35">
      <c r="A2981" s="497" t="b">
        <v>0</v>
      </c>
      <c r="B2981" s="497"/>
      <c r="C2981" s="497" t="s">
        <v>5794</v>
      </c>
      <c r="D2981" s="512">
        <v>25</v>
      </c>
      <c r="E2981" s="500"/>
      <c r="F2981" s="503"/>
      <c r="G2981" s="502"/>
      <c r="H2981" s="512"/>
      <c r="I2981" s="503"/>
      <c r="J2981" s="503"/>
      <c r="K2981" s="497" t="str">
        <f ca="1">IFERROR(VLOOKUP(C2981,' Disaggregation - Section E '!A$618:N1105,3,0),"")</f>
        <v/>
      </c>
      <c r="L2981" s="497"/>
      <c r="M2981" s="497"/>
      <c r="N2981" s="503"/>
      <c r="O2981" s="503"/>
      <c r="P2981" s="503"/>
    </row>
    <row r="2982" spans="1:16" x14ac:dyDescent="0.35">
      <c r="A2982" s="497" t="b">
        <v>0</v>
      </c>
      <c r="B2982" s="497"/>
      <c r="C2982" s="497" t="s">
        <v>5796</v>
      </c>
      <c r="D2982" s="512">
        <v>25</v>
      </c>
      <c r="E2982" s="500"/>
      <c r="F2982" s="503"/>
      <c r="G2982" s="502"/>
      <c r="H2982" s="512"/>
      <c r="I2982" s="503"/>
      <c r="J2982" s="503"/>
      <c r="K2982" s="497" t="str">
        <f ca="1">IFERROR(VLOOKUP(C2982,' Disaggregation - Section E '!A$618:N1106,3,0),"")</f>
        <v/>
      </c>
      <c r="L2982" s="497"/>
      <c r="M2982" s="497"/>
      <c r="N2982" s="503"/>
      <c r="O2982" s="503"/>
      <c r="P2982" s="503"/>
    </row>
    <row r="2983" spans="1:16" x14ac:dyDescent="0.35">
      <c r="A2983" s="497" t="b">
        <v>0</v>
      </c>
      <c r="B2983" s="497"/>
      <c r="C2983" s="497" t="s">
        <v>5798</v>
      </c>
      <c r="D2983" s="512">
        <v>25</v>
      </c>
      <c r="E2983" s="500"/>
      <c r="F2983" s="503"/>
      <c r="G2983" s="502"/>
      <c r="H2983" s="512"/>
      <c r="I2983" s="503"/>
      <c r="J2983" s="503"/>
      <c r="K2983" s="497" t="str">
        <f ca="1">IFERROR(VLOOKUP(C2983,' Disaggregation - Section E '!A$618:N1107,3,0),"")</f>
        <v/>
      </c>
      <c r="L2983" s="497"/>
      <c r="M2983" s="497"/>
      <c r="N2983" s="503"/>
      <c r="O2983" s="503"/>
      <c r="P2983" s="503"/>
    </row>
    <row r="2984" spans="1:16" x14ac:dyDescent="0.35">
      <c r="A2984" s="497" t="b">
        <v>0</v>
      </c>
      <c r="B2984" s="497"/>
      <c r="C2984" s="497" t="s">
        <v>5800</v>
      </c>
      <c r="D2984" s="512">
        <v>25</v>
      </c>
      <c r="E2984" s="500"/>
      <c r="F2984" s="503"/>
      <c r="G2984" s="502"/>
      <c r="H2984" s="512"/>
      <c r="I2984" s="503"/>
      <c r="J2984" s="503"/>
      <c r="K2984" s="497" t="str">
        <f ca="1">IFERROR(VLOOKUP(C2984,' Disaggregation - Section E '!A$618:N1108,3,0),"")</f>
        <v/>
      </c>
      <c r="L2984" s="497"/>
      <c r="M2984" s="497"/>
      <c r="N2984" s="503"/>
      <c r="O2984" s="503"/>
      <c r="P2984" s="503"/>
    </row>
    <row r="2985" spans="1:16" x14ac:dyDescent="0.35">
      <c r="A2985" s="497" t="b">
        <v>0</v>
      </c>
      <c r="B2985" s="497"/>
      <c r="C2985" s="497" t="s">
        <v>5802</v>
      </c>
      <c r="D2985" s="512">
        <v>25</v>
      </c>
      <c r="E2985" s="500"/>
      <c r="F2985" s="503"/>
      <c r="G2985" s="502"/>
      <c r="H2985" s="512"/>
      <c r="I2985" s="503"/>
      <c r="J2985" s="503"/>
      <c r="K2985" s="497" t="str">
        <f ca="1">IFERROR(VLOOKUP(C2985,' Disaggregation - Section E '!A$618:N1109,3,0),"")</f>
        <v/>
      </c>
      <c r="L2985" s="497"/>
      <c r="M2985" s="497"/>
      <c r="N2985" s="503"/>
      <c r="O2985" s="503"/>
      <c r="P2985" s="503"/>
    </row>
    <row r="2986" spans="1:16" x14ac:dyDescent="0.35">
      <c r="A2986" s="497" t="b">
        <v>0</v>
      </c>
      <c r="B2986" s="497"/>
      <c r="C2986" s="497" t="s">
        <v>5804</v>
      </c>
      <c r="D2986" s="512">
        <v>25</v>
      </c>
      <c r="E2986" s="500"/>
      <c r="F2986" s="503"/>
      <c r="G2986" s="502"/>
      <c r="H2986" s="512"/>
      <c r="I2986" s="503"/>
      <c r="J2986" s="503"/>
      <c r="K2986" s="497" t="str">
        <f ca="1">IFERROR(VLOOKUP(C2986,' Disaggregation - Section E '!A$618:N1110,3,0),"")</f>
        <v/>
      </c>
      <c r="L2986" s="497"/>
      <c r="M2986" s="497"/>
      <c r="N2986" s="503"/>
      <c r="O2986" s="503"/>
      <c r="P2986" s="503"/>
    </row>
    <row r="2987" spans="1:16" x14ac:dyDescent="0.35">
      <c r="A2987" s="497" t="b">
        <v>0</v>
      </c>
      <c r="B2987" s="497"/>
      <c r="C2987" s="497" t="s">
        <v>5806</v>
      </c>
      <c r="D2987" s="512">
        <v>25</v>
      </c>
      <c r="E2987" s="500"/>
      <c r="F2987" s="503"/>
      <c r="G2987" s="502"/>
      <c r="H2987" s="512"/>
      <c r="I2987" s="503"/>
      <c r="J2987" s="503"/>
      <c r="K2987" s="497" t="str">
        <f ca="1">IFERROR(VLOOKUP(C2987,' Disaggregation - Section E '!A$618:N1111,3,0),"")</f>
        <v/>
      </c>
      <c r="L2987" s="497"/>
      <c r="M2987" s="497"/>
      <c r="N2987" s="503"/>
      <c r="O2987" s="503"/>
      <c r="P2987" s="503"/>
    </row>
    <row r="2988" spans="1:16" x14ac:dyDescent="0.35">
      <c r="A2988" s="497" t="b">
        <v>0</v>
      </c>
      <c r="B2988" s="497"/>
      <c r="C2988" s="497" t="s">
        <v>5808</v>
      </c>
      <c r="D2988" s="512">
        <v>25</v>
      </c>
      <c r="E2988" s="500"/>
      <c r="F2988" s="503"/>
      <c r="G2988" s="502"/>
      <c r="H2988" s="512"/>
      <c r="I2988" s="503"/>
      <c r="J2988" s="503"/>
      <c r="K2988" s="497" t="str">
        <f ca="1">IFERROR(VLOOKUP(C2988,' Disaggregation - Section E '!A$618:N1112,3,0),"")</f>
        <v/>
      </c>
      <c r="L2988" s="497"/>
      <c r="M2988" s="497"/>
      <c r="N2988" s="503"/>
      <c r="O2988" s="503"/>
      <c r="P2988" s="503"/>
    </row>
    <row r="2989" spans="1:16" x14ac:dyDescent="0.35">
      <c r="A2989" s="497" t="b">
        <v>0</v>
      </c>
      <c r="B2989" s="497"/>
      <c r="C2989" s="497" t="s">
        <v>5810</v>
      </c>
      <c r="D2989" s="512">
        <v>25</v>
      </c>
      <c r="E2989" s="500"/>
      <c r="F2989" s="503"/>
      <c r="G2989" s="502"/>
      <c r="H2989" s="512"/>
      <c r="I2989" s="503"/>
      <c r="J2989" s="503"/>
      <c r="K2989" s="497" t="str">
        <f ca="1">IFERROR(VLOOKUP(C2989,' Disaggregation - Section E '!A$618:N1113,3,0),"")</f>
        <v/>
      </c>
      <c r="L2989" s="497"/>
      <c r="M2989" s="497"/>
      <c r="N2989" s="503"/>
      <c r="O2989" s="503"/>
      <c r="P2989" s="503"/>
    </row>
    <row r="2990" spans="1:16" x14ac:dyDescent="0.35">
      <c r="A2990" s="497" t="b">
        <v>0</v>
      </c>
      <c r="B2990" s="497"/>
      <c r="C2990" s="497" t="s">
        <v>5812</v>
      </c>
      <c r="D2990" s="512">
        <v>25</v>
      </c>
      <c r="E2990" s="500"/>
      <c r="F2990" s="503"/>
      <c r="G2990" s="502"/>
      <c r="H2990" s="512"/>
      <c r="I2990" s="503"/>
      <c r="J2990" s="503"/>
      <c r="K2990" s="497" t="str">
        <f ca="1">IFERROR(VLOOKUP(C2990,' Disaggregation - Section E '!A$618:N1114,3,0),"")</f>
        <v/>
      </c>
      <c r="L2990" s="497"/>
      <c r="M2990" s="497"/>
      <c r="N2990" s="503"/>
      <c r="O2990" s="503"/>
      <c r="P2990" s="503"/>
    </row>
    <row r="2991" spans="1:16" x14ac:dyDescent="0.35">
      <c r="A2991" s="497" t="b">
        <v>0</v>
      </c>
      <c r="B2991" s="497"/>
      <c r="C2991" s="497" t="s">
        <v>5814</v>
      </c>
      <c r="D2991" s="512">
        <v>25</v>
      </c>
      <c r="E2991" s="500"/>
      <c r="F2991" s="503"/>
      <c r="G2991" s="502"/>
      <c r="H2991" s="512"/>
      <c r="I2991" s="503"/>
      <c r="J2991" s="503"/>
      <c r="K2991" s="497" t="str">
        <f ca="1">IFERROR(VLOOKUP(C2991,' Disaggregation - Section E '!A$618:N1115,3,0),"")</f>
        <v/>
      </c>
      <c r="L2991" s="497"/>
      <c r="M2991" s="497"/>
      <c r="N2991" s="503"/>
      <c r="O2991" s="503"/>
      <c r="P2991" s="503"/>
    </row>
    <row r="2992" spans="1:16" x14ac:dyDescent="0.35">
      <c r="A2992" s="497" t="b">
        <v>0</v>
      </c>
      <c r="B2992" s="497"/>
      <c r="C2992" s="497" t="s">
        <v>5816</v>
      </c>
      <c r="D2992" s="512">
        <v>25</v>
      </c>
      <c r="E2992" s="500"/>
      <c r="F2992" s="503"/>
      <c r="G2992" s="502"/>
      <c r="H2992" s="512"/>
      <c r="I2992" s="503"/>
      <c r="J2992" s="503"/>
      <c r="K2992" s="497" t="str">
        <f ca="1">IFERROR(VLOOKUP(C2992,' Disaggregation - Section E '!A$618:N1116,3,0),"")</f>
        <v/>
      </c>
      <c r="L2992" s="497"/>
      <c r="M2992" s="497"/>
      <c r="N2992" s="503"/>
      <c r="O2992" s="503"/>
      <c r="P2992" s="503"/>
    </row>
    <row r="2993" spans="1:16" x14ac:dyDescent="0.35">
      <c r="A2993" s="497" t="b">
        <v>0</v>
      </c>
      <c r="B2993" s="497"/>
      <c r="C2993" s="497" t="s">
        <v>5818</v>
      </c>
      <c r="D2993" s="512">
        <v>25</v>
      </c>
      <c r="E2993" s="500"/>
      <c r="F2993" s="503"/>
      <c r="G2993" s="502"/>
      <c r="H2993" s="512"/>
      <c r="I2993" s="503"/>
      <c r="J2993" s="503"/>
      <c r="K2993" s="497" t="str">
        <f ca="1">IFERROR(VLOOKUP(C2993,' Disaggregation - Section E '!A$618:N1117,3,0),"")</f>
        <v/>
      </c>
      <c r="L2993" s="497"/>
      <c r="M2993" s="497"/>
      <c r="N2993" s="503"/>
      <c r="O2993" s="503"/>
      <c r="P2993" s="503"/>
    </row>
    <row r="2994" spans="1:16" x14ac:dyDescent="0.35">
      <c r="A2994" s="497" t="b">
        <v>0</v>
      </c>
      <c r="B2994" s="497"/>
      <c r="C2994" s="497" t="s">
        <v>5820</v>
      </c>
      <c r="D2994" s="512">
        <v>25</v>
      </c>
      <c r="E2994" s="500"/>
      <c r="F2994" s="503"/>
      <c r="G2994" s="502"/>
      <c r="H2994" s="512"/>
      <c r="I2994" s="503"/>
      <c r="J2994" s="503"/>
      <c r="K2994" s="497" t="str">
        <f ca="1">IFERROR(VLOOKUP(C2994,' Disaggregation - Section E '!A$618:N1118,3,0),"")</f>
        <v/>
      </c>
      <c r="L2994" s="497"/>
      <c r="M2994" s="497"/>
      <c r="N2994" s="503"/>
      <c r="O2994" s="503"/>
      <c r="P2994" s="503"/>
    </row>
    <row r="2995" spans="1:16" x14ac:dyDescent="0.35">
      <c r="A2995" s="497" t="b">
        <v>0</v>
      </c>
      <c r="B2995" s="497"/>
      <c r="C2995" s="497" t="s">
        <v>5822</v>
      </c>
      <c r="D2995" s="512">
        <v>25</v>
      </c>
      <c r="E2995" s="500"/>
      <c r="F2995" s="503"/>
      <c r="G2995" s="502"/>
      <c r="H2995" s="512"/>
      <c r="I2995" s="503"/>
      <c r="J2995" s="503"/>
      <c r="K2995" s="497" t="str">
        <f ca="1">IFERROR(VLOOKUP(C2995,' Disaggregation - Section E '!A$618:N1119,3,0),"")</f>
        <v/>
      </c>
      <c r="L2995" s="497"/>
      <c r="M2995" s="497"/>
      <c r="N2995" s="503"/>
      <c r="O2995" s="503"/>
      <c r="P2995" s="503"/>
    </row>
    <row r="2996" spans="1:16" x14ac:dyDescent="0.35">
      <c r="A2996" s="497" t="b">
        <v>0</v>
      </c>
      <c r="B2996" s="497"/>
      <c r="C2996" s="497" t="s">
        <v>5824</v>
      </c>
      <c r="D2996" s="512">
        <v>25</v>
      </c>
      <c r="E2996" s="500"/>
      <c r="F2996" s="503"/>
      <c r="G2996" s="502"/>
      <c r="H2996" s="512"/>
      <c r="I2996" s="503"/>
      <c r="J2996" s="503"/>
      <c r="K2996" s="497" t="str">
        <f ca="1">IFERROR(VLOOKUP(C2996,' Disaggregation - Section E '!A$618:N1120,3,0),"")</f>
        <v/>
      </c>
      <c r="L2996" s="497"/>
      <c r="M2996" s="497"/>
      <c r="N2996" s="503"/>
      <c r="O2996" s="503"/>
      <c r="P2996" s="503"/>
    </row>
    <row r="2997" spans="1:16" x14ac:dyDescent="0.35">
      <c r="A2997" s="497" t="b">
        <v>0</v>
      </c>
      <c r="B2997" s="497"/>
      <c r="C2997" s="497" t="s">
        <v>5826</v>
      </c>
      <c r="D2997" s="512">
        <v>25</v>
      </c>
      <c r="E2997" s="500"/>
      <c r="F2997" s="503"/>
      <c r="G2997" s="502"/>
      <c r="H2997" s="512"/>
      <c r="I2997" s="503"/>
      <c r="J2997" s="503"/>
      <c r="K2997" s="497" t="str">
        <f ca="1">IFERROR(VLOOKUP(C2997,' Disaggregation - Section E '!A$618:N1121,3,0),"")</f>
        <v/>
      </c>
      <c r="L2997" s="497"/>
      <c r="M2997" s="497"/>
      <c r="N2997" s="503"/>
      <c r="O2997" s="503"/>
      <c r="P2997" s="503"/>
    </row>
    <row r="2998" spans="1:16" x14ac:dyDescent="0.35">
      <c r="A2998" s="497" t="b">
        <v>0</v>
      </c>
      <c r="B2998" s="497"/>
      <c r="C2998" s="497" t="s">
        <v>5828</v>
      </c>
      <c r="D2998" s="512">
        <v>25</v>
      </c>
      <c r="E2998" s="500"/>
      <c r="F2998" s="503"/>
      <c r="G2998" s="502"/>
      <c r="H2998" s="512"/>
      <c r="I2998" s="503"/>
      <c r="J2998" s="503"/>
      <c r="K2998" s="497" t="str">
        <f ca="1">IFERROR(VLOOKUP(C2998,' Disaggregation - Section E '!A$618:N1122,3,0),"")</f>
        <v/>
      </c>
      <c r="L2998" s="497"/>
      <c r="M2998" s="497"/>
      <c r="N2998" s="503"/>
      <c r="O2998" s="503"/>
      <c r="P2998" s="503"/>
    </row>
    <row r="2999" spans="1:16" x14ac:dyDescent="0.35">
      <c r="A2999" s="497" t="b">
        <v>0</v>
      </c>
      <c r="B2999" s="497"/>
      <c r="C2999" s="497" t="s">
        <v>5830</v>
      </c>
      <c r="D2999" s="512">
        <v>25</v>
      </c>
      <c r="E2999" s="500"/>
      <c r="F2999" s="503"/>
      <c r="G2999" s="502"/>
      <c r="H2999" s="512"/>
      <c r="I2999" s="503"/>
      <c r="J2999" s="503"/>
      <c r="K2999" s="497" t="str">
        <f ca="1">IFERROR(VLOOKUP(C2999,' Disaggregation - Section E '!A$618:N1123,3,0),"")</f>
        <v/>
      </c>
      <c r="L2999" s="497"/>
      <c r="M2999" s="497"/>
      <c r="N2999" s="503"/>
      <c r="O2999" s="503"/>
      <c r="P2999" s="503"/>
    </row>
    <row r="3000" spans="1:16" x14ac:dyDescent="0.35">
      <c r="A3000" s="497" t="b">
        <v>0</v>
      </c>
      <c r="B3000" s="497"/>
      <c r="C3000" s="497" t="s">
        <v>7023</v>
      </c>
      <c r="D3000" s="512">
        <v>26</v>
      </c>
      <c r="E3000" s="500"/>
      <c r="F3000" s="503"/>
      <c r="G3000" s="502"/>
      <c r="H3000" s="512"/>
      <c r="I3000" s="503"/>
      <c r="J3000" s="503"/>
      <c r="K3000" s="497" t="str">
        <f ca="1">IFERROR(VLOOKUP(C3000,' Disaggregation - Section E '!A$618:N1124,3,0),"")</f>
        <v/>
      </c>
      <c r="L3000" s="497"/>
      <c r="M3000" s="497"/>
      <c r="N3000" s="503"/>
      <c r="O3000" s="503"/>
      <c r="P3000" s="503"/>
    </row>
    <row r="3001" spans="1:16" x14ac:dyDescent="0.35">
      <c r="A3001" s="497" t="b">
        <v>0</v>
      </c>
      <c r="B3001" s="497"/>
      <c r="C3001" s="497" t="s">
        <v>7025</v>
      </c>
      <c r="D3001" s="512">
        <v>26</v>
      </c>
      <c r="E3001" s="500"/>
      <c r="F3001" s="503"/>
      <c r="G3001" s="502"/>
      <c r="H3001" s="512"/>
      <c r="I3001" s="503"/>
      <c r="J3001" s="503"/>
      <c r="K3001" s="497" t="str">
        <f ca="1">IFERROR(VLOOKUP(C3001,' Disaggregation - Section E '!A$618:N1125,3,0),"")</f>
        <v/>
      </c>
      <c r="L3001" s="497"/>
      <c r="M3001" s="497"/>
      <c r="N3001" s="503"/>
      <c r="O3001" s="503"/>
      <c r="P3001" s="503"/>
    </row>
    <row r="3002" spans="1:16" x14ac:dyDescent="0.35">
      <c r="A3002" s="497" t="b">
        <v>0</v>
      </c>
      <c r="B3002" s="497"/>
      <c r="C3002" s="497" t="s">
        <v>7027</v>
      </c>
      <c r="D3002" s="512">
        <v>26</v>
      </c>
      <c r="E3002" s="500"/>
      <c r="F3002" s="503"/>
      <c r="G3002" s="502"/>
      <c r="H3002" s="512"/>
      <c r="I3002" s="503"/>
      <c r="J3002" s="503"/>
      <c r="K3002" s="497" t="str">
        <f ca="1">IFERROR(VLOOKUP(C3002,' Disaggregation - Section E '!A$618:N1126,3,0),"")</f>
        <v/>
      </c>
      <c r="L3002" s="497"/>
      <c r="M3002" s="497"/>
      <c r="N3002" s="503"/>
      <c r="O3002" s="503"/>
      <c r="P3002" s="503"/>
    </row>
    <row r="3003" spans="1:16" x14ac:dyDescent="0.35">
      <c r="A3003" s="497" t="b">
        <v>0</v>
      </c>
      <c r="B3003" s="497"/>
      <c r="C3003" s="497" t="s">
        <v>7029</v>
      </c>
      <c r="D3003" s="512">
        <v>26</v>
      </c>
      <c r="E3003" s="500"/>
      <c r="F3003" s="503"/>
      <c r="G3003" s="502"/>
      <c r="H3003" s="512"/>
      <c r="I3003" s="503"/>
      <c r="J3003" s="503"/>
      <c r="K3003" s="497" t="str">
        <f ca="1">IFERROR(VLOOKUP(C3003,' Disaggregation - Section E '!A$618:N1127,3,0),"")</f>
        <v/>
      </c>
      <c r="L3003" s="497"/>
      <c r="M3003" s="497"/>
      <c r="N3003" s="503"/>
      <c r="O3003" s="503"/>
      <c r="P3003" s="503"/>
    </row>
    <row r="3004" spans="1:16" x14ac:dyDescent="0.35">
      <c r="A3004" s="497" t="b">
        <v>0</v>
      </c>
      <c r="B3004" s="497"/>
      <c r="C3004" s="497" t="s">
        <v>7031</v>
      </c>
      <c r="D3004" s="512">
        <v>26</v>
      </c>
      <c r="E3004" s="500"/>
      <c r="F3004" s="503"/>
      <c r="G3004" s="502"/>
      <c r="H3004" s="512"/>
      <c r="I3004" s="503"/>
      <c r="J3004" s="503"/>
      <c r="K3004" s="497" t="str">
        <f ca="1">IFERROR(VLOOKUP(C3004,' Disaggregation - Section E '!A$618:N1128,3,0),"")</f>
        <v/>
      </c>
      <c r="L3004" s="497"/>
      <c r="M3004" s="497"/>
      <c r="N3004" s="503"/>
      <c r="O3004" s="503"/>
      <c r="P3004" s="503"/>
    </row>
    <row r="3005" spans="1:16" x14ac:dyDescent="0.35">
      <c r="A3005" s="497" t="b">
        <v>0</v>
      </c>
      <c r="B3005" s="497"/>
      <c r="C3005" s="497" t="s">
        <v>7033</v>
      </c>
      <c r="D3005" s="512">
        <v>26</v>
      </c>
      <c r="E3005" s="500"/>
      <c r="F3005" s="503"/>
      <c r="G3005" s="502"/>
      <c r="H3005" s="512"/>
      <c r="I3005" s="503"/>
      <c r="J3005" s="503"/>
      <c r="K3005" s="497" t="str">
        <f ca="1">IFERROR(VLOOKUP(C3005,' Disaggregation - Section E '!A$618:N1129,3,0),"")</f>
        <v/>
      </c>
      <c r="L3005" s="497"/>
      <c r="M3005" s="497"/>
      <c r="N3005" s="503"/>
      <c r="O3005" s="503"/>
      <c r="P3005" s="503"/>
    </row>
    <row r="3006" spans="1:16" x14ac:dyDescent="0.35">
      <c r="A3006" s="497" t="b">
        <v>0</v>
      </c>
      <c r="B3006" s="497"/>
      <c r="C3006" s="497" t="s">
        <v>7035</v>
      </c>
      <c r="D3006" s="512">
        <v>26</v>
      </c>
      <c r="E3006" s="500"/>
      <c r="F3006" s="503"/>
      <c r="G3006" s="502"/>
      <c r="H3006" s="512"/>
      <c r="I3006" s="503"/>
      <c r="J3006" s="503"/>
      <c r="K3006" s="497" t="str">
        <f ca="1">IFERROR(VLOOKUP(C3006,' Disaggregation - Section E '!A$618:N1130,3,0),"")</f>
        <v/>
      </c>
      <c r="L3006" s="497"/>
      <c r="M3006" s="497"/>
      <c r="N3006" s="503"/>
      <c r="O3006" s="503"/>
      <c r="P3006" s="503"/>
    </row>
    <row r="3007" spans="1:16" x14ac:dyDescent="0.35">
      <c r="A3007" s="497" t="b">
        <v>0</v>
      </c>
      <c r="B3007" s="497"/>
      <c r="C3007" s="497" t="s">
        <v>7037</v>
      </c>
      <c r="D3007" s="512">
        <v>26</v>
      </c>
      <c r="E3007" s="500"/>
      <c r="F3007" s="503"/>
      <c r="G3007" s="502"/>
      <c r="H3007" s="512"/>
      <c r="I3007" s="503"/>
      <c r="J3007" s="503"/>
      <c r="K3007" s="497" t="str">
        <f ca="1">IFERROR(VLOOKUP(C3007,' Disaggregation - Section E '!A$618:N1131,3,0),"")</f>
        <v/>
      </c>
      <c r="L3007" s="497"/>
      <c r="M3007" s="497"/>
      <c r="N3007" s="503"/>
      <c r="O3007" s="503"/>
      <c r="P3007" s="503"/>
    </row>
    <row r="3008" spans="1:16" x14ac:dyDescent="0.35">
      <c r="A3008" s="497" t="b">
        <v>0</v>
      </c>
      <c r="B3008" s="497"/>
      <c r="C3008" s="497" t="s">
        <v>7039</v>
      </c>
      <c r="D3008" s="512">
        <v>26</v>
      </c>
      <c r="E3008" s="500"/>
      <c r="F3008" s="503"/>
      <c r="G3008" s="502"/>
      <c r="H3008" s="512"/>
      <c r="I3008" s="503"/>
      <c r="J3008" s="503"/>
      <c r="K3008" s="497" t="str">
        <f ca="1">IFERROR(VLOOKUP(C3008,' Disaggregation - Section E '!A$618:N1132,3,0),"")</f>
        <v/>
      </c>
      <c r="L3008" s="497"/>
      <c r="M3008" s="497"/>
      <c r="N3008" s="503"/>
      <c r="O3008" s="503"/>
      <c r="P3008" s="503"/>
    </row>
    <row r="3009" spans="1:16" x14ac:dyDescent="0.35">
      <c r="A3009" s="497" t="b">
        <v>0</v>
      </c>
      <c r="B3009" s="497"/>
      <c r="C3009" s="497" t="s">
        <v>7041</v>
      </c>
      <c r="D3009" s="512">
        <v>26</v>
      </c>
      <c r="E3009" s="500"/>
      <c r="F3009" s="503"/>
      <c r="G3009" s="502"/>
      <c r="H3009" s="512"/>
      <c r="I3009" s="503"/>
      <c r="J3009" s="503"/>
      <c r="K3009" s="497" t="str">
        <f ca="1">IFERROR(VLOOKUP(C3009,' Disaggregation - Section E '!A$618:N1133,3,0),"")</f>
        <v/>
      </c>
      <c r="L3009" s="497"/>
      <c r="M3009" s="497"/>
      <c r="N3009" s="503"/>
      <c r="O3009" s="503"/>
      <c r="P3009" s="503"/>
    </row>
    <row r="3010" spans="1:16" x14ac:dyDescent="0.35">
      <c r="A3010" s="497" t="b">
        <v>0</v>
      </c>
      <c r="B3010" s="497"/>
      <c r="C3010" s="497" t="s">
        <v>7043</v>
      </c>
      <c r="D3010" s="512">
        <v>26</v>
      </c>
      <c r="E3010" s="500"/>
      <c r="F3010" s="503"/>
      <c r="G3010" s="502"/>
      <c r="H3010" s="512"/>
      <c r="I3010" s="503"/>
      <c r="J3010" s="503"/>
      <c r="K3010" s="497" t="str">
        <f ca="1">IFERROR(VLOOKUP(C3010,' Disaggregation - Section E '!A$618:N1134,3,0),"")</f>
        <v/>
      </c>
      <c r="L3010" s="497"/>
      <c r="M3010" s="497"/>
      <c r="N3010" s="503"/>
      <c r="O3010" s="503"/>
      <c r="P3010" s="503"/>
    </row>
    <row r="3011" spans="1:16" x14ac:dyDescent="0.35">
      <c r="A3011" s="497" t="b">
        <v>0</v>
      </c>
      <c r="B3011" s="497"/>
      <c r="C3011" s="497" t="s">
        <v>7045</v>
      </c>
      <c r="D3011" s="512">
        <v>26</v>
      </c>
      <c r="E3011" s="500"/>
      <c r="F3011" s="503"/>
      <c r="G3011" s="502"/>
      <c r="H3011" s="512"/>
      <c r="I3011" s="503"/>
      <c r="J3011" s="503"/>
      <c r="K3011" s="497" t="str">
        <f ca="1">IFERROR(VLOOKUP(C3011,' Disaggregation - Section E '!A$618:N1135,3,0),"")</f>
        <v/>
      </c>
      <c r="L3011" s="497"/>
      <c r="M3011" s="497"/>
      <c r="N3011" s="503"/>
      <c r="O3011" s="503"/>
      <c r="P3011" s="503"/>
    </row>
    <row r="3012" spans="1:16" x14ac:dyDescent="0.35">
      <c r="A3012" s="497" t="b">
        <v>0</v>
      </c>
      <c r="B3012" s="497"/>
      <c r="C3012" s="497" t="s">
        <v>7047</v>
      </c>
      <c r="D3012" s="512">
        <v>26</v>
      </c>
      <c r="E3012" s="500"/>
      <c r="F3012" s="503"/>
      <c r="G3012" s="502"/>
      <c r="H3012" s="512"/>
      <c r="I3012" s="503"/>
      <c r="J3012" s="503"/>
      <c r="K3012" s="497" t="str">
        <f ca="1">IFERROR(VLOOKUP(C3012,' Disaggregation - Section E '!A$618:N1136,3,0),"")</f>
        <v/>
      </c>
      <c r="L3012" s="497"/>
      <c r="M3012" s="497"/>
      <c r="N3012" s="503"/>
      <c r="O3012" s="503"/>
      <c r="P3012" s="503"/>
    </row>
    <row r="3013" spans="1:16" x14ac:dyDescent="0.35">
      <c r="A3013" s="497" t="b">
        <v>0</v>
      </c>
      <c r="B3013" s="497"/>
      <c r="C3013" s="497" t="s">
        <v>7049</v>
      </c>
      <c r="D3013" s="512">
        <v>26</v>
      </c>
      <c r="E3013" s="500"/>
      <c r="F3013" s="503"/>
      <c r="G3013" s="502"/>
      <c r="H3013" s="512"/>
      <c r="I3013" s="503"/>
      <c r="J3013" s="503"/>
      <c r="K3013" s="497" t="str">
        <f ca="1">IFERROR(VLOOKUP(C3013,' Disaggregation - Section E '!A$618:N1137,3,0),"")</f>
        <v/>
      </c>
      <c r="L3013" s="497"/>
      <c r="M3013" s="497"/>
      <c r="N3013" s="503"/>
      <c r="O3013" s="503"/>
      <c r="P3013" s="503"/>
    </row>
    <row r="3014" spans="1:16" x14ac:dyDescent="0.35">
      <c r="A3014" s="497" t="b">
        <v>0</v>
      </c>
      <c r="B3014" s="497"/>
      <c r="C3014" s="497" t="s">
        <v>7051</v>
      </c>
      <c r="D3014" s="512">
        <v>26</v>
      </c>
      <c r="E3014" s="500"/>
      <c r="F3014" s="503"/>
      <c r="G3014" s="502"/>
      <c r="H3014" s="512"/>
      <c r="I3014" s="503"/>
      <c r="J3014" s="503"/>
      <c r="K3014" s="497" t="str">
        <f ca="1">IFERROR(VLOOKUP(C3014,' Disaggregation - Section E '!A$618:N1138,3,0),"")</f>
        <v/>
      </c>
      <c r="L3014" s="497"/>
      <c r="M3014" s="497"/>
      <c r="N3014" s="503"/>
      <c r="O3014" s="503"/>
      <c r="P3014" s="503"/>
    </row>
    <row r="3015" spans="1:16" x14ac:dyDescent="0.35">
      <c r="A3015" s="497" t="b">
        <v>0</v>
      </c>
      <c r="B3015" s="497"/>
      <c r="C3015" s="497" t="s">
        <v>7053</v>
      </c>
      <c r="D3015" s="512">
        <v>26</v>
      </c>
      <c r="E3015" s="500"/>
      <c r="F3015" s="503"/>
      <c r="G3015" s="502"/>
      <c r="H3015" s="512"/>
      <c r="I3015" s="503"/>
      <c r="J3015" s="503"/>
      <c r="K3015" s="497" t="str">
        <f ca="1">IFERROR(VLOOKUP(C3015,' Disaggregation - Section E '!A$618:N1139,3,0),"")</f>
        <v/>
      </c>
      <c r="L3015" s="497"/>
      <c r="M3015" s="497"/>
      <c r="N3015" s="503"/>
      <c r="O3015" s="503"/>
      <c r="P3015" s="503"/>
    </row>
    <row r="3016" spans="1:16" x14ac:dyDescent="0.35">
      <c r="A3016" s="497" t="b">
        <v>0</v>
      </c>
      <c r="B3016" s="497"/>
      <c r="C3016" s="497" t="s">
        <v>7055</v>
      </c>
      <c r="D3016" s="512">
        <v>26</v>
      </c>
      <c r="E3016" s="500"/>
      <c r="F3016" s="503"/>
      <c r="G3016" s="502"/>
      <c r="H3016" s="512"/>
      <c r="I3016" s="503"/>
      <c r="J3016" s="503"/>
      <c r="K3016" s="497" t="str">
        <f ca="1">IFERROR(VLOOKUP(C3016,' Disaggregation - Section E '!A$618:N1140,3,0),"")</f>
        <v/>
      </c>
      <c r="L3016" s="497"/>
      <c r="M3016" s="497"/>
      <c r="N3016" s="503"/>
      <c r="O3016" s="503"/>
      <c r="P3016" s="503"/>
    </row>
    <row r="3017" spans="1:16" x14ac:dyDescent="0.35">
      <c r="A3017" s="497" t="b">
        <v>0</v>
      </c>
      <c r="B3017" s="497"/>
      <c r="C3017" s="497" t="s">
        <v>7057</v>
      </c>
      <c r="D3017" s="512">
        <v>26</v>
      </c>
      <c r="E3017" s="500"/>
      <c r="F3017" s="503"/>
      <c r="G3017" s="502"/>
      <c r="H3017" s="512"/>
      <c r="I3017" s="503"/>
      <c r="J3017" s="503"/>
      <c r="K3017" s="497" t="str">
        <f ca="1">IFERROR(VLOOKUP(C3017,' Disaggregation - Section E '!A$618:N1141,3,0),"")</f>
        <v/>
      </c>
      <c r="L3017" s="497"/>
      <c r="M3017" s="497"/>
      <c r="N3017" s="503"/>
      <c r="O3017" s="503"/>
      <c r="P3017" s="503"/>
    </row>
    <row r="3018" spans="1:16" x14ac:dyDescent="0.35">
      <c r="A3018" s="497" t="b">
        <v>0</v>
      </c>
      <c r="B3018" s="497"/>
      <c r="C3018" s="497" t="s">
        <v>7059</v>
      </c>
      <c r="D3018" s="512">
        <v>26</v>
      </c>
      <c r="E3018" s="500"/>
      <c r="F3018" s="503"/>
      <c r="G3018" s="502"/>
      <c r="H3018" s="512"/>
      <c r="I3018" s="503"/>
      <c r="J3018" s="503"/>
      <c r="K3018" s="497" t="str">
        <f ca="1">IFERROR(VLOOKUP(C3018,' Disaggregation - Section E '!A$618:N1142,3,0),"")</f>
        <v/>
      </c>
      <c r="L3018" s="497"/>
      <c r="M3018" s="497"/>
      <c r="N3018" s="503"/>
      <c r="O3018" s="503"/>
      <c r="P3018" s="503"/>
    </row>
    <row r="3019" spans="1:16" x14ac:dyDescent="0.35">
      <c r="A3019" s="497" t="b">
        <v>0</v>
      </c>
      <c r="B3019" s="497"/>
      <c r="C3019" s="497" t="s">
        <v>7061</v>
      </c>
      <c r="D3019" s="512">
        <v>26</v>
      </c>
      <c r="E3019" s="500"/>
      <c r="F3019" s="503"/>
      <c r="G3019" s="502"/>
      <c r="H3019" s="512"/>
      <c r="I3019" s="503"/>
      <c r="J3019" s="503"/>
      <c r="K3019" s="497" t="str">
        <f ca="1">IFERROR(VLOOKUP(C3019,' Disaggregation - Section E '!A$618:N1143,3,0),"")</f>
        <v/>
      </c>
      <c r="L3019" s="497"/>
      <c r="M3019" s="497"/>
      <c r="N3019" s="503"/>
      <c r="O3019" s="503"/>
      <c r="P3019" s="503"/>
    </row>
    <row r="3020" spans="1:16" x14ac:dyDescent="0.35">
      <c r="A3020" s="497" t="b">
        <v>0</v>
      </c>
      <c r="B3020" s="497"/>
      <c r="C3020" s="497" t="s">
        <v>5833</v>
      </c>
      <c r="D3020" s="512">
        <v>27</v>
      </c>
      <c r="E3020" s="500"/>
      <c r="F3020" s="503"/>
      <c r="G3020" s="502"/>
      <c r="H3020" s="512"/>
      <c r="I3020" s="503"/>
      <c r="J3020" s="503"/>
      <c r="K3020" s="497" t="str">
        <f ca="1">IFERROR(VLOOKUP(C3020,' Disaggregation - Section E '!A$618:N1144,3,0),"")</f>
        <v/>
      </c>
      <c r="L3020" s="497"/>
      <c r="M3020" s="497"/>
      <c r="N3020" s="503"/>
      <c r="O3020" s="503"/>
      <c r="P3020" s="503"/>
    </row>
    <row r="3021" spans="1:16" x14ac:dyDescent="0.35">
      <c r="A3021" s="497" t="b">
        <v>0</v>
      </c>
      <c r="B3021" s="497"/>
      <c r="C3021" s="497" t="s">
        <v>5835</v>
      </c>
      <c r="D3021" s="512">
        <v>27</v>
      </c>
      <c r="E3021" s="500"/>
      <c r="F3021" s="503"/>
      <c r="G3021" s="502"/>
      <c r="H3021" s="512"/>
      <c r="I3021" s="503"/>
      <c r="J3021" s="503"/>
      <c r="K3021" s="497" t="str">
        <f ca="1">IFERROR(VLOOKUP(C3021,' Disaggregation - Section E '!A$618:N1145,3,0),"")</f>
        <v/>
      </c>
      <c r="L3021" s="497"/>
      <c r="M3021" s="497"/>
      <c r="N3021" s="503"/>
      <c r="O3021" s="503"/>
      <c r="P3021" s="503"/>
    </row>
    <row r="3022" spans="1:16" x14ac:dyDescent="0.35">
      <c r="A3022" s="497" t="b">
        <v>0</v>
      </c>
      <c r="B3022" s="497"/>
      <c r="C3022" s="497" t="s">
        <v>5837</v>
      </c>
      <c r="D3022" s="512">
        <v>27</v>
      </c>
      <c r="E3022" s="500"/>
      <c r="F3022" s="503"/>
      <c r="G3022" s="502"/>
      <c r="H3022" s="512"/>
      <c r="I3022" s="503"/>
      <c r="J3022" s="503"/>
      <c r="K3022" s="497" t="str">
        <f ca="1">IFERROR(VLOOKUP(C3022,' Disaggregation - Section E '!A$618:N1146,3,0),"")</f>
        <v/>
      </c>
      <c r="L3022" s="497"/>
      <c r="M3022" s="497"/>
      <c r="N3022" s="503"/>
      <c r="O3022" s="503"/>
      <c r="P3022" s="503"/>
    </row>
    <row r="3023" spans="1:16" x14ac:dyDescent="0.35">
      <c r="A3023" s="497" t="b">
        <v>0</v>
      </c>
      <c r="B3023" s="497"/>
      <c r="C3023" s="497" t="s">
        <v>5839</v>
      </c>
      <c r="D3023" s="512">
        <v>27</v>
      </c>
      <c r="E3023" s="500"/>
      <c r="F3023" s="503"/>
      <c r="G3023" s="502"/>
      <c r="H3023" s="512"/>
      <c r="I3023" s="503"/>
      <c r="J3023" s="503"/>
      <c r="K3023" s="497" t="str">
        <f ca="1">IFERROR(VLOOKUP(C3023,' Disaggregation - Section E '!A$618:N1147,3,0),"")</f>
        <v/>
      </c>
      <c r="L3023" s="497"/>
      <c r="M3023" s="497"/>
      <c r="N3023" s="503"/>
      <c r="O3023" s="503"/>
      <c r="P3023" s="503"/>
    </row>
    <row r="3024" spans="1:16" x14ac:dyDescent="0.35">
      <c r="A3024" s="497" t="b">
        <v>0</v>
      </c>
      <c r="B3024" s="497"/>
      <c r="C3024" s="497" t="s">
        <v>5841</v>
      </c>
      <c r="D3024" s="512">
        <v>27</v>
      </c>
      <c r="E3024" s="500"/>
      <c r="F3024" s="503"/>
      <c r="G3024" s="502"/>
      <c r="H3024" s="512"/>
      <c r="I3024" s="503"/>
      <c r="J3024" s="503"/>
      <c r="K3024" s="497" t="str">
        <f ca="1">IFERROR(VLOOKUP(C3024,' Disaggregation - Section E '!A$618:N1148,3,0),"")</f>
        <v/>
      </c>
      <c r="L3024" s="497"/>
      <c r="M3024" s="497"/>
      <c r="N3024" s="503"/>
      <c r="O3024" s="503"/>
      <c r="P3024" s="503"/>
    </row>
    <row r="3025" spans="1:16" x14ac:dyDescent="0.35">
      <c r="A3025" s="497" t="b">
        <v>0</v>
      </c>
      <c r="B3025" s="497"/>
      <c r="C3025" s="497" t="s">
        <v>5843</v>
      </c>
      <c r="D3025" s="512">
        <v>27</v>
      </c>
      <c r="E3025" s="500"/>
      <c r="F3025" s="503"/>
      <c r="G3025" s="502"/>
      <c r="H3025" s="512"/>
      <c r="I3025" s="503"/>
      <c r="J3025" s="503"/>
      <c r="K3025" s="497" t="str">
        <f ca="1">IFERROR(VLOOKUP(C3025,' Disaggregation - Section E '!A$618:N1149,3,0),"")</f>
        <v/>
      </c>
      <c r="L3025" s="497"/>
      <c r="M3025" s="497"/>
      <c r="N3025" s="503"/>
      <c r="O3025" s="503"/>
      <c r="P3025" s="503"/>
    </row>
    <row r="3026" spans="1:16" x14ac:dyDescent="0.35">
      <c r="A3026" s="497" t="b">
        <v>0</v>
      </c>
      <c r="B3026" s="497"/>
      <c r="C3026" s="497" t="s">
        <v>5845</v>
      </c>
      <c r="D3026" s="512">
        <v>27</v>
      </c>
      <c r="E3026" s="500"/>
      <c r="F3026" s="503"/>
      <c r="G3026" s="502"/>
      <c r="H3026" s="512"/>
      <c r="I3026" s="503"/>
      <c r="J3026" s="503"/>
      <c r="K3026" s="497" t="str">
        <f ca="1">IFERROR(VLOOKUP(C3026,' Disaggregation - Section E '!A$618:N1150,3,0),"")</f>
        <v/>
      </c>
      <c r="L3026" s="497"/>
      <c r="M3026" s="497"/>
      <c r="N3026" s="503"/>
      <c r="O3026" s="503"/>
      <c r="P3026" s="503"/>
    </row>
    <row r="3027" spans="1:16" x14ac:dyDescent="0.35">
      <c r="A3027" s="497" t="b">
        <v>0</v>
      </c>
      <c r="B3027" s="497"/>
      <c r="C3027" s="497" t="s">
        <v>5847</v>
      </c>
      <c r="D3027" s="512">
        <v>27</v>
      </c>
      <c r="E3027" s="500"/>
      <c r="F3027" s="503"/>
      <c r="G3027" s="502"/>
      <c r="H3027" s="512"/>
      <c r="I3027" s="503"/>
      <c r="J3027" s="503"/>
      <c r="K3027" s="497" t="str">
        <f ca="1">IFERROR(VLOOKUP(C3027,' Disaggregation - Section E '!A$618:N1151,3,0),"")</f>
        <v/>
      </c>
      <c r="L3027" s="497"/>
      <c r="M3027" s="497"/>
      <c r="N3027" s="503"/>
      <c r="O3027" s="503"/>
      <c r="P3027" s="503"/>
    </row>
    <row r="3028" spans="1:16" x14ac:dyDescent="0.35">
      <c r="A3028" s="497" t="b">
        <v>0</v>
      </c>
      <c r="B3028" s="497"/>
      <c r="C3028" s="497" t="s">
        <v>5849</v>
      </c>
      <c r="D3028" s="512">
        <v>27</v>
      </c>
      <c r="E3028" s="500"/>
      <c r="F3028" s="503"/>
      <c r="G3028" s="502"/>
      <c r="H3028" s="512"/>
      <c r="I3028" s="503"/>
      <c r="J3028" s="503"/>
      <c r="K3028" s="497" t="str">
        <f ca="1">IFERROR(VLOOKUP(C3028,' Disaggregation - Section E '!A$618:N1152,3,0),"")</f>
        <v/>
      </c>
      <c r="L3028" s="497"/>
      <c r="M3028" s="497"/>
      <c r="N3028" s="503"/>
      <c r="O3028" s="503"/>
      <c r="P3028" s="503"/>
    </row>
    <row r="3029" spans="1:16" x14ac:dyDescent="0.35">
      <c r="A3029" s="497" t="b">
        <v>0</v>
      </c>
      <c r="B3029" s="497"/>
      <c r="C3029" s="497" t="s">
        <v>5851</v>
      </c>
      <c r="D3029" s="512">
        <v>27</v>
      </c>
      <c r="E3029" s="500"/>
      <c r="F3029" s="503"/>
      <c r="G3029" s="502"/>
      <c r="H3029" s="512"/>
      <c r="I3029" s="503"/>
      <c r="J3029" s="503"/>
      <c r="K3029" s="497" t="str">
        <f ca="1">IFERROR(VLOOKUP(C3029,' Disaggregation - Section E '!A$618:N1153,3,0),"")</f>
        <v/>
      </c>
      <c r="L3029" s="497"/>
      <c r="M3029" s="497"/>
      <c r="N3029" s="503"/>
      <c r="O3029" s="503"/>
      <c r="P3029" s="503"/>
    </row>
    <row r="3030" spans="1:16" x14ac:dyDescent="0.35">
      <c r="A3030" s="497" t="b">
        <v>0</v>
      </c>
      <c r="B3030" s="497"/>
      <c r="C3030" s="497" t="s">
        <v>5853</v>
      </c>
      <c r="D3030" s="512">
        <v>27</v>
      </c>
      <c r="E3030" s="500"/>
      <c r="F3030" s="503"/>
      <c r="G3030" s="502"/>
      <c r="H3030" s="512"/>
      <c r="I3030" s="503"/>
      <c r="J3030" s="503"/>
      <c r="K3030" s="497" t="str">
        <f ca="1">IFERROR(VLOOKUP(C3030,' Disaggregation - Section E '!A$618:N1154,3,0),"")</f>
        <v/>
      </c>
      <c r="L3030" s="497"/>
      <c r="M3030" s="497"/>
      <c r="N3030" s="503"/>
      <c r="O3030" s="503"/>
      <c r="P3030" s="503"/>
    </row>
    <row r="3031" spans="1:16" x14ac:dyDescent="0.35">
      <c r="A3031" s="497" t="b">
        <v>0</v>
      </c>
      <c r="B3031" s="497"/>
      <c r="C3031" s="497" t="s">
        <v>5855</v>
      </c>
      <c r="D3031" s="512">
        <v>27</v>
      </c>
      <c r="E3031" s="500"/>
      <c r="F3031" s="503"/>
      <c r="G3031" s="502"/>
      <c r="H3031" s="512"/>
      <c r="I3031" s="503"/>
      <c r="J3031" s="503"/>
      <c r="K3031" s="497" t="str">
        <f ca="1">IFERROR(VLOOKUP(C3031,' Disaggregation - Section E '!A$618:N1155,3,0),"")</f>
        <v/>
      </c>
      <c r="L3031" s="497"/>
      <c r="M3031" s="497"/>
      <c r="N3031" s="503"/>
      <c r="O3031" s="503"/>
      <c r="P3031" s="503"/>
    </row>
    <row r="3032" spans="1:16" x14ac:dyDescent="0.35">
      <c r="A3032" s="497" t="b">
        <v>0</v>
      </c>
      <c r="B3032" s="497"/>
      <c r="C3032" s="497" t="s">
        <v>5857</v>
      </c>
      <c r="D3032" s="512">
        <v>27</v>
      </c>
      <c r="E3032" s="500"/>
      <c r="F3032" s="503"/>
      <c r="G3032" s="502"/>
      <c r="H3032" s="512"/>
      <c r="I3032" s="503"/>
      <c r="J3032" s="503"/>
      <c r="K3032" s="497" t="str">
        <f ca="1">IFERROR(VLOOKUP(C3032,' Disaggregation - Section E '!A$618:N1156,3,0),"")</f>
        <v/>
      </c>
      <c r="L3032" s="497"/>
      <c r="M3032" s="497"/>
      <c r="N3032" s="503"/>
      <c r="O3032" s="503"/>
      <c r="P3032" s="503"/>
    </row>
    <row r="3033" spans="1:16" x14ac:dyDescent="0.35">
      <c r="A3033" s="497" t="b">
        <v>0</v>
      </c>
      <c r="B3033" s="497"/>
      <c r="C3033" s="497" t="s">
        <v>5859</v>
      </c>
      <c r="D3033" s="512">
        <v>27</v>
      </c>
      <c r="E3033" s="500"/>
      <c r="F3033" s="503"/>
      <c r="G3033" s="502"/>
      <c r="H3033" s="512"/>
      <c r="I3033" s="503"/>
      <c r="J3033" s="503"/>
      <c r="K3033" s="497" t="str">
        <f ca="1">IFERROR(VLOOKUP(C3033,' Disaggregation - Section E '!A$618:N1157,3,0),"")</f>
        <v/>
      </c>
      <c r="L3033" s="497"/>
      <c r="M3033" s="497"/>
      <c r="N3033" s="503"/>
      <c r="O3033" s="503"/>
      <c r="P3033" s="503"/>
    </row>
    <row r="3034" spans="1:16" x14ac:dyDescent="0.35">
      <c r="A3034" s="497" t="b">
        <v>0</v>
      </c>
      <c r="B3034" s="497"/>
      <c r="C3034" s="497" t="s">
        <v>5861</v>
      </c>
      <c r="D3034" s="512">
        <v>27</v>
      </c>
      <c r="E3034" s="500"/>
      <c r="F3034" s="503"/>
      <c r="G3034" s="502"/>
      <c r="H3034" s="512"/>
      <c r="I3034" s="503"/>
      <c r="J3034" s="503"/>
      <c r="K3034" s="497" t="str">
        <f ca="1">IFERROR(VLOOKUP(C3034,' Disaggregation - Section E '!A$618:N1158,3,0),"")</f>
        <v/>
      </c>
      <c r="L3034" s="497"/>
      <c r="M3034" s="497"/>
      <c r="N3034" s="503"/>
      <c r="O3034" s="503"/>
      <c r="P3034" s="503"/>
    </row>
    <row r="3035" spans="1:16" x14ac:dyDescent="0.35">
      <c r="A3035" s="497" t="b">
        <v>0</v>
      </c>
      <c r="B3035" s="497"/>
      <c r="C3035" s="497" t="s">
        <v>5863</v>
      </c>
      <c r="D3035" s="512">
        <v>27</v>
      </c>
      <c r="E3035" s="500"/>
      <c r="F3035" s="503"/>
      <c r="G3035" s="502"/>
      <c r="H3035" s="512"/>
      <c r="I3035" s="503"/>
      <c r="J3035" s="503"/>
      <c r="K3035" s="497" t="str">
        <f ca="1">IFERROR(VLOOKUP(C3035,' Disaggregation - Section E '!A$618:N1159,3,0),"")</f>
        <v/>
      </c>
      <c r="L3035" s="497"/>
      <c r="M3035" s="497"/>
      <c r="N3035" s="503"/>
      <c r="O3035" s="503"/>
      <c r="P3035" s="503"/>
    </row>
    <row r="3036" spans="1:16" x14ac:dyDescent="0.35">
      <c r="A3036" s="497" t="b">
        <v>0</v>
      </c>
      <c r="B3036" s="497"/>
      <c r="C3036" s="497" t="s">
        <v>5865</v>
      </c>
      <c r="D3036" s="512">
        <v>27</v>
      </c>
      <c r="E3036" s="500"/>
      <c r="F3036" s="503"/>
      <c r="G3036" s="502"/>
      <c r="H3036" s="512"/>
      <c r="I3036" s="503"/>
      <c r="J3036" s="503"/>
      <c r="K3036" s="497" t="str">
        <f ca="1">IFERROR(VLOOKUP(C3036,' Disaggregation - Section E '!A$618:N1160,3,0),"")</f>
        <v/>
      </c>
      <c r="L3036" s="497"/>
      <c r="M3036" s="497"/>
      <c r="N3036" s="503"/>
      <c r="O3036" s="503"/>
      <c r="P3036" s="503"/>
    </row>
    <row r="3037" spans="1:16" x14ac:dyDescent="0.35">
      <c r="A3037" s="497" t="b">
        <v>0</v>
      </c>
      <c r="B3037" s="497"/>
      <c r="C3037" s="497" t="s">
        <v>5867</v>
      </c>
      <c r="D3037" s="512">
        <v>27</v>
      </c>
      <c r="E3037" s="500"/>
      <c r="F3037" s="503"/>
      <c r="G3037" s="502"/>
      <c r="H3037" s="512"/>
      <c r="I3037" s="503"/>
      <c r="J3037" s="503"/>
      <c r="K3037" s="497" t="str">
        <f ca="1">IFERROR(VLOOKUP(C3037,' Disaggregation - Section E '!A$618:N1161,3,0),"")</f>
        <v/>
      </c>
      <c r="L3037" s="497"/>
      <c r="M3037" s="497"/>
      <c r="N3037" s="503"/>
      <c r="O3037" s="503"/>
      <c r="P3037" s="503"/>
    </row>
    <row r="3038" spans="1:16" x14ac:dyDescent="0.35">
      <c r="A3038" s="497" t="b">
        <v>0</v>
      </c>
      <c r="B3038" s="497"/>
      <c r="C3038" s="497" t="s">
        <v>5869</v>
      </c>
      <c r="D3038" s="512">
        <v>27</v>
      </c>
      <c r="E3038" s="500"/>
      <c r="F3038" s="503"/>
      <c r="G3038" s="502"/>
      <c r="H3038" s="512"/>
      <c r="I3038" s="503"/>
      <c r="J3038" s="503"/>
      <c r="K3038" s="497" t="str">
        <f ca="1">IFERROR(VLOOKUP(C3038,' Disaggregation - Section E '!A$618:N1162,3,0),"")</f>
        <v/>
      </c>
      <c r="L3038" s="497"/>
      <c r="M3038" s="497"/>
      <c r="N3038" s="503"/>
      <c r="O3038" s="503"/>
      <c r="P3038" s="503"/>
    </row>
    <row r="3039" spans="1:16" x14ac:dyDescent="0.35">
      <c r="A3039" s="497" t="b">
        <v>0</v>
      </c>
      <c r="B3039" s="497"/>
      <c r="C3039" s="497" t="s">
        <v>5871</v>
      </c>
      <c r="D3039" s="512">
        <v>27</v>
      </c>
      <c r="E3039" s="500"/>
      <c r="F3039" s="503"/>
      <c r="G3039" s="502"/>
      <c r="H3039" s="512"/>
      <c r="I3039" s="503"/>
      <c r="J3039" s="503"/>
      <c r="K3039" s="497" t="str">
        <f ca="1">IFERROR(VLOOKUP(C3039,' Disaggregation - Section E '!A$618:N1163,3,0),"")</f>
        <v/>
      </c>
      <c r="L3039" s="497"/>
      <c r="M3039" s="497"/>
      <c r="N3039" s="503"/>
      <c r="O3039" s="503"/>
      <c r="P3039" s="503"/>
    </row>
    <row r="3040" spans="1:16" x14ac:dyDescent="0.35">
      <c r="A3040" s="497" t="b">
        <v>0</v>
      </c>
      <c r="B3040" s="497"/>
      <c r="C3040" s="497" t="s">
        <v>7064</v>
      </c>
      <c r="D3040" s="512">
        <v>28</v>
      </c>
      <c r="E3040" s="500"/>
      <c r="F3040" s="503"/>
      <c r="G3040" s="502"/>
      <c r="H3040" s="512"/>
      <c r="I3040" s="503"/>
      <c r="J3040" s="503"/>
      <c r="K3040" s="497" t="str">
        <f ca="1">IFERROR(VLOOKUP(C3040,' Disaggregation - Section E '!A$618:N1164,3,0),"")</f>
        <v/>
      </c>
      <c r="L3040" s="497"/>
      <c r="M3040" s="497"/>
      <c r="N3040" s="503"/>
      <c r="O3040" s="503"/>
      <c r="P3040" s="503"/>
    </row>
    <row r="3041" spans="1:16" x14ac:dyDescent="0.35">
      <c r="A3041" s="497" t="b">
        <v>0</v>
      </c>
      <c r="B3041" s="497"/>
      <c r="C3041" s="497" t="s">
        <v>7066</v>
      </c>
      <c r="D3041" s="512">
        <v>28</v>
      </c>
      <c r="E3041" s="500"/>
      <c r="F3041" s="503"/>
      <c r="G3041" s="502"/>
      <c r="H3041" s="512"/>
      <c r="I3041" s="503"/>
      <c r="J3041" s="503"/>
      <c r="K3041" s="497" t="str">
        <f ca="1">IFERROR(VLOOKUP(C3041,' Disaggregation - Section E '!A$618:N1165,3,0),"")</f>
        <v/>
      </c>
      <c r="L3041" s="497"/>
      <c r="M3041" s="497"/>
      <c r="N3041" s="503"/>
      <c r="O3041" s="503"/>
      <c r="P3041" s="503"/>
    </row>
    <row r="3042" spans="1:16" x14ac:dyDescent="0.35">
      <c r="A3042" s="497" t="b">
        <v>0</v>
      </c>
      <c r="B3042" s="497"/>
      <c r="C3042" s="497" t="s">
        <v>7068</v>
      </c>
      <c r="D3042" s="512">
        <v>28</v>
      </c>
      <c r="E3042" s="500"/>
      <c r="F3042" s="503"/>
      <c r="G3042" s="502"/>
      <c r="H3042" s="512"/>
      <c r="I3042" s="503"/>
      <c r="J3042" s="503"/>
      <c r="K3042" s="497" t="str">
        <f ca="1">IFERROR(VLOOKUP(C3042,' Disaggregation - Section E '!A$618:N1166,3,0),"")</f>
        <v/>
      </c>
      <c r="L3042" s="497"/>
      <c r="M3042" s="497"/>
      <c r="N3042" s="503"/>
      <c r="O3042" s="503"/>
      <c r="P3042" s="503"/>
    </row>
    <row r="3043" spans="1:16" x14ac:dyDescent="0.35">
      <c r="A3043" s="497" t="b">
        <v>0</v>
      </c>
      <c r="B3043" s="497"/>
      <c r="C3043" s="497" t="s">
        <v>7070</v>
      </c>
      <c r="D3043" s="512">
        <v>28</v>
      </c>
      <c r="E3043" s="500"/>
      <c r="F3043" s="503"/>
      <c r="G3043" s="502"/>
      <c r="H3043" s="512"/>
      <c r="I3043" s="503"/>
      <c r="J3043" s="503"/>
      <c r="K3043" s="497" t="str">
        <f ca="1">IFERROR(VLOOKUP(C3043,' Disaggregation - Section E '!A$618:N1167,3,0),"")</f>
        <v/>
      </c>
      <c r="L3043" s="497"/>
      <c r="M3043" s="497"/>
      <c r="N3043" s="503"/>
      <c r="O3043" s="503"/>
      <c r="P3043" s="503"/>
    </row>
    <row r="3044" spans="1:16" x14ac:dyDescent="0.35">
      <c r="A3044" s="497" t="b">
        <v>0</v>
      </c>
      <c r="B3044" s="497"/>
      <c r="C3044" s="497" t="s">
        <v>7072</v>
      </c>
      <c r="D3044" s="512">
        <v>28</v>
      </c>
      <c r="E3044" s="500"/>
      <c r="F3044" s="503"/>
      <c r="G3044" s="502"/>
      <c r="H3044" s="512"/>
      <c r="I3044" s="503"/>
      <c r="J3044" s="503"/>
      <c r="K3044" s="497" t="str">
        <f ca="1">IFERROR(VLOOKUP(C3044,' Disaggregation - Section E '!A$618:N1168,3,0),"")</f>
        <v/>
      </c>
      <c r="L3044" s="497"/>
      <c r="M3044" s="497"/>
      <c r="N3044" s="503"/>
      <c r="O3044" s="503"/>
      <c r="P3044" s="503"/>
    </row>
    <row r="3045" spans="1:16" x14ac:dyDescent="0.35">
      <c r="A3045" s="497" t="b">
        <v>0</v>
      </c>
      <c r="B3045" s="497"/>
      <c r="C3045" s="497" t="s">
        <v>7074</v>
      </c>
      <c r="D3045" s="512">
        <v>28</v>
      </c>
      <c r="E3045" s="500"/>
      <c r="F3045" s="503"/>
      <c r="G3045" s="502"/>
      <c r="H3045" s="512"/>
      <c r="I3045" s="503"/>
      <c r="J3045" s="503"/>
      <c r="K3045" s="497" t="str">
        <f ca="1">IFERROR(VLOOKUP(C3045,' Disaggregation - Section E '!A$618:N1169,3,0),"")</f>
        <v/>
      </c>
      <c r="L3045" s="497"/>
      <c r="M3045" s="497"/>
      <c r="N3045" s="503"/>
      <c r="O3045" s="503"/>
      <c r="P3045" s="503"/>
    </row>
    <row r="3046" spans="1:16" x14ac:dyDescent="0.35">
      <c r="A3046" s="497" t="b">
        <v>0</v>
      </c>
      <c r="B3046" s="497"/>
      <c r="C3046" s="497" t="s">
        <v>7076</v>
      </c>
      <c r="D3046" s="512">
        <v>28</v>
      </c>
      <c r="E3046" s="500"/>
      <c r="F3046" s="503"/>
      <c r="G3046" s="502"/>
      <c r="H3046" s="512"/>
      <c r="I3046" s="503"/>
      <c r="J3046" s="503"/>
      <c r="K3046" s="497" t="str">
        <f ca="1">IFERROR(VLOOKUP(C3046,' Disaggregation - Section E '!A$618:N1170,3,0),"")</f>
        <v/>
      </c>
      <c r="L3046" s="497"/>
      <c r="M3046" s="497"/>
      <c r="N3046" s="503"/>
      <c r="O3046" s="503"/>
      <c r="P3046" s="503"/>
    </row>
    <row r="3047" spans="1:16" x14ac:dyDescent="0.35">
      <c r="A3047" s="497" t="b">
        <v>0</v>
      </c>
      <c r="B3047" s="497"/>
      <c r="C3047" s="497" t="s">
        <v>7078</v>
      </c>
      <c r="D3047" s="512">
        <v>28</v>
      </c>
      <c r="E3047" s="500"/>
      <c r="F3047" s="503"/>
      <c r="G3047" s="502"/>
      <c r="H3047" s="512"/>
      <c r="I3047" s="503"/>
      <c r="J3047" s="503"/>
      <c r="K3047" s="497" t="str">
        <f ca="1">IFERROR(VLOOKUP(C3047,' Disaggregation - Section E '!A$618:N1171,3,0),"")</f>
        <v/>
      </c>
      <c r="L3047" s="497"/>
      <c r="M3047" s="497"/>
      <c r="N3047" s="503"/>
      <c r="O3047" s="503"/>
      <c r="P3047" s="503"/>
    </row>
    <row r="3048" spans="1:16" x14ac:dyDescent="0.35">
      <c r="A3048" s="497" t="b">
        <v>0</v>
      </c>
      <c r="B3048" s="497"/>
      <c r="C3048" s="497" t="s">
        <v>7080</v>
      </c>
      <c r="D3048" s="512">
        <v>28</v>
      </c>
      <c r="E3048" s="500"/>
      <c r="F3048" s="503"/>
      <c r="G3048" s="502"/>
      <c r="H3048" s="512"/>
      <c r="I3048" s="503"/>
      <c r="J3048" s="503"/>
      <c r="K3048" s="497" t="str">
        <f ca="1">IFERROR(VLOOKUP(C3048,' Disaggregation - Section E '!A$618:N1172,3,0),"")</f>
        <v/>
      </c>
      <c r="L3048" s="497"/>
      <c r="M3048" s="497"/>
      <c r="N3048" s="503"/>
      <c r="O3048" s="503"/>
      <c r="P3048" s="503"/>
    </row>
    <row r="3049" spans="1:16" x14ac:dyDescent="0.35">
      <c r="A3049" s="497" t="b">
        <v>0</v>
      </c>
      <c r="B3049" s="497"/>
      <c r="C3049" s="497" t="s">
        <v>7082</v>
      </c>
      <c r="D3049" s="512">
        <v>28</v>
      </c>
      <c r="E3049" s="500"/>
      <c r="F3049" s="503"/>
      <c r="G3049" s="502"/>
      <c r="H3049" s="512"/>
      <c r="I3049" s="503"/>
      <c r="J3049" s="503"/>
      <c r="K3049" s="497" t="str">
        <f ca="1">IFERROR(VLOOKUP(C3049,' Disaggregation - Section E '!A$618:N1173,3,0),"")</f>
        <v/>
      </c>
      <c r="L3049" s="497"/>
      <c r="M3049" s="497"/>
      <c r="N3049" s="503"/>
      <c r="O3049" s="503"/>
      <c r="P3049" s="503"/>
    </row>
    <row r="3050" spans="1:16" x14ac:dyDescent="0.35">
      <c r="A3050" s="497" t="b">
        <v>0</v>
      </c>
      <c r="B3050" s="497"/>
      <c r="C3050" s="497" t="s">
        <v>7084</v>
      </c>
      <c r="D3050" s="512">
        <v>28</v>
      </c>
      <c r="E3050" s="500"/>
      <c r="F3050" s="503"/>
      <c r="G3050" s="502"/>
      <c r="H3050" s="512"/>
      <c r="I3050" s="503"/>
      <c r="J3050" s="503"/>
      <c r="K3050" s="497" t="str">
        <f ca="1">IFERROR(VLOOKUP(C3050,' Disaggregation - Section E '!A$618:N1174,3,0),"")</f>
        <v/>
      </c>
      <c r="L3050" s="497"/>
      <c r="M3050" s="497"/>
      <c r="N3050" s="503"/>
      <c r="O3050" s="503"/>
      <c r="P3050" s="503"/>
    </row>
    <row r="3051" spans="1:16" x14ac:dyDescent="0.35">
      <c r="A3051" s="497" t="b">
        <v>0</v>
      </c>
      <c r="B3051" s="497"/>
      <c r="C3051" s="497" t="s">
        <v>7086</v>
      </c>
      <c r="D3051" s="512">
        <v>28</v>
      </c>
      <c r="E3051" s="500"/>
      <c r="F3051" s="503"/>
      <c r="G3051" s="502"/>
      <c r="H3051" s="512"/>
      <c r="I3051" s="503"/>
      <c r="J3051" s="503"/>
      <c r="K3051" s="497" t="str">
        <f ca="1">IFERROR(VLOOKUP(C3051,' Disaggregation - Section E '!A$618:N1175,3,0),"")</f>
        <v/>
      </c>
      <c r="L3051" s="497"/>
      <c r="M3051" s="497"/>
      <c r="N3051" s="503"/>
      <c r="O3051" s="503"/>
      <c r="P3051" s="503"/>
    </row>
    <row r="3052" spans="1:16" x14ac:dyDescent="0.35">
      <c r="A3052" s="497" t="b">
        <v>0</v>
      </c>
      <c r="B3052" s="497"/>
      <c r="C3052" s="497" t="s">
        <v>7088</v>
      </c>
      <c r="D3052" s="512">
        <v>28</v>
      </c>
      <c r="E3052" s="500"/>
      <c r="F3052" s="503"/>
      <c r="G3052" s="502"/>
      <c r="H3052" s="512"/>
      <c r="I3052" s="503"/>
      <c r="J3052" s="503"/>
      <c r="K3052" s="497" t="str">
        <f ca="1">IFERROR(VLOOKUP(C3052,' Disaggregation - Section E '!A$618:N1176,3,0),"")</f>
        <v/>
      </c>
      <c r="L3052" s="497"/>
      <c r="M3052" s="497"/>
      <c r="N3052" s="503"/>
      <c r="O3052" s="503"/>
      <c r="P3052" s="503"/>
    </row>
    <row r="3053" spans="1:16" x14ac:dyDescent="0.35">
      <c r="A3053" s="497" t="b">
        <v>0</v>
      </c>
      <c r="B3053" s="497"/>
      <c r="C3053" s="497" t="s">
        <v>7090</v>
      </c>
      <c r="D3053" s="512">
        <v>28</v>
      </c>
      <c r="E3053" s="500"/>
      <c r="F3053" s="503"/>
      <c r="G3053" s="502"/>
      <c r="H3053" s="512"/>
      <c r="I3053" s="503"/>
      <c r="J3053" s="503"/>
      <c r="K3053" s="497" t="str">
        <f ca="1">IFERROR(VLOOKUP(C3053,' Disaggregation - Section E '!A$618:N1177,3,0),"")</f>
        <v/>
      </c>
      <c r="L3053" s="497"/>
      <c r="M3053" s="497"/>
      <c r="N3053" s="503"/>
      <c r="O3053" s="503"/>
      <c r="P3053" s="503"/>
    </row>
    <row r="3054" spans="1:16" x14ac:dyDescent="0.35">
      <c r="A3054" s="497" t="b">
        <v>0</v>
      </c>
      <c r="B3054" s="497"/>
      <c r="C3054" s="497" t="s">
        <v>7092</v>
      </c>
      <c r="D3054" s="512">
        <v>28</v>
      </c>
      <c r="E3054" s="500"/>
      <c r="F3054" s="503"/>
      <c r="G3054" s="502"/>
      <c r="H3054" s="512"/>
      <c r="I3054" s="503"/>
      <c r="J3054" s="503"/>
      <c r="K3054" s="497" t="str">
        <f ca="1">IFERROR(VLOOKUP(C3054,' Disaggregation - Section E '!A$618:N1178,3,0),"")</f>
        <v/>
      </c>
      <c r="L3054" s="497"/>
      <c r="M3054" s="497"/>
      <c r="N3054" s="503"/>
      <c r="O3054" s="503"/>
      <c r="P3054" s="503"/>
    </row>
    <row r="3055" spans="1:16" x14ac:dyDescent="0.35">
      <c r="A3055" s="497" t="b">
        <v>0</v>
      </c>
      <c r="B3055" s="497"/>
      <c r="C3055" s="497" t="s">
        <v>7094</v>
      </c>
      <c r="D3055" s="512">
        <v>28</v>
      </c>
      <c r="E3055" s="500"/>
      <c r="F3055" s="503"/>
      <c r="G3055" s="502"/>
      <c r="H3055" s="512"/>
      <c r="I3055" s="503"/>
      <c r="J3055" s="503"/>
      <c r="K3055" s="497" t="str">
        <f ca="1">IFERROR(VLOOKUP(C3055,' Disaggregation - Section E '!A$618:N1179,3,0),"")</f>
        <v/>
      </c>
      <c r="L3055" s="497"/>
      <c r="M3055" s="497"/>
      <c r="N3055" s="503"/>
      <c r="O3055" s="503"/>
      <c r="P3055" s="503"/>
    </row>
    <row r="3056" spans="1:16" x14ac:dyDescent="0.35">
      <c r="A3056" s="497" t="b">
        <v>0</v>
      </c>
      <c r="B3056" s="497"/>
      <c r="C3056" s="497" t="s">
        <v>7096</v>
      </c>
      <c r="D3056" s="512">
        <v>28</v>
      </c>
      <c r="E3056" s="500"/>
      <c r="F3056" s="503"/>
      <c r="G3056" s="502"/>
      <c r="H3056" s="512"/>
      <c r="I3056" s="503"/>
      <c r="J3056" s="503"/>
      <c r="K3056" s="497" t="str">
        <f ca="1">IFERROR(VLOOKUP(C3056,' Disaggregation - Section E '!A$618:N1180,3,0),"")</f>
        <v/>
      </c>
      <c r="L3056" s="497"/>
      <c r="M3056" s="497"/>
      <c r="N3056" s="503"/>
      <c r="O3056" s="503"/>
      <c r="P3056" s="503"/>
    </row>
    <row r="3057" spans="1:16" x14ac:dyDescent="0.35">
      <c r="A3057" s="497" t="b">
        <v>0</v>
      </c>
      <c r="B3057" s="497"/>
      <c r="C3057" s="497" t="s">
        <v>7098</v>
      </c>
      <c r="D3057" s="512">
        <v>28</v>
      </c>
      <c r="E3057" s="500"/>
      <c r="F3057" s="503"/>
      <c r="G3057" s="502"/>
      <c r="H3057" s="512"/>
      <c r="I3057" s="503"/>
      <c r="J3057" s="503"/>
      <c r="K3057" s="497" t="str">
        <f ca="1">IFERROR(VLOOKUP(C3057,' Disaggregation - Section E '!A$618:N1181,3,0),"")</f>
        <v/>
      </c>
      <c r="L3057" s="497"/>
      <c r="M3057" s="497"/>
      <c r="N3057" s="503"/>
      <c r="O3057" s="503"/>
      <c r="P3057" s="503"/>
    </row>
    <row r="3058" spans="1:16" x14ac:dyDescent="0.35">
      <c r="A3058" s="497" t="b">
        <v>0</v>
      </c>
      <c r="B3058" s="497"/>
      <c r="C3058" s="497" t="s">
        <v>7100</v>
      </c>
      <c r="D3058" s="512">
        <v>28</v>
      </c>
      <c r="E3058" s="500"/>
      <c r="F3058" s="503"/>
      <c r="G3058" s="502"/>
      <c r="H3058" s="512"/>
      <c r="I3058" s="503"/>
      <c r="J3058" s="503"/>
      <c r="K3058" s="497" t="str">
        <f ca="1">IFERROR(VLOOKUP(C3058,' Disaggregation - Section E '!A$618:N1182,3,0),"")</f>
        <v/>
      </c>
      <c r="L3058" s="497"/>
      <c r="M3058" s="497"/>
      <c r="N3058" s="503"/>
      <c r="O3058" s="503"/>
      <c r="P3058" s="503"/>
    </row>
    <row r="3059" spans="1:16" x14ac:dyDescent="0.35">
      <c r="A3059" s="497" t="b">
        <v>0</v>
      </c>
      <c r="B3059" s="497"/>
      <c r="C3059" s="497" t="s">
        <v>7102</v>
      </c>
      <c r="D3059" s="512">
        <v>28</v>
      </c>
      <c r="E3059" s="500"/>
      <c r="F3059" s="503"/>
      <c r="G3059" s="502"/>
      <c r="H3059" s="512"/>
      <c r="I3059" s="503"/>
      <c r="J3059" s="503"/>
      <c r="K3059" s="497" t="str">
        <f ca="1">IFERROR(VLOOKUP(C3059,' Disaggregation - Section E '!A$618:N1183,3,0),"")</f>
        <v/>
      </c>
      <c r="L3059" s="497"/>
      <c r="M3059" s="497"/>
      <c r="N3059" s="503"/>
      <c r="O3059" s="503"/>
      <c r="P3059" s="503"/>
    </row>
    <row r="3060" spans="1:16" x14ac:dyDescent="0.35">
      <c r="A3060" s="497" t="b">
        <v>0</v>
      </c>
      <c r="B3060" s="497"/>
      <c r="C3060" s="497" t="s">
        <v>5874</v>
      </c>
      <c r="D3060" s="512">
        <v>29</v>
      </c>
      <c r="E3060" s="500"/>
      <c r="F3060" s="503"/>
      <c r="G3060" s="502"/>
      <c r="H3060" s="512"/>
      <c r="I3060" s="503"/>
      <c r="J3060" s="503"/>
      <c r="K3060" s="497" t="str">
        <f ca="1">IFERROR(VLOOKUP(C3060,' Disaggregation - Section E '!A$618:N1184,3,0),"")</f>
        <v/>
      </c>
      <c r="L3060" s="497"/>
      <c r="M3060" s="497"/>
      <c r="N3060" s="503"/>
      <c r="O3060" s="503"/>
      <c r="P3060" s="503"/>
    </row>
    <row r="3061" spans="1:16" x14ac:dyDescent="0.35">
      <c r="A3061" s="497" t="b">
        <v>0</v>
      </c>
      <c r="B3061" s="497"/>
      <c r="C3061" s="497" t="s">
        <v>5876</v>
      </c>
      <c r="D3061" s="512">
        <v>29</v>
      </c>
      <c r="E3061" s="500"/>
      <c r="F3061" s="503"/>
      <c r="G3061" s="502"/>
      <c r="H3061" s="512"/>
      <c r="I3061" s="503"/>
      <c r="J3061" s="503"/>
      <c r="K3061" s="497" t="str">
        <f ca="1">IFERROR(VLOOKUP(C3061,' Disaggregation - Section E '!A$618:N1185,3,0),"")</f>
        <v/>
      </c>
      <c r="L3061" s="497"/>
      <c r="M3061" s="497"/>
      <c r="N3061" s="503"/>
      <c r="O3061" s="503"/>
      <c r="P3061" s="503"/>
    </row>
    <row r="3062" spans="1:16" x14ac:dyDescent="0.35">
      <c r="A3062" s="497" t="b">
        <v>0</v>
      </c>
      <c r="B3062" s="497"/>
      <c r="C3062" s="497" t="s">
        <v>5878</v>
      </c>
      <c r="D3062" s="512">
        <v>29</v>
      </c>
      <c r="E3062" s="500"/>
      <c r="F3062" s="503"/>
      <c r="G3062" s="502"/>
      <c r="H3062" s="512"/>
      <c r="I3062" s="503"/>
      <c r="J3062" s="503"/>
      <c r="K3062" s="497" t="str">
        <f ca="1">IFERROR(VLOOKUP(C3062,' Disaggregation - Section E '!A$618:N1186,3,0),"")</f>
        <v/>
      </c>
      <c r="L3062" s="497"/>
      <c r="M3062" s="497"/>
      <c r="N3062" s="503"/>
      <c r="O3062" s="503"/>
      <c r="P3062" s="503"/>
    </row>
    <row r="3063" spans="1:16" x14ac:dyDescent="0.35">
      <c r="A3063" s="497" t="b">
        <v>0</v>
      </c>
      <c r="B3063" s="497"/>
      <c r="C3063" s="497" t="s">
        <v>5880</v>
      </c>
      <c r="D3063" s="512">
        <v>29</v>
      </c>
      <c r="E3063" s="500"/>
      <c r="F3063" s="503"/>
      <c r="G3063" s="502"/>
      <c r="H3063" s="512"/>
      <c r="I3063" s="503"/>
      <c r="J3063" s="503"/>
      <c r="K3063" s="497" t="str">
        <f ca="1">IFERROR(VLOOKUP(C3063,' Disaggregation - Section E '!A$618:N1187,3,0),"")</f>
        <v/>
      </c>
      <c r="L3063" s="497"/>
      <c r="M3063" s="497"/>
      <c r="N3063" s="503"/>
      <c r="O3063" s="503"/>
      <c r="P3063" s="503"/>
    </row>
    <row r="3064" spans="1:16" x14ac:dyDescent="0.35">
      <c r="A3064" s="497" t="b">
        <v>0</v>
      </c>
      <c r="B3064" s="497"/>
      <c r="C3064" s="497" t="s">
        <v>5882</v>
      </c>
      <c r="D3064" s="512">
        <v>29</v>
      </c>
      <c r="E3064" s="500"/>
      <c r="F3064" s="503"/>
      <c r="G3064" s="502"/>
      <c r="H3064" s="512"/>
      <c r="I3064" s="503"/>
      <c r="J3064" s="503"/>
      <c r="K3064" s="497" t="str">
        <f ca="1">IFERROR(VLOOKUP(C3064,' Disaggregation - Section E '!A$618:N1188,3,0),"")</f>
        <v/>
      </c>
      <c r="L3064" s="497"/>
      <c r="M3064" s="497"/>
      <c r="N3064" s="503"/>
      <c r="O3064" s="503"/>
      <c r="P3064" s="503"/>
    </row>
    <row r="3065" spans="1:16" x14ac:dyDescent="0.35">
      <c r="A3065" s="497" t="b">
        <v>0</v>
      </c>
      <c r="B3065" s="497"/>
      <c r="C3065" s="497" t="s">
        <v>5884</v>
      </c>
      <c r="D3065" s="512">
        <v>29</v>
      </c>
      <c r="E3065" s="500"/>
      <c r="F3065" s="503"/>
      <c r="G3065" s="502"/>
      <c r="H3065" s="512"/>
      <c r="I3065" s="503"/>
      <c r="J3065" s="503"/>
      <c r="K3065" s="497" t="str">
        <f ca="1">IFERROR(VLOOKUP(C3065,' Disaggregation - Section E '!A$618:N1189,3,0),"")</f>
        <v/>
      </c>
      <c r="L3065" s="497"/>
      <c r="M3065" s="497"/>
      <c r="N3065" s="503"/>
      <c r="O3065" s="503"/>
      <c r="P3065" s="503"/>
    </row>
    <row r="3066" spans="1:16" x14ac:dyDescent="0.35">
      <c r="A3066" s="497" t="b">
        <v>0</v>
      </c>
      <c r="B3066" s="497"/>
      <c r="C3066" s="497" t="s">
        <v>5886</v>
      </c>
      <c r="D3066" s="512">
        <v>29</v>
      </c>
      <c r="E3066" s="500"/>
      <c r="F3066" s="503"/>
      <c r="G3066" s="502"/>
      <c r="H3066" s="512"/>
      <c r="I3066" s="503"/>
      <c r="J3066" s="503"/>
      <c r="K3066" s="497" t="str">
        <f ca="1">IFERROR(VLOOKUP(C3066,' Disaggregation - Section E '!A$618:N1190,3,0),"")</f>
        <v/>
      </c>
      <c r="L3066" s="497"/>
      <c r="M3066" s="497"/>
      <c r="N3066" s="503"/>
      <c r="O3066" s="503"/>
      <c r="P3066" s="503"/>
    </row>
    <row r="3067" spans="1:16" x14ac:dyDescent="0.35">
      <c r="A3067" s="497" t="b">
        <v>0</v>
      </c>
      <c r="B3067" s="497"/>
      <c r="C3067" s="497" t="s">
        <v>5888</v>
      </c>
      <c r="D3067" s="512">
        <v>29</v>
      </c>
      <c r="E3067" s="500"/>
      <c r="F3067" s="503"/>
      <c r="G3067" s="502"/>
      <c r="H3067" s="512"/>
      <c r="I3067" s="503"/>
      <c r="J3067" s="503"/>
      <c r="K3067" s="497" t="str">
        <f ca="1">IFERROR(VLOOKUP(C3067,' Disaggregation - Section E '!A$618:N1191,3,0),"")</f>
        <v/>
      </c>
      <c r="L3067" s="497"/>
      <c r="M3067" s="497"/>
      <c r="N3067" s="503"/>
      <c r="O3067" s="503"/>
      <c r="P3067" s="503"/>
    </row>
    <row r="3068" spans="1:16" x14ac:dyDescent="0.35">
      <c r="A3068" s="497" t="b">
        <v>0</v>
      </c>
      <c r="B3068" s="497"/>
      <c r="C3068" s="497" t="s">
        <v>5890</v>
      </c>
      <c r="D3068" s="512">
        <v>29</v>
      </c>
      <c r="E3068" s="500"/>
      <c r="F3068" s="503"/>
      <c r="G3068" s="502"/>
      <c r="H3068" s="512"/>
      <c r="I3068" s="503"/>
      <c r="J3068" s="503"/>
      <c r="K3068" s="497" t="str">
        <f ca="1">IFERROR(VLOOKUP(C3068,' Disaggregation - Section E '!A$618:N1192,3,0),"")</f>
        <v/>
      </c>
      <c r="L3068" s="497"/>
      <c r="M3068" s="497"/>
      <c r="N3068" s="503"/>
      <c r="O3068" s="503"/>
      <c r="P3068" s="503"/>
    </row>
    <row r="3069" spans="1:16" x14ac:dyDescent="0.35">
      <c r="A3069" s="497" t="b">
        <v>0</v>
      </c>
      <c r="B3069" s="497"/>
      <c r="C3069" s="497" t="s">
        <v>5892</v>
      </c>
      <c r="D3069" s="512">
        <v>29</v>
      </c>
      <c r="E3069" s="500"/>
      <c r="F3069" s="503"/>
      <c r="G3069" s="502"/>
      <c r="H3069" s="512"/>
      <c r="I3069" s="503"/>
      <c r="J3069" s="503"/>
      <c r="K3069" s="497" t="str">
        <f ca="1">IFERROR(VLOOKUP(C3069,' Disaggregation - Section E '!A$618:N1193,3,0),"")</f>
        <v/>
      </c>
      <c r="L3069" s="497"/>
      <c r="M3069" s="497"/>
      <c r="N3069" s="503"/>
      <c r="O3069" s="503"/>
      <c r="P3069" s="503"/>
    </row>
    <row r="3070" spans="1:16" x14ac:dyDescent="0.35">
      <c r="A3070" s="497" t="b">
        <v>0</v>
      </c>
      <c r="B3070" s="497"/>
      <c r="C3070" s="497" t="s">
        <v>5894</v>
      </c>
      <c r="D3070" s="512">
        <v>29</v>
      </c>
      <c r="E3070" s="500"/>
      <c r="F3070" s="503"/>
      <c r="G3070" s="502"/>
      <c r="H3070" s="512"/>
      <c r="I3070" s="503"/>
      <c r="J3070" s="503"/>
      <c r="K3070" s="497" t="str">
        <f ca="1">IFERROR(VLOOKUP(C3070,' Disaggregation - Section E '!A$618:N1194,3,0),"")</f>
        <v/>
      </c>
      <c r="L3070" s="497"/>
      <c r="M3070" s="497"/>
      <c r="N3070" s="503"/>
      <c r="O3070" s="503"/>
      <c r="P3070" s="503"/>
    </row>
    <row r="3071" spans="1:16" x14ac:dyDescent="0.35">
      <c r="A3071" s="497" t="b">
        <v>0</v>
      </c>
      <c r="B3071" s="497"/>
      <c r="C3071" s="497" t="s">
        <v>5896</v>
      </c>
      <c r="D3071" s="512">
        <v>29</v>
      </c>
      <c r="E3071" s="500"/>
      <c r="F3071" s="503"/>
      <c r="G3071" s="502"/>
      <c r="H3071" s="512"/>
      <c r="I3071" s="503"/>
      <c r="J3071" s="503"/>
      <c r="K3071" s="497" t="str">
        <f ca="1">IFERROR(VLOOKUP(C3071,' Disaggregation - Section E '!A$618:N1195,3,0),"")</f>
        <v/>
      </c>
      <c r="L3071" s="497"/>
      <c r="M3071" s="497"/>
      <c r="N3071" s="503"/>
      <c r="O3071" s="503"/>
      <c r="P3071" s="503"/>
    </row>
    <row r="3072" spans="1:16" x14ac:dyDescent="0.35">
      <c r="A3072" s="497" t="b">
        <v>0</v>
      </c>
      <c r="B3072" s="497"/>
      <c r="C3072" s="497" t="s">
        <v>5898</v>
      </c>
      <c r="D3072" s="512">
        <v>29</v>
      </c>
      <c r="E3072" s="500"/>
      <c r="F3072" s="503"/>
      <c r="G3072" s="502"/>
      <c r="H3072" s="512"/>
      <c r="I3072" s="503"/>
      <c r="J3072" s="503"/>
      <c r="K3072" s="497" t="str">
        <f ca="1">IFERROR(VLOOKUP(C3072,' Disaggregation - Section E '!A$618:N1196,3,0),"")</f>
        <v/>
      </c>
      <c r="L3072" s="497"/>
      <c r="M3072" s="497"/>
      <c r="N3072" s="503"/>
      <c r="O3072" s="503"/>
      <c r="P3072" s="503"/>
    </row>
    <row r="3073" spans="1:16" x14ac:dyDescent="0.35">
      <c r="A3073" s="497" t="b">
        <v>0</v>
      </c>
      <c r="B3073" s="497"/>
      <c r="C3073" s="497" t="s">
        <v>5900</v>
      </c>
      <c r="D3073" s="512">
        <v>29</v>
      </c>
      <c r="E3073" s="500"/>
      <c r="F3073" s="503"/>
      <c r="G3073" s="502"/>
      <c r="H3073" s="512"/>
      <c r="I3073" s="503"/>
      <c r="J3073" s="503"/>
      <c r="K3073" s="497" t="str">
        <f ca="1">IFERROR(VLOOKUP(C3073,' Disaggregation - Section E '!A$618:N1197,3,0),"")</f>
        <v/>
      </c>
      <c r="L3073" s="497"/>
      <c r="M3073" s="497"/>
      <c r="N3073" s="503"/>
      <c r="O3073" s="503"/>
      <c r="P3073" s="503"/>
    </row>
    <row r="3074" spans="1:16" x14ac:dyDescent="0.35">
      <c r="A3074" s="497" t="b">
        <v>0</v>
      </c>
      <c r="B3074" s="497"/>
      <c r="C3074" s="497" t="s">
        <v>5902</v>
      </c>
      <c r="D3074" s="512">
        <v>29</v>
      </c>
      <c r="E3074" s="500"/>
      <c r="F3074" s="503"/>
      <c r="G3074" s="502"/>
      <c r="H3074" s="512"/>
      <c r="I3074" s="503"/>
      <c r="J3074" s="503"/>
      <c r="K3074" s="497" t="str">
        <f ca="1">IFERROR(VLOOKUP(C3074,' Disaggregation - Section E '!A$618:N1198,3,0),"")</f>
        <v/>
      </c>
      <c r="L3074" s="497"/>
      <c r="M3074" s="497"/>
      <c r="N3074" s="503"/>
      <c r="O3074" s="503"/>
      <c r="P3074" s="503"/>
    </row>
    <row r="3075" spans="1:16" x14ac:dyDescent="0.35">
      <c r="A3075" s="497" t="b">
        <v>0</v>
      </c>
      <c r="B3075" s="497"/>
      <c r="C3075" s="497" t="s">
        <v>5904</v>
      </c>
      <c r="D3075" s="512">
        <v>29</v>
      </c>
      <c r="E3075" s="500"/>
      <c r="F3075" s="503"/>
      <c r="G3075" s="502"/>
      <c r="H3075" s="512"/>
      <c r="I3075" s="503"/>
      <c r="J3075" s="503"/>
      <c r="K3075" s="497" t="str">
        <f ca="1">IFERROR(VLOOKUP(C3075,' Disaggregation - Section E '!A$618:N1199,3,0),"")</f>
        <v/>
      </c>
      <c r="L3075" s="497"/>
      <c r="M3075" s="497"/>
      <c r="N3075" s="503"/>
      <c r="O3075" s="503"/>
      <c r="P3075" s="503"/>
    </row>
    <row r="3076" spans="1:16" x14ac:dyDescent="0.35">
      <c r="A3076" s="497" t="b">
        <v>0</v>
      </c>
      <c r="B3076" s="497"/>
      <c r="C3076" s="497" t="s">
        <v>5906</v>
      </c>
      <c r="D3076" s="512">
        <v>29</v>
      </c>
      <c r="E3076" s="500"/>
      <c r="F3076" s="503"/>
      <c r="G3076" s="502"/>
      <c r="H3076" s="512"/>
      <c r="I3076" s="503"/>
      <c r="J3076" s="503"/>
      <c r="K3076" s="497" t="str">
        <f ca="1">IFERROR(VLOOKUP(C3076,' Disaggregation - Section E '!A$618:N1200,3,0),"")</f>
        <v/>
      </c>
      <c r="L3076" s="497"/>
      <c r="M3076" s="497"/>
      <c r="N3076" s="503"/>
      <c r="O3076" s="503"/>
      <c r="P3076" s="503"/>
    </row>
    <row r="3077" spans="1:16" x14ac:dyDescent="0.35">
      <c r="A3077" s="497" t="b">
        <v>0</v>
      </c>
      <c r="B3077" s="497"/>
      <c r="C3077" s="497" t="s">
        <v>5908</v>
      </c>
      <c r="D3077" s="512">
        <v>29</v>
      </c>
      <c r="E3077" s="500"/>
      <c r="F3077" s="503"/>
      <c r="G3077" s="502"/>
      <c r="H3077" s="512"/>
      <c r="I3077" s="503"/>
      <c r="J3077" s="503"/>
      <c r="K3077" s="497" t="str">
        <f ca="1">IFERROR(VLOOKUP(C3077,' Disaggregation - Section E '!A$618:N1201,3,0),"")</f>
        <v/>
      </c>
      <c r="L3077" s="497"/>
      <c r="M3077" s="497"/>
      <c r="N3077" s="503"/>
      <c r="O3077" s="503"/>
      <c r="P3077" s="503"/>
    </row>
    <row r="3078" spans="1:16" x14ac:dyDescent="0.35">
      <c r="A3078" s="497" t="b">
        <v>0</v>
      </c>
      <c r="B3078" s="497"/>
      <c r="C3078" s="497" t="s">
        <v>5910</v>
      </c>
      <c r="D3078" s="512">
        <v>29</v>
      </c>
      <c r="E3078" s="500"/>
      <c r="F3078" s="503"/>
      <c r="G3078" s="502"/>
      <c r="H3078" s="512"/>
      <c r="I3078" s="503"/>
      <c r="J3078" s="503"/>
      <c r="K3078" s="497" t="str">
        <f ca="1">IFERROR(VLOOKUP(C3078,' Disaggregation - Section E '!A$618:N1202,3,0),"")</f>
        <v/>
      </c>
      <c r="L3078" s="497"/>
      <c r="M3078" s="497"/>
      <c r="N3078" s="503"/>
      <c r="O3078" s="503"/>
      <c r="P3078" s="503"/>
    </row>
    <row r="3079" spans="1:16" x14ac:dyDescent="0.35">
      <c r="A3079" s="497" t="b">
        <v>0</v>
      </c>
      <c r="B3079" s="497"/>
      <c r="C3079" s="497" t="s">
        <v>5912</v>
      </c>
      <c r="D3079" s="512">
        <v>29</v>
      </c>
      <c r="E3079" s="500"/>
      <c r="F3079" s="503"/>
      <c r="G3079" s="502"/>
      <c r="H3079" s="512"/>
      <c r="I3079" s="503"/>
      <c r="J3079" s="503"/>
      <c r="K3079" s="497" t="str">
        <f ca="1">IFERROR(VLOOKUP(C3079,' Disaggregation - Section E '!A$618:N1203,3,0),"")</f>
        <v/>
      </c>
      <c r="L3079" s="497"/>
      <c r="M3079" s="497"/>
      <c r="N3079" s="503"/>
      <c r="O3079" s="503"/>
      <c r="P3079" s="503"/>
    </row>
    <row r="3080" spans="1:16" x14ac:dyDescent="0.35">
      <c r="A3080" s="497" t="b">
        <v>0</v>
      </c>
      <c r="B3080" s="497"/>
      <c r="C3080" s="497" t="s">
        <v>7105</v>
      </c>
      <c r="D3080" s="512">
        <v>30</v>
      </c>
      <c r="E3080" s="500"/>
      <c r="F3080" s="503"/>
      <c r="G3080" s="502"/>
      <c r="H3080" s="512"/>
      <c r="I3080" s="503"/>
      <c r="J3080" s="503"/>
      <c r="K3080" s="497" t="str">
        <f ca="1">IFERROR(VLOOKUP(C3080,' Disaggregation - Section E '!A$618:N1204,3,0),"")</f>
        <v/>
      </c>
      <c r="L3080" s="497"/>
      <c r="M3080" s="497"/>
      <c r="N3080" s="503"/>
      <c r="O3080" s="503"/>
      <c r="P3080" s="503"/>
    </row>
    <row r="3081" spans="1:16" x14ac:dyDescent="0.35">
      <c r="A3081" s="497" t="b">
        <v>0</v>
      </c>
      <c r="B3081" s="497"/>
      <c r="C3081" s="497" t="s">
        <v>7107</v>
      </c>
      <c r="D3081" s="512">
        <v>30</v>
      </c>
      <c r="E3081" s="500"/>
      <c r="F3081" s="503"/>
      <c r="G3081" s="502"/>
      <c r="H3081" s="512"/>
      <c r="I3081" s="503"/>
      <c r="J3081" s="503"/>
      <c r="K3081" s="497" t="str">
        <f ca="1">IFERROR(VLOOKUP(C3081,' Disaggregation - Section E '!A$618:N1205,3,0),"")</f>
        <v/>
      </c>
      <c r="L3081" s="497"/>
      <c r="M3081" s="497"/>
      <c r="N3081" s="503"/>
      <c r="O3081" s="503"/>
      <c r="P3081" s="503"/>
    </row>
    <row r="3082" spans="1:16" x14ac:dyDescent="0.35">
      <c r="A3082" s="497" t="b">
        <v>0</v>
      </c>
      <c r="B3082" s="497"/>
      <c r="C3082" s="497" t="s">
        <v>7109</v>
      </c>
      <c r="D3082" s="512">
        <v>30</v>
      </c>
      <c r="E3082" s="500"/>
      <c r="F3082" s="503"/>
      <c r="G3082" s="502"/>
      <c r="H3082" s="512"/>
      <c r="I3082" s="503"/>
      <c r="J3082" s="503"/>
      <c r="K3082" s="497" t="str">
        <f ca="1">IFERROR(VLOOKUP(C3082,' Disaggregation - Section E '!A$618:N1206,3,0),"")</f>
        <v/>
      </c>
      <c r="L3082" s="497"/>
      <c r="M3082" s="497"/>
      <c r="N3082" s="503"/>
      <c r="O3082" s="503"/>
      <c r="P3082" s="503"/>
    </row>
    <row r="3083" spans="1:16" x14ac:dyDescent="0.35">
      <c r="A3083" s="497" t="b">
        <v>0</v>
      </c>
      <c r="B3083" s="497"/>
      <c r="C3083" s="497" t="s">
        <v>7111</v>
      </c>
      <c r="D3083" s="512">
        <v>30</v>
      </c>
      <c r="E3083" s="500"/>
      <c r="F3083" s="503"/>
      <c r="G3083" s="502"/>
      <c r="H3083" s="512"/>
      <c r="I3083" s="503"/>
      <c r="J3083" s="503"/>
      <c r="K3083" s="497" t="str">
        <f ca="1">IFERROR(VLOOKUP(C3083,' Disaggregation - Section E '!A$618:N1207,3,0),"")</f>
        <v/>
      </c>
      <c r="L3083" s="497"/>
      <c r="M3083" s="497"/>
      <c r="N3083" s="503"/>
      <c r="O3083" s="503"/>
      <c r="P3083" s="503"/>
    </row>
    <row r="3084" spans="1:16" x14ac:dyDescent="0.35">
      <c r="A3084" s="497" t="b">
        <v>0</v>
      </c>
      <c r="B3084" s="497"/>
      <c r="C3084" s="497" t="s">
        <v>7113</v>
      </c>
      <c r="D3084" s="512">
        <v>30</v>
      </c>
      <c r="E3084" s="500"/>
      <c r="F3084" s="503"/>
      <c r="G3084" s="502"/>
      <c r="H3084" s="512"/>
      <c r="I3084" s="503"/>
      <c r="J3084" s="503"/>
      <c r="K3084" s="497" t="str">
        <f ca="1">IFERROR(VLOOKUP(C3084,' Disaggregation - Section E '!A$618:N1208,3,0),"")</f>
        <v/>
      </c>
      <c r="L3084" s="497"/>
      <c r="M3084" s="497"/>
      <c r="N3084" s="503"/>
      <c r="O3084" s="503"/>
      <c r="P3084" s="503"/>
    </row>
    <row r="3085" spans="1:16" x14ac:dyDescent="0.35">
      <c r="A3085" s="497" t="b">
        <v>0</v>
      </c>
      <c r="B3085" s="497"/>
      <c r="C3085" s="497" t="s">
        <v>7115</v>
      </c>
      <c r="D3085" s="512">
        <v>30</v>
      </c>
      <c r="E3085" s="500"/>
      <c r="F3085" s="503"/>
      <c r="G3085" s="502"/>
      <c r="H3085" s="512"/>
      <c r="I3085" s="503"/>
      <c r="J3085" s="503"/>
      <c r="K3085" s="497" t="str">
        <f ca="1">IFERROR(VLOOKUP(C3085,' Disaggregation - Section E '!A$618:N1209,3,0),"")</f>
        <v/>
      </c>
      <c r="L3085" s="497"/>
      <c r="M3085" s="497"/>
      <c r="N3085" s="503"/>
      <c r="O3085" s="503"/>
      <c r="P3085" s="503"/>
    </row>
    <row r="3086" spans="1:16" x14ac:dyDescent="0.35">
      <c r="A3086" s="497" t="b">
        <v>0</v>
      </c>
      <c r="B3086" s="497"/>
      <c r="C3086" s="497" t="s">
        <v>7117</v>
      </c>
      <c r="D3086" s="512">
        <v>30</v>
      </c>
      <c r="E3086" s="500"/>
      <c r="F3086" s="503"/>
      <c r="G3086" s="502"/>
      <c r="H3086" s="512"/>
      <c r="I3086" s="503"/>
      <c r="J3086" s="503"/>
      <c r="K3086" s="497" t="str">
        <f ca="1">IFERROR(VLOOKUP(C3086,' Disaggregation - Section E '!A$618:N1210,3,0),"")</f>
        <v/>
      </c>
      <c r="L3086" s="497"/>
      <c r="M3086" s="497"/>
      <c r="N3086" s="503"/>
      <c r="O3086" s="503"/>
      <c r="P3086" s="503"/>
    </row>
    <row r="3087" spans="1:16" x14ac:dyDescent="0.35">
      <c r="A3087" s="497" t="b">
        <v>0</v>
      </c>
      <c r="B3087" s="497"/>
      <c r="C3087" s="497" t="s">
        <v>7119</v>
      </c>
      <c r="D3087" s="512">
        <v>30</v>
      </c>
      <c r="E3087" s="500"/>
      <c r="F3087" s="503"/>
      <c r="G3087" s="502"/>
      <c r="H3087" s="512"/>
      <c r="I3087" s="503"/>
      <c r="J3087" s="503"/>
      <c r="K3087" s="497" t="str">
        <f ca="1">IFERROR(VLOOKUP(C3087,' Disaggregation - Section E '!A$618:N1211,3,0),"")</f>
        <v/>
      </c>
      <c r="L3087" s="497"/>
      <c r="M3087" s="497"/>
      <c r="N3087" s="503"/>
      <c r="O3087" s="503"/>
      <c r="P3087" s="503"/>
    </row>
    <row r="3088" spans="1:16" x14ac:dyDescent="0.35">
      <c r="A3088" s="497" t="b">
        <v>0</v>
      </c>
      <c r="B3088" s="497"/>
      <c r="C3088" s="497" t="s">
        <v>7121</v>
      </c>
      <c r="D3088" s="512">
        <v>30</v>
      </c>
      <c r="E3088" s="500"/>
      <c r="F3088" s="503"/>
      <c r="G3088" s="502"/>
      <c r="H3088" s="512"/>
      <c r="I3088" s="503"/>
      <c r="J3088" s="503"/>
      <c r="K3088" s="497" t="str">
        <f ca="1">IFERROR(VLOOKUP(C3088,' Disaggregation - Section E '!A$618:N1212,3,0),"")</f>
        <v/>
      </c>
      <c r="L3088" s="497"/>
      <c r="M3088" s="497"/>
      <c r="N3088" s="503"/>
      <c r="O3088" s="503"/>
      <c r="P3088" s="503"/>
    </row>
    <row r="3089" spans="1:16" x14ac:dyDescent="0.35">
      <c r="A3089" s="497" t="b">
        <v>0</v>
      </c>
      <c r="B3089" s="497"/>
      <c r="C3089" s="497" t="s">
        <v>7123</v>
      </c>
      <c r="D3089" s="512">
        <v>30</v>
      </c>
      <c r="E3089" s="500"/>
      <c r="F3089" s="503"/>
      <c r="G3089" s="502"/>
      <c r="H3089" s="512"/>
      <c r="I3089" s="503"/>
      <c r="J3089" s="503"/>
      <c r="K3089" s="497" t="str">
        <f ca="1">IFERROR(VLOOKUP(C3089,' Disaggregation - Section E '!A$618:N1213,3,0),"")</f>
        <v/>
      </c>
      <c r="L3089" s="497"/>
      <c r="M3089" s="497"/>
      <c r="N3089" s="503"/>
      <c r="O3089" s="503"/>
      <c r="P3089" s="503"/>
    </row>
    <row r="3090" spans="1:16" x14ac:dyDescent="0.35">
      <c r="A3090" s="497" t="b">
        <v>0</v>
      </c>
      <c r="B3090" s="497"/>
      <c r="C3090" s="497" t="s">
        <v>7125</v>
      </c>
      <c r="D3090" s="512">
        <v>30</v>
      </c>
      <c r="E3090" s="500"/>
      <c r="F3090" s="503"/>
      <c r="G3090" s="502"/>
      <c r="H3090" s="512"/>
      <c r="I3090" s="503"/>
      <c r="J3090" s="503"/>
      <c r="K3090" s="497" t="str">
        <f ca="1">IFERROR(VLOOKUP(C3090,' Disaggregation - Section E '!A$618:N1214,3,0),"")</f>
        <v/>
      </c>
      <c r="L3090" s="497"/>
      <c r="M3090" s="497"/>
      <c r="N3090" s="503"/>
      <c r="O3090" s="503"/>
      <c r="P3090" s="503"/>
    </row>
    <row r="3091" spans="1:16" x14ac:dyDescent="0.35">
      <c r="A3091" s="497" t="b">
        <v>0</v>
      </c>
      <c r="B3091" s="497"/>
      <c r="C3091" s="497" t="s">
        <v>7127</v>
      </c>
      <c r="D3091" s="512">
        <v>30</v>
      </c>
      <c r="E3091" s="500"/>
      <c r="F3091" s="503"/>
      <c r="G3091" s="502"/>
      <c r="H3091" s="512"/>
      <c r="I3091" s="503"/>
      <c r="J3091" s="503"/>
      <c r="K3091" s="497" t="str">
        <f ca="1">IFERROR(VLOOKUP(C3091,' Disaggregation - Section E '!A$618:N1215,3,0),"")</f>
        <v/>
      </c>
      <c r="L3091" s="497"/>
      <c r="M3091" s="497"/>
      <c r="N3091" s="503"/>
      <c r="O3091" s="503"/>
      <c r="P3091" s="503"/>
    </row>
    <row r="3092" spans="1:16" x14ac:dyDescent="0.35">
      <c r="A3092" s="497" t="b">
        <v>0</v>
      </c>
      <c r="B3092" s="497"/>
      <c r="C3092" s="497" t="s">
        <v>7129</v>
      </c>
      <c r="D3092" s="512">
        <v>30</v>
      </c>
      <c r="E3092" s="500"/>
      <c r="F3092" s="503"/>
      <c r="G3092" s="502"/>
      <c r="H3092" s="512"/>
      <c r="I3092" s="503"/>
      <c r="J3092" s="503"/>
      <c r="K3092" s="497" t="str">
        <f ca="1">IFERROR(VLOOKUP(C3092,' Disaggregation - Section E '!A$618:N1216,3,0),"")</f>
        <v/>
      </c>
      <c r="L3092" s="497"/>
      <c r="M3092" s="497"/>
      <c r="N3092" s="503"/>
      <c r="O3092" s="503"/>
      <c r="P3092" s="503"/>
    </row>
    <row r="3093" spans="1:16" x14ac:dyDescent="0.35">
      <c r="A3093" s="497" t="b">
        <v>0</v>
      </c>
      <c r="B3093" s="497"/>
      <c r="C3093" s="497" t="s">
        <v>7131</v>
      </c>
      <c r="D3093" s="512">
        <v>30</v>
      </c>
      <c r="E3093" s="500"/>
      <c r="F3093" s="503"/>
      <c r="G3093" s="502"/>
      <c r="H3093" s="512"/>
      <c r="I3093" s="503"/>
      <c r="J3093" s="503"/>
      <c r="K3093" s="497" t="str">
        <f ca="1">IFERROR(VLOOKUP(C3093,' Disaggregation - Section E '!A$618:N1217,3,0),"")</f>
        <v/>
      </c>
      <c r="L3093" s="497"/>
      <c r="M3093" s="497"/>
      <c r="N3093" s="503"/>
      <c r="O3093" s="503"/>
      <c r="P3093" s="503"/>
    </row>
    <row r="3094" spans="1:16" x14ac:dyDescent="0.35">
      <c r="A3094" s="497" t="b">
        <v>0</v>
      </c>
      <c r="B3094" s="497"/>
      <c r="C3094" s="497" t="s">
        <v>7133</v>
      </c>
      <c r="D3094" s="512">
        <v>30</v>
      </c>
      <c r="E3094" s="500"/>
      <c r="F3094" s="503"/>
      <c r="G3094" s="502"/>
      <c r="H3094" s="512"/>
      <c r="I3094" s="503"/>
      <c r="J3094" s="503"/>
      <c r="K3094" s="497" t="str">
        <f ca="1">IFERROR(VLOOKUP(C3094,' Disaggregation - Section E '!A$618:N1218,3,0),"")</f>
        <v/>
      </c>
      <c r="L3094" s="497"/>
      <c r="M3094" s="497"/>
      <c r="N3094" s="503"/>
      <c r="O3094" s="503"/>
      <c r="P3094" s="503"/>
    </row>
    <row r="3095" spans="1:16" x14ac:dyDescent="0.35">
      <c r="A3095" s="497" t="b">
        <v>0</v>
      </c>
      <c r="B3095" s="497"/>
      <c r="C3095" s="497" t="s">
        <v>7135</v>
      </c>
      <c r="D3095" s="512">
        <v>30</v>
      </c>
      <c r="E3095" s="500"/>
      <c r="F3095" s="503"/>
      <c r="G3095" s="502"/>
      <c r="H3095" s="512"/>
      <c r="I3095" s="503"/>
      <c r="J3095" s="503"/>
      <c r="K3095" s="497" t="str">
        <f ca="1">IFERROR(VLOOKUP(C3095,' Disaggregation - Section E '!A$618:N1219,3,0),"")</f>
        <v/>
      </c>
      <c r="L3095" s="497"/>
      <c r="M3095" s="497"/>
      <c r="N3095" s="503"/>
      <c r="O3095" s="503"/>
      <c r="P3095" s="503"/>
    </row>
    <row r="3096" spans="1:16" x14ac:dyDescent="0.35">
      <c r="A3096" s="497" t="b">
        <v>0</v>
      </c>
      <c r="B3096" s="497"/>
      <c r="C3096" s="497" t="s">
        <v>7137</v>
      </c>
      <c r="D3096" s="512">
        <v>30</v>
      </c>
      <c r="E3096" s="500"/>
      <c r="F3096" s="503"/>
      <c r="G3096" s="502"/>
      <c r="H3096" s="512"/>
      <c r="I3096" s="503"/>
      <c r="J3096" s="503"/>
      <c r="K3096" s="497" t="str">
        <f ca="1">IFERROR(VLOOKUP(C3096,' Disaggregation - Section E '!A$618:N1220,3,0),"")</f>
        <v/>
      </c>
      <c r="L3096" s="497"/>
      <c r="M3096" s="497"/>
      <c r="N3096" s="503"/>
      <c r="O3096" s="503"/>
      <c r="P3096" s="503"/>
    </row>
    <row r="3097" spans="1:16" x14ac:dyDescent="0.35">
      <c r="A3097" s="497" t="b">
        <v>0</v>
      </c>
      <c r="B3097" s="497"/>
      <c r="C3097" s="497" t="s">
        <v>7139</v>
      </c>
      <c r="D3097" s="512">
        <v>30</v>
      </c>
      <c r="E3097" s="500"/>
      <c r="F3097" s="503"/>
      <c r="G3097" s="502"/>
      <c r="H3097" s="512"/>
      <c r="I3097" s="503"/>
      <c r="J3097" s="503"/>
      <c r="K3097" s="497" t="str">
        <f ca="1">IFERROR(VLOOKUP(C3097,' Disaggregation - Section E '!A$618:N1221,3,0),"")</f>
        <v/>
      </c>
      <c r="L3097" s="497"/>
      <c r="M3097" s="497"/>
      <c r="N3097" s="503"/>
      <c r="O3097" s="503"/>
      <c r="P3097" s="503"/>
    </row>
    <row r="3098" spans="1:16" x14ac:dyDescent="0.35">
      <c r="A3098" s="497" t="b">
        <v>0</v>
      </c>
      <c r="B3098" s="497"/>
      <c r="C3098" s="497" t="s">
        <v>7141</v>
      </c>
      <c r="D3098" s="512">
        <v>30</v>
      </c>
      <c r="E3098" s="500"/>
      <c r="F3098" s="503"/>
      <c r="G3098" s="502"/>
      <c r="H3098" s="512"/>
      <c r="I3098" s="503"/>
      <c r="J3098" s="503"/>
      <c r="K3098" s="497" t="str">
        <f ca="1">IFERROR(VLOOKUP(C3098,' Disaggregation - Section E '!A$618:N1222,3,0),"")</f>
        <v/>
      </c>
      <c r="L3098" s="497"/>
      <c r="M3098" s="497"/>
      <c r="N3098" s="503"/>
      <c r="O3098" s="503"/>
      <c r="P3098" s="503"/>
    </row>
    <row r="3099" spans="1:16" x14ac:dyDescent="0.35">
      <c r="A3099" s="497" t="b">
        <v>0</v>
      </c>
      <c r="B3099" s="497"/>
      <c r="C3099" s="497" t="s">
        <v>7143</v>
      </c>
      <c r="D3099" s="512">
        <v>30</v>
      </c>
      <c r="E3099" s="500"/>
      <c r="F3099" s="503"/>
      <c r="G3099" s="502"/>
      <c r="H3099" s="512"/>
      <c r="I3099" s="503"/>
      <c r="J3099" s="503"/>
      <c r="K3099" s="497" t="str">
        <f ca="1">IFERROR(VLOOKUP(C3099,' Disaggregation - Section E '!A$618:N1223,3,0),"")</f>
        <v/>
      </c>
      <c r="L3099" s="497"/>
      <c r="M3099" s="497"/>
      <c r="N3099" s="503"/>
      <c r="O3099" s="503"/>
      <c r="P3099" s="503"/>
    </row>
    <row r="3100" spans="1:16" x14ac:dyDescent="0.35">
      <c r="A3100" s="497" t="b">
        <v>0</v>
      </c>
      <c r="B3100" s="497"/>
      <c r="C3100" s="497" t="s">
        <v>5915</v>
      </c>
      <c r="D3100" s="512">
        <v>31</v>
      </c>
      <c r="E3100" s="500"/>
      <c r="F3100" s="503"/>
      <c r="G3100" s="502"/>
      <c r="H3100" s="512"/>
      <c r="I3100" s="503"/>
      <c r="J3100" s="503"/>
      <c r="K3100" s="497" t="str">
        <f ca="1">IFERROR(VLOOKUP(C3100,' Disaggregation - Section E '!A$618:N1224,3,0),"")</f>
        <v/>
      </c>
      <c r="L3100" s="497"/>
      <c r="M3100" s="497"/>
      <c r="N3100" s="503"/>
      <c r="O3100" s="503"/>
      <c r="P3100" s="503"/>
    </row>
    <row r="3101" spans="1:16" x14ac:dyDescent="0.35">
      <c r="A3101" s="497" t="b">
        <v>0</v>
      </c>
      <c r="B3101" s="497"/>
      <c r="C3101" s="497" t="s">
        <v>5917</v>
      </c>
      <c r="D3101" s="512">
        <v>31</v>
      </c>
      <c r="E3101" s="500"/>
      <c r="F3101" s="503"/>
      <c r="G3101" s="502"/>
      <c r="H3101" s="512"/>
      <c r="I3101" s="503"/>
      <c r="J3101" s="503"/>
      <c r="K3101" s="497" t="str">
        <f ca="1">IFERROR(VLOOKUP(C3101,' Disaggregation - Section E '!A$618:N1225,3,0),"")</f>
        <v/>
      </c>
      <c r="L3101" s="497"/>
      <c r="M3101" s="497"/>
      <c r="N3101" s="503"/>
      <c r="O3101" s="503"/>
      <c r="P3101" s="503"/>
    </row>
    <row r="3102" spans="1:16" x14ac:dyDescent="0.35">
      <c r="A3102" s="497" t="b">
        <v>0</v>
      </c>
      <c r="B3102" s="497"/>
      <c r="C3102" s="497" t="s">
        <v>5919</v>
      </c>
      <c r="D3102" s="512">
        <v>31</v>
      </c>
      <c r="E3102" s="500"/>
      <c r="F3102" s="503"/>
      <c r="G3102" s="502"/>
      <c r="H3102" s="512"/>
      <c r="I3102" s="503"/>
      <c r="J3102" s="503"/>
      <c r="K3102" s="497" t="str">
        <f ca="1">IFERROR(VLOOKUP(C3102,' Disaggregation - Section E '!A$618:N1226,3,0),"")</f>
        <v/>
      </c>
      <c r="L3102" s="497"/>
      <c r="M3102" s="497"/>
      <c r="N3102" s="503"/>
      <c r="O3102" s="503"/>
      <c r="P3102" s="503"/>
    </row>
    <row r="3103" spans="1:16" x14ac:dyDescent="0.35">
      <c r="A3103" s="497" t="b">
        <v>0</v>
      </c>
      <c r="B3103" s="497"/>
      <c r="C3103" s="497" t="s">
        <v>5921</v>
      </c>
      <c r="D3103" s="512">
        <v>31</v>
      </c>
      <c r="E3103" s="500"/>
      <c r="F3103" s="503"/>
      <c r="G3103" s="502"/>
      <c r="H3103" s="512"/>
      <c r="I3103" s="503"/>
      <c r="J3103" s="503"/>
      <c r="K3103" s="497" t="str">
        <f ca="1">IFERROR(VLOOKUP(C3103,' Disaggregation - Section E '!A$618:N1227,3,0),"")</f>
        <v/>
      </c>
      <c r="L3103" s="497"/>
      <c r="M3103" s="497"/>
      <c r="N3103" s="503"/>
      <c r="O3103" s="503"/>
      <c r="P3103" s="503"/>
    </row>
    <row r="3104" spans="1:16" x14ac:dyDescent="0.35">
      <c r="A3104" s="497" t="b">
        <v>0</v>
      </c>
      <c r="B3104" s="497"/>
      <c r="C3104" s="497" t="s">
        <v>5923</v>
      </c>
      <c r="D3104" s="512">
        <v>31</v>
      </c>
      <c r="E3104" s="500"/>
      <c r="F3104" s="503"/>
      <c r="G3104" s="502"/>
      <c r="H3104" s="512"/>
      <c r="I3104" s="503"/>
      <c r="J3104" s="503"/>
      <c r="K3104" s="497" t="str">
        <f ca="1">IFERROR(VLOOKUP(C3104,' Disaggregation - Section E '!A$618:N1228,3,0),"")</f>
        <v/>
      </c>
      <c r="L3104" s="497"/>
      <c r="M3104" s="497"/>
      <c r="N3104" s="503"/>
      <c r="O3104" s="503"/>
      <c r="P3104" s="503"/>
    </row>
    <row r="3105" spans="1:16" x14ac:dyDescent="0.35">
      <c r="A3105" s="497" t="b">
        <v>0</v>
      </c>
      <c r="B3105" s="497"/>
      <c r="C3105" s="497" t="s">
        <v>5925</v>
      </c>
      <c r="D3105" s="512">
        <v>31</v>
      </c>
      <c r="E3105" s="500"/>
      <c r="F3105" s="503"/>
      <c r="G3105" s="502"/>
      <c r="H3105" s="512"/>
      <c r="I3105" s="503"/>
      <c r="J3105" s="503"/>
      <c r="K3105" s="497" t="str">
        <f ca="1">IFERROR(VLOOKUP(C3105,' Disaggregation - Section E '!A$618:N1229,3,0),"")</f>
        <v/>
      </c>
      <c r="L3105" s="497"/>
      <c r="M3105" s="497"/>
      <c r="N3105" s="503"/>
      <c r="O3105" s="503"/>
      <c r="P3105" s="503"/>
    </row>
    <row r="3106" spans="1:16" x14ac:dyDescent="0.35">
      <c r="A3106" s="497" t="b">
        <v>0</v>
      </c>
      <c r="B3106" s="497"/>
      <c r="C3106" s="497" t="s">
        <v>5927</v>
      </c>
      <c r="D3106" s="512">
        <v>31</v>
      </c>
      <c r="E3106" s="500"/>
      <c r="F3106" s="503"/>
      <c r="G3106" s="502"/>
      <c r="H3106" s="512"/>
      <c r="I3106" s="503"/>
      <c r="J3106" s="503"/>
      <c r="K3106" s="497" t="str">
        <f ca="1">IFERROR(VLOOKUP(C3106,' Disaggregation - Section E '!A$618:N1230,3,0),"")</f>
        <v/>
      </c>
      <c r="L3106" s="497"/>
      <c r="M3106" s="497"/>
      <c r="N3106" s="503"/>
      <c r="O3106" s="503"/>
      <c r="P3106" s="503"/>
    </row>
    <row r="3107" spans="1:16" x14ac:dyDescent="0.35">
      <c r="A3107" s="497" t="b">
        <v>0</v>
      </c>
      <c r="B3107" s="497"/>
      <c r="C3107" s="497" t="s">
        <v>5929</v>
      </c>
      <c r="D3107" s="512">
        <v>31</v>
      </c>
      <c r="E3107" s="500"/>
      <c r="F3107" s="503"/>
      <c r="G3107" s="502"/>
      <c r="H3107" s="512"/>
      <c r="I3107" s="503"/>
      <c r="J3107" s="503"/>
      <c r="K3107" s="497" t="str">
        <f ca="1">IFERROR(VLOOKUP(C3107,' Disaggregation - Section E '!A$618:N1231,3,0),"")</f>
        <v/>
      </c>
      <c r="L3107" s="497"/>
      <c r="M3107" s="497"/>
      <c r="N3107" s="503"/>
      <c r="O3107" s="503"/>
      <c r="P3107" s="503"/>
    </row>
    <row r="3108" spans="1:16" x14ac:dyDescent="0.35">
      <c r="A3108" s="497" t="b">
        <v>0</v>
      </c>
      <c r="B3108" s="497"/>
      <c r="C3108" s="497" t="s">
        <v>5931</v>
      </c>
      <c r="D3108" s="512">
        <v>31</v>
      </c>
      <c r="E3108" s="500"/>
      <c r="F3108" s="503"/>
      <c r="G3108" s="502"/>
      <c r="H3108" s="512"/>
      <c r="I3108" s="503"/>
      <c r="J3108" s="503"/>
      <c r="K3108" s="497" t="str">
        <f ca="1">IFERROR(VLOOKUP(C3108,' Disaggregation - Section E '!A$618:N1232,3,0),"")</f>
        <v/>
      </c>
      <c r="L3108" s="497"/>
      <c r="M3108" s="497"/>
      <c r="N3108" s="503"/>
      <c r="O3108" s="503"/>
      <c r="P3108" s="503"/>
    </row>
    <row r="3109" spans="1:16" x14ac:dyDescent="0.35">
      <c r="A3109" s="497" t="b">
        <v>0</v>
      </c>
      <c r="B3109" s="497"/>
      <c r="C3109" s="497" t="s">
        <v>5933</v>
      </c>
      <c r="D3109" s="512">
        <v>31</v>
      </c>
      <c r="E3109" s="500"/>
      <c r="F3109" s="503"/>
      <c r="G3109" s="502"/>
      <c r="H3109" s="512"/>
      <c r="I3109" s="503"/>
      <c r="J3109" s="503"/>
      <c r="K3109" s="497" t="str">
        <f ca="1">IFERROR(VLOOKUP(C3109,' Disaggregation - Section E '!A$618:N1233,3,0),"")</f>
        <v/>
      </c>
      <c r="L3109" s="497"/>
      <c r="M3109" s="497"/>
      <c r="N3109" s="503"/>
      <c r="O3109" s="503"/>
      <c r="P3109" s="503"/>
    </row>
    <row r="3110" spans="1:16" x14ac:dyDescent="0.35">
      <c r="A3110" s="497" t="b">
        <v>0</v>
      </c>
      <c r="B3110" s="497"/>
      <c r="C3110" s="497" t="s">
        <v>5935</v>
      </c>
      <c r="D3110" s="512">
        <v>31</v>
      </c>
      <c r="E3110" s="500"/>
      <c r="F3110" s="503"/>
      <c r="G3110" s="502"/>
      <c r="H3110" s="512"/>
      <c r="I3110" s="503"/>
      <c r="J3110" s="503"/>
      <c r="K3110" s="497" t="str">
        <f ca="1">IFERROR(VLOOKUP(C3110,' Disaggregation - Section E '!A$618:N1234,3,0),"")</f>
        <v/>
      </c>
      <c r="L3110" s="497"/>
      <c r="M3110" s="497"/>
      <c r="N3110" s="503"/>
      <c r="O3110" s="503"/>
      <c r="P3110" s="503"/>
    </row>
    <row r="3111" spans="1:16" x14ac:dyDescent="0.35">
      <c r="A3111" s="497" t="b">
        <v>0</v>
      </c>
      <c r="B3111" s="497"/>
      <c r="C3111" s="497" t="s">
        <v>5937</v>
      </c>
      <c r="D3111" s="512">
        <v>31</v>
      </c>
      <c r="E3111" s="500"/>
      <c r="F3111" s="503"/>
      <c r="G3111" s="502"/>
      <c r="H3111" s="512"/>
      <c r="I3111" s="503"/>
      <c r="J3111" s="503"/>
      <c r="K3111" s="497" t="str">
        <f ca="1">IFERROR(VLOOKUP(C3111,' Disaggregation - Section E '!A$618:N1235,3,0),"")</f>
        <v/>
      </c>
      <c r="L3111" s="497"/>
      <c r="M3111" s="497"/>
      <c r="N3111" s="503"/>
      <c r="O3111" s="503"/>
      <c r="P3111" s="503"/>
    </row>
    <row r="3112" spans="1:16" x14ac:dyDescent="0.35">
      <c r="A3112" s="497" t="b">
        <v>0</v>
      </c>
      <c r="B3112" s="497"/>
      <c r="C3112" s="497" t="s">
        <v>5939</v>
      </c>
      <c r="D3112" s="512">
        <v>31</v>
      </c>
      <c r="E3112" s="500"/>
      <c r="F3112" s="503"/>
      <c r="G3112" s="502"/>
      <c r="H3112" s="512"/>
      <c r="I3112" s="503"/>
      <c r="J3112" s="503"/>
      <c r="K3112" s="497" t="str">
        <f ca="1">IFERROR(VLOOKUP(C3112,' Disaggregation - Section E '!A$618:N1236,3,0),"")</f>
        <v/>
      </c>
      <c r="L3112" s="497"/>
      <c r="M3112" s="497"/>
      <c r="N3112" s="503"/>
      <c r="O3112" s="503"/>
      <c r="P3112" s="503"/>
    </row>
    <row r="3113" spans="1:16" x14ac:dyDescent="0.35">
      <c r="A3113" s="497" t="b">
        <v>0</v>
      </c>
      <c r="B3113" s="497"/>
      <c r="C3113" s="497" t="s">
        <v>5941</v>
      </c>
      <c r="D3113" s="512">
        <v>31</v>
      </c>
      <c r="E3113" s="500"/>
      <c r="F3113" s="503"/>
      <c r="G3113" s="502"/>
      <c r="H3113" s="512"/>
      <c r="I3113" s="503"/>
      <c r="J3113" s="503"/>
      <c r="K3113" s="497" t="str">
        <f ca="1">IFERROR(VLOOKUP(C3113,' Disaggregation - Section E '!A$618:N1237,3,0),"")</f>
        <v/>
      </c>
      <c r="L3113" s="497"/>
      <c r="M3113" s="497"/>
      <c r="N3113" s="503"/>
      <c r="O3113" s="503"/>
      <c r="P3113" s="503"/>
    </row>
    <row r="3114" spans="1:16" x14ac:dyDescent="0.35">
      <c r="A3114" s="497" t="b">
        <v>0</v>
      </c>
      <c r="B3114" s="497"/>
      <c r="C3114" s="497" t="s">
        <v>5943</v>
      </c>
      <c r="D3114" s="512">
        <v>31</v>
      </c>
      <c r="E3114" s="500"/>
      <c r="F3114" s="503"/>
      <c r="G3114" s="502"/>
      <c r="H3114" s="512"/>
      <c r="I3114" s="503"/>
      <c r="J3114" s="503"/>
      <c r="K3114" s="497" t="str">
        <f ca="1">IFERROR(VLOOKUP(C3114,' Disaggregation - Section E '!A$618:N1238,3,0),"")</f>
        <v/>
      </c>
      <c r="L3114" s="497"/>
      <c r="M3114" s="497"/>
      <c r="N3114" s="503"/>
      <c r="O3114" s="503"/>
      <c r="P3114" s="503"/>
    </row>
    <row r="3115" spans="1:16" x14ac:dyDescent="0.35">
      <c r="A3115" s="497" t="b">
        <v>0</v>
      </c>
      <c r="B3115" s="497"/>
      <c r="C3115" s="497" t="s">
        <v>5945</v>
      </c>
      <c r="D3115" s="512">
        <v>31</v>
      </c>
      <c r="E3115" s="500"/>
      <c r="F3115" s="503"/>
      <c r="G3115" s="502"/>
      <c r="H3115" s="512"/>
      <c r="I3115" s="503"/>
      <c r="J3115" s="503"/>
      <c r="K3115" s="497" t="str">
        <f ca="1">IFERROR(VLOOKUP(C3115,' Disaggregation - Section E '!A$618:N1239,3,0),"")</f>
        <v/>
      </c>
      <c r="L3115" s="497"/>
      <c r="M3115" s="497"/>
      <c r="N3115" s="503"/>
      <c r="O3115" s="503"/>
      <c r="P3115" s="503"/>
    </row>
    <row r="3116" spans="1:16" x14ac:dyDescent="0.35">
      <c r="A3116" s="497" t="b">
        <v>0</v>
      </c>
      <c r="B3116" s="497"/>
      <c r="C3116" s="497" t="s">
        <v>5947</v>
      </c>
      <c r="D3116" s="512">
        <v>31</v>
      </c>
      <c r="E3116" s="500"/>
      <c r="F3116" s="503"/>
      <c r="G3116" s="502"/>
      <c r="H3116" s="512"/>
      <c r="I3116" s="503"/>
      <c r="J3116" s="503"/>
      <c r="K3116" s="497" t="str">
        <f ca="1">IFERROR(VLOOKUP(C3116,' Disaggregation - Section E '!A$618:N1240,3,0),"")</f>
        <v/>
      </c>
      <c r="L3116" s="497"/>
      <c r="M3116" s="497"/>
      <c r="N3116" s="503"/>
      <c r="O3116" s="503"/>
      <c r="P3116" s="503"/>
    </row>
    <row r="3117" spans="1:16" x14ac:dyDescent="0.35">
      <c r="A3117" s="497" t="b">
        <v>0</v>
      </c>
      <c r="B3117" s="497"/>
      <c r="C3117" s="497" t="s">
        <v>5949</v>
      </c>
      <c r="D3117" s="512">
        <v>31</v>
      </c>
      <c r="E3117" s="500"/>
      <c r="F3117" s="503"/>
      <c r="G3117" s="502"/>
      <c r="H3117" s="512"/>
      <c r="I3117" s="503"/>
      <c r="J3117" s="503"/>
      <c r="K3117" s="497" t="str">
        <f ca="1">IFERROR(VLOOKUP(C3117,' Disaggregation - Section E '!A$618:N1241,3,0),"")</f>
        <v/>
      </c>
      <c r="L3117" s="497"/>
      <c r="M3117" s="497"/>
      <c r="N3117" s="503"/>
      <c r="O3117" s="503"/>
      <c r="P3117" s="503"/>
    </row>
    <row r="3118" spans="1:16" x14ac:dyDescent="0.35">
      <c r="A3118" s="497" t="b">
        <v>0</v>
      </c>
      <c r="B3118" s="497"/>
      <c r="C3118" s="497" t="s">
        <v>5951</v>
      </c>
      <c r="D3118" s="512">
        <v>31</v>
      </c>
      <c r="E3118" s="500"/>
      <c r="F3118" s="503"/>
      <c r="G3118" s="502"/>
      <c r="H3118" s="512"/>
      <c r="I3118" s="503"/>
      <c r="J3118" s="503"/>
      <c r="K3118" s="497" t="str">
        <f ca="1">IFERROR(VLOOKUP(C3118,' Disaggregation - Section E '!A$618:N1242,3,0),"")</f>
        <v/>
      </c>
      <c r="L3118" s="497"/>
      <c r="M3118" s="497"/>
      <c r="N3118" s="503"/>
      <c r="O3118" s="503"/>
      <c r="P3118" s="503"/>
    </row>
    <row r="3119" spans="1:16" x14ac:dyDescent="0.35">
      <c r="A3119" s="497" t="b">
        <v>0</v>
      </c>
      <c r="B3119" s="497"/>
      <c r="C3119" s="497" t="s">
        <v>5953</v>
      </c>
      <c r="D3119" s="512">
        <v>31</v>
      </c>
      <c r="E3119" s="500"/>
      <c r="F3119" s="503"/>
      <c r="G3119" s="502"/>
      <c r="H3119" s="512"/>
      <c r="I3119" s="503"/>
      <c r="J3119" s="503"/>
      <c r="K3119" s="497" t="str">
        <f ca="1">IFERROR(VLOOKUP(C3119,' Disaggregation - Section E '!A$618:N1243,3,0),"")</f>
        <v/>
      </c>
      <c r="L3119" s="497"/>
      <c r="M3119" s="497"/>
      <c r="N3119" s="503"/>
      <c r="O3119" s="503"/>
      <c r="P3119" s="503"/>
    </row>
    <row r="3120" spans="1:16" x14ac:dyDescent="0.35">
      <c r="A3120" s="497" t="b">
        <v>0</v>
      </c>
      <c r="B3120" s="497"/>
      <c r="C3120" s="497" t="s">
        <v>7146</v>
      </c>
      <c r="D3120" s="512">
        <v>32</v>
      </c>
      <c r="E3120" s="500"/>
      <c r="F3120" s="503"/>
      <c r="G3120" s="502"/>
      <c r="H3120" s="512"/>
      <c r="I3120" s="503"/>
      <c r="J3120" s="503"/>
      <c r="K3120" s="497" t="str">
        <f ca="1">IFERROR(VLOOKUP(C3120,' Disaggregation - Section E '!A$618:N1244,3,0),"")</f>
        <v/>
      </c>
      <c r="L3120" s="497"/>
      <c r="M3120" s="497"/>
      <c r="N3120" s="503"/>
      <c r="O3120" s="503"/>
      <c r="P3120" s="503"/>
    </row>
    <row r="3121" spans="1:16" x14ac:dyDescent="0.35">
      <c r="A3121" s="497" t="b">
        <v>0</v>
      </c>
      <c r="B3121" s="497"/>
      <c r="C3121" s="497" t="s">
        <v>7148</v>
      </c>
      <c r="D3121" s="512">
        <v>32</v>
      </c>
      <c r="E3121" s="500"/>
      <c r="F3121" s="503"/>
      <c r="G3121" s="502"/>
      <c r="H3121" s="512"/>
      <c r="I3121" s="503"/>
      <c r="J3121" s="503"/>
      <c r="K3121" s="497" t="str">
        <f ca="1">IFERROR(VLOOKUP(C3121,' Disaggregation - Section E '!A$618:N1245,3,0),"")</f>
        <v/>
      </c>
      <c r="L3121" s="497"/>
      <c r="M3121" s="497"/>
      <c r="N3121" s="503"/>
      <c r="O3121" s="503"/>
      <c r="P3121" s="503"/>
    </row>
    <row r="3122" spans="1:16" x14ac:dyDescent="0.35">
      <c r="A3122" s="497" t="b">
        <v>0</v>
      </c>
      <c r="B3122" s="497"/>
      <c r="C3122" s="497" t="s">
        <v>7150</v>
      </c>
      <c r="D3122" s="512">
        <v>32</v>
      </c>
      <c r="E3122" s="500"/>
      <c r="F3122" s="503"/>
      <c r="G3122" s="502"/>
      <c r="H3122" s="512"/>
      <c r="I3122" s="503"/>
      <c r="J3122" s="503"/>
      <c r="K3122" s="497" t="str">
        <f ca="1">IFERROR(VLOOKUP(C3122,' Disaggregation - Section E '!A$618:N1246,3,0),"")</f>
        <v/>
      </c>
      <c r="L3122" s="497"/>
      <c r="M3122" s="497"/>
      <c r="N3122" s="503"/>
      <c r="O3122" s="503"/>
      <c r="P3122" s="503"/>
    </row>
    <row r="3123" spans="1:16" x14ac:dyDescent="0.35">
      <c r="A3123" s="497" t="b">
        <v>0</v>
      </c>
      <c r="B3123" s="497"/>
      <c r="C3123" s="497" t="s">
        <v>7152</v>
      </c>
      <c r="D3123" s="512">
        <v>32</v>
      </c>
      <c r="E3123" s="500"/>
      <c r="F3123" s="503"/>
      <c r="G3123" s="502"/>
      <c r="H3123" s="512"/>
      <c r="I3123" s="503"/>
      <c r="J3123" s="503"/>
      <c r="K3123" s="497" t="str">
        <f ca="1">IFERROR(VLOOKUP(C3123,' Disaggregation - Section E '!A$618:N1247,3,0),"")</f>
        <v/>
      </c>
      <c r="L3123" s="497"/>
      <c r="M3123" s="497"/>
      <c r="N3123" s="503"/>
      <c r="O3123" s="503"/>
      <c r="P3123" s="503"/>
    </row>
    <row r="3124" spans="1:16" x14ac:dyDescent="0.35">
      <c r="A3124" s="497" t="b">
        <v>0</v>
      </c>
      <c r="B3124" s="497"/>
      <c r="C3124" s="497" t="s">
        <v>7154</v>
      </c>
      <c r="D3124" s="512">
        <v>32</v>
      </c>
      <c r="E3124" s="500"/>
      <c r="F3124" s="503"/>
      <c r="G3124" s="502"/>
      <c r="H3124" s="512"/>
      <c r="I3124" s="503"/>
      <c r="J3124" s="503"/>
      <c r="K3124" s="497" t="str">
        <f ca="1">IFERROR(VLOOKUP(C3124,' Disaggregation - Section E '!A$618:N1248,3,0),"")</f>
        <v/>
      </c>
      <c r="L3124" s="497"/>
      <c r="M3124" s="497"/>
      <c r="N3124" s="503"/>
      <c r="O3124" s="503"/>
      <c r="P3124" s="503"/>
    </row>
    <row r="3125" spans="1:16" x14ac:dyDescent="0.35">
      <c r="A3125" s="497" t="b">
        <v>0</v>
      </c>
      <c r="B3125" s="497"/>
      <c r="C3125" s="497" t="s">
        <v>7156</v>
      </c>
      <c r="D3125" s="512">
        <v>32</v>
      </c>
      <c r="E3125" s="500"/>
      <c r="F3125" s="503"/>
      <c r="G3125" s="502"/>
      <c r="H3125" s="512"/>
      <c r="I3125" s="503"/>
      <c r="J3125" s="503"/>
      <c r="K3125" s="497" t="str">
        <f ca="1">IFERROR(VLOOKUP(C3125,' Disaggregation - Section E '!A$618:N1249,3,0),"")</f>
        <v/>
      </c>
      <c r="L3125" s="497"/>
      <c r="M3125" s="497"/>
      <c r="N3125" s="503"/>
      <c r="O3125" s="503"/>
      <c r="P3125" s="503"/>
    </row>
    <row r="3126" spans="1:16" x14ac:dyDescent="0.35">
      <c r="A3126" s="497" t="b">
        <v>0</v>
      </c>
      <c r="B3126" s="497"/>
      <c r="C3126" s="497" t="s">
        <v>7158</v>
      </c>
      <c r="D3126" s="512">
        <v>32</v>
      </c>
      <c r="E3126" s="500"/>
      <c r="F3126" s="503"/>
      <c r="G3126" s="502"/>
      <c r="H3126" s="512"/>
      <c r="I3126" s="503"/>
      <c r="J3126" s="503"/>
      <c r="K3126" s="497" t="str">
        <f ca="1">IFERROR(VLOOKUP(C3126,' Disaggregation - Section E '!A$618:N1250,3,0),"")</f>
        <v/>
      </c>
      <c r="L3126" s="497"/>
      <c r="M3126" s="497"/>
      <c r="N3126" s="503"/>
      <c r="O3126" s="503"/>
      <c r="P3126" s="503"/>
    </row>
    <row r="3127" spans="1:16" x14ac:dyDescent="0.35">
      <c r="A3127" s="497" t="b">
        <v>0</v>
      </c>
      <c r="B3127" s="497"/>
      <c r="C3127" s="497" t="s">
        <v>7160</v>
      </c>
      <c r="D3127" s="512">
        <v>32</v>
      </c>
      <c r="E3127" s="500"/>
      <c r="F3127" s="503"/>
      <c r="G3127" s="502"/>
      <c r="H3127" s="512"/>
      <c r="I3127" s="503"/>
      <c r="J3127" s="503"/>
      <c r="K3127" s="497" t="str">
        <f ca="1">IFERROR(VLOOKUP(C3127,' Disaggregation - Section E '!A$618:N1251,3,0),"")</f>
        <v/>
      </c>
      <c r="L3127" s="497"/>
      <c r="M3127" s="497"/>
      <c r="N3127" s="503"/>
      <c r="O3127" s="503"/>
      <c r="P3127" s="503"/>
    </row>
    <row r="3128" spans="1:16" x14ac:dyDescent="0.35">
      <c r="A3128" s="497" t="b">
        <v>0</v>
      </c>
      <c r="B3128" s="497"/>
      <c r="C3128" s="497" t="s">
        <v>7162</v>
      </c>
      <c r="D3128" s="512">
        <v>32</v>
      </c>
      <c r="E3128" s="500"/>
      <c r="F3128" s="503"/>
      <c r="G3128" s="502"/>
      <c r="H3128" s="512"/>
      <c r="I3128" s="503"/>
      <c r="J3128" s="503"/>
      <c r="K3128" s="497" t="str">
        <f ca="1">IFERROR(VLOOKUP(C3128,' Disaggregation - Section E '!A$618:N1252,3,0),"")</f>
        <v/>
      </c>
      <c r="L3128" s="497"/>
      <c r="M3128" s="497"/>
      <c r="N3128" s="503"/>
      <c r="O3128" s="503"/>
      <c r="P3128" s="503"/>
    </row>
    <row r="3129" spans="1:16" x14ac:dyDescent="0.35">
      <c r="A3129" s="497" t="b">
        <v>0</v>
      </c>
      <c r="B3129" s="497"/>
      <c r="C3129" s="497" t="s">
        <v>7164</v>
      </c>
      <c r="D3129" s="512">
        <v>32</v>
      </c>
      <c r="E3129" s="500"/>
      <c r="F3129" s="503"/>
      <c r="G3129" s="502"/>
      <c r="H3129" s="512"/>
      <c r="I3129" s="503"/>
      <c r="J3129" s="503"/>
      <c r="K3129" s="497" t="str">
        <f ca="1">IFERROR(VLOOKUP(C3129,' Disaggregation - Section E '!A$618:N1253,3,0),"")</f>
        <v/>
      </c>
      <c r="L3129" s="497"/>
      <c r="M3129" s="497"/>
      <c r="N3129" s="503"/>
      <c r="O3129" s="503"/>
      <c r="P3129" s="503"/>
    </row>
    <row r="3130" spans="1:16" x14ac:dyDescent="0.35">
      <c r="A3130" s="497" t="b">
        <v>0</v>
      </c>
      <c r="B3130" s="497"/>
      <c r="C3130" s="497" t="s">
        <v>7166</v>
      </c>
      <c r="D3130" s="512">
        <v>32</v>
      </c>
      <c r="E3130" s="500"/>
      <c r="F3130" s="503"/>
      <c r="G3130" s="502"/>
      <c r="H3130" s="512"/>
      <c r="I3130" s="503"/>
      <c r="J3130" s="503"/>
      <c r="K3130" s="497" t="str">
        <f ca="1">IFERROR(VLOOKUP(C3130,' Disaggregation - Section E '!A$618:N1254,3,0),"")</f>
        <v/>
      </c>
      <c r="L3130" s="497"/>
      <c r="M3130" s="497"/>
      <c r="N3130" s="503"/>
      <c r="O3130" s="503"/>
      <c r="P3130" s="503"/>
    </row>
    <row r="3131" spans="1:16" x14ac:dyDescent="0.35">
      <c r="A3131" s="497" t="b">
        <v>0</v>
      </c>
      <c r="B3131" s="497"/>
      <c r="C3131" s="497" t="s">
        <v>7168</v>
      </c>
      <c r="D3131" s="512">
        <v>32</v>
      </c>
      <c r="E3131" s="500"/>
      <c r="F3131" s="503"/>
      <c r="G3131" s="502"/>
      <c r="H3131" s="512"/>
      <c r="I3131" s="503"/>
      <c r="J3131" s="503"/>
      <c r="K3131" s="497" t="str">
        <f ca="1">IFERROR(VLOOKUP(C3131,' Disaggregation - Section E '!A$618:N1255,3,0),"")</f>
        <v/>
      </c>
      <c r="L3131" s="497"/>
      <c r="M3131" s="497"/>
      <c r="N3131" s="503"/>
      <c r="O3131" s="503"/>
      <c r="P3131" s="503"/>
    </row>
    <row r="3132" spans="1:16" x14ac:dyDescent="0.35">
      <c r="A3132" s="497" t="b">
        <v>0</v>
      </c>
      <c r="B3132" s="497"/>
      <c r="C3132" s="497" t="s">
        <v>7170</v>
      </c>
      <c r="D3132" s="512">
        <v>32</v>
      </c>
      <c r="E3132" s="500"/>
      <c r="F3132" s="503"/>
      <c r="G3132" s="502"/>
      <c r="H3132" s="512"/>
      <c r="I3132" s="503"/>
      <c r="J3132" s="503"/>
      <c r="K3132" s="497" t="str">
        <f ca="1">IFERROR(VLOOKUP(C3132,' Disaggregation - Section E '!A$618:N1256,3,0),"")</f>
        <v/>
      </c>
      <c r="L3132" s="497"/>
      <c r="M3132" s="497"/>
      <c r="N3132" s="503"/>
      <c r="O3132" s="503"/>
      <c r="P3132" s="503"/>
    </row>
    <row r="3133" spans="1:16" x14ac:dyDescent="0.35">
      <c r="A3133" s="497" t="b">
        <v>0</v>
      </c>
      <c r="B3133" s="497"/>
      <c r="C3133" s="497" t="s">
        <v>7172</v>
      </c>
      <c r="D3133" s="512">
        <v>32</v>
      </c>
      <c r="E3133" s="500"/>
      <c r="F3133" s="503"/>
      <c r="G3133" s="502"/>
      <c r="H3133" s="512"/>
      <c r="I3133" s="503"/>
      <c r="J3133" s="503"/>
      <c r="K3133" s="497" t="str">
        <f ca="1">IFERROR(VLOOKUP(C3133,' Disaggregation - Section E '!A$618:N1257,3,0),"")</f>
        <v/>
      </c>
      <c r="L3133" s="497"/>
      <c r="M3133" s="497"/>
      <c r="N3133" s="503"/>
      <c r="O3133" s="503"/>
      <c r="P3133" s="503"/>
    </row>
    <row r="3134" spans="1:16" x14ac:dyDescent="0.35">
      <c r="A3134" s="497" t="b">
        <v>0</v>
      </c>
      <c r="B3134" s="497"/>
      <c r="C3134" s="497" t="s">
        <v>7174</v>
      </c>
      <c r="D3134" s="512">
        <v>32</v>
      </c>
      <c r="E3134" s="500"/>
      <c r="F3134" s="503"/>
      <c r="G3134" s="502"/>
      <c r="H3134" s="512"/>
      <c r="I3134" s="503"/>
      <c r="J3134" s="503"/>
      <c r="K3134" s="497" t="str">
        <f ca="1">IFERROR(VLOOKUP(C3134,' Disaggregation - Section E '!A$618:N1258,3,0),"")</f>
        <v/>
      </c>
      <c r="L3134" s="497"/>
      <c r="M3134" s="497"/>
      <c r="N3134" s="503"/>
      <c r="O3134" s="503"/>
      <c r="P3134" s="503"/>
    </row>
    <row r="3135" spans="1:16" x14ac:dyDescent="0.35">
      <c r="A3135" s="497" t="b">
        <v>0</v>
      </c>
      <c r="B3135" s="497"/>
      <c r="C3135" s="497" t="s">
        <v>7176</v>
      </c>
      <c r="D3135" s="512">
        <v>32</v>
      </c>
      <c r="E3135" s="500"/>
      <c r="F3135" s="503"/>
      <c r="G3135" s="502"/>
      <c r="H3135" s="512"/>
      <c r="I3135" s="503"/>
      <c r="J3135" s="503"/>
      <c r="K3135" s="497" t="str">
        <f ca="1">IFERROR(VLOOKUP(C3135,' Disaggregation - Section E '!A$618:N1259,3,0),"")</f>
        <v/>
      </c>
      <c r="L3135" s="497"/>
      <c r="M3135" s="497"/>
      <c r="N3135" s="503"/>
      <c r="O3135" s="503"/>
      <c r="P3135" s="503"/>
    </row>
    <row r="3136" spans="1:16" x14ac:dyDescent="0.35">
      <c r="A3136" s="497" t="b">
        <v>0</v>
      </c>
      <c r="B3136" s="497"/>
      <c r="C3136" s="497" t="s">
        <v>7178</v>
      </c>
      <c r="D3136" s="512">
        <v>32</v>
      </c>
      <c r="E3136" s="500"/>
      <c r="F3136" s="503"/>
      <c r="G3136" s="502"/>
      <c r="H3136" s="512"/>
      <c r="I3136" s="503"/>
      <c r="J3136" s="503"/>
      <c r="K3136" s="497" t="str">
        <f ca="1">IFERROR(VLOOKUP(C3136,' Disaggregation - Section E '!A$618:N1260,3,0),"")</f>
        <v/>
      </c>
      <c r="L3136" s="497"/>
      <c r="M3136" s="497"/>
      <c r="N3136" s="503"/>
      <c r="O3136" s="503"/>
      <c r="P3136" s="503"/>
    </row>
    <row r="3137" spans="1:16" x14ac:dyDescent="0.35">
      <c r="A3137" s="497" t="b">
        <v>0</v>
      </c>
      <c r="B3137" s="497"/>
      <c r="C3137" s="497" t="s">
        <v>7180</v>
      </c>
      <c r="D3137" s="512">
        <v>32</v>
      </c>
      <c r="E3137" s="500"/>
      <c r="F3137" s="503"/>
      <c r="G3137" s="502"/>
      <c r="H3137" s="512"/>
      <c r="I3137" s="503"/>
      <c r="J3137" s="503"/>
      <c r="K3137" s="497" t="str">
        <f ca="1">IFERROR(VLOOKUP(C3137,' Disaggregation - Section E '!A$618:N1261,3,0),"")</f>
        <v/>
      </c>
      <c r="L3137" s="497"/>
      <c r="M3137" s="497"/>
      <c r="N3137" s="503"/>
      <c r="O3137" s="503"/>
      <c r="P3137" s="503"/>
    </row>
    <row r="3138" spans="1:16" x14ac:dyDescent="0.35">
      <c r="A3138" s="497" t="b">
        <v>0</v>
      </c>
      <c r="B3138" s="497"/>
      <c r="C3138" s="497" t="s">
        <v>7182</v>
      </c>
      <c r="D3138" s="512">
        <v>32</v>
      </c>
      <c r="E3138" s="500"/>
      <c r="F3138" s="503"/>
      <c r="G3138" s="502"/>
      <c r="H3138" s="512"/>
      <c r="I3138" s="503"/>
      <c r="J3138" s="503"/>
      <c r="K3138" s="497" t="str">
        <f ca="1">IFERROR(VLOOKUP(C3138,' Disaggregation - Section E '!A$618:N1262,3,0),"")</f>
        <v/>
      </c>
      <c r="L3138" s="497"/>
      <c r="M3138" s="497"/>
      <c r="N3138" s="503"/>
      <c r="O3138" s="503"/>
      <c r="P3138" s="503"/>
    </row>
    <row r="3139" spans="1:16" x14ac:dyDescent="0.35">
      <c r="A3139" s="497" t="b">
        <v>0</v>
      </c>
      <c r="B3139" s="497"/>
      <c r="C3139" s="497" t="s">
        <v>7184</v>
      </c>
      <c r="D3139" s="512">
        <v>32</v>
      </c>
      <c r="E3139" s="500"/>
      <c r="F3139" s="503"/>
      <c r="G3139" s="502"/>
      <c r="H3139" s="512"/>
      <c r="I3139" s="503"/>
      <c r="J3139" s="503"/>
      <c r="K3139" s="497" t="str">
        <f ca="1">IFERROR(VLOOKUP(C3139,' Disaggregation - Section E '!A$618:N1263,3,0),"")</f>
        <v/>
      </c>
      <c r="L3139" s="497"/>
      <c r="M3139" s="497"/>
      <c r="N3139" s="503"/>
      <c r="O3139" s="503"/>
      <c r="P3139" s="503"/>
    </row>
    <row r="3140" spans="1:16" x14ac:dyDescent="0.35">
      <c r="A3140" s="497" t="b">
        <v>0</v>
      </c>
      <c r="B3140" s="497"/>
      <c r="C3140" s="497" t="s">
        <v>5956</v>
      </c>
      <c r="D3140" s="512">
        <v>33</v>
      </c>
      <c r="E3140" s="500"/>
      <c r="F3140" s="503"/>
      <c r="G3140" s="502"/>
      <c r="H3140" s="512"/>
      <c r="I3140" s="503"/>
      <c r="J3140" s="503"/>
      <c r="K3140" s="497" t="str">
        <f ca="1">IFERROR(VLOOKUP(C3140,' Disaggregation - Section E '!A$618:N1264,3,0),"")</f>
        <v/>
      </c>
      <c r="L3140" s="497"/>
      <c r="M3140" s="497"/>
      <c r="N3140" s="503"/>
      <c r="O3140" s="503"/>
      <c r="P3140" s="503"/>
    </row>
    <row r="3141" spans="1:16" x14ac:dyDescent="0.35">
      <c r="A3141" s="497" t="b">
        <v>0</v>
      </c>
      <c r="B3141" s="497"/>
      <c r="C3141" s="497" t="s">
        <v>5958</v>
      </c>
      <c r="D3141" s="512">
        <v>33</v>
      </c>
      <c r="E3141" s="500"/>
      <c r="F3141" s="503"/>
      <c r="G3141" s="502"/>
      <c r="H3141" s="512"/>
      <c r="I3141" s="503"/>
      <c r="J3141" s="503"/>
      <c r="K3141" s="497" t="str">
        <f ca="1">IFERROR(VLOOKUP(C3141,' Disaggregation - Section E '!A$618:N1265,3,0),"")</f>
        <v/>
      </c>
      <c r="L3141" s="497"/>
      <c r="M3141" s="497"/>
      <c r="N3141" s="503"/>
      <c r="O3141" s="503"/>
      <c r="P3141" s="503"/>
    </row>
    <row r="3142" spans="1:16" x14ac:dyDescent="0.35">
      <c r="A3142" s="497" t="b">
        <v>0</v>
      </c>
      <c r="B3142" s="497"/>
      <c r="C3142" s="497" t="s">
        <v>5960</v>
      </c>
      <c r="D3142" s="512">
        <v>33</v>
      </c>
      <c r="E3142" s="500"/>
      <c r="F3142" s="503"/>
      <c r="G3142" s="502"/>
      <c r="H3142" s="512"/>
      <c r="I3142" s="503"/>
      <c r="J3142" s="503"/>
      <c r="K3142" s="497" t="str">
        <f ca="1">IFERROR(VLOOKUP(C3142,' Disaggregation - Section E '!A$618:N1266,3,0),"")</f>
        <v/>
      </c>
      <c r="L3142" s="497"/>
      <c r="M3142" s="497"/>
      <c r="N3142" s="503"/>
      <c r="O3142" s="503"/>
      <c r="P3142" s="503"/>
    </row>
    <row r="3143" spans="1:16" x14ac:dyDescent="0.35">
      <c r="A3143" s="497" t="b">
        <v>0</v>
      </c>
      <c r="B3143" s="497"/>
      <c r="C3143" s="497" t="s">
        <v>5962</v>
      </c>
      <c r="D3143" s="512">
        <v>33</v>
      </c>
      <c r="E3143" s="500"/>
      <c r="F3143" s="503"/>
      <c r="G3143" s="502"/>
      <c r="H3143" s="512"/>
      <c r="I3143" s="503"/>
      <c r="J3143" s="503"/>
      <c r="K3143" s="497" t="str">
        <f ca="1">IFERROR(VLOOKUP(C3143,' Disaggregation - Section E '!A$618:N1267,3,0),"")</f>
        <v/>
      </c>
      <c r="L3143" s="497"/>
      <c r="M3143" s="497"/>
      <c r="N3143" s="503"/>
      <c r="O3143" s="503"/>
      <c r="P3143" s="503"/>
    </row>
    <row r="3144" spans="1:16" x14ac:dyDescent="0.35">
      <c r="A3144" s="497" t="b">
        <v>0</v>
      </c>
      <c r="B3144" s="497"/>
      <c r="C3144" s="497" t="s">
        <v>5964</v>
      </c>
      <c r="D3144" s="512">
        <v>33</v>
      </c>
      <c r="E3144" s="500"/>
      <c r="F3144" s="503"/>
      <c r="G3144" s="502"/>
      <c r="H3144" s="512"/>
      <c r="I3144" s="503"/>
      <c r="J3144" s="503"/>
      <c r="K3144" s="497" t="str">
        <f ca="1">IFERROR(VLOOKUP(C3144,' Disaggregation - Section E '!A$618:N1268,3,0),"")</f>
        <v/>
      </c>
      <c r="L3144" s="497"/>
      <c r="M3144" s="497"/>
      <c r="N3144" s="503"/>
      <c r="O3144" s="503"/>
      <c r="P3144" s="503"/>
    </row>
    <row r="3145" spans="1:16" x14ac:dyDescent="0.35">
      <c r="A3145" s="497" t="b">
        <v>0</v>
      </c>
      <c r="B3145" s="497"/>
      <c r="C3145" s="497" t="s">
        <v>5966</v>
      </c>
      <c r="D3145" s="512">
        <v>33</v>
      </c>
      <c r="E3145" s="500"/>
      <c r="F3145" s="503"/>
      <c r="G3145" s="502"/>
      <c r="H3145" s="512"/>
      <c r="I3145" s="503"/>
      <c r="J3145" s="503"/>
      <c r="K3145" s="497" t="str">
        <f ca="1">IFERROR(VLOOKUP(C3145,' Disaggregation - Section E '!A$618:N1269,3,0),"")</f>
        <v/>
      </c>
      <c r="L3145" s="497"/>
      <c r="M3145" s="497"/>
      <c r="N3145" s="503"/>
      <c r="O3145" s="503"/>
      <c r="P3145" s="503"/>
    </row>
    <row r="3146" spans="1:16" x14ac:dyDescent="0.35">
      <c r="A3146" s="497" t="b">
        <v>0</v>
      </c>
      <c r="B3146" s="497"/>
      <c r="C3146" s="497" t="s">
        <v>5968</v>
      </c>
      <c r="D3146" s="512">
        <v>33</v>
      </c>
      <c r="E3146" s="500"/>
      <c r="F3146" s="503"/>
      <c r="G3146" s="502"/>
      <c r="H3146" s="512"/>
      <c r="I3146" s="503"/>
      <c r="J3146" s="503"/>
      <c r="K3146" s="497" t="str">
        <f ca="1">IFERROR(VLOOKUP(C3146,' Disaggregation - Section E '!A$618:N1270,3,0),"")</f>
        <v/>
      </c>
      <c r="L3146" s="497"/>
      <c r="M3146" s="497"/>
      <c r="N3146" s="503"/>
      <c r="O3146" s="503"/>
      <c r="P3146" s="503"/>
    </row>
    <row r="3147" spans="1:16" x14ac:dyDescent="0.35">
      <c r="A3147" s="497" t="b">
        <v>0</v>
      </c>
      <c r="B3147" s="497"/>
      <c r="C3147" s="497" t="s">
        <v>5970</v>
      </c>
      <c r="D3147" s="512">
        <v>33</v>
      </c>
      <c r="E3147" s="500"/>
      <c r="F3147" s="503"/>
      <c r="G3147" s="502"/>
      <c r="H3147" s="512"/>
      <c r="I3147" s="503"/>
      <c r="J3147" s="503"/>
      <c r="K3147" s="497" t="str">
        <f ca="1">IFERROR(VLOOKUP(C3147,' Disaggregation - Section E '!A$618:N1271,3,0),"")</f>
        <v/>
      </c>
      <c r="L3147" s="497"/>
      <c r="M3147" s="497"/>
      <c r="N3147" s="503"/>
      <c r="O3147" s="503"/>
      <c r="P3147" s="503"/>
    </row>
    <row r="3148" spans="1:16" x14ac:dyDescent="0.35">
      <c r="A3148" s="497" t="b">
        <v>0</v>
      </c>
      <c r="B3148" s="497"/>
      <c r="C3148" s="497" t="s">
        <v>5972</v>
      </c>
      <c r="D3148" s="512">
        <v>33</v>
      </c>
      <c r="E3148" s="500"/>
      <c r="F3148" s="503"/>
      <c r="G3148" s="502"/>
      <c r="H3148" s="512"/>
      <c r="I3148" s="503"/>
      <c r="J3148" s="503"/>
      <c r="K3148" s="497" t="str">
        <f ca="1">IFERROR(VLOOKUP(C3148,' Disaggregation - Section E '!A$618:N1272,3,0),"")</f>
        <v/>
      </c>
      <c r="L3148" s="497"/>
      <c r="M3148" s="497"/>
      <c r="N3148" s="503"/>
      <c r="O3148" s="503"/>
      <c r="P3148" s="503"/>
    </row>
    <row r="3149" spans="1:16" x14ac:dyDescent="0.35">
      <c r="A3149" s="497" t="b">
        <v>0</v>
      </c>
      <c r="B3149" s="497"/>
      <c r="C3149" s="497" t="s">
        <v>5974</v>
      </c>
      <c r="D3149" s="512">
        <v>33</v>
      </c>
      <c r="E3149" s="500"/>
      <c r="F3149" s="503"/>
      <c r="G3149" s="502"/>
      <c r="H3149" s="512"/>
      <c r="I3149" s="503"/>
      <c r="J3149" s="503"/>
      <c r="K3149" s="497" t="str">
        <f ca="1">IFERROR(VLOOKUP(C3149,' Disaggregation - Section E '!A$618:N1273,3,0),"")</f>
        <v/>
      </c>
      <c r="L3149" s="497"/>
      <c r="M3149" s="497"/>
      <c r="N3149" s="503"/>
      <c r="O3149" s="503"/>
      <c r="P3149" s="503"/>
    </row>
    <row r="3150" spans="1:16" x14ac:dyDescent="0.35">
      <c r="A3150" s="497" t="b">
        <v>0</v>
      </c>
      <c r="B3150" s="497"/>
      <c r="C3150" s="497" t="s">
        <v>5976</v>
      </c>
      <c r="D3150" s="512">
        <v>33</v>
      </c>
      <c r="E3150" s="500"/>
      <c r="F3150" s="503"/>
      <c r="G3150" s="502"/>
      <c r="H3150" s="512"/>
      <c r="I3150" s="503"/>
      <c r="J3150" s="503"/>
      <c r="K3150" s="497" t="str">
        <f ca="1">IFERROR(VLOOKUP(C3150,' Disaggregation - Section E '!A$618:N1274,3,0),"")</f>
        <v/>
      </c>
      <c r="L3150" s="497"/>
      <c r="M3150" s="497"/>
      <c r="N3150" s="503"/>
      <c r="O3150" s="503"/>
      <c r="P3150" s="503"/>
    </row>
    <row r="3151" spans="1:16" x14ac:dyDescent="0.35">
      <c r="A3151" s="497" t="b">
        <v>0</v>
      </c>
      <c r="B3151" s="497"/>
      <c r="C3151" s="497" t="s">
        <v>5978</v>
      </c>
      <c r="D3151" s="512">
        <v>33</v>
      </c>
      <c r="E3151" s="500"/>
      <c r="F3151" s="503"/>
      <c r="G3151" s="502"/>
      <c r="H3151" s="512"/>
      <c r="I3151" s="503"/>
      <c r="J3151" s="503"/>
      <c r="K3151" s="497" t="str">
        <f ca="1">IFERROR(VLOOKUP(C3151,' Disaggregation - Section E '!A$618:N1275,3,0),"")</f>
        <v/>
      </c>
      <c r="L3151" s="497"/>
      <c r="M3151" s="497"/>
      <c r="N3151" s="503"/>
      <c r="O3151" s="503"/>
      <c r="P3151" s="503"/>
    </row>
    <row r="3152" spans="1:16" x14ac:dyDescent="0.35">
      <c r="A3152" s="497" t="b">
        <v>0</v>
      </c>
      <c r="B3152" s="497"/>
      <c r="C3152" s="497" t="s">
        <v>5980</v>
      </c>
      <c r="D3152" s="512">
        <v>33</v>
      </c>
      <c r="E3152" s="500"/>
      <c r="F3152" s="503"/>
      <c r="G3152" s="502"/>
      <c r="H3152" s="512"/>
      <c r="I3152" s="503"/>
      <c r="J3152" s="503"/>
      <c r="K3152" s="497" t="str">
        <f ca="1">IFERROR(VLOOKUP(C3152,' Disaggregation - Section E '!A$618:N1276,3,0),"")</f>
        <v/>
      </c>
      <c r="L3152" s="497"/>
      <c r="M3152" s="497"/>
      <c r="N3152" s="503"/>
      <c r="O3152" s="503"/>
      <c r="P3152" s="503"/>
    </row>
    <row r="3153" spans="1:16" x14ac:dyDescent="0.35">
      <c r="A3153" s="497" t="b">
        <v>0</v>
      </c>
      <c r="B3153" s="497"/>
      <c r="C3153" s="497" t="s">
        <v>5982</v>
      </c>
      <c r="D3153" s="512">
        <v>33</v>
      </c>
      <c r="E3153" s="500"/>
      <c r="F3153" s="503"/>
      <c r="G3153" s="502"/>
      <c r="H3153" s="512"/>
      <c r="I3153" s="503"/>
      <c r="J3153" s="503"/>
      <c r="K3153" s="497" t="str">
        <f ca="1">IFERROR(VLOOKUP(C3153,' Disaggregation - Section E '!A$618:N1277,3,0),"")</f>
        <v/>
      </c>
      <c r="L3153" s="497"/>
      <c r="M3153" s="497"/>
      <c r="N3153" s="503"/>
      <c r="O3153" s="503"/>
      <c r="P3153" s="503"/>
    </row>
    <row r="3154" spans="1:16" x14ac:dyDescent="0.35">
      <c r="A3154" s="497" t="b">
        <v>0</v>
      </c>
      <c r="B3154" s="497"/>
      <c r="C3154" s="497" t="s">
        <v>5984</v>
      </c>
      <c r="D3154" s="512">
        <v>33</v>
      </c>
      <c r="E3154" s="500"/>
      <c r="F3154" s="503"/>
      <c r="G3154" s="502"/>
      <c r="H3154" s="512"/>
      <c r="I3154" s="503"/>
      <c r="J3154" s="503"/>
      <c r="K3154" s="497" t="str">
        <f ca="1">IFERROR(VLOOKUP(C3154,' Disaggregation - Section E '!A$618:N1278,3,0),"")</f>
        <v/>
      </c>
      <c r="L3154" s="497"/>
      <c r="M3154" s="497"/>
      <c r="N3154" s="503"/>
      <c r="O3154" s="503"/>
      <c r="P3154" s="503"/>
    </row>
    <row r="3155" spans="1:16" x14ac:dyDescent="0.35">
      <c r="A3155" s="497" t="b">
        <v>0</v>
      </c>
      <c r="B3155" s="497"/>
      <c r="C3155" s="497" t="s">
        <v>5986</v>
      </c>
      <c r="D3155" s="512">
        <v>33</v>
      </c>
      <c r="E3155" s="500"/>
      <c r="F3155" s="503"/>
      <c r="G3155" s="502"/>
      <c r="H3155" s="512"/>
      <c r="I3155" s="503"/>
      <c r="J3155" s="503"/>
      <c r="K3155" s="497" t="str">
        <f ca="1">IFERROR(VLOOKUP(C3155,' Disaggregation - Section E '!A$618:N1279,3,0),"")</f>
        <v/>
      </c>
      <c r="L3155" s="497"/>
      <c r="M3155" s="497"/>
      <c r="N3155" s="503"/>
      <c r="O3155" s="503"/>
      <c r="P3155" s="503"/>
    </row>
    <row r="3156" spans="1:16" x14ac:dyDescent="0.35">
      <c r="A3156" s="497" t="b">
        <v>0</v>
      </c>
      <c r="B3156" s="497"/>
      <c r="C3156" s="497" t="s">
        <v>5988</v>
      </c>
      <c r="D3156" s="512">
        <v>33</v>
      </c>
      <c r="E3156" s="500"/>
      <c r="F3156" s="503"/>
      <c r="G3156" s="502"/>
      <c r="H3156" s="512"/>
      <c r="I3156" s="503"/>
      <c r="J3156" s="503"/>
      <c r="K3156" s="497" t="str">
        <f ca="1">IFERROR(VLOOKUP(C3156,' Disaggregation - Section E '!A$618:N1280,3,0),"")</f>
        <v/>
      </c>
      <c r="L3156" s="497"/>
      <c r="M3156" s="497"/>
      <c r="N3156" s="503"/>
      <c r="O3156" s="503"/>
      <c r="P3156" s="503"/>
    </row>
    <row r="3157" spans="1:16" x14ac:dyDescent="0.35">
      <c r="A3157" s="497" t="b">
        <v>0</v>
      </c>
      <c r="B3157" s="497"/>
      <c r="C3157" s="497" t="s">
        <v>5990</v>
      </c>
      <c r="D3157" s="512">
        <v>33</v>
      </c>
      <c r="E3157" s="500"/>
      <c r="F3157" s="503"/>
      <c r="G3157" s="502"/>
      <c r="H3157" s="512"/>
      <c r="I3157" s="503"/>
      <c r="J3157" s="503"/>
      <c r="K3157" s="497" t="str">
        <f ca="1">IFERROR(VLOOKUP(C3157,' Disaggregation - Section E '!A$618:N1281,3,0),"")</f>
        <v/>
      </c>
      <c r="L3157" s="497"/>
      <c r="M3157" s="497"/>
      <c r="N3157" s="503"/>
      <c r="O3157" s="503"/>
      <c r="P3157" s="503"/>
    </row>
    <row r="3158" spans="1:16" x14ac:dyDescent="0.35">
      <c r="A3158" s="497" t="b">
        <v>0</v>
      </c>
      <c r="B3158" s="497"/>
      <c r="C3158" s="497" t="s">
        <v>5992</v>
      </c>
      <c r="D3158" s="512">
        <v>33</v>
      </c>
      <c r="E3158" s="500"/>
      <c r="F3158" s="503"/>
      <c r="G3158" s="502"/>
      <c r="H3158" s="512"/>
      <c r="I3158" s="503"/>
      <c r="J3158" s="503"/>
      <c r="K3158" s="497" t="str">
        <f ca="1">IFERROR(VLOOKUP(C3158,' Disaggregation - Section E '!A$618:N1282,3,0),"")</f>
        <v/>
      </c>
      <c r="L3158" s="497"/>
      <c r="M3158" s="497"/>
      <c r="N3158" s="503"/>
      <c r="O3158" s="503"/>
      <c r="P3158" s="503"/>
    </row>
    <row r="3159" spans="1:16" x14ac:dyDescent="0.35">
      <c r="A3159" s="497" t="b">
        <v>0</v>
      </c>
      <c r="B3159" s="497"/>
      <c r="C3159" s="497" t="s">
        <v>5994</v>
      </c>
      <c r="D3159" s="512">
        <v>33</v>
      </c>
      <c r="E3159" s="500"/>
      <c r="F3159" s="503"/>
      <c r="G3159" s="502"/>
      <c r="H3159" s="512"/>
      <c r="I3159" s="503"/>
      <c r="J3159" s="503"/>
      <c r="K3159" s="497" t="str">
        <f ca="1">IFERROR(VLOOKUP(C3159,' Disaggregation - Section E '!A$618:N1283,3,0),"")</f>
        <v/>
      </c>
      <c r="L3159" s="497"/>
      <c r="M3159" s="497"/>
      <c r="N3159" s="503"/>
      <c r="O3159" s="503"/>
      <c r="P3159" s="503"/>
    </row>
    <row r="3160" spans="1:16" x14ac:dyDescent="0.35">
      <c r="A3160" s="497" t="b">
        <v>0</v>
      </c>
      <c r="B3160" s="497"/>
      <c r="C3160" s="497" t="s">
        <v>7187</v>
      </c>
      <c r="D3160" s="512">
        <v>34</v>
      </c>
      <c r="E3160" s="500"/>
      <c r="F3160" s="503"/>
      <c r="G3160" s="502"/>
      <c r="H3160" s="512"/>
      <c r="I3160" s="503"/>
      <c r="J3160" s="503"/>
      <c r="K3160" s="497" t="str">
        <f ca="1">IFERROR(VLOOKUP(C3160,' Disaggregation - Section E '!A$618:N1284,3,0),"")</f>
        <v/>
      </c>
      <c r="L3160" s="497"/>
      <c r="M3160" s="497"/>
      <c r="N3160" s="503"/>
      <c r="O3160" s="503"/>
      <c r="P3160" s="503"/>
    </row>
    <row r="3161" spans="1:16" x14ac:dyDescent="0.35">
      <c r="A3161" s="497" t="b">
        <v>0</v>
      </c>
      <c r="B3161" s="497"/>
      <c r="C3161" s="497" t="s">
        <v>7189</v>
      </c>
      <c r="D3161" s="512">
        <v>34</v>
      </c>
      <c r="E3161" s="500"/>
      <c r="F3161" s="503"/>
      <c r="G3161" s="502"/>
      <c r="H3161" s="512"/>
      <c r="I3161" s="503"/>
      <c r="J3161" s="503"/>
      <c r="K3161" s="497" t="str">
        <f ca="1">IFERROR(VLOOKUP(C3161,' Disaggregation - Section E '!A$618:N1285,3,0),"")</f>
        <v/>
      </c>
      <c r="L3161" s="497"/>
      <c r="M3161" s="497"/>
      <c r="N3161" s="503"/>
      <c r="O3161" s="503"/>
      <c r="P3161" s="503"/>
    </row>
    <row r="3162" spans="1:16" x14ac:dyDescent="0.35">
      <c r="A3162" s="497" t="b">
        <v>0</v>
      </c>
      <c r="B3162" s="497"/>
      <c r="C3162" s="497" t="s">
        <v>7191</v>
      </c>
      <c r="D3162" s="512">
        <v>34</v>
      </c>
      <c r="E3162" s="500"/>
      <c r="F3162" s="503"/>
      <c r="G3162" s="502"/>
      <c r="H3162" s="512"/>
      <c r="I3162" s="503"/>
      <c r="J3162" s="503"/>
      <c r="K3162" s="497" t="str">
        <f ca="1">IFERROR(VLOOKUP(C3162,' Disaggregation - Section E '!A$618:N1286,3,0),"")</f>
        <v/>
      </c>
      <c r="L3162" s="497"/>
      <c r="M3162" s="497"/>
      <c r="N3162" s="503"/>
      <c r="O3162" s="503"/>
      <c r="P3162" s="503"/>
    </row>
    <row r="3163" spans="1:16" x14ac:dyDescent="0.35">
      <c r="A3163" s="497" t="b">
        <v>0</v>
      </c>
      <c r="B3163" s="497"/>
      <c r="C3163" s="497" t="s">
        <v>7193</v>
      </c>
      <c r="D3163" s="512">
        <v>34</v>
      </c>
      <c r="E3163" s="500"/>
      <c r="F3163" s="503"/>
      <c r="G3163" s="502"/>
      <c r="H3163" s="512"/>
      <c r="I3163" s="503"/>
      <c r="J3163" s="503"/>
      <c r="K3163" s="497" t="str">
        <f ca="1">IFERROR(VLOOKUP(C3163,' Disaggregation - Section E '!A$618:N1287,3,0),"")</f>
        <v/>
      </c>
      <c r="L3163" s="497"/>
      <c r="M3163" s="497"/>
      <c r="N3163" s="503"/>
      <c r="O3163" s="503"/>
      <c r="P3163" s="503"/>
    </row>
    <row r="3164" spans="1:16" x14ac:dyDescent="0.35">
      <c r="A3164" s="497" t="b">
        <v>0</v>
      </c>
      <c r="B3164" s="497"/>
      <c r="C3164" s="497" t="s">
        <v>7195</v>
      </c>
      <c r="D3164" s="512">
        <v>34</v>
      </c>
      <c r="E3164" s="500"/>
      <c r="F3164" s="503"/>
      <c r="G3164" s="502"/>
      <c r="H3164" s="512"/>
      <c r="I3164" s="503"/>
      <c r="J3164" s="503"/>
      <c r="K3164" s="497" t="str">
        <f ca="1">IFERROR(VLOOKUP(C3164,' Disaggregation - Section E '!A$618:N1288,3,0),"")</f>
        <v/>
      </c>
      <c r="L3164" s="497"/>
      <c r="M3164" s="497"/>
      <c r="N3164" s="503"/>
      <c r="O3164" s="503"/>
      <c r="P3164" s="503"/>
    </row>
    <row r="3165" spans="1:16" x14ac:dyDescent="0.35">
      <c r="A3165" s="497" t="b">
        <v>0</v>
      </c>
      <c r="B3165" s="497"/>
      <c r="C3165" s="497" t="s">
        <v>7197</v>
      </c>
      <c r="D3165" s="512">
        <v>34</v>
      </c>
      <c r="E3165" s="500"/>
      <c r="F3165" s="503"/>
      <c r="G3165" s="502"/>
      <c r="H3165" s="512"/>
      <c r="I3165" s="503"/>
      <c r="J3165" s="503"/>
      <c r="K3165" s="497" t="str">
        <f ca="1">IFERROR(VLOOKUP(C3165,' Disaggregation - Section E '!A$618:N1289,3,0),"")</f>
        <v/>
      </c>
      <c r="L3165" s="497"/>
      <c r="M3165" s="497"/>
      <c r="N3165" s="503"/>
      <c r="O3165" s="503"/>
      <c r="P3165" s="503"/>
    </row>
    <row r="3166" spans="1:16" x14ac:dyDescent="0.35">
      <c r="A3166" s="497" t="b">
        <v>0</v>
      </c>
      <c r="B3166" s="497"/>
      <c r="C3166" s="497" t="s">
        <v>7199</v>
      </c>
      <c r="D3166" s="512">
        <v>34</v>
      </c>
      <c r="E3166" s="500"/>
      <c r="F3166" s="503"/>
      <c r="G3166" s="502"/>
      <c r="H3166" s="512"/>
      <c r="I3166" s="503"/>
      <c r="J3166" s="503"/>
      <c r="K3166" s="497" t="str">
        <f ca="1">IFERROR(VLOOKUP(C3166,' Disaggregation - Section E '!A$618:N1290,3,0),"")</f>
        <v/>
      </c>
      <c r="L3166" s="497"/>
      <c r="M3166" s="497"/>
      <c r="N3166" s="503"/>
      <c r="O3166" s="503"/>
      <c r="P3166" s="503"/>
    </row>
    <row r="3167" spans="1:16" x14ac:dyDescent="0.35">
      <c r="A3167" s="497" t="b">
        <v>0</v>
      </c>
      <c r="B3167" s="497"/>
      <c r="C3167" s="497" t="s">
        <v>7201</v>
      </c>
      <c r="D3167" s="512">
        <v>34</v>
      </c>
      <c r="E3167" s="500"/>
      <c r="F3167" s="503"/>
      <c r="G3167" s="502"/>
      <c r="H3167" s="512"/>
      <c r="I3167" s="503"/>
      <c r="J3167" s="503"/>
      <c r="K3167" s="497" t="str">
        <f ca="1">IFERROR(VLOOKUP(C3167,' Disaggregation - Section E '!A$618:N1291,3,0),"")</f>
        <v/>
      </c>
      <c r="L3167" s="497"/>
      <c r="M3167" s="497"/>
      <c r="N3167" s="503"/>
      <c r="O3167" s="503"/>
      <c r="P3167" s="503"/>
    </row>
    <row r="3168" spans="1:16" x14ac:dyDescent="0.35">
      <c r="A3168" s="497" t="b">
        <v>0</v>
      </c>
      <c r="B3168" s="497"/>
      <c r="C3168" s="497" t="s">
        <v>7203</v>
      </c>
      <c r="D3168" s="512">
        <v>34</v>
      </c>
      <c r="E3168" s="500"/>
      <c r="F3168" s="503"/>
      <c r="G3168" s="502"/>
      <c r="H3168" s="512"/>
      <c r="I3168" s="503"/>
      <c r="J3168" s="503"/>
      <c r="K3168" s="497" t="str">
        <f ca="1">IFERROR(VLOOKUP(C3168,' Disaggregation - Section E '!A$618:N1292,3,0),"")</f>
        <v/>
      </c>
      <c r="L3168" s="497"/>
      <c r="M3168" s="497"/>
      <c r="N3168" s="503"/>
      <c r="O3168" s="503"/>
      <c r="P3168" s="503"/>
    </row>
    <row r="3169" spans="1:16" x14ac:dyDescent="0.35">
      <c r="A3169" s="497" t="b">
        <v>0</v>
      </c>
      <c r="B3169" s="497"/>
      <c r="C3169" s="497" t="s">
        <v>7205</v>
      </c>
      <c r="D3169" s="512">
        <v>34</v>
      </c>
      <c r="E3169" s="500"/>
      <c r="F3169" s="503"/>
      <c r="G3169" s="502"/>
      <c r="H3169" s="512"/>
      <c r="I3169" s="503"/>
      <c r="J3169" s="503"/>
      <c r="K3169" s="497" t="str">
        <f ca="1">IFERROR(VLOOKUP(C3169,' Disaggregation - Section E '!A$618:N1293,3,0),"")</f>
        <v/>
      </c>
      <c r="L3169" s="497"/>
      <c r="M3169" s="497"/>
      <c r="N3169" s="503"/>
      <c r="O3169" s="503"/>
      <c r="P3169" s="503"/>
    </row>
    <row r="3170" spans="1:16" x14ac:dyDescent="0.35">
      <c r="A3170" s="497" t="b">
        <v>0</v>
      </c>
      <c r="B3170" s="497"/>
      <c r="C3170" s="497" t="s">
        <v>7207</v>
      </c>
      <c r="D3170" s="512">
        <v>34</v>
      </c>
      <c r="E3170" s="500"/>
      <c r="F3170" s="503"/>
      <c r="G3170" s="502"/>
      <c r="H3170" s="512"/>
      <c r="I3170" s="503"/>
      <c r="J3170" s="503"/>
      <c r="K3170" s="497" t="str">
        <f ca="1">IFERROR(VLOOKUP(C3170,' Disaggregation - Section E '!A$618:N1294,3,0),"")</f>
        <v/>
      </c>
      <c r="L3170" s="497"/>
      <c r="M3170" s="497"/>
      <c r="N3170" s="503"/>
      <c r="O3170" s="503"/>
      <c r="P3170" s="503"/>
    </row>
    <row r="3171" spans="1:16" x14ac:dyDescent="0.35">
      <c r="A3171" s="497" t="b">
        <v>0</v>
      </c>
      <c r="B3171" s="497"/>
      <c r="C3171" s="497" t="s">
        <v>7209</v>
      </c>
      <c r="D3171" s="512">
        <v>34</v>
      </c>
      <c r="E3171" s="500"/>
      <c r="F3171" s="503"/>
      <c r="G3171" s="502"/>
      <c r="H3171" s="512"/>
      <c r="I3171" s="503"/>
      <c r="J3171" s="503"/>
      <c r="K3171" s="497" t="str">
        <f ca="1">IFERROR(VLOOKUP(C3171,' Disaggregation - Section E '!A$618:N1295,3,0),"")</f>
        <v/>
      </c>
      <c r="L3171" s="497"/>
      <c r="M3171" s="497"/>
      <c r="N3171" s="503"/>
      <c r="O3171" s="503"/>
      <c r="P3171" s="503"/>
    </row>
    <row r="3172" spans="1:16" x14ac:dyDescent="0.35">
      <c r="A3172" s="497" t="b">
        <v>0</v>
      </c>
      <c r="B3172" s="497"/>
      <c r="C3172" s="497" t="s">
        <v>7211</v>
      </c>
      <c r="D3172" s="512">
        <v>34</v>
      </c>
      <c r="E3172" s="500"/>
      <c r="F3172" s="503"/>
      <c r="G3172" s="502"/>
      <c r="H3172" s="512"/>
      <c r="I3172" s="503"/>
      <c r="J3172" s="503"/>
      <c r="K3172" s="497" t="str">
        <f ca="1">IFERROR(VLOOKUP(C3172,' Disaggregation - Section E '!A$618:N1296,3,0),"")</f>
        <v/>
      </c>
      <c r="L3172" s="497"/>
      <c r="M3172" s="497"/>
      <c r="N3172" s="503"/>
      <c r="O3172" s="503"/>
      <c r="P3172" s="503"/>
    </row>
    <row r="3173" spans="1:16" x14ac:dyDescent="0.35">
      <c r="A3173" s="497" t="b">
        <v>0</v>
      </c>
      <c r="B3173" s="497"/>
      <c r="C3173" s="497" t="s">
        <v>7213</v>
      </c>
      <c r="D3173" s="512">
        <v>34</v>
      </c>
      <c r="E3173" s="500"/>
      <c r="F3173" s="503"/>
      <c r="G3173" s="502"/>
      <c r="H3173" s="512"/>
      <c r="I3173" s="503"/>
      <c r="J3173" s="503"/>
      <c r="K3173" s="497" t="str">
        <f ca="1">IFERROR(VLOOKUP(C3173,' Disaggregation - Section E '!A$618:N1297,3,0),"")</f>
        <v/>
      </c>
      <c r="L3173" s="497"/>
      <c r="M3173" s="497"/>
      <c r="N3173" s="503"/>
      <c r="O3173" s="503"/>
      <c r="P3173" s="503"/>
    </row>
    <row r="3174" spans="1:16" x14ac:dyDescent="0.35">
      <c r="A3174" s="497" t="b">
        <v>0</v>
      </c>
      <c r="B3174" s="497"/>
      <c r="C3174" s="497" t="s">
        <v>7215</v>
      </c>
      <c r="D3174" s="512">
        <v>34</v>
      </c>
      <c r="E3174" s="500"/>
      <c r="F3174" s="503"/>
      <c r="G3174" s="502"/>
      <c r="H3174" s="512"/>
      <c r="I3174" s="503"/>
      <c r="J3174" s="503"/>
      <c r="K3174" s="497" t="str">
        <f ca="1">IFERROR(VLOOKUP(C3174,' Disaggregation - Section E '!A$618:N1298,3,0),"")</f>
        <v/>
      </c>
      <c r="L3174" s="497"/>
      <c r="M3174" s="497"/>
      <c r="N3174" s="503"/>
      <c r="O3174" s="503"/>
      <c r="P3174" s="503"/>
    </row>
    <row r="3175" spans="1:16" x14ac:dyDescent="0.35">
      <c r="A3175" s="497" t="b">
        <v>0</v>
      </c>
      <c r="B3175" s="497"/>
      <c r="C3175" s="497" t="s">
        <v>7217</v>
      </c>
      <c r="D3175" s="512">
        <v>34</v>
      </c>
      <c r="E3175" s="500"/>
      <c r="F3175" s="503"/>
      <c r="G3175" s="502"/>
      <c r="H3175" s="512"/>
      <c r="I3175" s="503"/>
      <c r="J3175" s="503"/>
      <c r="K3175" s="497" t="str">
        <f ca="1">IFERROR(VLOOKUP(C3175,' Disaggregation - Section E '!A$618:N1299,3,0),"")</f>
        <v/>
      </c>
      <c r="L3175" s="497"/>
      <c r="M3175" s="497"/>
      <c r="N3175" s="503"/>
      <c r="O3175" s="503"/>
      <c r="P3175" s="503"/>
    </row>
    <row r="3176" spans="1:16" x14ac:dyDescent="0.35">
      <c r="A3176" s="497" t="b">
        <v>0</v>
      </c>
      <c r="B3176" s="497"/>
      <c r="C3176" s="497" t="s">
        <v>7219</v>
      </c>
      <c r="D3176" s="512">
        <v>34</v>
      </c>
      <c r="E3176" s="500"/>
      <c r="F3176" s="503"/>
      <c r="G3176" s="502"/>
      <c r="H3176" s="512"/>
      <c r="I3176" s="503"/>
      <c r="J3176" s="503"/>
      <c r="K3176" s="497" t="str">
        <f ca="1">IFERROR(VLOOKUP(C3176,' Disaggregation - Section E '!A$618:N1300,3,0),"")</f>
        <v/>
      </c>
      <c r="L3176" s="497"/>
      <c r="M3176" s="497"/>
      <c r="N3176" s="503"/>
      <c r="O3176" s="503"/>
      <c r="P3176" s="503"/>
    </row>
    <row r="3177" spans="1:16" x14ac:dyDescent="0.35">
      <c r="A3177" s="497" t="b">
        <v>0</v>
      </c>
      <c r="B3177" s="497"/>
      <c r="C3177" s="497" t="s">
        <v>7221</v>
      </c>
      <c r="D3177" s="512">
        <v>34</v>
      </c>
      <c r="E3177" s="500"/>
      <c r="F3177" s="503"/>
      <c r="G3177" s="502"/>
      <c r="H3177" s="512"/>
      <c r="I3177" s="503"/>
      <c r="J3177" s="503"/>
      <c r="K3177" s="497" t="str">
        <f ca="1">IFERROR(VLOOKUP(C3177,' Disaggregation - Section E '!A$618:N1301,3,0),"")</f>
        <v/>
      </c>
      <c r="L3177" s="497"/>
      <c r="M3177" s="497"/>
      <c r="N3177" s="503"/>
      <c r="O3177" s="503"/>
      <c r="P3177" s="503"/>
    </row>
    <row r="3178" spans="1:16" x14ac:dyDescent="0.35">
      <c r="A3178" s="497" t="b">
        <v>0</v>
      </c>
      <c r="B3178" s="497"/>
      <c r="C3178" s="497" t="s">
        <v>7223</v>
      </c>
      <c r="D3178" s="512">
        <v>34</v>
      </c>
      <c r="E3178" s="500"/>
      <c r="F3178" s="503"/>
      <c r="G3178" s="502"/>
      <c r="H3178" s="512"/>
      <c r="I3178" s="503"/>
      <c r="J3178" s="503"/>
      <c r="K3178" s="497" t="str">
        <f ca="1">IFERROR(VLOOKUP(C3178,' Disaggregation - Section E '!A$618:N1302,3,0),"")</f>
        <v/>
      </c>
      <c r="L3178" s="497"/>
      <c r="M3178" s="497"/>
      <c r="N3178" s="503"/>
      <c r="O3178" s="503"/>
      <c r="P3178" s="503"/>
    </row>
    <row r="3179" spans="1:16" x14ac:dyDescent="0.35">
      <c r="A3179" s="497" t="b">
        <v>0</v>
      </c>
      <c r="B3179" s="497"/>
      <c r="C3179" s="497" t="s">
        <v>7225</v>
      </c>
      <c r="D3179" s="512">
        <v>34</v>
      </c>
      <c r="E3179" s="500"/>
      <c r="F3179" s="503"/>
      <c r="G3179" s="502"/>
      <c r="H3179" s="512"/>
      <c r="I3179" s="503"/>
      <c r="J3179" s="503"/>
      <c r="K3179" s="497" t="str">
        <f ca="1">IFERROR(VLOOKUP(C3179,' Disaggregation - Section E '!A$618:N1303,3,0),"")</f>
        <v/>
      </c>
      <c r="L3179" s="497"/>
      <c r="M3179" s="497"/>
      <c r="N3179" s="503"/>
      <c r="O3179" s="503"/>
      <c r="P3179" s="503"/>
    </row>
    <row r="3180" spans="1:16" x14ac:dyDescent="0.35">
      <c r="A3180" s="497" t="b">
        <v>0</v>
      </c>
      <c r="B3180" s="497"/>
      <c r="C3180" s="497" t="s">
        <v>5997</v>
      </c>
      <c r="D3180" s="512">
        <v>35</v>
      </c>
      <c r="E3180" s="500"/>
      <c r="F3180" s="503"/>
      <c r="G3180" s="502"/>
      <c r="H3180" s="512"/>
      <c r="I3180" s="503"/>
      <c r="J3180" s="503"/>
      <c r="K3180" s="497" t="str">
        <f ca="1">IFERROR(VLOOKUP(C3180,' Disaggregation - Section E '!A$618:N1304,3,0),"")</f>
        <v/>
      </c>
      <c r="L3180" s="497"/>
      <c r="M3180" s="497"/>
      <c r="N3180" s="503"/>
      <c r="O3180" s="503"/>
      <c r="P3180" s="503"/>
    </row>
    <row r="3181" spans="1:16" x14ac:dyDescent="0.35">
      <c r="A3181" s="497" t="b">
        <v>0</v>
      </c>
      <c r="B3181" s="497"/>
      <c r="C3181" s="497" t="s">
        <v>5999</v>
      </c>
      <c r="D3181" s="512">
        <v>35</v>
      </c>
      <c r="E3181" s="500"/>
      <c r="F3181" s="503"/>
      <c r="G3181" s="502"/>
      <c r="H3181" s="512"/>
      <c r="I3181" s="503"/>
      <c r="J3181" s="503"/>
      <c r="K3181" s="497" t="str">
        <f ca="1">IFERROR(VLOOKUP(C3181,' Disaggregation - Section E '!A$618:N1305,3,0),"")</f>
        <v/>
      </c>
      <c r="L3181" s="497"/>
      <c r="M3181" s="497"/>
      <c r="N3181" s="503"/>
      <c r="O3181" s="503"/>
      <c r="P3181" s="503"/>
    </row>
    <row r="3182" spans="1:16" x14ac:dyDescent="0.35">
      <c r="A3182" s="497" t="b">
        <v>0</v>
      </c>
      <c r="B3182" s="497"/>
      <c r="C3182" s="497" t="s">
        <v>6001</v>
      </c>
      <c r="D3182" s="512">
        <v>35</v>
      </c>
      <c r="E3182" s="500"/>
      <c r="F3182" s="503"/>
      <c r="G3182" s="502"/>
      <c r="H3182" s="512"/>
      <c r="I3182" s="503"/>
      <c r="J3182" s="503"/>
      <c r="K3182" s="497" t="str">
        <f ca="1">IFERROR(VLOOKUP(C3182,' Disaggregation - Section E '!A$618:N1306,3,0),"")</f>
        <v/>
      </c>
      <c r="L3182" s="497"/>
      <c r="M3182" s="497"/>
      <c r="N3182" s="503"/>
      <c r="O3182" s="503"/>
      <c r="P3182" s="503"/>
    </row>
    <row r="3183" spans="1:16" x14ac:dyDescent="0.35">
      <c r="A3183" s="497" t="b">
        <v>0</v>
      </c>
      <c r="B3183" s="497"/>
      <c r="C3183" s="497" t="s">
        <v>6003</v>
      </c>
      <c r="D3183" s="512">
        <v>35</v>
      </c>
      <c r="E3183" s="500"/>
      <c r="F3183" s="503"/>
      <c r="G3183" s="502"/>
      <c r="H3183" s="512"/>
      <c r="I3183" s="503"/>
      <c r="J3183" s="503"/>
      <c r="K3183" s="497" t="str">
        <f ca="1">IFERROR(VLOOKUP(C3183,' Disaggregation - Section E '!A$618:N1307,3,0),"")</f>
        <v/>
      </c>
      <c r="L3183" s="497"/>
      <c r="M3183" s="497"/>
      <c r="N3183" s="503"/>
      <c r="O3183" s="503"/>
      <c r="P3183" s="503"/>
    </row>
    <row r="3184" spans="1:16" x14ac:dyDescent="0.35">
      <c r="A3184" s="497" t="b">
        <v>0</v>
      </c>
      <c r="B3184" s="497"/>
      <c r="C3184" s="497" t="s">
        <v>6005</v>
      </c>
      <c r="D3184" s="512">
        <v>35</v>
      </c>
      <c r="E3184" s="500"/>
      <c r="F3184" s="503"/>
      <c r="G3184" s="502"/>
      <c r="H3184" s="512"/>
      <c r="I3184" s="503"/>
      <c r="J3184" s="503"/>
      <c r="K3184" s="497" t="str">
        <f ca="1">IFERROR(VLOOKUP(C3184,' Disaggregation - Section E '!A$618:N1308,3,0),"")</f>
        <v/>
      </c>
      <c r="L3184" s="497"/>
      <c r="M3184" s="497"/>
      <c r="N3184" s="503"/>
      <c r="O3184" s="503"/>
      <c r="P3184" s="503"/>
    </row>
    <row r="3185" spans="1:16" x14ac:dyDescent="0.35">
      <c r="A3185" s="497" t="b">
        <v>0</v>
      </c>
      <c r="B3185" s="497"/>
      <c r="C3185" s="497" t="s">
        <v>6007</v>
      </c>
      <c r="D3185" s="512">
        <v>35</v>
      </c>
      <c r="E3185" s="500"/>
      <c r="F3185" s="503"/>
      <c r="G3185" s="502"/>
      <c r="H3185" s="512"/>
      <c r="I3185" s="503"/>
      <c r="J3185" s="503"/>
      <c r="K3185" s="497" t="str">
        <f ca="1">IFERROR(VLOOKUP(C3185,' Disaggregation - Section E '!A$618:N1309,3,0),"")</f>
        <v/>
      </c>
      <c r="L3185" s="497"/>
      <c r="M3185" s="497"/>
      <c r="N3185" s="503"/>
      <c r="O3185" s="503"/>
      <c r="P3185" s="503"/>
    </row>
    <row r="3186" spans="1:16" x14ac:dyDescent="0.35">
      <c r="A3186" s="497" t="b">
        <v>0</v>
      </c>
      <c r="B3186" s="497"/>
      <c r="C3186" s="497" t="s">
        <v>6009</v>
      </c>
      <c r="D3186" s="512">
        <v>35</v>
      </c>
      <c r="E3186" s="500"/>
      <c r="F3186" s="503"/>
      <c r="G3186" s="502"/>
      <c r="H3186" s="512"/>
      <c r="I3186" s="503"/>
      <c r="J3186" s="503"/>
      <c r="K3186" s="497" t="str">
        <f ca="1">IFERROR(VLOOKUP(C3186,' Disaggregation - Section E '!A$618:N1310,3,0),"")</f>
        <v/>
      </c>
      <c r="L3186" s="497"/>
      <c r="M3186" s="497"/>
      <c r="N3186" s="503"/>
      <c r="O3186" s="503"/>
      <c r="P3186" s="503"/>
    </row>
    <row r="3187" spans="1:16" x14ac:dyDescent="0.35">
      <c r="A3187" s="497" t="b">
        <v>0</v>
      </c>
      <c r="B3187" s="497"/>
      <c r="C3187" s="497" t="s">
        <v>6011</v>
      </c>
      <c r="D3187" s="512">
        <v>35</v>
      </c>
      <c r="E3187" s="500"/>
      <c r="F3187" s="503"/>
      <c r="G3187" s="502"/>
      <c r="H3187" s="512"/>
      <c r="I3187" s="503"/>
      <c r="J3187" s="503"/>
      <c r="K3187" s="497" t="str">
        <f ca="1">IFERROR(VLOOKUP(C3187,' Disaggregation - Section E '!A$618:N1311,3,0),"")</f>
        <v/>
      </c>
      <c r="L3187" s="497"/>
      <c r="M3187" s="497"/>
      <c r="N3187" s="503"/>
      <c r="O3187" s="503"/>
      <c r="P3187" s="503"/>
    </row>
    <row r="3188" spans="1:16" x14ac:dyDescent="0.35">
      <c r="A3188" s="497" t="b">
        <v>0</v>
      </c>
      <c r="B3188" s="497"/>
      <c r="C3188" s="497" t="s">
        <v>6013</v>
      </c>
      <c r="D3188" s="512">
        <v>35</v>
      </c>
      <c r="E3188" s="500"/>
      <c r="F3188" s="503"/>
      <c r="G3188" s="502"/>
      <c r="H3188" s="512"/>
      <c r="I3188" s="503"/>
      <c r="J3188" s="503"/>
      <c r="K3188" s="497" t="str">
        <f ca="1">IFERROR(VLOOKUP(C3188,' Disaggregation - Section E '!A$618:N1312,3,0),"")</f>
        <v/>
      </c>
      <c r="L3188" s="497"/>
      <c r="M3188" s="497"/>
      <c r="N3188" s="503"/>
      <c r="O3188" s="503"/>
      <c r="P3188" s="503"/>
    </row>
    <row r="3189" spans="1:16" x14ac:dyDescent="0.35">
      <c r="A3189" s="497" t="b">
        <v>0</v>
      </c>
      <c r="B3189" s="497"/>
      <c r="C3189" s="497" t="s">
        <v>6015</v>
      </c>
      <c r="D3189" s="512">
        <v>35</v>
      </c>
      <c r="E3189" s="500"/>
      <c r="F3189" s="503"/>
      <c r="G3189" s="502"/>
      <c r="H3189" s="512"/>
      <c r="I3189" s="503"/>
      <c r="J3189" s="503"/>
      <c r="K3189" s="497" t="str">
        <f ca="1">IFERROR(VLOOKUP(C3189,' Disaggregation - Section E '!A$618:N1313,3,0),"")</f>
        <v/>
      </c>
      <c r="L3189" s="497"/>
      <c r="M3189" s="497"/>
      <c r="N3189" s="503"/>
      <c r="O3189" s="503"/>
      <c r="P3189" s="503"/>
    </row>
    <row r="3190" spans="1:16" x14ac:dyDescent="0.35">
      <c r="A3190" s="497" t="b">
        <v>0</v>
      </c>
      <c r="B3190" s="497"/>
      <c r="C3190" s="497" t="s">
        <v>6017</v>
      </c>
      <c r="D3190" s="512">
        <v>35</v>
      </c>
      <c r="E3190" s="500"/>
      <c r="F3190" s="503"/>
      <c r="G3190" s="502"/>
      <c r="H3190" s="512"/>
      <c r="I3190" s="503"/>
      <c r="J3190" s="503"/>
      <c r="K3190" s="497" t="str">
        <f ca="1">IFERROR(VLOOKUP(C3190,' Disaggregation - Section E '!A$618:N1314,3,0),"")</f>
        <v/>
      </c>
      <c r="L3190" s="497"/>
      <c r="M3190" s="497"/>
      <c r="N3190" s="503"/>
      <c r="O3190" s="503"/>
      <c r="P3190" s="503"/>
    </row>
    <row r="3191" spans="1:16" x14ac:dyDescent="0.35">
      <c r="A3191" s="497" t="b">
        <v>0</v>
      </c>
      <c r="B3191" s="497"/>
      <c r="C3191" s="497" t="s">
        <v>6019</v>
      </c>
      <c r="D3191" s="512">
        <v>35</v>
      </c>
      <c r="E3191" s="500"/>
      <c r="F3191" s="503"/>
      <c r="G3191" s="502"/>
      <c r="H3191" s="512"/>
      <c r="I3191" s="503"/>
      <c r="J3191" s="503"/>
      <c r="K3191" s="497" t="str">
        <f ca="1">IFERROR(VLOOKUP(C3191,' Disaggregation - Section E '!A$618:N1315,3,0),"")</f>
        <v/>
      </c>
      <c r="L3191" s="497"/>
      <c r="M3191" s="497"/>
      <c r="N3191" s="503"/>
      <c r="O3191" s="503"/>
      <c r="P3191" s="503"/>
    </row>
    <row r="3192" spans="1:16" x14ac:dyDescent="0.35">
      <c r="A3192" s="497" t="b">
        <v>0</v>
      </c>
      <c r="B3192" s="497"/>
      <c r="C3192" s="497" t="s">
        <v>6021</v>
      </c>
      <c r="D3192" s="512">
        <v>35</v>
      </c>
      <c r="E3192" s="500"/>
      <c r="F3192" s="503"/>
      <c r="G3192" s="502"/>
      <c r="H3192" s="512"/>
      <c r="I3192" s="503"/>
      <c r="J3192" s="503"/>
      <c r="K3192" s="497" t="str">
        <f ca="1">IFERROR(VLOOKUP(C3192,' Disaggregation - Section E '!A$618:N1316,3,0),"")</f>
        <v/>
      </c>
      <c r="L3192" s="497"/>
      <c r="M3192" s="497"/>
      <c r="N3192" s="503"/>
      <c r="O3192" s="503"/>
      <c r="P3192" s="503"/>
    </row>
    <row r="3193" spans="1:16" x14ac:dyDescent="0.35">
      <c r="A3193" s="497" t="b">
        <v>0</v>
      </c>
      <c r="B3193" s="497"/>
      <c r="C3193" s="497" t="s">
        <v>6023</v>
      </c>
      <c r="D3193" s="512">
        <v>35</v>
      </c>
      <c r="E3193" s="500"/>
      <c r="F3193" s="503"/>
      <c r="G3193" s="502"/>
      <c r="H3193" s="512"/>
      <c r="I3193" s="503"/>
      <c r="J3193" s="503"/>
      <c r="K3193" s="497" t="str">
        <f ca="1">IFERROR(VLOOKUP(C3193,' Disaggregation - Section E '!A$618:N1317,3,0),"")</f>
        <v/>
      </c>
      <c r="L3193" s="497"/>
      <c r="M3193" s="497"/>
      <c r="N3193" s="503"/>
      <c r="O3193" s="503"/>
      <c r="P3193" s="503"/>
    </row>
    <row r="3194" spans="1:16" x14ac:dyDescent="0.35">
      <c r="A3194" s="497" t="b">
        <v>0</v>
      </c>
      <c r="B3194" s="497"/>
      <c r="C3194" s="497" t="s">
        <v>6025</v>
      </c>
      <c r="D3194" s="512">
        <v>35</v>
      </c>
      <c r="E3194" s="500"/>
      <c r="F3194" s="503"/>
      <c r="G3194" s="502"/>
      <c r="H3194" s="512"/>
      <c r="I3194" s="503"/>
      <c r="J3194" s="503"/>
      <c r="K3194" s="497" t="str">
        <f ca="1">IFERROR(VLOOKUP(C3194,' Disaggregation - Section E '!A$618:N1318,3,0),"")</f>
        <v/>
      </c>
      <c r="L3194" s="497"/>
      <c r="M3194" s="497"/>
      <c r="N3194" s="503"/>
      <c r="O3194" s="503"/>
      <c r="P3194" s="503"/>
    </row>
    <row r="3195" spans="1:16" x14ac:dyDescent="0.35">
      <c r="A3195" s="497" t="b">
        <v>0</v>
      </c>
      <c r="B3195" s="497"/>
      <c r="C3195" s="497" t="s">
        <v>6027</v>
      </c>
      <c r="D3195" s="512">
        <v>35</v>
      </c>
      <c r="E3195" s="500"/>
      <c r="F3195" s="503"/>
      <c r="G3195" s="502"/>
      <c r="H3195" s="512"/>
      <c r="I3195" s="503"/>
      <c r="J3195" s="503"/>
      <c r="K3195" s="497" t="str">
        <f ca="1">IFERROR(VLOOKUP(C3195,' Disaggregation - Section E '!A$618:N1319,3,0),"")</f>
        <v/>
      </c>
      <c r="L3195" s="497"/>
      <c r="M3195" s="497"/>
      <c r="N3195" s="503"/>
      <c r="O3195" s="503"/>
      <c r="P3195" s="503"/>
    </row>
    <row r="3196" spans="1:16" x14ac:dyDescent="0.35">
      <c r="A3196" s="497" t="b">
        <v>0</v>
      </c>
      <c r="B3196" s="497"/>
      <c r="C3196" s="497" t="s">
        <v>6029</v>
      </c>
      <c r="D3196" s="512">
        <v>35</v>
      </c>
      <c r="E3196" s="500"/>
      <c r="F3196" s="503"/>
      <c r="G3196" s="502"/>
      <c r="H3196" s="512"/>
      <c r="I3196" s="503"/>
      <c r="J3196" s="503"/>
      <c r="K3196" s="497" t="str">
        <f ca="1">IFERROR(VLOOKUP(C3196,' Disaggregation - Section E '!A$618:N1320,3,0),"")</f>
        <v/>
      </c>
      <c r="L3196" s="497"/>
      <c r="M3196" s="497"/>
      <c r="N3196" s="503"/>
      <c r="O3196" s="503"/>
      <c r="P3196" s="503"/>
    </row>
    <row r="3197" spans="1:16" x14ac:dyDescent="0.35">
      <c r="A3197" s="497" t="b">
        <v>0</v>
      </c>
      <c r="B3197" s="497"/>
      <c r="C3197" s="497" t="s">
        <v>6031</v>
      </c>
      <c r="D3197" s="512">
        <v>35</v>
      </c>
      <c r="E3197" s="500"/>
      <c r="F3197" s="503"/>
      <c r="G3197" s="502"/>
      <c r="H3197" s="512"/>
      <c r="I3197" s="503"/>
      <c r="J3197" s="503"/>
      <c r="K3197" s="497" t="str">
        <f ca="1">IFERROR(VLOOKUP(C3197,' Disaggregation - Section E '!A$618:N1321,3,0),"")</f>
        <v/>
      </c>
      <c r="L3197" s="497"/>
      <c r="M3197" s="497"/>
      <c r="N3197" s="503"/>
      <c r="O3197" s="503"/>
      <c r="P3197" s="503"/>
    </row>
    <row r="3198" spans="1:16" x14ac:dyDescent="0.35">
      <c r="A3198" s="497" t="b">
        <v>0</v>
      </c>
      <c r="B3198" s="497"/>
      <c r="C3198" s="497" t="s">
        <v>6033</v>
      </c>
      <c r="D3198" s="512">
        <v>35</v>
      </c>
      <c r="E3198" s="500"/>
      <c r="F3198" s="503"/>
      <c r="G3198" s="502"/>
      <c r="H3198" s="512"/>
      <c r="I3198" s="503"/>
      <c r="J3198" s="503"/>
      <c r="K3198" s="497" t="str">
        <f ca="1">IFERROR(VLOOKUP(C3198,' Disaggregation - Section E '!A$618:N1322,3,0),"")</f>
        <v/>
      </c>
      <c r="L3198" s="497"/>
      <c r="M3198" s="497"/>
      <c r="N3198" s="503"/>
      <c r="O3198" s="503"/>
      <c r="P3198" s="503"/>
    </row>
    <row r="3199" spans="1:16" x14ac:dyDescent="0.35">
      <c r="A3199" s="497" t="b">
        <v>0</v>
      </c>
      <c r="B3199" s="497"/>
      <c r="C3199" s="497" t="s">
        <v>6035</v>
      </c>
      <c r="D3199" s="512">
        <v>35</v>
      </c>
      <c r="E3199" s="500"/>
      <c r="F3199" s="503"/>
      <c r="G3199" s="502"/>
      <c r="H3199" s="512"/>
      <c r="I3199" s="503"/>
      <c r="J3199" s="503"/>
      <c r="K3199" s="497" t="str">
        <f ca="1">IFERROR(VLOOKUP(C3199,' Disaggregation - Section E '!A$618:N1323,3,0),"")</f>
        <v/>
      </c>
      <c r="L3199" s="497"/>
      <c r="M3199" s="497"/>
      <c r="N3199" s="503"/>
      <c r="O3199" s="503"/>
      <c r="P3199" s="503"/>
    </row>
    <row r="3200" spans="1:16" x14ac:dyDescent="0.35">
      <c r="A3200" s="497" t="b">
        <v>0</v>
      </c>
      <c r="B3200" s="497"/>
      <c r="C3200" s="497" t="s">
        <v>7228</v>
      </c>
      <c r="D3200" s="512">
        <v>36</v>
      </c>
      <c r="E3200" s="500"/>
      <c r="F3200" s="503"/>
      <c r="G3200" s="502"/>
      <c r="H3200" s="512"/>
      <c r="I3200" s="503"/>
      <c r="J3200" s="503"/>
      <c r="K3200" s="497" t="str">
        <f ca="1">IFERROR(VLOOKUP(C3200,' Disaggregation - Section E '!A$618:N1324,3,0),"")</f>
        <v/>
      </c>
      <c r="L3200" s="497"/>
      <c r="M3200" s="497"/>
      <c r="N3200" s="503"/>
      <c r="O3200" s="503"/>
      <c r="P3200" s="503"/>
    </row>
    <row r="3201" spans="1:16" x14ac:dyDescent="0.35">
      <c r="A3201" s="497" t="b">
        <v>0</v>
      </c>
      <c r="B3201" s="497"/>
      <c r="C3201" s="497" t="s">
        <v>7230</v>
      </c>
      <c r="D3201" s="512">
        <v>36</v>
      </c>
      <c r="E3201" s="500"/>
      <c r="F3201" s="503"/>
      <c r="G3201" s="502"/>
      <c r="H3201" s="512"/>
      <c r="I3201" s="503"/>
      <c r="J3201" s="503"/>
      <c r="K3201" s="497" t="str">
        <f ca="1">IFERROR(VLOOKUP(C3201,' Disaggregation - Section E '!A$618:N1325,3,0),"")</f>
        <v/>
      </c>
      <c r="L3201" s="497"/>
      <c r="M3201" s="497"/>
      <c r="N3201" s="503"/>
      <c r="O3201" s="503"/>
      <c r="P3201" s="503"/>
    </row>
    <row r="3202" spans="1:16" x14ac:dyDescent="0.35">
      <c r="A3202" s="497" t="b">
        <v>0</v>
      </c>
      <c r="B3202" s="497"/>
      <c r="C3202" s="497" t="s">
        <v>7232</v>
      </c>
      <c r="D3202" s="512">
        <v>36</v>
      </c>
      <c r="E3202" s="500"/>
      <c r="F3202" s="503"/>
      <c r="G3202" s="502"/>
      <c r="H3202" s="512"/>
      <c r="I3202" s="503"/>
      <c r="J3202" s="503"/>
      <c r="K3202" s="497" t="str">
        <f ca="1">IFERROR(VLOOKUP(C3202,' Disaggregation - Section E '!A$618:N1326,3,0),"")</f>
        <v/>
      </c>
      <c r="L3202" s="497"/>
      <c r="M3202" s="497"/>
      <c r="N3202" s="503"/>
      <c r="O3202" s="503"/>
      <c r="P3202" s="503"/>
    </row>
    <row r="3203" spans="1:16" x14ac:dyDescent="0.35">
      <c r="A3203" s="497" t="b">
        <v>0</v>
      </c>
      <c r="B3203" s="497"/>
      <c r="C3203" s="497" t="s">
        <v>7234</v>
      </c>
      <c r="D3203" s="512">
        <v>36</v>
      </c>
      <c r="E3203" s="500"/>
      <c r="F3203" s="503"/>
      <c r="G3203" s="502"/>
      <c r="H3203" s="512"/>
      <c r="I3203" s="503"/>
      <c r="J3203" s="503"/>
      <c r="K3203" s="497" t="str">
        <f ca="1">IFERROR(VLOOKUP(C3203,' Disaggregation - Section E '!A$618:N1327,3,0),"")</f>
        <v/>
      </c>
      <c r="L3203" s="497"/>
      <c r="M3203" s="497"/>
      <c r="N3203" s="503"/>
      <c r="O3203" s="503"/>
      <c r="P3203" s="503"/>
    </row>
    <row r="3204" spans="1:16" x14ac:dyDescent="0.35">
      <c r="A3204" s="497" t="b">
        <v>0</v>
      </c>
      <c r="B3204" s="497"/>
      <c r="C3204" s="497" t="s">
        <v>7236</v>
      </c>
      <c r="D3204" s="512">
        <v>36</v>
      </c>
      <c r="E3204" s="500"/>
      <c r="F3204" s="503"/>
      <c r="G3204" s="502"/>
      <c r="H3204" s="512"/>
      <c r="I3204" s="503"/>
      <c r="J3204" s="503"/>
      <c r="K3204" s="497" t="str">
        <f ca="1">IFERROR(VLOOKUP(C3204,' Disaggregation - Section E '!A$618:N1328,3,0),"")</f>
        <v/>
      </c>
      <c r="L3204" s="497"/>
      <c r="M3204" s="497"/>
      <c r="N3204" s="503"/>
      <c r="O3204" s="503"/>
      <c r="P3204" s="503"/>
    </row>
    <row r="3205" spans="1:16" x14ac:dyDescent="0.35">
      <c r="A3205" s="497" t="b">
        <v>0</v>
      </c>
      <c r="B3205" s="497"/>
      <c r="C3205" s="497" t="s">
        <v>7238</v>
      </c>
      <c r="D3205" s="512">
        <v>36</v>
      </c>
      <c r="E3205" s="500"/>
      <c r="F3205" s="503"/>
      <c r="G3205" s="502"/>
      <c r="H3205" s="512"/>
      <c r="I3205" s="503"/>
      <c r="J3205" s="503"/>
      <c r="K3205" s="497" t="str">
        <f ca="1">IFERROR(VLOOKUP(C3205,' Disaggregation - Section E '!A$618:N1329,3,0),"")</f>
        <v/>
      </c>
      <c r="L3205" s="497"/>
      <c r="M3205" s="497"/>
      <c r="N3205" s="503"/>
      <c r="O3205" s="503"/>
      <c r="P3205" s="503"/>
    </row>
    <row r="3206" spans="1:16" x14ac:dyDescent="0.35">
      <c r="A3206" s="497" t="b">
        <v>0</v>
      </c>
      <c r="B3206" s="497"/>
      <c r="C3206" s="497" t="s">
        <v>7240</v>
      </c>
      <c r="D3206" s="512">
        <v>36</v>
      </c>
      <c r="E3206" s="500"/>
      <c r="F3206" s="503"/>
      <c r="G3206" s="502"/>
      <c r="H3206" s="512"/>
      <c r="I3206" s="503"/>
      <c r="J3206" s="503"/>
      <c r="K3206" s="497" t="str">
        <f ca="1">IFERROR(VLOOKUP(C3206,' Disaggregation - Section E '!A$618:N1330,3,0),"")</f>
        <v/>
      </c>
      <c r="L3206" s="497"/>
      <c r="M3206" s="497"/>
      <c r="N3206" s="503"/>
      <c r="O3206" s="503"/>
      <c r="P3206" s="503"/>
    </row>
    <row r="3207" spans="1:16" x14ac:dyDescent="0.35">
      <c r="A3207" s="497" t="b">
        <v>0</v>
      </c>
      <c r="B3207" s="497"/>
      <c r="C3207" s="497" t="s">
        <v>7242</v>
      </c>
      <c r="D3207" s="512">
        <v>36</v>
      </c>
      <c r="E3207" s="500"/>
      <c r="F3207" s="503"/>
      <c r="G3207" s="502"/>
      <c r="H3207" s="512"/>
      <c r="I3207" s="503"/>
      <c r="J3207" s="503"/>
      <c r="K3207" s="497" t="str">
        <f ca="1">IFERROR(VLOOKUP(C3207,' Disaggregation - Section E '!A$618:N1331,3,0),"")</f>
        <v/>
      </c>
      <c r="L3207" s="497"/>
      <c r="M3207" s="497"/>
      <c r="N3207" s="503"/>
      <c r="O3207" s="503"/>
      <c r="P3207" s="503"/>
    </row>
    <row r="3208" spans="1:16" x14ac:dyDescent="0.35">
      <c r="A3208" s="497" t="b">
        <v>0</v>
      </c>
      <c r="B3208" s="497"/>
      <c r="C3208" s="497" t="s">
        <v>7244</v>
      </c>
      <c r="D3208" s="512">
        <v>36</v>
      </c>
      <c r="E3208" s="500"/>
      <c r="F3208" s="503"/>
      <c r="G3208" s="502"/>
      <c r="H3208" s="512"/>
      <c r="I3208" s="503"/>
      <c r="J3208" s="503"/>
      <c r="K3208" s="497" t="str">
        <f ca="1">IFERROR(VLOOKUP(C3208,' Disaggregation - Section E '!A$618:N1332,3,0),"")</f>
        <v/>
      </c>
      <c r="L3208" s="497"/>
      <c r="M3208" s="497"/>
      <c r="N3208" s="503"/>
      <c r="O3208" s="503"/>
      <c r="P3208" s="503"/>
    </row>
    <row r="3209" spans="1:16" x14ac:dyDescent="0.35">
      <c r="A3209" s="497" t="b">
        <v>0</v>
      </c>
      <c r="B3209" s="497"/>
      <c r="C3209" s="497" t="s">
        <v>7246</v>
      </c>
      <c r="D3209" s="512">
        <v>36</v>
      </c>
      <c r="E3209" s="500"/>
      <c r="F3209" s="503"/>
      <c r="G3209" s="502"/>
      <c r="H3209" s="512"/>
      <c r="I3209" s="503"/>
      <c r="J3209" s="503"/>
      <c r="K3209" s="497" t="str">
        <f ca="1">IFERROR(VLOOKUP(C3209,' Disaggregation - Section E '!A$618:N1333,3,0),"")</f>
        <v/>
      </c>
      <c r="L3209" s="497"/>
      <c r="M3209" s="497"/>
      <c r="N3209" s="503"/>
      <c r="O3209" s="503"/>
      <c r="P3209" s="503"/>
    </row>
    <row r="3210" spans="1:16" x14ac:dyDescent="0.35">
      <c r="A3210" s="497" t="b">
        <v>0</v>
      </c>
      <c r="B3210" s="497"/>
      <c r="C3210" s="497" t="s">
        <v>7248</v>
      </c>
      <c r="D3210" s="512">
        <v>36</v>
      </c>
      <c r="E3210" s="500"/>
      <c r="F3210" s="503"/>
      <c r="G3210" s="502"/>
      <c r="H3210" s="512"/>
      <c r="I3210" s="503"/>
      <c r="J3210" s="503"/>
      <c r="K3210" s="497" t="str">
        <f ca="1">IFERROR(VLOOKUP(C3210,' Disaggregation - Section E '!A$618:N1334,3,0),"")</f>
        <v/>
      </c>
      <c r="L3210" s="497"/>
      <c r="M3210" s="497"/>
      <c r="N3210" s="503"/>
      <c r="O3210" s="503"/>
      <c r="P3210" s="503"/>
    </row>
    <row r="3211" spans="1:16" x14ac:dyDescent="0.35">
      <c r="A3211" s="497" t="b">
        <v>0</v>
      </c>
      <c r="B3211" s="497"/>
      <c r="C3211" s="497" t="s">
        <v>7250</v>
      </c>
      <c r="D3211" s="512">
        <v>36</v>
      </c>
      <c r="E3211" s="500"/>
      <c r="F3211" s="503"/>
      <c r="G3211" s="502"/>
      <c r="H3211" s="512"/>
      <c r="I3211" s="503"/>
      <c r="J3211" s="503"/>
      <c r="K3211" s="497" t="str">
        <f ca="1">IFERROR(VLOOKUP(C3211,' Disaggregation - Section E '!A$618:N1335,3,0),"")</f>
        <v/>
      </c>
      <c r="L3211" s="497"/>
      <c r="M3211" s="497"/>
      <c r="N3211" s="503"/>
      <c r="O3211" s="503"/>
      <c r="P3211" s="503"/>
    </row>
    <row r="3212" spans="1:16" x14ac:dyDescent="0.35">
      <c r="A3212" s="497" t="b">
        <v>0</v>
      </c>
      <c r="B3212" s="497"/>
      <c r="C3212" s="497" t="s">
        <v>7252</v>
      </c>
      <c r="D3212" s="512">
        <v>36</v>
      </c>
      <c r="E3212" s="500"/>
      <c r="F3212" s="503"/>
      <c r="G3212" s="502"/>
      <c r="H3212" s="512"/>
      <c r="I3212" s="503"/>
      <c r="J3212" s="503"/>
      <c r="K3212" s="497" t="str">
        <f ca="1">IFERROR(VLOOKUP(C3212,' Disaggregation - Section E '!A$618:N1336,3,0),"")</f>
        <v/>
      </c>
      <c r="L3212" s="497"/>
      <c r="M3212" s="497"/>
      <c r="N3212" s="503"/>
      <c r="O3212" s="503"/>
      <c r="P3212" s="503"/>
    </row>
    <row r="3213" spans="1:16" x14ac:dyDescent="0.35">
      <c r="A3213" s="497" t="b">
        <v>0</v>
      </c>
      <c r="B3213" s="497"/>
      <c r="C3213" s="497" t="s">
        <v>7254</v>
      </c>
      <c r="D3213" s="512">
        <v>36</v>
      </c>
      <c r="E3213" s="500"/>
      <c r="F3213" s="503"/>
      <c r="G3213" s="502"/>
      <c r="H3213" s="512"/>
      <c r="I3213" s="503"/>
      <c r="J3213" s="503"/>
      <c r="K3213" s="497" t="str">
        <f ca="1">IFERROR(VLOOKUP(C3213,' Disaggregation - Section E '!A$618:N1337,3,0),"")</f>
        <v/>
      </c>
      <c r="L3213" s="497"/>
      <c r="M3213" s="497"/>
      <c r="N3213" s="503"/>
      <c r="O3213" s="503"/>
      <c r="P3213" s="503"/>
    </row>
    <row r="3214" spans="1:16" x14ac:dyDescent="0.35">
      <c r="A3214" s="497" t="b">
        <v>0</v>
      </c>
      <c r="B3214" s="497"/>
      <c r="C3214" s="497" t="s">
        <v>7256</v>
      </c>
      <c r="D3214" s="512">
        <v>36</v>
      </c>
      <c r="E3214" s="500"/>
      <c r="F3214" s="503"/>
      <c r="G3214" s="502"/>
      <c r="H3214" s="512"/>
      <c r="I3214" s="503"/>
      <c r="J3214" s="503"/>
      <c r="K3214" s="497" t="str">
        <f ca="1">IFERROR(VLOOKUP(C3214,' Disaggregation - Section E '!A$618:N1338,3,0),"")</f>
        <v/>
      </c>
      <c r="L3214" s="497"/>
      <c r="M3214" s="497"/>
      <c r="N3214" s="503"/>
      <c r="O3214" s="503"/>
      <c r="P3214" s="503"/>
    </row>
    <row r="3215" spans="1:16" x14ac:dyDescent="0.35">
      <c r="A3215" s="497" t="b">
        <v>0</v>
      </c>
      <c r="B3215" s="497"/>
      <c r="C3215" s="497" t="s">
        <v>7258</v>
      </c>
      <c r="D3215" s="512">
        <v>36</v>
      </c>
      <c r="E3215" s="500"/>
      <c r="F3215" s="503"/>
      <c r="G3215" s="502"/>
      <c r="H3215" s="512"/>
      <c r="I3215" s="503"/>
      <c r="J3215" s="503"/>
      <c r="K3215" s="497" t="str">
        <f ca="1">IFERROR(VLOOKUP(C3215,' Disaggregation - Section E '!A$618:N1339,3,0),"")</f>
        <v/>
      </c>
      <c r="L3215" s="497"/>
      <c r="M3215" s="497"/>
      <c r="N3215" s="503"/>
      <c r="O3215" s="503"/>
      <c r="P3215" s="503"/>
    </row>
    <row r="3216" spans="1:16" x14ac:dyDescent="0.35">
      <c r="A3216" s="497" t="b">
        <v>0</v>
      </c>
      <c r="B3216" s="497"/>
      <c r="C3216" s="497" t="s">
        <v>7260</v>
      </c>
      <c r="D3216" s="512">
        <v>36</v>
      </c>
      <c r="E3216" s="500"/>
      <c r="F3216" s="503"/>
      <c r="G3216" s="502"/>
      <c r="H3216" s="512"/>
      <c r="I3216" s="503"/>
      <c r="J3216" s="503"/>
      <c r="K3216" s="497" t="str">
        <f ca="1">IFERROR(VLOOKUP(C3216,' Disaggregation - Section E '!A$618:N1340,3,0),"")</f>
        <v/>
      </c>
      <c r="L3216" s="497"/>
      <c r="M3216" s="497"/>
      <c r="N3216" s="503"/>
      <c r="O3216" s="503"/>
      <c r="P3216" s="503"/>
    </row>
    <row r="3217" spans="1:16" x14ac:dyDescent="0.35">
      <c r="A3217" s="497" t="b">
        <v>0</v>
      </c>
      <c r="B3217" s="497"/>
      <c r="C3217" s="497" t="s">
        <v>7262</v>
      </c>
      <c r="D3217" s="512">
        <v>36</v>
      </c>
      <c r="E3217" s="500"/>
      <c r="F3217" s="503"/>
      <c r="G3217" s="502"/>
      <c r="H3217" s="512"/>
      <c r="I3217" s="503"/>
      <c r="J3217" s="503"/>
      <c r="K3217" s="497" t="str">
        <f ca="1">IFERROR(VLOOKUP(C3217,' Disaggregation - Section E '!A$618:N1341,3,0),"")</f>
        <v/>
      </c>
      <c r="L3217" s="497"/>
      <c r="M3217" s="497"/>
      <c r="N3217" s="503"/>
      <c r="O3217" s="503"/>
      <c r="P3217" s="503"/>
    </row>
    <row r="3218" spans="1:16" x14ac:dyDescent="0.35">
      <c r="A3218" s="497" t="b">
        <v>0</v>
      </c>
      <c r="B3218" s="497"/>
      <c r="C3218" s="497" t="s">
        <v>7264</v>
      </c>
      <c r="D3218" s="512">
        <v>36</v>
      </c>
      <c r="E3218" s="500"/>
      <c r="F3218" s="503"/>
      <c r="G3218" s="502"/>
      <c r="H3218" s="512"/>
      <c r="I3218" s="503"/>
      <c r="J3218" s="503"/>
      <c r="K3218" s="497" t="str">
        <f ca="1">IFERROR(VLOOKUP(C3218,' Disaggregation - Section E '!A$618:N1342,3,0),"")</f>
        <v/>
      </c>
      <c r="L3218" s="497"/>
      <c r="M3218" s="497"/>
      <c r="N3218" s="503"/>
      <c r="O3218" s="503"/>
      <c r="P3218" s="503"/>
    </row>
    <row r="3219" spans="1:16" x14ac:dyDescent="0.35">
      <c r="A3219" s="497" t="b">
        <v>0</v>
      </c>
      <c r="B3219" s="497"/>
      <c r="C3219" s="497" t="s">
        <v>7266</v>
      </c>
      <c r="D3219" s="512">
        <v>36</v>
      </c>
      <c r="E3219" s="500"/>
      <c r="F3219" s="503"/>
      <c r="G3219" s="502"/>
      <c r="H3219" s="512"/>
      <c r="I3219" s="503"/>
      <c r="J3219" s="503"/>
      <c r="K3219" s="497" t="str">
        <f ca="1">IFERROR(VLOOKUP(C3219,' Disaggregation - Section E '!A$618:N1343,3,0),"")</f>
        <v/>
      </c>
      <c r="L3219" s="497"/>
      <c r="M3219" s="497"/>
      <c r="N3219" s="503"/>
      <c r="O3219" s="503"/>
      <c r="P3219" s="503"/>
    </row>
    <row r="3220" spans="1:16" x14ac:dyDescent="0.35">
      <c r="A3220" s="497" t="b">
        <v>0</v>
      </c>
      <c r="B3220" s="497"/>
      <c r="C3220" s="497" t="s">
        <v>6038</v>
      </c>
      <c r="D3220" s="512">
        <v>37</v>
      </c>
      <c r="E3220" s="500"/>
      <c r="F3220" s="503"/>
      <c r="G3220" s="502"/>
      <c r="H3220" s="512"/>
      <c r="I3220" s="503"/>
      <c r="J3220" s="503"/>
      <c r="K3220" s="497" t="str">
        <f ca="1">IFERROR(VLOOKUP(C3220,' Disaggregation - Section E '!A$618:N1344,3,0),"")</f>
        <v/>
      </c>
      <c r="L3220" s="497"/>
      <c r="M3220" s="497"/>
      <c r="N3220" s="503"/>
      <c r="O3220" s="503"/>
      <c r="P3220" s="503"/>
    </row>
    <row r="3221" spans="1:16" x14ac:dyDescent="0.35">
      <c r="A3221" s="497" t="b">
        <v>0</v>
      </c>
      <c r="B3221" s="497"/>
      <c r="C3221" s="497" t="s">
        <v>6040</v>
      </c>
      <c r="D3221" s="512">
        <v>37</v>
      </c>
      <c r="E3221" s="500"/>
      <c r="F3221" s="503"/>
      <c r="G3221" s="502"/>
      <c r="H3221" s="512"/>
      <c r="I3221" s="503"/>
      <c r="J3221" s="503"/>
      <c r="K3221" s="497" t="str">
        <f ca="1">IFERROR(VLOOKUP(C3221,' Disaggregation - Section E '!A$618:N1345,3,0),"")</f>
        <v/>
      </c>
      <c r="L3221" s="497"/>
      <c r="M3221" s="497"/>
      <c r="N3221" s="503"/>
      <c r="O3221" s="503"/>
      <c r="P3221" s="503"/>
    </row>
    <row r="3222" spans="1:16" x14ac:dyDescent="0.35">
      <c r="A3222" s="497" t="b">
        <v>0</v>
      </c>
      <c r="B3222" s="497"/>
      <c r="C3222" s="497" t="s">
        <v>6042</v>
      </c>
      <c r="D3222" s="512">
        <v>37</v>
      </c>
      <c r="E3222" s="500"/>
      <c r="F3222" s="503"/>
      <c r="G3222" s="502"/>
      <c r="H3222" s="512"/>
      <c r="I3222" s="503"/>
      <c r="J3222" s="503"/>
      <c r="K3222" s="497" t="str">
        <f ca="1">IFERROR(VLOOKUP(C3222,' Disaggregation - Section E '!A$618:N1346,3,0),"")</f>
        <v/>
      </c>
      <c r="L3222" s="497"/>
      <c r="M3222" s="497"/>
      <c r="N3222" s="503"/>
      <c r="O3222" s="503"/>
      <c r="P3222" s="503"/>
    </row>
    <row r="3223" spans="1:16" x14ac:dyDescent="0.35">
      <c r="A3223" s="497" t="b">
        <v>0</v>
      </c>
      <c r="B3223" s="497"/>
      <c r="C3223" s="497" t="s">
        <v>6044</v>
      </c>
      <c r="D3223" s="512">
        <v>37</v>
      </c>
      <c r="E3223" s="500"/>
      <c r="F3223" s="503"/>
      <c r="G3223" s="502"/>
      <c r="H3223" s="512"/>
      <c r="I3223" s="503"/>
      <c r="J3223" s="503"/>
      <c r="K3223" s="497" t="str">
        <f ca="1">IFERROR(VLOOKUP(C3223,' Disaggregation - Section E '!A$618:N1347,3,0),"")</f>
        <v/>
      </c>
      <c r="L3223" s="497"/>
      <c r="M3223" s="497"/>
      <c r="N3223" s="503"/>
      <c r="O3223" s="503"/>
      <c r="P3223" s="503"/>
    </row>
    <row r="3224" spans="1:16" x14ac:dyDescent="0.35">
      <c r="A3224" s="497" t="b">
        <v>0</v>
      </c>
      <c r="B3224" s="497"/>
      <c r="C3224" s="497" t="s">
        <v>6046</v>
      </c>
      <c r="D3224" s="512">
        <v>37</v>
      </c>
      <c r="E3224" s="500"/>
      <c r="F3224" s="503"/>
      <c r="G3224" s="502"/>
      <c r="H3224" s="512"/>
      <c r="I3224" s="503"/>
      <c r="J3224" s="503"/>
      <c r="K3224" s="497" t="str">
        <f ca="1">IFERROR(VLOOKUP(C3224,' Disaggregation - Section E '!A$618:N1348,3,0),"")</f>
        <v/>
      </c>
      <c r="L3224" s="497"/>
      <c r="M3224" s="497"/>
      <c r="N3224" s="503"/>
      <c r="O3224" s="503"/>
      <c r="P3224" s="503"/>
    </row>
    <row r="3225" spans="1:16" x14ac:dyDescent="0.35">
      <c r="A3225" s="497" t="b">
        <v>0</v>
      </c>
      <c r="B3225" s="497"/>
      <c r="C3225" s="497" t="s">
        <v>6048</v>
      </c>
      <c r="D3225" s="512">
        <v>37</v>
      </c>
      <c r="E3225" s="500"/>
      <c r="F3225" s="503"/>
      <c r="G3225" s="502"/>
      <c r="H3225" s="512"/>
      <c r="I3225" s="503"/>
      <c r="J3225" s="503"/>
      <c r="K3225" s="497" t="str">
        <f ca="1">IFERROR(VLOOKUP(C3225,' Disaggregation - Section E '!A$618:N1349,3,0),"")</f>
        <v/>
      </c>
      <c r="L3225" s="497"/>
      <c r="M3225" s="497"/>
      <c r="N3225" s="503"/>
      <c r="O3225" s="503"/>
      <c r="P3225" s="503"/>
    </row>
    <row r="3226" spans="1:16" x14ac:dyDescent="0.35">
      <c r="A3226" s="497" t="b">
        <v>0</v>
      </c>
      <c r="B3226" s="497"/>
      <c r="C3226" s="497" t="s">
        <v>6050</v>
      </c>
      <c r="D3226" s="512">
        <v>37</v>
      </c>
      <c r="E3226" s="500"/>
      <c r="F3226" s="503"/>
      <c r="G3226" s="502"/>
      <c r="H3226" s="512"/>
      <c r="I3226" s="503"/>
      <c r="J3226" s="503"/>
      <c r="K3226" s="497" t="str">
        <f ca="1">IFERROR(VLOOKUP(C3226,' Disaggregation - Section E '!A$618:N1350,3,0),"")</f>
        <v/>
      </c>
      <c r="L3226" s="497"/>
      <c r="M3226" s="497"/>
      <c r="N3226" s="503"/>
      <c r="O3226" s="503"/>
      <c r="P3226" s="503"/>
    </row>
    <row r="3227" spans="1:16" x14ac:dyDescent="0.35">
      <c r="A3227" s="497" t="b">
        <v>0</v>
      </c>
      <c r="B3227" s="497"/>
      <c r="C3227" s="497" t="s">
        <v>6052</v>
      </c>
      <c r="D3227" s="512">
        <v>37</v>
      </c>
      <c r="E3227" s="500"/>
      <c r="F3227" s="503"/>
      <c r="G3227" s="502"/>
      <c r="H3227" s="512"/>
      <c r="I3227" s="503"/>
      <c r="J3227" s="503"/>
      <c r="K3227" s="497" t="str">
        <f ca="1">IFERROR(VLOOKUP(C3227,' Disaggregation - Section E '!A$618:N1351,3,0),"")</f>
        <v/>
      </c>
      <c r="L3227" s="497"/>
      <c r="M3227" s="497"/>
      <c r="N3227" s="503"/>
      <c r="O3227" s="503"/>
      <c r="P3227" s="503"/>
    </row>
    <row r="3228" spans="1:16" x14ac:dyDescent="0.35">
      <c r="A3228" s="497" t="b">
        <v>0</v>
      </c>
      <c r="B3228" s="497"/>
      <c r="C3228" s="497" t="s">
        <v>6054</v>
      </c>
      <c r="D3228" s="512">
        <v>37</v>
      </c>
      <c r="E3228" s="500"/>
      <c r="F3228" s="503"/>
      <c r="G3228" s="502"/>
      <c r="H3228" s="512"/>
      <c r="I3228" s="503"/>
      <c r="J3228" s="503"/>
      <c r="K3228" s="497" t="str">
        <f ca="1">IFERROR(VLOOKUP(C3228,' Disaggregation - Section E '!A$618:N1352,3,0),"")</f>
        <v/>
      </c>
      <c r="L3228" s="497"/>
      <c r="M3228" s="497"/>
      <c r="N3228" s="503"/>
      <c r="O3228" s="503"/>
      <c r="P3228" s="503"/>
    </row>
    <row r="3229" spans="1:16" x14ac:dyDescent="0.35">
      <c r="A3229" s="497" t="b">
        <v>0</v>
      </c>
      <c r="B3229" s="497"/>
      <c r="C3229" s="497" t="s">
        <v>6056</v>
      </c>
      <c r="D3229" s="512">
        <v>37</v>
      </c>
      <c r="E3229" s="500"/>
      <c r="F3229" s="503"/>
      <c r="G3229" s="502"/>
      <c r="H3229" s="512"/>
      <c r="I3229" s="503"/>
      <c r="J3229" s="503"/>
      <c r="K3229" s="497" t="str">
        <f ca="1">IFERROR(VLOOKUP(C3229,' Disaggregation - Section E '!A$618:N1353,3,0),"")</f>
        <v/>
      </c>
      <c r="L3229" s="497"/>
      <c r="M3229" s="497"/>
      <c r="N3229" s="503"/>
      <c r="O3229" s="503"/>
      <c r="P3229" s="503"/>
    </row>
    <row r="3230" spans="1:16" x14ac:dyDescent="0.35">
      <c r="A3230" s="497" t="b">
        <v>0</v>
      </c>
      <c r="B3230" s="497"/>
      <c r="C3230" s="497" t="s">
        <v>6058</v>
      </c>
      <c r="D3230" s="512">
        <v>37</v>
      </c>
      <c r="E3230" s="500"/>
      <c r="F3230" s="503"/>
      <c r="G3230" s="502"/>
      <c r="H3230" s="512"/>
      <c r="I3230" s="503"/>
      <c r="J3230" s="503"/>
      <c r="K3230" s="497" t="str">
        <f ca="1">IFERROR(VLOOKUP(C3230,' Disaggregation - Section E '!A$618:N1354,3,0),"")</f>
        <v/>
      </c>
      <c r="L3230" s="497"/>
      <c r="M3230" s="497"/>
      <c r="N3230" s="503"/>
      <c r="O3230" s="503"/>
      <c r="P3230" s="503"/>
    </row>
    <row r="3231" spans="1:16" x14ac:dyDescent="0.35">
      <c r="A3231" s="497" t="b">
        <v>0</v>
      </c>
      <c r="B3231" s="497"/>
      <c r="C3231" s="497" t="s">
        <v>6060</v>
      </c>
      <c r="D3231" s="512">
        <v>37</v>
      </c>
      <c r="E3231" s="500"/>
      <c r="F3231" s="503"/>
      <c r="G3231" s="502"/>
      <c r="H3231" s="512"/>
      <c r="I3231" s="503"/>
      <c r="J3231" s="503"/>
      <c r="K3231" s="497" t="str">
        <f ca="1">IFERROR(VLOOKUP(C3231,' Disaggregation - Section E '!A$618:N1355,3,0),"")</f>
        <v/>
      </c>
      <c r="L3231" s="497"/>
      <c r="M3231" s="497"/>
      <c r="N3231" s="503"/>
      <c r="O3231" s="503"/>
      <c r="P3231" s="503"/>
    </row>
    <row r="3232" spans="1:16" x14ac:dyDescent="0.35">
      <c r="A3232" s="497" t="b">
        <v>0</v>
      </c>
      <c r="B3232" s="497"/>
      <c r="C3232" s="497" t="s">
        <v>6062</v>
      </c>
      <c r="D3232" s="512">
        <v>37</v>
      </c>
      <c r="E3232" s="500"/>
      <c r="F3232" s="503"/>
      <c r="G3232" s="502"/>
      <c r="H3232" s="512"/>
      <c r="I3232" s="503"/>
      <c r="J3232" s="503"/>
      <c r="K3232" s="497" t="str">
        <f ca="1">IFERROR(VLOOKUP(C3232,' Disaggregation - Section E '!A$618:N1356,3,0),"")</f>
        <v/>
      </c>
      <c r="L3232" s="497"/>
      <c r="M3232" s="497"/>
      <c r="N3232" s="503"/>
      <c r="O3232" s="503"/>
      <c r="P3232" s="503"/>
    </row>
    <row r="3233" spans="1:16" x14ac:dyDescent="0.35">
      <c r="A3233" s="497" t="b">
        <v>0</v>
      </c>
      <c r="B3233" s="497"/>
      <c r="C3233" s="497" t="s">
        <v>6064</v>
      </c>
      <c r="D3233" s="512">
        <v>37</v>
      </c>
      <c r="E3233" s="500"/>
      <c r="F3233" s="503"/>
      <c r="G3233" s="502"/>
      <c r="H3233" s="512"/>
      <c r="I3233" s="503"/>
      <c r="J3233" s="503"/>
      <c r="K3233" s="497" t="str">
        <f ca="1">IFERROR(VLOOKUP(C3233,' Disaggregation - Section E '!A$618:N1357,3,0),"")</f>
        <v/>
      </c>
      <c r="L3233" s="497"/>
      <c r="M3233" s="497"/>
      <c r="N3233" s="503"/>
      <c r="O3233" s="503"/>
      <c r="P3233" s="503"/>
    </row>
    <row r="3234" spans="1:16" x14ac:dyDescent="0.35">
      <c r="A3234" s="497" t="b">
        <v>0</v>
      </c>
      <c r="B3234" s="497"/>
      <c r="C3234" s="497" t="s">
        <v>6066</v>
      </c>
      <c r="D3234" s="512">
        <v>37</v>
      </c>
      <c r="E3234" s="500"/>
      <c r="F3234" s="503"/>
      <c r="G3234" s="502"/>
      <c r="H3234" s="512"/>
      <c r="I3234" s="503"/>
      <c r="J3234" s="503"/>
      <c r="K3234" s="497" t="str">
        <f ca="1">IFERROR(VLOOKUP(C3234,' Disaggregation - Section E '!A$618:N1358,3,0),"")</f>
        <v/>
      </c>
      <c r="L3234" s="497"/>
      <c r="M3234" s="497"/>
      <c r="N3234" s="503"/>
      <c r="O3234" s="503"/>
      <c r="P3234" s="503"/>
    </row>
    <row r="3235" spans="1:16" x14ac:dyDescent="0.35">
      <c r="A3235" s="497" t="b">
        <v>0</v>
      </c>
      <c r="B3235" s="497"/>
      <c r="C3235" s="497" t="s">
        <v>6068</v>
      </c>
      <c r="D3235" s="512">
        <v>37</v>
      </c>
      <c r="E3235" s="500"/>
      <c r="F3235" s="503"/>
      <c r="G3235" s="502"/>
      <c r="H3235" s="512"/>
      <c r="I3235" s="503"/>
      <c r="J3235" s="503"/>
      <c r="K3235" s="497" t="str">
        <f ca="1">IFERROR(VLOOKUP(C3235,' Disaggregation - Section E '!A$618:N1359,3,0),"")</f>
        <v/>
      </c>
      <c r="L3235" s="497"/>
      <c r="M3235" s="497"/>
      <c r="N3235" s="503"/>
      <c r="O3235" s="503"/>
      <c r="P3235" s="503"/>
    </row>
    <row r="3236" spans="1:16" x14ac:dyDescent="0.35">
      <c r="A3236" s="497" t="b">
        <v>0</v>
      </c>
      <c r="B3236" s="497"/>
      <c r="C3236" s="497" t="s">
        <v>6070</v>
      </c>
      <c r="D3236" s="512">
        <v>37</v>
      </c>
      <c r="E3236" s="500"/>
      <c r="F3236" s="503"/>
      <c r="G3236" s="502"/>
      <c r="H3236" s="512"/>
      <c r="I3236" s="503"/>
      <c r="J3236" s="503"/>
      <c r="K3236" s="497" t="str">
        <f ca="1">IFERROR(VLOOKUP(C3236,' Disaggregation - Section E '!A$618:N1360,3,0),"")</f>
        <v/>
      </c>
      <c r="L3236" s="497"/>
      <c r="M3236" s="497"/>
      <c r="N3236" s="503"/>
      <c r="O3236" s="503"/>
      <c r="P3236" s="503"/>
    </row>
    <row r="3237" spans="1:16" x14ac:dyDescent="0.35">
      <c r="A3237" s="497" t="b">
        <v>0</v>
      </c>
      <c r="B3237" s="497"/>
      <c r="C3237" s="497" t="s">
        <v>6072</v>
      </c>
      <c r="D3237" s="512">
        <v>37</v>
      </c>
      <c r="E3237" s="500"/>
      <c r="F3237" s="503"/>
      <c r="G3237" s="502"/>
      <c r="H3237" s="512"/>
      <c r="I3237" s="503"/>
      <c r="J3237" s="503"/>
      <c r="K3237" s="497" t="str">
        <f ca="1">IFERROR(VLOOKUP(C3237,' Disaggregation - Section E '!A$618:N1361,3,0),"")</f>
        <v/>
      </c>
      <c r="L3237" s="497"/>
      <c r="M3237" s="497"/>
      <c r="N3237" s="503"/>
      <c r="O3237" s="503"/>
      <c r="P3237" s="503"/>
    </row>
    <row r="3238" spans="1:16" x14ac:dyDescent="0.35">
      <c r="A3238" s="497" t="b">
        <v>0</v>
      </c>
      <c r="B3238" s="497"/>
      <c r="C3238" s="497" t="s">
        <v>6074</v>
      </c>
      <c r="D3238" s="512">
        <v>37</v>
      </c>
      <c r="E3238" s="500"/>
      <c r="F3238" s="503"/>
      <c r="G3238" s="502"/>
      <c r="H3238" s="512"/>
      <c r="I3238" s="503"/>
      <c r="J3238" s="503"/>
      <c r="K3238" s="497" t="str">
        <f ca="1">IFERROR(VLOOKUP(C3238,' Disaggregation - Section E '!A$618:N1362,3,0),"")</f>
        <v/>
      </c>
      <c r="L3238" s="497"/>
      <c r="M3238" s="497"/>
      <c r="N3238" s="503"/>
      <c r="O3238" s="503"/>
      <c r="P3238" s="503"/>
    </row>
    <row r="3239" spans="1:16" x14ac:dyDescent="0.35">
      <c r="A3239" s="497" t="b">
        <v>0</v>
      </c>
      <c r="B3239" s="497"/>
      <c r="C3239" s="497" t="s">
        <v>6076</v>
      </c>
      <c r="D3239" s="512">
        <v>37</v>
      </c>
      <c r="E3239" s="500"/>
      <c r="F3239" s="503"/>
      <c r="G3239" s="502"/>
      <c r="H3239" s="512"/>
      <c r="I3239" s="503"/>
      <c r="J3239" s="503"/>
      <c r="K3239" s="497" t="str">
        <f ca="1">IFERROR(VLOOKUP(C3239,' Disaggregation - Section E '!A$618:N1363,3,0),"")</f>
        <v/>
      </c>
      <c r="L3239" s="497"/>
      <c r="M3239" s="497"/>
      <c r="N3239" s="503"/>
      <c r="O3239" s="503"/>
      <c r="P3239" s="503"/>
    </row>
    <row r="3240" spans="1:16" x14ac:dyDescent="0.35">
      <c r="A3240" s="497" t="b">
        <v>0</v>
      </c>
      <c r="B3240" s="497"/>
      <c r="C3240" s="497" t="s">
        <v>7269</v>
      </c>
      <c r="D3240" s="512">
        <v>38</v>
      </c>
      <c r="E3240" s="500"/>
      <c r="F3240" s="503"/>
      <c r="G3240" s="502"/>
      <c r="H3240" s="512"/>
      <c r="I3240" s="503"/>
      <c r="J3240" s="503"/>
      <c r="K3240" s="497" t="str">
        <f ca="1">IFERROR(VLOOKUP(C3240,' Disaggregation - Section E '!A$618:N1364,3,0),"")</f>
        <v/>
      </c>
      <c r="L3240" s="497"/>
      <c r="M3240" s="497"/>
      <c r="N3240" s="503"/>
      <c r="O3240" s="503"/>
      <c r="P3240" s="503"/>
    </row>
    <row r="3241" spans="1:16" x14ac:dyDescent="0.35">
      <c r="A3241" s="497" t="b">
        <v>0</v>
      </c>
      <c r="B3241" s="497"/>
      <c r="C3241" s="497" t="s">
        <v>7271</v>
      </c>
      <c r="D3241" s="512">
        <v>38</v>
      </c>
      <c r="E3241" s="500"/>
      <c r="F3241" s="503"/>
      <c r="G3241" s="502"/>
      <c r="H3241" s="512"/>
      <c r="I3241" s="503"/>
      <c r="J3241" s="503"/>
      <c r="K3241" s="497" t="str">
        <f ca="1">IFERROR(VLOOKUP(C3241,' Disaggregation - Section E '!A$618:N1365,3,0),"")</f>
        <v/>
      </c>
      <c r="L3241" s="497"/>
      <c r="M3241" s="497"/>
      <c r="N3241" s="503"/>
      <c r="O3241" s="503"/>
      <c r="P3241" s="503"/>
    </row>
    <row r="3242" spans="1:16" x14ac:dyDescent="0.35">
      <c r="A3242" s="497" t="b">
        <v>0</v>
      </c>
      <c r="B3242" s="497"/>
      <c r="C3242" s="497" t="s">
        <v>7273</v>
      </c>
      <c r="D3242" s="512">
        <v>38</v>
      </c>
      <c r="E3242" s="500"/>
      <c r="F3242" s="503"/>
      <c r="G3242" s="502"/>
      <c r="H3242" s="512"/>
      <c r="I3242" s="503"/>
      <c r="J3242" s="503"/>
      <c r="K3242" s="497" t="str">
        <f ca="1">IFERROR(VLOOKUP(C3242,' Disaggregation - Section E '!A$618:N1366,3,0),"")</f>
        <v/>
      </c>
      <c r="L3242" s="497"/>
      <c r="M3242" s="497"/>
      <c r="N3242" s="503"/>
      <c r="O3242" s="503"/>
      <c r="P3242" s="503"/>
    </row>
    <row r="3243" spans="1:16" x14ac:dyDescent="0.35">
      <c r="A3243" s="497" t="b">
        <v>0</v>
      </c>
      <c r="B3243" s="497"/>
      <c r="C3243" s="497" t="s">
        <v>7275</v>
      </c>
      <c r="D3243" s="512">
        <v>38</v>
      </c>
      <c r="E3243" s="500"/>
      <c r="F3243" s="503"/>
      <c r="G3243" s="502"/>
      <c r="H3243" s="512"/>
      <c r="I3243" s="503"/>
      <c r="J3243" s="503"/>
      <c r="K3243" s="497" t="str">
        <f ca="1">IFERROR(VLOOKUP(C3243,' Disaggregation - Section E '!A$618:N1367,3,0),"")</f>
        <v/>
      </c>
      <c r="L3243" s="497"/>
      <c r="M3243" s="497"/>
      <c r="N3243" s="503"/>
      <c r="O3243" s="503"/>
      <c r="P3243" s="503"/>
    </row>
    <row r="3244" spans="1:16" x14ac:dyDescent="0.35">
      <c r="A3244" s="497" t="b">
        <v>0</v>
      </c>
      <c r="B3244" s="497"/>
      <c r="C3244" s="497" t="s">
        <v>7277</v>
      </c>
      <c r="D3244" s="512">
        <v>38</v>
      </c>
      <c r="E3244" s="500"/>
      <c r="F3244" s="503"/>
      <c r="G3244" s="502"/>
      <c r="H3244" s="512"/>
      <c r="I3244" s="503"/>
      <c r="J3244" s="503"/>
      <c r="K3244" s="497" t="str">
        <f ca="1">IFERROR(VLOOKUP(C3244,' Disaggregation - Section E '!A$618:N1368,3,0),"")</f>
        <v/>
      </c>
      <c r="L3244" s="497"/>
      <c r="M3244" s="497"/>
      <c r="N3244" s="503"/>
      <c r="O3244" s="503"/>
      <c r="P3244" s="503"/>
    </row>
    <row r="3245" spans="1:16" x14ac:dyDescent="0.35">
      <c r="A3245" s="497" t="b">
        <v>0</v>
      </c>
      <c r="B3245" s="497"/>
      <c r="C3245" s="497" t="s">
        <v>7279</v>
      </c>
      <c r="D3245" s="512">
        <v>38</v>
      </c>
      <c r="E3245" s="500"/>
      <c r="F3245" s="503"/>
      <c r="G3245" s="502"/>
      <c r="H3245" s="512"/>
      <c r="I3245" s="503"/>
      <c r="J3245" s="503"/>
      <c r="K3245" s="497" t="str">
        <f ca="1">IFERROR(VLOOKUP(C3245,' Disaggregation - Section E '!A$618:N1369,3,0),"")</f>
        <v/>
      </c>
      <c r="L3245" s="497"/>
      <c r="M3245" s="497"/>
      <c r="N3245" s="503"/>
      <c r="O3245" s="503"/>
      <c r="P3245" s="503"/>
    </row>
    <row r="3246" spans="1:16" x14ac:dyDescent="0.35">
      <c r="A3246" s="497" t="b">
        <v>0</v>
      </c>
      <c r="B3246" s="497"/>
      <c r="C3246" s="497" t="s">
        <v>7281</v>
      </c>
      <c r="D3246" s="512">
        <v>38</v>
      </c>
      <c r="E3246" s="500"/>
      <c r="F3246" s="503"/>
      <c r="G3246" s="502"/>
      <c r="H3246" s="512"/>
      <c r="I3246" s="503"/>
      <c r="J3246" s="503"/>
      <c r="K3246" s="497" t="str">
        <f ca="1">IFERROR(VLOOKUP(C3246,' Disaggregation - Section E '!A$618:N1370,3,0),"")</f>
        <v/>
      </c>
      <c r="L3246" s="497"/>
      <c r="M3246" s="497"/>
      <c r="N3246" s="503"/>
      <c r="O3246" s="503"/>
      <c r="P3246" s="503"/>
    </row>
    <row r="3247" spans="1:16" x14ac:dyDescent="0.35">
      <c r="A3247" s="497" t="b">
        <v>0</v>
      </c>
      <c r="B3247" s="497"/>
      <c r="C3247" s="497" t="s">
        <v>7283</v>
      </c>
      <c r="D3247" s="512">
        <v>38</v>
      </c>
      <c r="E3247" s="500"/>
      <c r="F3247" s="503"/>
      <c r="G3247" s="502"/>
      <c r="H3247" s="512"/>
      <c r="I3247" s="503"/>
      <c r="J3247" s="503"/>
      <c r="K3247" s="497" t="str">
        <f ca="1">IFERROR(VLOOKUP(C3247,' Disaggregation - Section E '!A$618:N1371,3,0),"")</f>
        <v/>
      </c>
      <c r="L3247" s="497"/>
      <c r="M3247" s="497"/>
      <c r="N3247" s="503"/>
      <c r="O3247" s="503"/>
      <c r="P3247" s="503"/>
    </row>
    <row r="3248" spans="1:16" x14ac:dyDescent="0.35">
      <c r="A3248" s="497" t="b">
        <v>0</v>
      </c>
      <c r="B3248" s="497"/>
      <c r="C3248" s="497" t="s">
        <v>7285</v>
      </c>
      <c r="D3248" s="512">
        <v>38</v>
      </c>
      <c r="E3248" s="500"/>
      <c r="F3248" s="503"/>
      <c r="G3248" s="502"/>
      <c r="H3248" s="512"/>
      <c r="I3248" s="503"/>
      <c r="J3248" s="503"/>
      <c r="K3248" s="497" t="str">
        <f ca="1">IFERROR(VLOOKUP(C3248,' Disaggregation - Section E '!A$618:N1372,3,0),"")</f>
        <v/>
      </c>
      <c r="L3248" s="497"/>
      <c r="M3248" s="497"/>
      <c r="N3248" s="503"/>
      <c r="O3248" s="503"/>
      <c r="P3248" s="503"/>
    </row>
    <row r="3249" spans="1:16" x14ac:dyDescent="0.35">
      <c r="A3249" s="497" t="b">
        <v>0</v>
      </c>
      <c r="B3249" s="497"/>
      <c r="C3249" s="497" t="s">
        <v>7287</v>
      </c>
      <c r="D3249" s="512">
        <v>38</v>
      </c>
      <c r="E3249" s="500"/>
      <c r="F3249" s="503"/>
      <c r="G3249" s="502"/>
      <c r="H3249" s="512"/>
      <c r="I3249" s="503"/>
      <c r="J3249" s="503"/>
      <c r="K3249" s="497" t="str">
        <f ca="1">IFERROR(VLOOKUP(C3249,' Disaggregation - Section E '!A$618:N1373,3,0),"")</f>
        <v/>
      </c>
      <c r="L3249" s="497"/>
      <c r="M3249" s="497"/>
      <c r="N3249" s="503"/>
      <c r="O3249" s="503"/>
      <c r="P3249" s="503"/>
    </row>
    <row r="3250" spans="1:16" x14ac:dyDescent="0.35">
      <c r="A3250" s="497" t="b">
        <v>0</v>
      </c>
      <c r="B3250" s="497"/>
      <c r="C3250" s="497" t="s">
        <v>7289</v>
      </c>
      <c r="D3250" s="512">
        <v>38</v>
      </c>
      <c r="E3250" s="500"/>
      <c r="F3250" s="503"/>
      <c r="G3250" s="502"/>
      <c r="H3250" s="512"/>
      <c r="I3250" s="503"/>
      <c r="J3250" s="503"/>
      <c r="K3250" s="497" t="str">
        <f ca="1">IFERROR(VLOOKUP(C3250,' Disaggregation - Section E '!A$618:N1374,3,0),"")</f>
        <v/>
      </c>
      <c r="L3250" s="497"/>
      <c r="M3250" s="497"/>
      <c r="N3250" s="503"/>
      <c r="O3250" s="503"/>
      <c r="P3250" s="503"/>
    </row>
    <row r="3251" spans="1:16" x14ac:dyDescent="0.35">
      <c r="A3251" s="497" t="b">
        <v>0</v>
      </c>
      <c r="B3251" s="497"/>
      <c r="C3251" s="497" t="s">
        <v>7291</v>
      </c>
      <c r="D3251" s="512">
        <v>38</v>
      </c>
      <c r="E3251" s="500"/>
      <c r="F3251" s="503"/>
      <c r="G3251" s="502"/>
      <c r="H3251" s="512"/>
      <c r="I3251" s="503"/>
      <c r="J3251" s="503"/>
      <c r="K3251" s="497" t="str">
        <f ca="1">IFERROR(VLOOKUP(C3251,' Disaggregation - Section E '!A$618:N1375,3,0),"")</f>
        <v/>
      </c>
      <c r="L3251" s="497"/>
      <c r="M3251" s="497"/>
      <c r="N3251" s="503"/>
      <c r="O3251" s="503"/>
      <c r="P3251" s="503"/>
    </row>
    <row r="3252" spans="1:16" x14ac:dyDescent="0.35">
      <c r="A3252" s="497" t="b">
        <v>0</v>
      </c>
      <c r="B3252" s="497"/>
      <c r="C3252" s="497" t="s">
        <v>7293</v>
      </c>
      <c r="D3252" s="512">
        <v>38</v>
      </c>
      <c r="E3252" s="500"/>
      <c r="F3252" s="503"/>
      <c r="G3252" s="502"/>
      <c r="H3252" s="512"/>
      <c r="I3252" s="503"/>
      <c r="J3252" s="503"/>
      <c r="K3252" s="497" t="str">
        <f ca="1">IFERROR(VLOOKUP(C3252,' Disaggregation - Section E '!A$618:N1376,3,0),"")</f>
        <v/>
      </c>
      <c r="L3252" s="497"/>
      <c r="M3252" s="497"/>
      <c r="N3252" s="503"/>
      <c r="O3252" s="503"/>
      <c r="P3252" s="503"/>
    </row>
    <row r="3253" spans="1:16" x14ac:dyDescent="0.35">
      <c r="A3253" s="497" t="b">
        <v>0</v>
      </c>
      <c r="B3253" s="497"/>
      <c r="C3253" s="497" t="s">
        <v>7295</v>
      </c>
      <c r="D3253" s="512">
        <v>38</v>
      </c>
      <c r="E3253" s="500"/>
      <c r="F3253" s="503"/>
      <c r="G3253" s="502"/>
      <c r="H3253" s="512"/>
      <c r="I3253" s="503"/>
      <c r="J3253" s="503"/>
      <c r="K3253" s="497" t="str">
        <f ca="1">IFERROR(VLOOKUP(C3253,' Disaggregation - Section E '!A$618:N1377,3,0),"")</f>
        <v/>
      </c>
      <c r="L3253" s="497"/>
      <c r="M3253" s="497"/>
      <c r="N3253" s="503"/>
      <c r="O3253" s="503"/>
      <c r="P3253" s="503"/>
    </row>
    <row r="3254" spans="1:16" x14ac:dyDescent="0.35">
      <c r="A3254" s="497" t="b">
        <v>0</v>
      </c>
      <c r="B3254" s="497"/>
      <c r="C3254" s="497" t="s">
        <v>7297</v>
      </c>
      <c r="D3254" s="512">
        <v>38</v>
      </c>
      <c r="E3254" s="500"/>
      <c r="F3254" s="503"/>
      <c r="G3254" s="502"/>
      <c r="H3254" s="512"/>
      <c r="I3254" s="503"/>
      <c r="J3254" s="503"/>
      <c r="K3254" s="497" t="str">
        <f ca="1">IFERROR(VLOOKUP(C3254,' Disaggregation - Section E '!A$618:N1378,3,0),"")</f>
        <v/>
      </c>
      <c r="L3254" s="497"/>
      <c r="M3254" s="497"/>
      <c r="N3254" s="503"/>
      <c r="O3254" s="503"/>
      <c r="P3254" s="503"/>
    </row>
    <row r="3255" spans="1:16" x14ac:dyDescent="0.35">
      <c r="A3255" s="497" t="b">
        <v>0</v>
      </c>
      <c r="B3255" s="497"/>
      <c r="C3255" s="497" t="s">
        <v>7299</v>
      </c>
      <c r="D3255" s="512">
        <v>38</v>
      </c>
      <c r="E3255" s="500"/>
      <c r="F3255" s="503"/>
      <c r="G3255" s="502"/>
      <c r="H3255" s="512"/>
      <c r="I3255" s="503"/>
      <c r="J3255" s="503"/>
      <c r="K3255" s="497" t="str">
        <f ca="1">IFERROR(VLOOKUP(C3255,' Disaggregation - Section E '!A$618:N1379,3,0),"")</f>
        <v/>
      </c>
      <c r="L3255" s="497"/>
      <c r="M3255" s="497"/>
      <c r="N3255" s="503"/>
      <c r="O3255" s="503"/>
      <c r="P3255" s="503"/>
    </row>
    <row r="3256" spans="1:16" x14ac:dyDescent="0.35">
      <c r="A3256" s="497" t="b">
        <v>0</v>
      </c>
      <c r="B3256" s="497"/>
      <c r="C3256" s="497" t="s">
        <v>7301</v>
      </c>
      <c r="D3256" s="512">
        <v>38</v>
      </c>
      <c r="E3256" s="500"/>
      <c r="F3256" s="503"/>
      <c r="G3256" s="502"/>
      <c r="H3256" s="512"/>
      <c r="I3256" s="503"/>
      <c r="J3256" s="503"/>
      <c r="K3256" s="497" t="str">
        <f ca="1">IFERROR(VLOOKUP(C3256,' Disaggregation - Section E '!A$618:N1380,3,0),"")</f>
        <v/>
      </c>
      <c r="L3256" s="497"/>
      <c r="M3256" s="497"/>
      <c r="N3256" s="503"/>
      <c r="O3256" s="503"/>
      <c r="P3256" s="503"/>
    </row>
    <row r="3257" spans="1:16" x14ac:dyDescent="0.35">
      <c r="A3257" s="497" t="b">
        <v>0</v>
      </c>
      <c r="B3257" s="497"/>
      <c r="C3257" s="497" t="s">
        <v>7303</v>
      </c>
      <c r="D3257" s="512">
        <v>38</v>
      </c>
      <c r="E3257" s="500"/>
      <c r="F3257" s="503"/>
      <c r="G3257" s="502"/>
      <c r="H3257" s="512"/>
      <c r="I3257" s="503"/>
      <c r="J3257" s="503"/>
      <c r="K3257" s="497" t="str">
        <f ca="1">IFERROR(VLOOKUP(C3257,' Disaggregation - Section E '!A$618:N1381,3,0),"")</f>
        <v/>
      </c>
      <c r="L3257" s="497"/>
      <c r="M3257" s="497"/>
      <c r="N3257" s="503"/>
      <c r="O3257" s="503"/>
      <c r="P3257" s="503"/>
    </row>
    <row r="3258" spans="1:16" x14ac:dyDescent="0.35">
      <c r="A3258" s="497" t="b">
        <v>0</v>
      </c>
      <c r="B3258" s="497"/>
      <c r="C3258" s="497" t="s">
        <v>7305</v>
      </c>
      <c r="D3258" s="512">
        <v>38</v>
      </c>
      <c r="E3258" s="500"/>
      <c r="F3258" s="503"/>
      <c r="G3258" s="502"/>
      <c r="H3258" s="512"/>
      <c r="I3258" s="503"/>
      <c r="J3258" s="503"/>
      <c r="K3258" s="497" t="str">
        <f ca="1">IFERROR(VLOOKUP(C3258,' Disaggregation - Section E '!A$618:N1382,3,0),"")</f>
        <v/>
      </c>
      <c r="L3258" s="497"/>
      <c r="M3258" s="497"/>
      <c r="N3258" s="503"/>
      <c r="O3258" s="503"/>
      <c r="P3258" s="503"/>
    </row>
    <row r="3259" spans="1:16" x14ac:dyDescent="0.35">
      <c r="A3259" s="497" t="b">
        <v>0</v>
      </c>
      <c r="B3259" s="497"/>
      <c r="C3259" s="497" t="s">
        <v>7307</v>
      </c>
      <c r="D3259" s="512">
        <v>38</v>
      </c>
      <c r="E3259" s="500"/>
      <c r="F3259" s="503"/>
      <c r="G3259" s="502"/>
      <c r="H3259" s="512"/>
      <c r="I3259" s="503"/>
      <c r="J3259" s="503"/>
      <c r="K3259" s="497" t="str">
        <f ca="1">IFERROR(VLOOKUP(C3259,' Disaggregation - Section E '!A$618:N1383,3,0),"")</f>
        <v/>
      </c>
      <c r="L3259" s="497"/>
      <c r="M3259" s="497"/>
      <c r="N3259" s="503"/>
      <c r="O3259" s="503"/>
      <c r="P3259" s="503"/>
    </row>
    <row r="3260" spans="1:16" x14ac:dyDescent="0.35">
      <c r="A3260" s="497" t="b">
        <v>0</v>
      </c>
      <c r="B3260" s="497"/>
      <c r="C3260" s="497" t="s">
        <v>6079</v>
      </c>
      <c r="D3260" s="512">
        <v>39</v>
      </c>
      <c r="E3260" s="500"/>
      <c r="F3260" s="503"/>
      <c r="G3260" s="502"/>
      <c r="H3260" s="512"/>
      <c r="I3260" s="503"/>
      <c r="J3260" s="503"/>
      <c r="K3260" s="497" t="str">
        <f ca="1">IFERROR(VLOOKUP(C3260,' Disaggregation - Section E '!A$618:N1384,3,0),"")</f>
        <v/>
      </c>
      <c r="L3260" s="497"/>
      <c r="M3260" s="497"/>
      <c r="N3260" s="503"/>
      <c r="O3260" s="503"/>
      <c r="P3260" s="503"/>
    </row>
    <row r="3261" spans="1:16" x14ac:dyDescent="0.35">
      <c r="A3261" s="497" t="b">
        <v>0</v>
      </c>
      <c r="B3261" s="497"/>
      <c r="C3261" s="497" t="s">
        <v>6081</v>
      </c>
      <c r="D3261" s="512">
        <v>39</v>
      </c>
      <c r="E3261" s="500"/>
      <c r="F3261" s="503"/>
      <c r="G3261" s="502"/>
      <c r="H3261" s="512"/>
      <c r="I3261" s="503"/>
      <c r="J3261" s="503"/>
      <c r="K3261" s="497" t="str">
        <f ca="1">IFERROR(VLOOKUP(C3261,' Disaggregation - Section E '!A$618:N1385,3,0),"")</f>
        <v/>
      </c>
      <c r="L3261" s="497"/>
      <c r="M3261" s="497"/>
      <c r="N3261" s="503"/>
      <c r="O3261" s="503"/>
      <c r="P3261" s="503"/>
    </row>
    <row r="3262" spans="1:16" x14ac:dyDescent="0.35">
      <c r="A3262" s="497" t="b">
        <v>0</v>
      </c>
      <c r="B3262" s="497"/>
      <c r="C3262" s="497" t="s">
        <v>6083</v>
      </c>
      <c r="D3262" s="512">
        <v>39</v>
      </c>
      <c r="E3262" s="500"/>
      <c r="F3262" s="503"/>
      <c r="G3262" s="502"/>
      <c r="H3262" s="512"/>
      <c r="I3262" s="503"/>
      <c r="J3262" s="503"/>
      <c r="K3262" s="497" t="str">
        <f ca="1">IFERROR(VLOOKUP(C3262,' Disaggregation - Section E '!A$618:N1386,3,0),"")</f>
        <v/>
      </c>
      <c r="L3262" s="497"/>
      <c r="M3262" s="497"/>
      <c r="N3262" s="503"/>
      <c r="O3262" s="503"/>
      <c r="P3262" s="503"/>
    </row>
    <row r="3263" spans="1:16" x14ac:dyDescent="0.35">
      <c r="A3263" s="497" t="b">
        <v>0</v>
      </c>
      <c r="B3263" s="497"/>
      <c r="C3263" s="497" t="s">
        <v>6085</v>
      </c>
      <c r="D3263" s="512">
        <v>39</v>
      </c>
      <c r="E3263" s="500"/>
      <c r="F3263" s="503"/>
      <c r="G3263" s="502"/>
      <c r="H3263" s="512"/>
      <c r="I3263" s="503"/>
      <c r="J3263" s="503"/>
      <c r="K3263" s="497" t="str">
        <f ca="1">IFERROR(VLOOKUP(C3263,' Disaggregation - Section E '!A$618:N1387,3,0),"")</f>
        <v/>
      </c>
      <c r="L3263" s="497"/>
      <c r="M3263" s="497"/>
      <c r="N3263" s="503"/>
      <c r="O3263" s="503"/>
      <c r="P3263" s="503"/>
    </row>
    <row r="3264" spans="1:16" x14ac:dyDescent="0.35">
      <c r="A3264" s="497" t="b">
        <v>0</v>
      </c>
      <c r="B3264" s="497"/>
      <c r="C3264" s="497" t="s">
        <v>6087</v>
      </c>
      <c r="D3264" s="512">
        <v>39</v>
      </c>
      <c r="E3264" s="500"/>
      <c r="F3264" s="503"/>
      <c r="G3264" s="502"/>
      <c r="H3264" s="512"/>
      <c r="I3264" s="503"/>
      <c r="J3264" s="503"/>
      <c r="K3264" s="497" t="str">
        <f ca="1">IFERROR(VLOOKUP(C3264,' Disaggregation - Section E '!A$618:N1388,3,0),"")</f>
        <v/>
      </c>
      <c r="L3264" s="497"/>
      <c r="M3264" s="497"/>
      <c r="N3264" s="503"/>
      <c r="O3264" s="503"/>
      <c r="P3264" s="503"/>
    </row>
    <row r="3265" spans="1:16" x14ac:dyDescent="0.35">
      <c r="A3265" s="497" t="b">
        <v>0</v>
      </c>
      <c r="B3265" s="497"/>
      <c r="C3265" s="497" t="s">
        <v>6089</v>
      </c>
      <c r="D3265" s="512">
        <v>39</v>
      </c>
      <c r="E3265" s="500"/>
      <c r="F3265" s="503"/>
      <c r="G3265" s="502"/>
      <c r="H3265" s="512"/>
      <c r="I3265" s="503"/>
      <c r="J3265" s="503"/>
      <c r="K3265" s="497" t="str">
        <f ca="1">IFERROR(VLOOKUP(C3265,' Disaggregation - Section E '!A$618:N1389,3,0),"")</f>
        <v/>
      </c>
      <c r="L3265" s="497"/>
      <c r="M3265" s="497"/>
      <c r="N3265" s="503"/>
      <c r="O3265" s="503"/>
      <c r="P3265" s="503"/>
    </row>
    <row r="3266" spans="1:16" x14ac:dyDescent="0.35">
      <c r="A3266" s="497" t="b">
        <v>0</v>
      </c>
      <c r="B3266" s="497"/>
      <c r="C3266" s="497" t="s">
        <v>6091</v>
      </c>
      <c r="D3266" s="512">
        <v>39</v>
      </c>
      <c r="E3266" s="500"/>
      <c r="F3266" s="503"/>
      <c r="G3266" s="502"/>
      <c r="H3266" s="512"/>
      <c r="I3266" s="503"/>
      <c r="J3266" s="503"/>
      <c r="K3266" s="497" t="str">
        <f ca="1">IFERROR(VLOOKUP(C3266,' Disaggregation - Section E '!A$618:N1390,3,0),"")</f>
        <v/>
      </c>
      <c r="L3266" s="497"/>
      <c r="M3266" s="497"/>
      <c r="N3266" s="503"/>
      <c r="O3266" s="503"/>
      <c r="P3266" s="503"/>
    </row>
    <row r="3267" spans="1:16" x14ac:dyDescent="0.35">
      <c r="A3267" s="497" t="b">
        <v>0</v>
      </c>
      <c r="B3267" s="497"/>
      <c r="C3267" s="497" t="s">
        <v>6093</v>
      </c>
      <c r="D3267" s="512">
        <v>39</v>
      </c>
      <c r="E3267" s="500"/>
      <c r="F3267" s="503"/>
      <c r="G3267" s="502"/>
      <c r="H3267" s="512"/>
      <c r="I3267" s="503"/>
      <c r="J3267" s="503"/>
      <c r="K3267" s="497" t="str">
        <f ca="1">IFERROR(VLOOKUP(C3267,' Disaggregation - Section E '!A$618:N1391,3,0),"")</f>
        <v/>
      </c>
      <c r="L3267" s="497"/>
      <c r="M3267" s="497"/>
      <c r="N3267" s="503"/>
      <c r="O3267" s="503"/>
      <c r="P3267" s="503"/>
    </row>
    <row r="3268" spans="1:16" x14ac:dyDescent="0.35">
      <c r="A3268" s="497" t="b">
        <v>0</v>
      </c>
      <c r="B3268" s="497"/>
      <c r="C3268" s="497" t="s">
        <v>6095</v>
      </c>
      <c r="D3268" s="512">
        <v>39</v>
      </c>
      <c r="E3268" s="500"/>
      <c r="F3268" s="503"/>
      <c r="G3268" s="502"/>
      <c r="H3268" s="512"/>
      <c r="I3268" s="503"/>
      <c r="J3268" s="503"/>
      <c r="K3268" s="497" t="str">
        <f ca="1">IFERROR(VLOOKUP(C3268,' Disaggregation - Section E '!A$618:N1392,3,0),"")</f>
        <v/>
      </c>
      <c r="L3268" s="497"/>
      <c r="M3268" s="497"/>
      <c r="N3268" s="503"/>
      <c r="O3268" s="503"/>
      <c r="P3268" s="503"/>
    </row>
    <row r="3269" spans="1:16" x14ac:dyDescent="0.35">
      <c r="A3269" s="497" t="b">
        <v>0</v>
      </c>
      <c r="B3269" s="497"/>
      <c r="C3269" s="497" t="s">
        <v>6097</v>
      </c>
      <c r="D3269" s="512">
        <v>39</v>
      </c>
      <c r="E3269" s="500"/>
      <c r="F3269" s="503"/>
      <c r="G3269" s="502"/>
      <c r="H3269" s="512"/>
      <c r="I3269" s="503"/>
      <c r="J3269" s="503"/>
      <c r="K3269" s="497" t="str">
        <f ca="1">IFERROR(VLOOKUP(C3269,' Disaggregation - Section E '!A$618:N1393,3,0),"")</f>
        <v/>
      </c>
      <c r="L3269" s="497"/>
      <c r="M3269" s="497"/>
      <c r="N3269" s="503"/>
      <c r="O3269" s="503"/>
      <c r="P3269" s="503"/>
    </row>
    <row r="3270" spans="1:16" x14ac:dyDescent="0.35">
      <c r="A3270" s="497" t="b">
        <v>0</v>
      </c>
      <c r="B3270" s="497"/>
      <c r="C3270" s="497" t="s">
        <v>6099</v>
      </c>
      <c r="D3270" s="512">
        <v>39</v>
      </c>
      <c r="E3270" s="500"/>
      <c r="F3270" s="503"/>
      <c r="G3270" s="502"/>
      <c r="H3270" s="512"/>
      <c r="I3270" s="503"/>
      <c r="J3270" s="503"/>
      <c r="K3270" s="497" t="str">
        <f ca="1">IFERROR(VLOOKUP(C3270,' Disaggregation - Section E '!A$618:N1394,3,0),"")</f>
        <v/>
      </c>
      <c r="L3270" s="497"/>
      <c r="M3270" s="497"/>
      <c r="N3270" s="503"/>
      <c r="O3270" s="503"/>
      <c r="P3270" s="503"/>
    </row>
    <row r="3271" spans="1:16" x14ac:dyDescent="0.35">
      <c r="A3271" s="497" t="b">
        <v>0</v>
      </c>
      <c r="B3271" s="497"/>
      <c r="C3271" s="497" t="s">
        <v>6101</v>
      </c>
      <c r="D3271" s="512">
        <v>39</v>
      </c>
      <c r="E3271" s="500"/>
      <c r="F3271" s="503"/>
      <c r="G3271" s="502"/>
      <c r="H3271" s="512"/>
      <c r="I3271" s="503"/>
      <c r="J3271" s="503"/>
      <c r="K3271" s="497" t="str">
        <f ca="1">IFERROR(VLOOKUP(C3271,' Disaggregation - Section E '!A$618:N1395,3,0),"")</f>
        <v/>
      </c>
      <c r="L3271" s="497"/>
      <c r="M3271" s="497"/>
      <c r="N3271" s="503"/>
      <c r="O3271" s="503"/>
      <c r="P3271" s="503"/>
    </row>
    <row r="3272" spans="1:16" x14ac:dyDescent="0.35">
      <c r="A3272" s="497" t="b">
        <v>0</v>
      </c>
      <c r="B3272" s="497"/>
      <c r="C3272" s="497" t="s">
        <v>6103</v>
      </c>
      <c r="D3272" s="512">
        <v>39</v>
      </c>
      <c r="E3272" s="500"/>
      <c r="F3272" s="503"/>
      <c r="G3272" s="502"/>
      <c r="H3272" s="512"/>
      <c r="I3272" s="503"/>
      <c r="J3272" s="503"/>
      <c r="K3272" s="497" t="str">
        <f ca="1">IFERROR(VLOOKUP(C3272,' Disaggregation - Section E '!A$618:N1396,3,0),"")</f>
        <v/>
      </c>
      <c r="L3272" s="497"/>
      <c r="M3272" s="497"/>
      <c r="N3272" s="503"/>
      <c r="O3272" s="503"/>
      <c r="P3272" s="503"/>
    </row>
    <row r="3273" spans="1:16" x14ac:dyDescent="0.35">
      <c r="A3273" s="497" t="b">
        <v>0</v>
      </c>
      <c r="B3273" s="497"/>
      <c r="C3273" s="497" t="s">
        <v>6105</v>
      </c>
      <c r="D3273" s="512">
        <v>39</v>
      </c>
      <c r="E3273" s="500"/>
      <c r="F3273" s="503"/>
      <c r="G3273" s="502"/>
      <c r="H3273" s="512"/>
      <c r="I3273" s="503"/>
      <c r="J3273" s="503"/>
      <c r="K3273" s="497" t="str">
        <f ca="1">IFERROR(VLOOKUP(C3273,' Disaggregation - Section E '!A$618:N1397,3,0),"")</f>
        <v/>
      </c>
      <c r="L3273" s="497"/>
      <c r="M3273" s="497"/>
      <c r="N3273" s="503"/>
      <c r="O3273" s="503"/>
      <c r="P3273" s="503"/>
    </row>
    <row r="3274" spans="1:16" x14ac:dyDescent="0.35">
      <c r="A3274" s="497" t="b">
        <v>0</v>
      </c>
      <c r="B3274" s="497"/>
      <c r="C3274" s="497" t="s">
        <v>6107</v>
      </c>
      <c r="D3274" s="512">
        <v>39</v>
      </c>
      <c r="E3274" s="500"/>
      <c r="F3274" s="503"/>
      <c r="G3274" s="502"/>
      <c r="H3274" s="512"/>
      <c r="I3274" s="503"/>
      <c r="J3274" s="503"/>
      <c r="K3274" s="497" t="str">
        <f ca="1">IFERROR(VLOOKUP(C3274,' Disaggregation - Section E '!A$618:N1398,3,0),"")</f>
        <v/>
      </c>
      <c r="L3274" s="497"/>
      <c r="M3274" s="497"/>
      <c r="N3274" s="503"/>
      <c r="O3274" s="503"/>
      <c r="P3274" s="503"/>
    </row>
    <row r="3275" spans="1:16" x14ac:dyDescent="0.35">
      <c r="A3275" s="497" t="b">
        <v>0</v>
      </c>
      <c r="B3275" s="497"/>
      <c r="C3275" s="497" t="s">
        <v>6109</v>
      </c>
      <c r="D3275" s="512">
        <v>39</v>
      </c>
      <c r="E3275" s="500"/>
      <c r="F3275" s="503"/>
      <c r="G3275" s="502"/>
      <c r="H3275" s="512"/>
      <c r="I3275" s="503"/>
      <c r="J3275" s="503"/>
      <c r="K3275" s="497" t="str">
        <f ca="1">IFERROR(VLOOKUP(C3275,' Disaggregation - Section E '!A$618:N1399,3,0),"")</f>
        <v/>
      </c>
      <c r="L3275" s="497"/>
      <c r="M3275" s="497"/>
      <c r="N3275" s="503"/>
      <c r="O3275" s="503"/>
      <c r="P3275" s="503"/>
    </row>
    <row r="3276" spans="1:16" x14ac:dyDescent="0.35">
      <c r="A3276" s="497" t="b">
        <v>0</v>
      </c>
      <c r="B3276" s="497"/>
      <c r="C3276" s="497" t="s">
        <v>6111</v>
      </c>
      <c r="D3276" s="512">
        <v>39</v>
      </c>
      <c r="E3276" s="500"/>
      <c r="F3276" s="503"/>
      <c r="G3276" s="502"/>
      <c r="H3276" s="512"/>
      <c r="I3276" s="503"/>
      <c r="J3276" s="503"/>
      <c r="K3276" s="497" t="str">
        <f ca="1">IFERROR(VLOOKUP(C3276,' Disaggregation - Section E '!A$618:N1400,3,0),"")</f>
        <v/>
      </c>
      <c r="L3276" s="497"/>
      <c r="M3276" s="497"/>
      <c r="N3276" s="503"/>
      <c r="O3276" s="503"/>
      <c r="P3276" s="503"/>
    </row>
    <row r="3277" spans="1:16" x14ac:dyDescent="0.35">
      <c r="A3277" s="497" t="b">
        <v>0</v>
      </c>
      <c r="B3277" s="497"/>
      <c r="C3277" s="497" t="s">
        <v>6113</v>
      </c>
      <c r="D3277" s="512">
        <v>39</v>
      </c>
      <c r="E3277" s="500"/>
      <c r="F3277" s="503"/>
      <c r="G3277" s="502"/>
      <c r="H3277" s="512"/>
      <c r="I3277" s="503"/>
      <c r="J3277" s="503"/>
      <c r="K3277" s="497" t="str">
        <f ca="1">IFERROR(VLOOKUP(C3277,' Disaggregation - Section E '!A$618:N1401,3,0),"")</f>
        <v/>
      </c>
      <c r="L3277" s="497"/>
      <c r="M3277" s="497"/>
      <c r="N3277" s="503"/>
      <c r="O3277" s="503"/>
      <c r="P3277" s="503"/>
    </row>
    <row r="3278" spans="1:16" x14ac:dyDescent="0.35">
      <c r="A3278" s="497" t="b">
        <v>0</v>
      </c>
      <c r="B3278" s="497"/>
      <c r="C3278" s="497" t="s">
        <v>6115</v>
      </c>
      <c r="D3278" s="512">
        <v>39</v>
      </c>
      <c r="E3278" s="500"/>
      <c r="F3278" s="503"/>
      <c r="G3278" s="502"/>
      <c r="H3278" s="512"/>
      <c r="I3278" s="503"/>
      <c r="J3278" s="503"/>
      <c r="K3278" s="497" t="str">
        <f ca="1">IFERROR(VLOOKUP(C3278,' Disaggregation - Section E '!A$618:N1402,3,0),"")</f>
        <v/>
      </c>
      <c r="L3278" s="497"/>
      <c r="M3278" s="497"/>
      <c r="N3278" s="503"/>
      <c r="O3278" s="503"/>
      <c r="P3278" s="503"/>
    </row>
    <row r="3279" spans="1:16" x14ac:dyDescent="0.35">
      <c r="A3279" s="497" t="b">
        <v>0</v>
      </c>
      <c r="B3279" s="497"/>
      <c r="C3279" s="497" t="s">
        <v>6117</v>
      </c>
      <c r="D3279" s="512">
        <v>39</v>
      </c>
      <c r="E3279" s="500"/>
      <c r="F3279" s="503"/>
      <c r="G3279" s="502"/>
      <c r="H3279" s="512"/>
      <c r="I3279" s="503"/>
      <c r="J3279" s="503"/>
      <c r="K3279" s="497" t="str">
        <f ca="1">IFERROR(VLOOKUP(C3279,' Disaggregation - Section E '!A$618:N1403,3,0),"")</f>
        <v/>
      </c>
      <c r="L3279" s="497"/>
      <c r="M3279" s="497"/>
      <c r="N3279" s="503"/>
      <c r="O3279" s="503"/>
      <c r="P3279" s="503"/>
    </row>
    <row r="3280" spans="1:16" x14ac:dyDescent="0.35">
      <c r="A3280" s="497" t="b">
        <v>0</v>
      </c>
      <c r="B3280" s="497"/>
      <c r="C3280" s="497" t="s">
        <v>7310</v>
      </c>
      <c r="D3280" s="512">
        <v>40</v>
      </c>
      <c r="E3280" s="500"/>
      <c r="F3280" s="503"/>
      <c r="G3280" s="502"/>
      <c r="H3280" s="512"/>
      <c r="I3280" s="503"/>
      <c r="J3280" s="503"/>
      <c r="K3280" s="497" t="str">
        <f ca="1">IFERROR(VLOOKUP(C3280,' Disaggregation - Section E '!A$618:N1404,3,0),"")</f>
        <v/>
      </c>
      <c r="L3280" s="497"/>
      <c r="M3280" s="497"/>
      <c r="N3280" s="503"/>
      <c r="O3280" s="503"/>
      <c r="P3280" s="503"/>
    </row>
    <row r="3281" spans="1:16" x14ac:dyDescent="0.35">
      <c r="A3281" s="497" t="b">
        <v>0</v>
      </c>
      <c r="B3281" s="497"/>
      <c r="C3281" s="497" t="s">
        <v>7312</v>
      </c>
      <c r="D3281" s="512">
        <v>40</v>
      </c>
      <c r="E3281" s="500"/>
      <c r="F3281" s="503"/>
      <c r="G3281" s="502"/>
      <c r="H3281" s="512"/>
      <c r="I3281" s="503"/>
      <c r="J3281" s="503"/>
      <c r="K3281" s="497" t="str">
        <f ca="1">IFERROR(VLOOKUP(C3281,' Disaggregation - Section E '!A$618:N1405,3,0),"")</f>
        <v/>
      </c>
      <c r="L3281" s="497"/>
      <c r="M3281" s="497"/>
      <c r="N3281" s="503"/>
      <c r="O3281" s="503"/>
      <c r="P3281" s="503"/>
    </row>
    <row r="3282" spans="1:16" x14ac:dyDescent="0.35">
      <c r="A3282" s="497" t="b">
        <v>0</v>
      </c>
      <c r="B3282" s="497"/>
      <c r="C3282" s="497" t="s">
        <v>7314</v>
      </c>
      <c r="D3282" s="512">
        <v>40</v>
      </c>
      <c r="E3282" s="500"/>
      <c r="F3282" s="503"/>
      <c r="G3282" s="502"/>
      <c r="H3282" s="512"/>
      <c r="I3282" s="503"/>
      <c r="J3282" s="503"/>
      <c r="K3282" s="497" t="str">
        <f ca="1">IFERROR(VLOOKUP(C3282,' Disaggregation - Section E '!A$618:N1406,3,0),"")</f>
        <v/>
      </c>
      <c r="L3282" s="497"/>
      <c r="M3282" s="497"/>
      <c r="N3282" s="503"/>
      <c r="O3282" s="503"/>
      <c r="P3282" s="503"/>
    </row>
    <row r="3283" spans="1:16" x14ac:dyDescent="0.35">
      <c r="A3283" s="497" t="b">
        <v>0</v>
      </c>
      <c r="B3283" s="497"/>
      <c r="C3283" s="497" t="s">
        <v>7316</v>
      </c>
      <c r="D3283" s="512">
        <v>40</v>
      </c>
      <c r="E3283" s="500"/>
      <c r="F3283" s="503"/>
      <c r="G3283" s="502"/>
      <c r="H3283" s="512"/>
      <c r="I3283" s="503"/>
      <c r="J3283" s="503"/>
      <c r="K3283" s="497" t="str">
        <f ca="1">IFERROR(VLOOKUP(C3283,' Disaggregation - Section E '!A$618:N1407,3,0),"")</f>
        <v/>
      </c>
      <c r="L3283" s="497"/>
      <c r="M3283" s="497"/>
      <c r="N3283" s="503"/>
      <c r="O3283" s="503"/>
      <c r="P3283" s="503"/>
    </row>
    <row r="3284" spans="1:16" x14ac:dyDescent="0.35">
      <c r="A3284" s="497" t="b">
        <v>0</v>
      </c>
      <c r="B3284" s="497"/>
      <c r="C3284" s="497" t="s">
        <v>7318</v>
      </c>
      <c r="D3284" s="512">
        <v>40</v>
      </c>
      <c r="E3284" s="500"/>
      <c r="F3284" s="503"/>
      <c r="G3284" s="502"/>
      <c r="H3284" s="512"/>
      <c r="I3284" s="503"/>
      <c r="J3284" s="503"/>
      <c r="K3284" s="497" t="str">
        <f ca="1">IFERROR(VLOOKUP(C3284,' Disaggregation - Section E '!A$618:N1408,3,0),"")</f>
        <v/>
      </c>
      <c r="L3284" s="497"/>
      <c r="M3284" s="497"/>
      <c r="N3284" s="503"/>
      <c r="O3284" s="503"/>
      <c r="P3284" s="503"/>
    </row>
    <row r="3285" spans="1:16" x14ac:dyDescent="0.35">
      <c r="A3285" s="497" t="b">
        <v>0</v>
      </c>
      <c r="B3285" s="497"/>
      <c r="C3285" s="497" t="s">
        <v>7320</v>
      </c>
      <c r="D3285" s="512">
        <v>40</v>
      </c>
      <c r="E3285" s="500"/>
      <c r="F3285" s="503"/>
      <c r="G3285" s="502"/>
      <c r="H3285" s="512"/>
      <c r="I3285" s="503"/>
      <c r="J3285" s="503"/>
      <c r="K3285" s="497" t="str">
        <f ca="1">IFERROR(VLOOKUP(C3285,' Disaggregation - Section E '!A$618:N1409,3,0),"")</f>
        <v/>
      </c>
      <c r="L3285" s="497"/>
      <c r="M3285" s="497"/>
      <c r="N3285" s="503"/>
      <c r="O3285" s="503"/>
      <c r="P3285" s="503"/>
    </row>
    <row r="3286" spans="1:16" x14ac:dyDescent="0.35">
      <c r="A3286" s="497" t="b">
        <v>0</v>
      </c>
      <c r="B3286" s="497"/>
      <c r="C3286" s="497" t="s">
        <v>7322</v>
      </c>
      <c r="D3286" s="512">
        <v>40</v>
      </c>
      <c r="E3286" s="500"/>
      <c r="F3286" s="503"/>
      <c r="G3286" s="502"/>
      <c r="H3286" s="512"/>
      <c r="I3286" s="503"/>
      <c r="J3286" s="503"/>
      <c r="K3286" s="497" t="str">
        <f ca="1">IFERROR(VLOOKUP(C3286,' Disaggregation - Section E '!A$618:N1410,3,0),"")</f>
        <v/>
      </c>
      <c r="L3286" s="497"/>
      <c r="M3286" s="497"/>
      <c r="N3286" s="503"/>
      <c r="O3286" s="503"/>
      <c r="P3286" s="503"/>
    </row>
    <row r="3287" spans="1:16" x14ac:dyDescent="0.35">
      <c r="A3287" s="497" t="b">
        <v>0</v>
      </c>
      <c r="B3287" s="497"/>
      <c r="C3287" s="497" t="s">
        <v>7324</v>
      </c>
      <c r="D3287" s="512">
        <v>40</v>
      </c>
      <c r="E3287" s="500"/>
      <c r="F3287" s="503"/>
      <c r="G3287" s="502"/>
      <c r="H3287" s="512"/>
      <c r="I3287" s="503"/>
      <c r="J3287" s="503"/>
      <c r="K3287" s="497" t="str">
        <f ca="1">IFERROR(VLOOKUP(C3287,' Disaggregation - Section E '!A$618:N1411,3,0),"")</f>
        <v/>
      </c>
      <c r="L3287" s="497"/>
      <c r="M3287" s="497"/>
      <c r="N3287" s="503"/>
      <c r="O3287" s="503"/>
      <c r="P3287" s="503"/>
    </row>
    <row r="3288" spans="1:16" x14ac:dyDescent="0.35">
      <c r="A3288" s="497" t="b">
        <v>0</v>
      </c>
      <c r="B3288" s="497"/>
      <c r="C3288" s="497" t="s">
        <v>7326</v>
      </c>
      <c r="D3288" s="512">
        <v>40</v>
      </c>
      <c r="E3288" s="500"/>
      <c r="F3288" s="503"/>
      <c r="G3288" s="502"/>
      <c r="H3288" s="512"/>
      <c r="I3288" s="503"/>
      <c r="J3288" s="503"/>
      <c r="K3288" s="497" t="str">
        <f ca="1">IFERROR(VLOOKUP(C3288,' Disaggregation - Section E '!A$618:N1412,3,0),"")</f>
        <v/>
      </c>
      <c r="L3288" s="497"/>
      <c r="M3288" s="497"/>
      <c r="N3288" s="503"/>
      <c r="O3288" s="503"/>
      <c r="P3288" s="503"/>
    </row>
    <row r="3289" spans="1:16" x14ac:dyDescent="0.35">
      <c r="A3289" s="497" t="b">
        <v>0</v>
      </c>
      <c r="B3289" s="497"/>
      <c r="C3289" s="497" t="s">
        <v>7328</v>
      </c>
      <c r="D3289" s="512">
        <v>40</v>
      </c>
      <c r="E3289" s="500"/>
      <c r="F3289" s="503"/>
      <c r="G3289" s="502"/>
      <c r="H3289" s="512"/>
      <c r="I3289" s="503"/>
      <c r="J3289" s="503"/>
      <c r="K3289" s="497" t="str">
        <f ca="1">IFERROR(VLOOKUP(C3289,' Disaggregation - Section E '!A$618:N1413,3,0),"")</f>
        <v/>
      </c>
      <c r="L3289" s="497"/>
      <c r="M3289" s="497"/>
      <c r="N3289" s="503"/>
      <c r="O3289" s="503"/>
      <c r="P3289" s="503"/>
    </row>
    <row r="3290" spans="1:16" x14ac:dyDescent="0.35">
      <c r="A3290" s="497" t="b">
        <v>0</v>
      </c>
      <c r="B3290" s="497"/>
      <c r="C3290" s="497" t="s">
        <v>7330</v>
      </c>
      <c r="D3290" s="512">
        <v>40</v>
      </c>
      <c r="E3290" s="500"/>
      <c r="F3290" s="503"/>
      <c r="G3290" s="502"/>
      <c r="H3290" s="512"/>
      <c r="I3290" s="503"/>
      <c r="J3290" s="503"/>
      <c r="K3290" s="497" t="str">
        <f ca="1">IFERROR(VLOOKUP(C3290,' Disaggregation - Section E '!A$618:N1414,3,0),"")</f>
        <v/>
      </c>
      <c r="L3290" s="497"/>
      <c r="M3290" s="497"/>
      <c r="N3290" s="503"/>
      <c r="O3290" s="503"/>
      <c r="P3290" s="503"/>
    </row>
    <row r="3291" spans="1:16" x14ac:dyDescent="0.35">
      <c r="A3291" s="497" t="b">
        <v>0</v>
      </c>
      <c r="B3291" s="497"/>
      <c r="C3291" s="497" t="s">
        <v>7332</v>
      </c>
      <c r="D3291" s="512">
        <v>40</v>
      </c>
      <c r="E3291" s="500"/>
      <c r="F3291" s="503"/>
      <c r="G3291" s="502"/>
      <c r="H3291" s="512"/>
      <c r="I3291" s="503"/>
      <c r="J3291" s="503"/>
      <c r="K3291" s="497" t="str">
        <f ca="1">IFERROR(VLOOKUP(C3291,' Disaggregation - Section E '!A$618:N1415,3,0),"")</f>
        <v/>
      </c>
      <c r="L3291" s="497"/>
      <c r="M3291" s="497"/>
      <c r="N3291" s="503"/>
      <c r="O3291" s="503"/>
      <c r="P3291" s="503"/>
    </row>
    <row r="3292" spans="1:16" x14ac:dyDescent="0.35">
      <c r="A3292" s="497" t="b">
        <v>0</v>
      </c>
      <c r="B3292" s="497"/>
      <c r="C3292" s="497" t="s">
        <v>7334</v>
      </c>
      <c r="D3292" s="512">
        <v>40</v>
      </c>
      <c r="E3292" s="500"/>
      <c r="F3292" s="503"/>
      <c r="G3292" s="502"/>
      <c r="H3292" s="512"/>
      <c r="I3292" s="503"/>
      <c r="J3292" s="503"/>
      <c r="K3292" s="497" t="str">
        <f ca="1">IFERROR(VLOOKUP(C3292,' Disaggregation - Section E '!A$618:N1416,3,0),"")</f>
        <v/>
      </c>
      <c r="L3292" s="497"/>
      <c r="M3292" s="497"/>
      <c r="N3292" s="503"/>
      <c r="O3292" s="503"/>
      <c r="P3292" s="503"/>
    </row>
    <row r="3293" spans="1:16" x14ac:dyDescent="0.35">
      <c r="A3293" s="497" t="b">
        <v>0</v>
      </c>
      <c r="B3293" s="497"/>
      <c r="C3293" s="497" t="s">
        <v>7336</v>
      </c>
      <c r="D3293" s="512">
        <v>40</v>
      </c>
      <c r="E3293" s="500"/>
      <c r="F3293" s="503"/>
      <c r="G3293" s="502"/>
      <c r="H3293" s="512"/>
      <c r="I3293" s="503"/>
      <c r="J3293" s="503"/>
      <c r="K3293" s="497" t="str">
        <f ca="1">IFERROR(VLOOKUP(C3293,' Disaggregation - Section E '!A$618:N1417,3,0),"")</f>
        <v/>
      </c>
      <c r="L3293" s="497"/>
      <c r="M3293" s="497"/>
      <c r="N3293" s="503"/>
      <c r="O3293" s="503"/>
      <c r="P3293" s="503"/>
    </row>
    <row r="3294" spans="1:16" x14ac:dyDescent="0.35">
      <c r="A3294" s="497" t="b">
        <v>0</v>
      </c>
      <c r="B3294" s="497"/>
      <c r="C3294" s="497" t="s">
        <v>7338</v>
      </c>
      <c r="D3294" s="512">
        <v>40</v>
      </c>
      <c r="E3294" s="500"/>
      <c r="F3294" s="503"/>
      <c r="G3294" s="502"/>
      <c r="H3294" s="512"/>
      <c r="I3294" s="503"/>
      <c r="J3294" s="503"/>
      <c r="K3294" s="497" t="str">
        <f ca="1">IFERROR(VLOOKUP(C3294,' Disaggregation - Section E '!A$618:N1418,3,0),"")</f>
        <v/>
      </c>
      <c r="L3294" s="497"/>
      <c r="M3294" s="497"/>
      <c r="N3294" s="503"/>
      <c r="O3294" s="503"/>
      <c r="P3294" s="503"/>
    </row>
    <row r="3295" spans="1:16" x14ac:dyDescent="0.35">
      <c r="A3295" s="497" t="b">
        <v>0</v>
      </c>
      <c r="B3295" s="497"/>
      <c r="C3295" s="497" t="s">
        <v>7340</v>
      </c>
      <c r="D3295" s="512">
        <v>40</v>
      </c>
      <c r="E3295" s="500"/>
      <c r="F3295" s="503"/>
      <c r="G3295" s="502"/>
      <c r="H3295" s="512"/>
      <c r="I3295" s="503"/>
      <c r="J3295" s="503"/>
      <c r="K3295" s="497" t="str">
        <f ca="1">IFERROR(VLOOKUP(C3295,' Disaggregation - Section E '!A$618:N1419,3,0),"")</f>
        <v/>
      </c>
      <c r="L3295" s="497"/>
      <c r="M3295" s="497"/>
      <c r="N3295" s="503"/>
      <c r="O3295" s="503"/>
      <c r="P3295" s="503"/>
    </row>
    <row r="3296" spans="1:16" x14ac:dyDescent="0.35">
      <c r="A3296" s="497" t="b">
        <v>0</v>
      </c>
      <c r="B3296" s="497"/>
      <c r="C3296" s="497" t="s">
        <v>7342</v>
      </c>
      <c r="D3296" s="512">
        <v>40</v>
      </c>
      <c r="E3296" s="500"/>
      <c r="F3296" s="503"/>
      <c r="G3296" s="502"/>
      <c r="H3296" s="512"/>
      <c r="I3296" s="503"/>
      <c r="J3296" s="503"/>
      <c r="K3296" s="497" t="str">
        <f ca="1">IFERROR(VLOOKUP(C3296,' Disaggregation - Section E '!A$618:N1420,3,0),"")</f>
        <v/>
      </c>
      <c r="L3296" s="497"/>
      <c r="M3296" s="497"/>
      <c r="N3296" s="503"/>
      <c r="O3296" s="503"/>
      <c r="P3296" s="503"/>
    </row>
    <row r="3297" spans="1:16" x14ac:dyDescent="0.35">
      <c r="A3297" s="497" t="b">
        <v>0</v>
      </c>
      <c r="B3297" s="497"/>
      <c r="C3297" s="497" t="s">
        <v>7344</v>
      </c>
      <c r="D3297" s="512">
        <v>40</v>
      </c>
      <c r="E3297" s="500"/>
      <c r="F3297" s="503"/>
      <c r="G3297" s="502"/>
      <c r="H3297" s="512"/>
      <c r="I3297" s="503"/>
      <c r="J3297" s="503"/>
      <c r="K3297" s="497" t="str">
        <f ca="1">IFERROR(VLOOKUP(C3297,' Disaggregation - Section E '!A$618:N1421,3,0),"")</f>
        <v/>
      </c>
      <c r="L3297" s="497"/>
      <c r="M3297" s="497"/>
      <c r="N3297" s="503"/>
      <c r="O3297" s="503"/>
      <c r="P3297" s="503"/>
    </row>
    <row r="3298" spans="1:16" x14ac:dyDescent="0.35">
      <c r="A3298" s="497" t="b">
        <v>0</v>
      </c>
      <c r="B3298" s="497"/>
      <c r="C3298" s="497" t="s">
        <v>7346</v>
      </c>
      <c r="D3298" s="512">
        <v>40</v>
      </c>
      <c r="E3298" s="500"/>
      <c r="F3298" s="503"/>
      <c r="G3298" s="502"/>
      <c r="H3298" s="512"/>
      <c r="I3298" s="503"/>
      <c r="J3298" s="503"/>
      <c r="K3298" s="497" t="str">
        <f ca="1">IFERROR(VLOOKUP(C3298,' Disaggregation - Section E '!A$618:N1422,3,0),"")</f>
        <v/>
      </c>
      <c r="L3298" s="497"/>
      <c r="M3298" s="497"/>
      <c r="N3298" s="503"/>
      <c r="O3298" s="503"/>
      <c r="P3298" s="503"/>
    </row>
    <row r="3299" spans="1:16" x14ac:dyDescent="0.35">
      <c r="A3299" s="497" t="b">
        <v>0</v>
      </c>
      <c r="B3299" s="497"/>
      <c r="C3299" s="497" t="s">
        <v>7348</v>
      </c>
      <c r="D3299" s="512">
        <v>40</v>
      </c>
      <c r="E3299" s="500"/>
      <c r="F3299" s="503"/>
      <c r="G3299" s="502"/>
      <c r="H3299" s="512"/>
      <c r="I3299" s="503"/>
      <c r="J3299" s="503"/>
      <c r="K3299" s="497" t="str">
        <f ca="1">IFERROR(VLOOKUP(C3299,' Disaggregation - Section E '!A$618:N1423,3,0),"")</f>
        <v/>
      </c>
      <c r="L3299" s="497"/>
      <c r="M3299" s="497"/>
      <c r="N3299" s="503"/>
      <c r="O3299" s="503"/>
      <c r="P3299" s="503"/>
    </row>
    <row r="3300" spans="1:16" x14ac:dyDescent="0.35">
      <c r="A3300" s="497" t="b">
        <v>0</v>
      </c>
      <c r="B3300" s="497"/>
      <c r="C3300" s="497" t="s">
        <v>6120</v>
      </c>
      <c r="D3300" s="512">
        <v>41</v>
      </c>
      <c r="E3300" s="500"/>
      <c r="F3300" s="503"/>
      <c r="G3300" s="502"/>
      <c r="H3300" s="512"/>
      <c r="I3300" s="503"/>
      <c r="J3300" s="503"/>
      <c r="K3300" s="497" t="str">
        <f ca="1">IFERROR(VLOOKUP(C3300,' Disaggregation - Section E '!A$618:N1424,3,0),"")</f>
        <v/>
      </c>
      <c r="L3300" s="497"/>
      <c r="M3300" s="497"/>
      <c r="N3300" s="503"/>
      <c r="O3300" s="503"/>
      <c r="P3300" s="503"/>
    </row>
    <row r="3301" spans="1:16" x14ac:dyDescent="0.35">
      <c r="A3301" s="497" t="b">
        <v>0</v>
      </c>
      <c r="B3301" s="497"/>
      <c r="C3301" s="497" t="s">
        <v>6122</v>
      </c>
      <c r="D3301" s="512">
        <v>41</v>
      </c>
      <c r="E3301" s="500"/>
      <c r="F3301" s="503"/>
      <c r="G3301" s="502"/>
      <c r="H3301" s="512"/>
      <c r="I3301" s="503"/>
      <c r="J3301" s="503"/>
      <c r="K3301" s="497" t="str">
        <f ca="1">IFERROR(VLOOKUP(C3301,' Disaggregation - Section E '!A$618:N1425,3,0),"")</f>
        <v/>
      </c>
      <c r="L3301" s="497"/>
      <c r="M3301" s="497"/>
      <c r="N3301" s="503"/>
      <c r="O3301" s="503"/>
      <c r="P3301" s="503"/>
    </row>
    <row r="3302" spans="1:16" x14ac:dyDescent="0.35">
      <c r="A3302" s="497" t="b">
        <v>0</v>
      </c>
      <c r="B3302" s="497"/>
      <c r="C3302" s="497" t="s">
        <v>6124</v>
      </c>
      <c r="D3302" s="512">
        <v>41</v>
      </c>
      <c r="E3302" s="500"/>
      <c r="F3302" s="503"/>
      <c r="G3302" s="502"/>
      <c r="H3302" s="512"/>
      <c r="I3302" s="503"/>
      <c r="J3302" s="503"/>
      <c r="K3302" s="497" t="str">
        <f ca="1">IFERROR(VLOOKUP(C3302,' Disaggregation - Section E '!A$618:N1426,3,0),"")</f>
        <v/>
      </c>
      <c r="L3302" s="497"/>
      <c r="M3302" s="497"/>
      <c r="N3302" s="503"/>
      <c r="O3302" s="503"/>
      <c r="P3302" s="503"/>
    </row>
    <row r="3303" spans="1:16" x14ac:dyDescent="0.35">
      <c r="A3303" s="497" t="b">
        <v>0</v>
      </c>
      <c r="B3303" s="497"/>
      <c r="C3303" s="497" t="s">
        <v>6126</v>
      </c>
      <c r="D3303" s="512">
        <v>41</v>
      </c>
      <c r="E3303" s="500"/>
      <c r="F3303" s="503"/>
      <c r="G3303" s="502"/>
      <c r="H3303" s="512"/>
      <c r="I3303" s="503"/>
      <c r="J3303" s="503"/>
      <c r="K3303" s="497" t="str">
        <f ca="1">IFERROR(VLOOKUP(C3303,' Disaggregation - Section E '!A$618:N1427,3,0),"")</f>
        <v/>
      </c>
      <c r="L3303" s="497"/>
      <c r="M3303" s="497"/>
      <c r="N3303" s="503"/>
      <c r="O3303" s="503"/>
      <c r="P3303" s="503"/>
    </row>
    <row r="3304" spans="1:16" x14ac:dyDescent="0.35">
      <c r="A3304" s="497" t="b">
        <v>0</v>
      </c>
      <c r="B3304" s="497"/>
      <c r="C3304" s="497" t="s">
        <v>6128</v>
      </c>
      <c r="D3304" s="512">
        <v>41</v>
      </c>
      <c r="E3304" s="500"/>
      <c r="F3304" s="503"/>
      <c r="G3304" s="502"/>
      <c r="H3304" s="512"/>
      <c r="I3304" s="503"/>
      <c r="J3304" s="503"/>
      <c r="K3304" s="497" t="str">
        <f ca="1">IFERROR(VLOOKUP(C3304,' Disaggregation - Section E '!A$618:N1428,3,0),"")</f>
        <v/>
      </c>
      <c r="L3304" s="497"/>
      <c r="M3304" s="497"/>
      <c r="N3304" s="503"/>
      <c r="O3304" s="503"/>
      <c r="P3304" s="503"/>
    </row>
    <row r="3305" spans="1:16" x14ac:dyDescent="0.35">
      <c r="A3305" s="497" t="b">
        <v>0</v>
      </c>
      <c r="B3305" s="497"/>
      <c r="C3305" s="497" t="s">
        <v>6130</v>
      </c>
      <c r="D3305" s="512">
        <v>41</v>
      </c>
      <c r="E3305" s="500"/>
      <c r="F3305" s="503"/>
      <c r="G3305" s="502"/>
      <c r="H3305" s="512"/>
      <c r="I3305" s="503"/>
      <c r="J3305" s="503"/>
      <c r="K3305" s="497" t="str">
        <f ca="1">IFERROR(VLOOKUP(C3305,' Disaggregation - Section E '!A$618:N1429,3,0),"")</f>
        <v/>
      </c>
      <c r="L3305" s="497"/>
      <c r="M3305" s="497"/>
      <c r="N3305" s="503"/>
      <c r="O3305" s="503"/>
      <c r="P3305" s="503"/>
    </row>
    <row r="3306" spans="1:16" x14ac:dyDescent="0.35">
      <c r="A3306" s="497" t="b">
        <v>0</v>
      </c>
      <c r="B3306" s="497"/>
      <c r="C3306" s="497" t="s">
        <v>6132</v>
      </c>
      <c r="D3306" s="512">
        <v>41</v>
      </c>
      <c r="E3306" s="500"/>
      <c r="F3306" s="503"/>
      <c r="G3306" s="502"/>
      <c r="H3306" s="512"/>
      <c r="I3306" s="503"/>
      <c r="J3306" s="503"/>
      <c r="K3306" s="497" t="str">
        <f ca="1">IFERROR(VLOOKUP(C3306,' Disaggregation - Section E '!A$618:N1430,3,0),"")</f>
        <v/>
      </c>
      <c r="L3306" s="497"/>
      <c r="M3306" s="497"/>
      <c r="N3306" s="503"/>
      <c r="O3306" s="503"/>
      <c r="P3306" s="503"/>
    </row>
    <row r="3307" spans="1:16" x14ac:dyDescent="0.35">
      <c r="A3307" s="497" t="b">
        <v>0</v>
      </c>
      <c r="B3307" s="497"/>
      <c r="C3307" s="497" t="s">
        <v>6134</v>
      </c>
      <c r="D3307" s="512">
        <v>41</v>
      </c>
      <c r="E3307" s="500"/>
      <c r="F3307" s="503"/>
      <c r="G3307" s="502"/>
      <c r="H3307" s="512"/>
      <c r="I3307" s="503"/>
      <c r="J3307" s="503"/>
      <c r="K3307" s="497" t="str">
        <f ca="1">IFERROR(VLOOKUP(C3307,' Disaggregation - Section E '!A$618:N1431,3,0),"")</f>
        <v/>
      </c>
      <c r="L3307" s="497"/>
      <c r="M3307" s="497"/>
      <c r="N3307" s="503"/>
      <c r="O3307" s="503"/>
      <c r="P3307" s="503"/>
    </row>
    <row r="3308" spans="1:16" x14ac:dyDescent="0.35">
      <c r="A3308" s="497" t="b">
        <v>0</v>
      </c>
      <c r="B3308" s="497"/>
      <c r="C3308" s="497" t="s">
        <v>6136</v>
      </c>
      <c r="D3308" s="512">
        <v>41</v>
      </c>
      <c r="E3308" s="500"/>
      <c r="F3308" s="503"/>
      <c r="G3308" s="502"/>
      <c r="H3308" s="512"/>
      <c r="I3308" s="503"/>
      <c r="J3308" s="503"/>
      <c r="K3308" s="497" t="str">
        <f ca="1">IFERROR(VLOOKUP(C3308,' Disaggregation - Section E '!A$618:N1432,3,0),"")</f>
        <v/>
      </c>
      <c r="L3308" s="497"/>
      <c r="M3308" s="497"/>
      <c r="N3308" s="503"/>
      <c r="O3308" s="503"/>
      <c r="P3308" s="503"/>
    </row>
    <row r="3309" spans="1:16" x14ac:dyDescent="0.35">
      <c r="A3309" s="497" t="b">
        <v>0</v>
      </c>
      <c r="B3309" s="497"/>
      <c r="C3309" s="497" t="s">
        <v>6138</v>
      </c>
      <c r="D3309" s="512">
        <v>41</v>
      </c>
      <c r="E3309" s="500"/>
      <c r="F3309" s="503"/>
      <c r="G3309" s="502"/>
      <c r="H3309" s="512"/>
      <c r="I3309" s="503"/>
      <c r="J3309" s="503"/>
      <c r="K3309" s="497" t="str">
        <f ca="1">IFERROR(VLOOKUP(C3309,' Disaggregation - Section E '!A$618:N1433,3,0),"")</f>
        <v/>
      </c>
      <c r="L3309" s="497"/>
      <c r="M3309" s="497"/>
      <c r="N3309" s="503"/>
      <c r="O3309" s="503"/>
      <c r="P3309" s="503"/>
    </row>
    <row r="3310" spans="1:16" x14ac:dyDescent="0.35">
      <c r="A3310" s="497" t="b">
        <v>0</v>
      </c>
      <c r="B3310" s="497"/>
      <c r="C3310" s="497" t="s">
        <v>6140</v>
      </c>
      <c r="D3310" s="512">
        <v>41</v>
      </c>
      <c r="E3310" s="500"/>
      <c r="F3310" s="503"/>
      <c r="G3310" s="502"/>
      <c r="H3310" s="512"/>
      <c r="I3310" s="503"/>
      <c r="J3310" s="503"/>
      <c r="K3310" s="497" t="str">
        <f ca="1">IFERROR(VLOOKUP(C3310,' Disaggregation - Section E '!A$618:N1434,3,0),"")</f>
        <v/>
      </c>
      <c r="L3310" s="497"/>
      <c r="M3310" s="497"/>
      <c r="N3310" s="503"/>
      <c r="O3310" s="503"/>
      <c r="P3310" s="503"/>
    </row>
    <row r="3311" spans="1:16" x14ac:dyDescent="0.35">
      <c r="A3311" s="497" t="b">
        <v>0</v>
      </c>
      <c r="B3311" s="497"/>
      <c r="C3311" s="497" t="s">
        <v>6142</v>
      </c>
      <c r="D3311" s="512">
        <v>41</v>
      </c>
      <c r="E3311" s="500"/>
      <c r="F3311" s="503"/>
      <c r="G3311" s="502"/>
      <c r="H3311" s="512"/>
      <c r="I3311" s="503"/>
      <c r="J3311" s="503"/>
      <c r="K3311" s="497" t="str">
        <f ca="1">IFERROR(VLOOKUP(C3311,' Disaggregation - Section E '!A$618:N1435,3,0),"")</f>
        <v/>
      </c>
      <c r="L3311" s="497"/>
      <c r="M3311" s="497"/>
      <c r="N3311" s="503"/>
      <c r="O3311" s="503"/>
      <c r="P3311" s="503"/>
    </row>
    <row r="3312" spans="1:16" x14ac:dyDescent="0.35">
      <c r="A3312" s="497" t="b">
        <v>0</v>
      </c>
      <c r="B3312" s="497"/>
      <c r="C3312" s="497" t="s">
        <v>6144</v>
      </c>
      <c r="D3312" s="512">
        <v>41</v>
      </c>
      <c r="E3312" s="500"/>
      <c r="F3312" s="503"/>
      <c r="G3312" s="502"/>
      <c r="H3312" s="512"/>
      <c r="I3312" s="503"/>
      <c r="J3312" s="503"/>
      <c r="K3312" s="497" t="str">
        <f ca="1">IFERROR(VLOOKUP(C3312,' Disaggregation - Section E '!A$618:N1436,3,0),"")</f>
        <v/>
      </c>
      <c r="L3312" s="497"/>
      <c r="M3312" s="497"/>
      <c r="N3312" s="503"/>
      <c r="O3312" s="503"/>
      <c r="P3312" s="503"/>
    </row>
    <row r="3313" spans="1:16" x14ac:dyDescent="0.35">
      <c r="A3313" s="497" t="b">
        <v>0</v>
      </c>
      <c r="B3313" s="497"/>
      <c r="C3313" s="497" t="s">
        <v>6146</v>
      </c>
      <c r="D3313" s="512">
        <v>41</v>
      </c>
      <c r="E3313" s="500"/>
      <c r="F3313" s="503"/>
      <c r="G3313" s="502"/>
      <c r="H3313" s="512"/>
      <c r="I3313" s="503"/>
      <c r="J3313" s="503"/>
      <c r="K3313" s="497" t="str">
        <f ca="1">IFERROR(VLOOKUP(C3313,' Disaggregation - Section E '!A$618:N1437,3,0),"")</f>
        <v/>
      </c>
      <c r="L3313" s="497"/>
      <c r="M3313" s="497"/>
      <c r="N3313" s="503"/>
      <c r="O3313" s="503"/>
      <c r="P3313" s="503"/>
    </row>
    <row r="3314" spans="1:16" x14ac:dyDescent="0.35">
      <c r="A3314" s="497" t="b">
        <v>0</v>
      </c>
      <c r="B3314" s="497"/>
      <c r="C3314" s="497" t="s">
        <v>6148</v>
      </c>
      <c r="D3314" s="512">
        <v>41</v>
      </c>
      <c r="E3314" s="500"/>
      <c r="F3314" s="503"/>
      <c r="G3314" s="502"/>
      <c r="H3314" s="512"/>
      <c r="I3314" s="503"/>
      <c r="J3314" s="503"/>
      <c r="K3314" s="497" t="str">
        <f ca="1">IFERROR(VLOOKUP(C3314,' Disaggregation - Section E '!A$618:N1438,3,0),"")</f>
        <v/>
      </c>
      <c r="L3314" s="497"/>
      <c r="M3314" s="497"/>
      <c r="N3314" s="503"/>
      <c r="O3314" s="503"/>
      <c r="P3314" s="503"/>
    </row>
    <row r="3315" spans="1:16" x14ac:dyDescent="0.35">
      <c r="A3315" s="497" t="b">
        <v>0</v>
      </c>
      <c r="B3315" s="497"/>
      <c r="C3315" s="497" t="s">
        <v>6150</v>
      </c>
      <c r="D3315" s="512">
        <v>41</v>
      </c>
      <c r="E3315" s="500"/>
      <c r="F3315" s="503"/>
      <c r="G3315" s="502"/>
      <c r="H3315" s="512"/>
      <c r="I3315" s="503"/>
      <c r="J3315" s="503"/>
      <c r="K3315" s="497" t="str">
        <f ca="1">IFERROR(VLOOKUP(C3315,' Disaggregation - Section E '!A$618:N1439,3,0),"")</f>
        <v/>
      </c>
      <c r="L3315" s="497"/>
      <c r="M3315" s="497"/>
      <c r="N3315" s="503"/>
      <c r="O3315" s="503"/>
      <c r="P3315" s="503"/>
    </row>
    <row r="3316" spans="1:16" x14ac:dyDescent="0.35">
      <c r="A3316" s="497" t="b">
        <v>0</v>
      </c>
      <c r="B3316" s="497"/>
      <c r="C3316" s="497" t="s">
        <v>6152</v>
      </c>
      <c r="D3316" s="512">
        <v>41</v>
      </c>
      <c r="E3316" s="500"/>
      <c r="F3316" s="503"/>
      <c r="G3316" s="502"/>
      <c r="H3316" s="512"/>
      <c r="I3316" s="503"/>
      <c r="J3316" s="503"/>
      <c r="K3316" s="497" t="str">
        <f ca="1">IFERROR(VLOOKUP(C3316,' Disaggregation - Section E '!A$618:N1440,3,0),"")</f>
        <v/>
      </c>
      <c r="L3316" s="497"/>
      <c r="M3316" s="497"/>
      <c r="N3316" s="503"/>
      <c r="O3316" s="503"/>
      <c r="P3316" s="503"/>
    </row>
    <row r="3317" spans="1:16" x14ac:dyDescent="0.35">
      <c r="A3317" s="497" t="b">
        <v>0</v>
      </c>
      <c r="B3317" s="497"/>
      <c r="C3317" s="497" t="s">
        <v>6154</v>
      </c>
      <c r="D3317" s="512">
        <v>41</v>
      </c>
      <c r="E3317" s="500"/>
      <c r="F3317" s="503"/>
      <c r="G3317" s="502"/>
      <c r="H3317" s="512"/>
      <c r="I3317" s="503"/>
      <c r="J3317" s="503"/>
      <c r="K3317" s="497" t="str">
        <f ca="1">IFERROR(VLOOKUP(C3317,' Disaggregation - Section E '!A$618:N1441,3,0),"")</f>
        <v/>
      </c>
      <c r="L3317" s="497"/>
      <c r="M3317" s="497"/>
      <c r="N3317" s="503"/>
      <c r="O3317" s="503"/>
      <c r="P3317" s="503"/>
    </row>
    <row r="3318" spans="1:16" x14ac:dyDescent="0.35">
      <c r="A3318" s="497" t="b">
        <v>0</v>
      </c>
      <c r="B3318" s="497"/>
      <c r="C3318" s="497" t="s">
        <v>6156</v>
      </c>
      <c r="D3318" s="512">
        <v>41</v>
      </c>
      <c r="E3318" s="500"/>
      <c r="F3318" s="503"/>
      <c r="G3318" s="502"/>
      <c r="H3318" s="512"/>
      <c r="I3318" s="503"/>
      <c r="J3318" s="503"/>
      <c r="K3318" s="497" t="str">
        <f ca="1">IFERROR(VLOOKUP(C3318,' Disaggregation - Section E '!A$618:N1442,3,0),"")</f>
        <v/>
      </c>
      <c r="L3318" s="497"/>
      <c r="M3318" s="497"/>
      <c r="N3318" s="503"/>
      <c r="O3318" s="503"/>
      <c r="P3318" s="503"/>
    </row>
    <row r="3319" spans="1:16" x14ac:dyDescent="0.35">
      <c r="A3319" s="497" t="b">
        <v>0</v>
      </c>
      <c r="B3319" s="497"/>
      <c r="C3319" s="497" t="s">
        <v>6158</v>
      </c>
      <c r="D3319" s="512">
        <v>41</v>
      </c>
      <c r="E3319" s="500"/>
      <c r="F3319" s="503"/>
      <c r="G3319" s="502"/>
      <c r="H3319" s="512"/>
      <c r="I3319" s="503"/>
      <c r="J3319" s="503"/>
      <c r="K3319" s="497" t="str">
        <f ca="1">IFERROR(VLOOKUP(C3319,' Disaggregation - Section E '!A$618:N1443,3,0),"")</f>
        <v/>
      </c>
      <c r="L3319" s="497"/>
      <c r="M3319" s="497"/>
      <c r="N3319" s="503"/>
      <c r="O3319" s="503"/>
      <c r="P3319" s="503"/>
    </row>
    <row r="3320" spans="1:16" x14ac:dyDescent="0.35">
      <c r="A3320" s="497" t="b">
        <v>0</v>
      </c>
      <c r="B3320" s="497"/>
      <c r="C3320" s="497" t="s">
        <v>7392</v>
      </c>
      <c r="D3320" s="512">
        <v>42</v>
      </c>
      <c r="E3320" s="500"/>
      <c r="F3320" s="503"/>
      <c r="G3320" s="502"/>
      <c r="H3320" s="512"/>
      <c r="I3320" s="503"/>
      <c r="J3320" s="503"/>
      <c r="K3320" s="497" t="str">
        <f ca="1">IFERROR(VLOOKUP(C3320,' Disaggregation - Section E '!A$618:N1444,3,0),"")</f>
        <v/>
      </c>
      <c r="L3320" s="497"/>
      <c r="M3320" s="497"/>
      <c r="N3320" s="503"/>
      <c r="O3320" s="503"/>
      <c r="P3320" s="503"/>
    </row>
    <row r="3321" spans="1:16" x14ac:dyDescent="0.35">
      <c r="A3321" s="497" t="b">
        <v>0</v>
      </c>
      <c r="B3321" s="497"/>
      <c r="C3321" s="497" t="s">
        <v>7394</v>
      </c>
      <c r="D3321" s="512">
        <v>42</v>
      </c>
      <c r="E3321" s="500"/>
      <c r="F3321" s="503"/>
      <c r="G3321" s="502"/>
      <c r="H3321" s="512"/>
      <c r="I3321" s="503"/>
      <c r="J3321" s="503"/>
      <c r="K3321" s="497" t="str">
        <f ca="1">IFERROR(VLOOKUP(C3321,' Disaggregation - Section E '!A$618:N1445,3,0),"")</f>
        <v/>
      </c>
      <c r="L3321" s="497"/>
      <c r="M3321" s="497"/>
      <c r="N3321" s="503"/>
      <c r="O3321" s="503"/>
      <c r="P3321" s="503"/>
    </row>
    <row r="3322" spans="1:16" x14ac:dyDescent="0.35">
      <c r="A3322" s="497" t="b">
        <v>0</v>
      </c>
      <c r="B3322" s="497"/>
      <c r="C3322" s="497" t="s">
        <v>7396</v>
      </c>
      <c r="D3322" s="512">
        <v>42</v>
      </c>
      <c r="E3322" s="500"/>
      <c r="F3322" s="503"/>
      <c r="G3322" s="502"/>
      <c r="H3322" s="512"/>
      <c r="I3322" s="503"/>
      <c r="J3322" s="503"/>
      <c r="K3322" s="497" t="str">
        <f ca="1">IFERROR(VLOOKUP(C3322,' Disaggregation - Section E '!A$618:N1446,3,0),"")</f>
        <v/>
      </c>
      <c r="L3322" s="497"/>
      <c r="M3322" s="497"/>
      <c r="N3322" s="503"/>
      <c r="O3322" s="503"/>
      <c r="P3322" s="503"/>
    </row>
    <row r="3323" spans="1:16" x14ac:dyDescent="0.35">
      <c r="A3323" s="497" t="b">
        <v>0</v>
      </c>
      <c r="B3323" s="497"/>
      <c r="C3323" s="497" t="s">
        <v>7398</v>
      </c>
      <c r="D3323" s="512">
        <v>42</v>
      </c>
      <c r="E3323" s="500"/>
      <c r="F3323" s="503"/>
      <c r="G3323" s="502"/>
      <c r="H3323" s="512"/>
      <c r="I3323" s="503"/>
      <c r="J3323" s="503"/>
      <c r="K3323" s="497" t="str">
        <f ca="1">IFERROR(VLOOKUP(C3323,' Disaggregation - Section E '!A$618:N1447,3,0),"")</f>
        <v/>
      </c>
      <c r="L3323" s="497"/>
      <c r="M3323" s="497"/>
      <c r="N3323" s="503"/>
      <c r="O3323" s="503"/>
      <c r="P3323" s="503"/>
    </row>
    <row r="3324" spans="1:16" x14ac:dyDescent="0.35">
      <c r="A3324" s="497" t="b">
        <v>0</v>
      </c>
      <c r="B3324" s="497"/>
      <c r="C3324" s="497" t="s">
        <v>7400</v>
      </c>
      <c r="D3324" s="512">
        <v>42</v>
      </c>
      <c r="E3324" s="500"/>
      <c r="F3324" s="503"/>
      <c r="G3324" s="502"/>
      <c r="H3324" s="512"/>
      <c r="I3324" s="503"/>
      <c r="J3324" s="503"/>
      <c r="K3324" s="497" t="str">
        <f ca="1">IFERROR(VLOOKUP(C3324,' Disaggregation - Section E '!A$618:N1448,3,0),"")</f>
        <v/>
      </c>
      <c r="L3324" s="497"/>
      <c r="M3324" s="497"/>
      <c r="N3324" s="503"/>
      <c r="O3324" s="503"/>
      <c r="P3324" s="503"/>
    </row>
    <row r="3325" spans="1:16" x14ac:dyDescent="0.35">
      <c r="A3325" s="497" t="b">
        <v>0</v>
      </c>
      <c r="B3325" s="497"/>
      <c r="C3325" s="497" t="s">
        <v>7402</v>
      </c>
      <c r="D3325" s="512">
        <v>42</v>
      </c>
      <c r="E3325" s="500"/>
      <c r="F3325" s="503"/>
      <c r="G3325" s="502"/>
      <c r="H3325" s="512"/>
      <c r="I3325" s="503"/>
      <c r="J3325" s="503"/>
      <c r="K3325" s="497" t="str">
        <f ca="1">IFERROR(VLOOKUP(C3325,' Disaggregation - Section E '!A$618:N1449,3,0),"")</f>
        <v/>
      </c>
      <c r="L3325" s="497"/>
      <c r="M3325" s="497"/>
      <c r="N3325" s="503"/>
      <c r="O3325" s="503"/>
      <c r="P3325" s="503"/>
    </row>
    <row r="3326" spans="1:16" x14ac:dyDescent="0.35">
      <c r="A3326" s="497" t="b">
        <v>0</v>
      </c>
      <c r="B3326" s="497"/>
      <c r="C3326" s="497" t="s">
        <v>7404</v>
      </c>
      <c r="D3326" s="512">
        <v>42</v>
      </c>
      <c r="E3326" s="500"/>
      <c r="F3326" s="503"/>
      <c r="G3326" s="502"/>
      <c r="H3326" s="512"/>
      <c r="I3326" s="503"/>
      <c r="J3326" s="503"/>
      <c r="K3326" s="497" t="str">
        <f ca="1">IFERROR(VLOOKUP(C3326,' Disaggregation - Section E '!A$618:N1450,3,0),"")</f>
        <v/>
      </c>
      <c r="L3326" s="497"/>
      <c r="M3326" s="497"/>
      <c r="N3326" s="503"/>
      <c r="O3326" s="503"/>
      <c r="P3326" s="503"/>
    </row>
    <row r="3327" spans="1:16" x14ac:dyDescent="0.35">
      <c r="A3327" s="497" t="b">
        <v>0</v>
      </c>
      <c r="B3327" s="497"/>
      <c r="C3327" s="497" t="s">
        <v>7406</v>
      </c>
      <c r="D3327" s="512">
        <v>42</v>
      </c>
      <c r="E3327" s="500"/>
      <c r="F3327" s="503"/>
      <c r="G3327" s="502"/>
      <c r="H3327" s="512"/>
      <c r="I3327" s="503"/>
      <c r="J3327" s="503"/>
      <c r="K3327" s="497" t="str">
        <f ca="1">IFERROR(VLOOKUP(C3327,' Disaggregation - Section E '!A$618:N1451,3,0),"")</f>
        <v/>
      </c>
      <c r="L3327" s="497"/>
      <c r="M3327" s="497"/>
      <c r="N3327" s="503"/>
      <c r="O3327" s="503"/>
      <c r="P3327" s="503"/>
    </row>
    <row r="3328" spans="1:16" x14ac:dyDescent="0.35">
      <c r="A3328" s="497" t="b">
        <v>0</v>
      </c>
      <c r="B3328" s="497"/>
      <c r="C3328" s="497" t="s">
        <v>7408</v>
      </c>
      <c r="D3328" s="512">
        <v>42</v>
      </c>
      <c r="E3328" s="500"/>
      <c r="F3328" s="503"/>
      <c r="G3328" s="502"/>
      <c r="H3328" s="512"/>
      <c r="I3328" s="503"/>
      <c r="J3328" s="503"/>
      <c r="K3328" s="497" t="str">
        <f ca="1">IFERROR(VLOOKUP(C3328,' Disaggregation - Section E '!A$618:N1452,3,0),"")</f>
        <v/>
      </c>
      <c r="L3328" s="497"/>
      <c r="M3328" s="497"/>
      <c r="N3328" s="503"/>
      <c r="O3328" s="503"/>
      <c r="P3328" s="503"/>
    </row>
    <row r="3329" spans="1:16" x14ac:dyDescent="0.35">
      <c r="A3329" s="497" t="b">
        <v>0</v>
      </c>
      <c r="B3329" s="497"/>
      <c r="C3329" s="497" t="s">
        <v>7410</v>
      </c>
      <c r="D3329" s="512">
        <v>42</v>
      </c>
      <c r="E3329" s="500"/>
      <c r="F3329" s="503"/>
      <c r="G3329" s="502"/>
      <c r="H3329" s="512"/>
      <c r="I3329" s="503"/>
      <c r="J3329" s="503"/>
      <c r="K3329" s="497" t="str">
        <f ca="1">IFERROR(VLOOKUP(C3329,' Disaggregation - Section E '!A$618:N1453,3,0),"")</f>
        <v/>
      </c>
      <c r="L3329" s="497"/>
      <c r="M3329" s="497"/>
      <c r="N3329" s="503"/>
      <c r="O3329" s="503"/>
      <c r="P3329" s="503"/>
    </row>
    <row r="3330" spans="1:16" x14ac:dyDescent="0.35">
      <c r="A3330" s="497" t="b">
        <v>0</v>
      </c>
      <c r="B3330" s="497"/>
      <c r="C3330" s="497" t="s">
        <v>7412</v>
      </c>
      <c r="D3330" s="512">
        <v>42</v>
      </c>
      <c r="E3330" s="500"/>
      <c r="F3330" s="503"/>
      <c r="G3330" s="502"/>
      <c r="H3330" s="512"/>
      <c r="I3330" s="503"/>
      <c r="J3330" s="503"/>
      <c r="K3330" s="497" t="str">
        <f ca="1">IFERROR(VLOOKUP(C3330,' Disaggregation - Section E '!A$618:N1454,3,0),"")</f>
        <v/>
      </c>
      <c r="L3330" s="497"/>
      <c r="M3330" s="497"/>
      <c r="N3330" s="503"/>
      <c r="O3330" s="503"/>
      <c r="P3330" s="503"/>
    </row>
    <row r="3331" spans="1:16" x14ac:dyDescent="0.35">
      <c r="A3331" s="497" t="b">
        <v>0</v>
      </c>
      <c r="B3331" s="497"/>
      <c r="C3331" s="497" t="s">
        <v>7414</v>
      </c>
      <c r="D3331" s="512">
        <v>42</v>
      </c>
      <c r="E3331" s="500"/>
      <c r="F3331" s="503"/>
      <c r="G3331" s="502"/>
      <c r="H3331" s="512"/>
      <c r="I3331" s="503"/>
      <c r="J3331" s="503"/>
      <c r="K3331" s="497" t="str">
        <f ca="1">IFERROR(VLOOKUP(C3331,' Disaggregation - Section E '!A$618:N1455,3,0),"")</f>
        <v/>
      </c>
      <c r="L3331" s="497"/>
      <c r="M3331" s="497"/>
      <c r="N3331" s="503"/>
      <c r="O3331" s="503"/>
      <c r="P3331" s="503"/>
    </row>
    <row r="3332" spans="1:16" x14ac:dyDescent="0.35">
      <c r="A3332" s="497" t="b">
        <v>0</v>
      </c>
      <c r="B3332" s="497"/>
      <c r="C3332" s="497" t="s">
        <v>7416</v>
      </c>
      <c r="D3332" s="512">
        <v>42</v>
      </c>
      <c r="E3332" s="500"/>
      <c r="F3332" s="503"/>
      <c r="G3332" s="502"/>
      <c r="H3332" s="512"/>
      <c r="I3332" s="503"/>
      <c r="J3332" s="503"/>
      <c r="K3332" s="497" t="str">
        <f ca="1">IFERROR(VLOOKUP(C3332,' Disaggregation - Section E '!A$618:N1456,3,0),"")</f>
        <v/>
      </c>
      <c r="L3332" s="497"/>
      <c r="M3332" s="497"/>
      <c r="N3332" s="503"/>
      <c r="O3332" s="503"/>
      <c r="P3332" s="503"/>
    </row>
    <row r="3333" spans="1:16" x14ac:dyDescent="0.35">
      <c r="A3333" s="497" t="b">
        <v>0</v>
      </c>
      <c r="B3333" s="497"/>
      <c r="C3333" s="497" t="s">
        <v>7418</v>
      </c>
      <c r="D3333" s="512">
        <v>42</v>
      </c>
      <c r="E3333" s="500"/>
      <c r="F3333" s="503"/>
      <c r="G3333" s="502"/>
      <c r="H3333" s="512"/>
      <c r="I3333" s="503"/>
      <c r="J3333" s="503"/>
      <c r="K3333" s="497" t="str">
        <f ca="1">IFERROR(VLOOKUP(C3333,' Disaggregation - Section E '!A$618:N1457,3,0),"")</f>
        <v/>
      </c>
      <c r="L3333" s="497"/>
      <c r="M3333" s="497"/>
      <c r="N3333" s="503"/>
      <c r="O3333" s="503"/>
      <c r="P3333" s="503"/>
    </row>
    <row r="3334" spans="1:16" x14ac:dyDescent="0.35">
      <c r="A3334" s="497" t="b">
        <v>0</v>
      </c>
      <c r="B3334" s="497"/>
      <c r="C3334" s="497" t="s">
        <v>7420</v>
      </c>
      <c r="D3334" s="512">
        <v>42</v>
      </c>
      <c r="E3334" s="500"/>
      <c r="F3334" s="503"/>
      <c r="G3334" s="502"/>
      <c r="H3334" s="512"/>
      <c r="I3334" s="503"/>
      <c r="J3334" s="503"/>
      <c r="K3334" s="497" t="str">
        <f ca="1">IFERROR(VLOOKUP(C3334,' Disaggregation - Section E '!A$618:N1458,3,0),"")</f>
        <v/>
      </c>
      <c r="L3334" s="497"/>
      <c r="M3334" s="497"/>
      <c r="N3334" s="503"/>
      <c r="O3334" s="503"/>
      <c r="P3334" s="503"/>
    </row>
    <row r="3335" spans="1:16" x14ac:dyDescent="0.35">
      <c r="A3335" s="497" t="b">
        <v>0</v>
      </c>
      <c r="B3335" s="497"/>
      <c r="C3335" s="497" t="s">
        <v>7422</v>
      </c>
      <c r="D3335" s="512">
        <v>42</v>
      </c>
      <c r="E3335" s="500"/>
      <c r="F3335" s="503"/>
      <c r="G3335" s="502"/>
      <c r="H3335" s="512"/>
      <c r="I3335" s="503"/>
      <c r="J3335" s="503"/>
      <c r="K3335" s="497" t="str">
        <f ca="1">IFERROR(VLOOKUP(C3335,' Disaggregation - Section E '!A$618:N1459,3,0),"")</f>
        <v/>
      </c>
      <c r="L3335" s="497"/>
      <c r="M3335" s="497"/>
      <c r="N3335" s="503"/>
      <c r="O3335" s="503"/>
      <c r="P3335" s="503"/>
    </row>
    <row r="3336" spans="1:16" x14ac:dyDescent="0.35">
      <c r="A3336" s="497" t="b">
        <v>0</v>
      </c>
      <c r="B3336" s="497"/>
      <c r="C3336" s="497" t="s">
        <v>7424</v>
      </c>
      <c r="D3336" s="512">
        <v>42</v>
      </c>
      <c r="E3336" s="500"/>
      <c r="F3336" s="503"/>
      <c r="G3336" s="502"/>
      <c r="H3336" s="512"/>
      <c r="I3336" s="503"/>
      <c r="J3336" s="503"/>
      <c r="K3336" s="497" t="str">
        <f ca="1">IFERROR(VLOOKUP(C3336,' Disaggregation - Section E '!A$618:N1460,3,0),"")</f>
        <v/>
      </c>
      <c r="L3336" s="497"/>
      <c r="M3336" s="497"/>
      <c r="N3336" s="503"/>
      <c r="O3336" s="503"/>
      <c r="P3336" s="503"/>
    </row>
    <row r="3337" spans="1:16" x14ac:dyDescent="0.35">
      <c r="A3337" s="497" t="b">
        <v>0</v>
      </c>
      <c r="B3337" s="497"/>
      <c r="C3337" s="497" t="s">
        <v>7426</v>
      </c>
      <c r="D3337" s="512">
        <v>42</v>
      </c>
      <c r="E3337" s="500"/>
      <c r="F3337" s="503"/>
      <c r="G3337" s="502"/>
      <c r="H3337" s="512"/>
      <c r="I3337" s="503"/>
      <c r="J3337" s="503"/>
      <c r="K3337" s="497" t="str">
        <f ca="1">IFERROR(VLOOKUP(C3337,' Disaggregation - Section E '!A$618:N1461,3,0),"")</f>
        <v/>
      </c>
      <c r="L3337" s="497"/>
      <c r="M3337" s="497"/>
      <c r="N3337" s="503"/>
      <c r="O3337" s="503"/>
      <c r="P3337" s="503"/>
    </row>
    <row r="3338" spans="1:16" x14ac:dyDescent="0.35">
      <c r="A3338" s="497" t="b">
        <v>0</v>
      </c>
      <c r="B3338" s="497"/>
      <c r="C3338" s="497" t="s">
        <v>7428</v>
      </c>
      <c r="D3338" s="512">
        <v>42</v>
      </c>
      <c r="E3338" s="500"/>
      <c r="F3338" s="503"/>
      <c r="G3338" s="502"/>
      <c r="H3338" s="512"/>
      <c r="I3338" s="503"/>
      <c r="J3338" s="503"/>
      <c r="K3338" s="497" t="str">
        <f ca="1">IFERROR(VLOOKUP(C3338,' Disaggregation - Section E '!A$618:N1462,3,0),"")</f>
        <v/>
      </c>
      <c r="L3338" s="497"/>
      <c r="M3338" s="497"/>
      <c r="N3338" s="503"/>
      <c r="O3338" s="503"/>
      <c r="P3338" s="503"/>
    </row>
    <row r="3339" spans="1:16" x14ac:dyDescent="0.35">
      <c r="A3339" s="497" t="b">
        <v>0</v>
      </c>
      <c r="B3339" s="497"/>
      <c r="C3339" s="497" t="s">
        <v>7430</v>
      </c>
      <c r="D3339" s="512">
        <v>42</v>
      </c>
      <c r="E3339" s="500"/>
      <c r="F3339" s="503"/>
      <c r="G3339" s="502"/>
      <c r="H3339" s="512"/>
      <c r="I3339" s="503"/>
      <c r="J3339" s="503"/>
      <c r="K3339" s="497" t="str">
        <f ca="1">IFERROR(VLOOKUP(C3339,' Disaggregation - Section E '!A$618:N1463,3,0),"")</f>
        <v/>
      </c>
      <c r="L3339" s="497"/>
      <c r="M3339" s="497"/>
      <c r="N3339" s="503"/>
      <c r="O3339" s="503"/>
      <c r="P3339" s="503"/>
    </row>
    <row r="3340" spans="1:16" x14ac:dyDescent="0.35">
      <c r="A3340" s="497" t="b">
        <v>0</v>
      </c>
      <c r="B3340" s="497"/>
      <c r="C3340" s="497" t="s">
        <v>6161</v>
      </c>
      <c r="D3340" s="512">
        <v>43</v>
      </c>
      <c r="E3340" s="500"/>
      <c r="F3340" s="503"/>
      <c r="G3340" s="502"/>
      <c r="H3340" s="512"/>
      <c r="I3340" s="503"/>
      <c r="J3340" s="503"/>
      <c r="K3340" s="497" t="str">
        <f ca="1">IFERROR(VLOOKUP(C3340,' Disaggregation - Section E '!A$618:N1464,3,0),"")</f>
        <v/>
      </c>
      <c r="L3340" s="497"/>
      <c r="M3340" s="497"/>
      <c r="N3340" s="503"/>
      <c r="O3340" s="503"/>
      <c r="P3340" s="503"/>
    </row>
    <row r="3341" spans="1:16" x14ac:dyDescent="0.35">
      <c r="A3341" s="497" t="b">
        <v>0</v>
      </c>
      <c r="B3341" s="497"/>
      <c r="C3341" s="497" t="s">
        <v>6163</v>
      </c>
      <c r="D3341" s="512">
        <v>43</v>
      </c>
      <c r="E3341" s="500"/>
      <c r="F3341" s="503"/>
      <c r="G3341" s="502"/>
      <c r="H3341" s="512"/>
      <c r="I3341" s="503"/>
      <c r="J3341" s="503"/>
      <c r="K3341" s="497" t="str">
        <f ca="1">IFERROR(VLOOKUP(C3341,' Disaggregation - Section E '!A$618:N1465,3,0),"")</f>
        <v/>
      </c>
      <c r="L3341" s="497"/>
      <c r="M3341" s="497"/>
      <c r="N3341" s="503"/>
      <c r="O3341" s="503"/>
      <c r="P3341" s="503"/>
    </row>
    <row r="3342" spans="1:16" x14ac:dyDescent="0.35">
      <c r="A3342" s="497" t="b">
        <v>0</v>
      </c>
      <c r="B3342" s="497"/>
      <c r="C3342" s="497" t="s">
        <v>6165</v>
      </c>
      <c r="D3342" s="512">
        <v>43</v>
      </c>
      <c r="E3342" s="500"/>
      <c r="F3342" s="503"/>
      <c r="G3342" s="502"/>
      <c r="H3342" s="512"/>
      <c r="I3342" s="503"/>
      <c r="J3342" s="503"/>
      <c r="K3342" s="497" t="str">
        <f ca="1">IFERROR(VLOOKUP(C3342,' Disaggregation - Section E '!A$618:N1466,3,0),"")</f>
        <v/>
      </c>
      <c r="L3342" s="497"/>
      <c r="M3342" s="497"/>
      <c r="N3342" s="503"/>
      <c r="O3342" s="503"/>
      <c r="P3342" s="503"/>
    </row>
    <row r="3343" spans="1:16" x14ac:dyDescent="0.35">
      <c r="A3343" s="497" t="b">
        <v>0</v>
      </c>
      <c r="B3343" s="497"/>
      <c r="C3343" s="497" t="s">
        <v>6167</v>
      </c>
      <c r="D3343" s="512">
        <v>43</v>
      </c>
      <c r="E3343" s="500"/>
      <c r="F3343" s="503"/>
      <c r="G3343" s="502"/>
      <c r="H3343" s="512"/>
      <c r="I3343" s="503"/>
      <c r="J3343" s="503"/>
      <c r="K3343" s="497" t="str">
        <f ca="1">IFERROR(VLOOKUP(C3343,' Disaggregation - Section E '!A$618:N1467,3,0),"")</f>
        <v/>
      </c>
      <c r="L3343" s="497"/>
      <c r="M3343" s="497"/>
      <c r="N3343" s="503"/>
      <c r="O3343" s="503"/>
      <c r="P3343" s="503"/>
    </row>
    <row r="3344" spans="1:16" x14ac:dyDescent="0.35">
      <c r="A3344" s="497" t="b">
        <v>0</v>
      </c>
      <c r="B3344" s="497"/>
      <c r="C3344" s="497" t="s">
        <v>6169</v>
      </c>
      <c r="D3344" s="512">
        <v>43</v>
      </c>
      <c r="E3344" s="500"/>
      <c r="F3344" s="503"/>
      <c r="G3344" s="502"/>
      <c r="H3344" s="512"/>
      <c r="I3344" s="503"/>
      <c r="J3344" s="503"/>
      <c r="K3344" s="497" t="str">
        <f ca="1">IFERROR(VLOOKUP(C3344,' Disaggregation - Section E '!A$618:N1468,3,0),"")</f>
        <v/>
      </c>
      <c r="L3344" s="497"/>
      <c r="M3344" s="497"/>
      <c r="N3344" s="503"/>
      <c r="O3344" s="503"/>
      <c r="P3344" s="503"/>
    </row>
    <row r="3345" spans="1:16" x14ac:dyDescent="0.35">
      <c r="A3345" s="497" t="b">
        <v>0</v>
      </c>
      <c r="B3345" s="497"/>
      <c r="C3345" s="497" t="s">
        <v>6171</v>
      </c>
      <c r="D3345" s="512">
        <v>43</v>
      </c>
      <c r="E3345" s="500"/>
      <c r="F3345" s="503"/>
      <c r="G3345" s="502"/>
      <c r="H3345" s="512"/>
      <c r="I3345" s="503"/>
      <c r="J3345" s="503"/>
      <c r="K3345" s="497" t="str">
        <f ca="1">IFERROR(VLOOKUP(C3345,' Disaggregation - Section E '!A$618:N1469,3,0),"")</f>
        <v/>
      </c>
      <c r="L3345" s="497"/>
      <c r="M3345" s="497"/>
      <c r="N3345" s="503"/>
      <c r="O3345" s="503"/>
      <c r="P3345" s="503"/>
    </row>
    <row r="3346" spans="1:16" x14ac:dyDescent="0.35">
      <c r="A3346" s="497" t="b">
        <v>0</v>
      </c>
      <c r="B3346" s="497"/>
      <c r="C3346" s="497" t="s">
        <v>6173</v>
      </c>
      <c r="D3346" s="512">
        <v>43</v>
      </c>
      <c r="E3346" s="500"/>
      <c r="F3346" s="503"/>
      <c r="G3346" s="502"/>
      <c r="H3346" s="512"/>
      <c r="I3346" s="503"/>
      <c r="J3346" s="503"/>
      <c r="K3346" s="497" t="str">
        <f ca="1">IFERROR(VLOOKUP(C3346,' Disaggregation - Section E '!A$618:N1470,3,0),"")</f>
        <v/>
      </c>
      <c r="L3346" s="497"/>
      <c r="M3346" s="497"/>
      <c r="N3346" s="503"/>
      <c r="O3346" s="503"/>
      <c r="P3346" s="503"/>
    </row>
    <row r="3347" spans="1:16" x14ac:dyDescent="0.35">
      <c r="A3347" s="497" t="b">
        <v>0</v>
      </c>
      <c r="B3347" s="497"/>
      <c r="C3347" s="497" t="s">
        <v>6175</v>
      </c>
      <c r="D3347" s="512">
        <v>43</v>
      </c>
      <c r="E3347" s="500"/>
      <c r="F3347" s="503"/>
      <c r="G3347" s="502"/>
      <c r="H3347" s="512"/>
      <c r="I3347" s="503"/>
      <c r="J3347" s="503"/>
      <c r="K3347" s="497" t="str">
        <f ca="1">IFERROR(VLOOKUP(C3347,' Disaggregation - Section E '!A$618:N1471,3,0),"")</f>
        <v/>
      </c>
      <c r="L3347" s="497"/>
      <c r="M3347" s="497"/>
      <c r="N3347" s="503"/>
      <c r="O3347" s="503"/>
      <c r="P3347" s="503"/>
    </row>
    <row r="3348" spans="1:16" x14ac:dyDescent="0.35">
      <c r="A3348" s="497" t="b">
        <v>0</v>
      </c>
      <c r="B3348" s="497"/>
      <c r="C3348" s="497" t="s">
        <v>6177</v>
      </c>
      <c r="D3348" s="512">
        <v>43</v>
      </c>
      <c r="E3348" s="500"/>
      <c r="F3348" s="503"/>
      <c r="G3348" s="502"/>
      <c r="H3348" s="512"/>
      <c r="I3348" s="503"/>
      <c r="J3348" s="503"/>
      <c r="K3348" s="497" t="str">
        <f ca="1">IFERROR(VLOOKUP(C3348,' Disaggregation - Section E '!A$618:N1472,3,0),"")</f>
        <v/>
      </c>
      <c r="L3348" s="497"/>
      <c r="M3348" s="497"/>
      <c r="N3348" s="503"/>
      <c r="O3348" s="503"/>
      <c r="P3348" s="503"/>
    </row>
    <row r="3349" spans="1:16" x14ac:dyDescent="0.35">
      <c r="A3349" s="497" t="b">
        <v>0</v>
      </c>
      <c r="B3349" s="497"/>
      <c r="C3349" s="497" t="s">
        <v>6179</v>
      </c>
      <c r="D3349" s="512">
        <v>43</v>
      </c>
      <c r="E3349" s="500"/>
      <c r="F3349" s="503"/>
      <c r="G3349" s="502"/>
      <c r="H3349" s="512"/>
      <c r="I3349" s="503"/>
      <c r="J3349" s="503"/>
      <c r="K3349" s="497" t="str">
        <f ca="1">IFERROR(VLOOKUP(C3349,' Disaggregation - Section E '!A$618:N1473,3,0),"")</f>
        <v/>
      </c>
      <c r="L3349" s="497"/>
      <c r="M3349" s="497"/>
      <c r="N3349" s="503"/>
      <c r="O3349" s="503"/>
      <c r="P3349" s="503"/>
    </row>
    <row r="3350" spans="1:16" x14ac:dyDescent="0.35">
      <c r="A3350" s="497" t="b">
        <v>0</v>
      </c>
      <c r="B3350" s="497"/>
      <c r="C3350" s="497" t="s">
        <v>6181</v>
      </c>
      <c r="D3350" s="512">
        <v>43</v>
      </c>
      <c r="E3350" s="500"/>
      <c r="F3350" s="503"/>
      <c r="G3350" s="502"/>
      <c r="H3350" s="512"/>
      <c r="I3350" s="503"/>
      <c r="J3350" s="503"/>
      <c r="K3350" s="497" t="str">
        <f ca="1">IFERROR(VLOOKUP(C3350,' Disaggregation - Section E '!A$618:N1474,3,0),"")</f>
        <v/>
      </c>
      <c r="L3350" s="497"/>
      <c r="M3350" s="497"/>
      <c r="N3350" s="503"/>
      <c r="O3350" s="503"/>
      <c r="P3350" s="503"/>
    </row>
    <row r="3351" spans="1:16" x14ac:dyDescent="0.35">
      <c r="A3351" s="497" t="b">
        <v>0</v>
      </c>
      <c r="B3351" s="497"/>
      <c r="C3351" s="497" t="s">
        <v>6183</v>
      </c>
      <c r="D3351" s="512">
        <v>43</v>
      </c>
      <c r="E3351" s="500"/>
      <c r="F3351" s="503"/>
      <c r="G3351" s="502"/>
      <c r="H3351" s="512"/>
      <c r="I3351" s="503"/>
      <c r="J3351" s="503"/>
      <c r="K3351" s="497" t="str">
        <f ca="1">IFERROR(VLOOKUP(C3351,' Disaggregation - Section E '!A$618:N1475,3,0),"")</f>
        <v/>
      </c>
      <c r="L3351" s="497"/>
      <c r="M3351" s="497"/>
      <c r="N3351" s="503"/>
      <c r="O3351" s="503"/>
      <c r="P3351" s="503"/>
    </row>
    <row r="3352" spans="1:16" x14ac:dyDescent="0.35">
      <c r="A3352" s="497" t="b">
        <v>0</v>
      </c>
      <c r="B3352" s="497"/>
      <c r="C3352" s="497" t="s">
        <v>6185</v>
      </c>
      <c r="D3352" s="512">
        <v>43</v>
      </c>
      <c r="E3352" s="500"/>
      <c r="F3352" s="503"/>
      <c r="G3352" s="502"/>
      <c r="H3352" s="512"/>
      <c r="I3352" s="503"/>
      <c r="J3352" s="503"/>
      <c r="K3352" s="497" t="str">
        <f ca="1">IFERROR(VLOOKUP(C3352,' Disaggregation - Section E '!A$618:N1476,3,0),"")</f>
        <v/>
      </c>
      <c r="L3352" s="497"/>
      <c r="M3352" s="497"/>
      <c r="N3352" s="503"/>
      <c r="O3352" s="503"/>
      <c r="P3352" s="503"/>
    </row>
    <row r="3353" spans="1:16" x14ac:dyDescent="0.35">
      <c r="A3353" s="497" t="b">
        <v>0</v>
      </c>
      <c r="B3353" s="497"/>
      <c r="C3353" s="497" t="s">
        <v>6187</v>
      </c>
      <c r="D3353" s="512">
        <v>43</v>
      </c>
      <c r="E3353" s="500"/>
      <c r="F3353" s="503"/>
      <c r="G3353" s="502"/>
      <c r="H3353" s="512"/>
      <c r="I3353" s="503"/>
      <c r="J3353" s="503"/>
      <c r="K3353" s="497" t="str">
        <f ca="1">IFERROR(VLOOKUP(C3353,' Disaggregation - Section E '!A$618:N1477,3,0),"")</f>
        <v/>
      </c>
      <c r="L3353" s="497"/>
      <c r="M3353" s="497"/>
      <c r="N3353" s="503"/>
      <c r="O3353" s="503"/>
      <c r="P3353" s="503"/>
    </row>
    <row r="3354" spans="1:16" x14ac:dyDescent="0.35">
      <c r="A3354" s="497" t="b">
        <v>0</v>
      </c>
      <c r="B3354" s="497"/>
      <c r="C3354" s="497" t="s">
        <v>6189</v>
      </c>
      <c r="D3354" s="512">
        <v>43</v>
      </c>
      <c r="E3354" s="500"/>
      <c r="F3354" s="503"/>
      <c r="G3354" s="502"/>
      <c r="H3354" s="512"/>
      <c r="I3354" s="503"/>
      <c r="J3354" s="503"/>
      <c r="K3354" s="497" t="str">
        <f ca="1">IFERROR(VLOOKUP(C3354,' Disaggregation - Section E '!A$618:N1478,3,0),"")</f>
        <v/>
      </c>
      <c r="L3354" s="497"/>
      <c r="M3354" s="497"/>
      <c r="N3354" s="503"/>
      <c r="O3354" s="503"/>
      <c r="P3354" s="503"/>
    </row>
    <row r="3355" spans="1:16" x14ac:dyDescent="0.35">
      <c r="A3355" s="497" t="b">
        <v>0</v>
      </c>
      <c r="B3355" s="497"/>
      <c r="C3355" s="497" t="s">
        <v>6191</v>
      </c>
      <c r="D3355" s="512">
        <v>43</v>
      </c>
      <c r="E3355" s="500"/>
      <c r="F3355" s="503"/>
      <c r="G3355" s="502"/>
      <c r="H3355" s="512"/>
      <c r="I3355" s="503"/>
      <c r="J3355" s="503"/>
      <c r="K3355" s="497" t="str">
        <f ca="1">IFERROR(VLOOKUP(C3355,' Disaggregation - Section E '!A$618:N1479,3,0),"")</f>
        <v/>
      </c>
      <c r="L3355" s="497"/>
      <c r="M3355" s="497"/>
      <c r="N3355" s="503"/>
      <c r="O3355" s="503"/>
      <c r="P3355" s="503"/>
    </row>
    <row r="3356" spans="1:16" x14ac:dyDescent="0.35">
      <c r="A3356" s="497" t="b">
        <v>0</v>
      </c>
      <c r="B3356" s="497"/>
      <c r="C3356" s="497" t="s">
        <v>6193</v>
      </c>
      <c r="D3356" s="512">
        <v>43</v>
      </c>
      <c r="E3356" s="500"/>
      <c r="F3356" s="503"/>
      <c r="G3356" s="502"/>
      <c r="H3356" s="512"/>
      <c r="I3356" s="503"/>
      <c r="J3356" s="503"/>
      <c r="K3356" s="497" t="str">
        <f ca="1">IFERROR(VLOOKUP(C3356,' Disaggregation - Section E '!A$618:N1480,3,0),"")</f>
        <v/>
      </c>
      <c r="L3356" s="497"/>
      <c r="M3356" s="497"/>
      <c r="N3356" s="503"/>
      <c r="O3356" s="503"/>
      <c r="P3356" s="503"/>
    </row>
    <row r="3357" spans="1:16" x14ac:dyDescent="0.35">
      <c r="A3357" s="497" t="b">
        <v>0</v>
      </c>
      <c r="B3357" s="497"/>
      <c r="C3357" s="497" t="s">
        <v>6195</v>
      </c>
      <c r="D3357" s="512">
        <v>43</v>
      </c>
      <c r="E3357" s="500"/>
      <c r="F3357" s="503"/>
      <c r="G3357" s="502"/>
      <c r="H3357" s="512"/>
      <c r="I3357" s="503"/>
      <c r="J3357" s="503"/>
      <c r="K3357" s="497" t="str">
        <f ca="1">IFERROR(VLOOKUP(C3357,' Disaggregation - Section E '!A$618:N1481,3,0),"")</f>
        <v/>
      </c>
      <c r="L3357" s="497"/>
      <c r="M3357" s="497"/>
      <c r="N3357" s="503"/>
      <c r="O3357" s="503"/>
      <c r="P3357" s="503"/>
    </row>
    <row r="3358" spans="1:16" x14ac:dyDescent="0.35">
      <c r="A3358" s="497" t="b">
        <v>0</v>
      </c>
      <c r="B3358" s="497"/>
      <c r="C3358" s="497" t="s">
        <v>6197</v>
      </c>
      <c r="D3358" s="512">
        <v>43</v>
      </c>
      <c r="E3358" s="500"/>
      <c r="F3358" s="503"/>
      <c r="G3358" s="502"/>
      <c r="H3358" s="512"/>
      <c r="I3358" s="503"/>
      <c r="J3358" s="503"/>
      <c r="K3358" s="497" t="str">
        <f ca="1">IFERROR(VLOOKUP(C3358,' Disaggregation - Section E '!A$618:N1482,3,0),"")</f>
        <v/>
      </c>
      <c r="L3358" s="497"/>
      <c r="M3358" s="497"/>
      <c r="N3358" s="503"/>
      <c r="O3358" s="503"/>
      <c r="P3358" s="503"/>
    </row>
    <row r="3359" spans="1:16" x14ac:dyDescent="0.35">
      <c r="A3359" s="497" t="b">
        <v>0</v>
      </c>
      <c r="B3359" s="497"/>
      <c r="C3359" s="497" t="s">
        <v>6199</v>
      </c>
      <c r="D3359" s="512">
        <v>43</v>
      </c>
      <c r="E3359" s="500"/>
      <c r="F3359" s="503"/>
      <c r="G3359" s="502"/>
      <c r="H3359" s="512"/>
      <c r="I3359" s="503"/>
      <c r="J3359" s="503"/>
      <c r="K3359" s="497" t="str">
        <f ca="1">IFERROR(VLOOKUP(C3359,' Disaggregation - Section E '!A$618:N1483,3,0),"")</f>
        <v/>
      </c>
      <c r="L3359" s="497"/>
      <c r="M3359" s="497"/>
      <c r="N3359" s="503"/>
      <c r="O3359" s="503"/>
      <c r="P3359" s="503"/>
    </row>
    <row r="3360" spans="1:16" x14ac:dyDescent="0.35">
      <c r="A3360" s="497" t="b">
        <v>0</v>
      </c>
      <c r="B3360" s="497"/>
      <c r="C3360" s="497" t="s">
        <v>7433</v>
      </c>
      <c r="D3360" s="512">
        <v>44</v>
      </c>
      <c r="E3360" s="500"/>
      <c r="F3360" s="503"/>
      <c r="G3360" s="502"/>
      <c r="H3360" s="512"/>
      <c r="I3360" s="503"/>
      <c r="J3360" s="503"/>
      <c r="K3360" s="497" t="str">
        <f ca="1">IFERROR(VLOOKUP(C3360,' Disaggregation - Section E '!A$618:N1484,3,0),"")</f>
        <v/>
      </c>
      <c r="L3360" s="497"/>
      <c r="M3360" s="497"/>
      <c r="N3360" s="503"/>
      <c r="O3360" s="503"/>
      <c r="P3360" s="503"/>
    </row>
    <row r="3361" spans="1:16" x14ac:dyDescent="0.35">
      <c r="A3361" s="497" t="b">
        <v>0</v>
      </c>
      <c r="B3361" s="497"/>
      <c r="C3361" s="497" t="s">
        <v>7435</v>
      </c>
      <c r="D3361" s="512">
        <v>44</v>
      </c>
      <c r="E3361" s="500"/>
      <c r="F3361" s="503"/>
      <c r="G3361" s="502"/>
      <c r="H3361" s="512"/>
      <c r="I3361" s="503"/>
      <c r="J3361" s="503"/>
      <c r="K3361" s="497" t="str">
        <f ca="1">IFERROR(VLOOKUP(C3361,' Disaggregation - Section E '!A$618:N1485,3,0),"")</f>
        <v/>
      </c>
      <c r="L3361" s="497"/>
      <c r="M3361" s="497"/>
      <c r="N3361" s="503"/>
      <c r="O3361" s="503"/>
      <c r="P3361" s="503"/>
    </row>
    <row r="3362" spans="1:16" x14ac:dyDescent="0.35">
      <c r="A3362" s="497" t="b">
        <v>0</v>
      </c>
      <c r="B3362" s="497"/>
      <c r="C3362" s="497" t="s">
        <v>7437</v>
      </c>
      <c r="D3362" s="512">
        <v>44</v>
      </c>
      <c r="E3362" s="500"/>
      <c r="F3362" s="503"/>
      <c r="G3362" s="502"/>
      <c r="H3362" s="512"/>
      <c r="I3362" s="503"/>
      <c r="J3362" s="503"/>
      <c r="K3362" s="497" t="str">
        <f ca="1">IFERROR(VLOOKUP(C3362,' Disaggregation - Section E '!A$618:N1486,3,0),"")</f>
        <v/>
      </c>
      <c r="L3362" s="497"/>
      <c r="M3362" s="497"/>
      <c r="N3362" s="503"/>
      <c r="O3362" s="503"/>
      <c r="P3362" s="503"/>
    </row>
    <row r="3363" spans="1:16" x14ac:dyDescent="0.35">
      <c r="A3363" s="497" t="b">
        <v>0</v>
      </c>
      <c r="B3363" s="497"/>
      <c r="C3363" s="497" t="s">
        <v>7439</v>
      </c>
      <c r="D3363" s="512">
        <v>44</v>
      </c>
      <c r="E3363" s="500"/>
      <c r="F3363" s="503"/>
      <c r="G3363" s="502"/>
      <c r="H3363" s="512"/>
      <c r="I3363" s="503"/>
      <c r="J3363" s="503"/>
      <c r="K3363" s="497" t="str">
        <f ca="1">IFERROR(VLOOKUP(C3363,' Disaggregation - Section E '!A$618:N1487,3,0),"")</f>
        <v/>
      </c>
      <c r="L3363" s="497"/>
      <c r="M3363" s="497"/>
      <c r="N3363" s="503"/>
      <c r="O3363" s="503"/>
      <c r="P3363" s="503"/>
    </row>
    <row r="3364" spans="1:16" x14ac:dyDescent="0.35">
      <c r="A3364" s="497" t="b">
        <v>0</v>
      </c>
      <c r="B3364" s="497"/>
      <c r="C3364" s="497" t="s">
        <v>7441</v>
      </c>
      <c r="D3364" s="512">
        <v>44</v>
      </c>
      <c r="E3364" s="500"/>
      <c r="F3364" s="503"/>
      <c r="G3364" s="502"/>
      <c r="H3364" s="512"/>
      <c r="I3364" s="503"/>
      <c r="J3364" s="503"/>
      <c r="K3364" s="497" t="str">
        <f ca="1">IFERROR(VLOOKUP(C3364,' Disaggregation - Section E '!A$618:N1488,3,0),"")</f>
        <v/>
      </c>
      <c r="L3364" s="497"/>
      <c r="M3364" s="497"/>
      <c r="N3364" s="503"/>
      <c r="O3364" s="503"/>
      <c r="P3364" s="503"/>
    </row>
    <row r="3365" spans="1:16" x14ac:dyDescent="0.35">
      <c r="A3365" s="497" t="b">
        <v>0</v>
      </c>
      <c r="B3365" s="497"/>
      <c r="C3365" s="497" t="s">
        <v>7443</v>
      </c>
      <c r="D3365" s="512">
        <v>44</v>
      </c>
      <c r="E3365" s="500"/>
      <c r="F3365" s="503"/>
      <c r="G3365" s="502"/>
      <c r="H3365" s="512"/>
      <c r="I3365" s="503"/>
      <c r="J3365" s="503"/>
      <c r="K3365" s="497" t="str">
        <f ca="1">IFERROR(VLOOKUP(C3365,' Disaggregation - Section E '!A$618:N1489,3,0),"")</f>
        <v/>
      </c>
      <c r="L3365" s="497"/>
      <c r="M3365" s="497"/>
      <c r="N3365" s="503"/>
      <c r="O3365" s="503"/>
      <c r="P3365" s="503"/>
    </row>
    <row r="3366" spans="1:16" x14ac:dyDescent="0.35">
      <c r="A3366" s="497" t="b">
        <v>0</v>
      </c>
      <c r="B3366" s="497"/>
      <c r="C3366" s="497" t="s">
        <v>7445</v>
      </c>
      <c r="D3366" s="512">
        <v>44</v>
      </c>
      <c r="E3366" s="500"/>
      <c r="F3366" s="503"/>
      <c r="G3366" s="502"/>
      <c r="H3366" s="512"/>
      <c r="I3366" s="503"/>
      <c r="J3366" s="503"/>
      <c r="K3366" s="497" t="str">
        <f ca="1">IFERROR(VLOOKUP(C3366,' Disaggregation - Section E '!A$618:N1490,3,0),"")</f>
        <v/>
      </c>
      <c r="L3366" s="497"/>
      <c r="M3366" s="497"/>
      <c r="N3366" s="503"/>
      <c r="O3366" s="503"/>
      <c r="P3366" s="503"/>
    </row>
    <row r="3367" spans="1:16" x14ac:dyDescent="0.35">
      <c r="A3367" s="497" t="b">
        <v>0</v>
      </c>
      <c r="B3367" s="497"/>
      <c r="C3367" s="497" t="s">
        <v>7447</v>
      </c>
      <c r="D3367" s="512">
        <v>44</v>
      </c>
      <c r="E3367" s="500"/>
      <c r="F3367" s="503"/>
      <c r="G3367" s="502"/>
      <c r="H3367" s="512"/>
      <c r="I3367" s="503"/>
      <c r="J3367" s="503"/>
      <c r="K3367" s="497" t="str">
        <f ca="1">IFERROR(VLOOKUP(C3367,' Disaggregation - Section E '!A$618:N1491,3,0),"")</f>
        <v/>
      </c>
      <c r="L3367" s="497"/>
      <c r="M3367" s="497"/>
      <c r="N3367" s="503"/>
      <c r="O3367" s="503"/>
      <c r="P3367" s="503"/>
    </row>
    <row r="3368" spans="1:16" x14ac:dyDescent="0.35">
      <c r="A3368" s="497" t="b">
        <v>0</v>
      </c>
      <c r="B3368" s="497"/>
      <c r="C3368" s="497" t="s">
        <v>7449</v>
      </c>
      <c r="D3368" s="512">
        <v>44</v>
      </c>
      <c r="E3368" s="500"/>
      <c r="F3368" s="503"/>
      <c r="G3368" s="502"/>
      <c r="H3368" s="512"/>
      <c r="I3368" s="503"/>
      <c r="J3368" s="503"/>
      <c r="K3368" s="497" t="str">
        <f ca="1">IFERROR(VLOOKUP(C3368,' Disaggregation - Section E '!A$618:N1492,3,0),"")</f>
        <v/>
      </c>
      <c r="L3368" s="497"/>
      <c r="M3368" s="497"/>
      <c r="N3368" s="503"/>
      <c r="O3368" s="503"/>
      <c r="P3368" s="503"/>
    </row>
    <row r="3369" spans="1:16" x14ac:dyDescent="0.35">
      <c r="A3369" s="497" t="b">
        <v>0</v>
      </c>
      <c r="B3369" s="497"/>
      <c r="C3369" s="497" t="s">
        <v>7451</v>
      </c>
      <c r="D3369" s="512">
        <v>44</v>
      </c>
      <c r="E3369" s="500"/>
      <c r="F3369" s="503"/>
      <c r="G3369" s="502"/>
      <c r="H3369" s="512"/>
      <c r="I3369" s="503"/>
      <c r="J3369" s="503"/>
      <c r="K3369" s="497" t="str">
        <f ca="1">IFERROR(VLOOKUP(C3369,' Disaggregation - Section E '!A$618:N1493,3,0),"")</f>
        <v/>
      </c>
      <c r="L3369" s="497"/>
      <c r="M3369" s="497"/>
      <c r="N3369" s="503"/>
      <c r="O3369" s="503"/>
      <c r="P3369" s="503"/>
    </row>
    <row r="3370" spans="1:16" x14ac:dyDescent="0.35">
      <c r="A3370" s="497" t="b">
        <v>0</v>
      </c>
      <c r="B3370" s="497"/>
      <c r="C3370" s="497" t="s">
        <v>7453</v>
      </c>
      <c r="D3370" s="512">
        <v>44</v>
      </c>
      <c r="E3370" s="500"/>
      <c r="F3370" s="503"/>
      <c r="G3370" s="502"/>
      <c r="H3370" s="512"/>
      <c r="I3370" s="503"/>
      <c r="J3370" s="503"/>
      <c r="K3370" s="497" t="str">
        <f ca="1">IFERROR(VLOOKUP(C3370,' Disaggregation - Section E '!A$618:N1494,3,0),"")</f>
        <v/>
      </c>
      <c r="L3370" s="497"/>
      <c r="M3370" s="497"/>
      <c r="N3370" s="503"/>
      <c r="O3370" s="503"/>
      <c r="P3370" s="503"/>
    </row>
    <row r="3371" spans="1:16" x14ac:dyDescent="0.35">
      <c r="A3371" s="497" t="b">
        <v>0</v>
      </c>
      <c r="B3371" s="497"/>
      <c r="C3371" s="497" t="s">
        <v>7455</v>
      </c>
      <c r="D3371" s="512">
        <v>44</v>
      </c>
      <c r="E3371" s="500"/>
      <c r="F3371" s="503"/>
      <c r="G3371" s="502"/>
      <c r="H3371" s="512"/>
      <c r="I3371" s="503"/>
      <c r="J3371" s="503"/>
      <c r="K3371" s="497" t="str">
        <f ca="1">IFERROR(VLOOKUP(C3371,' Disaggregation - Section E '!A$618:N1495,3,0),"")</f>
        <v/>
      </c>
      <c r="L3371" s="497"/>
      <c r="M3371" s="497"/>
      <c r="N3371" s="503"/>
      <c r="O3371" s="503"/>
      <c r="P3371" s="503"/>
    </row>
    <row r="3372" spans="1:16" x14ac:dyDescent="0.35">
      <c r="A3372" s="497" t="b">
        <v>0</v>
      </c>
      <c r="B3372" s="497"/>
      <c r="C3372" s="497" t="s">
        <v>7457</v>
      </c>
      <c r="D3372" s="512">
        <v>44</v>
      </c>
      <c r="E3372" s="500"/>
      <c r="F3372" s="503"/>
      <c r="G3372" s="502"/>
      <c r="H3372" s="512"/>
      <c r="I3372" s="503"/>
      <c r="J3372" s="503"/>
      <c r="K3372" s="497" t="str">
        <f ca="1">IFERROR(VLOOKUP(C3372,' Disaggregation - Section E '!A$618:N1496,3,0),"")</f>
        <v/>
      </c>
      <c r="L3372" s="497"/>
      <c r="M3372" s="497"/>
      <c r="N3372" s="503"/>
      <c r="O3372" s="503"/>
      <c r="P3372" s="503"/>
    </row>
    <row r="3373" spans="1:16" x14ac:dyDescent="0.35">
      <c r="A3373" s="497" t="b">
        <v>0</v>
      </c>
      <c r="B3373" s="497"/>
      <c r="C3373" s="497" t="s">
        <v>7459</v>
      </c>
      <c r="D3373" s="512">
        <v>44</v>
      </c>
      <c r="E3373" s="500"/>
      <c r="F3373" s="503"/>
      <c r="G3373" s="502"/>
      <c r="H3373" s="512"/>
      <c r="I3373" s="503"/>
      <c r="J3373" s="503"/>
      <c r="K3373" s="497" t="str">
        <f ca="1">IFERROR(VLOOKUP(C3373,' Disaggregation - Section E '!A$618:N1497,3,0),"")</f>
        <v/>
      </c>
      <c r="L3373" s="497"/>
      <c r="M3373" s="497"/>
      <c r="N3373" s="503"/>
      <c r="O3373" s="503"/>
      <c r="P3373" s="503"/>
    </row>
    <row r="3374" spans="1:16" x14ac:dyDescent="0.35">
      <c r="A3374" s="497" t="b">
        <v>0</v>
      </c>
      <c r="B3374" s="497"/>
      <c r="C3374" s="497" t="s">
        <v>7461</v>
      </c>
      <c r="D3374" s="512">
        <v>44</v>
      </c>
      <c r="E3374" s="500"/>
      <c r="F3374" s="503"/>
      <c r="G3374" s="502"/>
      <c r="H3374" s="512"/>
      <c r="I3374" s="503"/>
      <c r="J3374" s="503"/>
      <c r="K3374" s="497" t="str">
        <f ca="1">IFERROR(VLOOKUP(C3374,' Disaggregation - Section E '!A$618:N1498,3,0),"")</f>
        <v/>
      </c>
      <c r="L3374" s="497"/>
      <c r="M3374" s="497"/>
      <c r="N3374" s="503"/>
      <c r="O3374" s="503"/>
      <c r="P3374" s="503"/>
    </row>
    <row r="3375" spans="1:16" x14ac:dyDescent="0.35">
      <c r="A3375" s="497" t="b">
        <v>0</v>
      </c>
      <c r="B3375" s="497"/>
      <c r="C3375" s="497" t="s">
        <v>7463</v>
      </c>
      <c r="D3375" s="512">
        <v>44</v>
      </c>
      <c r="E3375" s="500"/>
      <c r="F3375" s="503"/>
      <c r="G3375" s="502"/>
      <c r="H3375" s="512"/>
      <c r="I3375" s="503"/>
      <c r="J3375" s="503"/>
      <c r="K3375" s="497" t="str">
        <f ca="1">IFERROR(VLOOKUP(C3375,' Disaggregation - Section E '!A$618:N1499,3,0),"")</f>
        <v/>
      </c>
      <c r="L3375" s="497"/>
      <c r="M3375" s="497"/>
      <c r="N3375" s="503"/>
      <c r="O3375" s="503"/>
      <c r="P3375" s="503"/>
    </row>
    <row r="3376" spans="1:16" x14ac:dyDescent="0.35">
      <c r="A3376" s="497" t="b">
        <v>0</v>
      </c>
      <c r="B3376" s="497"/>
      <c r="C3376" s="497" t="s">
        <v>7465</v>
      </c>
      <c r="D3376" s="512">
        <v>44</v>
      </c>
      <c r="E3376" s="500"/>
      <c r="F3376" s="503"/>
      <c r="G3376" s="502"/>
      <c r="H3376" s="512"/>
      <c r="I3376" s="503"/>
      <c r="J3376" s="503"/>
      <c r="K3376" s="497" t="str">
        <f ca="1">IFERROR(VLOOKUP(C3376,' Disaggregation - Section E '!A$618:N1500,3,0),"")</f>
        <v/>
      </c>
      <c r="L3376" s="497"/>
      <c r="M3376" s="497"/>
      <c r="N3376" s="503"/>
      <c r="O3376" s="503"/>
      <c r="P3376" s="503"/>
    </row>
    <row r="3377" spans="1:16" x14ac:dyDescent="0.35">
      <c r="A3377" s="497" t="b">
        <v>0</v>
      </c>
      <c r="B3377" s="497"/>
      <c r="C3377" s="497" t="s">
        <v>7467</v>
      </c>
      <c r="D3377" s="512">
        <v>44</v>
      </c>
      <c r="E3377" s="500"/>
      <c r="F3377" s="503"/>
      <c r="G3377" s="502"/>
      <c r="H3377" s="512"/>
      <c r="I3377" s="503"/>
      <c r="J3377" s="503"/>
      <c r="K3377" s="497" t="str">
        <f ca="1">IFERROR(VLOOKUP(C3377,' Disaggregation - Section E '!A$618:N1501,3,0),"")</f>
        <v/>
      </c>
      <c r="L3377" s="497"/>
      <c r="M3377" s="497"/>
      <c r="N3377" s="503"/>
      <c r="O3377" s="503"/>
      <c r="P3377" s="503"/>
    </row>
    <row r="3378" spans="1:16" x14ac:dyDescent="0.35">
      <c r="A3378" s="497" t="b">
        <v>0</v>
      </c>
      <c r="B3378" s="497"/>
      <c r="C3378" s="497" t="s">
        <v>7469</v>
      </c>
      <c r="D3378" s="512">
        <v>44</v>
      </c>
      <c r="E3378" s="500"/>
      <c r="F3378" s="503"/>
      <c r="G3378" s="502"/>
      <c r="H3378" s="512"/>
      <c r="I3378" s="503"/>
      <c r="J3378" s="503"/>
      <c r="K3378" s="497" t="str">
        <f ca="1">IFERROR(VLOOKUP(C3378,' Disaggregation - Section E '!A$618:N1502,3,0),"")</f>
        <v/>
      </c>
      <c r="L3378" s="497"/>
      <c r="M3378" s="497"/>
      <c r="N3378" s="503"/>
      <c r="O3378" s="503"/>
      <c r="P3378" s="503"/>
    </row>
    <row r="3379" spans="1:16" x14ac:dyDescent="0.35">
      <c r="A3379" s="497" t="b">
        <v>0</v>
      </c>
      <c r="B3379" s="497"/>
      <c r="C3379" s="497" t="s">
        <v>7471</v>
      </c>
      <c r="D3379" s="512">
        <v>44</v>
      </c>
      <c r="E3379" s="500"/>
      <c r="F3379" s="503"/>
      <c r="G3379" s="502"/>
      <c r="H3379" s="512"/>
      <c r="I3379" s="503"/>
      <c r="J3379" s="503"/>
      <c r="K3379" s="497" t="str">
        <f ca="1">IFERROR(VLOOKUP(C3379,' Disaggregation - Section E '!A$618:N1503,3,0),"")</f>
        <v/>
      </c>
      <c r="L3379" s="497"/>
      <c r="M3379" s="497"/>
      <c r="N3379" s="503"/>
      <c r="O3379" s="503"/>
      <c r="P3379" s="503"/>
    </row>
    <row r="3380" spans="1:16" x14ac:dyDescent="0.35">
      <c r="A3380" s="497" t="b">
        <v>0</v>
      </c>
      <c r="B3380" s="497"/>
      <c r="C3380" s="497" t="s">
        <v>6202</v>
      </c>
      <c r="D3380" s="512">
        <v>45</v>
      </c>
      <c r="E3380" s="500"/>
      <c r="F3380" s="503"/>
      <c r="G3380" s="502"/>
      <c r="H3380" s="512"/>
      <c r="I3380" s="503"/>
      <c r="J3380" s="503"/>
      <c r="K3380" s="497" t="str">
        <f ca="1">IFERROR(VLOOKUP(C3380,' Disaggregation - Section E '!A$618:N1504,3,0),"")</f>
        <v/>
      </c>
      <c r="L3380" s="497"/>
      <c r="M3380" s="497"/>
      <c r="N3380" s="503"/>
      <c r="O3380" s="503"/>
      <c r="P3380" s="503"/>
    </row>
    <row r="3381" spans="1:16" x14ac:dyDescent="0.35">
      <c r="A3381" s="497" t="b">
        <v>0</v>
      </c>
      <c r="B3381" s="497"/>
      <c r="C3381" s="497" t="s">
        <v>6204</v>
      </c>
      <c r="D3381" s="512">
        <v>45</v>
      </c>
      <c r="E3381" s="500"/>
      <c r="F3381" s="503"/>
      <c r="G3381" s="502"/>
      <c r="H3381" s="512"/>
      <c r="I3381" s="503"/>
      <c r="J3381" s="503"/>
      <c r="K3381" s="497" t="str">
        <f ca="1">IFERROR(VLOOKUP(C3381,' Disaggregation - Section E '!A$618:N1505,3,0),"")</f>
        <v/>
      </c>
      <c r="L3381" s="497"/>
      <c r="M3381" s="497"/>
      <c r="N3381" s="503"/>
      <c r="O3381" s="503"/>
      <c r="P3381" s="503"/>
    </row>
    <row r="3382" spans="1:16" x14ac:dyDescent="0.35">
      <c r="A3382" s="497" t="b">
        <v>0</v>
      </c>
      <c r="B3382" s="497"/>
      <c r="C3382" s="497" t="s">
        <v>6206</v>
      </c>
      <c r="D3382" s="512">
        <v>45</v>
      </c>
      <c r="E3382" s="500"/>
      <c r="F3382" s="503"/>
      <c r="G3382" s="502"/>
      <c r="H3382" s="512"/>
      <c r="I3382" s="503"/>
      <c r="J3382" s="503"/>
      <c r="K3382" s="497" t="str">
        <f ca="1">IFERROR(VLOOKUP(C3382,' Disaggregation - Section E '!A$618:N1506,3,0),"")</f>
        <v/>
      </c>
      <c r="L3382" s="497"/>
      <c r="M3382" s="497"/>
      <c r="N3382" s="503"/>
      <c r="O3382" s="503"/>
      <c r="P3382" s="503"/>
    </row>
    <row r="3383" spans="1:16" x14ac:dyDescent="0.35">
      <c r="A3383" s="497" t="b">
        <v>0</v>
      </c>
      <c r="B3383" s="497"/>
      <c r="C3383" s="497" t="s">
        <v>6208</v>
      </c>
      <c r="D3383" s="512">
        <v>45</v>
      </c>
      <c r="E3383" s="500"/>
      <c r="F3383" s="503"/>
      <c r="G3383" s="502"/>
      <c r="H3383" s="512"/>
      <c r="I3383" s="503"/>
      <c r="J3383" s="503"/>
      <c r="K3383" s="497" t="str">
        <f ca="1">IFERROR(VLOOKUP(C3383,' Disaggregation - Section E '!A$618:N1507,3,0),"")</f>
        <v/>
      </c>
      <c r="L3383" s="497"/>
      <c r="M3383" s="497"/>
      <c r="N3383" s="503"/>
      <c r="O3383" s="503"/>
      <c r="P3383" s="503"/>
    </row>
    <row r="3384" spans="1:16" x14ac:dyDescent="0.35">
      <c r="A3384" s="497" t="b">
        <v>0</v>
      </c>
      <c r="B3384" s="497"/>
      <c r="C3384" s="497" t="s">
        <v>6210</v>
      </c>
      <c r="D3384" s="512">
        <v>45</v>
      </c>
      <c r="E3384" s="500"/>
      <c r="F3384" s="503"/>
      <c r="G3384" s="502"/>
      <c r="H3384" s="512"/>
      <c r="I3384" s="503"/>
      <c r="J3384" s="503"/>
      <c r="K3384" s="497" t="str">
        <f ca="1">IFERROR(VLOOKUP(C3384,' Disaggregation - Section E '!A$618:N1508,3,0),"")</f>
        <v/>
      </c>
      <c r="L3384" s="497"/>
      <c r="M3384" s="497"/>
      <c r="N3384" s="503"/>
      <c r="O3384" s="503"/>
      <c r="P3384" s="503"/>
    </row>
    <row r="3385" spans="1:16" x14ac:dyDescent="0.35">
      <c r="A3385" s="497" t="b">
        <v>0</v>
      </c>
      <c r="B3385" s="497"/>
      <c r="C3385" s="497" t="s">
        <v>6212</v>
      </c>
      <c r="D3385" s="512">
        <v>45</v>
      </c>
      <c r="E3385" s="500"/>
      <c r="F3385" s="503"/>
      <c r="G3385" s="502"/>
      <c r="H3385" s="512"/>
      <c r="I3385" s="503"/>
      <c r="J3385" s="503"/>
      <c r="K3385" s="497" t="str">
        <f ca="1">IFERROR(VLOOKUP(C3385,' Disaggregation - Section E '!A$618:N1509,3,0),"")</f>
        <v/>
      </c>
      <c r="L3385" s="497"/>
      <c r="M3385" s="497"/>
      <c r="N3385" s="503"/>
      <c r="O3385" s="503"/>
      <c r="P3385" s="503"/>
    </row>
    <row r="3386" spans="1:16" x14ac:dyDescent="0.35">
      <c r="A3386" s="497" t="b">
        <v>0</v>
      </c>
      <c r="B3386" s="497"/>
      <c r="C3386" s="497" t="s">
        <v>6214</v>
      </c>
      <c r="D3386" s="512">
        <v>45</v>
      </c>
      <c r="E3386" s="500"/>
      <c r="F3386" s="503"/>
      <c r="G3386" s="502"/>
      <c r="H3386" s="512"/>
      <c r="I3386" s="503"/>
      <c r="J3386" s="503"/>
      <c r="K3386" s="497" t="str">
        <f ca="1">IFERROR(VLOOKUP(C3386,' Disaggregation - Section E '!A$618:N1510,3,0),"")</f>
        <v/>
      </c>
      <c r="L3386" s="497"/>
      <c r="M3386" s="497"/>
      <c r="N3386" s="503"/>
      <c r="O3386" s="503"/>
      <c r="P3386" s="503"/>
    </row>
    <row r="3387" spans="1:16" x14ac:dyDescent="0.35">
      <c r="A3387" s="497" t="b">
        <v>0</v>
      </c>
      <c r="B3387" s="497"/>
      <c r="C3387" s="497" t="s">
        <v>6216</v>
      </c>
      <c r="D3387" s="512">
        <v>45</v>
      </c>
      <c r="E3387" s="500"/>
      <c r="F3387" s="503"/>
      <c r="G3387" s="502"/>
      <c r="H3387" s="512"/>
      <c r="I3387" s="503"/>
      <c r="J3387" s="503"/>
      <c r="K3387" s="497" t="str">
        <f ca="1">IFERROR(VLOOKUP(C3387,' Disaggregation - Section E '!A$618:N1511,3,0),"")</f>
        <v/>
      </c>
      <c r="L3387" s="497"/>
      <c r="M3387" s="497"/>
      <c r="N3387" s="503"/>
      <c r="O3387" s="503"/>
      <c r="P3387" s="503"/>
    </row>
    <row r="3388" spans="1:16" x14ac:dyDescent="0.35">
      <c r="A3388" s="497" t="b">
        <v>0</v>
      </c>
      <c r="B3388" s="497"/>
      <c r="C3388" s="497" t="s">
        <v>6218</v>
      </c>
      <c r="D3388" s="512">
        <v>45</v>
      </c>
      <c r="E3388" s="500"/>
      <c r="F3388" s="503"/>
      <c r="G3388" s="502"/>
      <c r="H3388" s="512"/>
      <c r="I3388" s="503"/>
      <c r="J3388" s="503"/>
      <c r="K3388" s="497" t="str">
        <f ca="1">IFERROR(VLOOKUP(C3388,' Disaggregation - Section E '!A$618:N1512,3,0),"")</f>
        <v/>
      </c>
      <c r="L3388" s="497"/>
      <c r="M3388" s="497"/>
      <c r="N3388" s="503"/>
      <c r="O3388" s="503"/>
      <c r="P3388" s="503"/>
    </row>
    <row r="3389" spans="1:16" x14ac:dyDescent="0.35">
      <c r="A3389" s="497" t="b">
        <v>0</v>
      </c>
      <c r="B3389" s="497"/>
      <c r="C3389" s="497" t="s">
        <v>6220</v>
      </c>
      <c r="D3389" s="512">
        <v>45</v>
      </c>
      <c r="E3389" s="500"/>
      <c r="F3389" s="503"/>
      <c r="G3389" s="502"/>
      <c r="H3389" s="512"/>
      <c r="I3389" s="503"/>
      <c r="J3389" s="503"/>
      <c r="K3389" s="497" t="str">
        <f ca="1">IFERROR(VLOOKUP(C3389,' Disaggregation - Section E '!A$618:N1513,3,0),"")</f>
        <v/>
      </c>
      <c r="L3389" s="497"/>
      <c r="M3389" s="497"/>
      <c r="N3389" s="503"/>
      <c r="O3389" s="503"/>
      <c r="P3389" s="503"/>
    </row>
    <row r="3390" spans="1:16" x14ac:dyDescent="0.35">
      <c r="A3390" s="497" t="b">
        <v>0</v>
      </c>
      <c r="B3390" s="497"/>
      <c r="C3390" s="497" t="s">
        <v>6222</v>
      </c>
      <c r="D3390" s="512">
        <v>45</v>
      </c>
      <c r="E3390" s="500"/>
      <c r="F3390" s="503"/>
      <c r="G3390" s="502"/>
      <c r="H3390" s="512"/>
      <c r="I3390" s="503"/>
      <c r="J3390" s="503"/>
      <c r="K3390" s="497" t="str">
        <f ca="1">IFERROR(VLOOKUP(C3390,' Disaggregation - Section E '!A$618:N1514,3,0),"")</f>
        <v/>
      </c>
      <c r="L3390" s="497"/>
      <c r="M3390" s="497"/>
      <c r="N3390" s="503"/>
      <c r="O3390" s="503"/>
      <c r="P3390" s="503"/>
    </row>
    <row r="3391" spans="1:16" x14ac:dyDescent="0.35">
      <c r="A3391" s="497" t="b">
        <v>0</v>
      </c>
      <c r="B3391" s="497"/>
      <c r="C3391" s="497" t="s">
        <v>6224</v>
      </c>
      <c r="D3391" s="512">
        <v>45</v>
      </c>
      <c r="E3391" s="500"/>
      <c r="F3391" s="503"/>
      <c r="G3391" s="502"/>
      <c r="H3391" s="512"/>
      <c r="I3391" s="503"/>
      <c r="J3391" s="503"/>
      <c r="K3391" s="497" t="str">
        <f ca="1">IFERROR(VLOOKUP(C3391,' Disaggregation - Section E '!A$618:N1515,3,0),"")</f>
        <v/>
      </c>
      <c r="L3391" s="497"/>
      <c r="M3391" s="497"/>
      <c r="N3391" s="503"/>
      <c r="O3391" s="503"/>
      <c r="P3391" s="503"/>
    </row>
    <row r="3392" spans="1:16" x14ac:dyDescent="0.35">
      <c r="A3392" s="497" t="b">
        <v>0</v>
      </c>
      <c r="B3392" s="497"/>
      <c r="C3392" s="497" t="s">
        <v>6226</v>
      </c>
      <c r="D3392" s="512">
        <v>45</v>
      </c>
      <c r="E3392" s="500"/>
      <c r="F3392" s="503"/>
      <c r="G3392" s="502"/>
      <c r="H3392" s="512"/>
      <c r="I3392" s="503"/>
      <c r="J3392" s="503"/>
      <c r="K3392" s="497" t="str">
        <f ca="1">IFERROR(VLOOKUP(C3392,' Disaggregation - Section E '!A$618:N1516,3,0),"")</f>
        <v/>
      </c>
      <c r="L3392" s="497"/>
      <c r="M3392" s="497"/>
      <c r="N3392" s="503"/>
      <c r="O3392" s="503"/>
      <c r="P3392" s="503"/>
    </row>
    <row r="3393" spans="1:16" x14ac:dyDescent="0.35">
      <c r="A3393" s="497" t="b">
        <v>0</v>
      </c>
      <c r="B3393" s="497"/>
      <c r="C3393" s="497" t="s">
        <v>6228</v>
      </c>
      <c r="D3393" s="512">
        <v>45</v>
      </c>
      <c r="E3393" s="500"/>
      <c r="F3393" s="503"/>
      <c r="G3393" s="502"/>
      <c r="H3393" s="512"/>
      <c r="I3393" s="503"/>
      <c r="J3393" s="503"/>
      <c r="K3393" s="497" t="str">
        <f ca="1">IFERROR(VLOOKUP(C3393,' Disaggregation - Section E '!A$618:N1517,3,0),"")</f>
        <v/>
      </c>
      <c r="L3393" s="497"/>
      <c r="M3393" s="497"/>
      <c r="N3393" s="503"/>
      <c r="O3393" s="503"/>
      <c r="P3393" s="503"/>
    </row>
    <row r="3394" spans="1:16" x14ac:dyDescent="0.35">
      <c r="A3394" s="497" t="b">
        <v>0</v>
      </c>
      <c r="B3394" s="497"/>
      <c r="C3394" s="497" t="s">
        <v>6230</v>
      </c>
      <c r="D3394" s="512">
        <v>45</v>
      </c>
      <c r="E3394" s="500"/>
      <c r="F3394" s="503"/>
      <c r="G3394" s="502"/>
      <c r="H3394" s="512"/>
      <c r="I3394" s="503"/>
      <c r="J3394" s="503"/>
      <c r="K3394" s="497" t="str">
        <f ca="1">IFERROR(VLOOKUP(C3394,' Disaggregation - Section E '!A$618:N1518,3,0),"")</f>
        <v/>
      </c>
      <c r="L3394" s="497"/>
      <c r="M3394" s="497"/>
      <c r="N3394" s="503"/>
      <c r="O3394" s="503"/>
      <c r="P3394" s="503"/>
    </row>
    <row r="3395" spans="1:16" x14ac:dyDescent="0.35">
      <c r="A3395" s="497" t="b">
        <v>0</v>
      </c>
      <c r="B3395" s="497"/>
      <c r="C3395" s="497" t="s">
        <v>6232</v>
      </c>
      <c r="D3395" s="512">
        <v>45</v>
      </c>
      <c r="E3395" s="500"/>
      <c r="F3395" s="503"/>
      <c r="G3395" s="502"/>
      <c r="H3395" s="512"/>
      <c r="I3395" s="503"/>
      <c r="J3395" s="503"/>
      <c r="K3395" s="497" t="str">
        <f ca="1">IFERROR(VLOOKUP(C3395,' Disaggregation - Section E '!A$618:N1519,3,0),"")</f>
        <v/>
      </c>
      <c r="L3395" s="497"/>
      <c r="M3395" s="497"/>
      <c r="N3395" s="503"/>
      <c r="O3395" s="503"/>
      <c r="P3395" s="503"/>
    </row>
    <row r="3396" spans="1:16" x14ac:dyDescent="0.35">
      <c r="A3396" s="497" t="b">
        <v>0</v>
      </c>
      <c r="B3396" s="497"/>
      <c r="C3396" s="497" t="s">
        <v>6234</v>
      </c>
      <c r="D3396" s="512">
        <v>45</v>
      </c>
      <c r="E3396" s="500"/>
      <c r="F3396" s="503"/>
      <c r="G3396" s="502"/>
      <c r="H3396" s="512"/>
      <c r="I3396" s="503"/>
      <c r="J3396" s="503"/>
      <c r="K3396" s="497" t="str">
        <f ca="1">IFERROR(VLOOKUP(C3396,' Disaggregation - Section E '!A$618:N1520,3,0),"")</f>
        <v/>
      </c>
      <c r="L3396" s="497"/>
      <c r="M3396" s="497"/>
      <c r="N3396" s="503"/>
      <c r="O3396" s="503"/>
      <c r="P3396" s="503"/>
    </row>
    <row r="3397" spans="1:16" x14ac:dyDescent="0.35">
      <c r="A3397" s="497" t="b">
        <v>0</v>
      </c>
      <c r="B3397" s="497"/>
      <c r="C3397" s="497" t="s">
        <v>6236</v>
      </c>
      <c r="D3397" s="512">
        <v>45</v>
      </c>
      <c r="E3397" s="500"/>
      <c r="F3397" s="503"/>
      <c r="G3397" s="502"/>
      <c r="H3397" s="512"/>
      <c r="I3397" s="503"/>
      <c r="J3397" s="503"/>
      <c r="K3397" s="497" t="str">
        <f ca="1">IFERROR(VLOOKUP(C3397,' Disaggregation - Section E '!A$618:N1521,3,0),"")</f>
        <v/>
      </c>
      <c r="L3397" s="497"/>
      <c r="M3397" s="497"/>
      <c r="N3397" s="503"/>
      <c r="O3397" s="503"/>
      <c r="P3397" s="503"/>
    </row>
    <row r="3398" spans="1:16" x14ac:dyDescent="0.35">
      <c r="A3398" s="497" t="b">
        <v>0</v>
      </c>
      <c r="B3398" s="497"/>
      <c r="C3398" s="497" t="s">
        <v>6238</v>
      </c>
      <c r="D3398" s="512">
        <v>45</v>
      </c>
      <c r="E3398" s="500"/>
      <c r="F3398" s="503"/>
      <c r="G3398" s="502"/>
      <c r="H3398" s="512"/>
      <c r="I3398" s="503"/>
      <c r="J3398" s="503"/>
      <c r="K3398" s="497" t="str">
        <f ca="1">IFERROR(VLOOKUP(C3398,' Disaggregation - Section E '!A$618:N1522,3,0),"")</f>
        <v/>
      </c>
      <c r="L3398" s="497"/>
      <c r="M3398" s="497"/>
      <c r="N3398" s="503"/>
      <c r="O3398" s="503"/>
      <c r="P3398" s="503"/>
    </row>
    <row r="3399" spans="1:16" x14ac:dyDescent="0.35">
      <c r="A3399" s="497" t="b">
        <v>0</v>
      </c>
      <c r="B3399" s="497"/>
      <c r="C3399" s="497" t="s">
        <v>6240</v>
      </c>
      <c r="D3399" s="512">
        <v>45</v>
      </c>
      <c r="E3399" s="500"/>
      <c r="F3399" s="503"/>
      <c r="G3399" s="502"/>
      <c r="H3399" s="512"/>
      <c r="I3399" s="503"/>
      <c r="J3399" s="503"/>
      <c r="K3399" s="497" t="str">
        <f ca="1">IFERROR(VLOOKUP(C3399,' Disaggregation - Section E '!A$618:N1523,3,0),"")</f>
        <v/>
      </c>
      <c r="L3399" s="497"/>
      <c r="M3399" s="497"/>
      <c r="N3399" s="503"/>
      <c r="O3399" s="503"/>
      <c r="P3399" s="503"/>
    </row>
    <row r="3400" spans="1:16" x14ac:dyDescent="0.35">
      <c r="A3400" s="497" t="b">
        <v>0</v>
      </c>
      <c r="B3400" s="497"/>
      <c r="C3400" s="497" t="s">
        <v>7474</v>
      </c>
      <c r="D3400" s="512">
        <v>46</v>
      </c>
      <c r="E3400" s="500"/>
      <c r="F3400" s="503"/>
      <c r="G3400" s="502"/>
      <c r="H3400" s="512"/>
      <c r="I3400" s="503"/>
      <c r="J3400" s="503"/>
      <c r="K3400" s="497" t="str">
        <f ca="1">IFERROR(VLOOKUP(C3400,' Disaggregation - Section E '!A$618:N1524,3,0),"")</f>
        <v/>
      </c>
      <c r="L3400" s="497"/>
      <c r="M3400" s="497"/>
      <c r="N3400" s="503"/>
      <c r="O3400" s="503"/>
      <c r="P3400" s="503"/>
    </row>
    <row r="3401" spans="1:16" x14ac:dyDescent="0.35">
      <c r="A3401" s="497" t="b">
        <v>0</v>
      </c>
      <c r="B3401" s="497"/>
      <c r="C3401" s="497" t="s">
        <v>7476</v>
      </c>
      <c r="D3401" s="512">
        <v>46</v>
      </c>
      <c r="E3401" s="500"/>
      <c r="F3401" s="503"/>
      <c r="G3401" s="502"/>
      <c r="H3401" s="512"/>
      <c r="I3401" s="503"/>
      <c r="J3401" s="503"/>
      <c r="K3401" s="497" t="str">
        <f ca="1">IFERROR(VLOOKUP(C3401,' Disaggregation - Section E '!A$618:N1525,3,0),"")</f>
        <v/>
      </c>
      <c r="L3401" s="497"/>
      <c r="M3401" s="497"/>
      <c r="N3401" s="503"/>
      <c r="O3401" s="503"/>
      <c r="P3401" s="503"/>
    </row>
    <row r="3402" spans="1:16" x14ac:dyDescent="0.35">
      <c r="A3402" s="497" t="b">
        <v>0</v>
      </c>
      <c r="B3402" s="497"/>
      <c r="C3402" s="497" t="s">
        <v>7478</v>
      </c>
      <c r="D3402" s="512">
        <v>46</v>
      </c>
      <c r="E3402" s="500"/>
      <c r="F3402" s="503"/>
      <c r="G3402" s="502"/>
      <c r="H3402" s="512"/>
      <c r="I3402" s="503"/>
      <c r="J3402" s="503"/>
      <c r="K3402" s="497" t="str">
        <f ca="1">IFERROR(VLOOKUP(C3402,' Disaggregation - Section E '!A$618:N1526,3,0),"")</f>
        <v/>
      </c>
      <c r="L3402" s="497"/>
      <c r="M3402" s="497"/>
      <c r="N3402" s="503"/>
      <c r="O3402" s="503"/>
      <c r="P3402" s="503"/>
    </row>
    <row r="3403" spans="1:16" x14ac:dyDescent="0.35">
      <c r="A3403" s="497" t="b">
        <v>0</v>
      </c>
      <c r="B3403" s="497"/>
      <c r="C3403" s="497" t="s">
        <v>7480</v>
      </c>
      <c r="D3403" s="512">
        <v>46</v>
      </c>
      <c r="E3403" s="500"/>
      <c r="F3403" s="503"/>
      <c r="G3403" s="502"/>
      <c r="H3403" s="512"/>
      <c r="I3403" s="503"/>
      <c r="J3403" s="503"/>
      <c r="K3403" s="497" t="str">
        <f ca="1">IFERROR(VLOOKUP(C3403,' Disaggregation - Section E '!A$618:N1527,3,0),"")</f>
        <v/>
      </c>
      <c r="L3403" s="497"/>
      <c r="M3403" s="497"/>
      <c r="N3403" s="503"/>
      <c r="O3403" s="503"/>
      <c r="P3403" s="503"/>
    </row>
    <row r="3404" spans="1:16" x14ac:dyDescent="0.35">
      <c r="A3404" s="497" t="b">
        <v>0</v>
      </c>
      <c r="B3404" s="497"/>
      <c r="C3404" s="497" t="s">
        <v>7482</v>
      </c>
      <c r="D3404" s="512">
        <v>46</v>
      </c>
      <c r="E3404" s="500"/>
      <c r="F3404" s="503"/>
      <c r="G3404" s="502"/>
      <c r="H3404" s="512"/>
      <c r="I3404" s="503"/>
      <c r="J3404" s="503"/>
      <c r="K3404" s="497" t="str">
        <f ca="1">IFERROR(VLOOKUP(C3404,' Disaggregation - Section E '!A$618:N1528,3,0),"")</f>
        <v/>
      </c>
      <c r="L3404" s="497"/>
      <c r="M3404" s="497"/>
      <c r="N3404" s="503"/>
      <c r="O3404" s="503"/>
      <c r="P3404" s="503"/>
    </row>
    <row r="3405" spans="1:16" x14ac:dyDescent="0.35">
      <c r="A3405" s="497" t="b">
        <v>0</v>
      </c>
      <c r="B3405" s="497"/>
      <c r="C3405" s="497" t="s">
        <v>7484</v>
      </c>
      <c r="D3405" s="512">
        <v>46</v>
      </c>
      <c r="E3405" s="500"/>
      <c r="F3405" s="503"/>
      <c r="G3405" s="502"/>
      <c r="H3405" s="512"/>
      <c r="I3405" s="503"/>
      <c r="J3405" s="503"/>
      <c r="K3405" s="497" t="str">
        <f ca="1">IFERROR(VLOOKUP(C3405,' Disaggregation - Section E '!A$618:N1529,3,0),"")</f>
        <v/>
      </c>
      <c r="L3405" s="497"/>
      <c r="M3405" s="497"/>
      <c r="N3405" s="503"/>
      <c r="O3405" s="503"/>
      <c r="P3405" s="503"/>
    </row>
    <row r="3406" spans="1:16" x14ac:dyDescent="0.35">
      <c r="A3406" s="497" t="b">
        <v>0</v>
      </c>
      <c r="B3406" s="497"/>
      <c r="C3406" s="497" t="s">
        <v>7486</v>
      </c>
      <c r="D3406" s="512">
        <v>46</v>
      </c>
      <c r="E3406" s="500"/>
      <c r="F3406" s="503"/>
      <c r="G3406" s="502"/>
      <c r="H3406" s="512"/>
      <c r="I3406" s="503"/>
      <c r="J3406" s="503"/>
      <c r="K3406" s="497" t="str">
        <f ca="1">IFERROR(VLOOKUP(C3406,' Disaggregation - Section E '!A$618:N1530,3,0),"")</f>
        <v/>
      </c>
      <c r="L3406" s="497"/>
      <c r="M3406" s="497"/>
      <c r="N3406" s="503"/>
      <c r="O3406" s="503"/>
      <c r="P3406" s="503"/>
    </row>
    <row r="3407" spans="1:16" x14ac:dyDescent="0.35">
      <c r="A3407" s="497" t="b">
        <v>0</v>
      </c>
      <c r="B3407" s="497"/>
      <c r="C3407" s="497" t="s">
        <v>7488</v>
      </c>
      <c r="D3407" s="512">
        <v>46</v>
      </c>
      <c r="E3407" s="500"/>
      <c r="F3407" s="503"/>
      <c r="G3407" s="502"/>
      <c r="H3407" s="512"/>
      <c r="I3407" s="503"/>
      <c r="J3407" s="503"/>
      <c r="K3407" s="497" t="str">
        <f ca="1">IFERROR(VLOOKUP(C3407,' Disaggregation - Section E '!A$618:N1531,3,0),"")</f>
        <v/>
      </c>
      <c r="L3407" s="497"/>
      <c r="M3407" s="497"/>
      <c r="N3407" s="503"/>
      <c r="O3407" s="503"/>
      <c r="P3407" s="503"/>
    </row>
    <row r="3408" spans="1:16" x14ac:dyDescent="0.35">
      <c r="A3408" s="497" t="b">
        <v>0</v>
      </c>
      <c r="B3408" s="497"/>
      <c r="C3408" s="497" t="s">
        <v>7490</v>
      </c>
      <c r="D3408" s="512">
        <v>46</v>
      </c>
      <c r="E3408" s="500"/>
      <c r="F3408" s="503"/>
      <c r="G3408" s="502"/>
      <c r="H3408" s="512"/>
      <c r="I3408" s="503"/>
      <c r="J3408" s="503"/>
      <c r="K3408" s="497" t="str">
        <f ca="1">IFERROR(VLOOKUP(C3408,' Disaggregation - Section E '!A$618:N1532,3,0),"")</f>
        <v/>
      </c>
      <c r="L3408" s="497"/>
      <c r="M3408" s="497"/>
      <c r="N3408" s="503"/>
      <c r="O3408" s="503"/>
      <c r="P3408" s="503"/>
    </row>
    <row r="3409" spans="1:16" x14ac:dyDescent="0.35">
      <c r="A3409" s="497" t="b">
        <v>0</v>
      </c>
      <c r="B3409" s="497"/>
      <c r="C3409" s="497" t="s">
        <v>7492</v>
      </c>
      <c r="D3409" s="512">
        <v>46</v>
      </c>
      <c r="E3409" s="500"/>
      <c r="F3409" s="503"/>
      <c r="G3409" s="502"/>
      <c r="H3409" s="512"/>
      <c r="I3409" s="503"/>
      <c r="J3409" s="503"/>
      <c r="K3409" s="497" t="str">
        <f ca="1">IFERROR(VLOOKUP(C3409,' Disaggregation - Section E '!A$618:N1533,3,0),"")</f>
        <v/>
      </c>
      <c r="L3409" s="497"/>
      <c r="M3409" s="497"/>
      <c r="N3409" s="503"/>
      <c r="O3409" s="503"/>
      <c r="P3409" s="503"/>
    </row>
    <row r="3410" spans="1:16" x14ac:dyDescent="0.35">
      <c r="A3410" s="497" t="b">
        <v>0</v>
      </c>
      <c r="B3410" s="497"/>
      <c r="C3410" s="497" t="s">
        <v>7494</v>
      </c>
      <c r="D3410" s="512">
        <v>46</v>
      </c>
      <c r="E3410" s="500"/>
      <c r="F3410" s="503"/>
      <c r="G3410" s="502"/>
      <c r="H3410" s="512"/>
      <c r="I3410" s="503"/>
      <c r="J3410" s="503"/>
      <c r="K3410" s="497" t="str">
        <f ca="1">IFERROR(VLOOKUP(C3410,' Disaggregation - Section E '!A$618:N1534,3,0),"")</f>
        <v/>
      </c>
      <c r="L3410" s="497"/>
      <c r="M3410" s="497"/>
      <c r="N3410" s="503"/>
      <c r="O3410" s="503"/>
      <c r="P3410" s="503"/>
    </row>
    <row r="3411" spans="1:16" x14ac:dyDescent="0.35">
      <c r="A3411" s="497" t="b">
        <v>0</v>
      </c>
      <c r="B3411" s="497"/>
      <c r="C3411" s="497" t="s">
        <v>7496</v>
      </c>
      <c r="D3411" s="512">
        <v>46</v>
      </c>
      <c r="E3411" s="500"/>
      <c r="F3411" s="503"/>
      <c r="G3411" s="502"/>
      <c r="H3411" s="512"/>
      <c r="I3411" s="503"/>
      <c r="J3411" s="503"/>
      <c r="K3411" s="497" t="str">
        <f ca="1">IFERROR(VLOOKUP(C3411,' Disaggregation - Section E '!A$618:N1535,3,0),"")</f>
        <v/>
      </c>
      <c r="L3411" s="497"/>
      <c r="M3411" s="497"/>
      <c r="N3411" s="503"/>
      <c r="O3411" s="503"/>
      <c r="P3411" s="503"/>
    </row>
    <row r="3412" spans="1:16" x14ac:dyDescent="0.35">
      <c r="A3412" s="497" t="b">
        <v>0</v>
      </c>
      <c r="B3412" s="497"/>
      <c r="C3412" s="497" t="s">
        <v>7498</v>
      </c>
      <c r="D3412" s="512">
        <v>46</v>
      </c>
      <c r="E3412" s="500"/>
      <c r="F3412" s="503"/>
      <c r="G3412" s="502"/>
      <c r="H3412" s="512"/>
      <c r="I3412" s="503"/>
      <c r="J3412" s="503"/>
      <c r="K3412" s="497" t="str">
        <f ca="1">IFERROR(VLOOKUP(C3412,' Disaggregation - Section E '!A$618:N1536,3,0),"")</f>
        <v/>
      </c>
      <c r="L3412" s="497"/>
      <c r="M3412" s="497"/>
      <c r="N3412" s="503"/>
      <c r="O3412" s="503"/>
      <c r="P3412" s="503"/>
    </row>
    <row r="3413" spans="1:16" x14ac:dyDescent="0.35">
      <c r="A3413" s="497" t="b">
        <v>0</v>
      </c>
      <c r="B3413" s="497"/>
      <c r="C3413" s="497" t="s">
        <v>7500</v>
      </c>
      <c r="D3413" s="512">
        <v>46</v>
      </c>
      <c r="E3413" s="500"/>
      <c r="F3413" s="503"/>
      <c r="G3413" s="502"/>
      <c r="H3413" s="512"/>
      <c r="I3413" s="503"/>
      <c r="J3413" s="503"/>
      <c r="K3413" s="497" t="str">
        <f ca="1">IFERROR(VLOOKUP(C3413,' Disaggregation - Section E '!A$618:N1537,3,0),"")</f>
        <v/>
      </c>
      <c r="L3413" s="497"/>
      <c r="M3413" s="497"/>
      <c r="N3413" s="503"/>
      <c r="O3413" s="503"/>
      <c r="P3413" s="503"/>
    </row>
    <row r="3414" spans="1:16" x14ac:dyDescent="0.35">
      <c r="A3414" s="497" t="b">
        <v>0</v>
      </c>
      <c r="B3414" s="497"/>
      <c r="C3414" s="497" t="s">
        <v>7502</v>
      </c>
      <c r="D3414" s="512">
        <v>46</v>
      </c>
      <c r="E3414" s="500"/>
      <c r="F3414" s="503"/>
      <c r="G3414" s="502"/>
      <c r="H3414" s="512"/>
      <c r="I3414" s="503"/>
      <c r="J3414" s="503"/>
      <c r="K3414" s="497" t="str">
        <f ca="1">IFERROR(VLOOKUP(C3414,' Disaggregation - Section E '!A$618:N1538,3,0),"")</f>
        <v/>
      </c>
      <c r="L3414" s="497"/>
      <c r="M3414" s="497"/>
      <c r="N3414" s="503"/>
      <c r="O3414" s="503"/>
      <c r="P3414" s="503"/>
    </row>
    <row r="3415" spans="1:16" x14ac:dyDescent="0.35">
      <c r="A3415" s="497" t="b">
        <v>0</v>
      </c>
      <c r="B3415" s="497"/>
      <c r="C3415" s="497" t="s">
        <v>7504</v>
      </c>
      <c r="D3415" s="512">
        <v>46</v>
      </c>
      <c r="E3415" s="500"/>
      <c r="F3415" s="503"/>
      <c r="G3415" s="502"/>
      <c r="H3415" s="512"/>
      <c r="I3415" s="503"/>
      <c r="J3415" s="503"/>
      <c r="K3415" s="497" t="str">
        <f ca="1">IFERROR(VLOOKUP(C3415,' Disaggregation - Section E '!A$618:N1539,3,0),"")</f>
        <v/>
      </c>
      <c r="L3415" s="497"/>
      <c r="M3415" s="497"/>
      <c r="N3415" s="503"/>
      <c r="O3415" s="503"/>
      <c r="P3415" s="503"/>
    </row>
    <row r="3416" spans="1:16" x14ac:dyDescent="0.35">
      <c r="A3416" s="497" t="b">
        <v>0</v>
      </c>
      <c r="B3416" s="497"/>
      <c r="C3416" s="497" t="s">
        <v>7506</v>
      </c>
      <c r="D3416" s="512">
        <v>46</v>
      </c>
      <c r="E3416" s="500"/>
      <c r="F3416" s="503"/>
      <c r="G3416" s="502"/>
      <c r="H3416" s="512"/>
      <c r="I3416" s="503"/>
      <c r="J3416" s="503"/>
      <c r="K3416" s="497" t="str">
        <f ca="1">IFERROR(VLOOKUP(C3416,' Disaggregation - Section E '!A$618:N1540,3,0),"")</f>
        <v/>
      </c>
      <c r="L3416" s="497"/>
      <c r="M3416" s="497"/>
      <c r="N3416" s="503"/>
      <c r="O3416" s="503"/>
      <c r="P3416" s="503"/>
    </row>
    <row r="3417" spans="1:16" x14ac:dyDescent="0.35">
      <c r="A3417" s="497" t="b">
        <v>0</v>
      </c>
      <c r="B3417" s="497"/>
      <c r="C3417" s="497" t="s">
        <v>7508</v>
      </c>
      <c r="D3417" s="512">
        <v>46</v>
      </c>
      <c r="E3417" s="500"/>
      <c r="F3417" s="503"/>
      <c r="G3417" s="502"/>
      <c r="H3417" s="512"/>
      <c r="I3417" s="503"/>
      <c r="J3417" s="503"/>
      <c r="K3417" s="497" t="str">
        <f ca="1">IFERROR(VLOOKUP(C3417,' Disaggregation - Section E '!A$618:N1541,3,0),"")</f>
        <v/>
      </c>
      <c r="L3417" s="497"/>
      <c r="M3417" s="497"/>
      <c r="N3417" s="503"/>
      <c r="O3417" s="503"/>
      <c r="P3417" s="503"/>
    </row>
    <row r="3418" spans="1:16" x14ac:dyDescent="0.35">
      <c r="A3418" s="497" t="b">
        <v>0</v>
      </c>
      <c r="B3418" s="497"/>
      <c r="C3418" s="497" t="s">
        <v>7510</v>
      </c>
      <c r="D3418" s="512">
        <v>46</v>
      </c>
      <c r="E3418" s="500"/>
      <c r="F3418" s="503"/>
      <c r="G3418" s="502"/>
      <c r="H3418" s="512"/>
      <c r="I3418" s="503"/>
      <c r="J3418" s="503"/>
      <c r="K3418" s="497" t="str">
        <f ca="1">IFERROR(VLOOKUP(C3418,' Disaggregation - Section E '!A$618:N1542,3,0),"")</f>
        <v/>
      </c>
      <c r="L3418" s="497"/>
      <c r="M3418" s="497"/>
      <c r="N3418" s="503"/>
      <c r="O3418" s="503"/>
      <c r="P3418" s="503"/>
    </row>
    <row r="3419" spans="1:16" x14ac:dyDescent="0.35">
      <c r="A3419" s="497" t="b">
        <v>0</v>
      </c>
      <c r="B3419" s="497"/>
      <c r="C3419" s="497" t="s">
        <v>7512</v>
      </c>
      <c r="D3419" s="512">
        <v>46</v>
      </c>
      <c r="E3419" s="500"/>
      <c r="F3419" s="503"/>
      <c r="G3419" s="502"/>
      <c r="H3419" s="512"/>
      <c r="I3419" s="503"/>
      <c r="J3419" s="503"/>
      <c r="K3419" s="497" t="str">
        <f ca="1">IFERROR(VLOOKUP(C3419,' Disaggregation - Section E '!A$618:N1543,3,0),"")</f>
        <v/>
      </c>
      <c r="L3419" s="497"/>
      <c r="M3419" s="497"/>
      <c r="N3419" s="503"/>
      <c r="O3419" s="503"/>
      <c r="P3419" s="503"/>
    </row>
    <row r="3420" spans="1:16" x14ac:dyDescent="0.35">
      <c r="A3420" s="497" t="b">
        <v>0</v>
      </c>
      <c r="B3420" s="497"/>
      <c r="C3420" s="497" t="s">
        <v>6243</v>
      </c>
      <c r="D3420" s="512">
        <v>47</v>
      </c>
      <c r="E3420" s="500"/>
      <c r="F3420" s="503"/>
      <c r="G3420" s="502"/>
      <c r="H3420" s="512"/>
      <c r="I3420" s="503"/>
      <c r="J3420" s="503"/>
      <c r="K3420" s="497" t="str">
        <f ca="1">IFERROR(VLOOKUP(C3420,' Disaggregation - Section E '!A$618:N1544,3,0),"")</f>
        <v/>
      </c>
      <c r="L3420" s="497"/>
      <c r="M3420" s="497"/>
      <c r="N3420" s="503"/>
      <c r="O3420" s="503"/>
      <c r="P3420" s="503"/>
    </row>
    <row r="3421" spans="1:16" x14ac:dyDescent="0.35">
      <c r="A3421" s="497" t="b">
        <v>0</v>
      </c>
      <c r="B3421" s="497"/>
      <c r="C3421" s="497" t="s">
        <v>6245</v>
      </c>
      <c r="D3421" s="512">
        <v>47</v>
      </c>
      <c r="E3421" s="500"/>
      <c r="F3421" s="503"/>
      <c r="G3421" s="502"/>
      <c r="H3421" s="512"/>
      <c r="I3421" s="503"/>
      <c r="J3421" s="503"/>
      <c r="K3421" s="497" t="str">
        <f ca="1">IFERROR(VLOOKUP(C3421,' Disaggregation - Section E '!A$618:N1545,3,0),"")</f>
        <v/>
      </c>
      <c r="L3421" s="497"/>
      <c r="M3421" s="497"/>
      <c r="N3421" s="503"/>
      <c r="O3421" s="503"/>
      <c r="P3421" s="503"/>
    </row>
    <row r="3422" spans="1:16" x14ac:dyDescent="0.35">
      <c r="A3422" s="497" t="b">
        <v>0</v>
      </c>
      <c r="B3422" s="497"/>
      <c r="C3422" s="497" t="s">
        <v>6247</v>
      </c>
      <c r="D3422" s="512">
        <v>47</v>
      </c>
      <c r="E3422" s="500"/>
      <c r="F3422" s="503"/>
      <c r="G3422" s="502"/>
      <c r="H3422" s="512"/>
      <c r="I3422" s="503"/>
      <c r="J3422" s="503"/>
      <c r="K3422" s="497" t="str">
        <f ca="1">IFERROR(VLOOKUP(C3422,' Disaggregation - Section E '!A$618:N1546,3,0),"")</f>
        <v/>
      </c>
      <c r="L3422" s="497"/>
      <c r="M3422" s="497"/>
      <c r="N3422" s="503"/>
      <c r="O3422" s="503"/>
      <c r="P3422" s="503"/>
    </row>
    <row r="3423" spans="1:16" x14ac:dyDescent="0.35">
      <c r="A3423" s="497" t="b">
        <v>0</v>
      </c>
      <c r="B3423" s="497"/>
      <c r="C3423" s="497" t="s">
        <v>6249</v>
      </c>
      <c r="D3423" s="512">
        <v>47</v>
      </c>
      <c r="E3423" s="500"/>
      <c r="F3423" s="503"/>
      <c r="G3423" s="502"/>
      <c r="H3423" s="512"/>
      <c r="I3423" s="503"/>
      <c r="J3423" s="503"/>
      <c r="K3423" s="497" t="str">
        <f ca="1">IFERROR(VLOOKUP(C3423,' Disaggregation - Section E '!A$618:N1547,3,0),"")</f>
        <v/>
      </c>
      <c r="L3423" s="497"/>
      <c r="M3423" s="497"/>
      <c r="N3423" s="503"/>
      <c r="O3423" s="503"/>
      <c r="P3423" s="503"/>
    </row>
    <row r="3424" spans="1:16" x14ac:dyDescent="0.35">
      <c r="A3424" s="497" t="b">
        <v>0</v>
      </c>
      <c r="B3424" s="497"/>
      <c r="C3424" s="497" t="s">
        <v>6251</v>
      </c>
      <c r="D3424" s="512">
        <v>47</v>
      </c>
      <c r="E3424" s="500"/>
      <c r="F3424" s="503"/>
      <c r="G3424" s="502"/>
      <c r="H3424" s="512"/>
      <c r="I3424" s="503"/>
      <c r="J3424" s="503"/>
      <c r="K3424" s="497" t="str">
        <f ca="1">IFERROR(VLOOKUP(C3424,' Disaggregation - Section E '!A$618:N1548,3,0),"")</f>
        <v/>
      </c>
      <c r="L3424" s="497"/>
      <c r="M3424" s="497"/>
      <c r="N3424" s="503"/>
      <c r="O3424" s="503"/>
      <c r="P3424" s="503"/>
    </row>
    <row r="3425" spans="1:16" x14ac:dyDescent="0.35">
      <c r="A3425" s="497" t="b">
        <v>0</v>
      </c>
      <c r="B3425" s="497"/>
      <c r="C3425" s="497" t="s">
        <v>6253</v>
      </c>
      <c r="D3425" s="512">
        <v>47</v>
      </c>
      <c r="E3425" s="500"/>
      <c r="F3425" s="503"/>
      <c r="G3425" s="502"/>
      <c r="H3425" s="512"/>
      <c r="I3425" s="503"/>
      <c r="J3425" s="503"/>
      <c r="K3425" s="497" t="str">
        <f ca="1">IFERROR(VLOOKUP(C3425,' Disaggregation - Section E '!A$618:N1549,3,0),"")</f>
        <v/>
      </c>
      <c r="L3425" s="497"/>
      <c r="M3425" s="497"/>
      <c r="N3425" s="503"/>
      <c r="O3425" s="503"/>
      <c r="P3425" s="503"/>
    </row>
    <row r="3426" spans="1:16" x14ac:dyDescent="0.35">
      <c r="A3426" s="497" t="b">
        <v>0</v>
      </c>
      <c r="B3426" s="497"/>
      <c r="C3426" s="497" t="s">
        <v>6255</v>
      </c>
      <c r="D3426" s="512">
        <v>47</v>
      </c>
      <c r="E3426" s="500"/>
      <c r="F3426" s="503"/>
      <c r="G3426" s="502"/>
      <c r="H3426" s="512"/>
      <c r="I3426" s="503"/>
      <c r="J3426" s="503"/>
      <c r="K3426" s="497" t="str">
        <f ca="1">IFERROR(VLOOKUP(C3426,' Disaggregation - Section E '!A$618:N1550,3,0),"")</f>
        <v/>
      </c>
      <c r="L3426" s="497"/>
      <c r="M3426" s="497"/>
      <c r="N3426" s="503"/>
      <c r="O3426" s="503"/>
      <c r="P3426" s="503"/>
    </row>
    <row r="3427" spans="1:16" x14ac:dyDescent="0.35">
      <c r="A3427" s="497" t="b">
        <v>0</v>
      </c>
      <c r="B3427" s="497"/>
      <c r="C3427" s="497" t="s">
        <v>6257</v>
      </c>
      <c r="D3427" s="512">
        <v>47</v>
      </c>
      <c r="E3427" s="500"/>
      <c r="F3427" s="503"/>
      <c r="G3427" s="502"/>
      <c r="H3427" s="512"/>
      <c r="I3427" s="503"/>
      <c r="J3427" s="503"/>
      <c r="K3427" s="497" t="str">
        <f ca="1">IFERROR(VLOOKUP(C3427,' Disaggregation - Section E '!A$618:N1551,3,0),"")</f>
        <v/>
      </c>
      <c r="L3427" s="497"/>
      <c r="M3427" s="497"/>
      <c r="N3427" s="503"/>
      <c r="O3427" s="503"/>
      <c r="P3427" s="503"/>
    </row>
    <row r="3428" spans="1:16" x14ac:dyDescent="0.35">
      <c r="A3428" s="497" t="b">
        <v>0</v>
      </c>
      <c r="B3428" s="497"/>
      <c r="C3428" s="497" t="s">
        <v>6259</v>
      </c>
      <c r="D3428" s="512">
        <v>47</v>
      </c>
      <c r="E3428" s="500"/>
      <c r="F3428" s="503"/>
      <c r="G3428" s="502"/>
      <c r="H3428" s="512"/>
      <c r="I3428" s="503"/>
      <c r="J3428" s="503"/>
      <c r="K3428" s="497" t="str">
        <f ca="1">IFERROR(VLOOKUP(C3428,' Disaggregation - Section E '!A$618:N1552,3,0),"")</f>
        <v/>
      </c>
      <c r="L3428" s="497"/>
      <c r="M3428" s="497"/>
      <c r="N3428" s="503"/>
      <c r="O3428" s="503"/>
      <c r="P3428" s="503"/>
    </row>
    <row r="3429" spans="1:16" x14ac:dyDescent="0.35">
      <c r="A3429" s="497" t="b">
        <v>0</v>
      </c>
      <c r="B3429" s="497"/>
      <c r="C3429" s="497" t="s">
        <v>6261</v>
      </c>
      <c r="D3429" s="512">
        <v>47</v>
      </c>
      <c r="E3429" s="500"/>
      <c r="F3429" s="503"/>
      <c r="G3429" s="502"/>
      <c r="H3429" s="512"/>
      <c r="I3429" s="503"/>
      <c r="J3429" s="503"/>
      <c r="K3429" s="497" t="str">
        <f ca="1">IFERROR(VLOOKUP(C3429,' Disaggregation - Section E '!A$618:N1553,3,0),"")</f>
        <v/>
      </c>
      <c r="L3429" s="497"/>
      <c r="M3429" s="497"/>
      <c r="N3429" s="503"/>
      <c r="O3429" s="503"/>
      <c r="P3429" s="503"/>
    </row>
    <row r="3430" spans="1:16" x14ac:dyDescent="0.35">
      <c r="A3430" s="497" t="b">
        <v>0</v>
      </c>
      <c r="B3430" s="497"/>
      <c r="C3430" s="497" t="s">
        <v>6263</v>
      </c>
      <c r="D3430" s="512">
        <v>47</v>
      </c>
      <c r="E3430" s="500"/>
      <c r="F3430" s="503"/>
      <c r="G3430" s="502"/>
      <c r="H3430" s="512"/>
      <c r="I3430" s="503"/>
      <c r="J3430" s="503"/>
      <c r="K3430" s="497" t="str">
        <f ca="1">IFERROR(VLOOKUP(C3430,' Disaggregation - Section E '!A$618:N1554,3,0),"")</f>
        <v/>
      </c>
      <c r="L3430" s="497"/>
      <c r="M3430" s="497"/>
      <c r="N3430" s="503"/>
      <c r="O3430" s="503"/>
      <c r="P3430" s="503"/>
    </row>
    <row r="3431" spans="1:16" x14ac:dyDescent="0.35">
      <c r="A3431" s="497" t="b">
        <v>0</v>
      </c>
      <c r="B3431" s="497"/>
      <c r="C3431" s="497" t="s">
        <v>6265</v>
      </c>
      <c r="D3431" s="512">
        <v>47</v>
      </c>
      <c r="E3431" s="500"/>
      <c r="F3431" s="503"/>
      <c r="G3431" s="502"/>
      <c r="H3431" s="512"/>
      <c r="I3431" s="503"/>
      <c r="J3431" s="503"/>
      <c r="K3431" s="497" t="str">
        <f ca="1">IFERROR(VLOOKUP(C3431,' Disaggregation - Section E '!A$618:N1555,3,0),"")</f>
        <v/>
      </c>
      <c r="L3431" s="497"/>
      <c r="M3431" s="497"/>
      <c r="N3431" s="503"/>
      <c r="O3431" s="503"/>
      <c r="P3431" s="503"/>
    </row>
    <row r="3432" spans="1:16" x14ac:dyDescent="0.35">
      <c r="A3432" s="497" t="b">
        <v>0</v>
      </c>
      <c r="B3432" s="497"/>
      <c r="C3432" s="497" t="s">
        <v>6267</v>
      </c>
      <c r="D3432" s="512">
        <v>47</v>
      </c>
      <c r="E3432" s="500"/>
      <c r="F3432" s="503"/>
      <c r="G3432" s="502"/>
      <c r="H3432" s="512"/>
      <c r="I3432" s="503"/>
      <c r="J3432" s="503"/>
      <c r="K3432" s="497" t="str">
        <f ca="1">IFERROR(VLOOKUP(C3432,' Disaggregation - Section E '!A$618:N1556,3,0),"")</f>
        <v/>
      </c>
      <c r="L3432" s="497"/>
      <c r="M3432" s="497"/>
      <c r="N3432" s="503"/>
      <c r="O3432" s="503"/>
      <c r="P3432" s="503"/>
    </row>
    <row r="3433" spans="1:16" x14ac:dyDescent="0.35">
      <c r="A3433" s="497" t="b">
        <v>0</v>
      </c>
      <c r="B3433" s="497"/>
      <c r="C3433" s="497" t="s">
        <v>6269</v>
      </c>
      <c r="D3433" s="512">
        <v>47</v>
      </c>
      <c r="E3433" s="500"/>
      <c r="F3433" s="503"/>
      <c r="G3433" s="502"/>
      <c r="H3433" s="512"/>
      <c r="I3433" s="503"/>
      <c r="J3433" s="503"/>
      <c r="K3433" s="497" t="str">
        <f ca="1">IFERROR(VLOOKUP(C3433,' Disaggregation - Section E '!A$618:N1557,3,0),"")</f>
        <v/>
      </c>
      <c r="L3433" s="497"/>
      <c r="M3433" s="497"/>
      <c r="N3433" s="503"/>
      <c r="O3433" s="503"/>
      <c r="P3433" s="503"/>
    </row>
    <row r="3434" spans="1:16" x14ac:dyDescent="0.35">
      <c r="A3434" s="497" t="b">
        <v>0</v>
      </c>
      <c r="B3434" s="497"/>
      <c r="C3434" s="497" t="s">
        <v>6271</v>
      </c>
      <c r="D3434" s="512">
        <v>47</v>
      </c>
      <c r="E3434" s="500"/>
      <c r="F3434" s="503"/>
      <c r="G3434" s="502"/>
      <c r="H3434" s="512"/>
      <c r="I3434" s="503"/>
      <c r="J3434" s="503"/>
      <c r="K3434" s="497" t="str">
        <f ca="1">IFERROR(VLOOKUP(C3434,' Disaggregation - Section E '!A$618:N1558,3,0),"")</f>
        <v/>
      </c>
      <c r="L3434" s="497"/>
      <c r="M3434" s="497"/>
      <c r="N3434" s="503"/>
      <c r="O3434" s="503"/>
      <c r="P3434" s="503"/>
    </row>
    <row r="3435" spans="1:16" x14ac:dyDescent="0.35">
      <c r="A3435" s="497" t="b">
        <v>0</v>
      </c>
      <c r="B3435" s="497"/>
      <c r="C3435" s="497" t="s">
        <v>6273</v>
      </c>
      <c r="D3435" s="512">
        <v>47</v>
      </c>
      <c r="E3435" s="500"/>
      <c r="F3435" s="503"/>
      <c r="G3435" s="502"/>
      <c r="H3435" s="512"/>
      <c r="I3435" s="503"/>
      <c r="J3435" s="503"/>
      <c r="K3435" s="497" t="str">
        <f ca="1">IFERROR(VLOOKUP(C3435,' Disaggregation - Section E '!A$618:N1559,3,0),"")</f>
        <v/>
      </c>
      <c r="L3435" s="497"/>
      <c r="M3435" s="497"/>
      <c r="N3435" s="503"/>
      <c r="O3435" s="503"/>
      <c r="P3435" s="503"/>
    </row>
    <row r="3436" spans="1:16" x14ac:dyDescent="0.35">
      <c r="A3436" s="497" t="b">
        <v>0</v>
      </c>
      <c r="B3436" s="497"/>
      <c r="C3436" s="497" t="s">
        <v>6275</v>
      </c>
      <c r="D3436" s="512">
        <v>47</v>
      </c>
      <c r="E3436" s="500"/>
      <c r="F3436" s="503"/>
      <c r="G3436" s="502"/>
      <c r="H3436" s="512"/>
      <c r="I3436" s="503"/>
      <c r="J3436" s="503"/>
      <c r="K3436" s="497" t="str">
        <f ca="1">IFERROR(VLOOKUP(C3436,' Disaggregation - Section E '!A$618:N1560,3,0),"")</f>
        <v/>
      </c>
      <c r="L3436" s="497"/>
      <c r="M3436" s="497"/>
      <c r="N3436" s="503"/>
      <c r="O3436" s="503"/>
      <c r="P3436" s="503"/>
    </row>
    <row r="3437" spans="1:16" x14ac:dyDescent="0.35">
      <c r="A3437" s="497" t="b">
        <v>0</v>
      </c>
      <c r="B3437" s="497"/>
      <c r="C3437" s="497" t="s">
        <v>6277</v>
      </c>
      <c r="D3437" s="512">
        <v>47</v>
      </c>
      <c r="E3437" s="500"/>
      <c r="F3437" s="503"/>
      <c r="G3437" s="502"/>
      <c r="H3437" s="512"/>
      <c r="I3437" s="503"/>
      <c r="J3437" s="503"/>
      <c r="K3437" s="497" t="str">
        <f ca="1">IFERROR(VLOOKUP(C3437,' Disaggregation - Section E '!A$618:N1561,3,0),"")</f>
        <v/>
      </c>
      <c r="L3437" s="497"/>
      <c r="M3437" s="497"/>
      <c r="N3437" s="503"/>
      <c r="O3437" s="503"/>
      <c r="P3437" s="503"/>
    </row>
    <row r="3438" spans="1:16" x14ac:dyDescent="0.35">
      <c r="A3438" s="497" t="b">
        <v>0</v>
      </c>
      <c r="B3438" s="497"/>
      <c r="C3438" s="497" t="s">
        <v>6279</v>
      </c>
      <c r="D3438" s="512">
        <v>47</v>
      </c>
      <c r="E3438" s="500"/>
      <c r="F3438" s="503"/>
      <c r="G3438" s="502"/>
      <c r="H3438" s="512"/>
      <c r="I3438" s="503"/>
      <c r="J3438" s="503"/>
      <c r="K3438" s="497" t="str">
        <f ca="1">IFERROR(VLOOKUP(C3438,' Disaggregation - Section E '!A$618:N1562,3,0),"")</f>
        <v/>
      </c>
      <c r="L3438" s="497"/>
      <c r="M3438" s="497"/>
      <c r="N3438" s="503"/>
      <c r="O3438" s="503"/>
      <c r="P3438" s="503"/>
    </row>
    <row r="3439" spans="1:16" x14ac:dyDescent="0.35">
      <c r="A3439" s="497" t="b">
        <v>0</v>
      </c>
      <c r="B3439" s="497"/>
      <c r="C3439" s="497" t="s">
        <v>6281</v>
      </c>
      <c r="D3439" s="512">
        <v>47</v>
      </c>
      <c r="E3439" s="500"/>
      <c r="F3439" s="503"/>
      <c r="G3439" s="502"/>
      <c r="H3439" s="512"/>
      <c r="I3439" s="503"/>
      <c r="J3439" s="503"/>
      <c r="K3439" s="497" t="str">
        <f ca="1">IFERROR(VLOOKUP(C3439,' Disaggregation - Section E '!A$618:N1563,3,0),"")</f>
        <v/>
      </c>
      <c r="L3439" s="497"/>
      <c r="M3439" s="497"/>
      <c r="N3439" s="503"/>
      <c r="O3439" s="503"/>
      <c r="P3439" s="503"/>
    </row>
    <row r="3440" spans="1:16" x14ac:dyDescent="0.35">
      <c r="A3440" s="497" t="b">
        <v>0</v>
      </c>
      <c r="B3440" s="497"/>
      <c r="C3440" s="497" t="s">
        <v>7351</v>
      </c>
      <c r="D3440" s="512">
        <v>48</v>
      </c>
      <c r="E3440" s="500"/>
      <c r="F3440" s="503"/>
      <c r="G3440" s="502"/>
      <c r="H3440" s="512"/>
      <c r="I3440" s="503"/>
      <c r="J3440" s="503"/>
      <c r="K3440" s="497" t="str">
        <f ca="1">IFERROR(VLOOKUP(C3440,' Disaggregation - Section E '!A$618:N1564,3,0),"")</f>
        <v/>
      </c>
      <c r="L3440" s="497"/>
      <c r="M3440" s="497"/>
      <c r="N3440" s="503"/>
      <c r="O3440" s="503"/>
      <c r="P3440" s="503"/>
    </row>
    <row r="3441" spans="1:16" x14ac:dyDescent="0.35">
      <c r="A3441" s="497" t="b">
        <v>0</v>
      </c>
      <c r="B3441" s="497"/>
      <c r="C3441" s="497" t="s">
        <v>7353</v>
      </c>
      <c r="D3441" s="512">
        <v>48</v>
      </c>
      <c r="E3441" s="500"/>
      <c r="F3441" s="503"/>
      <c r="G3441" s="502"/>
      <c r="H3441" s="512"/>
      <c r="I3441" s="503"/>
      <c r="J3441" s="503"/>
      <c r="K3441" s="497" t="str">
        <f ca="1">IFERROR(VLOOKUP(C3441,' Disaggregation - Section E '!A$618:N1565,3,0),"")</f>
        <v/>
      </c>
      <c r="L3441" s="497"/>
      <c r="M3441" s="497"/>
      <c r="N3441" s="503"/>
      <c r="O3441" s="503"/>
      <c r="P3441" s="503"/>
    </row>
    <row r="3442" spans="1:16" x14ac:dyDescent="0.35">
      <c r="A3442" s="497" t="b">
        <v>0</v>
      </c>
      <c r="B3442" s="497"/>
      <c r="C3442" s="497" t="s">
        <v>7355</v>
      </c>
      <c r="D3442" s="512">
        <v>48</v>
      </c>
      <c r="E3442" s="500"/>
      <c r="F3442" s="503"/>
      <c r="G3442" s="502"/>
      <c r="H3442" s="512"/>
      <c r="I3442" s="503"/>
      <c r="J3442" s="503"/>
      <c r="K3442" s="497" t="str">
        <f ca="1">IFERROR(VLOOKUP(C3442,' Disaggregation - Section E '!A$618:N1566,3,0),"")</f>
        <v/>
      </c>
      <c r="L3442" s="497"/>
      <c r="M3442" s="497"/>
      <c r="N3442" s="503"/>
      <c r="O3442" s="503"/>
      <c r="P3442" s="503"/>
    </row>
    <row r="3443" spans="1:16" x14ac:dyDescent="0.35">
      <c r="A3443" s="497" t="b">
        <v>0</v>
      </c>
      <c r="B3443" s="497"/>
      <c r="C3443" s="497" t="s">
        <v>7357</v>
      </c>
      <c r="D3443" s="512">
        <v>48</v>
      </c>
      <c r="E3443" s="500"/>
      <c r="F3443" s="503"/>
      <c r="G3443" s="502"/>
      <c r="H3443" s="512"/>
      <c r="I3443" s="503"/>
      <c r="J3443" s="503"/>
      <c r="K3443" s="497" t="str">
        <f ca="1">IFERROR(VLOOKUP(C3443,' Disaggregation - Section E '!A$618:N1567,3,0),"")</f>
        <v/>
      </c>
      <c r="L3443" s="497"/>
      <c r="M3443" s="497"/>
      <c r="N3443" s="503"/>
      <c r="O3443" s="503"/>
      <c r="P3443" s="503"/>
    </row>
    <row r="3444" spans="1:16" x14ac:dyDescent="0.35">
      <c r="A3444" s="497" t="b">
        <v>0</v>
      </c>
      <c r="B3444" s="497"/>
      <c r="C3444" s="497" t="s">
        <v>7359</v>
      </c>
      <c r="D3444" s="512">
        <v>48</v>
      </c>
      <c r="E3444" s="500"/>
      <c r="F3444" s="503"/>
      <c r="G3444" s="502"/>
      <c r="H3444" s="512"/>
      <c r="I3444" s="503"/>
      <c r="J3444" s="503"/>
      <c r="K3444" s="497" t="str">
        <f ca="1">IFERROR(VLOOKUP(C3444,' Disaggregation - Section E '!A$618:N1568,3,0),"")</f>
        <v/>
      </c>
      <c r="L3444" s="497"/>
      <c r="M3444" s="497"/>
      <c r="N3444" s="503"/>
      <c r="O3444" s="503"/>
      <c r="P3444" s="503"/>
    </row>
    <row r="3445" spans="1:16" x14ac:dyDescent="0.35">
      <c r="A3445" s="497" t="b">
        <v>0</v>
      </c>
      <c r="B3445" s="497"/>
      <c r="C3445" s="497" t="s">
        <v>7361</v>
      </c>
      <c r="D3445" s="512">
        <v>48</v>
      </c>
      <c r="E3445" s="500"/>
      <c r="F3445" s="503"/>
      <c r="G3445" s="502"/>
      <c r="H3445" s="512"/>
      <c r="I3445" s="503"/>
      <c r="J3445" s="503"/>
      <c r="K3445" s="497" t="str">
        <f ca="1">IFERROR(VLOOKUP(C3445,' Disaggregation - Section E '!A$618:N1569,3,0),"")</f>
        <v/>
      </c>
      <c r="L3445" s="497"/>
      <c r="M3445" s="497"/>
      <c r="N3445" s="503"/>
      <c r="O3445" s="503"/>
      <c r="P3445" s="503"/>
    </row>
    <row r="3446" spans="1:16" x14ac:dyDescent="0.35">
      <c r="A3446" s="497" t="b">
        <v>0</v>
      </c>
      <c r="B3446" s="497"/>
      <c r="C3446" s="497" t="s">
        <v>7363</v>
      </c>
      <c r="D3446" s="512">
        <v>48</v>
      </c>
      <c r="E3446" s="500"/>
      <c r="F3446" s="503"/>
      <c r="G3446" s="502"/>
      <c r="H3446" s="512"/>
      <c r="I3446" s="503"/>
      <c r="J3446" s="503"/>
      <c r="K3446" s="497" t="str">
        <f ca="1">IFERROR(VLOOKUP(C3446,' Disaggregation - Section E '!A$618:N1570,3,0),"")</f>
        <v/>
      </c>
      <c r="L3446" s="497"/>
      <c r="M3446" s="497"/>
      <c r="N3446" s="503"/>
      <c r="O3446" s="503"/>
      <c r="P3446" s="503"/>
    </row>
    <row r="3447" spans="1:16" x14ac:dyDescent="0.35">
      <c r="A3447" s="497" t="b">
        <v>0</v>
      </c>
      <c r="B3447" s="497"/>
      <c r="C3447" s="497" t="s">
        <v>7365</v>
      </c>
      <c r="D3447" s="512">
        <v>48</v>
      </c>
      <c r="E3447" s="500"/>
      <c r="F3447" s="503"/>
      <c r="G3447" s="502"/>
      <c r="H3447" s="512"/>
      <c r="I3447" s="503"/>
      <c r="J3447" s="503"/>
      <c r="K3447" s="497" t="str">
        <f ca="1">IFERROR(VLOOKUP(C3447,' Disaggregation - Section E '!A$618:N1571,3,0),"")</f>
        <v/>
      </c>
      <c r="L3447" s="497"/>
      <c r="M3447" s="497"/>
      <c r="N3447" s="503"/>
      <c r="O3447" s="503"/>
      <c r="P3447" s="503"/>
    </row>
    <row r="3448" spans="1:16" x14ac:dyDescent="0.35">
      <c r="A3448" s="497" t="b">
        <v>0</v>
      </c>
      <c r="B3448" s="497"/>
      <c r="C3448" s="497" t="s">
        <v>7367</v>
      </c>
      <c r="D3448" s="512">
        <v>48</v>
      </c>
      <c r="E3448" s="500"/>
      <c r="F3448" s="503"/>
      <c r="G3448" s="502"/>
      <c r="H3448" s="512"/>
      <c r="I3448" s="503"/>
      <c r="J3448" s="503"/>
      <c r="K3448" s="497" t="str">
        <f ca="1">IFERROR(VLOOKUP(C3448,' Disaggregation - Section E '!A$618:N1572,3,0),"")</f>
        <v/>
      </c>
      <c r="L3448" s="497"/>
      <c r="M3448" s="497"/>
      <c r="N3448" s="503"/>
      <c r="O3448" s="503"/>
      <c r="P3448" s="503"/>
    </row>
    <row r="3449" spans="1:16" x14ac:dyDescent="0.35">
      <c r="A3449" s="497" t="b">
        <v>0</v>
      </c>
      <c r="B3449" s="497"/>
      <c r="C3449" s="497" t="s">
        <v>7369</v>
      </c>
      <c r="D3449" s="512">
        <v>48</v>
      </c>
      <c r="E3449" s="500"/>
      <c r="F3449" s="503"/>
      <c r="G3449" s="502"/>
      <c r="H3449" s="512"/>
      <c r="I3449" s="503"/>
      <c r="J3449" s="503"/>
      <c r="K3449" s="497" t="str">
        <f ca="1">IFERROR(VLOOKUP(C3449,' Disaggregation - Section E '!A$618:N1573,3,0),"")</f>
        <v/>
      </c>
      <c r="L3449" s="497"/>
      <c r="M3449" s="497"/>
      <c r="N3449" s="503"/>
      <c r="O3449" s="503"/>
      <c r="P3449" s="503"/>
    </row>
    <row r="3450" spans="1:16" x14ac:dyDescent="0.35">
      <c r="A3450" s="497" t="b">
        <v>0</v>
      </c>
      <c r="B3450" s="497"/>
      <c r="C3450" s="497" t="s">
        <v>7371</v>
      </c>
      <c r="D3450" s="512">
        <v>48</v>
      </c>
      <c r="E3450" s="500"/>
      <c r="F3450" s="503"/>
      <c r="G3450" s="502"/>
      <c r="H3450" s="512"/>
      <c r="I3450" s="503"/>
      <c r="J3450" s="503"/>
      <c r="K3450" s="497" t="str">
        <f ca="1">IFERROR(VLOOKUP(C3450,' Disaggregation - Section E '!A$618:N1574,3,0),"")</f>
        <v/>
      </c>
      <c r="L3450" s="497"/>
      <c r="M3450" s="497"/>
      <c r="N3450" s="503"/>
      <c r="O3450" s="503"/>
      <c r="P3450" s="503"/>
    </row>
    <row r="3451" spans="1:16" x14ac:dyDescent="0.35">
      <c r="A3451" s="497" t="b">
        <v>0</v>
      </c>
      <c r="B3451" s="497"/>
      <c r="C3451" s="497" t="s">
        <v>7373</v>
      </c>
      <c r="D3451" s="512">
        <v>48</v>
      </c>
      <c r="E3451" s="500"/>
      <c r="F3451" s="503"/>
      <c r="G3451" s="502"/>
      <c r="H3451" s="512"/>
      <c r="I3451" s="503"/>
      <c r="J3451" s="503"/>
      <c r="K3451" s="497" t="str">
        <f ca="1">IFERROR(VLOOKUP(C3451,' Disaggregation - Section E '!A$618:N1575,3,0),"")</f>
        <v/>
      </c>
      <c r="L3451" s="497"/>
      <c r="M3451" s="497"/>
      <c r="N3451" s="503"/>
      <c r="O3451" s="503"/>
      <c r="P3451" s="503"/>
    </row>
    <row r="3452" spans="1:16" x14ac:dyDescent="0.35">
      <c r="A3452" s="497" t="b">
        <v>0</v>
      </c>
      <c r="B3452" s="497"/>
      <c r="C3452" s="497" t="s">
        <v>7375</v>
      </c>
      <c r="D3452" s="512">
        <v>48</v>
      </c>
      <c r="E3452" s="500"/>
      <c r="F3452" s="503"/>
      <c r="G3452" s="502"/>
      <c r="H3452" s="512"/>
      <c r="I3452" s="503"/>
      <c r="J3452" s="503"/>
      <c r="K3452" s="497" t="str">
        <f ca="1">IFERROR(VLOOKUP(C3452,' Disaggregation - Section E '!A$618:N1576,3,0),"")</f>
        <v/>
      </c>
      <c r="L3452" s="497"/>
      <c r="M3452" s="497"/>
      <c r="N3452" s="503"/>
      <c r="O3452" s="503"/>
      <c r="P3452" s="503"/>
    </row>
    <row r="3453" spans="1:16" x14ac:dyDescent="0.35">
      <c r="A3453" s="497" t="b">
        <v>0</v>
      </c>
      <c r="B3453" s="497"/>
      <c r="C3453" s="497" t="s">
        <v>7377</v>
      </c>
      <c r="D3453" s="512">
        <v>48</v>
      </c>
      <c r="E3453" s="500"/>
      <c r="F3453" s="503"/>
      <c r="G3453" s="502"/>
      <c r="H3453" s="512"/>
      <c r="I3453" s="503"/>
      <c r="J3453" s="503"/>
      <c r="K3453" s="497" t="str">
        <f ca="1">IFERROR(VLOOKUP(C3453,' Disaggregation - Section E '!A$618:N1577,3,0),"")</f>
        <v/>
      </c>
      <c r="L3453" s="497"/>
      <c r="M3453" s="497"/>
      <c r="N3453" s="503"/>
      <c r="O3453" s="503"/>
      <c r="P3453" s="503"/>
    </row>
    <row r="3454" spans="1:16" x14ac:dyDescent="0.35">
      <c r="A3454" s="497" t="b">
        <v>0</v>
      </c>
      <c r="B3454" s="497"/>
      <c r="C3454" s="497" t="s">
        <v>7379</v>
      </c>
      <c r="D3454" s="512">
        <v>48</v>
      </c>
      <c r="E3454" s="500"/>
      <c r="F3454" s="503"/>
      <c r="G3454" s="502"/>
      <c r="H3454" s="512"/>
      <c r="I3454" s="503"/>
      <c r="J3454" s="503"/>
      <c r="K3454" s="497" t="str">
        <f ca="1">IFERROR(VLOOKUP(C3454,' Disaggregation - Section E '!A$618:N1578,3,0),"")</f>
        <v/>
      </c>
      <c r="L3454" s="497"/>
      <c r="M3454" s="497"/>
      <c r="N3454" s="503"/>
      <c r="O3454" s="503"/>
      <c r="P3454" s="503"/>
    </row>
    <row r="3455" spans="1:16" x14ac:dyDescent="0.35">
      <c r="A3455" s="497" t="b">
        <v>0</v>
      </c>
      <c r="B3455" s="497"/>
      <c r="C3455" s="497" t="s">
        <v>7381</v>
      </c>
      <c r="D3455" s="512">
        <v>48</v>
      </c>
      <c r="E3455" s="500"/>
      <c r="F3455" s="503"/>
      <c r="G3455" s="502"/>
      <c r="H3455" s="512"/>
      <c r="I3455" s="503"/>
      <c r="J3455" s="503"/>
      <c r="K3455" s="497" t="str">
        <f ca="1">IFERROR(VLOOKUP(C3455,' Disaggregation - Section E '!A$618:N1579,3,0),"")</f>
        <v/>
      </c>
      <c r="L3455" s="497"/>
      <c r="M3455" s="497"/>
      <c r="N3455" s="503"/>
      <c r="O3455" s="503"/>
      <c r="P3455" s="503"/>
    </row>
    <row r="3456" spans="1:16" x14ac:dyDescent="0.35">
      <c r="A3456" s="497" t="b">
        <v>0</v>
      </c>
      <c r="B3456" s="497"/>
      <c r="C3456" s="497" t="s">
        <v>7383</v>
      </c>
      <c r="D3456" s="512">
        <v>48</v>
      </c>
      <c r="E3456" s="500"/>
      <c r="F3456" s="503"/>
      <c r="G3456" s="502"/>
      <c r="H3456" s="512"/>
      <c r="I3456" s="503"/>
      <c r="J3456" s="503"/>
      <c r="K3456" s="497" t="str">
        <f ca="1">IFERROR(VLOOKUP(C3456,' Disaggregation - Section E '!A$618:N1580,3,0),"")</f>
        <v/>
      </c>
      <c r="L3456" s="497"/>
      <c r="M3456" s="497"/>
      <c r="N3456" s="503"/>
      <c r="O3456" s="503"/>
      <c r="P3456" s="503"/>
    </row>
    <row r="3457" spans="1:16" x14ac:dyDescent="0.35">
      <c r="A3457" s="497" t="b">
        <v>0</v>
      </c>
      <c r="B3457" s="497"/>
      <c r="C3457" s="497" t="s">
        <v>7385</v>
      </c>
      <c r="D3457" s="512">
        <v>48</v>
      </c>
      <c r="E3457" s="500"/>
      <c r="F3457" s="503"/>
      <c r="G3457" s="502"/>
      <c r="H3457" s="512"/>
      <c r="I3457" s="503"/>
      <c r="J3457" s="503"/>
      <c r="K3457" s="497" t="str">
        <f ca="1">IFERROR(VLOOKUP(C3457,' Disaggregation - Section E '!A$618:N1581,3,0),"")</f>
        <v/>
      </c>
      <c r="L3457" s="497"/>
      <c r="M3457" s="497"/>
      <c r="N3457" s="503"/>
      <c r="O3457" s="503"/>
      <c r="P3457" s="503"/>
    </row>
    <row r="3458" spans="1:16" x14ac:dyDescent="0.35">
      <c r="A3458" s="497" t="b">
        <v>0</v>
      </c>
      <c r="B3458" s="497"/>
      <c r="C3458" s="497" t="s">
        <v>7387</v>
      </c>
      <c r="D3458" s="512">
        <v>48</v>
      </c>
      <c r="E3458" s="500"/>
      <c r="F3458" s="503"/>
      <c r="G3458" s="502"/>
      <c r="H3458" s="512"/>
      <c r="I3458" s="503"/>
      <c r="J3458" s="503"/>
      <c r="K3458" s="497" t="str">
        <f ca="1">IFERROR(VLOOKUP(C3458,' Disaggregation - Section E '!A$618:N1582,3,0),"")</f>
        <v/>
      </c>
      <c r="L3458" s="497"/>
      <c r="M3458" s="497"/>
      <c r="N3458" s="503"/>
      <c r="O3458" s="503"/>
      <c r="P3458" s="503"/>
    </row>
    <row r="3459" spans="1:16" x14ac:dyDescent="0.35">
      <c r="A3459" s="497" t="b">
        <v>0</v>
      </c>
      <c r="B3459" s="497"/>
      <c r="C3459" s="497" t="s">
        <v>7389</v>
      </c>
      <c r="D3459" s="512">
        <v>48</v>
      </c>
      <c r="E3459" s="500"/>
      <c r="F3459" s="503"/>
      <c r="G3459" s="502"/>
      <c r="H3459" s="512"/>
      <c r="I3459" s="503"/>
      <c r="J3459" s="503"/>
      <c r="K3459" s="497" t="str">
        <f ca="1">IFERROR(VLOOKUP(C3459,' Disaggregation - Section E '!A$618:N1583,3,0),"")</f>
        <v/>
      </c>
      <c r="L3459" s="497"/>
      <c r="M3459" s="497"/>
      <c r="N3459" s="503"/>
      <c r="O3459" s="503"/>
      <c r="P3459" s="503"/>
    </row>
    <row r="3460" spans="1:16" x14ac:dyDescent="0.35">
      <c r="A3460" s="497" t="b">
        <v>0</v>
      </c>
      <c r="B3460" s="497"/>
      <c r="C3460" s="497" t="s">
        <v>6284</v>
      </c>
      <c r="D3460" s="512">
        <v>49</v>
      </c>
      <c r="E3460" s="500"/>
      <c r="F3460" s="503"/>
      <c r="G3460" s="502"/>
      <c r="H3460" s="512"/>
      <c r="I3460" s="503"/>
      <c r="J3460" s="503"/>
      <c r="K3460" s="497" t="str">
        <f ca="1">IFERROR(VLOOKUP(C3460,' Disaggregation - Section E '!A$618:N1584,3,0),"")</f>
        <v/>
      </c>
      <c r="L3460" s="497"/>
      <c r="M3460" s="497"/>
      <c r="N3460" s="503"/>
      <c r="O3460" s="503"/>
      <c r="P3460" s="503"/>
    </row>
    <row r="3461" spans="1:16" x14ac:dyDescent="0.35">
      <c r="A3461" s="497" t="b">
        <v>0</v>
      </c>
      <c r="B3461" s="497"/>
      <c r="C3461" s="497" t="s">
        <v>6286</v>
      </c>
      <c r="D3461" s="512">
        <v>49</v>
      </c>
      <c r="E3461" s="500"/>
      <c r="F3461" s="503"/>
      <c r="G3461" s="502"/>
      <c r="H3461" s="512"/>
      <c r="I3461" s="503"/>
      <c r="J3461" s="503"/>
      <c r="K3461" s="497" t="str">
        <f ca="1">IFERROR(VLOOKUP(C3461,' Disaggregation - Section E '!A$618:N1585,3,0),"")</f>
        <v/>
      </c>
      <c r="L3461" s="497"/>
      <c r="M3461" s="497"/>
      <c r="N3461" s="503"/>
      <c r="O3461" s="503"/>
      <c r="P3461" s="503"/>
    </row>
    <row r="3462" spans="1:16" x14ac:dyDescent="0.35">
      <c r="A3462" s="497" t="b">
        <v>0</v>
      </c>
      <c r="B3462" s="497"/>
      <c r="C3462" s="497" t="s">
        <v>6288</v>
      </c>
      <c r="D3462" s="512">
        <v>49</v>
      </c>
      <c r="E3462" s="500"/>
      <c r="F3462" s="503"/>
      <c r="G3462" s="502"/>
      <c r="H3462" s="512"/>
      <c r="I3462" s="503"/>
      <c r="J3462" s="503"/>
      <c r="K3462" s="497" t="str">
        <f ca="1">IFERROR(VLOOKUP(C3462,' Disaggregation - Section E '!A$618:N1586,3,0),"")</f>
        <v/>
      </c>
      <c r="L3462" s="497"/>
      <c r="M3462" s="497"/>
      <c r="N3462" s="503"/>
      <c r="O3462" s="503"/>
      <c r="P3462" s="503"/>
    </row>
    <row r="3463" spans="1:16" x14ac:dyDescent="0.35">
      <c r="A3463" s="497" t="b">
        <v>0</v>
      </c>
      <c r="B3463" s="497"/>
      <c r="C3463" s="497" t="s">
        <v>6290</v>
      </c>
      <c r="D3463" s="512">
        <v>49</v>
      </c>
      <c r="E3463" s="500"/>
      <c r="F3463" s="503"/>
      <c r="G3463" s="502"/>
      <c r="H3463" s="512"/>
      <c r="I3463" s="503"/>
      <c r="J3463" s="503"/>
      <c r="K3463" s="497" t="str">
        <f ca="1">IFERROR(VLOOKUP(C3463,' Disaggregation - Section E '!A$618:N1587,3,0),"")</f>
        <v/>
      </c>
      <c r="L3463" s="497"/>
      <c r="M3463" s="497"/>
      <c r="N3463" s="503"/>
      <c r="O3463" s="503"/>
      <c r="P3463" s="503"/>
    </row>
    <row r="3464" spans="1:16" x14ac:dyDescent="0.35">
      <c r="A3464" s="497" t="b">
        <v>0</v>
      </c>
      <c r="B3464" s="497"/>
      <c r="C3464" s="497" t="s">
        <v>6292</v>
      </c>
      <c r="D3464" s="512">
        <v>49</v>
      </c>
      <c r="E3464" s="500"/>
      <c r="F3464" s="503"/>
      <c r="G3464" s="502"/>
      <c r="H3464" s="512"/>
      <c r="I3464" s="503"/>
      <c r="J3464" s="503"/>
      <c r="K3464" s="497" t="str">
        <f ca="1">IFERROR(VLOOKUP(C3464,' Disaggregation - Section E '!A$618:N1588,3,0),"")</f>
        <v/>
      </c>
      <c r="L3464" s="497"/>
      <c r="M3464" s="497"/>
      <c r="N3464" s="503"/>
      <c r="O3464" s="503"/>
      <c r="P3464" s="503"/>
    </row>
    <row r="3465" spans="1:16" x14ac:dyDescent="0.35">
      <c r="A3465" s="497" t="b">
        <v>0</v>
      </c>
      <c r="B3465" s="497"/>
      <c r="C3465" s="497" t="s">
        <v>6294</v>
      </c>
      <c r="D3465" s="512">
        <v>49</v>
      </c>
      <c r="E3465" s="500"/>
      <c r="F3465" s="503"/>
      <c r="G3465" s="502"/>
      <c r="H3465" s="512"/>
      <c r="I3465" s="503"/>
      <c r="J3465" s="503"/>
      <c r="K3465" s="497" t="str">
        <f ca="1">IFERROR(VLOOKUP(C3465,' Disaggregation - Section E '!A$618:N1589,3,0),"")</f>
        <v/>
      </c>
      <c r="L3465" s="497"/>
      <c r="M3465" s="497"/>
      <c r="N3465" s="503"/>
      <c r="O3465" s="503"/>
      <c r="P3465" s="503"/>
    </row>
    <row r="3466" spans="1:16" x14ac:dyDescent="0.35">
      <c r="A3466" s="497" t="b">
        <v>0</v>
      </c>
      <c r="B3466" s="497"/>
      <c r="C3466" s="497" t="s">
        <v>6296</v>
      </c>
      <c r="D3466" s="512">
        <v>49</v>
      </c>
      <c r="E3466" s="500"/>
      <c r="F3466" s="503"/>
      <c r="G3466" s="502"/>
      <c r="H3466" s="512"/>
      <c r="I3466" s="503"/>
      <c r="J3466" s="503"/>
      <c r="K3466" s="497" t="str">
        <f ca="1">IFERROR(VLOOKUP(C3466,' Disaggregation - Section E '!A$618:N1590,3,0),"")</f>
        <v/>
      </c>
      <c r="L3466" s="497"/>
      <c r="M3466" s="497"/>
      <c r="N3466" s="503"/>
      <c r="O3466" s="503"/>
      <c r="P3466" s="503"/>
    </row>
    <row r="3467" spans="1:16" x14ac:dyDescent="0.35">
      <c r="A3467" s="497" t="b">
        <v>0</v>
      </c>
      <c r="B3467" s="497"/>
      <c r="C3467" s="497" t="s">
        <v>6298</v>
      </c>
      <c r="D3467" s="512">
        <v>49</v>
      </c>
      <c r="E3467" s="500"/>
      <c r="F3467" s="503"/>
      <c r="G3467" s="502"/>
      <c r="H3467" s="512"/>
      <c r="I3467" s="503"/>
      <c r="J3467" s="503"/>
      <c r="K3467" s="497" t="str">
        <f ca="1">IFERROR(VLOOKUP(C3467,' Disaggregation - Section E '!A$618:N1591,3,0),"")</f>
        <v/>
      </c>
      <c r="L3467" s="497"/>
      <c r="M3467" s="497"/>
      <c r="N3467" s="503"/>
      <c r="O3467" s="503"/>
      <c r="P3467" s="503"/>
    </row>
    <row r="3468" spans="1:16" x14ac:dyDescent="0.35">
      <c r="A3468" s="497" t="b">
        <v>0</v>
      </c>
      <c r="B3468" s="497"/>
      <c r="C3468" s="497" t="s">
        <v>6300</v>
      </c>
      <c r="D3468" s="512">
        <v>49</v>
      </c>
      <c r="E3468" s="500"/>
      <c r="F3468" s="503"/>
      <c r="G3468" s="502"/>
      <c r="H3468" s="512"/>
      <c r="I3468" s="503"/>
      <c r="J3468" s="503"/>
      <c r="K3468" s="497" t="str">
        <f ca="1">IFERROR(VLOOKUP(C3468,' Disaggregation - Section E '!A$618:N1592,3,0),"")</f>
        <v/>
      </c>
      <c r="L3468" s="497"/>
      <c r="M3468" s="497"/>
      <c r="N3468" s="503"/>
      <c r="O3468" s="503"/>
      <c r="P3468" s="503"/>
    </row>
    <row r="3469" spans="1:16" x14ac:dyDescent="0.35">
      <c r="A3469" s="497" t="b">
        <v>0</v>
      </c>
      <c r="B3469" s="497"/>
      <c r="C3469" s="497" t="s">
        <v>6302</v>
      </c>
      <c r="D3469" s="512">
        <v>49</v>
      </c>
      <c r="E3469" s="500"/>
      <c r="F3469" s="503"/>
      <c r="G3469" s="502"/>
      <c r="H3469" s="512"/>
      <c r="I3469" s="503"/>
      <c r="J3469" s="503"/>
      <c r="K3469" s="497" t="str">
        <f ca="1">IFERROR(VLOOKUP(C3469,' Disaggregation - Section E '!A$618:N1593,3,0),"")</f>
        <v/>
      </c>
      <c r="L3469" s="497"/>
      <c r="M3469" s="497"/>
      <c r="N3469" s="503"/>
      <c r="O3469" s="503"/>
      <c r="P3469" s="503"/>
    </row>
    <row r="3470" spans="1:16" x14ac:dyDescent="0.35">
      <c r="A3470" s="497" t="b">
        <v>0</v>
      </c>
      <c r="B3470" s="497"/>
      <c r="C3470" s="497" t="s">
        <v>6304</v>
      </c>
      <c r="D3470" s="512">
        <v>49</v>
      </c>
      <c r="E3470" s="500"/>
      <c r="F3470" s="503"/>
      <c r="G3470" s="502"/>
      <c r="H3470" s="512"/>
      <c r="I3470" s="503"/>
      <c r="J3470" s="503"/>
      <c r="K3470" s="497" t="str">
        <f ca="1">IFERROR(VLOOKUP(C3470,' Disaggregation - Section E '!A$618:N1594,3,0),"")</f>
        <v/>
      </c>
      <c r="L3470" s="497"/>
      <c r="M3470" s="497"/>
      <c r="N3470" s="503"/>
      <c r="O3470" s="503"/>
      <c r="P3470" s="503"/>
    </row>
    <row r="3471" spans="1:16" x14ac:dyDescent="0.35">
      <c r="A3471" s="497" t="b">
        <v>0</v>
      </c>
      <c r="B3471" s="497"/>
      <c r="C3471" s="497" t="s">
        <v>6306</v>
      </c>
      <c r="D3471" s="512">
        <v>49</v>
      </c>
      <c r="E3471" s="500"/>
      <c r="F3471" s="503"/>
      <c r="G3471" s="502"/>
      <c r="H3471" s="512"/>
      <c r="I3471" s="503"/>
      <c r="J3471" s="503"/>
      <c r="K3471" s="497" t="str">
        <f ca="1">IFERROR(VLOOKUP(C3471,' Disaggregation - Section E '!A$618:N1595,3,0),"")</f>
        <v/>
      </c>
      <c r="L3471" s="497"/>
      <c r="M3471" s="497"/>
      <c r="N3471" s="503"/>
      <c r="O3471" s="503"/>
      <c r="P3471" s="503"/>
    </row>
    <row r="3472" spans="1:16" x14ac:dyDescent="0.35">
      <c r="A3472" s="497" t="b">
        <v>0</v>
      </c>
      <c r="B3472" s="497"/>
      <c r="C3472" s="497" t="s">
        <v>6308</v>
      </c>
      <c r="D3472" s="512">
        <v>49</v>
      </c>
      <c r="E3472" s="500"/>
      <c r="F3472" s="503"/>
      <c r="G3472" s="502"/>
      <c r="H3472" s="512"/>
      <c r="I3472" s="503"/>
      <c r="J3472" s="503"/>
      <c r="K3472" s="497" t="str">
        <f ca="1">IFERROR(VLOOKUP(C3472,' Disaggregation - Section E '!A$618:N1596,3,0),"")</f>
        <v/>
      </c>
      <c r="L3472" s="497"/>
      <c r="M3472" s="497"/>
      <c r="N3472" s="503"/>
      <c r="O3472" s="503"/>
      <c r="P3472" s="503"/>
    </row>
    <row r="3473" spans="1:16" x14ac:dyDescent="0.35">
      <c r="A3473" s="497" t="b">
        <v>0</v>
      </c>
      <c r="B3473" s="497"/>
      <c r="C3473" s="497" t="s">
        <v>6310</v>
      </c>
      <c r="D3473" s="512">
        <v>49</v>
      </c>
      <c r="E3473" s="500"/>
      <c r="F3473" s="503"/>
      <c r="G3473" s="502"/>
      <c r="H3473" s="512"/>
      <c r="I3473" s="503"/>
      <c r="J3473" s="503"/>
      <c r="K3473" s="497" t="str">
        <f ca="1">IFERROR(VLOOKUP(C3473,' Disaggregation - Section E '!A$618:N1597,3,0),"")</f>
        <v/>
      </c>
      <c r="L3473" s="497"/>
      <c r="M3473" s="497"/>
      <c r="N3473" s="503"/>
      <c r="O3473" s="503"/>
      <c r="P3473" s="503"/>
    </row>
    <row r="3474" spans="1:16" x14ac:dyDescent="0.35">
      <c r="A3474" s="497" t="b">
        <v>0</v>
      </c>
      <c r="B3474" s="497"/>
      <c r="C3474" s="497" t="s">
        <v>6312</v>
      </c>
      <c r="D3474" s="512">
        <v>49</v>
      </c>
      <c r="E3474" s="500"/>
      <c r="F3474" s="503"/>
      <c r="G3474" s="502"/>
      <c r="H3474" s="512"/>
      <c r="I3474" s="503"/>
      <c r="J3474" s="503"/>
      <c r="K3474" s="497" t="str">
        <f ca="1">IFERROR(VLOOKUP(C3474,' Disaggregation - Section E '!A$618:N1598,3,0),"")</f>
        <v/>
      </c>
      <c r="L3474" s="497"/>
      <c r="M3474" s="497"/>
      <c r="N3474" s="503"/>
      <c r="O3474" s="503"/>
      <c r="P3474" s="503"/>
    </row>
    <row r="3475" spans="1:16" x14ac:dyDescent="0.35">
      <c r="A3475" s="497" t="b">
        <v>0</v>
      </c>
      <c r="B3475" s="497"/>
      <c r="C3475" s="497" t="s">
        <v>6314</v>
      </c>
      <c r="D3475" s="512">
        <v>49</v>
      </c>
      <c r="E3475" s="500"/>
      <c r="F3475" s="503"/>
      <c r="G3475" s="502"/>
      <c r="H3475" s="512"/>
      <c r="I3475" s="503"/>
      <c r="J3475" s="503"/>
      <c r="K3475" s="497" t="str">
        <f ca="1">IFERROR(VLOOKUP(C3475,' Disaggregation - Section E '!A$618:N1599,3,0),"")</f>
        <v/>
      </c>
      <c r="L3475" s="497"/>
      <c r="M3475" s="497"/>
      <c r="N3475" s="503"/>
      <c r="O3475" s="503"/>
      <c r="P3475" s="503"/>
    </row>
    <row r="3476" spans="1:16" x14ac:dyDescent="0.35">
      <c r="A3476" s="497" t="b">
        <v>0</v>
      </c>
      <c r="B3476" s="497"/>
      <c r="C3476" s="497" t="s">
        <v>6316</v>
      </c>
      <c r="D3476" s="512">
        <v>49</v>
      </c>
      <c r="E3476" s="500"/>
      <c r="F3476" s="503"/>
      <c r="G3476" s="502"/>
      <c r="H3476" s="512"/>
      <c r="I3476" s="503"/>
      <c r="J3476" s="503"/>
      <c r="K3476" s="497" t="str">
        <f ca="1">IFERROR(VLOOKUP(C3476,' Disaggregation - Section E '!A$618:N1600,3,0),"")</f>
        <v/>
      </c>
      <c r="L3476" s="497"/>
      <c r="M3476" s="497"/>
      <c r="N3476" s="503"/>
      <c r="O3476" s="503"/>
      <c r="P3476" s="503"/>
    </row>
    <row r="3477" spans="1:16" x14ac:dyDescent="0.35">
      <c r="A3477" s="497" t="b">
        <v>0</v>
      </c>
      <c r="B3477" s="497"/>
      <c r="C3477" s="497" t="s">
        <v>6318</v>
      </c>
      <c r="D3477" s="512">
        <v>49</v>
      </c>
      <c r="E3477" s="500"/>
      <c r="F3477" s="503"/>
      <c r="G3477" s="502"/>
      <c r="H3477" s="512"/>
      <c r="I3477" s="503"/>
      <c r="J3477" s="503"/>
      <c r="K3477" s="497" t="str">
        <f ca="1">IFERROR(VLOOKUP(C3477,' Disaggregation - Section E '!A$618:N1601,3,0),"")</f>
        <v/>
      </c>
      <c r="L3477" s="497"/>
      <c r="M3477" s="497"/>
      <c r="N3477" s="503"/>
      <c r="O3477" s="503"/>
      <c r="P3477" s="503"/>
    </row>
    <row r="3478" spans="1:16" x14ac:dyDescent="0.35">
      <c r="A3478" s="497" t="b">
        <v>0</v>
      </c>
      <c r="B3478" s="497"/>
      <c r="C3478" s="497" t="s">
        <v>6320</v>
      </c>
      <c r="D3478" s="512">
        <v>49</v>
      </c>
      <c r="E3478" s="500"/>
      <c r="F3478" s="503"/>
      <c r="G3478" s="502"/>
      <c r="H3478" s="512"/>
      <c r="I3478" s="503"/>
      <c r="J3478" s="503"/>
      <c r="K3478" s="497" t="str">
        <f ca="1">IFERROR(VLOOKUP(C3478,' Disaggregation - Section E '!A$618:N1602,3,0),"")</f>
        <v/>
      </c>
      <c r="L3478" s="497"/>
      <c r="M3478" s="497"/>
      <c r="N3478" s="503"/>
      <c r="O3478" s="503"/>
      <c r="P3478" s="503"/>
    </row>
    <row r="3479" spans="1:16" x14ac:dyDescent="0.35">
      <c r="A3479" s="497" t="b">
        <v>0</v>
      </c>
      <c r="B3479" s="497"/>
      <c r="C3479" s="497" t="s">
        <v>6322</v>
      </c>
      <c r="D3479" s="512">
        <v>49</v>
      </c>
      <c r="E3479" s="500"/>
      <c r="F3479" s="503"/>
      <c r="G3479" s="502"/>
      <c r="H3479" s="512"/>
      <c r="I3479" s="503"/>
      <c r="J3479" s="503"/>
      <c r="K3479" s="497" t="str">
        <f ca="1">IFERROR(VLOOKUP(C3479,' Disaggregation - Section E '!A$618:N1603,3,0),"")</f>
        <v/>
      </c>
      <c r="L3479" s="497"/>
      <c r="M3479" s="497"/>
      <c r="N3479" s="503"/>
      <c r="O3479" s="503"/>
      <c r="P3479" s="503"/>
    </row>
    <row r="3480" spans="1:16" x14ac:dyDescent="0.35">
      <c r="A3480" s="497" t="b">
        <v>0</v>
      </c>
      <c r="B3480" s="497"/>
      <c r="C3480" s="497" t="s">
        <v>7515</v>
      </c>
      <c r="D3480" s="512">
        <v>50</v>
      </c>
      <c r="E3480" s="500"/>
      <c r="F3480" s="503"/>
      <c r="G3480" s="502"/>
      <c r="H3480" s="512"/>
      <c r="I3480" s="503"/>
      <c r="J3480" s="503"/>
      <c r="K3480" s="497" t="str">
        <f ca="1">IFERROR(VLOOKUP(C3480,' Disaggregation - Section E '!A$618:N1604,3,0),"")</f>
        <v/>
      </c>
      <c r="L3480" s="497"/>
      <c r="M3480" s="497"/>
      <c r="N3480" s="503"/>
      <c r="O3480" s="503"/>
      <c r="P3480" s="503"/>
    </row>
    <row r="3481" spans="1:16" x14ac:dyDescent="0.35">
      <c r="A3481" s="497" t="b">
        <v>0</v>
      </c>
      <c r="B3481" s="497"/>
      <c r="C3481" s="497" t="s">
        <v>7517</v>
      </c>
      <c r="D3481" s="512">
        <v>50</v>
      </c>
      <c r="E3481" s="500"/>
      <c r="F3481" s="503"/>
      <c r="G3481" s="502"/>
      <c r="H3481" s="512"/>
      <c r="I3481" s="503"/>
      <c r="J3481" s="503"/>
      <c r="K3481" s="497" t="str">
        <f ca="1">IFERROR(VLOOKUP(C3481,' Disaggregation - Section E '!A$618:N1605,3,0),"")</f>
        <v/>
      </c>
      <c r="L3481" s="497"/>
      <c r="M3481" s="497"/>
      <c r="N3481" s="503"/>
      <c r="O3481" s="503"/>
      <c r="P3481" s="503"/>
    </row>
    <row r="3482" spans="1:16" x14ac:dyDescent="0.35">
      <c r="A3482" s="497" t="b">
        <v>0</v>
      </c>
      <c r="B3482" s="497"/>
      <c r="C3482" s="497" t="s">
        <v>7519</v>
      </c>
      <c r="D3482" s="512">
        <v>50</v>
      </c>
      <c r="E3482" s="500"/>
      <c r="F3482" s="503"/>
      <c r="G3482" s="502"/>
      <c r="H3482" s="512"/>
      <c r="I3482" s="503"/>
      <c r="J3482" s="503"/>
      <c r="K3482" s="497" t="str">
        <f ca="1">IFERROR(VLOOKUP(C3482,' Disaggregation - Section E '!A$618:N1606,3,0),"")</f>
        <v/>
      </c>
      <c r="L3482" s="497"/>
      <c r="M3482" s="497"/>
      <c r="N3482" s="503"/>
      <c r="O3482" s="503"/>
      <c r="P3482" s="503"/>
    </row>
    <row r="3483" spans="1:16" x14ac:dyDescent="0.35">
      <c r="A3483" s="497" t="b">
        <v>0</v>
      </c>
      <c r="B3483" s="497"/>
      <c r="C3483" s="497" t="s">
        <v>7521</v>
      </c>
      <c r="D3483" s="512">
        <v>50</v>
      </c>
      <c r="E3483" s="500"/>
      <c r="F3483" s="503"/>
      <c r="G3483" s="502"/>
      <c r="H3483" s="512"/>
      <c r="I3483" s="503"/>
      <c r="J3483" s="503"/>
      <c r="K3483" s="497" t="str">
        <f ca="1">IFERROR(VLOOKUP(C3483,' Disaggregation - Section E '!A$618:N1607,3,0),"")</f>
        <v/>
      </c>
      <c r="L3483" s="497"/>
      <c r="M3483" s="497"/>
      <c r="N3483" s="503"/>
      <c r="O3483" s="503"/>
      <c r="P3483" s="503"/>
    </row>
    <row r="3484" spans="1:16" x14ac:dyDescent="0.35">
      <c r="A3484" s="497" t="b">
        <v>0</v>
      </c>
      <c r="B3484" s="497"/>
      <c r="C3484" s="497" t="s">
        <v>7523</v>
      </c>
      <c r="D3484" s="512">
        <v>50</v>
      </c>
      <c r="E3484" s="500"/>
      <c r="F3484" s="503"/>
      <c r="G3484" s="502"/>
      <c r="H3484" s="512"/>
      <c r="I3484" s="503"/>
      <c r="J3484" s="503"/>
      <c r="K3484" s="497" t="str">
        <f ca="1">IFERROR(VLOOKUP(C3484,' Disaggregation - Section E '!A$618:N1608,3,0),"")</f>
        <v/>
      </c>
      <c r="L3484" s="497"/>
      <c r="M3484" s="497"/>
      <c r="N3484" s="503"/>
      <c r="O3484" s="503"/>
      <c r="P3484" s="503"/>
    </row>
    <row r="3485" spans="1:16" x14ac:dyDescent="0.35">
      <c r="A3485" s="497" t="b">
        <v>0</v>
      </c>
      <c r="B3485" s="497"/>
      <c r="C3485" s="497" t="s">
        <v>7525</v>
      </c>
      <c r="D3485" s="512">
        <v>50</v>
      </c>
      <c r="E3485" s="500"/>
      <c r="F3485" s="503"/>
      <c r="G3485" s="502"/>
      <c r="H3485" s="512"/>
      <c r="I3485" s="503"/>
      <c r="J3485" s="503"/>
      <c r="K3485" s="497" t="str">
        <f ca="1">IFERROR(VLOOKUP(C3485,' Disaggregation - Section E '!A$618:N1609,3,0),"")</f>
        <v/>
      </c>
      <c r="L3485" s="497"/>
      <c r="M3485" s="497"/>
      <c r="N3485" s="503"/>
      <c r="O3485" s="503"/>
      <c r="P3485" s="503"/>
    </row>
    <row r="3486" spans="1:16" x14ac:dyDescent="0.35">
      <c r="A3486" s="497" t="b">
        <v>0</v>
      </c>
      <c r="B3486" s="497"/>
      <c r="C3486" s="497" t="s">
        <v>7527</v>
      </c>
      <c r="D3486" s="512">
        <v>50</v>
      </c>
      <c r="E3486" s="500"/>
      <c r="F3486" s="503"/>
      <c r="G3486" s="502"/>
      <c r="H3486" s="512"/>
      <c r="I3486" s="503"/>
      <c r="J3486" s="503"/>
      <c r="K3486" s="497" t="str">
        <f ca="1">IFERROR(VLOOKUP(C3486,' Disaggregation - Section E '!A$618:N1610,3,0),"")</f>
        <v/>
      </c>
      <c r="L3486" s="497"/>
      <c r="M3486" s="497"/>
      <c r="N3486" s="503"/>
      <c r="O3486" s="503"/>
      <c r="P3486" s="503"/>
    </row>
    <row r="3487" spans="1:16" x14ac:dyDescent="0.35">
      <c r="A3487" s="497" t="b">
        <v>0</v>
      </c>
      <c r="B3487" s="497"/>
      <c r="C3487" s="497" t="s">
        <v>7529</v>
      </c>
      <c r="D3487" s="512">
        <v>50</v>
      </c>
      <c r="E3487" s="500"/>
      <c r="F3487" s="503"/>
      <c r="G3487" s="502"/>
      <c r="H3487" s="512"/>
      <c r="I3487" s="503"/>
      <c r="J3487" s="503"/>
      <c r="K3487" s="497" t="str">
        <f ca="1">IFERROR(VLOOKUP(C3487,' Disaggregation - Section E '!A$618:N1611,3,0),"")</f>
        <v/>
      </c>
      <c r="L3487" s="497"/>
      <c r="M3487" s="497"/>
      <c r="N3487" s="503"/>
      <c r="O3487" s="503"/>
      <c r="P3487" s="503"/>
    </row>
    <row r="3488" spans="1:16" x14ac:dyDescent="0.35">
      <c r="A3488" s="497" t="b">
        <v>0</v>
      </c>
      <c r="B3488" s="497"/>
      <c r="C3488" s="497" t="s">
        <v>7531</v>
      </c>
      <c r="D3488" s="512">
        <v>50</v>
      </c>
      <c r="E3488" s="500"/>
      <c r="F3488" s="503"/>
      <c r="G3488" s="502"/>
      <c r="H3488" s="512"/>
      <c r="I3488" s="503"/>
      <c r="J3488" s="503"/>
      <c r="K3488" s="497" t="str">
        <f ca="1">IFERROR(VLOOKUP(C3488,' Disaggregation - Section E '!A$618:N1612,3,0),"")</f>
        <v/>
      </c>
      <c r="L3488" s="497"/>
      <c r="M3488" s="497"/>
      <c r="N3488" s="503"/>
      <c r="O3488" s="503"/>
      <c r="P3488" s="503"/>
    </row>
    <row r="3489" spans="1:16" x14ac:dyDescent="0.35">
      <c r="A3489" s="497" t="b">
        <v>0</v>
      </c>
      <c r="B3489" s="497"/>
      <c r="C3489" s="497" t="s">
        <v>7533</v>
      </c>
      <c r="D3489" s="512">
        <v>50</v>
      </c>
      <c r="E3489" s="500"/>
      <c r="F3489" s="503"/>
      <c r="G3489" s="502"/>
      <c r="H3489" s="512"/>
      <c r="I3489" s="503"/>
      <c r="J3489" s="503"/>
      <c r="K3489" s="497" t="str">
        <f ca="1">IFERROR(VLOOKUP(C3489,' Disaggregation - Section E '!A$618:N1613,3,0),"")</f>
        <v/>
      </c>
      <c r="L3489" s="497"/>
      <c r="M3489" s="497"/>
      <c r="N3489" s="503"/>
      <c r="O3489" s="503"/>
      <c r="P3489" s="503"/>
    </row>
    <row r="3490" spans="1:16" x14ac:dyDescent="0.35">
      <c r="A3490" s="497" t="b">
        <v>0</v>
      </c>
      <c r="B3490" s="497"/>
      <c r="C3490" s="497" t="s">
        <v>7535</v>
      </c>
      <c r="D3490" s="512">
        <v>50</v>
      </c>
      <c r="E3490" s="500"/>
      <c r="F3490" s="503"/>
      <c r="G3490" s="502"/>
      <c r="H3490" s="512"/>
      <c r="I3490" s="503"/>
      <c r="J3490" s="503"/>
      <c r="K3490" s="497" t="str">
        <f ca="1">IFERROR(VLOOKUP(C3490,' Disaggregation - Section E '!A$618:N1614,3,0),"")</f>
        <v/>
      </c>
      <c r="L3490" s="497"/>
      <c r="M3490" s="497"/>
      <c r="N3490" s="503"/>
      <c r="O3490" s="503"/>
      <c r="P3490" s="503"/>
    </row>
    <row r="3491" spans="1:16" x14ac:dyDescent="0.35">
      <c r="A3491" s="497" t="b">
        <v>0</v>
      </c>
      <c r="B3491" s="497"/>
      <c r="C3491" s="497" t="s">
        <v>7537</v>
      </c>
      <c r="D3491" s="512">
        <v>50</v>
      </c>
      <c r="E3491" s="500"/>
      <c r="F3491" s="503"/>
      <c r="G3491" s="502"/>
      <c r="H3491" s="512"/>
      <c r="I3491" s="503"/>
      <c r="J3491" s="503"/>
      <c r="K3491" s="497" t="str">
        <f ca="1">IFERROR(VLOOKUP(C3491,' Disaggregation - Section E '!A$618:N1615,3,0),"")</f>
        <v/>
      </c>
      <c r="L3491" s="497"/>
      <c r="M3491" s="497"/>
      <c r="N3491" s="503"/>
      <c r="O3491" s="503"/>
      <c r="P3491" s="503"/>
    </row>
    <row r="3492" spans="1:16" x14ac:dyDescent="0.35">
      <c r="A3492" s="497" t="b">
        <v>0</v>
      </c>
      <c r="B3492" s="497"/>
      <c r="C3492" s="497" t="s">
        <v>7539</v>
      </c>
      <c r="D3492" s="512">
        <v>50</v>
      </c>
      <c r="E3492" s="500"/>
      <c r="F3492" s="503"/>
      <c r="G3492" s="502"/>
      <c r="H3492" s="512"/>
      <c r="I3492" s="503"/>
      <c r="J3492" s="503"/>
      <c r="K3492" s="497" t="str">
        <f ca="1">IFERROR(VLOOKUP(C3492,' Disaggregation - Section E '!A$618:N1616,3,0),"")</f>
        <v/>
      </c>
      <c r="L3492" s="497"/>
      <c r="M3492" s="497"/>
      <c r="N3492" s="503"/>
      <c r="O3492" s="503"/>
      <c r="P3492" s="503"/>
    </row>
    <row r="3493" spans="1:16" x14ac:dyDescent="0.35">
      <c r="A3493" s="497" t="b">
        <v>0</v>
      </c>
      <c r="B3493" s="497"/>
      <c r="C3493" s="497" t="s">
        <v>7541</v>
      </c>
      <c r="D3493" s="512">
        <v>50</v>
      </c>
      <c r="E3493" s="500"/>
      <c r="F3493" s="503"/>
      <c r="G3493" s="502"/>
      <c r="H3493" s="512"/>
      <c r="I3493" s="503"/>
      <c r="J3493" s="503"/>
      <c r="K3493" s="497" t="str">
        <f ca="1">IFERROR(VLOOKUP(C3493,' Disaggregation - Section E '!A$618:N1617,3,0),"")</f>
        <v/>
      </c>
      <c r="L3493" s="497"/>
      <c r="M3493" s="497"/>
      <c r="N3493" s="503"/>
      <c r="O3493" s="503"/>
      <c r="P3493" s="503"/>
    </row>
    <row r="3494" spans="1:16" x14ac:dyDescent="0.35">
      <c r="A3494" s="497" t="b">
        <v>0</v>
      </c>
      <c r="B3494" s="497"/>
      <c r="C3494" s="497" t="s">
        <v>7543</v>
      </c>
      <c r="D3494" s="512">
        <v>50</v>
      </c>
      <c r="E3494" s="500"/>
      <c r="F3494" s="503"/>
      <c r="G3494" s="502"/>
      <c r="H3494" s="512"/>
      <c r="I3494" s="503"/>
      <c r="J3494" s="503"/>
      <c r="K3494" s="497" t="str">
        <f ca="1">IFERROR(VLOOKUP(C3494,' Disaggregation - Section E '!A$618:N1618,3,0),"")</f>
        <v/>
      </c>
      <c r="L3494" s="497"/>
      <c r="M3494" s="497"/>
      <c r="N3494" s="503"/>
      <c r="O3494" s="503"/>
      <c r="P3494" s="503"/>
    </row>
    <row r="3495" spans="1:16" x14ac:dyDescent="0.35">
      <c r="A3495" s="497" t="b">
        <v>0</v>
      </c>
      <c r="B3495" s="497"/>
      <c r="C3495" s="497" t="s">
        <v>7545</v>
      </c>
      <c r="D3495" s="512">
        <v>50</v>
      </c>
      <c r="E3495" s="500"/>
      <c r="F3495" s="503"/>
      <c r="G3495" s="502"/>
      <c r="H3495" s="512"/>
      <c r="I3495" s="503"/>
      <c r="J3495" s="503"/>
      <c r="K3495" s="497" t="str">
        <f ca="1">IFERROR(VLOOKUP(C3495,' Disaggregation - Section E '!A$618:N1619,3,0),"")</f>
        <v/>
      </c>
      <c r="L3495" s="497"/>
      <c r="M3495" s="497"/>
      <c r="N3495" s="503"/>
      <c r="O3495" s="503"/>
      <c r="P3495" s="503"/>
    </row>
    <row r="3496" spans="1:16" x14ac:dyDescent="0.35">
      <c r="A3496" s="497" t="b">
        <v>0</v>
      </c>
      <c r="B3496" s="497"/>
      <c r="C3496" s="497" t="s">
        <v>7547</v>
      </c>
      <c r="D3496" s="512">
        <v>50</v>
      </c>
      <c r="E3496" s="500"/>
      <c r="F3496" s="503"/>
      <c r="G3496" s="502"/>
      <c r="H3496" s="512"/>
      <c r="I3496" s="503"/>
      <c r="J3496" s="503"/>
      <c r="K3496" s="497" t="str">
        <f ca="1">IFERROR(VLOOKUP(C3496,' Disaggregation - Section E '!A$618:N1620,3,0),"")</f>
        <v/>
      </c>
      <c r="L3496" s="497"/>
      <c r="M3496" s="497"/>
      <c r="N3496" s="503"/>
      <c r="O3496" s="503"/>
      <c r="P3496" s="503"/>
    </row>
    <row r="3497" spans="1:16" x14ac:dyDescent="0.35">
      <c r="A3497" s="497" t="b">
        <v>0</v>
      </c>
      <c r="B3497" s="497"/>
      <c r="C3497" s="497" t="s">
        <v>7549</v>
      </c>
      <c r="D3497" s="512">
        <v>50</v>
      </c>
      <c r="E3497" s="500"/>
      <c r="F3497" s="503"/>
      <c r="G3497" s="502"/>
      <c r="H3497" s="512"/>
      <c r="I3497" s="503"/>
      <c r="J3497" s="503"/>
      <c r="K3497" s="497" t="str">
        <f ca="1">IFERROR(VLOOKUP(C3497,' Disaggregation - Section E '!A$618:N1621,3,0),"")</f>
        <v/>
      </c>
      <c r="L3497" s="497"/>
      <c r="M3497" s="497"/>
      <c r="N3497" s="503"/>
      <c r="O3497" s="503"/>
      <c r="P3497" s="503"/>
    </row>
    <row r="3498" spans="1:16" x14ac:dyDescent="0.35">
      <c r="A3498" s="497" t="b">
        <v>0</v>
      </c>
      <c r="B3498" s="497"/>
      <c r="C3498" s="497" t="s">
        <v>7551</v>
      </c>
      <c r="D3498" s="512">
        <v>50</v>
      </c>
      <c r="E3498" s="500"/>
      <c r="F3498" s="503"/>
      <c r="G3498" s="502"/>
      <c r="H3498" s="512"/>
      <c r="I3498" s="503"/>
      <c r="J3498" s="503"/>
      <c r="K3498" s="497" t="str">
        <f ca="1">IFERROR(VLOOKUP(C3498,' Disaggregation - Section E '!A$618:N1622,3,0),"")</f>
        <v/>
      </c>
      <c r="L3498" s="497"/>
      <c r="M3498" s="497"/>
      <c r="N3498" s="503"/>
      <c r="O3498" s="503"/>
      <c r="P3498" s="503"/>
    </row>
    <row r="3499" spans="1:16" x14ac:dyDescent="0.35">
      <c r="A3499" s="497" t="b">
        <v>0</v>
      </c>
      <c r="B3499" s="497"/>
      <c r="C3499" s="497" t="s">
        <v>7553</v>
      </c>
      <c r="D3499" s="512">
        <v>50</v>
      </c>
      <c r="E3499" s="500"/>
      <c r="F3499" s="503"/>
      <c r="G3499" s="502"/>
      <c r="H3499" s="512"/>
      <c r="I3499" s="503"/>
      <c r="J3499" s="503"/>
      <c r="K3499" s="497" t="str">
        <f ca="1">IFERROR(VLOOKUP(C3499,' Disaggregation - Section E '!A$618:N1623,3,0),"")</f>
        <v/>
      </c>
      <c r="L3499" s="497"/>
      <c r="M3499" s="497"/>
      <c r="N3499" s="503"/>
      <c r="O3499" s="503"/>
      <c r="P3499" s="503"/>
    </row>
    <row r="3500" spans="1:16" x14ac:dyDescent="0.35">
      <c r="A3500" s="497" t="b">
        <v>0</v>
      </c>
      <c r="B3500" s="497"/>
      <c r="C3500" s="497" t="s">
        <v>6325</v>
      </c>
      <c r="D3500" s="512">
        <v>51</v>
      </c>
      <c r="E3500" s="500"/>
      <c r="F3500" s="503"/>
      <c r="G3500" s="502"/>
      <c r="H3500" s="512"/>
      <c r="I3500" s="503"/>
      <c r="J3500" s="503"/>
      <c r="K3500" s="497" t="str">
        <f ca="1">IFERROR(VLOOKUP(C3500,' Disaggregation - Section E '!A$618:N1624,3,0),"")</f>
        <v/>
      </c>
      <c r="L3500" s="497"/>
      <c r="M3500" s="497"/>
      <c r="N3500" s="503"/>
      <c r="O3500" s="503"/>
      <c r="P3500" s="503"/>
    </row>
    <row r="3501" spans="1:16" x14ac:dyDescent="0.35">
      <c r="A3501" s="497" t="b">
        <v>0</v>
      </c>
      <c r="B3501" s="497"/>
      <c r="C3501" s="497" t="s">
        <v>6327</v>
      </c>
      <c r="D3501" s="512">
        <v>51</v>
      </c>
      <c r="E3501" s="500"/>
      <c r="F3501" s="503"/>
      <c r="G3501" s="502"/>
      <c r="H3501" s="512"/>
      <c r="I3501" s="503"/>
      <c r="J3501" s="503"/>
      <c r="K3501" s="497" t="str">
        <f ca="1">IFERROR(VLOOKUP(C3501,' Disaggregation - Section E '!A$618:N1625,3,0),"")</f>
        <v/>
      </c>
      <c r="L3501" s="497"/>
      <c r="M3501" s="497"/>
      <c r="N3501" s="503"/>
      <c r="O3501" s="503"/>
      <c r="P3501" s="503"/>
    </row>
    <row r="3502" spans="1:16" x14ac:dyDescent="0.35">
      <c r="A3502" s="497" t="b">
        <v>0</v>
      </c>
      <c r="B3502" s="497"/>
      <c r="C3502" s="497" t="s">
        <v>6329</v>
      </c>
      <c r="D3502" s="512">
        <v>51</v>
      </c>
      <c r="E3502" s="500"/>
      <c r="F3502" s="503"/>
      <c r="G3502" s="502"/>
      <c r="H3502" s="512"/>
      <c r="I3502" s="503"/>
      <c r="J3502" s="503"/>
      <c r="K3502" s="497" t="str">
        <f ca="1">IFERROR(VLOOKUP(C3502,' Disaggregation - Section E '!A$618:N1626,3,0),"")</f>
        <v/>
      </c>
      <c r="L3502" s="497"/>
      <c r="M3502" s="497"/>
      <c r="N3502" s="503"/>
      <c r="O3502" s="503"/>
      <c r="P3502" s="503"/>
    </row>
    <row r="3503" spans="1:16" x14ac:dyDescent="0.35">
      <c r="A3503" s="497" t="b">
        <v>0</v>
      </c>
      <c r="B3503" s="497"/>
      <c r="C3503" s="497" t="s">
        <v>6331</v>
      </c>
      <c r="D3503" s="512">
        <v>51</v>
      </c>
      <c r="E3503" s="500"/>
      <c r="F3503" s="503"/>
      <c r="G3503" s="502"/>
      <c r="H3503" s="512"/>
      <c r="I3503" s="503"/>
      <c r="J3503" s="503"/>
      <c r="K3503" s="497" t="str">
        <f ca="1">IFERROR(VLOOKUP(C3503,' Disaggregation - Section E '!A$618:N1627,3,0),"")</f>
        <v/>
      </c>
      <c r="L3503" s="497"/>
      <c r="M3503" s="497"/>
      <c r="N3503" s="503"/>
      <c r="O3503" s="503"/>
      <c r="P3503" s="503"/>
    </row>
    <row r="3504" spans="1:16" x14ac:dyDescent="0.35">
      <c r="A3504" s="497" t="b">
        <v>0</v>
      </c>
      <c r="B3504" s="497"/>
      <c r="C3504" s="497" t="s">
        <v>6333</v>
      </c>
      <c r="D3504" s="512">
        <v>51</v>
      </c>
      <c r="E3504" s="500"/>
      <c r="F3504" s="503"/>
      <c r="G3504" s="502"/>
      <c r="H3504" s="512"/>
      <c r="I3504" s="503"/>
      <c r="J3504" s="503"/>
      <c r="K3504" s="497" t="str">
        <f ca="1">IFERROR(VLOOKUP(C3504,' Disaggregation - Section E '!A$618:N1628,3,0),"")</f>
        <v/>
      </c>
      <c r="L3504" s="497"/>
      <c r="M3504" s="497"/>
      <c r="N3504" s="503"/>
      <c r="O3504" s="503"/>
      <c r="P3504" s="503"/>
    </row>
    <row r="3505" spans="1:16" x14ac:dyDescent="0.35">
      <c r="A3505" s="497" t="b">
        <v>0</v>
      </c>
      <c r="B3505" s="497"/>
      <c r="C3505" s="497" t="s">
        <v>6335</v>
      </c>
      <c r="D3505" s="512">
        <v>51</v>
      </c>
      <c r="E3505" s="500"/>
      <c r="F3505" s="503"/>
      <c r="G3505" s="502"/>
      <c r="H3505" s="512"/>
      <c r="I3505" s="503"/>
      <c r="J3505" s="503"/>
      <c r="K3505" s="497" t="str">
        <f ca="1">IFERROR(VLOOKUP(C3505,' Disaggregation - Section E '!A$618:N1629,3,0),"")</f>
        <v/>
      </c>
      <c r="L3505" s="497"/>
      <c r="M3505" s="497"/>
      <c r="N3505" s="503"/>
      <c r="O3505" s="503"/>
      <c r="P3505" s="503"/>
    </row>
    <row r="3506" spans="1:16" x14ac:dyDescent="0.35">
      <c r="A3506" s="497" t="b">
        <v>0</v>
      </c>
      <c r="B3506" s="497"/>
      <c r="C3506" s="497" t="s">
        <v>6337</v>
      </c>
      <c r="D3506" s="512">
        <v>51</v>
      </c>
      <c r="E3506" s="500"/>
      <c r="F3506" s="503"/>
      <c r="G3506" s="502"/>
      <c r="H3506" s="512"/>
      <c r="I3506" s="503"/>
      <c r="J3506" s="503"/>
      <c r="K3506" s="497" t="str">
        <f ca="1">IFERROR(VLOOKUP(C3506,' Disaggregation - Section E '!A$618:N1630,3,0),"")</f>
        <v/>
      </c>
      <c r="L3506" s="497"/>
      <c r="M3506" s="497"/>
      <c r="N3506" s="503"/>
      <c r="O3506" s="503"/>
      <c r="P3506" s="503"/>
    </row>
    <row r="3507" spans="1:16" x14ac:dyDescent="0.35">
      <c r="A3507" s="497" t="b">
        <v>0</v>
      </c>
      <c r="B3507" s="497"/>
      <c r="C3507" s="497" t="s">
        <v>6339</v>
      </c>
      <c r="D3507" s="512">
        <v>51</v>
      </c>
      <c r="E3507" s="500"/>
      <c r="F3507" s="503"/>
      <c r="G3507" s="502"/>
      <c r="H3507" s="512"/>
      <c r="I3507" s="503"/>
      <c r="J3507" s="503"/>
      <c r="K3507" s="497" t="str">
        <f ca="1">IFERROR(VLOOKUP(C3507,' Disaggregation - Section E '!A$618:N1631,3,0),"")</f>
        <v/>
      </c>
      <c r="L3507" s="497"/>
      <c r="M3507" s="497"/>
      <c r="N3507" s="503"/>
      <c r="O3507" s="503"/>
      <c r="P3507" s="503"/>
    </row>
    <row r="3508" spans="1:16" x14ac:dyDescent="0.35">
      <c r="A3508" s="497" t="b">
        <v>0</v>
      </c>
      <c r="B3508" s="497"/>
      <c r="C3508" s="497" t="s">
        <v>6341</v>
      </c>
      <c r="D3508" s="512">
        <v>51</v>
      </c>
      <c r="E3508" s="500"/>
      <c r="F3508" s="503"/>
      <c r="G3508" s="502"/>
      <c r="H3508" s="512"/>
      <c r="I3508" s="503"/>
      <c r="J3508" s="503"/>
      <c r="K3508" s="497" t="str">
        <f ca="1">IFERROR(VLOOKUP(C3508,' Disaggregation - Section E '!A$618:N1632,3,0),"")</f>
        <v/>
      </c>
      <c r="L3508" s="497"/>
      <c r="M3508" s="497"/>
      <c r="N3508" s="503"/>
      <c r="O3508" s="503"/>
      <c r="P3508" s="503"/>
    </row>
    <row r="3509" spans="1:16" x14ac:dyDescent="0.35">
      <c r="A3509" s="497" t="b">
        <v>0</v>
      </c>
      <c r="B3509" s="497"/>
      <c r="C3509" s="497" t="s">
        <v>6343</v>
      </c>
      <c r="D3509" s="512">
        <v>51</v>
      </c>
      <c r="E3509" s="500"/>
      <c r="F3509" s="503"/>
      <c r="G3509" s="502"/>
      <c r="H3509" s="512"/>
      <c r="I3509" s="503"/>
      <c r="J3509" s="503"/>
      <c r="K3509" s="497" t="str">
        <f ca="1">IFERROR(VLOOKUP(C3509,' Disaggregation - Section E '!A$618:N1633,3,0),"")</f>
        <v/>
      </c>
      <c r="L3509" s="497"/>
      <c r="M3509" s="497"/>
      <c r="N3509" s="503"/>
      <c r="O3509" s="503"/>
      <c r="P3509" s="503"/>
    </row>
    <row r="3510" spans="1:16" x14ac:dyDescent="0.35">
      <c r="A3510" s="497" t="b">
        <v>0</v>
      </c>
      <c r="B3510" s="497"/>
      <c r="C3510" s="497" t="s">
        <v>6345</v>
      </c>
      <c r="D3510" s="512">
        <v>51</v>
      </c>
      <c r="E3510" s="500"/>
      <c r="F3510" s="503"/>
      <c r="G3510" s="502"/>
      <c r="H3510" s="512"/>
      <c r="I3510" s="503"/>
      <c r="J3510" s="503"/>
      <c r="K3510" s="497" t="str">
        <f ca="1">IFERROR(VLOOKUP(C3510,' Disaggregation - Section E '!A$618:N1634,3,0),"")</f>
        <v/>
      </c>
      <c r="L3510" s="497"/>
      <c r="M3510" s="497"/>
      <c r="N3510" s="503"/>
      <c r="O3510" s="503"/>
      <c r="P3510" s="503"/>
    </row>
    <row r="3511" spans="1:16" x14ac:dyDescent="0.35">
      <c r="A3511" s="497" t="b">
        <v>0</v>
      </c>
      <c r="B3511" s="497"/>
      <c r="C3511" s="497" t="s">
        <v>6347</v>
      </c>
      <c r="D3511" s="512">
        <v>51</v>
      </c>
      <c r="E3511" s="500"/>
      <c r="F3511" s="503"/>
      <c r="G3511" s="502"/>
      <c r="H3511" s="512"/>
      <c r="I3511" s="503"/>
      <c r="J3511" s="503"/>
      <c r="K3511" s="497" t="str">
        <f ca="1">IFERROR(VLOOKUP(C3511,' Disaggregation - Section E '!A$618:N1635,3,0),"")</f>
        <v/>
      </c>
      <c r="L3511" s="497"/>
      <c r="M3511" s="497"/>
      <c r="N3511" s="503"/>
      <c r="O3511" s="503"/>
      <c r="P3511" s="503"/>
    </row>
    <row r="3512" spans="1:16" x14ac:dyDescent="0.35">
      <c r="A3512" s="497" t="b">
        <v>0</v>
      </c>
      <c r="B3512" s="497"/>
      <c r="C3512" s="497" t="s">
        <v>6349</v>
      </c>
      <c r="D3512" s="512">
        <v>51</v>
      </c>
      <c r="E3512" s="500"/>
      <c r="F3512" s="503"/>
      <c r="G3512" s="502"/>
      <c r="H3512" s="512"/>
      <c r="I3512" s="503"/>
      <c r="J3512" s="503"/>
      <c r="K3512" s="497" t="str">
        <f ca="1">IFERROR(VLOOKUP(C3512,' Disaggregation - Section E '!A$618:N1636,3,0),"")</f>
        <v/>
      </c>
      <c r="L3512" s="497"/>
      <c r="M3512" s="497"/>
      <c r="N3512" s="503"/>
      <c r="O3512" s="503"/>
      <c r="P3512" s="503"/>
    </row>
    <row r="3513" spans="1:16" x14ac:dyDescent="0.35">
      <c r="A3513" s="497" t="b">
        <v>0</v>
      </c>
      <c r="B3513" s="497"/>
      <c r="C3513" s="497" t="s">
        <v>6351</v>
      </c>
      <c r="D3513" s="512">
        <v>51</v>
      </c>
      <c r="E3513" s="500"/>
      <c r="F3513" s="503"/>
      <c r="G3513" s="502"/>
      <c r="H3513" s="512"/>
      <c r="I3513" s="503"/>
      <c r="J3513" s="503"/>
      <c r="K3513" s="497" t="str">
        <f ca="1">IFERROR(VLOOKUP(C3513,' Disaggregation - Section E '!A$618:N1637,3,0),"")</f>
        <v/>
      </c>
      <c r="L3513" s="497"/>
      <c r="M3513" s="497"/>
      <c r="N3513" s="503"/>
      <c r="O3513" s="503"/>
      <c r="P3513" s="503"/>
    </row>
    <row r="3514" spans="1:16" x14ac:dyDescent="0.35">
      <c r="A3514" s="497" t="b">
        <v>0</v>
      </c>
      <c r="B3514" s="497"/>
      <c r="C3514" s="497" t="s">
        <v>6353</v>
      </c>
      <c r="D3514" s="512">
        <v>51</v>
      </c>
      <c r="E3514" s="500"/>
      <c r="F3514" s="503"/>
      <c r="G3514" s="502"/>
      <c r="H3514" s="512"/>
      <c r="I3514" s="503"/>
      <c r="J3514" s="503"/>
      <c r="K3514" s="497" t="str">
        <f ca="1">IFERROR(VLOOKUP(C3514,' Disaggregation - Section E '!A$618:N1638,3,0),"")</f>
        <v/>
      </c>
      <c r="L3514" s="497"/>
      <c r="M3514" s="497"/>
      <c r="N3514" s="503"/>
      <c r="O3514" s="503"/>
      <c r="P3514" s="503"/>
    </row>
    <row r="3515" spans="1:16" x14ac:dyDescent="0.35">
      <c r="A3515" s="497" t="b">
        <v>0</v>
      </c>
      <c r="B3515" s="497"/>
      <c r="C3515" s="497" t="s">
        <v>6355</v>
      </c>
      <c r="D3515" s="512">
        <v>51</v>
      </c>
      <c r="E3515" s="500"/>
      <c r="F3515" s="503"/>
      <c r="G3515" s="502"/>
      <c r="H3515" s="512"/>
      <c r="I3515" s="503"/>
      <c r="J3515" s="503"/>
      <c r="K3515" s="497" t="str">
        <f ca="1">IFERROR(VLOOKUP(C3515,' Disaggregation - Section E '!A$618:N1639,3,0),"")</f>
        <v/>
      </c>
      <c r="L3515" s="497"/>
      <c r="M3515" s="497"/>
      <c r="N3515" s="503"/>
      <c r="O3515" s="503"/>
      <c r="P3515" s="503"/>
    </row>
    <row r="3516" spans="1:16" x14ac:dyDescent="0.35">
      <c r="A3516" s="497" t="b">
        <v>0</v>
      </c>
      <c r="B3516" s="497"/>
      <c r="C3516" s="497" t="s">
        <v>6357</v>
      </c>
      <c r="D3516" s="512">
        <v>51</v>
      </c>
      <c r="E3516" s="500"/>
      <c r="F3516" s="503"/>
      <c r="G3516" s="502"/>
      <c r="H3516" s="512"/>
      <c r="I3516" s="503"/>
      <c r="J3516" s="503"/>
      <c r="K3516" s="497" t="str">
        <f ca="1">IFERROR(VLOOKUP(C3516,' Disaggregation - Section E '!A$618:N1640,3,0),"")</f>
        <v/>
      </c>
      <c r="L3516" s="497"/>
      <c r="M3516" s="497"/>
      <c r="N3516" s="503"/>
      <c r="O3516" s="503"/>
      <c r="P3516" s="503"/>
    </row>
    <row r="3517" spans="1:16" x14ac:dyDescent="0.35">
      <c r="A3517" s="497" t="b">
        <v>0</v>
      </c>
      <c r="B3517" s="497"/>
      <c r="C3517" s="497" t="s">
        <v>6359</v>
      </c>
      <c r="D3517" s="512">
        <v>51</v>
      </c>
      <c r="E3517" s="500"/>
      <c r="F3517" s="503"/>
      <c r="G3517" s="502"/>
      <c r="H3517" s="512"/>
      <c r="I3517" s="503"/>
      <c r="J3517" s="503"/>
      <c r="K3517" s="497" t="str">
        <f ca="1">IFERROR(VLOOKUP(C3517,' Disaggregation - Section E '!A$618:N1641,3,0),"")</f>
        <v/>
      </c>
      <c r="L3517" s="497"/>
      <c r="M3517" s="497"/>
      <c r="N3517" s="503"/>
      <c r="O3517" s="503"/>
      <c r="P3517" s="503"/>
    </row>
    <row r="3518" spans="1:16" x14ac:dyDescent="0.35">
      <c r="A3518" s="497" t="b">
        <v>0</v>
      </c>
      <c r="B3518" s="497"/>
      <c r="C3518" s="497" t="s">
        <v>6361</v>
      </c>
      <c r="D3518" s="512">
        <v>51</v>
      </c>
      <c r="E3518" s="500"/>
      <c r="F3518" s="503"/>
      <c r="G3518" s="502"/>
      <c r="H3518" s="512"/>
      <c r="I3518" s="503"/>
      <c r="J3518" s="503"/>
      <c r="K3518" s="497" t="str">
        <f ca="1">IFERROR(VLOOKUP(C3518,' Disaggregation - Section E '!A$618:N1642,3,0),"")</f>
        <v/>
      </c>
      <c r="L3518" s="497"/>
      <c r="M3518" s="497"/>
      <c r="N3518" s="503"/>
      <c r="O3518" s="503"/>
      <c r="P3518" s="503"/>
    </row>
    <row r="3519" spans="1:16" x14ac:dyDescent="0.35">
      <c r="A3519" s="497" t="b">
        <v>0</v>
      </c>
      <c r="B3519" s="497"/>
      <c r="C3519" s="497" t="s">
        <v>6363</v>
      </c>
      <c r="D3519" s="512">
        <v>51</v>
      </c>
      <c r="E3519" s="500"/>
      <c r="F3519" s="503"/>
      <c r="G3519" s="502"/>
      <c r="H3519" s="512"/>
      <c r="I3519" s="503"/>
      <c r="J3519" s="503"/>
      <c r="K3519" s="497" t="str">
        <f ca="1">IFERROR(VLOOKUP(C3519,' Disaggregation - Section E '!A$618:N1643,3,0),"")</f>
        <v/>
      </c>
      <c r="L3519" s="497"/>
      <c r="M3519" s="497"/>
      <c r="N3519" s="503"/>
      <c r="O3519" s="503"/>
      <c r="P3519" s="503"/>
    </row>
    <row r="3520" spans="1:16" x14ac:dyDescent="0.35">
      <c r="A3520" s="497" t="b">
        <v>0</v>
      </c>
      <c r="B3520" s="497"/>
      <c r="C3520" s="497" t="s">
        <v>7556</v>
      </c>
      <c r="D3520" s="512">
        <v>52</v>
      </c>
      <c r="E3520" s="500"/>
      <c r="F3520" s="503"/>
      <c r="G3520" s="502"/>
      <c r="H3520" s="512"/>
      <c r="I3520" s="503"/>
      <c r="J3520" s="503"/>
      <c r="K3520" s="497" t="str">
        <f ca="1">IFERROR(VLOOKUP(C3520,' Disaggregation - Section E '!A$618:N1644,3,0),"")</f>
        <v/>
      </c>
      <c r="L3520" s="497"/>
      <c r="M3520" s="497"/>
      <c r="N3520" s="503"/>
      <c r="O3520" s="503"/>
      <c r="P3520" s="503"/>
    </row>
    <row r="3521" spans="1:16" x14ac:dyDescent="0.35">
      <c r="A3521" s="497" t="b">
        <v>0</v>
      </c>
      <c r="B3521" s="497"/>
      <c r="C3521" s="497" t="s">
        <v>7558</v>
      </c>
      <c r="D3521" s="512">
        <v>52</v>
      </c>
      <c r="E3521" s="500"/>
      <c r="F3521" s="503"/>
      <c r="G3521" s="502"/>
      <c r="H3521" s="512"/>
      <c r="I3521" s="503"/>
      <c r="J3521" s="503"/>
      <c r="K3521" s="497" t="str">
        <f ca="1">IFERROR(VLOOKUP(C3521,' Disaggregation - Section E '!A$618:N1645,3,0),"")</f>
        <v/>
      </c>
      <c r="L3521" s="497"/>
      <c r="M3521" s="497"/>
      <c r="N3521" s="503"/>
      <c r="O3521" s="503"/>
      <c r="P3521" s="503"/>
    </row>
    <row r="3522" spans="1:16" x14ac:dyDescent="0.35">
      <c r="A3522" s="497" t="b">
        <v>0</v>
      </c>
      <c r="B3522" s="497"/>
      <c r="C3522" s="497" t="s">
        <v>7560</v>
      </c>
      <c r="D3522" s="512">
        <v>52</v>
      </c>
      <c r="E3522" s="500"/>
      <c r="F3522" s="503"/>
      <c r="G3522" s="502"/>
      <c r="H3522" s="512"/>
      <c r="I3522" s="503"/>
      <c r="J3522" s="503"/>
      <c r="K3522" s="497" t="str">
        <f ca="1">IFERROR(VLOOKUP(C3522,' Disaggregation - Section E '!A$618:N1646,3,0),"")</f>
        <v/>
      </c>
      <c r="L3522" s="497"/>
      <c r="M3522" s="497"/>
      <c r="N3522" s="503"/>
      <c r="O3522" s="503"/>
      <c r="P3522" s="503"/>
    </row>
    <row r="3523" spans="1:16" x14ac:dyDescent="0.35">
      <c r="A3523" s="497" t="b">
        <v>0</v>
      </c>
      <c r="B3523" s="497"/>
      <c r="C3523" s="497" t="s">
        <v>7562</v>
      </c>
      <c r="D3523" s="512">
        <v>52</v>
      </c>
      <c r="E3523" s="500"/>
      <c r="F3523" s="503"/>
      <c r="G3523" s="502"/>
      <c r="H3523" s="512"/>
      <c r="I3523" s="503"/>
      <c r="J3523" s="503"/>
      <c r="K3523" s="497" t="str">
        <f ca="1">IFERROR(VLOOKUP(C3523,' Disaggregation - Section E '!A$618:N1647,3,0),"")</f>
        <v/>
      </c>
      <c r="L3523" s="497"/>
      <c r="M3523" s="497"/>
      <c r="N3523" s="503"/>
      <c r="O3523" s="503"/>
      <c r="P3523" s="503"/>
    </row>
    <row r="3524" spans="1:16" x14ac:dyDescent="0.35">
      <c r="A3524" s="497" t="b">
        <v>0</v>
      </c>
      <c r="B3524" s="497"/>
      <c r="C3524" s="497" t="s">
        <v>7564</v>
      </c>
      <c r="D3524" s="512">
        <v>52</v>
      </c>
      <c r="E3524" s="500"/>
      <c r="F3524" s="503"/>
      <c r="G3524" s="502"/>
      <c r="H3524" s="512"/>
      <c r="I3524" s="503"/>
      <c r="J3524" s="503"/>
      <c r="K3524" s="497" t="str">
        <f ca="1">IFERROR(VLOOKUP(C3524,' Disaggregation - Section E '!A$618:N1648,3,0),"")</f>
        <v/>
      </c>
      <c r="L3524" s="497"/>
      <c r="M3524" s="497"/>
      <c r="N3524" s="503"/>
      <c r="O3524" s="503"/>
      <c r="P3524" s="503"/>
    </row>
    <row r="3525" spans="1:16" x14ac:dyDescent="0.35">
      <c r="A3525" s="497" t="b">
        <v>0</v>
      </c>
      <c r="B3525" s="497"/>
      <c r="C3525" s="497" t="s">
        <v>7566</v>
      </c>
      <c r="D3525" s="512">
        <v>52</v>
      </c>
      <c r="E3525" s="500"/>
      <c r="F3525" s="503"/>
      <c r="G3525" s="502"/>
      <c r="H3525" s="512"/>
      <c r="I3525" s="503"/>
      <c r="J3525" s="503"/>
      <c r="K3525" s="497" t="str">
        <f ca="1">IFERROR(VLOOKUP(C3525,' Disaggregation - Section E '!A$618:N1649,3,0),"")</f>
        <v/>
      </c>
      <c r="L3525" s="497"/>
      <c r="M3525" s="497"/>
      <c r="N3525" s="503"/>
      <c r="O3525" s="503"/>
      <c r="P3525" s="503"/>
    </row>
    <row r="3526" spans="1:16" x14ac:dyDescent="0.35">
      <c r="A3526" s="497" t="b">
        <v>0</v>
      </c>
      <c r="B3526" s="497"/>
      <c r="C3526" s="497" t="s">
        <v>7568</v>
      </c>
      <c r="D3526" s="512">
        <v>52</v>
      </c>
      <c r="E3526" s="500"/>
      <c r="F3526" s="503"/>
      <c r="G3526" s="502"/>
      <c r="H3526" s="512"/>
      <c r="I3526" s="503"/>
      <c r="J3526" s="503"/>
      <c r="K3526" s="497" t="str">
        <f ca="1">IFERROR(VLOOKUP(C3526,' Disaggregation - Section E '!A$618:N1650,3,0),"")</f>
        <v/>
      </c>
      <c r="L3526" s="497"/>
      <c r="M3526" s="497"/>
      <c r="N3526" s="503"/>
      <c r="O3526" s="503"/>
      <c r="P3526" s="503"/>
    </row>
    <row r="3527" spans="1:16" x14ac:dyDescent="0.35">
      <c r="A3527" s="497" t="b">
        <v>0</v>
      </c>
      <c r="B3527" s="497"/>
      <c r="C3527" s="497" t="s">
        <v>7570</v>
      </c>
      <c r="D3527" s="512">
        <v>52</v>
      </c>
      <c r="E3527" s="500"/>
      <c r="F3527" s="503"/>
      <c r="G3527" s="502"/>
      <c r="H3527" s="512"/>
      <c r="I3527" s="503"/>
      <c r="J3527" s="503"/>
      <c r="K3527" s="497" t="str">
        <f ca="1">IFERROR(VLOOKUP(C3527,' Disaggregation - Section E '!A$618:N1651,3,0),"")</f>
        <v/>
      </c>
      <c r="L3527" s="497"/>
      <c r="M3527" s="497"/>
      <c r="N3527" s="503"/>
      <c r="O3527" s="503"/>
      <c r="P3527" s="503"/>
    </row>
    <row r="3528" spans="1:16" x14ac:dyDescent="0.35">
      <c r="A3528" s="497" t="b">
        <v>0</v>
      </c>
      <c r="B3528" s="497"/>
      <c r="C3528" s="497" t="s">
        <v>7572</v>
      </c>
      <c r="D3528" s="512">
        <v>52</v>
      </c>
      <c r="E3528" s="500"/>
      <c r="F3528" s="503"/>
      <c r="G3528" s="502"/>
      <c r="H3528" s="512"/>
      <c r="I3528" s="503"/>
      <c r="J3528" s="503"/>
      <c r="K3528" s="497" t="str">
        <f ca="1">IFERROR(VLOOKUP(C3528,' Disaggregation - Section E '!A$618:N1652,3,0),"")</f>
        <v/>
      </c>
      <c r="L3528" s="497"/>
      <c r="M3528" s="497"/>
      <c r="N3528" s="503"/>
      <c r="O3528" s="503"/>
      <c r="P3528" s="503"/>
    </row>
    <row r="3529" spans="1:16" x14ac:dyDescent="0.35">
      <c r="A3529" s="497" t="b">
        <v>0</v>
      </c>
      <c r="B3529" s="497"/>
      <c r="C3529" s="497" t="s">
        <v>7574</v>
      </c>
      <c r="D3529" s="512">
        <v>52</v>
      </c>
      <c r="E3529" s="500"/>
      <c r="F3529" s="503"/>
      <c r="G3529" s="502"/>
      <c r="H3529" s="512"/>
      <c r="I3529" s="503"/>
      <c r="J3529" s="503"/>
      <c r="K3529" s="497" t="str">
        <f ca="1">IFERROR(VLOOKUP(C3529,' Disaggregation - Section E '!A$618:N1653,3,0),"")</f>
        <v/>
      </c>
      <c r="L3529" s="497"/>
      <c r="M3529" s="497"/>
      <c r="N3529" s="503"/>
      <c r="O3529" s="503"/>
      <c r="P3529" s="503"/>
    </row>
    <row r="3530" spans="1:16" x14ac:dyDescent="0.35">
      <c r="A3530" s="497" t="b">
        <v>0</v>
      </c>
      <c r="B3530" s="497"/>
      <c r="C3530" s="497" t="s">
        <v>7576</v>
      </c>
      <c r="D3530" s="512">
        <v>52</v>
      </c>
      <c r="E3530" s="500"/>
      <c r="F3530" s="503"/>
      <c r="G3530" s="502"/>
      <c r="H3530" s="512"/>
      <c r="I3530" s="503"/>
      <c r="J3530" s="503"/>
      <c r="K3530" s="497" t="str">
        <f ca="1">IFERROR(VLOOKUP(C3530,' Disaggregation - Section E '!A$618:N1654,3,0),"")</f>
        <v/>
      </c>
      <c r="L3530" s="497"/>
      <c r="M3530" s="497"/>
      <c r="N3530" s="503"/>
      <c r="O3530" s="503"/>
      <c r="P3530" s="503"/>
    </row>
    <row r="3531" spans="1:16" x14ac:dyDescent="0.35">
      <c r="A3531" s="497" t="b">
        <v>0</v>
      </c>
      <c r="B3531" s="497"/>
      <c r="C3531" s="497" t="s">
        <v>7578</v>
      </c>
      <c r="D3531" s="512">
        <v>52</v>
      </c>
      <c r="E3531" s="500"/>
      <c r="F3531" s="503"/>
      <c r="G3531" s="502"/>
      <c r="H3531" s="512"/>
      <c r="I3531" s="503"/>
      <c r="J3531" s="503"/>
      <c r="K3531" s="497" t="str">
        <f ca="1">IFERROR(VLOOKUP(C3531,' Disaggregation - Section E '!A$618:N1655,3,0),"")</f>
        <v/>
      </c>
      <c r="L3531" s="497"/>
      <c r="M3531" s="497"/>
      <c r="N3531" s="503"/>
      <c r="O3531" s="503"/>
      <c r="P3531" s="503"/>
    </row>
    <row r="3532" spans="1:16" x14ac:dyDescent="0.35">
      <c r="A3532" s="497" t="b">
        <v>0</v>
      </c>
      <c r="B3532" s="497"/>
      <c r="C3532" s="497" t="s">
        <v>7580</v>
      </c>
      <c r="D3532" s="512">
        <v>52</v>
      </c>
      <c r="E3532" s="500"/>
      <c r="F3532" s="503"/>
      <c r="G3532" s="502"/>
      <c r="H3532" s="512"/>
      <c r="I3532" s="503"/>
      <c r="J3532" s="503"/>
      <c r="K3532" s="497" t="str">
        <f ca="1">IFERROR(VLOOKUP(C3532,' Disaggregation - Section E '!A$618:N1656,3,0),"")</f>
        <v/>
      </c>
      <c r="L3532" s="497"/>
      <c r="M3532" s="497"/>
      <c r="N3532" s="503"/>
      <c r="O3532" s="503"/>
      <c r="P3532" s="503"/>
    </row>
    <row r="3533" spans="1:16" x14ac:dyDescent="0.35">
      <c r="A3533" s="497" t="b">
        <v>0</v>
      </c>
      <c r="B3533" s="497"/>
      <c r="C3533" s="497" t="s">
        <v>7582</v>
      </c>
      <c r="D3533" s="512">
        <v>52</v>
      </c>
      <c r="E3533" s="500"/>
      <c r="F3533" s="503"/>
      <c r="G3533" s="502"/>
      <c r="H3533" s="512"/>
      <c r="I3533" s="503"/>
      <c r="J3533" s="503"/>
      <c r="K3533" s="497" t="str">
        <f ca="1">IFERROR(VLOOKUP(C3533,' Disaggregation - Section E '!A$618:N1657,3,0),"")</f>
        <v/>
      </c>
      <c r="L3533" s="497"/>
      <c r="M3533" s="497"/>
      <c r="N3533" s="503"/>
      <c r="O3533" s="503"/>
      <c r="P3533" s="503"/>
    </row>
    <row r="3534" spans="1:16" x14ac:dyDescent="0.35">
      <c r="A3534" s="497" t="b">
        <v>0</v>
      </c>
      <c r="B3534" s="497"/>
      <c r="C3534" s="497" t="s">
        <v>7584</v>
      </c>
      <c r="D3534" s="512">
        <v>52</v>
      </c>
      <c r="E3534" s="500"/>
      <c r="F3534" s="503"/>
      <c r="G3534" s="502"/>
      <c r="H3534" s="512"/>
      <c r="I3534" s="503"/>
      <c r="J3534" s="503"/>
      <c r="K3534" s="497" t="str">
        <f ca="1">IFERROR(VLOOKUP(C3534,' Disaggregation - Section E '!A$618:N1658,3,0),"")</f>
        <v/>
      </c>
      <c r="L3534" s="497"/>
      <c r="M3534" s="497"/>
      <c r="N3534" s="503"/>
      <c r="O3534" s="503"/>
      <c r="P3534" s="503"/>
    </row>
    <row r="3535" spans="1:16" x14ac:dyDescent="0.35">
      <c r="A3535" s="497" t="b">
        <v>0</v>
      </c>
      <c r="B3535" s="497"/>
      <c r="C3535" s="497" t="s">
        <v>7586</v>
      </c>
      <c r="D3535" s="512">
        <v>52</v>
      </c>
      <c r="E3535" s="500"/>
      <c r="F3535" s="503"/>
      <c r="G3535" s="502"/>
      <c r="H3535" s="512"/>
      <c r="I3535" s="503"/>
      <c r="J3535" s="503"/>
      <c r="K3535" s="497" t="str">
        <f ca="1">IFERROR(VLOOKUP(C3535,' Disaggregation - Section E '!A$618:N1659,3,0),"")</f>
        <v/>
      </c>
      <c r="L3535" s="497"/>
      <c r="M3535" s="497"/>
      <c r="N3535" s="503"/>
      <c r="O3535" s="503"/>
      <c r="P3535" s="503"/>
    </row>
    <row r="3536" spans="1:16" x14ac:dyDescent="0.35">
      <c r="A3536" s="497" t="b">
        <v>0</v>
      </c>
      <c r="B3536" s="497"/>
      <c r="C3536" s="497" t="s">
        <v>7588</v>
      </c>
      <c r="D3536" s="512">
        <v>52</v>
      </c>
      <c r="E3536" s="500"/>
      <c r="F3536" s="503"/>
      <c r="G3536" s="502"/>
      <c r="H3536" s="512"/>
      <c r="I3536" s="503"/>
      <c r="J3536" s="503"/>
      <c r="K3536" s="497" t="str">
        <f ca="1">IFERROR(VLOOKUP(C3536,' Disaggregation - Section E '!A$618:N1660,3,0),"")</f>
        <v/>
      </c>
      <c r="L3536" s="497"/>
      <c r="M3536" s="497"/>
      <c r="N3536" s="503"/>
      <c r="O3536" s="503"/>
      <c r="P3536" s="503"/>
    </row>
    <row r="3537" spans="1:16" x14ac:dyDescent="0.35">
      <c r="A3537" s="497" t="b">
        <v>0</v>
      </c>
      <c r="B3537" s="497"/>
      <c r="C3537" s="497" t="s">
        <v>7590</v>
      </c>
      <c r="D3537" s="512">
        <v>52</v>
      </c>
      <c r="E3537" s="500"/>
      <c r="F3537" s="503"/>
      <c r="G3537" s="502"/>
      <c r="H3537" s="512"/>
      <c r="I3537" s="503"/>
      <c r="J3537" s="503"/>
      <c r="K3537" s="497" t="str">
        <f ca="1">IFERROR(VLOOKUP(C3537,' Disaggregation - Section E '!A$618:N1661,3,0),"")</f>
        <v/>
      </c>
      <c r="L3537" s="497"/>
      <c r="M3537" s="497"/>
      <c r="N3537" s="503"/>
      <c r="O3537" s="503"/>
      <c r="P3537" s="503"/>
    </row>
    <row r="3538" spans="1:16" x14ac:dyDescent="0.35">
      <c r="A3538" s="497" t="b">
        <v>0</v>
      </c>
      <c r="B3538" s="497"/>
      <c r="C3538" s="497" t="s">
        <v>7592</v>
      </c>
      <c r="D3538" s="512">
        <v>52</v>
      </c>
      <c r="E3538" s="500"/>
      <c r="F3538" s="503"/>
      <c r="G3538" s="502"/>
      <c r="H3538" s="512"/>
      <c r="I3538" s="503"/>
      <c r="J3538" s="503"/>
      <c r="K3538" s="497" t="str">
        <f ca="1">IFERROR(VLOOKUP(C3538,' Disaggregation - Section E '!A$618:N1662,3,0),"")</f>
        <v/>
      </c>
      <c r="L3538" s="497"/>
      <c r="M3538" s="497"/>
      <c r="N3538" s="503"/>
      <c r="O3538" s="503"/>
      <c r="P3538" s="503"/>
    </row>
    <row r="3539" spans="1:16" x14ac:dyDescent="0.35">
      <c r="A3539" s="497" t="b">
        <v>0</v>
      </c>
      <c r="B3539" s="497"/>
      <c r="C3539" s="497" t="s">
        <v>7594</v>
      </c>
      <c r="D3539" s="512">
        <v>52</v>
      </c>
      <c r="E3539" s="500"/>
      <c r="F3539" s="503"/>
      <c r="G3539" s="502"/>
      <c r="H3539" s="512"/>
      <c r="I3539" s="503"/>
      <c r="J3539" s="503"/>
      <c r="K3539" s="497" t="str">
        <f ca="1">IFERROR(VLOOKUP(C3539,' Disaggregation - Section E '!A$618:N1663,3,0),"")</f>
        <v/>
      </c>
      <c r="L3539" s="497"/>
      <c r="M3539" s="497"/>
      <c r="N3539" s="503"/>
      <c r="O3539" s="503"/>
      <c r="P3539" s="503"/>
    </row>
    <row r="3540" spans="1:16" x14ac:dyDescent="0.35">
      <c r="A3540" s="497" t="b">
        <v>0</v>
      </c>
      <c r="B3540" s="497"/>
      <c r="C3540" s="497" t="s">
        <v>6366</v>
      </c>
      <c r="D3540" s="512">
        <v>53</v>
      </c>
      <c r="E3540" s="500"/>
      <c r="F3540" s="503"/>
      <c r="G3540" s="502"/>
      <c r="H3540" s="512"/>
      <c r="I3540" s="503"/>
      <c r="J3540" s="503"/>
      <c r="K3540" s="497" t="str">
        <f ca="1">IFERROR(VLOOKUP(C3540,' Disaggregation - Section E '!A$618:N1664,3,0),"")</f>
        <v/>
      </c>
      <c r="L3540" s="497"/>
      <c r="M3540" s="497"/>
      <c r="N3540" s="503"/>
      <c r="O3540" s="503"/>
      <c r="P3540" s="503"/>
    </row>
    <row r="3541" spans="1:16" x14ac:dyDescent="0.35">
      <c r="A3541" s="497" t="b">
        <v>0</v>
      </c>
      <c r="B3541" s="497"/>
      <c r="C3541" s="497" t="s">
        <v>6368</v>
      </c>
      <c r="D3541" s="512">
        <v>53</v>
      </c>
      <c r="E3541" s="500"/>
      <c r="F3541" s="503"/>
      <c r="G3541" s="502"/>
      <c r="H3541" s="512"/>
      <c r="I3541" s="503"/>
      <c r="J3541" s="503"/>
      <c r="K3541" s="497" t="str">
        <f ca="1">IFERROR(VLOOKUP(C3541,' Disaggregation - Section E '!A$618:N1665,3,0),"")</f>
        <v/>
      </c>
      <c r="L3541" s="497"/>
      <c r="M3541" s="497"/>
      <c r="N3541" s="503"/>
      <c r="O3541" s="503"/>
      <c r="P3541" s="503"/>
    </row>
    <row r="3542" spans="1:16" x14ac:dyDescent="0.35">
      <c r="A3542" s="497" t="b">
        <v>0</v>
      </c>
      <c r="B3542" s="497"/>
      <c r="C3542" s="497" t="s">
        <v>6370</v>
      </c>
      <c r="D3542" s="512">
        <v>53</v>
      </c>
      <c r="E3542" s="500"/>
      <c r="F3542" s="503"/>
      <c r="G3542" s="502"/>
      <c r="H3542" s="512"/>
      <c r="I3542" s="503"/>
      <c r="J3542" s="503"/>
      <c r="K3542" s="497" t="str">
        <f ca="1">IFERROR(VLOOKUP(C3542,' Disaggregation - Section E '!A$618:N1666,3,0),"")</f>
        <v/>
      </c>
      <c r="L3542" s="497"/>
      <c r="M3542" s="497"/>
      <c r="N3542" s="503"/>
      <c r="O3542" s="503"/>
      <c r="P3542" s="503"/>
    </row>
    <row r="3543" spans="1:16" x14ac:dyDescent="0.35">
      <c r="A3543" s="497" t="b">
        <v>0</v>
      </c>
      <c r="B3543" s="497"/>
      <c r="C3543" s="497" t="s">
        <v>6372</v>
      </c>
      <c r="D3543" s="512">
        <v>53</v>
      </c>
      <c r="E3543" s="500"/>
      <c r="F3543" s="503"/>
      <c r="G3543" s="502"/>
      <c r="H3543" s="512"/>
      <c r="I3543" s="503"/>
      <c r="J3543" s="503"/>
      <c r="K3543" s="497" t="str">
        <f ca="1">IFERROR(VLOOKUP(C3543,' Disaggregation - Section E '!A$618:N1667,3,0),"")</f>
        <v/>
      </c>
      <c r="L3543" s="497"/>
      <c r="M3543" s="497"/>
      <c r="N3543" s="503"/>
      <c r="O3543" s="503"/>
      <c r="P3543" s="503"/>
    </row>
    <row r="3544" spans="1:16" x14ac:dyDescent="0.35">
      <c r="A3544" s="497" t="b">
        <v>0</v>
      </c>
      <c r="B3544" s="497"/>
      <c r="C3544" s="497" t="s">
        <v>6374</v>
      </c>
      <c r="D3544" s="512">
        <v>53</v>
      </c>
      <c r="E3544" s="500"/>
      <c r="F3544" s="503"/>
      <c r="G3544" s="502"/>
      <c r="H3544" s="512"/>
      <c r="I3544" s="503"/>
      <c r="J3544" s="503"/>
      <c r="K3544" s="497" t="str">
        <f ca="1">IFERROR(VLOOKUP(C3544,' Disaggregation - Section E '!A$618:N1668,3,0),"")</f>
        <v/>
      </c>
      <c r="L3544" s="497"/>
      <c r="M3544" s="497"/>
      <c r="N3544" s="503"/>
      <c r="O3544" s="503"/>
      <c r="P3544" s="503"/>
    </row>
    <row r="3545" spans="1:16" x14ac:dyDescent="0.35">
      <c r="A3545" s="497" t="b">
        <v>0</v>
      </c>
      <c r="B3545" s="497"/>
      <c r="C3545" s="497" t="s">
        <v>6376</v>
      </c>
      <c r="D3545" s="512">
        <v>53</v>
      </c>
      <c r="E3545" s="500"/>
      <c r="F3545" s="503"/>
      <c r="G3545" s="502"/>
      <c r="H3545" s="512"/>
      <c r="I3545" s="503"/>
      <c r="J3545" s="503"/>
      <c r="K3545" s="497" t="str">
        <f ca="1">IFERROR(VLOOKUP(C3545,' Disaggregation - Section E '!A$618:N1669,3,0),"")</f>
        <v/>
      </c>
      <c r="L3545" s="497"/>
      <c r="M3545" s="497"/>
      <c r="N3545" s="503"/>
      <c r="O3545" s="503"/>
      <c r="P3545" s="503"/>
    </row>
    <row r="3546" spans="1:16" x14ac:dyDescent="0.35">
      <c r="A3546" s="497" t="b">
        <v>0</v>
      </c>
      <c r="B3546" s="497"/>
      <c r="C3546" s="497" t="s">
        <v>6378</v>
      </c>
      <c r="D3546" s="512">
        <v>53</v>
      </c>
      <c r="E3546" s="500"/>
      <c r="F3546" s="503"/>
      <c r="G3546" s="502"/>
      <c r="H3546" s="512"/>
      <c r="I3546" s="503"/>
      <c r="J3546" s="503"/>
      <c r="K3546" s="497" t="str">
        <f ca="1">IFERROR(VLOOKUP(C3546,' Disaggregation - Section E '!A$618:N1670,3,0),"")</f>
        <v/>
      </c>
      <c r="L3546" s="497"/>
      <c r="M3546" s="497"/>
      <c r="N3546" s="503"/>
      <c r="O3546" s="503"/>
      <c r="P3546" s="503"/>
    </row>
    <row r="3547" spans="1:16" x14ac:dyDescent="0.35">
      <c r="A3547" s="497" t="b">
        <v>0</v>
      </c>
      <c r="B3547" s="497"/>
      <c r="C3547" s="497" t="s">
        <v>6380</v>
      </c>
      <c r="D3547" s="512">
        <v>53</v>
      </c>
      <c r="E3547" s="500"/>
      <c r="F3547" s="503"/>
      <c r="G3547" s="502"/>
      <c r="H3547" s="512"/>
      <c r="I3547" s="503"/>
      <c r="J3547" s="503"/>
      <c r="K3547" s="497" t="str">
        <f ca="1">IFERROR(VLOOKUP(C3547,' Disaggregation - Section E '!A$618:N1671,3,0),"")</f>
        <v/>
      </c>
      <c r="L3547" s="497"/>
      <c r="M3547" s="497"/>
      <c r="N3547" s="503"/>
      <c r="O3547" s="503"/>
      <c r="P3547" s="503"/>
    </row>
    <row r="3548" spans="1:16" x14ac:dyDescent="0.35">
      <c r="A3548" s="497" t="b">
        <v>0</v>
      </c>
      <c r="B3548" s="497"/>
      <c r="C3548" s="497" t="s">
        <v>6382</v>
      </c>
      <c r="D3548" s="512">
        <v>53</v>
      </c>
      <c r="E3548" s="500"/>
      <c r="F3548" s="503"/>
      <c r="G3548" s="502"/>
      <c r="H3548" s="512"/>
      <c r="I3548" s="503"/>
      <c r="J3548" s="503"/>
      <c r="K3548" s="497" t="str">
        <f ca="1">IFERROR(VLOOKUP(C3548,' Disaggregation - Section E '!A$618:N1672,3,0),"")</f>
        <v/>
      </c>
      <c r="L3548" s="497"/>
      <c r="M3548" s="497"/>
      <c r="N3548" s="503"/>
      <c r="O3548" s="503"/>
      <c r="P3548" s="503"/>
    </row>
    <row r="3549" spans="1:16" x14ac:dyDescent="0.35">
      <c r="A3549" s="497" t="b">
        <v>0</v>
      </c>
      <c r="B3549" s="497"/>
      <c r="C3549" s="497" t="s">
        <v>6384</v>
      </c>
      <c r="D3549" s="512">
        <v>53</v>
      </c>
      <c r="E3549" s="500"/>
      <c r="F3549" s="503"/>
      <c r="G3549" s="502"/>
      <c r="H3549" s="512"/>
      <c r="I3549" s="503"/>
      <c r="J3549" s="503"/>
      <c r="K3549" s="497" t="str">
        <f ca="1">IFERROR(VLOOKUP(C3549,' Disaggregation - Section E '!A$618:N1673,3,0),"")</f>
        <v/>
      </c>
      <c r="L3549" s="497"/>
      <c r="M3549" s="497"/>
      <c r="N3549" s="503"/>
      <c r="O3549" s="503"/>
      <c r="P3549" s="503"/>
    </row>
    <row r="3550" spans="1:16" x14ac:dyDescent="0.35">
      <c r="A3550" s="497" t="b">
        <v>0</v>
      </c>
      <c r="B3550" s="497"/>
      <c r="C3550" s="497" t="s">
        <v>6386</v>
      </c>
      <c r="D3550" s="512">
        <v>53</v>
      </c>
      <c r="E3550" s="500"/>
      <c r="F3550" s="503"/>
      <c r="G3550" s="502"/>
      <c r="H3550" s="512"/>
      <c r="I3550" s="503"/>
      <c r="J3550" s="503"/>
      <c r="K3550" s="497" t="str">
        <f ca="1">IFERROR(VLOOKUP(C3550,' Disaggregation - Section E '!A$618:N1674,3,0),"")</f>
        <v/>
      </c>
      <c r="L3550" s="497"/>
      <c r="M3550" s="497"/>
      <c r="N3550" s="503"/>
      <c r="O3550" s="503"/>
      <c r="P3550" s="503"/>
    </row>
    <row r="3551" spans="1:16" x14ac:dyDescent="0.35">
      <c r="A3551" s="497" t="b">
        <v>0</v>
      </c>
      <c r="B3551" s="497"/>
      <c r="C3551" s="497" t="s">
        <v>6388</v>
      </c>
      <c r="D3551" s="512">
        <v>53</v>
      </c>
      <c r="E3551" s="500"/>
      <c r="F3551" s="503"/>
      <c r="G3551" s="502"/>
      <c r="H3551" s="512"/>
      <c r="I3551" s="503"/>
      <c r="J3551" s="503"/>
      <c r="K3551" s="497" t="str">
        <f ca="1">IFERROR(VLOOKUP(C3551,' Disaggregation - Section E '!A$618:N1675,3,0),"")</f>
        <v/>
      </c>
      <c r="L3551" s="497"/>
      <c r="M3551" s="497"/>
      <c r="N3551" s="503"/>
      <c r="O3551" s="503"/>
      <c r="P3551" s="503"/>
    </row>
    <row r="3552" spans="1:16" x14ac:dyDescent="0.35">
      <c r="A3552" s="497" t="b">
        <v>0</v>
      </c>
      <c r="B3552" s="497"/>
      <c r="C3552" s="497" t="s">
        <v>6390</v>
      </c>
      <c r="D3552" s="512">
        <v>53</v>
      </c>
      <c r="E3552" s="500"/>
      <c r="F3552" s="503"/>
      <c r="G3552" s="502"/>
      <c r="H3552" s="512"/>
      <c r="I3552" s="503"/>
      <c r="J3552" s="503"/>
      <c r="K3552" s="497" t="str">
        <f ca="1">IFERROR(VLOOKUP(C3552,' Disaggregation - Section E '!A$618:N1676,3,0),"")</f>
        <v/>
      </c>
      <c r="L3552" s="497"/>
      <c r="M3552" s="497"/>
      <c r="N3552" s="503"/>
      <c r="O3552" s="503"/>
      <c r="P3552" s="503"/>
    </row>
    <row r="3553" spans="1:16" x14ac:dyDescent="0.35">
      <c r="A3553" s="497" t="b">
        <v>0</v>
      </c>
      <c r="B3553" s="497"/>
      <c r="C3553" s="497" t="s">
        <v>6392</v>
      </c>
      <c r="D3553" s="512">
        <v>53</v>
      </c>
      <c r="E3553" s="500"/>
      <c r="F3553" s="503"/>
      <c r="G3553" s="502"/>
      <c r="H3553" s="512"/>
      <c r="I3553" s="503"/>
      <c r="J3553" s="503"/>
      <c r="K3553" s="497" t="str">
        <f ca="1">IFERROR(VLOOKUP(C3553,' Disaggregation - Section E '!A$618:N1677,3,0),"")</f>
        <v/>
      </c>
      <c r="L3553" s="497"/>
      <c r="M3553" s="497"/>
      <c r="N3553" s="503"/>
      <c r="O3553" s="503"/>
      <c r="P3553" s="503"/>
    </row>
    <row r="3554" spans="1:16" x14ac:dyDescent="0.35">
      <c r="A3554" s="497" t="b">
        <v>0</v>
      </c>
      <c r="B3554" s="497"/>
      <c r="C3554" s="497" t="s">
        <v>6394</v>
      </c>
      <c r="D3554" s="512">
        <v>53</v>
      </c>
      <c r="E3554" s="500"/>
      <c r="F3554" s="503"/>
      <c r="G3554" s="502"/>
      <c r="H3554" s="512"/>
      <c r="I3554" s="503"/>
      <c r="J3554" s="503"/>
      <c r="K3554" s="497" t="str">
        <f ca="1">IFERROR(VLOOKUP(C3554,' Disaggregation - Section E '!A$618:N1678,3,0),"")</f>
        <v/>
      </c>
      <c r="L3554" s="497"/>
      <c r="M3554" s="497"/>
      <c r="N3554" s="503"/>
      <c r="O3554" s="503"/>
      <c r="P3554" s="503"/>
    </row>
    <row r="3555" spans="1:16" x14ac:dyDescent="0.35">
      <c r="A3555" s="497" t="b">
        <v>0</v>
      </c>
      <c r="B3555" s="497"/>
      <c r="C3555" s="497" t="s">
        <v>6396</v>
      </c>
      <c r="D3555" s="512">
        <v>53</v>
      </c>
      <c r="E3555" s="500"/>
      <c r="F3555" s="503"/>
      <c r="G3555" s="502"/>
      <c r="H3555" s="512"/>
      <c r="I3555" s="503"/>
      <c r="J3555" s="503"/>
      <c r="K3555" s="497" t="str">
        <f ca="1">IFERROR(VLOOKUP(C3555,' Disaggregation - Section E '!A$618:N1679,3,0),"")</f>
        <v/>
      </c>
      <c r="L3555" s="497"/>
      <c r="M3555" s="497"/>
      <c r="N3555" s="503"/>
      <c r="O3555" s="503"/>
      <c r="P3555" s="503"/>
    </row>
    <row r="3556" spans="1:16" x14ac:dyDescent="0.35">
      <c r="A3556" s="497" t="b">
        <v>0</v>
      </c>
      <c r="B3556" s="497"/>
      <c r="C3556" s="497" t="s">
        <v>6398</v>
      </c>
      <c r="D3556" s="512">
        <v>53</v>
      </c>
      <c r="E3556" s="500"/>
      <c r="F3556" s="503"/>
      <c r="G3556" s="502"/>
      <c r="H3556" s="512"/>
      <c r="I3556" s="503"/>
      <c r="J3556" s="503"/>
      <c r="K3556" s="497" t="str">
        <f ca="1">IFERROR(VLOOKUP(C3556,' Disaggregation - Section E '!A$618:N1680,3,0),"")</f>
        <v/>
      </c>
      <c r="L3556" s="497"/>
      <c r="M3556" s="497"/>
      <c r="N3556" s="503"/>
      <c r="O3556" s="503"/>
      <c r="P3556" s="503"/>
    </row>
    <row r="3557" spans="1:16" x14ac:dyDescent="0.35">
      <c r="A3557" s="497" t="b">
        <v>0</v>
      </c>
      <c r="B3557" s="497"/>
      <c r="C3557" s="497" t="s">
        <v>6400</v>
      </c>
      <c r="D3557" s="512">
        <v>53</v>
      </c>
      <c r="E3557" s="500"/>
      <c r="F3557" s="503"/>
      <c r="G3557" s="502"/>
      <c r="H3557" s="512"/>
      <c r="I3557" s="503"/>
      <c r="J3557" s="503"/>
      <c r="K3557" s="497" t="str">
        <f ca="1">IFERROR(VLOOKUP(C3557,' Disaggregation - Section E '!A$618:N1681,3,0),"")</f>
        <v/>
      </c>
      <c r="L3557" s="497"/>
      <c r="M3557" s="497"/>
      <c r="N3557" s="503"/>
      <c r="O3557" s="503"/>
      <c r="P3557" s="503"/>
    </row>
    <row r="3558" spans="1:16" x14ac:dyDescent="0.35">
      <c r="A3558" s="497" t="b">
        <v>0</v>
      </c>
      <c r="B3558" s="497"/>
      <c r="C3558" s="497" t="s">
        <v>6402</v>
      </c>
      <c r="D3558" s="512">
        <v>53</v>
      </c>
      <c r="E3558" s="500"/>
      <c r="F3558" s="503"/>
      <c r="G3558" s="502"/>
      <c r="H3558" s="512"/>
      <c r="I3558" s="503"/>
      <c r="J3558" s="503"/>
      <c r="K3558" s="497" t="str">
        <f ca="1">IFERROR(VLOOKUP(C3558,' Disaggregation - Section E '!A$618:N1682,3,0),"")</f>
        <v/>
      </c>
      <c r="L3558" s="497"/>
      <c r="M3558" s="497"/>
      <c r="N3558" s="503"/>
      <c r="O3558" s="503"/>
      <c r="P3558" s="503"/>
    </row>
    <row r="3559" spans="1:16" x14ac:dyDescent="0.35">
      <c r="A3559" s="497" t="b">
        <v>0</v>
      </c>
      <c r="B3559" s="497"/>
      <c r="C3559" s="497" t="s">
        <v>6404</v>
      </c>
      <c r="D3559" s="512">
        <v>53</v>
      </c>
      <c r="E3559" s="500"/>
      <c r="F3559" s="503"/>
      <c r="G3559" s="502"/>
      <c r="H3559" s="512"/>
      <c r="I3559" s="503"/>
      <c r="J3559" s="503"/>
      <c r="K3559" s="497" t="str">
        <f ca="1">IFERROR(VLOOKUP(C3559,' Disaggregation - Section E '!A$618:N1683,3,0),"")</f>
        <v/>
      </c>
      <c r="L3559" s="497"/>
      <c r="M3559" s="497"/>
      <c r="N3559" s="503"/>
      <c r="O3559" s="503"/>
      <c r="P3559" s="503"/>
    </row>
    <row r="3560" spans="1:16" x14ac:dyDescent="0.35">
      <c r="A3560" s="497" t="b">
        <v>0</v>
      </c>
      <c r="B3560" s="497"/>
      <c r="C3560" s="497" t="s">
        <v>7597</v>
      </c>
      <c r="D3560" s="512">
        <v>54</v>
      </c>
      <c r="E3560" s="500"/>
      <c r="F3560" s="503"/>
      <c r="G3560" s="502"/>
      <c r="H3560" s="512"/>
      <c r="I3560" s="503"/>
      <c r="J3560" s="503"/>
      <c r="K3560" s="497" t="str">
        <f ca="1">IFERROR(VLOOKUP(C3560,' Disaggregation - Section E '!A$618:N1684,3,0),"")</f>
        <v/>
      </c>
      <c r="L3560" s="497"/>
      <c r="M3560" s="497"/>
      <c r="N3560" s="503"/>
      <c r="O3560" s="503"/>
      <c r="P3560" s="503"/>
    </row>
    <row r="3561" spans="1:16" x14ac:dyDescent="0.35">
      <c r="A3561" s="497" t="b">
        <v>0</v>
      </c>
      <c r="B3561" s="497"/>
      <c r="C3561" s="497" t="s">
        <v>7599</v>
      </c>
      <c r="D3561" s="512">
        <v>54</v>
      </c>
      <c r="E3561" s="500"/>
      <c r="F3561" s="503"/>
      <c r="G3561" s="502"/>
      <c r="H3561" s="512"/>
      <c r="I3561" s="503"/>
      <c r="J3561" s="503"/>
      <c r="K3561" s="497" t="str">
        <f ca="1">IFERROR(VLOOKUP(C3561,' Disaggregation - Section E '!A$618:N1685,3,0),"")</f>
        <v/>
      </c>
      <c r="L3561" s="497"/>
      <c r="M3561" s="497"/>
      <c r="N3561" s="503"/>
      <c r="O3561" s="503"/>
      <c r="P3561" s="503"/>
    </row>
    <row r="3562" spans="1:16" x14ac:dyDescent="0.35">
      <c r="A3562" s="497" t="b">
        <v>0</v>
      </c>
      <c r="B3562" s="497"/>
      <c r="C3562" s="497" t="s">
        <v>7601</v>
      </c>
      <c r="D3562" s="512">
        <v>54</v>
      </c>
      <c r="E3562" s="500"/>
      <c r="F3562" s="503"/>
      <c r="G3562" s="502"/>
      <c r="H3562" s="512"/>
      <c r="I3562" s="503"/>
      <c r="J3562" s="503"/>
      <c r="K3562" s="497" t="str">
        <f ca="1">IFERROR(VLOOKUP(C3562,' Disaggregation - Section E '!A$618:N1686,3,0),"")</f>
        <v/>
      </c>
      <c r="L3562" s="497"/>
      <c r="M3562" s="497"/>
      <c r="N3562" s="503"/>
      <c r="O3562" s="503"/>
      <c r="P3562" s="503"/>
    </row>
    <row r="3563" spans="1:16" x14ac:dyDescent="0.35">
      <c r="A3563" s="497" t="b">
        <v>0</v>
      </c>
      <c r="B3563" s="497"/>
      <c r="C3563" s="497" t="s">
        <v>7603</v>
      </c>
      <c r="D3563" s="512">
        <v>54</v>
      </c>
      <c r="E3563" s="500"/>
      <c r="F3563" s="503"/>
      <c r="G3563" s="502"/>
      <c r="H3563" s="512"/>
      <c r="I3563" s="503"/>
      <c r="J3563" s="503"/>
      <c r="K3563" s="497" t="str">
        <f ca="1">IFERROR(VLOOKUP(C3563,' Disaggregation - Section E '!A$618:N1687,3,0),"")</f>
        <v/>
      </c>
      <c r="L3563" s="497"/>
      <c r="M3563" s="497"/>
      <c r="N3563" s="503"/>
      <c r="O3563" s="503"/>
      <c r="P3563" s="503"/>
    </row>
    <row r="3564" spans="1:16" x14ac:dyDescent="0.35">
      <c r="A3564" s="497" t="b">
        <v>0</v>
      </c>
      <c r="B3564" s="497"/>
      <c r="C3564" s="497" t="s">
        <v>7605</v>
      </c>
      <c r="D3564" s="512">
        <v>54</v>
      </c>
      <c r="E3564" s="500"/>
      <c r="F3564" s="503"/>
      <c r="G3564" s="502"/>
      <c r="H3564" s="512"/>
      <c r="I3564" s="503"/>
      <c r="J3564" s="503"/>
      <c r="K3564" s="497" t="str">
        <f ca="1">IFERROR(VLOOKUP(C3564,' Disaggregation - Section E '!A$618:N1688,3,0),"")</f>
        <v/>
      </c>
      <c r="L3564" s="497"/>
      <c r="M3564" s="497"/>
      <c r="N3564" s="503"/>
      <c r="O3564" s="503"/>
      <c r="P3564" s="503"/>
    </row>
    <row r="3565" spans="1:16" x14ac:dyDescent="0.35">
      <c r="A3565" s="497" t="b">
        <v>0</v>
      </c>
      <c r="B3565" s="497"/>
      <c r="C3565" s="497" t="s">
        <v>7607</v>
      </c>
      <c r="D3565" s="512">
        <v>54</v>
      </c>
      <c r="E3565" s="500"/>
      <c r="F3565" s="503"/>
      <c r="G3565" s="502"/>
      <c r="H3565" s="512"/>
      <c r="I3565" s="503"/>
      <c r="J3565" s="503"/>
      <c r="K3565" s="497" t="str">
        <f ca="1">IFERROR(VLOOKUP(C3565,' Disaggregation - Section E '!A$618:N1689,3,0),"")</f>
        <v/>
      </c>
      <c r="L3565" s="497"/>
      <c r="M3565" s="497"/>
      <c r="N3565" s="503"/>
      <c r="O3565" s="503"/>
      <c r="P3565" s="503"/>
    </row>
    <row r="3566" spans="1:16" x14ac:dyDescent="0.35">
      <c r="A3566" s="497" t="b">
        <v>0</v>
      </c>
      <c r="B3566" s="497"/>
      <c r="C3566" s="497" t="s">
        <v>7609</v>
      </c>
      <c r="D3566" s="512">
        <v>54</v>
      </c>
      <c r="E3566" s="500"/>
      <c r="F3566" s="503"/>
      <c r="G3566" s="502"/>
      <c r="H3566" s="512"/>
      <c r="I3566" s="503"/>
      <c r="J3566" s="503"/>
      <c r="K3566" s="497" t="str">
        <f ca="1">IFERROR(VLOOKUP(C3566,' Disaggregation - Section E '!A$618:N1690,3,0),"")</f>
        <v/>
      </c>
      <c r="L3566" s="497"/>
      <c r="M3566" s="497"/>
      <c r="N3566" s="503"/>
      <c r="O3566" s="503"/>
      <c r="P3566" s="503"/>
    </row>
    <row r="3567" spans="1:16" x14ac:dyDescent="0.35">
      <c r="A3567" s="497" t="b">
        <v>0</v>
      </c>
      <c r="B3567" s="497"/>
      <c r="C3567" s="497" t="s">
        <v>7611</v>
      </c>
      <c r="D3567" s="512">
        <v>54</v>
      </c>
      <c r="E3567" s="500"/>
      <c r="F3567" s="503"/>
      <c r="G3567" s="502"/>
      <c r="H3567" s="512"/>
      <c r="I3567" s="503"/>
      <c r="J3567" s="503"/>
      <c r="K3567" s="497" t="str">
        <f ca="1">IFERROR(VLOOKUP(C3567,' Disaggregation - Section E '!A$618:N1691,3,0),"")</f>
        <v/>
      </c>
      <c r="L3567" s="497"/>
      <c r="M3567" s="497"/>
      <c r="N3567" s="503"/>
      <c r="O3567" s="503"/>
      <c r="P3567" s="503"/>
    </row>
    <row r="3568" spans="1:16" x14ac:dyDescent="0.35">
      <c r="A3568" s="497" t="b">
        <v>0</v>
      </c>
      <c r="B3568" s="497"/>
      <c r="C3568" s="497" t="s">
        <v>7613</v>
      </c>
      <c r="D3568" s="512">
        <v>54</v>
      </c>
      <c r="E3568" s="500"/>
      <c r="F3568" s="503"/>
      <c r="G3568" s="502"/>
      <c r="H3568" s="512"/>
      <c r="I3568" s="503"/>
      <c r="J3568" s="503"/>
      <c r="K3568" s="497" t="str">
        <f ca="1">IFERROR(VLOOKUP(C3568,' Disaggregation - Section E '!A$618:N1692,3,0),"")</f>
        <v/>
      </c>
      <c r="L3568" s="497"/>
      <c r="M3568" s="497"/>
      <c r="N3568" s="503"/>
      <c r="O3568" s="503"/>
      <c r="P3568" s="503"/>
    </row>
    <row r="3569" spans="1:16" x14ac:dyDescent="0.35">
      <c r="A3569" s="497" t="b">
        <v>0</v>
      </c>
      <c r="B3569" s="497"/>
      <c r="C3569" s="497" t="s">
        <v>7615</v>
      </c>
      <c r="D3569" s="512">
        <v>54</v>
      </c>
      <c r="E3569" s="500"/>
      <c r="F3569" s="503"/>
      <c r="G3569" s="502"/>
      <c r="H3569" s="512"/>
      <c r="I3569" s="503"/>
      <c r="J3569" s="503"/>
      <c r="K3569" s="497" t="str">
        <f ca="1">IFERROR(VLOOKUP(C3569,' Disaggregation - Section E '!A$618:N1693,3,0),"")</f>
        <v/>
      </c>
      <c r="L3569" s="497"/>
      <c r="M3569" s="497"/>
      <c r="N3569" s="503"/>
      <c r="O3569" s="503"/>
      <c r="P3569" s="503"/>
    </row>
    <row r="3570" spans="1:16" x14ac:dyDescent="0.35">
      <c r="A3570" s="497" t="b">
        <v>0</v>
      </c>
      <c r="B3570" s="497"/>
      <c r="C3570" s="497" t="s">
        <v>7617</v>
      </c>
      <c r="D3570" s="512">
        <v>54</v>
      </c>
      <c r="E3570" s="500"/>
      <c r="F3570" s="503"/>
      <c r="G3570" s="502"/>
      <c r="H3570" s="512"/>
      <c r="I3570" s="503"/>
      <c r="J3570" s="503"/>
      <c r="K3570" s="497" t="str">
        <f ca="1">IFERROR(VLOOKUP(C3570,' Disaggregation - Section E '!A$618:N1694,3,0),"")</f>
        <v/>
      </c>
      <c r="L3570" s="497"/>
      <c r="M3570" s="497"/>
      <c r="N3570" s="503"/>
      <c r="O3570" s="503"/>
      <c r="P3570" s="503"/>
    </row>
    <row r="3571" spans="1:16" x14ac:dyDescent="0.35">
      <c r="A3571" s="497" t="b">
        <v>0</v>
      </c>
      <c r="B3571" s="497"/>
      <c r="C3571" s="497" t="s">
        <v>7619</v>
      </c>
      <c r="D3571" s="512">
        <v>54</v>
      </c>
      <c r="E3571" s="500"/>
      <c r="F3571" s="503"/>
      <c r="G3571" s="502"/>
      <c r="H3571" s="512"/>
      <c r="I3571" s="503"/>
      <c r="J3571" s="503"/>
      <c r="K3571" s="497" t="str">
        <f ca="1">IFERROR(VLOOKUP(C3571,' Disaggregation - Section E '!A$618:N1695,3,0),"")</f>
        <v/>
      </c>
      <c r="L3571" s="497"/>
      <c r="M3571" s="497"/>
      <c r="N3571" s="503"/>
      <c r="O3571" s="503"/>
      <c r="P3571" s="503"/>
    </row>
    <row r="3572" spans="1:16" x14ac:dyDescent="0.35">
      <c r="A3572" s="497" t="b">
        <v>0</v>
      </c>
      <c r="B3572" s="497"/>
      <c r="C3572" s="497" t="s">
        <v>7621</v>
      </c>
      <c r="D3572" s="512">
        <v>54</v>
      </c>
      <c r="E3572" s="500"/>
      <c r="F3572" s="503"/>
      <c r="G3572" s="502"/>
      <c r="H3572" s="512"/>
      <c r="I3572" s="503"/>
      <c r="J3572" s="503"/>
      <c r="K3572" s="497" t="str">
        <f ca="1">IFERROR(VLOOKUP(C3572,' Disaggregation - Section E '!A$618:N1696,3,0),"")</f>
        <v/>
      </c>
      <c r="L3572" s="497"/>
      <c r="M3572" s="497"/>
      <c r="N3572" s="503"/>
      <c r="O3572" s="503"/>
      <c r="P3572" s="503"/>
    </row>
    <row r="3573" spans="1:16" x14ac:dyDescent="0.35">
      <c r="A3573" s="497" t="b">
        <v>0</v>
      </c>
      <c r="B3573" s="497"/>
      <c r="C3573" s="497" t="s">
        <v>7623</v>
      </c>
      <c r="D3573" s="512">
        <v>54</v>
      </c>
      <c r="E3573" s="500"/>
      <c r="F3573" s="503"/>
      <c r="G3573" s="502"/>
      <c r="H3573" s="512"/>
      <c r="I3573" s="503"/>
      <c r="J3573" s="503"/>
      <c r="K3573" s="497" t="str">
        <f ca="1">IFERROR(VLOOKUP(C3573,' Disaggregation - Section E '!A$618:N1697,3,0),"")</f>
        <v/>
      </c>
      <c r="L3573" s="497"/>
      <c r="M3573" s="497"/>
      <c r="N3573" s="503"/>
      <c r="O3573" s="503"/>
      <c r="P3573" s="503"/>
    </row>
    <row r="3574" spans="1:16" x14ac:dyDescent="0.35">
      <c r="A3574" s="497" t="b">
        <v>0</v>
      </c>
      <c r="B3574" s="497"/>
      <c r="C3574" s="497" t="s">
        <v>7625</v>
      </c>
      <c r="D3574" s="512">
        <v>54</v>
      </c>
      <c r="E3574" s="500"/>
      <c r="F3574" s="503"/>
      <c r="G3574" s="502"/>
      <c r="H3574" s="512"/>
      <c r="I3574" s="503"/>
      <c r="J3574" s="503"/>
      <c r="K3574" s="497" t="str">
        <f ca="1">IFERROR(VLOOKUP(C3574,' Disaggregation - Section E '!A$618:N1698,3,0),"")</f>
        <v/>
      </c>
      <c r="L3574" s="497"/>
      <c r="M3574" s="497"/>
      <c r="N3574" s="503"/>
      <c r="O3574" s="503"/>
      <c r="P3574" s="503"/>
    </row>
    <row r="3575" spans="1:16" x14ac:dyDescent="0.35">
      <c r="A3575" s="497" t="b">
        <v>0</v>
      </c>
      <c r="B3575" s="497"/>
      <c r="C3575" s="497" t="s">
        <v>7627</v>
      </c>
      <c r="D3575" s="512">
        <v>54</v>
      </c>
      <c r="E3575" s="500"/>
      <c r="F3575" s="503"/>
      <c r="G3575" s="502"/>
      <c r="H3575" s="512"/>
      <c r="I3575" s="503"/>
      <c r="J3575" s="503"/>
      <c r="K3575" s="497" t="str">
        <f ca="1">IFERROR(VLOOKUP(C3575,' Disaggregation - Section E '!A$618:N1699,3,0),"")</f>
        <v/>
      </c>
      <c r="L3575" s="497"/>
      <c r="M3575" s="497"/>
      <c r="N3575" s="503"/>
      <c r="O3575" s="503"/>
      <c r="P3575" s="503"/>
    </row>
    <row r="3576" spans="1:16" x14ac:dyDescent="0.35">
      <c r="A3576" s="497" t="b">
        <v>0</v>
      </c>
      <c r="B3576" s="497"/>
      <c r="C3576" s="497" t="s">
        <v>7629</v>
      </c>
      <c r="D3576" s="512">
        <v>54</v>
      </c>
      <c r="E3576" s="500"/>
      <c r="F3576" s="503"/>
      <c r="G3576" s="502"/>
      <c r="H3576" s="512"/>
      <c r="I3576" s="503"/>
      <c r="J3576" s="503"/>
      <c r="K3576" s="497" t="str">
        <f ca="1">IFERROR(VLOOKUP(C3576,' Disaggregation - Section E '!A$618:N1700,3,0),"")</f>
        <v/>
      </c>
      <c r="L3576" s="497"/>
      <c r="M3576" s="497"/>
      <c r="N3576" s="503"/>
      <c r="O3576" s="503"/>
      <c r="P3576" s="503"/>
    </row>
    <row r="3577" spans="1:16" x14ac:dyDescent="0.35">
      <c r="A3577" s="497" t="b">
        <v>0</v>
      </c>
      <c r="B3577" s="497"/>
      <c r="C3577" s="497" t="s">
        <v>7631</v>
      </c>
      <c r="D3577" s="512">
        <v>54</v>
      </c>
      <c r="E3577" s="500"/>
      <c r="F3577" s="503"/>
      <c r="G3577" s="502"/>
      <c r="H3577" s="512"/>
      <c r="I3577" s="503"/>
      <c r="J3577" s="503"/>
      <c r="K3577" s="497" t="str">
        <f ca="1">IFERROR(VLOOKUP(C3577,' Disaggregation - Section E '!A$618:N1701,3,0),"")</f>
        <v/>
      </c>
      <c r="L3577" s="497"/>
      <c r="M3577" s="497"/>
      <c r="N3577" s="503"/>
      <c r="O3577" s="503"/>
      <c r="P3577" s="503"/>
    </row>
    <row r="3578" spans="1:16" x14ac:dyDescent="0.35">
      <c r="A3578" s="497" t="b">
        <v>0</v>
      </c>
      <c r="B3578" s="497"/>
      <c r="C3578" s="497" t="s">
        <v>7633</v>
      </c>
      <c r="D3578" s="512">
        <v>54</v>
      </c>
      <c r="E3578" s="500"/>
      <c r="F3578" s="503"/>
      <c r="G3578" s="502"/>
      <c r="H3578" s="512"/>
      <c r="I3578" s="503"/>
      <c r="J3578" s="503"/>
      <c r="K3578" s="497" t="str">
        <f ca="1">IFERROR(VLOOKUP(C3578,' Disaggregation - Section E '!A$618:N1702,3,0),"")</f>
        <v/>
      </c>
      <c r="L3578" s="497"/>
      <c r="M3578" s="497"/>
      <c r="N3578" s="503"/>
      <c r="O3578" s="503"/>
      <c r="P3578" s="503"/>
    </row>
    <row r="3579" spans="1:16" x14ac:dyDescent="0.35">
      <c r="A3579" s="497" t="b">
        <v>0</v>
      </c>
      <c r="B3579" s="497"/>
      <c r="C3579" s="497" t="s">
        <v>7635</v>
      </c>
      <c r="D3579" s="512">
        <v>54</v>
      </c>
      <c r="E3579" s="500"/>
      <c r="F3579" s="503"/>
      <c r="G3579" s="502"/>
      <c r="H3579" s="512"/>
      <c r="I3579" s="503"/>
      <c r="J3579" s="503"/>
      <c r="K3579" s="497" t="str">
        <f ca="1">IFERROR(VLOOKUP(C3579,' Disaggregation - Section E '!A$618:N1703,3,0),"")</f>
        <v/>
      </c>
      <c r="L3579" s="497"/>
      <c r="M3579" s="497"/>
      <c r="N3579" s="503"/>
      <c r="O3579" s="503"/>
      <c r="P3579" s="503"/>
    </row>
    <row r="3580" spans="1:16" x14ac:dyDescent="0.35">
      <c r="A3580" s="497" t="b">
        <v>0</v>
      </c>
      <c r="B3580" s="497"/>
      <c r="C3580" s="497" t="s">
        <v>6407</v>
      </c>
      <c r="D3580" s="512">
        <v>55</v>
      </c>
      <c r="E3580" s="500"/>
      <c r="F3580" s="503"/>
      <c r="G3580" s="502"/>
      <c r="H3580" s="512"/>
      <c r="I3580" s="503"/>
      <c r="J3580" s="503"/>
      <c r="K3580" s="497" t="str">
        <f ca="1">IFERROR(VLOOKUP(C3580,' Disaggregation - Section E '!A$618:N1704,3,0),"")</f>
        <v/>
      </c>
      <c r="L3580" s="497"/>
      <c r="M3580" s="497"/>
      <c r="N3580" s="503"/>
      <c r="O3580" s="503"/>
      <c r="P3580" s="503"/>
    </row>
    <row r="3581" spans="1:16" x14ac:dyDescent="0.35">
      <c r="A3581" s="497" t="b">
        <v>0</v>
      </c>
      <c r="B3581" s="497"/>
      <c r="C3581" s="497" t="s">
        <v>6409</v>
      </c>
      <c r="D3581" s="512">
        <v>55</v>
      </c>
      <c r="E3581" s="500"/>
      <c r="F3581" s="503"/>
      <c r="G3581" s="502"/>
      <c r="H3581" s="512"/>
      <c r="I3581" s="503"/>
      <c r="J3581" s="503"/>
      <c r="K3581" s="497" t="str">
        <f ca="1">IFERROR(VLOOKUP(C3581,' Disaggregation - Section E '!A$618:N1705,3,0),"")</f>
        <v/>
      </c>
      <c r="L3581" s="497"/>
      <c r="M3581" s="497"/>
      <c r="N3581" s="503"/>
      <c r="O3581" s="503"/>
      <c r="P3581" s="503"/>
    </row>
    <row r="3582" spans="1:16" x14ac:dyDescent="0.35">
      <c r="A3582" s="497" t="b">
        <v>0</v>
      </c>
      <c r="B3582" s="497"/>
      <c r="C3582" s="497" t="s">
        <v>6411</v>
      </c>
      <c r="D3582" s="512">
        <v>55</v>
      </c>
      <c r="E3582" s="500"/>
      <c r="F3582" s="503"/>
      <c r="G3582" s="502"/>
      <c r="H3582" s="512"/>
      <c r="I3582" s="503"/>
      <c r="J3582" s="503"/>
      <c r="K3582" s="497" t="str">
        <f ca="1">IFERROR(VLOOKUP(C3582,' Disaggregation - Section E '!A$618:N1706,3,0),"")</f>
        <v/>
      </c>
      <c r="L3582" s="497"/>
      <c r="M3582" s="497"/>
      <c r="N3582" s="503"/>
      <c r="O3582" s="503"/>
      <c r="P3582" s="503"/>
    </row>
    <row r="3583" spans="1:16" x14ac:dyDescent="0.35">
      <c r="A3583" s="497" t="b">
        <v>0</v>
      </c>
      <c r="B3583" s="497"/>
      <c r="C3583" s="497" t="s">
        <v>6413</v>
      </c>
      <c r="D3583" s="512">
        <v>55</v>
      </c>
      <c r="E3583" s="500"/>
      <c r="F3583" s="503"/>
      <c r="G3583" s="502"/>
      <c r="H3583" s="512"/>
      <c r="I3583" s="503"/>
      <c r="J3583" s="503"/>
      <c r="K3583" s="497" t="str">
        <f ca="1">IFERROR(VLOOKUP(C3583,' Disaggregation - Section E '!A$618:N1707,3,0),"")</f>
        <v/>
      </c>
      <c r="L3583" s="497"/>
      <c r="M3583" s="497"/>
      <c r="N3583" s="503"/>
      <c r="O3583" s="503"/>
      <c r="P3583" s="503"/>
    </row>
    <row r="3584" spans="1:16" x14ac:dyDescent="0.35">
      <c r="A3584" s="497" t="b">
        <v>0</v>
      </c>
      <c r="B3584" s="497"/>
      <c r="C3584" s="497" t="s">
        <v>6415</v>
      </c>
      <c r="D3584" s="512">
        <v>55</v>
      </c>
      <c r="E3584" s="500"/>
      <c r="F3584" s="503"/>
      <c r="G3584" s="502"/>
      <c r="H3584" s="512"/>
      <c r="I3584" s="503"/>
      <c r="J3584" s="503"/>
      <c r="K3584" s="497" t="str">
        <f ca="1">IFERROR(VLOOKUP(C3584,' Disaggregation - Section E '!A$618:N1708,3,0),"")</f>
        <v/>
      </c>
      <c r="L3584" s="497"/>
      <c r="M3584" s="497"/>
      <c r="N3584" s="503"/>
      <c r="O3584" s="503"/>
      <c r="P3584" s="503"/>
    </row>
    <row r="3585" spans="1:16" x14ac:dyDescent="0.35">
      <c r="A3585" s="497" t="b">
        <v>0</v>
      </c>
      <c r="B3585" s="497"/>
      <c r="C3585" s="497" t="s">
        <v>6417</v>
      </c>
      <c r="D3585" s="512">
        <v>55</v>
      </c>
      <c r="E3585" s="500"/>
      <c r="F3585" s="503"/>
      <c r="G3585" s="502"/>
      <c r="H3585" s="512"/>
      <c r="I3585" s="503"/>
      <c r="J3585" s="503"/>
      <c r="K3585" s="497" t="str">
        <f ca="1">IFERROR(VLOOKUP(C3585,' Disaggregation - Section E '!A$618:N1709,3,0),"")</f>
        <v/>
      </c>
      <c r="L3585" s="497"/>
      <c r="M3585" s="497"/>
      <c r="N3585" s="503"/>
      <c r="O3585" s="503"/>
      <c r="P3585" s="503"/>
    </row>
    <row r="3586" spans="1:16" x14ac:dyDescent="0.35">
      <c r="A3586" s="497" t="b">
        <v>0</v>
      </c>
      <c r="B3586" s="497"/>
      <c r="C3586" s="497" t="s">
        <v>6419</v>
      </c>
      <c r="D3586" s="512">
        <v>55</v>
      </c>
      <c r="E3586" s="500"/>
      <c r="F3586" s="503"/>
      <c r="G3586" s="502"/>
      <c r="H3586" s="512"/>
      <c r="I3586" s="503"/>
      <c r="J3586" s="503"/>
      <c r="K3586" s="497" t="str">
        <f ca="1">IFERROR(VLOOKUP(C3586,' Disaggregation - Section E '!A$618:N1710,3,0),"")</f>
        <v/>
      </c>
      <c r="L3586" s="497"/>
      <c r="M3586" s="497"/>
      <c r="N3586" s="503"/>
      <c r="O3586" s="503"/>
      <c r="P3586" s="503"/>
    </row>
    <row r="3587" spans="1:16" x14ac:dyDescent="0.35">
      <c r="A3587" s="497" t="b">
        <v>0</v>
      </c>
      <c r="B3587" s="497"/>
      <c r="C3587" s="497" t="s">
        <v>6421</v>
      </c>
      <c r="D3587" s="512">
        <v>55</v>
      </c>
      <c r="E3587" s="500"/>
      <c r="F3587" s="503"/>
      <c r="G3587" s="502"/>
      <c r="H3587" s="512"/>
      <c r="I3587" s="503"/>
      <c r="J3587" s="503"/>
      <c r="K3587" s="497" t="str">
        <f ca="1">IFERROR(VLOOKUP(C3587,' Disaggregation - Section E '!A$618:N1711,3,0),"")</f>
        <v/>
      </c>
      <c r="L3587" s="497"/>
      <c r="M3587" s="497"/>
      <c r="N3587" s="503"/>
      <c r="O3587" s="503"/>
      <c r="P3587" s="503"/>
    </row>
    <row r="3588" spans="1:16" x14ac:dyDescent="0.35">
      <c r="A3588" s="497" t="b">
        <v>0</v>
      </c>
      <c r="B3588" s="497"/>
      <c r="C3588" s="497" t="s">
        <v>6423</v>
      </c>
      <c r="D3588" s="512">
        <v>55</v>
      </c>
      <c r="E3588" s="500"/>
      <c r="F3588" s="503"/>
      <c r="G3588" s="502"/>
      <c r="H3588" s="512"/>
      <c r="I3588" s="503"/>
      <c r="J3588" s="503"/>
      <c r="K3588" s="497" t="str">
        <f ca="1">IFERROR(VLOOKUP(C3588,' Disaggregation - Section E '!A$618:N1712,3,0),"")</f>
        <v/>
      </c>
      <c r="L3588" s="497"/>
      <c r="M3588" s="497"/>
      <c r="N3588" s="503"/>
      <c r="O3588" s="503"/>
      <c r="P3588" s="503"/>
    </row>
    <row r="3589" spans="1:16" x14ac:dyDescent="0.35">
      <c r="A3589" s="497" t="b">
        <v>0</v>
      </c>
      <c r="B3589" s="497"/>
      <c r="C3589" s="497" t="s">
        <v>6425</v>
      </c>
      <c r="D3589" s="512">
        <v>55</v>
      </c>
      <c r="E3589" s="500"/>
      <c r="F3589" s="503"/>
      <c r="G3589" s="502"/>
      <c r="H3589" s="512"/>
      <c r="I3589" s="503"/>
      <c r="J3589" s="503"/>
      <c r="K3589" s="497" t="str">
        <f ca="1">IFERROR(VLOOKUP(C3589,' Disaggregation - Section E '!A$618:N1713,3,0),"")</f>
        <v/>
      </c>
      <c r="L3589" s="497"/>
      <c r="M3589" s="497"/>
      <c r="N3589" s="503"/>
      <c r="O3589" s="503"/>
      <c r="P3589" s="503"/>
    </row>
    <row r="3590" spans="1:16" x14ac:dyDescent="0.35">
      <c r="A3590" s="497" t="b">
        <v>0</v>
      </c>
      <c r="B3590" s="497"/>
      <c r="C3590" s="497" t="s">
        <v>6427</v>
      </c>
      <c r="D3590" s="512">
        <v>55</v>
      </c>
      <c r="E3590" s="500"/>
      <c r="F3590" s="503"/>
      <c r="G3590" s="502"/>
      <c r="H3590" s="512"/>
      <c r="I3590" s="503"/>
      <c r="J3590" s="503"/>
      <c r="K3590" s="497" t="str">
        <f ca="1">IFERROR(VLOOKUP(C3590,' Disaggregation - Section E '!A$618:N1714,3,0),"")</f>
        <v/>
      </c>
      <c r="L3590" s="497"/>
      <c r="M3590" s="497"/>
      <c r="N3590" s="503"/>
      <c r="O3590" s="503"/>
      <c r="P3590" s="503"/>
    </row>
    <row r="3591" spans="1:16" x14ac:dyDescent="0.35">
      <c r="A3591" s="497" t="b">
        <v>0</v>
      </c>
      <c r="B3591" s="497"/>
      <c r="C3591" s="497" t="s">
        <v>6429</v>
      </c>
      <c r="D3591" s="512">
        <v>55</v>
      </c>
      <c r="E3591" s="500"/>
      <c r="F3591" s="503"/>
      <c r="G3591" s="502"/>
      <c r="H3591" s="512"/>
      <c r="I3591" s="503"/>
      <c r="J3591" s="503"/>
      <c r="K3591" s="497" t="str">
        <f ca="1">IFERROR(VLOOKUP(C3591,' Disaggregation - Section E '!A$618:N1715,3,0),"")</f>
        <v/>
      </c>
      <c r="L3591" s="497"/>
      <c r="M3591" s="497"/>
      <c r="N3591" s="503"/>
      <c r="O3591" s="503"/>
      <c r="P3591" s="503"/>
    </row>
    <row r="3592" spans="1:16" x14ac:dyDescent="0.35">
      <c r="A3592" s="497" t="b">
        <v>0</v>
      </c>
      <c r="B3592" s="497"/>
      <c r="C3592" s="497" t="s">
        <v>6431</v>
      </c>
      <c r="D3592" s="512">
        <v>55</v>
      </c>
      <c r="E3592" s="500"/>
      <c r="F3592" s="503"/>
      <c r="G3592" s="502"/>
      <c r="H3592" s="512"/>
      <c r="I3592" s="503"/>
      <c r="J3592" s="503"/>
      <c r="K3592" s="497" t="str">
        <f ca="1">IFERROR(VLOOKUP(C3592,' Disaggregation - Section E '!A$618:N1716,3,0),"")</f>
        <v/>
      </c>
      <c r="L3592" s="497"/>
      <c r="M3592" s="497"/>
      <c r="N3592" s="503"/>
      <c r="O3592" s="503"/>
      <c r="P3592" s="503"/>
    </row>
    <row r="3593" spans="1:16" x14ac:dyDescent="0.35">
      <c r="A3593" s="497" t="b">
        <v>0</v>
      </c>
      <c r="B3593" s="497"/>
      <c r="C3593" s="497" t="s">
        <v>6433</v>
      </c>
      <c r="D3593" s="512">
        <v>55</v>
      </c>
      <c r="E3593" s="500"/>
      <c r="F3593" s="503"/>
      <c r="G3593" s="502"/>
      <c r="H3593" s="512"/>
      <c r="I3593" s="503"/>
      <c r="J3593" s="503"/>
      <c r="K3593" s="497" t="str">
        <f ca="1">IFERROR(VLOOKUP(C3593,' Disaggregation - Section E '!A$618:N1717,3,0),"")</f>
        <v/>
      </c>
      <c r="L3593" s="497"/>
      <c r="M3593" s="497"/>
      <c r="N3593" s="503"/>
      <c r="O3593" s="503"/>
      <c r="P3593" s="503"/>
    </row>
    <row r="3594" spans="1:16" x14ac:dyDescent="0.35">
      <c r="A3594" s="497" t="b">
        <v>0</v>
      </c>
      <c r="B3594" s="497"/>
      <c r="C3594" s="497" t="s">
        <v>6435</v>
      </c>
      <c r="D3594" s="512">
        <v>55</v>
      </c>
      <c r="E3594" s="500"/>
      <c r="F3594" s="503"/>
      <c r="G3594" s="502"/>
      <c r="H3594" s="512"/>
      <c r="I3594" s="503"/>
      <c r="J3594" s="503"/>
      <c r="K3594" s="497" t="str">
        <f ca="1">IFERROR(VLOOKUP(C3594,' Disaggregation - Section E '!A$618:N1718,3,0),"")</f>
        <v/>
      </c>
      <c r="L3594" s="497"/>
      <c r="M3594" s="497"/>
      <c r="N3594" s="503"/>
      <c r="O3594" s="503"/>
      <c r="P3594" s="503"/>
    </row>
    <row r="3595" spans="1:16" x14ac:dyDescent="0.35">
      <c r="A3595" s="497" t="b">
        <v>0</v>
      </c>
      <c r="B3595" s="497"/>
      <c r="C3595" s="497" t="s">
        <v>6437</v>
      </c>
      <c r="D3595" s="512">
        <v>55</v>
      </c>
      <c r="E3595" s="500"/>
      <c r="F3595" s="503"/>
      <c r="G3595" s="502"/>
      <c r="H3595" s="512"/>
      <c r="I3595" s="503"/>
      <c r="J3595" s="503"/>
      <c r="K3595" s="497" t="str">
        <f ca="1">IFERROR(VLOOKUP(C3595,' Disaggregation - Section E '!A$618:N1719,3,0),"")</f>
        <v/>
      </c>
      <c r="L3595" s="497"/>
      <c r="M3595" s="497"/>
      <c r="N3595" s="503"/>
      <c r="O3595" s="503"/>
      <c r="P3595" s="503"/>
    </row>
    <row r="3596" spans="1:16" x14ac:dyDescent="0.35">
      <c r="A3596" s="497" t="b">
        <v>0</v>
      </c>
      <c r="B3596" s="497"/>
      <c r="C3596" s="497" t="s">
        <v>6439</v>
      </c>
      <c r="D3596" s="512">
        <v>55</v>
      </c>
      <c r="E3596" s="500"/>
      <c r="F3596" s="503"/>
      <c r="G3596" s="502"/>
      <c r="H3596" s="512"/>
      <c r="I3596" s="503"/>
      <c r="J3596" s="503"/>
      <c r="K3596" s="497" t="str">
        <f ca="1">IFERROR(VLOOKUP(C3596,' Disaggregation - Section E '!A$618:N1720,3,0),"")</f>
        <v/>
      </c>
      <c r="L3596" s="497"/>
      <c r="M3596" s="497"/>
      <c r="N3596" s="503"/>
      <c r="O3596" s="503"/>
      <c r="P3596" s="503"/>
    </row>
    <row r="3597" spans="1:16" x14ac:dyDescent="0.35">
      <c r="A3597" s="497" t="b">
        <v>0</v>
      </c>
      <c r="B3597" s="497"/>
      <c r="C3597" s="497" t="s">
        <v>6441</v>
      </c>
      <c r="D3597" s="512">
        <v>55</v>
      </c>
      <c r="E3597" s="500"/>
      <c r="F3597" s="503"/>
      <c r="G3597" s="502"/>
      <c r="H3597" s="512"/>
      <c r="I3597" s="503"/>
      <c r="J3597" s="503"/>
      <c r="K3597" s="497" t="str">
        <f ca="1">IFERROR(VLOOKUP(C3597,' Disaggregation - Section E '!A$618:N1721,3,0),"")</f>
        <v/>
      </c>
      <c r="L3597" s="497"/>
      <c r="M3597" s="497"/>
      <c r="N3597" s="503"/>
      <c r="O3597" s="503"/>
      <c r="P3597" s="503"/>
    </row>
    <row r="3598" spans="1:16" x14ac:dyDescent="0.35">
      <c r="A3598" s="497" t="b">
        <v>0</v>
      </c>
      <c r="B3598" s="497"/>
      <c r="C3598" s="497" t="s">
        <v>6443</v>
      </c>
      <c r="D3598" s="512">
        <v>55</v>
      </c>
      <c r="E3598" s="500"/>
      <c r="F3598" s="503"/>
      <c r="G3598" s="502"/>
      <c r="H3598" s="512"/>
      <c r="I3598" s="503"/>
      <c r="J3598" s="503"/>
      <c r="K3598" s="497" t="str">
        <f ca="1">IFERROR(VLOOKUP(C3598,' Disaggregation - Section E '!A$618:N1722,3,0),"")</f>
        <v/>
      </c>
      <c r="L3598" s="497"/>
      <c r="M3598" s="497"/>
      <c r="N3598" s="503"/>
      <c r="O3598" s="503"/>
      <c r="P3598" s="503"/>
    </row>
    <row r="3599" spans="1:16" x14ac:dyDescent="0.35">
      <c r="A3599" s="497" t="b">
        <v>0</v>
      </c>
      <c r="B3599" s="497"/>
      <c r="C3599" s="497" t="s">
        <v>6445</v>
      </c>
      <c r="D3599" s="512">
        <v>55</v>
      </c>
      <c r="E3599" s="500"/>
      <c r="F3599" s="503"/>
      <c r="G3599" s="502"/>
      <c r="H3599" s="512"/>
      <c r="I3599" s="503"/>
      <c r="J3599" s="503"/>
      <c r="K3599" s="497" t="str">
        <f ca="1">IFERROR(VLOOKUP(C3599,' Disaggregation - Section E '!A$618:N1723,3,0),"")</f>
        <v/>
      </c>
      <c r="L3599" s="497"/>
      <c r="M3599" s="497"/>
      <c r="N3599" s="503"/>
      <c r="O3599" s="503"/>
      <c r="P3599" s="503"/>
    </row>
    <row r="3600" spans="1:16" x14ac:dyDescent="0.35">
      <c r="A3600" s="497" t="b">
        <v>0</v>
      </c>
      <c r="B3600" s="497"/>
      <c r="C3600" s="497" t="s">
        <v>7679</v>
      </c>
      <c r="D3600" s="512">
        <v>56</v>
      </c>
      <c r="E3600" s="500"/>
      <c r="F3600" s="503"/>
      <c r="G3600" s="502"/>
      <c r="H3600" s="512"/>
      <c r="I3600" s="503"/>
      <c r="J3600" s="503"/>
      <c r="K3600" s="497" t="str">
        <f ca="1">IFERROR(VLOOKUP(C3600,' Disaggregation - Section E '!A$618:N1724,3,0),"")</f>
        <v/>
      </c>
      <c r="L3600" s="497"/>
      <c r="M3600" s="497"/>
      <c r="N3600" s="503"/>
      <c r="O3600" s="503"/>
      <c r="P3600" s="503"/>
    </row>
    <row r="3601" spans="1:16" x14ac:dyDescent="0.35">
      <c r="A3601" s="497" t="b">
        <v>0</v>
      </c>
      <c r="B3601" s="497"/>
      <c r="C3601" s="497" t="s">
        <v>7681</v>
      </c>
      <c r="D3601" s="512">
        <v>56</v>
      </c>
      <c r="E3601" s="500"/>
      <c r="F3601" s="503"/>
      <c r="G3601" s="502"/>
      <c r="H3601" s="512"/>
      <c r="I3601" s="503"/>
      <c r="J3601" s="503"/>
      <c r="K3601" s="497" t="str">
        <f ca="1">IFERROR(VLOOKUP(C3601,' Disaggregation - Section E '!A$618:N1725,3,0),"")</f>
        <v/>
      </c>
      <c r="L3601" s="497"/>
      <c r="M3601" s="497"/>
      <c r="N3601" s="503"/>
      <c r="O3601" s="503"/>
      <c r="P3601" s="503"/>
    </row>
    <row r="3602" spans="1:16" x14ac:dyDescent="0.35">
      <c r="A3602" s="497" t="b">
        <v>0</v>
      </c>
      <c r="B3602" s="497"/>
      <c r="C3602" s="497" t="s">
        <v>7683</v>
      </c>
      <c r="D3602" s="512">
        <v>56</v>
      </c>
      <c r="E3602" s="500"/>
      <c r="F3602" s="503"/>
      <c r="G3602" s="502"/>
      <c r="H3602" s="512"/>
      <c r="I3602" s="503"/>
      <c r="J3602" s="503"/>
      <c r="K3602" s="497" t="str">
        <f ca="1">IFERROR(VLOOKUP(C3602,' Disaggregation - Section E '!A$618:N1726,3,0),"")</f>
        <v/>
      </c>
      <c r="L3602" s="497"/>
      <c r="M3602" s="497"/>
      <c r="N3602" s="503"/>
      <c r="O3602" s="503"/>
      <c r="P3602" s="503"/>
    </row>
    <row r="3603" spans="1:16" x14ac:dyDescent="0.35">
      <c r="A3603" s="497" t="b">
        <v>0</v>
      </c>
      <c r="B3603" s="497"/>
      <c r="C3603" s="497" t="s">
        <v>7685</v>
      </c>
      <c r="D3603" s="512">
        <v>56</v>
      </c>
      <c r="E3603" s="500"/>
      <c r="F3603" s="503"/>
      <c r="G3603" s="502"/>
      <c r="H3603" s="512"/>
      <c r="I3603" s="503"/>
      <c r="J3603" s="503"/>
      <c r="K3603" s="497" t="str">
        <f ca="1">IFERROR(VLOOKUP(C3603,' Disaggregation - Section E '!A$618:N1727,3,0),"")</f>
        <v/>
      </c>
      <c r="L3603" s="497"/>
      <c r="M3603" s="497"/>
      <c r="N3603" s="503"/>
      <c r="O3603" s="503"/>
      <c r="P3603" s="503"/>
    </row>
    <row r="3604" spans="1:16" x14ac:dyDescent="0.35">
      <c r="A3604" s="497" t="b">
        <v>0</v>
      </c>
      <c r="B3604" s="497"/>
      <c r="C3604" s="497" t="s">
        <v>7687</v>
      </c>
      <c r="D3604" s="512">
        <v>56</v>
      </c>
      <c r="E3604" s="500"/>
      <c r="F3604" s="503"/>
      <c r="G3604" s="502"/>
      <c r="H3604" s="512"/>
      <c r="I3604" s="503"/>
      <c r="J3604" s="503"/>
      <c r="K3604" s="497" t="str">
        <f ca="1">IFERROR(VLOOKUP(C3604,' Disaggregation - Section E '!A$618:N1728,3,0),"")</f>
        <v/>
      </c>
      <c r="L3604" s="497"/>
      <c r="M3604" s="497"/>
      <c r="N3604" s="503"/>
      <c r="O3604" s="503"/>
      <c r="P3604" s="503"/>
    </row>
    <row r="3605" spans="1:16" x14ac:dyDescent="0.35">
      <c r="A3605" s="497" t="b">
        <v>0</v>
      </c>
      <c r="B3605" s="497"/>
      <c r="C3605" s="497" t="s">
        <v>7689</v>
      </c>
      <c r="D3605" s="512">
        <v>56</v>
      </c>
      <c r="E3605" s="500"/>
      <c r="F3605" s="503"/>
      <c r="G3605" s="502"/>
      <c r="H3605" s="512"/>
      <c r="I3605" s="503"/>
      <c r="J3605" s="503"/>
      <c r="K3605" s="497" t="str">
        <f ca="1">IFERROR(VLOOKUP(C3605,' Disaggregation - Section E '!A$618:N1729,3,0),"")</f>
        <v/>
      </c>
      <c r="L3605" s="497"/>
      <c r="M3605" s="497"/>
      <c r="N3605" s="503"/>
      <c r="O3605" s="503"/>
      <c r="P3605" s="503"/>
    </row>
    <row r="3606" spans="1:16" x14ac:dyDescent="0.35">
      <c r="A3606" s="497" t="b">
        <v>0</v>
      </c>
      <c r="B3606" s="497"/>
      <c r="C3606" s="497" t="s">
        <v>7691</v>
      </c>
      <c r="D3606" s="512">
        <v>56</v>
      </c>
      <c r="E3606" s="500"/>
      <c r="F3606" s="503"/>
      <c r="G3606" s="502"/>
      <c r="H3606" s="512"/>
      <c r="I3606" s="503"/>
      <c r="J3606" s="503"/>
      <c r="K3606" s="497" t="str">
        <f ca="1">IFERROR(VLOOKUP(C3606,' Disaggregation - Section E '!A$618:N1730,3,0),"")</f>
        <v/>
      </c>
      <c r="L3606" s="497"/>
      <c r="M3606" s="497"/>
      <c r="N3606" s="503"/>
      <c r="O3606" s="503"/>
      <c r="P3606" s="503"/>
    </row>
    <row r="3607" spans="1:16" x14ac:dyDescent="0.35">
      <c r="A3607" s="497" t="b">
        <v>0</v>
      </c>
      <c r="B3607" s="497"/>
      <c r="C3607" s="497" t="s">
        <v>7693</v>
      </c>
      <c r="D3607" s="512">
        <v>56</v>
      </c>
      <c r="E3607" s="500"/>
      <c r="F3607" s="503"/>
      <c r="G3607" s="502"/>
      <c r="H3607" s="512"/>
      <c r="I3607" s="503"/>
      <c r="J3607" s="503"/>
      <c r="K3607" s="497" t="str">
        <f ca="1">IFERROR(VLOOKUP(C3607,' Disaggregation - Section E '!A$618:N1731,3,0),"")</f>
        <v/>
      </c>
      <c r="L3607" s="497"/>
      <c r="M3607" s="497"/>
      <c r="N3607" s="503"/>
      <c r="O3607" s="503"/>
      <c r="P3607" s="503"/>
    </row>
    <row r="3608" spans="1:16" x14ac:dyDescent="0.35">
      <c r="A3608" s="497" t="b">
        <v>0</v>
      </c>
      <c r="B3608" s="497"/>
      <c r="C3608" s="497" t="s">
        <v>7695</v>
      </c>
      <c r="D3608" s="512">
        <v>56</v>
      </c>
      <c r="E3608" s="500"/>
      <c r="F3608" s="503"/>
      <c r="G3608" s="502"/>
      <c r="H3608" s="512"/>
      <c r="I3608" s="503"/>
      <c r="J3608" s="503"/>
      <c r="K3608" s="497" t="str">
        <f ca="1">IFERROR(VLOOKUP(C3608,' Disaggregation - Section E '!A$618:N1732,3,0),"")</f>
        <v/>
      </c>
      <c r="L3608" s="497"/>
      <c r="M3608" s="497"/>
      <c r="N3608" s="503"/>
      <c r="O3608" s="503"/>
      <c r="P3608" s="503"/>
    </row>
    <row r="3609" spans="1:16" x14ac:dyDescent="0.35">
      <c r="A3609" s="497" t="b">
        <v>0</v>
      </c>
      <c r="B3609" s="497"/>
      <c r="C3609" s="497" t="s">
        <v>7697</v>
      </c>
      <c r="D3609" s="512">
        <v>56</v>
      </c>
      <c r="E3609" s="500"/>
      <c r="F3609" s="503"/>
      <c r="G3609" s="502"/>
      <c r="H3609" s="512"/>
      <c r="I3609" s="503"/>
      <c r="J3609" s="503"/>
      <c r="K3609" s="497" t="str">
        <f ca="1">IFERROR(VLOOKUP(C3609,' Disaggregation - Section E '!A$618:N1733,3,0),"")</f>
        <v/>
      </c>
      <c r="L3609" s="497"/>
      <c r="M3609" s="497"/>
      <c r="N3609" s="503"/>
      <c r="O3609" s="503"/>
      <c r="P3609" s="503"/>
    </row>
    <row r="3610" spans="1:16" x14ac:dyDescent="0.35">
      <c r="A3610" s="497" t="b">
        <v>0</v>
      </c>
      <c r="B3610" s="497"/>
      <c r="C3610" s="497" t="s">
        <v>7699</v>
      </c>
      <c r="D3610" s="512">
        <v>56</v>
      </c>
      <c r="E3610" s="500"/>
      <c r="F3610" s="503"/>
      <c r="G3610" s="502"/>
      <c r="H3610" s="512"/>
      <c r="I3610" s="503"/>
      <c r="J3610" s="503"/>
      <c r="K3610" s="497" t="str">
        <f ca="1">IFERROR(VLOOKUP(C3610,' Disaggregation - Section E '!A$618:N1734,3,0),"")</f>
        <v/>
      </c>
      <c r="L3610" s="497"/>
      <c r="M3610" s="497"/>
      <c r="N3610" s="503"/>
      <c r="O3610" s="503"/>
      <c r="P3610" s="503"/>
    </row>
    <row r="3611" spans="1:16" x14ac:dyDescent="0.35">
      <c r="A3611" s="497" t="b">
        <v>0</v>
      </c>
      <c r="B3611" s="497"/>
      <c r="C3611" s="497" t="s">
        <v>7701</v>
      </c>
      <c r="D3611" s="512">
        <v>56</v>
      </c>
      <c r="E3611" s="500"/>
      <c r="F3611" s="503"/>
      <c r="G3611" s="502"/>
      <c r="H3611" s="512"/>
      <c r="I3611" s="503"/>
      <c r="J3611" s="503"/>
      <c r="K3611" s="497" t="str">
        <f ca="1">IFERROR(VLOOKUP(C3611,' Disaggregation - Section E '!A$618:N1735,3,0),"")</f>
        <v/>
      </c>
      <c r="L3611" s="497"/>
      <c r="M3611" s="497"/>
      <c r="N3611" s="503"/>
      <c r="O3611" s="503"/>
      <c r="P3611" s="503"/>
    </row>
    <row r="3612" spans="1:16" x14ac:dyDescent="0.35">
      <c r="A3612" s="497" t="b">
        <v>0</v>
      </c>
      <c r="B3612" s="497"/>
      <c r="C3612" s="497" t="s">
        <v>7703</v>
      </c>
      <c r="D3612" s="512">
        <v>56</v>
      </c>
      <c r="E3612" s="500"/>
      <c r="F3612" s="503"/>
      <c r="G3612" s="502"/>
      <c r="H3612" s="512"/>
      <c r="I3612" s="503"/>
      <c r="J3612" s="503"/>
      <c r="K3612" s="497" t="str">
        <f ca="1">IFERROR(VLOOKUP(C3612,' Disaggregation - Section E '!A$618:N1736,3,0),"")</f>
        <v/>
      </c>
      <c r="L3612" s="497"/>
      <c r="M3612" s="497"/>
      <c r="N3612" s="503"/>
      <c r="O3612" s="503"/>
      <c r="P3612" s="503"/>
    </row>
    <row r="3613" spans="1:16" x14ac:dyDescent="0.35">
      <c r="A3613" s="497" t="b">
        <v>0</v>
      </c>
      <c r="B3613" s="497"/>
      <c r="C3613" s="497" t="s">
        <v>7705</v>
      </c>
      <c r="D3613" s="512">
        <v>56</v>
      </c>
      <c r="E3613" s="500"/>
      <c r="F3613" s="503"/>
      <c r="G3613" s="502"/>
      <c r="H3613" s="512"/>
      <c r="I3613" s="503"/>
      <c r="J3613" s="503"/>
      <c r="K3613" s="497" t="str">
        <f ca="1">IFERROR(VLOOKUP(C3613,' Disaggregation - Section E '!A$618:N1737,3,0),"")</f>
        <v/>
      </c>
      <c r="L3613" s="497"/>
      <c r="M3613" s="497"/>
      <c r="N3613" s="503"/>
      <c r="O3613" s="503"/>
      <c r="P3613" s="503"/>
    </row>
    <row r="3614" spans="1:16" x14ac:dyDescent="0.35">
      <c r="A3614" s="497" t="b">
        <v>0</v>
      </c>
      <c r="B3614" s="497"/>
      <c r="C3614" s="497" t="s">
        <v>7707</v>
      </c>
      <c r="D3614" s="512">
        <v>56</v>
      </c>
      <c r="E3614" s="500"/>
      <c r="F3614" s="503"/>
      <c r="G3614" s="502"/>
      <c r="H3614" s="512"/>
      <c r="I3614" s="503"/>
      <c r="J3614" s="503"/>
      <c r="K3614" s="497" t="str">
        <f ca="1">IFERROR(VLOOKUP(C3614,' Disaggregation - Section E '!A$618:N1738,3,0),"")</f>
        <v/>
      </c>
      <c r="L3614" s="497"/>
      <c r="M3614" s="497"/>
      <c r="N3614" s="503"/>
      <c r="O3614" s="503"/>
      <c r="P3614" s="503"/>
    </row>
    <row r="3615" spans="1:16" x14ac:dyDescent="0.35">
      <c r="A3615" s="497" t="b">
        <v>0</v>
      </c>
      <c r="B3615" s="497"/>
      <c r="C3615" s="497" t="s">
        <v>7709</v>
      </c>
      <c r="D3615" s="512">
        <v>56</v>
      </c>
      <c r="E3615" s="500"/>
      <c r="F3615" s="503"/>
      <c r="G3615" s="502"/>
      <c r="H3615" s="512"/>
      <c r="I3615" s="503"/>
      <c r="J3615" s="503"/>
      <c r="K3615" s="497" t="str">
        <f ca="1">IFERROR(VLOOKUP(C3615,' Disaggregation - Section E '!A$618:N1739,3,0),"")</f>
        <v/>
      </c>
      <c r="L3615" s="497"/>
      <c r="M3615" s="497"/>
      <c r="N3615" s="503"/>
      <c r="O3615" s="503"/>
      <c r="P3615" s="503"/>
    </row>
    <row r="3616" spans="1:16" x14ac:dyDescent="0.35">
      <c r="A3616" s="497" t="b">
        <v>0</v>
      </c>
      <c r="B3616" s="497"/>
      <c r="C3616" s="497" t="s">
        <v>7711</v>
      </c>
      <c r="D3616" s="512">
        <v>56</v>
      </c>
      <c r="E3616" s="500"/>
      <c r="F3616" s="503"/>
      <c r="G3616" s="502"/>
      <c r="H3616" s="512"/>
      <c r="I3616" s="503"/>
      <c r="J3616" s="503"/>
      <c r="K3616" s="497" t="str">
        <f ca="1">IFERROR(VLOOKUP(C3616,' Disaggregation - Section E '!A$618:N1740,3,0),"")</f>
        <v/>
      </c>
      <c r="L3616" s="497"/>
      <c r="M3616" s="497"/>
      <c r="N3616" s="503"/>
      <c r="O3616" s="503"/>
      <c r="P3616" s="503"/>
    </row>
    <row r="3617" spans="1:16" x14ac:dyDescent="0.35">
      <c r="A3617" s="497" t="b">
        <v>0</v>
      </c>
      <c r="B3617" s="497"/>
      <c r="C3617" s="497" t="s">
        <v>7713</v>
      </c>
      <c r="D3617" s="512">
        <v>56</v>
      </c>
      <c r="E3617" s="500"/>
      <c r="F3617" s="503"/>
      <c r="G3617" s="502"/>
      <c r="H3617" s="512"/>
      <c r="I3617" s="503"/>
      <c r="J3617" s="503"/>
      <c r="K3617" s="497" t="str">
        <f ca="1">IFERROR(VLOOKUP(C3617,' Disaggregation - Section E '!A$618:N1741,3,0),"")</f>
        <v/>
      </c>
      <c r="L3617" s="497"/>
      <c r="M3617" s="497"/>
      <c r="N3617" s="503"/>
      <c r="O3617" s="503"/>
      <c r="P3617" s="503"/>
    </row>
    <row r="3618" spans="1:16" x14ac:dyDescent="0.35">
      <c r="A3618" s="497" t="b">
        <v>0</v>
      </c>
      <c r="B3618" s="497"/>
      <c r="C3618" s="497" t="s">
        <v>7715</v>
      </c>
      <c r="D3618" s="512">
        <v>56</v>
      </c>
      <c r="E3618" s="500"/>
      <c r="F3618" s="503"/>
      <c r="G3618" s="502"/>
      <c r="H3618" s="512"/>
      <c r="I3618" s="503"/>
      <c r="J3618" s="503"/>
      <c r="K3618" s="497" t="str">
        <f ca="1">IFERROR(VLOOKUP(C3618,' Disaggregation - Section E '!A$618:N1742,3,0),"")</f>
        <v/>
      </c>
      <c r="L3618" s="497"/>
      <c r="M3618" s="497"/>
      <c r="N3618" s="503"/>
      <c r="O3618" s="503"/>
      <c r="P3618" s="503"/>
    </row>
    <row r="3619" spans="1:16" x14ac:dyDescent="0.35">
      <c r="A3619" s="497" t="b">
        <v>0</v>
      </c>
      <c r="B3619" s="497"/>
      <c r="C3619" s="497" t="s">
        <v>7717</v>
      </c>
      <c r="D3619" s="512">
        <v>56</v>
      </c>
      <c r="E3619" s="500"/>
      <c r="F3619" s="503"/>
      <c r="G3619" s="502"/>
      <c r="H3619" s="512"/>
      <c r="I3619" s="503"/>
      <c r="J3619" s="503"/>
      <c r="K3619" s="497" t="str">
        <f ca="1">IFERROR(VLOOKUP(C3619,' Disaggregation - Section E '!A$618:N1743,3,0),"")</f>
        <v/>
      </c>
      <c r="L3619" s="497"/>
      <c r="M3619" s="497"/>
      <c r="N3619" s="503"/>
      <c r="O3619" s="503"/>
      <c r="P3619" s="503"/>
    </row>
    <row r="3620" spans="1:16" x14ac:dyDescent="0.35">
      <c r="A3620" s="497" t="b">
        <v>0</v>
      </c>
      <c r="B3620" s="497"/>
      <c r="C3620" s="497" t="s">
        <v>6448</v>
      </c>
      <c r="D3620" s="512">
        <v>57</v>
      </c>
      <c r="E3620" s="500"/>
      <c r="F3620" s="503"/>
      <c r="G3620" s="502"/>
      <c r="H3620" s="512"/>
      <c r="I3620" s="503"/>
      <c r="J3620" s="503"/>
      <c r="K3620" s="497" t="str">
        <f ca="1">IFERROR(VLOOKUP(C3620,' Disaggregation - Section E '!A$618:N1744,3,0),"")</f>
        <v/>
      </c>
      <c r="L3620" s="497"/>
      <c r="M3620" s="497"/>
      <c r="N3620" s="503"/>
      <c r="O3620" s="503"/>
      <c r="P3620" s="503"/>
    </row>
    <row r="3621" spans="1:16" x14ac:dyDescent="0.35">
      <c r="A3621" s="497" t="b">
        <v>0</v>
      </c>
      <c r="B3621" s="497"/>
      <c r="C3621" s="497" t="s">
        <v>6450</v>
      </c>
      <c r="D3621" s="512">
        <v>57</v>
      </c>
      <c r="E3621" s="500"/>
      <c r="F3621" s="503"/>
      <c r="G3621" s="502"/>
      <c r="H3621" s="512"/>
      <c r="I3621" s="503"/>
      <c r="J3621" s="503"/>
      <c r="K3621" s="497" t="str">
        <f ca="1">IFERROR(VLOOKUP(C3621,' Disaggregation - Section E '!A$618:N1745,3,0),"")</f>
        <v/>
      </c>
      <c r="L3621" s="497"/>
      <c r="M3621" s="497"/>
      <c r="N3621" s="503"/>
      <c r="O3621" s="503"/>
      <c r="P3621" s="503"/>
    </row>
    <row r="3622" spans="1:16" x14ac:dyDescent="0.35">
      <c r="A3622" s="497" t="b">
        <v>0</v>
      </c>
      <c r="B3622" s="497"/>
      <c r="C3622" s="497" t="s">
        <v>6452</v>
      </c>
      <c r="D3622" s="512">
        <v>57</v>
      </c>
      <c r="E3622" s="500"/>
      <c r="F3622" s="503"/>
      <c r="G3622" s="502"/>
      <c r="H3622" s="512"/>
      <c r="I3622" s="503"/>
      <c r="J3622" s="503"/>
      <c r="K3622" s="497" t="str">
        <f ca="1">IFERROR(VLOOKUP(C3622,' Disaggregation - Section E '!A$618:N1746,3,0),"")</f>
        <v/>
      </c>
      <c r="L3622" s="497"/>
      <c r="M3622" s="497"/>
      <c r="N3622" s="503"/>
      <c r="O3622" s="503"/>
      <c r="P3622" s="503"/>
    </row>
    <row r="3623" spans="1:16" x14ac:dyDescent="0.35">
      <c r="A3623" s="497" t="b">
        <v>0</v>
      </c>
      <c r="B3623" s="497"/>
      <c r="C3623" s="497" t="s">
        <v>6454</v>
      </c>
      <c r="D3623" s="512">
        <v>57</v>
      </c>
      <c r="E3623" s="500"/>
      <c r="F3623" s="503"/>
      <c r="G3623" s="502"/>
      <c r="H3623" s="512"/>
      <c r="I3623" s="503"/>
      <c r="J3623" s="503"/>
      <c r="K3623" s="497" t="str">
        <f ca="1">IFERROR(VLOOKUP(C3623,' Disaggregation - Section E '!A$618:N1747,3,0),"")</f>
        <v/>
      </c>
      <c r="L3623" s="497"/>
      <c r="M3623" s="497"/>
      <c r="N3623" s="503"/>
      <c r="O3623" s="503"/>
      <c r="P3623" s="503"/>
    </row>
    <row r="3624" spans="1:16" x14ac:dyDescent="0.35">
      <c r="A3624" s="497" t="b">
        <v>0</v>
      </c>
      <c r="B3624" s="497"/>
      <c r="C3624" s="497" t="s">
        <v>6456</v>
      </c>
      <c r="D3624" s="512">
        <v>57</v>
      </c>
      <c r="E3624" s="500"/>
      <c r="F3624" s="503"/>
      <c r="G3624" s="502"/>
      <c r="H3624" s="512"/>
      <c r="I3624" s="503"/>
      <c r="J3624" s="503"/>
      <c r="K3624" s="497" t="str">
        <f ca="1">IFERROR(VLOOKUP(C3624,' Disaggregation - Section E '!A$618:N1748,3,0),"")</f>
        <v/>
      </c>
      <c r="L3624" s="497"/>
      <c r="M3624" s="497"/>
      <c r="N3624" s="503"/>
      <c r="O3624" s="503"/>
      <c r="P3624" s="503"/>
    </row>
    <row r="3625" spans="1:16" x14ac:dyDescent="0.35">
      <c r="A3625" s="497" t="b">
        <v>0</v>
      </c>
      <c r="B3625" s="497"/>
      <c r="C3625" s="497" t="s">
        <v>6458</v>
      </c>
      <c r="D3625" s="512">
        <v>57</v>
      </c>
      <c r="E3625" s="500"/>
      <c r="F3625" s="503"/>
      <c r="G3625" s="502"/>
      <c r="H3625" s="512"/>
      <c r="I3625" s="503"/>
      <c r="J3625" s="503"/>
      <c r="K3625" s="497" t="str">
        <f ca="1">IFERROR(VLOOKUP(C3625,' Disaggregation - Section E '!A$618:N1749,3,0),"")</f>
        <v/>
      </c>
      <c r="L3625" s="497"/>
      <c r="M3625" s="497"/>
      <c r="N3625" s="503"/>
      <c r="O3625" s="503"/>
      <c r="P3625" s="503"/>
    </row>
    <row r="3626" spans="1:16" x14ac:dyDescent="0.35">
      <c r="A3626" s="497" t="b">
        <v>0</v>
      </c>
      <c r="B3626" s="497"/>
      <c r="C3626" s="497" t="s">
        <v>6460</v>
      </c>
      <c r="D3626" s="512">
        <v>57</v>
      </c>
      <c r="E3626" s="500"/>
      <c r="F3626" s="503"/>
      <c r="G3626" s="502"/>
      <c r="H3626" s="512"/>
      <c r="I3626" s="503"/>
      <c r="J3626" s="503"/>
      <c r="K3626" s="497" t="str">
        <f ca="1">IFERROR(VLOOKUP(C3626,' Disaggregation - Section E '!A$618:N1750,3,0),"")</f>
        <v/>
      </c>
      <c r="L3626" s="497"/>
      <c r="M3626" s="497"/>
      <c r="N3626" s="503"/>
      <c r="O3626" s="503"/>
      <c r="P3626" s="503"/>
    </row>
    <row r="3627" spans="1:16" x14ac:dyDescent="0.35">
      <c r="A3627" s="497" t="b">
        <v>0</v>
      </c>
      <c r="B3627" s="497"/>
      <c r="C3627" s="497" t="s">
        <v>6462</v>
      </c>
      <c r="D3627" s="512">
        <v>57</v>
      </c>
      <c r="E3627" s="500"/>
      <c r="F3627" s="503"/>
      <c r="G3627" s="502"/>
      <c r="H3627" s="512"/>
      <c r="I3627" s="503"/>
      <c r="J3627" s="503"/>
      <c r="K3627" s="497" t="str">
        <f ca="1">IFERROR(VLOOKUP(C3627,' Disaggregation - Section E '!A$618:N1751,3,0),"")</f>
        <v/>
      </c>
      <c r="L3627" s="497"/>
      <c r="M3627" s="497"/>
      <c r="N3627" s="503"/>
      <c r="O3627" s="503"/>
      <c r="P3627" s="503"/>
    </row>
    <row r="3628" spans="1:16" x14ac:dyDescent="0.35">
      <c r="A3628" s="497" t="b">
        <v>0</v>
      </c>
      <c r="B3628" s="497"/>
      <c r="C3628" s="497" t="s">
        <v>6464</v>
      </c>
      <c r="D3628" s="512">
        <v>57</v>
      </c>
      <c r="E3628" s="500"/>
      <c r="F3628" s="503"/>
      <c r="G3628" s="502"/>
      <c r="H3628" s="512"/>
      <c r="I3628" s="503"/>
      <c r="J3628" s="503"/>
      <c r="K3628" s="497" t="str">
        <f ca="1">IFERROR(VLOOKUP(C3628,' Disaggregation - Section E '!A$618:N1752,3,0),"")</f>
        <v/>
      </c>
      <c r="L3628" s="497"/>
      <c r="M3628" s="497"/>
      <c r="N3628" s="503"/>
      <c r="O3628" s="503"/>
      <c r="P3628" s="503"/>
    </row>
    <row r="3629" spans="1:16" x14ac:dyDescent="0.35">
      <c r="A3629" s="497" t="b">
        <v>0</v>
      </c>
      <c r="B3629" s="497"/>
      <c r="C3629" s="497" t="s">
        <v>6466</v>
      </c>
      <c r="D3629" s="512">
        <v>57</v>
      </c>
      <c r="E3629" s="500"/>
      <c r="F3629" s="503"/>
      <c r="G3629" s="502"/>
      <c r="H3629" s="512"/>
      <c r="I3629" s="503"/>
      <c r="J3629" s="503"/>
      <c r="K3629" s="497" t="str">
        <f ca="1">IFERROR(VLOOKUP(C3629,' Disaggregation - Section E '!A$618:N1753,3,0),"")</f>
        <v/>
      </c>
      <c r="L3629" s="497"/>
      <c r="M3629" s="497"/>
      <c r="N3629" s="503"/>
      <c r="O3629" s="503"/>
      <c r="P3629" s="503"/>
    </row>
    <row r="3630" spans="1:16" x14ac:dyDescent="0.35">
      <c r="A3630" s="497" t="b">
        <v>0</v>
      </c>
      <c r="B3630" s="497"/>
      <c r="C3630" s="497" t="s">
        <v>6468</v>
      </c>
      <c r="D3630" s="512">
        <v>57</v>
      </c>
      <c r="E3630" s="500"/>
      <c r="F3630" s="503"/>
      <c r="G3630" s="502"/>
      <c r="H3630" s="512"/>
      <c r="I3630" s="503"/>
      <c r="J3630" s="503"/>
      <c r="K3630" s="497" t="str">
        <f ca="1">IFERROR(VLOOKUP(C3630,' Disaggregation - Section E '!A$618:N1754,3,0),"")</f>
        <v/>
      </c>
      <c r="L3630" s="497"/>
      <c r="M3630" s="497"/>
      <c r="N3630" s="503"/>
      <c r="O3630" s="503"/>
      <c r="P3630" s="503"/>
    </row>
    <row r="3631" spans="1:16" x14ac:dyDescent="0.35">
      <c r="A3631" s="497" t="b">
        <v>0</v>
      </c>
      <c r="B3631" s="497"/>
      <c r="C3631" s="497" t="s">
        <v>6470</v>
      </c>
      <c r="D3631" s="512">
        <v>57</v>
      </c>
      <c r="E3631" s="500"/>
      <c r="F3631" s="503"/>
      <c r="G3631" s="502"/>
      <c r="H3631" s="512"/>
      <c r="I3631" s="503"/>
      <c r="J3631" s="503"/>
      <c r="K3631" s="497" t="str">
        <f ca="1">IFERROR(VLOOKUP(C3631,' Disaggregation - Section E '!A$618:N1755,3,0),"")</f>
        <v/>
      </c>
      <c r="L3631" s="497"/>
      <c r="M3631" s="497"/>
      <c r="N3631" s="503"/>
      <c r="O3631" s="503"/>
      <c r="P3631" s="503"/>
    </row>
    <row r="3632" spans="1:16" x14ac:dyDescent="0.35">
      <c r="A3632" s="497" t="b">
        <v>0</v>
      </c>
      <c r="B3632" s="497"/>
      <c r="C3632" s="497" t="s">
        <v>6472</v>
      </c>
      <c r="D3632" s="512">
        <v>57</v>
      </c>
      <c r="E3632" s="500"/>
      <c r="F3632" s="503"/>
      <c r="G3632" s="502"/>
      <c r="H3632" s="512"/>
      <c r="I3632" s="503"/>
      <c r="J3632" s="503"/>
      <c r="K3632" s="497" t="str">
        <f ca="1">IFERROR(VLOOKUP(C3632,' Disaggregation - Section E '!A$618:N1756,3,0),"")</f>
        <v/>
      </c>
      <c r="L3632" s="497"/>
      <c r="M3632" s="497"/>
      <c r="N3632" s="503"/>
      <c r="O3632" s="503"/>
      <c r="P3632" s="503"/>
    </row>
    <row r="3633" spans="1:16" x14ac:dyDescent="0.35">
      <c r="A3633" s="497" t="b">
        <v>0</v>
      </c>
      <c r="B3633" s="497"/>
      <c r="C3633" s="497" t="s">
        <v>6474</v>
      </c>
      <c r="D3633" s="512">
        <v>57</v>
      </c>
      <c r="E3633" s="500"/>
      <c r="F3633" s="503"/>
      <c r="G3633" s="502"/>
      <c r="H3633" s="512"/>
      <c r="I3633" s="503"/>
      <c r="J3633" s="503"/>
      <c r="K3633" s="497" t="str">
        <f ca="1">IFERROR(VLOOKUP(C3633,' Disaggregation - Section E '!A$618:N1757,3,0),"")</f>
        <v/>
      </c>
      <c r="L3633" s="497"/>
      <c r="M3633" s="497"/>
      <c r="N3633" s="503"/>
      <c r="O3633" s="503"/>
      <c r="P3633" s="503"/>
    </row>
    <row r="3634" spans="1:16" x14ac:dyDescent="0.35">
      <c r="A3634" s="497" t="b">
        <v>0</v>
      </c>
      <c r="B3634" s="497"/>
      <c r="C3634" s="497" t="s">
        <v>6476</v>
      </c>
      <c r="D3634" s="512">
        <v>57</v>
      </c>
      <c r="E3634" s="500"/>
      <c r="F3634" s="503"/>
      <c r="G3634" s="502"/>
      <c r="H3634" s="512"/>
      <c r="I3634" s="503"/>
      <c r="J3634" s="503"/>
      <c r="K3634" s="497" t="str">
        <f ca="1">IFERROR(VLOOKUP(C3634,' Disaggregation - Section E '!A$618:N1758,3,0),"")</f>
        <v/>
      </c>
      <c r="L3634" s="497"/>
      <c r="M3634" s="497"/>
      <c r="N3634" s="503"/>
      <c r="O3634" s="503"/>
      <c r="P3634" s="503"/>
    </row>
    <row r="3635" spans="1:16" x14ac:dyDescent="0.35">
      <c r="A3635" s="497" t="b">
        <v>0</v>
      </c>
      <c r="B3635" s="497"/>
      <c r="C3635" s="497" t="s">
        <v>6478</v>
      </c>
      <c r="D3635" s="512">
        <v>57</v>
      </c>
      <c r="E3635" s="500"/>
      <c r="F3635" s="503"/>
      <c r="G3635" s="502"/>
      <c r="H3635" s="512"/>
      <c r="I3635" s="503"/>
      <c r="J3635" s="503"/>
      <c r="K3635" s="497" t="str">
        <f ca="1">IFERROR(VLOOKUP(C3635,' Disaggregation - Section E '!A$618:N1759,3,0),"")</f>
        <v/>
      </c>
      <c r="L3635" s="497"/>
      <c r="M3635" s="497"/>
      <c r="N3635" s="503"/>
      <c r="O3635" s="503"/>
      <c r="P3635" s="503"/>
    </row>
    <row r="3636" spans="1:16" x14ac:dyDescent="0.35">
      <c r="A3636" s="497" t="b">
        <v>0</v>
      </c>
      <c r="B3636" s="497"/>
      <c r="C3636" s="497" t="s">
        <v>6480</v>
      </c>
      <c r="D3636" s="512">
        <v>57</v>
      </c>
      <c r="E3636" s="500"/>
      <c r="F3636" s="503"/>
      <c r="G3636" s="502"/>
      <c r="H3636" s="512"/>
      <c r="I3636" s="503"/>
      <c r="J3636" s="503"/>
      <c r="K3636" s="497" t="str">
        <f ca="1">IFERROR(VLOOKUP(C3636,' Disaggregation - Section E '!A$618:N1760,3,0),"")</f>
        <v/>
      </c>
      <c r="L3636" s="497"/>
      <c r="M3636" s="497"/>
      <c r="N3636" s="503"/>
      <c r="O3636" s="503"/>
      <c r="P3636" s="503"/>
    </row>
    <row r="3637" spans="1:16" x14ac:dyDescent="0.35">
      <c r="A3637" s="497" t="b">
        <v>0</v>
      </c>
      <c r="B3637" s="497"/>
      <c r="C3637" s="497" t="s">
        <v>6482</v>
      </c>
      <c r="D3637" s="512">
        <v>57</v>
      </c>
      <c r="E3637" s="500"/>
      <c r="F3637" s="503"/>
      <c r="G3637" s="502"/>
      <c r="H3637" s="512"/>
      <c r="I3637" s="503"/>
      <c r="J3637" s="503"/>
      <c r="K3637" s="497" t="str">
        <f ca="1">IFERROR(VLOOKUP(C3637,' Disaggregation - Section E '!A$618:N1761,3,0),"")</f>
        <v/>
      </c>
      <c r="L3637" s="497"/>
      <c r="M3637" s="497"/>
      <c r="N3637" s="503"/>
      <c r="O3637" s="503"/>
      <c r="P3637" s="503"/>
    </row>
    <row r="3638" spans="1:16" x14ac:dyDescent="0.35">
      <c r="A3638" s="497" t="b">
        <v>0</v>
      </c>
      <c r="B3638" s="497"/>
      <c r="C3638" s="497" t="s">
        <v>6484</v>
      </c>
      <c r="D3638" s="512">
        <v>57</v>
      </c>
      <c r="E3638" s="500"/>
      <c r="F3638" s="503"/>
      <c r="G3638" s="502"/>
      <c r="H3638" s="512"/>
      <c r="I3638" s="503"/>
      <c r="J3638" s="503"/>
      <c r="K3638" s="497" t="str">
        <f ca="1">IFERROR(VLOOKUP(C3638,' Disaggregation - Section E '!A$618:N1762,3,0),"")</f>
        <v/>
      </c>
      <c r="L3638" s="497"/>
      <c r="M3638" s="497"/>
      <c r="N3638" s="503"/>
      <c r="O3638" s="503"/>
      <c r="P3638" s="503"/>
    </row>
    <row r="3639" spans="1:16" x14ac:dyDescent="0.35">
      <c r="A3639" s="497" t="b">
        <v>0</v>
      </c>
      <c r="B3639" s="497"/>
      <c r="C3639" s="497" t="s">
        <v>6486</v>
      </c>
      <c r="D3639" s="512">
        <v>57</v>
      </c>
      <c r="E3639" s="500"/>
      <c r="F3639" s="503"/>
      <c r="G3639" s="502"/>
      <c r="H3639" s="512"/>
      <c r="I3639" s="503"/>
      <c r="J3639" s="503"/>
      <c r="K3639" s="497" t="str">
        <f ca="1">IFERROR(VLOOKUP(C3639,' Disaggregation - Section E '!A$618:N1763,3,0),"")</f>
        <v/>
      </c>
      <c r="L3639" s="497"/>
      <c r="M3639" s="497"/>
      <c r="N3639" s="503"/>
      <c r="O3639" s="503"/>
      <c r="P3639" s="503"/>
    </row>
    <row r="3640" spans="1:16" x14ac:dyDescent="0.35">
      <c r="A3640" s="497" t="b">
        <v>0</v>
      </c>
      <c r="B3640" s="497"/>
      <c r="C3640" s="497" t="s">
        <v>7720</v>
      </c>
      <c r="D3640" s="512">
        <v>58</v>
      </c>
      <c r="E3640" s="500"/>
      <c r="F3640" s="503"/>
      <c r="G3640" s="502"/>
      <c r="H3640" s="512"/>
      <c r="I3640" s="503"/>
      <c r="J3640" s="503"/>
      <c r="K3640" s="497" t="str">
        <f ca="1">IFERROR(VLOOKUP(C3640,' Disaggregation - Section E '!A$618:N1764,3,0),"")</f>
        <v/>
      </c>
      <c r="L3640" s="497"/>
      <c r="M3640" s="497"/>
      <c r="N3640" s="503"/>
      <c r="O3640" s="503"/>
      <c r="P3640" s="503"/>
    </row>
    <row r="3641" spans="1:16" x14ac:dyDescent="0.35">
      <c r="A3641" s="497" t="b">
        <v>0</v>
      </c>
      <c r="B3641" s="497"/>
      <c r="C3641" s="497" t="s">
        <v>7722</v>
      </c>
      <c r="D3641" s="512">
        <v>58</v>
      </c>
      <c r="E3641" s="500"/>
      <c r="F3641" s="503"/>
      <c r="G3641" s="502"/>
      <c r="H3641" s="512"/>
      <c r="I3641" s="503"/>
      <c r="J3641" s="503"/>
      <c r="K3641" s="497" t="str">
        <f ca="1">IFERROR(VLOOKUP(C3641,' Disaggregation - Section E '!A$618:N1765,3,0),"")</f>
        <v/>
      </c>
      <c r="L3641" s="497"/>
      <c r="M3641" s="497"/>
      <c r="N3641" s="503"/>
      <c r="O3641" s="503"/>
      <c r="P3641" s="503"/>
    </row>
    <row r="3642" spans="1:16" x14ac:dyDescent="0.35">
      <c r="A3642" s="497" t="b">
        <v>0</v>
      </c>
      <c r="B3642" s="497"/>
      <c r="C3642" s="497" t="s">
        <v>7724</v>
      </c>
      <c r="D3642" s="512">
        <v>58</v>
      </c>
      <c r="E3642" s="500"/>
      <c r="F3642" s="503"/>
      <c r="G3642" s="502"/>
      <c r="H3642" s="512"/>
      <c r="I3642" s="503"/>
      <c r="J3642" s="503"/>
      <c r="K3642" s="497" t="str">
        <f ca="1">IFERROR(VLOOKUP(C3642,' Disaggregation - Section E '!A$618:N1766,3,0),"")</f>
        <v/>
      </c>
      <c r="L3642" s="497"/>
      <c r="M3642" s="497"/>
      <c r="N3642" s="503"/>
      <c r="O3642" s="503"/>
      <c r="P3642" s="503"/>
    </row>
    <row r="3643" spans="1:16" x14ac:dyDescent="0.35">
      <c r="A3643" s="497" t="b">
        <v>0</v>
      </c>
      <c r="B3643" s="497"/>
      <c r="C3643" s="497" t="s">
        <v>7726</v>
      </c>
      <c r="D3643" s="512">
        <v>58</v>
      </c>
      <c r="E3643" s="500"/>
      <c r="F3643" s="503"/>
      <c r="G3643" s="502"/>
      <c r="H3643" s="512"/>
      <c r="I3643" s="503"/>
      <c r="J3643" s="503"/>
      <c r="K3643" s="497" t="str">
        <f ca="1">IFERROR(VLOOKUP(C3643,' Disaggregation - Section E '!A$618:N1767,3,0),"")</f>
        <v/>
      </c>
      <c r="L3643" s="497"/>
      <c r="M3643" s="497"/>
      <c r="N3643" s="503"/>
      <c r="O3643" s="503"/>
      <c r="P3643" s="503"/>
    </row>
    <row r="3644" spans="1:16" x14ac:dyDescent="0.35">
      <c r="A3644" s="497" t="b">
        <v>0</v>
      </c>
      <c r="B3644" s="497"/>
      <c r="C3644" s="497" t="s">
        <v>7728</v>
      </c>
      <c r="D3644" s="512">
        <v>58</v>
      </c>
      <c r="E3644" s="500"/>
      <c r="F3644" s="503"/>
      <c r="G3644" s="502"/>
      <c r="H3644" s="512"/>
      <c r="I3644" s="503"/>
      <c r="J3644" s="503"/>
      <c r="K3644" s="497" t="str">
        <f ca="1">IFERROR(VLOOKUP(C3644,' Disaggregation - Section E '!A$618:N1768,3,0),"")</f>
        <v/>
      </c>
      <c r="L3644" s="497"/>
      <c r="M3644" s="497"/>
      <c r="N3644" s="503"/>
      <c r="O3644" s="503"/>
      <c r="P3644" s="503"/>
    </row>
    <row r="3645" spans="1:16" x14ac:dyDescent="0.35">
      <c r="A3645" s="497" t="b">
        <v>0</v>
      </c>
      <c r="B3645" s="497"/>
      <c r="C3645" s="497" t="s">
        <v>7730</v>
      </c>
      <c r="D3645" s="512">
        <v>58</v>
      </c>
      <c r="E3645" s="500"/>
      <c r="F3645" s="503"/>
      <c r="G3645" s="502"/>
      <c r="H3645" s="512"/>
      <c r="I3645" s="503"/>
      <c r="J3645" s="503"/>
      <c r="K3645" s="497" t="str">
        <f ca="1">IFERROR(VLOOKUP(C3645,' Disaggregation - Section E '!A$618:N1769,3,0),"")</f>
        <v/>
      </c>
      <c r="L3645" s="497"/>
      <c r="M3645" s="497"/>
      <c r="N3645" s="503"/>
      <c r="O3645" s="503"/>
      <c r="P3645" s="503"/>
    </row>
    <row r="3646" spans="1:16" x14ac:dyDescent="0.35">
      <c r="A3646" s="497" t="b">
        <v>0</v>
      </c>
      <c r="B3646" s="497"/>
      <c r="C3646" s="497" t="s">
        <v>7732</v>
      </c>
      <c r="D3646" s="512">
        <v>58</v>
      </c>
      <c r="E3646" s="500"/>
      <c r="F3646" s="503"/>
      <c r="G3646" s="502"/>
      <c r="H3646" s="512"/>
      <c r="I3646" s="503"/>
      <c r="J3646" s="503"/>
      <c r="K3646" s="497" t="str">
        <f ca="1">IFERROR(VLOOKUP(C3646,' Disaggregation - Section E '!A$618:N1770,3,0),"")</f>
        <v/>
      </c>
      <c r="L3646" s="497"/>
      <c r="M3646" s="497"/>
      <c r="N3646" s="503"/>
      <c r="O3646" s="503"/>
      <c r="P3646" s="503"/>
    </row>
    <row r="3647" spans="1:16" x14ac:dyDescent="0.35">
      <c r="A3647" s="497" t="b">
        <v>0</v>
      </c>
      <c r="B3647" s="497"/>
      <c r="C3647" s="497" t="s">
        <v>7734</v>
      </c>
      <c r="D3647" s="512">
        <v>58</v>
      </c>
      <c r="E3647" s="500"/>
      <c r="F3647" s="503"/>
      <c r="G3647" s="502"/>
      <c r="H3647" s="512"/>
      <c r="I3647" s="503"/>
      <c r="J3647" s="503"/>
      <c r="K3647" s="497" t="str">
        <f ca="1">IFERROR(VLOOKUP(C3647,' Disaggregation - Section E '!A$618:N1771,3,0),"")</f>
        <v/>
      </c>
      <c r="L3647" s="497"/>
      <c r="M3647" s="497"/>
      <c r="N3647" s="503"/>
      <c r="O3647" s="503"/>
      <c r="P3647" s="503"/>
    </row>
    <row r="3648" spans="1:16" x14ac:dyDescent="0.35">
      <c r="A3648" s="497" t="b">
        <v>0</v>
      </c>
      <c r="B3648" s="497"/>
      <c r="C3648" s="497" t="s">
        <v>7736</v>
      </c>
      <c r="D3648" s="512">
        <v>58</v>
      </c>
      <c r="E3648" s="500"/>
      <c r="F3648" s="503"/>
      <c r="G3648" s="502"/>
      <c r="H3648" s="512"/>
      <c r="I3648" s="503"/>
      <c r="J3648" s="503"/>
      <c r="K3648" s="497" t="str">
        <f ca="1">IFERROR(VLOOKUP(C3648,' Disaggregation - Section E '!A$618:N1772,3,0),"")</f>
        <v/>
      </c>
      <c r="L3648" s="497"/>
      <c r="M3648" s="497"/>
      <c r="N3648" s="503"/>
      <c r="O3648" s="503"/>
      <c r="P3648" s="503"/>
    </row>
    <row r="3649" spans="1:16" x14ac:dyDescent="0.35">
      <c r="A3649" s="497" t="b">
        <v>0</v>
      </c>
      <c r="B3649" s="497"/>
      <c r="C3649" s="497" t="s">
        <v>7738</v>
      </c>
      <c r="D3649" s="512">
        <v>58</v>
      </c>
      <c r="E3649" s="500"/>
      <c r="F3649" s="503"/>
      <c r="G3649" s="502"/>
      <c r="H3649" s="512"/>
      <c r="I3649" s="503"/>
      <c r="J3649" s="503"/>
      <c r="K3649" s="497" t="str">
        <f ca="1">IFERROR(VLOOKUP(C3649,' Disaggregation - Section E '!A$618:N1773,3,0),"")</f>
        <v/>
      </c>
      <c r="L3649" s="497"/>
      <c r="M3649" s="497"/>
      <c r="N3649" s="503"/>
      <c r="O3649" s="503"/>
      <c r="P3649" s="503"/>
    </row>
    <row r="3650" spans="1:16" x14ac:dyDescent="0.35">
      <c r="A3650" s="497" t="b">
        <v>0</v>
      </c>
      <c r="B3650" s="497"/>
      <c r="C3650" s="497" t="s">
        <v>7740</v>
      </c>
      <c r="D3650" s="512">
        <v>58</v>
      </c>
      <c r="E3650" s="500"/>
      <c r="F3650" s="503"/>
      <c r="G3650" s="502"/>
      <c r="H3650" s="512"/>
      <c r="I3650" s="503"/>
      <c r="J3650" s="503"/>
      <c r="K3650" s="497" t="str">
        <f ca="1">IFERROR(VLOOKUP(C3650,' Disaggregation - Section E '!A$618:N1774,3,0),"")</f>
        <v/>
      </c>
      <c r="L3650" s="497"/>
      <c r="M3650" s="497"/>
      <c r="N3650" s="503"/>
      <c r="O3650" s="503"/>
      <c r="P3650" s="503"/>
    </row>
    <row r="3651" spans="1:16" x14ac:dyDescent="0.35">
      <c r="A3651" s="497" t="b">
        <v>0</v>
      </c>
      <c r="B3651" s="497"/>
      <c r="C3651" s="497" t="s">
        <v>7742</v>
      </c>
      <c r="D3651" s="512">
        <v>58</v>
      </c>
      <c r="E3651" s="500"/>
      <c r="F3651" s="503"/>
      <c r="G3651" s="502"/>
      <c r="H3651" s="512"/>
      <c r="I3651" s="503"/>
      <c r="J3651" s="503"/>
      <c r="K3651" s="497" t="str">
        <f ca="1">IFERROR(VLOOKUP(C3651,' Disaggregation - Section E '!A$618:N1775,3,0),"")</f>
        <v/>
      </c>
      <c r="L3651" s="497"/>
      <c r="M3651" s="497"/>
      <c r="N3651" s="503"/>
      <c r="O3651" s="503"/>
      <c r="P3651" s="503"/>
    </row>
    <row r="3652" spans="1:16" x14ac:dyDescent="0.35">
      <c r="A3652" s="497" t="b">
        <v>0</v>
      </c>
      <c r="B3652" s="497"/>
      <c r="C3652" s="497" t="s">
        <v>7744</v>
      </c>
      <c r="D3652" s="512">
        <v>58</v>
      </c>
      <c r="E3652" s="500"/>
      <c r="F3652" s="503"/>
      <c r="G3652" s="502"/>
      <c r="H3652" s="512"/>
      <c r="I3652" s="503"/>
      <c r="J3652" s="503"/>
      <c r="K3652" s="497" t="str">
        <f ca="1">IFERROR(VLOOKUP(C3652,' Disaggregation - Section E '!A$618:N1776,3,0),"")</f>
        <v/>
      </c>
      <c r="L3652" s="497"/>
      <c r="M3652" s="497"/>
      <c r="N3652" s="503"/>
      <c r="O3652" s="503"/>
      <c r="P3652" s="503"/>
    </row>
    <row r="3653" spans="1:16" x14ac:dyDescent="0.35">
      <c r="A3653" s="497" t="b">
        <v>0</v>
      </c>
      <c r="B3653" s="497"/>
      <c r="C3653" s="497" t="s">
        <v>7746</v>
      </c>
      <c r="D3653" s="512">
        <v>58</v>
      </c>
      <c r="E3653" s="500"/>
      <c r="F3653" s="503"/>
      <c r="G3653" s="502"/>
      <c r="H3653" s="512"/>
      <c r="I3653" s="503"/>
      <c r="J3653" s="503"/>
      <c r="K3653" s="497" t="str">
        <f ca="1">IFERROR(VLOOKUP(C3653,' Disaggregation - Section E '!A$618:N1777,3,0),"")</f>
        <v/>
      </c>
      <c r="L3653" s="497"/>
      <c r="M3653" s="497"/>
      <c r="N3653" s="503"/>
      <c r="O3653" s="503"/>
      <c r="P3653" s="503"/>
    </row>
    <row r="3654" spans="1:16" x14ac:dyDescent="0.35">
      <c r="A3654" s="497" t="b">
        <v>0</v>
      </c>
      <c r="B3654" s="497"/>
      <c r="C3654" s="497" t="s">
        <v>7748</v>
      </c>
      <c r="D3654" s="512">
        <v>58</v>
      </c>
      <c r="E3654" s="500"/>
      <c r="F3654" s="503"/>
      <c r="G3654" s="502"/>
      <c r="H3654" s="512"/>
      <c r="I3654" s="503"/>
      <c r="J3654" s="503"/>
      <c r="K3654" s="497" t="str">
        <f ca="1">IFERROR(VLOOKUP(C3654,' Disaggregation - Section E '!A$618:N1778,3,0),"")</f>
        <v/>
      </c>
      <c r="L3654" s="497"/>
      <c r="M3654" s="497"/>
      <c r="N3654" s="503"/>
      <c r="O3654" s="503"/>
      <c r="P3654" s="503"/>
    </row>
    <row r="3655" spans="1:16" x14ac:dyDescent="0.35">
      <c r="A3655" s="497" t="b">
        <v>0</v>
      </c>
      <c r="B3655" s="497"/>
      <c r="C3655" s="497" t="s">
        <v>7750</v>
      </c>
      <c r="D3655" s="512">
        <v>58</v>
      </c>
      <c r="E3655" s="500"/>
      <c r="F3655" s="503"/>
      <c r="G3655" s="502"/>
      <c r="H3655" s="512"/>
      <c r="I3655" s="503"/>
      <c r="J3655" s="503"/>
      <c r="K3655" s="497" t="str">
        <f ca="1">IFERROR(VLOOKUP(C3655,' Disaggregation - Section E '!A$618:N1779,3,0),"")</f>
        <v/>
      </c>
      <c r="L3655" s="497"/>
      <c r="M3655" s="497"/>
      <c r="N3655" s="503"/>
      <c r="O3655" s="503"/>
      <c r="P3655" s="503"/>
    </row>
    <row r="3656" spans="1:16" x14ac:dyDescent="0.35">
      <c r="A3656" s="497" t="b">
        <v>0</v>
      </c>
      <c r="B3656" s="497"/>
      <c r="C3656" s="497" t="s">
        <v>7752</v>
      </c>
      <c r="D3656" s="512">
        <v>58</v>
      </c>
      <c r="E3656" s="500"/>
      <c r="F3656" s="503"/>
      <c r="G3656" s="502"/>
      <c r="H3656" s="512"/>
      <c r="I3656" s="503"/>
      <c r="J3656" s="503"/>
      <c r="K3656" s="497" t="str">
        <f ca="1">IFERROR(VLOOKUP(C3656,' Disaggregation - Section E '!A$618:N1780,3,0),"")</f>
        <v/>
      </c>
      <c r="L3656" s="497"/>
      <c r="M3656" s="497"/>
      <c r="N3656" s="503"/>
      <c r="O3656" s="503"/>
      <c r="P3656" s="503"/>
    </row>
    <row r="3657" spans="1:16" x14ac:dyDescent="0.35">
      <c r="A3657" s="497" t="b">
        <v>0</v>
      </c>
      <c r="B3657" s="497"/>
      <c r="C3657" s="497" t="s">
        <v>7754</v>
      </c>
      <c r="D3657" s="512">
        <v>58</v>
      </c>
      <c r="E3657" s="500"/>
      <c r="F3657" s="503"/>
      <c r="G3657" s="502"/>
      <c r="H3657" s="512"/>
      <c r="I3657" s="503"/>
      <c r="J3657" s="503"/>
      <c r="K3657" s="497" t="str">
        <f ca="1">IFERROR(VLOOKUP(C3657,' Disaggregation - Section E '!A$618:N1781,3,0),"")</f>
        <v/>
      </c>
      <c r="L3657" s="497"/>
      <c r="M3657" s="497"/>
      <c r="N3657" s="503"/>
      <c r="O3657" s="503"/>
      <c r="P3657" s="503"/>
    </row>
    <row r="3658" spans="1:16" x14ac:dyDescent="0.35">
      <c r="A3658" s="497" t="b">
        <v>0</v>
      </c>
      <c r="B3658" s="497"/>
      <c r="C3658" s="497" t="s">
        <v>7756</v>
      </c>
      <c r="D3658" s="512">
        <v>58</v>
      </c>
      <c r="E3658" s="500"/>
      <c r="F3658" s="503"/>
      <c r="G3658" s="502"/>
      <c r="H3658" s="512"/>
      <c r="I3658" s="503"/>
      <c r="J3658" s="503"/>
      <c r="K3658" s="497" t="str">
        <f ca="1">IFERROR(VLOOKUP(C3658,' Disaggregation - Section E '!A$618:N1782,3,0),"")</f>
        <v/>
      </c>
      <c r="L3658" s="497"/>
      <c r="M3658" s="497"/>
      <c r="N3658" s="503"/>
      <c r="O3658" s="503"/>
      <c r="P3658" s="503"/>
    </row>
    <row r="3659" spans="1:16" x14ac:dyDescent="0.35">
      <c r="A3659" s="497" t="b">
        <v>0</v>
      </c>
      <c r="B3659" s="497"/>
      <c r="C3659" s="497" t="s">
        <v>7758</v>
      </c>
      <c r="D3659" s="512">
        <v>58</v>
      </c>
      <c r="E3659" s="500"/>
      <c r="F3659" s="503"/>
      <c r="G3659" s="502"/>
      <c r="H3659" s="512"/>
      <c r="I3659" s="503"/>
      <c r="J3659" s="503"/>
      <c r="K3659" s="497" t="str">
        <f ca="1">IFERROR(VLOOKUP(C3659,' Disaggregation - Section E '!A$618:N1783,3,0),"")</f>
        <v/>
      </c>
      <c r="L3659" s="497"/>
      <c r="M3659" s="497"/>
      <c r="N3659" s="503"/>
      <c r="O3659" s="503"/>
      <c r="P3659" s="503"/>
    </row>
    <row r="3660" spans="1:16" x14ac:dyDescent="0.35">
      <c r="A3660" s="497" t="b">
        <v>0</v>
      </c>
      <c r="B3660" s="497"/>
      <c r="C3660" s="497" t="s">
        <v>6489</v>
      </c>
      <c r="D3660" s="512">
        <v>59</v>
      </c>
      <c r="E3660" s="500"/>
      <c r="F3660" s="503"/>
      <c r="G3660" s="502"/>
      <c r="H3660" s="512"/>
      <c r="I3660" s="503"/>
      <c r="J3660" s="503"/>
      <c r="K3660" s="497" t="str">
        <f ca="1">IFERROR(VLOOKUP(C3660,' Disaggregation - Section E '!A$618:N1784,3,0),"")</f>
        <v/>
      </c>
      <c r="L3660" s="497"/>
      <c r="M3660" s="497"/>
      <c r="N3660" s="503"/>
      <c r="O3660" s="503"/>
      <c r="P3660" s="503"/>
    </row>
    <row r="3661" spans="1:16" x14ac:dyDescent="0.35">
      <c r="A3661" s="497" t="b">
        <v>0</v>
      </c>
      <c r="B3661" s="497"/>
      <c r="C3661" s="497" t="s">
        <v>6491</v>
      </c>
      <c r="D3661" s="512">
        <v>59</v>
      </c>
      <c r="E3661" s="500"/>
      <c r="F3661" s="503"/>
      <c r="G3661" s="502"/>
      <c r="H3661" s="512"/>
      <c r="I3661" s="503"/>
      <c r="J3661" s="503"/>
      <c r="K3661" s="497" t="str">
        <f ca="1">IFERROR(VLOOKUP(C3661,' Disaggregation - Section E '!A$618:N1785,3,0),"")</f>
        <v/>
      </c>
      <c r="L3661" s="497"/>
      <c r="M3661" s="497"/>
      <c r="N3661" s="503"/>
      <c r="O3661" s="503"/>
      <c r="P3661" s="503"/>
    </row>
    <row r="3662" spans="1:16" x14ac:dyDescent="0.35">
      <c r="A3662" s="497" t="b">
        <v>0</v>
      </c>
      <c r="B3662" s="497"/>
      <c r="C3662" s="497" t="s">
        <v>6493</v>
      </c>
      <c r="D3662" s="512">
        <v>59</v>
      </c>
      <c r="E3662" s="500"/>
      <c r="F3662" s="503"/>
      <c r="G3662" s="502"/>
      <c r="H3662" s="512"/>
      <c r="I3662" s="503"/>
      <c r="J3662" s="503"/>
      <c r="K3662" s="497" t="str">
        <f ca="1">IFERROR(VLOOKUP(C3662,' Disaggregation - Section E '!A$618:N1786,3,0),"")</f>
        <v/>
      </c>
      <c r="L3662" s="497"/>
      <c r="M3662" s="497"/>
      <c r="N3662" s="503"/>
      <c r="O3662" s="503"/>
      <c r="P3662" s="503"/>
    </row>
    <row r="3663" spans="1:16" x14ac:dyDescent="0.35">
      <c r="A3663" s="497" t="b">
        <v>0</v>
      </c>
      <c r="B3663" s="497"/>
      <c r="C3663" s="497" t="s">
        <v>6495</v>
      </c>
      <c r="D3663" s="512">
        <v>59</v>
      </c>
      <c r="E3663" s="500"/>
      <c r="F3663" s="503"/>
      <c r="G3663" s="502"/>
      <c r="H3663" s="512"/>
      <c r="I3663" s="503"/>
      <c r="J3663" s="503"/>
      <c r="K3663" s="497" t="str">
        <f ca="1">IFERROR(VLOOKUP(C3663,' Disaggregation - Section E '!A$618:N1787,3,0),"")</f>
        <v/>
      </c>
      <c r="L3663" s="497"/>
      <c r="M3663" s="497"/>
      <c r="N3663" s="503"/>
      <c r="O3663" s="503"/>
      <c r="P3663" s="503"/>
    </row>
    <row r="3664" spans="1:16" x14ac:dyDescent="0.35">
      <c r="A3664" s="497" t="b">
        <v>0</v>
      </c>
      <c r="B3664" s="497"/>
      <c r="C3664" s="497" t="s">
        <v>6497</v>
      </c>
      <c r="D3664" s="512">
        <v>59</v>
      </c>
      <c r="E3664" s="500"/>
      <c r="F3664" s="503"/>
      <c r="G3664" s="502"/>
      <c r="H3664" s="512"/>
      <c r="I3664" s="503"/>
      <c r="J3664" s="503"/>
      <c r="K3664" s="497" t="str">
        <f ca="1">IFERROR(VLOOKUP(C3664,' Disaggregation - Section E '!A$618:N1788,3,0),"")</f>
        <v/>
      </c>
      <c r="L3664" s="497"/>
      <c r="M3664" s="497"/>
      <c r="N3664" s="503"/>
      <c r="O3664" s="503"/>
      <c r="P3664" s="503"/>
    </row>
    <row r="3665" spans="1:16" x14ac:dyDescent="0.35">
      <c r="A3665" s="497" t="b">
        <v>0</v>
      </c>
      <c r="B3665" s="497"/>
      <c r="C3665" s="497" t="s">
        <v>6499</v>
      </c>
      <c r="D3665" s="512">
        <v>59</v>
      </c>
      <c r="E3665" s="500"/>
      <c r="F3665" s="503"/>
      <c r="G3665" s="502"/>
      <c r="H3665" s="512"/>
      <c r="I3665" s="503"/>
      <c r="J3665" s="503"/>
      <c r="K3665" s="497" t="str">
        <f ca="1">IFERROR(VLOOKUP(C3665,' Disaggregation - Section E '!A$618:N1789,3,0),"")</f>
        <v/>
      </c>
      <c r="L3665" s="497"/>
      <c r="M3665" s="497"/>
      <c r="N3665" s="503"/>
      <c r="O3665" s="503"/>
      <c r="P3665" s="503"/>
    </row>
    <row r="3666" spans="1:16" x14ac:dyDescent="0.35">
      <c r="A3666" s="497" t="b">
        <v>0</v>
      </c>
      <c r="B3666" s="497"/>
      <c r="C3666" s="497" t="s">
        <v>6501</v>
      </c>
      <c r="D3666" s="512">
        <v>59</v>
      </c>
      <c r="E3666" s="500"/>
      <c r="F3666" s="503"/>
      <c r="G3666" s="502"/>
      <c r="H3666" s="512"/>
      <c r="I3666" s="503"/>
      <c r="J3666" s="503"/>
      <c r="K3666" s="497" t="str">
        <f ca="1">IFERROR(VLOOKUP(C3666,' Disaggregation - Section E '!A$618:N1790,3,0),"")</f>
        <v/>
      </c>
      <c r="L3666" s="497"/>
      <c r="M3666" s="497"/>
      <c r="N3666" s="503"/>
      <c r="O3666" s="503"/>
      <c r="P3666" s="503"/>
    </row>
    <row r="3667" spans="1:16" x14ac:dyDescent="0.35">
      <c r="A3667" s="497" t="b">
        <v>0</v>
      </c>
      <c r="B3667" s="497"/>
      <c r="C3667" s="497" t="s">
        <v>6503</v>
      </c>
      <c r="D3667" s="512">
        <v>59</v>
      </c>
      <c r="E3667" s="500"/>
      <c r="F3667" s="503"/>
      <c r="G3667" s="502"/>
      <c r="H3667" s="512"/>
      <c r="I3667" s="503"/>
      <c r="J3667" s="503"/>
      <c r="K3667" s="497" t="str">
        <f ca="1">IFERROR(VLOOKUP(C3667,' Disaggregation - Section E '!A$618:N1791,3,0),"")</f>
        <v/>
      </c>
      <c r="L3667" s="497"/>
      <c r="M3667" s="497"/>
      <c r="N3667" s="503"/>
      <c r="O3667" s="503"/>
      <c r="P3667" s="503"/>
    </row>
    <row r="3668" spans="1:16" x14ac:dyDescent="0.35">
      <c r="A3668" s="497" t="b">
        <v>0</v>
      </c>
      <c r="B3668" s="497"/>
      <c r="C3668" s="497" t="s">
        <v>6505</v>
      </c>
      <c r="D3668" s="512">
        <v>59</v>
      </c>
      <c r="E3668" s="500"/>
      <c r="F3668" s="503"/>
      <c r="G3668" s="502"/>
      <c r="H3668" s="512"/>
      <c r="I3668" s="503"/>
      <c r="J3668" s="503"/>
      <c r="K3668" s="497" t="str">
        <f ca="1">IFERROR(VLOOKUP(C3668,' Disaggregation - Section E '!A$618:N1792,3,0),"")</f>
        <v/>
      </c>
      <c r="L3668" s="497"/>
      <c r="M3668" s="497"/>
      <c r="N3668" s="503"/>
      <c r="O3668" s="503"/>
      <c r="P3668" s="503"/>
    </row>
    <row r="3669" spans="1:16" x14ac:dyDescent="0.35">
      <c r="A3669" s="497" t="b">
        <v>0</v>
      </c>
      <c r="B3669" s="497"/>
      <c r="C3669" s="497" t="s">
        <v>6507</v>
      </c>
      <c r="D3669" s="512">
        <v>59</v>
      </c>
      <c r="E3669" s="500"/>
      <c r="F3669" s="503"/>
      <c r="G3669" s="502"/>
      <c r="H3669" s="512"/>
      <c r="I3669" s="503"/>
      <c r="J3669" s="503"/>
      <c r="K3669" s="497" t="str">
        <f ca="1">IFERROR(VLOOKUP(C3669,' Disaggregation - Section E '!A$618:N1793,3,0),"")</f>
        <v/>
      </c>
      <c r="L3669" s="497"/>
      <c r="M3669" s="497"/>
      <c r="N3669" s="503"/>
      <c r="O3669" s="503"/>
      <c r="P3669" s="503"/>
    </row>
    <row r="3670" spans="1:16" x14ac:dyDescent="0.35">
      <c r="A3670" s="497" t="b">
        <v>0</v>
      </c>
      <c r="B3670" s="497"/>
      <c r="C3670" s="497" t="s">
        <v>6509</v>
      </c>
      <c r="D3670" s="512">
        <v>59</v>
      </c>
      <c r="E3670" s="500"/>
      <c r="F3670" s="503"/>
      <c r="G3670" s="502"/>
      <c r="H3670" s="512"/>
      <c r="I3670" s="503"/>
      <c r="J3670" s="503"/>
      <c r="K3670" s="497" t="str">
        <f ca="1">IFERROR(VLOOKUP(C3670,' Disaggregation - Section E '!A$618:N1794,3,0),"")</f>
        <v/>
      </c>
      <c r="L3670" s="497"/>
      <c r="M3670" s="497"/>
      <c r="N3670" s="503"/>
      <c r="O3670" s="503"/>
      <c r="P3670" s="503"/>
    </row>
    <row r="3671" spans="1:16" x14ac:dyDescent="0.35">
      <c r="A3671" s="497" t="b">
        <v>0</v>
      </c>
      <c r="B3671" s="497"/>
      <c r="C3671" s="497" t="s">
        <v>6511</v>
      </c>
      <c r="D3671" s="512">
        <v>59</v>
      </c>
      <c r="E3671" s="500"/>
      <c r="F3671" s="503"/>
      <c r="G3671" s="502"/>
      <c r="H3671" s="512"/>
      <c r="I3671" s="503"/>
      <c r="J3671" s="503"/>
      <c r="K3671" s="497" t="str">
        <f ca="1">IFERROR(VLOOKUP(C3671,' Disaggregation - Section E '!A$618:N1795,3,0),"")</f>
        <v/>
      </c>
      <c r="L3671" s="497"/>
      <c r="M3671" s="497"/>
      <c r="N3671" s="503"/>
      <c r="O3671" s="503"/>
      <c r="P3671" s="503"/>
    </row>
    <row r="3672" spans="1:16" x14ac:dyDescent="0.35">
      <c r="A3672" s="497" t="b">
        <v>0</v>
      </c>
      <c r="B3672" s="497"/>
      <c r="C3672" s="497" t="s">
        <v>6513</v>
      </c>
      <c r="D3672" s="512">
        <v>59</v>
      </c>
      <c r="E3672" s="500"/>
      <c r="F3672" s="503"/>
      <c r="G3672" s="502"/>
      <c r="H3672" s="512"/>
      <c r="I3672" s="503"/>
      <c r="J3672" s="503"/>
      <c r="K3672" s="497" t="str">
        <f ca="1">IFERROR(VLOOKUP(C3672,' Disaggregation - Section E '!A$618:N1796,3,0),"")</f>
        <v/>
      </c>
      <c r="L3672" s="497"/>
      <c r="M3672" s="497"/>
      <c r="N3672" s="503"/>
      <c r="O3672" s="503"/>
      <c r="P3672" s="503"/>
    </row>
    <row r="3673" spans="1:16" x14ac:dyDescent="0.35">
      <c r="A3673" s="497" t="b">
        <v>0</v>
      </c>
      <c r="B3673" s="497"/>
      <c r="C3673" s="497" t="s">
        <v>6515</v>
      </c>
      <c r="D3673" s="512">
        <v>59</v>
      </c>
      <c r="E3673" s="500"/>
      <c r="F3673" s="503"/>
      <c r="G3673" s="502"/>
      <c r="H3673" s="512"/>
      <c r="I3673" s="503"/>
      <c r="J3673" s="503"/>
      <c r="K3673" s="497" t="str">
        <f ca="1">IFERROR(VLOOKUP(C3673,' Disaggregation - Section E '!A$618:N1797,3,0),"")</f>
        <v/>
      </c>
      <c r="L3673" s="497"/>
      <c r="M3673" s="497"/>
      <c r="N3673" s="503"/>
      <c r="O3673" s="503"/>
      <c r="P3673" s="503"/>
    </row>
    <row r="3674" spans="1:16" x14ac:dyDescent="0.35">
      <c r="A3674" s="497" t="b">
        <v>0</v>
      </c>
      <c r="B3674" s="497"/>
      <c r="C3674" s="497" t="s">
        <v>6517</v>
      </c>
      <c r="D3674" s="512">
        <v>59</v>
      </c>
      <c r="E3674" s="500"/>
      <c r="F3674" s="503"/>
      <c r="G3674" s="502"/>
      <c r="H3674" s="512"/>
      <c r="I3674" s="503"/>
      <c r="J3674" s="503"/>
      <c r="K3674" s="497" t="str">
        <f ca="1">IFERROR(VLOOKUP(C3674,' Disaggregation - Section E '!A$618:N1798,3,0),"")</f>
        <v/>
      </c>
      <c r="L3674" s="497"/>
      <c r="M3674" s="497"/>
      <c r="N3674" s="503"/>
      <c r="O3674" s="503"/>
      <c r="P3674" s="503"/>
    </row>
    <row r="3675" spans="1:16" x14ac:dyDescent="0.35">
      <c r="A3675" s="497" t="b">
        <v>0</v>
      </c>
      <c r="B3675" s="497"/>
      <c r="C3675" s="497" t="s">
        <v>6519</v>
      </c>
      <c r="D3675" s="512">
        <v>59</v>
      </c>
      <c r="E3675" s="500"/>
      <c r="F3675" s="503"/>
      <c r="G3675" s="502"/>
      <c r="H3675" s="512"/>
      <c r="I3675" s="503"/>
      <c r="J3675" s="503"/>
      <c r="K3675" s="497" t="str">
        <f ca="1">IFERROR(VLOOKUP(C3675,' Disaggregation - Section E '!A$618:N1799,3,0),"")</f>
        <v/>
      </c>
      <c r="L3675" s="497"/>
      <c r="M3675" s="497"/>
      <c r="N3675" s="503"/>
      <c r="O3675" s="503"/>
      <c r="P3675" s="503"/>
    </row>
    <row r="3676" spans="1:16" x14ac:dyDescent="0.35">
      <c r="A3676" s="497" t="b">
        <v>0</v>
      </c>
      <c r="B3676" s="497"/>
      <c r="C3676" s="497" t="s">
        <v>6521</v>
      </c>
      <c r="D3676" s="512">
        <v>59</v>
      </c>
      <c r="E3676" s="500"/>
      <c r="F3676" s="503"/>
      <c r="G3676" s="502"/>
      <c r="H3676" s="512"/>
      <c r="I3676" s="503"/>
      <c r="J3676" s="503"/>
      <c r="K3676" s="497" t="str">
        <f ca="1">IFERROR(VLOOKUP(C3676,' Disaggregation - Section E '!A$618:N1800,3,0),"")</f>
        <v/>
      </c>
      <c r="L3676" s="497"/>
      <c r="M3676" s="497"/>
      <c r="N3676" s="503"/>
      <c r="O3676" s="503"/>
      <c r="P3676" s="503"/>
    </row>
    <row r="3677" spans="1:16" x14ac:dyDescent="0.35">
      <c r="A3677" s="497" t="b">
        <v>0</v>
      </c>
      <c r="B3677" s="497"/>
      <c r="C3677" s="497" t="s">
        <v>6523</v>
      </c>
      <c r="D3677" s="512">
        <v>59</v>
      </c>
      <c r="E3677" s="500"/>
      <c r="F3677" s="503"/>
      <c r="G3677" s="502"/>
      <c r="H3677" s="512"/>
      <c r="I3677" s="503"/>
      <c r="J3677" s="503"/>
      <c r="K3677" s="497" t="str">
        <f ca="1">IFERROR(VLOOKUP(C3677,' Disaggregation - Section E '!A$618:N1801,3,0),"")</f>
        <v/>
      </c>
      <c r="L3677" s="497"/>
      <c r="M3677" s="497"/>
      <c r="N3677" s="503"/>
      <c r="O3677" s="503"/>
      <c r="P3677" s="503"/>
    </row>
    <row r="3678" spans="1:16" x14ac:dyDescent="0.35">
      <c r="A3678" s="497" t="b">
        <v>0</v>
      </c>
      <c r="B3678" s="497"/>
      <c r="C3678" s="497" t="s">
        <v>6525</v>
      </c>
      <c r="D3678" s="512">
        <v>59</v>
      </c>
      <c r="E3678" s="500"/>
      <c r="F3678" s="503"/>
      <c r="G3678" s="502"/>
      <c r="H3678" s="512"/>
      <c r="I3678" s="503"/>
      <c r="J3678" s="503"/>
      <c r="K3678" s="497" t="str">
        <f ca="1">IFERROR(VLOOKUP(C3678,' Disaggregation - Section E '!A$618:N1802,3,0),"")</f>
        <v/>
      </c>
      <c r="L3678" s="497"/>
      <c r="M3678" s="497"/>
      <c r="N3678" s="503"/>
      <c r="O3678" s="503"/>
      <c r="P3678" s="503"/>
    </row>
    <row r="3679" spans="1:16" x14ac:dyDescent="0.35">
      <c r="A3679" s="497" t="b">
        <v>0</v>
      </c>
      <c r="B3679" s="497"/>
      <c r="C3679" s="497" t="s">
        <v>6527</v>
      </c>
      <c r="D3679" s="512">
        <v>59</v>
      </c>
      <c r="E3679" s="500"/>
      <c r="F3679" s="503"/>
      <c r="G3679" s="502"/>
      <c r="H3679" s="512"/>
      <c r="I3679" s="503"/>
      <c r="J3679" s="503"/>
      <c r="K3679" s="497" t="str">
        <f ca="1">IFERROR(VLOOKUP(C3679,' Disaggregation - Section E '!A$618:N1803,3,0),"")</f>
        <v/>
      </c>
      <c r="L3679" s="497"/>
      <c r="M3679" s="497"/>
      <c r="N3679" s="503"/>
      <c r="O3679" s="503"/>
      <c r="P3679" s="503"/>
    </row>
    <row r="3680" spans="1:16" x14ac:dyDescent="0.35">
      <c r="A3680" s="497" t="b">
        <v>0</v>
      </c>
      <c r="B3680" s="497"/>
      <c r="C3680" s="497" t="s">
        <v>7638</v>
      </c>
      <c r="D3680" s="512">
        <v>60</v>
      </c>
      <c r="E3680" s="500"/>
      <c r="F3680" s="503"/>
      <c r="G3680" s="502"/>
      <c r="H3680" s="512"/>
      <c r="I3680" s="503"/>
      <c r="J3680" s="503"/>
      <c r="K3680" s="497" t="str">
        <f ca="1">IFERROR(VLOOKUP(C3680,' Disaggregation - Section E '!A$618:N1804,3,0),"")</f>
        <v/>
      </c>
      <c r="L3680" s="497"/>
      <c r="M3680" s="497"/>
      <c r="N3680" s="503"/>
      <c r="O3680" s="503"/>
      <c r="P3680" s="503"/>
    </row>
    <row r="3681" spans="1:16" x14ac:dyDescent="0.35">
      <c r="A3681" s="497" t="b">
        <v>0</v>
      </c>
      <c r="B3681" s="497"/>
      <c r="C3681" s="497" t="s">
        <v>7640</v>
      </c>
      <c r="D3681" s="512">
        <v>60</v>
      </c>
      <c r="E3681" s="500"/>
      <c r="F3681" s="503"/>
      <c r="G3681" s="502"/>
      <c r="H3681" s="512"/>
      <c r="I3681" s="503"/>
      <c r="J3681" s="503"/>
      <c r="K3681" s="497" t="str">
        <f ca="1">IFERROR(VLOOKUP(C3681,' Disaggregation - Section E '!A$618:N1805,3,0),"")</f>
        <v/>
      </c>
      <c r="L3681" s="497"/>
      <c r="M3681" s="497"/>
      <c r="N3681" s="503"/>
      <c r="O3681" s="503"/>
      <c r="P3681" s="503"/>
    </row>
    <row r="3682" spans="1:16" x14ac:dyDescent="0.35">
      <c r="A3682" s="497" t="b">
        <v>0</v>
      </c>
      <c r="B3682" s="497"/>
      <c r="C3682" s="497" t="s">
        <v>7642</v>
      </c>
      <c r="D3682" s="512">
        <v>60</v>
      </c>
      <c r="E3682" s="500"/>
      <c r="F3682" s="503"/>
      <c r="G3682" s="502"/>
      <c r="H3682" s="512"/>
      <c r="I3682" s="503"/>
      <c r="J3682" s="503"/>
      <c r="K3682" s="497" t="str">
        <f ca="1">IFERROR(VLOOKUP(C3682,' Disaggregation - Section E '!A$618:N1806,3,0),"")</f>
        <v/>
      </c>
      <c r="L3682" s="497"/>
      <c r="M3682" s="497"/>
      <c r="N3682" s="503"/>
      <c r="O3682" s="503"/>
      <c r="P3682" s="503"/>
    </row>
    <row r="3683" spans="1:16" x14ac:dyDescent="0.35">
      <c r="A3683" s="497" t="b">
        <v>0</v>
      </c>
      <c r="B3683" s="497"/>
      <c r="C3683" s="497" t="s">
        <v>7644</v>
      </c>
      <c r="D3683" s="512">
        <v>60</v>
      </c>
      <c r="E3683" s="500"/>
      <c r="F3683" s="503"/>
      <c r="G3683" s="502"/>
      <c r="H3683" s="512"/>
      <c r="I3683" s="503"/>
      <c r="J3683" s="503"/>
      <c r="K3683" s="497" t="str">
        <f ca="1">IFERROR(VLOOKUP(C3683,' Disaggregation - Section E '!A$618:N1807,3,0),"")</f>
        <v/>
      </c>
      <c r="L3683" s="497"/>
      <c r="M3683" s="497"/>
      <c r="N3683" s="503"/>
      <c r="O3683" s="503"/>
      <c r="P3683" s="503"/>
    </row>
    <row r="3684" spans="1:16" x14ac:dyDescent="0.35">
      <c r="A3684" s="497" t="b">
        <v>0</v>
      </c>
      <c r="B3684" s="497"/>
      <c r="C3684" s="497" t="s">
        <v>7646</v>
      </c>
      <c r="D3684" s="512">
        <v>60</v>
      </c>
      <c r="E3684" s="500"/>
      <c r="F3684" s="503"/>
      <c r="G3684" s="502"/>
      <c r="H3684" s="512"/>
      <c r="I3684" s="503"/>
      <c r="J3684" s="503"/>
      <c r="K3684" s="497" t="str">
        <f ca="1">IFERROR(VLOOKUP(C3684,' Disaggregation - Section E '!A$618:N1808,3,0),"")</f>
        <v/>
      </c>
      <c r="L3684" s="497"/>
      <c r="M3684" s="497"/>
      <c r="N3684" s="503"/>
      <c r="O3684" s="503"/>
      <c r="P3684" s="503"/>
    </row>
    <row r="3685" spans="1:16" x14ac:dyDescent="0.35">
      <c r="A3685" s="497" t="b">
        <v>0</v>
      </c>
      <c r="B3685" s="497"/>
      <c r="C3685" s="497" t="s">
        <v>7648</v>
      </c>
      <c r="D3685" s="512">
        <v>60</v>
      </c>
      <c r="E3685" s="500"/>
      <c r="F3685" s="503"/>
      <c r="G3685" s="502"/>
      <c r="H3685" s="512"/>
      <c r="I3685" s="503"/>
      <c r="J3685" s="503"/>
      <c r="K3685" s="497" t="str">
        <f ca="1">IFERROR(VLOOKUP(C3685,' Disaggregation - Section E '!A$618:N1809,3,0),"")</f>
        <v/>
      </c>
      <c r="L3685" s="497"/>
      <c r="M3685" s="497"/>
      <c r="N3685" s="503"/>
      <c r="O3685" s="503"/>
      <c r="P3685" s="503"/>
    </row>
    <row r="3686" spans="1:16" x14ac:dyDescent="0.35">
      <c r="A3686" s="497" t="b">
        <v>0</v>
      </c>
      <c r="B3686" s="497"/>
      <c r="C3686" s="497" t="s">
        <v>7650</v>
      </c>
      <c r="D3686" s="512">
        <v>60</v>
      </c>
      <c r="E3686" s="500"/>
      <c r="F3686" s="503"/>
      <c r="G3686" s="502"/>
      <c r="H3686" s="512"/>
      <c r="I3686" s="503"/>
      <c r="J3686" s="503"/>
      <c r="K3686" s="497" t="str">
        <f ca="1">IFERROR(VLOOKUP(C3686,' Disaggregation - Section E '!A$618:N1810,3,0),"")</f>
        <v/>
      </c>
      <c r="L3686" s="497"/>
      <c r="M3686" s="497"/>
      <c r="N3686" s="503"/>
      <c r="O3686" s="503"/>
      <c r="P3686" s="503"/>
    </row>
    <row r="3687" spans="1:16" x14ac:dyDescent="0.35">
      <c r="A3687" s="497" t="b">
        <v>0</v>
      </c>
      <c r="B3687" s="497"/>
      <c r="C3687" s="497" t="s">
        <v>7652</v>
      </c>
      <c r="D3687" s="512">
        <v>60</v>
      </c>
      <c r="E3687" s="500"/>
      <c r="F3687" s="503"/>
      <c r="G3687" s="502"/>
      <c r="H3687" s="512"/>
      <c r="I3687" s="503"/>
      <c r="J3687" s="503"/>
      <c r="K3687" s="497" t="str">
        <f ca="1">IFERROR(VLOOKUP(C3687,' Disaggregation - Section E '!A$618:N1811,3,0),"")</f>
        <v/>
      </c>
      <c r="L3687" s="497"/>
      <c r="M3687" s="497"/>
      <c r="N3687" s="503"/>
      <c r="O3687" s="503"/>
      <c r="P3687" s="503"/>
    </row>
    <row r="3688" spans="1:16" x14ac:dyDescent="0.35">
      <c r="A3688" s="497" t="b">
        <v>0</v>
      </c>
      <c r="B3688" s="497"/>
      <c r="C3688" s="497" t="s">
        <v>7654</v>
      </c>
      <c r="D3688" s="512">
        <v>60</v>
      </c>
      <c r="E3688" s="500"/>
      <c r="F3688" s="503"/>
      <c r="G3688" s="502"/>
      <c r="H3688" s="512"/>
      <c r="I3688" s="503"/>
      <c r="J3688" s="503"/>
      <c r="K3688" s="497" t="str">
        <f ca="1">IFERROR(VLOOKUP(C3688,' Disaggregation - Section E '!A$618:N1812,3,0),"")</f>
        <v/>
      </c>
      <c r="L3688" s="497"/>
      <c r="M3688" s="497"/>
      <c r="N3688" s="503"/>
      <c r="O3688" s="503"/>
      <c r="P3688" s="503"/>
    </row>
    <row r="3689" spans="1:16" x14ac:dyDescent="0.35">
      <c r="A3689" s="497" t="b">
        <v>0</v>
      </c>
      <c r="B3689" s="497"/>
      <c r="C3689" s="497" t="s">
        <v>7656</v>
      </c>
      <c r="D3689" s="512">
        <v>60</v>
      </c>
      <c r="E3689" s="500"/>
      <c r="F3689" s="503"/>
      <c r="G3689" s="502"/>
      <c r="H3689" s="512"/>
      <c r="I3689" s="503"/>
      <c r="J3689" s="503"/>
      <c r="K3689" s="497" t="str">
        <f ca="1">IFERROR(VLOOKUP(C3689,' Disaggregation - Section E '!A$618:N1813,3,0),"")</f>
        <v/>
      </c>
      <c r="L3689" s="497"/>
      <c r="M3689" s="497"/>
      <c r="N3689" s="503"/>
      <c r="O3689" s="503"/>
      <c r="P3689" s="503"/>
    </row>
    <row r="3690" spans="1:16" x14ac:dyDescent="0.35">
      <c r="A3690" s="497" t="b">
        <v>0</v>
      </c>
      <c r="B3690" s="497"/>
      <c r="C3690" s="497" t="s">
        <v>7658</v>
      </c>
      <c r="D3690" s="512">
        <v>60</v>
      </c>
      <c r="E3690" s="500"/>
      <c r="F3690" s="503"/>
      <c r="G3690" s="502"/>
      <c r="H3690" s="512"/>
      <c r="I3690" s="503"/>
      <c r="J3690" s="503"/>
      <c r="K3690" s="497" t="str">
        <f ca="1">IFERROR(VLOOKUP(C3690,' Disaggregation - Section E '!A$618:N1814,3,0),"")</f>
        <v/>
      </c>
      <c r="L3690" s="497"/>
      <c r="M3690" s="497"/>
      <c r="N3690" s="503"/>
      <c r="O3690" s="503"/>
      <c r="P3690" s="503"/>
    </row>
    <row r="3691" spans="1:16" x14ac:dyDescent="0.35">
      <c r="A3691" s="497" t="b">
        <v>0</v>
      </c>
      <c r="B3691" s="497"/>
      <c r="C3691" s="497" t="s">
        <v>7660</v>
      </c>
      <c r="D3691" s="512">
        <v>60</v>
      </c>
      <c r="E3691" s="500"/>
      <c r="F3691" s="503"/>
      <c r="G3691" s="502"/>
      <c r="H3691" s="512"/>
      <c r="I3691" s="503"/>
      <c r="J3691" s="503"/>
      <c r="K3691" s="497" t="str">
        <f ca="1">IFERROR(VLOOKUP(C3691,' Disaggregation - Section E '!A$618:N1815,3,0),"")</f>
        <v/>
      </c>
      <c r="L3691" s="497"/>
      <c r="M3691" s="497"/>
      <c r="N3691" s="503"/>
      <c r="O3691" s="503"/>
      <c r="P3691" s="503"/>
    </row>
    <row r="3692" spans="1:16" x14ac:dyDescent="0.35">
      <c r="A3692" s="497" t="b">
        <v>0</v>
      </c>
      <c r="B3692" s="497"/>
      <c r="C3692" s="497" t="s">
        <v>7662</v>
      </c>
      <c r="D3692" s="512">
        <v>60</v>
      </c>
      <c r="E3692" s="500"/>
      <c r="F3692" s="503"/>
      <c r="G3692" s="502"/>
      <c r="H3692" s="512"/>
      <c r="I3692" s="503"/>
      <c r="J3692" s="503"/>
      <c r="K3692" s="497" t="str">
        <f ca="1">IFERROR(VLOOKUP(C3692,' Disaggregation - Section E '!A$618:N1816,3,0),"")</f>
        <v/>
      </c>
      <c r="L3692" s="497"/>
      <c r="M3692" s="497"/>
      <c r="N3692" s="503"/>
      <c r="O3692" s="503"/>
      <c r="P3692" s="503"/>
    </row>
    <row r="3693" spans="1:16" x14ac:dyDescent="0.35">
      <c r="A3693" s="497" t="b">
        <v>0</v>
      </c>
      <c r="B3693" s="497"/>
      <c r="C3693" s="497" t="s">
        <v>7664</v>
      </c>
      <c r="D3693" s="512">
        <v>60</v>
      </c>
      <c r="E3693" s="500"/>
      <c r="F3693" s="503"/>
      <c r="G3693" s="502"/>
      <c r="H3693" s="512"/>
      <c r="I3693" s="503"/>
      <c r="J3693" s="503"/>
      <c r="K3693" s="497" t="str">
        <f ca="1">IFERROR(VLOOKUP(C3693,' Disaggregation - Section E '!A$618:N1817,3,0),"")</f>
        <v/>
      </c>
      <c r="L3693" s="497"/>
      <c r="M3693" s="497"/>
      <c r="N3693" s="503"/>
      <c r="O3693" s="503"/>
      <c r="P3693" s="503"/>
    </row>
    <row r="3694" spans="1:16" x14ac:dyDescent="0.35">
      <c r="A3694" s="497" t="b">
        <v>0</v>
      </c>
      <c r="B3694" s="497"/>
      <c r="C3694" s="497" t="s">
        <v>7666</v>
      </c>
      <c r="D3694" s="512">
        <v>60</v>
      </c>
      <c r="E3694" s="500"/>
      <c r="F3694" s="503"/>
      <c r="G3694" s="502"/>
      <c r="H3694" s="512"/>
      <c r="I3694" s="503"/>
      <c r="J3694" s="503"/>
      <c r="K3694" s="497" t="str">
        <f ca="1">IFERROR(VLOOKUP(C3694,' Disaggregation - Section E '!A$618:N1818,3,0),"")</f>
        <v/>
      </c>
      <c r="L3694" s="497"/>
      <c r="M3694" s="497"/>
      <c r="N3694" s="503"/>
      <c r="O3694" s="503"/>
      <c r="P3694" s="503"/>
    </row>
    <row r="3695" spans="1:16" x14ac:dyDescent="0.35">
      <c r="A3695" s="497" t="b">
        <v>0</v>
      </c>
      <c r="B3695" s="497"/>
      <c r="C3695" s="497" t="s">
        <v>7668</v>
      </c>
      <c r="D3695" s="512">
        <v>60</v>
      </c>
      <c r="E3695" s="500"/>
      <c r="F3695" s="503"/>
      <c r="G3695" s="502"/>
      <c r="H3695" s="512"/>
      <c r="I3695" s="503"/>
      <c r="J3695" s="503"/>
      <c r="K3695" s="497" t="str">
        <f ca="1">IFERROR(VLOOKUP(C3695,' Disaggregation - Section E '!A$618:N1819,3,0),"")</f>
        <v/>
      </c>
      <c r="L3695" s="497"/>
      <c r="M3695" s="497"/>
      <c r="N3695" s="503"/>
      <c r="O3695" s="503"/>
      <c r="P3695" s="503"/>
    </row>
    <row r="3696" spans="1:16" x14ac:dyDescent="0.35">
      <c r="A3696" s="497" t="b">
        <v>0</v>
      </c>
      <c r="B3696" s="497"/>
      <c r="C3696" s="497" t="s">
        <v>7670</v>
      </c>
      <c r="D3696" s="512">
        <v>60</v>
      </c>
      <c r="E3696" s="500"/>
      <c r="F3696" s="503"/>
      <c r="G3696" s="502"/>
      <c r="H3696" s="512"/>
      <c r="I3696" s="503"/>
      <c r="J3696" s="503"/>
      <c r="K3696" s="497" t="str">
        <f ca="1">IFERROR(VLOOKUP(C3696,' Disaggregation - Section E '!A$618:N1820,3,0),"")</f>
        <v/>
      </c>
      <c r="L3696" s="497"/>
      <c r="M3696" s="497"/>
      <c r="N3696" s="503"/>
      <c r="O3696" s="503"/>
      <c r="P3696" s="503"/>
    </row>
    <row r="3697" spans="1:16" x14ac:dyDescent="0.35">
      <c r="A3697" s="497" t="b">
        <v>0</v>
      </c>
      <c r="B3697" s="497"/>
      <c r="C3697" s="497" t="s">
        <v>7672</v>
      </c>
      <c r="D3697" s="512">
        <v>60</v>
      </c>
      <c r="E3697" s="500"/>
      <c r="F3697" s="503"/>
      <c r="G3697" s="502"/>
      <c r="H3697" s="512"/>
      <c r="I3697" s="503"/>
      <c r="J3697" s="503"/>
      <c r="K3697" s="497" t="str">
        <f ca="1">IFERROR(VLOOKUP(C3697,' Disaggregation - Section E '!A$618:N1821,3,0),"")</f>
        <v/>
      </c>
      <c r="L3697" s="497"/>
      <c r="M3697" s="497"/>
      <c r="N3697" s="503"/>
      <c r="O3697" s="503"/>
      <c r="P3697" s="503"/>
    </row>
    <row r="3698" spans="1:16" x14ac:dyDescent="0.35">
      <c r="A3698" s="497" t="b">
        <v>0</v>
      </c>
      <c r="B3698" s="497"/>
      <c r="C3698" s="497" t="s">
        <v>7674</v>
      </c>
      <c r="D3698" s="512">
        <v>60</v>
      </c>
      <c r="E3698" s="500"/>
      <c r="F3698" s="503"/>
      <c r="G3698" s="502"/>
      <c r="H3698" s="512"/>
      <c r="I3698" s="503"/>
      <c r="J3698" s="503"/>
      <c r="K3698" s="497" t="str">
        <f ca="1">IFERROR(VLOOKUP(C3698,' Disaggregation - Section E '!A$618:N1822,3,0),"")</f>
        <v/>
      </c>
      <c r="L3698" s="497"/>
      <c r="M3698" s="497"/>
      <c r="N3698" s="503"/>
      <c r="O3698" s="503"/>
      <c r="P3698" s="503"/>
    </row>
    <row r="3699" spans="1:16" x14ac:dyDescent="0.35">
      <c r="A3699" s="497" t="b">
        <v>0</v>
      </c>
      <c r="B3699" s="497"/>
      <c r="C3699" s="497" t="s">
        <v>7676</v>
      </c>
      <c r="D3699" s="512">
        <v>60</v>
      </c>
      <c r="E3699" s="500"/>
      <c r="F3699" s="503"/>
      <c r="G3699" s="502"/>
      <c r="H3699" s="512"/>
      <c r="I3699" s="503"/>
      <c r="J3699" s="503"/>
      <c r="K3699" s="497" t="str">
        <f ca="1">IFERROR(VLOOKUP(C3699,' Disaggregation - Section E '!A$618:N1823,3,0),"")</f>
        <v/>
      </c>
      <c r="L3699" s="497"/>
      <c r="M3699" s="497"/>
      <c r="N3699" s="503"/>
      <c r="O3699" s="503"/>
      <c r="P3699" s="503"/>
    </row>
    <row r="3700" spans="1:16" x14ac:dyDescent="0.35">
      <c r="A3700" s="497" t="b">
        <f t="shared" ref="A3700:A3763" ca="1" si="226">IF(M3700&lt;&gt;"",TRUE,FALSE)</f>
        <v>0</v>
      </c>
      <c r="B3700" s="497"/>
      <c r="C3700" s="510" t="str">
        <f ca="1">IF(COUNTA(D$2498:D3700)=1,"",OFFSET(B3698,-COUNTA(D$2498:D3700)+3,1))</f>
        <v>a163p000004NtLaAAK</v>
      </c>
      <c r="D3700" s="512"/>
      <c r="E3700" s="500" t="str">
        <f ca="1">IFERROR(IF(VLOOKUP(C3700,' Disaggregation - Section E '!A$618:N1824,7,0)="","",VLOOKUP(C3700,' Disaggregation - Section E '!A$618:N1824,7,0)*100),"")</f>
        <v/>
      </c>
      <c r="F3700" s="503" t="str">
        <f ca="1">IFERROR(VLOOKUP(C3700,' Disaggregation - Section E '!A$618:N1824,5,0),"")</f>
        <v/>
      </c>
      <c r="G3700" s="502" t="str">
        <f ca="1">IFERROR(IF(VLOOKUP(C3700,' Disaggregation - Section E '!A$618:N1824,6,0)="","",VLOOKUP(C3700,' Disaggregation - Section E '!A$618:N1824,6,0)),"")</f>
        <v/>
      </c>
      <c r="H3700" s="512" t="str">
        <f ca="1">IFERROR(IF(INDEX(' Disaggregation - Section E '!F$618:F3021,MATCH(C3700,' Disaggregation - Section E '!A$618:A3021,0)+1,1)&lt;&gt;0,INDEX(' Disaggregation - Section E '!F$618:F$1820,MATCH(C3700,' Disaggregation - Section E '!A$618:A3021,0)+1,1),""),"")</f>
        <v/>
      </c>
      <c r="I3700" s="503" t="str">
        <f ca="1">IFERROR(IF(VLOOKUP(C3700,' Disaggregation - Section E '!A$618:N1824,8,0)=0,"",VLOOKUP(C3700,' Disaggregation - Section E '!A$618:N1824,8,0)),"")</f>
        <v/>
      </c>
      <c r="J3700" s="503" t="str">
        <f ca="1">IFERROR(IF(VLOOKUP(C3700,' Disaggregation - Section E '!A$618:N3021,13,0)=0,"",VLOOKUP(C3700,' Disaggregation - Section E '!A$618:N3021,13,0)),"")</f>
        <v/>
      </c>
      <c r="K3700" s="497" t="str">
        <f ca="1">IFERROR(VLOOKUP(C3700,' Disaggregation - Section E '!A$618:N1824,3,0),"")</f>
        <v>HTS-Other 1 Porcentaje de resultados de VIH positivos entre el total de pruebas de VIH realizadas en HSH</v>
      </c>
      <c r="L3700" s="497"/>
      <c r="M3700" s="497" t="str">
        <f ca="1">IFERROR(IF(VLOOKUP(C3700,' Disaggregation - Section E '!A$618:T1824,20,0)=0,"",VLOOKUP(C3700,' Disaggregation - Section E '!A$618:T1824,20,0)),"")</f>
        <v/>
      </c>
      <c r="N3700" s="503" t="str">
        <f ca="1">IFERROR(IF(VLOOKUP(C3700,' Disaggregation - Section E '!A$618:N1824,14,0)=0,"",VLOOKUP(C3700,' Disaggregation - Section E '!A$618:N1824,14,0)),"")</f>
        <v/>
      </c>
      <c r="O3700" s="503" t="str">
        <f ca="1">IFERROR(IF(VLOOKUP(C3700,' Disaggregation - Section E '!A$618:N1824,9,0)=0,"",VLOOKUP(C3700,' Disaggregation - Section E '!A$618:N1824,9,0)),"")</f>
        <v/>
      </c>
      <c r="P3700" s="503" t="str">
        <f ca="1">IFERROR(IF(VLOOKUP(C3700,' Disaggregation - Section E '!A$618:N1824,10,0)=0,"",VLOOKUP(C3700,' Disaggregation - Section E '!A$618:N1824,10,0)),"")</f>
        <v/>
      </c>
    </row>
    <row r="3701" spans="1:16" x14ac:dyDescent="0.35">
      <c r="A3701" s="497" t="b">
        <f t="shared" ca="1" si="226"/>
        <v>0</v>
      </c>
      <c r="B3701" s="497"/>
      <c r="C3701" s="510" t="str">
        <f ca="1">IF(COUNTA(D$2498:D3701)=1,"",OFFSET(B3699,-COUNTA(D$2498:D3701)+3,1))</f>
        <v>a163p000004NtLbAAK</v>
      </c>
      <c r="D3701" s="512"/>
      <c r="E3701" s="500" t="str">
        <f ca="1">IFERROR(IF(VLOOKUP(C3701,' Disaggregation - Section E '!A$618:N1825,7,0)="","",VLOOKUP(C3701,' Disaggregation - Section E '!A$618:N1825,7,0)*100),"")</f>
        <v/>
      </c>
      <c r="F3701" s="503" t="str">
        <f ca="1">IFERROR(VLOOKUP(C3701,' Disaggregation - Section E '!A$618:N1825,5,0),"")</f>
        <v/>
      </c>
      <c r="G3701" s="502" t="str">
        <f ca="1">IFERROR(IF(VLOOKUP(C3701,' Disaggregation - Section E '!A$618:N1825,6,0)="","",VLOOKUP(C3701,' Disaggregation - Section E '!A$618:N1825,6,0)),"")</f>
        <v/>
      </c>
      <c r="H3701" s="512" t="str">
        <f ca="1">IFERROR(IF(INDEX(' Disaggregation - Section E '!F$618:F3022,MATCH(C3701,' Disaggregation - Section E '!A$618:A3022,0)+1,1)&lt;&gt;0,INDEX(' Disaggregation - Section E '!F$618:F$1820,MATCH(C3701,' Disaggregation - Section E '!A$618:A3022,0)+1,1),""),"")</f>
        <v/>
      </c>
      <c r="I3701" s="503" t="str">
        <f ca="1">IFERROR(IF(VLOOKUP(C3701,' Disaggregation - Section E '!A$618:N1825,8,0)=0,"",VLOOKUP(C3701,' Disaggregation - Section E '!A$618:N1825,8,0)),"")</f>
        <v/>
      </c>
      <c r="J3701" s="503" t="str">
        <f ca="1">IFERROR(IF(VLOOKUP(C3701,' Disaggregation - Section E '!A$618:N3022,13,0)=0,"",VLOOKUP(C3701,' Disaggregation - Section E '!A$618:N3022,13,0)),"")</f>
        <v/>
      </c>
      <c r="K3701" s="497" t="str">
        <f ca="1">IFERROR(VLOOKUP(C3701,' Disaggregation - Section E '!A$618:N1825,3,0),"")</f>
        <v>HTS-Other 1 Porcentaje de resultados de VIH positivos entre el total de pruebas de VIH realizadas en HSH</v>
      </c>
      <c r="L3701" s="497"/>
      <c r="M3701" s="497" t="str">
        <f ca="1">IFERROR(IF(VLOOKUP(C3701,' Disaggregation - Section E '!A$618:T1825,20,0)=0,"",VLOOKUP(C3701,' Disaggregation - Section E '!A$618:T1825,20,0)),"")</f>
        <v/>
      </c>
      <c r="N3701" s="503" t="str">
        <f ca="1">IFERROR(IF(VLOOKUP(C3701,' Disaggregation - Section E '!A$618:N1825,14,0)=0,"",VLOOKUP(C3701,' Disaggregation - Section E '!A$618:N1825,14,0)),"")</f>
        <v/>
      </c>
      <c r="O3701" s="503" t="str">
        <f ca="1">IFERROR(IF(VLOOKUP(C3701,' Disaggregation - Section E '!A$618:N1825,9,0)=0,"",VLOOKUP(C3701,' Disaggregation - Section E '!A$618:N1825,9,0)),"")</f>
        <v/>
      </c>
      <c r="P3701" s="503" t="str">
        <f ca="1">IFERROR(IF(VLOOKUP(C3701,' Disaggregation - Section E '!A$618:N1825,10,0)=0,"",VLOOKUP(C3701,' Disaggregation - Section E '!A$618:N1825,10,0)),"")</f>
        <v/>
      </c>
    </row>
    <row r="3702" spans="1:16" x14ac:dyDescent="0.35">
      <c r="A3702" s="497" t="b">
        <f t="shared" ca="1" si="226"/>
        <v>0</v>
      </c>
      <c r="B3702" s="497"/>
      <c r="C3702" s="510" t="str">
        <f ca="1">IF(COUNTA(D$2498:D3702)=1,"",OFFSET(B3700,-COUNTA(D$2498:D3702)+3,1))</f>
        <v>a163p000004NtLcAAK</v>
      </c>
      <c r="D3702" s="512"/>
      <c r="E3702" s="500" t="str">
        <f ca="1">IFERROR(IF(VLOOKUP(C3702,' Disaggregation - Section E '!A$618:N1826,7,0)="","",VLOOKUP(C3702,' Disaggregation - Section E '!A$618:N1826,7,0)*100),"")</f>
        <v/>
      </c>
      <c r="F3702" s="503" t="str">
        <f ca="1">IFERROR(VLOOKUP(C3702,' Disaggregation - Section E '!A$618:N1826,5,0),"")</f>
        <v/>
      </c>
      <c r="G3702" s="502" t="str">
        <f ca="1">IFERROR(IF(VLOOKUP(C3702,' Disaggregation - Section E '!A$618:N1826,6,0)="","",VLOOKUP(C3702,' Disaggregation - Section E '!A$618:N1826,6,0)),"")</f>
        <v/>
      </c>
      <c r="H3702" s="512" t="str">
        <f ca="1">IFERROR(IF(INDEX(' Disaggregation - Section E '!F$618:F3023,MATCH(C3702,' Disaggregation - Section E '!A$618:A3023,0)+1,1)&lt;&gt;0,INDEX(' Disaggregation - Section E '!F$618:F$1820,MATCH(C3702,' Disaggregation - Section E '!A$618:A3023,0)+1,1),""),"")</f>
        <v/>
      </c>
      <c r="I3702" s="503" t="str">
        <f ca="1">IFERROR(IF(VLOOKUP(C3702,' Disaggregation - Section E '!A$618:N1826,8,0)=0,"",VLOOKUP(C3702,' Disaggregation - Section E '!A$618:N1826,8,0)),"")</f>
        <v/>
      </c>
      <c r="J3702" s="503" t="str">
        <f ca="1">IFERROR(IF(VLOOKUP(C3702,' Disaggregation - Section E '!A$618:N3023,13,0)=0,"",VLOOKUP(C3702,' Disaggregation - Section E '!A$618:N3023,13,0)),"")</f>
        <v/>
      </c>
      <c r="K3702" s="497" t="str">
        <f ca="1">IFERROR(VLOOKUP(C3702,' Disaggregation - Section E '!A$618:N1826,3,0),"")</f>
        <v>HTS-Other 1 Porcentaje de resultados de VIH positivos entre el total de pruebas de VIH realizadas en HSH</v>
      </c>
      <c r="L3702" s="497"/>
      <c r="M3702" s="497" t="str">
        <f ca="1">IFERROR(IF(VLOOKUP(C3702,' Disaggregation - Section E '!A$618:T1826,20,0)=0,"",VLOOKUP(C3702,' Disaggregation - Section E '!A$618:T1826,20,0)),"")</f>
        <v/>
      </c>
      <c r="N3702" s="503" t="str">
        <f ca="1">IFERROR(IF(VLOOKUP(C3702,' Disaggregation - Section E '!A$618:N1826,14,0)=0,"",VLOOKUP(C3702,' Disaggregation - Section E '!A$618:N1826,14,0)),"")</f>
        <v/>
      </c>
      <c r="O3702" s="503" t="str">
        <f ca="1">IFERROR(IF(VLOOKUP(C3702,' Disaggregation - Section E '!A$618:N1826,9,0)=0,"",VLOOKUP(C3702,' Disaggregation - Section E '!A$618:N1826,9,0)),"")</f>
        <v/>
      </c>
      <c r="P3702" s="503" t="str">
        <f ca="1">IFERROR(IF(VLOOKUP(C3702,' Disaggregation - Section E '!A$618:N1826,10,0)=0,"",VLOOKUP(C3702,' Disaggregation - Section E '!A$618:N1826,10,0)),"")</f>
        <v/>
      </c>
    </row>
    <row r="3703" spans="1:16" x14ac:dyDescent="0.35">
      <c r="A3703" s="497" t="b">
        <f t="shared" ca="1" si="226"/>
        <v>0</v>
      </c>
      <c r="B3703" s="497"/>
      <c r="C3703" s="510" t="str">
        <f ca="1">IF(COUNTA(D$2498:D3703)=1,"",OFFSET(B3701,-COUNTA(D$2498:D3703)+3,1))</f>
        <v>a163p000004NtLdAAK</v>
      </c>
      <c r="D3703" s="512"/>
      <c r="E3703" s="500" t="str">
        <f ca="1">IFERROR(IF(VLOOKUP(C3703,' Disaggregation - Section E '!A$618:N1827,7,0)="","",VLOOKUP(C3703,' Disaggregation - Section E '!A$618:N1827,7,0)*100),"")</f>
        <v/>
      </c>
      <c r="F3703" s="503" t="str">
        <f ca="1">IFERROR(VLOOKUP(C3703,' Disaggregation - Section E '!A$618:N1827,5,0),"")</f>
        <v/>
      </c>
      <c r="G3703" s="502" t="str">
        <f ca="1">IFERROR(IF(VLOOKUP(C3703,' Disaggregation - Section E '!A$618:N1827,6,0)="","",VLOOKUP(C3703,' Disaggregation - Section E '!A$618:N1827,6,0)),"")</f>
        <v/>
      </c>
      <c r="H3703" s="512" t="str">
        <f ca="1">IFERROR(IF(INDEX(' Disaggregation - Section E '!F$618:F3024,MATCH(C3703,' Disaggregation - Section E '!A$618:A3024,0)+1,1)&lt;&gt;0,INDEX(' Disaggregation - Section E '!F$618:F$1820,MATCH(C3703,' Disaggregation - Section E '!A$618:A3024,0)+1,1),""),"")</f>
        <v/>
      </c>
      <c r="I3703" s="503" t="str">
        <f ca="1">IFERROR(IF(VLOOKUP(C3703,' Disaggregation - Section E '!A$618:N1827,8,0)=0,"",VLOOKUP(C3703,' Disaggregation - Section E '!A$618:N1827,8,0)),"")</f>
        <v/>
      </c>
      <c r="J3703" s="503" t="str">
        <f ca="1">IFERROR(IF(VLOOKUP(C3703,' Disaggregation - Section E '!A$618:N3024,13,0)=0,"",VLOOKUP(C3703,' Disaggregation - Section E '!A$618:N3024,13,0)),"")</f>
        <v/>
      </c>
      <c r="K3703" s="497" t="str">
        <f ca="1">IFERROR(VLOOKUP(C3703,' Disaggregation - Section E '!A$618:N1827,3,0),"")</f>
        <v>HTS-Other 1 Porcentaje de resultados de VIH positivos entre el total de pruebas de VIH realizadas en HSH</v>
      </c>
      <c r="L3703" s="497"/>
      <c r="M3703" s="497" t="str">
        <f ca="1">IFERROR(IF(VLOOKUP(C3703,' Disaggregation - Section E '!A$618:T1827,20,0)=0,"",VLOOKUP(C3703,' Disaggregation - Section E '!A$618:T1827,20,0)),"")</f>
        <v/>
      </c>
      <c r="N3703" s="503" t="str">
        <f ca="1">IFERROR(IF(VLOOKUP(C3703,' Disaggregation - Section E '!A$618:N1827,14,0)=0,"",VLOOKUP(C3703,' Disaggregation - Section E '!A$618:N1827,14,0)),"")</f>
        <v/>
      </c>
      <c r="O3703" s="503" t="str">
        <f ca="1">IFERROR(IF(VLOOKUP(C3703,' Disaggregation - Section E '!A$618:N1827,9,0)=0,"",VLOOKUP(C3703,' Disaggregation - Section E '!A$618:N1827,9,0)),"")</f>
        <v/>
      </c>
      <c r="P3703" s="503" t="str">
        <f ca="1">IFERROR(IF(VLOOKUP(C3703,' Disaggregation - Section E '!A$618:N1827,10,0)=0,"",VLOOKUP(C3703,' Disaggregation - Section E '!A$618:N1827,10,0)),"")</f>
        <v/>
      </c>
    </row>
    <row r="3704" spans="1:16" x14ac:dyDescent="0.35">
      <c r="A3704" s="497" t="b">
        <f t="shared" ca="1" si="226"/>
        <v>0</v>
      </c>
      <c r="B3704" s="497"/>
      <c r="C3704" s="510" t="str">
        <f ca="1">IF(COUNTA(D$2498:D3704)=1,"",OFFSET(B3702,-COUNTA(D$2498:D3704)+3,1))</f>
        <v>a163p000004NtLeAAK</v>
      </c>
      <c r="D3704" s="512"/>
      <c r="E3704" s="500" t="str">
        <f ca="1">IFERROR(IF(VLOOKUP(C3704,' Disaggregation - Section E '!A$618:N1828,7,0)="","",VLOOKUP(C3704,' Disaggregation - Section E '!A$618:N1828,7,0)*100),"")</f>
        <v/>
      </c>
      <c r="F3704" s="503" t="str">
        <f ca="1">IFERROR(VLOOKUP(C3704,' Disaggregation - Section E '!A$618:N1828,5,0),"")</f>
        <v/>
      </c>
      <c r="G3704" s="502" t="str">
        <f ca="1">IFERROR(IF(VLOOKUP(C3704,' Disaggregation - Section E '!A$618:N1828,6,0)="","",VLOOKUP(C3704,' Disaggregation - Section E '!A$618:N1828,6,0)),"")</f>
        <v/>
      </c>
      <c r="H3704" s="512" t="str">
        <f ca="1">IFERROR(IF(INDEX(' Disaggregation - Section E '!F$618:F3025,MATCH(C3704,' Disaggregation - Section E '!A$618:A3025,0)+1,1)&lt;&gt;0,INDEX(' Disaggregation - Section E '!F$618:F$1820,MATCH(C3704,' Disaggregation - Section E '!A$618:A3025,0)+1,1),""),"")</f>
        <v/>
      </c>
      <c r="I3704" s="503" t="str">
        <f ca="1">IFERROR(IF(VLOOKUP(C3704,' Disaggregation - Section E '!A$618:N1828,8,0)=0,"",VLOOKUP(C3704,' Disaggregation - Section E '!A$618:N1828,8,0)),"")</f>
        <v/>
      </c>
      <c r="J3704" s="503" t="str">
        <f ca="1">IFERROR(IF(VLOOKUP(C3704,' Disaggregation - Section E '!A$618:N3025,13,0)=0,"",VLOOKUP(C3704,' Disaggregation - Section E '!A$618:N3025,13,0)),"")</f>
        <v/>
      </c>
      <c r="K3704" s="497" t="str">
        <f ca="1">IFERROR(VLOOKUP(C3704,' Disaggregation - Section E '!A$618:N1828,3,0),"")</f>
        <v>HTS-Other 1 Porcentaje de resultados de VIH positivos entre el total de pruebas de VIH realizadas en HSH</v>
      </c>
      <c r="L3704" s="497"/>
      <c r="M3704" s="497" t="str">
        <f ca="1">IFERROR(IF(VLOOKUP(C3704,' Disaggregation - Section E '!A$618:T1828,20,0)=0,"",VLOOKUP(C3704,' Disaggregation - Section E '!A$618:T1828,20,0)),"")</f>
        <v/>
      </c>
      <c r="N3704" s="503" t="str">
        <f ca="1">IFERROR(IF(VLOOKUP(C3704,' Disaggregation - Section E '!A$618:N1828,14,0)=0,"",VLOOKUP(C3704,' Disaggregation - Section E '!A$618:N1828,14,0)),"")</f>
        <v/>
      </c>
      <c r="O3704" s="503" t="str">
        <f ca="1">IFERROR(IF(VLOOKUP(C3704,' Disaggregation - Section E '!A$618:N1828,9,0)=0,"",VLOOKUP(C3704,' Disaggregation - Section E '!A$618:N1828,9,0)),"")</f>
        <v/>
      </c>
      <c r="P3704" s="503" t="str">
        <f ca="1">IFERROR(IF(VLOOKUP(C3704,' Disaggregation - Section E '!A$618:N1828,10,0)=0,"",VLOOKUP(C3704,' Disaggregation - Section E '!A$618:N1828,10,0)),"")</f>
        <v/>
      </c>
    </row>
    <row r="3705" spans="1:16" x14ac:dyDescent="0.35">
      <c r="A3705" s="497" t="b">
        <f t="shared" ca="1" si="226"/>
        <v>0</v>
      </c>
      <c r="B3705" s="497"/>
      <c r="C3705" s="510" t="str">
        <f ca="1">IF(COUNTA(D$2498:D3705)=1,"",OFFSET(B3703,-COUNTA(D$2498:D3705)+3,1))</f>
        <v>a163p000004NtLfAAK</v>
      </c>
      <c r="D3705" s="512"/>
      <c r="E3705" s="500" t="str">
        <f ca="1">IFERROR(IF(VLOOKUP(C3705,' Disaggregation - Section E '!A$618:N1829,7,0)="","",VLOOKUP(C3705,' Disaggregation - Section E '!A$618:N1829,7,0)*100),"")</f>
        <v/>
      </c>
      <c r="F3705" s="503" t="str">
        <f ca="1">IFERROR(VLOOKUP(C3705,' Disaggregation - Section E '!A$618:N1829,5,0),"")</f>
        <v/>
      </c>
      <c r="G3705" s="502" t="str">
        <f ca="1">IFERROR(IF(VLOOKUP(C3705,' Disaggregation - Section E '!A$618:N1829,6,0)="","",VLOOKUP(C3705,' Disaggregation - Section E '!A$618:N1829,6,0)),"")</f>
        <v/>
      </c>
      <c r="H3705" s="512" t="str">
        <f ca="1">IFERROR(IF(INDEX(' Disaggregation - Section E '!F$618:F3026,MATCH(C3705,' Disaggregation - Section E '!A$618:A3026,0)+1,1)&lt;&gt;0,INDEX(' Disaggregation - Section E '!F$618:F$1820,MATCH(C3705,' Disaggregation - Section E '!A$618:A3026,0)+1,1),""),"")</f>
        <v/>
      </c>
      <c r="I3705" s="503" t="str">
        <f ca="1">IFERROR(IF(VLOOKUP(C3705,' Disaggregation - Section E '!A$618:N1829,8,0)=0,"",VLOOKUP(C3705,' Disaggregation - Section E '!A$618:N1829,8,0)),"")</f>
        <v/>
      </c>
      <c r="J3705" s="503" t="str">
        <f ca="1">IFERROR(IF(VLOOKUP(C3705,' Disaggregation - Section E '!A$618:N3026,13,0)=0,"",VLOOKUP(C3705,' Disaggregation - Section E '!A$618:N3026,13,0)),"")</f>
        <v/>
      </c>
      <c r="K3705" s="497" t="str">
        <f ca="1">IFERROR(VLOOKUP(C3705,' Disaggregation - Section E '!A$618:N1829,3,0),"")</f>
        <v>HTS-Other 1 Porcentaje de resultados de VIH positivos entre el total de pruebas de VIH realizadas en HSH</v>
      </c>
      <c r="L3705" s="497"/>
      <c r="M3705" s="497" t="str">
        <f ca="1">IFERROR(IF(VLOOKUP(C3705,' Disaggregation - Section E '!A$618:T1829,20,0)=0,"",VLOOKUP(C3705,' Disaggregation - Section E '!A$618:T1829,20,0)),"")</f>
        <v/>
      </c>
      <c r="N3705" s="503" t="str">
        <f ca="1">IFERROR(IF(VLOOKUP(C3705,' Disaggregation - Section E '!A$618:N1829,14,0)=0,"",VLOOKUP(C3705,' Disaggregation - Section E '!A$618:N1829,14,0)),"")</f>
        <v/>
      </c>
      <c r="O3705" s="503" t="str">
        <f ca="1">IFERROR(IF(VLOOKUP(C3705,' Disaggregation - Section E '!A$618:N1829,9,0)=0,"",VLOOKUP(C3705,' Disaggregation - Section E '!A$618:N1829,9,0)),"")</f>
        <v/>
      </c>
      <c r="P3705" s="503" t="str">
        <f ca="1">IFERROR(IF(VLOOKUP(C3705,' Disaggregation - Section E '!A$618:N1829,10,0)=0,"",VLOOKUP(C3705,' Disaggregation - Section E '!A$618:N1829,10,0)),"")</f>
        <v/>
      </c>
    </row>
    <row r="3706" spans="1:16" x14ac:dyDescent="0.35">
      <c r="A3706" s="497" t="b">
        <f t="shared" ca="1" si="226"/>
        <v>0</v>
      </c>
      <c r="B3706" s="497"/>
      <c r="C3706" s="510" t="str">
        <f ca="1">IF(COUNTA(D$2498:D3706)=1,"",OFFSET(B3704,-COUNTA(D$2498:D3706)+3,1))</f>
        <v>a163p000004NtLgAAK</v>
      </c>
      <c r="D3706" s="512"/>
      <c r="E3706" s="500" t="str">
        <f ca="1">IFERROR(IF(VLOOKUP(C3706,' Disaggregation - Section E '!A$618:N1830,7,0)="","",VLOOKUP(C3706,' Disaggregation - Section E '!A$618:N1830,7,0)*100),"")</f>
        <v/>
      </c>
      <c r="F3706" s="503" t="str">
        <f ca="1">IFERROR(VLOOKUP(C3706,' Disaggregation - Section E '!A$618:N1830,5,0),"")</f>
        <v/>
      </c>
      <c r="G3706" s="502" t="str">
        <f ca="1">IFERROR(IF(VLOOKUP(C3706,' Disaggregation - Section E '!A$618:N1830,6,0)="","",VLOOKUP(C3706,' Disaggregation - Section E '!A$618:N1830,6,0)),"")</f>
        <v/>
      </c>
      <c r="H3706" s="512" t="str">
        <f ca="1">IFERROR(IF(INDEX(' Disaggregation - Section E '!F$618:F3027,MATCH(C3706,' Disaggregation - Section E '!A$618:A3027,0)+1,1)&lt;&gt;0,INDEX(' Disaggregation - Section E '!F$618:F$1820,MATCH(C3706,' Disaggregation - Section E '!A$618:A3027,0)+1,1),""),"")</f>
        <v/>
      </c>
      <c r="I3706" s="503" t="str">
        <f ca="1">IFERROR(IF(VLOOKUP(C3706,' Disaggregation - Section E '!A$618:N1830,8,0)=0,"",VLOOKUP(C3706,' Disaggregation - Section E '!A$618:N1830,8,0)),"")</f>
        <v/>
      </c>
      <c r="J3706" s="503" t="str">
        <f ca="1">IFERROR(IF(VLOOKUP(C3706,' Disaggregation - Section E '!A$618:N3027,13,0)=0,"",VLOOKUP(C3706,' Disaggregation - Section E '!A$618:N3027,13,0)),"")</f>
        <v/>
      </c>
      <c r="K3706" s="497" t="str">
        <f ca="1">IFERROR(VLOOKUP(C3706,' Disaggregation - Section E '!A$618:N1830,3,0),"")</f>
        <v>HTS-Other 1 Porcentaje de resultados de VIH positivos entre el total de pruebas de VIH realizadas en HSH</v>
      </c>
      <c r="L3706" s="497"/>
      <c r="M3706" s="497" t="str">
        <f ca="1">IFERROR(IF(VLOOKUP(C3706,' Disaggregation - Section E '!A$618:T1830,20,0)=0,"",VLOOKUP(C3706,' Disaggregation - Section E '!A$618:T1830,20,0)),"")</f>
        <v/>
      </c>
      <c r="N3706" s="503" t="str">
        <f ca="1">IFERROR(IF(VLOOKUP(C3706,' Disaggregation - Section E '!A$618:N1830,14,0)=0,"",VLOOKUP(C3706,' Disaggregation - Section E '!A$618:N1830,14,0)),"")</f>
        <v/>
      </c>
      <c r="O3706" s="503" t="str">
        <f ca="1">IFERROR(IF(VLOOKUP(C3706,' Disaggregation - Section E '!A$618:N1830,9,0)=0,"",VLOOKUP(C3706,' Disaggregation - Section E '!A$618:N1830,9,0)),"")</f>
        <v/>
      </c>
      <c r="P3706" s="503" t="str">
        <f ca="1">IFERROR(IF(VLOOKUP(C3706,' Disaggregation - Section E '!A$618:N1830,10,0)=0,"",VLOOKUP(C3706,' Disaggregation - Section E '!A$618:N1830,10,0)),"")</f>
        <v/>
      </c>
    </row>
    <row r="3707" spans="1:16" x14ac:dyDescent="0.35">
      <c r="A3707" s="497" t="b">
        <f t="shared" ca="1" si="226"/>
        <v>0</v>
      </c>
      <c r="B3707" s="497"/>
      <c r="C3707" s="510" t="str">
        <f ca="1">IF(COUNTA(D$2498:D3707)=1,"",OFFSET(B3705,-COUNTA(D$2498:D3707)+3,1))</f>
        <v>a163p000004NtLhAAK</v>
      </c>
      <c r="D3707" s="512"/>
      <c r="E3707" s="500" t="str">
        <f ca="1">IFERROR(IF(VLOOKUP(C3707,' Disaggregation - Section E '!A$618:N1831,7,0)="","",VLOOKUP(C3707,' Disaggregation - Section E '!A$618:N1831,7,0)*100),"")</f>
        <v/>
      </c>
      <c r="F3707" s="503" t="str">
        <f ca="1">IFERROR(VLOOKUP(C3707,' Disaggregation - Section E '!A$618:N1831,5,0),"")</f>
        <v/>
      </c>
      <c r="G3707" s="502" t="str">
        <f ca="1">IFERROR(IF(VLOOKUP(C3707,' Disaggregation - Section E '!A$618:N1831,6,0)="","",VLOOKUP(C3707,' Disaggregation - Section E '!A$618:N1831,6,0)),"")</f>
        <v/>
      </c>
      <c r="H3707" s="512" t="str">
        <f ca="1">IFERROR(IF(INDEX(' Disaggregation - Section E '!F$618:F3028,MATCH(C3707,' Disaggregation - Section E '!A$618:A3028,0)+1,1)&lt;&gt;0,INDEX(' Disaggregation - Section E '!F$618:F$1820,MATCH(C3707,' Disaggregation - Section E '!A$618:A3028,0)+1,1),""),"")</f>
        <v/>
      </c>
      <c r="I3707" s="503" t="str">
        <f ca="1">IFERROR(IF(VLOOKUP(C3707,' Disaggregation - Section E '!A$618:N1831,8,0)=0,"",VLOOKUP(C3707,' Disaggregation - Section E '!A$618:N1831,8,0)),"")</f>
        <v/>
      </c>
      <c r="J3707" s="503" t="str">
        <f ca="1">IFERROR(IF(VLOOKUP(C3707,' Disaggregation - Section E '!A$618:N3028,13,0)=0,"",VLOOKUP(C3707,' Disaggregation - Section E '!A$618:N3028,13,0)),"")</f>
        <v/>
      </c>
      <c r="K3707" s="497" t="str">
        <f ca="1">IFERROR(VLOOKUP(C3707,' Disaggregation - Section E '!A$618:N1831,3,0),"")</f>
        <v>HTS-Other 1 Porcentaje de resultados de VIH positivos entre el total de pruebas de VIH realizadas en HSH</v>
      </c>
      <c r="L3707" s="497"/>
      <c r="M3707" s="497" t="str">
        <f ca="1">IFERROR(IF(VLOOKUP(C3707,' Disaggregation - Section E '!A$618:T1831,20,0)=0,"",VLOOKUP(C3707,' Disaggregation - Section E '!A$618:T1831,20,0)),"")</f>
        <v/>
      </c>
      <c r="N3707" s="503" t="str">
        <f ca="1">IFERROR(IF(VLOOKUP(C3707,' Disaggregation - Section E '!A$618:N1831,14,0)=0,"",VLOOKUP(C3707,' Disaggregation - Section E '!A$618:N1831,14,0)),"")</f>
        <v/>
      </c>
      <c r="O3707" s="503" t="str">
        <f ca="1">IFERROR(IF(VLOOKUP(C3707,' Disaggregation - Section E '!A$618:N1831,9,0)=0,"",VLOOKUP(C3707,' Disaggregation - Section E '!A$618:N1831,9,0)),"")</f>
        <v/>
      </c>
      <c r="P3707" s="503" t="str">
        <f ca="1">IFERROR(IF(VLOOKUP(C3707,' Disaggregation - Section E '!A$618:N1831,10,0)=0,"",VLOOKUP(C3707,' Disaggregation - Section E '!A$618:N1831,10,0)),"")</f>
        <v/>
      </c>
    </row>
    <row r="3708" spans="1:16" x14ac:dyDescent="0.35">
      <c r="A3708" s="497" t="b">
        <f t="shared" ca="1" si="226"/>
        <v>0</v>
      </c>
      <c r="B3708" s="497"/>
      <c r="C3708" s="510" t="str">
        <f ca="1">IF(COUNTA(D$2498:D3708)=1,"",OFFSET(B3706,-COUNTA(D$2498:D3708)+3,1))</f>
        <v>a163p000004NtLiAAK</v>
      </c>
      <c r="D3708" s="512"/>
      <c r="E3708" s="500" t="str">
        <f ca="1">IFERROR(IF(VLOOKUP(C3708,' Disaggregation - Section E '!A$618:N1832,7,0)="","",VLOOKUP(C3708,' Disaggregation - Section E '!A$618:N1832,7,0)*100),"")</f>
        <v/>
      </c>
      <c r="F3708" s="503" t="str">
        <f ca="1">IFERROR(VLOOKUP(C3708,' Disaggregation - Section E '!A$618:N1832,5,0),"")</f>
        <v/>
      </c>
      <c r="G3708" s="502" t="str">
        <f ca="1">IFERROR(IF(VLOOKUP(C3708,' Disaggregation - Section E '!A$618:N1832,6,0)="","",VLOOKUP(C3708,' Disaggregation - Section E '!A$618:N1832,6,0)),"")</f>
        <v/>
      </c>
      <c r="H3708" s="512" t="str">
        <f ca="1">IFERROR(IF(INDEX(' Disaggregation - Section E '!F$618:F3029,MATCH(C3708,' Disaggregation - Section E '!A$618:A3029,0)+1,1)&lt;&gt;0,INDEX(' Disaggregation - Section E '!F$618:F$1820,MATCH(C3708,' Disaggregation - Section E '!A$618:A3029,0)+1,1),""),"")</f>
        <v/>
      </c>
      <c r="I3708" s="503" t="str">
        <f ca="1">IFERROR(IF(VLOOKUP(C3708,' Disaggregation - Section E '!A$618:N1832,8,0)=0,"",VLOOKUP(C3708,' Disaggregation - Section E '!A$618:N1832,8,0)),"")</f>
        <v/>
      </c>
      <c r="J3708" s="503" t="str">
        <f ca="1">IFERROR(IF(VLOOKUP(C3708,' Disaggregation - Section E '!A$618:N3029,13,0)=0,"",VLOOKUP(C3708,' Disaggregation - Section E '!A$618:N3029,13,0)),"")</f>
        <v/>
      </c>
      <c r="K3708" s="497" t="str">
        <f ca="1">IFERROR(VLOOKUP(C3708,' Disaggregation - Section E '!A$618:N1832,3,0),"")</f>
        <v>HTS-Other 1 Porcentaje de resultados de VIH positivos entre el total de pruebas de VIH realizadas en HSH</v>
      </c>
      <c r="L3708" s="497"/>
      <c r="M3708" s="497" t="str">
        <f ca="1">IFERROR(IF(VLOOKUP(C3708,' Disaggregation - Section E '!A$618:T1832,20,0)=0,"",VLOOKUP(C3708,' Disaggregation - Section E '!A$618:T1832,20,0)),"")</f>
        <v/>
      </c>
      <c r="N3708" s="503" t="str">
        <f ca="1">IFERROR(IF(VLOOKUP(C3708,' Disaggregation - Section E '!A$618:N1832,14,0)=0,"",VLOOKUP(C3708,' Disaggregation - Section E '!A$618:N1832,14,0)),"")</f>
        <v/>
      </c>
      <c r="O3708" s="503" t="str">
        <f ca="1">IFERROR(IF(VLOOKUP(C3708,' Disaggregation - Section E '!A$618:N1832,9,0)=0,"",VLOOKUP(C3708,' Disaggregation - Section E '!A$618:N1832,9,0)),"")</f>
        <v/>
      </c>
      <c r="P3708" s="503" t="str">
        <f ca="1">IFERROR(IF(VLOOKUP(C3708,' Disaggregation - Section E '!A$618:N1832,10,0)=0,"",VLOOKUP(C3708,' Disaggregation - Section E '!A$618:N1832,10,0)),"")</f>
        <v/>
      </c>
    </row>
    <row r="3709" spans="1:16" x14ac:dyDescent="0.35">
      <c r="A3709" s="497" t="b">
        <f t="shared" ca="1" si="226"/>
        <v>0</v>
      </c>
      <c r="B3709" s="497"/>
      <c r="C3709" s="510" t="str">
        <f ca="1">IF(COUNTA(D$2498:D3709)=1,"",OFFSET(B3707,-COUNTA(D$2498:D3709)+3,1))</f>
        <v>a163p000004NtLjAAK</v>
      </c>
      <c r="D3709" s="512"/>
      <c r="E3709" s="500" t="str">
        <f ca="1">IFERROR(IF(VLOOKUP(C3709,' Disaggregation - Section E '!A$618:N1833,7,0)="","",VLOOKUP(C3709,' Disaggregation - Section E '!A$618:N1833,7,0)*100),"")</f>
        <v/>
      </c>
      <c r="F3709" s="503" t="str">
        <f ca="1">IFERROR(VLOOKUP(C3709,' Disaggregation - Section E '!A$618:N1833,5,0),"")</f>
        <v/>
      </c>
      <c r="G3709" s="502" t="str">
        <f ca="1">IFERROR(IF(VLOOKUP(C3709,' Disaggregation - Section E '!A$618:N1833,6,0)="","",VLOOKUP(C3709,' Disaggregation - Section E '!A$618:N1833,6,0)),"")</f>
        <v/>
      </c>
      <c r="H3709" s="512" t="str">
        <f ca="1">IFERROR(IF(INDEX(' Disaggregation - Section E '!F$618:F3030,MATCH(C3709,' Disaggregation - Section E '!A$618:A3030,0)+1,1)&lt;&gt;0,INDEX(' Disaggregation - Section E '!F$618:F$1820,MATCH(C3709,' Disaggregation - Section E '!A$618:A3030,0)+1,1),""),"")</f>
        <v/>
      </c>
      <c r="I3709" s="503" t="str">
        <f ca="1">IFERROR(IF(VLOOKUP(C3709,' Disaggregation - Section E '!A$618:N1833,8,0)=0,"",VLOOKUP(C3709,' Disaggregation - Section E '!A$618:N1833,8,0)),"")</f>
        <v/>
      </c>
      <c r="J3709" s="503" t="str">
        <f ca="1">IFERROR(IF(VLOOKUP(C3709,' Disaggregation - Section E '!A$618:N3030,13,0)=0,"",VLOOKUP(C3709,' Disaggregation - Section E '!A$618:N3030,13,0)),"")</f>
        <v/>
      </c>
      <c r="K3709" s="497" t="str">
        <f ca="1">IFERROR(VLOOKUP(C3709,' Disaggregation - Section E '!A$618:N1833,3,0),"")</f>
        <v>HTS-Other 1 Porcentaje de resultados de VIH positivos entre el total de pruebas de VIH realizadas en HSH</v>
      </c>
      <c r="L3709" s="497"/>
      <c r="M3709" s="497" t="str">
        <f ca="1">IFERROR(IF(VLOOKUP(C3709,' Disaggregation - Section E '!A$618:T1833,20,0)=0,"",VLOOKUP(C3709,' Disaggregation - Section E '!A$618:T1833,20,0)),"")</f>
        <v/>
      </c>
      <c r="N3709" s="503" t="str">
        <f ca="1">IFERROR(IF(VLOOKUP(C3709,' Disaggregation - Section E '!A$618:N1833,14,0)=0,"",VLOOKUP(C3709,' Disaggregation - Section E '!A$618:N1833,14,0)),"")</f>
        <v/>
      </c>
      <c r="O3709" s="503" t="str">
        <f ca="1">IFERROR(IF(VLOOKUP(C3709,' Disaggregation - Section E '!A$618:N1833,9,0)=0,"",VLOOKUP(C3709,' Disaggregation - Section E '!A$618:N1833,9,0)),"")</f>
        <v/>
      </c>
      <c r="P3709" s="503" t="str">
        <f ca="1">IFERROR(IF(VLOOKUP(C3709,' Disaggregation - Section E '!A$618:N1833,10,0)=0,"",VLOOKUP(C3709,' Disaggregation - Section E '!A$618:N1833,10,0)),"")</f>
        <v/>
      </c>
    </row>
    <row r="3710" spans="1:16" x14ac:dyDescent="0.35">
      <c r="A3710" s="497" t="b">
        <f t="shared" ca="1" si="226"/>
        <v>0</v>
      </c>
      <c r="B3710" s="497"/>
      <c r="C3710" s="510" t="str">
        <f ca="1">IF(COUNTA(D$2498:D3710)=1,"",OFFSET(B3708,-COUNTA(D$2498:D3710)+3,1))</f>
        <v>a163p000004NtLkAAK</v>
      </c>
      <c r="D3710" s="512"/>
      <c r="E3710" s="500" t="str">
        <f ca="1">IFERROR(IF(VLOOKUP(C3710,' Disaggregation - Section E '!A$618:N1834,7,0)="","",VLOOKUP(C3710,' Disaggregation - Section E '!A$618:N1834,7,0)*100),"")</f>
        <v/>
      </c>
      <c r="F3710" s="503" t="str">
        <f ca="1">IFERROR(VLOOKUP(C3710,' Disaggregation - Section E '!A$618:N1834,5,0),"")</f>
        <v/>
      </c>
      <c r="G3710" s="502" t="str">
        <f ca="1">IFERROR(IF(VLOOKUP(C3710,' Disaggregation - Section E '!A$618:N1834,6,0)="","",VLOOKUP(C3710,' Disaggregation - Section E '!A$618:N1834,6,0)),"")</f>
        <v/>
      </c>
      <c r="H3710" s="512" t="str">
        <f ca="1">IFERROR(IF(INDEX(' Disaggregation - Section E '!F$618:F3031,MATCH(C3710,' Disaggregation - Section E '!A$618:A3031,0)+1,1)&lt;&gt;0,INDEX(' Disaggregation - Section E '!F$618:F$1820,MATCH(C3710,' Disaggregation - Section E '!A$618:A3031,0)+1,1),""),"")</f>
        <v/>
      </c>
      <c r="I3710" s="503" t="str">
        <f ca="1">IFERROR(IF(VLOOKUP(C3710,' Disaggregation - Section E '!A$618:N1834,8,0)=0,"",VLOOKUP(C3710,' Disaggregation - Section E '!A$618:N1834,8,0)),"")</f>
        <v/>
      </c>
      <c r="J3710" s="503" t="str">
        <f ca="1">IFERROR(IF(VLOOKUP(C3710,' Disaggregation - Section E '!A$618:N3031,13,0)=0,"",VLOOKUP(C3710,' Disaggregation - Section E '!A$618:N3031,13,0)),"")</f>
        <v/>
      </c>
      <c r="K3710" s="497" t="str">
        <f ca="1">IFERROR(VLOOKUP(C3710,' Disaggregation - Section E '!A$618:N1834,3,0),"")</f>
        <v>HTS-Other 1 Porcentaje de resultados de VIH positivos entre el total de pruebas de VIH realizadas en HSH</v>
      </c>
      <c r="L3710" s="497"/>
      <c r="M3710" s="497" t="str">
        <f ca="1">IFERROR(IF(VLOOKUP(C3710,' Disaggregation - Section E '!A$618:T1834,20,0)=0,"",VLOOKUP(C3710,' Disaggregation - Section E '!A$618:T1834,20,0)),"")</f>
        <v/>
      </c>
      <c r="N3710" s="503" t="str">
        <f ca="1">IFERROR(IF(VLOOKUP(C3710,' Disaggregation - Section E '!A$618:N1834,14,0)=0,"",VLOOKUP(C3710,' Disaggregation - Section E '!A$618:N1834,14,0)),"")</f>
        <v/>
      </c>
      <c r="O3710" s="503" t="str">
        <f ca="1">IFERROR(IF(VLOOKUP(C3710,' Disaggregation - Section E '!A$618:N1834,9,0)=0,"",VLOOKUP(C3710,' Disaggregation - Section E '!A$618:N1834,9,0)),"")</f>
        <v/>
      </c>
      <c r="P3710" s="503" t="str">
        <f ca="1">IFERROR(IF(VLOOKUP(C3710,' Disaggregation - Section E '!A$618:N1834,10,0)=0,"",VLOOKUP(C3710,' Disaggregation - Section E '!A$618:N1834,10,0)),"")</f>
        <v/>
      </c>
    </row>
    <row r="3711" spans="1:16" x14ac:dyDescent="0.35">
      <c r="A3711" s="497" t="b">
        <f t="shared" ca="1" si="226"/>
        <v>0</v>
      </c>
      <c r="B3711" s="497"/>
      <c r="C3711" s="510" t="str">
        <f ca="1">IF(COUNTA(D$2498:D3711)=1,"",OFFSET(B3709,-COUNTA(D$2498:D3711)+3,1))</f>
        <v>a163p000004NtLlAAK</v>
      </c>
      <c r="D3711" s="512"/>
      <c r="E3711" s="500" t="str">
        <f ca="1">IFERROR(IF(VLOOKUP(C3711,' Disaggregation - Section E '!A$618:N1835,7,0)="","",VLOOKUP(C3711,' Disaggregation - Section E '!A$618:N1835,7,0)*100),"")</f>
        <v/>
      </c>
      <c r="F3711" s="503" t="str">
        <f ca="1">IFERROR(VLOOKUP(C3711,' Disaggregation - Section E '!A$618:N1835,5,0),"")</f>
        <v/>
      </c>
      <c r="G3711" s="502" t="str">
        <f ca="1">IFERROR(IF(VLOOKUP(C3711,' Disaggregation - Section E '!A$618:N1835,6,0)="","",VLOOKUP(C3711,' Disaggregation - Section E '!A$618:N1835,6,0)),"")</f>
        <v/>
      </c>
      <c r="H3711" s="512" t="str">
        <f ca="1">IFERROR(IF(INDEX(' Disaggregation - Section E '!F$618:F3032,MATCH(C3711,' Disaggregation - Section E '!A$618:A3032,0)+1,1)&lt;&gt;0,INDEX(' Disaggregation - Section E '!F$618:F$1820,MATCH(C3711,' Disaggregation - Section E '!A$618:A3032,0)+1,1),""),"")</f>
        <v/>
      </c>
      <c r="I3711" s="503" t="str">
        <f ca="1">IFERROR(IF(VLOOKUP(C3711,' Disaggregation - Section E '!A$618:N1835,8,0)=0,"",VLOOKUP(C3711,' Disaggregation - Section E '!A$618:N1835,8,0)),"")</f>
        <v/>
      </c>
      <c r="J3711" s="503" t="str">
        <f ca="1">IFERROR(IF(VLOOKUP(C3711,' Disaggregation - Section E '!A$618:N3032,13,0)=0,"",VLOOKUP(C3711,' Disaggregation - Section E '!A$618:N3032,13,0)),"")</f>
        <v/>
      </c>
      <c r="K3711" s="497" t="str">
        <f ca="1">IFERROR(VLOOKUP(C3711,' Disaggregation - Section E '!A$618:N1835,3,0),"")</f>
        <v>HTS-Other 1 Porcentaje de resultados de VIH positivos entre el total de pruebas de VIH realizadas en HSH</v>
      </c>
      <c r="L3711" s="497"/>
      <c r="M3711" s="497" t="str">
        <f ca="1">IFERROR(IF(VLOOKUP(C3711,' Disaggregation - Section E '!A$618:T1835,20,0)=0,"",VLOOKUP(C3711,' Disaggregation - Section E '!A$618:T1835,20,0)),"")</f>
        <v/>
      </c>
      <c r="N3711" s="503" t="str">
        <f ca="1">IFERROR(IF(VLOOKUP(C3711,' Disaggregation - Section E '!A$618:N1835,14,0)=0,"",VLOOKUP(C3711,' Disaggregation - Section E '!A$618:N1835,14,0)),"")</f>
        <v/>
      </c>
      <c r="O3711" s="503" t="str">
        <f ca="1">IFERROR(IF(VLOOKUP(C3711,' Disaggregation - Section E '!A$618:N1835,9,0)=0,"",VLOOKUP(C3711,' Disaggregation - Section E '!A$618:N1835,9,0)),"")</f>
        <v/>
      </c>
      <c r="P3711" s="503" t="str">
        <f ca="1">IFERROR(IF(VLOOKUP(C3711,' Disaggregation - Section E '!A$618:N1835,10,0)=0,"",VLOOKUP(C3711,' Disaggregation - Section E '!A$618:N1835,10,0)),"")</f>
        <v/>
      </c>
    </row>
    <row r="3712" spans="1:16" x14ac:dyDescent="0.35">
      <c r="A3712" s="497" t="b">
        <f t="shared" ca="1" si="226"/>
        <v>0</v>
      </c>
      <c r="B3712" s="497"/>
      <c r="C3712" s="510" t="str">
        <f ca="1">IF(COUNTA(D$2498:D3712)=1,"",OFFSET(B3710,-COUNTA(D$2498:D3712)+3,1))</f>
        <v>a163p000004NtLmAAK</v>
      </c>
      <c r="D3712" s="512"/>
      <c r="E3712" s="500" t="str">
        <f ca="1">IFERROR(IF(VLOOKUP(C3712,' Disaggregation - Section E '!A$618:N1836,7,0)="","",VLOOKUP(C3712,' Disaggregation - Section E '!A$618:N1836,7,0)*100),"")</f>
        <v/>
      </c>
      <c r="F3712" s="503" t="str">
        <f ca="1">IFERROR(VLOOKUP(C3712,' Disaggregation - Section E '!A$618:N1836,5,0),"")</f>
        <v/>
      </c>
      <c r="G3712" s="502" t="str">
        <f ca="1">IFERROR(IF(VLOOKUP(C3712,' Disaggregation - Section E '!A$618:N1836,6,0)="","",VLOOKUP(C3712,' Disaggregation - Section E '!A$618:N1836,6,0)),"")</f>
        <v/>
      </c>
      <c r="H3712" s="512" t="str">
        <f ca="1">IFERROR(IF(INDEX(' Disaggregation - Section E '!F$618:F3033,MATCH(C3712,' Disaggregation - Section E '!A$618:A3033,0)+1,1)&lt;&gt;0,INDEX(' Disaggregation - Section E '!F$618:F$1820,MATCH(C3712,' Disaggregation - Section E '!A$618:A3033,0)+1,1),""),"")</f>
        <v/>
      </c>
      <c r="I3712" s="503" t="str">
        <f ca="1">IFERROR(IF(VLOOKUP(C3712,' Disaggregation - Section E '!A$618:N1836,8,0)=0,"",VLOOKUP(C3712,' Disaggregation - Section E '!A$618:N1836,8,0)),"")</f>
        <v/>
      </c>
      <c r="J3712" s="503" t="str">
        <f ca="1">IFERROR(IF(VLOOKUP(C3712,' Disaggregation - Section E '!A$618:N3033,13,0)=0,"",VLOOKUP(C3712,' Disaggregation - Section E '!A$618:N3033,13,0)),"")</f>
        <v/>
      </c>
      <c r="K3712" s="497" t="str">
        <f ca="1">IFERROR(VLOOKUP(C3712,' Disaggregation - Section E '!A$618:N1836,3,0),"")</f>
        <v>HTS-Other 1 Porcentaje de resultados de VIH positivos entre el total de pruebas de VIH realizadas en HSH</v>
      </c>
      <c r="L3712" s="497"/>
      <c r="M3712" s="497" t="str">
        <f ca="1">IFERROR(IF(VLOOKUP(C3712,' Disaggregation - Section E '!A$618:T1836,20,0)=0,"",VLOOKUP(C3712,' Disaggregation - Section E '!A$618:T1836,20,0)),"")</f>
        <v/>
      </c>
      <c r="N3712" s="503" t="str">
        <f ca="1">IFERROR(IF(VLOOKUP(C3712,' Disaggregation - Section E '!A$618:N1836,14,0)=0,"",VLOOKUP(C3712,' Disaggregation - Section E '!A$618:N1836,14,0)),"")</f>
        <v/>
      </c>
      <c r="O3712" s="503" t="str">
        <f ca="1">IFERROR(IF(VLOOKUP(C3712,' Disaggregation - Section E '!A$618:N1836,9,0)=0,"",VLOOKUP(C3712,' Disaggregation - Section E '!A$618:N1836,9,0)),"")</f>
        <v/>
      </c>
      <c r="P3712" s="503" t="str">
        <f ca="1">IFERROR(IF(VLOOKUP(C3712,' Disaggregation - Section E '!A$618:N1836,10,0)=0,"",VLOOKUP(C3712,' Disaggregation - Section E '!A$618:N1836,10,0)),"")</f>
        <v/>
      </c>
    </row>
    <row r="3713" spans="1:16" x14ac:dyDescent="0.35">
      <c r="A3713" s="497" t="b">
        <f t="shared" ca="1" si="226"/>
        <v>0</v>
      </c>
      <c r="B3713" s="497"/>
      <c r="C3713" s="510" t="str">
        <f ca="1">IF(COUNTA(D$2498:D3713)=1,"",OFFSET(B3711,-COUNTA(D$2498:D3713)+3,1))</f>
        <v>a163p000004NtLnAAK</v>
      </c>
      <c r="D3713" s="512"/>
      <c r="E3713" s="500" t="str">
        <f ca="1">IFERROR(IF(VLOOKUP(C3713,' Disaggregation - Section E '!A$618:N1837,7,0)="","",VLOOKUP(C3713,' Disaggregation - Section E '!A$618:N1837,7,0)*100),"")</f>
        <v/>
      </c>
      <c r="F3713" s="503" t="str">
        <f ca="1">IFERROR(VLOOKUP(C3713,' Disaggregation - Section E '!A$618:N1837,5,0),"")</f>
        <v/>
      </c>
      <c r="G3713" s="502" t="str">
        <f ca="1">IFERROR(IF(VLOOKUP(C3713,' Disaggregation - Section E '!A$618:N1837,6,0)="","",VLOOKUP(C3713,' Disaggregation - Section E '!A$618:N1837,6,0)),"")</f>
        <v/>
      </c>
      <c r="H3713" s="512" t="str">
        <f ca="1">IFERROR(IF(INDEX(' Disaggregation - Section E '!F$618:F3034,MATCH(C3713,' Disaggregation - Section E '!A$618:A3034,0)+1,1)&lt;&gt;0,INDEX(' Disaggregation - Section E '!F$618:F$1820,MATCH(C3713,' Disaggregation - Section E '!A$618:A3034,0)+1,1),""),"")</f>
        <v/>
      </c>
      <c r="I3713" s="503" t="str">
        <f ca="1">IFERROR(IF(VLOOKUP(C3713,' Disaggregation - Section E '!A$618:N1837,8,0)=0,"",VLOOKUP(C3713,' Disaggregation - Section E '!A$618:N1837,8,0)),"")</f>
        <v/>
      </c>
      <c r="J3713" s="503" t="str">
        <f ca="1">IFERROR(IF(VLOOKUP(C3713,' Disaggregation - Section E '!A$618:N3034,13,0)=0,"",VLOOKUP(C3713,' Disaggregation - Section E '!A$618:N3034,13,0)),"")</f>
        <v/>
      </c>
      <c r="K3713" s="497" t="str">
        <f ca="1">IFERROR(VLOOKUP(C3713,' Disaggregation - Section E '!A$618:N1837,3,0),"")</f>
        <v>HTS-Other 1 Porcentaje de resultados de VIH positivos entre el total de pruebas de VIH realizadas en HSH</v>
      </c>
      <c r="L3713" s="497"/>
      <c r="M3713" s="497" t="str">
        <f ca="1">IFERROR(IF(VLOOKUP(C3713,' Disaggregation - Section E '!A$618:T1837,20,0)=0,"",VLOOKUP(C3713,' Disaggregation - Section E '!A$618:T1837,20,0)),"")</f>
        <v/>
      </c>
      <c r="N3713" s="503" t="str">
        <f ca="1">IFERROR(IF(VLOOKUP(C3713,' Disaggregation - Section E '!A$618:N1837,14,0)=0,"",VLOOKUP(C3713,' Disaggregation - Section E '!A$618:N1837,14,0)),"")</f>
        <v/>
      </c>
      <c r="O3713" s="503" t="str">
        <f ca="1">IFERROR(IF(VLOOKUP(C3713,' Disaggregation - Section E '!A$618:N1837,9,0)=0,"",VLOOKUP(C3713,' Disaggregation - Section E '!A$618:N1837,9,0)),"")</f>
        <v/>
      </c>
      <c r="P3713" s="503" t="str">
        <f ca="1">IFERROR(IF(VLOOKUP(C3713,' Disaggregation - Section E '!A$618:N1837,10,0)=0,"",VLOOKUP(C3713,' Disaggregation - Section E '!A$618:N1837,10,0)),"")</f>
        <v/>
      </c>
    </row>
    <row r="3714" spans="1:16" x14ac:dyDescent="0.35">
      <c r="A3714" s="497" t="b">
        <f t="shared" ca="1" si="226"/>
        <v>0</v>
      </c>
      <c r="B3714" s="497"/>
      <c r="C3714" s="510" t="str">
        <f ca="1">IF(COUNTA(D$2498:D3714)=1,"",OFFSET(B3712,-COUNTA(D$2498:D3714)+3,1))</f>
        <v>a163p000004NtLoAAK</v>
      </c>
      <c r="D3714" s="512"/>
      <c r="E3714" s="500" t="str">
        <f ca="1">IFERROR(IF(VLOOKUP(C3714,' Disaggregation - Section E '!A$618:N1838,7,0)="","",VLOOKUP(C3714,' Disaggregation - Section E '!A$618:N1838,7,0)*100),"")</f>
        <v/>
      </c>
      <c r="F3714" s="503" t="str">
        <f ca="1">IFERROR(VLOOKUP(C3714,' Disaggregation - Section E '!A$618:N1838,5,0),"")</f>
        <v/>
      </c>
      <c r="G3714" s="502" t="str">
        <f ca="1">IFERROR(IF(VLOOKUP(C3714,' Disaggregation - Section E '!A$618:N1838,6,0)="","",VLOOKUP(C3714,' Disaggregation - Section E '!A$618:N1838,6,0)),"")</f>
        <v/>
      </c>
      <c r="H3714" s="512" t="str">
        <f ca="1">IFERROR(IF(INDEX(' Disaggregation - Section E '!F$618:F3035,MATCH(C3714,' Disaggregation - Section E '!A$618:A3035,0)+1,1)&lt;&gt;0,INDEX(' Disaggregation - Section E '!F$618:F$1820,MATCH(C3714,' Disaggregation - Section E '!A$618:A3035,0)+1,1),""),"")</f>
        <v/>
      </c>
      <c r="I3714" s="503" t="str">
        <f ca="1">IFERROR(IF(VLOOKUP(C3714,' Disaggregation - Section E '!A$618:N1838,8,0)=0,"",VLOOKUP(C3714,' Disaggregation - Section E '!A$618:N1838,8,0)),"")</f>
        <v/>
      </c>
      <c r="J3714" s="503" t="str">
        <f ca="1">IFERROR(IF(VLOOKUP(C3714,' Disaggregation - Section E '!A$618:N3035,13,0)=0,"",VLOOKUP(C3714,' Disaggregation - Section E '!A$618:N3035,13,0)),"")</f>
        <v/>
      </c>
      <c r="K3714" s="497" t="str">
        <f ca="1">IFERROR(VLOOKUP(C3714,' Disaggregation - Section E '!A$618:N1838,3,0),"")</f>
        <v>HTS-Other 1 Porcentaje de resultados de VIH positivos entre el total de pruebas de VIH realizadas en HSH</v>
      </c>
      <c r="L3714" s="497"/>
      <c r="M3714" s="497" t="str">
        <f ca="1">IFERROR(IF(VLOOKUP(C3714,' Disaggregation - Section E '!A$618:T1838,20,0)=0,"",VLOOKUP(C3714,' Disaggregation - Section E '!A$618:T1838,20,0)),"")</f>
        <v/>
      </c>
      <c r="N3714" s="503" t="str">
        <f ca="1">IFERROR(IF(VLOOKUP(C3714,' Disaggregation - Section E '!A$618:N1838,14,0)=0,"",VLOOKUP(C3714,' Disaggregation - Section E '!A$618:N1838,14,0)),"")</f>
        <v/>
      </c>
      <c r="O3714" s="503" t="str">
        <f ca="1">IFERROR(IF(VLOOKUP(C3714,' Disaggregation - Section E '!A$618:N1838,9,0)=0,"",VLOOKUP(C3714,' Disaggregation - Section E '!A$618:N1838,9,0)),"")</f>
        <v/>
      </c>
      <c r="P3714" s="503" t="str">
        <f ca="1">IFERROR(IF(VLOOKUP(C3714,' Disaggregation - Section E '!A$618:N1838,10,0)=0,"",VLOOKUP(C3714,' Disaggregation - Section E '!A$618:N1838,10,0)),"")</f>
        <v/>
      </c>
    </row>
    <row r="3715" spans="1:16" x14ac:dyDescent="0.35">
      <c r="A3715" s="497" t="b">
        <f t="shared" ca="1" si="226"/>
        <v>0</v>
      </c>
      <c r="B3715" s="497"/>
      <c r="C3715" s="510" t="str">
        <f ca="1">IF(COUNTA(D$2498:D3715)=1,"",OFFSET(B3713,-COUNTA(D$2498:D3715)+3,1))</f>
        <v>a163p000004NtLpAAK</v>
      </c>
      <c r="D3715" s="512"/>
      <c r="E3715" s="500" t="str">
        <f ca="1">IFERROR(IF(VLOOKUP(C3715,' Disaggregation - Section E '!A$618:N1839,7,0)="","",VLOOKUP(C3715,' Disaggregation - Section E '!A$618:N1839,7,0)*100),"")</f>
        <v/>
      </c>
      <c r="F3715" s="503" t="str">
        <f ca="1">IFERROR(VLOOKUP(C3715,' Disaggregation - Section E '!A$618:N1839,5,0),"")</f>
        <v/>
      </c>
      <c r="G3715" s="502" t="str">
        <f ca="1">IFERROR(IF(VLOOKUP(C3715,' Disaggregation - Section E '!A$618:N1839,6,0)="","",VLOOKUP(C3715,' Disaggregation - Section E '!A$618:N1839,6,0)),"")</f>
        <v/>
      </c>
      <c r="H3715" s="512" t="str">
        <f ca="1">IFERROR(IF(INDEX(' Disaggregation - Section E '!F$618:F3036,MATCH(C3715,' Disaggregation - Section E '!A$618:A3036,0)+1,1)&lt;&gt;0,INDEX(' Disaggregation - Section E '!F$618:F$1820,MATCH(C3715,' Disaggregation - Section E '!A$618:A3036,0)+1,1),""),"")</f>
        <v/>
      </c>
      <c r="I3715" s="503" t="str">
        <f ca="1">IFERROR(IF(VLOOKUP(C3715,' Disaggregation - Section E '!A$618:N1839,8,0)=0,"",VLOOKUP(C3715,' Disaggregation - Section E '!A$618:N1839,8,0)),"")</f>
        <v/>
      </c>
      <c r="J3715" s="503" t="str">
        <f ca="1">IFERROR(IF(VLOOKUP(C3715,' Disaggregation - Section E '!A$618:N3036,13,0)=0,"",VLOOKUP(C3715,' Disaggregation - Section E '!A$618:N3036,13,0)),"")</f>
        <v/>
      </c>
      <c r="K3715" s="497" t="str">
        <f ca="1">IFERROR(VLOOKUP(C3715,' Disaggregation - Section E '!A$618:N1839,3,0),"")</f>
        <v>HTS-Other 1 Porcentaje de resultados de VIH positivos entre el total de pruebas de VIH realizadas en HSH</v>
      </c>
      <c r="L3715" s="497"/>
      <c r="M3715" s="497" t="str">
        <f ca="1">IFERROR(IF(VLOOKUP(C3715,' Disaggregation - Section E '!A$618:T1839,20,0)=0,"",VLOOKUP(C3715,' Disaggregation - Section E '!A$618:T1839,20,0)),"")</f>
        <v/>
      </c>
      <c r="N3715" s="503" t="str">
        <f ca="1">IFERROR(IF(VLOOKUP(C3715,' Disaggregation - Section E '!A$618:N1839,14,0)=0,"",VLOOKUP(C3715,' Disaggregation - Section E '!A$618:N1839,14,0)),"")</f>
        <v/>
      </c>
      <c r="O3715" s="503" t="str">
        <f ca="1">IFERROR(IF(VLOOKUP(C3715,' Disaggregation - Section E '!A$618:N1839,9,0)=0,"",VLOOKUP(C3715,' Disaggregation - Section E '!A$618:N1839,9,0)),"")</f>
        <v/>
      </c>
      <c r="P3715" s="503" t="str">
        <f ca="1">IFERROR(IF(VLOOKUP(C3715,' Disaggregation - Section E '!A$618:N1839,10,0)=0,"",VLOOKUP(C3715,' Disaggregation - Section E '!A$618:N1839,10,0)),"")</f>
        <v/>
      </c>
    </row>
    <row r="3716" spans="1:16" x14ac:dyDescent="0.35">
      <c r="A3716" s="497" t="b">
        <f t="shared" ca="1" si="226"/>
        <v>0</v>
      </c>
      <c r="B3716" s="497"/>
      <c r="C3716" s="510" t="str">
        <f ca="1">IF(COUNTA(D$2498:D3716)=1,"",OFFSET(B3714,-COUNTA(D$2498:D3716)+3,1))</f>
        <v>a163p000004NtLqAAK</v>
      </c>
      <c r="D3716" s="512"/>
      <c r="E3716" s="500" t="str">
        <f ca="1">IFERROR(IF(VLOOKUP(C3716,' Disaggregation - Section E '!A$618:N1840,7,0)="","",VLOOKUP(C3716,' Disaggregation - Section E '!A$618:N1840,7,0)*100),"")</f>
        <v/>
      </c>
      <c r="F3716" s="503" t="str">
        <f ca="1">IFERROR(VLOOKUP(C3716,' Disaggregation - Section E '!A$618:N1840,5,0),"")</f>
        <v/>
      </c>
      <c r="G3716" s="502" t="str">
        <f ca="1">IFERROR(IF(VLOOKUP(C3716,' Disaggregation - Section E '!A$618:N1840,6,0)="","",VLOOKUP(C3716,' Disaggregation - Section E '!A$618:N1840,6,0)),"")</f>
        <v/>
      </c>
      <c r="H3716" s="512" t="str">
        <f ca="1">IFERROR(IF(INDEX(' Disaggregation - Section E '!F$618:F3037,MATCH(C3716,' Disaggregation - Section E '!A$618:A3037,0)+1,1)&lt;&gt;0,INDEX(' Disaggregation - Section E '!F$618:F$1820,MATCH(C3716,' Disaggregation - Section E '!A$618:A3037,0)+1,1),""),"")</f>
        <v/>
      </c>
      <c r="I3716" s="503" t="str">
        <f ca="1">IFERROR(IF(VLOOKUP(C3716,' Disaggregation - Section E '!A$618:N1840,8,0)=0,"",VLOOKUP(C3716,' Disaggregation - Section E '!A$618:N1840,8,0)),"")</f>
        <v/>
      </c>
      <c r="J3716" s="503" t="str">
        <f ca="1">IFERROR(IF(VLOOKUP(C3716,' Disaggregation - Section E '!A$618:N3037,13,0)=0,"",VLOOKUP(C3716,' Disaggregation - Section E '!A$618:N3037,13,0)),"")</f>
        <v/>
      </c>
      <c r="K3716" s="497" t="str">
        <f ca="1">IFERROR(VLOOKUP(C3716,' Disaggregation - Section E '!A$618:N1840,3,0),"")</f>
        <v>HTS-Other 1 Porcentaje de resultados de VIH positivos entre el total de pruebas de VIH realizadas en HSH</v>
      </c>
      <c r="L3716" s="497"/>
      <c r="M3716" s="497" t="str">
        <f ca="1">IFERROR(IF(VLOOKUP(C3716,' Disaggregation - Section E '!A$618:T1840,20,0)=0,"",VLOOKUP(C3716,' Disaggregation - Section E '!A$618:T1840,20,0)),"")</f>
        <v/>
      </c>
      <c r="N3716" s="503" t="str">
        <f ca="1">IFERROR(IF(VLOOKUP(C3716,' Disaggregation - Section E '!A$618:N1840,14,0)=0,"",VLOOKUP(C3716,' Disaggregation - Section E '!A$618:N1840,14,0)),"")</f>
        <v/>
      </c>
      <c r="O3716" s="503" t="str">
        <f ca="1">IFERROR(IF(VLOOKUP(C3716,' Disaggregation - Section E '!A$618:N1840,9,0)=0,"",VLOOKUP(C3716,' Disaggregation - Section E '!A$618:N1840,9,0)),"")</f>
        <v/>
      </c>
      <c r="P3716" s="503" t="str">
        <f ca="1">IFERROR(IF(VLOOKUP(C3716,' Disaggregation - Section E '!A$618:N1840,10,0)=0,"",VLOOKUP(C3716,' Disaggregation - Section E '!A$618:N1840,10,0)),"")</f>
        <v/>
      </c>
    </row>
    <row r="3717" spans="1:16" x14ac:dyDescent="0.35">
      <c r="A3717" s="497" t="b">
        <f t="shared" ca="1" si="226"/>
        <v>0</v>
      </c>
      <c r="B3717" s="497"/>
      <c r="C3717" s="510" t="str">
        <f ca="1">IF(COUNTA(D$2498:D3717)=1,"",OFFSET(B3715,-COUNTA(D$2498:D3717)+3,1))</f>
        <v>a163p000004NtLrAAK</v>
      </c>
      <c r="D3717" s="512"/>
      <c r="E3717" s="500" t="str">
        <f ca="1">IFERROR(IF(VLOOKUP(C3717,' Disaggregation - Section E '!A$618:N1841,7,0)="","",VLOOKUP(C3717,' Disaggregation - Section E '!A$618:N1841,7,0)*100),"")</f>
        <v/>
      </c>
      <c r="F3717" s="503" t="str">
        <f ca="1">IFERROR(VLOOKUP(C3717,' Disaggregation - Section E '!A$618:N1841,5,0),"")</f>
        <v/>
      </c>
      <c r="G3717" s="502" t="str">
        <f ca="1">IFERROR(IF(VLOOKUP(C3717,' Disaggregation - Section E '!A$618:N1841,6,0)="","",VLOOKUP(C3717,' Disaggregation - Section E '!A$618:N1841,6,0)),"")</f>
        <v/>
      </c>
      <c r="H3717" s="512" t="str">
        <f ca="1">IFERROR(IF(INDEX(' Disaggregation - Section E '!F$618:F3038,MATCH(C3717,' Disaggregation - Section E '!A$618:A3038,0)+1,1)&lt;&gt;0,INDEX(' Disaggregation - Section E '!F$618:F$1820,MATCH(C3717,' Disaggregation - Section E '!A$618:A3038,0)+1,1),""),"")</f>
        <v/>
      </c>
      <c r="I3717" s="503" t="str">
        <f ca="1">IFERROR(IF(VLOOKUP(C3717,' Disaggregation - Section E '!A$618:N1841,8,0)=0,"",VLOOKUP(C3717,' Disaggregation - Section E '!A$618:N1841,8,0)),"")</f>
        <v/>
      </c>
      <c r="J3717" s="503" t="str">
        <f ca="1">IFERROR(IF(VLOOKUP(C3717,' Disaggregation - Section E '!A$618:N3038,13,0)=0,"",VLOOKUP(C3717,' Disaggregation - Section E '!A$618:N3038,13,0)),"")</f>
        <v/>
      </c>
      <c r="K3717" s="497" t="str">
        <f ca="1">IFERROR(VLOOKUP(C3717,' Disaggregation - Section E '!A$618:N1841,3,0),"")</f>
        <v>HTS-Other 1 Porcentaje de resultados de VIH positivos entre el total de pruebas de VIH realizadas en HSH</v>
      </c>
      <c r="L3717" s="497"/>
      <c r="M3717" s="497" t="str">
        <f ca="1">IFERROR(IF(VLOOKUP(C3717,' Disaggregation - Section E '!A$618:T1841,20,0)=0,"",VLOOKUP(C3717,' Disaggregation - Section E '!A$618:T1841,20,0)),"")</f>
        <v/>
      </c>
      <c r="N3717" s="503" t="str">
        <f ca="1">IFERROR(IF(VLOOKUP(C3717,' Disaggregation - Section E '!A$618:N1841,14,0)=0,"",VLOOKUP(C3717,' Disaggregation - Section E '!A$618:N1841,14,0)),"")</f>
        <v/>
      </c>
      <c r="O3717" s="503" t="str">
        <f ca="1">IFERROR(IF(VLOOKUP(C3717,' Disaggregation - Section E '!A$618:N1841,9,0)=0,"",VLOOKUP(C3717,' Disaggregation - Section E '!A$618:N1841,9,0)),"")</f>
        <v/>
      </c>
      <c r="P3717" s="503" t="str">
        <f ca="1">IFERROR(IF(VLOOKUP(C3717,' Disaggregation - Section E '!A$618:N1841,10,0)=0,"",VLOOKUP(C3717,' Disaggregation - Section E '!A$618:N1841,10,0)),"")</f>
        <v/>
      </c>
    </row>
    <row r="3718" spans="1:16" x14ac:dyDescent="0.35">
      <c r="A3718" s="497" t="b">
        <f t="shared" ca="1" si="226"/>
        <v>0</v>
      </c>
      <c r="B3718" s="497"/>
      <c r="C3718" s="510" t="str">
        <f ca="1">IF(COUNTA(D$2498:D3718)=1,"",OFFSET(B3716,-COUNTA(D$2498:D3718)+3,1))</f>
        <v>a163p000004NtLsAAK</v>
      </c>
      <c r="D3718" s="512"/>
      <c r="E3718" s="500" t="str">
        <f ca="1">IFERROR(IF(VLOOKUP(C3718,' Disaggregation - Section E '!A$618:N1842,7,0)="","",VLOOKUP(C3718,' Disaggregation - Section E '!A$618:N1842,7,0)*100),"")</f>
        <v/>
      </c>
      <c r="F3718" s="503" t="str">
        <f ca="1">IFERROR(VLOOKUP(C3718,' Disaggregation - Section E '!A$618:N1842,5,0),"")</f>
        <v/>
      </c>
      <c r="G3718" s="502" t="str">
        <f ca="1">IFERROR(IF(VLOOKUP(C3718,' Disaggregation - Section E '!A$618:N1842,6,0)="","",VLOOKUP(C3718,' Disaggregation - Section E '!A$618:N1842,6,0)),"")</f>
        <v/>
      </c>
      <c r="H3718" s="512" t="str">
        <f ca="1">IFERROR(IF(INDEX(' Disaggregation - Section E '!F$618:F3039,MATCH(C3718,' Disaggregation - Section E '!A$618:A3039,0)+1,1)&lt;&gt;0,INDEX(' Disaggregation - Section E '!F$618:F$1820,MATCH(C3718,' Disaggregation - Section E '!A$618:A3039,0)+1,1),""),"")</f>
        <v/>
      </c>
      <c r="I3718" s="503" t="str">
        <f ca="1">IFERROR(IF(VLOOKUP(C3718,' Disaggregation - Section E '!A$618:N1842,8,0)=0,"",VLOOKUP(C3718,' Disaggregation - Section E '!A$618:N1842,8,0)),"")</f>
        <v/>
      </c>
      <c r="J3718" s="503" t="str">
        <f ca="1">IFERROR(IF(VLOOKUP(C3718,' Disaggregation - Section E '!A$618:N3039,13,0)=0,"",VLOOKUP(C3718,' Disaggregation - Section E '!A$618:N3039,13,0)),"")</f>
        <v/>
      </c>
      <c r="K3718" s="497" t="str">
        <f ca="1">IFERROR(VLOOKUP(C3718,' Disaggregation - Section E '!A$618:N1842,3,0),"")</f>
        <v>HTS-Other 1 Porcentaje de resultados de VIH positivos entre el total de pruebas de VIH realizadas en HSH</v>
      </c>
      <c r="L3718" s="497"/>
      <c r="M3718" s="497" t="str">
        <f ca="1">IFERROR(IF(VLOOKUP(C3718,' Disaggregation - Section E '!A$618:T1842,20,0)=0,"",VLOOKUP(C3718,' Disaggregation - Section E '!A$618:T1842,20,0)),"")</f>
        <v/>
      </c>
      <c r="N3718" s="503" t="str">
        <f ca="1">IFERROR(IF(VLOOKUP(C3718,' Disaggregation - Section E '!A$618:N1842,14,0)=0,"",VLOOKUP(C3718,' Disaggregation - Section E '!A$618:N1842,14,0)),"")</f>
        <v/>
      </c>
      <c r="O3718" s="503" t="str">
        <f ca="1">IFERROR(IF(VLOOKUP(C3718,' Disaggregation - Section E '!A$618:N1842,9,0)=0,"",VLOOKUP(C3718,' Disaggregation - Section E '!A$618:N1842,9,0)),"")</f>
        <v/>
      </c>
      <c r="P3718" s="503" t="str">
        <f ca="1">IFERROR(IF(VLOOKUP(C3718,' Disaggregation - Section E '!A$618:N1842,10,0)=0,"",VLOOKUP(C3718,' Disaggregation - Section E '!A$618:N1842,10,0)),"")</f>
        <v/>
      </c>
    </row>
    <row r="3719" spans="1:16" x14ac:dyDescent="0.35">
      <c r="A3719" s="497" t="b">
        <f t="shared" ca="1" si="226"/>
        <v>0</v>
      </c>
      <c r="B3719" s="497"/>
      <c r="C3719" s="510" t="str">
        <f ca="1">IF(COUNTA(D$2498:D3719)=1,"",OFFSET(B3717,-COUNTA(D$2498:D3719)+3,1))</f>
        <v>a163p000004NtLtAAK</v>
      </c>
      <c r="D3719" s="512"/>
      <c r="E3719" s="500" t="str">
        <f ca="1">IFERROR(IF(VLOOKUP(C3719,' Disaggregation - Section E '!A$618:N1843,7,0)="","",VLOOKUP(C3719,' Disaggregation - Section E '!A$618:N1843,7,0)*100),"")</f>
        <v/>
      </c>
      <c r="F3719" s="503" t="str">
        <f ca="1">IFERROR(VLOOKUP(C3719,' Disaggregation - Section E '!A$618:N1843,5,0),"")</f>
        <v/>
      </c>
      <c r="G3719" s="502" t="str">
        <f ca="1">IFERROR(IF(VLOOKUP(C3719,' Disaggregation - Section E '!A$618:N1843,6,0)="","",VLOOKUP(C3719,' Disaggregation - Section E '!A$618:N1843,6,0)),"")</f>
        <v/>
      </c>
      <c r="H3719" s="512" t="str">
        <f ca="1">IFERROR(IF(INDEX(' Disaggregation - Section E '!F$618:F3040,MATCH(C3719,' Disaggregation - Section E '!A$618:A3040,0)+1,1)&lt;&gt;0,INDEX(' Disaggregation - Section E '!F$618:F$1820,MATCH(C3719,' Disaggregation - Section E '!A$618:A3040,0)+1,1),""),"")</f>
        <v/>
      </c>
      <c r="I3719" s="503" t="str">
        <f ca="1">IFERROR(IF(VLOOKUP(C3719,' Disaggregation - Section E '!A$618:N1843,8,0)=0,"",VLOOKUP(C3719,' Disaggregation - Section E '!A$618:N1843,8,0)),"")</f>
        <v/>
      </c>
      <c r="J3719" s="503" t="str">
        <f ca="1">IFERROR(IF(VLOOKUP(C3719,' Disaggregation - Section E '!A$618:N3040,13,0)=0,"",VLOOKUP(C3719,' Disaggregation - Section E '!A$618:N3040,13,0)),"")</f>
        <v/>
      </c>
      <c r="K3719" s="497" t="str">
        <f ca="1">IFERROR(VLOOKUP(C3719,' Disaggregation - Section E '!A$618:N1843,3,0),"")</f>
        <v>HTS-Other 1 Porcentaje de resultados de VIH positivos entre el total de pruebas de VIH realizadas en HSH</v>
      </c>
      <c r="L3719" s="497"/>
      <c r="M3719" s="497" t="str">
        <f ca="1">IFERROR(IF(VLOOKUP(C3719,' Disaggregation - Section E '!A$618:T1843,20,0)=0,"",VLOOKUP(C3719,' Disaggregation - Section E '!A$618:T1843,20,0)),"")</f>
        <v/>
      </c>
      <c r="N3719" s="503" t="str">
        <f ca="1">IFERROR(IF(VLOOKUP(C3719,' Disaggregation - Section E '!A$618:N1843,14,0)=0,"",VLOOKUP(C3719,' Disaggregation - Section E '!A$618:N1843,14,0)),"")</f>
        <v/>
      </c>
      <c r="O3719" s="503" t="str">
        <f ca="1">IFERROR(IF(VLOOKUP(C3719,' Disaggregation - Section E '!A$618:N1843,9,0)=0,"",VLOOKUP(C3719,' Disaggregation - Section E '!A$618:N1843,9,0)),"")</f>
        <v/>
      </c>
      <c r="P3719" s="503" t="str">
        <f ca="1">IFERROR(IF(VLOOKUP(C3719,' Disaggregation - Section E '!A$618:N1843,10,0)=0,"",VLOOKUP(C3719,' Disaggregation - Section E '!A$618:N1843,10,0)),"")</f>
        <v/>
      </c>
    </row>
    <row r="3720" spans="1:16" x14ac:dyDescent="0.35">
      <c r="A3720" s="497" t="b">
        <f t="shared" ca="1" si="226"/>
        <v>0</v>
      </c>
      <c r="B3720" s="497"/>
      <c r="C3720" s="510" t="str">
        <f ca="1">IF(COUNTA(D$2498:D3720)=1,"",OFFSET(B3718,-COUNTA(D$2498:D3720)+3,1))</f>
        <v>a163p000004NtVGAA0</v>
      </c>
      <c r="D3720" s="512"/>
      <c r="E3720" s="500" t="str">
        <f ca="1">IFERROR(IF(VLOOKUP(C3720,' Disaggregation - Section E '!A$618:N1844,7,0)="","",VLOOKUP(C3720,' Disaggregation - Section E '!A$618:N1844,7,0)*100),"")</f>
        <v/>
      </c>
      <c r="F3720" s="503" t="str">
        <f ca="1">IFERROR(VLOOKUP(C3720,' Disaggregation - Section E '!A$618:N1844,5,0),"")</f>
        <v/>
      </c>
      <c r="G3720" s="502" t="str">
        <f ca="1">IFERROR(IF(VLOOKUP(C3720,' Disaggregation - Section E '!A$618:N1844,6,0)="","",VLOOKUP(C3720,' Disaggregation - Section E '!A$618:N1844,6,0)),"")</f>
        <v/>
      </c>
      <c r="H3720" s="512" t="str">
        <f ca="1">IFERROR(IF(INDEX(' Disaggregation - Section E '!F$618:F3041,MATCH(C3720,' Disaggregation - Section E '!A$618:A3041,0)+1,1)&lt;&gt;0,INDEX(' Disaggregation - Section E '!F$618:F$1820,MATCH(C3720,' Disaggregation - Section E '!A$618:A3041,0)+1,1),""),"")</f>
        <v/>
      </c>
      <c r="I3720" s="503" t="str">
        <f ca="1">IFERROR(IF(VLOOKUP(C3720,' Disaggregation - Section E '!A$618:N1844,8,0)=0,"",VLOOKUP(C3720,' Disaggregation - Section E '!A$618:N1844,8,0)),"")</f>
        <v/>
      </c>
      <c r="J3720" s="503" t="str">
        <f ca="1">IFERROR(IF(VLOOKUP(C3720,' Disaggregation - Section E '!A$618:N3041,13,0)=0,"",VLOOKUP(C3720,' Disaggregation - Section E '!A$618:N3041,13,0)),"")</f>
        <v/>
      </c>
      <c r="K3720" s="497" t="str">
        <f ca="1">IFERROR(VLOOKUP(C3720,' Disaggregation - Section E '!A$618:N1844,3,0),"")</f>
        <v>MDR TB-6 Porcentaje de pacientes con tuberculosis y resultados de sensibilidad a los fármacos al menos con respecto a la rifampicina entre el número total de casos notificados (nuevos y vueltos a tratar) en el mismo año.</v>
      </c>
      <c r="L3720" s="497"/>
      <c r="M3720" s="497" t="str">
        <f ca="1">IFERROR(IF(VLOOKUP(C3720,' Disaggregation - Section E '!A$618:T1844,20,0)=0,"",VLOOKUP(C3720,' Disaggregation - Section E '!A$618:T1844,20,0)),"")</f>
        <v/>
      </c>
      <c r="N3720" s="503" t="str">
        <f ca="1">IFERROR(IF(VLOOKUP(C3720,' Disaggregation - Section E '!A$618:N1844,14,0)=0,"",VLOOKUP(C3720,' Disaggregation - Section E '!A$618:N1844,14,0)),"")</f>
        <v/>
      </c>
      <c r="O3720" s="503" t="str">
        <f ca="1">IFERROR(IF(VLOOKUP(C3720,' Disaggregation - Section E '!A$618:N1844,9,0)=0,"",VLOOKUP(C3720,' Disaggregation - Section E '!A$618:N1844,9,0)),"")</f>
        <v/>
      </c>
      <c r="P3720" s="503" t="str">
        <f ca="1">IFERROR(IF(VLOOKUP(C3720,' Disaggregation - Section E '!A$618:N1844,10,0)=0,"",VLOOKUP(C3720,' Disaggregation - Section E '!A$618:N1844,10,0)),"")</f>
        <v/>
      </c>
    </row>
    <row r="3721" spans="1:16" x14ac:dyDescent="0.35">
      <c r="A3721" s="497" t="b">
        <f t="shared" ca="1" si="226"/>
        <v>0</v>
      </c>
      <c r="B3721" s="497"/>
      <c r="C3721" s="510" t="str">
        <f ca="1">IF(COUNTA(D$2498:D3721)=1,"",OFFSET(B3719,-COUNTA(D$2498:D3721)+3,1))</f>
        <v>a163p000004NtVHAA0</v>
      </c>
      <c r="D3721" s="512"/>
      <c r="E3721" s="500" t="str">
        <f ca="1">IFERROR(IF(VLOOKUP(C3721,' Disaggregation - Section E '!A$618:N1845,7,0)="","",VLOOKUP(C3721,' Disaggregation - Section E '!A$618:N1845,7,0)*100),"")</f>
        <v/>
      </c>
      <c r="F3721" s="503" t="str">
        <f ca="1">IFERROR(VLOOKUP(C3721,' Disaggregation - Section E '!A$618:N1845,5,0),"")</f>
        <v/>
      </c>
      <c r="G3721" s="502" t="str">
        <f ca="1">IFERROR(IF(VLOOKUP(C3721,' Disaggregation - Section E '!A$618:N1845,6,0)="","",VLOOKUP(C3721,' Disaggregation - Section E '!A$618:N1845,6,0)),"")</f>
        <v/>
      </c>
      <c r="H3721" s="512" t="str">
        <f ca="1">IFERROR(IF(INDEX(' Disaggregation - Section E '!F$618:F3042,MATCH(C3721,' Disaggregation - Section E '!A$618:A3042,0)+1,1)&lt;&gt;0,INDEX(' Disaggregation - Section E '!F$618:F$1820,MATCH(C3721,' Disaggregation - Section E '!A$618:A3042,0)+1,1),""),"")</f>
        <v/>
      </c>
      <c r="I3721" s="503" t="str">
        <f ca="1">IFERROR(IF(VLOOKUP(C3721,' Disaggregation - Section E '!A$618:N1845,8,0)=0,"",VLOOKUP(C3721,' Disaggregation - Section E '!A$618:N1845,8,0)),"")</f>
        <v/>
      </c>
      <c r="J3721" s="503" t="str">
        <f ca="1">IFERROR(IF(VLOOKUP(C3721,' Disaggregation - Section E '!A$618:N3042,13,0)=0,"",VLOOKUP(C3721,' Disaggregation - Section E '!A$618:N3042,13,0)),"")</f>
        <v/>
      </c>
      <c r="K3721" s="497" t="str">
        <f ca="1">IFERROR(VLOOKUP(C3721,' Disaggregation - Section E '!A$618:N1845,3,0),"")</f>
        <v>MDR TB-6 Porcentaje de pacientes con tuberculosis y resultados de sensibilidad a los fármacos al menos con respecto a la rifampicina entre el número total de casos notificados (nuevos y vueltos a tratar) en el mismo año.</v>
      </c>
      <c r="L3721" s="497"/>
      <c r="M3721" s="497" t="str">
        <f ca="1">IFERROR(IF(VLOOKUP(C3721,' Disaggregation - Section E '!A$618:T1845,20,0)=0,"",VLOOKUP(C3721,' Disaggregation - Section E '!A$618:T1845,20,0)),"")</f>
        <v/>
      </c>
      <c r="N3721" s="503" t="str">
        <f ca="1">IFERROR(IF(VLOOKUP(C3721,' Disaggregation - Section E '!A$618:N1845,14,0)=0,"",VLOOKUP(C3721,' Disaggregation - Section E '!A$618:N1845,14,0)),"")</f>
        <v/>
      </c>
      <c r="O3721" s="503" t="str">
        <f ca="1">IFERROR(IF(VLOOKUP(C3721,' Disaggregation - Section E '!A$618:N1845,9,0)=0,"",VLOOKUP(C3721,' Disaggregation - Section E '!A$618:N1845,9,0)),"")</f>
        <v/>
      </c>
      <c r="P3721" s="503" t="str">
        <f ca="1">IFERROR(IF(VLOOKUP(C3721,' Disaggregation - Section E '!A$618:N1845,10,0)=0,"",VLOOKUP(C3721,' Disaggregation - Section E '!A$618:N1845,10,0)),"")</f>
        <v/>
      </c>
    </row>
    <row r="3722" spans="1:16" x14ac:dyDescent="0.35">
      <c r="A3722" s="497" t="b">
        <f t="shared" ca="1" si="226"/>
        <v>0</v>
      </c>
      <c r="B3722" s="497"/>
      <c r="C3722" s="510" t="str">
        <f ca="1">IF(COUNTA(D$2498:D3722)=1,"",OFFSET(B3720,-COUNTA(D$2498:D3722)+3,1))</f>
        <v>a163p000004NtVIAA0</v>
      </c>
      <c r="D3722" s="512"/>
      <c r="E3722" s="500" t="str">
        <f ca="1">IFERROR(IF(VLOOKUP(C3722,' Disaggregation - Section E '!A$618:N1846,7,0)="","",VLOOKUP(C3722,' Disaggregation - Section E '!A$618:N1846,7,0)*100),"")</f>
        <v/>
      </c>
      <c r="F3722" s="503" t="str">
        <f ca="1">IFERROR(VLOOKUP(C3722,' Disaggregation - Section E '!A$618:N1846,5,0),"")</f>
        <v/>
      </c>
      <c r="G3722" s="502" t="str">
        <f ca="1">IFERROR(IF(VLOOKUP(C3722,' Disaggregation - Section E '!A$618:N1846,6,0)="","",VLOOKUP(C3722,' Disaggregation - Section E '!A$618:N1846,6,0)),"")</f>
        <v/>
      </c>
      <c r="H3722" s="512" t="str">
        <f ca="1">IFERROR(IF(INDEX(' Disaggregation - Section E '!F$618:F3043,MATCH(C3722,' Disaggregation - Section E '!A$618:A3043,0)+1,1)&lt;&gt;0,INDEX(' Disaggregation - Section E '!F$618:F$1820,MATCH(C3722,' Disaggregation - Section E '!A$618:A3043,0)+1,1),""),"")</f>
        <v/>
      </c>
      <c r="I3722" s="503" t="str">
        <f ca="1">IFERROR(IF(VLOOKUP(C3722,' Disaggregation - Section E '!A$618:N1846,8,0)=0,"",VLOOKUP(C3722,' Disaggregation - Section E '!A$618:N1846,8,0)),"")</f>
        <v/>
      </c>
      <c r="J3722" s="503" t="str">
        <f ca="1">IFERROR(IF(VLOOKUP(C3722,' Disaggregation - Section E '!A$618:N3043,13,0)=0,"",VLOOKUP(C3722,' Disaggregation - Section E '!A$618:N3043,13,0)),"")</f>
        <v/>
      </c>
      <c r="K3722" s="497" t="str">
        <f ca="1">IFERROR(VLOOKUP(C3722,' Disaggregation - Section E '!A$618:N1846,3,0),"")</f>
        <v>MDR TB-6 Porcentaje de pacientes con tuberculosis y resultados de sensibilidad a los fármacos al menos con respecto a la rifampicina entre el número total de casos notificados (nuevos y vueltos a tratar) en el mismo año.</v>
      </c>
      <c r="L3722" s="497"/>
      <c r="M3722" s="497" t="str">
        <f ca="1">IFERROR(IF(VLOOKUP(C3722,' Disaggregation - Section E '!A$618:T1846,20,0)=0,"",VLOOKUP(C3722,' Disaggregation - Section E '!A$618:T1846,20,0)),"")</f>
        <v/>
      </c>
      <c r="N3722" s="503" t="str">
        <f ca="1">IFERROR(IF(VLOOKUP(C3722,' Disaggregation - Section E '!A$618:N1846,14,0)=0,"",VLOOKUP(C3722,' Disaggregation - Section E '!A$618:N1846,14,0)),"")</f>
        <v/>
      </c>
      <c r="O3722" s="503" t="str">
        <f ca="1">IFERROR(IF(VLOOKUP(C3722,' Disaggregation - Section E '!A$618:N1846,9,0)=0,"",VLOOKUP(C3722,' Disaggregation - Section E '!A$618:N1846,9,0)),"")</f>
        <v/>
      </c>
      <c r="P3722" s="503" t="str">
        <f ca="1">IFERROR(IF(VLOOKUP(C3722,' Disaggregation - Section E '!A$618:N1846,10,0)=0,"",VLOOKUP(C3722,' Disaggregation - Section E '!A$618:N1846,10,0)),"")</f>
        <v/>
      </c>
    </row>
    <row r="3723" spans="1:16" x14ac:dyDescent="0.35">
      <c r="A3723" s="497" t="b">
        <f t="shared" ca="1" si="226"/>
        <v>0</v>
      </c>
      <c r="B3723" s="497"/>
      <c r="C3723" s="510" t="str">
        <f ca="1">IF(COUNTA(D$2498:D3723)=1,"",OFFSET(B3721,-COUNTA(D$2498:D3723)+3,1))</f>
        <v>a163p000004NtVJAA0</v>
      </c>
      <c r="D3723" s="512"/>
      <c r="E3723" s="500" t="str">
        <f ca="1">IFERROR(IF(VLOOKUP(C3723,' Disaggregation - Section E '!A$618:N1847,7,0)="","",VLOOKUP(C3723,' Disaggregation - Section E '!A$618:N1847,7,0)*100),"")</f>
        <v/>
      </c>
      <c r="F3723" s="503" t="str">
        <f ca="1">IFERROR(VLOOKUP(C3723,' Disaggregation - Section E '!A$618:N1847,5,0),"")</f>
        <v/>
      </c>
      <c r="G3723" s="502" t="str">
        <f ca="1">IFERROR(IF(VLOOKUP(C3723,' Disaggregation - Section E '!A$618:N1847,6,0)="","",VLOOKUP(C3723,' Disaggregation - Section E '!A$618:N1847,6,0)),"")</f>
        <v/>
      </c>
      <c r="H3723" s="512" t="str">
        <f ca="1">IFERROR(IF(INDEX(' Disaggregation - Section E '!F$618:F3044,MATCH(C3723,' Disaggregation - Section E '!A$618:A3044,0)+1,1)&lt;&gt;0,INDEX(' Disaggregation - Section E '!F$618:F$1820,MATCH(C3723,' Disaggregation - Section E '!A$618:A3044,0)+1,1),""),"")</f>
        <v/>
      </c>
      <c r="I3723" s="503" t="str">
        <f ca="1">IFERROR(IF(VLOOKUP(C3723,' Disaggregation - Section E '!A$618:N1847,8,0)=0,"",VLOOKUP(C3723,' Disaggregation - Section E '!A$618:N1847,8,0)),"")</f>
        <v/>
      </c>
      <c r="J3723" s="503" t="str">
        <f ca="1">IFERROR(IF(VLOOKUP(C3723,' Disaggregation - Section E '!A$618:N3044,13,0)=0,"",VLOOKUP(C3723,' Disaggregation - Section E '!A$618:N3044,13,0)),"")</f>
        <v/>
      </c>
      <c r="K3723" s="497" t="str">
        <f ca="1">IFERROR(VLOOKUP(C3723,' Disaggregation - Section E '!A$618:N1847,3,0),"")</f>
        <v>MDR TB-6 Porcentaje de pacientes con tuberculosis y resultados de sensibilidad a los fármacos al menos con respecto a la rifampicina entre el número total de casos notificados (nuevos y vueltos a tratar) en el mismo año.</v>
      </c>
      <c r="L3723" s="497"/>
      <c r="M3723" s="497" t="str">
        <f ca="1">IFERROR(IF(VLOOKUP(C3723,' Disaggregation - Section E '!A$618:T1847,20,0)=0,"",VLOOKUP(C3723,' Disaggregation - Section E '!A$618:T1847,20,0)),"")</f>
        <v/>
      </c>
      <c r="N3723" s="503" t="str">
        <f ca="1">IFERROR(IF(VLOOKUP(C3723,' Disaggregation - Section E '!A$618:N1847,14,0)=0,"",VLOOKUP(C3723,' Disaggregation - Section E '!A$618:N1847,14,0)),"")</f>
        <v/>
      </c>
      <c r="O3723" s="503" t="str">
        <f ca="1">IFERROR(IF(VLOOKUP(C3723,' Disaggregation - Section E '!A$618:N1847,9,0)=0,"",VLOOKUP(C3723,' Disaggregation - Section E '!A$618:N1847,9,0)),"")</f>
        <v/>
      </c>
      <c r="P3723" s="503" t="str">
        <f ca="1">IFERROR(IF(VLOOKUP(C3723,' Disaggregation - Section E '!A$618:N1847,10,0)=0,"",VLOOKUP(C3723,' Disaggregation - Section E '!A$618:N1847,10,0)),"")</f>
        <v/>
      </c>
    </row>
    <row r="3724" spans="1:16" x14ac:dyDescent="0.35">
      <c r="A3724" s="497" t="b">
        <f t="shared" ca="1" si="226"/>
        <v>0</v>
      </c>
      <c r="B3724" s="497"/>
      <c r="C3724" s="510" t="str">
        <f ca="1">IF(COUNTA(D$2498:D3724)=1,"",OFFSET(B3722,-COUNTA(D$2498:D3724)+3,1))</f>
        <v>a163p000004NtVKAA0</v>
      </c>
      <c r="D3724" s="512"/>
      <c r="E3724" s="500" t="str">
        <f ca="1">IFERROR(IF(VLOOKUP(C3724,' Disaggregation - Section E '!A$618:N1848,7,0)="","",VLOOKUP(C3724,' Disaggregation - Section E '!A$618:N1848,7,0)*100),"")</f>
        <v/>
      </c>
      <c r="F3724" s="503" t="str">
        <f ca="1">IFERROR(VLOOKUP(C3724,' Disaggregation - Section E '!A$618:N1848,5,0),"")</f>
        <v/>
      </c>
      <c r="G3724" s="502" t="str">
        <f ca="1">IFERROR(IF(VLOOKUP(C3724,' Disaggregation - Section E '!A$618:N1848,6,0)="","",VLOOKUP(C3724,' Disaggregation - Section E '!A$618:N1848,6,0)),"")</f>
        <v/>
      </c>
      <c r="H3724" s="512" t="str">
        <f ca="1">IFERROR(IF(INDEX(' Disaggregation - Section E '!F$618:F3045,MATCH(C3724,' Disaggregation - Section E '!A$618:A3045,0)+1,1)&lt;&gt;0,INDEX(' Disaggregation - Section E '!F$618:F$1820,MATCH(C3724,' Disaggregation - Section E '!A$618:A3045,0)+1,1),""),"")</f>
        <v/>
      </c>
      <c r="I3724" s="503" t="str">
        <f ca="1">IFERROR(IF(VLOOKUP(C3724,' Disaggregation - Section E '!A$618:N1848,8,0)=0,"",VLOOKUP(C3724,' Disaggregation - Section E '!A$618:N1848,8,0)),"")</f>
        <v/>
      </c>
      <c r="J3724" s="503" t="str">
        <f ca="1">IFERROR(IF(VLOOKUP(C3724,' Disaggregation - Section E '!A$618:N3045,13,0)=0,"",VLOOKUP(C3724,' Disaggregation - Section E '!A$618:N3045,13,0)),"")</f>
        <v/>
      </c>
      <c r="K3724" s="497" t="str">
        <f ca="1">IFERROR(VLOOKUP(C3724,' Disaggregation - Section E '!A$618:N1848,3,0),"")</f>
        <v>MDR TB-6 Porcentaje de pacientes con tuberculosis y resultados de sensibilidad a los fármacos al menos con respecto a la rifampicina entre el número total de casos notificados (nuevos y vueltos a tratar) en el mismo año.</v>
      </c>
      <c r="L3724" s="497"/>
      <c r="M3724" s="497" t="str">
        <f ca="1">IFERROR(IF(VLOOKUP(C3724,' Disaggregation - Section E '!A$618:T1848,20,0)=0,"",VLOOKUP(C3724,' Disaggregation - Section E '!A$618:T1848,20,0)),"")</f>
        <v/>
      </c>
      <c r="N3724" s="503" t="str">
        <f ca="1">IFERROR(IF(VLOOKUP(C3724,' Disaggregation - Section E '!A$618:N1848,14,0)=0,"",VLOOKUP(C3724,' Disaggregation - Section E '!A$618:N1848,14,0)),"")</f>
        <v/>
      </c>
      <c r="O3724" s="503" t="str">
        <f ca="1">IFERROR(IF(VLOOKUP(C3724,' Disaggregation - Section E '!A$618:N1848,9,0)=0,"",VLOOKUP(C3724,' Disaggregation - Section E '!A$618:N1848,9,0)),"")</f>
        <v/>
      </c>
      <c r="P3724" s="503" t="str">
        <f ca="1">IFERROR(IF(VLOOKUP(C3724,' Disaggregation - Section E '!A$618:N1848,10,0)=0,"",VLOOKUP(C3724,' Disaggregation - Section E '!A$618:N1848,10,0)),"")</f>
        <v/>
      </c>
    </row>
    <row r="3725" spans="1:16" x14ac:dyDescent="0.35">
      <c r="A3725" s="497" t="b">
        <f t="shared" ca="1" si="226"/>
        <v>0</v>
      </c>
      <c r="B3725" s="497"/>
      <c r="C3725" s="510" t="str">
        <f ca="1">IF(COUNTA(D$2498:D3725)=1,"",OFFSET(B3723,-COUNTA(D$2498:D3725)+3,1))</f>
        <v>a163p000004NtVLAA0</v>
      </c>
      <c r="D3725" s="512"/>
      <c r="E3725" s="500" t="str">
        <f ca="1">IFERROR(IF(VLOOKUP(C3725,' Disaggregation - Section E '!A$618:N1849,7,0)="","",VLOOKUP(C3725,' Disaggregation - Section E '!A$618:N1849,7,0)*100),"")</f>
        <v/>
      </c>
      <c r="F3725" s="503" t="str">
        <f ca="1">IFERROR(VLOOKUP(C3725,' Disaggregation - Section E '!A$618:N1849,5,0),"")</f>
        <v/>
      </c>
      <c r="G3725" s="502" t="str">
        <f ca="1">IFERROR(IF(VLOOKUP(C3725,' Disaggregation - Section E '!A$618:N1849,6,0)="","",VLOOKUP(C3725,' Disaggregation - Section E '!A$618:N1849,6,0)),"")</f>
        <v/>
      </c>
      <c r="H3725" s="512" t="str">
        <f ca="1">IFERROR(IF(INDEX(' Disaggregation - Section E '!F$618:F3046,MATCH(C3725,' Disaggregation - Section E '!A$618:A3046,0)+1,1)&lt;&gt;0,INDEX(' Disaggregation - Section E '!F$618:F$1820,MATCH(C3725,' Disaggregation - Section E '!A$618:A3046,0)+1,1),""),"")</f>
        <v/>
      </c>
      <c r="I3725" s="503" t="str">
        <f ca="1">IFERROR(IF(VLOOKUP(C3725,' Disaggregation - Section E '!A$618:N1849,8,0)=0,"",VLOOKUP(C3725,' Disaggregation - Section E '!A$618:N1849,8,0)),"")</f>
        <v/>
      </c>
      <c r="J3725" s="503" t="str">
        <f ca="1">IFERROR(IF(VLOOKUP(C3725,' Disaggregation - Section E '!A$618:N3046,13,0)=0,"",VLOOKUP(C3725,' Disaggregation - Section E '!A$618:N3046,13,0)),"")</f>
        <v/>
      </c>
      <c r="K3725" s="497" t="str">
        <f ca="1">IFERROR(VLOOKUP(C3725,' Disaggregation - Section E '!A$618:N1849,3,0),"")</f>
        <v>MDR TB-6 Porcentaje de pacientes con tuberculosis y resultados de sensibilidad a los fármacos al menos con respecto a la rifampicina entre el número total de casos notificados (nuevos y vueltos a tratar) en el mismo año.</v>
      </c>
      <c r="L3725" s="497"/>
      <c r="M3725" s="497" t="str">
        <f ca="1">IFERROR(IF(VLOOKUP(C3725,' Disaggregation - Section E '!A$618:T1849,20,0)=0,"",VLOOKUP(C3725,' Disaggregation - Section E '!A$618:T1849,20,0)),"")</f>
        <v/>
      </c>
      <c r="N3725" s="503" t="str">
        <f ca="1">IFERROR(IF(VLOOKUP(C3725,' Disaggregation - Section E '!A$618:N1849,14,0)=0,"",VLOOKUP(C3725,' Disaggregation - Section E '!A$618:N1849,14,0)),"")</f>
        <v/>
      </c>
      <c r="O3725" s="503" t="str">
        <f ca="1">IFERROR(IF(VLOOKUP(C3725,' Disaggregation - Section E '!A$618:N1849,9,0)=0,"",VLOOKUP(C3725,' Disaggregation - Section E '!A$618:N1849,9,0)),"")</f>
        <v/>
      </c>
      <c r="P3725" s="503" t="str">
        <f ca="1">IFERROR(IF(VLOOKUP(C3725,' Disaggregation - Section E '!A$618:N1849,10,0)=0,"",VLOOKUP(C3725,' Disaggregation - Section E '!A$618:N1849,10,0)),"")</f>
        <v/>
      </c>
    </row>
    <row r="3726" spans="1:16" x14ac:dyDescent="0.35">
      <c r="A3726" s="497" t="b">
        <f t="shared" ca="1" si="226"/>
        <v>0</v>
      </c>
      <c r="B3726" s="497"/>
      <c r="C3726" s="510" t="str">
        <f ca="1">IF(COUNTA(D$2498:D3726)=1,"",OFFSET(B3724,-COUNTA(D$2498:D3726)+3,1))</f>
        <v>a163p000004NtVMAA0</v>
      </c>
      <c r="D3726" s="512"/>
      <c r="E3726" s="500" t="str">
        <f ca="1">IFERROR(IF(VLOOKUP(C3726,' Disaggregation - Section E '!A$618:N1850,7,0)="","",VLOOKUP(C3726,' Disaggregation - Section E '!A$618:N1850,7,0)*100),"")</f>
        <v/>
      </c>
      <c r="F3726" s="503" t="str">
        <f ca="1">IFERROR(VLOOKUP(C3726,' Disaggregation - Section E '!A$618:N1850,5,0),"")</f>
        <v/>
      </c>
      <c r="G3726" s="502" t="str">
        <f ca="1">IFERROR(IF(VLOOKUP(C3726,' Disaggregation - Section E '!A$618:N1850,6,0)="","",VLOOKUP(C3726,' Disaggregation - Section E '!A$618:N1850,6,0)),"")</f>
        <v/>
      </c>
      <c r="H3726" s="512" t="str">
        <f ca="1">IFERROR(IF(INDEX(' Disaggregation - Section E '!F$618:F3047,MATCH(C3726,' Disaggregation - Section E '!A$618:A3047,0)+1,1)&lt;&gt;0,INDEX(' Disaggregation - Section E '!F$618:F$1820,MATCH(C3726,' Disaggregation - Section E '!A$618:A3047,0)+1,1),""),"")</f>
        <v/>
      </c>
      <c r="I3726" s="503" t="str">
        <f ca="1">IFERROR(IF(VLOOKUP(C3726,' Disaggregation - Section E '!A$618:N1850,8,0)=0,"",VLOOKUP(C3726,' Disaggregation - Section E '!A$618:N1850,8,0)),"")</f>
        <v/>
      </c>
      <c r="J3726" s="503" t="str">
        <f ca="1">IFERROR(IF(VLOOKUP(C3726,' Disaggregation - Section E '!A$618:N3047,13,0)=0,"",VLOOKUP(C3726,' Disaggregation - Section E '!A$618:N3047,13,0)),"")</f>
        <v/>
      </c>
      <c r="K3726" s="497" t="str">
        <f ca="1">IFERROR(VLOOKUP(C3726,' Disaggregation - Section E '!A$618:N1850,3,0),"")</f>
        <v>MDR TB-6 Porcentaje de pacientes con tuberculosis y resultados de sensibilidad a los fármacos al menos con respecto a la rifampicina entre el número total de casos notificados (nuevos y vueltos a tratar) en el mismo año.</v>
      </c>
      <c r="L3726" s="497"/>
      <c r="M3726" s="497" t="str">
        <f ca="1">IFERROR(IF(VLOOKUP(C3726,' Disaggregation - Section E '!A$618:T1850,20,0)=0,"",VLOOKUP(C3726,' Disaggregation - Section E '!A$618:T1850,20,0)),"")</f>
        <v/>
      </c>
      <c r="N3726" s="503" t="str">
        <f ca="1">IFERROR(IF(VLOOKUP(C3726,' Disaggregation - Section E '!A$618:N1850,14,0)=0,"",VLOOKUP(C3726,' Disaggregation - Section E '!A$618:N1850,14,0)),"")</f>
        <v/>
      </c>
      <c r="O3726" s="503" t="str">
        <f ca="1">IFERROR(IF(VLOOKUP(C3726,' Disaggregation - Section E '!A$618:N1850,9,0)=0,"",VLOOKUP(C3726,' Disaggregation - Section E '!A$618:N1850,9,0)),"")</f>
        <v/>
      </c>
      <c r="P3726" s="503" t="str">
        <f ca="1">IFERROR(IF(VLOOKUP(C3726,' Disaggregation - Section E '!A$618:N1850,10,0)=0,"",VLOOKUP(C3726,' Disaggregation - Section E '!A$618:N1850,10,0)),"")</f>
        <v/>
      </c>
    </row>
    <row r="3727" spans="1:16" x14ac:dyDescent="0.35">
      <c r="A3727" s="497" t="b">
        <f t="shared" ca="1" si="226"/>
        <v>0</v>
      </c>
      <c r="B3727" s="497"/>
      <c r="C3727" s="510" t="str">
        <f ca="1">IF(COUNTA(D$2498:D3727)=1,"",OFFSET(B3725,-COUNTA(D$2498:D3727)+3,1))</f>
        <v>a163p000004NtVNAA0</v>
      </c>
      <c r="D3727" s="512"/>
      <c r="E3727" s="500" t="str">
        <f ca="1">IFERROR(IF(VLOOKUP(C3727,' Disaggregation - Section E '!A$618:N1851,7,0)="","",VLOOKUP(C3727,' Disaggregation - Section E '!A$618:N1851,7,0)*100),"")</f>
        <v/>
      </c>
      <c r="F3727" s="503" t="str">
        <f ca="1">IFERROR(VLOOKUP(C3727,' Disaggregation - Section E '!A$618:N1851,5,0),"")</f>
        <v/>
      </c>
      <c r="G3727" s="502" t="str">
        <f ca="1">IFERROR(IF(VLOOKUP(C3727,' Disaggregation - Section E '!A$618:N1851,6,0)="","",VLOOKUP(C3727,' Disaggregation - Section E '!A$618:N1851,6,0)),"")</f>
        <v/>
      </c>
      <c r="H3727" s="512" t="str">
        <f ca="1">IFERROR(IF(INDEX(' Disaggregation - Section E '!F$618:F3048,MATCH(C3727,' Disaggregation - Section E '!A$618:A3048,0)+1,1)&lt;&gt;0,INDEX(' Disaggregation - Section E '!F$618:F$1820,MATCH(C3727,' Disaggregation - Section E '!A$618:A3048,0)+1,1),""),"")</f>
        <v/>
      </c>
      <c r="I3727" s="503" t="str">
        <f ca="1">IFERROR(IF(VLOOKUP(C3727,' Disaggregation - Section E '!A$618:N1851,8,0)=0,"",VLOOKUP(C3727,' Disaggregation - Section E '!A$618:N1851,8,0)),"")</f>
        <v/>
      </c>
      <c r="J3727" s="503" t="str">
        <f ca="1">IFERROR(IF(VLOOKUP(C3727,' Disaggregation - Section E '!A$618:N3048,13,0)=0,"",VLOOKUP(C3727,' Disaggregation - Section E '!A$618:N3048,13,0)),"")</f>
        <v/>
      </c>
      <c r="K3727" s="497" t="str">
        <f ca="1">IFERROR(VLOOKUP(C3727,' Disaggregation - Section E '!A$618:N1851,3,0),"")</f>
        <v>MDR TB-6 Porcentaje de pacientes con tuberculosis y resultados de sensibilidad a los fármacos al menos con respecto a la rifampicina entre el número total de casos notificados (nuevos y vueltos a tratar) en el mismo año.</v>
      </c>
      <c r="L3727" s="497"/>
      <c r="M3727" s="497" t="str">
        <f ca="1">IFERROR(IF(VLOOKUP(C3727,' Disaggregation - Section E '!A$618:T1851,20,0)=0,"",VLOOKUP(C3727,' Disaggregation - Section E '!A$618:T1851,20,0)),"")</f>
        <v/>
      </c>
      <c r="N3727" s="503" t="str">
        <f ca="1">IFERROR(IF(VLOOKUP(C3727,' Disaggregation - Section E '!A$618:N1851,14,0)=0,"",VLOOKUP(C3727,' Disaggregation - Section E '!A$618:N1851,14,0)),"")</f>
        <v/>
      </c>
      <c r="O3727" s="503" t="str">
        <f ca="1">IFERROR(IF(VLOOKUP(C3727,' Disaggregation - Section E '!A$618:N1851,9,0)=0,"",VLOOKUP(C3727,' Disaggregation - Section E '!A$618:N1851,9,0)),"")</f>
        <v/>
      </c>
      <c r="P3727" s="503" t="str">
        <f ca="1">IFERROR(IF(VLOOKUP(C3727,' Disaggregation - Section E '!A$618:N1851,10,0)=0,"",VLOOKUP(C3727,' Disaggregation - Section E '!A$618:N1851,10,0)),"")</f>
        <v/>
      </c>
    </row>
    <row r="3728" spans="1:16" x14ac:dyDescent="0.35">
      <c r="A3728" s="497" t="b">
        <f t="shared" ca="1" si="226"/>
        <v>0</v>
      </c>
      <c r="B3728" s="497"/>
      <c r="C3728" s="510" t="str">
        <f ca="1">IF(COUNTA(D$2498:D3728)=1,"",OFFSET(B3726,-COUNTA(D$2498:D3728)+3,1))</f>
        <v>a163p000004NtVOAA0</v>
      </c>
      <c r="D3728" s="512"/>
      <c r="E3728" s="500" t="str">
        <f ca="1">IFERROR(IF(VLOOKUP(C3728,' Disaggregation - Section E '!A$618:N1852,7,0)="","",VLOOKUP(C3728,' Disaggregation - Section E '!A$618:N1852,7,0)*100),"")</f>
        <v/>
      </c>
      <c r="F3728" s="503" t="str">
        <f ca="1">IFERROR(VLOOKUP(C3728,' Disaggregation - Section E '!A$618:N1852,5,0),"")</f>
        <v/>
      </c>
      <c r="G3728" s="502" t="str">
        <f ca="1">IFERROR(IF(VLOOKUP(C3728,' Disaggregation - Section E '!A$618:N1852,6,0)="","",VLOOKUP(C3728,' Disaggregation - Section E '!A$618:N1852,6,0)),"")</f>
        <v/>
      </c>
      <c r="H3728" s="512" t="str">
        <f ca="1">IFERROR(IF(INDEX(' Disaggregation - Section E '!F$618:F3049,MATCH(C3728,' Disaggregation - Section E '!A$618:A3049,0)+1,1)&lt;&gt;0,INDEX(' Disaggregation - Section E '!F$618:F$1820,MATCH(C3728,' Disaggregation - Section E '!A$618:A3049,0)+1,1),""),"")</f>
        <v/>
      </c>
      <c r="I3728" s="503" t="str">
        <f ca="1">IFERROR(IF(VLOOKUP(C3728,' Disaggregation - Section E '!A$618:N1852,8,0)=0,"",VLOOKUP(C3728,' Disaggregation - Section E '!A$618:N1852,8,0)),"")</f>
        <v/>
      </c>
      <c r="J3728" s="503" t="str">
        <f ca="1">IFERROR(IF(VLOOKUP(C3728,' Disaggregation - Section E '!A$618:N3049,13,0)=0,"",VLOOKUP(C3728,' Disaggregation - Section E '!A$618:N3049,13,0)),"")</f>
        <v/>
      </c>
      <c r="K3728" s="497" t="str">
        <f ca="1">IFERROR(VLOOKUP(C3728,' Disaggregation - Section E '!A$618:N1852,3,0),"")</f>
        <v>MDR TB-6 Porcentaje de pacientes con tuberculosis y resultados de sensibilidad a los fármacos al menos con respecto a la rifampicina entre el número total de casos notificados (nuevos y vueltos a tratar) en el mismo año.</v>
      </c>
      <c r="L3728" s="497"/>
      <c r="M3728" s="497" t="str">
        <f ca="1">IFERROR(IF(VLOOKUP(C3728,' Disaggregation - Section E '!A$618:T1852,20,0)=0,"",VLOOKUP(C3728,' Disaggregation - Section E '!A$618:T1852,20,0)),"")</f>
        <v/>
      </c>
      <c r="N3728" s="503" t="str">
        <f ca="1">IFERROR(IF(VLOOKUP(C3728,' Disaggregation - Section E '!A$618:N1852,14,0)=0,"",VLOOKUP(C3728,' Disaggregation - Section E '!A$618:N1852,14,0)),"")</f>
        <v/>
      </c>
      <c r="O3728" s="503" t="str">
        <f ca="1">IFERROR(IF(VLOOKUP(C3728,' Disaggregation - Section E '!A$618:N1852,9,0)=0,"",VLOOKUP(C3728,' Disaggregation - Section E '!A$618:N1852,9,0)),"")</f>
        <v/>
      </c>
      <c r="P3728" s="503" t="str">
        <f ca="1">IFERROR(IF(VLOOKUP(C3728,' Disaggregation - Section E '!A$618:N1852,10,0)=0,"",VLOOKUP(C3728,' Disaggregation - Section E '!A$618:N1852,10,0)),"")</f>
        <v/>
      </c>
    </row>
    <row r="3729" spans="1:16" x14ac:dyDescent="0.35">
      <c r="A3729" s="497" t="b">
        <f t="shared" ca="1" si="226"/>
        <v>0</v>
      </c>
      <c r="B3729" s="497"/>
      <c r="C3729" s="510" t="str">
        <f ca="1">IF(COUNTA(D$2498:D3729)=1,"",OFFSET(B3727,-COUNTA(D$2498:D3729)+3,1))</f>
        <v>a163p000004NtVPAA0</v>
      </c>
      <c r="D3729" s="512"/>
      <c r="E3729" s="500" t="str">
        <f ca="1">IFERROR(IF(VLOOKUP(C3729,' Disaggregation - Section E '!A$618:N1853,7,0)="","",VLOOKUP(C3729,' Disaggregation - Section E '!A$618:N1853,7,0)*100),"")</f>
        <v/>
      </c>
      <c r="F3729" s="503" t="str">
        <f ca="1">IFERROR(VLOOKUP(C3729,' Disaggregation - Section E '!A$618:N1853,5,0),"")</f>
        <v/>
      </c>
      <c r="G3729" s="502" t="str">
        <f ca="1">IFERROR(IF(VLOOKUP(C3729,' Disaggregation - Section E '!A$618:N1853,6,0)="","",VLOOKUP(C3729,' Disaggregation - Section E '!A$618:N1853,6,0)),"")</f>
        <v/>
      </c>
      <c r="H3729" s="512" t="str">
        <f ca="1">IFERROR(IF(INDEX(' Disaggregation - Section E '!F$618:F3050,MATCH(C3729,' Disaggregation - Section E '!A$618:A3050,0)+1,1)&lt;&gt;0,INDEX(' Disaggregation - Section E '!F$618:F$1820,MATCH(C3729,' Disaggregation - Section E '!A$618:A3050,0)+1,1),""),"")</f>
        <v/>
      </c>
      <c r="I3729" s="503" t="str">
        <f ca="1">IFERROR(IF(VLOOKUP(C3729,' Disaggregation - Section E '!A$618:N1853,8,0)=0,"",VLOOKUP(C3729,' Disaggregation - Section E '!A$618:N1853,8,0)),"")</f>
        <v/>
      </c>
      <c r="J3729" s="503" t="str">
        <f ca="1">IFERROR(IF(VLOOKUP(C3729,' Disaggregation - Section E '!A$618:N3050,13,0)=0,"",VLOOKUP(C3729,' Disaggregation - Section E '!A$618:N3050,13,0)),"")</f>
        <v/>
      </c>
      <c r="K3729" s="497" t="str">
        <f ca="1">IFERROR(VLOOKUP(C3729,' Disaggregation - Section E '!A$618:N1853,3,0),"")</f>
        <v>MDR TB-6 Porcentaje de pacientes con tuberculosis y resultados de sensibilidad a los fármacos al menos con respecto a la rifampicina entre el número total de casos notificados (nuevos y vueltos a tratar) en el mismo año.</v>
      </c>
      <c r="L3729" s="497"/>
      <c r="M3729" s="497" t="str">
        <f ca="1">IFERROR(IF(VLOOKUP(C3729,' Disaggregation - Section E '!A$618:T1853,20,0)=0,"",VLOOKUP(C3729,' Disaggregation - Section E '!A$618:T1853,20,0)),"")</f>
        <v/>
      </c>
      <c r="N3729" s="503" t="str">
        <f ca="1">IFERROR(IF(VLOOKUP(C3729,' Disaggregation - Section E '!A$618:N1853,14,0)=0,"",VLOOKUP(C3729,' Disaggregation - Section E '!A$618:N1853,14,0)),"")</f>
        <v/>
      </c>
      <c r="O3729" s="503" t="str">
        <f ca="1">IFERROR(IF(VLOOKUP(C3729,' Disaggregation - Section E '!A$618:N1853,9,0)=0,"",VLOOKUP(C3729,' Disaggregation - Section E '!A$618:N1853,9,0)),"")</f>
        <v/>
      </c>
      <c r="P3729" s="503" t="str">
        <f ca="1">IFERROR(IF(VLOOKUP(C3729,' Disaggregation - Section E '!A$618:N1853,10,0)=0,"",VLOOKUP(C3729,' Disaggregation - Section E '!A$618:N1853,10,0)),"")</f>
        <v/>
      </c>
    </row>
    <row r="3730" spans="1:16" x14ac:dyDescent="0.35">
      <c r="A3730" s="497" t="b">
        <f t="shared" ca="1" si="226"/>
        <v>0</v>
      </c>
      <c r="B3730" s="497"/>
      <c r="C3730" s="510" t="str">
        <f ca="1">IF(COUNTA(D$2498:D3730)=1,"",OFFSET(B3728,-COUNTA(D$2498:D3730)+3,1))</f>
        <v>a163p000004NtVQAA0</v>
      </c>
      <c r="D3730" s="512"/>
      <c r="E3730" s="500" t="str">
        <f ca="1">IFERROR(IF(VLOOKUP(C3730,' Disaggregation - Section E '!A$618:N1854,7,0)="","",VLOOKUP(C3730,' Disaggregation - Section E '!A$618:N1854,7,0)*100),"")</f>
        <v/>
      </c>
      <c r="F3730" s="503" t="str">
        <f ca="1">IFERROR(VLOOKUP(C3730,' Disaggregation - Section E '!A$618:N1854,5,0),"")</f>
        <v/>
      </c>
      <c r="G3730" s="502" t="str">
        <f ca="1">IFERROR(IF(VLOOKUP(C3730,' Disaggregation - Section E '!A$618:N1854,6,0)="","",VLOOKUP(C3730,' Disaggregation - Section E '!A$618:N1854,6,0)),"")</f>
        <v/>
      </c>
      <c r="H3730" s="512" t="str">
        <f ca="1">IFERROR(IF(INDEX(' Disaggregation - Section E '!F$618:F3051,MATCH(C3730,' Disaggregation - Section E '!A$618:A3051,0)+1,1)&lt;&gt;0,INDEX(' Disaggregation - Section E '!F$618:F$1820,MATCH(C3730,' Disaggregation - Section E '!A$618:A3051,0)+1,1),""),"")</f>
        <v/>
      </c>
      <c r="I3730" s="503" t="str">
        <f ca="1">IFERROR(IF(VLOOKUP(C3730,' Disaggregation - Section E '!A$618:N1854,8,0)=0,"",VLOOKUP(C3730,' Disaggregation - Section E '!A$618:N1854,8,0)),"")</f>
        <v/>
      </c>
      <c r="J3730" s="503" t="str">
        <f ca="1">IFERROR(IF(VLOOKUP(C3730,' Disaggregation - Section E '!A$618:N3051,13,0)=0,"",VLOOKUP(C3730,' Disaggregation - Section E '!A$618:N3051,13,0)),"")</f>
        <v/>
      </c>
      <c r="K3730" s="497" t="str">
        <f ca="1">IFERROR(VLOOKUP(C3730,' Disaggregation - Section E '!A$618:N1854,3,0),"")</f>
        <v>MDR TB-6 Porcentaje de pacientes con tuberculosis y resultados de sensibilidad a los fármacos al menos con respecto a la rifampicina entre el número total de casos notificados (nuevos y vueltos a tratar) en el mismo año.</v>
      </c>
      <c r="L3730" s="497"/>
      <c r="M3730" s="497" t="str">
        <f ca="1">IFERROR(IF(VLOOKUP(C3730,' Disaggregation - Section E '!A$618:T1854,20,0)=0,"",VLOOKUP(C3730,' Disaggregation - Section E '!A$618:T1854,20,0)),"")</f>
        <v/>
      </c>
      <c r="N3730" s="503" t="str">
        <f ca="1">IFERROR(IF(VLOOKUP(C3730,' Disaggregation - Section E '!A$618:N1854,14,0)=0,"",VLOOKUP(C3730,' Disaggregation - Section E '!A$618:N1854,14,0)),"")</f>
        <v/>
      </c>
      <c r="O3730" s="503" t="str">
        <f ca="1">IFERROR(IF(VLOOKUP(C3730,' Disaggregation - Section E '!A$618:N1854,9,0)=0,"",VLOOKUP(C3730,' Disaggregation - Section E '!A$618:N1854,9,0)),"")</f>
        <v/>
      </c>
      <c r="P3730" s="503" t="str">
        <f ca="1">IFERROR(IF(VLOOKUP(C3730,' Disaggregation - Section E '!A$618:N1854,10,0)=0,"",VLOOKUP(C3730,' Disaggregation - Section E '!A$618:N1854,10,0)),"")</f>
        <v/>
      </c>
    </row>
    <row r="3731" spans="1:16" x14ac:dyDescent="0.35">
      <c r="A3731" s="497" t="b">
        <f t="shared" ca="1" si="226"/>
        <v>0</v>
      </c>
      <c r="B3731" s="497"/>
      <c r="C3731" s="510" t="str">
        <f ca="1">IF(COUNTA(D$2498:D3731)=1,"",OFFSET(B3729,-COUNTA(D$2498:D3731)+3,1))</f>
        <v>a163p000004NtVRAA0</v>
      </c>
      <c r="D3731" s="512"/>
      <c r="E3731" s="500" t="str">
        <f ca="1">IFERROR(IF(VLOOKUP(C3731,' Disaggregation - Section E '!A$618:N1855,7,0)="","",VLOOKUP(C3731,' Disaggregation - Section E '!A$618:N1855,7,0)*100),"")</f>
        <v/>
      </c>
      <c r="F3731" s="503" t="str">
        <f ca="1">IFERROR(VLOOKUP(C3731,' Disaggregation - Section E '!A$618:N1855,5,0),"")</f>
        <v/>
      </c>
      <c r="G3731" s="502" t="str">
        <f ca="1">IFERROR(IF(VLOOKUP(C3731,' Disaggregation - Section E '!A$618:N1855,6,0)="","",VLOOKUP(C3731,' Disaggregation - Section E '!A$618:N1855,6,0)),"")</f>
        <v/>
      </c>
      <c r="H3731" s="512" t="str">
        <f ca="1">IFERROR(IF(INDEX(' Disaggregation - Section E '!F$618:F3052,MATCH(C3731,' Disaggregation - Section E '!A$618:A3052,0)+1,1)&lt;&gt;0,INDEX(' Disaggregation - Section E '!F$618:F$1820,MATCH(C3731,' Disaggregation - Section E '!A$618:A3052,0)+1,1),""),"")</f>
        <v/>
      </c>
      <c r="I3731" s="503" t="str">
        <f ca="1">IFERROR(IF(VLOOKUP(C3731,' Disaggregation - Section E '!A$618:N1855,8,0)=0,"",VLOOKUP(C3731,' Disaggregation - Section E '!A$618:N1855,8,0)),"")</f>
        <v/>
      </c>
      <c r="J3731" s="503" t="str">
        <f ca="1">IFERROR(IF(VLOOKUP(C3731,' Disaggregation - Section E '!A$618:N3052,13,0)=0,"",VLOOKUP(C3731,' Disaggregation - Section E '!A$618:N3052,13,0)),"")</f>
        <v/>
      </c>
      <c r="K3731" s="497" t="str">
        <f ca="1">IFERROR(VLOOKUP(C3731,' Disaggregation - Section E '!A$618:N1855,3,0),"")</f>
        <v>MDR TB-6 Porcentaje de pacientes con tuberculosis y resultados de sensibilidad a los fármacos al menos con respecto a la rifampicina entre el número total de casos notificados (nuevos y vueltos a tratar) en el mismo año.</v>
      </c>
      <c r="L3731" s="497"/>
      <c r="M3731" s="497" t="str">
        <f ca="1">IFERROR(IF(VLOOKUP(C3731,' Disaggregation - Section E '!A$618:T1855,20,0)=0,"",VLOOKUP(C3731,' Disaggregation - Section E '!A$618:T1855,20,0)),"")</f>
        <v/>
      </c>
      <c r="N3731" s="503" t="str">
        <f ca="1">IFERROR(IF(VLOOKUP(C3731,' Disaggregation - Section E '!A$618:N1855,14,0)=0,"",VLOOKUP(C3731,' Disaggregation - Section E '!A$618:N1855,14,0)),"")</f>
        <v/>
      </c>
      <c r="O3731" s="503" t="str">
        <f ca="1">IFERROR(IF(VLOOKUP(C3731,' Disaggregation - Section E '!A$618:N1855,9,0)=0,"",VLOOKUP(C3731,' Disaggregation - Section E '!A$618:N1855,9,0)),"")</f>
        <v/>
      </c>
      <c r="P3731" s="503" t="str">
        <f ca="1">IFERROR(IF(VLOOKUP(C3731,' Disaggregation - Section E '!A$618:N1855,10,0)=0,"",VLOOKUP(C3731,' Disaggregation - Section E '!A$618:N1855,10,0)),"")</f>
        <v/>
      </c>
    </row>
    <row r="3732" spans="1:16" x14ac:dyDescent="0.35">
      <c r="A3732" s="497" t="b">
        <f t="shared" ca="1" si="226"/>
        <v>0</v>
      </c>
      <c r="B3732" s="497"/>
      <c r="C3732" s="510" t="str">
        <f ca="1">IF(COUNTA(D$2498:D3732)=1,"",OFFSET(B3730,-COUNTA(D$2498:D3732)+3,1))</f>
        <v>a163p000004NtVSAA0</v>
      </c>
      <c r="D3732" s="512"/>
      <c r="E3732" s="500" t="str">
        <f ca="1">IFERROR(IF(VLOOKUP(C3732,' Disaggregation - Section E '!A$618:N1856,7,0)="","",VLOOKUP(C3732,' Disaggregation - Section E '!A$618:N1856,7,0)*100),"")</f>
        <v/>
      </c>
      <c r="F3732" s="503" t="str">
        <f ca="1">IFERROR(VLOOKUP(C3732,' Disaggregation - Section E '!A$618:N1856,5,0),"")</f>
        <v/>
      </c>
      <c r="G3732" s="502" t="str">
        <f ca="1">IFERROR(IF(VLOOKUP(C3732,' Disaggregation - Section E '!A$618:N1856,6,0)="","",VLOOKUP(C3732,' Disaggregation - Section E '!A$618:N1856,6,0)),"")</f>
        <v/>
      </c>
      <c r="H3732" s="512" t="str">
        <f ca="1">IFERROR(IF(INDEX(' Disaggregation - Section E '!F$618:F3053,MATCH(C3732,' Disaggregation - Section E '!A$618:A3053,0)+1,1)&lt;&gt;0,INDEX(' Disaggregation - Section E '!F$618:F$1820,MATCH(C3732,' Disaggregation - Section E '!A$618:A3053,0)+1,1),""),"")</f>
        <v/>
      </c>
      <c r="I3732" s="503" t="str">
        <f ca="1">IFERROR(IF(VLOOKUP(C3732,' Disaggregation - Section E '!A$618:N1856,8,0)=0,"",VLOOKUP(C3732,' Disaggregation - Section E '!A$618:N1856,8,0)),"")</f>
        <v/>
      </c>
      <c r="J3732" s="503" t="str">
        <f ca="1">IFERROR(IF(VLOOKUP(C3732,' Disaggregation - Section E '!A$618:N3053,13,0)=0,"",VLOOKUP(C3732,' Disaggregation - Section E '!A$618:N3053,13,0)),"")</f>
        <v/>
      </c>
      <c r="K3732" s="497" t="str">
        <f ca="1">IFERROR(VLOOKUP(C3732,' Disaggregation - Section E '!A$618:N1856,3,0),"")</f>
        <v>MDR TB-6 Porcentaje de pacientes con tuberculosis y resultados de sensibilidad a los fármacos al menos con respecto a la rifampicina entre el número total de casos notificados (nuevos y vueltos a tratar) en el mismo año.</v>
      </c>
      <c r="L3732" s="497"/>
      <c r="M3732" s="497" t="str">
        <f ca="1">IFERROR(IF(VLOOKUP(C3732,' Disaggregation - Section E '!A$618:T1856,20,0)=0,"",VLOOKUP(C3732,' Disaggregation - Section E '!A$618:T1856,20,0)),"")</f>
        <v/>
      </c>
      <c r="N3732" s="503" t="str">
        <f ca="1">IFERROR(IF(VLOOKUP(C3732,' Disaggregation - Section E '!A$618:N1856,14,0)=0,"",VLOOKUP(C3732,' Disaggregation - Section E '!A$618:N1856,14,0)),"")</f>
        <v/>
      </c>
      <c r="O3732" s="503" t="str">
        <f ca="1">IFERROR(IF(VLOOKUP(C3732,' Disaggregation - Section E '!A$618:N1856,9,0)=0,"",VLOOKUP(C3732,' Disaggregation - Section E '!A$618:N1856,9,0)),"")</f>
        <v/>
      </c>
      <c r="P3732" s="503" t="str">
        <f ca="1">IFERROR(IF(VLOOKUP(C3732,' Disaggregation - Section E '!A$618:N1856,10,0)=0,"",VLOOKUP(C3732,' Disaggregation - Section E '!A$618:N1856,10,0)),"")</f>
        <v/>
      </c>
    </row>
    <row r="3733" spans="1:16" x14ac:dyDescent="0.35">
      <c r="A3733" s="497" t="b">
        <f t="shared" ca="1" si="226"/>
        <v>0</v>
      </c>
      <c r="B3733" s="497"/>
      <c r="C3733" s="510" t="str">
        <f ca="1">IF(COUNTA(D$2498:D3733)=1,"",OFFSET(B3731,-COUNTA(D$2498:D3733)+3,1))</f>
        <v>a163p000004NtVTAA0</v>
      </c>
      <c r="D3733" s="512"/>
      <c r="E3733" s="500" t="str">
        <f ca="1">IFERROR(IF(VLOOKUP(C3733,' Disaggregation - Section E '!A$618:N1857,7,0)="","",VLOOKUP(C3733,' Disaggregation - Section E '!A$618:N1857,7,0)*100),"")</f>
        <v/>
      </c>
      <c r="F3733" s="503" t="str">
        <f ca="1">IFERROR(VLOOKUP(C3733,' Disaggregation - Section E '!A$618:N1857,5,0),"")</f>
        <v/>
      </c>
      <c r="G3733" s="502" t="str">
        <f ca="1">IFERROR(IF(VLOOKUP(C3733,' Disaggregation - Section E '!A$618:N1857,6,0)="","",VLOOKUP(C3733,' Disaggregation - Section E '!A$618:N1857,6,0)),"")</f>
        <v/>
      </c>
      <c r="H3733" s="512" t="str">
        <f ca="1">IFERROR(IF(INDEX(' Disaggregation - Section E '!F$618:F3054,MATCH(C3733,' Disaggregation - Section E '!A$618:A3054,0)+1,1)&lt;&gt;0,INDEX(' Disaggregation - Section E '!F$618:F$1820,MATCH(C3733,' Disaggregation - Section E '!A$618:A3054,0)+1,1),""),"")</f>
        <v/>
      </c>
      <c r="I3733" s="503" t="str">
        <f ca="1">IFERROR(IF(VLOOKUP(C3733,' Disaggregation - Section E '!A$618:N1857,8,0)=0,"",VLOOKUP(C3733,' Disaggregation - Section E '!A$618:N1857,8,0)),"")</f>
        <v/>
      </c>
      <c r="J3733" s="503" t="str">
        <f ca="1">IFERROR(IF(VLOOKUP(C3733,' Disaggregation - Section E '!A$618:N3054,13,0)=0,"",VLOOKUP(C3733,' Disaggregation - Section E '!A$618:N3054,13,0)),"")</f>
        <v/>
      </c>
      <c r="K3733" s="497" t="str">
        <f ca="1">IFERROR(VLOOKUP(C3733,' Disaggregation - Section E '!A$618:N1857,3,0),"")</f>
        <v>MDR TB-6 Porcentaje de pacientes con tuberculosis y resultados de sensibilidad a los fármacos al menos con respecto a la rifampicina entre el número total de casos notificados (nuevos y vueltos a tratar) en el mismo año.</v>
      </c>
      <c r="L3733" s="497"/>
      <c r="M3733" s="497" t="str">
        <f ca="1">IFERROR(IF(VLOOKUP(C3733,' Disaggregation - Section E '!A$618:T1857,20,0)=0,"",VLOOKUP(C3733,' Disaggregation - Section E '!A$618:T1857,20,0)),"")</f>
        <v/>
      </c>
      <c r="N3733" s="503" t="str">
        <f ca="1">IFERROR(IF(VLOOKUP(C3733,' Disaggregation - Section E '!A$618:N1857,14,0)=0,"",VLOOKUP(C3733,' Disaggregation - Section E '!A$618:N1857,14,0)),"")</f>
        <v/>
      </c>
      <c r="O3733" s="503" t="str">
        <f ca="1">IFERROR(IF(VLOOKUP(C3733,' Disaggregation - Section E '!A$618:N1857,9,0)=0,"",VLOOKUP(C3733,' Disaggregation - Section E '!A$618:N1857,9,0)),"")</f>
        <v/>
      </c>
      <c r="P3733" s="503" t="str">
        <f ca="1">IFERROR(IF(VLOOKUP(C3733,' Disaggregation - Section E '!A$618:N1857,10,0)=0,"",VLOOKUP(C3733,' Disaggregation - Section E '!A$618:N1857,10,0)),"")</f>
        <v/>
      </c>
    </row>
    <row r="3734" spans="1:16" x14ac:dyDescent="0.35">
      <c r="A3734" s="497" t="b">
        <f t="shared" ca="1" si="226"/>
        <v>0</v>
      </c>
      <c r="B3734" s="497"/>
      <c r="C3734" s="510" t="str">
        <f ca="1">IF(COUNTA(D$2498:D3734)=1,"",OFFSET(B3732,-COUNTA(D$2498:D3734)+3,1))</f>
        <v>a163p000004NtVUAA0</v>
      </c>
      <c r="D3734" s="512"/>
      <c r="E3734" s="500" t="str">
        <f ca="1">IFERROR(IF(VLOOKUP(C3734,' Disaggregation - Section E '!A$618:N1858,7,0)="","",VLOOKUP(C3734,' Disaggregation - Section E '!A$618:N1858,7,0)*100),"")</f>
        <v/>
      </c>
      <c r="F3734" s="503" t="str">
        <f ca="1">IFERROR(VLOOKUP(C3734,' Disaggregation - Section E '!A$618:N1858,5,0),"")</f>
        <v/>
      </c>
      <c r="G3734" s="502" t="str">
        <f ca="1">IFERROR(IF(VLOOKUP(C3734,' Disaggregation - Section E '!A$618:N1858,6,0)="","",VLOOKUP(C3734,' Disaggregation - Section E '!A$618:N1858,6,0)),"")</f>
        <v/>
      </c>
      <c r="H3734" s="512" t="str">
        <f ca="1">IFERROR(IF(INDEX(' Disaggregation - Section E '!F$618:F3055,MATCH(C3734,' Disaggregation - Section E '!A$618:A3055,0)+1,1)&lt;&gt;0,INDEX(' Disaggregation - Section E '!F$618:F$1820,MATCH(C3734,' Disaggregation - Section E '!A$618:A3055,0)+1,1),""),"")</f>
        <v/>
      </c>
      <c r="I3734" s="503" t="str">
        <f ca="1">IFERROR(IF(VLOOKUP(C3734,' Disaggregation - Section E '!A$618:N1858,8,0)=0,"",VLOOKUP(C3734,' Disaggregation - Section E '!A$618:N1858,8,0)),"")</f>
        <v/>
      </c>
      <c r="J3734" s="503" t="str">
        <f ca="1">IFERROR(IF(VLOOKUP(C3734,' Disaggregation - Section E '!A$618:N3055,13,0)=0,"",VLOOKUP(C3734,' Disaggregation - Section E '!A$618:N3055,13,0)),"")</f>
        <v/>
      </c>
      <c r="K3734" s="497" t="str">
        <f ca="1">IFERROR(VLOOKUP(C3734,' Disaggregation - Section E '!A$618:N1858,3,0),"")</f>
        <v>MDR TB-6 Porcentaje de pacientes con tuberculosis y resultados de sensibilidad a los fármacos al menos con respecto a la rifampicina entre el número total de casos notificados (nuevos y vueltos a tratar) en el mismo año.</v>
      </c>
      <c r="L3734" s="497"/>
      <c r="M3734" s="497" t="str">
        <f ca="1">IFERROR(IF(VLOOKUP(C3734,' Disaggregation - Section E '!A$618:T1858,20,0)=0,"",VLOOKUP(C3734,' Disaggregation - Section E '!A$618:T1858,20,0)),"")</f>
        <v/>
      </c>
      <c r="N3734" s="503" t="str">
        <f ca="1">IFERROR(IF(VLOOKUP(C3734,' Disaggregation - Section E '!A$618:N1858,14,0)=0,"",VLOOKUP(C3734,' Disaggregation - Section E '!A$618:N1858,14,0)),"")</f>
        <v/>
      </c>
      <c r="O3734" s="503" t="str">
        <f ca="1">IFERROR(IF(VLOOKUP(C3734,' Disaggregation - Section E '!A$618:N1858,9,0)=0,"",VLOOKUP(C3734,' Disaggregation - Section E '!A$618:N1858,9,0)),"")</f>
        <v/>
      </c>
      <c r="P3734" s="503" t="str">
        <f ca="1">IFERROR(IF(VLOOKUP(C3734,' Disaggregation - Section E '!A$618:N1858,10,0)=0,"",VLOOKUP(C3734,' Disaggregation - Section E '!A$618:N1858,10,0)),"")</f>
        <v/>
      </c>
    </row>
    <row r="3735" spans="1:16" x14ac:dyDescent="0.35">
      <c r="A3735" s="497" t="b">
        <f t="shared" ca="1" si="226"/>
        <v>0</v>
      </c>
      <c r="B3735" s="497"/>
      <c r="C3735" s="510" t="str">
        <f ca="1">IF(COUNTA(D$2498:D3735)=1,"",OFFSET(B3733,-COUNTA(D$2498:D3735)+3,1))</f>
        <v>a163p000004NtVVAA0</v>
      </c>
      <c r="D3735" s="512"/>
      <c r="E3735" s="500" t="str">
        <f ca="1">IFERROR(IF(VLOOKUP(C3735,' Disaggregation - Section E '!A$618:N1859,7,0)="","",VLOOKUP(C3735,' Disaggregation - Section E '!A$618:N1859,7,0)*100),"")</f>
        <v/>
      </c>
      <c r="F3735" s="503" t="str">
        <f ca="1">IFERROR(VLOOKUP(C3735,' Disaggregation - Section E '!A$618:N1859,5,0),"")</f>
        <v/>
      </c>
      <c r="G3735" s="502" t="str">
        <f ca="1">IFERROR(IF(VLOOKUP(C3735,' Disaggregation - Section E '!A$618:N1859,6,0)="","",VLOOKUP(C3735,' Disaggregation - Section E '!A$618:N1859,6,0)),"")</f>
        <v/>
      </c>
      <c r="H3735" s="512" t="str">
        <f ca="1">IFERROR(IF(INDEX(' Disaggregation - Section E '!F$618:F3056,MATCH(C3735,' Disaggregation - Section E '!A$618:A3056,0)+1,1)&lt;&gt;0,INDEX(' Disaggregation - Section E '!F$618:F$1820,MATCH(C3735,' Disaggregation - Section E '!A$618:A3056,0)+1,1),""),"")</f>
        <v/>
      </c>
      <c r="I3735" s="503" t="str">
        <f ca="1">IFERROR(IF(VLOOKUP(C3735,' Disaggregation - Section E '!A$618:N1859,8,0)=0,"",VLOOKUP(C3735,' Disaggregation - Section E '!A$618:N1859,8,0)),"")</f>
        <v/>
      </c>
      <c r="J3735" s="503" t="str">
        <f ca="1">IFERROR(IF(VLOOKUP(C3735,' Disaggregation - Section E '!A$618:N3056,13,0)=0,"",VLOOKUP(C3735,' Disaggregation - Section E '!A$618:N3056,13,0)),"")</f>
        <v/>
      </c>
      <c r="K3735" s="497" t="str">
        <f ca="1">IFERROR(VLOOKUP(C3735,' Disaggregation - Section E '!A$618:N1859,3,0),"")</f>
        <v>MDR TB-6 Porcentaje de pacientes con tuberculosis y resultados de sensibilidad a los fármacos al menos con respecto a la rifampicina entre el número total de casos notificados (nuevos y vueltos a tratar) en el mismo año.</v>
      </c>
      <c r="L3735" s="497"/>
      <c r="M3735" s="497" t="str">
        <f ca="1">IFERROR(IF(VLOOKUP(C3735,' Disaggregation - Section E '!A$618:T1859,20,0)=0,"",VLOOKUP(C3735,' Disaggregation - Section E '!A$618:T1859,20,0)),"")</f>
        <v/>
      </c>
      <c r="N3735" s="503" t="str">
        <f ca="1">IFERROR(IF(VLOOKUP(C3735,' Disaggregation - Section E '!A$618:N1859,14,0)=0,"",VLOOKUP(C3735,' Disaggregation - Section E '!A$618:N1859,14,0)),"")</f>
        <v/>
      </c>
      <c r="O3735" s="503" t="str">
        <f ca="1">IFERROR(IF(VLOOKUP(C3735,' Disaggregation - Section E '!A$618:N1859,9,0)=0,"",VLOOKUP(C3735,' Disaggregation - Section E '!A$618:N1859,9,0)),"")</f>
        <v/>
      </c>
      <c r="P3735" s="503" t="str">
        <f ca="1">IFERROR(IF(VLOOKUP(C3735,' Disaggregation - Section E '!A$618:N1859,10,0)=0,"",VLOOKUP(C3735,' Disaggregation - Section E '!A$618:N1859,10,0)),"")</f>
        <v/>
      </c>
    </row>
    <row r="3736" spans="1:16" x14ac:dyDescent="0.35">
      <c r="A3736" s="497" t="b">
        <f t="shared" ca="1" si="226"/>
        <v>0</v>
      </c>
      <c r="B3736" s="497"/>
      <c r="C3736" s="510" t="str">
        <f ca="1">IF(COUNTA(D$2498:D3736)=1,"",OFFSET(B3734,-COUNTA(D$2498:D3736)+3,1))</f>
        <v>a163p000004NtVWAA0</v>
      </c>
      <c r="D3736" s="512"/>
      <c r="E3736" s="500" t="str">
        <f ca="1">IFERROR(IF(VLOOKUP(C3736,' Disaggregation - Section E '!A$618:N1860,7,0)="","",VLOOKUP(C3736,' Disaggregation - Section E '!A$618:N1860,7,0)*100),"")</f>
        <v/>
      </c>
      <c r="F3736" s="503" t="str">
        <f ca="1">IFERROR(VLOOKUP(C3736,' Disaggregation - Section E '!A$618:N1860,5,0),"")</f>
        <v/>
      </c>
      <c r="G3736" s="502" t="str">
        <f ca="1">IFERROR(IF(VLOOKUP(C3736,' Disaggregation - Section E '!A$618:N1860,6,0)="","",VLOOKUP(C3736,' Disaggregation - Section E '!A$618:N1860,6,0)),"")</f>
        <v/>
      </c>
      <c r="H3736" s="512" t="str">
        <f ca="1">IFERROR(IF(INDEX(' Disaggregation - Section E '!F$618:F3057,MATCH(C3736,' Disaggregation - Section E '!A$618:A3057,0)+1,1)&lt;&gt;0,INDEX(' Disaggregation - Section E '!F$618:F$1820,MATCH(C3736,' Disaggregation - Section E '!A$618:A3057,0)+1,1),""),"")</f>
        <v/>
      </c>
      <c r="I3736" s="503" t="str">
        <f ca="1">IFERROR(IF(VLOOKUP(C3736,' Disaggregation - Section E '!A$618:N1860,8,0)=0,"",VLOOKUP(C3736,' Disaggregation - Section E '!A$618:N1860,8,0)),"")</f>
        <v/>
      </c>
      <c r="J3736" s="503" t="str">
        <f ca="1">IFERROR(IF(VLOOKUP(C3736,' Disaggregation - Section E '!A$618:N3057,13,0)=0,"",VLOOKUP(C3736,' Disaggregation - Section E '!A$618:N3057,13,0)),"")</f>
        <v/>
      </c>
      <c r="K3736" s="497" t="str">
        <f ca="1">IFERROR(VLOOKUP(C3736,' Disaggregation - Section E '!A$618:N1860,3,0),"")</f>
        <v>MDR TB-6 Porcentaje de pacientes con tuberculosis y resultados de sensibilidad a los fármacos al menos con respecto a la rifampicina entre el número total de casos notificados (nuevos y vueltos a tratar) en el mismo año.</v>
      </c>
      <c r="L3736" s="497"/>
      <c r="M3736" s="497" t="str">
        <f ca="1">IFERROR(IF(VLOOKUP(C3736,' Disaggregation - Section E '!A$618:T1860,20,0)=0,"",VLOOKUP(C3736,' Disaggregation - Section E '!A$618:T1860,20,0)),"")</f>
        <v/>
      </c>
      <c r="N3736" s="503" t="str">
        <f ca="1">IFERROR(IF(VLOOKUP(C3736,' Disaggregation - Section E '!A$618:N1860,14,0)=0,"",VLOOKUP(C3736,' Disaggregation - Section E '!A$618:N1860,14,0)),"")</f>
        <v/>
      </c>
      <c r="O3736" s="503" t="str">
        <f ca="1">IFERROR(IF(VLOOKUP(C3736,' Disaggregation - Section E '!A$618:N1860,9,0)=0,"",VLOOKUP(C3736,' Disaggregation - Section E '!A$618:N1860,9,0)),"")</f>
        <v/>
      </c>
      <c r="P3736" s="503" t="str">
        <f ca="1">IFERROR(IF(VLOOKUP(C3736,' Disaggregation - Section E '!A$618:N1860,10,0)=0,"",VLOOKUP(C3736,' Disaggregation - Section E '!A$618:N1860,10,0)),"")</f>
        <v/>
      </c>
    </row>
    <row r="3737" spans="1:16" x14ac:dyDescent="0.35">
      <c r="A3737" s="497" t="b">
        <f t="shared" ca="1" si="226"/>
        <v>0</v>
      </c>
      <c r="B3737" s="497"/>
      <c r="C3737" s="510" t="str">
        <f ca="1">IF(COUNTA(D$2498:D3737)=1,"",OFFSET(B3735,-COUNTA(D$2498:D3737)+3,1))</f>
        <v>a163p000004NtVXAA0</v>
      </c>
      <c r="D3737" s="512"/>
      <c r="E3737" s="500" t="str">
        <f ca="1">IFERROR(IF(VLOOKUP(C3737,' Disaggregation - Section E '!A$618:N1861,7,0)="","",VLOOKUP(C3737,' Disaggregation - Section E '!A$618:N1861,7,0)*100),"")</f>
        <v/>
      </c>
      <c r="F3737" s="503" t="str">
        <f ca="1">IFERROR(VLOOKUP(C3737,' Disaggregation - Section E '!A$618:N1861,5,0),"")</f>
        <v/>
      </c>
      <c r="G3737" s="502" t="str">
        <f ca="1">IFERROR(IF(VLOOKUP(C3737,' Disaggregation - Section E '!A$618:N1861,6,0)="","",VLOOKUP(C3737,' Disaggregation - Section E '!A$618:N1861,6,0)),"")</f>
        <v/>
      </c>
      <c r="H3737" s="512" t="str">
        <f ca="1">IFERROR(IF(INDEX(' Disaggregation - Section E '!F$618:F3058,MATCH(C3737,' Disaggregation - Section E '!A$618:A3058,0)+1,1)&lt;&gt;0,INDEX(' Disaggregation - Section E '!F$618:F$1820,MATCH(C3737,' Disaggregation - Section E '!A$618:A3058,0)+1,1),""),"")</f>
        <v/>
      </c>
      <c r="I3737" s="503" t="str">
        <f ca="1">IFERROR(IF(VLOOKUP(C3737,' Disaggregation - Section E '!A$618:N1861,8,0)=0,"",VLOOKUP(C3737,' Disaggregation - Section E '!A$618:N1861,8,0)),"")</f>
        <v/>
      </c>
      <c r="J3737" s="503" t="str">
        <f ca="1">IFERROR(IF(VLOOKUP(C3737,' Disaggregation - Section E '!A$618:N3058,13,0)=0,"",VLOOKUP(C3737,' Disaggregation - Section E '!A$618:N3058,13,0)),"")</f>
        <v/>
      </c>
      <c r="K3737" s="497" t="str">
        <f ca="1">IFERROR(VLOOKUP(C3737,' Disaggregation - Section E '!A$618:N1861,3,0),"")</f>
        <v>MDR TB-6 Porcentaje de pacientes con tuberculosis y resultados de sensibilidad a los fármacos al menos con respecto a la rifampicina entre el número total de casos notificados (nuevos y vueltos a tratar) en el mismo año.</v>
      </c>
      <c r="L3737" s="497"/>
      <c r="M3737" s="497" t="str">
        <f ca="1">IFERROR(IF(VLOOKUP(C3737,' Disaggregation - Section E '!A$618:T1861,20,0)=0,"",VLOOKUP(C3737,' Disaggregation - Section E '!A$618:T1861,20,0)),"")</f>
        <v/>
      </c>
      <c r="N3737" s="503" t="str">
        <f ca="1">IFERROR(IF(VLOOKUP(C3737,' Disaggregation - Section E '!A$618:N1861,14,0)=0,"",VLOOKUP(C3737,' Disaggregation - Section E '!A$618:N1861,14,0)),"")</f>
        <v/>
      </c>
      <c r="O3737" s="503" t="str">
        <f ca="1">IFERROR(IF(VLOOKUP(C3737,' Disaggregation - Section E '!A$618:N1861,9,0)=0,"",VLOOKUP(C3737,' Disaggregation - Section E '!A$618:N1861,9,0)),"")</f>
        <v/>
      </c>
      <c r="P3737" s="503" t="str">
        <f ca="1">IFERROR(IF(VLOOKUP(C3737,' Disaggregation - Section E '!A$618:N1861,10,0)=0,"",VLOOKUP(C3737,' Disaggregation - Section E '!A$618:N1861,10,0)),"")</f>
        <v/>
      </c>
    </row>
    <row r="3738" spans="1:16" x14ac:dyDescent="0.35">
      <c r="A3738" s="497" t="b">
        <f t="shared" ca="1" si="226"/>
        <v>0</v>
      </c>
      <c r="B3738" s="497"/>
      <c r="C3738" s="510" t="str">
        <f ca="1">IF(COUNTA(D$2498:D3738)=1,"",OFFSET(B3736,-COUNTA(D$2498:D3738)+3,1))</f>
        <v>a163p000004NtVYAA0</v>
      </c>
      <c r="D3738" s="512"/>
      <c r="E3738" s="500" t="str">
        <f ca="1">IFERROR(IF(VLOOKUP(C3738,' Disaggregation - Section E '!A$618:N1862,7,0)="","",VLOOKUP(C3738,' Disaggregation - Section E '!A$618:N1862,7,0)*100),"")</f>
        <v/>
      </c>
      <c r="F3738" s="503" t="str">
        <f ca="1">IFERROR(VLOOKUP(C3738,' Disaggregation - Section E '!A$618:N1862,5,0),"")</f>
        <v/>
      </c>
      <c r="G3738" s="502" t="str">
        <f ca="1">IFERROR(IF(VLOOKUP(C3738,' Disaggregation - Section E '!A$618:N1862,6,0)="","",VLOOKUP(C3738,' Disaggregation - Section E '!A$618:N1862,6,0)),"")</f>
        <v/>
      </c>
      <c r="H3738" s="512" t="str">
        <f ca="1">IFERROR(IF(INDEX(' Disaggregation - Section E '!F$618:F3059,MATCH(C3738,' Disaggregation - Section E '!A$618:A3059,0)+1,1)&lt;&gt;0,INDEX(' Disaggregation - Section E '!F$618:F$1820,MATCH(C3738,' Disaggregation - Section E '!A$618:A3059,0)+1,1),""),"")</f>
        <v/>
      </c>
      <c r="I3738" s="503" t="str">
        <f ca="1">IFERROR(IF(VLOOKUP(C3738,' Disaggregation - Section E '!A$618:N1862,8,0)=0,"",VLOOKUP(C3738,' Disaggregation - Section E '!A$618:N1862,8,0)),"")</f>
        <v/>
      </c>
      <c r="J3738" s="503" t="str">
        <f ca="1">IFERROR(IF(VLOOKUP(C3738,' Disaggregation - Section E '!A$618:N3059,13,0)=0,"",VLOOKUP(C3738,' Disaggregation - Section E '!A$618:N3059,13,0)),"")</f>
        <v/>
      </c>
      <c r="K3738" s="497" t="str">
        <f ca="1">IFERROR(VLOOKUP(C3738,' Disaggregation - Section E '!A$618:N1862,3,0),"")</f>
        <v>MDR TB-6 Porcentaje de pacientes con tuberculosis y resultados de sensibilidad a los fármacos al menos con respecto a la rifampicina entre el número total de casos notificados (nuevos y vueltos a tratar) en el mismo año.</v>
      </c>
      <c r="L3738" s="497"/>
      <c r="M3738" s="497" t="str">
        <f ca="1">IFERROR(IF(VLOOKUP(C3738,' Disaggregation - Section E '!A$618:T1862,20,0)=0,"",VLOOKUP(C3738,' Disaggregation - Section E '!A$618:T1862,20,0)),"")</f>
        <v/>
      </c>
      <c r="N3738" s="503" t="str">
        <f ca="1">IFERROR(IF(VLOOKUP(C3738,' Disaggregation - Section E '!A$618:N1862,14,0)=0,"",VLOOKUP(C3738,' Disaggregation - Section E '!A$618:N1862,14,0)),"")</f>
        <v/>
      </c>
      <c r="O3738" s="503" t="str">
        <f ca="1">IFERROR(IF(VLOOKUP(C3738,' Disaggregation - Section E '!A$618:N1862,9,0)=0,"",VLOOKUP(C3738,' Disaggregation - Section E '!A$618:N1862,9,0)),"")</f>
        <v/>
      </c>
      <c r="P3738" s="503" t="str">
        <f ca="1">IFERROR(IF(VLOOKUP(C3738,' Disaggregation - Section E '!A$618:N1862,10,0)=0,"",VLOOKUP(C3738,' Disaggregation - Section E '!A$618:N1862,10,0)),"")</f>
        <v/>
      </c>
    </row>
    <row r="3739" spans="1:16" x14ac:dyDescent="0.35">
      <c r="A3739" s="497" t="b">
        <f t="shared" ca="1" si="226"/>
        <v>0</v>
      </c>
      <c r="B3739" s="497"/>
      <c r="C3739" s="510" t="str">
        <f ca="1">IF(COUNTA(D$2498:D3739)=1,"",OFFSET(B3737,-COUNTA(D$2498:D3739)+3,1))</f>
        <v>a163p000004NtVZAA0</v>
      </c>
      <c r="D3739" s="512"/>
      <c r="E3739" s="500" t="str">
        <f ca="1">IFERROR(IF(VLOOKUP(C3739,' Disaggregation - Section E '!A$618:N1863,7,0)="","",VLOOKUP(C3739,' Disaggregation - Section E '!A$618:N1863,7,0)*100),"")</f>
        <v/>
      </c>
      <c r="F3739" s="503" t="str">
        <f ca="1">IFERROR(VLOOKUP(C3739,' Disaggregation - Section E '!A$618:N1863,5,0),"")</f>
        <v/>
      </c>
      <c r="G3739" s="502" t="str">
        <f ca="1">IFERROR(IF(VLOOKUP(C3739,' Disaggregation - Section E '!A$618:N1863,6,0)="","",VLOOKUP(C3739,' Disaggregation - Section E '!A$618:N1863,6,0)),"")</f>
        <v/>
      </c>
      <c r="H3739" s="512" t="str">
        <f ca="1">IFERROR(IF(INDEX(' Disaggregation - Section E '!F$618:F3060,MATCH(C3739,' Disaggregation - Section E '!A$618:A3060,0)+1,1)&lt;&gt;0,INDEX(' Disaggregation - Section E '!F$618:F$1820,MATCH(C3739,' Disaggregation - Section E '!A$618:A3060,0)+1,1),""),"")</f>
        <v/>
      </c>
      <c r="I3739" s="503" t="str">
        <f ca="1">IFERROR(IF(VLOOKUP(C3739,' Disaggregation - Section E '!A$618:N1863,8,0)=0,"",VLOOKUP(C3739,' Disaggregation - Section E '!A$618:N1863,8,0)),"")</f>
        <v/>
      </c>
      <c r="J3739" s="503" t="str">
        <f ca="1">IFERROR(IF(VLOOKUP(C3739,' Disaggregation - Section E '!A$618:N3060,13,0)=0,"",VLOOKUP(C3739,' Disaggregation - Section E '!A$618:N3060,13,0)),"")</f>
        <v/>
      </c>
      <c r="K3739" s="497" t="str">
        <f ca="1">IFERROR(VLOOKUP(C3739,' Disaggregation - Section E '!A$618:N1863,3,0),"")</f>
        <v>MDR TB-6 Porcentaje de pacientes con tuberculosis y resultados de sensibilidad a los fármacos al menos con respecto a la rifampicina entre el número total de casos notificados (nuevos y vueltos a tratar) en el mismo año.</v>
      </c>
      <c r="L3739" s="497"/>
      <c r="M3739" s="497" t="str">
        <f ca="1">IFERROR(IF(VLOOKUP(C3739,' Disaggregation - Section E '!A$618:T1863,20,0)=0,"",VLOOKUP(C3739,' Disaggregation - Section E '!A$618:T1863,20,0)),"")</f>
        <v/>
      </c>
      <c r="N3739" s="503" t="str">
        <f ca="1">IFERROR(IF(VLOOKUP(C3739,' Disaggregation - Section E '!A$618:N1863,14,0)=0,"",VLOOKUP(C3739,' Disaggregation - Section E '!A$618:N1863,14,0)),"")</f>
        <v/>
      </c>
      <c r="O3739" s="503" t="str">
        <f ca="1">IFERROR(IF(VLOOKUP(C3739,' Disaggregation - Section E '!A$618:N1863,9,0)=0,"",VLOOKUP(C3739,' Disaggregation - Section E '!A$618:N1863,9,0)),"")</f>
        <v/>
      </c>
      <c r="P3739" s="503" t="str">
        <f ca="1">IFERROR(IF(VLOOKUP(C3739,' Disaggregation - Section E '!A$618:N1863,10,0)=0,"",VLOOKUP(C3739,' Disaggregation - Section E '!A$618:N1863,10,0)),"")</f>
        <v/>
      </c>
    </row>
    <row r="3740" spans="1:16" x14ac:dyDescent="0.35">
      <c r="A3740" s="497" t="b">
        <f t="shared" ca="1" si="226"/>
        <v>0</v>
      </c>
      <c r="B3740" s="497"/>
      <c r="C3740" s="510" t="str">
        <f ca="1">IF(COUNTA(D$2498:D3740)=1,"",OFFSET(B3738,-COUNTA(D$2498:D3740)+3,1))</f>
        <v>a163p000004NtLuAAK</v>
      </c>
      <c r="D3740" s="512"/>
      <c r="E3740" s="500" t="str">
        <f ca="1">IFERROR(IF(VLOOKUP(C3740,' Disaggregation - Section E '!A$618:N1864,7,0)="","",VLOOKUP(C3740,' Disaggregation - Section E '!A$618:N1864,7,0)*100),"")</f>
        <v/>
      </c>
      <c r="F3740" s="503" t="str">
        <f ca="1">IFERROR(VLOOKUP(C3740,' Disaggregation - Section E '!A$618:N1864,5,0),"")</f>
        <v/>
      </c>
      <c r="G3740" s="502" t="str">
        <f ca="1">IFERROR(IF(VLOOKUP(C3740,' Disaggregation - Section E '!A$618:N1864,6,0)="","",VLOOKUP(C3740,' Disaggregation - Section E '!A$618:N1864,6,0)),"")</f>
        <v/>
      </c>
      <c r="H3740" s="512" t="str">
        <f ca="1">IFERROR(IF(INDEX(' Disaggregation - Section E '!F$618:F3061,MATCH(C3740,' Disaggregation - Section E '!A$618:A3061,0)+1,1)&lt;&gt;0,INDEX(' Disaggregation - Section E '!F$618:F$1820,MATCH(C3740,' Disaggregation - Section E '!A$618:A3061,0)+1,1),""),"")</f>
        <v/>
      </c>
      <c r="I3740" s="503" t="str">
        <f ca="1">IFERROR(IF(VLOOKUP(C3740,' Disaggregation - Section E '!A$618:N1864,8,0)=0,"",VLOOKUP(C3740,' Disaggregation - Section E '!A$618:N1864,8,0)),"")</f>
        <v/>
      </c>
      <c r="J3740" s="503" t="str">
        <f ca="1">IFERROR(IF(VLOOKUP(C3740,' Disaggregation - Section E '!A$618:N3061,13,0)=0,"",VLOOKUP(C3740,' Disaggregation - Section E '!A$618:N3061,13,0)),"")</f>
        <v/>
      </c>
      <c r="K3740" s="497" t="str">
        <f ca="1">IFERROR(VLOOKUP(C3740,' Disaggregation - Section E '!A$618:N1864,3,0),"")</f>
        <v>HTS-Other 2 Porcentaje de resultados de VIH positivos entre el total de pruebas de VIH realizadas en personas Trans</v>
      </c>
      <c r="L3740" s="497"/>
      <c r="M3740" s="497" t="str">
        <f ca="1">IFERROR(IF(VLOOKUP(C3740,' Disaggregation - Section E '!A$618:T1864,20,0)=0,"",VLOOKUP(C3740,' Disaggregation - Section E '!A$618:T1864,20,0)),"")</f>
        <v/>
      </c>
      <c r="N3740" s="503" t="str">
        <f ca="1">IFERROR(IF(VLOOKUP(C3740,' Disaggregation - Section E '!A$618:N1864,14,0)=0,"",VLOOKUP(C3740,' Disaggregation - Section E '!A$618:N1864,14,0)),"")</f>
        <v/>
      </c>
      <c r="O3740" s="503" t="str">
        <f ca="1">IFERROR(IF(VLOOKUP(C3740,' Disaggregation - Section E '!A$618:N1864,9,0)=0,"",VLOOKUP(C3740,' Disaggregation - Section E '!A$618:N1864,9,0)),"")</f>
        <v/>
      </c>
      <c r="P3740" s="503" t="str">
        <f ca="1">IFERROR(IF(VLOOKUP(C3740,' Disaggregation - Section E '!A$618:N1864,10,0)=0,"",VLOOKUP(C3740,' Disaggregation - Section E '!A$618:N1864,10,0)),"")</f>
        <v/>
      </c>
    </row>
    <row r="3741" spans="1:16" x14ac:dyDescent="0.35">
      <c r="A3741" s="497" t="b">
        <f t="shared" ca="1" si="226"/>
        <v>0</v>
      </c>
      <c r="B3741" s="497"/>
      <c r="C3741" s="510" t="str">
        <f ca="1">IF(COUNTA(D$2498:D3741)=1,"",OFFSET(B3739,-COUNTA(D$2498:D3741)+3,1))</f>
        <v>a163p000004NtLvAAK</v>
      </c>
      <c r="D3741" s="512"/>
      <c r="E3741" s="500" t="str">
        <f ca="1">IFERROR(IF(VLOOKUP(C3741,' Disaggregation - Section E '!A$618:N1865,7,0)="","",VLOOKUP(C3741,' Disaggregation - Section E '!A$618:N1865,7,0)*100),"")</f>
        <v/>
      </c>
      <c r="F3741" s="503" t="str">
        <f ca="1">IFERROR(VLOOKUP(C3741,' Disaggregation - Section E '!A$618:N1865,5,0),"")</f>
        <v/>
      </c>
      <c r="G3741" s="502" t="str">
        <f ca="1">IFERROR(IF(VLOOKUP(C3741,' Disaggregation - Section E '!A$618:N1865,6,0)="","",VLOOKUP(C3741,' Disaggregation - Section E '!A$618:N1865,6,0)),"")</f>
        <v/>
      </c>
      <c r="H3741" s="512" t="str">
        <f ca="1">IFERROR(IF(INDEX(' Disaggregation - Section E '!F$618:F3062,MATCH(C3741,' Disaggregation - Section E '!A$618:A3062,0)+1,1)&lt;&gt;0,INDEX(' Disaggregation - Section E '!F$618:F$1820,MATCH(C3741,' Disaggregation - Section E '!A$618:A3062,0)+1,1),""),"")</f>
        <v/>
      </c>
      <c r="I3741" s="503" t="str">
        <f ca="1">IFERROR(IF(VLOOKUP(C3741,' Disaggregation - Section E '!A$618:N1865,8,0)=0,"",VLOOKUP(C3741,' Disaggregation - Section E '!A$618:N1865,8,0)),"")</f>
        <v/>
      </c>
      <c r="J3741" s="503" t="str">
        <f ca="1">IFERROR(IF(VLOOKUP(C3741,' Disaggregation - Section E '!A$618:N3062,13,0)=0,"",VLOOKUP(C3741,' Disaggregation - Section E '!A$618:N3062,13,0)),"")</f>
        <v/>
      </c>
      <c r="K3741" s="497" t="str">
        <f ca="1">IFERROR(VLOOKUP(C3741,' Disaggregation - Section E '!A$618:N1865,3,0),"")</f>
        <v>HTS-Other 2 Porcentaje de resultados de VIH positivos entre el total de pruebas de VIH realizadas en personas Trans</v>
      </c>
      <c r="L3741" s="497"/>
      <c r="M3741" s="497" t="str">
        <f ca="1">IFERROR(IF(VLOOKUP(C3741,' Disaggregation - Section E '!A$618:T1865,20,0)=0,"",VLOOKUP(C3741,' Disaggregation - Section E '!A$618:T1865,20,0)),"")</f>
        <v/>
      </c>
      <c r="N3741" s="503" t="str">
        <f ca="1">IFERROR(IF(VLOOKUP(C3741,' Disaggregation - Section E '!A$618:N1865,14,0)=0,"",VLOOKUP(C3741,' Disaggregation - Section E '!A$618:N1865,14,0)),"")</f>
        <v/>
      </c>
      <c r="O3741" s="503" t="str">
        <f ca="1">IFERROR(IF(VLOOKUP(C3741,' Disaggregation - Section E '!A$618:N1865,9,0)=0,"",VLOOKUP(C3741,' Disaggregation - Section E '!A$618:N1865,9,0)),"")</f>
        <v/>
      </c>
      <c r="P3741" s="503" t="str">
        <f ca="1">IFERROR(IF(VLOOKUP(C3741,' Disaggregation - Section E '!A$618:N1865,10,0)=0,"",VLOOKUP(C3741,' Disaggregation - Section E '!A$618:N1865,10,0)),"")</f>
        <v/>
      </c>
    </row>
    <row r="3742" spans="1:16" x14ac:dyDescent="0.35">
      <c r="A3742" s="497" t="b">
        <f t="shared" ca="1" si="226"/>
        <v>0</v>
      </c>
      <c r="B3742" s="497"/>
      <c r="C3742" s="510" t="str">
        <f ca="1">IF(COUNTA(D$2498:D3742)=1,"",OFFSET(B3740,-COUNTA(D$2498:D3742)+3,1))</f>
        <v>a163p000004NtLwAAK</v>
      </c>
      <c r="D3742" s="512"/>
      <c r="E3742" s="500" t="str">
        <f ca="1">IFERROR(IF(VLOOKUP(C3742,' Disaggregation - Section E '!A$618:N1866,7,0)="","",VLOOKUP(C3742,' Disaggregation - Section E '!A$618:N1866,7,0)*100),"")</f>
        <v/>
      </c>
      <c r="F3742" s="503" t="str">
        <f ca="1">IFERROR(VLOOKUP(C3742,' Disaggregation - Section E '!A$618:N1866,5,0),"")</f>
        <v/>
      </c>
      <c r="G3742" s="502" t="str">
        <f ca="1">IFERROR(IF(VLOOKUP(C3742,' Disaggregation - Section E '!A$618:N1866,6,0)="","",VLOOKUP(C3742,' Disaggregation - Section E '!A$618:N1866,6,0)),"")</f>
        <v/>
      </c>
      <c r="H3742" s="512" t="str">
        <f ca="1">IFERROR(IF(INDEX(' Disaggregation - Section E '!F$618:F3063,MATCH(C3742,' Disaggregation - Section E '!A$618:A3063,0)+1,1)&lt;&gt;0,INDEX(' Disaggregation - Section E '!F$618:F$1820,MATCH(C3742,' Disaggregation - Section E '!A$618:A3063,0)+1,1),""),"")</f>
        <v/>
      </c>
      <c r="I3742" s="503" t="str">
        <f ca="1">IFERROR(IF(VLOOKUP(C3742,' Disaggregation - Section E '!A$618:N1866,8,0)=0,"",VLOOKUP(C3742,' Disaggregation - Section E '!A$618:N1866,8,0)),"")</f>
        <v/>
      </c>
      <c r="J3742" s="503" t="str">
        <f ca="1">IFERROR(IF(VLOOKUP(C3742,' Disaggregation - Section E '!A$618:N3063,13,0)=0,"",VLOOKUP(C3742,' Disaggregation - Section E '!A$618:N3063,13,0)),"")</f>
        <v/>
      </c>
      <c r="K3742" s="497" t="str">
        <f ca="1">IFERROR(VLOOKUP(C3742,' Disaggregation - Section E '!A$618:N1866,3,0),"")</f>
        <v>HTS-Other 2 Porcentaje de resultados de VIH positivos entre el total de pruebas de VIH realizadas en personas Trans</v>
      </c>
      <c r="L3742" s="497"/>
      <c r="M3742" s="497" t="str">
        <f ca="1">IFERROR(IF(VLOOKUP(C3742,' Disaggregation - Section E '!A$618:T1866,20,0)=0,"",VLOOKUP(C3742,' Disaggregation - Section E '!A$618:T1866,20,0)),"")</f>
        <v/>
      </c>
      <c r="N3742" s="503" t="str">
        <f ca="1">IFERROR(IF(VLOOKUP(C3742,' Disaggregation - Section E '!A$618:N1866,14,0)=0,"",VLOOKUP(C3742,' Disaggregation - Section E '!A$618:N1866,14,0)),"")</f>
        <v/>
      </c>
      <c r="O3742" s="503" t="str">
        <f ca="1">IFERROR(IF(VLOOKUP(C3742,' Disaggregation - Section E '!A$618:N1866,9,0)=0,"",VLOOKUP(C3742,' Disaggregation - Section E '!A$618:N1866,9,0)),"")</f>
        <v/>
      </c>
      <c r="P3742" s="503" t="str">
        <f ca="1">IFERROR(IF(VLOOKUP(C3742,' Disaggregation - Section E '!A$618:N1866,10,0)=0,"",VLOOKUP(C3742,' Disaggregation - Section E '!A$618:N1866,10,0)),"")</f>
        <v/>
      </c>
    </row>
    <row r="3743" spans="1:16" x14ac:dyDescent="0.35">
      <c r="A3743" s="497" t="b">
        <f t="shared" ca="1" si="226"/>
        <v>0</v>
      </c>
      <c r="B3743" s="497"/>
      <c r="C3743" s="510" t="str">
        <f ca="1">IF(COUNTA(D$2498:D3743)=1,"",OFFSET(B3741,-COUNTA(D$2498:D3743)+3,1))</f>
        <v>a163p000004NtLxAAK</v>
      </c>
      <c r="D3743" s="512"/>
      <c r="E3743" s="500" t="str">
        <f ca="1">IFERROR(IF(VLOOKUP(C3743,' Disaggregation - Section E '!A$618:N1867,7,0)="","",VLOOKUP(C3743,' Disaggregation - Section E '!A$618:N1867,7,0)*100),"")</f>
        <v/>
      </c>
      <c r="F3743" s="503" t="str">
        <f ca="1">IFERROR(VLOOKUP(C3743,' Disaggregation - Section E '!A$618:N1867,5,0),"")</f>
        <v/>
      </c>
      <c r="G3743" s="502" t="str">
        <f ca="1">IFERROR(IF(VLOOKUP(C3743,' Disaggregation - Section E '!A$618:N1867,6,0)="","",VLOOKUP(C3743,' Disaggregation - Section E '!A$618:N1867,6,0)),"")</f>
        <v/>
      </c>
      <c r="H3743" s="512" t="str">
        <f ca="1">IFERROR(IF(INDEX(' Disaggregation - Section E '!F$618:F3064,MATCH(C3743,' Disaggregation - Section E '!A$618:A3064,0)+1,1)&lt;&gt;0,INDEX(' Disaggregation - Section E '!F$618:F$1820,MATCH(C3743,' Disaggregation - Section E '!A$618:A3064,0)+1,1),""),"")</f>
        <v/>
      </c>
      <c r="I3743" s="503" t="str">
        <f ca="1">IFERROR(IF(VLOOKUP(C3743,' Disaggregation - Section E '!A$618:N1867,8,0)=0,"",VLOOKUP(C3743,' Disaggregation - Section E '!A$618:N1867,8,0)),"")</f>
        <v/>
      </c>
      <c r="J3743" s="503" t="str">
        <f ca="1">IFERROR(IF(VLOOKUP(C3743,' Disaggregation - Section E '!A$618:N3064,13,0)=0,"",VLOOKUP(C3743,' Disaggregation - Section E '!A$618:N3064,13,0)),"")</f>
        <v/>
      </c>
      <c r="K3743" s="497" t="str">
        <f ca="1">IFERROR(VLOOKUP(C3743,' Disaggregation - Section E '!A$618:N1867,3,0),"")</f>
        <v>HTS-Other 2 Porcentaje de resultados de VIH positivos entre el total de pruebas de VIH realizadas en personas Trans</v>
      </c>
      <c r="L3743" s="497"/>
      <c r="M3743" s="497" t="str">
        <f ca="1">IFERROR(IF(VLOOKUP(C3743,' Disaggregation - Section E '!A$618:T1867,20,0)=0,"",VLOOKUP(C3743,' Disaggregation - Section E '!A$618:T1867,20,0)),"")</f>
        <v/>
      </c>
      <c r="N3743" s="503" t="str">
        <f ca="1">IFERROR(IF(VLOOKUP(C3743,' Disaggregation - Section E '!A$618:N1867,14,0)=0,"",VLOOKUP(C3743,' Disaggregation - Section E '!A$618:N1867,14,0)),"")</f>
        <v/>
      </c>
      <c r="O3743" s="503" t="str">
        <f ca="1">IFERROR(IF(VLOOKUP(C3743,' Disaggregation - Section E '!A$618:N1867,9,0)=0,"",VLOOKUP(C3743,' Disaggregation - Section E '!A$618:N1867,9,0)),"")</f>
        <v/>
      </c>
      <c r="P3743" s="503" t="str">
        <f ca="1">IFERROR(IF(VLOOKUP(C3743,' Disaggregation - Section E '!A$618:N1867,10,0)=0,"",VLOOKUP(C3743,' Disaggregation - Section E '!A$618:N1867,10,0)),"")</f>
        <v/>
      </c>
    </row>
    <row r="3744" spans="1:16" x14ac:dyDescent="0.35">
      <c r="A3744" s="497" t="b">
        <f t="shared" ca="1" si="226"/>
        <v>0</v>
      </c>
      <c r="B3744" s="497"/>
      <c r="C3744" s="510" t="str">
        <f ca="1">IF(COUNTA(D$2498:D3744)=1,"",OFFSET(B3742,-COUNTA(D$2498:D3744)+3,1))</f>
        <v>a163p000004NtLyAAK</v>
      </c>
      <c r="D3744" s="512"/>
      <c r="E3744" s="500" t="str">
        <f ca="1">IFERROR(IF(VLOOKUP(C3744,' Disaggregation - Section E '!A$618:N1868,7,0)="","",VLOOKUP(C3744,' Disaggregation - Section E '!A$618:N1868,7,0)*100),"")</f>
        <v/>
      </c>
      <c r="F3744" s="503" t="str">
        <f ca="1">IFERROR(VLOOKUP(C3744,' Disaggregation - Section E '!A$618:N1868,5,0),"")</f>
        <v/>
      </c>
      <c r="G3744" s="502" t="str">
        <f ca="1">IFERROR(IF(VLOOKUP(C3744,' Disaggregation - Section E '!A$618:N1868,6,0)="","",VLOOKUP(C3744,' Disaggregation - Section E '!A$618:N1868,6,0)),"")</f>
        <v/>
      </c>
      <c r="H3744" s="512" t="str">
        <f ca="1">IFERROR(IF(INDEX(' Disaggregation - Section E '!F$618:F3065,MATCH(C3744,' Disaggregation - Section E '!A$618:A3065,0)+1,1)&lt;&gt;0,INDEX(' Disaggregation - Section E '!F$618:F$1820,MATCH(C3744,' Disaggregation - Section E '!A$618:A3065,0)+1,1),""),"")</f>
        <v/>
      </c>
      <c r="I3744" s="503" t="str">
        <f ca="1">IFERROR(IF(VLOOKUP(C3744,' Disaggregation - Section E '!A$618:N1868,8,0)=0,"",VLOOKUP(C3744,' Disaggregation - Section E '!A$618:N1868,8,0)),"")</f>
        <v/>
      </c>
      <c r="J3744" s="503" t="str">
        <f ca="1">IFERROR(IF(VLOOKUP(C3744,' Disaggregation - Section E '!A$618:N3065,13,0)=0,"",VLOOKUP(C3744,' Disaggregation - Section E '!A$618:N3065,13,0)),"")</f>
        <v/>
      </c>
      <c r="K3744" s="497" t="str">
        <f ca="1">IFERROR(VLOOKUP(C3744,' Disaggregation - Section E '!A$618:N1868,3,0),"")</f>
        <v>HTS-Other 2 Porcentaje de resultados de VIH positivos entre el total de pruebas de VIH realizadas en personas Trans</v>
      </c>
      <c r="L3744" s="497"/>
      <c r="M3744" s="497" t="str">
        <f ca="1">IFERROR(IF(VLOOKUP(C3744,' Disaggregation - Section E '!A$618:T1868,20,0)=0,"",VLOOKUP(C3744,' Disaggregation - Section E '!A$618:T1868,20,0)),"")</f>
        <v/>
      </c>
      <c r="N3744" s="503" t="str">
        <f ca="1">IFERROR(IF(VLOOKUP(C3744,' Disaggregation - Section E '!A$618:N1868,14,0)=0,"",VLOOKUP(C3744,' Disaggregation - Section E '!A$618:N1868,14,0)),"")</f>
        <v/>
      </c>
      <c r="O3744" s="503" t="str">
        <f ca="1">IFERROR(IF(VLOOKUP(C3744,' Disaggregation - Section E '!A$618:N1868,9,0)=0,"",VLOOKUP(C3744,' Disaggregation - Section E '!A$618:N1868,9,0)),"")</f>
        <v/>
      </c>
      <c r="P3744" s="503" t="str">
        <f ca="1">IFERROR(IF(VLOOKUP(C3744,' Disaggregation - Section E '!A$618:N1868,10,0)=0,"",VLOOKUP(C3744,' Disaggregation - Section E '!A$618:N1868,10,0)),"")</f>
        <v/>
      </c>
    </row>
    <row r="3745" spans="1:16" x14ac:dyDescent="0.35">
      <c r="A3745" s="497" t="b">
        <f t="shared" ca="1" si="226"/>
        <v>0</v>
      </c>
      <c r="B3745" s="497"/>
      <c r="C3745" s="510" t="str">
        <f ca="1">IF(COUNTA(D$2498:D3745)=1,"",OFFSET(B3743,-COUNTA(D$2498:D3745)+3,1))</f>
        <v>a163p000004NtLzAAK</v>
      </c>
      <c r="D3745" s="512"/>
      <c r="E3745" s="500" t="str">
        <f ca="1">IFERROR(IF(VLOOKUP(C3745,' Disaggregation - Section E '!A$618:N1869,7,0)="","",VLOOKUP(C3745,' Disaggregation - Section E '!A$618:N1869,7,0)*100),"")</f>
        <v/>
      </c>
      <c r="F3745" s="503" t="str">
        <f ca="1">IFERROR(VLOOKUP(C3745,' Disaggregation - Section E '!A$618:N1869,5,0),"")</f>
        <v/>
      </c>
      <c r="G3745" s="502" t="str">
        <f ca="1">IFERROR(IF(VLOOKUP(C3745,' Disaggregation - Section E '!A$618:N1869,6,0)="","",VLOOKUP(C3745,' Disaggregation - Section E '!A$618:N1869,6,0)),"")</f>
        <v/>
      </c>
      <c r="H3745" s="512" t="str">
        <f ca="1">IFERROR(IF(INDEX(' Disaggregation - Section E '!F$618:F3066,MATCH(C3745,' Disaggregation - Section E '!A$618:A3066,0)+1,1)&lt;&gt;0,INDEX(' Disaggregation - Section E '!F$618:F$1820,MATCH(C3745,' Disaggregation - Section E '!A$618:A3066,0)+1,1),""),"")</f>
        <v/>
      </c>
      <c r="I3745" s="503" t="str">
        <f ca="1">IFERROR(IF(VLOOKUP(C3745,' Disaggregation - Section E '!A$618:N1869,8,0)=0,"",VLOOKUP(C3745,' Disaggregation - Section E '!A$618:N1869,8,0)),"")</f>
        <v/>
      </c>
      <c r="J3745" s="503" t="str">
        <f ca="1">IFERROR(IF(VLOOKUP(C3745,' Disaggregation - Section E '!A$618:N3066,13,0)=0,"",VLOOKUP(C3745,' Disaggregation - Section E '!A$618:N3066,13,0)),"")</f>
        <v/>
      </c>
      <c r="K3745" s="497" t="str">
        <f ca="1">IFERROR(VLOOKUP(C3745,' Disaggregation - Section E '!A$618:N1869,3,0),"")</f>
        <v>HTS-Other 2 Porcentaje de resultados de VIH positivos entre el total de pruebas de VIH realizadas en personas Trans</v>
      </c>
      <c r="L3745" s="497"/>
      <c r="M3745" s="497" t="str">
        <f ca="1">IFERROR(IF(VLOOKUP(C3745,' Disaggregation - Section E '!A$618:T1869,20,0)=0,"",VLOOKUP(C3745,' Disaggregation - Section E '!A$618:T1869,20,0)),"")</f>
        <v/>
      </c>
      <c r="N3745" s="503" t="str">
        <f ca="1">IFERROR(IF(VLOOKUP(C3745,' Disaggregation - Section E '!A$618:N1869,14,0)=0,"",VLOOKUP(C3745,' Disaggregation - Section E '!A$618:N1869,14,0)),"")</f>
        <v/>
      </c>
      <c r="O3745" s="503" t="str">
        <f ca="1">IFERROR(IF(VLOOKUP(C3745,' Disaggregation - Section E '!A$618:N1869,9,0)=0,"",VLOOKUP(C3745,' Disaggregation - Section E '!A$618:N1869,9,0)),"")</f>
        <v/>
      </c>
      <c r="P3745" s="503" t="str">
        <f ca="1">IFERROR(IF(VLOOKUP(C3745,' Disaggregation - Section E '!A$618:N1869,10,0)=0,"",VLOOKUP(C3745,' Disaggregation - Section E '!A$618:N1869,10,0)),"")</f>
        <v/>
      </c>
    </row>
    <row r="3746" spans="1:16" x14ac:dyDescent="0.35">
      <c r="A3746" s="497" t="b">
        <f t="shared" ca="1" si="226"/>
        <v>0</v>
      </c>
      <c r="B3746" s="497"/>
      <c r="C3746" s="510" t="str">
        <f ca="1">IF(COUNTA(D$2498:D3746)=1,"",OFFSET(B3744,-COUNTA(D$2498:D3746)+3,1))</f>
        <v>a163p000004NtM0AAK</v>
      </c>
      <c r="D3746" s="512"/>
      <c r="E3746" s="500" t="str">
        <f ca="1">IFERROR(IF(VLOOKUP(C3746,' Disaggregation - Section E '!A$618:N1870,7,0)="","",VLOOKUP(C3746,' Disaggregation - Section E '!A$618:N1870,7,0)*100),"")</f>
        <v/>
      </c>
      <c r="F3746" s="503" t="str">
        <f ca="1">IFERROR(VLOOKUP(C3746,' Disaggregation - Section E '!A$618:N1870,5,0),"")</f>
        <v/>
      </c>
      <c r="G3746" s="502" t="str">
        <f ca="1">IFERROR(IF(VLOOKUP(C3746,' Disaggregation - Section E '!A$618:N1870,6,0)="","",VLOOKUP(C3746,' Disaggregation - Section E '!A$618:N1870,6,0)),"")</f>
        <v/>
      </c>
      <c r="H3746" s="512" t="str">
        <f ca="1">IFERROR(IF(INDEX(' Disaggregation - Section E '!F$618:F3067,MATCH(C3746,' Disaggregation - Section E '!A$618:A3067,0)+1,1)&lt;&gt;0,INDEX(' Disaggregation - Section E '!F$618:F$1820,MATCH(C3746,' Disaggregation - Section E '!A$618:A3067,0)+1,1),""),"")</f>
        <v/>
      </c>
      <c r="I3746" s="503" t="str">
        <f ca="1">IFERROR(IF(VLOOKUP(C3746,' Disaggregation - Section E '!A$618:N1870,8,0)=0,"",VLOOKUP(C3746,' Disaggregation - Section E '!A$618:N1870,8,0)),"")</f>
        <v/>
      </c>
      <c r="J3746" s="503" t="str">
        <f ca="1">IFERROR(IF(VLOOKUP(C3746,' Disaggregation - Section E '!A$618:N3067,13,0)=0,"",VLOOKUP(C3746,' Disaggregation - Section E '!A$618:N3067,13,0)),"")</f>
        <v/>
      </c>
      <c r="K3746" s="497" t="str">
        <f ca="1">IFERROR(VLOOKUP(C3746,' Disaggregation - Section E '!A$618:N1870,3,0),"")</f>
        <v>HTS-Other 2 Porcentaje de resultados de VIH positivos entre el total de pruebas de VIH realizadas en personas Trans</v>
      </c>
      <c r="L3746" s="497"/>
      <c r="M3746" s="497" t="str">
        <f ca="1">IFERROR(IF(VLOOKUP(C3746,' Disaggregation - Section E '!A$618:T1870,20,0)=0,"",VLOOKUP(C3746,' Disaggregation - Section E '!A$618:T1870,20,0)),"")</f>
        <v/>
      </c>
      <c r="N3746" s="503" t="str">
        <f ca="1">IFERROR(IF(VLOOKUP(C3746,' Disaggregation - Section E '!A$618:N1870,14,0)=0,"",VLOOKUP(C3746,' Disaggregation - Section E '!A$618:N1870,14,0)),"")</f>
        <v/>
      </c>
      <c r="O3746" s="503" t="str">
        <f ca="1">IFERROR(IF(VLOOKUP(C3746,' Disaggregation - Section E '!A$618:N1870,9,0)=0,"",VLOOKUP(C3746,' Disaggregation - Section E '!A$618:N1870,9,0)),"")</f>
        <v/>
      </c>
      <c r="P3746" s="503" t="str">
        <f ca="1">IFERROR(IF(VLOOKUP(C3746,' Disaggregation - Section E '!A$618:N1870,10,0)=0,"",VLOOKUP(C3746,' Disaggregation - Section E '!A$618:N1870,10,0)),"")</f>
        <v/>
      </c>
    </row>
    <row r="3747" spans="1:16" x14ac:dyDescent="0.35">
      <c r="A3747" s="497" t="b">
        <f t="shared" ca="1" si="226"/>
        <v>0</v>
      </c>
      <c r="B3747" s="497"/>
      <c r="C3747" s="510" t="str">
        <f ca="1">IF(COUNTA(D$2498:D3747)=1,"",OFFSET(B3745,-COUNTA(D$2498:D3747)+3,1))</f>
        <v>a163p000004NtM1AAK</v>
      </c>
      <c r="D3747" s="512"/>
      <c r="E3747" s="500" t="str">
        <f ca="1">IFERROR(IF(VLOOKUP(C3747,' Disaggregation - Section E '!A$618:N1871,7,0)="","",VLOOKUP(C3747,' Disaggregation - Section E '!A$618:N1871,7,0)*100),"")</f>
        <v/>
      </c>
      <c r="F3747" s="503" t="str">
        <f ca="1">IFERROR(VLOOKUP(C3747,' Disaggregation - Section E '!A$618:N1871,5,0),"")</f>
        <v/>
      </c>
      <c r="G3747" s="502" t="str">
        <f ca="1">IFERROR(IF(VLOOKUP(C3747,' Disaggregation - Section E '!A$618:N1871,6,0)="","",VLOOKUP(C3747,' Disaggregation - Section E '!A$618:N1871,6,0)),"")</f>
        <v/>
      </c>
      <c r="H3747" s="512" t="str">
        <f ca="1">IFERROR(IF(INDEX(' Disaggregation - Section E '!F$618:F3068,MATCH(C3747,' Disaggregation - Section E '!A$618:A3068,0)+1,1)&lt;&gt;0,INDEX(' Disaggregation - Section E '!F$618:F$1820,MATCH(C3747,' Disaggregation - Section E '!A$618:A3068,0)+1,1),""),"")</f>
        <v/>
      </c>
      <c r="I3747" s="503" t="str">
        <f ca="1">IFERROR(IF(VLOOKUP(C3747,' Disaggregation - Section E '!A$618:N1871,8,0)=0,"",VLOOKUP(C3747,' Disaggregation - Section E '!A$618:N1871,8,0)),"")</f>
        <v/>
      </c>
      <c r="J3747" s="503" t="str">
        <f ca="1">IFERROR(IF(VLOOKUP(C3747,' Disaggregation - Section E '!A$618:N3068,13,0)=0,"",VLOOKUP(C3747,' Disaggregation - Section E '!A$618:N3068,13,0)),"")</f>
        <v/>
      </c>
      <c r="K3747" s="497" t="str">
        <f ca="1">IFERROR(VLOOKUP(C3747,' Disaggregation - Section E '!A$618:N1871,3,0),"")</f>
        <v>HTS-Other 2 Porcentaje de resultados de VIH positivos entre el total de pruebas de VIH realizadas en personas Trans</v>
      </c>
      <c r="L3747" s="497"/>
      <c r="M3747" s="497" t="str">
        <f ca="1">IFERROR(IF(VLOOKUP(C3747,' Disaggregation - Section E '!A$618:T1871,20,0)=0,"",VLOOKUP(C3747,' Disaggregation - Section E '!A$618:T1871,20,0)),"")</f>
        <v/>
      </c>
      <c r="N3747" s="503" t="str">
        <f ca="1">IFERROR(IF(VLOOKUP(C3747,' Disaggregation - Section E '!A$618:N1871,14,0)=0,"",VLOOKUP(C3747,' Disaggregation - Section E '!A$618:N1871,14,0)),"")</f>
        <v/>
      </c>
      <c r="O3747" s="503" t="str">
        <f ca="1">IFERROR(IF(VLOOKUP(C3747,' Disaggregation - Section E '!A$618:N1871,9,0)=0,"",VLOOKUP(C3747,' Disaggregation - Section E '!A$618:N1871,9,0)),"")</f>
        <v/>
      </c>
      <c r="P3747" s="503" t="str">
        <f ca="1">IFERROR(IF(VLOOKUP(C3747,' Disaggregation - Section E '!A$618:N1871,10,0)=0,"",VLOOKUP(C3747,' Disaggregation - Section E '!A$618:N1871,10,0)),"")</f>
        <v/>
      </c>
    </row>
    <row r="3748" spans="1:16" x14ac:dyDescent="0.35">
      <c r="A3748" s="497" t="b">
        <f t="shared" ca="1" si="226"/>
        <v>0</v>
      </c>
      <c r="B3748" s="497"/>
      <c r="C3748" s="510" t="str">
        <f ca="1">IF(COUNTA(D$2498:D3748)=1,"",OFFSET(B3746,-COUNTA(D$2498:D3748)+3,1))</f>
        <v>a163p000004NtM2AAK</v>
      </c>
      <c r="D3748" s="512"/>
      <c r="E3748" s="500" t="str">
        <f ca="1">IFERROR(IF(VLOOKUP(C3748,' Disaggregation - Section E '!A$618:N1872,7,0)="","",VLOOKUP(C3748,' Disaggregation - Section E '!A$618:N1872,7,0)*100),"")</f>
        <v/>
      </c>
      <c r="F3748" s="503" t="str">
        <f ca="1">IFERROR(VLOOKUP(C3748,' Disaggregation - Section E '!A$618:N1872,5,0),"")</f>
        <v/>
      </c>
      <c r="G3748" s="502" t="str">
        <f ca="1">IFERROR(IF(VLOOKUP(C3748,' Disaggregation - Section E '!A$618:N1872,6,0)="","",VLOOKUP(C3748,' Disaggregation - Section E '!A$618:N1872,6,0)),"")</f>
        <v/>
      </c>
      <c r="H3748" s="512" t="str">
        <f ca="1">IFERROR(IF(INDEX(' Disaggregation - Section E '!F$618:F3069,MATCH(C3748,' Disaggregation - Section E '!A$618:A3069,0)+1,1)&lt;&gt;0,INDEX(' Disaggregation - Section E '!F$618:F$1820,MATCH(C3748,' Disaggregation - Section E '!A$618:A3069,0)+1,1),""),"")</f>
        <v/>
      </c>
      <c r="I3748" s="503" t="str">
        <f ca="1">IFERROR(IF(VLOOKUP(C3748,' Disaggregation - Section E '!A$618:N1872,8,0)=0,"",VLOOKUP(C3748,' Disaggregation - Section E '!A$618:N1872,8,0)),"")</f>
        <v/>
      </c>
      <c r="J3748" s="503" t="str">
        <f ca="1">IFERROR(IF(VLOOKUP(C3748,' Disaggregation - Section E '!A$618:N3069,13,0)=0,"",VLOOKUP(C3748,' Disaggregation - Section E '!A$618:N3069,13,0)),"")</f>
        <v/>
      </c>
      <c r="K3748" s="497" t="str">
        <f ca="1">IFERROR(VLOOKUP(C3748,' Disaggregation - Section E '!A$618:N1872,3,0),"")</f>
        <v>HTS-Other 2 Porcentaje de resultados de VIH positivos entre el total de pruebas de VIH realizadas en personas Trans</v>
      </c>
      <c r="L3748" s="497"/>
      <c r="M3748" s="497" t="str">
        <f ca="1">IFERROR(IF(VLOOKUP(C3748,' Disaggregation - Section E '!A$618:T1872,20,0)=0,"",VLOOKUP(C3748,' Disaggregation - Section E '!A$618:T1872,20,0)),"")</f>
        <v/>
      </c>
      <c r="N3748" s="503" t="str">
        <f ca="1">IFERROR(IF(VLOOKUP(C3748,' Disaggregation - Section E '!A$618:N1872,14,0)=0,"",VLOOKUP(C3748,' Disaggregation - Section E '!A$618:N1872,14,0)),"")</f>
        <v/>
      </c>
      <c r="O3748" s="503" t="str">
        <f ca="1">IFERROR(IF(VLOOKUP(C3748,' Disaggregation - Section E '!A$618:N1872,9,0)=0,"",VLOOKUP(C3748,' Disaggregation - Section E '!A$618:N1872,9,0)),"")</f>
        <v/>
      </c>
      <c r="P3748" s="503" t="str">
        <f ca="1">IFERROR(IF(VLOOKUP(C3748,' Disaggregation - Section E '!A$618:N1872,10,0)=0,"",VLOOKUP(C3748,' Disaggregation - Section E '!A$618:N1872,10,0)),"")</f>
        <v/>
      </c>
    </row>
    <row r="3749" spans="1:16" x14ac:dyDescent="0.35">
      <c r="A3749" s="497" t="b">
        <f t="shared" ca="1" si="226"/>
        <v>0</v>
      </c>
      <c r="B3749" s="497"/>
      <c r="C3749" s="510" t="str">
        <f ca="1">IF(COUNTA(D$2498:D3749)=1,"",OFFSET(B3747,-COUNTA(D$2498:D3749)+3,1))</f>
        <v>a163p000004NtM3AAK</v>
      </c>
      <c r="D3749" s="512"/>
      <c r="E3749" s="500" t="str">
        <f ca="1">IFERROR(IF(VLOOKUP(C3749,' Disaggregation - Section E '!A$618:N1873,7,0)="","",VLOOKUP(C3749,' Disaggregation - Section E '!A$618:N1873,7,0)*100),"")</f>
        <v/>
      </c>
      <c r="F3749" s="503" t="str">
        <f ca="1">IFERROR(VLOOKUP(C3749,' Disaggregation - Section E '!A$618:N1873,5,0),"")</f>
        <v/>
      </c>
      <c r="G3749" s="502" t="str">
        <f ca="1">IFERROR(IF(VLOOKUP(C3749,' Disaggregation - Section E '!A$618:N1873,6,0)="","",VLOOKUP(C3749,' Disaggregation - Section E '!A$618:N1873,6,0)),"")</f>
        <v/>
      </c>
      <c r="H3749" s="512" t="str">
        <f ca="1">IFERROR(IF(INDEX(' Disaggregation - Section E '!F$618:F3070,MATCH(C3749,' Disaggregation - Section E '!A$618:A3070,0)+1,1)&lt;&gt;0,INDEX(' Disaggregation - Section E '!F$618:F$1820,MATCH(C3749,' Disaggregation - Section E '!A$618:A3070,0)+1,1),""),"")</f>
        <v/>
      </c>
      <c r="I3749" s="503" t="str">
        <f ca="1">IFERROR(IF(VLOOKUP(C3749,' Disaggregation - Section E '!A$618:N1873,8,0)=0,"",VLOOKUP(C3749,' Disaggregation - Section E '!A$618:N1873,8,0)),"")</f>
        <v/>
      </c>
      <c r="J3749" s="503" t="str">
        <f ca="1">IFERROR(IF(VLOOKUP(C3749,' Disaggregation - Section E '!A$618:N3070,13,0)=0,"",VLOOKUP(C3749,' Disaggregation - Section E '!A$618:N3070,13,0)),"")</f>
        <v/>
      </c>
      <c r="K3749" s="497" t="str">
        <f ca="1">IFERROR(VLOOKUP(C3749,' Disaggregation - Section E '!A$618:N1873,3,0),"")</f>
        <v>HTS-Other 2 Porcentaje de resultados de VIH positivos entre el total de pruebas de VIH realizadas en personas Trans</v>
      </c>
      <c r="L3749" s="497"/>
      <c r="M3749" s="497" t="str">
        <f ca="1">IFERROR(IF(VLOOKUP(C3749,' Disaggregation - Section E '!A$618:T1873,20,0)=0,"",VLOOKUP(C3749,' Disaggregation - Section E '!A$618:T1873,20,0)),"")</f>
        <v/>
      </c>
      <c r="N3749" s="503" t="str">
        <f ca="1">IFERROR(IF(VLOOKUP(C3749,' Disaggregation - Section E '!A$618:N1873,14,0)=0,"",VLOOKUP(C3749,' Disaggregation - Section E '!A$618:N1873,14,0)),"")</f>
        <v/>
      </c>
      <c r="O3749" s="503" t="str">
        <f ca="1">IFERROR(IF(VLOOKUP(C3749,' Disaggregation - Section E '!A$618:N1873,9,0)=0,"",VLOOKUP(C3749,' Disaggregation - Section E '!A$618:N1873,9,0)),"")</f>
        <v/>
      </c>
      <c r="P3749" s="503" t="str">
        <f ca="1">IFERROR(IF(VLOOKUP(C3749,' Disaggregation - Section E '!A$618:N1873,10,0)=0,"",VLOOKUP(C3749,' Disaggregation - Section E '!A$618:N1873,10,0)),"")</f>
        <v/>
      </c>
    </row>
    <row r="3750" spans="1:16" x14ac:dyDescent="0.35">
      <c r="A3750" s="497" t="b">
        <f t="shared" ca="1" si="226"/>
        <v>0</v>
      </c>
      <c r="B3750" s="497"/>
      <c r="C3750" s="510" t="str">
        <f ca="1">IF(COUNTA(D$2498:D3750)=1,"",OFFSET(B3748,-COUNTA(D$2498:D3750)+3,1))</f>
        <v>a163p000004NtM4AAK</v>
      </c>
      <c r="D3750" s="512"/>
      <c r="E3750" s="500" t="str">
        <f ca="1">IFERROR(IF(VLOOKUP(C3750,' Disaggregation - Section E '!A$618:N1874,7,0)="","",VLOOKUP(C3750,' Disaggregation - Section E '!A$618:N1874,7,0)*100),"")</f>
        <v/>
      </c>
      <c r="F3750" s="503" t="str">
        <f ca="1">IFERROR(VLOOKUP(C3750,' Disaggregation - Section E '!A$618:N1874,5,0),"")</f>
        <v/>
      </c>
      <c r="G3750" s="502" t="str">
        <f ca="1">IFERROR(IF(VLOOKUP(C3750,' Disaggregation - Section E '!A$618:N1874,6,0)="","",VLOOKUP(C3750,' Disaggregation - Section E '!A$618:N1874,6,0)),"")</f>
        <v/>
      </c>
      <c r="H3750" s="512" t="str">
        <f ca="1">IFERROR(IF(INDEX(' Disaggregation - Section E '!F$618:F3071,MATCH(C3750,' Disaggregation - Section E '!A$618:A3071,0)+1,1)&lt;&gt;0,INDEX(' Disaggregation - Section E '!F$618:F$1820,MATCH(C3750,' Disaggregation - Section E '!A$618:A3071,0)+1,1),""),"")</f>
        <v/>
      </c>
      <c r="I3750" s="503" t="str">
        <f ca="1">IFERROR(IF(VLOOKUP(C3750,' Disaggregation - Section E '!A$618:N1874,8,0)=0,"",VLOOKUP(C3750,' Disaggregation - Section E '!A$618:N1874,8,0)),"")</f>
        <v/>
      </c>
      <c r="J3750" s="503" t="str">
        <f ca="1">IFERROR(IF(VLOOKUP(C3750,' Disaggregation - Section E '!A$618:N3071,13,0)=0,"",VLOOKUP(C3750,' Disaggregation - Section E '!A$618:N3071,13,0)),"")</f>
        <v/>
      </c>
      <c r="K3750" s="497" t="str">
        <f ca="1">IFERROR(VLOOKUP(C3750,' Disaggregation - Section E '!A$618:N1874,3,0),"")</f>
        <v>HTS-Other 2 Porcentaje de resultados de VIH positivos entre el total de pruebas de VIH realizadas en personas Trans</v>
      </c>
      <c r="L3750" s="497"/>
      <c r="M3750" s="497" t="str">
        <f ca="1">IFERROR(IF(VLOOKUP(C3750,' Disaggregation - Section E '!A$618:T1874,20,0)=0,"",VLOOKUP(C3750,' Disaggregation - Section E '!A$618:T1874,20,0)),"")</f>
        <v/>
      </c>
      <c r="N3750" s="503" t="str">
        <f ca="1">IFERROR(IF(VLOOKUP(C3750,' Disaggregation - Section E '!A$618:N1874,14,0)=0,"",VLOOKUP(C3750,' Disaggregation - Section E '!A$618:N1874,14,0)),"")</f>
        <v/>
      </c>
      <c r="O3750" s="503" t="str">
        <f ca="1">IFERROR(IF(VLOOKUP(C3750,' Disaggregation - Section E '!A$618:N1874,9,0)=0,"",VLOOKUP(C3750,' Disaggregation - Section E '!A$618:N1874,9,0)),"")</f>
        <v/>
      </c>
      <c r="P3750" s="503" t="str">
        <f ca="1">IFERROR(IF(VLOOKUP(C3750,' Disaggregation - Section E '!A$618:N1874,10,0)=0,"",VLOOKUP(C3750,' Disaggregation - Section E '!A$618:N1874,10,0)),"")</f>
        <v/>
      </c>
    </row>
    <row r="3751" spans="1:16" x14ac:dyDescent="0.35">
      <c r="A3751" s="497" t="b">
        <f t="shared" ca="1" si="226"/>
        <v>0</v>
      </c>
      <c r="B3751" s="497"/>
      <c r="C3751" s="510" t="str">
        <f ca="1">IF(COUNTA(D$2498:D3751)=1,"",OFFSET(B3749,-COUNTA(D$2498:D3751)+3,1))</f>
        <v>a163p000004NtM5AAK</v>
      </c>
      <c r="D3751" s="512"/>
      <c r="E3751" s="500" t="str">
        <f ca="1">IFERROR(IF(VLOOKUP(C3751,' Disaggregation - Section E '!A$618:N1875,7,0)="","",VLOOKUP(C3751,' Disaggregation - Section E '!A$618:N1875,7,0)*100),"")</f>
        <v/>
      </c>
      <c r="F3751" s="503" t="str">
        <f ca="1">IFERROR(VLOOKUP(C3751,' Disaggregation - Section E '!A$618:N1875,5,0),"")</f>
        <v/>
      </c>
      <c r="G3751" s="502" t="str">
        <f ca="1">IFERROR(IF(VLOOKUP(C3751,' Disaggregation - Section E '!A$618:N1875,6,0)="","",VLOOKUP(C3751,' Disaggregation - Section E '!A$618:N1875,6,0)),"")</f>
        <v/>
      </c>
      <c r="H3751" s="512" t="str">
        <f ca="1">IFERROR(IF(INDEX(' Disaggregation - Section E '!F$618:F3072,MATCH(C3751,' Disaggregation - Section E '!A$618:A3072,0)+1,1)&lt;&gt;0,INDEX(' Disaggregation - Section E '!F$618:F$1820,MATCH(C3751,' Disaggregation - Section E '!A$618:A3072,0)+1,1),""),"")</f>
        <v/>
      </c>
      <c r="I3751" s="503" t="str">
        <f ca="1">IFERROR(IF(VLOOKUP(C3751,' Disaggregation - Section E '!A$618:N1875,8,0)=0,"",VLOOKUP(C3751,' Disaggregation - Section E '!A$618:N1875,8,0)),"")</f>
        <v/>
      </c>
      <c r="J3751" s="503" t="str">
        <f ca="1">IFERROR(IF(VLOOKUP(C3751,' Disaggregation - Section E '!A$618:N3072,13,0)=0,"",VLOOKUP(C3751,' Disaggregation - Section E '!A$618:N3072,13,0)),"")</f>
        <v/>
      </c>
      <c r="K3751" s="497" t="str">
        <f ca="1">IFERROR(VLOOKUP(C3751,' Disaggregation - Section E '!A$618:N1875,3,0),"")</f>
        <v>HTS-Other 2 Porcentaje de resultados de VIH positivos entre el total de pruebas de VIH realizadas en personas Trans</v>
      </c>
      <c r="L3751" s="497"/>
      <c r="M3751" s="497" t="str">
        <f ca="1">IFERROR(IF(VLOOKUP(C3751,' Disaggregation - Section E '!A$618:T1875,20,0)=0,"",VLOOKUP(C3751,' Disaggregation - Section E '!A$618:T1875,20,0)),"")</f>
        <v/>
      </c>
      <c r="N3751" s="503" t="str">
        <f ca="1">IFERROR(IF(VLOOKUP(C3751,' Disaggregation - Section E '!A$618:N1875,14,0)=0,"",VLOOKUP(C3751,' Disaggregation - Section E '!A$618:N1875,14,0)),"")</f>
        <v/>
      </c>
      <c r="O3751" s="503" t="str">
        <f ca="1">IFERROR(IF(VLOOKUP(C3751,' Disaggregation - Section E '!A$618:N1875,9,0)=0,"",VLOOKUP(C3751,' Disaggregation - Section E '!A$618:N1875,9,0)),"")</f>
        <v/>
      </c>
      <c r="P3751" s="503" t="str">
        <f ca="1">IFERROR(IF(VLOOKUP(C3751,' Disaggregation - Section E '!A$618:N1875,10,0)=0,"",VLOOKUP(C3751,' Disaggregation - Section E '!A$618:N1875,10,0)),"")</f>
        <v/>
      </c>
    </row>
    <row r="3752" spans="1:16" x14ac:dyDescent="0.35">
      <c r="A3752" s="497" t="b">
        <f t="shared" ca="1" si="226"/>
        <v>0</v>
      </c>
      <c r="B3752" s="497"/>
      <c r="C3752" s="510" t="str">
        <f ca="1">IF(COUNTA(D$2498:D3752)=1,"",OFFSET(B3750,-COUNTA(D$2498:D3752)+3,1))</f>
        <v>a163p000004NtM6AAK</v>
      </c>
      <c r="D3752" s="512"/>
      <c r="E3752" s="500" t="str">
        <f ca="1">IFERROR(IF(VLOOKUP(C3752,' Disaggregation - Section E '!A$618:N1876,7,0)="","",VLOOKUP(C3752,' Disaggregation - Section E '!A$618:N1876,7,0)*100),"")</f>
        <v/>
      </c>
      <c r="F3752" s="503" t="str">
        <f ca="1">IFERROR(VLOOKUP(C3752,' Disaggregation - Section E '!A$618:N1876,5,0),"")</f>
        <v/>
      </c>
      <c r="G3752" s="502" t="str">
        <f ca="1">IFERROR(IF(VLOOKUP(C3752,' Disaggregation - Section E '!A$618:N1876,6,0)="","",VLOOKUP(C3752,' Disaggregation - Section E '!A$618:N1876,6,0)),"")</f>
        <v/>
      </c>
      <c r="H3752" s="512" t="str">
        <f ca="1">IFERROR(IF(INDEX(' Disaggregation - Section E '!F$618:F3073,MATCH(C3752,' Disaggregation - Section E '!A$618:A3073,0)+1,1)&lt;&gt;0,INDEX(' Disaggregation - Section E '!F$618:F$1820,MATCH(C3752,' Disaggregation - Section E '!A$618:A3073,0)+1,1),""),"")</f>
        <v/>
      </c>
      <c r="I3752" s="503" t="str">
        <f ca="1">IFERROR(IF(VLOOKUP(C3752,' Disaggregation - Section E '!A$618:N1876,8,0)=0,"",VLOOKUP(C3752,' Disaggregation - Section E '!A$618:N1876,8,0)),"")</f>
        <v/>
      </c>
      <c r="J3752" s="503" t="str">
        <f ca="1">IFERROR(IF(VLOOKUP(C3752,' Disaggregation - Section E '!A$618:N3073,13,0)=0,"",VLOOKUP(C3752,' Disaggregation - Section E '!A$618:N3073,13,0)),"")</f>
        <v/>
      </c>
      <c r="K3752" s="497" t="str">
        <f ca="1">IFERROR(VLOOKUP(C3752,' Disaggregation - Section E '!A$618:N1876,3,0),"")</f>
        <v>HTS-Other 2 Porcentaje de resultados de VIH positivos entre el total de pruebas de VIH realizadas en personas Trans</v>
      </c>
      <c r="L3752" s="497"/>
      <c r="M3752" s="497" t="str">
        <f ca="1">IFERROR(IF(VLOOKUP(C3752,' Disaggregation - Section E '!A$618:T1876,20,0)=0,"",VLOOKUP(C3752,' Disaggregation - Section E '!A$618:T1876,20,0)),"")</f>
        <v/>
      </c>
      <c r="N3752" s="503" t="str">
        <f ca="1">IFERROR(IF(VLOOKUP(C3752,' Disaggregation - Section E '!A$618:N1876,14,0)=0,"",VLOOKUP(C3752,' Disaggregation - Section E '!A$618:N1876,14,0)),"")</f>
        <v/>
      </c>
      <c r="O3752" s="503" t="str">
        <f ca="1">IFERROR(IF(VLOOKUP(C3752,' Disaggregation - Section E '!A$618:N1876,9,0)=0,"",VLOOKUP(C3752,' Disaggregation - Section E '!A$618:N1876,9,0)),"")</f>
        <v/>
      </c>
      <c r="P3752" s="503" t="str">
        <f ca="1">IFERROR(IF(VLOOKUP(C3752,' Disaggregation - Section E '!A$618:N1876,10,0)=0,"",VLOOKUP(C3752,' Disaggregation - Section E '!A$618:N1876,10,0)),"")</f>
        <v/>
      </c>
    </row>
    <row r="3753" spans="1:16" x14ac:dyDescent="0.35">
      <c r="A3753" s="497" t="b">
        <f t="shared" ca="1" si="226"/>
        <v>0</v>
      </c>
      <c r="B3753" s="497"/>
      <c r="C3753" s="510" t="str">
        <f ca="1">IF(COUNTA(D$2498:D3753)=1,"",OFFSET(B3751,-COUNTA(D$2498:D3753)+3,1))</f>
        <v>a163p000004NtM7AAK</v>
      </c>
      <c r="D3753" s="512"/>
      <c r="E3753" s="500" t="str">
        <f ca="1">IFERROR(IF(VLOOKUP(C3753,' Disaggregation - Section E '!A$618:N1877,7,0)="","",VLOOKUP(C3753,' Disaggregation - Section E '!A$618:N1877,7,0)*100),"")</f>
        <v/>
      </c>
      <c r="F3753" s="503" t="str">
        <f ca="1">IFERROR(VLOOKUP(C3753,' Disaggregation - Section E '!A$618:N1877,5,0),"")</f>
        <v/>
      </c>
      <c r="G3753" s="502" t="str">
        <f ca="1">IFERROR(IF(VLOOKUP(C3753,' Disaggregation - Section E '!A$618:N1877,6,0)="","",VLOOKUP(C3753,' Disaggregation - Section E '!A$618:N1877,6,0)),"")</f>
        <v/>
      </c>
      <c r="H3753" s="512" t="str">
        <f ca="1">IFERROR(IF(INDEX(' Disaggregation - Section E '!F$618:F3074,MATCH(C3753,' Disaggregation - Section E '!A$618:A3074,0)+1,1)&lt;&gt;0,INDEX(' Disaggregation - Section E '!F$618:F$1820,MATCH(C3753,' Disaggregation - Section E '!A$618:A3074,0)+1,1),""),"")</f>
        <v/>
      </c>
      <c r="I3753" s="503" t="str">
        <f ca="1">IFERROR(IF(VLOOKUP(C3753,' Disaggregation - Section E '!A$618:N1877,8,0)=0,"",VLOOKUP(C3753,' Disaggregation - Section E '!A$618:N1877,8,0)),"")</f>
        <v/>
      </c>
      <c r="J3753" s="503" t="str">
        <f ca="1">IFERROR(IF(VLOOKUP(C3753,' Disaggregation - Section E '!A$618:N3074,13,0)=0,"",VLOOKUP(C3753,' Disaggregation - Section E '!A$618:N3074,13,0)),"")</f>
        <v/>
      </c>
      <c r="K3753" s="497" t="str">
        <f ca="1">IFERROR(VLOOKUP(C3753,' Disaggregation - Section E '!A$618:N1877,3,0),"")</f>
        <v>HTS-Other 2 Porcentaje de resultados de VIH positivos entre el total de pruebas de VIH realizadas en personas Trans</v>
      </c>
      <c r="L3753" s="497"/>
      <c r="M3753" s="497" t="str">
        <f ca="1">IFERROR(IF(VLOOKUP(C3753,' Disaggregation - Section E '!A$618:T1877,20,0)=0,"",VLOOKUP(C3753,' Disaggregation - Section E '!A$618:T1877,20,0)),"")</f>
        <v/>
      </c>
      <c r="N3753" s="503" t="str">
        <f ca="1">IFERROR(IF(VLOOKUP(C3753,' Disaggregation - Section E '!A$618:N1877,14,0)=0,"",VLOOKUP(C3753,' Disaggregation - Section E '!A$618:N1877,14,0)),"")</f>
        <v/>
      </c>
      <c r="O3753" s="503" t="str">
        <f ca="1">IFERROR(IF(VLOOKUP(C3753,' Disaggregation - Section E '!A$618:N1877,9,0)=0,"",VLOOKUP(C3753,' Disaggregation - Section E '!A$618:N1877,9,0)),"")</f>
        <v/>
      </c>
      <c r="P3753" s="503" t="str">
        <f ca="1">IFERROR(IF(VLOOKUP(C3753,' Disaggregation - Section E '!A$618:N1877,10,0)=0,"",VLOOKUP(C3753,' Disaggregation - Section E '!A$618:N1877,10,0)),"")</f>
        <v/>
      </c>
    </row>
    <row r="3754" spans="1:16" x14ac:dyDescent="0.35">
      <c r="A3754" s="497" t="b">
        <f t="shared" ca="1" si="226"/>
        <v>0</v>
      </c>
      <c r="B3754" s="497"/>
      <c r="C3754" s="510" t="str">
        <f ca="1">IF(COUNTA(D$2498:D3754)=1,"",OFFSET(B3752,-COUNTA(D$2498:D3754)+3,1))</f>
        <v>a163p000004NtM8AAK</v>
      </c>
      <c r="D3754" s="512"/>
      <c r="E3754" s="500" t="str">
        <f ca="1">IFERROR(IF(VLOOKUP(C3754,' Disaggregation - Section E '!A$618:N1878,7,0)="","",VLOOKUP(C3754,' Disaggregation - Section E '!A$618:N1878,7,0)*100),"")</f>
        <v/>
      </c>
      <c r="F3754" s="503" t="str">
        <f ca="1">IFERROR(VLOOKUP(C3754,' Disaggregation - Section E '!A$618:N1878,5,0),"")</f>
        <v/>
      </c>
      <c r="G3754" s="502" t="str">
        <f ca="1">IFERROR(IF(VLOOKUP(C3754,' Disaggregation - Section E '!A$618:N1878,6,0)="","",VLOOKUP(C3754,' Disaggregation - Section E '!A$618:N1878,6,0)),"")</f>
        <v/>
      </c>
      <c r="H3754" s="512" t="str">
        <f ca="1">IFERROR(IF(INDEX(' Disaggregation - Section E '!F$618:F3075,MATCH(C3754,' Disaggregation - Section E '!A$618:A3075,0)+1,1)&lt;&gt;0,INDEX(' Disaggregation - Section E '!F$618:F$1820,MATCH(C3754,' Disaggregation - Section E '!A$618:A3075,0)+1,1),""),"")</f>
        <v/>
      </c>
      <c r="I3754" s="503" t="str">
        <f ca="1">IFERROR(IF(VLOOKUP(C3754,' Disaggregation - Section E '!A$618:N1878,8,0)=0,"",VLOOKUP(C3754,' Disaggregation - Section E '!A$618:N1878,8,0)),"")</f>
        <v/>
      </c>
      <c r="J3754" s="503" t="str">
        <f ca="1">IFERROR(IF(VLOOKUP(C3754,' Disaggregation - Section E '!A$618:N3075,13,0)=0,"",VLOOKUP(C3754,' Disaggregation - Section E '!A$618:N3075,13,0)),"")</f>
        <v/>
      </c>
      <c r="K3754" s="497" t="str">
        <f ca="1">IFERROR(VLOOKUP(C3754,' Disaggregation - Section E '!A$618:N1878,3,0),"")</f>
        <v>HTS-Other 2 Porcentaje de resultados de VIH positivos entre el total de pruebas de VIH realizadas en personas Trans</v>
      </c>
      <c r="L3754" s="497"/>
      <c r="M3754" s="497" t="str">
        <f ca="1">IFERROR(IF(VLOOKUP(C3754,' Disaggregation - Section E '!A$618:T1878,20,0)=0,"",VLOOKUP(C3754,' Disaggregation - Section E '!A$618:T1878,20,0)),"")</f>
        <v/>
      </c>
      <c r="N3754" s="503" t="str">
        <f ca="1">IFERROR(IF(VLOOKUP(C3754,' Disaggregation - Section E '!A$618:N1878,14,0)=0,"",VLOOKUP(C3754,' Disaggregation - Section E '!A$618:N1878,14,0)),"")</f>
        <v/>
      </c>
      <c r="O3754" s="503" t="str">
        <f ca="1">IFERROR(IF(VLOOKUP(C3754,' Disaggregation - Section E '!A$618:N1878,9,0)=0,"",VLOOKUP(C3754,' Disaggregation - Section E '!A$618:N1878,9,0)),"")</f>
        <v/>
      </c>
      <c r="P3754" s="503" t="str">
        <f ca="1">IFERROR(IF(VLOOKUP(C3754,' Disaggregation - Section E '!A$618:N1878,10,0)=0,"",VLOOKUP(C3754,' Disaggregation - Section E '!A$618:N1878,10,0)),"")</f>
        <v/>
      </c>
    </row>
    <row r="3755" spans="1:16" x14ac:dyDescent="0.35">
      <c r="A3755" s="497" t="b">
        <f t="shared" ca="1" si="226"/>
        <v>0</v>
      </c>
      <c r="B3755" s="497"/>
      <c r="C3755" s="510" t="str">
        <f ca="1">IF(COUNTA(D$2498:D3755)=1,"",OFFSET(B3753,-COUNTA(D$2498:D3755)+3,1))</f>
        <v>a163p000004NtM9AAK</v>
      </c>
      <c r="D3755" s="512"/>
      <c r="E3755" s="500" t="str">
        <f ca="1">IFERROR(IF(VLOOKUP(C3755,' Disaggregation - Section E '!A$618:N1879,7,0)="","",VLOOKUP(C3755,' Disaggregation - Section E '!A$618:N1879,7,0)*100),"")</f>
        <v/>
      </c>
      <c r="F3755" s="503" t="str">
        <f ca="1">IFERROR(VLOOKUP(C3755,' Disaggregation - Section E '!A$618:N1879,5,0),"")</f>
        <v/>
      </c>
      <c r="G3755" s="502" t="str">
        <f ca="1">IFERROR(IF(VLOOKUP(C3755,' Disaggregation - Section E '!A$618:N1879,6,0)="","",VLOOKUP(C3755,' Disaggregation - Section E '!A$618:N1879,6,0)),"")</f>
        <v/>
      </c>
      <c r="H3755" s="512" t="str">
        <f ca="1">IFERROR(IF(INDEX(' Disaggregation - Section E '!F$618:F3076,MATCH(C3755,' Disaggregation - Section E '!A$618:A3076,0)+1,1)&lt;&gt;0,INDEX(' Disaggregation - Section E '!F$618:F$1820,MATCH(C3755,' Disaggregation - Section E '!A$618:A3076,0)+1,1),""),"")</f>
        <v/>
      </c>
      <c r="I3755" s="503" t="str">
        <f ca="1">IFERROR(IF(VLOOKUP(C3755,' Disaggregation - Section E '!A$618:N1879,8,0)=0,"",VLOOKUP(C3755,' Disaggregation - Section E '!A$618:N1879,8,0)),"")</f>
        <v/>
      </c>
      <c r="J3755" s="503" t="str">
        <f ca="1">IFERROR(IF(VLOOKUP(C3755,' Disaggregation - Section E '!A$618:N3076,13,0)=0,"",VLOOKUP(C3755,' Disaggregation - Section E '!A$618:N3076,13,0)),"")</f>
        <v/>
      </c>
      <c r="K3755" s="497" t="str">
        <f ca="1">IFERROR(VLOOKUP(C3755,' Disaggregation - Section E '!A$618:N1879,3,0),"")</f>
        <v>HTS-Other 2 Porcentaje de resultados de VIH positivos entre el total de pruebas de VIH realizadas en personas Trans</v>
      </c>
      <c r="L3755" s="497"/>
      <c r="M3755" s="497" t="str">
        <f ca="1">IFERROR(IF(VLOOKUP(C3755,' Disaggregation - Section E '!A$618:T1879,20,0)=0,"",VLOOKUP(C3755,' Disaggregation - Section E '!A$618:T1879,20,0)),"")</f>
        <v/>
      </c>
      <c r="N3755" s="503" t="str">
        <f ca="1">IFERROR(IF(VLOOKUP(C3755,' Disaggregation - Section E '!A$618:N1879,14,0)=0,"",VLOOKUP(C3755,' Disaggregation - Section E '!A$618:N1879,14,0)),"")</f>
        <v/>
      </c>
      <c r="O3755" s="503" t="str">
        <f ca="1">IFERROR(IF(VLOOKUP(C3755,' Disaggregation - Section E '!A$618:N1879,9,0)=0,"",VLOOKUP(C3755,' Disaggregation - Section E '!A$618:N1879,9,0)),"")</f>
        <v/>
      </c>
      <c r="P3755" s="503" t="str">
        <f ca="1">IFERROR(IF(VLOOKUP(C3755,' Disaggregation - Section E '!A$618:N1879,10,0)=0,"",VLOOKUP(C3755,' Disaggregation - Section E '!A$618:N1879,10,0)),"")</f>
        <v/>
      </c>
    </row>
    <row r="3756" spans="1:16" x14ac:dyDescent="0.35">
      <c r="A3756" s="497" t="b">
        <f t="shared" ca="1" si="226"/>
        <v>0</v>
      </c>
      <c r="B3756" s="497"/>
      <c r="C3756" s="510" t="str">
        <f ca="1">IF(COUNTA(D$2498:D3756)=1,"",OFFSET(B3754,-COUNTA(D$2498:D3756)+3,1))</f>
        <v>a163p000004NtMAAA0</v>
      </c>
      <c r="D3756" s="512"/>
      <c r="E3756" s="500" t="str">
        <f ca="1">IFERROR(IF(VLOOKUP(C3756,' Disaggregation - Section E '!A$618:N1880,7,0)="","",VLOOKUP(C3756,' Disaggregation - Section E '!A$618:N1880,7,0)*100),"")</f>
        <v/>
      </c>
      <c r="F3756" s="503" t="str">
        <f ca="1">IFERROR(VLOOKUP(C3756,' Disaggregation - Section E '!A$618:N1880,5,0),"")</f>
        <v/>
      </c>
      <c r="G3756" s="502" t="str">
        <f ca="1">IFERROR(IF(VLOOKUP(C3756,' Disaggregation - Section E '!A$618:N1880,6,0)="","",VLOOKUP(C3756,' Disaggregation - Section E '!A$618:N1880,6,0)),"")</f>
        <v/>
      </c>
      <c r="H3756" s="512" t="str">
        <f ca="1">IFERROR(IF(INDEX(' Disaggregation - Section E '!F$618:F3077,MATCH(C3756,' Disaggregation - Section E '!A$618:A3077,0)+1,1)&lt;&gt;0,INDEX(' Disaggregation - Section E '!F$618:F$1820,MATCH(C3756,' Disaggregation - Section E '!A$618:A3077,0)+1,1),""),"")</f>
        <v/>
      </c>
      <c r="I3756" s="503" t="str">
        <f ca="1">IFERROR(IF(VLOOKUP(C3756,' Disaggregation - Section E '!A$618:N1880,8,0)=0,"",VLOOKUP(C3756,' Disaggregation - Section E '!A$618:N1880,8,0)),"")</f>
        <v/>
      </c>
      <c r="J3756" s="503" t="str">
        <f ca="1">IFERROR(IF(VLOOKUP(C3756,' Disaggregation - Section E '!A$618:N3077,13,0)=0,"",VLOOKUP(C3756,' Disaggregation - Section E '!A$618:N3077,13,0)),"")</f>
        <v/>
      </c>
      <c r="K3756" s="497" t="str">
        <f ca="1">IFERROR(VLOOKUP(C3756,' Disaggregation - Section E '!A$618:N1880,3,0),"")</f>
        <v>HTS-Other 2 Porcentaje de resultados de VIH positivos entre el total de pruebas de VIH realizadas en personas Trans</v>
      </c>
      <c r="L3756" s="497"/>
      <c r="M3756" s="497" t="str">
        <f ca="1">IFERROR(IF(VLOOKUP(C3756,' Disaggregation - Section E '!A$618:T1880,20,0)=0,"",VLOOKUP(C3756,' Disaggregation - Section E '!A$618:T1880,20,0)),"")</f>
        <v/>
      </c>
      <c r="N3756" s="503" t="str">
        <f ca="1">IFERROR(IF(VLOOKUP(C3756,' Disaggregation - Section E '!A$618:N1880,14,0)=0,"",VLOOKUP(C3756,' Disaggregation - Section E '!A$618:N1880,14,0)),"")</f>
        <v/>
      </c>
      <c r="O3756" s="503" t="str">
        <f ca="1">IFERROR(IF(VLOOKUP(C3756,' Disaggregation - Section E '!A$618:N1880,9,0)=0,"",VLOOKUP(C3756,' Disaggregation - Section E '!A$618:N1880,9,0)),"")</f>
        <v/>
      </c>
      <c r="P3756" s="503" t="str">
        <f ca="1">IFERROR(IF(VLOOKUP(C3756,' Disaggregation - Section E '!A$618:N1880,10,0)=0,"",VLOOKUP(C3756,' Disaggregation - Section E '!A$618:N1880,10,0)),"")</f>
        <v/>
      </c>
    </row>
    <row r="3757" spans="1:16" x14ac:dyDescent="0.35">
      <c r="A3757" s="497" t="b">
        <f t="shared" ca="1" si="226"/>
        <v>0</v>
      </c>
      <c r="B3757" s="497"/>
      <c r="C3757" s="510" t="str">
        <f ca="1">IF(COUNTA(D$2498:D3757)=1,"",OFFSET(B3755,-COUNTA(D$2498:D3757)+3,1))</f>
        <v>a163p000004NtMBAA0</v>
      </c>
      <c r="D3757" s="512"/>
      <c r="E3757" s="500" t="str">
        <f ca="1">IFERROR(IF(VLOOKUP(C3757,' Disaggregation - Section E '!A$618:N1881,7,0)="","",VLOOKUP(C3757,' Disaggregation - Section E '!A$618:N1881,7,0)*100),"")</f>
        <v/>
      </c>
      <c r="F3757" s="503" t="str">
        <f ca="1">IFERROR(VLOOKUP(C3757,' Disaggregation - Section E '!A$618:N1881,5,0),"")</f>
        <v/>
      </c>
      <c r="G3757" s="502" t="str">
        <f ca="1">IFERROR(IF(VLOOKUP(C3757,' Disaggregation - Section E '!A$618:N1881,6,0)="","",VLOOKUP(C3757,' Disaggregation - Section E '!A$618:N1881,6,0)),"")</f>
        <v/>
      </c>
      <c r="H3757" s="512" t="str">
        <f ca="1">IFERROR(IF(INDEX(' Disaggregation - Section E '!F$618:F3078,MATCH(C3757,' Disaggregation - Section E '!A$618:A3078,0)+1,1)&lt;&gt;0,INDEX(' Disaggregation - Section E '!F$618:F$1820,MATCH(C3757,' Disaggregation - Section E '!A$618:A3078,0)+1,1),""),"")</f>
        <v/>
      </c>
      <c r="I3757" s="503" t="str">
        <f ca="1">IFERROR(IF(VLOOKUP(C3757,' Disaggregation - Section E '!A$618:N1881,8,0)=0,"",VLOOKUP(C3757,' Disaggregation - Section E '!A$618:N1881,8,0)),"")</f>
        <v/>
      </c>
      <c r="J3757" s="503" t="str">
        <f ca="1">IFERROR(IF(VLOOKUP(C3757,' Disaggregation - Section E '!A$618:N3078,13,0)=0,"",VLOOKUP(C3757,' Disaggregation - Section E '!A$618:N3078,13,0)),"")</f>
        <v/>
      </c>
      <c r="K3757" s="497" t="str">
        <f ca="1">IFERROR(VLOOKUP(C3757,' Disaggregation - Section E '!A$618:N1881,3,0),"")</f>
        <v>HTS-Other 2 Porcentaje de resultados de VIH positivos entre el total de pruebas de VIH realizadas en personas Trans</v>
      </c>
      <c r="L3757" s="497"/>
      <c r="M3757" s="497" t="str">
        <f ca="1">IFERROR(IF(VLOOKUP(C3757,' Disaggregation - Section E '!A$618:T1881,20,0)=0,"",VLOOKUP(C3757,' Disaggregation - Section E '!A$618:T1881,20,0)),"")</f>
        <v/>
      </c>
      <c r="N3757" s="503" t="str">
        <f ca="1">IFERROR(IF(VLOOKUP(C3757,' Disaggregation - Section E '!A$618:N1881,14,0)=0,"",VLOOKUP(C3757,' Disaggregation - Section E '!A$618:N1881,14,0)),"")</f>
        <v/>
      </c>
      <c r="O3757" s="503" t="str">
        <f ca="1">IFERROR(IF(VLOOKUP(C3757,' Disaggregation - Section E '!A$618:N1881,9,0)=0,"",VLOOKUP(C3757,' Disaggregation - Section E '!A$618:N1881,9,0)),"")</f>
        <v/>
      </c>
      <c r="P3757" s="503" t="str">
        <f ca="1">IFERROR(IF(VLOOKUP(C3757,' Disaggregation - Section E '!A$618:N1881,10,0)=0,"",VLOOKUP(C3757,' Disaggregation - Section E '!A$618:N1881,10,0)),"")</f>
        <v/>
      </c>
    </row>
    <row r="3758" spans="1:16" x14ac:dyDescent="0.35">
      <c r="A3758" s="497" t="b">
        <f t="shared" ca="1" si="226"/>
        <v>0</v>
      </c>
      <c r="B3758" s="497"/>
      <c r="C3758" s="510" t="str">
        <f ca="1">IF(COUNTA(D$2498:D3758)=1,"",OFFSET(B3756,-COUNTA(D$2498:D3758)+3,1))</f>
        <v>a163p000004NtMCAA0</v>
      </c>
      <c r="D3758" s="512"/>
      <c r="E3758" s="500" t="str">
        <f ca="1">IFERROR(IF(VLOOKUP(C3758,' Disaggregation - Section E '!A$618:N1882,7,0)="","",VLOOKUP(C3758,' Disaggregation - Section E '!A$618:N1882,7,0)*100),"")</f>
        <v/>
      </c>
      <c r="F3758" s="503" t="str">
        <f ca="1">IFERROR(VLOOKUP(C3758,' Disaggregation - Section E '!A$618:N1882,5,0),"")</f>
        <v/>
      </c>
      <c r="G3758" s="502" t="str">
        <f ca="1">IFERROR(IF(VLOOKUP(C3758,' Disaggregation - Section E '!A$618:N1882,6,0)="","",VLOOKUP(C3758,' Disaggregation - Section E '!A$618:N1882,6,0)),"")</f>
        <v/>
      </c>
      <c r="H3758" s="512" t="str">
        <f ca="1">IFERROR(IF(INDEX(' Disaggregation - Section E '!F$618:F3079,MATCH(C3758,' Disaggregation - Section E '!A$618:A3079,0)+1,1)&lt;&gt;0,INDEX(' Disaggregation - Section E '!F$618:F$1820,MATCH(C3758,' Disaggregation - Section E '!A$618:A3079,0)+1,1),""),"")</f>
        <v/>
      </c>
      <c r="I3758" s="503" t="str">
        <f ca="1">IFERROR(IF(VLOOKUP(C3758,' Disaggregation - Section E '!A$618:N1882,8,0)=0,"",VLOOKUP(C3758,' Disaggregation - Section E '!A$618:N1882,8,0)),"")</f>
        <v/>
      </c>
      <c r="J3758" s="503" t="str">
        <f ca="1">IFERROR(IF(VLOOKUP(C3758,' Disaggregation - Section E '!A$618:N3079,13,0)=0,"",VLOOKUP(C3758,' Disaggregation - Section E '!A$618:N3079,13,0)),"")</f>
        <v/>
      </c>
      <c r="K3758" s="497" t="str">
        <f ca="1">IFERROR(VLOOKUP(C3758,' Disaggregation - Section E '!A$618:N1882,3,0),"")</f>
        <v>HTS-Other 2 Porcentaje de resultados de VIH positivos entre el total de pruebas de VIH realizadas en personas Trans</v>
      </c>
      <c r="L3758" s="497"/>
      <c r="M3758" s="497" t="str">
        <f ca="1">IFERROR(IF(VLOOKUP(C3758,' Disaggregation - Section E '!A$618:T1882,20,0)=0,"",VLOOKUP(C3758,' Disaggregation - Section E '!A$618:T1882,20,0)),"")</f>
        <v/>
      </c>
      <c r="N3758" s="503" t="str">
        <f ca="1">IFERROR(IF(VLOOKUP(C3758,' Disaggregation - Section E '!A$618:N1882,14,0)=0,"",VLOOKUP(C3758,' Disaggregation - Section E '!A$618:N1882,14,0)),"")</f>
        <v/>
      </c>
      <c r="O3758" s="503" t="str">
        <f ca="1">IFERROR(IF(VLOOKUP(C3758,' Disaggregation - Section E '!A$618:N1882,9,0)=0,"",VLOOKUP(C3758,' Disaggregation - Section E '!A$618:N1882,9,0)),"")</f>
        <v/>
      </c>
      <c r="P3758" s="503" t="str">
        <f ca="1">IFERROR(IF(VLOOKUP(C3758,' Disaggregation - Section E '!A$618:N1882,10,0)=0,"",VLOOKUP(C3758,' Disaggregation - Section E '!A$618:N1882,10,0)),"")</f>
        <v/>
      </c>
    </row>
    <row r="3759" spans="1:16" x14ac:dyDescent="0.35">
      <c r="A3759" s="497" t="b">
        <f t="shared" ca="1" si="226"/>
        <v>0</v>
      </c>
      <c r="B3759" s="497"/>
      <c r="C3759" s="510" t="str">
        <f ca="1">IF(COUNTA(D$2498:D3759)=1,"",OFFSET(B3757,-COUNTA(D$2498:D3759)+3,1))</f>
        <v>a163p000004NtMDAA0</v>
      </c>
      <c r="D3759" s="512"/>
      <c r="E3759" s="500" t="str">
        <f ca="1">IFERROR(IF(VLOOKUP(C3759,' Disaggregation - Section E '!A$618:N1883,7,0)="","",VLOOKUP(C3759,' Disaggregation - Section E '!A$618:N1883,7,0)*100),"")</f>
        <v/>
      </c>
      <c r="F3759" s="503" t="str">
        <f ca="1">IFERROR(VLOOKUP(C3759,' Disaggregation - Section E '!A$618:N1883,5,0),"")</f>
        <v/>
      </c>
      <c r="G3759" s="502" t="str">
        <f ca="1">IFERROR(IF(VLOOKUP(C3759,' Disaggregation - Section E '!A$618:N1883,6,0)="","",VLOOKUP(C3759,' Disaggregation - Section E '!A$618:N1883,6,0)),"")</f>
        <v/>
      </c>
      <c r="H3759" s="512" t="str">
        <f ca="1">IFERROR(IF(INDEX(' Disaggregation - Section E '!F$618:F3080,MATCH(C3759,' Disaggregation - Section E '!A$618:A3080,0)+1,1)&lt;&gt;0,INDEX(' Disaggregation - Section E '!F$618:F$1820,MATCH(C3759,' Disaggregation - Section E '!A$618:A3080,0)+1,1),""),"")</f>
        <v/>
      </c>
      <c r="I3759" s="503" t="str">
        <f ca="1">IFERROR(IF(VLOOKUP(C3759,' Disaggregation - Section E '!A$618:N1883,8,0)=0,"",VLOOKUP(C3759,' Disaggregation - Section E '!A$618:N1883,8,0)),"")</f>
        <v/>
      </c>
      <c r="J3759" s="503" t="str">
        <f ca="1">IFERROR(IF(VLOOKUP(C3759,' Disaggregation - Section E '!A$618:N3080,13,0)=0,"",VLOOKUP(C3759,' Disaggregation - Section E '!A$618:N3080,13,0)),"")</f>
        <v/>
      </c>
      <c r="K3759" s="497" t="str">
        <f ca="1">IFERROR(VLOOKUP(C3759,' Disaggregation - Section E '!A$618:N1883,3,0),"")</f>
        <v>HTS-Other 2 Porcentaje de resultados de VIH positivos entre el total de pruebas de VIH realizadas en personas Trans</v>
      </c>
      <c r="L3759" s="497"/>
      <c r="M3759" s="497" t="str">
        <f ca="1">IFERROR(IF(VLOOKUP(C3759,' Disaggregation - Section E '!A$618:T1883,20,0)=0,"",VLOOKUP(C3759,' Disaggregation - Section E '!A$618:T1883,20,0)),"")</f>
        <v/>
      </c>
      <c r="N3759" s="503" t="str">
        <f ca="1">IFERROR(IF(VLOOKUP(C3759,' Disaggregation - Section E '!A$618:N1883,14,0)=0,"",VLOOKUP(C3759,' Disaggregation - Section E '!A$618:N1883,14,0)),"")</f>
        <v/>
      </c>
      <c r="O3759" s="503" t="str">
        <f ca="1">IFERROR(IF(VLOOKUP(C3759,' Disaggregation - Section E '!A$618:N1883,9,0)=0,"",VLOOKUP(C3759,' Disaggregation - Section E '!A$618:N1883,9,0)),"")</f>
        <v/>
      </c>
      <c r="P3759" s="503" t="str">
        <f ca="1">IFERROR(IF(VLOOKUP(C3759,' Disaggregation - Section E '!A$618:N1883,10,0)=0,"",VLOOKUP(C3759,' Disaggregation - Section E '!A$618:N1883,10,0)),"")</f>
        <v/>
      </c>
    </row>
    <row r="3760" spans="1:16" x14ac:dyDescent="0.35">
      <c r="A3760" s="497" t="b">
        <f t="shared" ca="1" si="226"/>
        <v>1</v>
      </c>
      <c r="B3760" s="497"/>
      <c r="C3760" s="510" t="str">
        <f ca="1">IF(COUNTA(D$2498:D3760)=1,"",OFFSET(B3758,-COUNTA(D$2498:D3760)+3,1))</f>
        <v>a163p000004NtVaAAK</v>
      </c>
      <c r="D3760" s="512"/>
      <c r="E3760" s="500" t="str">
        <f ca="1">IFERROR(IF(VLOOKUP(C3760,' Disaggregation - Section E '!A$618:N1884,7,0)="","",VLOOKUP(C3760,' Disaggregation - Section E '!A$618:N1884,7,0)*100),"")</f>
        <v/>
      </c>
      <c r="F3760" s="503" t="str">
        <f ca="1">IFERROR(VLOOKUP(C3760,' Disaggregation - Section E '!A$618:N1884,5,0),"")</f>
        <v>Regimenes acortados</v>
      </c>
      <c r="G3760" s="502" t="str">
        <f ca="1">IFERROR(IF(VLOOKUP(C3760,' Disaggregation - Section E '!A$618:N1884,6,0)="","",VLOOKUP(C3760,' Disaggregation - Section E '!A$618:N1884,6,0)),"")</f>
        <v/>
      </c>
      <c r="H3760" s="512" t="str">
        <f ca="1">IFERROR(IF(INDEX(' Disaggregation - Section E '!F$618:F3081,MATCH(C3760,' Disaggregation - Section E '!A$618:A3081,0)+1,1)&lt;&gt;0,INDEX(' Disaggregation - Section E '!F$618:F$1820,MATCH(C3760,' Disaggregation - Section E '!A$618:A3081,0)+1,1),""),"")</f>
        <v/>
      </c>
      <c r="I3760" s="503" t="str">
        <f ca="1">IFERROR(IF(VLOOKUP(C3760,' Disaggregation - Section E '!A$618:N1884,8,0)=0,"",VLOOKUP(C3760,' Disaggregation - Section E '!A$618:N1884,8,0)),"")</f>
        <v/>
      </c>
      <c r="J3760" s="503" t="str">
        <f ca="1">IFERROR(IF(VLOOKUP(C3760,' Disaggregation - Section E '!A$618:N3081,13,0)=0,"",VLOOKUP(C3760,' Disaggregation - Section E '!A$618:N3081,13,0)),"")</f>
        <v/>
      </c>
      <c r="K3760" s="497" t="str">
        <f ca="1">IFERROR(VLOOKUP(C3760,' Disaggregation - Section E '!A$618:N1884,3,0),"")</f>
        <v>MDR TB-3⁽ᴹ⁾ Número de casos de tuberculosis resistente a la rifampicina y/o multirresistente que empezaron a recibir tratamiento de segunda línea.</v>
      </c>
      <c r="L3760" s="497"/>
      <c r="M3760" s="497" t="str">
        <f ca="1">IFERROR(IF(VLOOKUP(C3760,' Disaggregation - Section E '!A$618:T1884,20,0)=0,"",VLOOKUP(C3760,' Disaggregation - Section E '!A$618:T1884,20,0)),"")</f>
        <v>IDR-00997</v>
      </c>
      <c r="N3760" s="503" t="str">
        <f ca="1">IFERROR(IF(VLOOKUP(C3760,' Disaggregation - Section E '!A$618:N1884,14,0)=0,"",VLOOKUP(C3760,' Disaggregation - Section E '!A$618:N1884,14,0)),"")</f>
        <v>As it is a focused country, no disaggregation is requested for the indicators.</v>
      </c>
      <c r="O3760" s="503" t="str">
        <f ca="1">IFERROR(IF(VLOOKUP(C3760,' Disaggregation - Section E '!A$618:N1884,9,0)=0,"",VLOOKUP(C3760,' Disaggregation - Section E '!A$618:N1884,9,0)),"")</f>
        <v/>
      </c>
      <c r="P3760" s="503" t="str">
        <f ca="1">IFERROR(IF(VLOOKUP(C3760,' Disaggregation - Section E '!A$618:N1884,10,0)=0,"",VLOOKUP(C3760,' Disaggregation - Section E '!A$618:N1884,10,0)),"")</f>
        <v>Al ser un país focalizado no se solicita desagregación para los indicadores.</v>
      </c>
    </row>
    <row r="3761" spans="1:16" x14ac:dyDescent="0.35">
      <c r="A3761" s="497" t="b">
        <f t="shared" ca="1" si="226"/>
        <v>1</v>
      </c>
      <c r="B3761" s="497"/>
      <c r="C3761" s="510" t="str">
        <f ca="1">IF(COUNTA(D$2498:D3761)=1,"",OFFSET(B3759,-COUNTA(D$2498:D3761)+3,1))</f>
        <v>a163p000004NtVbAAK</v>
      </c>
      <c r="D3761" s="512"/>
      <c r="E3761" s="500" t="str">
        <f ca="1">IFERROR(IF(VLOOKUP(C3761,' Disaggregation - Section E '!A$618:N1885,7,0)="","",VLOOKUP(C3761,' Disaggregation - Section E '!A$618:N1885,7,0)*100),"")</f>
        <v/>
      </c>
      <c r="F3761" s="503" t="str">
        <f ca="1">IFERROR(VLOOKUP(C3761,' Disaggregation - Section E '!A$618:N1885,5,0),"")</f>
        <v>Nuevas drogas anti tuberculosis</v>
      </c>
      <c r="G3761" s="502" t="str">
        <f ca="1">IFERROR(IF(VLOOKUP(C3761,' Disaggregation - Section E '!A$618:N1885,6,0)="","",VLOOKUP(C3761,' Disaggregation - Section E '!A$618:N1885,6,0)),"")</f>
        <v/>
      </c>
      <c r="H3761" s="512" t="str">
        <f ca="1">IFERROR(IF(INDEX(' Disaggregation - Section E '!F$618:F3082,MATCH(C3761,' Disaggregation - Section E '!A$618:A3082,0)+1,1)&lt;&gt;0,INDEX(' Disaggregation - Section E '!F$618:F$1820,MATCH(C3761,' Disaggregation - Section E '!A$618:A3082,0)+1,1),""),"")</f>
        <v/>
      </c>
      <c r="I3761" s="503" t="str">
        <f ca="1">IFERROR(IF(VLOOKUP(C3761,' Disaggregation - Section E '!A$618:N1885,8,0)=0,"",VLOOKUP(C3761,' Disaggregation - Section E '!A$618:N1885,8,0)),"")</f>
        <v/>
      </c>
      <c r="J3761" s="503" t="str">
        <f ca="1">IFERROR(IF(VLOOKUP(C3761,' Disaggregation - Section E '!A$618:N3082,13,0)=0,"",VLOOKUP(C3761,' Disaggregation - Section E '!A$618:N3082,13,0)),"")</f>
        <v/>
      </c>
      <c r="K3761" s="497" t="str">
        <f ca="1">IFERROR(VLOOKUP(C3761,' Disaggregation - Section E '!A$618:N1885,3,0),"")</f>
        <v>MDR TB-3⁽ᴹ⁾ Número de casos de tuberculosis resistente a la rifampicina y/o multirresistente que empezaron a recibir tratamiento de segunda línea.</v>
      </c>
      <c r="L3761" s="497"/>
      <c r="M3761" s="497" t="str">
        <f ca="1">IFERROR(IF(VLOOKUP(C3761,' Disaggregation - Section E '!A$618:T1885,20,0)=0,"",VLOOKUP(C3761,' Disaggregation - Section E '!A$618:T1885,20,0)),"")</f>
        <v>IDR-00996</v>
      </c>
      <c r="N3761" s="503" t="str">
        <f ca="1">IFERROR(IF(VLOOKUP(C3761,' Disaggregation - Section E '!A$618:N1885,14,0)=0,"",VLOOKUP(C3761,' Disaggregation - Section E '!A$618:N1885,14,0)),"")</f>
        <v>As it is a focused country, no disaggregation is requested for the indicators.</v>
      </c>
      <c r="O3761" s="503" t="str">
        <f ca="1">IFERROR(IF(VLOOKUP(C3761,' Disaggregation - Section E '!A$618:N1885,9,0)=0,"",VLOOKUP(C3761,' Disaggregation - Section E '!A$618:N1885,9,0)),"")</f>
        <v/>
      </c>
      <c r="P3761" s="503" t="str">
        <f ca="1">IFERROR(IF(VLOOKUP(C3761,' Disaggregation - Section E '!A$618:N1885,10,0)=0,"",VLOOKUP(C3761,' Disaggregation - Section E '!A$618:N1885,10,0)),"")</f>
        <v>Al ser un país focalizado no se solicita desagregación para los indicadores.</v>
      </c>
    </row>
    <row r="3762" spans="1:16" x14ac:dyDescent="0.35">
      <c r="A3762" s="497" t="b">
        <f t="shared" ca="1" si="226"/>
        <v>1</v>
      </c>
      <c r="B3762" s="497"/>
      <c r="C3762" s="510" t="str">
        <f ca="1">IF(COUNTA(D$2498:D3762)=1,"",OFFSET(B3760,-COUNTA(D$2498:D3762)+3,1))</f>
        <v>a163p000004NtVcAAK</v>
      </c>
      <c r="D3762" s="512"/>
      <c r="E3762" s="500" t="str">
        <f ca="1">IFERROR(IF(VLOOKUP(C3762,' Disaggregation - Section E '!A$618:N1886,7,0)="","",VLOOKUP(C3762,' Disaggregation - Section E '!A$618:N1886,7,0)*100),"")</f>
        <v/>
      </c>
      <c r="F3762" s="503" t="str">
        <f ca="1">IFERROR(VLOOKUP(C3762,' Disaggregation - Section E '!A$618:N1886,5,0),"")</f>
        <v>Mujeres</v>
      </c>
      <c r="G3762" s="502" t="str">
        <f ca="1">IFERROR(IF(VLOOKUP(C3762,' Disaggregation - Section E '!A$618:N1886,6,0)="","",VLOOKUP(C3762,' Disaggregation - Section E '!A$618:N1886,6,0)),"")</f>
        <v/>
      </c>
      <c r="H3762" s="512" t="str">
        <f ca="1">IFERROR(IF(INDEX(' Disaggregation - Section E '!F$618:F3083,MATCH(C3762,' Disaggregation - Section E '!A$618:A3083,0)+1,1)&lt;&gt;0,INDEX(' Disaggregation - Section E '!F$618:F$1820,MATCH(C3762,' Disaggregation - Section E '!A$618:A3083,0)+1,1),""),"")</f>
        <v/>
      </c>
      <c r="I3762" s="503" t="str">
        <f ca="1">IFERROR(IF(VLOOKUP(C3762,' Disaggregation - Section E '!A$618:N1886,8,0)=0,"",VLOOKUP(C3762,' Disaggregation - Section E '!A$618:N1886,8,0)),"")</f>
        <v/>
      </c>
      <c r="J3762" s="503" t="str">
        <f ca="1">IFERROR(IF(VLOOKUP(C3762,' Disaggregation - Section E '!A$618:N3083,13,0)=0,"",VLOOKUP(C3762,' Disaggregation - Section E '!A$618:N3083,13,0)),"")</f>
        <v/>
      </c>
      <c r="K3762" s="497" t="str">
        <f ca="1">IFERROR(VLOOKUP(C3762,' Disaggregation - Section E '!A$618:N1886,3,0),"")</f>
        <v>MDR TB-3⁽ᴹ⁾ Número de casos de tuberculosis resistente a la rifampicina y/o multirresistente que empezaron a recibir tratamiento de segunda línea.</v>
      </c>
      <c r="L3762" s="497"/>
      <c r="M3762" s="497" t="str">
        <f ca="1">IFERROR(IF(VLOOKUP(C3762,' Disaggregation - Section E '!A$618:T1886,20,0)=0,"",VLOOKUP(C3762,' Disaggregation - Section E '!A$618:T1886,20,0)),"")</f>
        <v>IDR-00867</v>
      </c>
      <c r="N3762" s="503" t="str">
        <f ca="1">IFERROR(IF(VLOOKUP(C3762,' Disaggregation - Section E '!A$618:N1886,14,0)=0,"",VLOOKUP(C3762,' Disaggregation - Section E '!A$618:N1886,14,0)),"")</f>
        <v>As it is a focused country, no disaggregation is requested for the indicators.</v>
      </c>
      <c r="O3762" s="503" t="str">
        <f ca="1">IFERROR(IF(VLOOKUP(C3762,' Disaggregation - Section E '!A$618:N1886,9,0)=0,"",VLOOKUP(C3762,' Disaggregation - Section E '!A$618:N1886,9,0)),"")</f>
        <v/>
      </c>
      <c r="P3762" s="503" t="str">
        <f ca="1">IFERROR(IF(VLOOKUP(C3762,' Disaggregation - Section E '!A$618:N1886,10,0)=0,"",VLOOKUP(C3762,' Disaggregation - Section E '!A$618:N1886,10,0)),"")</f>
        <v>Al ser un país focalizado no se solicita desagregación para los indicadores.</v>
      </c>
    </row>
    <row r="3763" spans="1:16" x14ac:dyDescent="0.35">
      <c r="A3763" s="497" t="b">
        <f t="shared" ca="1" si="226"/>
        <v>1</v>
      </c>
      <c r="B3763" s="497"/>
      <c r="C3763" s="510" t="str">
        <f ca="1">IF(COUNTA(D$2498:D3763)=1,"",OFFSET(B3761,-COUNTA(D$2498:D3763)+3,1))</f>
        <v>a163p000004NtVdAAK</v>
      </c>
      <c r="D3763" s="512"/>
      <c r="E3763" s="500" t="str">
        <f ca="1">IFERROR(IF(VLOOKUP(C3763,' Disaggregation - Section E '!A$618:N1887,7,0)="","",VLOOKUP(C3763,' Disaggregation - Section E '!A$618:N1887,7,0)*100),"")</f>
        <v/>
      </c>
      <c r="F3763" s="503" t="str">
        <f ca="1">IFERROR(VLOOKUP(C3763,' Disaggregation - Section E '!A$618:N1887,5,0),"")</f>
        <v>Hombres</v>
      </c>
      <c r="G3763" s="502" t="str">
        <f ca="1">IFERROR(IF(VLOOKUP(C3763,' Disaggregation - Section E '!A$618:N1887,6,0)="","",VLOOKUP(C3763,' Disaggregation - Section E '!A$618:N1887,6,0)),"")</f>
        <v/>
      </c>
      <c r="H3763" s="512" t="str">
        <f ca="1">IFERROR(IF(INDEX(' Disaggregation - Section E '!F$618:F3084,MATCH(C3763,' Disaggregation - Section E '!A$618:A3084,0)+1,1)&lt;&gt;0,INDEX(' Disaggregation - Section E '!F$618:F$1820,MATCH(C3763,' Disaggregation - Section E '!A$618:A3084,0)+1,1),""),"")</f>
        <v/>
      </c>
      <c r="I3763" s="503" t="str">
        <f ca="1">IFERROR(IF(VLOOKUP(C3763,' Disaggregation - Section E '!A$618:N1887,8,0)=0,"",VLOOKUP(C3763,' Disaggregation - Section E '!A$618:N1887,8,0)),"")</f>
        <v/>
      </c>
      <c r="J3763" s="503" t="str">
        <f ca="1">IFERROR(IF(VLOOKUP(C3763,' Disaggregation - Section E '!A$618:N3084,13,0)=0,"",VLOOKUP(C3763,' Disaggregation - Section E '!A$618:N3084,13,0)),"")</f>
        <v/>
      </c>
      <c r="K3763" s="497" t="str">
        <f ca="1">IFERROR(VLOOKUP(C3763,' Disaggregation - Section E '!A$618:N1887,3,0),"")</f>
        <v>MDR TB-3⁽ᴹ⁾ Número de casos de tuberculosis resistente a la rifampicina y/o multirresistente que empezaron a recibir tratamiento de segunda línea.</v>
      </c>
      <c r="L3763" s="497"/>
      <c r="M3763" s="497" t="str">
        <f ca="1">IFERROR(IF(VLOOKUP(C3763,' Disaggregation - Section E '!A$618:T1887,20,0)=0,"",VLOOKUP(C3763,' Disaggregation - Section E '!A$618:T1887,20,0)),"")</f>
        <v>IDR-00866</v>
      </c>
      <c r="N3763" s="503" t="str">
        <f ca="1">IFERROR(IF(VLOOKUP(C3763,' Disaggregation - Section E '!A$618:N1887,14,0)=0,"",VLOOKUP(C3763,' Disaggregation - Section E '!A$618:N1887,14,0)),"")</f>
        <v>As it is a focused country, no disaggregation is requested for the indicators.</v>
      </c>
      <c r="O3763" s="503" t="str">
        <f ca="1">IFERROR(IF(VLOOKUP(C3763,' Disaggregation - Section E '!A$618:N1887,9,0)=0,"",VLOOKUP(C3763,' Disaggregation - Section E '!A$618:N1887,9,0)),"")</f>
        <v/>
      </c>
      <c r="P3763" s="503" t="str">
        <f ca="1">IFERROR(IF(VLOOKUP(C3763,' Disaggregation - Section E '!A$618:N1887,10,0)=0,"",VLOOKUP(C3763,' Disaggregation - Section E '!A$618:N1887,10,0)),"")</f>
        <v>Al ser un país focalizado no se solicita desagregación para los indicadores.</v>
      </c>
    </row>
    <row r="3764" spans="1:16" x14ac:dyDescent="0.35">
      <c r="A3764" s="497" t="b">
        <f t="shared" ref="A3764:A3827" ca="1" si="227">IF(M3764&lt;&gt;"",TRUE,FALSE)</f>
        <v>1</v>
      </c>
      <c r="B3764" s="497"/>
      <c r="C3764" s="510" t="str">
        <f ca="1">IF(COUNTA(D$2498:D3764)=1,"",OFFSET(B3762,-COUNTA(D$2498:D3764)+3,1))</f>
        <v>a163p000004NtVeAAK</v>
      </c>
      <c r="D3764" s="512"/>
      <c r="E3764" s="500" t="str">
        <f ca="1">IFERROR(IF(VLOOKUP(C3764,' Disaggregation - Section E '!A$618:N1888,7,0)="","",VLOOKUP(C3764,' Disaggregation - Section E '!A$618:N1888,7,0)*100),"")</f>
        <v/>
      </c>
      <c r="F3764" s="503" t="str">
        <f ca="1">IFERROR(VLOOKUP(C3764,' Disaggregation - Section E '!A$618:N1888,5,0),"")</f>
        <v>15+</v>
      </c>
      <c r="G3764" s="502" t="str">
        <f ca="1">IFERROR(IF(VLOOKUP(C3764,' Disaggregation - Section E '!A$618:N1888,6,0)="","",VLOOKUP(C3764,' Disaggregation - Section E '!A$618:N1888,6,0)),"")</f>
        <v/>
      </c>
      <c r="H3764" s="512" t="str">
        <f ca="1">IFERROR(IF(INDEX(' Disaggregation - Section E '!F$618:F3085,MATCH(C3764,' Disaggregation - Section E '!A$618:A3085,0)+1,1)&lt;&gt;0,INDEX(' Disaggregation - Section E '!F$618:F$1820,MATCH(C3764,' Disaggregation - Section E '!A$618:A3085,0)+1,1),""),"")</f>
        <v/>
      </c>
      <c r="I3764" s="503" t="str">
        <f ca="1">IFERROR(IF(VLOOKUP(C3764,' Disaggregation - Section E '!A$618:N1888,8,0)=0,"",VLOOKUP(C3764,' Disaggregation - Section E '!A$618:N1888,8,0)),"")</f>
        <v/>
      </c>
      <c r="J3764" s="503" t="str">
        <f ca="1">IFERROR(IF(VLOOKUP(C3764,' Disaggregation - Section E '!A$618:N3085,13,0)=0,"",VLOOKUP(C3764,' Disaggregation - Section E '!A$618:N3085,13,0)),"")</f>
        <v/>
      </c>
      <c r="K3764" s="497" t="str">
        <f ca="1">IFERROR(VLOOKUP(C3764,' Disaggregation - Section E '!A$618:N1888,3,0),"")</f>
        <v>MDR TB-3⁽ᴹ⁾ Número de casos de tuberculosis resistente a la rifampicina y/o multirresistente que empezaron a recibir tratamiento de segunda línea.</v>
      </c>
      <c r="L3764" s="497"/>
      <c r="M3764" s="497" t="str">
        <f ca="1">IFERROR(IF(VLOOKUP(C3764,' Disaggregation - Section E '!A$618:T1888,20,0)=0,"",VLOOKUP(C3764,' Disaggregation - Section E '!A$618:T1888,20,0)),"")</f>
        <v>IDR-00747</v>
      </c>
      <c r="N3764" s="503" t="str">
        <f ca="1">IFERROR(IF(VLOOKUP(C3764,' Disaggregation - Section E '!A$618:N1888,14,0)=0,"",VLOOKUP(C3764,' Disaggregation - Section E '!A$618:N1888,14,0)),"")</f>
        <v>As it is a focused country, no disaggregation is requested for the indicators.</v>
      </c>
      <c r="O3764" s="503" t="str">
        <f ca="1">IFERROR(IF(VLOOKUP(C3764,' Disaggregation - Section E '!A$618:N1888,9,0)=0,"",VLOOKUP(C3764,' Disaggregation - Section E '!A$618:N1888,9,0)),"")</f>
        <v/>
      </c>
      <c r="P3764" s="503" t="str">
        <f ca="1">IFERROR(IF(VLOOKUP(C3764,' Disaggregation - Section E '!A$618:N1888,10,0)=0,"",VLOOKUP(C3764,' Disaggregation - Section E '!A$618:N1888,10,0)),"")</f>
        <v>Al ser un país focalizado no se solicita desagregación para los indicadores.</v>
      </c>
    </row>
    <row r="3765" spans="1:16" x14ac:dyDescent="0.35">
      <c r="A3765" s="497" t="b">
        <f t="shared" ca="1" si="227"/>
        <v>1</v>
      </c>
      <c r="B3765" s="497"/>
      <c r="C3765" s="510" t="str">
        <f ca="1">IF(COUNTA(D$2498:D3765)=1,"",OFFSET(B3763,-COUNTA(D$2498:D3765)+3,1))</f>
        <v>a163p000004NtVfAAK</v>
      </c>
      <c r="D3765" s="512"/>
      <c r="E3765" s="500" t="str">
        <f ca="1">IFERROR(IF(VLOOKUP(C3765,' Disaggregation - Section E '!A$618:N1889,7,0)="","",VLOOKUP(C3765,' Disaggregation - Section E '!A$618:N1889,7,0)*100),"")</f>
        <v/>
      </c>
      <c r="F3765" s="503" t="str">
        <f ca="1">IFERROR(VLOOKUP(C3765,' Disaggregation - Section E '!A$618:N1889,5,0),"")</f>
        <v>&lt;15</v>
      </c>
      <c r="G3765" s="502" t="str">
        <f ca="1">IFERROR(IF(VLOOKUP(C3765,' Disaggregation - Section E '!A$618:N1889,6,0)="","",VLOOKUP(C3765,' Disaggregation - Section E '!A$618:N1889,6,0)),"")</f>
        <v/>
      </c>
      <c r="H3765" s="512" t="str">
        <f ca="1">IFERROR(IF(INDEX(' Disaggregation - Section E '!F$618:F3086,MATCH(C3765,' Disaggregation - Section E '!A$618:A3086,0)+1,1)&lt;&gt;0,INDEX(' Disaggregation - Section E '!F$618:F$1820,MATCH(C3765,' Disaggregation - Section E '!A$618:A3086,0)+1,1),""),"")</f>
        <v/>
      </c>
      <c r="I3765" s="503" t="str">
        <f ca="1">IFERROR(IF(VLOOKUP(C3765,' Disaggregation - Section E '!A$618:N1889,8,0)=0,"",VLOOKUP(C3765,' Disaggregation - Section E '!A$618:N1889,8,0)),"")</f>
        <v/>
      </c>
      <c r="J3765" s="503" t="str">
        <f ca="1">IFERROR(IF(VLOOKUP(C3765,' Disaggregation - Section E '!A$618:N3086,13,0)=0,"",VLOOKUP(C3765,' Disaggregation - Section E '!A$618:N3086,13,0)),"")</f>
        <v/>
      </c>
      <c r="K3765" s="497" t="str">
        <f ca="1">IFERROR(VLOOKUP(C3765,' Disaggregation - Section E '!A$618:N1889,3,0),"")</f>
        <v>MDR TB-3⁽ᴹ⁾ Número de casos de tuberculosis resistente a la rifampicina y/o multirresistente que empezaron a recibir tratamiento de segunda línea.</v>
      </c>
      <c r="L3765" s="497"/>
      <c r="M3765" s="497" t="str">
        <f ca="1">IFERROR(IF(VLOOKUP(C3765,' Disaggregation - Section E '!A$618:T1889,20,0)=0,"",VLOOKUP(C3765,' Disaggregation - Section E '!A$618:T1889,20,0)),"")</f>
        <v>IDR-00746</v>
      </c>
      <c r="N3765" s="503" t="str">
        <f ca="1">IFERROR(IF(VLOOKUP(C3765,' Disaggregation - Section E '!A$618:N1889,14,0)=0,"",VLOOKUP(C3765,' Disaggregation - Section E '!A$618:N1889,14,0)),"")</f>
        <v>As it is a focused country, no disaggregation is requested for the indicators.</v>
      </c>
      <c r="O3765" s="503" t="str">
        <f ca="1">IFERROR(IF(VLOOKUP(C3765,' Disaggregation - Section E '!A$618:N1889,9,0)=0,"",VLOOKUP(C3765,' Disaggregation - Section E '!A$618:N1889,9,0)),"")</f>
        <v/>
      </c>
      <c r="P3765" s="503" t="str">
        <f ca="1">IFERROR(IF(VLOOKUP(C3765,' Disaggregation - Section E '!A$618:N1889,10,0)=0,"",VLOOKUP(C3765,' Disaggregation - Section E '!A$618:N1889,10,0)),"")</f>
        <v>Al ser un país focalizado no se solicita desagregación para los indicadores.</v>
      </c>
    </row>
    <row r="3766" spans="1:16" x14ac:dyDescent="0.35">
      <c r="A3766" s="497" t="b">
        <f t="shared" ca="1" si="227"/>
        <v>0</v>
      </c>
      <c r="B3766" s="497"/>
      <c r="C3766" s="510" t="str">
        <f ca="1">IF(COUNTA(D$2498:D3766)=1,"",OFFSET(B3764,-COUNTA(D$2498:D3766)+3,1))</f>
        <v>a163p000004NtVgAAK</v>
      </c>
      <c r="D3766" s="512"/>
      <c r="E3766" s="500" t="str">
        <f ca="1">IFERROR(IF(VLOOKUP(C3766,' Disaggregation - Section E '!A$618:N1890,7,0)="","",VLOOKUP(C3766,' Disaggregation - Section E '!A$618:N1890,7,0)*100),"")</f>
        <v/>
      </c>
      <c r="F3766" s="503" t="str">
        <f ca="1">IFERROR(VLOOKUP(C3766,' Disaggregation - Section E '!A$618:N1890,5,0),"")</f>
        <v/>
      </c>
      <c r="G3766" s="502" t="str">
        <f ca="1">IFERROR(IF(VLOOKUP(C3766,' Disaggregation - Section E '!A$618:N1890,6,0)="","",VLOOKUP(C3766,' Disaggregation - Section E '!A$618:N1890,6,0)),"")</f>
        <v/>
      </c>
      <c r="H3766" s="512" t="str">
        <f ca="1">IFERROR(IF(INDEX(' Disaggregation - Section E '!F$618:F3087,MATCH(C3766,' Disaggregation - Section E '!A$618:A3087,0)+1,1)&lt;&gt;0,INDEX(' Disaggregation - Section E '!F$618:F$1820,MATCH(C3766,' Disaggregation - Section E '!A$618:A3087,0)+1,1),""),"")</f>
        <v/>
      </c>
      <c r="I3766" s="503" t="str">
        <f ca="1">IFERROR(IF(VLOOKUP(C3766,' Disaggregation - Section E '!A$618:N1890,8,0)=0,"",VLOOKUP(C3766,' Disaggregation - Section E '!A$618:N1890,8,0)),"")</f>
        <v/>
      </c>
      <c r="J3766" s="503" t="str">
        <f ca="1">IFERROR(IF(VLOOKUP(C3766,' Disaggregation - Section E '!A$618:N3087,13,0)=0,"",VLOOKUP(C3766,' Disaggregation - Section E '!A$618:N3087,13,0)),"")</f>
        <v/>
      </c>
      <c r="K3766" s="497" t="str">
        <f ca="1">IFERROR(VLOOKUP(C3766,' Disaggregation - Section E '!A$618:N1890,3,0),"")</f>
        <v>MDR TB-3⁽ᴹ⁾ Número de casos de tuberculosis resistente a la rifampicina y/o multirresistente que empezaron a recibir tratamiento de segunda línea.</v>
      </c>
      <c r="L3766" s="497"/>
      <c r="M3766" s="497" t="str">
        <f ca="1">IFERROR(IF(VLOOKUP(C3766,' Disaggregation - Section E '!A$618:T1890,20,0)=0,"",VLOOKUP(C3766,' Disaggregation - Section E '!A$618:T1890,20,0)),"")</f>
        <v/>
      </c>
      <c r="N3766" s="503" t="str">
        <f ca="1">IFERROR(IF(VLOOKUP(C3766,' Disaggregation - Section E '!A$618:N1890,14,0)=0,"",VLOOKUP(C3766,' Disaggregation - Section E '!A$618:N1890,14,0)),"")</f>
        <v/>
      </c>
      <c r="O3766" s="503" t="str">
        <f ca="1">IFERROR(IF(VLOOKUP(C3766,' Disaggregation - Section E '!A$618:N1890,9,0)=0,"",VLOOKUP(C3766,' Disaggregation - Section E '!A$618:N1890,9,0)),"")</f>
        <v/>
      </c>
      <c r="P3766" s="503" t="str">
        <f ca="1">IFERROR(IF(VLOOKUP(C3766,' Disaggregation - Section E '!A$618:N1890,10,0)=0,"",VLOOKUP(C3766,' Disaggregation - Section E '!A$618:N1890,10,0)),"")</f>
        <v/>
      </c>
    </row>
    <row r="3767" spans="1:16" x14ac:dyDescent="0.35">
      <c r="A3767" s="497" t="b">
        <f t="shared" ca="1" si="227"/>
        <v>0</v>
      </c>
      <c r="B3767" s="497"/>
      <c r="C3767" s="510" t="str">
        <f ca="1">IF(COUNTA(D$2498:D3767)=1,"",OFFSET(B3765,-COUNTA(D$2498:D3767)+3,1))</f>
        <v>a163p000004NtVhAAK</v>
      </c>
      <c r="D3767" s="512"/>
      <c r="E3767" s="500" t="str">
        <f ca="1">IFERROR(IF(VLOOKUP(C3767,' Disaggregation - Section E '!A$618:N1891,7,0)="","",VLOOKUP(C3767,' Disaggregation - Section E '!A$618:N1891,7,0)*100),"")</f>
        <v/>
      </c>
      <c r="F3767" s="503" t="str">
        <f ca="1">IFERROR(VLOOKUP(C3767,' Disaggregation - Section E '!A$618:N1891,5,0),"")</f>
        <v/>
      </c>
      <c r="G3767" s="502" t="str">
        <f ca="1">IFERROR(IF(VLOOKUP(C3767,' Disaggregation - Section E '!A$618:N1891,6,0)="","",VLOOKUP(C3767,' Disaggregation - Section E '!A$618:N1891,6,0)),"")</f>
        <v/>
      </c>
      <c r="H3767" s="512" t="str">
        <f ca="1">IFERROR(IF(INDEX(' Disaggregation - Section E '!F$618:F3088,MATCH(C3767,' Disaggregation - Section E '!A$618:A3088,0)+1,1)&lt;&gt;0,INDEX(' Disaggregation - Section E '!F$618:F$1820,MATCH(C3767,' Disaggregation - Section E '!A$618:A3088,0)+1,1),""),"")</f>
        <v/>
      </c>
      <c r="I3767" s="503" t="str">
        <f ca="1">IFERROR(IF(VLOOKUP(C3767,' Disaggregation - Section E '!A$618:N1891,8,0)=0,"",VLOOKUP(C3767,' Disaggregation - Section E '!A$618:N1891,8,0)),"")</f>
        <v/>
      </c>
      <c r="J3767" s="503" t="str">
        <f ca="1">IFERROR(IF(VLOOKUP(C3767,' Disaggregation - Section E '!A$618:N3088,13,0)=0,"",VLOOKUP(C3767,' Disaggregation - Section E '!A$618:N3088,13,0)),"")</f>
        <v/>
      </c>
      <c r="K3767" s="497" t="str">
        <f ca="1">IFERROR(VLOOKUP(C3767,' Disaggregation - Section E '!A$618:N1891,3,0),"")</f>
        <v>MDR TB-3⁽ᴹ⁾ Número de casos de tuberculosis resistente a la rifampicina y/o multirresistente que empezaron a recibir tratamiento de segunda línea.</v>
      </c>
      <c r="L3767" s="497"/>
      <c r="M3767" s="497" t="str">
        <f ca="1">IFERROR(IF(VLOOKUP(C3767,' Disaggregation - Section E '!A$618:T1891,20,0)=0,"",VLOOKUP(C3767,' Disaggregation - Section E '!A$618:T1891,20,0)),"")</f>
        <v/>
      </c>
      <c r="N3767" s="503" t="str">
        <f ca="1">IFERROR(IF(VLOOKUP(C3767,' Disaggregation - Section E '!A$618:N1891,14,0)=0,"",VLOOKUP(C3767,' Disaggregation - Section E '!A$618:N1891,14,0)),"")</f>
        <v/>
      </c>
      <c r="O3767" s="503" t="str">
        <f ca="1">IFERROR(IF(VLOOKUP(C3767,' Disaggregation - Section E '!A$618:N1891,9,0)=0,"",VLOOKUP(C3767,' Disaggregation - Section E '!A$618:N1891,9,0)),"")</f>
        <v/>
      </c>
      <c r="P3767" s="503" t="str">
        <f ca="1">IFERROR(IF(VLOOKUP(C3767,' Disaggregation - Section E '!A$618:N1891,10,0)=0,"",VLOOKUP(C3767,' Disaggregation - Section E '!A$618:N1891,10,0)),"")</f>
        <v/>
      </c>
    </row>
    <row r="3768" spans="1:16" x14ac:dyDescent="0.35">
      <c r="A3768" s="497" t="b">
        <f t="shared" ca="1" si="227"/>
        <v>0</v>
      </c>
      <c r="B3768" s="497"/>
      <c r="C3768" s="510" t="str">
        <f ca="1">IF(COUNTA(D$2498:D3768)=1,"",OFFSET(B3766,-COUNTA(D$2498:D3768)+3,1))</f>
        <v>a163p000004NtViAAK</v>
      </c>
      <c r="D3768" s="512"/>
      <c r="E3768" s="500" t="str">
        <f ca="1">IFERROR(IF(VLOOKUP(C3768,' Disaggregation - Section E '!A$618:N1892,7,0)="","",VLOOKUP(C3768,' Disaggregation - Section E '!A$618:N1892,7,0)*100),"")</f>
        <v/>
      </c>
      <c r="F3768" s="503" t="str">
        <f ca="1">IFERROR(VLOOKUP(C3768,' Disaggregation - Section E '!A$618:N1892,5,0),"")</f>
        <v/>
      </c>
      <c r="G3768" s="502" t="str">
        <f ca="1">IFERROR(IF(VLOOKUP(C3768,' Disaggregation - Section E '!A$618:N1892,6,0)="","",VLOOKUP(C3768,' Disaggregation - Section E '!A$618:N1892,6,0)),"")</f>
        <v/>
      </c>
      <c r="H3768" s="512" t="str">
        <f ca="1">IFERROR(IF(INDEX(' Disaggregation - Section E '!F$618:F3089,MATCH(C3768,' Disaggregation - Section E '!A$618:A3089,0)+1,1)&lt;&gt;0,INDEX(' Disaggregation - Section E '!F$618:F$1820,MATCH(C3768,' Disaggregation - Section E '!A$618:A3089,0)+1,1),""),"")</f>
        <v/>
      </c>
      <c r="I3768" s="503" t="str">
        <f ca="1">IFERROR(IF(VLOOKUP(C3768,' Disaggregation - Section E '!A$618:N1892,8,0)=0,"",VLOOKUP(C3768,' Disaggregation - Section E '!A$618:N1892,8,0)),"")</f>
        <v/>
      </c>
      <c r="J3768" s="503" t="str">
        <f ca="1">IFERROR(IF(VLOOKUP(C3768,' Disaggregation - Section E '!A$618:N3089,13,0)=0,"",VLOOKUP(C3768,' Disaggregation - Section E '!A$618:N3089,13,0)),"")</f>
        <v/>
      </c>
      <c r="K3768" s="497" t="str">
        <f ca="1">IFERROR(VLOOKUP(C3768,' Disaggregation - Section E '!A$618:N1892,3,0),"")</f>
        <v>MDR TB-3⁽ᴹ⁾ Número de casos de tuberculosis resistente a la rifampicina y/o multirresistente que empezaron a recibir tratamiento de segunda línea.</v>
      </c>
      <c r="L3768" s="497"/>
      <c r="M3768" s="497" t="str">
        <f ca="1">IFERROR(IF(VLOOKUP(C3768,' Disaggregation - Section E '!A$618:T1892,20,0)=0,"",VLOOKUP(C3768,' Disaggregation - Section E '!A$618:T1892,20,0)),"")</f>
        <v/>
      </c>
      <c r="N3768" s="503" t="str">
        <f ca="1">IFERROR(IF(VLOOKUP(C3768,' Disaggregation - Section E '!A$618:N1892,14,0)=0,"",VLOOKUP(C3768,' Disaggregation - Section E '!A$618:N1892,14,0)),"")</f>
        <v/>
      </c>
      <c r="O3768" s="503" t="str">
        <f ca="1">IFERROR(IF(VLOOKUP(C3768,' Disaggregation - Section E '!A$618:N1892,9,0)=0,"",VLOOKUP(C3768,' Disaggregation - Section E '!A$618:N1892,9,0)),"")</f>
        <v/>
      </c>
      <c r="P3768" s="503" t="str">
        <f ca="1">IFERROR(IF(VLOOKUP(C3768,' Disaggregation - Section E '!A$618:N1892,10,0)=0,"",VLOOKUP(C3768,' Disaggregation - Section E '!A$618:N1892,10,0)),"")</f>
        <v/>
      </c>
    </row>
    <row r="3769" spans="1:16" x14ac:dyDescent="0.35">
      <c r="A3769" s="497" t="b">
        <f t="shared" ca="1" si="227"/>
        <v>0</v>
      </c>
      <c r="B3769" s="497"/>
      <c r="C3769" s="510" t="str">
        <f ca="1">IF(COUNTA(D$2498:D3769)=1,"",OFFSET(B3767,-COUNTA(D$2498:D3769)+3,1))</f>
        <v>a163p000004NtVjAAK</v>
      </c>
      <c r="D3769" s="512"/>
      <c r="E3769" s="500" t="str">
        <f ca="1">IFERROR(IF(VLOOKUP(C3769,' Disaggregation - Section E '!A$618:N1893,7,0)="","",VLOOKUP(C3769,' Disaggregation - Section E '!A$618:N1893,7,0)*100),"")</f>
        <v/>
      </c>
      <c r="F3769" s="503" t="str">
        <f ca="1">IFERROR(VLOOKUP(C3769,' Disaggregation - Section E '!A$618:N1893,5,0),"")</f>
        <v/>
      </c>
      <c r="G3769" s="502" t="str">
        <f ca="1">IFERROR(IF(VLOOKUP(C3769,' Disaggregation - Section E '!A$618:N1893,6,0)="","",VLOOKUP(C3769,' Disaggregation - Section E '!A$618:N1893,6,0)),"")</f>
        <v/>
      </c>
      <c r="H3769" s="512" t="str">
        <f ca="1">IFERROR(IF(INDEX(' Disaggregation - Section E '!F$618:F3090,MATCH(C3769,' Disaggregation - Section E '!A$618:A3090,0)+1,1)&lt;&gt;0,INDEX(' Disaggregation - Section E '!F$618:F$1820,MATCH(C3769,' Disaggregation - Section E '!A$618:A3090,0)+1,1),""),"")</f>
        <v/>
      </c>
      <c r="I3769" s="503" t="str">
        <f ca="1">IFERROR(IF(VLOOKUP(C3769,' Disaggregation - Section E '!A$618:N1893,8,0)=0,"",VLOOKUP(C3769,' Disaggregation - Section E '!A$618:N1893,8,0)),"")</f>
        <v/>
      </c>
      <c r="J3769" s="503" t="str">
        <f ca="1">IFERROR(IF(VLOOKUP(C3769,' Disaggregation - Section E '!A$618:N3090,13,0)=0,"",VLOOKUP(C3769,' Disaggregation - Section E '!A$618:N3090,13,0)),"")</f>
        <v/>
      </c>
      <c r="K3769" s="497" t="str">
        <f ca="1">IFERROR(VLOOKUP(C3769,' Disaggregation - Section E '!A$618:N1893,3,0),"")</f>
        <v>MDR TB-3⁽ᴹ⁾ Número de casos de tuberculosis resistente a la rifampicina y/o multirresistente que empezaron a recibir tratamiento de segunda línea.</v>
      </c>
      <c r="L3769" s="497"/>
      <c r="M3769" s="497" t="str">
        <f ca="1">IFERROR(IF(VLOOKUP(C3769,' Disaggregation - Section E '!A$618:T1893,20,0)=0,"",VLOOKUP(C3769,' Disaggregation - Section E '!A$618:T1893,20,0)),"")</f>
        <v/>
      </c>
      <c r="N3769" s="503" t="str">
        <f ca="1">IFERROR(IF(VLOOKUP(C3769,' Disaggregation - Section E '!A$618:N1893,14,0)=0,"",VLOOKUP(C3769,' Disaggregation - Section E '!A$618:N1893,14,0)),"")</f>
        <v/>
      </c>
      <c r="O3769" s="503" t="str">
        <f ca="1">IFERROR(IF(VLOOKUP(C3769,' Disaggregation - Section E '!A$618:N1893,9,0)=0,"",VLOOKUP(C3769,' Disaggregation - Section E '!A$618:N1893,9,0)),"")</f>
        <v/>
      </c>
      <c r="P3769" s="503" t="str">
        <f ca="1">IFERROR(IF(VLOOKUP(C3769,' Disaggregation - Section E '!A$618:N1893,10,0)=0,"",VLOOKUP(C3769,' Disaggregation - Section E '!A$618:N1893,10,0)),"")</f>
        <v/>
      </c>
    </row>
    <row r="3770" spans="1:16" x14ac:dyDescent="0.35">
      <c r="A3770" s="497" t="b">
        <f t="shared" ca="1" si="227"/>
        <v>0</v>
      </c>
      <c r="B3770" s="497"/>
      <c r="C3770" s="510" t="str">
        <f ca="1">IF(COUNTA(D$2498:D3770)=1,"",OFFSET(B3768,-COUNTA(D$2498:D3770)+3,1))</f>
        <v>a163p000004NtVkAAK</v>
      </c>
      <c r="D3770" s="512"/>
      <c r="E3770" s="500" t="str">
        <f ca="1">IFERROR(IF(VLOOKUP(C3770,' Disaggregation - Section E '!A$618:N1894,7,0)="","",VLOOKUP(C3770,' Disaggregation - Section E '!A$618:N1894,7,0)*100),"")</f>
        <v/>
      </c>
      <c r="F3770" s="503" t="str">
        <f ca="1">IFERROR(VLOOKUP(C3770,' Disaggregation - Section E '!A$618:N1894,5,0),"")</f>
        <v/>
      </c>
      <c r="G3770" s="502" t="str">
        <f ca="1">IFERROR(IF(VLOOKUP(C3770,' Disaggregation - Section E '!A$618:N1894,6,0)="","",VLOOKUP(C3770,' Disaggregation - Section E '!A$618:N1894,6,0)),"")</f>
        <v/>
      </c>
      <c r="H3770" s="512" t="str">
        <f ca="1">IFERROR(IF(INDEX(' Disaggregation - Section E '!F$618:F3091,MATCH(C3770,' Disaggregation - Section E '!A$618:A3091,0)+1,1)&lt;&gt;0,INDEX(' Disaggregation - Section E '!F$618:F$1820,MATCH(C3770,' Disaggregation - Section E '!A$618:A3091,0)+1,1),""),"")</f>
        <v/>
      </c>
      <c r="I3770" s="503" t="str">
        <f ca="1">IFERROR(IF(VLOOKUP(C3770,' Disaggregation - Section E '!A$618:N1894,8,0)=0,"",VLOOKUP(C3770,' Disaggregation - Section E '!A$618:N1894,8,0)),"")</f>
        <v/>
      </c>
      <c r="J3770" s="503" t="str">
        <f ca="1">IFERROR(IF(VLOOKUP(C3770,' Disaggregation - Section E '!A$618:N3091,13,0)=0,"",VLOOKUP(C3770,' Disaggregation - Section E '!A$618:N3091,13,0)),"")</f>
        <v/>
      </c>
      <c r="K3770" s="497" t="str">
        <f ca="1">IFERROR(VLOOKUP(C3770,' Disaggregation - Section E '!A$618:N1894,3,0),"")</f>
        <v>MDR TB-3⁽ᴹ⁾ Número de casos de tuberculosis resistente a la rifampicina y/o multirresistente que empezaron a recibir tratamiento de segunda línea.</v>
      </c>
      <c r="L3770" s="497"/>
      <c r="M3770" s="497" t="str">
        <f ca="1">IFERROR(IF(VLOOKUP(C3770,' Disaggregation - Section E '!A$618:T1894,20,0)=0,"",VLOOKUP(C3770,' Disaggregation - Section E '!A$618:T1894,20,0)),"")</f>
        <v/>
      </c>
      <c r="N3770" s="503" t="str">
        <f ca="1">IFERROR(IF(VLOOKUP(C3770,' Disaggregation - Section E '!A$618:N1894,14,0)=0,"",VLOOKUP(C3770,' Disaggregation - Section E '!A$618:N1894,14,0)),"")</f>
        <v/>
      </c>
      <c r="O3770" s="503" t="str">
        <f ca="1">IFERROR(IF(VLOOKUP(C3770,' Disaggregation - Section E '!A$618:N1894,9,0)=0,"",VLOOKUP(C3770,' Disaggregation - Section E '!A$618:N1894,9,0)),"")</f>
        <v/>
      </c>
      <c r="P3770" s="503" t="str">
        <f ca="1">IFERROR(IF(VLOOKUP(C3770,' Disaggregation - Section E '!A$618:N1894,10,0)=0,"",VLOOKUP(C3770,' Disaggregation - Section E '!A$618:N1894,10,0)),"")</f>
        <v/>
      </c>
    </row>
    <row r="3771" spans="1:16" x14ac:dyDescent="0.35">
      <c r="A3771" s="497" t="b">
        <f t="shared" ca="1" si="227"/>
        <v>0</v>
      </c>
      <c r="B3771" s="497"/>
      <c r="C3771" s="510" t="str">
        <f ca="1">IF(COUNTA(D$2498:D3771)=1,"",OFFSET(B3769,-COUNTA(D$2498:D3771)+3,1))</f>
        <v>a163p000004NtVlAAK</v>
      </c>
      <c r="D3771" s="512"/>
      <c r="E3771" s="500" t="str">
        <f ca="1">IFERROR(IF(VLOOKUP(C3771,' Disaggregation - Section E '!A$618:N1895,7,0)="","",VLOOKUP(C3771,' Disaggregation - Section E '!A$618:N1895,7,0)*100),"")</f>
        <v/>
      </c>
      <c r="F3771" s="503" t="str">
        <f ca="1">IFERROR(VLOOKUP(C3771,' Disaggregation - Section E '!A$618:N1895,5,0),"")</f>
        <v/>
      </c>
      <c r="G3771" s="502" t="str">
        <f ca="1">IFERROR(IF(VLOOKUP(C3771,' Disaggregation - Section E '!A$618:N1895,6,0)="","",VLOOKUP(C3771,' Disaggregation - Section E '!A$618:N1895,6,0)),"")</f>
        <v/>
      </c>
      <c r="H3771" s="512" t="str">
        <f ca="1">IFERROR(IF(INDEX(' Disaggregation - Section E '!F$618:F3092,MATCH(C3771,' Disaggregation - Section E '!A$618:A3092,0)+1,1)&lt;&gt;0,INDEX(' Disaggregation - Section E '!F$618:F$1820,MATCH(C3771,' Disaggregation - Section E '!A$618:A3092,0)+1,1),""),"")</f>
        <v/>
      </c>
      <c r="I3771" s="503" t="str">
        <f ca="1">IFERROR(IF(VLOOKUP(C3771,' Disaggregation - Section E '!A$618:N1895,8,0)=0,"",VLOOKUP(C3771,' Disaggregation - Section E '!A$618:N1895,8,0)),"")</f>
        <v/>
      </c>
      <c r="J3771" s="503" t="str">
        <f ca="1">IFERROR(IF(VLOOKUP(C3771,' Disaggregation - Section E '!A$618:N3092,13,0)=0,"",VLOOKUP(C3771,' Disaggregation - Section E '!A$618:N3092,13,0)),"")</f>
        <v/>
      </c>
      <c r="K3771" s="497" t="str">
        <f ca="1">IFERROR(VLOOKUP(C3771,' Disaggregation - Section E '!A$618:N1895,3,0),"")</f>
        <v>MDR TB-3⁽ᴹ⁾ Número de casos de tuberculosis resistente a la rifampicina y/o multirresistente que empezaron a recibir tratamiento de segunda línea.</v>
      </c>
      <c r="L3771" s="497"/>
      <c r="M3771" s="497" t="str">
        <f ca="1">IFERROR(IF(VLOOKUP(C3771,' Disaggregation - Section E '!A$618:T1895,20,0)=0,"",VLOOKUP(C3771,' Disaggregation - Section E '!A$618:T1895,20,0)),"")</f>
        <v/>
      </c>
      <c r="N3771" s="503" t="str">
        <f ca="1">IFERROR(IF(VLOOKUP(C3771,' Disaggregation - Section E '!A$618:N1895,14,0)=0,"",VLOOKUP(C3771,' Disaggregation - Section E '!A$618:N1895,14,0)),"")</f>
        <v/>
      </c>
      <c r="O3771" s="503" t="str">
        <f ca="1">IFERROR(IF(VLOOKUP(C3771,' Disaggregation - Section E '!A$618:N1895,9,0)=0,"",VLOOKUP(C3771,' Disaggregation - Section E '!A$618:N1895,9,0)),"")</f>
        <v/>
      </c>
      <c r="P3771" s="503" t="str">
        <f ca="1">IFERROR(IF(VLOOKUP(C3771,' Disaggregation - Section E '!A$618:N1895,10,0)=0,"",VLOOKUP(C3771,' Disaggregation - Section E '!A$618:N1895,10,0)),"")</f>
        <v/>
      </c>
    </row>
    <row r="3772" spans="1:16" x14ac:dyDescent="0.35">
      <c r="A3772" s="497" t="b">
        <f t="shared" ca="1" si="227"/>
        <v>0</v>
      </c>
      <c r="B3772" s="497"/>
      <c r="C3772" s="510" t="str">
        <f ca="1">IF(COUNTA(D$2498:D3772)=1,"",OFFSET(B3770,-COUNTA(D$2498:D3772)+3,1))</f>
        <v>a163p000004NtVmAAK</v>
      </c>
      <c r="D3772" s="512"/>
      <c r="E3772" s="500" t="str">
        <f ca="1">IFERROR(IF(VLOOKUP(C3772,' Disaggregation - Section E '!A$618:N1896,7,0)="","",VLOOKUP(C3772,' Disaggregation - Section E '!A$618:N1896,7,0)*100),"")</f>
        <v/>
      </c>
      <c r="F3772" s="503" t="str">
        <f ca="1">IFERROR(VLOOKUP(C3772,' Disaggregation - Section E '!A$618:N1896,5,0),"")</f>
        <v/>
      </c>
      <c r="G3772" s="502" t="str">
        <f ca="1">IFERROR(IF(VLOOKUP(C3772,' Disaggregation - Section E '!A$618:N1896,6,0)="","",VLOOKUP(C3772,' Disaggregation - Section E '!A$618:N1896,6,0)),"")</f>
        <v/>
      </c>
      <c r="H3772" s="512" t="str">
        <f ca="1">IFERROR(IF(INDEX(' Disaggregation - Section E '!F$618:F3093,MATCH(C3772,' Disaggregation - Section E '!A$618:A3093,0)+1,1)&lt;&gt;0,INDEX(' Disaggregation - Section E '!F$618:F$1820,MATCH(C3772,' Disaggregation - Section E '!A$618:A3093,0)+1,1),""),"")</f>
        <v/>
      </c>
      <c r="I3772" s="503" t="str">
        <f ca="1">IFERROR(IF(VLOOKUP(C3772,' Disaggregation - Section E '!A$618:N1896,8,0)=0,"",VLOOKUP(C3772,' Disaggregation - Section E '!A$618:N1896,8,0)),"")</f>
        <v/>
      </c>
      <c r="J3772" s="503" t="str">
        <f ca="1">IFERROR(IF(VLOOKUP(C3772,' Disaggregation - Section E '!A$618:N3093,13,0)=0,"",VLOOKUP(C3772,' Disaggregation - Section E '!A$618:N3093,13,0)),"")</f>
        <v/>
      </c>
      <c r="K3772" s="497" t="str">
        <f ca="1">IFERROR(VLOOKUP(C3772,' Disaggregation - Section E '!A$618:N1896,3,0),"")</f>
        <v>MDR TB-3⁽ᴹ⁾ Número de casos de tuberculosis resistente a la rifampicina y/o multirresistente que empezaron a recibir tratamiento de segunda línea.</v>
      </c>
      <c r="L3772" s="497"/>
      <c r="M3772" s="497" t="str">
        <f ca="1">IFERROR(IF(VLOOKUP(C3772,' Disaggregation - Section E '!A$618:T1896,20,0)=0,"",VLOOKUP(C3772,' Disaggregation - Section E '!A$618:T1896,20,0)),"")</f>
        <v/>
      </c>
      <c r="N3772" s="503" t="str">
        <f ca="1">IFERROR(IF(VLOOKUP(C3772,' Disaggregation - Section E '!A$618:N1896,14,0)=0,"",VLOOKUP(C3772,' Disaggregation - Section E '!A$618:N1896,14,0)),"")</f>
        <v/>
      </c>
      <c r="O3772" s="503" t="str">
        <f ca="1">IFERROR(IF(VLOOKUP(C3772,' Disaggregation - Section E '!A$618:N1896,9,0)=0,"",VLOOKUP(C3772,' Disaggregation - Section E '!A$618:N1896,9,0)),"")</f>
        <v/>
      </c>
      <c r="P3772" s="503" t="str">
        <f ca="1">IFERROR(IF(VLOOKUP(C3772,' Disaggregation - Section E '!A$618:N1896,10,0)=0,"",VLOOKUP(C3772,' Disaggregation - Section E '!A$618:N1896,10,0)),"")</f>
        <v/>
      </c>
    </row>
    <row r="3773" spans="1:16" x14ac:dyDescent="0.35">
      <c r="A3773" s="497" t="b">
        <f t="shared" ca="1" si="227"/>
        <v>0</v>
      </c>
      <c r="B3773" s="497"/>
      <c r="C3773" s="510" t="str">
        <f ca="1">IF(COUNTA(D$2498:D3773)=1,"",OFFSET(B3771,-COUNTA(D$2498:D3773)+3,1))</f>
        <v>a163p000004NtVnAAK</v>
      </c>
      <c r="D3773" s="512"/>
      <c r="E3773" s="500" t="str">
        <f ca="1">IFERROR(IF(VLOOKUP(C3773,' Disaggregation - Section E '!A$618:N1897,7,0)="","",VLOOKUP(C3773,' Disaggregation - Section E '!A$618:N1897,7,0)*100),"")</f>
        <v/>
      </c>
      <c r="F3773" s="503" t="str">
        <f ca="1">IFERROR(VLOOKUP(C3773,' Disaggregation - Section E '!A$618:N1897,5,0),"")</f>
        <v/>
      </c>
      <c r="G3773" s="502" t="str">
        <f ca="1">IFERROR(IF(VLOOKUP(C3773,' Disaggregation - Section E '!A$618:N1897,6,0)="","",VLOOKUP(C3773,' Disaggregation - Section E '!A$618:N1897,6,0)),"")</f>
        <v/>
      </c>
      <c r="H3773" s="512" t="str">
        <f ca="1">IFERROR(IF(INDEX(' Disaggregation - Section E '!F$618:F3094,MATCH(C3773,' Disaggregation - Section E '!A$618:A3094,0)+1,1)&lt;&gt;0,INDEX(' Disaggregation - Section E '!F$618:F$1820,MATCH(C3773,' Disaggregation - Section E '!A$618:A3094,0)+1,1),""),"")</f>
        <v/>
      </c>
      <c r="I3773" s="503" t="str">
        <f ca="1">IFERROR(IF(VLOOKUP(C3773,' Disaggregation - Section E '!A$618:N1897,8,0)=0,"",VLOOKUP(C3773,' Disaggregation - Section E '!A$618:N1897,8,0)),"")</f>
        <v/>
      </c>
      <c r="J3773" s="503" t="str">
        <f ca="1">IFERROR(IF(VLOOKUP(C3773,' Disaggregation - Section E '!A$618:N3094,13,0)=0,"",VLOOKUP(C3773,' Disaggregation - Section E '!A$618:N3094,13,0)),"")</f>
        <v/>
      </c>
      <c r="K3773" s="497" t="str">
        <f ca="1">IFERROR(VLOOKUP(C3773,' Disaggregation - Section E '!A$618:N1897,3,0),"")</f>
        <v>MDR TB-3⁽ᴹ⁾ Número de casos de tuberculosis resistente a la rifampicina y/o multirresistente que empezaron a recibir tratamiento de segunda línea.</v>
      </c>
      <c r="L3773" s="497"/>
      <c r="M3773" s="497" t="str">
        <f ca="1">IFERROR(IF(VLOOKUP(C3773,' Disaggregation - Section E '!A$618:T1897,20,0)=0,"",VLOOKUP(C3773,' Disaggregation - Section E '!A$618:T1897,20,0)),"")</f>
        <v/>
      </c>
      <c r="N3773" s="503" t="str">
        <f ca="1">IFERROR(IF(VLOOKUP(C3773,' Disaggregation - Section E '!A$618:N1897,14,0)=0,"",VLOOKUP(C3773,' Disaggregation - Section E '!A$618:N1897,14,0)),"")</f>
        <v/>
      </c>
      <c r="O3773" s="503" t="str">
        <f ca="1">IFERROR(IF(VLOOKUP(C3773,' Disaggregation - Section E '!A$618:N1897,9,0)=0,"",VLOOKUP(C3773,' Disaggregation - Section E '!A$618:N1897,9,0)),"")</f>
        <v/>
      </c>
      <c r="P3773" s="503" t="str">
        <f ca="1">IFERROR(IF(VLOOKUP(C3773,' Disaggregation - Section E '!A$618:N1897,10,0)=0,"",VLOOKUP(C3773,' Disaggregation - Section E '!A$618:N1897,10,0)),"")</f>
        <v/>
      </c>
    </row>
    <row r="3774" spans="1:16" x14ac:dyDescent="0.35">
      <c r="A3774" s="497" t="b">
        <f t="shared" ca="1" si="227"/>
        <v>0</v>
      </c>
      <c r="B3774" s="497"/>
      <c r="C3774" s="510" t="str">
        <f ca="1">IF(COUNTA(D$2498:D3774)=1,"",OFFSET(B3772,-COUNTA(D$2498:D3774)+3,1))</f>
        <v>a163p000004NtVoAAK</v>
      </c>
      <c r="D3774" s="512"/>
      <c r="E3774" s="500" t="str">
        <f ca="1">IFERROR(IF(VLOOKUP(C3774,' Disaggregation - Section E '!A$618:N1898,7,0)="","",VLOOKUP(C3774,' Disaggregation - Section E '!A$618:N1898,7,0)*100),"")</f>
        <v/>
      </c>
      <c r="F3774" s="503" t="str">
        <f ca="1">IFERROR(VLOOKUP(C3774,' Disaggregation - Section E '!A$618:N1898,5,0),"")</f>
        <v/>
      </c>
      <c r="G3774" s="502" t="str">
        <f ca="1">IFERROR(IF(VLOOKUP(C3774,' Disaggregation - Section E '!A$618:N1898,6,0)="","",VLOOKUP(C3774,' Disaggregation - Section E '!A$618:N1898,6,0)),"")</f>
        <v/>
      </c>
      <c r="H3774" s="512" t="str">
        <f ca="1">IFERROR(IF(INDEX(' Disaggregation - Section E '!F$618:F3095,MATCH(C3774,' Disaggregation - Section E '!A$618:A3095,0)+1,1)&lt;&gt;0,INDEX(' Disaggregation - Section E '!F$618:F$1820,MATCH(C3774,' Disaggregation - Section E '!A$618:A3095,0)+1,1),""),"")</f>
        <v/>
      </c>
      <c r="I3774" s="503" t="str">
        <f ca="1">IFERROR(IF(VLOOKUP(C3774,' Disaggregation - Section E '!A$618:N1898,8,0)=0,"",VLOOKUP(C3774,' Disaggregation - Section E '!A$618:N1898,8,0)),"")</f>
        <v/>
      </c>
      <c r="J3774" s="503" t="str">
        <f ca="1">IFERROR(IF(VLOOKUP(C3774,' Disaggregation - Section E '!A$618:N3095,13,0)=0,"",VLOOKUP(C3774,' Disaggregation - Section E '!A$618:N3095,13,0)),"")</f>
        <v/>
      </c>
      <c r="K3774" s="497" t="str">
        <f ca="1">IFERROR(VLOOKUP(C3774,' Disaggregation - Section E '!A$618:N1898,3,0),"")</f>
        <v>MDR TB-3⁽ᴹ⁾ Número de casos de tuberculosis resistente a la rifampicina y/o multirresistente que empezaron a recibir tratamiento de segunda línea.</v>
      </c>
      <c r="L3774" s="497"/>
      <c r="M3774" s="497" t="str">
        <f ca="1">IFERROR(IF(VLOOKUP(C3774,' Disaggregation - Section E '!A$618:T1898,20,0)=0,"",VLOOKUP(C3774,' Disaggregation - Section E '!A$618:T1898,20,0)),"")</f>
        <v/>
      </c>
      <c r="N3774" s="503" t="str">
        <f ca="1">IFERROR(IF(VLOOKUP(C3774,' Disaggregation - Section E '!A$618:N1898,14,0)=0,"",VLOOKUP(C3774,' Disaggregation - Section E '!A$618:N1898,14,0)),"")</f>
        <v/>
      </c>
      <c r="O3774" s="503" t="str">
        <f ca="1">IFERROR(IF(VLOOKUP(C3774,' Disaggregation - Section E '!A$618:N1898,9,0)=0,"",VLOOKUP(C3774,' Disaggregation - Section E '!A$618:N1898,9,0)),"")</f>
        <v/>
      </c>
      <c r="P3774" s="503" t="str">
        <f ca="1">IFERROR(IF(VLOOKUP(C3774,' Disaggregation - Section E '!A$618:N1898,10,0)=0,"",VLOOKUP(C3774,' Disaggregation - Section E '!A$618:N1898,10,0)),"")</f>
        <v/>
      </c>
    </row>
    <row r="3775" spans="1:16" x14ac:dyDescent="0.35">
      <c r="A3775" s="497" t="b">
        <f t="shared" ca="1" si="227"/>
        <v>0</v>
      </c>
      <c r="B3775" s="497"/>
      <c r="C3775" s="510" t="str">
        <f ca="1">IF(COUNTA(D$2498:D3775)=1,"",OFFSET(B3773,-COUNTA(D$2498:D3775)+3,1))</f>
        <v>a163p000004NtVpAAK</v>
      </c>
      <c r="D3775" s="512"/>
      <c r="E3775" s="500" t="str">
        <f ca="1">IFERROR(IF(VLOOKUP(C3775,' Disaggregation - Section E '!A$618:N1899,7,0)="","",VLOOKUP(C3775,' Disaggregation - Section E '!A$618:N1899,7,0)*100),"")</f>
        <v/>
      </c>
      <c r="F3775" s="503" t="str">
        <f ca="1">IFERROR(VLOOKUP(C3775,' Disaggregation - Section E '!A$618:N1899,5,0),"")</f>
        <v/>
      </c>
      <c r="G3775" s="502" t="str">
        <f ca="1">IFERROR(IF(VLOOKUP(C3775,' Disaggregation - Section E '!A$618:N1899,6,0)="","",VLOOKUP(C3775,' Disaggregation - Section E '!A$618:N1899,6,0)),"")</f>
        <v/>
      </c>
      <c r="H3775" s="512" t="str">
        <f ca="1">IFERROR(IF(INDEX(' Disaggregation - Section E '!F$618:F3096,MATCH(C3775,' Disaggregation - Section E '!A$618:A3096,0)+1,1)&lt;&gt;0,INDEX(' Disaggregation - Section E '!F$618:F$1820,MATCH(C3775,' Disaggregation - Section E '!A$618:A3096,0)+1,1),""),"")</f>
        <v/>
      </c>
      <c r="I3775" s="503" t="str">
        <f ca="1">IFERROR(IF(VLOOKUP(C3775,' Disaggregation - Section E '!A$618:N1899,8,0)=0,"",VLOOKUP(C3775,' Disaggregation - Section E '!A$618:N1899,8,0)),"")</f>
        <v/>
      </c>
      <c r="J3775" s="503" t="str">
        <f ca="1">IFERROR(IF(VLOOKUP(C3775,' Disaggregation - Section E '!A$618:N3096,13,0)=0,"",VLOOKUP(C3775,' Disaggregation - Section E '!A$618:N3096,13,0)),"")</f>
        <v/>
      </c>
      <c r="K3775" s="497" t="str">
        <f ca="1">IFERROR(VLOOKUP(C3775,' Disaggregation - Section E '!A$618:N1899,3,0),"")</f>
        <v>MDR TB-3⁽ᴹ⁾ Número de casos de tuberculosis resistente a la rifampicina y/o multirresistente que empezaron a recibir tratamiento de segunda línea.</v>
      </c>
      <c r="L3775" s="497"/>
      <c r="M3775" s="497" t="str">
        <f ca="1">IFERROR(IF(VLOOKUP(C3775,' Disaggregation - Section E '!A$618:T1899,20,0)=0,"",VLOOKUP(C3775,' Disaggregation - Section E '!A$618:T1899,20,0)),"")</f>
        <v/>
      </c>
      <c r="N3775" s="503" t="str">
        <f ca="1">IFERROR(IF(VLOOKUP(C3775,' Disaggregation - Section E '!A$618:N1899,14,0)=0,"",VLOOKUP(C3775,' Disaggregation - Section E '!A$618:N1899,14,0)),"")</f>
        <v/>
      </c>
      <c r="O3775" s="503" t="str">
        <f ca="1">IFERROR(IF(VLOOKUP(C3775,' Disaggregation - Section E '!A$618:N1899,9,0)=0,"",VLOOKUP(C3775,' Disaggregation - Section E '!A$618:N1899,9,0)),"")</f>
        <v/>
      </c>
      <c r="P3775" s="503" t="str">
        <f ca="1">IFERROR(IF(VLOOKUP(C3775,' Disaggregation - Section E '!A$618:N1899,10,0)=0,"",VLOOKUP(C3775,' Disaggregation - Section E '!A$618:N1899,10,0)),"")</f>
        <v/>
      </c>
    </row>
    <row r="3776" spans="1:16" x14ac:dyDescent="0.35">
      <c r="A3776" s="497" t="b">
        <f t="shared" ca="1" si="227"/>
        <v>0</v>
      </c>
      <c r="B3776" s="497"/>
      <c r="C3776" s="510" t="str">
        <f ca="1">IF(COUNTA(D$2498:D3776)=1,"",OFFSET(B3774,-COUNTA(D$2498:D3776)+3,1))</f>
        <v>a163p000004NtVqAAK</v>
      </c>
      <c r="D3776" s="512"/>
      <c r="E3776" s="500" t="str">
        <f ca="1">IFERROR(IF(VLOOKUP(C3776,' Disaggregation - Section E '!A$618:N1900,7,0)="","",VLOOKUP(C3776,' Disaggregation - Section E '!A$618:N1900,7,0)*100),"")</f>
        <v/>
      </c>
      <c r="F3776" s="503" t="str">
        <f ca="1">IFERROR(VLOOKUP(C3776,' Disaggregation - Section E '!A$618:N1900,5,0),"")</f>
        <v/>
      </c>
      <c r="G3776" s="502" t="str">
        <f ca="1">IFERROR(IF(VLOOKUP(C3776,' Disaggregation - Section E '!A$618:N1900,6,0)="","",VLOOKUP(C3776,' Disaggregation - Section E '!A$618:N1900,6,0)),"")</f>
        <v/>
      </c>
      <c r="H3776" s="512" t="str">
        <f ca="1">IFERROR(IF(INDEX(' Disaggregation - Section E '!F$618:F3097,MATCH(C3776,' Disaggregation - Section E '!A$618:A3097,0)+1,1)&lt;&gt;0,INDEX(' Disaggregation - Section E '!F$618:F$1820,MATCH(C3776,' Disaggregation - Section E '!A$618:A3097,0)+1,1),""),"")</f>
        <v/>
      </c>
      <c r="I3776" s="503" t="str">
        <f ca="1">IFERROR(IF(VLOOKUP(C3776,' Disaggregation - Section E '!A$618:N1900,8,0)=0,"",VLOOKUP(C3776,' Disaggregation - Section E '!A$618:N1900,8,0)),"")</f>
        <v/>
      </c>
      <c r="J3776" s="503" t="str">
        <f ca="1">IFERROR(IF(VLOOKUP(C3776,' Disaggregation - Section E '!A$618:N3097,13,0)=0,"",VLOOKUP(C3776,' Disaggregation - Section E '!A$618:N3097,13,0)),"")</f>
        <v/>
      </c>
      <c r="K3776" s="497" t="str">
        <f ca="1">IFERROR(VLOOKUP(C3776,' Disaggregation - Section E '!A$618:N1900,3,0),"")</f>
        <v>MDR TB-3⁽ᴹ⁾ Número de casos de tuberculosis resistente a la rifampicina y/o multirresistente que empezaron a recibir tratamiento de segunda línea.</v>
      </c>
      <c r="L3776" s="497"/>
      <c r="M3776" s="497" t="str">
        <f ca="1">IFERROR(IF(VLOOKUP(C3776,' Disaggregation - Section E '!A$618:T1900,20,0)=0,"",VLOOKUP(C3776,' Disaggregation - Section E '!A$618:T1900,20,0)),"")</f>
        <v/>
      </c>
      <c r="N3776" s="503" t="str">
        <f ca="1">IFERROR(IF(VLOOKUP(C3776,' Disaggregation - Section E '!A$618:N1900,14,0)=0,"",VLOOKUP(C3776,' Disaggregation - Section E '!A$618:N1900,14,0)),"")</f>
        <v/>
      </c>
      <c r="O3776" s="503" t="str">
        <f ca="1">IFERROR(IF(VLOOKUP(C3776,' Disaggregation - Section E '!A$618:N1900,9,0)=0,"",VLOOKUP(C3776,' Disaggregation - Section E '!A$618:N1900,9,0)),"")</f>
        <v/>
      </c>
      <c r="P3776" s="503" t="str">
        <f ca="1">IFERROR(IF(VLOOKUP(C3776,' Disaggregation - Section E '!A$618:N1900,10,0)=0,"",VLOOKUP(C3776,' Disaggregation - Section E '!A$618:N1900,10,0)),"")</f>
        <v/>
      </c>
    </row>
    <row r="3777" spans="1:16" x14ac:dyDescent="0.35">
      <c r="A3777" s="497" t="b">
        <f t="shared" ca="1" si="227"/>
        <v>0</v>
      </c>
      <c r="B3777" s="497"/>
      <c r="C3777" s="510" t="str">
        <f ca="1">IF(COUNTA(D$2498:D3777)=1,"",OFFSET(B3775,-COUNTA(D$2498:D3777)+3,1))</f>
        <v>a163p000004NtVrAAK</v>
      </c>
      <c r="D3777" s="512"/>
      <c r="E3777" s="500" t="str">
        <f ca="1">IFERROR(IF(VLOOKUP(C3777,' Disaggregation - Section E '!A$618:N1901,7,0)="","",VLOOKUP(C3777,' Disaggregation - Section E '!A$618:N1901,7,0)*100),"")</f>
        <v/>
      </c>
      <c r="F3777" s="503" t="str">
        <f ca="1">IFERROR(VLOOKUP(C3777,' Disaggregation - Section E '!A$618:N1901,5,0),"")</f>
        <v/>
      </c>
      <c r="G3777" s="502" t="str">
        <f ca="1">IFERROR(IF(VLOOKUP(C3777,' Disaggregation - Section E '!A$618:N1901,6,0)="","",VLOOKUP(C3777,' Disaggregation - Section E '!A$618:N1901,6,0)),"")</f>
        <v/>
      </c>
      <c r="H3777" s="512" t="str">
        <f ca="1">IFERROR(IF(INDEX(' Disaggregation - Section E '!F$618:F3098,MATCH(C3777,' Disaggregation - Section E '!A$618:A3098,0)+1,1)&lt;&gt;0,INDEX(' Disaggregation - Section E '!F$618:F$1820,MATCH(C3777,' Disaggregation - Section E '!A$618:A3098,0)+1,1),""),"")</f>
        <v/>
      </c>
      <c r="I3777" s="503" t="str">
        <f ca="1">IFERROR(IF(VLOOKUP(C3777,' Disaggregation - Section E '!A$618:N1901,8,0)=0,"",VLOOKUP(C3777,' Disaggregation - Section E '!A$618:N1901,8,0)),"")</f>
        <v/>
      </c>
      <c r="J3777" s="503" t="str">
        <f ca="1">IFERROR(IF(VLOOKUP(C3777,' Disaggregation - Section E '!A$618:N3098,13,0)=0,"",VLOOKUP(C3777,' Disaggregation - Section E '!A$618:N3098,13,0)),"")</f>
        <v/>
      </c>
      <c r="K3777" s="497" t="str">
        <f ca="1">IFERROR(VLOOKUP(C3777,' Disaggregation - Section E '!A$618:N1901,3,0),"")</f>
        <v>MDR TB-3⁽ᴹ⁾ Número de casos de tuberculosis resistente a la rifampicina y/o multirresistente que empezaron a recibir tratamiento de segunda línea.</v>
      </c>
      <c r="L3777" s="497"/>
      <c r="M3777" s="497" t="str">
        <f ca="1">IFERROR(IF(VLOOKUP(C3777,' Disaggregation - Section E '!A$618:T1901,20,0)=0,"",VLOOKUP(C3777,' Disaggregation - Section E '!A$618:T1901,20,0)),"")</f>
        <v/>
      </c>
      <c r="N3777" s="503" t="str">
        <f ca="1">IFERROR(IF(VLOOKUP(C3777,' Disaggregation - Section E '!A$618:N1901,14,0)=0,"",VLOOKUP(C3777,' Disaggregation - Section E '!A$618:N1901,14,0)),"")</f>
        <v/>
      </c>
      <c r="O3777" s="503" t="str">
        <f ca="1">IFERROR(IF(VLOOKUP(C3777,' Disaggregation - Section E '!A$618:N1901,9,0)=0,"",VLOOKUP(C3777,' Disaggregation - Section E '!A$618:N1901,9,0)),"")</f>
        <v/>
      </c>
      <c r="P3777" s="503" t="str">
        <f ca="1">IFERROR(IF(VLOOKUP(C3777,' Disaggregation - Section E '!A$618:N1901,10,0)=0,"",VLOOKUP(C3777,' Disaggregation - Section E '!A$618:N1901,10,0)),"")</f>
        <v/>
      </c>
    </row>
    <row r="3778" spans="1:16" x14ac:dyDescent="0.35">
      <c r="A3778" s="497" t="b">
        <f t="shared" ca="1" si="227"/>
        <v>0</v>
      </c>
      <c r="B3778" s="497"/>
      <c r="C3778" s="510" t="str">
        <f ca="1">IF(COUNTA(D$2498:D3778)=1,"",OFFSET(B3776,-COUNTA(D$2498:D3778)+3,1))</f>
        <v>a163p000004NtVsAAK</v>
      </c>
      <c r="D3778" s="512"/>
      <c r="E3778" s="500" t="str">
        <f ca="1">IFERROR(IF(VLOOKUP(C3778,' Disaggregation - Section E '!A$618:N1902,7,0)="","",VLOOKUP(C3778,' Disaggregation - Section E '!A$618:N1902,7,0)*100),"")</f>
        <v/>
      </c>
      <c r="F3778" s="503" t="str">
        <f ca="1">IFERROR(VLOOKUP(C3778,' Disaggregation - Section E '!A$618:N1902,5,0),"")</f>
        <v/>
      </c>
      <c r="G3778" s="502" t="str">
        <f ca="1">IFERROR(IF(VLOOKUP(C3778,' Disaggregation - Section E '!A$618:N1902,6,0)="","",VLOOKUP(C3778,' Disaggregation - Section E '!A$618:N1902,6,0)),"")</f>
        <v/>
      </c>
      <c r="H3778" s="512" t="str">
        <f ca="1">IFERROR(IF(INDEX(' Disaggregation - Section E '!F$618:F3099,MATCH(C3778,' Disaggregation - Section E '!A$618:A3099,0)+1,1)&lt;&gt;0,INDEX(' Disaggregation - Section E '!F$618:F$1820,MATCH(C3778,' Disaggregation - Section E '!A$618:A3099,0)+1,1),""),"")</f>
        <v/>
      </c>
      <c r="I3778" s="503" t="str">
        <f ca="1">IFERROR(IF(VLOOKUP(C3778,' Disaggregation - Section E '!A$618:N1902,8,0)=0,"",VLOOKUP(C3778,' Disaggregation - Section E '!A$618:N1902,8,0)),"")</f>
        <v/>
      </c>
      <c r="J3778" s="503" t="str">
        <f ca="1">IFERROR(IF(VLOOKUP(C3778,' Disaggregation - Section E '!A$618:N3099,13,0)=0,"",VLOOKUP(C3778,' Disaggregation - Section E '!A$618:N3099,13,0)),"")</f>
        <v/>
      </c>
      <c r="K3778" s="497" t="str">
        <f ca="1">IFERROR(VLOOKUP(C3778,' Disaggregation - Section E '!A$618:N1902,3,0),"")</f>
        <v>MDR TB-3⁽ᴹ⁾ Número de casos de tuberculosis resistente a la rifampicina y/o multirresistente que empezaron a recibir tratamiento de segunda línea.</v>
      </c>
      <c r="L3778" s="497"/>
      <c r="M3778" s="497" t="str">
        <f ca="1">IFERROR(IF(VLOOKUP(C3778,' Disaggregation - Section E '!A$618:T1902,20,0)=0,"",VLOOKUP(C3778,' Disaggregation - Section E '!A$618:T1902,20,0)),"")</f>
        <v/>
      </c>
      <c r="N3778" s="503" t="str">
        <f ca="1">IFERROR(IF(VLOOKUP(C3778,' Disaggregation - Section E '!A$618:N1902,14,0)=0,"",VLOOKUP(C3778,' Disaggregation - Section E '!A$618:N1902,14,0)),"")</f>
        <v/>
      </c>
      <c r="O3778" s="503" t="str">
        <f ca="1">IFERROR(IF(VLOOKUP(C3778,' Disaggregation - Section E '!A$618:N1902,9,0)=0,"",VLOOKUP(C3778,' Disaggregation - Section E '!A$618:N1902,9,0)),"")</f>
        <v/>
      </c>
      <c r="P3778" s="503" t="str">
        <f ca="1">IFERROR(IF(VLOOKUP(C3778,' Disaggregation - Section E '!A$618:N1902,10,0)=0,"",VLOOKUP(C3778,' Disaggregation - Section E '!A$618:N1902,10,0)),"")</f>
        <v/>
      </c>
    </row>
    <row r="3779" spans="1:16" x14ac:dyDescent="0.35">
      <c r="A3779" s="497" t="b">
        <f t="shared" ca="1" si="227"/>
        <v>0</v>
      </c>
      <c r="B3779" s="497"/>
      <c r="C3779" s="510" t="str">
        <f ca="1">IF(COUNTA(D$2498:D3779)=1,"",OFFSET(B3777,-COUNTA(D$2498:D3779)+3,1))</f>
        <v>a163p000004NtVtAAK</v>
      </c>
      <c r="D3779" s="512"/>
      <c r="E3779" s="500" t="str">
        <f ca="1">IFERROR(IF(VLOOKUP(C3779,' Disaggregation - Section E '!A$618:N1903,7,0)="","",VLOOKUP(C3779,' Disaggregation - Section E '!A$618:N1903,7,0)*100),"")</f>
        <v/>
      </c>
      <c r="F3779" s="503" t="str">
        <f ca="1">IFERROR(VLOOKUP(C3779,' Disaggregation - Section E '!A$618:N1903,5,0),"")</f>
        <v/>
      </c>
      <c r="G3779" s="502" t="str">
        <f ca="1">IFERROR(IF(VLOOKUP(C3779,' Disaggregation - Section E '!A$618:N1903,6,0)="","",VLOOKUP(C3779,' Disaggregation - Section E '!A$618:N1903,6,0)),"")</f>
        <v/>
      </c>
      <c r="H3779" s="512" t="str">
        <f ca="1">IFERROR(IF(INDEX(' Disaggregation - Section E '!F$618:F3100,MATCH(C3779,' Disaggregation - Section E '!A$618:A3100,0)+1,1)&lt;&gt;0,INDEX(' Disaggregation - Section E '!F$618:F$1820,MATCH(C3779,' Disaggregation - Section E '!A$618:A3100,0)+1,1),""),"")</f>
        <v/>
      </c>
      <c r="I3779" s="503" t="str">
        <f ca="1">IFERROR(IF(VLOOKUP(C3779,' Disaggregation - Section E '!A$618:N1903,8,0)=0,"",VLOOKUP(C3779,' Disaggregation - Section E '!A$618:N1903,8,0)),"")</f>
        <v/>
      </c>
      <c r="J3779" s="503" t="str">
        <f ca="1">IFERROR(IF(VLOOKUP(C3779,' Disaggregation - Section E '!A$618:N3100,13,0)=0,"",VLOOKUP(C3779,' Disaggregation - Section E '!A$618:N3100,13,0)),"")</f>
        <v/>
      </c>
      <c r="K3779" s="497" t="str">
        <f ca="1">IFERROR(VLOOKUP(C3779,' Disaggregation - Section E '!A$618:N1903,3,0),"")</f>
        <v>MDR TB-3⁽ᴹ⁾ Número de casos de tuberculosis resistente a la rifampicina y/o multirresistente que empezaron a recibir tratamiento de segunda línea.</v>
      </c>
      <c r="L3779" s="497"/>
      <c r="M3779" s="497" t="str">
        <f ca="1">IFERROR(IF(VLOOKUP(C3779,' Disaggregation - Section E '!A$618:T1903,20,0)=0,"",VLOOKUP(C3779,' Disaggregation - Section E '!A$618:T1903,20,0)),"")</f>
        <v/>
      </c>
      <c r="N3779" s="503" t="str">
        <f ca="1">IFERROR(IF(VLOOKUP(C3779,' Disaggregation - Section E '!A$618:N1903,14,0)=0,"",VLOOKUP(C3779,' Disaggregation - Section E '!A$618:N1903,14,0)),"")</f>
        <v/>
      </c>
      <c r="O3779" s="503" t="str">
        <f ca="1">IFERROR(IF(VLOOKUP(C3779,' Disaggregation - Section E '!A$618:N1903,9,0)=0,"",VLOOKUP(C3779,' Disaggregation - Section E '!A$618:N1903,9,0)),"")</f>
        <v/>
      </c>
      <c r="P3779" s="503" t="str">
        <f ca="1">IFERROR(IF(VLOOKUP(C3779,' Disaggregation - Section E '!A$618:N1903,10,0)=0,"",VLOOKUP(C3779,' Disaggregation - Section E '!A$618:N1903,10,0)),"")</f>
        <v/>
      </c>
    </row>
    <row r="3780" spans="1:16" x14ac:dyDescent="0.35">
      <c r="A3780" s="497" t="b">
        <f t="shared" ca="1" si="227"/>
        <v>0</v>
      </c>
      <c r="B3780" s="497"/>
      <c r="C3780" s="510" t="str">
        <f ca="1">IF(COUNTA(D$2498:D3780)=1,"",OFFSET(B3778,-COUNTA(D$2498:D3780)+3,1))</f>
        <v>a163p000004NtMEAA0</v>
      </c>
      <c r="D3780" s="512"/>
      <c r="E3780" s="500" t="str">
        <f ca="1">IFERROR(IF(VLOOKUP(C3780,' Disaggregation - Section E '!A$618:N1904,7,0)="","",VLOOKUP(C3780,' Disaggregation - Section E '!A$618:N1904,7,0)*100),"")</f>
        <v/>
      </c>
      <c r="F3780" s="503" t="str">
        <f ca="1">IFERROR(VLOOKUP(C3780,' Disaggregation - Section E '!A$618:N1904,5,0),"")</f>
        <v/>
      </c>
      <c r="G3780" s="502" t="str">
        <f ca="1">IFERROR(IF(VLOOKUP(C3780,' Disaggregation - Section E '!A$618:N1904,6,0)="","",VLOOKUP(C3780,' Disaggregation - Section E '!A$618:N1904,6,0)),"")</f>
        <v/>
      </c>
      <c r="H3780" s="512" t="str">
        <f ca="1">IFERROR(IF(INDEX(' Disaggregation - Section E '!F$618:F3101,MATCH(C3780,' Disaggregation - Section E '!A$618:A3101,0)+1,1)&lt;&gt;0,INDEX(' Disaggregation - Section E '!F$618:F$1820,MATCH(C3780,' Disaggregation - Section E '!A$618:A3101,0)+1,1),""),"")</f>
        <v/>
      </c>
      <c r="I3780" s="503" t="str">
        <f ca="1">IFERROR(IF(VLOOKUP(C3780,' Disaggregation - Section E '!A$618:N1904,8,0)=0,"",VLOOKUP(C3780,' Disaggregation - Section E '!A$618:N1904,8,0)),"")</f>
        <v/>
      </c>
      <c r="J3780" s="503" t="str">
        <f ca="1">IFERROR(IF(VLOOKUP(C3780,' Disaggregation - Section E '!A$618:N3101,13,0)=0,"",VLOOKUP(C3780,' Disaggregation - Section E '!A$618:N3101,13,0)),"")</f>
        <v/>
      </c>
      <c r="K3780" s="497" t="str">
        <f ca="1">IFERROR(VLOOKUP(C3780,' Disaggregation - Section E '!A$618:N1904,3,0),"")</f>
        <v>HTS-Other 3 Porcentaje de resultados de VIH positivos entre el total de pruebas de VIH realizadas en trabajadoras sexuales</v>
      </c>
      <c r="L3780" s="497"/>
      <c r="M3780" s="497" t="str">
        <f ca="1">IFERROR(IF(VLOOKUP(C3780,' Disaggregation - Section E '!A$618:T1904,20,0)=0,"",VLOOKUP(C3780,' Disaggregation - Section E '!A$618:T1904,20,0)),"")</f>
        <v/>
      </c>
      <c r="N3780" s="503" t="str">
        <f ca="1">IFERROR(IF(VLOOKUP(C3780,' Disaggregation - Section E '!A$618:N1904,14,0)=0,"",VLOOKUP(C3780,' Disaggregation - Section E '!A$618:N1904,14,0)),"")</f>
        <v/>
      </c>
      <c r="O3780" s="503" t="str">
        <f ca="1">IFERROR(IF(VLOOKUP(C3780,' Disaggregation - Section E '!A$618:N1904,9,0)=0,"",VLOOKUP(C3780,' Disaggregation - Section E '!A$618:N1904,9,0)),"")</f>
        <v/>
      </c>
      <c r="P3780" s="503" t="str">
        <f ca="1">IFERROR(IF(VLOOKUP(C3780,' Disaggregation - Section E '!A$618:N1904,10,0)=0,"",VLOOKUP(C3780,' Disaggregation - Section E '!A$618:N1904,10,0)),"")</f>
        <v/>
      </c>
    </row>
    <row r="3781" spans="1:16" x14ac:dyDescent="0.35">
      <c r="A3781" s="497" t="b">
        <f t="shared" ca="1" si="227"/>
        <v>0</v>
      </c>
      <c r="B3781" s="497"/>
      <c r="C3781" s="510" t="str">
        <f ca="1">IF(COUNTA(D$2498:D3781)=1,"",OFFSET(B3779,-COUNTA(D$2498:D3781)+3,1))</f>
        <v>a163p000004NtMFAA0</v>
      </c>
      <c r="D3781" s="512"/>
      <c r="E3781" s="500" t="str">
        <f ca="1">IFERROR(IF(VLOOKUP(C3781,' Disaggregation - Section E '!A$618:N1905,7,0)="","",VLOOKUP(C3781,' Disaggregation - Section E '!A$618:N1905,7,0)*100),"")</f>
        <v/>
      </c>
      <c r="F3781" s="503" t="str">
        <f ca="1">IFERROR(VLOOKUP(C3781,' Disaggregation - Section E '!A$618:N1905,5,0),"")</f>
        <v/>
      </c>
      <c r="G3781" s="502" t="str">
        <f ca="1">IFERROR(IF(VLOOKUP(C3781,' Disaggregation - Section E '!A$618:N1905,6,0)="","",VLOOKUP(C3781,' Disaggregation - Section E '!A$618:N1905,6,0)),"")</f>
        <v/>
      </c>
      <c r="H3781" s="512" t="str">
        <f ca="1">IFERROR(IF(INDEX(' Disaggregation - Section E '!F$618:F3102,MATCH(C3781,' Disaggregation - Section E '!A$618:A3102,0)+1,1)&lt;&gt;0,INDEX(' Disaggregation - Section E '!F$618:F$1820,MATCH(C3781,' Disaggregation - Section E '!A$618:A3102,0)+1,1),""),"")</f>
        <v/>
      </c>
      <c r="I3781" s="503" t="str">
        <f ca="1">IFERROR(IF(VLOOKUP(C3781,' Disaggregation - Section E '!A$618:N1905,8,0)=0,"",VLOOKUP(C3781,' Disaggregation - Section E '!A$618:N1905,8,0)),"")</f>
        <v/>
      </c>
      <c r="J3781" s="503" t="str">
        <f ca="1">IFERROR(IF(VLOOKUP(C3781,' Disaggregation - Section E '!A$618:N3102,13,0)=0,"",VLOOKUP(C3781,' Disaggregation - Section E '!A$618:N3102,13,0)),"")</f>
        <v/>
      </c>
      <c r="K3781" s="497" t="str">
        <f ca="1">IFERROR(VLOOKUP(C3781,' Disaggregation - Section E '!A$618:N1905,3,0),"")</f>
        <v>HTS-Other 3 Porcentaje de resultados de VIH positivos entre el total de pruebas de VIH realizadas en trabajadoras sexuales</v>
      </c>
      <c r="L3781" s="497"/>
      <c r="M3781" s="497" t="str">
        <f ca="1">IFERROR(IF(VLOOKUP(C3781,' Disaggregation - Section E '!A$618:T1905,20,0)=0,"",VLOOKUP(C3781,' Disaggregation - Section E '!A$618:T1905,20,0)),"")</f>
        <v/>
      </c>
      <c r="N3781" s="503" t="str">
        <f ca="1">IFERROR(IF(VLOOKUP(C3781,' Disaggregation - Section E '!A$618:N1905,14,0)=0,"",VLOOKUP(C3781,' Disaggregation - Section E '!A$618:N1905,14,0)),"")</f>
        <v/>
      </c>
      <c r="O3781" s="503" t="str">
        <f ca="1">IFERROR(IF(VLOOKUP(C3781,' Disaggregation - Section E '!A$618:N1905,9,0)=0,"",VLOOKUP(C3781,' Disaggregation - Section E '!A$618:N1905,9,0)),"")</f>
        <v/>
      </c>
      <c r="P3781" s="503" t="str">
        <f ca="1">IFERROR(IF(VLOOKUP(C3781,' Disaggregation - Section E '!A$618:N1905,10,0)=0,"",VLOOKUP(C3781,' Disaggregation - Section E '!A$618:N1905,10,0)),"")</f>
        <v/>
      </c>
    </row>
    <row r="3782" spans="1:16" x14ac:dyDescent="0.35">
      <c r="A3782" s="497" t="b">
        <f t="shared" ca="1" si="227"/>
        <v>0</v>
      </c>
      <c r="B3782" s="497"/>
      <c r="C3782" s="510" t="str">
        <f ca="1">IF(COUNTA(D$2498:D3782)=1,"",OFFSET(B3780,-COUNTA(D$2498:D3782)+3,1))</f>
        <v>a163p000004NtMGAA0</v>
      </c>
      <c r="D3782" s="512"/>
      <c r="E3782" s="500" t="str">
        <f ca="1">IFERROR(IF(VLOOKUP(C3782,' Disaggregation - Section E '!A$618:N1906,7,0)="","",VLOOKUP(C3782,' Disaggregation - Section E '!A$618:N1906,7,0)*100),"")</f>
        <v/>
      </c>
      <c r="F3782" s="503" t="str">
        <f ca="1">IFERROR(VLOOKUP(C3782,' Disaggregation - Section E '!A$618:N1906,5,0),"")</f>
        <v/>
      </c>
      <c r="G3782" s="502" t="str">
        <f ca="1">IFERROR(IF(VLOOKUP(C3782,' Disaggregation - Section E '!A$618:N1906,6,0)="","",VLOOKUP(C3782,' Disaggregation - Section E '!A$618:N1906,6,0)),"")</f>
        <v/>
      </c>
      <c r="H3782" s="512" t="str">
        <f ca="1">IFERROR(IF(INDEX(' Disaggregation - Section E '!F$618:F3103,MATCH(C3782,' Disaggregation - Section E '!A$618:A3103,0)+1,1)&lt;&gt;0,INDEX(' Disaggregation - Section E '!F$618:F$1820,MATCH(C3782,' Disaggregation - Section E '!A$618:A3103,0)+1,1),""),"")</f>
        <v/>
      </c>
      <c r="I3782" s="503" t="str">
        <f ca="1">IFERROR(IF(VLOOKUP(C3782,' Disaggregation - Section E '!A$618:N1906,8,0)=0,"",VLOOKUP(C3782,' Disaggregation - Section E '!A$618:N1906,8,0)),"")</f>
        <v/>
      </c>
      <c r="J3782" s="503" t="str">
        <f ca="1">IFERROR(IF(VLOOKUP(C3782,' Disaggregation - Section E '!A$618:N3103,13,0)=0,"",VLOOKUP(C3782,' Disaggregation - Section E '!A$618:N3103,13,0)),"")</f>
        <v/>
      </c>
      <c r="K3782" s="497" t="str">
        <f ca="1">IFERROR(VLOOKUP(C3782,' Disaggregation - Section E '!A$618:N1906,3,0),"")</f>
        <v>HTS-Other 3 Porcentaje de resultados de VIH positivos entre el total de pruebas de VIH realizadas en trabajadoras sexuales</v>
      </c>
      <c r="L3782" s="497"/>
      <c r="M3782" s="497" t="str">
        <f ca="1">IFERROR(IF(VLOOKUP(C3782,' Disaggregation - Section E '!A$618:T1906,20,0)=0,"",VLOOKUP(C3782,' Disaggregation - Section E '!A$618:T1906,20,0)),"")</f>
        <v/>
      </c>
      <c r="N3782" s="503" t="str">
        <f ca="1">IFERROR(IF(VLOOKUP(C3782,' Disaggregation - Section E '!A$618:N1906,14,0)=0,"",VLOOKUP(C3782,' Disaggregation - Section E '!A$618:N1906,14,0)),"")</f>
        <v/>
      </c>
      <c r="O3782" s="503" t="str">
        <f ca="1">IFERROR(IF(VLOOKUP(C3782,' Disaggregation - Section E '!A$618:N1906,9,0)=0,"",VLOOKUP(C3782,' Disaggregation - Section E '!A$618:N1906,9,0)),"")</f>
        <v/>
      </c>
      <c r="P3782" s="503" t="str">
        <f ca="1">IFERROR(IF(VLOOKUP(C3782,' Disaggregation - Section E '!A$618:N1906,10,0)=0,"",VLOOKUP(C3782,' Disaggregation - Section E '!A$618:N1906,10,0)),"")</f>
        <v/>
      </c>
    </row>
    <row r="3783" spans="1:16" x14ac:dyDescent="0.35">
      <c r="A3783" s="497" t="b">
        <f t="shared" ca="1" si="227"/>
        <v>0</v>
      </c>
      <c r="B3783" s="497"/>
      <c r="C3783" s="510" t="str">
        <f ca="1">IF(COUNTA(D$2498:D3783)=1,"",OFFSET(B3781,-COUNTA(D$2498:D3783)+3,1))</f>
        <v>a163p000004NtMHAA0</v>
      </c>
      <c r="D3783" s="512"/>
      <c r="E3783" s="500" t="str">
        <f ca="1">IFERROR(IF(VLOOKUP(C3783,' Disaggregation - Section E '!A$618:N1907,7,0)="","",VLOOKUP(C3783,' Disaggregation - Section E '!A$618:N1907,7,0)*100),"")</f>
        <v/>
      </c>
      <c r="F3783" s="503" t="str">
        <f ca="1">IFERROR(VLOOKUP(C3783,' Disaggregation - Section E '!A$618:N1907,5,0),"")</f>
        <v/>
      </c>
      <c r="G3783" s="502" t="str">
        <f ca="1">IFERROR(IF(VLOOKUP(C3783,' Disaggregation - Section E '!A$618:N1907,6,0)="","",VLOOKUP(C3783,' Disaggregation - Section E '!A$618:N1907,6,0)),"")</f>
        <v/>
      </c>
      <c r="H3783" s="512" t="str">
        <f ca="1">IFERROR(IF(INDEX(' Disaggregation - Section E '!F$618:F3104,MATCH(C3783,' Disaggregation - Section E '!A$618:A3104,0)+1,1)&lt;&gt;0,INDEX(' Disaggregation - Section E '!F$618:F$1820,MATCH(C3783,' Disaggregation - Section E '!A$618:A3104,0)+1,1),""),"")</f>
        <v/>
      </c>
      <c r="I3783" s="503" t="str">
        <f ca="1">IFERROR(IF(VLOOKUP(C3783,' Disaggregation - Section E '!A$618:N1907,8,0)=0,"",VLOOKUP(C3783,' Disaggregation - Section E '!A$618:N1907,8,0)),"")</f>
        <v/>
      </c>
      <c r="J3783" s="503" t="str">
        <f ca="1">IFERROR(IF(VLOOKUP(C3783,' Disaggregation - Section E '!A$618:N3104,13,0)=0,"",VLOOKUP(C3783,' Disaggregation - Section E '!A$618:N3104,13,0)),"")</f>
        <v/>
      </c>
      <c r="K3783" s="497" t="str">
        <f ca="1">IFERROR(VLOOKUP(C3783,' Disaggregation - Section E '!A$618:N1907,3,0),"")</f>
        <v>HTS-Other 3 Porcentaje de resultados de VIH positivos entre el total de pruebas de VIH realizadas en trabajadoras sexuales</v>
      </c>
      <c r="L3783" s="497"/>
      <c r="M3783" s="497" t="str">
        <f ca="1">IFERROR(IF(VLOOKUP(C3783,' Disaggregation - Section E '!A$618:T1907,20,0)=0,"",VLOOKUP(C3783,' Disaggregation - Section E '!A$618:T1907,20,0)),"")</f>
        <v/>
      </c>
      <c r="N3783" s="503" t="str">
        <f ca="1">IFERROR(IF(VLOOKUP(C3783,' Disaggregation - Section E '!A$618:N1907,14,0)=0,"",VLOOKUP(C3783,' Disaggregation - Section E '!A$618:N1907,14,0)),"")</f>
        <v/>
      </c>
      <c r="O3783" s="503" t="str">
        <f ca="1">IFERROR(IF(VLOOKUP(C3783,' Disaggregation - Section E '!A$618:N1907,9,0)=0,"",VLOOKUP(C3783,' Disaggregation - Section E '!A$618:N1907,9,0)),"")</f>
        <v/>
      </c>
      <c r="P3783" s="503" t="str">
        <f ca="1">IFERROR(IF(VLOOKUP(C3783,' Disaggregation - Section E '!A$618:N1907,10,0)=0,"",VLOOKUP(C3783,' Disaggregation - Section E '!A$618:N1907,10,0)),"")</f>
        <v/>
      </c>
    </row>
    <row r="3784" spans="1:16" x14ac:dyDescent="0.35">
      <c r="A3784" s="497" t="b">
        <f t="shared" ca="1" si="227"/>
        <v>0</v>
      </c>
      <c r="B3784" s="497"/>
      <c r="C3784" s="510" t="str">
        <f ca="1">IF(COUNTA(D$2498:D3784)=1,"",OFFSET(B3782,-COUNTA(D$2498:D3784)+3,1))</f>
        <v>a163p000004NtMIAA0</v>
      </c>
      <c r="D3784" s="512"/>
      <c r="E3784" s="500" t="str">
        <f ca="1">IFERROR(IF(VLOOKUP(C3784,' Disaggregation - Section E '!A$618:N1908,7,0)="","",VLOOKUP(C3784,' Disaggregation - Section E '!A$618:N1908,7,0)*100),"")</f>
        <v/>
      </c>
      <c r="F3784" s="503" t="str">
        <f ca="1">IFERROR(VLOOKUP(C3784,' Disaggregation - Section E '!A$618:N1908,5,0),"")</f>
        <v/>
      </c>
      <c r="G3784" s="502" t="str">
        <f ca="1">IFERROR(IF(VLOOKUP(C3784,' Disaggregation - Section E '!A$618:N1908,6,0)="","",VLOOKUP(C3784,' Disaggregation - Section E '!A$618:N1908,6,0)),"")</f>
        <v/>
      </c>
      <c r="H3784" s="512" t="str">
        <f ca="1">IFERROR(IF(INDEX(' Disaggregation - Section E '!F$618:F3105,MATCH(C3784,' Disaggregation - Section E '!A$618:A3105,0)+1,1)&lt;&gt;0,INDEX(' Disaggregation - Section E '!F$618:F$1820,MATCH(C3784,' Disaggregation - Section E '!A$618:A3105,0)+1,1),""),"")</f>
        <v/>
      </c>
      <c r="I3784" s="503" t="str">
        <f ca="1">IFERROR(IF(VLOOKUP(C3784,' Disaggregation - Section E '!A$618:N1908,8,0)=0,"",VLOOKUP(C3784,' Disaggregation - Section E '!A$618:N1908,8,0)),"")</f>
        <v/>
      </c>
      <c r="J3784" s="503" t="str">
        <f ca="1">IFERROR(IF(VLOOKUP(C3784,' Disaggregation - Section E '!A$618:N3105,13,0)=0,"",VLOOKUP(C3784,' Disaggregation - Section E '!A$618:N3105,13,0)),"")</f>
        <v/>
      </c>
      <c r="K3784" s="497" t="str">
        <f ca="1">IFERROR(VLOOKUP(C3784,' Disaggregation - Section E '!A$618:N1908,3,0),"")</f>
        <v>HTS-Other 3 Porcentaje de resultados de VIH positivos entre el total de pruebas de VIH realizadas en trabajadoras sexuales</v>
      </c>
      <c r="L3784" s="497"/>
      <c r="M3784" s="497" t="str">
        <f ca="1">IFERROR(IF(VLOOKUP(C3784,' Disaggregation - Section E '!A$618:T1908,20,0)=0,"",VLOOKUP(C3784,' Disaggregation - Section E '!A$618:T1908,20,0)),"")</f>
        <v/>
      </c>
      <c r="N3784" s="503" t="str">
        <f ca="1">IFERROR(IF(VLOOKUP(C3784,' Disaggregation - Section E '!A$618:N1908,14,0)=0,"",VLOOKUP(C3784,' Disaggregation - Section E '!A$618:N1908,14,0)),"")</f>
        <v/>
      </c>
      <c r="O3784" s="503" t="str">
        <f ca="1">IFERROR(IF(VLOOKUP(C3784,' Disaggregation - Section E '!A$618:N1908,9,0)=0,"",VLOOKUP(C3784,' Disaggregation - Section E '!A$618:N1908,9,0)),"")</f>
        <v/>
      </c>
      <c r="P3784" s="503" t="str">
        <f ca="1">IFERROR(IF(VLOOKUP(C3784,' Disaggregation - Section E '!A$618:N1908,10,0)=0,"",VLOOKUP(C3784,' Disaggregation - Section E '!A$618:N1908,10,0)),"")</f>
        <v/>
      </c>
    </row>
    <row r="3785" spans="1:16" x14ac:dyDescent="0.35">
      <c r="A3785" s="497" t="b">
        <f t="shared" ca="1" si="227"/>
        <v>0</v>
      </c>
      <c r="B3785" s="497"/>
      <c r="C3785" s="510" t="str">
        <f ca="1">IF(COUNTA(D$2498:D3785)=1,"",OFFSET(B3783,-COUNTA(D$2498:D3785)+3,1))</f>
        <v>a163p000004NtMJAA0</v>
      </c>
      <c r="D3785" s="512"/>
      <c r="E3785" s="500" t="str">
        <f ca="1">IFERROR(IF(VLOOKUP(C3785,' Disaggregation - Section E '!A$618:N1909,7,0)="","",VLOOKUP(C3785,' Disaggregation - Section E '!A$618:N1909,7,0)*100),"")</f>
        <v/>
      </c>
      <c r="F3785" s="503" t="str">
        <f ca="1">IFERROR(VLOOKUP(C3785,' Disaggregation - Section E '!A$618:N1909,5,0),"")</f>
        <v/>
      </c>
      <c r="G3785" s="502" t="str">
        <f ca="1">IFERROR(IF(VLOOKUP(C3785,' Disaggregation - Section E '!A$618:N1909,6,0)="","",VLOOKUP(C3785,' Disaggregation - Section E '!A$618:N1909,6,0)),"")</f>
        <v/>
      </c>
      <c r="H3785" s="512" t="str">
        <f ca="1">IFERROR(IF(INDEX(' Disaggregation - Section E '!F$618:F3106,MATCH(C3785,' Disaggregation - Section E '!A$618:A3106,0)+1,1)&lt;&gt;0,INDEX(' Disaggregation - Section E '!F$618:F$1820,MATCH(C3785,' Disaggregation - Section E '!A$618:A3106,0)+1,1),""),"")</f>
        <v/>
      </c>
      <c r="I3785" s="503" t="str">
        <f ca="1">IFERROR(IF(VLOOKUP(C3785,' Disaggregation - Section E '!A$618:N1909,8,0)=0,"",VLOOKUP(C3785,' Disaggregation - Section E '!A$618:N1909,8,0)),"")</f>
        <v/>
      </c>
      <c r="J3785" s="503" t="str">
        <f ca="1">IFERROR(IF(VLOOKUP(C3785,' Disaggregation - Section E '!A$618:N3106,13,0)=0,"",VLOOKUP(C3785,' Disaggregation - Section E '!A$618:N3106,13,0)),"")</f>
        <v/>
      </c>
      <c r="K3785" s="497" t="str">
        <f ca="1">IFERROR(VLOOKUP(C3785,' Disaggregation - Section E '!A$618:N1909,3,0),"")</f>
        <v>HTS-Other 3 Porcentaje de resultados de VIH positivos entre el total de pruebas de VIH realizadas en trabajadoras sexuales</v>
      </c>
      <c r="L3785" s="497"/>
      <c r="M3785" s="497" t="str">
        <f ca="1">IFERROR(IF(VLOOKUP(C3785,' Disaggregation - Section E '!A$618:T1909,20,0)=0,"",VLOOKUP(C3785,' Disaggregation - Section E '!A$618:T1909,20,0)),"")</f>
        <v/>
      </c>
      <c r="N3785" s="503" t="str">
        <f ca="1">IFERROR(IF(VLOOKUP(C3785,' Disaggregation - Section E '!A$618:N1909,14,0)=0,"",VLOOKUP(C3785,' Disaggregation - Section E '!A$618:N1909,14,0)),"")</f>
        <v/>
      </c>
      <c r="O3785" s="503" t="str">
        <f ca="1">IFERROR(IF(VLOOKUP(C3785,' Disaggregation - Section E '!A$618:N1909,9,0)=0,"",VLOOKUP(C3785,' Disaggregation - Section E '!A$618:N1909,9,0)),"")</f>
        <v/>
      </c>
      <c r="P3785" s="503" t="str">
        <f ca="1">IFERROR(IF(VLOOKUP(C3785,' Disaggregation - Section E '!A$618:N1909,10,0)=0,"",VLOOKUP(C3785,' Disaggregation - Section E '!A$618:N1909,10,0)),"")</f>
        <v/>
      </c>
    </row>
    <row r="3786" spans="1:16" x14ac:dyDescent="0.35">
      <c r="A3786" s="497" t="b">
        <f t="shared" ca="1" si="227"/>
        <v>0</v>
      </c>
      <c r="B3786" s="497"/>
      <c r="C3786" s="510" t="str">
        <f ca="1">IF(COUNTA(D$2498:D3786)=1,"",OFFSET(B3784,-COUNTA(D$2498:D3786)+3,1))</f>
        <v>a163p000004NtMKAA0</v>
      </c>
      <c r="D3786" s="512"/>
      <c r="E3786" s="500" t="str">
        <f ca="1">IFERROR(IF(VLOOKUP(C3786,' Disaggregation - Section E '!A$618:N1910,7,0)="","",VLOOKUP(C3786,' Disaggregation - Section E '!A$618:N1910,7,0)*100),"")</f>
        <v/>
      </c>
      <c r="F3786" s="503" t="str">
        <f ca="1">IFERROR(VLOOKUP(C3786,' Disaggregation - Section E '!A$618:N1910,5,0),"")</f>
        <v/>
      </c>
      <c r="G3786" s="502" t="str">
        <f ca="1">IFERROR(IF(VLOOKUP(C3786,' Disaggregation - Section E '!A$618:N1910,6,0)="","",VLOOKUP(C3786,' Disaggregation - Section E '!A$618:N1910,6,0)),"")</f>
        <v/>
      </c>
      <c r="H3786" s="512" t="str">
        <f ca="1">IFERROR(IF(INDEX(' Disaggregation - Section E '!F$618:F3107,MATCH(C3786,' Disaggregation - Section E '!A$618:A3107,0)+1,1)&lt;&gt;0,INDEX(' Disaggregation - Section E '!F$618:F$1820,MATCH(C3786,' Disaggregation - Section E '!A$618:A3107,0)+1,1),""),"")</f>
        <v/>
      </c>
      <c r="I3786" s="503" t="str">
        <f ca="1">IFERROR(IF(VLOOKUP(C3786,' Disaggregation - Section E '!A$618:N1910,8,0)=0,"",VLOOKUP(C3786,' Disaggregation - Section E '!A$618:N1910,8,0)),"")</f>
        <v/>
      </c>
      <c r="J3786" s="503" t="str">
        <f ca="1">IFERROR(IF(VLOOKUP(C3786,' Disaggregation - Section E '!A$618:N3107,13,0)=0,"",VLOOKUP(C3786,' Disaggregation - Section E '!A$618:N3107,13,0)),"")</f>
        <v/>
      </c>
      <c r="K3786" s="497" t="str">
        <f ca="1">IFERROR(VLOOKUP(C3786,' Disaggregation - Section E '!A$618:N1910,3,0),"")</f>
        <v>HTS-Other 3 Porcentaje de resultados de VIH positivos entre el total de pruebas de VIH realizadas en trabajadoras sexuales</v>
      </c>
      <c r="L3786" s="497"/>
      <c r="M3786" s="497" t="str">
        <f ca="1">IFERROR(IF(VLOOKUP(C3786,' Disaggregation - Section E '!A$618:T1910,20,0)=0,"",VLOOKUP(C3786,' Disaggregation - Section E '!A$618:T1910,20,0)),"")</f>
        <v/>
      </c>
      <c r="N3786" s="503" t="str">
        <f ca="1">IFERROR(IF(VLOOKUP(C3786,' Disaggregation - Section E '!A$618:N1910,14,0)=0,"",VLOOKUP(C3786,' Disaggregation - Section E '!A$618:N1910,14,0)),"")</f>
        <v/>
      </c>
      <c r="O3786" s="503" t="str">
        <f ca="1">IFERROR(IF(VLOOKUP(C3786,' Disaggregation - Section E '!A$618:N1910,9,0)=0,"",VLOOKUP(C3786,' Disaggregation - Section E '!A$618:N1910,9,0)),"")</f>
        <v/>
      </c>
      <c r="P3786" s="503" t="str">
        <f ca="1">IFERROR(IF(VLOOKUP(C3786,' Disaggregation - Section E '!A$618:N1910,10,0)=0,"",VLOOKUP(C3786,' Disaggregation - Section E '!A$618:N1910,10,0)),"")</f>
        <v/>
      </c>
    </row>
    <row r="3787" spans="1:16" x14ac:dyDescent="0.35">
      <c r="A3787" s="497" t="b">
        <f t="shared" ca="1" si="227"/>
        <v>0</v>
      </c>
      <c r="B3787" s="497"/>
      <c r="C3787" s="510" t="str">
        <f ca="1">IF(COUNTA(D$2498:D3787)=1,"",OFFSET(B3785,-COUNTA(D$2498:D3787)+3,1))</f>
        <v>a163p000004NtMLAA0</v>
      </c>
      <c r="D3787" s="512"/>
      <c r="E3787" s="500" t="str">
        <f ca="1">IFERROR(IF(VLOOKUP(C3787,' Disaggregation - Section E '!A$618:N1911,7,0)="","",VLOOKUP(C3787,' Disaggregation - Section E '!A$618:N1911,7,0)*100),"")</f>
        <v/>
      </c>
      <c r="F3787" s="503" t="str">
        <f ca="1">IFERROR(VLOOKUP(C3787,' Disaggregation - Section E '!A$618:N1911,5,0),"")</f>
        <v/>
      </c>
      <c r="G3787" s="502" t="str">
        <f ca="1">IFERROR(IF(VLOOKUP(C3787,' Disaggregation - Section E '!A$618:N1911,6,0)="","",VLOOKUP(C3787,' Disaggregation - Section E '!A$618:N1911,6,0)),"")</f>
        <v/>
      </c>
      <c r="H3787" s="512" t="str">
        <f ca="1">IFERROR(IF(INDEX(' Disaggregation - Section E '!F$618:F3108,MATCH(C3787,' Disaggregation - Section E '!A$618:A3108,0)+1,1)&lt;&gt;0,INDEX(' Disaggregation - Section E '!F$618:F$1820,MATCH(C3787,' Disaggregation - Section E '!A$618:A3108,0)+1,1),""),"")</f>
        <v/>
      </c>
      <c r="I3787" s="503" t="str">
        <f ca="1">IFERROR(IF(VLOOKUP(C3787,' Disaggregation - Section E '!A$618:N1911,8,0)=0,"",VLOOKUP(C3787,' Disaggregation - Section E '!A$618:N1911,8,0)),"")</f>
        <v/>
      </c>
      <c r="J3787" s="503" t="str">
        <f ca="1">IFERROR(IF(VLOOKUP(C3787,' Disaggregation - Section E '!A$618:N3108,13,0)=0,"",VLOOKUP(C3787,' Disaggregation - Section E '!A$618:N3108,13,0)),"")</f>
        <v/>
      </c>
      <c r="K3787" s="497" t="str">
        <f ca="1">IFERROR(VLOOKUP(C3787,' Disaggregation - Section E '!A$618:N1911,3,0),"")</f>
        <v>HTS-Other 3 Porcentaje de resultados de VIH positivos entre el total de pruebas de VIH realizadas en trabajadoras sexuales</v>
      </c>
      <c r="L3787" s="497"/>
      <c r="M3787" s="497" t="str">
        <f ca="1">IFERROR(IF(VLOOKUP(C3787,' Disaggregation - Section E '!A$618:T1911,20,0)=0,"",VLOOKUP(C3787,' Disaggregation - Section E '!A$618:T1911,20,0)),"")</f>
        <v/>
      </c>
      <c r="N3787" s="503" t="str">
        <f ca="1">IFERROR(IF(VLOOKUP(C3787,' Disaggregation - Section E '!A$618:N1911,14,0)=0,"",VLOOKUP(C3787,' Disaggregation - Section E '!A$618:N1911,14,0)),"")</f>
        <v/>
      </c>
      <c r="O3787" s="503" t="str">
        <f ca="1">IFERROR(IF(VLOOKUP(C3787,' Disaggregation - Section E '!A$618:N1911,9,0)=0,"",VLOOKUP(C3787,' Disaggregation - Section E '!A$618:N1911,9,0)),"")</f>
        <v/>
      </c>
      <c r="P3787" s="503" t="str">
        <f ca="1">IFERROR(IF(VLOOKUP(C3787,' Disaggregation - Section E '!A$618:N1911,10,0)=0,"",VLOOKUP(C3787,' Disaggregation - Section E '!A$618:N1911,10,0)),"")</f>
        <v/>
      </c>
    </row>
    <row r="3788" spans="1:16" x14ac:dyDescent="0.35">
      <c r="A3788" s="497" t="b">
        <f t="shared" ca="1" si="227"/>
        <v>0</v>
      </c>
      <c r="B3788" s="497"/>
      <c r="C3788" s="510" t="str">
        <f ca="1">IF(COUNTA(D$2498:D3788)=1,"",OFFSET(B3786,-COUNTA(D$2498:D3788)+3,1))</f>
        <v>a163p000004NtMMAA0</v>
      </c>
      <c r="D3788" s="512"/>
      <c r="E3788" s="500" t="str">
        <f ca="1">IFERROR(IF(VLOOKUP(C3788,' Disaggregation - Section E '!A$618:N1912,7,0)="","",VLOOKUP(C3788,' Disaggregation - Section E '!A$618:N1912,7,0)*100),"")</f>
        <v/>
      </c>
      <c r="F3788" s="503" t="str">
        <f ca="1">IFERROR(VLOOKUP(C3788,' Disaggregation - Section E '!A$618:N1912,5,0),"")</f>
        <v/>
      </c>
      <c r="G3788" s="502" t="str">
        <f ca="1">IFERROR(IF(VLOOKUP(C3788,' Disaggregation - Section E '!A$618:N1912,6,0)="","",VLOOKUP(C3788,' Disaggregation - Section E '!A$618:N1912,6,0)),"")</f>
        <v/>
      </c>
      <c r="H3788" s="512" t="str">
        <f ca="1">IFERROR(IF(INDEX(' Disaggregation - Section E '!F$618:F3109,MATCH(C3788,' Disaggregation - Section E '!A$618:A3109,0)+1,1)&lt;&gt;0,INDEX(' Disaggregation - Section E '!F$618:F$1820,MATCH(C3788,' Disaggregation - Section E '!A$618:A3109,0)+1,1),""),"")</f>
        <v/>
      </c>
      <c r="I3788" s="503" t="str">
        <f ca="1">IFERROR(IF(VLOOKUP(C3788,' Disaggregation - Section E '!A$618:N1912,8,0)=0,"",VLOOKUP(C3788,' Disaggregation - Section E '!A$618:N1912,8,0)),"")</f>
        <v/>
      </c>
      <c r="J3788" s="503" t="str">
        <f ca="1">IFERROR(IF(VLOOKUP(C3788,' Disaggregation - Section E '!A$618:N3109,13,0)=0,"",VLOOKUP(C3788,' Disaggregation - Section E '!A$618:N3109,13,0)),"")</f>
        <v/>
      </c>
      <c r="K3788" s="497" t="str">
        <f ca="1">IFERROR(VLOOKUP(C3788,' Disaggregation - Section E '!A$618:N1912,3,0),"")</f>
        <v>HTS-Other 3 Porcentaje de resultados de VIH positivos entre el total de pruebas de VIH realizadas en trabajadoras sexuales</v>
      </c>
      <c r="L3788" s="497"/>
      <c r="M3788" s="497" t="str">
        <f ca="1">IFERROR(IF(VLOOKUP(C3788,' Disaggregation - Section E '!A$618:T1912,20,0)=0,"",VLOOKUP(C3788,' Disaggregation - Section E '!A$618:T1912,20,0)),"")</f>
        <v/>
      </c>
      <c r="N3788" s="503" t="str">
        <f ca="1">IFERROR(IF(VLOOKUP(C3788,' Disaggregation - Section E '!A$618:N1912,14,0)=0,"",VLOOKUP(C3788,' Disaggregation - Section E '!A$618:N1912,14,0)),"")</f>
        <v/>
      </c>
      <c r="O3788" s="503" t="str">
        <f ca="1">IFERROR(IF(VLOOKUP(C3788,' Disaggregation - Section E '!A$618:N1912,9,0)=0,"",VLOOKUP(C3788,' Disaggregation - Section E '!A$618:N1912,9,0)),"")</f>
        <v/>
      </c>
      <c r="P3788" s="503" t="str">
        <f ca="1">IFERROR(IF(VLOOKUP(C3788,' Disaggregation - Section E '!A$618:N1912,10,0)=0,"",VLOOKUP(C3788,' Disaggregation - Section E '!A$618:N1912,10,0)),"")</f>
        <v/>
      </c>
    </row>
    <row r="3789" spans="1:16" x14ac:dyDescent="0.35">
      <c r="A3789" s="497" t="b">
        <f t="shared" ca="1" si="227"/>
        <v>0</v>
      </c>
      <c r="B3789" s="497"/>
      <c r="C3789" s="510" t="str">
        <f ca="1">IF(COUNTA(D$2498:D3789)=1,"",OFFSET(B3787,-COUNTA(D$2498:D3789)+3,1))</f>
        <v>a163p000004NtMNAA0</v>
      </c>
      <c r="D3789" s="512"/>
      <c r="E3789" s="500" t="str">
        <f ca="1">IFERROR(IF(VLOOKUP(C3789,' Disaggregation - Section E '!A$618:N1913,7,0)="","",VLOOKUP(C3789,' Disaggregation - Section E '!A$618:N1913,7,0)*100),"")</f>
        <v/>
      </c>
      <c r="F3789" s="503" t="str">
        <f ca="1">IFERROR(VLOOKUP(C3789,' Disaggregation - Section E '!A$618:N1913,5,0),"")</f>
        <v/>
      </c>
      <c r="G3789" s="502" t="str">
        <f ca="1">IFERROR(IF(VLOOKUP(C3789,' Disaggregation - Section E '!A$618:N1913,6,0)="","",VLOOKUP(C3789,' Disaggregation - Section E '!A$618:N1913,6,0)),"")</f>
        <v/>
      </c>
      <c r="H3789" s="512" t="str">
        <f ca="1">IFERROR(IF(INDEX(' Disaggregation - Section E '!F$618:F3110,MATCH(C3789,' Disaggregation - Section E '!A$618:A3110,0)+1,1)&lt;&gt;0,INDEX(' Disaggregation - Section E '!F$618:F$1820,MATCH(C3789,' Disaggregation - Section E '!A$618:A3110,0)+1,1),""),"")</f>
        <v/>
      </c>
      <c r="I3789" s="503" t="str">
        <f ca="1">IFERROR(IF(VLOOKUP(C3789,' Disaggregation - Section E '!A$618:N1913,8,0)=0,"",VLOOKUP(C3789,' Disaggregation - Section E '!A$618:N1913,8,0)),"")</f>
        <v/>
      </c>
      <c r="J3789" s="503" t="str">
        <f ca="1">IFERROR(IF(VLOOKUP(C3789,' Disaggregation - Section E '!A$618:N3110,13,0)=0,"",VLOOKUP(C3789,' Disaggregation - Section E '!A$618:N3110,13,0)),"")</f>
        <v/>
      </c>
      <c r="K3789" s="497" t="str">
        <f ca="1">IFERROR(VLOOKUP(C3789,' Disaggregation - Section E '!A$618:N1913,3,0),"")</f>
        <v>HTS-Other 3 Porcentaje de resultados de VIH positivos entre el total de pruebas de VIH realizadas en trabajadoras sexuales</v>
      </c>
      <c r="L3789" s="497"/>
      <c r="M3789" s="497" t="str">
        <f ca="1">IFERROR(IF(VLOOKUP(C3789,' Disaggregation - Section E '!A$618:T1913,20,0)=0,"",VLOOKUP(C3789,' Disaggregation - Section E '!A$618:T1913,20,0)),"")</f>
        <v/>
      </c>
      <c r="N3789" s="503" t="str">
        <f ca="1">IFERROR(IF(VLOOKUP(C3789,' Disaggregation - Section E '!A$618:N1913,14,0)=0,"",VLOOKUP(C3789,' Disaggregation - Section E '!A$618:N1913,14,0)),"")</f>
        <v/>
      </c>
      <c r="O3789" s="503" t="str">
        <f ca="1">IFERROR(IF(VLOOKUP(C3789,' Disaggregation - Section E '!A$618:N1913,9,0)=0,"",VLOOKUP(C3789,' Disaggregation - Section E '!A$618:N1913,9,0)),"")</f>
        <v/>
      </c>
      <c r="P3789" s="503" t="str">
        <f ca="1">IFERROR(IF(VLOOKUP(C3789,' Disaggregation - Section E '!A$618:N1913,10,0)=0,"",VLOOKUP(C3789,' Disaggregation - Section E '!A$618:N1913,10,0)),"")</f>
        <v/>
      </c>
    </row>
    <row r="3790" spans="1:16" x14ac:dyDescent="0.35">
      <c r="A3790" s="497" t="b">
        <f t="shared" ca="1" si="227"/>
        <v>0</v>
      </c>
      <c r="B3790" s="497"/>
      <c r="C3790" s="510" t="str">
        <f ca="1">IF(COUNTA(D$2498:D3790)=1,"",OFFSET(B3788,-COUNTA(D$2498:D3790)+3,1))</f>
        <v>a163p000004NtMOAA0</v>
      </c>
      <c r="D3790" s="512"/>
      <c r="E3790" s="500" t="str">
        <f ca="1">IFERROR(IF(VLOOKUP(C3790,' Disaggregation - Section E '!A$618:N1914,7,0)="","",VLOOKUP(C3790,' Disaggregation - Section E '!A$618:N1914,7,0)*100),"")</f>
        <v/>
      </c>
      <c r="F3790" s="503" t="str">
        <f ca="1">IFERROR(VLOOKUP(C3790,' Disaggregation - Section E '!A$618:N1914,5,0),"")</f>
        <v/>
      </c>
      <c r="G3790" s="502" t="str">
        <f ca="1">IFERROR(IF(VLOOKUP(C3790,' Disaggregation - Section E '!A$618:N1914,6,0)="","",VLOOKUP(C3790,' Disaggregation - Section E '!A$618:N1914,6,0)),"")</f>
        <v/>
      </c>
      <c r="H3790" s="512" t="str">
        <f ca="1">IFERROR(IF(INDEX(' Disaggregation - Section E '!F$618:F3111,MATCH(C3790,' Disaggregation - Section E '!A$618:A3111,0)+1,1)&lt;&gt;0,INDEX(' Disaggregation - Section E '!F$618:F$1820,MATCH(C3790,' Disaggregation - Section E '!A$618:A3111,0)+1,1),""),"")</f>
        <v/>
      </c>
      <c r="I3790" s="503" t="str">
        <f ca="1">IFERROR(IF(VLOOKUP(C3790,' Disaggregation - Section E '!A$618:N1914,8,0)=0,"",VLOOKUP(C3790,' Disaggregation - Section E '!A$618:N1914,8,0)),"")</f>
        <v/>
      </c>
      <c r="J3790" s="503" t="str">
        <f ca="1">IFERROR(IF(VLOOKUP(C3790,' Disaggregation - Section E '!A$618:N3111,13,0)=0,"",VLOOKUP(C3790,' Disaggregation - Section E '!A$618:N3111,13,0)),"")</f>
        <v/>
      </c>
      <c r="K3790" s="497" t="str">
        <f ca="1">IFERROR(VLOOKUP(C3790,' Disaggregation - Section E '!A$618:N1914,3,0),"")</f>
        <v>HTS-Other 3 Porcentaje de resultados de VIH positivos entre el total de pruebas de VIH realizadas en trabajadoras sexuales</v>
      </c>
      <c r="L3790" s="497"/>
      <c r="M3790" s="497" t="str">
        <f ca="1">IFERROR(IF(VLOOKUP(C3790,' Disaggregation - Section E '!A$618:T1914,20,0)=0,"",VLOOKUP(C3790,' Disaggregation - Section E '!A$618:T1914,20,0)),"")</f>
        <v/>
      </c>
      <c r="N3790" s="503" t="str">
        <f ca="1">IFERROR(IF(VLOOKUP(C3790,' Disaggregation - Section E '!A$618:N1914,14,0)=0,"",VLOOKUP(C3790,' Disaggregation - Section E '!A$618:N1914,14,0)),"")</f>
        <v/>
      </c>
      <c r="O3790" s="503" t="str">
        <f ca="1">IFERROR(IF(VLOOKUP(C3790,' Disaggregation - Section E '!A$618:N1914,9,0)=0,"",VLOOKUP(C3790,' Disaggregation - Section E '!A$618:N1914,9,0)),"")</f>
        <v/>
      </c>
      <c r="P3790" s="503" t="str">
        <f ca="1">IFERROR(IF(VLOOKUP(C3790,' Disaggregation - Section E '!A$618:N1914,10,0)=0,"",VLOOKUP(C3790,' Disaggregation - Section E '!A$618:N1914,10,0)),"")</f>
        <v/>
      </c>
    </row>
    <row r="3791" spans="1:16" x14ac:dyDescent="0.35">
      <c r="A3791" s="497" t="b">
        <f t="shared" ca="1" si="227"/>
        <v>0</v>
      </c>
      <c r="B3791" s="497"/>
      <c r="C3791" s="510" t="str">
        <f ca="1">IF(COUNTA(D$2498:D3791)=1,"",OFFSET(B3789,-COUNTA(D$2498:D3791)+3,1))</f>
        <v>a163p000004NtMPAA0</v>
      </c>
      <c r="D3791" s="512"/>
      <c r="E3791" s="500" t="str">
        <f ca="1">IFERROR(IF(VLOOKUP(C3791,' Disaggregation - Section E '!A$618:N1915,7,0)="","",VLOOKUP(C3791,' Disaggregation - Section E '!A$618:N1915,7,0)*100),"")</f>
        <v/>
      </c>
      <c r="F3791" s="503" t="str">
        <f ca="1">IFERROR(VLOOKUP(C3791,' Disaggregation - Section E '!A$618:N1915,5,0),"")</f>
        <v/>
      </c>
      <c r="G3791" s="502" t="str">
        <f ca="1">IFERROR(IF(VLOOKUP(C3791,' Disaggregation - Section E '!A$618:N1915,6,0)="","",VLOOKUP(C3791,' Disaggregation - Section E '!A$618:N1915,6,0)),"")</f>
        <v/>
      </c>
      <c r="H3791" s="512" t="str">
        <f ca="1">IFERROR(IF(INDEX(' Disaggregation - Section E '!F$618:F3112,MATCH(C3791,' Disaggregation - Section E '!A$618:A3112,0)+1,1)&lt;&gt;0,INDEX(' Disaggregation - Section E '!F$618:F$1820,MATCH(C3791,' Disaggregation - Section E '!A$618:A3112,0)+1,1),""),"")</f>
        <v/>
      </c>
      <c r="I3791" s="503" t="str">
        <f ca="1">IFERROR(IF(VLOOKUP(C3791,' Disaggregation - Section E '!A$618:N1915,8,0)=0,"",VLOOKUP(C3791,' Disaggregation - Section E '!A$618:N1915,8,0)),"")</f>
        <v/>
      </c>
      <c r="J3791" s="503" t="str">
        <f ca="1">IFERROR(IF(VLOOKUP(C3791,' Disaggregation - Section E '!A$618:N3112,13,0)=0,"",VLOOKUP(C3791,' Disaggregation - Section E '!A$618:N3112,13,0)),"")</f>
        <v/>
      </c>
      <c r="K3791" s="497" t="str">
        <f ca="1">IFERROR(VLOOKUP(C3791,' Disaggregation - Section E '!A$618:N1915,3,0),"")</f>
        <v>HTS-Other 3 Porcentaje de resultados de VIH positivos entre el total de pruebas de VIH realizadas en trabajadoras sexuales</v>
      </c>
      <c r="L3791" s="497"/>
      <c r="M3791" s="497" t="str">
        <f ca="1">IFERROR(IF(VLOOKUP(C3791,' Disaggregation - Section E '!A$618:T1915,20,0)=0,"",VLOOKUP(C3791,' Disaggregation - Section E '!A$618:T1915,20,0)),"")</f>
        <v/>
      </c>
      <c r="N3791" s="503" t="str">
        <f ca="1">IFERROR(IF(VLOOKUP(C3791,' Disaggregation - Section E '!A$618:N1915,14,0)=0,"",VLOOKUP(C3791,' Disaggregation - Section E '!A$618:N1915,14,0)),"")</f>
        <v/>
      </c>
      <c r="O3791" s="503" t="str">
        <f ca="1">IFERROR(IF(VLOOKUP(C3791,' Disaggregation - Section E '!A$618:N1915,9,0)=0,"",VLOOKUP(C3791,' Disaggregation - Section E '!A$618:N1915,9,0)),"")</f>
        <v/>
      </c>
      <c r="P3791" s="503" t="str">
        <f ca="1">IFERROR(IF(VLOOKUP(C3791,' Disaggregation - Section E '!A$618:N1915,10,0)=0,"",VLOOKUP(C3791,' Disaggregation - Section E '!A$618:N1915,10,0)),"")</f>
        <v/>
      </c>
    </row>
    <row r="3792" spans="1:16" x14ac:dyDescent="0.35">
      <c r="A3792" s="497" t="b">
        <f t="shared" ca="1" si="227"/>
        <v>0</v>
      </c>
      <c r="B3792" s="497"/>
      <c r="C3792" s="510" t="str">
        <f ca="1">IF(COUNTA(D$2498:D3792)=1,"",OFFSET(B3790,-COUNTA(D$2498:D3792)+3,1))</f>
        <v>a163p000004NtMQAA0</v>
      </c>
      <c r="D3792" s="512"/>
      <c r="E3792" s="500" t="str">
        <f ca="1">IFERROR(IF(VLOOKUP(C3792,' Disaggregation - Section E '!A$618:N1916,7,0)="","",VLOOKUP(C3792,' Disaggregation - Section E '!A$618:N1916,7,0)*100),"")</f>
        <v/>
      </c>
      <c r="F3792" s="503" t="str">
        <f ca="1">IFERROR(VLOOKUP(C3792,' Disaggregation - Section E '!A$618:N1916,5,0),"")</f>
        <v/>
      </c>
      <c r="G3792" s="502" t="str">
        <f ca="1">IFERROR(IF(VLOOKUP(C3792,' Disaggregation - Section E '!A$618:N1916,6,0)="","",VLOOKUP(C3792,' Disaggregation - Section E '!A$618:N1916,6,0)),"")</f>
        <v/>
      </c>
      <c r="H3792" s="512" t="str">
        <f ca="1">IFERROR(IF(INDEX(' Disaggregation - Section E '!F$618:F3113,MATCH(C3792,' Disaggregation - Section E '!A$618:A3113,0)+1,1)&lt;&gt;0,INDEX(' Disaggregation - Section E '!F$618:F$1820,MATCH(C3792,' Disaggregation - Section E '!A$618:A3113,0)+1,1),""),"")</f>
        <v/>
      </c>
      <c r="I3792" s="503" t="str">
        <f ca="1">IFERROR(IF(VLOOKUP(C3792,' Disaggregation - Section E '!A$618:N1916,8,0)=0,"",VLOOKUP(C3792,' Disaggregation - Section E '!A$618:N1916,8,0)),"")</f>
        <v/>
      </c>
      <c r="J3792" s="503" t="str">
        <f ca="1">IFERROR(IF(VLOOKUP(C3792,' Disaggregation - Section E '!A$618:N3113,13,0)=0,"",VLOOKUP(C3792,' Disaggregation - Section E '!A$618:N3113,13,0)),"")</f>
        <v/>
      </c>
      <c r="K3792" s="497" t="str">
        <f ca="1">IFERROR(VLOOKUP(C3792,' Disaggregation - Section E '!A$618:N1916,3,0),"")</f>
        <v>HTS-Other 3 Porcentaje de resultados de VIH positivos entre el total de pruebas de VIH realizadas en trabajadoras sexuales</v>
      </c>
      <c r="L3792" s="497"/>
      <c r="M3792" s="497" t="str">
        <f ca="1">IFERROR(IF(VLOOKUP(C3792,' Disaggregation - Section E '!A$618:T1916,20,0)=0,"",VLOOKUP(C3792,' Disaggregation - Section E '!A$618:T1916,20,0)),"")</f>
        <v/>
      </c>
      <c r="N3792" s="503" t="str">
        <f ca="1">IFERROR(IF(VLOOKUP(C3792,' Disaggregation - Section E '!A$618:N1916,14,0)=0,"",VLOOKUP(C3792,' Disaggregation - Section E '!A$618:N1916,14,0)),"")</f>
        <v/>
      </c>
      <c r="O3792" s="503" t="str">
        <f ca="1">IFERROR(IF(VLOOKUP(C3792,' Disaggregation - Section E '!A$618:N1916,9,0)=0,"",VLOOKUP(C3792,' Disaggregation - Section E '!A$618:N1916,9,0)),"")</f>
        <v/>
      </c>
      <c r="P3792" s="503" t="str">
        <f ca="1">IFERROR(IF(VLOOKUP(C3792,' Disaggregation - Section E '!A$618:N1916,10,0)=0,"",VLOOKUP(C3792,' Disaggregation - Section E '!A$618:N1916,10,0)),"")</f>
        <v/>
      </c>
    </row>
    <row r="3793" spans="1:16" x14ac:dyDescent="0.35">
      <c r="A3793" s="497" t="b">
        <f t="shared" ca="1" si="227"/>
        <v>0</v>
      </c>
      <c r="B3793" s="497"/>
      <c r="C3793" s="510" t="str">
        <f ca="1">IF(COUNTA(D$2498:D3793)=1,"",OFFSET(B3791,-COUNTA(D$2498:D3793)+3,1))</f>
        <v>a163p000004NtMRAA0</v>
      </c>
      <c r="D3793" s="512"/>
      <c r="E3793" s="500" t="str">
        <f ca="1">IFERROR(IF(VLOOKUP(C3793,' Disaggregation - Section E '!A$618:N1917,7,0)="","",VLOOKUP(C3793,' Disaggregation - Section E '!A$618:N1917,7,0)*100),"")</f>
        <v/>
      </c>
      <c r="F3793" s="503" t="str">
        <f ca="1">IFERROR(VLOOKUP(C3793,' Disaggregation - Section E '!A$618:N1917,5,0),"")</f>
        <v/>
      </c>
      <c r="G3793" s="502" t="str">
        <f ca="1">IFERROR(IF(VLOOKUP(C3793,' Disaggregation - Section E '!A$618:N1917,6,0)="","",VLOOKUP(C3793,' Disaggregation - Section E '!A$618:N1917,6,0)),"")</f>
        <v/>
      </c>
      <c r="H3793" s="512" t="str">
        <f ca="1">IFERROR(IF(INDEX(' Disaggregation - Section E '!F$618:F3114,MATCH(C3793,' Disaggregation - Section E '!A$618:A3114,0)+1,1)&lt;&gt;0,INDEX(' Disaggregation - Section E '!F$618:F$1820,MATCH(C3793,' Disaggregation - Section E '!A$618:A3114,0)+1,1),""),"")</f>
        <v/>
      </c>
      <c r="I3793" s="503" t="str">
        <f ca="1">IFERROR(IF(VLOOKUP(C3793,' Disaggregation - Section E '!A$618:N1917,8,0)=0,"",VLOOKUP(C3793,' Disaggregation - Section E '!A$618:N1917,8,0)),"")</f>
        <v/>
      </c>
      <c r="J3793" s="503" t="str">
        <f ca="1">IFERROR(IF(VLOOKUP(C3793,' Disaggregation - Section E '!A$618:N3114,13,0)=0,"",VLOOKUP(C3793,' Disaggregation - Section E '!A$618:N3114,13,0)),"")</f>
        <v/>
      </c>
      <c r="K3793" s="497" t="str">
        <f ca="1">IFERROR(VLOOKUP(C3793,' Disaggregation - Section E '!A$618:N1917,3,0),"")</f>
        <v>HTS-Other 3 Porcentaje de resultados de VIH positivos entre el total de pruebas de VIH realizadas en trabajadoras sexuales</v>
      </c>
      <c r="L3793" s="497"/>
      <c r="M3793" s="497" t="str">
        <f ca="1">IFERROR(IF(VLOOKUP(C3793,' Disaggregation - Section E '!A$618:T1917,20,0)=0,"",VLOOKUP(C3793,' Disaggregation - Section E '!A$618:T1917,20,0)),"")</f>
        <v/>
      </c>
      <c r="N3793" s="503" t="str">
        <f ca="1">IFERROR(IF(VLOOKUP(C3793,' Disaggregation - Section E '!A$618:N1917,14,0)=0,"",VLOOKUP(C3793,' Disaggregation - Section E '!A$618:N1917,14,0)),"")</f>
        <v/>
      </c>
      <c r="O3793" s="503" t="str">
        <f ca="1">IFERROR(IF(VLOOKUP(C3793,' Disaggregation - Section E '!A$618:N1917,9,0)=0,"",VLOOKUP(C3793,' Disaggregation - Section E '!A$618:N1917,9,0)),"")</f>
        <v/>
      </c>
      <c r="P3793" s="503" t="str">
        <f ca="1">IFERROR(IF(VLOOKUP(C3793,' Disaggregation - Section E '!A$618:N1917,10,0)=0,"",VLOOKUP(C3793,' Disaggregation - Section E '!A$618:N1917,10,0)),"")</f>
        <v/>
      </c>
    </row>
    <row r="3794" spans="1:16" x14ac:dyDescent="0.35">
      <c r="A3794" s="497" t="b">
        <f t="shared" ca="1" si="227"/>
        <v>0</v>
      </c>
      <c r="B3794" s="497"/>
      <c r="C3794" s="510" t="str">
        <f ca="1">IF(COUNTA(D$2498:D3794)=1,"",OFFSET(B3792,-COUNTA(D$2498:D3794)+3,1))</f>
        <v>a163p000004NtMSAA0</v>
      </c>
      <c r="D3794" s="512"/>
      <c r="E3794" s="500" t="str">
        <f ca="1">IFERROR(IF(VLOOKUP(C3794,' Disaggregation - Section E '!A$618:N1918,7,0)="","",VLOOKUP(C3794,' Disaggregation - Section E '!A$618:N1918,7,0)*100),"")</f>
        <v/>
      </c>
      <c r="F3794" s="503" t="str">
        <f ca="1">IFERROR(VLOOKUP(C3794,' Disaggregation - Section E '!A$618:N1918,5,0),"")</f>
        <v/>
      </c>
      <c r="G3794" s="502" t="str">
        <f ca="1">IFERROR(IF(VLOOKUP(C3794,' Disaggregation - Section E '!A$618:N1918,6,0)="","",VLOOKUP(C3794,' Disaggregation - Section E '!A$618:N1918,6,0)),"")</f>
        <v/>
      </c>
      <c r="H3794" s="512" t="str">
        <f ca="1">IFERROR(IF(INDEX(' Disaggregation - Section E '!F$618:F3115,MATCH(C3794,' Disaggregation - Section E '!A$618:A3115,0)+1,1)&lt;&gt;0,INDEX(' Disaggregation - Section E '!F$618:F$1820,MATCH(C3794,' Disaggregation - Section E '!A$618:A3115,0)+1,1),""),"")</f>
        <v/>
      </c>
      <c r="I3794" s="503" t="str">
        <f ca="1">IFERROR(IF(VLOOKUP(C3794,' Disaggregation - Section E '!A$618:N1918,8,0)=0,"",VLOOKUP(C3794,' Disaggregation - Section E '!A$618:N1918,8,0)),"")</f>
        <v/>
      </c>
      <c r="J3794" s="503" t="str">
        <f ca="1">IFERROR(IF(VLOOKUP(C3794,' Disaggregation - Section E '!A$618:N3115,13,0)=0,"",VLOOKUP(C3794,' Disaggregation - Section E '!A$618:N3115,13,0)),"")</f>
        <v/>
      </c>
      <c r="K3794" s="497" t="str">
        <f ca="1">IFERROR(VLOOKUP(C3794,' Disaggregation - Section E '!A$618:N1918,3,0),"")</f>
        <v>HTS-Other 3 Porcentaje de resultados de VIH positivos entre el total de pruebas de VIH realizadas en trabajadoras sexuales</v>
      </c>
      <c r="L3794" s="497"/>
      <c r="M3794" s="497" t="str">
        <f ca="1">IFERROR(IF(VLOOKUP(C3794,' Disaggregation - Section E '!A$618:T1918,20,0)=0,"",VLOOKUP(C3794,' Disaggregation - Section E '!A$618:T1918,20,0)),"")</f>
        <v/>
      </c>
      <c r="N3794" s="503" t="str">
        <f ca="1">IFERROR(IF(VLOOKUP(C3794,' Disaggregation - Section E '!A$618:N1918,14,0)=0,"",VLOOKUP(C3794,' Disaggregation - Section E '!A$618:N1918,14,0)),"")</f>
        <v/>
      </c>
      <c r="O3794" s="503" t="str">
        <f ca="1">IFERROR(IF(VLOOKUP(C3794,' Disaggregation - Section E '!A$618:N1918,9,0)=0,"",VLOOKUP(C3794,' Disaggregation - Section E '!A$618:N1918,9,0)),"")</f>
        <v/>
      </c>
      <c r="P3794" s="503" t="str">
        <f ca="1">IFERROR(IF(VLOOKUP(C3794,' Disaggregation - Section E '!A$618:N1918,10,0)=0,"",VLOOKUP(C3794,' Disaggregation - Section E '!A$618:N1918,10,0)),"")</f>
        <v/>
      </c>
    </row>
    <row r="3795" spans="1:16" x14ac:dyDescent="0.35">
      <c r="A3795" s="497" t="b">
        <f t="shared" ca="1" si="227"/>
        <v>0</v>
      </c>
      <c r="B3795" s="497"/>
      <c r="C3795" s="510" t="str">
        <f ca="1">IF(COUNTA(D$2498:D3795)=1,"",OFFSET(B3793,-COUNTA(D$2498:D3795)+3,1))</f>
        <v>a163p000004NtMTAA0</v>
      </c>
      <c r="D3795" s="512"/>
      <c r="E3795" s="500" t="str">
        <f ca="1">IFERROR(IF(VLOOKUP(C3795,' Disaggregation - Section E '!A$618:N1919,7,0)="","",VLOOKUP(C3795,' Disaggregation - Section E '!A$618:N1919,7,0)*100),"")</f>
        <v/>
      </c>
      <c r="F3795" s="503" t="str">
        <f ca="1">IFERROR(VLOOKUP(C3795,' Disaggregation - Section E '!A$618:N1919,5,0),"")</f>
        <v/>
      </c>
      <c r="G3795" s="502" t="str">
        <f ca="1">IFERROR(IF(VLOOKUP(C3795,' Disaggregation - Section E '!A$618:N1919,6,0)="","",VLOOKUP(C3795,' Disaggregation - Section E '!A$618:N1919,6,0)),"")</f>
        <v/>
      </c>
      <c r="H3795" s="512" t="str">
        <f ca="1">IFERROR(IF(INDEX(' Disaggregation - Section E '!F$618:F3116,MATCH(C3795,' Disaggregation - Section E '!A$618:A3116,0)+1,1)&lt;&gt;0,INDEX(' Disaggregation - Section E '!F$618:F$1820,MATCH(C3795,' Disaggregation - Section E '!A$618:A3116,0)+1,1),""),"")</f>
        <v/>
      </c>
      <c r="I3795" s="503" t="str">
        <f ca="1">IFERROR(IF(VLOOKUP(C3795,' Disaggregation - Section E '!A$618:N1919,8,0)=0,"",VLOOKUP(C3795,' Disaggregation - Section E '!A$618:N1919,8,0)),"")</f>
        <v/>
      </c>
      <c r="J3795" s="503" t="str">
        <f ca="1">IFERROR(IF(VLOOKUP(C3795,' Disaggregation - Section E '!A$618:N3116,13,0)=0,"",VLOOKUP(C3795,' Disaggregation - Section E '!A$618:N3116,13,0)),"")</f>
        <v/>
      </c>
      <c r="K3795" s="497" t="str">
        <f ca="1">IFERROR(VLOOKUP(C3795,' Disaggregation - Section E '!A$618:N1919,3,0),"")</f>
        <v>HTS-Other 3 Porcentaje de resultados de VIH positivos entre el total de pruebas de VIH realizadas en trabajadoras sexuales</v>
      </c>
      <c r="L3795" s="497"/>
      <c r="M3795" s="497" t="str">
        <f ca="1">IFERROR(IF(VLOOKUP(C3795,' Disaggregation - Section E '!A$618:T1919,20,0)=0,"",VLOOKUP(C3795,' Disaggregation - Section E '!A$618:T1919,20,0)),"")</f>
        <v/>
      </c>
      <c r="N3795" s="503" t="str">
        <f ca="1">IFERROR(IF(VLOOKUP(C3795,' Disaggregation - Section E '!A$618:N1919,14,0)=0,"",VLOOKUP(C3795,' Disaggregation - Section E '!A$618:N1919,14,0)),"")</f>
        <v/>
      </c>
      <c r="O3795" s="503" t="str">
        <f ca="1">IFERROR(IF(VLOOKUP(C3795,' Disaggregation - Section E '!A$618:N1919,9,0)=0,"",VLOOKUP(C3795,' Disaggregation - Section E '!A$618:N1919,9,0)),"")</f>
        <v/>
      </c>
      <c r="P3795" s="503" t="str">
        <f ca="1">IFERROR(IF(VLOOKUP(C3795,' Disaggregation - Section E '!A$618:N1919,10,0)=0,"",VLOOKUP(C3795,' Disaggregation - Section E '!A$618:N1919,10,0)),"")</f>
        <v/>
      </c>
    </row>
    <row r="3796" spans="1:16" x14ac:dyDescent="0.35">
      <c r="A3796" s="497" t="b">
        <f t="shared" ca="1" si="227"/>
        <v>0</v>
      </c>
      <c r="B3796" s="497"/>
      <c r="C3796" s="510" t="str">
        <f ca="1">IF(COUNTA(D$2498:D3796)=1,"",OFFSET(B3794,-COUNTA(D$2498:D3796)+3,1))</f>
        <v>a163p000004NtMUAA0</v>
      </c>
      <c r="D3796" s="512"/>
      <c r="E3796" s="500" t="str">
        <f ca="1">IFERROR(IF(VLOOKUP(C3796,' Disaggregation - Section E '!A$618:N1920,7,0)="","",VLOOKUP(C3796,' Disaggregation - Section E '!A$618:N1920,7,0)*100),"")</f>
        <v/>
      </c>
      <c r="F3796" s="503" t="str">
        <f ca="1">IFERROR(VLOOKUP(C3796,' Disaggregation - Section E '!A$618:N1920,5,0),"")</f>
        <v/>
      </c>
      <c r="G3796" s="502" t="str">
        <f ca="1">IFERROR(IF(VLOOKUP(C3796,' Disaggregation - Section E '!A$618:N1920,6,0)="","",VLOOKUP(C3796,' Disaggregation - Section E '!A$618:N1920,6,0)),"")</f>
        <v/>
      </c>
      <c r="H3796" s="512" t="str">
        <f ca="1">IFERROR(IF(INDEX(' Disaggregation - Section E '!F$618:F3117,MATCH(C3796,' Disaggregation - Section E '!A$618:A3117,0)+1,1)&lt;&gt;0,INDEX(' Disaggregation - Section E '!F$618:F$1820,MATCH(C3796,' Disaggregation - Section E '!A$618:A3117,0)+1,1),""),"")</f>
        <v/>
      </c>
      <c r="I3796" s="503" t="str">
        <f ca="1">IFERROR(IF(VLOOKUP(C3796,' Disaggregation - Section E '!A$618:N1920,8,0)=0,"",VLOOKUP(C3796,' Disaggregation - Section E '!A$618:N1920,8,0)),"")</f>
        <v/>
      </c>
      <c r="J3796" s="503" t="str">
        <f ca="1">IFERROR(IF(VLOOKUP(C3796,' Disaggregation - Section E '!A$618:N3117,13,0)=0,"",VLOOKUP(C3796,' Disaggregation - Section E '!A$618:N3117,13,0)),"")</f>
        <v/>
      </c>
      <c r="K3796" s="497" t="str">
        <f ca="1">IFERROR(VLOOKUP(C3796,' Disaggregation - Section E '!A$618:N1920,3,0),"")</f>
        <v>HTS-Other 3 Porcentaje de resultados de VIH positivos entre el total de pruebas de VIH realizadas en trabajadoras sexuales</v>
      </c>
      <c r="L3796" s="497"/>
      <c r="M3796" s="497" t="str">
        <f ca="1">IFERROR(IF(VLOOKUP(C3796,' Disaggregation - Section E '!A$618:T1920,20,0)=0,"",VLOOKUP(C3796,' Disaggregation - Section E '!A$618:T1920,20,0)),"")</f>
        <v/>
      </c>
      <c r="N3796" s="503" t="str">
        <f ca="1">IFERROR(IF(VLOOKUP(C3796,' Disaggregation - Section E '!A$618:N1920,14,0)=0,"",VLOOKUP(C3796,' Disaggregation - Section E '!A$618:N1920,14,0)),"")</f>
        <v/>
      </c>
      <c r="O3796" s="503" t="str">
        <f ca="1">IFERROR(IF(VLOOKUP(C3796,' Disaggregation - Section E '!A$618:N1920,9,0)=0,"",VLOOKUP(C3796,' Disaggregation - Section E '!A$618:N1920,9,0)),"")</f>
        <v/>
      </c>
      <c r="P3796" s="503" t="str">
        <f ca="1">IFERROR(IF(VLOOKUP(C3796,' Disaggregation - Section E '!A$618:N1920,10,0)=0,"",VLOOKUP(C3796,' Disaggregation - Section E '!A$618:N1920,10,0)),"")</f>
        <v/>
      </c>
    </row>
    <row r="3797" spans="1:16" x14ac:dyDescent="0.35">
      <c r="A3797" s="497" t="b">
        <f t="shared" ca="1" si="227"/>
        <v>0</v>
      </c>
      <c r="B3797" s="497"/>
      <c r="C3797" s="510" t="str">
        <f ca="1">IF(COUNTA(D$2498:D3797)=1,"",OFFSET(B3795,-COUNTA(D$2498:D3797)+3,1))</f>
        <v>a163p000004NtMVAA0</v>
      </c>
      <c r="D3797" s="512"/>
      <c r="E3797" s="500" t="str">
        <f ca="1">IFERROR(IF(VLOOKUP(C3797,' Disaggregation - Section E '!A$618:N1921,7,0)="","",VLOOKUP(C3797,' Disaggregation - Section E '!A$618:N1921,7,0)*100),"")</f>
        <v/>
      </c>
      <c r="F3797" s="503" t="str">
        <f ca="1">IFERROR(VLOOKUP(C3797,' Disaggregation - Section E '!A$618:N1921,5,0),"")</f>
        <v/>
      </c>
      <c r="G3797" s="502" t="str">
        <f ca="1">IFERROR(IF(VLOOKUP(C3797,' Disaggregation - Section E '!A$618:N1921,6,0)="","",VLOOKUP(C3797,' Disaggregation - Section E '!A$618:N1921,6,0)),"")</f>
        <v/>
      </c>
      <c r="H3797" s="512" t="str">
        <f ca="1">IFERROR(IF(INDEX(' Disaggregation - Section E '!F$618:F3118,MATCH(C3797,' Disaggregation - Section E '!A$618:A3118,0)+1,1)&lt;&gt;0,INDEX(' Disaggregation - Section E '!F$618:F$1820,MATCH(C3797,' Disaggregation - Section E '!A$618:A3118,0)+1,1),""),"")</f>
        <v/>
      </c>
      <c r="I3797" s="503" t="str">
        <f ca="1">IFERROR(IF(VLOOKUP(C3797,' Disaggregation - Section E '!A$618:N1921,8,0)=0,"",VLOOKUP(C3797,' Disaggregation - Section E '!A$618:N1921,8,0)),"")</f>
        <v/>
      </c>
      <c r="J3797" s="503" t="str">
        <f ca="1">IFERROR(IF(VLOOKUP(C3797,' Disaggregation - Section E '!A$618:N3118,13,0)=0,"",VLOOKUP(C3797,' Disaggregation - Section E '!A$618:N3118,13,0)),"")</f>
        <v/>
      </c>
      <c r="K3797" s="497" t="str">
        <f ca="1">IFERROR(VLOOKUP(C3797,' Disaggregation - Section E '!A$618:N1921,3,0),"")</f>
        <v>HTS-Other 3 Porcentaje de resultados de VIH positivos entre el total de pruebas de VIH realizadas en trabajadoras sexuales</v>
      </c>
      <c r="L3797" s="497"/>
      <c r="M3797" s="497" t="str">
        <f ca="1">IFERROR(IF(VLOOKUP(C3797,' Disaggregation - Section E '!A$618:T1921,20,0)=0,"",VLOOKUP(C3797,' Disaggregation - Section E '!A$618:T1921,20,0)),"")</f>
        <v/>
      </c>
      <c r="N3797" s="503" t="str">
        <f ca="1">IFERROR(IF(VLOOKUP(C3797,' Disaggregation - Section E '!A$618:N1921,14,0)=0,"",VLOOKUP(C3797,' Disaggregation - Section E '!A$618:N1921,14,0)),"")</f>
        <v/>
      </c>
      <c r="O3797" s="503" t="str">
        <f ca="1">IFERROR(IF(VLOOKUP(C3797,' Disaggregation - Section E '!A$618:N1921,9,0)=0,"",VLOOKUP(C3797,' Disaggregation - Section E '!A$618:N1921,9,0)),"")</f>
        <v/>
      </c>
      <c r="P3797" s="503" t="str">
        <f ca="1">IFERROR(IF(VLOOKUP(C3797,' Disaggregation - Section E '!A$618:N1921,10,0)=0,"",VLOOKUP(C3797,' Disaggregation - Section E '!A$618:N1921,10,0)),"")</f>
        <v/>
      </c>
    </row>
    <row r="3798" spans="1:16" x14ac:dyDescent="0.35">
      <c r="A3798" s="497" t="b">
        <f t="shared" ca="1" si="227"/>
        <v>0</v>
      </c>
      <c r="B3798" s="497"/>
      <c r="C3798" s="510" t="str">
        <f ca="1">IF(COUNTA(D$2498:D3798)=1,"",OFFSET(B3796,-COUNTA(D$2498:D3798)+3,1))</f>
        <v>a163p000004NtMWAA0</v>
      </c>
      <c r="D3798" s="512"/>
      <c r="E3798" s="500" t="str">
        <f ca="1">IFERROR(IF(VLOOKUP(C3798,' Disaggregation - Section E '!A$618:N1922,7,0)="","",VLOOKUP(C3798,' Disaggregation - Section E '!A$618:N1922,7,0)*100),"")</f>
        <v/>
      </c>
      <c r="F3798" s="503" t="str">
        <f ca="1">IFERROR(VLOOKUP(C3798,' Disaggregation - Section E '!A$618:N1922,5,0),"")</f>
        <v/>
      </c>
      <c r="G3798" s="502" t="str">
        <f ca="1">IFERROR(IF(VLOOKUP(C3798,' Disaggregation - Section E '!A$618:N1922,6,0)="","",VLOOKUP(C3798,' Disaggregation - Section E '!A$618:N1922,6,0)),"")</f>
        <v/>
      </c>
      <c r="H3798" s="512" t="str">
        <f ca="1">IFERROR(IF(INDEX(' Disaggregation - Section E '!F$618:F3119,MATCH(C3798,' Disaggregation - Section E '!A$618:A3119,0)+1,1)&lt;&gt;0,INDEX(' Disaggregation - Section E '!F$618:F$1820,MATCH(C3798,' Disaggregation - Section E '!A$618:A3119,0)+1,1),""),"")</f>
        <v/>
      </c>
      <c r="I3798" s="503" t="str">
        <f ca="1">IFERROR(IF(VLOOKUP(C3798,' Disaggregation - Section E '!A$618:N1922,8,0)=0,"",VLOOKUP(C3798,' Disaggregation - Section E '!A$618:N1922,8,0)),"")</f>
        <v/>
      </c>
      <c r="J3798" s="503" t="str">
        <f ca="1">IFERROR(IF(VLOOKUP(C3798,' Disaggregation - Section E '!A$618:N3119,13,0)=0,"",VLOOKUP(C3798,' Disaggregation - Section E '!A$618:N3119,13,0)),"")</f>
        <v/>
      </c>
      <c r="K3798" s="497" t="str">
        <f ca="1">IFERROR(VLOOKUP(C3798,' Disaggregation - Section E '!A$618:N1922,3,0),"")</f>
        <v>HTS-Other 3 Porcentaje de resultados de VIH positivos entre el total de pruebas de VIH realizadas en trabajadoras sexuales</v>
      </c>
      <c r="L3798" s="497"/>
      <c r="M3798" s="497" t="str">
        <f ca="1">IFERROR(IF(VLOOKUP(C3798,' Disaggregation - Section E '!A$618:T1922,20,0)=0,"",VLOOKUP(C3798,' Disaggregation - Section E '!A$618:T1922,20,0)),"")</f>
        <v/>
      </c>
      <c r="N3798" s="503" t="str">
        <f ca="1">IFERROR(IF(VLOOKUP(C3798,' Disaggregation - Section E '!A$618:N1922,14,0)=0,"",VLOOKUP(C3798,' Disaggregation - Section E '!A$618:N1922,14,0)),"")</f>
        <v/>
      </c>
      <c r="O3798" s="503" t="str">
        <f ca="1">IFERROR(IF(VLOOKUP(C3798,' Disaggregation - Section E '!A$618:N1922,9,0)=0,"",VLOOKUP(C3798,' Disaggregation - Section E '!A$618:N1922,9,0)),"")</f>
        <v/>
      </c>
      <c r="P3798" s="503" t="str">
        <f ca="1">IFERROR(IF(VLOOKUP(C3798,' Disaggregation - Section E '!A$618:N1922,10,0)=0,"",VLOOKUP(C3798,' Disaggregation - Section E '!A$618:N1922,10,0)),"")</f>
        <v/>
      </c>
    </row>
    <row r="3799" spans="1:16" x14ac:dyDescent="0.35">
      <c r="A3799" s="497" t="b">
        <f t="shared" ca="1" si="227"/>
        <v>0</v>
      </c>
      <c r="B3799" s="497"/>
      <c r="C3799" s="510" t="str">
        <f ca="1">IF(COUNTA(D$2498:D3799)=1,"",OFFSET(B3797,-COUNTA(D$2498:D3799)+3,1))</f>
        <v>a163p000004NtMXAA0</v>
      </c>
      <c r="D3799" s="512"/>
      <c r="E3799" s="500" t="str">
        <f ca="1">IFERROR(IF(VLOOKUP(C3799,' Disaggregation - Section E '!A$618:N1923,7,0)="","",VLOOKUP(C3799,' Disaggregation - Section E '!A$618:N1923,7,0)*100),"")</f>
        <v/>
      </c>
      <c r="F3799" s="503" t="str">
        <f ca="1">IFERROR(VLOOKUP(C3799,' Disaggregation - Section E '!A$618:N1923,5,0),"")</f>
        <v/>
      </c>
      <c r="G3799" s="502" t="str">
        <f ca="1">IFERROR(IF(VLOOKUP(C3799,' Disaggregation - Section E '!A$618:N1923,6,0)="","",VLOOKUP(C3799,' Disaggregation - Section E '!A$618:N1923,6,0)),"")</f>
        <v/>
      </c>
      <c r="H3799" s="512" t="str">
        <f ca="1">IFERROR(IF(INDEX(' Disaggregation - Section E '!F$618:F3120,MATCH(C3799,' Disaggregation - Section E '!A$618:A3120,0)+1,1)&lt;&gt;0,INDEX(' Disaggregation - Section E '!F$618:F$1820,MATCH(C3799,' Disaggregation - Section E '!A$618:A3120,0)+1,1),""),"")</f>
        <v/>
      </c>
      <c r="I3799" s="503" t="str">
        <f ca="1">IFERROR(IF(VLOOKUP(C3799,' Disaggregation - Section E '!A$618:N1923,8,0)=0,"",VLOOKUP(C3799,' Disaggregation - Section E '!A$618:N1923,8,0)),"")</f>
        <v/>
      </c>
      <c r="J3799" s="503" t="str">
        <f ca="1">IFERROR(IF(VLOOKUP(C3799,' Disaggregation - Section E '!A$618:N3120,13,0)=0,"",VLOOKUP(C3799,' Disaggregation - Section E '!A$618:N3120,13,0)),"")</f>
        <v/>
      </c>
      <c r="K3799" s="497" t="str">
        <f ca="1">IFERROR(VLOOKUP(C3799,' Disaggregation - Section E '!A$618:N1923,3,0),"")</f>
        <v>HTS-Other 3 Porcentaje de resultados de VIH positivos entre el total de pruebas de VIH realizadas en trabajadoras sexuales</v>
      </c>
      <c r="L3799" s="497"/>
      <c r="M3799" s="497" t="str">
        <f ca="1">IFERROR(IF(VLOOKUP(C3799,' Disaggregation - Section E '!A$618:T1923,20,0)=0,"",VLOOKUP(C3799,' Disaggregation - Section E '!A$618:T1923,20,0)),"")</f>
        <v/>
      </c>
      <c r="N3799" s="503" t="str">
        <f ca="1">IFERROR(IF(VLOOKUP(C3799,' Disaggregation - Section E '!A$618:N1923,14,0)=0,"",VLOOKUP(C3799,' Disaggregation - Section E '!A$618:N1923,14,0)),"")</f>
        <v/>
      </c>
      <c r="O3799" s="503" t="str">
        <f ca="1">IFERROR(IF(VLOOKUP(C3799,' Disaggregation - Section E '!A$618:N1923,9,0)=0,"",VLOOKUP(C3799,' Disaggregation - Section E '!A$618:N1923,9,0)),"")</f>
        <v/>
      </c>
      <c r="P3799" s="503" t="str">
        <f ca="1">IFERROR(IF(VLOOKUP(C3799,' Disaggregation - Section E '!A$618:N1923,10,0)=0,"",VLOOKUP(C3799,' Disaggregation - Section E '!A$618:N1923,10,0)),"")</f>
        <v/>
      </c>
    </row>
    <row r="3800" spans="1:16" x14ac:dyDescent="0.35">
      <c r="A3800" s="497" t="b">
        <f t="shared" ca="1" si="227"/>
        <v>0</v>
      </c>
      <c r="B3800" s="497"/>
      <c r="C3800" s="510" t="str">
        <f ca="1">IF(COUNTA(D$2498:D3800)=1,"",OFFSET(B3798,-COUNTA(D$2498:D3800)+3,1))</f>
        <v>a163p000004NtVuAAK</v>
      </c>
      <c r="D3800" s="512"/>
      <c r="E3800" s="500" t="str">
        <f ca="1">IFERROR(IF(VLOOKUP(C3800,' Disaggregation - Section E '!A$618:N1924,7,0)="","",VLOOKUP(C3800,' Disaggregation - Section E '!A$618:N1924,7,0)*100),"")</f>
        <v/>
      </c>
      <c r="F3800" s="503" t="str">
        <f ca="1">IFERROR(VLOOKUP(C3800,' Disaggregation - Section E '!A$618:N1924,5,0),"")</f>
        <v/>
      </c>
      <c r="G3800" s="502" t="str">
        <f ca="1">IFERROR(IF(VLOOKUP(C3800,' Disaggregation - Section E '!A$618:N1924,6,0)="","",VLOOKUP(C3800,' Disaggregation - Section E '!A$618:N1924,6,0)),"")</f>
        <v/>
      </c>
      <c r="H3800" s="512" t="str">
        <f ca="1">IFERROR(IF(INDEX(' Disaggregation - Section E '!F$618:F3121,MATCH(C3800,' Disaggregation - Section E '!A$618:A3121,0)+1,1)&lt;&gt;0,INDEX(' Disaggregation - Section E '!F$618:F$1820,MATCH(C3800,' Disaggregation - Section E '!A$618:A3121,0)+1,1),""),"")</f>
        <v/>
      </c>
      <c r="I3800" s="503" t="str">
        <f ca="1">IFERROR(IF(VLOOKUP(C3800,' Disaggregation - Section E '!A$618:N1924,8,0)=0,"",VLOOKUP(C3800,' Disaggregation - Section E '!A$618:N1924,8,0)),"")</f>
        <v/>
      </c>
      <c r="J3800" s="503" t="str">
        <f ca="1">IFERROR(IF(VLOOKUP(C3800,' Disaggregation - Section E '!A$618:N3121,13,0)=0,"",VLOOKUP(C3800,' Disaggregation - Section E '!A$618:N3121,13,0)),"")</f>
        <v/>
      </c>
      <c r="K3800" s="497" t="str">
        <f ca="1">IFERROR(VLOOKUP(C3800,' Disaggregation - Section E '!A$618:N1924,3,0),"")</f>
        <v>TCP-6a Número de casos de tuberculosis (en todas sus formas) notificados entre reclusos.</v>
      </c>
      <c r="L3800" s="497"/>
      <c r="M3800" s="497" t="str">
        <f ca="1">IFERROR(IF(VLOOKUP(C3800,' Disaggregation - Section E '!A$618:T1924,20,0)=0,"",VLOOKUP(C3800,' Disaggregation - Section E '!A$618:T1924,20,0)),"")</f>
        <v/>
      </c>
      <c r="N3800" s="503" t="str">
        <f ca="1">IFERROR(IF(VLOOKUP(C3800,' Disaggregation - Section E '!A$618:N1924,14,0)=0,"",VLOOKUP(C3800,' Disaggregation - Section E '!A$618:N1924,14,0)),"")</f>
        <v/>
      </c>
      <c r="O3800" s="503" t="str">
        <f ca="1">IFERROR(IF(VLOOKUP(C3800,' Disaggregation - Section E '!A$618:N1924,9,0)=0,"",VLOOKUP(C3800,' Disaggregation - Section E '!A$618:N1924,9,0)),"")</f>
        <v/>
      </c>
      <c r="P3800" s="503" t="str">
        <f ca="1">IFERROR(IF(VLOOKUP(C3800,' Disaggregation - Section E '!A$618:N1924,10,0)=0,"",VLOOKUP(C3800,' Disaggregation - Section E '!A$618:N1924,10,0)),"")</f>
        <v/>
      </c>
    </row>
    <row r="3801" spans="1:16" x14ac:dyDescent="0.35">
      <c r="A3801" s="497" t="b">
        <f t="shared" ca="1" si="227"/>
        <v>0</v>
      </c>
      <c r="B3801" s="497"/>
      <c r="C3801" s="510" t="str">
        <f ca="1">IF(COUNTA(D$2498:D3801)=1,"",OFFSET(B3799,-COUNTA(D$2498:D3801)+3,1))</f>
        <v>a163p000004NtVvAAK</v>
      </c>
      <c r="D3801" s="512"/>
      <c r="E3801" s="500" t="str">
        <f ca="1">IFERROR(IF(VLOOKUP(C3801,' Disaggregation - Section E '!A$618:N1925,7,0)="","",VLOOKUP(C3801,' Disaggregation - Section E '!A$618:N1925,7,0)*100),"")</f>
        <v/>
      </c>
      <c r="F3801" s="503" t="str">
        <f ca="1">IFERROR(VLOOKUP(C3801,' Disaggregation - Section E '!A$618:N1925,5,0),"")</f>
        <v/>
      </c>
      <c r="G3801" s="502" t="str">
        <f ca="1">IFERROR(IF(VLOOKUP(C3801,' Disaggregation - Section E '!A$618:N1925,6,0)="","",VLOOKUP(C3801,' Disaggregation - Section E '!A$618:N1925,6,0)),"")</f>
        <v/>
      </c>
      <c r="H3801" s="512" t="str">
        <f ca="1">IFERROR(IF(INDEX(' Disaggregation - Section E '!F$618:F3122,MATCH(C3801,' Disaggregation - Section E '!A$618:A3122,0)+1,1)&lt;&gt;0,INDEX(' Disaggregation - Section E '!F$618:F$1820,MATCH(C3801,' Disaggregation - Section E '!A$618:A3122,0)+1,1),""),"")</f>
        <v/>
      </c>
      <c r="I3801" s="503" t="str">
        <f ca="1">IFERROR(IF(VLOOKUP(C3801,' Disaggregation - Section E '!A$618:N1925,8,0)=0,"",VLOOKUP(C3801,' Disaggregation - Section E '!A$618:N1925,8,0)),"")</f>
        <v/>
      </c>
      <c r="J3801" s="503" t="str">
        <f ca="1">IFERROR(IF(VLOOKUP(C3801,' Disaggregation - Section E '!A$618:N3122,13,0)=0,"",VLOOKUP(C3801,' Disaggregation - Section E '!A$618:N3122,13,0)),"")</f>
        <v/>
      </c>
      <c r="K3801" s="497" t="str">
        <f ca="1">IFERROR(VLOOKUP(C3801,' Disaggregation - Section E '!A$618:N1925,3,0),"")</f>
        <v>TCP-6a Número de casos de tuberculosis (en todas sus formas) notificados entre reclusos.</v>
      </c>
      <c r="L3801" s="497"/>
      <c r="M3801" s="497" t="str">
        <f ca="1">IFERROR(IF(VLOOKUP(C3801,' Disaggregation - Section E '!A$618:T1925,20,0)=0,"",VLOOKUP(C3801,' Disaggregation - Section E '!A$618:T1925,20,0)),"")</f>
        <v/>
      </c>
      <c r="N3801" s="503" t="str">
        <f ca="1">IFERROR(IF(VLOOKUP(C3801,' Disaggregation - Section E '!A$618:N1925,14,0)=0,"",VLOOKUP(C3801,' Disaggregation - Section E '!A$618:N1925,14,0)),"")</f>
        <v/>
      </c>
      <c r="O3801" s="503" t="str">
        <f ca="1">IFERROR(IF(VLOOKUP(C3801,' Disaggregation - Section E '!A$618:N1925,9,0)=0,"",VLOOKUP(C3801,' Disaggregation - Section E '!A$618:N1925,9,0)),"")</f>
        <v/>
      </c>
      <c r="P3801" s="503" t="str">
        <f ca="1">IFERROR(IF(VLOOKUP(C3801,' Disaggregation - Section E '!A$618:N1925,10,0)=0,"",VLOOKUP(C3801,' Disaggregation - Section E '!A$618:N1925,10,0)),"")</f>
        <v/>
      </c>
    </row>
    <row r="3802" spans="1:16" x14ac:dyDescent="0.35">
      <c r="A3802" s="497" t="b">
        <f t="shared" ca="1" si="227"/>
        <v>0</v>
      </c>
      <c r="B3802" s="497"/>
      <c r="C3802" s="510" t="str">
        <f ca="1">IF(COUNTA(D$2498:D3802)=1,"",OFFSET(B3800,-COUNTA(D$2498:D3802)+3,1))</f>
        <v>a163p000004NtVwAAK</v>
      </c>
      <c r="D3802" s="512"/>
      <c r="E3802" s="500" t="str">
        <f ca="1">IFERROR(IF(VLOOKUP(C3802,' Disaggregation - Section E '!A$618:N1926,7,0)="","",VLOOKUP(C3802,' Disaggregation - Section E '!A$618:N1926,7,0)*100),"")</f>
        <v/>
      </c>
      <c r="F3802" s="503" t="str">
        <f ca="1">IFERROR(VLOOKUP(C3802,' Disaggregation - Section E '!A$618:N1926,5,0),"")</f>
        <v/>
      </c>
      <c r="G3802" s="502" t="str">
        <f ca="1">IFERROR(IF(VLOOKUP(C3802,' Disaggregation - Section E '!A$618:N1926,6,0)="","",VLOOKUP(C3802,' Disaggregation - Section E '!A$618:N1926,6,0)),"")</f>
        <v/>
      </c>
      <c r="H3802" s="512" t="str">
        <f ca="1">IFERROR(IF(INDEX(' Disaggregation - Section E '!F$618:F3123,MATCH(C3802,' Disaggregation - Section E '!A$618:A3123,0)+1,1)&lt;&gt;0,INDEX(' Disaggregation - Section E '!F$618:F$1820,MATCH(C3802,' Disaggregation - Section E '!A$618:A3123,0)+1,1),""),"")</f>
        <v/>
      </c>
      <c r="I3802" s="503" t="str">
        <f ca="1">IFERROR(IF(VLOOKUP(C3802,' Disaggregation - Section E '!A$618:N1926,8,0)=0,"",VLOOKUP(C3802,' Disaggregation - Section E '!A$618:N1926,8,0)),"")</f>
        <v/>
      </c>
      <c r="J3802" s="503" t="str">
        <f ca="1">IFERROR(IF(VLOOKUP(C3802,' Disaggregation - Section E '!A$618:N3123,13,0)=0,"",VLOOKUP(C3802,' Disaggregation - Section E '!A$618:N3123,13,0)),"")</f>
        <v/>
      </c>
      <c r="K3802" s="497" t="str">
        <f ca="1">IFERROR(VLOOKUP(C3802,' Disaggregation - Section E '!A$618:N1926,3,0),"")</f>
        <v>TCP-6a Número de casos de tuberculosis (en todas sus formas) notificados entre reclusos.</v>
      </c>
      <c r="L3802" s="497"/>
      <c r="M3802" s="497" t="str">
        <f ca="1">IFERROR(IF(VLOOKUP(C3802,' Disaggregation - Section E '!A$618:T1926,20,0)=0,"",VLOOKUP(C3802,' Disaggregation - Section E '!A$618:T1926,20,0)),"")</f>
        <v/>
      </c>
      <c r="N3802" s="503" t="str">
        <f ca="1">IFERROR(IF(VLOOKUP(C3802,' Disaggregation - Section E '!A$618:N1926,14,0)=0,"",VLOOKUP(C3802,' Disaggregation - Section E '!A$618:N1926,14,0)),"")</f>
        <v/>
      </c>
      <c r="O3802" s="503" t="str">
        <f ca="1">IFERROR(IF(VLOOKUP(C3802,' Disaggregation - Section E '!A$618:N1926,9,0)=0,"",VLOOKUP(C3802,' Disaggregation - Section E '!A$618:N1926,9,0)),"")</f>
        <v/>
      </c>
      <c r="P3802" s="503" t="str">
        <f ca="1">IFERROR(IF(VLOOKUP(C3802,' Disaggregation - Section E '!A$618:N1926,10,0)=0,"",VLOOKUP(C3802,' Disaggregation - Section E '!A$618:N1926,10,0)),"")</f>
        <v/>
      </c>
    </row>
    <row r="3803" spans="1:16" x14ac:dyDescent="0.35">
      <c r="A3803" s="497" t="b">
        <f t="shared" ca="1" si="227"/>
        <v>0</v>
      </c>
      <c r="B3803" s="497"/>
      <c r="C3803" s="510" t="str">
        <f ca="1">IF(COUNTA(D$2498:D3803)=1,"",OFFSET(B3801,-COUNTA(D$2498:D3803)+3,1))</f>
        <v>a163p000004NtVxAAK</v>
      </c>
      <c r="D3803" s="512"/>
      <c r="E3803" s="500" t="str">
        <f ca="1">IFERROR(IF(VLOOKUP(C3803,' Disaggregation - Section E '!A$618:N1927,7,0)="","",VLOOKUP(C3803,' Disaggregation - Section E '!A$618:N1927,7,0)*100),"")</f>
        <v/>
      </c>
      <c r="F3803" s="503" t="str">
        <f ca="1">IFERROR(VLOOKUP(C3803,' Disaggregation - Section E '!A$618:N1927,5,0),"")</f>
        <v/>
      </c>
      <c r="G3803" s="502" t="str">
        <f ca="1">IFERROR(IF(VLOOKUP(C3803,' Disaggregation - Section E '!A$618:N1927,6,0)="","",VLOOKUP(C3803,' Disaggregation - Section E '!A$618:N1927,6,0)),"")</f>
        <v/>
      </c>
      <c r="H3803" s="512" t="str">
        <f ca="1">IFERROR(IF(INDEX(' Disaggregation - Section E '!F$618:F3124,MATCH(C3803,' Disaggregation - Section E '!A$618:A3124,0)+1,1)&lt;&gt;0,INDEX(' Disaggregation - Section E '!F$618:F$1820,MATCH(C3803,' Disaggregation - Section E '!A$618:A3124,0)+1,1),""),"")</f>
        <v/>
      </c>
      <c r="I3803" s="503" t="str">
        <f ca="1">IFERROR(IF(VLOOKUP(C3803,' Disaggregation - Section E '!A$618:N1927,8,0)=0,"",VLOOKUP(C3803,' Disaggregation - Section E '!A$618:N1927,8,0)),"")</f>
        <v/>
      </c>
      <c r="J3803" s="503" t="str">
        <f ca="1">IFERROR(IF(VLOOKUP(C3803,' Disaggregation - Section E '!A$618:N3124,13,0)=0,"",VLOOKUP(C3803,' Disaggregation - Section E '!A$618:N3124,13,0)),"")</f>
        <v/>
      </c>
      <c r="K3803" s="497" t="str">
        <f ca="1">IFERROR(VLOOKUP(C3803,' Disaggregation - Section E '!A$618:N1927,3,0),"")</f>
        <v>TCP-6a Número de casos de tuberculosis (en todas sus formas) notificados entre reclusos.</v>
      </c>
      <c r="L3803" s="497"/>
      <c r="M3803" s="497" t="str">
        <f ca="1">IFERROR(IF(VLOOKUP(C3803,' Disaggregation - Section E '!A$618:T1927,20,0)=0,"",VLOOKUP(C3803,' Disaggregation - Section E '!A$618:T1927,20,0)),"")</f>
        <v/>
      </c>
      <c r="N3803" s="503" t="str">
        <f ca="1">IFERROR(IF(VLOOKUP(C3803,' Disaggregation - Section E '!A$618:N1927,14,0)=0,"",VLOOKUP(C3803,' Disaggregation - Section E '!A$618:N1927,14,0)),"")</f>
        <v/>
      </c>
      <c r="O3803" s="503" t="str">
        <f ca="1">IFERROR(IF(VLOOKUP(C3803,' Disaggregation - Section E '!A$618:N1927,9,0)=0,"",VLOOKUP(C3803,' Disaggregation - Section E '!A$618:N1927,9,0)),"")</f>
        <v/>
      </c>
      <c r="P3803" s="503" t="str">
        <f ca="1">IFERROR(IF(VLOOKUP(C3803,' Disaggregation - Section E '!A$618:N1927,10,0)=0,"",VLOOKUP(C3803,' Disaggregation - Section E '!A$618:N1927,10,0)),"")</f>
        <v/>
      </c>
    </row>
    <row r="3804" spans="1:16" x14ac:dyDescent="0.35">
      <c r="A3804" s="497" t="b">
        <f t="shared" ca="1" si="227"/>
        <v>0</v>
      </c>
      <c r="B3804" s="497"/>
      <c r="C3804" s="510" t="str">
        <f ca="1">IF(COUNTA(D$2498:D3804)=1,"",OFFSET(B3802,-COUNTA(D$2498:D3804)+3,1))</f>
        <v>a163p000004NtVyAAK</v>
      </c>
      <c r="D3804" s="512"/>
      <c r="E3804" s="500" t="str">
        <f ca="1">IFERROR(IF(VLOOKUP(C3804,' Disaggregation - Section E '!A$618:N1928,7,0)="","",VLOOKUP(C3804,' Disaggregation - Section E '!A$618:N1928,7,0)*100),"")</f>
        <v/>
      </c>
      <c r="F3804" s="503" t="str">
        <f ca="1">IFERROR(VLOOKUP(C3804,' Disaggregation - Section E '!A$618:N1928,5,0),"")</f>
        <v/>
      </c>
      <c r="G3804" s="502" t="str">
        <f ca="1">IFERROR(IF(VLOOKUP(C3804,' Disaggregation - Section E '!A$618:N1928,6,0)="","",VLOOKUP(C3804,' Disaggregation - Section E '!A$618:N1928,6,0)),"")</f>
        <v/>
      </c>
      <c r="H3804" s="512" t="str">
        <f ca="1">IFERROR(IF(INDEX(' Disaggregation - Section E '!F$618:F3125,MATCH(C3804,' Disaggregation - Section E '!A$618:A3125,0)+1,1)&lt;&gt;0,INDEX(' Disaggregation - Section E '!F$618:F$1820,MATCH(C3804,' Disaggregation - Section E '!A$618:A3125,0)+1,1),""),"")</f>
        <v/>
      </c>
      <c r="I3804" s="503" t="str">
        <f ca="1">IFERROR(IF(VLOOKUP(C3804,' Disaggregation - Section E '!A$618:N1928,8,0)=0,"",VLOOKUP(C3804,' Disaggregation - Section E '!A$618:N1928,8,0)),"")</f>
        <v/>
      </c>
      <c r="J3804" s="503" t="str">
        <f ca="1">IFERROR(IF(VLOOKUP(C3804,' Disaggregation - Section E '!A$618:N3125,13,0)=0,"",VLOOKUP(C3804,' Disaggregation - Section E '!A$618:N3125,13,0)),"")</f>
        <v/>
      </c>
      <c r="K3804" s="497" t="str">
        <f ca="1">IFERROR(VLOOKUP(C3804,' Disaggregation - Section E '!A$618:N1928,3,0),"")</f>
        <v>TCP-6a Número de casos de tuberculosis (en todas sus formas) notificados entre reclusos.</v>
      </c>
      <c r="L3804" s="497"/>
      <c r="M3804" s="497" t="str">
        <f ca="1">IFERROR(IF(VLOOKUP(C3804,' Disaggregation - Section E '!A$618:T1928,20,0)=0,"",VLOOKUP(C3804,' Disaggregation - Section E '!A$618:T1928,20,0)),"")</f>
        <v/>
      </c>
      <c r="N3804" s="503" t="str">
        <f ca="1">IFERROR(IF(VLOOKUP(C3804,' Disaggregation - Section E '!A$618:N1928,14,0)=0,"",VLOOKUP(C3804,' Disaggregation - Section E '!A$618:N1928,14,0)),"")</f>
        <v/>
      </c>
      <c r="O3804" s="503" t="str">
        <f ca="1">IFERROR(IF(VLOOKUP(C3804,' Disaggregation - Section E '!A$618:N1928,9,0)=0,"",VLOOKUP(C3804,' Disaggregation - Section E '!A$618:N1928,9,0)),"")</f>
        <v/>
      </c>
      <c r="P3804" s="503" t="str">
        <f ca="1">IFERROR(IF(VLOOKUP(C3804,' Disaggregation - Section E '!A$618:N1928,10,0)=0,"",VLOOKUP(C3804,' Disaggregation - Section E '!A$618:N1928,10,0)),"")</f>
        <v/>
      </c>
    </row>
    <row r="3805" spans="1:16" x14ac:dyDescent="0.35">
      <c r="A3805" s="497" t="b">
        <f t="shared" ca="1" si="227"/>
        <v>0</v>
      </c>
      <c r="B3805" s="497"/>
      <c r="C3805" s="510" t="str">
        <f ca="1">IF(COUNTA(D$2498:D3805)=1,"",OFFSET(B3803,-COUNTA(D$2498:D3805)+3,1))</f>
        <v>a163p000004NtVzAAK</v>
      </c>
      <c r="D3805" s="512"/>
      <c r="E3805" s="500" t="str">
        <f ca="1">IFERROR(IF(VLOOKUP(C3805,' Disaggregation - Section E '!A$618:N1929,7,0)="","",VLOOKUP(C3805,' Disaggregation - Section E '!A$618:N1929,7,0)*100),"")</f>
        <v/>
      </c>
      <c r="F3805" s="503" t="str">
        <f ca="1">IFERROR(VLOOKUP(C3805,' Disaggregation - Section E '!A$618:N1929,5,0),"")</f>
        <v/>
      </c>
      <c r="G3805" s="502" t="str">
        <f ca="1">IFERROR(IF(VLOOKUP(C3805,' Disaggregation - Section E '!A$618:N1929,6,0)="","",VLOOKUP(C3805,' Disaggregation - Section E '!A$618:N1929,6,0)),"")</f>
        <v/>
      </c>
      <c r="H3805" s="512" t="str">
        <f ca="1">IFERROR(IF(INDEX(' Disaggregation - Section E '!F$618:F3126,MATCH(C3805,' Disaggregation - Section E '!A$618:A3126,0)+1,1)&lt;&gt;0,INDEX(' Disaggregation - Section E '!F$618:F$1820,MATCH(C3805,' Disaggregation - Section E '!A$618:A3126,0)+1,1),""),"")</f>
        <v/>
      </c>
      <c r="I3805" s="503" t="str">
        <f ca="1">IFERROR(IF(VLOOKUP(C3805,' Disaggregation - Section E '!A$618:N1929,8,0)=0,"",VLOOKUP(C3805,' Disaggregation - Section E '!A$618:N1929,8,0)),"")</f>
        <v/>
      </c>
      <c r="J3805" s="503" t="str">
        <f ca="1">IFERROR(IF(VLOOKUP(C3805,' Disaggregation - Section E '!A$618:N3126,13,0)=0,"",VLOOKUP(C3805,' Disaggregation - Section E '!A$618:N3126,13,0)),"")</f>
        <v/>
      </c>
      <c r="K3805" s="497" t="str">
        <f ca="1">IFERROR(VLOOKUP(C3805,' Disaggregation - Section E '!A$618:N1929,3,0),"")</f>
        <v>TCP-6a Número de casos de tuberculosis (en todas sus formas) notificados entre reclusos.</v>
      </c>
      <c r="L3805" s="497"/>
      <c r="M3805" s="497" t="str">
        <f ca="1">IFERROR(IF(VLOOKUP(C3805,' Disaggregation - Section E '!A$618:T1929,20,0)=0,"",VLOOKUP(C3805,' Disaggregation - Section E '!A$618:T1929,20,0)),"")</f>
        <v/>
      </c>
      <c r="N3805" s="503" t="str">
        <f ca="1">IFERROR(IF(VLOOKUP(C3805,' Disaggregation - Section E '!A$618:N1929,14,0)=0,"",VLOOKUP(C3805,' Disaggregation - Section E '!A$618:N1929,14,0)),"")</f>
        <v/>
      </c>
      <c r="O3805" s="503" t="str">
        <f ca="1">IFERROR(IF(VLOOKUP(C3805,' Disaggregation - Section E '!A$618:N1929,9,0)=0,"",VLOOKUP(C3805,' Disaggregation - Section E '!A$618:N1929,9,0)),"")</f>
        <v/>
      </c>
      <c r="P3805" s="503" t="str">
        <f ca="1">IFERROR(IF(VLOOKUP(C3805,' Disaggregation - Section E '!A$618:N1929,10,0)=0,"",VLOOKUP(C3805,' Disaggregation - Section E '!A$618:N1929,10,0)),"")</f>
        <v/>
      </c>
    </row>
    <row r="3806" spans="1:16" x14ac:dyDescent="0.35">
      <c r="A3806" s="497" t="b">
        <f t="shared" ca="1" si="227"/>
        <v>0</v>
      </c>
      <c r="B3806" s="497"/>
      <c r="C3806" s="510" t="str">
        <f ca="1">IF(COUNTA(D$2498:D3806)=1,"",OFFSET(B3804,-COUNTA(D$2498:D3806)+3,1))</f>
        <v>a163p000004NtW0AAK</v>
      </c>
      <c r="D3806" s="512"/>
      <c r="E3806" s="500" t="str">
        <f ca="1">IFERROR(IF(VLOOKUP(C3806,' Disaggregation - Section E '!A$618:N1930,7,0)="","",VLOOKUP(C3806,' Disaggregation - Section E '!A$618:N1930,7,0)*100),"")</f>
        <v/>
      </c>
      <c r="F3806" s="503" t="str">
        <f ca="1">IFERROR(VLOOKUP(C3806,' Disaggregation - Section E '!A$618:N1930,5,0),"")</f>
        <v/>
      </c>
      <c r="G3806" s="502" t="str">
        <f ca="1">IFERROR(IF(VLOOKUP(C3806,' Disaggregation - Section E '!A$618:N1930,6,0)="","",VLOOKUP(C3806,' Disaggregation - Section E '!A$618:N1930,6,0)),"")</f>
        <v/>
      </c>
      <c r="H3806" s="512" t="str">
        <f ca="1">IFERROR(IF(INDEX(' Disaggregation - Section E '!F$618:F3127,MATCH(C3806,' Disaggregation - Section E '!A$618:A3127,0)+1,1)&lt;&gt;0,INDEX(' Disaggregation - Section E '!F$618:F$1820,MATCH(C3806,' Disaggregation - Section E '!A$618:A3127,0)+1,1),""),"")</f>
        <v/>
      </c>
      <c r="I3806" s="503" t="str">
        <f ca="1">IFERROR(IF(VLOOKUP(C3806,' Disaggregation - Section E '!A$618:N1930,8,0)=0,"",VLOOKUP(C3806,' Disaggregation - Section E '!A$618:N1930,8,0)),"")</f>
        <v/>
      </c>
      <c r="J3806" s="503" t="str">
        <f ca="1">IFERROR(IF(VLOOKUP(C3806,' Disaggregation - Section E '!A$618:N3127,13,0)=0,"",VLOOKUP(C3806,' Disaggregation - Section E '!A$618:N3127,13,0)),"")</f>
        <v/>
      </c>
      <c r="K3806" s="497" t="str">
        <f ca="1">IFERROR(VLOOKUP(C3806,' Disaggregation - Section E '!A$618:N1930,3,0),"")</f>
        <v>TCP-6a Número de casos de tuberculosis (en todas sus formas) notificados entre reclusos.</v>
      </c>
      <c r="L3806" s="497"/>
      <c r="M3806" s="497" t="str">
        <f ca="1">IFERROR(IF(VLOOKUP(C3806,' Disaggregation - Section E '!A$618:T1930,20,0)=0,"",VLOOKUP(C3806,' Disaggregation - Section E '!A$618:T1930,20,0)),"")</f>
        <v/>
      </c>
      <c r="N3806" s="503" t="str">
        <f ca="1">IFERROR(IF(VLOOKUP(C3806,' Disaggregation - Section E '!A$618:N1930,14,0)=0,"",VLOOKUP(C3806,' Disaggregation - Section E '!A$618:N1930,14,0)),"")</f>
        <v/>
      </c>
      <c r="O3806" s="503" t="str">
        <f ca="1">IFERROR(IF(VLOOKUP(C3806,' Disaggregation - Section E '!A$618:N1930,9,0)=0,"",VLOOKUP(C3806,' Disaggregation - Section E '!A$618:N1930,9,0)),"")</f>
        <v/>
      </c>
      <c r="P3806" s="503" t="str">
        <f ca="1">IFERROR(IF(VLOOKUP(C3806,' Disaggregation - Section E '!A$618:N1930,10,0)=0,"",VLOOKUP(C3806,' Disaggregation - Section E '!A$618:N1930,10,0)),"")</f>
        <v/>
      </c>
    </row>
    <row r="3807" spans="1:16" x14ac:dyDescent="0.35">
      <c r="A3807" s="497" t="b">
        <f t="shared" ca="1" si="227"/>
        <v>0</v>
      </c>
      <c r="B3807" s="497"/>
      <c r="C3807" s="510" t="str">
        <f ca="1">IF(COUNTA(D$2498:D3807)=1,"",OFFSET(B3805,-COUNTA(D$2498:D3807)+3,1))</f>
        <v>a163p000004NtW1AAK</v>
      </c>
      <c r="D3807" s="512"/>
      <c r="E3807" s="500" t="str">
        <f ca="1">IFERROR(IF(VLOOKUP(C3807,' Disaggregation - Section E '!A$618:N1931,7,0)="","",VLOOKUP(C3807,' Disaggregation - Section E '!A$618:N1931,7,0)*100),"")</f>
        <v/>
      </c>
      <c r="F3807" s="503" t="str">
        <f ca="1">IFERROR(VLOOKUP(C3807,' Disaggregation - Section E '!A$618:N1931,5,0),"")</f>
        <v/>
      </c>
      <c r="G3807" s="502" t="str">
        <f ca="1">IFERROR(IF(VLOOKUP(C3807,' Disaggregation - Section E '!A$618:N1931,6,0)="","",VLOOKUP(C3807,' Disaggregation - Section E '!A$618:N1931,6,0)),"")</f>
        <v/>
      </c>
      <c r="H3807" s="512" t="str">
        <f ca="1">IFERROR(IF(INDEX(' Disaggregation - Section E '!F$618:F3128,MATCH(C3807,' Disaggregation - Section E '!A$618:A3128,0)+1,1)&lt;&gt;0,INDEX(' Disaggregation - Section E '!F$618:F$1820,MATCH(C3807,' Disaggregation - Section E '!A$618:A3128,0)+1,1),""),"")</f>
        <v/>
      </c>
      <c r="I3807" s="503" t="str">
        <f ca="1">IFERROR(IF(VLOOKUP(C3807,' Disaggregation - Section E '!A$618:N1931,8,0)=0,"",VLOOKUP(C3807,' Disaggregation - Section E '!A$618:N1931,8,0)),"")</f>
        <v/>
      </c>
      <c r="J3807" s="503" t="str">
        <f ca="1">IFERROR(IF(VLOOKUP(C3807,' Disaggregation - Section E '!A$618:N3128,13,0)=0,"",VLOOKUP(C3807,' Disaggregation - Section E '!A$618:N3128,13,0)),"")</f>
        <v/>
      </c>
      <c r="K3807" s="497" t="str">
        <f ca="1">IFERROR(VLOOKUP(C3807,' Disaggregation - Section E '!A$618:N1931,3,0),"")</f>
        <v>TCP-6a Número de casos de tuberculosis (en todas sus formas) notificados entre reclusos.</v>
      </c>
      <c r="L3807" s="497"/>
      <c r="M3807" s="497" t="str">
        <f ca="1">IFERROR(IF(VLOOKUP(C3807,' Disaggregation - Section E '!A$618:T1931,20,0)=0,"",VLOOKUP(C3807,' Disaggregation - Section E '!A$618:T1931,20,0)),"")</f>
        <v/>
      </c>
      <c r="N3807" s="503" t="str">
        <f ca="1">IFERROR(IF(VLOOKUP(C3807,' Disaggregation - Section E '!A$618:N1931,14,0)=0,"",VLOOKUP(C3807,' Disaggregation - Section E '!A$618:N1931,14,0)),"")</f>
        <v/>
      </c>
      <c r="O3807" s="503" t="str">
        <f ca="1">IFERROR(IF(VLOOKUP(C3807,' Disaggregation - Section E '!A$618:N1931,9,0)=0,"",VLOOKUP(C3807,' Disaggregation - Section E '!A$618:N1931,9,0)),"")</f>
        <v/>
      </c>
      <c r="P3807" s="503" t="str">
        <f ca="1">IFERROR(IF(VLOOKUP(C3807,' Disaggregation - Section E '!A$618:N1931,10,0)=0,"",VLOOKUP(C3807,' Disaggregation - Section E '!A$618:N1931,10,0)),"")</f>
        <v/>
      </c>
    </row>
    <row r="3808" spans="1:16" x14ac:dyDescent="0.35">
      <c r="A3808" s="497" t="b">
        <f t="shared" ca="1" si="227"/>
        <v>0</v>
      </c>
      <c r="B3808" s="497"/>
      <c r="C3808" s="510" t="str">
        <f ca="1">IF(COUNTA(D$2498:D3808)=1,"",OFFSET(B3806,-COUNTA(D$2498:D3808)+3,1))</f>
        <v>a163p000004NtW2AAK</v>
      </c>
      <c r="D3808" s="512"/>
      <c r="E3808" s="500" t="str">
        <f ca="1">IFERROR(IF(VLOOKUP(C3808,' Disaggregation - Section E '!A$618:N1932,7,0)="","",VLOOKUP(C3808,' Disaggregation - Section E '!A$618:N1932,7,0)*100),"")</f>
        <v/>
      </c>
      <c r="F3808" s="503" t="str">
        <f ca="1">IFERROR(VLOOKUP(C3808,' Disaggregation - Section E '!A$618:N1932,5,0),"")</f>
        <v/>
      </c>
      <c r="G3808" s="502" t="str">
        <f ca="1">IFERROR(IF(VLOOKUP(C3808,' Disaggregation - Section E '!A$618:N1932,6,0)="","",VLOOKUP(C3808,' Disaggregation - Section E '!A$618:N1932,6,0)),"")</f>
        <v/>
      </c>
      <c r="H3808" s="512" t="str">
        <f ca="1">IFERROR(IF(INDEX(' Disaggregation - Section E '!F$618:F3129,MATCH(C3808,' Disaggregation - Section E '!A$618:A3129,0)+1,1)&lt;&gt;0,INDEX(' Disaggregation - Section E '!F$618:F$1820,MATCH(C3808,' Disaggregation - Section E '!A$618:A3129,0)+1,1),""),"")</f>
        <v/>
      </c>
      <c r="I3808" s="503" t="str">
        <f ca="1">IFERROR(IF(VLOOKUP(C3808,' Disaggregation - Section E '!A$618:N1932,8,0)=0,"",VLOOKUP(C3808,' Disaggregation - Section E '!A$618:N1932,8,0)),"")</f>
        <v/>
      </c>
      <c r="J3808" s="503" t="str">
        <f ca="1">IFERROR(IF(VLOOKUP(C3808,' Disaggregation - Section E '!A$618:N3129,13,0)=0,"",VLOOKUP(C3808,' Disaggregation - Section E '!A$618:N3129,13,0)),"")</f>
        <v/>
      </c>
      <c r="K3808" s="497" t="str">
        <f ca="1">IFERROR(VLOOKUP(C3808,' Disaggregation - Section E '!A$618:N1932,3,0),"")</f>
        <v>TCP-6a Número de casos de tuberculosis (en todas sus formas) notificados entre reclusos.</v>
      </c>
      <c r="L3808" s="497"/>
      <c r="M3808" s="497" t="str">
        <f ca="1">IFERROR(IF(VLOOKUP(C3808,' Disaggregation - Section E '!A$618:T1932,20,0)=0,"",VLOOKUP(C3808,' Disaggregation - Section E '!A$618:T1932,20,0)),"")</f>
        <v/>
      </c>
      <c r="N3808" s="503" t="str">
        <f ca="1">IFERROR(IF(VLOOKUP(C3808,' Disaggregation - Section E '!A$618:N1932,14,0)=0,"",VLOOKUP(C3808,' Disaggregation - Section E '!A$618:N1932,14,0)),"")</f>
        <v/>
      </c>
      <c r="O3808" s="503" t="str">
        <f ca="1">IFERROR(IF(VLOOKUP(C3808,' Disaggregation - Section E '!A$618:N1932,9,0)=0,"",VLOOKUP(C3808,' Disaggregation - Section E '!A$618:N1932,9,0)),"")</f>
        <v/>
      </c>
      <c r="P3808" s="503" t="str">
        <f ca="1">IFERROR(IF(VLOOKUP(C3808,' Disaggregation - Section E '!A$618:N1932,10,0)=0,"",VLOOKUP(C3808,' Disaggregation - Section E '!A$618:N1932,10,0)),"")</f>
        <v/>
      </c>
    </row>
    <row r="3809" spans="1:16" x14ac:dyDescent="0.35">
      <c r="A3809" s="497" t="b">
        <f t="shared" ca="1" si="227"/>
        <v>0</v>
      </c>
      <c r="B3809" s="497"/>
      <c r="C3809" s="510" t="str">
        <f ca="1">IF(COUNTA(D$2498:D3809)=1,"",OFFSET(B3807,-COUNTA(D$2498:D3809)+3,1))</f>
        <v>a163p000004NtW3AAK</v>
      </c>
      <c r="D3809" s="512"/>
      <c r="E3809" s="500" t="str">
        <f ca="1">IFERROR(IF(VLOOKUP(C3809,' Disaggregation - Section E '!A$618:N1933,7,0)="","",VLOOKUP(C3809,' Disaggregation - Section E '!A$618:N1933,7,0)*100),"")</f>
        <v/>
      </c>
      <c r="F3809" s="503" t="str">
        <f ca="1">IFERROR(VLOOKUP(C3809,' Disaggregation - Section E '!A$618:N1933,5,0),"")</f>
        <v/>
      </c>
      <c r="G3809" s="502" t="str">
        <f ca="1">IFERROR(IF(VLOOKUP(C3809,' Disaggregation - Section E '!A$618:N1933,6,0)="","",VLOOKUP(C3809,' Disaggregation - Section E '!A$618:N1933,6,0)),"")</f>
        <v/>
      </c>
      <c r="H3809" s="512" t="str">
        <f ca="1">IFERROR(IF(INDEX(' Disaggregation - Section E '!F$618:F3130,MATCH(C3809,' Disaggregation - Section E '!A$618:A3130,0)+1,1)&lt;&gt;0,INDEX(' Disaggregation - Section E '!F$618:F$1820,MATCH(C3809,' Disaggregation - Section E '!A$618:A3130,0)+1,1),""),"")</f>
        <v/>
      </c>
      <c r="I3809" s="503" t="str">
        <f ca="1">IFERROR(IF(VLOOKUP(C3809,' Disaggregation - Section E '!A$618:N1933,8,0)=0,"",VLOOKUP(C3809,' Disaggregation - Section E '!A$618:N1933,8,0)),"")</f>
        <v/>
      </c>
      <c r="J3809" s="503" t="str">
        <f ca="1">IFERROR(IF(VLOOKUP(C3809,' Disaggregation - Section E '!A$618:N3130,13,0)=0,"",VLOOKUP(C3809,' Disaggregation - Section E '!A$618:N3130,13,0)),"")</f>
        <v/>
      </c>
      <c r="K3809" s="497" t="str">
        <f ca="1">IFERROR(VLOOKUP(C3809,' Disaggregation - Section E '!A$618:N1933,3,0),"")</f>
        <v>TCP-6a Número de casos de tuberculosis (en todas sus formas) notificados entre reclusos.</v>
      </c>
      <c r="L3809" s="497"/>
      <c r="M3809" s="497" t="str">
        <f ca="1">IFERROR(IF(VLOOKUP(C3809,' Disaggregation - Section E '!A$618:T1933,20,0)=0,"",VLOOKUP(C3809,' Disaggregation - Section E '!A$618:T1933,20,0)),"")</f>
        <v/>
      </c>
      <c r="N3809" s="503" t="str">
        <f ca="1">IFERROR(IF(VLOOKUP(C3809,' Disaggregation - Section E '!A$618:N1933,14,0)=0,"",VLOOKUP(C3809,' Disaggregation - Section E '!A$618:N1933,14,0)),"")</f>
        <v/>
      </c>
      <c r="O3809" s="503" t="str">
        <f ca="1">IFERROR(IF(VLOOKUP(C3809,' Disaggregation - Section E '!A$618:N1933,9,0)=0,"",VLOOKUP(C3809,' Disaggregation - Section E '!A$618:N1933,9,0)),"")</f>
        <v/>
      </c>
      <c r="P3809" s="503" t="str">
        <f ca="1">IFERROR(IF(VLOOKUP(C3809,' Disaggregation - Section E '!A$618:N1933,10,0)=0,"",VLOOKUP(C3809,' Disaggregation - Section E '!A$618:N1933,10,0)),"")</f>
        <v/>
      </c>
    </row>
    <row r="3810" spans="1:16" x14ac:dyDescent="0.35">
      <c r="A3810" s="497" t="b">
        <f t="shared" ca="1" si="227"/>
        <v>0</v>
      </c>
      <c r="B3810" s="497"/>
      <c r="C3810" s="510" t="str">
        <f ca="1">IF(COUNTA(D$2498:D3810)=1,"",OFFSET(B3808,-COUNTA(D$2498:D3810)+3,1))</f>
        <v>a163p000004NtW4AAK</v>
      </c>
      <c r="D3810" s="512"/>
      <c r="E3810" s="500" t="str">
        <f ca="1">IFERROR(IF(VLOOKUP(C3810,' Disaggregation - Section E '!A$618:N1934,7,0)="","",VLOOKUP(C3810,' Disaggregation - Section E '!A$618:N1934,7,0)*100),"")</f>
        <v/>
      </c>
      <c r="F3810" s="503" t="str">
        <f ca="1">IFERROR(VLOOKUP(C3810,' Disaggregation - Section E '!A$618:N1934,5,0),"")</f>
        <v/>
      </c>
      <c r="G3810" s="502" t="str">
        <f ca="1">IFERROR(IF(VLOOKUP(C3810,' Disaggregation - Section E '!A$618:N1934,6,0)="","",VLOOKUP(C3810,' Disaggregation - Section E '!A$618:N1934,6,0)),"")</f>
        <v/>
      </c>
      <c r="H3810" s="512" t="str">
        <f ca="1">IFERROR(IF(INDEX(' Disaggregation - Section E '!F$618:F3131,MATCH(C3810,' Disaggregation - Section E '!A$618:A3131,0)+1,1)&lt;&gt;0,INDEX(' Disaggregation - Section E '!F$618:F$1820,MATCH(C3810,' Disaggregation - Section E '!A$618:A3131,0)+1,1),""),"")</f>
        <v/>
      </c>
      <c r="I3810" s="503" t="str">
        <f ca="1">IFERROR(IF(VLOOKUP(C3810,' Disaggregation - Section E '!A$618:N1934,8,0)=0,"",VLOOKUP(C3810,' Disaggregation - Section E '!A$618:N1934,8,0)),"")</f>
        <v/>
      </c>
      <c r="J3810" s="503" t="str">
        <f ca="1">IFERROR(IF(VLOOKUP(C3810,' Disaggregation - Section E '!A$618:N3131,13,0)=0,"",VLOOKUP(C3810,' Disaggregation - Section E '!A$618:N3131,13,0)),"")</f>
        <v/>
      </c>
      <c r="K3810" s="497" t="str">
        <f ca="1">IFERROR(VLOOKUP(C3810,' Disaggregation - Section E '!A$618:N1934,3,0),"")</f>
        <v>TCP-6a Número de casos de tuberculosis (en todas sus formas) notificados entre reclusos.</v>
      </c>
      <c r="L3810" s="497"/>
      <c r="M3810" s="497" t="str">
        <f ca="1">IFERROR(IF(VLOOKUP(C3810,' Disaggregation - Section E '!A$618:T1934,20,0)=0,"",VLOOKUP(C3810,' Disaggregation - Section E '!A$618:T1934,20,0)),"")</f>
        <v/>
      </c>
      <c r="N3810" s="503" t="str">
        <f ca="1">IFERROR(IF(VLOOKUP(C3810,' Disaggregation - Section E '!A$618:N1934,14,0)=0,"",VLOOKUP(C3810,' Disaggregation - Section E '!A$618:N1934,14,0)),"")</f>
        <v/>
      </c>
      <c r="O3810" s="503" t="str">
        <f ca="1">IFERROR(IF(VLOOKUP(C3810,' Disaggregation - Section E '!A$618:N1934,9,0)=0,"",VLOOKUP(C3810,' Disaggregation - Section E '!A$618:N1934,9,0)),"")</f>
        <v/>
      </c>
      <c r="P3810" s="503" t="str">
        <f ca="1">IFERROR(IF(VLOOKUP(C3810,' Disaggregation - Section E '!A$618:N1934,10,0)=0,"",VLOOKUP(C3810,' Disaggregation - Section E '!A$618:N1934,10,0)),"")</f>
        <v/>
      </c>
    </row>
    <row r="3811" spans="1:16" x14ac:dyDescent="0.35">
      <c r="A3811" s="497" t="b">
        <f t="shared" ca="1" si="227"/>
        <v>0</v>
      </c>
      <c r="B3811" s="497"/>
      <c r="C3811" s="510" t="str">
        <f ca="1">IF(COUNTA(D$2498:D3811)=1,"",OFFSET(B3809,-COUNTA(D$2498:D3811)+3,1))</f>
        <v>a163p000004NtW5AAK</v>
      </c>
      <c r="D3811" s="512"/>
      <c r="E3811" s="500" t="str">
        <f ca="1">IFERROR(IF(VLOOKUP(C3811,' Disaggregation - Section E '!A$618:N1935,7,0)="","",VLOOKUP(C3811,' Disaggregation - Section E '!A$618:N1935,7,0)*100),"")</f>
        <v/>
      </c>
      <c r="F3811" s="503" t="str">
        <f ca="1">IFERROR(VLOOKUP(C3811,' Disaggregation - Section E '!A$618:N1935,5,0),"")</f>
        <v/>
      </c>
      <c r="G3811" s="502" t="str">
        <f ca="1">IFERROR(IF(VLOOKUP(C3811,' Disaggregation - Section E '!A$618:N1935,6,0)="","",VLOOKUP(C3811,' Disaggregation - Section E '!A$618:N1935,6,0)),"")</f>
        <v/>
      </c>
      <c r="H3811" s="512" t="str">
        <f ca="1">IFERROR(IF(INDEX(' Disaggregation - Section E '!F$618:F3132,MATCH(C3811,' Disaggregation - Section E '!A$618:A3132,0)+1,1)&lt;&gt;0,INDEX(' Disaggregation - Section E '!F$618:F$1820,MATCH(C3811,' Disaggregation - Section E '!A$618:A3132,0)+1,1),""),"")</f>
        <v/>
      </c>
      <c r="I3811" s="503" t="str">
        <f ca="1">IFERROR(IF(VLOOKUP(C3811,' Disaggregation - Section E '!A$618:N1935,8,0)=0,"",VLOOKUP(C3811,' Disaggregation - Section E '!A$618:N1935,8,0)),"")</f>
        <v/>
      </c>
      <c r="J3811" s="503" t="str">
        <f ca="1">IFERROR(IF(VLOOKUP(C3811,' Disaggregation - Section E '!A$618:N3132,13,0)=0,"",VLOOKUP(C3811,' Disaggregation - Section E '!A$618:N3132,13,0)),"")</f>
        <v/>
      </c>
      <c r="K3811" s="497" t="str">
        <f ca="1">IFERROR(VLOOKUP(C3811,' Disaggregation - Section E '!A$618:N1935,3,0),"")</f>
        <v>TCP-6a Número de casos de tuberculosis (en todas sus formas) notificados entre reclusos.</v>
      </c>
      <c r="L3811" s="497"/>
      <c r="M3811" s="497" t="str">
        <f ca="1">IFERROR(IF(VLOOKUP(C3811,' Disaggregation - Section E '!A$618:T1935,20,0)=0,"",VLOOKUP(C3811,' Disaggregation - Section E '!A$618:T1935,20,0)),"")</f>
        <v/>
      </c>
      <c r="N3811" s="503" t="str">
        <f ca="1">IFERROR(IF(VLOOKUP(C3811,' Disaggregation - Section E '!A$618:N1935,14,0)=0,"",VLOOKUP(C3811,' Disaggregation - Section E '!A$618:N1935,14,0)),"")</f>
        <v/>
      </c>
      <c r="O3811" s="503" t="str">
        <f ca="1">IFERROR(IF(VLOOKUP(C3811,' Disaggregation - Section E '!A$618:N1935,9,0)=0,"",VLOOKUP(C3811,' Disaggregation - Section E '!A$618:N1935,9,0)),"")</f>
        <v/>
      </c>
      <c r="P3811" s="503" t="str">
        <f ca="1">IFERROR(IF(VLOOKUP(C3811,' Disaggregation - Section E '!A$618:N1935,10,0)=0,"",VLOOKUP(C3811,' Disaggregation - Section E '!A$618:N1935,10,0)),"")</f>
        <v/>
      </c>
    </row>
    <row r="3812" spans="1:16" x14ac:dyDescent="0.35">
      <c r="A3812" s="497" t="b">
        <f t="shared" ca="1" si="227"/>
        <v>0</v>
      </c>
      <c r="B3812" s="497"/>
      <c r="C3812" s="510" t="str">
        <f ca="1">IF(COUNTA(D$2498:D3812)=1,"",OFFSET(B3810,-COUNTA(D$2498:D3812)+3,1))</f>
        <v>a163p000004NtW6AAK</v>
      </c>
      <c r="D3812" s="512"/>
      <c r="E3812" s="500" t="str">
        <f ca="1">IFERROR(IF(VLOOKUP(C3812,' Disaggregation - Section E '!A$618:N1936,7,0)="","",VLOOKUP(C3812,' Disaggregation - Section E '!A$618:N1936,7,0)*100),"")</f>
        <v/>
      </c>
      <c r="F3812" s="503" t="str">
        <f ca="1">IFERROR(VLOOKUP(C3812,' Disaggregation - Section E '!A$618:N1936,5,0),"")</f>
        <v/>
      </c>
      <c r="G3812" s="502" t="str">
        <f ca="1">IFERROR(IF(VLOOKUP(C3812,' Disaggregation - Section E '!A$618:N1936,6,0)="","",VLOOKUP(C3812,' Disaggregation - Section E '!A$618:N1936,6,0)),"")</f>
        <v/>
      </c>
      <c r="H3812" s="512" t="str">
        <f ca="1">IFERROR(IF(INDEX(' Disaggregation - Section E '!F$618:F3133,MATCH(C3812,' Disaggregation - Section E '!A$618:A3133,0)+1,1)&lt;&gt;0,INDEX(' Disaggregation - Section E '!F$618:F$1820,MATCH(C3812,' Disaggregation - Section E '!A$618:A3133,0)+1,1),""),"")</f>
        <v/>
      </c>
      <c r="I3812" s="503" t="str">
        <f ca="1">IFERROR(IF(VLOOKUP(C3812,' Disaggregation - Section E '!A$618:N1936,8,0)=0,"",VLOOKUP(C3812,' Disaggregation - Section E '!A$618:N1936,8,0)),"")</f>
        <v/>
      </c>
      <c r="J3812" s="503" t="str">
        <f ca="1">IFERROR(IF(VLOOKUP(C3812,' Disaggregation - Section E '!A$618:N3133,13,0)=0,"",VLOOKUP(C3812,' Disaggregation - Section E '!A$618:N3133,13,0)),"")</f>
        <v/>
      </c>
      <c r="K3812" s="497" t="str">
        <f ca="1">IFERROR(VLOOKUP(C3812,' Disaggregation - Section E '!A$618:N1936,3,0),"")</f>
        <v>TCP-6a Número de casos de tuberculosis (en todas sus formas) notificados entre reclusos.</v>
      </c>
      <c r="L3812" s="497"/>
      <c r="M3812" s="497" t="str">
        <f ca="1">IFERROR(IF(VLOOKUP(C3812,' Disaggregation - Section E '!A$618:T1936,20,0)=0,"",VLOOKUP(C3812,' Disaggregation - Section E '!A$618:T1936,20,0)),"")</f>
        <v/>
      </c>
      <c r="N3812" s="503" t="str">
        <f ca="1">IFERROR(IF(VLOOKUP(C3812,' Disaggregation - Section E '!A$618:N1936,14,0)=0,"",VLOOKUP(C3812,' Disaggregation - Section E '!A$618:N1936,14,0)),"")</f>
        <v/>
      </c>
      <c r="O3812" s="503" t="str">
        <f ca="1">IFERROR(IF(VLOOKUP(C3812,' Disaggregation - Section E '!A$618:N1936,9,0)=0,"",VLOOKUP(C3812,' Disaggregation - Section E '!A$618:N1936,9,0)),"")</f>
        <v/>
      </c>
      <c r="P3812" s="503" t="str">
        <f ca="1">IFERROR(IF(VLOOKUP(C3812,' Disaggregation - Section E '!A$618:N1936,10,0)=0,"",VLOOKUP(C3812,' Disaggregation - Section E '!A$618:N1936,10,0)),"")</f>
        <v/>
      </c>
    </row>
    <row r="3813" spans="1:16" x14ac:dyDescent="0.35">
      <c r="A3813" s="497" t="b">
        <f t="shared" ca="1" si="227"/>
        <v>0</v>
      </c>
      <c r="B3813" s="497"/>
      <c r="C3813" s="510" t="str">
        <f ca="1">IF(COUNTA(D$2498:D3813)=1,"",OFFSET(B3811,-COUNTA(D$2498:D3813)+3,1))</f>
        <v>a163p000004NtW7AAK</v>
      </c>
      <c r="D3813" s="512"/>
      <c r="E3813" s="500" t="str">
        <f ca="1">IFERROR(IF(VLOOKUP(C3813,' Disaggregation - Section E '!A$618:N1937,7,0)="","",VLOOKUP(C3813,' Disaggregation - Section E '!A$618:N1937,7,0)*100),"")</f>
        <v/>
      </c>
      <c r="F3813" s="503" t="str">
        <f ca="1">IFERROR(VLOOKUP(C3813,' Disaggregation - Section E '!A$618:N1937,5,0),"")</f>
        <v/>
      </c>
      <c r="G3813" s="502" t="str">
        <f ca="1">IFERROR(IF(VLOOKUP(C3813,' Disaggregation - Section E '!A$618:N1937,6,0)="","",VLOOKUP(C3813,' Disaggregation - Section E '!A$618:N1937,6,0)),"")</f>
        <v/>
      </c>
      <c r="H3813" s="512" t="str">
        <f ca="1">IFERROR(IF(INDEX(' Disaggregation - Section E '!F$618:F3134,MATCH(C3813,' Disaggregation - Section E '!A$618:A3134,0)+1,1)&lt;&gt;0,INDEX(' Disaggregation - Section E '!F$618:F$1820,MATCH(C3813,' Disaggregation - Section E '!A$618:A3134,0)+1,1),""),"")</f>
        <v/>
      </c>
      <c r="I3813" s="503" t="str">
        <f ca="1">IFERROR(IF(VLOOKUP(C3813,' Disaggregation - Section E '!A$618:N1937,8,0)=0,"",VLOOKUP(C3813,' Disaggregation - Section E '!A$618:N1937,8,0)),"")</f>
        <v/>
      </c>
      <c r="J3813" s="503" t="str">
        <f ca="1">IFERROR(IF(VLOOKUP(C3813,' Disaggregation - Section E '!A$618:N3134,13,0)=0,"",VLOOKUP(C3813,' Disaggregation - Section E '!A$618:N3134,13,0)),"")</f>
        <v/>
      </c>
      <c r="K3813" s="497" t="str">
        <f ca="1">IFERROR(VLOOKUP(C3813,' Disaggregation - Section E '!A$618:N1937,3,0),"")</f>
        <v>TCP-6a Número de casos de tuberculosis (en todas sus formas) notificados entre reclusos.</v>
      </c>
      <c r="L3813" s="497"/>
      <c r="M3813" s="497" t="str">
        <f ca="1">IFERROR(IF(VLOOKUP(C3813,' Disaggregation - Section E '!A$618:T1937,20,0)=0,"",VLOOKUP(C3813,' Disaggregation - Section E '!A$618:T1937,20,0)),"")</f>
        <v/>
      </c>
      <c r="N3813" s="503" t="str">
        <f ca="1">IFERROR(IF(VLOOKUP(C3813,' Disaggregation - Section E '!A$618:N1937,14,0)=0,"",VLOOKUP(C3813,' Disaggregation - Section E '!A$618:N1937,14,0)),"")</f>
        <v/>
      </c>
      <c r="O3813" s="503" t="str">
        <f ca="1">IFERROR(IF(VLOOKUP(C3813,' Disaggregation - Section E '!A$618:N1937,9,0)=0,"",VLOOKUP(C3813,' Disaggregation - Section E '!A$618:N1937,9,0)),"")</f>
        <v/>
      </c>
      <c r="P3813" s="503" t="str">
        <f ca="1">IFERROR(IF(VLOOKUP(C3813,' Disaggregation - Section E '!A$618:N1937,10,0)=0,"",VLOOKUP(C3813,' Disaggregation - Section E '!A$618:N1937,10,0)),"")</f>
        <v/>
      </c>
    </row>
    <row r="3814" spans="1:16" x14ac:dyDescent="0.35">
      <c r="A3814" s="497" t="b">
        <f t="shared" ca="1" si="227"/>
        <v>0</v>
      </c>
      <c r="B3814" s="497"/>
      <c r="C3814" s="510" t="str">
        <f ca="1">IF(COUNTA(D$2498:D3814)=1,"",OFFSET(B3812,-COUNTA(D$2498:D3814)+3,1))</f>
        <v>a163p000004NtW8AAK</v>
      </c>
      <c r="D3814" s="512"/>
      <c r="E3814" s="500" t="str">
        <f ca="1">IFERROR(IF(VLOOKUP(C3814,' Disaggregation - Section E '!A$618:N1938,7,0)="","",VLOOKUP(C3814,' Disaggregation - Section E '!A$618:N1938,7,0)*100),"")</f>
        <v/>
      </c>
      <c r="F3814" s="503" t="str">
        <f ca="1">IFERROR(VLOOKUP(C3814,' Disaggregation - Section E '!A$618:N1938,5,0),"")</f>
        <v/>
      </c>
      <c r="G3814" s="502" t="str">
        <f ca="1">IFERROR(IF(VLOOKUP(C3814,' Disaggregation - Section E '!A$618:N1938,6,0)="","",VLOOKUP(C3814,' Disaggregation - Section E '!A$618:N1938,6,0)),"")</f>
        <v/>
      </c>
      <c r="H3814" s="512" t="str">
        <f ca="1">IFERROR(IF(INDEX(' Disaggregation - Section E '!F$618:F3135,MATCH(C3814,' Disaggregation - Section E '!A$618:A3135,0)+1,1)&lt;&gt;0,INDEX(' Disaggregation - Section E '!F$618:F$1820,MATCH(C3814,' Disaggregation - Section E '!A$618:A3135,0)+1,1),""),"")</f>
        <v/>
      </c>
      <c r="I3814" s="503" t="str">
        <f ca="1">IFERROR(IF(VLOOKUP(C3814,' Disaggregation - Section E '!A$618:N1938,8,0)=0,"",VLOOKUP(C3814,' Disaggregation - Section E '!A$618:N1938,8,0)),"")</f>
        <v/>
      </c>
      <c r="J3814" s="503" t="str">
        <f ca="1">IFERROR(IF(VLOOKUP(C3814,' Disaggregation - Section E '!A$618:N3135,13,0)=0,"",VLOOKUP(C3814,' Disaggregation - Section E '!A$618:N3135,13,0)),"")</f>
        <v/>
      </c>
      <c r="K3814" s="497" t="str">
        <f ca="1">IFERROR(VLOOKUP(C3814,' Disaggregation - Section E '!A$618:N1938,3,0),"")</f>
        <v>TCP-6a Número de casos de tuberculosis (en todas sus formas) notificados entre reclusos.</v>
      </c>
      <c r="L3814" s="497"/>
      <c r="M3814" s="497" t="str">
        <f ca="1">IFERROR(IF(VLOOKUP(C3814,' Disaggregation - Section E '!A$618:T1938,20,0)=0,"",VLOOKUP(C3814,' Disaggregation - Section E '!A$618:T1938,20,0)),"")</f>
        <v/>
      </c>
      <c r="N3814" s="503" t="str">
        <f ca="1">IFERROR(IF(VLOOKUP(C3814,' Disaggregation - Section E '!A$618:N1938,14,0)=0,"",VLOOKUP(C3814,' Disaggregation - Section E '!A$618:N1938,14,0)),"")</f>
        <v/>
      </c>
      <c r="O3814" s="503" t="str">
        <f ca="1">IFERROR(IF(VLOOKUP(C3814,' Disaggregation - Section E '!A$618:N1938,9,0)=0,"",VLOOKUP(C3814,' Disaggregation - Section E '!A$618:N1938,9,0)),"")</f>
        <v/>
      </c>
      <c r="P3814" s="503" t="str">
        <f ca="1">IFERROR(IF(VLOOKUP(C3814,' Disaggregation - Section E '!A$618:N1938,10,0)=0,"",VLOOKUP(C3814,' Disaggregation - Section E '!A$618:N1938,10,0)),"")</f>
        <v/>
      </c>
    </row>
    <row r="3815" spans="1:16" x14ac:dyDescent="0.35">
      <c r="A3815" s="497" t="b">
        <f t="shared" ca="1" si="227"/>
        <v>0</v>
      </c>
      <c r="B3815" s="497"/>
      <c r="C3815" s="510" t="str">
        <f ca="1">IF(COUNTA(D$2498:D3815)=1,"",OFFSET(B3813,-COUNTA(D$2498:D3815)+3,1))</f>
        <v>a163p000004NtW9AAK</v>
      </c>
      <c r="D3815" s="512"/>
      <c r="E3815" s="500" t="str">
        <f ca="1">IFERROR(IF(VLOOKUP(C3815,' Disaggregation - Section E '!A$618:N1939,7,0)="","",VLOOKUP(C3815,' Disaggregation - Section E '!A$618:N1939,7,0)*100),"")</f>
        <v/>
      </c>
      <c r="F3815" s="503" t="str">
        <f ca="1">IFERROR(VLOOKUP(C3815,' Disaggregation - Section E '!A$618:N1939,5,0),"")</f>
        <v/>
      </c>
      <c r="G3815" s="502" t="str">
        <f ca="1">IFERROR(IF(VLOOKUP(C3815,' Disaggregation - Section E '!A$618:N1939,6,0)="","",VLOOKUP(C3815,' Disaggregation - Section E '!A$618:N1939,6,0)),"")</f>
        <v/>
      </c>
      <c r="H3815" s="512" t="str">
        <f ca="1">IFERROR(IF(INDEX(' Disaggregation - Section E '!F$618:F3136,MATCH(C3815,' Disaggregation - Section E '!A$618:A3136,0)+1,1)&lt;&gt;0,INDEX(' Disaggregation - Section E '!F$618:F$1820,MATCH(C3815,' Disaggregation - Section E '!A$618:A3136,0)+1,1),""),"")</f>
        <v/>
      </c>
      <c r="I3815" s="503" t="str">
        <f ca="1">IFERROR(IF(VLOOKUP(C3815,' Disaggregation - Section E '!A$618:N1939,8,0)=0,"",VLOOKUP(C3815,' Disaggregation - Section E '!A$618:N1939,8,0)),"")</f>
        <v/>
      </c>
      <c r="J3815" s="503" t="str">
        <f ca="1">IFERROR(IF(VLOOKUP(C3815,' Disaggregation - Section E '!A$618:N3136,13,0)=0,"",VLOOKUP(C3815,' Disaggregation - Section E '!A$618:N3136,13,0)),"")</f>
        <v/>
      </c>
      <c r="K3815" s="497" t="str">
        <f ca="1">IFERROR(VLOOKUP(C3815,' Disaggregation - Section E '!A$618:N1939,3,0),"")</f>
        <v>TCP-6a Número de casos de tuberculosis (en todas sus formas) notificados entre reclusos.</v>
      </c>
      <c r="L3815" s="497"/>
      <c r="M3815" s="497" t="str">
        <f ca="1">IFERROR(IF(VLOOKUP(C3815,' Disaggregation - Section E '!A$618:T1939,20,0)=0,"",VLOOKUP(C3815,' Disaggregation - Section E '!A$618:T1939,20,0)),"")</f>
        <v/>
      </c>
      <c r="N3815" s="503" t="str">
        <f ca="1">IFERROR(IF(VLOOKUP(C3815,' Disaggregation - Section E '!A$618:N1939,14,0)=0,"",VLOOKUP(C3815,' Disaggregation - Section E '!A$618:N1939,14,0)),"")</f>
        <v/>
      </c>
      <c r="O3815" s="503" t="str">
        <f ca="1">IFERROR(IF(VLOOKUP(C3815,' Disaggregation - Section E '!A$618:N1939,9,0)=0,"",VLOOKUP(C3815,' Disaggregation - Section E '!A$618:N1939,9,0)),"")</f>
        <v/>
      </c>
      <c r="P3815" s="503" t="str">
        <f ca="1">IFERROR(IF(VLOOKUP(C3815,' Disaggregation - Section E '!A$618:N1939,10,0)=0,"",VLOOKUP(C3815,' Disaggregation - Section E '!A$618:N1939,10,0)),"")</f>
        <v/>
      </c>
    </row>
    <row r="3816" spans="1:16" x14ac:dyDescent="0.35">
      <c r="A3816" s="497" t="b">
        <f t="shared" ca="1" si="227"/>
        <v>0</v>
      </c>
      <c r="B3816" s="497"/>
      <c r="C3816" s="510" t="str">
        <f ca="1">IF(COUNTA(D$2498:D3816)=1,"",OFFSET(B3814,-COUNTA(D$2498:D3816)+3,1))</f>
        <v>a163p000004NtWAAA0</v>
      </c>
      <c r="D3816" s="512"/>
      <c r="E3816" s="500" t="str">
        <f ca="1">IFERROR(IF(VLOOKUP(C3816,' Disaggregation - Section E '!A$618:N1940,7,0)="","",VLOOKUP(C3816,' Disaggregation - Section E '!A$618:N1940,7,0)*100),"")</f>
        <v/>
      </c>
      <c r="F3816" s="503" t="str">
        <f ca="1">IFERROR(VLOOKUP(C3816,' Disaggregation - Section E '!A$618:N1940,5,0),"")</f>
        <v/>
      </c>
      <c r="G3816" s="502" t="str">
        <f ca="1">IFERROR(IF(VLOOKUP(C3816,' Disaggregation - Section E '!A$618:N1940,6,0)="","",VLOOKUP(C3816,' Disaggregation - Section E '!A$618:N1940,6,0)),"")</f>
        <v/>
      </c>
      <c r="H3816" s="512" t="str">
        <f ca="1">IFERROR(IF(INDEX(' Disaggregation - Section E '!F$618:F3137,MATCH(C3816,' Disaggregation - Section E '!A$618:A3137,0)+1,1)&lt;&gt;0,INDEX(' Disaggregation - Section E '!F$618:F$1820,MATCH(C3816,' Disaggregation - Section E '!A$618:A3137,0)+1,1),""),"")</f>
        <v/>
      </c>
      <c r="I3816" s="503" t="str">
        <f ca="1">IFERROR(IF(VLOOKUP(C3816,' Disaggregation - Section E '!A$618:N1940,8,0)=0,"",VLOOKUP(C3816,' Disaggregation - Section E '!A$618:N1940,8,0)),"")</f>
        <v/>
      </c>
      <c r="J3816" s="503" t="str">
        <f ca="1">IFERROR(IF(VLOOKUP(C3816,' Disaggregation - Section E '!A$618:N3137,13,0)=0,"",VLOOKUP(C3816,' Disaggregation - Section E '!A$618:N3137,13,0)),"")</f>
        <v/>
      </c>
      <c r="K3816" s="497" t="str">
        <f ca="1">IFERROR(VLOOKUP(C3816,' Disaggregation - Section E '!A$618:N1940,3,0),"")</f>
        <v>TCP-6a Número de casos de tuberculosis (en todas sus formas) notificados entre reclusos.</v>
      </c>
      <c r="L3816" s="497"/>
      <c r="M3816" s="497" t="str">
        <f ca="1">IFERROR(IF(VLOOKUP(C3816,' Disaggregation - Section E '!A$618:T1940,20,0)=0,"",VLOOKUP(C3816,' Disaggregation - Section E '!A$618:T1940,20,0)),"")</f>
        <v/>
      </c>
      <c r="N3816" s="503" t="str">
        <f ca="1">IFERROR(IF(VLOOKUP(C3816,' Disaggregation - Section E '!A$618:N1940,14,0)=0,"",VLOOKUP(C3816,' Disaggregation - Section E '!A$618:N1940,14,0)),"")</f>
        <v/>
      </c>
      <c r="O3816" s="503" t="str">
        <f ca="1">IFERROR(IF(VLOOKUP(C3816,' Disaggregation - Section E '!A$618:N1940,9,0)=0,"",VLOOKUP(C3816,' Disaggregation - Section E '!A$618:N1940,9,0)),"")</f>
        <v/>
      </c>
      <c r="P3816" s="503" t="str">
        <f ca="1">IFERROR(IF(VLOOKUP(C3816,' Disaggregation - Section E '!A$618:N1940,10,0)=0,"",VLOOKUP(C3816,' Disaggregation - Section E '!A$618:N1940,10,0)),"")</f>
        <v/>
      </c>
    </row>
    <row r="3817" spans="1:16" x14ac:dyDescent="0.35">
      <c r="A3817" s="497" t="b">
        <f t="shared" ca="1" si="227"/>
        <v>0</v>
      </c>
      <c r="B3817" s="497"/>
      <c r="C3817" s="510" t="str">
        <f ca="1">IF(COUNTA(D$2498:D3817)=1,"",OFFSET(B3815,-COUNTA(D$2498:D3817)+3,1))</f>
        <v>a163p000004NtWBAA0</v>
      </c>
      <c r="D3817" s="512"/>
      <c r="E3817" s="500" t="str">
        <f ca="1">IFERROR(IF(VLOOKUP(C3817,' Disaggregation - Section E '!A$618:N1941,7,0)="","",VLOOKUP(C3817,' Disaggregation - Section E '!A$618:N1941,7,0)*100),"")</f>
        <v/>
      </c>
      <c r="F3817" s="503" t="str">
        <f ca="1">IFERROR(VLOOKUP(C3817,' Disaggregation - Section E '!A$618:N1941,5,0),"")</f>
        <v/>
      </c>
      <c r="G3817" s="502" t="str">
        <f ca="1">IFERROR(IF(VLOOKUP(C3817,' Disaggregation - Section E '!A$618:N1941,6,0)="","",VLOOKUP(C3817,' Disaggregation - Section E '!A$618:N1941,6,0)),"")</f>
        <v/>
      </c>
      <c r="H3817" s="512" t="str">
        <f ca="1">IFERROR(IF(INDEX(' Disaggregation - Section E '!F$618:F3138,MATCH(C3817,' Disaggregation - Section E '!A$618:A3138,0)+1,1)&lt;&gt;0,INDEX(' Disaggregation - Section E '!F$618:F$1820,MATCH(C3817,' Disaggregation - Section E '!A$618:A3138,0)+1,1),""),"")</f>
        <v/>
      </c>
      <c r="I3817" s="503" t="str">
        <f ca="1">IFERROR(IF(VLOOKUP(C3817,' Disaggregation - Section E '!A$618:N1941,8,0)=0,"",VLOOKUP(C3817,' Disaggregation - Section E '!A$618:N1941,8,0)),"")</f>
        <v/>
      </c>
      <c r="J3817" s="503" t="str">
        <f ca="1">IFERROR(IF(VLOOKUP(C3817,' Disaggregation - Section E '!A$618:N3138,13,0)=0,"",VLOOKUP(C3817,' Disaggregation - Section E '!A$618:N3138,13,0)),"")</f>
        <v/>
      </c>
      <c r="K3817" s="497" t="str">
        <f ca="1">IFERROR(VLOOKUP(C3817,' Disaggregation - Section E '!A$618:N1941,3,0),"")</f>
        <v>TCP-6a Número de casos de tuberculosis (en todas sus formas) notificados entre reclusos.</v>
      </c>
      <c r="L3817" s="497"/>
      <c r="M3817" s="497" t="str">
        <f ca="1">IFERROR(IF(VLOOKUP(C3817,' Disaggregation - Section E '!A$618:T1941,20,0)=0,"",VLOOKUP(C3817,' Disaggregation - Section E '!A$618:T1941,20,0)),"")</f>
        <v/>
      </c>
      <c r="N3817" s="503" t="str">
        <f ca="1">IFERROR(IF(VLOOKUP(C3817,' Disaggregation - Section E '!A$618:N1941,14,0)=0,"",VLOOKUP(C3817,' Disaggregation - Section E '!A$618:N1941,14,0)),"")</f>
        <v/>
      </c>
      <c r="O3817" s="503" t="str">
        <f ca="1">IFERROR(IF(VLOOKUP(C3817,' Disaggregation - Section E '!A$618:N1941,9,0)=0,"",VLOOKUP(C3817,' Disaggregation - Section E '!A$618:N1941,9,0)),"")</f>
        <v/>
      </c>
      <c r="P3817" s="503" t="str">
        <f ca="1">IFERROR(IF(VLOOKUP(C3817,' Disaggregation - Section E '!A$618:N1941,10,0)=0,"",VLOOKUP(C3817,' Disaggregation - Section E '!A$618:N1941,10,0)),"")</f>
        <v/>
      </c>
    </row>
    <row r="3818" spans="1:16" x14ac:dyDescent="0.35">
      <c r="A3818" s="497" t="b">
        <f t="shared" ca="1" si="227"/>
        <v>0</v>
      </c>
      <c r="B3818" s="497"/>
      <c r="C3818" s="510" t="str">
        <f ca="1">IF(COUNTA(D$2498:D3818)=1,"",OFFSET(B3816,-COUNTA(D$2498:D3818)+3,1))</f>
        <v>a163p000004NtWCAA0</v>
      </c>
      <c r="D3818" s="512"/>
      <c r="E3818" s="500" t="str">
        <f ca="1">IFERROR(IF(VLOOKUP(C3818,' Disaggregation - Section E '!A$618:N1942,7,0)="","",VLOOKUP(C3818,' Disaggregation - Section E '!A$618:N1942,7,0)*100),"")</f>
        <v/>
      </c>
      <c r="F3818" s="503" t="str">
        <f ca="1">IFERROR(VLOOKUP(C3818,' Disaggregation - Section E '!A$618:N1942,5,0),"")</f>
        <v/>
      </c>
      <c r="G3818" s="502" t="str">
        <f ca="1">IFERROR(IF(VLOOKUP(C3818,' Disaggregation - Section E '!A$618:N1942,6,0)="","",VLOOKUP(C3818,' Disaggregation - Section E '!A$618:N1942,6,0)),"")</f>
        <v/>
      </c>
      <c r="H3818" s="512" t="str">
        <f ca="1">IFERROR(IF(INDEX(' Disaggregation - Section E '!F$618:F3139,MATCH(C3818,' Disaggregation - Section E '!A$618:A3139,0)+1,1)&lt;&gt;0,INDEX(' Disaggregation - Section E '!F$618:F$1820,MATCH(C3818,' Disaggregation - Section E '!A$618:A3139,0)+1,1),""),"")</f>
        <v/>
      </c>
      <c r="I3818" s="503" t="str">
        <f ca="1">IFERROR(IF(VLOOKUP(C3818,' Disaggregation - Section E '!A$618:N1942,8,0)=0,"",VLOOKUP(C3818,' Disaggregation - Section E '!A$618:N1942,8,0)),"")</f>
        <v/>
      </c>
      <c r="J3818" s="503" t="str">
        <f ca="1">IFERROR(IF(VLOOKUP(C3818,' Disaggregation - Section E '!A$618:N3139,13,0)=0,"",VLOOKUP(C3818,' Disaggregation - Section E '!A$618:N3139,13,0)),"")</f>
        <v/>
      </c>
      <c r="K3818" s="497" t="str">
        <f ca="1">IFERROR(VLOOKUP(C3818,' Disaggregation - Section E '!A$618:N1942,3,0),"")</f>
        <v>TCP-6a Número de casos de tuberculosis (en todas sus formas) notificados entre reclusos.</v>
      </c>
      <c r="L3818" s="497"/>
      <c r="M3818" s="497" t="str">
        <f ca="1">IFERROR(IF(VLOOKUP(C3818,' Disaggregation - Section E '!A$618:T1942,20,0)=0,"",VLOOKUP(C3818,' Disaggregation - Section E '!A$618:T1942,20,0)),"")</f>
        <v/>
      </c>
      <c r="N3818" s="503" t="str">
        <f ca="1">IFERROR(IF(VLOOKUP(C3818,' Disaggregation - Section E '!A$618:N1942,14,0)=0,"",VLOOKUP(C3818,' Disaggregation - Section E '!A$618:N1942,14,0)),"")</f>
        <v/>
      </c>
      <c r="O3818" s="503" t="str">
        <f ca="1">IFERROR(IF(VLOOKUP(C3818,' Disaggregation - Section E '!A$618:N1942,9,0)=0,"",VLOOKUP(C3818,' Disaggregation - Section E '!A$618:N1942,9,0)),"")</f>
        <v/>
      </c>
      <c r="P3818" s="503" t="str">
        <f ca="1">IFERROR(IF(VLOOKUP(C3818,' Disaggregation - Section E '!A$618:N1942,10,0)=0,"",VLOOKUP(C3818,' Disaggregation - Section E '!A$618:N1942,10,0)),"")</f>
        <v/>
      </c>
    </row>
    <row r="3819" spans="1:16" x14ac:dyDescent="0.35">
      <c r="A3819" s="497" t="b">
        <f t="shared" ca="1" si="227"/>
        <v>0</v>
      </c>
      <c r="B3819" s="497"/>
      <c r="C3819" s="510" t="str">
        <f ca="1">IF(COUNTA(D$2498:D3819)=1,"",OFFSET(B3817,-COUNTA(D$2498:D3819)+3,1))</f>
        <v>a163p000004NtWDAA0</v>
      </c>
      <c r="D3819" s="512"/>
      <c r="E3819" s="500" t="str">
        <f ca="1">IFERROR(IF(VLOOKUP(C3819,' Disaggregation - Section E '!A$618:N1943,7,0)="","",VLOOKUP(C3819,' Disaggregation - Section E '!A$618:N1943,7,0)*100),"")</f>
        <v/>
      </c>
      <c r="F3819" s="503" t="str">
        <f ca="1">IFERROR(VLOOKUP(C3819,' Disaggregation - Section E '!A$618:N1943,5,0),"")</f>
        <v/>
      </c>
      <c r="G3819" s="502" t="str">
        <f ca="1">IFERROR(IF(VLOOKUP(C3819,' Disaggregation - Section E '!A$618:N1943,6,0)="","",VLOOKUP(C3819,' Disaggregation - Section E '!A$618:N1943,6,0)),"")</f>
        <v/>
      </c>
      <c r="H3819" s="512" t="str">
        <f ca="1">IFERROR(IF(INDEX(' Disaggregation - Section E '!F$618:F3140,MATCH(C3819,' Disaggregation - Section E '!A$618:A3140,0)+1,1)&lt;&gt;0,INDEX(' Disaggregation - Section E '!F$618:F$1820,MATCH(C3819,' Disaggregation - Section E '!A$618:A3140,0)+1,1),""),"")</f>
        <v/>
      </c>
      <c r="I3819" s="503" t="str">
        <f ca="1">IFERROR(IF(VLOOKUP(C3819,' Disaggregation - Section E '!A$618:N1943,8,0)=0,"",VLOOKUP(C3819,' Disaggregation - Section E '!A$618:N1943,8,0)),"")</f>
        <v/>
      </c>
      <c r="J3819" s="503" t="str">
        <f ca="1">IFERROR(IF(VLOOKUP(C3819,' Disaggregation - Section E '!A$618:N3140,13,0)=0,"",VLOOKUP(C3819,' Disaggregation - Section E '!A$618:N3140,13,0)),"")</f>
        <v/>
      </c>
      <c r="K3819" s="497" t="str">
        <f ca="1">IFERROR(VLOOKUP(C3819,' Disaggregation - Section E '!A$618:N1943,3,0),"")</f>
        <v>TCP-6a Número de casos de tuberculosis (en todas sus formas) notificados entre reclusos.</v>
      </c>
      <c r="L3819" s="497"/>
      <c r="M3819" s="497" t="str">
        <f ca="1">IFERROR(IF(VLOOKUP(C3819,' Disaggregation - Section E '!A$618:T1943,20,0)=0,"",VLOOKUP(C3819,' Disaggregation - Section E '!A$618:T1943,20,0)),"")</f>
        <v/>
      </c>
      <c r="N3819" s="503" t="str">
        <f ca="1">IFERROR(IF(VLOOKUP(C3819,' Disaggregation - Section E '!A$618:N1943,14,0)=0,"",VLOOKUP(C3819,' Disaggregation - Section E '!A$618:N1943,14,0)),"")</f>
        <v/>
      </c>
      <c r="O3819" s="503" t="str">
        <f ca="1">IFERROR(IF(VLOOKUP(C3819,' Disaggregation - Section E '!A$618:N1943,9,0)=0,"",VLOOKUP(C3819,' Disaggregation - Section E '!A$618:N1943,9,0)),"")</f>
        <v/>
      </c>
      <c r="P3819" s="503" t="str">
        <f ca="1">IFERROR(IF(VLOOKUP(C3819,' Disaggregation - Section E '!A$618:N1943,10,0)=0,"",VLOOKUP(C3819,' Disaggregation - Section E '!A$618:N1943,10,0)),"")</f>
        <v/>
      </c>
    </row>
    <row r="3820" spans="1:16" x14ac:dyDescent="0.35">
      <c r="A3820" s="497" t="b">
        <f t="shared" ca="1" si="227"/>
        <v>1</v>
      </c>
      <c r="B3820" s="497"/>
      <c r="C3820" s="510" t="str">
        <f ca="1">IF(COUNTA(D$2498:D3820)=1,"",OFFSET(B3818,-COUNTA(D$2498:D3820)+3,1))</f>
        <v>a163p000004NtMYAA0</v>
      </c>
      <c r="D3820" s="512"/>
      <c r="E3820" s="500" t="str">
        <f ca="1">IFERROR(IF(VLOOKUP(C3820,' Disaggregation - Section E '!A$618:N1944,7,0)="","",VLOOKUP(C3820,' Disaggregation - Section E '!A$618:N1944,7,0)*100),"")</f>
        <v/>
      </c>
      <c r="F3820" s="503" t="str">
        <f ca="1">IFERROR(VLOOKUP(C3820,' Disaggregation - Section E '!A$618:N1944,5,0),"")</f>
        <v>25+</v>
      </c>
      <c r="G3820" s="502" t="str">
        <f ca="1">IFERROR(IF(VLOOKUP(C3820,' Disaggregation - Section E '!A$618:N1944,6,0)="","",VLOOKUP(C3820,' Disaggregation - Section E '!A$618:N1944,6,0)),"")</f>
        <v/>
      </c>
      <c r="H3820" s="512" t="str">
        <f ca="1">IFERROR(IF(INDEX(' Disaggregation - Section E '!F$618:F3141,MATCH(C3820,' Disaggregation - Section E '!A$618:A3141,0)+1,1)&lt;&gt;0,INDEX(' Disaggregation - Section E '!F$618:F$1820,MATCH(C3820,' Disaggregation - Section E '!A$618:A3141,0)+1,1),""),"")</f>
        <v/>
      </c>
      <c r="I3820" s="503" t="str">
        <f ca="1">IFERROR(IF(VLOOKUP(C3820,' Disaggregation - Section E '!A$618:N1944,8,0)=0,"",VLOOKUP(C3820,' Disaggregation - Section E '!A$618:N1944,8,0)),"")</f>
        <v/>
      </c>
      <c r="J3820" s="503" t="str">
        <f ca="1">IFERROR(IF(VLOOKUP(C3820,' Disaggregation - Section E '!A$618:N3141,13,0)=0,"",VLOOKUP(C3820,' Disaggregation - Section E '!A$618:N3141,13,0)),"")</f>
        <v/>
      </c>
      <c r="K3820" s="497" t="str">
        <f ca="1">IFERROR(VLOOKUP(C3820,' Disaggregation - Section E '!A$618:N1944,3,0),"")</f>
        <v>KP-1a⁽ᴹ⁾ Porcentaje de HSH alcanzados por programas de prevención del VIH - paquete definido de servicios</v>
      </c>
      <c r="L3820" s="497"/>
      <c r="M3820" s="497" t="str">
        <f ca="1">IFERROR(IF(VLOOKUP(C3820,' Disaggregation - Section E '!A$618:T1944,20,0)=0,"",VLOOKUP(C3820,' Disaggregation - Section E '!A$618:T1944,20,0)),"")</f>
        <v>IDR-00700</v>
      </c>
      <c r="N3820" s="503" t="str">
        <f ca="1">IFERROR(IF(VLOOKUP(C3820,' Disaggregation - Section E '!A$618:N1944,14,0)=0,"",VLOOKUP(C3820,' Disaggregation - Section E '!A$618:N1944,14,0)),"")</f>
        <v>Being a focused country, no disaggregation is required</v>
      </c>
      <c r="O3820" s="503" t="str">
        <f ca="1">IFERROR(IF(VLOOKUP(C3820,' Disaggregation - Section E '!A$618:N1944,9,0)=0,"",VLOOKUP(C3820,' Disaggregation - Section E '!A$618:N1944,9,0)),"")</f>
        <v/>
      </c>
      <c r="P3820" s="503" t="str">
        <f ca="1">IFERROR(IF(VLOOKUP(C3820,' Disaggregation - Section E '!A$618:N1944,10,0)=0,"",VLOOKUP(C3820,' Disaggregation - Section E '!A$618:N1944,10,0)),"")</f>
        <v>Al ser un país focalizado no se requiere desagregación</v>
      </c>
    </row>
    <row r="3821" spans="1:16" x14ac:dyDescent="0.35">
      <c r="A3821" s="497" t="b">
        <f t="shared" ca="1" si="227"/>
        <v>1</v>
      </c>
      <c r="B3821" s="497"/>
      <c r="C3821" s="510" t="str">
        <f ca="1">IF(COUNTA(D$2498:D3821)=1,"",OFFSET(B3819,-COUNTA(D$2498:D3821)+3,1))</f>
        <v>a163p000004NtMZAA0</v>
      </c>
      <c r="D3821" s="512"/>
      <c r="E3821" s="500" t="str">
        <f ca="1">IFERROR(IF(VLOOKUP(C3821,' Disaggregation - Section E '!A$618:N1945,7,0)="","",VLOOKUP(C3821,' Disaggregation - Section E '!A$618:N1945,7,0)*100),"")</f>
        <v/>
      </c>
      <c r="F3821" s="503" t="str">
        <f ca="1">IFERROR(VLOOKUP(C3821,' Disaggregation - Section E '!A$618:N1945,5,0),"")</f>
        <v>&lt;25</v>
      </c>
      <c r="G3821" s="502" t="str">
        <f ca="1">IFERROR(IF(VLOOKUP(C3821,' Disaggregation - Section E '!A$618:N1945,6,0)="","",VLOOKUP(C3821,' Disaggregation - Section E '!A$618:N1945,6,0)),"")</f>
        <v/>
      </c>
      <c r="H3821" s="512" t="str">
        <f ca="1">IFERROR(IF(INDEX(' Disaggregation - Section E '!F$618:F3142,MATCH(C3821,' Disaggregation - Section E '!A$618:A3142,0)+1,1)&lt;&gt;0,INDEX(' Disaggregation - Section E '!F$618:F$1820,MATCH(C3821,' Disaggregation - Section E '!A$618:A3142,0)+1,1),""),"")</f>
        <v/>
      </c>
      <c r="I3821" s="503" t="str">
        <f ca="1">IFERROR(IF(VLOOKUP(C3821,' Disaggregation - Section E '!A$618:N1945,8,0)=0,"",VLOOKUP(C3821,' Disaggregation - Section E '!A$618:N1945,8,0)),"")</f>
        <v/>
      </c>
      <c r="J3821" s="503" t="str">
        <f ca="1">IFERROR(IF(VLOOKUP(C3821,' Disaggregation - Section E '!A$618:N3142,13,0)=0,"",VLOOKUP(C3821,' Disaggregation - Section E '!A$618:N3142,13,0)),"")</f>
        <v/>
      </c>
      <c r="K3821" s="497" t="str">
        <f ca="1">IFERROR(VLOOKUP(C3821,' Disaggregation - Section E '!A$618:N1945,3,0),"")</f>
        <v>KP-1a⁽ᴹ⁾ Porcentaje de HSH alcanzados por programas de prevención del VIH - paquete definido de servicios</v>
      </c>
      <c r="L3821" s="497"/>
      <c r="M3821" s="497" t="str">
        <f ca="1">IFERROR(IF(VLOOKUP(C3821,' Disaggregation - Section E '!A$618:T1945,20,0)=0,"",VLOOKUP(C3821,' Disaggregation - Section E '!A$618:T1945,20,0)),"")</f>
        <v>IDR-00699</v>
      </c>
      <c r="N3821" s="503" t="str">
        <f ca="1">IFERROR(IF(VLOOKUP(C3821,' Disaggregation - Section E '!A$618:N1945,14,0)=0,"",VLOOKUP(C3821,' Disaggregation - Section E '!A$618:N1945,14,0)),"")</f>
        <v>Being a focused country, no disaggregation is required</v>
      </c>
      <c r="O3821" s="503" t="str">
        <f ca="1">IFERROR(IF(VLOOKUP(C3821,' Disaggregation - Section E '!A$618:N1945,9,0)=0,"",VLOOKUP(C3821,' Disaggregation - Section E '!A$618:N1945,9,0)),"")</f>
        <v/>
      </c>
      <c r="P3821" s="503" t="str">
        <f ca="1">IFERROR(IF(VLOOKUP(C3821,' Disaggregation - Section E '!A$618:N1945,10,0)=0,"",VLOOKUP(C3821,' Disaggregation - Section E '!A$618:N1945,10,0)),"")</f>
        <v>Al ser un país focalizado no se requiere desagregación</v>
      </c>
    </row>
    <row r="3822" spans="1:16" x14ac:dyDescent="0.35">
      <c r="A3822" s="497" t="b">
        <f t="shared" ca="1" si="227"/>
        <v>0</v>
      </c>
      <c r="B3822" s="497"/>
      <c r="C3822" s="510" t="str">
        <f ca="1">IF(COUNTA(D$2498:D3822)=1,"",OFFSET(B3820,-COUNTA(D$2498:D3822)+3,1))</f>
        <v>a163p000004NtMaAAK</v>
      </c>
      <c r="D3822" s="512"/>
      <c r="E3822" s="500" t="str">
        <f ca="1">IFERROR(IF(VLOOKUP(C3822,' Disaggregation - Section E '!A$618:N1946,7,0)="","",VLOOKUP(C3822,' Disaggregation - Section E '!A$618:N1946,7,0)*100),"")</f>
        <v/>
      </c>
      <c r="F3822" s="503" t="str">
        <f ca="1">IFERROR(VLOOKUP(C3822,' Disaggregation - Section E '!A$618:N1946,5,0),"")</f>
        <v/>
      </c>
      <c r="G3822" s="502" t="str">
        <f ca="1">IFERROR(IF(VLOOKUP(C3822,' Disaggregation - Section E '!A$618:N1946,6,0)="","",VLOOKUP(C3822,' Disaggregation - Section E '!A$618:N1946,6,0)),"")</f>
        <v/>
      </c>
      <c r="H3822" s="512" t="str">
        <f ca="1">IFERROR(IF(INDEX(' Disaggregation - Section E '!F$618:F3143,MATCH(C3822,' Disaggregation - Section E '!A$618:A3143,0)+1,1)&lt;&gt;0,INDEX(' Disaggregation - Section E '!F$618:F$1820,MATCH(C3822,' Disaggregation - Section E '!A$618:A3143,0)+1,1),""),"")</f>
        <v/>
      </c>
      <c r="I3822" s="503" t="str">
        <f ca="1">IFERROR(IF(VLOOKUP(C3822,' Disaggregation - Section E '!A$618:N1946,8,0)=0,"",VLOOKUP(C3822,' Disaggregation - Section E '!A$618:N1946,8,0)),"")</f>
        <v/>
      </c>
      <c r="J3822" s="503" t="str">
        <f ca="1">IFERROR(IF(VLOOKUP(C3822,' Disaggregation - Section E '!A$618:N3143,13,0)=0,"",VLOOKUP(C3822,' Disaggregation - Section E '!A$618:N3143,13,0)),"")</f>
        <v/>
      </c>
      <c r="K3822" s="497" t="str">
        <f ca="1">IFERROR(VLOOKUP(C3822,' Disaggregation - Section E '!A$618:N1946,3,0),"")</f>
        <v>KP-1a⁽ᴹ⁾ Porcentaje de HSH alcanzados por programas de prevención del VIH - paquete definido de servicios</v>
      </c>
      <c r="L3822" s="497"/>
      <c r="M3822" s="497" t="str">
        <f ca="1">IFERROR(IF(VLOOKUP(C3822,' Disaggregation - Section E '!A$618:T1946,20,0)=0,"",VLOOKUP(C3822,' Disaggregation - Section E '!A$618:T1946,20,0)),"")</f>
        <v/>
      </c>
      <c r="N3822" s="503" t="str">
        <f ca="1">IFERROR(IF(VLOOKUP(C3822,' Disaggregation - Section E '!A$618:N1946,14,0)=0,"",VLOOKUP(C3822,' Disaggregation - Section E '!A$618:N1946,14,0)),"")</f>
        <v/>
      </c>
      <c r="O3822" s="503" t="str">
        <f ca="1">IFERROR(IF(VLOOKUP(C3822,' Disaggregation - Section E '!A$618:N1946,9,0)=0,"",VLOOKUP(C3822,' Disaggregation - Section E '!A$618:N1946,9,0)),"")</f>
        <v/>
      </c>
      <c r="P3822" s="503" t="str">
        <f ca="1">IFERROR(IF(VLOOKUP(C3822,' Disaggregation - Section E '!A$618:N1946,10,0)=0,"",VLOOKUP(C3822,' Disaggregation - Section E '!A$618:N1946,10,0)),"")</f>
        <v/>
      </c>
    </row>
    <row r="3823" spans="1:16" x14ac:dyDescent="0.35">
      <c r="A3823" s="497" t="b">
        <f t="shared" ca="1" si="227"/>
        <v>0</v>
      </c>
      <c r="B3823" s="497"/>
      <c r="C3823" s="510" t="str">
        <f ca="1">IF(COUNTA(D$2498:D3823)=1,"",OFFSET(B3821,-COUNTA(D$2498:D3823)+3,1))</f>
        <v>a163p000004NtMbAAK</v>
      </c>
      <c r="D3823" s="512"/>
      <c r="E3823" s="500" t="str">
        <f ca="1">IFERROR(IF(VLOOKUP(C3823,' Disaggregation - Section E '!A$618:N1947,7,0)="","",VLOOKUP(C3823,' Disaggregation - Section E '!A$618:N1947,7,0)*100),"")</f>
        <v/>
      </c>
      <c r="F3823" s="503" t="str">
        <f ca="1">IFERROR(VLOOKUP(C3823,' Disaggregation - Section E '!A$618:N1947,5,0),"")</f>
        <v/>
      </c>
      <c r="G3823" s="502" t="str">
        <f ca="1">IFERROR(IF(VLOOKUP(C3823,' Disaggregation - Section E '!A$618:N1947,6,0)="","",VLOOKUP(C3823,' Disaggregation - Section E '!A$618:N1947,6,0)),"")</f>
        <v/>
      </c>
      <c r="H3823" s="512" t="str">
        <f ca="1">IFERROR(IF(INDEX(' Disaggregation - Section E '!F$618:F3144,MATCH(C3823,' Disaggregation - Section E '!A$618:A3144,0)+1,1)&lt;&gt;0,INDEX(' Disaggregation - Section E '!F$618:F$1820,MATCH(C3823,' Disaggregation - Section E '!A$618:A3144,0)+1,1),""),"")</f>
        <v/>
      </c>
      <c r="I3823" s="503" t="str">
        <f ca="1">IFERROR(IF(VLOOKUP(C3823,' Disaggregation - Section E '!A$618:N1947,8,0)=0,"",VLOOKUP(C3823,' Disaggregation - Section E '!A$618:N1947,8,0)),"")</f>
        <v/>
      </c>
      <c r="J3823" s="503" t="str">
        <f ca="1">IFERROR(IF(VLOOKUP(C3823,' Disaggregation - Section E '!A$618:N3144,13,0)=0,"",VLOOKUP(C3823,' Disaggregation - Section E '!A$618:N3144,13,0)),"")</f>
        <v/>
      </c>
      <c r="K3823" s="497" t="str">
        <f ca="1">IFERROR(VLOOKUP(C3823,' Disaggregation - Section E '!A$618:N1947,3,0),"")</f>
        <v>KP-1a⁽ᴹ⁾ Porcentaje de HSH alcanzados por programas de prevención del VIH - paquete definido de servicios</v>
      </c>
      <c r="L3823" s="497"/>
      <c r="M3823" s="497" t="str">
        <f ca="1">IFERROR(IF(VLOOKUP(C3823,' Disaggregation - Section E '!A$618:T1947,20,0)=0,"",VLOOKUP(C3823,' Disaggregation - Section E '!A$618:T1947,20,0)),"")</f>
        <v/>
      </c>
      <c r="N3823" s="503" t="str">
        <f ca="1">IFERROR(IF(VLOOKUP(C3823,' Disaggregation - Section E '!A$618:N1947,14,0)=0,"",VLOOKUP(C3823,' Disaggregation - Section E '!A$618:N1947,14,0)),"")</f>
        <v/>
      </c>
      <c r="O3823" s="503" t="str">
        <f ca="1">IFERROR(IF(VLOOKUP(C3823,' Disaggregation - Section E '!A$618:N1947,9,0)=0,"",VLOOKUP(C3823,' Disaggregation - Section E '!A$618:N1947,9,0)),"")</f>
        <v/>
      </c>
      <c r="P3823" s="503" t="str">
        <f ca="1">IFERROR(IF(VLOOKUP(C3823,' Disaggregation - Section E '!A$618:N1947,10,0)=0,"",VLOOKUP(C3823,' Disaggregation - Section E '!A$618:N1947,10,0)),"")</f>
        <v/>
      </c>
    </row>
    <row r="3824" spans="1:16" x14ac:dyDescent="0.35">
      <c r="A3824" s="497" t="b">
        <f t="shared" ca="1" si="227"/>
        <v>0</v>
      </c>
      <c r="B3824" s="497"/>
      <c r="C3824" s="510" t="str">
        <f ca="1">IF(COUNTA(D$2498:D3824)=1,"",OFFSET(B3822,-COUNTA(D$2498:D3824)+3,1))</f>
        <v>a163p000004NtMcAAK</v>
      </c>
      <c r="D3824" s="512"/>
      <c r="E3824" s="500" t="str">
        <f ca="1">IFERROR(IF(VLOOKUP(C3824,' Disaggregation - Section E '!A$618:N1948,7,0)="","",VLOOKUP(C3824,' Disaggregation - Section E '!A$618:N1948,7,0)*100),"")</f>
        <v/>
      </c>
      <c r="F3824" s="503" t="str">
        <f ca="1">IFERROR(VLOOKUP(C3824,' Disaggregation - Section E '!A$618:N1948,5,0),"")</f>
        <v/>
      </c>
      <c r="G3824" s="502" t="str">
        <f ca="1">IFERROR(IF(VLOOKUP(C3824,' Disaggregation - Section E '!A$618:N1948,6,0)="","",VLOOKUP(C3824,' Disaggregation - Section E '!A$618:N1948,6,0)),"")</f>
        <v/>
      </c>
      <c r="H3824" s="512" t="str">
        <f ca="1">IFERROR(IF(INDEX(' Disaggregation - Section E '!F$618:F3145,MATCH(C3824,' Disaggregation - Section E '!A$618:A3145,0)+1,1)&lt;&gt;0,INDEX(' Disaggregation - Section E '!F$618:F$1820,MATCH(C3824,' Disaggregation - Section E '!A$618:A3145,0)+1,1),""),"")</f>
        <v/>
      </c>
      <c r="I3824" s="503" t="str">
        <f ca="1">IFERROR(IF(VLOOKUP(C3824,' Disaggregation - Section E '!A$618:N1948,8,0)=0,"",VLOOKUP(C3824,' Disaggregation - Section E '!A$618:N1948,8,0)),"")</f>
        <v/>
      </c>
      <c r="J3824" s="503" t="str">
        <f ca="1">IFERROR(IF(VLOOKUP(C3824,' Disaggregation - Section E '!A$618:N3145,13,0)=0,"",VLOOKUP(C3824,' Disaggregation - Section E '!A$618:N3145,13,0)),"")</f>
        <v/>
      </c>
      <c r="K3824" s="497" t="str">
        <f ca="1">IFERROR(VLOOKUP(C3824,' Disaggregation - Section E '!A$618:N1948,3,0),"")</f>
        <v>KP-1a⁽ᴹ⁾ Porcentaje de HSH alcanzados por programas de prevención del VIH - paquete definido de servicios</v>
      </c>
      <c r="L3824" s="497"/>
      <c r="M3824" s="497" t="str">
        <f ca="1">IFERROR(IF(VLOOKUP(C3824,' Disaggregation - Section E '!A$618:T1948,20,0)=0,"",VLOOKUP(C3824,' Disaggregation - Section E '!A$618:T1948,20,0)),"")</f>
        <v/>
      </c>
      <c r="N3824" s="503" t="str">
        <f ca="1">IFERROR(IF(VLOOKUP(C3824,' Disaggregation - Section E '!A$618:N1948,14,0)=0,"",VLOOKUP(C3824,' Disaggregation - Section E '!A$618:N1948,14,0)),"")</f>
        <v/>
      </c>
      <c r="O3824" s="503" t="str">
        <f ca="1">IFERROR(IF(VLOOKUP(C3824,' Disaggregation - Section E '!A$618:N1948,9,0)=0,"",VLOOKUP(C3824,' Disaggregation - Section E '!A$618:N1948,9,0)),"")</f>
        <v/>
      </c>
      <c r="P3824" s="503" t="str">
        <f ca="1">IFERROR(IF(VLOOKUP(C3824,' Disaggregation - Section E '!A$618:N1948,10,0)=0,"",VLOOKUP(C3824,' Disaggregation - Section E '!A$618:N1948,10,0)),"")</f>
        <v/>
      </c>
    </row>
    <row r="3825" spans="1:16" x14ac:dyDescent="0.35">
      <c r="A3825" s="497" t="b">
        <f t="shared" ca="1" si="227"/>
        <v>0</v>
      </c>
      <c r="B3825" s="497"/>
      <c r="C3825" s="510" t="str">
        <f ca="1">IF(COUNTA(D$2498:D3825)=1,"",OFFSET(B3823,-COUNTA(D$2498:D3825)+3,1))</f>
        <v>a163p000004NtMdAAK</v>
      </c>
      <c r="D3825" s="512"/>
      <c r="E3825" s="500" t="str">
        <f ca="1">IFERROR(IF(VLOOKUP(C3825,' Disaggregation - Section E '!A$618:N1949,7,0)="","",VLOOKUP(C3825,' Disaggregation - Section E '!A$618:N1949,7,0)*100),"")</f>
        <v/>
      </c>
      <c r="F3825" s="503" t="str">
        <f ca="1">IFERROR(VLOOKUP(C3825,' Disaggregation - Section E '!A$618:N1949,5,0),"")</f>
        <v/>
      </c>
      <c r="G3825" s="502" t="str">
        <f ca="1">IFERROR(IF(VLOOKUP(C3825,' Disaggregation - Section E '!A$618:N1949,6,0)="","",VLOOKUP(C3825,' Disaggregation - Section E '!A$618:N1949,6,0)),"")</f>
        <v/>
      </c>
      <c r="H3825" s="512" t="str">
        <f ca="1">IFERROR(IF(INDEX(' Disaggregation - Section E '!F$618:F3146,MATCH(C3825,' Disaggregation - Section E '!A$618:A3146,0)+1,1)&lt;&gt;0,INDEX(' Disaggregation - Section E '!F$618:F$1820,MATCH(C3825,' Disaggregation - Section E '!A$618:A3146,0)+1,1),""),"")</f>
        <v/>
      </c>
      <c r="I3825" s="503" t="str">
        <f ca="1">IFERROR(IF(VLOOKUP(C3825,' Disaggregation - Section E '!A$618:N1949,8,0)=0,"",VLOOKUP(C3825,' Disaggregation - Section E '!A$618:N1949,8,0)),"")</f>
        <v/>
      </c>
      <c r="J3825" s="503" t="str">
        <f ca="1">IFERROR(IF(VLOOKUP(C3825,' Disaggregation - Section E '!A$618:N3146,13,0)=0,"",VLOOKUP(C3825,' Disaggregation - Section E '!A$618:N3146,13,0)),"")</f>
        <v/>
      </c>
      <c r="K3825" s="497" t="str">
        <f ca="1">IFERROR(VLOOKUP(C3825,' Disaggregation - Section E '!A$618:N1949,3,0),"")</f>
        <v>KP-1a⁽ᴹ⁾ Porcentaje de HSH alcanzados por programas de prevención del VIH - paquete definido de servicios</v>
      </c>
      <c r="L3825" s="497"/>
      <c r="M3825" s="497" t="str">
        <f ca="1">IFERROR(IF(VLOOKUP(C3825,' Disaggregation - Section E '!A$618:T1949,20,0)=0,"",VLOOKUP(C3825,' Disaggregation - Section E '!A$618:T1949,20,0)),"")</f>
        <v/>
      </c>
      <c r="N3825" s="503" t="str">
        <f ca="1">IFERROR(IF(VLOOKUP(C3825,' Disaggregation - Section E '!A$618:N1949,14,0)=0,"",VLOOKUP(C3825,' Disaggregation - Section E '!A$618:N1949,14,0)),"")</f>
        <v/>
      </c>
      <c r="O3825" s="503" t="str">
        <f ca="1">IFERROR(IF(VLOOKUP(C3825,' Disaggregation - Section E '!A$618:N1949,9,0)=0,"",VLOOKUP(C3825,' Disaggregation - Section E '!A$618:N1949,9,0)),"")</f>
        <v/>
      </c>
      <c r="P3825" s="503" t="str">
        <f ca="1">IFERROR(IF(VLOOKUP(C3825,' Disaggregation - Section E '!A$618:N1949,10,0)=0,"",VLOOKUP(C3825,' Disaggregation - Section E '!A$618:N1949,10,0)),"")</f>
        <v/>
      </c>
    </row>
    <row r="3826" spans="1:16" x14ac:dyDescent="0.35">
      <c r="A3826" s="497" t="b">
        <f t="shared" ca="1" si="227"/>
        <v>0</v>
      </c>
      <c r="B3826" s="497"/>
      <c r="C3826" s="510" t="str">
        <f ca="1">IF(COUNTA(D$2498:D3826)=1,"",OFFSET(B3824,-COUNTA(D$2498:D3826)+3,1))</f>
        <v>a163p000004NtMeAAK</v>
      </c>
      <c r="D3826" s="512"/>
      <c r="E3826" s="500" t="str">
        <f ca="1">IFERROR(IF(VLOOKUP(C3826,' Disaggregation - Section E '!A$618:N1950,7,0)="","",VLOOKUP(C3826,' Disaggregation - Section E '!A$618:N1950,7,0)*100),"")</f>
        <v/>
      </c>
      <c r="F3826" s="503" t="str">
        <f ca="1">IFERROR(VLOOKUP(C3826,' Disaggregation - Section E '!A$618:N1950,5,0),"")</f>
        <v/>
      </c>
      <c r="G3826" s="502" t="str">
        <f ca="1">IFERROR(IF(VLOOKUP(C3826,' Disaggregation - Section E '!A$618:N1950,6,0)="","",VLOOKUP(C3826,' Disaggregation - Section E '!A$618:N1950,6,0)),"")</f>
        <v/>
      </c>
      <c r="H3826" s="512" t="str">
        <f ca="1">IFERROR(IF(INDEX(' Disaggregation - Section E '!F$618:F3147,MATCH(C3826,' Disaggregation - Section E '!A$618:A3147,0)+1,1)&lt;&gt;0,INDEX(' Disaggregation - Section E '!F$618:F$1820,MATCH(C3826,' Disaggregation - Section E '!A$618:A3147,0)+1,1),""),"")</f>
        <v/>
      </c>
      <c r="I3826" s="503" t="str">
        <f ca="1">IFERROR(IF(VLOOKUP(C3826,' Disaggregation - Section E '!A$618:N1950,8,0)=0,"",VLOOKUP(C3826,' Disaggregation - Section E '!A$618:N1950,8,0)),"")</f>
        <v/>
      </c>
      <c r="J3826" s="503" t="str">
        <f ca="1">IFERROR(IF(VLOOKUP(C3826,' Disaggregation - Section E '!A$618:N3147,13,0)=0,"",VLOOKUP(C3826,' Disaggregation - Section E '!A$618:N3147,13,0)),"")</f>
        <v/>
      </c>
      <c r="K3826" s="497" t="str">
        <f ca="1">IFERROR(VLOOKUP(C3826,' Disaggregation - Section E '!A$618:N1950,3,0),"")</f>
        <v>KP-1a⁽ᴹ⁾ Porcentaje de HSH alcanzados por programas de prevención del VIH - paquete definido de servicios</v>
      </c>
      <c r="L3826" s="497"/>
      <c r="M3826" s="497" t="str">
        <f ca="1">IFERROR(IF(VLOOKUP(C3826,' Disaggregation - Section E '!A$618:T1950,20,0)=0,"",VLOOKUP(C3826,' Disaggregation - Section E '!A$618:T1950,20,0)),"")</f>
        <v/>
      </c>
      <c r="N3826" s="503" t="str">
        <f ca="1">IFERROR(IF(VLOOKUP(C3826,' Disaggregation - Section E '!A$618:N1950,14,0)=0,"",VLOOKUP(C3826,' Disaggregation - Section E '!A$618:N1950,14,0)),"")</f>
        <v/>
      </c>
      <c r="O3826" s="503" t="str">
        <f ca="1">IFERROR(IF(VLOOKUP(C3826,' Disaggregation - Section E '!A$618:N1950,9,0)=0,"",VLOOKUP(C3826,' Disaggregation - Section E '!A$618:N1950,9,0)),"")</f>
        <v/>
      </c>
      <c r="P3826" s="503" t="str">
        <f ca="1">IFERROR(IF(VLOOKUP(C3826,' Disaggregation - Section E '!A$618:N1950,10,0)=0,"",VLOOKUP(C3826,' Disaggregation - Section E '!A$618:N1950,10,0)),"")</f>
        <v/>
      </c>
    </row>
    <row r="3827" spans="1:16" x14ac:dyDescent="0.35">
      <c r="A3827" s="497" t="b">
        <f t="shared" ca="1" si="227"/>
        <v>0</v>
      </c>
      <c r="B3827" s="497"/>
      <c r="C3827" s="510" t="str">
        <f ca="1">IF(COUNTA(D$2498:D3827)=1,"",OFFSET(B3825,-COUNTA(D$2498:D3827)+3,1))</f>
        <v>a163p000004NtMfAAK</v>
      </c>
      <c r="D3827" s="512"/>
      <c r="E3827" s="500" t="str">
        <f ca="1">IFERROR(IF(VLOOKUP(C3827,' Disaggregation - Section E '!A$618:N1951,7,0)="","",VLOOKUP(C3827,' Disaggregation - Section E '!A$618:N1951,7,0)*100),"")</f>
        <v/>
      </c>
      <c r="F3827" s="503" t="str">
        <f ca="1">IFERROR(VLOOKUP(C3827,' Disaggregation - Section E '!A$618:N1951,5,0),"")</f>
        <v/>
      </c>
      <c r="G3827" s="502" t="str">
        <f ca="1">IFERROR(IF(VLOOKUP(C3827,' Disaggregation - Section E '!A$618:N1951,6,0)="","",VLOOKUP(C3827,' Disaggregation - Section E '!A$618:N1951,6,0)),"")</f>
        <v/>
      </c>
      <c r="H3827" s="512" t="str">
        <f ca="1">IFERROR(IF(INDEX(' Disaggregation - Section E '!F$618:F3148,MATCH(C3827,' Disaggregation - Section E '!A$618:A3148,0)+1,1)&lt;&gt;0,INDEX(' Disaggregation - Section E '!F$618:F$1820,MATCH(C3827,' Disaggregation - Section E '!A$618:A3148,0)+1,1),""),"")</f>
        <v/>
      </c>
      <c r="I3827" s="503" t="str">
        <f ca="1">IFERROR(IF(VLOOKUP(C3827,' Disaggregation - Section E '!A$618:N1951,8,0)=0,"",VLOOKUP(C3827,' Disaggregation - Section E '!A$618:N1951,8,0)),"")</f>
        <v/>
      </c>
      <c r="J3827" s="503" t="str">
        <f ca="1">IFERROR(IF(VLOOKUP(C3827,' Disaggregation - Section E '!A$618:N3148,13,0)=0,"",VLOOKUP(C3827,' Disaggregation - Section E '!A$618:N3148,13,0)),"")</f>
        <v/>
      </c>
      <c r="K3827" s="497" t="str">
        <f ca="1">IFERROR(VLOOKUP(C3827,' Disaggregation - Section E '!A$618:N1951,3,0),"")</f>
        <v>KP-1a⁽ᴹ⁾ Porcentaje de HSH alcanzados por programas de prevención del VIH - paquete definido de servicios</v>
      </c>
      <c r="L3827" s="497"/>
      <c r="M3827" s="497" t="str">
        <f ca="1">IFERROR(IF(VLOOKUP(C3827,' Disaggregation - Section E '!A$618:T1951,20,0)=0,"",VLOOKUP(C3827,' Disaggregation - Section E '!A$618:T1951,20,0)),"")</f>
        <v/>
      </c>
      <c r="N3827" s="503" t="str">
        <f ca="1">IFERROR(IF(VLOOKUP(C3827,' Disaggregation - Section E '!A$618:N1951,14,0)=0,"",VLOOKUP(C3827,' Disaggregation - Section E '!A$618:N1951,14,0)),"")</f>
        <v/>
      </c>
      <c r="O3827" s="503" t="str">
        <f ca="1">IFERROR(IF(VLOOKUP(C3827,' Disaggregation - Section E '!A$618:N1951,9,0)=0,"",VLOOKUP(C3827,' Disaggregation - Section E '!A$618:N1951,9,0)),"")</f>
        <v/>
      </c>
      <c r="P3827" s="503" t="str">
        <f ca="1">IFERROR(IF(VLOOKUP(C3827,' Disaggregation - Section E '!A$618:N1951,10,0)=0,"",VLOOKUP(C3827,' Disaggregation - Section E '!A$618:N1951,10,0)),"")</f>
        <v/>
      </c>
    </row>
    <row r="3828" spans="1:16" x14ac:dyDescent="0.35">
      <c r="A3828" s="497" t="b">
        <f t="shared" ref="A3828:A3891" ca="1" si="228">IF(M3828&lt;&gt;"",TRUE,FALSE)</f>
        <v>0</v>
      </c>
      <c r="B3828" s="497"/>
      <c r="C3828" s="510" t="str">
        <f ca="1">IF(COUNTA(D$2498:D3828)=1,"",OFFSET(B3826,-COUNTA(D$2498:D3828)+3,1))</f>
        <v>a163p000004NtMgAAK</v>
      </c>
      <c r="D3828" s="512"/>
      <c r="E3828" s="500" t="str">
        <f ca="1">IFERROR(IF(VLOOKUP(C3828,' Disaggregation - Section E '!A$618:N1952,7,0)="","",VLOOKUP(C3828,' Disaggregation - Section E '!A$618:N1952,7,0)*100),"")</f>
        <v/>
      </c>
      <c r="F3828" s="503" t="str">
        <f ca="1">IFERROR(VLOOKUP(C3828,' Disaggregation - Section E '!A$618:N1952,5,0),"")</f>
        <v/>
      </c>
      <c r="G3828" s="502" t="str">
        <f ca="1">IFERROR(IF(VLOOKUP(C3828,' Disaggregation - Section E '!A$618:N1952,6,0)="","",VLOOKUP(C3828,' Disaggregation - Section E '!A$618:N1952,6,0)),"")</f>
        <v/>
      </c>
      <c r="H3828" s="512" t="str">
        <f ca="1">IFERROR(IF(INDEX(' Disaggregation - Section E '!F$618:F3149,MATCH(C3828,' Disaggregation - Section E '!A$618:A3149,0)+1,1)&lt;&gt;0,INDEX(' Disaggregation - Section E '!F$618:F$1820,MATCH(C3828,' Disaggregation - Section E '!A$618:A3149,0)+1,1),""),"")</f>
        <v/>
      </c>
      <c r="I3828" s="503" t="str">
        <f ca="1">IFERROR(IF(VLOOKUP(C3828,' Disaggregation - Section E '!A$618:N1952,8,0)=0,"",VLOOKUP(C3828,' Disaggregation - Section E '!A$618:N1952,8,0)),"")</f>
        <v/>
      </c>
      <c r="J3828" s="503" t="str">
        <f ca="1">IFERROR(IF(VLOOKUP(C3828,' Disaggregation - Section E '!A$618:N3149,13,0)=0,"",VLOOKUP(C3828,' Disaggregation - Section E '!A$618:N3149,13,0)),"")</f>
        <v/>
      </c>
      <c r="K3828" s="497" t="str">
        <f ca="1">IFERROR(VLOOKUP(C3828,' Disaggregation - Section E '!A$618:N1952,3,0),"")</f>
        <v>KP-1a⁽ᴹ⁾ Porcentaje de HSH alcanzados por programas de prevención del VIH - paquete definido de servicios</v>
      </c>
      <c r="L3828" s="497"/>
      <c r="M3828" s="497" t="str">
        <f ca="1">IFERROR(IF(VLOOKUP(C3828,' Disaggregation - Section E '!A$618:T1952,20,0)=0,"",VLOOKUP(C3828,' Disaggregation - Section E '!A$618:T1952,20,0)),"")</f>
        <v/>
      </c>
      <c r="N3828" s="503" t="str">
        <f ca="1">IFERROR(IF(VLOOKUP(C3828,' Disaggregation - Section E '!A$618:N1952,14,0)=0,"",VLOOKUP(C3828,' Disaggregation - Section E '!A$618:N1952,14,0)),"")</f>
        <v/>
      </c>
      <c r="O3828" s="503" t="str">
        <f ca="1">IFERROR(IF(VLOOKUP(C3828,' Disaggregation - Section E '!A$618:N1952,9,0)=0,"",VLOOKUP(C3828,' Disaggregation - Section E '!A$618:N1952,9,0)),"")</f>
        <v/>
      </c>
      <c r="P3828" s="503" t="str">
        <f ca="1">IFERROR(IF(VLOOKUP(C3828,' Disaggregation - Section E '!A$618:N1952,10,0)=0,"",VLOOKUP(C3828,' Disaggregation - Section E '!A$618:N1952,10,0)),"")</f>
        <v/>
      </c>
    </row>
    <row r="3829" spans="1:16" x14ac:dyDescent="0.35">
      <c r="A3829" s="497" t="b">
        <f t="shared" ca="1" si="228"/>
        <v>0</v>
      </c>
      <c r="B3829" s="497"/>
      <c r="C3829" s="510" t="str">
        <f ca="1">IF(COUNTA(D$2498:D3829)=1,"",OFFSET(B3827,-COUNTA(D$2498:D3829)+3,1))</f>
        <v>a163p000004NtMhAAK</v>
      </c>
      <c r="D3829" s="512"/>
      <c r="E3829" s="500" t="str">
        <f ca="1">IFERROR(IF(VLOOKUP(C3829,' Disaggregation - Section E '!A$618:N1953,7,0)="","",VLOOKUP(C3829,' Disaggregation - Section E '!A$618:N1953,7,0)*100),"")</f>
        <v/>
      </c>
      <c r="F3829" s="503" t="str">
        <f ca="1">IFERROR(VLOOKUP(C3829,' Disaggregation - Section E '!A$618:N1953,5,0),"")</f>
        <v/>
      </c>
      <c r="G3829" s="502" t="str">
        <f ca="1">IFERROR(IF(VLOOKUP(C3829,' Disaggregation - Section E '!A$618:N1953,6,0)="","",VLOOKUP(C3829,' Disaggregation - Section E '!A$618:N1953,6,0)),"")</f>
        <v/>
      </c>
      <c r="H3829" s="512" t="str">
        <f ca="1">IFERROR(IF(INDEX(' Disaggregation - Section E '!F$618:F3150,MATCH(C3829,' Disaggregation - Section E '!A$618:A3150,0)+1,1)&lt;&gt;0,INDEX(' Disaggregation - Section E '!F$618:F$1820,MATCH(C3829,' Disaggregation - Section E '!A$618:A3150,0)+1,1),""),"")</f>
        <v/>
      </c>
      <c r="I3829" s="503" t="str">
        <f ca="1">IFERROR(IF(VLOOKUP(C3829,' Disaggregation - Section E '!A$618:N1953,8,0)=0,"",VLOOKUP(C3829,' Disaggregation - Section E '!A$618:N1953,8,0)),"")</f>
        <v/>
      </c>
      <c r="J3829" s="503" t="str">
        <f ca="1">IFERROR(IF(VLOOKUP(C3829,' Disaggregation - Section E '!A$618:N3150,13,0)=0,"",VLOOKUP(C3829,' Disaggregation - Section E '!A$618:N3150,13,0)),"")</f>
        <v/>
      </c>
      <c r="K3829" s="497" t="str">
        <f ca="1">IFERROR(VLOOKUP(C3829,' Disaggregation - Section E '!A$618:N1953,3,0),"")</f>
        <v>KP-1a⁽ᴹ⁾ Porcentaje de HSH alcanzados por programas de prevención del VIH - paquete definido de servicios</v>
      </c>
      <c r="L3829" s="497"/>
      <c r="M3829" s="497" t="str">
        <f ca="1">IFERROR(IF(VLOOKUP(C3829,' Disaggregation - Section E '!A$618:T1953,20,0)=0,"",VLOOKUP(C3829,' Disaggregation - Section E '!A$618:T1953,20,0)),"")</f>
        <v/>
      </c>
      <c r="N3829" s="503" t="str">
        <f ca="1">IFERROR(IF(VLOOKUP(C3829,' Disaggregation - Section E '!A$618:N1953,14,0)=0,"",VLOOKUP(C3829,' Disaggregation - Section E '!A$618:N1953,14,0)),"")</f>
        <v/>
      </c>
      <c r="O3829" s="503" t="str">
        <f ca="1">IFERROR(IF(VLOOKUP(C3829,' Disaggregation - Section E '!A$618:N1953,9,0)=0,"",VLOOKUP(C3829,' Disaggregation - Section E '!A$618:N1953,9,0)),"")</f>
        <v/>
      </c>
      <c r="P3829" s="503" t="str">
        <f ca="1">IFERROR(IF(VLOOKUP(C3829,' Disaggregation - Section E '!A$618:N1953,10,0)=0,"",VLOOKUP(C3829,' Disaggregation - Section E '!A$618:N1953,10,0)),"")</f>
        <v/>
      </c>
    </row>
    <row r="3830" spans="1:16" x14ac:dyDescent="0.35">
      <c r="A3830" s="497" t="b">
        <f t="shared" ca="1" si="228"/>
        <v>0</v>
      </c>
      <c r="B3830" s="497"/>
      <c r="C3830" s="510" t="str">
        <f ca="1">IF(COUNTA(D$2498:D3830)=1,"",OFFSET(B3828,-COUNTA(D$2498:D3830)+3,1))</f>
        <v>a163p000004NtMiAAK</v>
      </c>
      <c r="D3830" s="512"/>
      <c r="E3830" s="500" t="str">
        <f ca="1">IFERROR(IF(VLOOKUP(C3830,' Disaggregation - Section E '!A$618:N1954,7,0)="","",VLOOKUP(C3830,' Disaggregation - Section E '!A$618:N1954,7,0)*100),"")</f>
        <v/>
      </c>
      <c r="F3830" s="503" t="str">
        <f ca="1">IFERROR(VLOOKUP(C3830,' Disaggregation - Section E '!A$618:N1954,5,0),"")</f>
        <v/>
      </c>
      <c r="G3830" s="502" t="str">
        <f ca="1">IFERROR(IF(VLOOKUP(C3830,' Disaggregation - Section E '!A$618:N1954,6,0)="","",VLOOKUP(C3830,' Disaggregation - Section E '!A$618:N1954,6,0)),"")</f>
        <v/>
      </c>
      <c r="H3830" s="512" t="str">
        <f ca="1">IFERROR(IF(INDEX(' Disaggregation - Section E '!F$618:F3151,MATCH(C3830,' Disaggregation - Section E '!A$618:A3151,0)+1,1)&lt;&gt;0,INDEX(' Disaggregation - Section E '!F$618:F$1820,MATCH(C3830,' Disaggregation - Section E '!A$618:A3151,0)+1,1),""),"")</f>
        <v/>
      </c>
      <c r="I3830" s="503" t="str">
        <f ca="1">IFERROR(IF(VLOOKUP(C3830,' Disaggregation - Section E '!A$618:N1954,8,0)=0,"",VLOOKUP(C3830,' Disaggregation - Section E '!A$618:N1954,8,0)),"")</f>
        <v/>
      </c>
      <c r="J3830" s="503" t="str">
        <f ca="1">IFERROR(IF(VLOOKUP(C3830,' Disaggregation - Section E '!A$618:N3151,13,0)=0,"",VLOOKUP(C3830,' Disaggregation - Section E '!A$618:N3151,13,0)),"")</f>
        <v/>
      </c>
      <c r="K3830" s="497" t="str">
        <f ca="1">IFERROR(VLOOKUP(C3830,' Disaggregation - Section E '!A$618:N1954,3,0),"")</f>
        <v>KP-1a⁽ᴹ⁾ Porcentaje de HSH alcanzados por programas de prevención del VIH - paquete definido de servicios</v>
      </c>
      <c r="L3830" s="497"/>
      <c r="M3830" s="497" t="str">
        <f ca="1">IFERROR(IF(VLOOKUP(C3830,' Disaggregation - Section E '!A$618:T1954,20,0)=0,"",VLOOKUP(C3830,' Disaggregation - Section E '!A$618:T1954,20,0)),"")</f>
        <v/>
      </c>
      <c r="N3830" s="503" t="str">
        <f ca="1">IFERROR(IF(VLOOKUP(C3830,' Disaggregation - Section E '!A$618:N1954,14,0)=0,"",VLOOKUP(C3830,' Disaggregation - Section E '!A$618:N1954,14,0)),"")</f>
        <v/>
      </c>
      <c r="O3830" s="503" t="str">
        <f ca="1">IFERROR(IF(VLOOKUP(C3830,' Disaggregation - Section E '!A$618:N1954,9,0)=0,"",VLOOKUP(C3830,' Disaggregation - Section E '!A$618:N1954,9,0)),"")</f>
        <v/>
      </c>
      <c r="P3830" s="503" t="str">
        <f ca="1">IFERROR(IF(VLOOKUP(C3830,' Disaggregation - Section E '!A$618:N1954,10,0)=0,"",VLOOKUP(C3830,' Disaggregation - Section E '!A$618:N1954,10,0)),"")</f>
        <v/>
      </c>
    </row>
    <row r="3831" spans="1:16" x14ac:dyDescent="0.35">
      <c r="A3831" s="497" t="b">
        <f t="shared" ca="1" si="228"/>
        <v>0</v>
      </c>
      <c r="B3831" s="497"/>
      <c r="C3831" s="510" t="str">
        <f ca="1">IF(COUNTA(D$2498:D3831)=1,"",OFFSET(B3829,-COUNTA(D$2498:D3831)+3,1))</f>
        <v>a163p000004NtMjAAK</v>
      </c>
      <c r="D3831" s="512"/>
      <c r="E3831" s="500" t="str">
        <f ca="1">IFERROR(IF(VLOOKUP(C3831,' Disaggregation - Section E '!A$618:N1955,7,0)="","",VLOOKUP(C3831,' Disaggregation - Section E '!A$618:N1955,7,0)*100),"")</f>
        <v/>
      </c>
      <c r="F3831" s="503" t="str">
        <f ca="1">IFERROR(VLOOKUP(C3831,' Disaggregation - Section E '!A$618:N1955,5,0),"")</f>
        <v/>
      </c>
      <c r="G3831" s="502" t="str">
        <f ca="1">IFERROR(IF(VLOOKUP(C3831,' Disaggregation - Section E '!A$618:N1955,6,0)="","",VLOOKUP(C3831,' Disaggregation - Section E '!A$618:N1955,6,0)),"")</f>
        <v/>
      </c>
      <c r="H3831" s="512" t="str">
        <f ca="1">IFERROR(IF(INDEX(' Disaggregation - Section E '!F$618:F3152,MATCH(C3831,' Disaggregation - Section E '!A$618:A3152,0)+1,1)&lt;&gt;0,INDEX(' Disaggregation - Section E '!F$618:F$1820,MATCH(C3831,' Disaggregation - Section E '!A$618:A3152,0)+1,1),""),"")</f>
        <v/>
      </c>
      <c r="I3831" s="503" t="str">
        <f ca="1">IFERROR(IF(VLOOKUP(C3831,' Disaggregation - Section E '!A$618:N1955,8,0)=0,"",VLOOKUP(C3831,' Disaggregation - Section E '!A$618:N1955,8,0)),"")</f>
        <v/>
      </c>
      <c r="J3831" s="503" t="str">
        <f ca="1">IFERROR(IF(VLOOKUP(C3831,' Disaggregation - Section E '!A$618:N3152,13,0)=0,"",VLOOKUP(C3831,' Disaggregation - Section E '!A$618:N3152,13,0)),"")</f>
        <v/>
      </c>
      <c r="K3831" s="497" t="str">
        <f ca="1">IFERROR(VLOOKUP(C3831,' Disaggregation - Section E '!A$618:N1955,3,0),"")</f>
        <v>KP-1a⁽ᴹ⁾ Porcentaje de HSH alcanzados por programas de prevención del VIH - paquete definido de servicios</v>
      </c>
      <c r="L3831" s="497"/>
      <c r="M3831" s="497" t="str">
        <f ca="1">IFERROR(IF(VLOOKUP(C3831,' Disaggregation - Section E '!A$618:T1955,20,0)=0,"",VLOOKUP(C3831,' Disaggregation - Section E '!A$618:T1955,20,0)),"")</f>
        <v/>
      </c>
      <c r="N3831" s="503" t="str">
        <f ca="1">IFERROR(IF(VLOOKUP(C3831,' Disaggregation - Section E '!A$618:N1955,14,0)=0,"",VLOOKUP(C3831,' Disaggregation - Section E '!A$618:N1955,14,0)),"")</f>
        <v/>
      </c>
      <c r="O3831" s="503" t="str">
        <f ca="1">IFERROR(IF(VLOOKUP(C3831,' Disaggregation - Section E '!A$618:N1955,9,0)=0,"",VLOOKUP(C3831,' Disaggregation - Section E '!A$618:N1955,9,0)),"")</f>
        <v/>
      </c>
      <c r="P3831" s="503" t="str">
        <f ca="1">IFERROR(IF(VLOOKUP(C3831,' Disaggregation - Section E '!A$618:N1955,10,0)=0,"",VLOOKUP(C3831,' Disaggregation - Section E '!A$618:N1955,10,0)),"")</f>
        <v/>
      </c>
    </row>
    <row r="3832" spans="1:16" x14ac:dyDescent="0.35">
      <c r="A3832" s="497" t="b">
        <f t="shared" ca="1" si="228"/>
        <v>0</v>
      </c>
      <c r="B3832" s="497"/>
      <c r="C3832" s="510" t="str">
        <f ca="1">IF(COUNTA(D$2498:D3832)=1,"",OFFSET(B3830,-COUNTA(D$2498:D3832)+3,1))</f>
        <v>a163p000004NtMkAAK</v>
      </c>
      <c r="D3832" s="512"/>
      <c r="E3832" s="500" t="str">
        <f ca="1">IFERROR(IF(VLOOKUP(C3832,' Disaggregation - Section E '!A$618:N1956,7,0)="","",VLOOKUP(C3832,' Disaggregation - Section E '!A$618:N1956,7,0)*100),"")</f>
        <v/>
      </c>
      <c r="F3832" s="503" t="str">
        <f ca="1">IFERROR(VLOOKUP(C3832,' Disaggregation - Section E '!A$618:N1956,5,0),"")</f>
        <v/>
      </c>
      <c r="G3832" s="502" t="str">
        <f ca="1">IFERROR(IF(VLOOKUP(C3832,' Disaggregation - Section E '!A$618:N1956,6,0)="","",VLOOKUP(C3832,' Disaggregation - Section E '!A$618:N1956,6,0)),"")</f>
        <v/>
      </c>
      <c r="H3832" s="512" t="str">
        <f ca="1">IFERROR(IF(INDEX(' Disaggregation - Section E '!F$618:F3153,MATCH(C3832,' Disaggregation - Section E '!A$618:A3153,0)+1,1)&lt;&gt;0,INDEX(' Disaggregation - Section E '!F$618:F$1820,MATCH(C3832,' Disaggregation - Section E '!A$618:A3153,0)+1,1),""),"")</f>
        <v/>
      </c>
      <c r="I3832" s="503" t="str">
        <f ca="1">IFERROR(IF(VLOOKUP(C3832,' Disaggregation - Section E '!A$618:N1956,8,0)=0,"",VLOOKUP(C3832,' Disaggregation - Section E '!A$618:N1956,8,0)),"")</f>
        <v/>
      </c>
      <c r="J3832" s="503" t="str">
        <f ca="1">IFERROR(IF(VLOOKUP(C3832,' Disaggregation - Section E '!A$618:N3153,13,0)=0,"",VLOOKUP(C3832,' Disaggregation - Section E '!A$618:N3153,13,0)),"")</f>
        <v/>
      </c>
      <c r="K3832" s="497" t="str">
        <f ca="1">IFERROR(VLOOKUP(C3832,' Disaggregation - Section E '!A$618:N1956,3,0),"")</f>
        <v>KP-1a⁽ᴹ⁾ Porcentaje de HSH alcanzados por programas de prevención del VIH - paquete definido de servicios</v>
      </c>
      <c r="L3832" s="497"/>
      <c r="M3832" s="497" t="str">
        <f ca="1">IFERROR(IF(VLOOKUP(C3832,' Disaggregation - Section E '!A$618:T1956,20,0)=0,"",VLOOKUP(C3832,' Disaggregation - Section E '!A$618:T1956,20,0)),"")</f>
        <v/>
      </c>
      <c r="N3832" s="503" t="str">
        <f ca="1">IFERROR(IF(VLOOKUP(C3832,' Disaggregation - Section E '!A$618:N1956,14,0)=0,"",VLOOKUP(C3832,' Disaggregation - Section E '!A$618:N1956,14,0)),"")</f>
        <v/>
      </c>
      <c r="O3832" s="503" t="str">
        <f ca="1">IFERROR(IF(VLOOKUP(C3832,' Disaggregation - Section E '!A$618:N1956,9,0)=0,"",VLOOKUP(C3832,' Disaggregation - Section E '!A$618:N1956,9,0)),"")</f>
        <v/>
      </c>
      <c r="P3832" s="503" t="str">
        <f ca="1">IFERROR(IF(VLOOKUP(C3832,' Disaggregation - Section E '!A$618:N1956,10,0)=0,"",VLOOKUP(C3832,' Disaggregation - Section E '!A$618:N1956,10,0)),"")</f>
        <v/>
      </c>
    </row>
    <row r="3833" spans="1:16" x14ac:dyDescent="0.35">
      <c r="A3833" s="497" t="b">
        <f t="shared" ca="1" si="228"/>
        <v>0</v>
      </c>
      <c r="B3833" s="497"/>
      <c r="C3833" s="510" t="str">
        <f ca="1">IF(COUNTA(D$2498:D3833)=1,"",OFFSET(B3831,-COUNTA(D$2498:D3833)+3,1))</f>
        <v>a163p000004NtMlAAK</v>
      </c>
      <c r="D3833" s="512"/>
      <c r="E3833" s="500" t="str">
        <f ca="1">IFERROR(IF(VLOOKUP(C3833,' Disaggregation - Section E '!A$618:N1957,7,0)="","",VLOOKUP(C3833,' Disaggregation - Section E '!A$618:N1957,7,0)*100),"")</f>
        <v/>
      </c>
      <c r="F3833" s="503" t="str">
        <f ca="1">IFERROR(VLOOKUP(C3833,' Disaggregation - Section E '!A$618:N1957,5,0),"")</f>
        <v/>
      </c>
      <c r="G3833" s="502" t="str">
        <f ca="1">IFERROR(IF(VLOOKUP(C3833,' Disaggregation - Section E '!A$618:N1957,6,0)="","",VLOOKUP(C3833,' Disaggregation - Section E '!A$618:N1957,6,0)),"")</f>
        <v/>
      </c>
      <c r="H3833" s="512" t="str">
        <f ca="1">IFERROR(IF(INDEX(' Disaggregation - Section E '!F$618:F3154,MATCH(C3833,' Disaggregation - Section E '!A$618:A3154,0)+1,1)&lt;&gt;0,INDEX(' Disaggregation - Section E '!F$618:F$1820,MATCH(C3833,' Disaggregation - Section E '!A$618:A3154,0)+1,1),""),"")</f>
        <v/>
      </c>
      <c r="I3833" s="503" t="str">
        <f ca="1">IFERROR(IF(VLOOKUP(C3833,' Disaggregation - Section E '!A$618:N1957,8,0)=0,"",VLOOKUP(C3833,' Disaggregation - Section E '!A$618:N1957,8,0)),"")</f>
        <v/>
      </c>
      <c r="J3833" s="503" t="str">
        <f ca="1">IFERROR(IF(VLOOKUP(C3833,' Disaggregation - Section E '!A$618:N3154,13,0)=0,"",VLOOKUP(C3833,' Disaggregation - Section E '!A$618:N3154,13,0)),"")</f>
        <v/>
      </c>
      <c r="K3833" s="497" t="str">
        <f ca="1">IFERROR(VLOOKUP(C3833,' Disaggregation - Section E '!A$618:N1957,3,0),"")</f>
        <v>KP-1a⁽ᴹ⁾ Porcentaje de HSH alcanzados por programas de prevención del VIH - paquete definido de servicios</v>
      </c>
      <c r="L3833" s="497"/>
      <c r="M3833" s="497" t="str">
        <f ca="1">IFERROR(IF(VLOOKUP(C3833,' Disaggregation - Section E '!A$618:T1957,20,0)=0,"",VLOOKUP(C3833,' Disaggregation - Section E '!A$618:T1957,20,0)),"")</f>
        <v/>
      </c>
      <c r="N3833" s="503" t="str">
        <f ca="1">IFERROR(IF(VLOOKUP(C3833,' Disaggregation - Section E '!A$618:N1957,14,0)=0,"",VLOOKUP(C3833,' Disaggregation - Section E '!A$618:N1957,14,0)),"")</f>
        <v/>
      </c>
      <c r="O3833" s="503" t="str">
        <f ca="1">IFERROR(IF(VLOOKUP(C3833,' Disaggregation - Section E '!A$618:N1957,9,0)=0,"",VLOOKUP(C3833,' Disaggregation - Section E '!A$618:N1957,9,0)),"")</f>
        <v/>
      </c>
      <c r="P3833" s="503" t="str">
        <f ca="1">IFERROR(IF(VLOOKUP(C3833,' Disaggregation - Section E '!A$618:N1957,10,0)=0,"",VLOOKUP(C3833,' Disaggregation - Section E '!A$618:N1957,10,0)),"")</f>
        <v/>
      </c>
    </row>
    <row r="3834" spans="1:16" x14ac:dyDescent="0.35">
      <c r="A3834" s="497" t="b">
        <f t="shared" ca="1" si="228"/>
        <v>0</v>
      </c>
      <c r="B3834" s="497"/>
      <c r="C3834" s="510" t="str">
        <f ca="1">IF(COUNTA(D$2498:D3834)=1,"",OFFSET(B3832,-COUNTA(D$2498:D3834)+3,1))</f>
        <v>a163p000004NtMmAAK</v>
      </c>
      <c r="D3834" s="512"/>
      <c r="E3834" s="500" t="str">
        <f ca="1">IFERROR(IF(VLOOKUP(C3834,' Disaggregation - Section E '!A$618:N1958,7,0)="","",VLOOKUP(C3834,' Disaggregation - Section E '!A$618:N1958,7,0)*100),"")</f>
        <v/>
      </c>
      <c r="F3834" s="503" t="str">
        <f ca="1">IFERROR(VLOOKUP(C3834,' Disaggregation - Section E '!A$618:N1958,5,0),"")</f>
        <v/>
      </c>
      <c r="G3834" s="502" t="str">
        <f ca="1">IFERROR(IF(VLOOKUP(C3834,' Disaggregation - Section E '!A$618:N1958,6,0)="","",VLOOKUP(C3834,' Disaggregation - Section E '!A$618:N1958,6,0)),"")</f>
        <v/>
      </c>
      <c r="H3834" s="512" t="str">
        <f ca="1">IFERROR(IF(INDEX(' Disaggregation - Section E '!F$618:F3155,MATCH(C3834,' Disaggregation - Section E '!A$618:A3155,0)+1,1)&lt;&gt;0,INDEX(' Disaggregation - Section E '!F$618:F$1820,MATCH(C3834,' Disaggregation - Section E '!A$618:A3155,0)+1,1),""),"")</f>
        <v/>
      </c>
      <c r="I3834" s="503" t="str">
        <f ca="1">IFERROR(IF(VLOOKUP(C3834,' Disaggregation - Section E '!A$618:N1958,8,0)=0,"",VLOOKUP(C3834,' Disaggregation - Section E '!A$618:N1958,8,0)),"")</f>
        <v/>
      </c>
      <c r="J3834" s="503" t="str">
        <f ca="1">IFERROR(IF(VLOOKUP(C3834,' Disaggregation - Section E '!A$618:N3155,13,0)=0,"",VLOOKUP(C3834,' Disaggregation - Section E '!A$618:N3155,13,0)),"")</f>
        <v/>
      </c>
      <c r="K3834" s="497" t="str">
        <f ca="1">IFERROR(VLOOKUP(C3834,' Disaggregation - Section E '!A$618:N1958,3,0),"")</f>
        <v>KP-1a⁽ᴹ⁾ Porcentaje de HSH alcanzados por programas de prevención del VIH - paquete definido de servicios</v>
      </c>
      <c r="L3834" s="497"/>
      <c r="M3834" s="497" t="str">
        <f ca="1">IFERROR(IF(VLOOKUP(C3834,' Disaggregation - Section E '!A$618:T1958,20,0)=0,"",VLOOKUP(C3834,' Disaggregation - Section E '!A$618:T1958,20,0)),"")</f>
        <v/>
      </c>
      <c r="N3834" s="503" t="str">
        <f ca="1">IFERROR(IF(VLOOKUP(C3834,' Disaggregation - Section E '!A$618:N1958,14,0)=0,"",VLOOKUP(C3834,' Disaggregation - Section E '!A$618:N1958,14,0)),"")</f>
        <v/>
      </c>
      <c r="O3834" s="503" t="str">
        <f ca="1">IFERROR(IF(VLOOKUP(C3834,' Disaggregation - Section E '!A$618:N1958,9,0)=0,"",VLOOKUP(C3834,' Disaggregation - Section E '!A$618:N1958,9,0)),"")</f>
        <v/>
      </c>
      <c r="P3834" s="503" t="str">
        <f ca="1">IFERROR(IF(VLOOKUP(C3834,' Disaggregation - Section E '!A$618:N1958,10,0)=0,"",VLOOKUP(C3834,' Disaggregation - Section E '!A$618:N1958,10,0)),"")</f>
        <v/>
      </c>
    </row>
    <row r="3835" spans="1:16" x14ac:dyDescent="0.35">
      <c r="A3835" s="497" t="b">
        <f t="shared" ca="1" si="228"/>
        <v>0</v>
      </c>
      <c r="B3835" s="497"/>
      <c r="C3835" s="510" t="str">
        <f ca="1">IF(COUNTA(D$2498:D3835)=1,"",OFFSET(B3833,-COUNTA(D$2498:D3835)+3,1))</f>
        <v>a163p000004NtMnAAK</v>
      </c>
      <c r="D3835" s="512"/>
      <c r="E3835" s="500" t="str">
        <f ca="1">IFERROR(IF(VLOOKUP(C3835,' Disaggregation - Section E '!A$618:N1959,7,0)="","",VLOOKUP(C3835,' Disaggregation - Section E '!A$618:N1959,7,0)*100),"")</f>
        <v/>
      </c>
      <c r="F3835" s="503" t="str">
        <f ca="1">IFERROR(VLOOKUP(C3835,' Disaggregation - Section E '!A$618:N1959,5,0),"")</f>
        <v/>
      </c>
      <c r="G3835" s="502" t="str">
        <f ca="1">IFERROR(IF(VLOOKUP(C3835,' Disaggregation - Section E '!A$618:N1959,6,0)="","",VLOOKUP(C3835,' Disaggregation - Section E '!A$618:N1959,6,0)),"")</f>
        <v/>
      </c>
      <c r="H3835" s="512" t="str">
        <f ca="1">IFERROR(IF(INDEX(' Disaggregation - Section E '!F$618:F3156,MATCH(C3835,' Disaggregation - Section E '!A$618:A3156,0)+1,1)&lt;&gt;0,INDEX(' Disaggregation - Section E '!F$618:F$1820,MATCH(C3835,' Disaggregation - Section E '!A$618:A3156,0)+1,1),""),"")</f>
        <v/>
      </c>
      <c r="I3835" s="503" t="str">
        <f ca="1">IFERROR(IF(VLOOKUP(C3835,' Disaggregation - Section E '!A$618:N1959,8,0)=0,"",VLOOKUP(C3835,' Disaggregation - Section E '!A$618:N1959,8,0)),"")</f>
        <v/>
      </c>
      <c r="J3835" s="503" t="str">
        <f ca="1">IFERROR(IF(VLOOKUP(C3835,' Disaggregation - Section E '!A$618:N3156,13,0)=0,"",VLOOKUP(C3835,' Disaggregation - Section E '!A$618:N3156,13,0)),"")</f>
        <v/>
      </c>
      <c r="K3835" s="497" t="str">
        <f ca="1">IFERROR(VLOOKUP(C3835,' Disaggregation - Section E '!A$618:N1959,3,0),"")</f>
        <v>KP-1a⁽ᴹ⁾ Porcentaje de HSH alcanzados por programas de prevención del VIH - paquete definido de servicios</v>
      </c>
      <c r="L3835" s="497"/>
      <c r="M3835" s="497" t="str">
        <f ca="1">IFERROR(IF(VLOOKUP(C3835,' Disaggregation - Section E '!A$618:T1959,20,0)=0,"",VLOOKUP(C3835,' Disaggregation - Section E '!A$618:T1959,20,0)),"")</f>
        <v/>
      </c>
      <c r="N3835" s="503" t="str">
        <f ca="1">IFERROR(IF(VLOOKUP(C3835,' Disaggregation - Section E '!A$618:N1959,14,0)=0,"",VLOOKUP(C3835,' Disaggregation - Section E '!A$618:N1959,14,0)),"")</f>
        <v/>
      </c>
      <c r="O3835" s="503" t="str">
        <f ca="1">IFERROR(IF(VLOOKUP(C3835,' Disaggregation - Section E '!A$618:N1959,9,0)=0,"",VLOOKUP(C3835,' Disaggregation - Section E '!A$618:N1959,9,0)),"")</f>
        <v/>
      </c>
      <c r="P3835" s="503" t="str">
        <f ca="1">IFERROR(IF(VLOOKUP(C3835,' Disaggregation - Section E '!A$618:N1959,10,0)=0,"",VLOOKUP(C3835,' Disaggregation - Section E '!A$618:N1959,10,0)),"")</f>
        <v/>
      </c>
    </row>
    <row r="3836" spans="1:16" x14ac:dyDescent="0.35">
      <c r="A3836" s="497" t="b">
        <f t="shared" ca="1" si="228"/>
        <v>0</v>
      </c>
      <c r="B3836" s="497"/>
      <c r="C3836" s="510" t="str">
        <f ca="1">IF(COUNTA(D$2498:D3836)=1,"",OFFSET(B3834,-COUNTA(D$2498:D3836)+3,1))</f>
        <v>a163p000004NtMoAAK</v>
      </c>
      <c r="D3836" s="512"/>
      <c r="E3836" s="500" t="str">
        <f ca="1">IFERROR(IF(VLOOKUP(C3836,' Disaggregation - Section E '!A$618:N1960,7,0)="","",VLOOKUP(C3836,' Disaggregation - Section E '!A$618:N1960,7,0)*100),"")</f>
        <v/>
      </c>
      <c r="F3836" s="503" t="str">
        <f ca="1">IFERROR(VLOOKUP(C3836,' Disaggregation - Section E '!A$618:N1960,5,0),"")</f>
        <v/>
      </c>
      <c r="G3836" s="502" t="str">
        <f ca="1">IFERROR(IF(VLOOKUP(C3836,' Disaggregation - Section E '!A$618:N1960,6,0)="","",VLOOKUP(C3836,' Disaggregation - Section E '!A$618:N1960,6,0)),"")</f>
        <v/>
      </c>
      <c r="H3836" s="512" t="str">
        <f ca="1">IFERROR(IF(INDEX(' Disaggregation - Section E '!F$618:F3157,MATCH(C3836,' Disaggregation - Section E '!A$618:A3157,0)+1,1)&lt;&gt;0,INDEX(' Disaggregation - Section E '!F$618:F$1820,MATCH(C3836,' Disaggregation - Section E '!A$618:A3157,0)+1,1),""),"")</f>
        <v/>
      </c>
      <c r="I3836" s="503" t="str">
        <f ca="1">IFERROR(IF(VLOOKUP(C3836,' Disaggregation - Section E '!A$618:N1960,8,0)=0,"",VLOOKUP(C3836,' Disaggregation - Section E '!A$618:N1960,8,0)),"")</f>
        <v/>
      </c>
      <c r="J3836" s="503" t="str">
        <f ca="1">IFERROR(IF(VLOOKUP(C3836,' Disaggregation - Section E '!A$618:N3157,13,0)=0,"",VLOOKUP(C3836,' Disaggregation - Section E '!A$618:N3157,13,0)),"")</f>
        <v/>
      </c>
      <c r="K3836" s="497" t="str">
        <f ca="1">IFERROR(VLOOKUP(C3836,' Disaggregation - Section E '!A$618:N1960,3,0),"")</f>
        <v>KP-1a⁽ᴹ⁾ Porcentaje de HSH alcanzados por programas de prevención del VIH - paquete definido de servicios</v>
      </c>
      <c r="L3836" s="497"/>
      <c r="M3836" s="497" t="str">
        <f ca="1">IFERROR(IF(VLOOKUP(C3836,' Disaggregation - Section E '!A$618:T1960,20,0)=0,"",VLOOKUP(C3836,' Disaggregation - Section E '!A$618:T1960,20,0)),"")</f>
        <v/>
      </c>
      <c r="N3836" s="503" t="str">
        <f ca="1">IFERROR(IF(VLOOKUP(C3836,' Disaggregation - Section E '!A$618:N1960,14,0)=0,"",VLOOKUP(C3836,' Disaggregation - Section E '!A$618:N1960,14,0)),"")</f>
        <v/>
      </c>
      <c r="O3836" s="503" t="str">
        <f ca="1">IFERROR(IF(VLOOKUP(C3836,' Disaggregation - Section E '!A$618:N1960,9,0)=0,"",VLOOKUP(C3836,' Disaggregation - Section E '!A$618:N1960,9,0)),"")</f>
        <v/>
      </c>
      <c r="P3836" s="503" t="str">
        <f ca="1">IFERROR(IF(VLOOKUP(C3836,' Disaggregation - Section E '!A$618:N1960,10,0)=0,"",VLOOKUP(C3836,' Disaggregation - Section E '!A$618:N1960,10,0)),"")</f>
        <v/>
      </c>
    </row>
    <row r="3837" spans="1:16" x14ac:dyDescent="0.35">
      <c r="A3837" s="497" t="b">
        <f t="shared" ca="1" si="228"/>
        <v>0</v>
      </c>
      <c r="B3837" s="497"/>
      <c r="C3837" s="510" t="str">
        <f ca="1">IF(COUNTA(D$2498:D3837)=1,"",OFFSET(B3835,-COUNTA(D$2498:D3837)+3,1))</f>
        <v>a163p000004NtMpAAK</v>
      </c>
      <c r="D3837" s="512"/>
      <c r="E3837" s="500" t="str">
        <f ca="1">IFERROR(IF(VLOOKUP(C3837,' Disaggregation - Section E '!A$618:N1961,7,0)="","",VLOOKUP(C3837,' Disaggregation - Section E '!A$618:N1961,7,0)*100),"")</f>
        <v/>
      </c>
      <c r="F3837" s="503" t="str">
        <f ca="1">IFERROR(VLOOKUP(C3837,' Disaggregation - Section E '!A$618:N1961,5,0),"")</f>
        <v/>
      </c>
      <c r="G3837" s="502" t="str">
        <f ca="1">IFERROR(IF(VLOOKUP(C3837,' Disaggregation - Section E '!A$618:N1961,6,0)="","",VLOOKUP(C3837,' Disaggregation - Section E '!A$618:N1961,6,0)),"")</f>
        <v/>
      </c>
      <c r="H3837" s="512" t="str">
        <f ca="1">IFERROR(IF(INDEX(' Disaggregation - Section E '!F$618:F3158,MATCH(C3837,' Disaggregation - Section E '!A$618:A3158,0)+1,1)&lt;&gt;0,INDEX(' Disaggregation - Section E '!F$618:F$1820,MATCH(C3837,' Disaggregation - Section E '!A$618:A3158,0)+1,1),""),"")</f>
        <v/>
      </c>
      <c r="I3837" s="503" t="str">
        <f ca="1">IFERROR(IF(VLOOKUP(C3837,' Disaggregation - Section E '!A$618:N1961,8,0)=0,"",VLOOKUP(C3837,' Disaggregation - Section E '!A$618:N1961,8,0)),"")</f>
        <v/>
      </c>
      <c r="J3837" s="503" t="str">
        <f ca="1">IFERROR(IF(VLOOKUP(C3837,' Disaggregation - Section E '!A$618:N3158,13,0)=0,"",VLOOKUP(C3837,' Disaggregation - Section E '!A$618:N3158,13,0)),"")</f>
        <v/>
      </c>
      <c r="K3837" s="497" t="str">
        <f ca="1">IFERROR(VLOOKUP(C3837,' Disaggregation - Section E '!A$618:N1961,3,0),"")</f>
        <v>KP-1a⁽ᴹ⁾ Porcentaje de HSH alcanzados por programas de prevención del VIH - paquete definido de servicios</v>
      </c>
      <c r="L3837" s="497"/>
      <c r="M3837" s="497" t="str">
        <f ca="1">IFERROR(IF(VLOOKUP(C3837,' Disaggregation - Section E '!A$618:T1961,20,0)=0,"",VLOOKUP(C3837,' Disaggregation - Section E '!A$618:T1961,20,0)),"")</f>
        <v/>
      </c>
      <c r="N3837" s="503" t="str">
        <f ca="1">IFERROR(IF(VLOOKUP(C3837,' Disaggregation - Section E '!A$618:N1961,14,0)=0,"",VLOOKUP(C3837,' Disaggregation - Section E '!A$618:N1961,14,0)),"")</f>
        <v/>
      </c>
      <c r="O3837" s="503" t="str">
        <f ca="1">IFERROR(IF(VLOOKUP(C3837,' Disaggregation - Section E '!A$618:N1961,9,0)=0,"",VLOOKUP(C3837,' Disaggregation - Section E '!A$618:N1961,9,0)),"")</f>
        <v/>
      </c>
      <c r="P3837" s="503" t="str">
        <f ca="1">IFERROR(IF(VLOOKUP(C3837,' Disaggregation - Section E '!A$618:N1961,10,0)=0,"",VLOOKUP(C3837,' Disaggregation - Section E '!A$618:N1961,10,0)),"")</f>
        <v/>
      </c>
    </row>
    <row r="3838" spans="1:16" x14ac:dyDescent="0.35">
      <c r="A3838" s="497" t="b">
        <f t="shared" ca="1" si="228"/>
        <v>0</v>
      </c>
      <c r="B3838" s="497"/>
      <c r="C3838" s="510" t="str">
        <f ca="1">IF(COUNTA(D$2498:D3838)=1,"",OFFSET(B3836,-COUNTA(D$2498:D3838)+3,1))</f>
        <v>a163p000004NtMqAAK</v>
      </c>
      <c r="D3838" s="512"/>
      <c r="E3838" s="500" t="str">
        <f ca="1">IFERROR(IF(VLOOKUP(C3838,' Disaggregation - Section E '!A$618:N1962,7,0)="","",VLOOKUP(C3838,' Disaggregation - Section E '!A$618:N1962,7,0)*100),"")</f>
        <v/>
      </c>
      <c r="F3838" s="503" t="str">
        <f ca="1">IFERROR(VLOOKUP(C3838,' Disaggregation - Section E '!A$618:N1962,5,0),"")</f>
        <v/>
      </c>
      <c r="G3838" s="502" t="str">
        <f ca="1">IFERROR(IF(VLOOKUP(C3838,' Disaggregation - Section E '!A$618:N1962,6,0)="","",VLOOKUP(C3838,' Disaggregation - Section E '!A$618:N1962,6,0)),"")</f>
        <v/>
      </c>
      <c r="H3838" s="512" t="str">
        <f ca="1">IFERROR(IF(INDEX(' Disaggregation - Section E '!F$618:F3159,MATCH(C3838,' Disaggregation - Section E '!A$618:A3159,0)+1,1)&lt;&gt;0,INDEX(' Disaggregation - Section E '!F$618:F$1820,MATCH(C3838,' Disaggregation - Section E '!A$618:A3159,0)+1,1),""),"")</f>
        <v/>
      </c>
      <c r="I3838" s="503" t="str">
        <f ca="1">IFERROR(IF(VLOOKUP(C3838,' Disaggregation - Section E '!A$618:N1962,8,0)=0,"",VLOOKUP(C3838,' Disaggregation - Section E '!A$618:N1962,8,0)),"")</f>
        <v/>
      </c>
      <c r="J3838" s="503" t="str">
        <f ca="1">IFERROR(IF(VLOOKUP(C3838,' Disaggregation - Section E '!A$618:N3159,13,0)=0,"",VLOOKUP(C3838,' Disaggregation - Section E '!A$618:N3159,13,0)),"")</f>
        <v/>
      </c>
      <c r="K3838" s="497" t="str">
        <f ca="1">IFERROR(VLOOKUP(C3838,' Disaggregation - Section E '!A$618:N1962,3,0),"")</f>
        <v>KP-1a⁽ᴹ⁾ Porcentaje de HSH alcanzados por programas de prevención del VIH - paquete definido de servicios</v>
      </c>
      <c r="L3838" s="497"/>
      <c r="M3838" s="497" t="str">
        <f ca="1">IFERROR(IF(VLOOKUP(C3838,' Disaggregation - Section E '!A$618:T1962,20,0)=0,"",VLOOKUP(C3838,' Disaggregation - Section E '!A$618:T1962,20,0)),"")</f>
        <v/>
      </c>
      <c r="N3838" s="503" t="str">
        <f ca="1">IFERROR(IF(VLOOKUP(C3838,' Disaggregation - Section E '!A$618:N1962,14,0)=0,"",VLOOKUP(C3838,' Disaggregation - Section E '!A$618:N1962,14,0)),"")</f>
        <v/>
      </c>
      <c r="O3838" s="503" t="str">
        <f ca="1">IFERROR(IF(VLOOKUP(C3838,' Disaggregation - Section E '!A$618:N1962,9,0)=0,"",VLOOKUP(C3838,' Disaggregation - Section E '!A$618:N1962,9,0)),"")</f>
        <v/>
      </c>
      <c r="P3838" s="503" t="str">
        <f ca="1">IFERROR(IF(VLOOKUP(C3838,' Disaggregation - Section E '!A$618:N1962,10,0)=0,"",VLOOKUP(C3838,' Disaggregation - Section E '!A$618:N1962,10,0)),"")</f>
        <v/>
      </c>
    </row>
    <row r="3839" spans="1:16" x14ac:dyDescent="0.35">
      <c r="A3839" s="497" t="b">
        <f t="shared" ca="1" si="228"/>
        <v>0</v>
      </c>
      <c r="B3839" s="497"/>
      <c r="C3839" s="510" t="str">
        <f ca="1">IF(COUNTA(D$2498:D3839)=1,"",OFFSET(B3837,-COUNTA(D$2498:D3839)+3,1))</f>
        <v>a163p000004NtMrAAK</v>
      </c>
      <c r="D3839" s="512"/>
      <c r="E3839" s="500" t="str">
        <f ca="1">IFERROR(IF(VLOOKUP(C3839,' Disaggregation - Section E '!A$618:N1963,7,0)="","",VLOOKUP(C3839,' Disaggregation - Section E '!A$618:N1963,7,0)*100),"")</f>
        <v/>
      </c>
      <c r="F3839" s="503" t="str">
        <f ca="1">IFERROR(VLOOKUP(C3839,' Disaggregation - Section E '!A$618:N1963,5,0),"")</f>
        <v/>
      </c>
      <c r="G3839" s="502" t="str">
        <f ca="1">IFERROR(IF(VLOOKUP(C3839,' Disaggregation - Section E '!A$618:N1963,6,0)="","",VLOOKUP(C3839,' Disaggregation - Section E '!A$618:N1963,6,0)),"")</f>
        <v/>
      </c>
      <c r="H3839" s="512" t="str">
        <f ca="1">IFERROR(IF(INDEX(' Disaggregation - Section E '!F$618:F3160,MATCH(C3839,' Disaggregation - Section E '!A$618:A3160,0)+1,1)&lt;&gt;0,INDEX(' Disaggregation - Section E '!F$618:F$1820,MATCH(C3839,' Disaggregation - Section E '!A$618:A3160,0)+1,1),""),"")</f>
        <v/>
      </c>
      <c r="I3839" s="503" t="str">
        <f ca="1">IFERROR(IF(VLOOKUP(C3839,' Disaggregation - Section E '!A$618:N1963,8,0)=0,"",VLOOKUP(C3839,' Disaggregation - Section E '!A$618:N1963,8,0)),"")</f>
        <v/>
      </c>
      <c r="J3839" s="503" t="str">
        <f ca="1">IFERROR(IF(VLOOKUP(C3839,' Disaggregation - Section E '!A$618:N3160,13,0)=0,"",VLOOKUP(C3839,' Disaggregation - Section E '!A$618:N3160,13,0)),"")</f>
        <v/>
      </c>
      <c r="K3839" s="497" t="str">
        <f ca="1">IFERROR(VLOOKUP(C3839,' Disaggregation - Section E '!A$618:N1963,3,0),"")</f>
        <v>KP-1a⁽ᴹ⁾ Porcentaje de HSH alcanzados por programas de prevención del VIH - paquete definido de servicios</v>
      </c>
      <c r="L3839" s="497"/>
      <c r="M3839" s="497" t="str">
        <f ca="1">IFERROR(IF(VLOOKUP(C3839,' Disaggregation - Section E '!A$618:T1963,20,0)=0,"",VLOOKUP(C3839,' Disaggregation - Section E '!A$618:T1963,20,0)),"")</f>
        <v/>
      </c>
      <c r="N3839" s="503" t="str">
        <f ca="1">IFERROR(IF(VLOOKUP(C3839,' Disaggregation - Section E '!A$618:N1963,14,0)=0,"",VLOOKUP(C3839,' Disaggregation - Section E '!A$618:N1963,14,0)),"")</f>
        <v/>
      </c>
      <c r="O3839" s="503" t="str">
        <f ca="1">IFERROR(IF(VLOOKUP(C3839,' Disaggregation - Section E '!A$618:N1963,9,0)=0,"",VLOOKUP(C3839,' Disaggregation - Section E '!A$618:N1963,9,0)),"")</f>
        <v/>
      </c>
      <c r="P3839" s="503" t="str">
        <f ca="1">IFERROR(IF(VLOOKUP(C3839,' Disaggregation - Section E '!A$618:N1963,10,0)=0,"",VLOOKUP(C3839,' Disaggregation - Section E '!A$618:N1963,10,0)),"")</f>
        <v/>
      </c>
    </row>
    <row r="3840" spans="1:16" x14ac:dyDescent="0.35">
      <c r="A3840" s="497" t="b">
        <f t="shared" ca="1" si="228"/>
        <v>0</v>
      </c>
      <c r="B3840" s="497"/>
      <c r="C3840" s="510" t="str">
        <f ca="1">IF(COUNTA(D$2498:D3840)=1,"",OFFSET(B3838,-COUNTA(D$2498:D3840)+3,1))</f>
        <v>a163p000004NtWEAA0</v>
      </c>
      <c r="D3840" s="512"/>
      <c r="E3840" s="500" t="str">
        <f ca="1">IFERROR(IF(VLOOKUP(C3840,' Disaggregation - Section E '!A$618:N1964,7,0)="","",VLOOKUP(C3840,' Disaggregation - Section E '!A$618:N1964,7,0)*100),"")</f>
        <v/>
      </c>
      <c r="F3840" s="503" t="str">
        <f ca="1">IFERROR(VLOOKUP(C3840,' Disaggregation - Section E '!A$618:N1964,5,0),"")</f>
        <v/>
      </c>
      <c r="G3840" s="502" t="str">
        <f ca="1">IFERROR(IF(VLOOKUP(C3840,' Disaggregation - Section E '!A$618:N1964,6,0)="","",VLOOKUP(C3840,' Disaggregation - Section E '!A$618:N1964,6,0)),"")</f>
        <v/>
      </c>
      <c r="H3840" s="512" t="str">
        <f ca="1">IFERROR(IF(INDEX(' Disaggregation - Section E '!F$618:F3161,MATCH(C3840,' Disaggregation - Section E '!A$618:A3161,0)+1,1)&lt;&gt;0,INDEX(' Disaggregation - Section E '!F$618:F$1820,MATCH(C3840,' Disaggregation - Section E '!A$618:A3161,0)+1,1),""),"")</f>
        <v/>
      </c>
      <c r="I3840" s="503" t="str">
        <f ca="1">IFERROR(IF(VLOOKUP(C3840,' Disaggregation - Section E '!A$618:N1964,8,0)=0,"",VLOOKUP(C3840,' Disaggregation - Section E '!A$618:N1964,8,0)),"")</f>
        <v/>
      </c>
      <c r="J3840" s="503" t="str">
        <f ca="1">IFERROR(IF(VLOOKUP(C3840,' Disaggregation - Section E '!A$618:N3161,13,0)=0,"",VLOOKUP(C3840,' Disaggregation - Section E '!A$618:N3161,13,0)),"")</f>
        <v/>
      </c>
      <c r="K3840" s="497" t="str">
        <f ca="1">IFERROR(VLOOKUP(C3840,' Disaggregation - Section E '!A$618:N1964,3,0),"")</f>
        <v>TCP - other -1: Porcentaje de casos todas las formas de TB entre PPL tratados exitosamente entre el total de casos todas las formas notificados</v>
      </c>
      <c r="L3840" s="497"/>
      <c r="M3840" s="497" t="str">
        <f ca="1">IFERROR(IF(VLOOKUP(C3840,' Disaggregation - Section E '!A$618:T1964,20,0)=0,"",VLOOKUP(C3840,' Disaggregation - Section E '!A$618:T1964,20,0)),"")</f>
        <v/>
      </c>
      <c r="N3840" s="503" t="str">
        <f ca="1">IFERROR(IF(VLOOKUP(C3840,' Disaggregation - Section E '!A$618:N1964,14,0)=0,"",VLOOKUP(C3840,' Disaggregation - Section E '!A$618:N1964,14,0)),"")</f>
        <v/>
      </c>
      <c r="O3840" s="503" t="str">
        <f ca="1">IFERROR(IF(VLOOKUP(C3840,' Disaggregation - Section E '!A$618:N1964,9,0)=0,"",VLOOKUP(C3840,' Disaggregation - Section E '!A$618:N1964,9,0)),"")</f>
        <v/>
      </c>
      <c r="P3840" s="503" t="str">
        <f ca="1">IFERROR(IF(VLOOKUP(C3840,' Disaggregation - Section E '!A$618:N1964,10,0)=0,"",VLOOKUP(C3840,' Disaggregation - Section E '!A$618:N1964,10,0)),"")</f>
        <v/>
      </c>
    </row>
    <row r="3841" spans="1:16" x14ac:dyDescent="0.35">
      <c r="A3841" s="497" t="b">
        <f t="shared" ca="1" si="228"/>
        <v>0</v>
      </c>
      <c r="B3841" s="497"/>
      <c r="C3841" s="510" t="str">
        <f ca="1">IF(COUNTA(D$2498:D3841)=1,"",OFFSET(B3839,-COUNTA(D$2498:D3841)+3,1))</f>
        <v>a163p000004NtWFAA0</v>
      </c>
      <c r="D3841" s="512"/>
      <c r="E3841" s="500" t="str">
        <f ca="1">IFERROR(IF(VLOOKUP(C3841,' Disaggregation - Section E '!A$618:N1965,7,0)="","",VLOOKUP(C3841,' Disaggregation - Section E '!A$618:N1965,7,0)*100),"")</f>
        <v/>
      </c>
      <c r="F3841" s="503" t="str">
        <f ca="1">IFERROR(VLOOKUP(C3841,' Disaggregation - Section E '!A$618:N1965,5,0),"")</f>
        <v/>
      </c>
      <c r="G3841" s="502" t="str">
        <f ca="1">IFERROR(IF(VLOOKUP(C3841,' Disaggregation - Section E '!A$618:N1965,6,0)="","",VLOOKUP(C3841,' Disaggregation - Section E '!A$618:N1965,6,0)),"")</f>
        <v/>
      </c>
      <c r="H3841" s="512" t="str">
        <f ca="1">IFERROR(IF(INDEX(' Disaggregation - Section E '!F$618:F3162,MATCH(C3841,' Disaggregation - Section E '!A$618:A3162,0)+1,1)&lt;&gt;0,INDEX(' Disaggregation - Section E '!F$618:F$1820,MATCH(C3841,' Disaggregation - Section E '!A$618:A3162,0)+1,1),""),"")</f>
        <v/>
      </c>
      <c r="I3841" s="503" t="str">
        <f ca="1">IFERROR(IF(VLOOKUP(C3841,' Disaggregation - Section E '!A$618:N1965,8,0)=0,"",VLOOKUP(C3841,' Disaggregation - Section E '!A$618:N1965,8,0)),"")</f>
        <v/>
      </c>
      <c r="J3841" s="503" t="str">
        <f ca="1">IFERROR(IF(VLOOKUP(C3841,' Disaggregation - Section E '!A$618:N3162,13,0)=0,"",VLOOKUP(C3841,' Disaggregation - Section E '!A$618:N3162,13,0)),"")</f>
        <v/>
      </c>
      <c r="K3841" s="497" t="str">
        <f ca="1">IFERROR(VLOOKUP(C3841,' Disaggregation - Section E '!A$618:N1965,3,0),"")</f>
        <v>TCP - other -1: Porcentaje de casos todas las formas de TB entre PPL tratados exitosamente entre el total de casos todas las formas notificados</v>
      </c>
      <c r="L3841" s="497"/>
      <c r="M3841" s="497" t="str">
        <f ca="1">IFERROR(IF(VLOOKUP(C3841,' Disaggregation - Section E '!A$618:T1965,20,0)=0,"",VLOOKUP(C3841,' Disaggregation - Section E '!A$618:T1965,20,0)),"")</f>
        <v/>
      </c>
      <c r="N3841" s="503" t="str">
        <f ca="1">IFERROR(IF(VLOOKUP(C3841,' Disaggregation - Section E '!A$618:N1965,14,0)=0,"",VLOOKUP(C3841,' Disaggregation - Section E '!A$618:N1965,14,0)),"")</f>
        <v/>
      </c>
      <c r="O3841" s="503" t="str">
        <f ca="1">IFERROR(IF(VLOOKUP(C3841,' Disaggregation - Section E '!A$618:N1965,9,0)=0,"",VLOOKUP(C3841,' Disaggregation - Section E '!A$618:N1965,9,0)),"")</f>
        <v/>
      </c>
      <c r="P3841" s="503" t="str">
        <f ca="1">IFERROR(IF(VLOOKUP(C3841,' Disaggregation - Section E '!A$618:N1965,10,0)=0,"",VLOOKUP(C3841,' Disaggregation - Section E '!A$618:N1965,10,0)),"")</f>
        <v/>
      </c>
    </row>
    <row r="3842" spans="1:16" x14ac:dyDescent="0.35">
      <c r="A3842" s="497" t="b">
        <f t="shared" ca="1" si="228"/>
        <v>0</v>
      </c>
      <c r="B3842" s="497"/>
      <c r="C3842" s="510" t="str">
        <f ca="1">IF(COUNTA(D$2498:D3842)=1,"",OFFSET(B3840,-COUNTA(D$2498:D3842)+3,1))</f>
        <v>a163p000004NtWGAA0</v>
      </c>
      <c r="D3842" s="512"/>
      <c r="E3842" s="500" t="str">
        <f ca="1">IFERROR(IF(VLOOKUP(C3842,' Disaggregation - Section E '!A$618:N1966,7,0)="","",VLOOKUP(C3842,' Disaggregation - Section E '!A$618:N1966,7,0)*100),"")</f>
        <v/>
      </c>
      <c r="F3842" s="503" t="str">
        <f ca="1">IFERROR(VLOOKUP(C3842,' Disaggregation - Section E '!A$618:N1966,5,0),"")</f>
        <v/>
      </c>
      <c r="G3842" s="502" t="str">
        <f ca="1">IFERROR(IF(VLOOKUP(C3842,' Disaggregation - Section E '!A$618:N1966,6,0)="","",VLOOKUP(C3842,' Disaggregation - Section E '!A$618:N1966,6,0)),"")</f>
        <v/>
      </c>
      <c r="H3842" s="512" t="str">
        <f ca="1">IFERROR(IF(INDEX(' Disaggregation - Section E '!F$618:F3163,MATCH(C3842,' Disaggregation - Section E '!A$618:A3163,0)+1,1)&lt;&gt;0,INDEX(' Disaggregation - Section E '!F$618:F$1820,MATCH(C3842,' Disaggregation - Section E '!A$618:A3163,0)+1,1),""),"")</f>
        <v/>
      </c>
      <c r="I3842" s="503" t="str">
        <f ca="1">IFERROR(IF(VLOOKUP(C3842,' Disaggregation - Section E '!A$618:N1966,8,0)=0,"",VLOOKUP(C3842,' Disaggregation - Section E '!A$618:N1966,8,0)),"")</f>
        <v/>
      </c>
      <c r="J3842" s="503" t="str">
        <f ca="1">IFERROR(IF(VLOOKUP(C3842,' Disaggregation - Section E '!A$618:N3163,13,0)=0,"",VLOOKUP(C3842,' Disaggregation - Section E '!A$618:N3163,13,0)),"")</f>
        <v/>
      </c>
      <c r="K3842" s="497" t="str">
        <f ca="1">IFERROR(VLOOKUP(C3842,' Disaggregation - Section E '!A$618:N1966,3,0),"")</f>
        <v>TCP - other -1: Porcentaje de casos todas las formas de TB entre PPL tratados exitosamente entre el total de casos todas las formas notificados</v>
      </c>
      <c r="L3842" s="497"/>
      <c r="M3842" s="497" t="str">
        <f ca="1">IFERROR(IF(VLOOKUP(C3842,' Disaggregation - Section E '!A$618:T1966,20,0)=0,"",VLOOKUP(C3842,' Disaggregation - Section E '!A$618:T1966,20,0)),"")</f>
        <v/>
      </c>
      <c r="N3842" s="503" t="str">
        <f ca="1">IFERROR(IF(VLOOKUP(C3842,' Disaggregation - Section E '!A$618:N1966,14,0)=0,"",VLOOKUP(C3842,' Disaggregation - Section E '!A$618:N1966,14,0)),"")</f>
        <v/>
      </c>
      <c r="O3842" s="503" t="str">
        <f ca="1">IFERROR(IF(VLOOKUP(C3842,' Disaggregation - Section E '!A$618:N1966,9,0)=0,"",VLOOKUP(C3842,' Disaggregation - Section E '!A$618:N1966,9,0)),"")</f>
        <v/>
      </c>
      <c r="P3842" s="503" t="str">
        <f ca="1">IFERROR(IF(VLOOKUP(C3842,' Disaggregation - Section E '!A$618:N1966,10,0)=0,"",VLOOKUP(C3842,' Disaggregation - Section E '!A$618:N1966,10,0)),"")</f>
        <v/>
      </c>
    </row>
    <row r="3843" spans="1:16" x14ac:dyDescent="0.35">
      <c r="A3843" s="497" t="b">
        <f t="shared" ca="1" si="228"/>
        <v>0</v>
      </c>
      <c r="B3843" s="497"/>
      <c r="C3843" s="510" t="str">
        <f ca="1">IF(COUNTA(D$2498:D3843)=1,"",OFFSET(B3841,-COUNTA(D$2498:D3843)+3,1))</f>
        <v>a163p000004NtWHAA0</v>
      </c>
      <c r="D3843" s="512"/>
      <c r="E3843" s="500" t="str">
        <f ca="1">IFERROR(IF(VLOOKUP(C3843,' Disaggregation - Section E '!A$618:N1967,7,0)="","",VLOOKUP(C3843,' Disaggregation - Section E '!A$618:N1967,7,0)*100),"")</f>
        <v/>
      </c>
      <c r="F3843" s="503" t="str">
        <f ca="1">IFERROR(VLOOKUP(C3843,' Disaggregation - Section E '!A$618:N1967,5,0),"")</f>
        <v/>
      </c>
      <c r="G3843" s="502" t="str">
        <f ca="1">IFERROR(IF(VLOOKUP(C3843,' Disaggregation - Section E '!A$618:N1967,6,0)="","",VLOOKUP(C3843,' Disaggregation - Section E '!A$618:N1967,6,0)),"")</f>
        <v/>
      </c>
      <c r="H3843" s="512" t="str">
        <f ca="1">IFERROR(IF(INDEX(' Disaggregation - Section E '!F$618:F3164,MATCH(C3843,' Disaggregation - Section E '!A$618:A3164,0)+1,1)&lt;&gt;0,INDEX(' Disaggregation - Section E '!F$618:F$1820,MATCH(C3843,' Disaggregation - Section E '!A$618:A3164,0)+1,1),""),"")</f>
        <v/>
      </c>
      <c r="I3843" s="503" t="str">
        <f ca="1">IFERROR(IF(VLOOKUP(C3843,' Disaggregation - Section E '!A$618:N1967,8,0)=0,"",VLOOKUP(C3843,' Disaggregation - Section E '!A$618:N1967,8,0)),"")</f>
        <v/>
      </c>
      <c r="J3843" s="503" t="str">
        <f ca="1">IFERROR(IF(VLOOKUP(C3843,' Disaggregation - Section E '!A$618:N3164,13,0)=0,"",VLOOKUP(C3843,' Disaggregation - Section E '!A$618:N3164,13,0)),"")</f>
        <v/>
      </c>
      <c r="K3843" s="497" t="str">
        <f ca="1">IFERROR(VLOOKUP(C3843,' Disaggregation - Section E '!A$618:N1967,3,0),"")</f>
        <v>TCP - other -1: Porcentaje de casos todas las formas de TB entre PPL tratados exitosamente entre el total de casos todas las formas notificados</v>
      </c>
      <c r="L3843" s="497"/>
      <c r="M3843" s="497" t="str">
        <f ca="1">IFERROR(IF(VLOOKUP(C3843,' Disaggregation - Section E '!A$618:T1967,20,0)=0,"",VLOOKUP(C3843,' Disaggregation - Section E '!A$618:T1967,20,0)),"")</f>
        <v/>
      </c>
      <c r="N3843" s="503" t="str">
        <f ca="1">IFERROR(IF(VLOOKUP(C3843,' Disaggregation - Section E '!A$618:N1967,14,0)=0,"",VLOOKUP(C3843,' Disaggregation - Section E '!A$618:N1967,14,0)),"")</f>
        <v/>
      </c>
      <c r="O3843" s="503" t="str">
        <f ca="1">IFERROR(IF(VLOOKUP(C3843,' Disaggregation - Section E '!A$618:N1967,9,0)=0,"",VLOOKUP(C3843,' Disaggregation - Section E '!A$618:N1967,9,0)),"")</f>
        <v/>
      </c>
      <c r="P3843" s="503" t="str">
        <f ca="1">IFERROR(IF(VLOOKUP(C3843,' Disaggregation - Section E '!A$618:N1967,10,0)=0,"",VLOOKUP(C3843,' Disaggregation - Section E '!A$618:N1967,10,0)),"")</f>
        <v/>
      </c>
    </row>
    <row r="3844" spans="1:16" x14ac:dyDescent="0.35">
      <c r="A3844" s="497" t="b">
        <f t="shared" ca="1" si="228"/>
        <v>0</v>
      </c>
      <c r="B3844" s="497"/>
      <c r="C3844" s="510" t="str">
        <f ca="1">IF(COUNTA(D$2498:D3844)=1,"",OFFSET(B3842,-COUNTA(D$2498:D3844)+3,1))</f>
        <v>a163p000004NtWIAA0</v>
      </c>
      <c r="D3844" s="512"/>
      <c r="E3844" s="500" t="str">
        <f ca="1">IFERROR(IF(VLOOKUP(C3844,' Disaggregation - Section E '!A$618:N1968,7,0)="","",VLOOKUP(C3844,' Disaggregation - Section E '!A$618:N1968,7,0)*100),"")</f>
        <v/>
      </c>
      <c r="F3844" s="503" t="str">
        <f ca="1">IFERROR(VLOOKUP(C3844,' Disaggregation - Section E '!A$618:N1968,5,0),"")</f>
        <v/>
      </c>
      <c r="G3844" s="502" t="str">
        <f ca="1">IFERROR(IF(VLOOKUP(C3844,' Disaggregation - Section E '!A$618:N1968,6,0)="","",VLOOKUP(C3844,' Disaggregation - Section E '!A$618:N1968,6,0)),"")</f>
        <v/>
      </c>
      <c r="H3844" s="512" t="str">
        <f ca="1">IFERROR(IF(INDEX(' Disaggregation - Section E '!F$618:F3165,MATCH(C3844,' Disaggregation - Section E '!A$618:A3165,0)+1,1)&lt;&gt;0,INDEX(' Disaggregation - Section E '!F$618:F$1820,MATCH(C3844,' Disaggregation - Section E '!A$618:A3165,0)+1,1),""),"")</f>
        <v/>
      </c>
      <c r="I3844" s="503" t="str">
        <f ca="1">IFERROR(IF(VLOOKUP(C3844,' Disaggregation - Section E '!A$618:N1968,8,0)=0,"",VLOOKUP(C3844,' Disaggregation - Section E '!A$618:N1968,8,0)),"")</f>
        <v/>
      </c>
      <c r="J3844" s="503" t="str">
        <f ca="1">IFERROR(IF(VLOOKUP(C3844,' Disaggregation - Section E '!A$618:N3165,13,0)=0,"",VLOOKUP(C3844,' Disaggregation - Section E '!A$618:N3165,13,0)),"")</f>
        <v/>
      </c>
      <c r="K3844" s="497" t="str">
        <f ca="1">IFERROR(VLOOKUP(C3844,' Disaggregation - Section E '!A$618:N1968,3,0),"")</f>
        <v>TCP - other -1: Porcentaje de casos todas las formas de TB entre PPL tratados exitosamente entre el total de casos todas las formas notificados</v>
      </c>
      <c r="L3844" s="497"/>
      <c r="M3844" s="497" t="str">
        <f ca="1">IFERROR(IF(VLOOKUP(C3844,' Disaggregation - Section E '!A$618:T1968,20,0)=0,"",VLOOKUP(C3844,' Disaggregation - Section E '!A$618:T1968,20,0)),"")</f>
        <v/>
      </c>
      <c r="N3844" s="503" t="str">
        <f ca="1">IFERROR(IF(VLOOKUP(C3844,' Disaggregation - Section E '!A$618:N1968,14,0)=0,"",VLOOKUP(C3844,' Disaggregation - Section E '!A$618:N1968,14,0)),"")</f>
        <v/>
      </c>
      <c r="O3844" s="503" t="str">
        <f ca="1">IFERROR(IF(VLOOKUP(C3844,' Disaggregation - Section E '!A$618:N1968,9,0)=0,"",VLOOKUP(C3844,' Disaggregation - Section E '!A$618:N1968,9,0)),"")</f>
        <v/>
      </c>
      <c r="P3844" s="503" t="str">
        <f ca="1">IFERROR(IF(VLOOKUP(C3844,' Disaggregation - Section E '!A$618:N1968,10,0)=0,"",VLOOKUP(C3844,' Disaggregation - Section E '!A$618:N1968,10,0)),"")</f>
        <v/>
      </c>
    </row>
    <row r="3845" spans="1:16" x14ac:dyDescent="0.35">
      <c r="A3845" s="497" t="b">
        <f t="shared" ca="1" si="228"/>
        <v>0</v>
      </c>
      <c r="B3845" s="497"/>
      <c r="C3845" s="510" t="str">
        <f ca="1">IF(COUNTA(D$2498:D3845)=1,"",OFFSET(B3843,-COUNTA(D$2498:D3845)+3,1))</f>
        <v>a163p000004NtWJAA0</v>
      </c>
      <c r="D3845" s="512"/>
      <c r="E3845" s="500" t="str">
        <f ca="1">IFERROR(IF(VLOOKUP(C3845,' Disaggregation - Section E '!A$618:N1969,7,0)="","",VLOOKUP(C3845,' Disaggregation - Section E '!A$618:N1969,7,0)*100),"")</f>
        <v/>
      </c>
      <c r="F3845" s="503" t="str">
        <f ca="1">IFERROR(VLOOKUP(C3845,' Disaggregation - Section E '!A$618:N1969,5,0),"")</f>
        <v/>
      </c>
      <c r="G3845" s="502" t="str">
        <f ca="1">IFERROR(IF(VLOOKUP(C3845,' Disaggregation - Section E '!A$618:N1969,6,0)="","",VLOOKUP(C3845,' Disaggregation - Section E '!A$618:N1969,6,0)),"")</f>
        <v/>
      </c>
      <c r="H3845" s="512" t="str">
        <f ca="1">IFERROR(IF(INDEX(' Disaggregation - Section E '!F$618:F3166,MATCH(C3845,' Disaggregation - Section E '!A$618:A3166,0)+1,1)&lt;&gt;0,INDEX(' Disaggregation - Section E '!F$618:F$1820,MATCH(C3845,' Disaggregation - Section E '!A$618:A3166,0)+1,1),""),"")</f>
        <v/>
      </c>
      <c r="I3845" s="503" t="str">
        <f ca="1">IFERROR(IF(VLOOKUP(C3845,' Disaggregation - Section E '!A$618:N1969,8,0)=0,"",VLOOKUP(C3845,' Disaggregation - Section E '!A$618:N1969,8,0)),"")</f>
        <v/>
      </c>
      <c r="J3845" s="503" t="str">
        <f ca="1">IFERROR(IF(VLOOKUP(C3845,' Disaggregation - Section E '!A$618:N3166,13,0)=0,"",VLOOKUP(C3845,' Disaggregation - Section E '!A$618:N3166,13,0)),"")</f>
        <v/>
      </c>
      <c r="K3845" s="497" t="str">
        <f ca="1">IFERROR(VLOOKUP(C3845,' Disaggregation - Section E '!A$618:N1969,3,0),"")</f>
        <v>TCP - other -1: Porcentaje de casos todas las formas de TB entre PPL tratados exitosamente entre el total de casos todas las formas notificados</v>
      </c>
      <c r="L3845" s="497"/>
      <c r="M3845" s="497" t="str">
        <f ca="1">IFERROR(IF(VLOOKUP(C3845,' Disaggregation - Section E '!A$618:T1969,20,0)=0,"",VLOOKUP(C3845,' Disaggregation - Section E '!A$618:T1969,20,0)),"")</f>
        <v/>
      </c>
      <c r="N3845" s="503" t="str">
        <f ca="1">IFERROR(IF(VLOOKUP(C3845,' Disaggregation - Section E '!A$618:N1969,14,0)=0,"",VLOOKUP(C3845,' Disaggregation - Section E '!A$618:N1969,14,0)),"")</f>
        <v/>
      </c>
      <c r="O3845" s="503" t="str">
        <f ca="1">IFERROR(IF(VLOOKUP(C3845,' Disaggregation - Section E '!A$618:N1969,9,0)=0,"",VLOOKUP(C3845,' Disaggregation - Section E '!A$618:N1969,9,0)),"")</f>
        <v/>
      </c>
      <c r="P3845" s="503" t="str">
        <f ca="1">IFERROR(IF(VLOOKUP(C3845,' Disaggregation - Section E '!A$618:N1969,10,0)=0,"",VLOOKUP(C3845,' Disaggregation - Section E '!A$618:N1969,10,0)),"")</f>
        <v/>
      </c>
    </row>
    <row r="3846" spans="1:16" x14ac:dyDescent="0.35">
      <c r="A3846" s="497" t="b">
        <f t="shared" ca="1" si="228"/>
        <v>0</v>
      </c>
      <c r="B3846" s="497"/>
      <c r="C3846" s="510" t="str">
        <f ca="1">IF(COUNTA(D$2498:D3846)=1,"",OFFSET(B3844,-COUNTA(D$2498:D3846)+3,1))</f>
        <v>a163p000004NtWKAA0</v>
      </c>
      <c r="D3846" s="512"/>
      <c r="E3846" s="500" t="str">
        <f ca="1">IFERROR(IF(VLOOKUP(C3846,' Disaggregation - Section E '!A$618:N1970,7,0)="","",VLOOKUP(C3846,' Disaggregation - Section E '!A$618:N1970,7,0)*100),"")</f>
        <v/>
      </c>
      <c r="F3846" s="503" t="str">
        <f ca="1">IFERROR(VLOOKUP(C3846,' Disaggregation - Section E '!A$618:N1970,5,0),"")</f>
        <v/>
      </c>
      <c r="G3846" s="502" t="str">
        <f ca="1">IFERROR(IF(VLOOKUP(C3846,' Disaggregation - Section E '!A$618:N1970,6,0)="","",VLOOKUP(C3846,' Disaggregation - Section E '!A$618:N1970,6,0)),"")</f>
        <v/>
      </c>
      <c r="H3846" s="512" t="str">
        <f ca="1">IFERROR(IF(INDEX(' Disaggregation - Section E '!F$618:F3167,MATCH(C3846,' Disaggregation - Section E '!A$618:A3167,0)+1,1)&lt;&gt;0,INDEX(' Disaggregation - Section E '!F$618:F$1820,MATCH(C3846,' Disaggregation - Section E '!A$618:A3167,0)+1,1),""),"")</f>
        <v/>
      </c>
      <c r="I3846" s="503" t="str">
        <f ca="1">IFERROR(IF(VLOOKUP(C3846,' Disaggregation - Section E '!A$618:N1970,8,0)=0,"",VLOOKUP(C3846,' Disaggregation - Section E '!A$618:N1970,8,0)),"")</f>
        <v/>
      </c>
      <c r="J3846" s="503" t="str">
        <f ca="1">IFERROR(IF(VLOOKUP(C3846,' Disaggregation - Section E '!A$618:N3167,13,0)=0,"",VLOOKUP(C3846,' Disaggregation - Section E '!A$618:N3167,13,0)),"")</f>
        <v/>
      </c>
      <c r="K3846" s="497" t="str">
        <f ca="1">IFERROR(VLOOKUP(C3846,' Disaggregation - Section E '!A$618:N1970,3,0),"")</f>
        <v>TCP - other -1: Porcentaje de casos todas las formas de TB entre PPL tratados exitosamente entre el total de casos todas las formas notificados</v>
      </c>
      <c r="L3846" s="497"/>
      <c r="M3846" s="497" t="str">
        <f ca="1">IFERROR(IF(VLOOKUP(C3846,' Disaggregation - Section E '!A$618:T1970,20,0)=0,"",VLOOKUP(C3846,' Disaggregation - Section E '!A$618:T1970,20,0)),"")</f>
        <v/>
      </c>
      <c r="N3846" s="503" t="str">
        <f ca="1">IFERROR(IF(VLOOKUP(C3846,' Disaggregation - Section E '!A$618:N1970,14,0)=0,"",VLOOKUP(C3846,' Disaggregation - Section E '!A$618:N1970,14,0)),"")</f>
        <v/>
      </c>
      <c r="O3846" s="503" t="str">
        <f ca="1">IFERROR(IF(VLOOKUP(C3846,' Disaggregation - Section E '!A$618:N1970,9,0)=0,"",VLOOKUP(C3846,' Disaggregation - Section E '!A$618:N1970,9,0)),"")</f>
        <v/>
      </c>
      <c r="P3846" s="503" t="str">
        <f ca="1">IFERROR(IF(VLOOKUP(C3846,' Disaggregation - Section E '!A$618:N1970,10,0)=0,"",VLOOKUP(C3846,' Disaggregation - Section E '!A$618:N1970,10,0)),"")</f>
        <v/>
      </c>
    </row>
    <row r="3847" spans="1:16" x14ac:dyDescent="0.35">
      <c r="A3847" s="497" t="b">
        <f t="shared" ca="1" si="228"/>
        <v>0</v>
      </c>
      <c r="B3847" s="497"/>
      <c r="C3847" s="510" t="str">
        <f ca="1">IF(COUNTA(D$2498:D3847)=1,"",OFFSET(B3845,-COUNTA(D$2498:D3847)+3,1))</f>
        <v>a163p000004NtWLAA0</v>
      </c>
      <c r="D3847" s="512"/>
      <c r="E3847" s="500" t="str">
        <f ca="1">IFERROR(IF(VLOOKUP(C3847,' Disaggregation - Section E '!A$618:N1971,7,0)="","",VLOOKUP(C3847,' Disaggregation - Section E '!A$618:N1971,7,0)*100),"")</f>
        <v/>
      </c>
      <c r="F3847" s="503" t="str">
        <f ca="1">IFERROR(VLOOKUP(C3847,' Disaggregation - Section E '!A$618:N1971,5,0),"")</f>
        <v/>
      </c>
      <c r="G3847" s="502" t="str">
        <f ca="1">IFERROR(IF(VLOOKUP(C3847,' Disaggregation - Section E '!A$618:N1971,6,0)="","",VLOOKUP(C3847,' Disaggregation - Section E '!A$618:N1971,6,0)),"")</f>
        <v/>
      </c>
      <c r="H3847" s="512" t="str">
        <f ca="1">IFERROR(IF(INDEX(' Disaggregation - Section E '!F$618:F3168,MATCH(C3847,' Disaggregation - Section E '!A$618:A3168,0)+1,1)&lt;&gt;0,INDEX(' Disaggregation - Section E '!F$618:F$1820,MATCH(C3847,' Disaggregation - Section E '!A$618:A3168,0)+1,1),""),"")</f>
        <v/>
      </c>
      <c r="I3847" s="503" t="str">
        <f ca="1">IFERROR(IF(VLOOKUP(C3847,' Disaggregation - Section E '!A$618:N1971,8,0)=0,"",VLOOKUP(C3847,' Disaggregation - Section E '!A$618:N1971,8,0)),"")</f>
        <v/>
      </c>
      <c r="J3847" s="503" t="str">
        <f ca="1">IFERROR(IF(VLOOKUP(C3847,' Disaggregation - Section E '!A$618:N3168,13,0)=0,"",VLOOKUP(C3847,' Disaggregation - Section E '!A$618:N3168,13,0)),"")</f>
        <v/>
      </c>
      <c r="K3847" s="497" t="str">
        <f ca="1">IFERROR(VLOOKUP(C3847,' Disaggregation - Section E '!A$618:N1971,3,0),"")</f>
        <v>TCP - other -1: Porcentaje de casos todas las formas de TB entre PPL tratados exitosamente entre el total de casos todas las formas notificados</v>
      </c>
      <c r="L3847" s="497"/>
      <c r="M3847" s="497" t="str">
        <f ca="1">IFERROR(IF(VLOOKUP(C3847,' Disaggregation - Section E '!A$618:T1971,20,0)=0,"",VLOOKUP(C3847,' Disaggregation - Section E '!A$618:T1971,20,0)),"")</f>
        <v/>
      </c>
      <c r="N3847" s="503" t="str">
        <f ca="1">IFERROR(IF(VLOOKUP(C3847,' Disaggregation - Section E '!A$618:N1971,14,0)=0,"",VLOOKUP(C3847,' Disaggregation - Section E '!A$618:N1971,14,0)),"")</f>
        <v/>
      </c>
      <c r="O3847" s="503" t="str">
        <f ca="1">IFERROR(IF(VLOOKUP(C3847,' Disaggregation - Section E '!A$618:N1971,9,0)=0,"",VLOOKUP(C3847,' Disaggregation - Section E '!A$618:N1971,9,0)),"")</f>
        <v/>
      </c>
      <c r="P3847" s="503" t="str">
        <f ca="1">IFERROR(IF(VLOOKUP(C3847,' Disaggregation - Section E '!A$618:N1971,10,0)=0,"",VLOOKUP(C3847,' Disaggregation - Section E '!A$618:N1971,10,0)),"")</f>
        <v/>
      </c>
    </row>
    <row r="3848" spans="1:16" x14ac:dyDescent="0.35">
      <c r="A3848" s="497" t="b">
        <f t="shared" ca="1" si="228"/>
        <v>0</v>
      </c>
      <c r="B3848" s="497"/>
      <c r="C3848" s="510" t="str">
        <f ca="1">IF(COUNTA(D$2498:D3848)=1,"",OFFSET(B3846,-COUNTA(D$2498:D3848)+3,1))</f>
        <v>a163p000004NtWMAA0</v>
      </c>
      <c r="D3848" s="512"/>
      <c r="E3848" s="500" t="str">
        <f ca="1">IFERROR(IF(VLOOKUP(C3848,' Disaggregation - Section E '!A$618:N1972,7,0)="","",VLOOKUP(C3848,' Disaggregation - Section E '!A$618:N1972,7,0)*100),"")</f>
        <v/>
      </c>
      <c r="F3848" s="503" t="str">
        <f ca="1">IFERROR(VLOOKUP(C3848,' Disaggregation - Section E '!A$618:N1972,5,0),"")</f>
        <v/>
      </c>
      <c r="G3848" s="502" t="str">
        <f ca="1">IFERROR(IF(VLOOKUP(C3848,' Disaggregation - Section E '!A$618:N1972,6,0)="","",VLOOKUP(C3848,' Disaggregation - Section E '!A$618:N1972,6,0)),"")</f>
        <v/>
      </c>
      <c r="H3848" s="512" t="str">
        <f ca="1">IFERROR(IF(INDEX(' Disaggregation - Section E '!F$618:F3169,MATCH(C3848,' Disaggregation - Section E '!A$618:A3169,0)+1,1)&lt;&gt;0,INDEX(' Disaggregation - Section E '!F$618:F$1820,MATCH(C3848,' Disaggregation - Section E '!A$618:A3169,0)+1,1),""),"")</f>
        <v/>
      </c>
      <c r="I3848" s="503" t="str">
        <f ca="1">IFERROR(IF(VLOOKUP(C3848,' Disaggregation - Section E '!A$618:N1972,8,0)=0,"",VLOOKUP(C3848,' Disaggregation - Section E '!A$618:N1972,8,0)),"")</f>
        <v/>
      </c>
      <c r="J3848" s="503" t="str">
        <f ca="1">IFERROR(IF(VLOOKUP(C3848,' Disaggregation - Section E '!A$618:N3169,13,0)=0,"",VLOOKUP(C3848,' Disaggregation - Section E '!A$618:N3169,13,0)),"")</f>
        <v/>
      </c>
      <c r="K3848" s="497" t="str">
        <f ca="1">IFERROR(VLOOKUP(C3848,' Disaggregation - Section E '!A$618:N1972,3,0),"")</f>
        <v>TCP - other -1: Porcentaje de casos todas las formas de TB entre PPL tratados exitosamente entre el total de casos todas las formas notificados</v>
      </c>
      <c r="L3848" s="497"/>
      <c r="M3848" s="497" t="str">
        <f ca="1">IFERROR(IF(VLOOKUP(C3848,' Disaggregation - Section E '!A$618:T1972,20,0)=0,"",VLOOKUP(C3848,' Disaggregation - Section E '!A$618:T1972,20,0)),"")</f>
        <v/>
      </c>
      <c r="N3848" s="503" t="str">
        <f ca="1">IFERROR(IF(VLOOKUP(C3848,' Disaggregation - Section E '!A$618:N1972,14,0)=0,"",VLOOKUP(C3848,' Disaggregation - Section E '!A$618:N1972,14,0)),"")</f>
        <v/>
      </c>
      <c r="O3848" s="503" t="str">
        <f ca="1">IFERROR(IF(VLOOKUP(C3848,' Disaggregation - Section E '!A$618:N1972,9,0)=0,"",VLOOKUP(C3848,' Disaggregation - Section E '!A$618:N1972,9,0)),"")</f>
        <v/>
      </c>
      <c r="P3848" s="503" t="str">
        <f ca="1">IFERROR(IF(VLOOKUP(C3848,' Disaggregation - Section E '!A$618:N1972,10,0)=0,"",VLOOKUP(C3848,' Disaggregation - Section E '!A$618:N1972,10,0)),"")</f>
        <v/>
      </c>
    </row>
    <row r="3849" spans="1:16" x14ac:dyDescent="0.35">
      <c r="A3849" s="497" t="b">
        <f t="shared" ca="1" si="228"/>
        <v>0</v>
      </c>
      <c r="B3849" s="497"/>
      <c r="C3849" s="510" t="str">
        <f ca="1">IF(COUNTA(D$2498:D3849)=1,"",OFFSET(B3847,-COUNTA(D$2498:D3849)+3,1))</f>
        <v>a163p000004NtWNAA0</v>
      </c>
      <c r="D3849" s="512"/>
      <c r="E3849" s="500" t="str">
        <f ca="1">IFERROR(IF(VLOOKUP(C3849,' Disaggregation - Section E '!A$618:N1973,7,0)="","",VLOOKUP(C3849,' Disaggregation - Section E '!A$618:N1973,7,0)*100),"")</f>
        <v/>
      </c>
      <c r="F3849" s="503" t="str">
        <f ca="1">IFERROR(VLOOKUP(C3849,' Disaggregation - Section E '!A$618:N1973,5,0),"")</f>
        <v/>
      </c>
      <c r="G3849" s="502" t="str">
        <f ca="1">IFERROR(IF(VLOOKUP(C3849,' Disaggregation - Section E '!A$618:N1973,6,0)="","",VLOOKUP(C3849,' Disaggregation - Section E '!A$618:N1973,6,0)),"")</f>
        <v/>
      </c>
      <c r="H3849" s="512" t="str">
        <f ca="1">IFERROR(IF(INDEX(' Disaggregation - Section E '!F$618:F3170,MATCH(C3849,' Disaggregation - Section E '!A$618:A3170,0)+1,1)&lt;&gt;0,INDEX(' Disaggregation - Section E '!F$618:F$1820,MATCH(C3849,' Disaggregation - Section E '!A$618:A3170,0)+1,1),""),"")</f>
        <v/>
      </c>
      <c r="I3849" s="503" t="str">
        <f ca="1">IFERROR(IF(VLOOKUP(C3849,' Disaggregation - Section E '!A$618:N1973,8,0)=0,"",VLOOKUP(C3849,' Disaggregation - Section E '!A$618:N1973,8,0)),"")</f>
        <v/>
      </c>
      <c r="J3849" s="503" t="str">
        <f ca="1">IFERROR(IF(VLOOKUP(C3849,' Disaggregation - Section E '!A$618:N3170,13,0)=0,"",VLOOKUP(C3849,' Disaggregation - Section E '!A$618:N3170,13,0)),"")</f>
        <v/>
      </c>
      <c r="K3849" s="497" t="str">
        <f ca="1">IFERROR(VLOOKUP(C3849,' Disaggregation - Section E '!A$618:N1973,3,0),"")</f>
        <v>TCP - other -1: Porcentaje de casos todas las formas de TB entre PPL tratados exitosamente entre el total de casos todas las formas notificados</v>
      </c>
      <c r="L3849" s="497"/>
      <c r="M3849" s="497" t="str">
        <f ca="1">IFERROR(IF(VLOOKUP(C3849,' Disaggregation - Section E '!A$618:T1973,20,0)=0,"",VLOOKUP(C3849,' Disaggregation - Section E '!A$618:T1973,20,0)),"")</f>
        <v/>
      </c>
      <c r="N3849" s="503" t="str">
        <f ca="1">IFERROR(IF(VLOOKUP(C3849,' Disaggregation - Section E '!A$618:N1973,14,0)=0,"",VLOOKUP(C3849,' Disaggregation - Section E '!A$618:N1973,14,0)),"")</f>
        <v/>
      </c>
      <c r="O3849" s="503" t="str">
        <f ca="1">IFERROR(IF(VLOOKUP(C3849,' Disaggregation - Section E '!A$618:N1973,9,0)=0,"",VLOOKUP(C3849,' Disaggregation - Section E '!A$618:N1973,9,0)),"")</f>
        <v/>
      </c>
      <c r="P3849" s="503" t="str">
        <f ca="1">IFERROR(IF(VLOOKUP(C3849,' Disaggregation - Section E '!A$618:N1973,10,0)=0,"",VLOOKUP(C3849,' Disaggregation - Section E '!A$618:N1973,10,0)),"")</f>
        <v/>
      </c>
    </row>
    <row r="3850" spans="1:16" x14ac:dyDescent="0.35">
      <c r="A3850" s="497" t="b">
        <f t="shared" ca="1" si="228"/>
        <v>0</v>
      </c>
      <c r="B3850" s="497"/>
      <c r="C3850" s="510" t="str">
        <f ca="1">IF(COUNTA(D$2498:D3850)=1,"",OFFSET(B3848,-COUNTA(D$2498:D3850)+3,1))</f>
        <v>a163p000004NtWOAA0</v>
      </c>
      <c r="D3850" s="512"/>
      <c r="E3850" s="500" t="str">
        <f ca="1">IFERROR(IF(VLOOKUP(C3850,' Disaggregation - Section E '!A$618:N1974,7,0)="","",VLOOKUP(C3850,' Disaggregation - Section E '!A$618:N1974,7,0)*100),"")</f>
        <v/>
      </c>
      <c r="F3850" s="503" t="str">
        <f ca="1">IFERROR(VLOOKUP(C3850,' Disaggregation - Section E '!A$618:N1974,5,0),"")</f>
        <v/>
      </c>
      <c r="G3850" s="502" t="str">
        <f ca="1">IFERROR(IF(VLOOKUP(C3850,' Disaggregation - Section E '!A$618:N1974,6,0)="","",VLOOKUP(C3850,' Disaggregation - Section E '!A$618:N1974,6,0)),"")</f>
        <v/>
      </c>
      <c r="H3850" s="512" t="str">
        <f ca="1">IFERROR(IF(INDEX(' Disaggregation - Section E '!F$618:F3171,MATCH(C3850,' Disaggregation - Section E '!A$618:A3171,0)+1,1)&lt;&gt;0,INDEX(' Disaggregation - Section E '!F$618:F$1820,MATCH(C3850,' Disaggregation - Section E '!A$618:A3171,0)+1,1),""),"")</f>
        <v/>
      </c>
      <c r="I3850" s="503" t="str">
        <f ca="1">IFERROR(IF(VLOOKUP(C3850,' Disaggregation - Section E '!A$618:N1974,8,0)=0,"",VLOOKUP(C3850,' Disaggregation - Section E '!A$618:N1974,8,0)),"")</f>
        <v/>
      </c>
      <c r="J3850" s="503" t="str">
        <f ca="1">IFERROR(IF(VLOOKUP(C3850,' Disaggregation - Section E '!A$618:N3171,13,0)=0,"",VLOOKUP(C3850,' Disaggregation - Section E '!A$618:N3171,13,0)),"")</f>
        <v/>
      </c>
      <c r="K3850" s="497" t="str">
        <f ca="1">IFERROR(VLOOKUP(C3850,' Disaggregation - Section E '!A$618:N1974,3,0),"")</f>
        <v>TCP - other -1: Porcentaje de casos todas las formas de TB entre PPL tratados exitosamente entre el total de casos todas las formas notificados</v>
      </c>
      <c r="L3850" s="497"/>
      <c r="M3850" s="497" t="str">
        <f ca="1">IFERROR(IF(VLOOKUP(C3850,' Disaggregation - Section E '!A$618:T1974,20,0)=0,"",VLOOKUP(C3850,' Disaggregation - Section E '!A$618:T1974,20,0)),"")</f>
        <v/>
      </c>
      <c r="N3850" s="503" t="str">
        <f ca="1">IFERROR(IF(VLOOKUP(C3850,' Disaggregation - Section E '!A$618:N1974,14,0)=0,"",VLOOKUP(C3850,' Disaggregation - Section E '!A$618:N1974,14,0)),"")</f>
        <v/>
      </c>
      <c r="O3850" s="503" t="str">
        <f ca="1">IFERROR(IF(VLOOKUP(C3850,' Disaggregation - Section E '!A$618:N1974,9,0)=0,"",VLOOKUP(C3850,' Disaggregation - Section E '!A$618:N1974,9,0)),"")</f>
        <v/>
      </c>
      <c r="P3850" s="503" t="str">
        <f ca="1">IFERROR(IF(VLOOKUP(C3850,' Disaggregation - Section E '!A$618:N1974,10,0)=0,"",VLOOKUP(C3850,' Disaggregation - Section E '!A$618:N1974,10,0)),"")</f>
        <v/>
      </c>
    </row>
    <row r="3851" spans="1:16" x14ac:dyDescent="0.35">
      <c r="A3851" s="497" t="b">
        <f t="shared" ca="1" si="228"/>
        <v>0</v>
      </c>
      <c r="B3851" s="497"/>
      <c r="C3851" s="510" t="str">
        <f ca="1">IF(COUNTA(D$2498:D3851)=1,"",OFFSET(B3849,-COUNTA(D$2498:D3851)+3,1))</f>
        <v>a163p000004NtWPAA0</v>
      </c>
      <c r="D3851" s="512"/>
      <c r="E3851" s="500" t="str">
        <f ca="1">IFERROR(IF(VLOOKUP(C3851,' Disaggregation - Section E '!A$618:N1975,7,0)="","",VLOOKUP(C3851,' Disaggregation - Section E '!A$618:N1975,7,0)*100),"")</f>
        <v/>
      </c>
      <c r="F3851" s="503" t="str">
        <f ca="1">IFERROR(VLOOKUP(C3851,' Disaggregation - Section E '!A$618:N1975,5,0),"")</f>
        <v/>
      </c>
      <c r="G3851" s="502" t="str">
        <f ca="1">IFERROR(IF(VLOOKUP(C3851,' Disaggregation - Section E '!A$618:N1975,6,0)="","",VLOOKUP(C3851,' Disaggregation - Section E '!A$618:N1975,6,0)),"")</f>
        <v/>
      </c>
      <c r="H3851" s="512" t="str">
        <f ca="1">IFERROR(IF(INDEX(' Disaggregation - Section E '!F$618:F3172,MATCH(C3851,' Disaggregation - Section E '!A$618:A3172,0)+1,1)&lt;&gt;0,INDEX(' Disaggregation - Section E '!F$618:F$1820,MATCH(C3851,' Disaggregation - Section E '!A$618:A3172,0)+1,1),""),"")</f>
        <v/>
      </c>
      <c r="I3851" s="503" t="str">
        <f ca="1">IFERROR(IF(VLOOKUP(C3851,' Disaggregation - Section E '!A$618:N1975,8,0)=0,"",VLOOKUP(C3851,' Disaggregation - Section E '!A$618:N1975,8,0)),"")</f>
        <v/>
      </c>
      <c r="J3851" s="503" t="str">
        <f ca="1">IFERROR(IF(VLOOKUP(C3851,' Disaggregation - Section E '!A$618:N3172,13,0)=0,"",VLOOKUP(C3851,' Disaggregation - Section E '!A$618:N3172,13,0)),"")</f>
        <v/>
      </c>
      <c r="K3851" s="497" t="str">
        <f ca="1">IFERROR(VLOOKUP(C3851,' Disaggregation - Section E '!A$618:N1975,3,0),"")</f>
        <v>TCP - other -1: Porcentaje de casos todas las formas de TB entre PPL tratados exitosamente entre el total de casos todas las formas notificados</v>
      </c>
      <c r="L3851" s="497"/>
      <c r="M3851" s="497" t="str">
        <f ca="1">IFERROR(IF(VLOOKUP(C3851,' Disaggregation - Section E '!A$618:T1975,20,0)=0,"",VLOOKUP(C3851,' Disaggregation - Section E '!A$618:T1975,20,0)),"")</f>
        <v/>
      </c>
      <c r="N3851" s="503" t="str">
        <f ca="1">IFERROR(IF(VLOOKUP(C3851,' Disaggregation - Section E '!A$618:N1975,14,0)=0,"",VLOOKUP(C3851,' Disaggregation - Section E '!A$618:N1975,14,0)),"")</f>
        <v/>
      </c>
      <c r="O3851" s="503" t="str">
        <f ca="1">IFERROR(IF(VLOOKUP(C3851,' Disaggregation - Section E '!A$618:N1975,9,0)=0,"",VLOOKUP(C3851,' Disaggregation - Section E '!A$618:N1975,9,0)),"")</f>
        <v/>
      </c>
      <c r="P3851" s="503" t="str">
        <f ca="1">IFERROR(IF(VLOOKUP(C3851,' Disaggregation - Section E '!A$618:N1975,10,0)=0,"",VLOOKUP(C3851,' Disaggregation - Section E '!A$618:N1975,10,0)),"")</f>
        <v/>
      </c>
    </row>
    <row r="3852" spans="1:16" x14ac:dyDescent="0.35">
      <c r="A3852" s="497" t="b">
        <f t="shared" ca="1" si="228"/>
        <v>0</v>
      </c>
      <c r="B3852" s="497"/>
      <c r="C3852" s="510" t="str">
        <f ca="1">IF(COUNTA(D$2498:D3852)=1,"",OFFSET(B3850,-COUNTA(D$2498:D3852)+3,1))</f>
        <v>a163p000004NtWQAA0</v>
      </c>
      <c r="D3852" s="512"/>
      <c r="E3852" s="500" t="str">
        <f ca="1">IFERROR(IF(VLOOKUP(C3852,' Disaggregation - Section E '!A$618:N1976,7,0)="","",VLOOKUP(C3852,' Disaggregation - Section E '!A$618:N1976,7,0)*100),"")</f>
        <v/>
      </c>
      <c r="F3852" s="503" t="str">
        <f ca="1">IFERROR(VLOOKUP(C3852,' Disaggregation - Section E '!A$618:N1976,5,0),"")</f>
        <v/>
      </c>
      <c r="G3852" s="502" t="str">
        <f ca="1">IFERROR(IF(VLOOKUP(C3852,' Disaggregation - Section E '!A$618:N1976,6,0)="","",VLOOKUP(C3852,' Disaggregation - Section E '!A$618:N1976,6,0)),"")</f>
        <v/>
      </c>
      <c r="H3852" s="512" t="str">
        <f ca="1">IFERROR(IF(INDEX(' Disaggregation - Section E '!F$618:F3173,MATCH(C3852,' Disaggregation - Section E '!A$618:A3173,0)+1,1)&lt;&gt;0,INDEX(' Disaggregation - Section E '!F$618:F$1820,MATCH(C3852,' Disaggregation - Section E '!A$618:A3173,0)+1,1),""),"")</f>
        <v/>
      </c>
      <c r="I3852" s="503" t="str">
        <f ca="1">IFERROR(IF(VLOOKUP(C3852,' Disaggregation - Section E '!A$618:N1976,8,0)=0,"",VLOOKUP(C3852,' Disaggregation - Section E '!A$618:N1976,8,0)),"")</f>
        <v/>
      </c>
      <c r="J3852" s="503" t="str">
        <f ca="1">IFERROR(IF(VLOOKUP(C3852,' Disaggregation - Section E '!A$618:N3173,13,0)=0,"",VLOOKUP(C3852,' Disaggregation - Section E '!A$618:N3173,13,0)),"")</f>
        <v/>
      </c>
      <c r="K3852" s="497" t="str">
        <f ca="1">IFERROR(VLOOKUP(C3852,' Disaggregation - Section E '!A$618:N1976,3,0),"")</f>
        <v>TCP - other -1: Porcentaje de casos todas las formas de TB entre PPL tratados exitosamente entre el total de casos todas las formas notificados</v>
      </c>
      <c r="L3852" s="497"/>
      <c r="M3852" s="497" t="str">
        <f ca="1">IFERROR(IF(VLOOKUP(C3852,' Disaggregation - Section E '!A$618:T1976,20,0)=0,"",VLOOKUP(C3852,' Disaggregation - Section E '!A$618:T1976,20,0)),"")</f>
        <v/>
      </c>
      <c r="N3852" s="503" t="str">
        <f ca="1">IFERROR(IF(VLOOKUP(C3852,' Disaggregation - Section E '!A$618:N1976,14,0)=0,"",VLOOKUP(C3852,' Disaggregation - Section E '!A$618:N1976,14,0)),"")</f>
        <v/>
      </c>
      <c r="O3852" s="503" t="str">
        <f ca="1">IFERROR(IF(VLOOKUP(C3852,' Disaggregation - Section E '!A$618:N1976,9,0)=0,"",VLOOKUP(C3852,' Disaggregation - Section E '!A$618:N1976,9,0)),"")</f>
        <v/>
      </c>
      <c r="P3852" s="503" t="str">
        <f ca="1">IFERROR(IF(VLOOKUP(C3852,' Disaggregation - Section E '!A$618:N1976,10,0)=0,"",VLOOKUP(C3852,' Disaggregation - Section E '!A$618:N1976,10,0)),"")</f>
        <v/>
      </c>
    </row>
    <row r="3853" spans="1:16" x14ac:dyDescent="0.35">
      <c r="A3853" s="497" t="b">
        <f t="shared" ca="1" si="228"/>
        <v>0</v>
      </c>
      <c r="B3853" s="497"/>
      <c r="C3853" s="510" t="str">
        <f ca="1">IF(COUNTA(D$2498:D3853)=1,"",OFFSET(B3851,-COUNTA(D$2498:D3853)+3,1))</f>
        <v>a163p000004NtWRAA0</v>
      </c>
      <c r="D3853" s="512"/>
      <c r="E3853" s="500" t="str">
        <f ca="1">IFERROR(IF(VLOOKUP(C3853,' Disaggregation - Section E '!A$618:N1977,7,0)="","",VLOOKUP(C3853,' Disaggregation - Section E '!A$618:N1977,7,0)*100),"")</f>
        <v/>
      </c>
      <c r="F3853" s="503" t="str">
        <f ca="1">IFERROR(VLOOKUP(C3853,' Disaggregation - Section E '!A$618:N1977,5,0),"")</f>
        <v/>
      </c>
      <c r="G3853" s="502" t="str">
        <f ca="1">IFERROR(IF(VLOOKUP(C3853,' Disaggregation - Section E '!A$618:N1977,6,0)="","",VLOOKUP(C3853,' Disaggregation - Section E '!A$618:N1977,6,0)),"")</f>
        <v/>
      </c>
      <c r="H3853" s="512" t="str">
        <f ca="1">IFERROR(IF(INDEX(' Disaggregation - Section E '!F$618:F3174,MATCH(C3853,' Disaggregation - Section E '!A$618:A3174,0)+1,1)&lt;&gt;0,INDEX(' Disaggregation - Section E '!F$618:F$1820,MATCH(C3853,' Disaggregation - Section E '!A$618:A3174,0)+1,1),""),"")</f>
        <v/>
      </c>
      <c r="I3853" s="503" t="str">
        <f ca="1">IFERROR(IF(VLOOKUP(C3853,' Disaggregation - Section E '!A$618:N1977,8,0)=0,"",VLOOKUP(C3853,' Disaggregation - Section E '!A$618:N1977,8,0)),"")</f>
        <v/>
      </c>
      <c r="J3853" s="503" t="str">
        <f ca="1">IFERROR(IF(VLOOKUP(C3853,' Disaggregation - Section E '!A$618:N3174,13,0)=0,"",VLOOKUP(C3853,' Disaggregation - Section E '!A$618:N3174,13,0)),"")</f>
        <v/>
      </c>
      <c r="K3853" s="497" t="str">
        <f ca="1">IFERROR(VLOOKUP(C3853,' Disaggregation - Section E '!A$618:N1977,3,0),"")</f>
        <v>TCP - other -1: Porcentaje de casos todas las formas de TB entre PPL tratados exitosamente entre el total de casos todas las formas notificados</v>
      </c>
      <c r="L3853" s="497"/>
      <c r="M3853" s="497" t="str">
        <f ca="1">IFERROR(IF(VLOOKUP(C3853,' Disaggregation - Section E '!A$618:T1977,20,0)=0,"",VLOOKUP(C3853,' Disaggregation - Section E '!A$618:T1977,20,0)),"")</f>
        <v/>
      </c>
      <c r="N3853" s="503" t="str">
        <f ca="1">IFERROR(IF(VLOOKUP(C3853,' Disaggregation - Section E '!A$618:N1977,14,0)=0,"",VLOOKUP(C3853,' Disaggregation - Section E '!A$618:N1977,14,0)),"")</f>
        <v/>
      </c>
      <c r="O3853" s="503" t="str">
        <f ca="1">IFERROR(IF(VLOOKUP(C3853,' Disaggregation - Section E '!A$618:N1977,9,0)=0,"",VLOOKUP(C3853,' Disaggregation - Section E '!A$618:N1977,9,0)),"")</f>
        <v/>
      </c>
      <c r="P3853" s="503" t="str">
        <f ca="1">IFERROR(IF(VLOOKUP(C3853,' Disaggregation - Section E '!A$618:N1977,10,0)=0,"",VLOOKUP(C3853,' Disaggregation - Section E '!A$618:N1977,10,0)),"")</f>
        <v/>
      </c>
    </row>
    <row r="3854" spans="1:16" x14ac:dyDescent="0.35">
      <c r="A3854" s="497" t="b">
        <f t="shared" ca="1" si="228"/>
        <v>0</v>
      </c>
      <c r="B3854" s="497"/>
      <c r="C3854" s="510" t="str">
        <f ca="1">IF(COUNTA(D$2498:D3854)=1,"",OFFSET(B3852,-COUNTA(D$2498:D3854)+3,1))</f>
        <v>a163p000004NtWSAA0</v>
      </c>
      <c r="D3854" s="512"/>
      <c r="E3854" s="500" t="str">
        <f ca="1">IFERROR(IF(VLOOKUP(C3854,' Disaggregation - Section E '!A$618:N1978,7,0)="","",VLOOKUP(C3854,' Disaggregation - Section E '!A$618:N1978,7,0)*100),"")</f>
        <v/>
      </c>
      <c r="F3854" s="503" t="str">
        <f ca="1">IFERROR(VLOOKUP(C3854,' Disaggregation - Section E '!A$618:N1978,5,0),"")</f>
        <v/>
      </c>
      <c r="G3854" s="502" t="str">
        <f ca="1">IFERROR(IF(VLOOKUP(C3854,' Disaggregation - Section E '!A$618:N1978,6,0)="","",VLOOKUP(C3854,' Disaggregation - Section E '!A$618:N1978,6,0)),"")</f>
        <v/>
      </c>
      <c r="H3854" s="512" t="str">
        <f ca="1">IFERROR(IF(INDEX(' Disaggregation - Section E '!F$618:F3175,MATCH(C3854,' Disaggregation - Section E '!A$618:A3175,0)+1,1)&lt;&gt;0,INDEX(' Disaggregation - Section E '!F$618:F$1820,MATCH(C3854,' Disaggregation - Section E '!A$618:A3175,0)+1,1),""),"")</f>
        <v/>
      </c>
      <c r="I3854" s="503" t="str">
        <f ca="1">IFERROR(IF(VLOOKUP(C3854,' Disaggregation - Section E '!A$618:N1978,8,0)=0,"",VLOOKUP(C3854,' Disaggregation - Section E '!A$618:N1978,8,0)),"")</f>
        <v/>
      </c>
      <c r="J3854" s="503" t="str">
        <f ca="1">IFERROR(IF(VLOOKUP(C3854,' Disaggregation - Section E '!A$618:N3175,13,0)=0,"",VLOOKUP(C3854,' Disaggregation - Section E '!A$618:N3175,13,0)),"")</f>
        <v/>
      </c>
      <c r="K3854" s="497" t="str">
        <f ca="1">IFERROR(VLOOKUP(C3854,' Disaggregation - Section E '!A$618:N1978,3,0),"")</f>
        <v>TCP - other -1: Porcentaje de casos todas las formas de TB entre PPL tratados exitosamente entre el total de casos todas las formas notificados</v>
      </c>
      <c r="L3854" s="497"/>
      <c r="M3854" s="497" t="str">
        <f ca="1">IFERROR(IF(VLOOKUP(C3854,' Disaggregation - Section E '!A$618:T1978,20,0)=0,"",VLOOKUP(C3854,' Disaggregation - Section E '!A$618:T1978,20,0)),"")</f>
        <v/>
      </c>
      <c r="N3854" s="503" t="str">
        <f ca="1">IFERROR(IF(VLOOKUP(C3854,' Disaggregation - Section E '!A$618:N1978,14,0)=0,"",VLOOKUP(C3854,' Disaggregation - Section E '!A$618:N1978,14,0)),"")</f>
        <v/>
      </c>
      <c r="O3854" s="503" t="str">
        <f ca="1">IFERROR(IF(VLOOKUP(C3854,' Disaggregation - Section E '!A$618:N1978,9,0)=0,"",VLOOKUP(C3854,' Disaggregation - Section E '!A$618:N1978,9,0)),"")</f>
        <v/>
      </c>
      <c r="P3854" s="503" t="str">
        <f ca="1">IFERROR(IF(VLOOKUP(C3854,' Disaggregation - Section E '!A$618:N1978,10,0)=0,"",VLOOKUP(C3854,' Disaggregation - Section E '!A$618:N1978,10,0)),"")</f>
        <v/>
      </c>
    </row>
    <row r="3855" spans="1:16" x14ac:dyDescent="0.35">
      <c r="A3855" s="497" t="b">
        <f t="shared" ca="1" si="228"/>
        <v>0</v>
      </c>
      <c r="B3855" s="497"/>
      <c r="C3855" s="510" t="str">
        <f ca="1">IF(COUNTA(D$2498:D3855)=1,"",OFFSET(B3853,-COUNTA(D$2498:D3855)+3,1))</f>
        <v>a163p000004NtWTAA0</v>
      </c>
      <c r="D3855" s="512"/>
      <c r="E3855" s="500" t="str">
        <f ca="1">IFERROR(IF(VLOOKUP(C3855,' Disaggregation - Section E '!A$618:N1979,7,0)="","",VLOOKUP(C3855,' Disaggregation - Section E '!A$618:N1979,7,0)*100),"")</f>
        <v/>
      </c>
      <c r="F3855" s="503" t="str">
        <f ca="1">IFERROR(VLOOKUP(C3855,' Disaggregation - Section E '!A$618:N1979,5,0),"")</f>
        <v/>
      </c>
      <c r="G3855" s="502" t="str">
        <f ca="1">IFERROR(IF(VLOOKUP(C3855,' Disaggregation - Section E '!A$618:N1979,6,0)="","",VLOOKUP(C3855,' Disaggregation - Section E '!A$618:N1979,6,0)),"")</f>
        <v/>
      </c>
      <c r="H3855" s="512" t="str">
        <f ca="1">IFERROR(IF(INDEX(' Disaggregation - Section E '!F$618:F3176,MATCH(C3855,' Disaggregation - Section E '!A$618:A3176,0)+1,1)&lt;&gt;0,INDEX(' Disaggregation - Section E '!F$618:F$1820,MATCH(C3855,' Disaggregation - Section E '!A$618:A3176,0)+1,1),""),"")</f>
        <v/>
      </c>
      <c r="I3855" s="503" t="str">
        <f ca="1">IFERROR(IF(VLOOKUP(C3855,' Disaggregation - Section E '!A$618:N1979,8,0)=0,"",VLOOKUP(C3855,' Disaggregation - Section E '!A$618:N1979,8,0)),"")</f>
        <v/>
      </c>
      <c r="J3855" s="503" t="str">
        <f ca="1">IFERROR(IF(VLOOKUP(C3855,' Disaggregation - Section E '!A$618:N3176,13,0)=0,"",VLOOKUP(C3855,' Disaggregation - Section E '!A$618:N3176,13,0)),"")</f>
        <v/>
      </c>
      <c r="K3855" s="497" t="str">
        <f ca="1">IFERROR(VLOOKUP(C3855,' Disaggregation - Section E '!A$618:N1979,3,0),"")</f>
        <v>TCP - other -1: Porcentaje de casos todas las formas de TB entre PPL tratados exitosamente entre el total de casos todas las formas notificados</v>
      </c>
      <c r="L3855" s="497"/>
      <c r="M3855" s="497" t="str">
        <f ca="1">IFERROR(IF(VLOOKUP(C3855,' Disaggregation - Section E '!A$618:T1979,20,0)=0,"",VLOOKUP(C3855,' Disaggregation - Section E '!A$618:T1979,20,0)),"")</f>
        <v/>
      </c>
      <c r="N3855" s="503" t="str">
        <f ca="1">IFERROR(IF(VLOOKUP(C3855,' Disaggregation - Section E '!A$618:N1979,14,0)=0,"",VLOOKUP(C3855,' Disaggregation - Section E '!A$618:N1979,14,0)),"")</f>
        <v/>
      </c>
      <c r="O3855" s="503" t="str">
        <f ca="1">IFERROR(IF(VLOOKUP(C3855,' Disaggregation - Section E '!A$618:N1979,9,0)=0,"",VLOOKUP(C3855,' Disaggregation - Section E '!A$618:N1979,9,0)),"")</f>
        <v/>
      </c>
      <c r="P3855" s="503" t="str">
        <f ca="1">IFERROR(IF(VLOOKUP(C3855,' Disaggregation - Section E '!A$618:N1979,10,0)=0,"",VLOOKUP(C3855,' Disaggregation - Section E '!A$618:N1979,10,0)),"")</f>
        <v/>
      </c>
    </row>
    <row r="3856" spans="1:16" x14ac:dyDescent="0.35">
      <c r="A3856" s="497" t="b">
        <f t="shared" ca="1" si="228"/>
        <v>0</v>
      </c>
      <c r="B3856" s="497"/>
      <c r="C3856" s="510" t="str">
        <f ca="1">IF(COUNTA(D$2498:D3856)=1,"",OFFSET(B3854,-COUNTA(D$2498:D3856)+3,1))</f>
        <v>a163p000004NtWUAA0</v>
      </c>
      <c r="D3856" s="512"/>
      <c r="E3856" s="500" t="str">
        <f ca="1">IFERROR(IF(VLOOKUP(C3856,' Disaggregation - Section E '!A$618:N1980,7,0)="","",VLOOKUP(C3856,' Disaggregation - Section E '!A$618:N1980,7,0)*100),"")</f>
        <v/>
      </c>
      <c r="F3856" s="503" t="str">
        <f ca="1">IFERROR(VLOOKUP(C3856,' Disaggregation - Section E '!A$618:N1980,5,0),"")</f>
        <v/>
      </c>
      <c r="G3856" s="502" t="str">
        <f ca="1">IFERROR(IF(VLOOKUP(C3856,' Disaggregation - Section E '!A$618:N1980,6,0)="","",VLOOKUP(C3856,' Disaggregation - Section E '!A$618:N1980,6,0)),"")</f>
        <v/>
      </c>
      <c r="H3856" s="512" t="str">
        <f ca="1">IFERROR(IF(INDEX(' Disaggregation - Section E '!F$618:F3177,MATCH(C3856,' Disaggregation - Section E '!A$618:A3177,0)+1,1)&lt;&gt;0,INDEX(' Disaggregation - Section E '!F$618:F$1820,MATCH(C3856,' Disaggregation - Section E '!A$618:A3177,0)+1,1),""),"")</f>
        <v/>
      </c>
      <c r="I3856" s="503" t="str">
        <f ca="1">IFERROR(IF(VLOOKUP(C3856,' Disaggregation - Section E '!A$618:N1980,8,0)=0,"",VLOOKUP(C3856,' Disaggregation - Section E '!A$618:N1980,8,0)),"")</f>
        <v/>
      </c>
      <c r="J3856" s="503" t="str">
        <f ca="1">IFERROR(IF(VLOOKUP(C3856,' Disaggregation - Section E '!A$618:N3177,13,0)=0,"",VLOOKUP(C3856,' Disaggregation - Section E '!A$618:N3177,13,0)),"")</f>
        <v/>
      </c>
      <c r="K3856" s="497" t="str">
        <f ca="1">IFERROR(VLOOKUP(C3856,' Disaggregation - Section E '!A$618:N1980,3,0),"")</f>
        <v>TCP - other -1: Porcentaje de casos todas las formas de TB entre PPL tratados exitosamente entre el total de casos todas las formas notificados</v>
      </c>
      <c r="L3856" s="497"/>
      <c r="M3856" s="497" t="str">
        <f ca="1">IFERROR(IF(VLOOKUP(C3856,' Disaggregation - Section E '!A$618:T1980,20,0)=0,"",VLOOKUP(C3856,' Disaggregation - Section E '!A$618:T1980,20,0)),"")</f>
        <v/>
      </c>
      <c r="N3856" s="503" t="str">
        <f ca="1">IFERROR(IF(VLOOKUP(C3856,' Disaggregation - Section E '!A$618:N1980,14,0)=0,"",VLOOKUP(C3856,' Disaggregation - Section E '!A$618:N1980,14,0)),"")</f>
        <v/>
      </c>
      <c r="O3856" s="503" t="str">
        <f ca="1">IFERROR(IF(VLOOKUP(C3856,' Disaggregation - Section E '!A$618:N1980,9,0)=0,"",VLOOKUP(C3856,' Disaggregation - Section E '!A$618:N1980,9,0)),"")</f>
        <v/>
      </c>
      <c r="P3856" s="503" t="str">
        <f ca="1">IFERROR(IF(VLOOKUP(C3856,' Disaggregation - Section E '!A$618:N1980,10,0)=0,"",VLOOKUP(C3856,' Disaggregation - Section E '!A$618:N1980,10,0)),"")</f>
        <v/>
      </c>
    </row>
    <row r="3857" spans="1:16" x14ac:dyDescent="0.35">
      <c r="A3857" s="497" t="b">
        <f t="shared" ca="1" si="228"/>
        <v>0</v>
      </c>
      <c r="B3857" s="497"/>
      <c r="C3857" s="510" t="str">
        <f ca="1">IF(COUNTA(D$2498:D3857)=1,"",OFFSET(B3855,-COUNTA(D$2498:D3857)+3,1))</f>
        <v>a163p000004NtWVAA0</v>
      </c>
      <c r="D3857" s="512"/>
      <c r="E3857" s="500" t="str">
        <f ca="1">IFERROR(IF(VLOOKUP(C3857,' Disaggregation - Section E '!A$618:N1981,7,0)="","",VLOOKUP(C3857,' Disaggregation - Section E '!A$618:N1981,7,0)*100),"")</f>
        <v/>
      </c>
      <c r="F3857" s="503" t="str">
        <f ca="1">IFERROR(VLOOKUP(C3857,' Disaggregation - Section E '!A$618:N1981,5,0),"")</f>
        <v/>
      </c>
      <c r="G3857" s="502" t="str">
        <f ca="1">IFERROR(IF(VLOOKUP(C3857,' Disaggregation - Section E '!A$618:N1981,6,0)="","",VLOOKUP(C3857,' Disaggregation - Section E '!A$618:N1981,6,0)),"")</f>
        <v/>
      </c>
      <c r="H3857" s="512" t="str">
        <f ca="1">IFERROR(IF(INDEX(' Disaggregation - Section E '!F$618:F3178,MATCH(C3857,' Disaggregation - Section E '!A$618:A3178,0)+1,1)&lt;&gt;0,INDEX(' Disaggregation - Section E '!F$618:F$1820,MATCH(C3857,' Disaggregation - Section E '!A$618:A3178,0)+1,1),""),"")</f>
        <v/>
      </c>
      <c r="I3857" s="503" t="str">
        <f ca="1">IFERROR(IF(VLOOKUP(C3857,' Disaggregation - Section E '!A$618:N1981,8,0)=0,"",VLOOKUP(C3857,' Disaggregation - Section E '!A$618:N1981,8,0)),"")</f>
        <v/>
      </c>
      <c r="J3857" s="503" t="str">
        <f ca="1">IFERROR(IF(VLOOKUP(C3857,' Disaggregation - Section E '!A$618:N3178,13,0)=0,"",VLOOKUP(C3857,' Disaggregation - Section E '!A$618:N3178,13,0)),"")</f>
        <v/>
      </c>
      <c r="K3857" s="497" t="str">
        <f ca="1">IFERROR(VLOOKUP(C3857,' Disaggregation - Section E '!A$618:N1981,3,0),"")</f>
        <v>TCP - other -1: Porcentaje de casos todas las formas de TB entre PPL tratados exitosamente entre el total de casos todas las formas notificados</v>
      </c>
      <c r="L3857" s="497"/>
      <c r="M3857" s="497" t="str">
        <f ca="1">IFERROR(IF(VLOOKUP(C3857,' Disaggregation - Section E '!A$618:T1981,20,0)=0,"",VLOOKUP(C3857,' Disaggregation - Section E '!A$618:T1981,20,0)),"")</f>
        <v/>
      </c>
      <c r="N3857" s="503" t="str">
        <f ca="1">IFERROR(IF(VLOOKUP(C3857,' Disaggregation - Section E '!A$618:N1981,14,0)=0,"",VLOOKUP(C3857,' Disaggregation - Section E '!A$618:N1981,14,0)),"")</f>
        <v/>
      </c>
      <c r="O3857" s="503" t="str">
        <f ca="1">IFERROR(IF(VLOOKUP(C3857,' Disaggregation - Section E '!A$618:N1981,9,0)=0,"",VLOOKUP(C3857,' Disaggregation - Section E '!A$618:N1981,9,0)),"")</f>
        <v/>
      </c>
      <c r="P3857" s="503" t="str">
        <f ca="1">IFERROR(IF(VLOOKUP(C3857,' Disaggregation - Section E '!A$618:N1981,10,0)=0,"",VLOOKUP(C3857,' Disaggregation - Section E '!A$618:N1981,10,0)),"")</f>
        <v/>
      </c>
    </row>
    <row r="3858" spans="1:16" x14ac:dyDescent="0.35">
      <c r="A3858" s="497" t="b">
        <f t="shared" ca="1" si="228"/>
        <v>0</v>
      </c>
      <c r="B3858" s="497"/>
      <c r="C3858" s="510" t="str">
        <f ca="1">IF(COUNTA(D$2498:D3858)=1,"",OFFSET(B3856,-COUNTA(D$2498:D3858)+3,1))</f>
        <v>a163p000004NtWWAA0</v>
      </c>
      <c r="D3858" s="512"/>
      <c r="E3858" s="500" t="str">
        <f ca="1">IFERROR(IF(VLOOKUP(C3858,' Disaggregation - Section E '!A$618:N1982,7,0)="","",VLOOKUP(C3858,' Disaggregation - Section E '!A$618:N1982,7,0)*100),"")</f>
        <v/>
      </c>
      <c r="F3858" s="503" t="str">
        <f ca="1">IFERROR(VLOOKUP(C3858,' Disaggregation - Section E '!A$618:N1982,5,0),"")</f>
        <v/>
      </c>
      <c r="G3858" s="502" t="str">
        <f ca="1">IFERROR(IF(VLOOKUP(C3858,' Disaggregation - Section E '!A$618:N1982,6,0)="","",VLOOKUP(C3858,' Disaggregation - Section E '!A$618:N1982,6,0)),"")</f>
        <v/>
      </c>
      <c r="H3858" s="512" t="str">
        <f ca="1">IFERROR(IF(INDEX(' Disaggregation - Section E '!F$618:F3179,MATCH(C3858,' Disaggregation - Section E '!A$618:A3179,0)+1,1)&lt;&gt;0,INDEX(' Disaggregation - Section E '!F$618:F$1820,MATCH(C3858,' Disaggregation - Section E '!A$618:A3179,0)+1,1),""),"")</f>
        <v/>
      </c>
      <c r="I3858" s="503" t="str">
        <f ca="1">IFERROR(IF(VLOOKUP(C3858,' Disaggregation - Section E '!A$618:N1982,8,0)=0,"",VLOOKUP(C3858,' Disaggregation - Section E '!A$618:N1982,8,0)),"")</f>
        <v/>
      </c>
      <c r="J3858" s="503" t="str">
        <f ca="1">IFERROR(IF(VLOOKUP(C3858,' Disaggregation - Section E '!A$618:N3179,13,0)=0,"",VLOOKUP(C3858,' Disaggregation - Section E '!A$618:N3179,13,0)),"")</f>
        <v/>
      </c>
      <c r="K3858" s="497" t="str">
        <f ca="1">IFERROR(VLOOKUP(C3858,' Disaggregation - Section E '!A$618:N1982,3,0),"")</f>
        <v>TCP - other -1: Porcentaje de casos todas las formas de TB entre PPL tratados exitosamente entre el total de casos todas las formas notificados</v>
      </c>
      <c r="L3858" s="497"/>
      <c r="M3858" s="497" t="str">
        <f ca="1">IFERROR(IF(VLOOKUP(C3858,' Disaggregation - Section E '!A$618:T1982,20,0)=0,"",VLOOKUP(C3858,' Disaggregation - Section E '!A$618:T1982,20,0)),"")</f>
        <v/>
      </c>
      <c r="N3858" s="503" t="str">
        <f ca="1">IFERROR(IF(VLOOKUP(C3858,' Disaggregation - Section E '!A$618:N1982,14,0)=0,"",VLOOKUP(C3858,' Disaggregation - Section E '!A$618:N1982,14,0)),"")</f>
        <v/>
      </c>
      <c r="O3858" s="503" t="str">
        <f ca="1">IFERROR(IF(VLOOKUP(C3858,' Disaggregation - Section E '!A$618:N1982,9,0)=0,"",VLOOKUP(C3858,' Disaggregation - Section E '!A$618:N1982,9,0)),"")</f>
        <v/>
      </c>
      <c r="P3858" s="503" t="str">
        <f ca="1">IFERROR(IF(VLOOKUP(C3858,' Disaggregation - Section E '!A$618:N1982,10,0)=0,"",VLOOKUP(C3858,' Disaggregation - Section E '!A$618:N1982,10,0)),"")</f>
        <v/>
      </c>
    </row>
    <row r="3859" spans="1:16" x14ac:dyDescent="0.35">
      <c r="A3859" s="497" t="b">
        <f t="shared" ca="1" si="228"/>
        <v>0</v>
      </c>
      <c r="B3859" s="497"/>
      <c r="C3859" s="510" t="str">
        <f ca="1">IF(COUNTA(D$2498:D3859)=1,"",OFFSET(B3857,-COUNTA(D$2498:D3859)+3,1))</f>
        <v>a163p000004NtWXAA0</v>
      </c>
      <c r="D3859" s="512"/>
      <c r="E3859" s="500" t="str">
        <f ca="1">IFERROR(IF(VLOOKUP(C3859,' Disaggregation - Section E '!A$618:N1983,7,0)="","",VLOOKUP(C3859,' Disaggregation - Section E '!A$618:N1983,7,0)*100),"")</f>
        <v/>
      </c>
      <c r="F3859" s="503" t="str">
        <f ca="1">IFERROR(VLOOKUP(C3859,' Disaggregation - Section E '!A$618:N1983,5,0),"")</f>
        <v/>
      </c>
      <c r="G3859" s="502" t="str">
        <f ca="1">IFERROR(IF(VLOOKUP(C3859,' Disaggregation - Section E '!A$618:N1983,6,0)="","",VLOOKUP(C3859,' Disaggregation - Section E '!A$618:N1983,6,0)),"")</f>
        <v/>
      </c>
      <c r="H3859" s="512" t="str">
        <f ca="1">IFERROR(IF(INDEX(' Disaggregation - Section E '!F$618:F3180,MATCH(C3859,' Disaggregation - Section E '!A$618:A3180,0)+1,1)&lt;&gt;0,INDEX(' Disaggregation - Section E '!F$618:F$1820,MATCH(C3859,' Disaggregation - Section E '!A$618:A3180,0)+1,1),""),"")</f>
        <v/>
      </c>
      <c r="I3859" s="503" t="str">
        <f ca="1">IFERROR(IF(VLOOKUP(C3859,' Disaggregation - Section E '!A$618:N1983,8,0)=0,"",VLOOKUP(C3859,' Disaggregation - Section E '!A$618:N1983,8,0)),"")</f>
        <v/>
      </c>
      <c r="J3859" s="503" t="str">
        <f ca="1">IFERROR(IF(VLOOKUP(C3859,' Disaggregation - Section E '!A$618:N3180,13,0)=0,"",VLOOKUP(C3859,' Disaggregation - Section E '!A$618:N3180,13,0)),"")</f>
        <v/>
      </c>
      <c r="K3859" s="497" t="str">
        <f ca="1">IFERROR(VLOOKUP(C3859,' Disaggregation - Section E '!A$618:N1983,3,0),"")</f>
        <v>TCP - other -1: Porcentaje de casos todas las formas de TB entre PPL tratados exitosamente entre el total de casos todas las formas notificados</v>
      </c>
      <c r="L3859" s="497"/>
      <c r="M3859" s="497" t="str">
        <f ca="1">IFERROR(IF(VLOOKUP(C3859,' Disaggregation - Section E '!A$618:T1983,20,0)=0,"",VLOOKUP(C3859,' Disaggregation - Section E '!A$618:T1983,20,0)),"")</f>
        <v/>
      </c>
      <c r="N3859" s="503" t="str">
        <f ca="1">IFERROR(IF(VLOOKUP(C3859,' Disaggregation - Section E '!A$618:N1983,14,0)=0,"",VLOOKUP(C3859,' Disaggregation - Section E '!A$618:N1983,14,0)),"")</f>
        <v/>
      </c>
      <c r="O3859" s="503" t="str">
        <f ca="1">IFERROR(IF(VLOOKUP(C3859,' Disaggregation - Section E '!A$618:N1983,9,0)=0,"",VLOOKUP(C3859,' Disaggregation - Section E '!A$618:N1983,9,0)),"")</f>
        <v/>
      </c>
      <c r="P3859" s="503" t="str">
        <f ca="1">IFERROR(IF(VLOOKUP(C3859,' Disaggregation - Section E '!A$618:N1983,10,0)=0,"",VLOOKUP(C3859,' Disaggregation - Section E '!A$618:N1983,10,0)),"")</f>
        <v/>
      </c>
    </row>
    <row r="3860" spans="1:16" x14ac:dyDescent="0.35">
      <c r="A3860" s="497" t="b">
        <f t="shared" ca="1" si="228"/>
        <v>1</v>
      </c>
      <c r="B3860" s="497"/>
      <c r="C3860" s="510" t="str">
        <f ca="1">IF(COUNTA(D$2498:D3860)=1,"",OFFSET(B3858,-COUNTA(D$2498:D3860)+3,1))</f>
        <v>a163p000004NtMsAAK</v>
      </c>
      <c r="D3860" s="512"/>
      <c r="E3860" s="500" t="str">
        <f ca="1">IFERROR(IF(VLOOKUP(C3860,' Disaggregation - Section E '!A$618:N1984,7,0)="","",VLOOKUP(C3860,' Disaggregation - Section E '!A$618:N1984,7,0)*100),"")</f>
        <v/>
      </c>
      <c r="F3860" s="503" t="str">
        <f ca="1">IFERROR(VLOOKUP(C3860,' Disaggregation - Section E '!A$618:N1984,5,0),"")</f>
        <v>25+</v>
      </c>
      <c r="G3860" s="502" t="str">
        <f ca="1">IFERROR(IF(VLOOKUP(C3860,' Disaggregation - Section E '!A$618:N1984,6,0)="","",VLOOKUP(C3860,' Disaggregation - Section E '!A$618:N1984,6,0)),"")</f>
        <v/>
      </c>
      <c r="H3860" s="512" t="str">
        <f ca="1">IFERROR(IF(INDEX(' Disaggregation - Section E '!F$618:F3181,MATCH(C3860,' Disaggregation - Section E '!A$618:A3181,0)+1,1)&lt;&gt;0,INDEX(' Disaggregation - Section E '!F$618:F$1820,MATCH(C3860,' Disaggregation - Section E '!A$618:A3181,0)+1,1),""),"")</f>
        <v/>
      </c>
      <c r="I3860" s="503" t="str">
        <f ca="1">IFERROR(IF(VLOOKUP(C3860,' Disaggregation - Section E '!A$618:N1984,8,0)=0,"",VLOOKUP(C3860,' Disaggregation - Section E '!A$618:N1984,8,0)),"")</f>
        <v/>
      </c>
      <c r="J3860" s="503" t="str">
        <f ca="1">IFERROR(IF(VLOOKUP(C3860,' Disaggregation - Section E '!A$618:N3181,13,0)=0,"",VLOOKUP(C3860,' Disaggregation - Section E '!A$618:N3181,13,0)),"")</f>
        <v/>
      </c>
      <c r="K3860" s="497" t="str">
        <f ca="1">IFERROR(VLOOKUP(C3860,' Disaggregation - Section E '!A$618:N1984,3,0),"")</f>
        <v>KP-1b⁽ᴹ⁾ Porcentaje de personas transgénero alcanzados por programas de prevención del VIH - paquete definido de servicios</v>
      </c>
      <c r="L3860" s="497"/>
      <c r="M3860" s="497" t="str">
        <f ca="1">IFERROR(IF(VLOOKUP(C3860,' Disaggregation - Section E '!A$618:T1984,20,0)=0,"",VLOOKUP(C3860,' Disaggregation - Section E '!A$618:T1984,20,0)),"")</f>
        <v>IDR-00702</v>
      </c>
      <c r="N3860" s="503" t="str">
        <f ca="1">IFERROR(IF(VLOOKUP(C3860,' Disaggregation - Section E '!A$618:N1984,14,0)=0,"",VLOOKUP(C3860,' Disaggregation - Section E '!A$618:N1984,14,0)),"")</f>
        <v>Being a focused country, no disaggregation is required</v>
      </c>
      <c r="O3860" s="503" t="str">
        <f ca="1">IFERROR(IF(VLOOKUP(C3860,' Disaggregation - Section E '!A$618:N1984,9,0)=0,"",VLOOKUP(C3860,' Disaggregation - Section E '!A$618:N1984,9,0)),"")</f>
        <v/>
      </c>
      <c r="P3860" s="503" t="str">
        <f ca="1">IFERROR(IF(VLOOKUP(C3860,' Disaggregation - Section E '!A$618:N1984,10,0)=0,"",VLOOKUP(C3860,' Disaggregation - Section E '!A$618:N1984,10,0)),"")</f>
        <v>Al ser un país focalizado no se requiere desagregación</v>
      </c>
    </row>
    <row r="3861" spans="1:16" x14ac:dyDescent="0.35">
      <c r="A3861" s="497" t="b">
        <f t="shared" ca="1" si="228"/>
        <v>1</v>
      </c>
      <c r="B3861" s="497"/>
      <c r="C3861" s="510" t="str">
        <f ca="1">IF(COUNTA(D$2498:D3861)=1,"",OFFSET(B3859,-COUNTA(D$2498:D3861)+3,1))</f>
        <v>a163p000004NtMtAAK</v>
      </c>
      <c r="D3861" s="512"/>
      <c r="E3861" s="500" t="str">
        <f ca="1">IFERROR(IF(VLOOKUP(C3861,' Disaggregation - Section E '!A$618:N1985,7,0)="","",VLOOKUP(C3861,' Disaggregation - Section E '!A$618:N1985,7,0)*100),"")</f>
        <v/>
      </c>
      <c r="F3861" s="503" t="str">
        <f ca="1">IFERROR(VLOOKUP(C3861,' Disaggregation - Section E '!A$618:N1985,5,0),"")</f>
        <v>&lt;25</v>
      </c>
      <c r="G3861" s="502" t="str">
        <f ca="1">IFERROR(IF(VLOOKUP(C3861,' Disaggregation - Section E '!A$618:N1985,6,0)="","",VLOOKUP(C3861,' Disaggregation - Section E '!A$618:N1985,6,0)),"")</f>
        <v/>
      </c>
      <c r="H3861" s="512" t="str">
        <f ca="1">IFERROR(IF(INDEX(' Disaggregation - Section E '!F$618:F3182,MATCH(C3861,' Disaggregation - Section E '!A$618:A3182,0)+1,1)&lt;&gt;0,INDEX(' Disaggregation - Section E '!F$618:F$1820,MATCH(C3861,' Disaggregation - Section E '!A$618:A3182,0)+1,1),""),"")</f>
        <v/>
      </c>
      <c r="I3861" s="503" t="str">
        <f ca="1">IFERROR(IF(VLOOKUP(C3861,' Disaggregation - Section E '!A$618:N1985,8,0)=0,"",VLOOKUP(C3861,' Disaggregation - Section E '!A$618:N1985,8,0)),"")</f>
        <v/>
      </c>
      <c r="J3861" s="503" t="str">
        <f ca="1">IFERROR(IF(VLOOKUP(C3861,' Disaggregation - Section E '!A$618:N3182,13,0)=0,"",VLOOKUP(C3861,' Disaggregation - Section E '!A$618:N3182,13,0)),"")</f>
        <v/>
      </c>
      <c r="K3861" s="497" t="str">
        <f ca="1">IFERROR(VLOOKUP(C3861,' Disaggregation - Section E '!A$618:N1985,3,0),"")</f>
        <v>KP-1b⁽ᴹ⁾ Porcentaje de personas transgénero alcanzados por programas de prevención del VIH - paquete definido de servicios</v>
      </c>
      <c r="L3861" s="497"/>
      <c r="M3861" s="497" t="str">
        <f ca="1">IFERROR(IF(VLOOKUP(C3861,' Disaggregation - Section E '!A$618:T1985,20,0)=0,"",VLOOKUP(C3861,' Disaggregation - Section E '!A$618:T1985,20,0)),"")</f>
        <v>IDR-00701</v>
      </c>
      <c r="N3861" s="503" t="str">
        <f ca="1">IFERROR(IF(VLOOKUP(C3861,' Disaggregation - Section E '!A$618:N1985,14,0)=0,"",VLOOKUP(C3861,' Disaggregation - Section E '!A$618:N1985,14,0)),"")</f>
        <v>Being a focused country, no disaggregation is required</v>
      </c>
      <c r="O3861" s="503" t="str">
        <f ca="1">IFERROR(IF(VLOOKUP(C3861,' Disaggregation - Section E '!A$618:N1985,9,0)=0,"",VLOOKUP(C3861,' Disaggregation - Section E '!A$618:N1985,9,0)),"")</f>
        <v/>
      </c>
      <c r="P3861" s="503" t="str">
        <f ca="1">IFERROR(IF(VLOOKUP(C3861,' Disaggregation - Section E '!A$618:N1985,10,0)=0,"",VLOOKUP(C3861,' Disaggregation - Section E '!A$618:N1985,10,0)),"")</f>
        <v>Al ser un país focalizado no se requiere desagregación</v>
      </c>
    </row>
    <row r="3862" spans="1:16" x14ac:dyDescent="0.35">
      <c r="A3862" s="497" t="b">
        <f t="shared" ca="1" si="228"/>
        <v>0</v>
      </c>
      <c r="B3862" s="497"/>
      <c r="C3862" s="510" t="str">
        <f ca="1">IF(COUNTA(D$2498:D3862)=1,"",OFFSET(B3860,-COUNTA(D$2498:D3862)+3,1))</f>
        <v>a163p000004NtMuAAK</v>
      </c>
      <c r="D3862" s="512"/>
      <c r="E3862" s="500" t="str">
        <f ca="1">IFERROR(IF(VLOOKUP(C3862,' Disaggregation - Section E '!A$618:N1986,7,0)="","",VLOOKUP(C3862,' Disaggregation - Section E '!A$618:N1986,7,0)*100),"")</f>
        <v/>
      </c>
      <c r="F3862" s="503" t="str">
        <f ca="1">IFERROR(VLOOKUP(C3862,' Disaggregation - Section E '!A$618:N1986,5,0),"")</f>
        <v/>
      </c>
      <c r="G3862" s="502" t="str">
        <f ca="1">IFERROR(IF(VLOOKUP(C3862,' Disaggregation - Section E '!A$618:N1986,6,0)="","",VLOOKUP(C3862,' Disaggregation - Section E '!A$618:N1986,6,0)),"")</f>
        <v/>
      </c>
      <c r="H3862" s="512" t="str">
        <f ca="1">IFERROR(IF(INDEX(' Disaggregation - Section E '!F$618:F3183,MATCH(C3862,' Disaggregation - Section E '!A$618:A3183,0)+1,1)&lt;&gt;0,INDEX(' Disaggregation - Section E '!F$618:F$1820,MATCH(C3862,' Disaggregation - Section E '!A$618:A3183,0)+1,1),""),"")</f>
        <v/>
      </c>
      <c r="I3862" s="503" t="str">
        <f ca="1">IFERROR(IF(VLOOKUP(C3862,' Disaggregation - Section E '!A$618:N1986,8,0)=0,"",VLOOKUP(C3862,' Disaggregation - Section E '!A$618:N1986,8,0)),"")</f>
        <v/>
      </c>
      <c r="J3862" s="503" t="str">
        <f ca="1">IFERROR(IF(VLOOKUP(C3862,' Disaggregation - Section E '!A$618:N3183,13,0)=0,"",VLOOKUP(C3862,' Disaggregation - Section E '!A$618:N3183,13,0)),"")</f>
        <v/>
      </c>
      <c r="K3862" s="497" t="str">
        <f ca="1">IFERROR(VLOOKUP(C3862,' Disaggregation - Section E '!A$618:N1986,3,0),"")</f>
        <v>KP-1b⁽ᴹ⁾ Porcentaje de personas transgénero alcanzados por programas de prevención del VIH - paquete definido de servicios</v>
      </c>
      <c r="L3862" s="497"/>
      <c r="M3862" s="497" t="str">
        <f ca="1">IFERROR(IF(VLOOKUP(C3862,' Disaggregation - Section E '!A$618:T1986,20,0)=0,"",VLOOKUP(C3862,' Disaggregation - Section E '!A$618:T1986,20,0)),"")</f>
        <v/>
      </c>
      <c r="N3862" s="503" t="str">
        <f ca="1">IFERROR(IF(VLOOKUP(C3862,' Disaggregation - Section E '!A$618:N1986,14,0)=0,"",VLOOKUP(C3862,' Disaggregation - Section E '!A$618:N1986,14,0)),"")</f>
        <v/>
      </c>
      <c r="O3862" s="503" t="str">
        <f ca="1">IFERROR(IF(VLOOKUP(C3862,' Disaggregation - Section E '!A$618:N1986,9,0)=0,"",VLOOKUP(C3862,' Disaggregation - Section E '!A$618:N1986,9,0)),"")</f>
        <v/>
      </c>
      <c r="P3862" s="503" t="str">
        <f ca="1">IFERROR(IF(VLOOKUP(C3862,' Disaggregation - Section E '!A$618:N1986,10,0)=0,"",VLOOKUP(C3862,' Disaggregation - Section E '!A$618:N1986,10,0)),"")</f>
        <v/>
      </c>
    </row>
    <row r="3863" spans="1:16" x14ac:dyDescent="0.35">
      <c r="A3863" s="497" t="b">
        <f t="shared" ca="1" si="228"/>
        <v>0</v>
      </c>
      <c r="B3863" s="497"/>
      <c r="C3863" s="510" t="str">
        <f ca="1">IF(COUNTA(D$2498:D3863)=1,"",OFFSET(B3861,-COUNTA(D$2498:D3863)+3,1))</f>
        <v>a163p000004NtMvAAK</v>
      </c>
      <c r="D3863" s="512"/>
      <c r="E3863" s="500" t="str">
        <f ca="1">IFERROR(IF(VLOOKUP(C3863,' Disaggregation - Section E '!A$618:N1987,7,0)="","",VLOOKUP(C3863,' Disaggregation - Section E '!A$618:N1987,7,0)*100),"")</f>
        <v/>
      </c>
      <c r="F3863" s="503" t="str">
        <f ca="1">IFERROR(VLOOKUP(C3863,' Disaggregation - Section E '!A$618:N1987,5,0),"")</f>
        <v/>
      </c>
      <c r="G3863" s="502" t="str">
        <f ca="1">IFERROR(IF(VLOOKUP(C3863,' Disaggregation - Section E '!A$618:N1987,6,0)="","",VLOOKUP(C3863,' Disaggregation - Section E '!A$618:N1987,6,0)),"")</f>
        <v/>
      </c>
      <c r="H3863" s="512" t="str">
        <f ca="1">IFERROR(IF(INDEX(' Disaggregation - Section E '!F$618:F3184,MATCH(C3863,' Disaggregation - Section E '!A$618:A3184,0)+1,1)&lt;&gt;0,INDEX(' Disaggregation - Section E '!F$618:F$1820,MATCH(C3863,' Disaggregation - Section E '!A$618:A3184,0)+1,1),""),"")</f>
        <v/>
      </c>
      <c r="I3863" s="503" t="str">
        <f ca="1">IFERROR(IF(VLOOKUP(C3863,' Disaggregation - Section E '!A$618:N1987,8,0)=0,"",VLOOKUP(C3863,' Disaggregation - Section E '!A$618:N1987,8,0)),"")</f>
        <v/>
      </c>
      <c r="J3863" s="503" t="str">
        <f ca="1">IFERROR(IF(VLOOKUP(C3863,' Disaggregation - Section E '!A$618:N3184,13,0)=0,"",VLOOKUP(C3863,' Disaggregation - Section E '!A$618:N3184,13,0)),"")</f>
        <v/>
      </c>
      <c r="K3863" s="497" t="str">
        <f ca="1">IFERROR(VLOOKUP(C3863,' Disaggregation - Section E '!A$618:N1987,3,0),"")</f>
        <v>KP-1b⁽ᴹ⁾ Porcentaje de personas transgénero alcanzados por programas de prevención del VIH - paquete definido de servicios</v>
      </c>
      <c r="L3863" s="497"/>
      <c r="M3863" s="497" t="str">
        <f ca="1">IFERROR(IF(VLOOKUP(C3863,' Disaggregation - Section E '!A$618:T1987,20,0)=0,"",VLOOKUP(C3863,' Disaggregation - Section E '!A$618:T1987,20,0)),"")</f>
        <v/>
      </c>
      <c r="N3863" s="503" t="str">
        <f ca="1">IFERROR(IF(VLOOKUP(C3863,' Disaggregation - Section E '!A$618:N1987,14,0)=0,"",VLOOKUP(C3863,' Disaggregation - Section E '!A$618:N1987,14,0)),"")</f>
        <v/>
      </c>
      <c r="O3863" s="503" t="str">
        <f ca="1">IFERROR(IF(VLOOKUP(C3863,' Disaggregation - Section E '!A$618:N1987,9,0)=0,"",VLOOKUP(C3863,' Disaggregation - Section E '!A$618:N1987,9,0)),"")</f>
        <v/>
      </c>
      <c r="P3863" s="503" t="str">
        <f ca="1">IFERROR(IF(VLOOKUP(C3863,' Disaggregation - Section E '!A$618:N1987,10,0)=0,"",VLOOKUP(C3863,' Disaggregation - Section E '!A$618:N1987,10,0)),"")</f>
        <v/>
      </c>
    </row>
    <row r="3864" spans="1:16" x14ac:dyDescent="0.35">
      <c r="A3864" s="497" t="b">
        <f t="shared" ca="1" si="228"/>
        <v>0</v>
      </c>
      <c r="B3864" s="497"/>
      <c r="C3864" s="510" t="str">
        <f ca="1">IF(COUNTA(D$2498:D3864)=1,"",OFFSET(B3862,-COUNTA(D$2498:D3864)+3,1))</f>
        <v>a163p000004NtMwAAK</v>
      </c>
      <c r="D3864" s="512"/>
      <c r="E3864" s="500" t="str">
        <f ca="1">IFERROR(IF(VLOOKUP(C3864,' Disaggregation - Section E '!A$618:N1988,7,0)="","",VLOOKUP(C3864,' Disaggregation - Section E '!A$618:N1988,7,0)*100),"")</f>
        <v/>
      </c>
      <c r="F3864" s="503" t="str">
        <f ca="1">IFERROR(VLOOKUP(C3864,' Disaggregation - Section E '!A$618:N1988,5,0),"")</f>
        <v/>
      </c>
      <c r="G3864" s="502" t="str">
        <f ca="1">IFERROR(IF(VLOOKUP(C3864,' Disaggregation - Section E '!A$618:N1988,6,0)="","",VLOOKUP(C3864,' Disaggregation - Section E '!A$618:N1988,6,0)),"")</f>
        <v/>
      </c>
      <c r="H3864" s="512" t="str">
        <f ca="1">IFERROR(IF(INDEX(' Disaggregation - Section E '!F$618:F3185,MATCH(C3864,' Disaggregation - Section E '!A$618:A3185,0)+1,1)&lt;&gt;0,INDEX(' Disaggregation - Section E '!F$618:F$1820,MATCH(C3864,' Disaggregation - Section E '!A$618:A3185,0)+1,1),""),"")</f>
        <v/>
      </c>
      <c r="I3864" s="503" t="str">
        <f ca="1">IFERROR(IF(VLOOKUP(C3864,' Disaggregation - Section E '!A$618:N1988,8,0)=0,"",VLOOKUP(C3864,' Disaggregation - Section E '!A$618:N1988,8,0)),"")</f>
        <v/>
      </c>
      <c r="J3864" s="503" t="str">
        <f ca="1">IFERROR(IF(VLOOKUP(C3864,' Disaggregation - Section E '!A$618:N3185,13,0)=0,"",VLOOKUP(C3864,' Disaggregation - Section E '!A$618:N3185,13,0)),"")</f>
        <v/>
      </c>
      <c r="K3864" s="497" t="str">
        <f ca="1">IFERROR(VLOOKUP(C3864,' Disaggregation - Section E '!A$618:N1988,3,0),"")</f>
        <v>KP-1b⁽ᴹ⁾ Porcentaje de personas transgénero alcanzados por programas de prevención del VIH - paquete definido de servicios</v>
      </c>
      <c r="L3864" s="497"/>
      <c r="M3864" s="497" t="str">
        <f ca="1">IFERROR(IF(VLOOKUP(C3864,' Disaggregation - Section E '!A$618:T1988,20,0)=0,"",VLOOKUP(C3864,' Disaggregation - Section E '!A$618:T1988,20,0)),"")</f>
        <v/>
      </c>
      <c r="N3864" s="503" t="str">
        <f ca="1">IFERROR(IF(VLOOKUP(C3864,' Disaggregation - Section E '!A$618:N1988,14,0)=0,"",VLOOKUP(C3864,' Disaggregation - Section E '!A$618:N1988,14,0)),"")</f>
        <v/>
      </c>
      <c r="O3864" s="503" t="str">
        <f ca="1">IFERROR(IF(VLOOKUP(C3864,' Disaggregation - Section E '!A$618:N1988,9,0)=0,"",VLOOKUP(C3864,' Disaggregation - Section E '!A$618:N1988,9,0)),"")</f>
        <v/>
      </c>
      <c r="P3864" s="503" t="str">
        <f ca="1">IFERROR(IF(VLOOKUP(C3864,' Disaggregation - Section E '!A$618:N1988,10,0)=0,"",VLOOKUP(C3864,' Disaggregation - Section E '!A$618:N1988,10,0)),"")</f>
        <v/>
      </c>
    </row>
    <row r="3865" spans="1:16" x14ac:dyDescent="0.35">
      <c r="A3865" s="497" t="b">
        <f t="shared" ca="1" si="228"/>
        <v>0</v>
      </c>
      <c r="B3865" s="497"/>
      <c r="C3865" s="510" t="str">
        <f ca="1">IF(COUNTA(D$2498:D3865)=1,"",OFFSET(B3863,-COUNTA(D$2498:D3865)+3,1))</f>
        <v>a163p000004NtMxAAK</v>
      </c>
      <c r="D3865" s="512"/>
      <c r="E3865" s="500" t="str">
        <f ca="1">IFERROR(IF(VLOOKUP(C3865,' Disaggregation - Section E '!A$618:N1989,7,0)="","",VLOOKUP(C3865,' Disaggregation - Section E '!A$618:N1989,7,0)*100),"")</f>
        <v/>
      </c>
      <c r="F3865" s="503" t="str">
        <f ca="1">IFERROR(VLOOKUP(C3865,' Disaggregation - Section E '!A$618:N1989,5,0),"")</f>
        <v/>
      </c>
      <c r="G3865" s="502" t="str">
        <f ca="1">IFERROR(IF(VLOOKUP(C3865,' Disaggregation - Section E '!A$618:N1989,6,0)="","",VLOOKUP(C3865,' Disaggregation - Section E '!A$618:N1989,6,0)),"")</f>
        <v/>
      </c>
      <c r="H3865" s="512" t="str">
        <f ca="1">IFERROR(IF(INDEX(' Disaggregation - Section E '!F$618:F3186,MATCH(C3865,' Disaggregation - Section E '!A$618:A3186,0)+1,1)&lt;&gt;0,INDEX(' Disaggregation - Section E '!F$618:F$1820,MATCH(C3865,' Disaggregation - Section E '!A$618:A3186,0)+1,1),""),"")</f>
        <v/>
      </c>
      <c r="I3865" s="503" t="str">
        <f ca="1">IFERROR(IF(VLOOKUP(C3865,' Disaggregation - Section E '!A$618:N1989,8,0)=0,"",VLOOKUP(C3865,' Disaggregation - Section E '!A$618:N1989,8,0)),"")</f>
        <v/>
      </c>
      <c r="J3865" s="503" t="str">
        <f ca="1">IFERROR(IF(VLOOKUP(C3865,' Disaggregation - Section E '!A$618:N3186,13,0)=0,"",VLOOKUP(C3865,' Disaggregation - Section E '!A$618:N3186,13,0)),"")</f>
        <v/>
      </c>
      <c r="K3865" s="497" t="str">
        <f ca="1">IFERROR(VLOOKUP(C3865,' Disaggregation - Section E '!A$618:N1989,3,0),"")</f>
        <v>KP-1b⁽ᴹ⁾ Porcentaje de personas transgénero alcanzados por programas de prevención del VIH - paquete definido de servicios</v>
      </c>
      <c r="L3865" s="497"/>
      <c r="M3865" s="497" t="str">
        <f ca="1">IFERROR(IF(VLOOKUP(C3865,' Disaggregation - Section E '!A$618:T1989,20,0)=0,"",VLOOKUP(C3865,' Disaggregation - Section E '!A$618:T1989,20,0)),"")</f>
        <v/>
      </c>
      <c r="N3865" s="503" t="str">
        <f ca="1">IFERROR(IF(VLOOKUP(C3865,' Disaggregation - Section E '!A$618:N1989,14,0)=0,"",VLOOKUP(C3865,' Disaggregation - Section E '!A$618:N1989,14,0)),"")</f>
        <v/>
      </c>
      <c r="O3865" s="503" t="str">
        <f ca="1">IFERROR(IF(VLOOKUP(C3865,' Disaggregation - Section E '!A$618:N1989,9,0)=0,"",VLOOKUP(C3865,' Disaggregation - Section E '!A$618:N1989,9,0)),"")</f>
        <v/>
      </c>
      <c r="P3865" s="503" t="str">
        <f ca="1">IFERROR(IF(VLOOKUP(C3865,' Disaggregation - Section E '!A$618:N1989,10,0)=0,"",VLOOKUP(C3865,' Disaggregation - Section E '!A$618:N1989,10,0)),"")</f>
        <v/>
      </c>
    </row>
    <row r="3866" spans="1:16" x14ac:dyDescent="0.35">
      <c r="A3866" s="497" t="b">
        <f t="shared" ca="1" si="228"/>
        <v>0</v>
      </c>
      <c r="B3866" s="497"/>
      <c r="C3866" s="510" t="str">
        <f ca="1">IF(COUNTA(D$2498:D3866)=1,"",OFFSET(B3864,-COUNTA(D$2498:D3866)+3,1))</f>
        <v>a163p000004NtMyAAK</v>
      </c>
      <c r="D3866" s="512"/>
      <c r="E3866" s="500" t="str">
        <f ca="1">IFERROR(IF(VLOOKUP(C3866,' Disaggregation - Section E '!A$618:N1990,7,0)="","",VLOOKUP(C3866,' Disaggregation - Section E '!A$618:N1990,7,0)*100),"")</f>
        <v/>
      </c>
      <c r="F3866" s="503" t="str">
        <f ca="1">IFERROR(VLOOKUP(C3866,' Disaggregation - Section E '!A$618:N1990,5,0),"")</f>
        <v/>
      </c>
      <c r="G3866" s="502" t="str">
        <f ca="1">IFERROR(IF(VLOOKUP(C3866,' Disaggregation - Section E '!A$618:N1990,6,0)="","",VLOOKUP(C3866,' Disaggregation - Section E '!A$618:N1990,6,0)),"")</f>
        <v/>
      </c>
      <c r="H3866" s="512" t="str">
        <f ca="1">IFERROR(IF(INDEX(' Disaggregation - Section E '!F$618:F3187,MATCH(C3866,' Disaggregation - Section E '!A$618:A3187,0)+1,1)&lt;&gt;0,INDEX(' Disaggregation - Section E '!F$618:F$1820,MATCH(C3866,' Disaggregation - Section E '!A$618:A3187,0)+1,1),""),"")</f>
        <v/>
      </c>
      <c r="I3866" s="503" t="str">
        <f ca="1">IFERROR(IF(VLOOKUP(C3866,' Disaggregation - Section E '!A$618:N1990,8,0)=0,"",VLOOKUP(C3866,' Disaggregation - Section E '!A$618:N1990,8,0)),"")</f>
        <v/>
      </c>
      <c r="J3866" s="503" t="str">
        <f ca="1">IFERROR(IF(VLOOKUP(C3866,' Disaggregation - Section E '!A$618:N3187,13,0)=0,"",VLOOKUP(C3866,' Disaggregation - Section E '!A$618:N3187,13,0)),"")</f>
        <v/>
      </c>
      <c r="K3866" s="497" t="str">
        <f ca="1">IFERROR(VLOOKUP(C3866,' Disaggregation - Section E '!A$618:N1990,3,0),"")</f>
        <v>KP-1b⁽ᴹ⁾ Porcentaje de personas transgénero alcanzados por programas de prevención del VIH - paquete definido de servicios</v>
      </c>
      <c r="L3866" s="497"/>
      <c r="M3866" s="497" t="str">
        <f ca="1">IFERROR(IF(VLOOKUP(C3866,' Disaggregation - Section E '!A$618:T1990,20,0)=0,"",VLOOKUP(C3866,' Disaggregation - Section E '!A$618:T1990,20,0)),"")</f>
        <v/>
      </c>
      <c r="N3866" s="503" t="str">
        <f ca="1">IFERROR(IF(VLOOKUP(C3866,' Disaggregation - Section E '!A$618:N1990,14,0)=0,"",VLOOKUP(C3866,' Disaggregation - Section E '!A$618:N1990,14,0)),"")</f>
        <v/>
      </c>
      <c r="O3866" s="503" t="str">
        <f ca="1">IFERROR(IF(VLOOKUP(C3866,' Disaggregation - Section E '!A$618:N1990,9,0)=0,"",VLOOKUP(C3866,' Disaggregation - Section E '!A$618:N1990,9,0)),"")</f>
        <v/>
      </c>
      <c r="P3866" s="503" t="str">
        <f ca="1">IFERROR(IF(VLOOKUP(C3866,' Disaggregation - Section E '!A$618:N1990,10,0)=0,"",VLOOKUP(C3866,' Disaggregation - Section E '!A$618:N1990,10,0)),"")</f>
        <v/>
      </c>
    </row>
    <row r="3867" spans="1:16" x14ac:dyDescent="0.35">
      <c r="A3867" s="497" t="b">
        <f t="shared" ca="1" si="228"/>
        <v>0</v>
      </c>
      <c r="B3867" s="497"/>
      <c r="C3867" s="510" t="str">
        <f ca="1">IF(COUNTA(D$2498:D3867)=1,"",OFFSET(B3865,-COUNTA(D$2498:D3867)+3,1))</f>
        <v>a163p000004NtMzAAK</v>
      </c>
      <c r="D3867" s="512"/>
      <c r="E3867" s="500" t="str">
        <f ca="1">IFERROR(IF(VLOOKUP(C3867,' Disaggregation - Section E '!A$618:N1991,7,0)="","",VLOOKUP(C3867,' Disaggregation - Section E '!A$618:N1991,7,0)*100),"")</f>
        <v/>
      </c>
      <c r="F3867" s="503" t="str">
        <f ca="1">IFERROR(VLOOKUP(C3867,' Disaggregation - Section E '!A$618:N1991,5,0),"")</f>
        <v/>
      </c>
      <c r="G3867" s="502" t="str">
        <f ca="1">IFERROR(IF(VLOOKUP(C3867,' Disaggregation - Section E '!A$618:N1991,6,0)="","",VLOOKUP(C3867,' Disaggregation - Section E '!A$618:N1991,6,0)),"")</f>
        <v/>
      </c>
      <c r="H3867" s="512" t="str">
        <f ca="1">IFERROR(IF(INDEX(' Disaggregation - Section E '!F$618:F3188,MATCH(C3867,' Disaggregation - Section E '!A$618:A3188,0)+1,1)&lt;&gt;0,INDEX(' Disaggregation - Section E '!F$618:F$1820,MATCH(C3867,' Disaggregation - Section E '!A$618:A3188,0)+1,1),""),"")</f>
        <v/>
      </c>
      <c r="I3867" s="503" t="str">
        <f ca="1">IFERROR(IF(VLOOKUP(C3867,' Disaggregation - Section E '!A$618:N1991,8,0)=0,"",VLOOKUP(C3867,' Disaggregation - Section E '!A$618:N1991,8,0)),"")</f>
        <v/>
      </c>
      <c r="J3867" s="503" t="str">
        <f ca="1">IFERROR(IF(VLOOKUP(C3867,' Disaggregation - Section E '!A$618:N3188,13,0)=0,"",VLOOKUP(C3867,' Disaggregation - Section E '!A$618:N3188,13,0)),"")</f>
        <v/>
      </c>
      <c r="K3867" s="497" t="str">
        <f ca="1">IFERROR(VLOOKUP(C3867,' Disaggregation - Section E '!A$618:N1991,3,0),"")</f>
        <v>KP-1b⁽ᴹ⁾ Porcentaje de personas transgénero alcanzados por programas de prevención del VIH - paquete definido de servicios</v>
      </c>
      <c r="L3867" s="497"/>
      <c r="M3867" s="497" t="str">
        <f ca="1">IFERROR(IF(VLOOKUP(C3867,' Disaggregation - Section E '!A$618:T1991,20,0)=0,"",VLOOKUP(C3867,' Disaggregation - Section E '!A$618:T1991,20,0)),"")</f>
        <v/>
      </c>
      <c r="N3867" s="503" t="str">
        <f ca="1">IFERROR(IF(VLOOKUP(C3867,' Disaggregation - Section E '!A$618:N1991,14,0)=0,"",VLOOKUP(C3867,' Disaggregation - Section E '!A$618:N1991,14,0)),"")</f>
        <v/>
      </c>
      <c r="O3867" s="503" t="str">
        <f ca="1">IFERROR(IF(VLOOKUP(C3867,' Disaggregation - Section E '!A$618:N1991,9,0)=0,"",VLOOKUP(C3867,' Disaggregation - Section E '!A$618:N1991,9,0)),"")</f>
        <v/>
      </c>
      <c r="P3867" s="503" t="str">
        <f ca="1">IFERROR(IF(VLOOKUP(C3867,' Disaggregation - Section E '!A$618:N1991,10,0)=0,"",VLOOKUP(C3867,' Disaggregation - Section E '!A$618:N1991,10,0)),"")</f>
        <v/>
      </c>
    </row>
    <row r="3868" spans="1:16" x14ac:dyDescent="0.35">
      <c r="A3868" s="497" t="b">
        <f t="shared" ca="1" si="228"/>
        <v>0</v>
      </c>
      <c r="B3868" s="497"/>
      <c r="C3868" s="510" t="str">
        <f ca="1">IF(COUNTA(D$2498:D3868)=1,"",OFFSET(B3866,-COUNTA(D$2498:D3868)+3,1))</f>
        <v>a163p000004NtN0AAK</v>
      </c>
      <c r="D3868" s="512"/>
      <c r="E3868" s="500" t="str">
        <f ca="1">IFERROR(IF(VLOOKUP(C3868,' Disaggregation - Section E '!A$618:N1992,7,0)="","",VLOOKUP(C3868,' Disaggregation - Section E '!A$618:N1992,7,0)*100),"")</f>
        <v/>
      </c>
      <c r="F3868" s="503" t="str">
        <f ca="1">IFERROR(VLOOKUP(C3868,' Disaggregation - Section E '!A$618:N1992,5,0),"")</f>
        <v/>
      </c>
      <c r="G3868" s="502" t="str">
        <f ca="1">IFERROR(IF(VLOOKUP(C3868,' Disaggregation - Section E '!A$618:N1992,6,0)="","",VLOOKUP(C3868,' Disaggregation - Section E '!A$618:N1992,6,0)),"")</f>
        <v/>
      </c>
      <c r="H3868" s="512" t="str">
        <f ca="1">IFERROR(IF(INDEX(' Disaggregation - Section E '!F$618:F3189,MATCH(C3868,' Disaggregation - Section E '!A$618:A3189,0)+1,1)&lt;&gt;0,INDEX(' Disaggregation - Section E '!F$618:F$1820,MATCH(C3868,' Disaggregation - Section E '!A$618:A3189,0)+1,1),""),"")</f>
        <v/>
      </c>
      <c r="I3868" s="503" t="str">
        <f ca="1">IFERROR(IF(VLOOKUP(C3868,' Disaggregation - Section E '!A$618:N1992,8,0)=0,"",VLOOKUP(C3868,' Disaggregation - Section E '!A$618:N1992,8,0)),"")</f>
        <v/>
      </c>
      <c r="J3868" s="503" t="str">
        <f ca="1">IFERROR(IF(VLOOKUP(C3868,' Disaggregation - Section E '!A$618:N3189,13,0)=0,"",VLOOKUP(C3868,' Disaggregation - Section E '!A$618:N3189,13,0)),"")</f>
        <v/>
      </c>
      <c r="K3868" s="497" t="str">
        <f ca="1">IFERROR(VLOOKUP(C3868,' Disaggregation - Section E '!A$618:N1992,3,0),"")</f>
        <v>KP-1b⁽ᴹ⁾ Porcentaje de personas transgénero alcanzados por programas de prevención del VIH - paquete definido de servicios</v>
      </c>
      <c r="L3868" s="497"/>
      <c r="M3868" s="497" t="str">
        <f ca="1">IFERROR(IF(VLOOKUP(C3868,' Disaggregation - Section E '!A$618:T1992,20,0)=0,"",VLOOKUP(C3868,' Disaggregation - Section E '!A$618:T1992,20,0)),"")</f>
        <v/>
      </c>
      <c r="N3868" s="503" t="str">
        <f ca="1">IFERROR(IF(VLOOKUP(C3868,' Disaggregation - Section E '!A$618:N1992,14,0)=0,"",VLOOKUP(C3868,' Disaggregation - Section E '!A$618:N1992,14,0)),"")</f>
        <v/>
      </c>
      <c r="O3868" s="503" t="str">
        <f ca="1">IFERROR(IF(VLOOKUP(C3868,' Disaggregation - Section E '!A$618:N1992,9,0)=0,"",VLOOKUP(C3868,' Disaggregation - Section E '!A$618:N1992,9,0)),"")</f>
        <v/>
      </c>
      <c r="P3868" s="503" t="str">
        <f ca="1">IFERROR(IF(VLOOKUP(C3868,' Disaggregation - Section E '!A$618:N1992,10,0)=0,"",VLOOKUP(C3868,' Disaggregation - Section E '!A$618:N1992,10,0)),"")</f>
        <v/>
      </c>
    </row>
    <row r="3869" spans="1:16" x14ac:dyDescent="0.35">
      <c r="A3869" s="497" t="b">
        <f t="shared" ca="1" si="228"/>
        <v>0</v>
      </c>
      <c r="B3869" s="497"/>
      <c r="C3869" s="510" t="str">
        <f ca="1">IF(COUNTA(D$2498:D3869)=1,"",OFFSET(B3867,-COUNTA(D$2498:D3869)+3,1))</f>
        <v>a163p000004NtN1AAK</v>
      </c>
      <c r="D3869" s="512"/>
      <c r="E3869" s="500" t="str">
        <f ca="1">IFERROR(IF(VLOOKUP(C3869,' Disaggregation - Section E '!A$618:N1993,7,0)="","",VLOOKUP(C3869,' Disaggregation - Section E '!A$618:N1993,7,0)*100),"")</f>
        <v/>
      </c>
      <c r="F3869" s="503" t="str">
        <f ca="1">IFERROR(VLOOKUP(C3869,' Disaggregation - Section E '!A$618:N1993,5,0),"")</f>
        <v/>
      </c>
      <c r="G3869" s="502" t="str">
        <f ca="1">IFERROR(IF(VLOOKUP(C3869,' Disaggregation - Section E '!A$618:N1993,6,0)="","",VLOOKUP(C3869,' Disaggregation - Section E '!A$618:N1993,6,0)),"")</f>
        <v/>
      </c>
      <c r="H3869" s="512" t="str">
        <f ca="1">IFERROR(IF(INDEX(' Disaggregation - Section E '!F$618:F3190,MATCH(C3869,' Disaggregation - Section E '!A$618:A3190,0)+1,1)&lt;&gt;0,INDEX(' Disaggregation - Section E '!F$618:F$1820,MATCH(C3869,' Disaggregation - Section E '!A$618:A3190,0)+1,1),""),"")</f>
        <v/>
      </c>
      <c r="I3869" s="503" t="str">
        <f ca="1">IFERROR(IF(VLOOKUP(C3869,' Disaggregation - Section E '!A$618:N1993,8,0)=0,"",VLOOKUP(C3869,' Disaggregation - Section E '!A$618:N1993,8,0)),"")</f>
        <v/>
      </c>
      <c r="J3869" s="503" t="str">
        <f ca="1">IFERROR(IF(VLOOKUP(C3869,' Disaggregation - Section E '!A$618:N3190,13,0)=0,"",VLOOKUP(C3869,' Disaggregation - Section E '!A$618:N3190,13,0)),"")</f>
        <v/>
      </c>
      <c r="K3869" s="497" t="str">
        <f ca="1">IFERROR(VLOOKUP(C3869,' Disaggregation - Section E '!A$618:N1993,3,0),"")</f>
        <v>KP-1b⁽ᴹ⁾ Porcentaje de personas transgénero alcanzados por programas de prevención del VIH - paquete definido de servicios</v>
      </c>
      <c r="L3869" s="497"/>
      <c r="M3869" s="497" t="str">
        <f ca="1">IFERROR(IF(VLOOKUP(C3869,' Disaggregation - Section E '!A$618:T1993,20,0)=0,"",VLOOKUP(C3869,' Disaggregation - Section E '!A$618:T1993,20,0)),"")</f>
        <v/>
      </c>
      <c r="N3869" s="503" t="str">
        <f ca="1">IFERROR(IF(VLOOKUP(C3869,' Disaggregation - Section E '!A$618:N1993,14,0)=0,"",VLOOKUP(C3869,' Disaggregation - Section E '!A$618:N1993,14,0)),"")</f>
        <v/>
      </c>
      <c r="O3869" s="503" t="str">
        <f ca="1">IFERROR(IF(VLOOKUP(C3869,' Disaggregation - Section E '!A$618:N1993,9,0)=0,"",VLOOKUP(C3869,' Disaggregation - Section E '!A$618:N1993,9,0)),"")</f>
        <v/>
      </c>
      <c r="P3869" s="503" t="str">
        <f ca="1">IFERROR(IF(VLOOKUP(C3869,' Disaggregation - Section E '!A$618:N1993,10,0)=0,"",VLOOKUP(C3869,' Disaggregation - Section E '!A$618:N1993,10,0)),"")</f>
        <v/>
      </c>
    </row>
    <row r="3870" spans="1:16" x14ac:dyDescent="0.35">
      <c r="A3870" s="497" t="b">
        <f t="shared" ca="1" si="228"/>
        <v>0</v>
      </c>
      <c r="B3870" s="497"/>
      <c r="C3870" s="510" t="str">
        <f ca="1">IF(COUNTA(D$2498:D3870)=1,"",OFFSET(B3868,-COUNTA(D$2498:D3870)+3,1))</f>
        <v>a163p000004NtN2AAK</v>
      </c>
      <c r="D3870" s="512"/>
      <c r="E3870" s="500" t="str">
        <f ca="1">IFERROR(IF(VLOOKUP(C3870,' Disaggregation - Section E '!A$618:N1994,7,0)="","",VLOOKUP(C3870,' Disaggregation - Section E '!A$618:N1994,7,0)*100),"")</f>
        <v/>
      </c>
      <c r="F3870" s="503" t="str">
        <f ca="1">IFERROR(VLOOKUP(C3870,' Disaggregation - Section E '!A$618:N1994,5,0),"")</f>
        <v/>
      </c>
      <c r="G3870" s="502" t="str">
        <f ca="1">IFERROR(IF(VLOOKUP(C3870,' Disaggregation - Section E '!A$618:N1994,6,0)="","",VLOOKUP(C3870,' Disaggregation - Section E '!A$618:N1994,6,0)),"")</f>
        <v/>
      </c>
      <c r="H3870" s="512" t="str">
        <f ca="1">IFERROR(IF(INDEX(' Disaggregation - Section E '!F$618:F3191,MATCH(C3870,' Disaggregation - Section E '!A$618:A3191,0)+1,1)&lt;&gt;0,INDEX(' Disaggregation - Section E '!F$618:F$1820,MATCH(C3870,' Disaggregation - Section E '!A$618:A3191,0)+1,1),""),"")</f>
        <v/>
      </c>
      <c r="I3870" s="503" t="str">
        <f ca="1">IFERROR(IF(VLOOKUP(C3870,' Disaggregation - Section E '!A$618:N1994,8,0)=0,"",VLOOKUP(C3870,' Disaggregation - Section E '!A$618:N1994,8,0)),"")</f>
        <v/>
      </c>
      <c r="J3870" s="503" t="str">
        <f ca="1">IFERROR(IF(VLOOKUP(C3870,' Disaggregation - Section E '!A$618:N3191,13,0)=0,"",VLOOKUP(C3870,' Disaggregation - Section E '!A$618:N3191,13,0)),"")</f>
        <v/>
      </c>
      <c r="K3870" s="497" t="str">
        <f ca="1">IFERROR(VLOOKUP(C3870,' Disaggregation - Section E '!A$618:N1994,3,0),"")</f>
        <v>KP-1b⁽ᴹ⁾ Porcentaje de personas transgénero alcanzados por programas de prevención del VIH - paquete definido de servicios</v>
      </c>
      <c r="L3870" s="497"/>
      <c r="M3870" s="497" t="str">
        <f ca="1">IFERROR(IF(VLOOKUP(C3870,' Disaggregation - Section E '!A$618:T1994,20,0)=0,"",VLOOKUP(C3870,' Disaggregation - Section E '!A$618:T1994,20,0)),"")</f>
        <v/>
      </c>
      <c r="N3870" s="503" t="str">
        <f ca="1">IFERROR(IF(VLOOKUP(C3870,' Disaggregation - Section E '!A$618:N1994,14,0)=0,"",VLOOKUP(C3870,' Disaggregation - Section E '!A$618:N1994,14,0)),"")</f>
        <v/>
      </c>
      <c r="O3870" s="503" t="str">
        <f ca="1">IFERROR(IF(VLOOKUP(C3870,' Disaggregation - Section E '!A$618:N1994,9,0)=0,"",VLOOKUP(C3870,' Disaggregation - Section E '!A$618:N1994,9,0)),"")</f>
        <v/>
      </c>
      <c r="P3870" s="503" t="str">
        <f ca="1">IFERROR(IF(VLOOKUP(C3870,' Disaggregation - Section E '!A$618:N1994,10,0)=0,"",VLOOKUP(C3870,' Disaggregation - Section E '!A$618:N1994,10,0)),"")</f>
        <v/>
      </c>
    </row>
    <row r="3871" spans="1:16" x14ac:dyDescent="0.35">
      <c r="A3871" s="497" t="b">
        <f t="shared" ca="1" si="228"/>
        <v>0</v>
      </c>
      <c r="B3871" s="497"/>
      <c r="C3871" s="510" t="str">
        <f ca="1">IF(COUNTA(D$2498:D3871)=1,"",OFFSET(B3869,-COUNTA(D$2498:D3871)+3,1))</f>
        <v>a163p000004NtN3AAK</v>
      </c>
      <c r="D3871" s="512"/>
      <c r="E3871" s="500" t="str">
        <f ca="1">IFERROR(IF(VLOOKUP(C3871,' Disaggregation - Section E '!A$618:N1995,7,0)="","",VLOOKUP(C3871,' Disaggregation - Section E '!A$618:N1995,7,0)*100),"")</f>
        <v/>
      </c>
      <c r="F3871" s="503" t="str">
        <f ca="1">IFERROR(VLOOKUP(C3871,' Disaggregation - Section E '!A$618:N1995,5,0),"")</f>
        <v/>
      </c>
      <c r="G3871" s="502" t="str">
        <f ca="1">IFERROR(IF(VLOOKUP(C3871,' Disaggregation - Section E '!A$618:N1995,6,0)="","",VLOOKUP(C3871,' Disaggregation - Section E '!A$618:N1995,6,0)),"")</f>
        <v/>
      </c>
      <c r="H3871" s="512" t="str">
        <f ca="1">IFERROR(IF(INDEX(' Disaggregation - Section E '!F$618:F3192,MATCH(C3871,' Disaggregation - Section E '!A$618:A3192,0)+1,1)&lt;&gt;0,INDEX(' Disaggregation - Section E '!F$618:F$1820,MATCH(C3871,' Disaggregation - Section E '!A$618:A3192,0)+1,1),""),"")</f>
        <v/>
      </c>
      <c r="I3871" s="503" t="str">
        <f ca="1">IFERROR(IF(VLOOKUP(C3871,' Disaggregation - Section E '!A$618:N1995,8,0)=0,"",VLOOKUP(C3871,' Disaggregation - Section E '!A$618:N1995,8,0)),"")</f>
        <v/>
      </c>
      <c r="J3871" s="503" t="str">
        <f ca="1">IFERROR(IF(VLOOKUP(C3871,' Disaggregation - Section E '!A$618:N3192,13,0)=0,"",VLOOKUP(C3871,' Disaggregation - Section E '!A$618:N3192,13,0)),"")</f>
        <v/>
      </c>
      <c r="K3871" s="497" t="str">
        <f ca="1">IFERROR(VLOOKUP(C3871,' Disaggregation - Section E '!A$618:N1995,3,0),"")</f>
        <v>KP-1b⁽ᴹ⁾ Porcentaje de personas transgénero alcanzados por programas de prevención del VIH - paquete definido de servicios</v>
      </c>
      <c r="L3871" s="497"/>
      <c r="M3871" s="497" t="str">
        <f ca="1">IFERROR(IF(VLOOKUP(C3871,' Disaggregation - Section E '!A$618:T1995,20,0)=0,"",VLOOKUP(C3871,' Disaggregation - Section E '!A$618:T1995,20,0)),"")</f>
        <v/>
      </c>
      <c r="N3871" s="503" t="str">
        <f ca="1">IFERROR(IF(VLOOKUP(C3871,' Disaggregation - Section E '!A$618:N1995,14,0)=0,"",VLOOKUP(C3871,' Disaggregation - Section E '!A$618:N1995,14,0)),"")</f>
        <v/>
      </c>
      <c r="O3871" s="503" t="str">
        <f ca="1">IFERROR(IF(VLOOKUP(C3871,' Disaggregation - Section E '!A$618:N1995,9,0)=0,"",VLOOKUP(C3871,' Disaggregation - Section E '!A$618:N1995,9,0)),"")</f>
        <v/>
      </c>
      <c r="P3871" s="503" t="str">
        <f ca="1">IFERROR(IF(VLOOKUP(C3871,' Disaggregation - Section E '!A$618:N1995,10,0)=0,"",VLOOKUP(C3871,' Disaggregation - Section E '!A$618:N1995,10,0)),"")</f>
        <v/>
      </c>
    </row>
    <row r="3872" spans="1:16" x14ac:dyDescent="0.35">
      <c r="A3872" s="497" t="b">
        <f t="shared" ca="1" si="228"/>
        <v>0</v>
      </c>
      <c r="B3872" s="497"/>
      <c r="C3872" s="510" t="str">
        <f ca="1">IF(COUNTA(D$2498:D3872)=1,"",OFFSET(B3870,-COUNTA(D$2498:D3872)+3,1))</f>
        <v>a163p000004NtN4AAK</v>
      </c>
      <c r="D3872" s="512"/>
      <c r="E3872" s="500" t="str">
        <f ca="1">IFERROR(IF(VLOOKUP(C3872,' Disaggregation - Section E '!A$618:N1996,7,0)="","",VLOOKUP(C3872,' Disaggregation - Section E '!A$618:N1996,7,0)*100),"")</f>
        <v/>
      </c>
      <c r="F3872" s="503" t="str">
        <f ca="1">IFERROR(VLOOKUP(C3872,' Disaggregation - Section E '!A$618:N1996,5,0),"")</f>
        <v/>
      </c>
      <c r="G3872" s="502" t="str">
        <f ca="1">IFERROR(IF(VLOOKUP(C3872,' Disaggregation - Section E '!A$618:N1996,6,0)="","",VLOOKUP(C3872,' Disaggregation - Section E '!A$618:N1996,6,0)),"")</f>
        <v/>
      </c>
      <c r="H3872" s="512" t="str">
        <f ca="1">IFERROR(IF(INDEX(' Disaggregation - Section E '!F$618:F3193,MATCH(C3872,' Disaggregation - Section E '!A$618:A3193,0)+1,1)&lt;&gt;0,INDEX(' Disaggregation - Section E '!F$618:F$1820,MATCH(C3872,' Disaggregation - Section E '!A$618:A3193,0)+1,1),""),"")</f>
        <v/>
      </c>
      <c r="I3872" s="503" t="str">
        <f ca="1">IFERROR(IF(VLOOKUP(C3872,' Disaggregation - Section E '!A$618:N1996,8,0)=0,"",VLOOKUP(C3872,' Disaggregation - Section E '!A$618:N1996,8,0)),"")</f>
        <v/>
      </c>
      <c r="J3872" s="503" t="str">
        <f ca="1">IFERROR(IF(VLOOKUP(C3872,' Disaggregation - Section E '!A$618:N3193,13,0)=0,"",VLOOKUP(C3872,' Disaggregation - Section E '!A$618:N3193,13,0)),"")</f>
        <v/>
      </c>
      <c r="K3872" s="497" t="str">
        <f ca="1">IFERROR(VLOOKUP(C3872,' Disaggregation - Section E '!A$618:N1996,3,0),"")</f>
        <v>KP-1b⁽ᴹ⁾ Porcentaje de personas transgénero alcanzados por programas de prevención del VIH - paquete definido de servicios</v>
      </c>
      <c r="L3872" s="497"/>
      <c r="M3872" s="497" t="str">
        <f ca="1">IFERROR(IF(VLOOKUP(C3872,' Disaggregation - Section E '!A$618:T1996,20,0)=0,"",VLOOKUP(C3872,' Disaggregation - Section E '!A$618:T1996,20,0)),"")</f>
        <v/>
      </c>
      <c r="N3872" s="503" t="str">
        <f ca="1">IFERROR(IF(VLOOKUP(C3872,' Disaggregation - Section E '!A$618:N1996,14,0)=0,"",VLOOKUP(C3872,' Disaggregation - Section E '!A$618:N1996,14,0)),"")</f>
        <v/>
      </c>
      <c r="O3872" s="503" t="str">
        <f ca="1">IFERROR(IF(VLOOKUP(C3872,' Disaggregation - Section E '!A$618:N1996,9,0)=0,"",VLOOKUP(C3872,' Disaggregation - Section E '!A$618:N1996,9,0)),"")</f>
        <v/>
      </c>
      <c r="P3872" s="503" t="str">
        <f ca="1">IFERROR(IF(VLOOKUP(C3872,' Disaggregation - Section E '!A$618:N1996,10,0)=0,"",VLOOKUP(C3872,' Disaggregation - Section E '!A$618:N1996,10,0)),"")</f>
        <v/>
      </c>
    </row>
    <row r="3873" spans="1:16" x14ac:dyDescent="0.35">
      <c r="A3873" s="497" t="b">
        <f t="shared" ca="1" si="228"/>
        <v>0</v>
      </c>
      <c r="B3873" s="497"/>
      <c r="C3873" s="510" t="str">
        <f ca="1">IF(COUNTA(D$2498:D3873)=1,"",OFFSET(B3871,-COUNTA(D$2498:D3873)+3,1))</f>
        <v>a163p000004NtN5AAK</v>
      </c>
      <c r="D3873" s="512"/>
      <c r="E3873" s="500" t="str">
        <f ca="1">IFERROR(IF(VLOOKUP(C3873,' Disaggregation - Section E '!A$618:N1997,7,0)="","",VLOOKUP(C3873,' Disaggregation - Section E '!A$618:N1997,7,0)*100),"")</f>
        <v/>
      </c>
      <c r="F3873" s="503" t="str">
        <f ca="1">IFERROR(VLOOKUP(C3873,' Disaggregation - Section E '!A$618:N1997,5,0),"")</f>
        <v/>
      </c>
      <c r="G3873" s="502" t="str">
        <f ca="1">IFERROR(IF(VLOOKUP(C3873,' Disaggregation - Section E '!A$618:N1997,6,0)="","",VLOOKUP(C3873,' Disaggregation - Section E '!A$618:N1997,6,0)),"")</f>
        <v/>
      </c>
      <c r="H3873" s="512" t="str">
        <f ca="1">IFERROR(IF(INDEX(' Disaggregation - Section E '!F$618:F3194,MATCH(C3873,' Disaggregation - Section E '!A$618:A3194,0)+1,1)&lt;&gt;0,INDEX(' Disaggregation - Section E '!F$618:F$1820,MATCH(C3873,' Disaggregation - Section E '!A$618:A3194,0)+1,1),""),"")</f>
        <v/>
      </c>
      <c r="I3873" s="503" t="str">
        <f ca="1">IFERROR(IF(VLOOKUP(C3873,' Disaggregation - Section E '!A$618:N1997,8,0)=0,"",VLOOKUP(C3873,' Disaggregation - Section E '!A$618:N1997,8,0)),"")</f>
        <v/>
      </c>
      <c r="J3873" s="503" t="str">
        <f ca="1">IFERROR(IF(VLOOKUP(C3873,' Disaggregation - Section E '!A$618:N3194,13,0)=0,"",VLOOKUP(C3873,' Disaggregation - Section E '!A$618:N3194,13,0)),"")</f>
        <v/>
      </c>
      <c r="K3873" s="497" t="str">
        <f ca="1">IFERROR(VLOOKUP(C3873,' Disaggregation - Section E '!A$618:N1997,3,0),"")</f>
        <v>KP-1b⁽ᴹ⁾ Porcentaje de personas transgénero alcanzados por programas de prevención del VIH - paquete definido de servicios</v>
      </c>
      <c r="L3873" s="497"/>
      <c r="M3873" s="497" t="str">
        <f ca="1">IFERROR(IF(VLOOKUP(C3873,' Disaggregation - Section E '!A$618:T1997,20,0)=0,"",VLOOKUP(C3873,' Disaggregation - Section E '!A$618:T1997,20,0)),"")</f>
        <v/>
      </c>
      <c r="N3873" s="503" t="str">
        <f ca="1">IFERROR(IF(VLOOKUP(C3873,' Disaggregation - Section E '!A$618:N1997,14,0)=0,"",VLOOKUP(C3873,' Disaggregation - Section E '!A$618:N1997,14,0)),"")</f>
        <v/>
      </c>
      <c r="O3873" s="503" t="str">
        <f ca="1">IFERROR(IF(VLOOKUP(C3873,' Disaggregation - Section E '!A$618:N1997,9,0)=0,"",VLOOKUP(C3873,' Disaggregation - Section E '!A$618:N1997,9,0)),"")</f>
        <v/>
      </c>
      <c r="P3873" s="503" t="str">
        <f ca="1">IFERROR(IF(VLOOKUP(C3873,' Disaggregation - Section E '!A$618:N1997,10,0)=0,"",VLOOKUP(C3873,' Disaggregation - Section E '!A$618:N1997,10,0)),"")</f>
        <v/>
      </c>
    </row>
    <row r="3874" spans="1:16" x14ac:dyDescent="0.35">
      <c r="A3874" s="497" t="b">
        <f t="shared" ca="1" si="228"/>
        <v>0</v>
      </c>
      <c r="B3874" s="497"/>
      <c r="C3874" s="510" t="str">
        <f ca="1">IF(COUNTA(D$2498:D3874)=1,"",OFFSET(B3872,-COUNTA(D$2498:D3874)+3,1))</f>
        <v>a163p000004NtN6AAK</v>
      </c>
      <c r="D3874" s="512"/>
      <c r="E3874" s="500" t="str">
        <f ca="1">IFERROR(IF(VLOOKUP(C3874,' Disaggregation - Section E '!A$618:N1998,7,0)="","",VLOOKUP(C3874,' Disaggregation - Section E '!A$618:N1998,7,0)*100),"")</f>
        <v/>
      </c>
      <c r="F3874" s="503" t="str">
        <f ca="1">IFERROR(VLOOKUP(C3874,' Disaggregation - Section E '!A$618:N1998,5,0),"")</f>
        <v/>
      </c>
      <c r="G3874" s="502" t="str">
        <f ca="1">IFERROR(IF(VLOOKUP(C3874,' Disaggregation - Section E '!A$618:N1998,6,0)="","",VLOOKUP(C3874,' Disaggregation - Section E '!A$618:N1998,6,0)),"")</f>
        <v/>
      </c>
      <c r="H3874" s="512" t="str">
        <f ca="1">IFERROR(IF(INDEX(' Disaggregation - Section E '!F$618:F3195,MATCH(C3874,' Disaggregation - Section E '!A$618:A3195,0)+1,1)&lt;&gt;0,INDEX(' Disaggregation - Section E '!F$618:F$1820,MATCH(C3874,' Disaggregation - Section E '!A$618:A3195,0)+1,1),""),"")</f>
        <v/>
      </c>
      <c r="I3874" s="503" t="str">
        <f ca="1">IFERROR(IF(VLOOKUP(C3874,' Disaggregation - Section E '!A$618:N1998,8,0)=0,"",VLOOKUP(C3874,' Disaggregation - Section E '!A$618:N1998,8,0)),"")</f>
        <v/>
      </c>
      <c r="J3874" s="503" t="str">
        <f ca="1">IFERROR(IF(VLOOKUP(C3874,' Disaggregation - Section E '!A$618:N3195,13,0)=0,"",VLOOKUP(C3874,' Disaggregation - Section E '!A$618:N3195,13,0)),"")</f>
        <v/>
      </c>
      <c r="K3874" s="497" t="str">
        <f ca="1">IFERROR(VLOOKUP(C3874,' Disaggregation - Section E '!A$618:N1998,3,0),"")</f>
        <v>KP-1b⁽ᴹ⁾ Porcentaje de personas transgénero alcanzados por programas de prevención del VIH - paquete definido de servicios</v>
      </c>
      <c r="L3874" s="497"/>
      <c r="M3874" s="497" t="str">
        <f ca="1">IFERROR(IF(VLOOKUP(C3874,' Disaggregation - Section E '!A$618:T1998,20,0)=0,"",VLOOKUP(C3874,' Disaggregation - Section E '!A$618:T1998,20,0)),"")</f>
        <v/>
      </c>
      <c r="N3874" s="503" t="str">
        <f ca="1">IFERROR(IF(VLOOKUP(C3874,' Disaggregation - Section E '!A$618:N1998,14,0)=0,"",VLOOKUP(C3874,' Disaggregation - Section E '!A$618:N1998,14,0)),"")</f>
        <v/>
      </c>
      <c r="O3874" s="503" t="str">
        <f ca="1">IFERROR(IF(VLOOKUP(C3874,' Disaggregation - Section E '!A$618:N1998,9,0)=0,"",VLOOKUP(C3874,' Disaggregation - Section E '!A$618:N1998,9,0)),"")</f>
        <v/>
      </c>
      <c r="P3874" s="503" t="str">
        <f ca="1">IFERROR(IF(VLOOKUP(C3874,' Disaggregation - Section E '!A$618:N1998,10,0)=0,"",VLOOKUP(C3874,' Disaggregation - Section E '!A$618:N1998,10,0)),"")</f>
        <v/>
      </c>
    </row>
    <row r="3875" spans="1:16" x14ac:dyDescent="0.35">
      <c r="A3875" s="497" t="b">
        <f t="shared" ca="1" si="228"/>
        <v>0</v>
      </c>
      <c r="B3875" s="497"/>
      <c r="C3875" s="510" t="str">
        <f ca="1">IF(COUNTA(D$2498:D3875)=1,"",OFFSET(B3873,-COUNTA(D$2498:D3875)+3,1))</f>
        <v>a163p000004NtN7AAK</v>
      </c>
      <c r="D3875" s="512"/>
      <c r="E3875" s="500" t="str">
        <f ca="1">IFERROR(IF(VLOOKUP(C3875,' Disaggregation - Section E '!A$618:N1999,7,0)="","",VLOOKUP(C3875,' Disaggregation - Section E '!A$618:N1999,7,0)*100),"")</f>
        <v/>
      </c>
      <c r="F3875" s="503" t="str">
        <f ca="1">IFERROR(VLOOKUP(C3875,' Disaggregation - Section E '!A$618:N1999,5,0),"")</f>
        <v/>
      </c>
      <c r="G3875" s="502" t="str">
        <f ca="1">IFERROR(IF(VLOOKUP(C3875,' Disaggregation - Section E '!A$618:N1999,6,0)="","",VLOOKUP(C3875,' Disaggregation - Section E '!A$618:N1999,6,0)),"")</f>
        <v/>
      </c>
      <c r="H3875" s="512" t="str">
        <f ca="1">IFERROR(IF(INDEX(' Disaggregation - Section E '!F$618:F3196,MATCH(C3875,' Disaggregation - Section E '!A$618:A3196,0)+1,1)&lt;&gt;0,INDEX(' Disaggregation - Section E '!F$618:F$1820,MATCH(C3875,' Disaggregation - Section E '!A$618:A3196,0)+1,1),""),"")</f>
        <v/>
      </c>
      <c r="I3875" s="503" t="str">
        <f ca="1">IFERROR(IF(VLOOKUP(C3875,' Disaggregation - Section E '!A$618:N1999,8,0)=0,"",VLOOKUP(C3875,' Disaggregation - Section E '!A$618:N1999,8,0)),"")</f>
        <v/>
      </c>
      <c r="J3875" s="503" t="str">
        <f ca="1">IFERROR(IF(VLOOKUP(C3875,' Disaggregation - Section E '!A$618:N3196,13,0)=0,"",VLOOKUP(C3875,' Disaggregation - Section E '!A$618:N3196,13,0)),"")</f>
        <v/>
      </c>
      <c r="K3875" s="497" t="str">
        <f ca="1">IFERROR(VLOOKUP(C3875,' Disaggregation - Section E '!A$618:N1999,3,0),"")</f>
        <v>KP-1b⁽ᴹ⁾ Porcentaje de personas transgénero alcanzados por programas de prevención del VIH - paquete definido de servicios</v>
      </c>
      <c r="L3875" s="497"/>
      <c r="M3875" s="497" t="str">
        <f ca="1">IFERROR(IF(VLOOKUP(C3875,' Disaggregation - Section E '!A$618:T1999,20,0)=0,"",VLOOKUP(C3875,' Disaggregation - Section E '!A$618:T1999,20,0)),"")</f>
        <v/>
      </c>
      <c r="N3875" s="503" t="str">
        <f ca="1">IFERROR(IF(VLOOKUP(C3875,' Disaggregation - Section E '!A$618:N1999,14,0)=0,"",VLOOKUP(C3875,' Disaggregation - Section E '!A$618:N1999,14,0)),"")</f>
        <v/>
      </c>
      <c r="O3875" s="503" t="str">
        <f ca="1">IFERROR(IF(VLOOKUP(C3875,' Disaggregation - Section E '!A$618:N1999,9,0)=0,"",VLOOKUP(C3875,' Disaggregation - Section E '!A$618:N1999,9,0)),"")</f>
        <v/>
      </c>
      <c r="P3875" s="503" t="str">
        <f ca="1">IFERROR(IF(VLOOKUP(C3875,' Disaggregation - Section E '!A$618:N1999,10,0)=0,"",VLOOKUP(C3875,' Disaggregation - Section E '!A$618:N1999,10,0)),"")</f>
        <v/>
      </c>
    </row>
    <row r="3876" spans="1:16" x14ac:dyDescent="0.35">
      <c r="A3876" s="497" t="b">
        <f t="shared" ca="1" si="228"/>
        <v>0</v>
      </c>
      <c r="B3876" s="497"/>
      <c r="C3876" s="510" t="str">
        <f ca="1">IF(COUNTA(D$2498:D3876)=1,"",OFFSET(B3874,-COUNTA(D$2498:D3876)+3,1))</f>
        <v>a163p000004NtN8AAK</v>
      </c>
      <c r="D3876" s="512"/>
      <c r="E3876" s="500" t="str">
        <f ca="1">IFERROR(IF(VLOOKUP(C3876,' Disaggregation - Section E '!A$618:N2000,7,0)="","",VLOOKUP(C3876,' Disaggregation - Section E '!A$618:N2000,7,0)*100),"")</f>
        <v/>
      </c>
      <c r="F3876" s="503" t="str">
        <f ca="1">IFERROR(VLOOKUP(C3876,' Disaggregation - Section E '!A$618:N2000,5,0),"")</f>
        <v/>
      </c>
      <c r="G3876" s="502" t="str">
        <f ca="1">IFERROR(IF(VLOOKUP(C3876,' Disaggregation - Section E '!A$618:N2000,6,0)="","",VLOOKUP(C3876,' Disaggregation - Section E '!A$618:N2000,6,0)),"")</f>
        <v/>
      </c>
      <c r="H3876" s="512" t="str">
        <f ca="1">IFERROR(IF(INDEX(' Disaggregation - Section E '!F$618:F3197,MATCH(C3876,' Disaggregation - Section E '!A$618:A3197,0)+1,1)&lt;&gt;0,INDEX(' Disaggregation - Section E '!F$618:F$1820,MATCH(C3876,' Disaggregation - Section E '!A$618:A3197,0)+1,1),""),"")</f>
        <v/>
      </c>
      <c r="I3876" s="503" t="str">
        <f ca="1">IFERROR(IF(VLOOKUP(C3876,' Disaggregation - Section E '!A$618:N2000,8,0)=0,"",VLOOKUP(C3876,' Disaggregation - Section E '!A$618:N2000,8,0)),"")</f>
        <v/>
      </c>
      <c r="J3876" s="503" t="str">
        <f ca="1">IFERROR(IF(VLOOKUP(C3876,' Disaggregation - Section E '!A$618:N3197,13,0)=0,"",VLOOKUP(C3876,' Disaggregation - Section E '!A$618:N3197,13,0)),"")</f>
        <v/>
      </c>
      <c r="K3876" s="497" t="str">
        <f ca="1">IFERROR(VLOOKUP(C3876,' Disaggregation - Section E '!A$618:N2000,3,0),"")</f>
        <v>KP-1b⁽ᴹ⁾ Porcentaje de personas transgénero alcanzados por programas de prevención del VIH - paquete definido de servicios</v>
      </c>
      <c r="L3876" s="497"/>
      <c r="M3876" s="497" t="str">
        <f ca="1">IFERROR(IF(VLOOKUP(C3876,' Disaggregation - Section E '!A$618:T2000,20,0)=0,"",VLOOKUP(C3876,' Disaggregation - Section E '!A$618:T2000,20,0)),"")</f>
        <v/>
      </c>
      <c r="N3876" s="503" t="str">
        <f ca="1">IFERROR(IF(VLOOKUP(C3876,' Disaggregation - Section E '!A$618:N2000,14,0)=0,"",VLOOKUP(C3876,' Disaggregation - Section E '!A$618:N2000,14,0)),"")</f>
        <v/>
      </c>
      <c r="O3876" s="503" t="str">
        <f ca="1">IFERROR(IF(VLOOKUP(C3876,' Disaggregation - Section E '!A$618:N2000,9,0)=0,"",VLOOKUP(C3876,' Disaggregation - Section E '!A$618:N2000,9,0)),"")</f>
        <v/>
      </c>
      <c r="P3876" s="503" t="str">
        <f ca="1">IFERROR(IF(VLOOKUP(C3876,' Disaggregation - Section E '!A$618:N2000,10,0)=0,"",VLOOKUP(C3876,' Disaggregation - Section E '!A$618:N2000,10,0)),"")</f>
        <v/>
      </c>
    </row>
    <row r="3877" spans="1:16" x14ac:dyDescent="0.35">
      <c r="A3877" s="497" t="b">
        <f t="shared" ca="1" si="228"/>
        <v>0</v>
      </c>
      <c r="B3877" s="497"/>
      <c r="C3877" s="510" t="str">
        <f ca="1">IF(COUNTA(D$2498:D3877)=1,"",OFFSET(B3875,-COUNTA(D$2498:D3877)+3,1))</f>
        <v>a163p000004NtN9AAK</v>
      </c>
      <c r="D3877" s="512"/>
      <c r="E3877" s="500" t="str">
        <f ca="1">IFERROR(IF(VLOOKUP(C3877,' Disaggregation - Section E '!A$618:N2001,7,0)="","",VLOOKUP(C3877,' Disaggregation - Section E '!A$618:N2001,7,0)*100),"")</f>
        <v/>
      </c>
      <c r="F3877" s="503" t="str">
        <f ca="1">IFERROR(VLOOKUP(C3877,' Disaggregation - Section E '!A$618:N2001,5,0),"")</f>
        <v/>
      </c>
      <c r="G3877" s="502" t="str">
        <f ca="1">IFERROR(IF(VLOOKUP(C3877,' Disaggregation - Section E '!A$618:N2001,6,0)="","",VLOOKUP(C3877,' Disaggregation - Section E '!A$618:N2001,6,0)),"")</f>
        <v/>
      </c>
      <c r="H3877" s="512" t="str">
        <f ca="1">IFERROR(IF(INDEX(' Disaggregation - Section E '!F$618:F3198,MATCH(C3877,' Disaggregation - Section E '!A$618:A3198,0)+1,1)&lt;&gt;0,INDEX(' Disaggregation - Section E '!F$618:F$1820,MATCH(C3877,' Disaggregation - Section E '!A$618:A3198,0)+1,1),""),"")</f>
        <v/>
      </c>
      <c r="I3877" s="503" t="str">
        <f ca="1">IFERROR(IF(VLOOKUP(C3877,' Disaggregation - Section E '!A$618:N2001,8,0)=0,"",VLOOKUP(C3877,' Disaggregation - Section E '!A$618:N2001,8,0)),"")</f>
        <v/>
      </c>
      <c r="J3877" s="503" t="str">
        <f ca="1">IFERROR(IF(VLOOKUP(C3877,' Disaggregation - Section E '!A$618:N3198,13,0)=0,"",VLOOKUP(C3877,' Disaggregation - Section E '!A$618:N3198,13,0)),"")</f>
        <v/>
      </c>
      <c r="K3877" s="497" t="str">
        <f ca="1">IFERROR(VLOOKUP(C3877,' Disaggregation - Section E '!A$618:N2001,3,0),"")</f>
        <v>KP-1b⁽ᴹ⁾ Porcentaje de personas transgénero alcanzados por programas de prevención del VIH - paquete definido de servicios</v>
      </c>
      <c r="L3877" s="497"/>
      <c r="M3877" s="497" t="str">
        <f ca="1">IFERROR(IF(VLOOKUP(C3877,' Disaggregation - Section E '!A$618:T2001,20,0)=0,"",VLOOKUP(C3877,' Disaggregation - Section E '!A$618:T2001,20,0)),"")</f>
        <v/>
      </c>
      <c r="N3877" s="503" t="str">
        <f ca="1">IFERROR(IF(VLOOKUP(C3877,' Disaggregation - Section E '!A$618:N2001,14,0)=0,"",VLOOKUP(C3877,' Disaggregation - Section E '!A$618:N2001,14,0)),"")</f>
        <v/>
      </c>
      <c r="O3877" s="503" t="str">
        <f ca="1">IFERROR(IF(VLOOKUP(C3877,' Disaggregation - Section E '!A$618:N2001,9,0)=0,"",VLOOKUP(C3877,' Disaggregation - Section E '!A$618:N2001,9,0)),"")</f>
        <v/>
      </c>
      <c r="P3877" s="503" t="str">
        <f ca="1">IFERROR(IF(VLOOKUP(C3877,' Disaggregation - Section E '!A$618:N2001,10,0)=0,"",VLOOKUP(C3877,' Disaggregation - Section E '!A$618:N2001,10,0)),"")</f>
        <v/>
      </c>
    </row>
    <row r="3878" spans="1:16" x14ac:dyDescent="0.35">
      <c r="A3878" s="497" t="b">
        <f t="shared" ca="1" si="228"/>
        <v>0</v>
      </c>
      <c r="B3878" s="497"/>
      <c r="C3878" s="510" t="str">
        <f ca="1">IF(COUNTA(D$2498:D3878)=1,"",OFFSET(B3876,-COUNTA(D$2498:D3878)+3,1))</f>
        <v>a163p000004NtNAAA0</v>
      </c>
      <c r="D3878" s="512"/>
      <c r="E3878" s="500" t="str">
        <f ca="1">IFERROR(IF(VLOOKUP(C3878,' Disaggregation - Section E '!A$618:N2002,7,0)="","",VLOOKUP(C3878,' Disaggregation - Section E '!A$618:N2002,7,0)*100),"")</f>
        <v/>
      </c>
      <c r="F3878" s="503" t="str">
        <f ca="1">IFERROR(VLOOKUP(C3878,' Disaggregation - Section E '!A$618:N2002,5,0),"")</f>
        <v/>
      </c>
      <c r="G3878" s="502" t="str">
        <f ca="1">IFERROR(IF(VLOOKUP(C3878,' Disaggregation - Section E '!A$618:N2002,6,0)="","",VLOOKUP(C3878,' Disaggregation - Section E '!A$618:N2002,6,0)),"")</f>
        <v/>
      </c>
      <c r="H3878" s="512" t="str">
        <f ca="1">IFERROR(IF(INDEX(' Disaggregation - Section E '!F$618:F3199,MATCH(C3878,' Disaggregation - Section E '!A$618:A3199,0)+1,1)&lt;&gt;0,INDEX(' Disaggregation - Section E '!F$618:F$1820,MATCH(C3878,' Disaggregation - Section E '!A$618:A3199,0)+1,1),""),"")</f>
        <v/>
      </c>
      <c r="I3878" s="503" t="str">
        <f ca="1">IFERROR(IF(VLOOKUP(C3878,' Disaggregation - Section E '!A$618:N2002,8,0)=0,"",VLOOKUP(C3878,' Disaggregation - Section E '!A$618:N2002,8,0)),"")</f>
        <v/>
      </c>
      <c r="J3878" s="503" t="str">
        <f ca="1">IFERROR(IF(VLOOKUP(C3878,' Disaggregation - Section E '!A$618:N3199,13,0)=0,"",VLOOKUP(C3878,' Disaggregation - Section E '!A$618:N3199,13,0)),"")</f>
        <v/>
      </c>
      <c r="K3878" s="497" t="str">
        <f ca="1">IFERROR(VLOOKUP(C3878,' Disaggregation - Section E '!A$618:N2002,3,0),"")</f>
        <v>KP-1b⁽ᴹ⁾ Porcentaje de personas transgénero alcanzados por programas de prevención del VIH - paquete definido de servicios</v>
      </c>
      <c r="L3878" s="497"/>
      <c r="M3878" s="497" t="str">
        <f ca="1">IFERROR(IF(VLOOKUP(C3878,' Disaggregation - Section E '!A$618:T2002,20,0)=0,"",VLOOKUP(C3878,' Disaggregation - Section E '!A$618:T2002,20,0)),"")</f>
        <v/>
      </c>
      <c r="N3878" s="503" t="str">
        <f ca="1">IFERROR(IF(VLOOKUP(C3878,' Disaggregation - Section E '!A$618:N2002,14,0)=0,"",VLOOKUP(C3878,' Disaggregation - Section E '!A$618:N2002,14,0)),"")</f>
        <v/>
      </c>
      <c r="O3878" s="503" t="str">
        <f ca="1">IFERROR(IF(VLOOKUP(C3878,' Disaggregation - Section E '!A$618:N2002,9,0)=0,"",VLOOKUP(C3878,' Disaggregation - Section E '!A$618:N2002,9,0)),"")</f>
        <v/>
      </c>
      <c r="P3878" s="503" t="str">
        <f ca="1">IFERROR(IF(VLOOKUP(C3878,' Disaggregation - Section E '!A$618:N2002,10,0)=0,"",VLOOKUP(C3878,' Disaggregation - Section E '!A$618:N2002,10,0)),"")</f>
        <v/>
      </c>
    </row>
    <row r="3879" spans="1:16" x14ac:dyDescent="0.35">
      <c r="A3879" s="497" t="b">
        <f t="shared" ca="1" si="228"/>
        <v>0</v>
      </c>
      <c r="B3879" s="497"/>
      <c r="C3879" s="510" t="str">
        <f ca="1">IF(COUNTA(D$2498:D3879)=1,"",OFFSET(B3877,-COUNTA(D$2498:D3879)+3,1))</f>
        <v>a163p000004NtNBAA0</v>
      </c>
      <c r="D3879" s="512"/>
      <c r="E3879" s="500" t="str">
        <f ca="1">IFERROR(IF(VLOOKUP(C3879,' Disaggregation - Section E '!A$618:N2003,7,0)="","",VLOOKUP(C3879,' Disaggregation - Section E '!A$618:N2003,7,0)*100),"")</f>
        <v/>
      </c>
      <c r="F3879" s="503" t="str">
        <f ca="1">IFERROR(VLOOKUP(C3879,' Disaggregation - Section E '!A$618:N2003,5,0),"")</f>
        <v/>
      </c>
      <c r="G3879" s="502" t="str">
        <f ca="1">IFERROR(IF(VLOOKUP(C3879,' Disaggregation - Section E '!A$618:N2003,6,0)="","",VLOOKUP(C3879,' Disaggregation - Section E '!A$618:N2003,6,0)),"")</f>
        <v/>
      </c>
      <c r="H3879" s="512" t="str">
        <f ca="1">IFERROR(IF(INDEX(' Disaggregation - Section E '!F$618:F3200,MATCH(C3879,' Disaggregation - Section E '!A$618:A3200,0)+1,1)&lt;&gt;0,INDEX(' Disaggregation - Section E '!F$618:F$1820,MATCH(C3879,' Disaggregation - Section E '!A$618:A3200,0)+1,1),""),"")</f>
        <v/>
      </c>
      <c r="I3879" s="503" t="str">
        <f ca="1">IFERROR(IF(VLOOKUP(C3879,' Disaggregation - Section E '!A$618:N2003,8,0)=0,"",VLOOKUP(C3879,' Disaggregation - Section E '!A$618:N2003,8,0)),"")</f>
        <v/>
      </c>
      <c r="J3879" s="503" t="str">
        <f ca="1">IFERROR(IF(VLOOKUP(C3879,' Disaggregation - Section E '!A$618:N3200,13,0)=0,"",VLOOKUP(C3879,' Disaggregation - Section E '!A$618:N3200,13,0)),"")</f>
        <v/>
      </c>
      <c r="K3879" s="497" t="str">
        <f ca="1">IFERROR(VLOOKUP(C3879,' Disaggregation - Section E '!A$618:N2003,3,0),"")</f>
        <v>KP-1b⁽ᴹ⁾ Porcentaje de personas transgénero alcanzados por programas de prevención del VIH - paquete definido de servicios</v>
      </c>
      <c r="L3879" s="497"/>
      <c r="M3879" s="497" t="str">
        <f ca="1">IFERROR(IF(VLOOKUP(C3879,' Disaggregation - Section E '!A$618:T2003,20,0)=0,"",VLOOKUP(C3879,' Disaggregation - Section E '!A$618:T2003,20,0)),"")</f>
        <v/>
      </c>
      <c r="N3879" s="503" t="str">
        <f ca="1">IFERROR(IF(VLOOKUP(C3879,' Disaggregation - Section E '!A$618:N2003,14,0)=0,"",VLOOKUP(C3879,' Disaggregation - Section E '!A$618:N2003,14,0)),"")</f>
        <v/>
      </c>
      <c r="O3879" s="503" t="str">
        <f ca="1">IFERROR(IF(VLOOKUP(C3879,' Disaggregation - Section E '!A$618:N2003,9,0)=0,"",VLOOKUP(C3879,' Disaggregation - Section E '!A$618:N2003,9,0)),"")</f>
        <v/>
      </c>
      <c r="P3879" s="503" t="str">
        <f ca="1">IFERROR(IF(VLOOKUP(C3879,' Disaggregation - Section E '!A$618:N2003,10,0)=0,"",VLOOKUP(C3879,' Disaggregation - Section E '!A$618:N2003,10,0)),"")</f>
        <v/>
      </c>
    </row>
    <row r="3880" spans="1:16" x14ac:dyDescent="0.35">
      <c r="A3880" s="497" t="b">
        <f t="shared" ca="1" si="228"/>
        <v>1</v>
      </c>
      <c r="B3880" s="497"/>
      <c r="C3880" s="510" t="str">
        <f ca="1">IF(COUNTA(D$2498:D3880)=1,"",OFFSET(B3878,-COUNTA(D$2498:D3880)+3,1))</f>
        <v>a163p000004NtWYAA0</v>
      </c>
      <c r="D3880" s="512"/>
      <c r="E3880" s="500" t="str">
        <f ca="1">IFERROR(IF(VLOOKUP(C3880,' Disaggregation - Section E '!A$618:N2004,7,0)="","",VLOOKUP(C3880,' Disaggregation - Section E '!A$618:N2004,7,0)*100),"")</f>
        <v/>
      </c>
      <c r="F3880" s="503" t="str">
        <f ca="1">IFERROR(VLOOKUP(C3880,' Disaggregation - Section E '!A$618:N2004,5,0),"")</f>
        <v>Confirmado bacteriológicamente</v>
      </c>
      <c r="G3880" s="502" t="str">
        <f ca="1">IFERROR(IF(VLOOKUP(C3880,' Disaggregation - Section E '!A$618:N2004,6,0)="","",VLOOKUP(C3880,' Disaggregation - Section E '!A$618:N2004,6,0)),"")</f>
        <v/>
      </c>
      <c r="H3880" s="512" t="str">
        <f ca="1">IFERROR(IF(INDEX(' Disaggregation - Section E '!F$618:F3201,MATCH(C3880,' Disaggregation - Section E '!A$618:A3201,0)+1,1)&lt;&gt;0,INDEX(' Disaggregation - Section E '!F$618:F$1820,MATCH(C3880,' Disaggregation - Section E '!A$618:A3201,0)+1,1),""),"")</f>
        <v/>
      </c>
      <c r="I3880" s="503" t="str">
        <f ca="1">IFERROR(IF(VLOOKUP(C3880,' Disaggregation - Section E '!A$618:N2004,8,0)=0,"",VLOOKUP(C3880,' Disaggregation - Section E '!A$618:N2004,8,0)),"")</f>
        <v/>
      </c>
      <c r="J3880" s="503" t="str">
        <f ca="1">IFERROR(IF(VLOOKUP(C3880,' Disaggregation - Section E '!A$618:N3201,13,0)=0,"",VLOOKUP(C3880,' Disaggregation - Section E '!A$618:N3201,13,0)),"")</f>
        <v/>
      </c>
      <c r="K3880" s="497" t="str">
        <f ca="1">IFERROR(VLOOKUP(C3880,' Disaggregation - Section E '!A$618:N2004,3,0),"")</f>
        <v>TCP-1⁽ᴹ⁾ Número de casos notificados de todas las formas de tuberculosis (esto es, confirmados bacteriológicamente y con diagnóstico clínico), casos nuevos y recaídas.</v>
      </c>
      <c r="L3880" s="497"/>
      <c r="M3880" s="497" t="str">
        <f ca="1">IFERROR(IF(VLOOKUP(C3880,' Disaggregation - Section E '!A$618:T2004,20,0)=0,"",VLOOKUP(C3880,' Disaggregation - Section E '!A$618:T2004,20,0)),"")</f>
        <v>IDR-00994</v>
      </c>
      <c r="N3880" s="503" t="str">
        <f ca="1">IFERROR(IF(VLOOKUP(C3880,' Disaggregation - Section E '!A$618:N2004,14,0)=0,"",VLOOKUP(C3880,' Disaggregation - Section E '!A$618:N2004,14,0)),"")</f>
        <v>As it is a focused country, no disaggregation is requested for the indicators.</v>
      </c>
      <c r="O3880" s="503" t="str">
        <f ca="1">IFERROR(IF(VLOOKUP(C3880,' Disaggregation - Section E '!A$618:N2004,9,0)=0,"",VLOOKUP(C3880,' Disaggregation - Section E '!A$618:N2004,9,0)),"")</f>
        <v/>
      </c>
      <c r="P3880" s="503" t="str">
        <f ca="1">IFERROR(IF(VLOOKUP(C3880,' Disaggregation - Section E '!A$618:N2004,10,0)=0,"",VLOOKUP(C3880,' Disaggregation - Section E '!A$618:N2004,10,0)),"")</f>
        <v>Al ser un país focalizado no se solicita desagregación para los indicadores.</v>
      </c>
    </row>
    <row r="3881" spans="1:16" x14ac:dyDescent="0.35">
      <c r="A3881" s="497" t="b">
        <f t="shared" ca="1" si="228"/>
        <v>1</v>
      </c>
      <c r="B3881" s="497"/>
      <c r="C3881" s="510" t="str">
        <f ca="1">IF(COUNTA(D$2498:D3881)=1,"",OFFSET(B3879,-COUNTA(D$2498:D3881)+3,1))</f>
        <v>a163p000004NtWZAA0</v>
      </c>
      <c r="D3881" s="512"/>
      <c r="E3881" s="500" t="str">
        <f ca="1">IFERROR(IF(VLOOKUP(C3881,' Disaggregation - Section E '!A$618:N2005,7,0)="","",VLOOKUP(C3881,' Disaggregation - Section E '!A$618:N2005,7,0)*100),"")</f>
        <v/>
      </c>
      <c r="F3881" s="503" t="str">
        <f ca="1">IFERROR(VLOOKUP(C3881,' Disaggregation - Section E '!A$618:N2005,5,0),"")</f>
        <v>No documentado</v>
      </c>
      <c r="G3881" s="502" t="str">
        <f ca="1">IFERROR(IF(VLOOKUP(C3881,' Disaggregation - Section E '!A$618:N2005,6,0)="","",VLOOKUP(C3881,' Disaggregation - Section E '!A$618:N2005,6,0)),"")</f>
        <v/>
      </c>
      <c r="H3881" s="512" t="str">
        <f ca="1">IFERROR(IF(INDEX(' Disaggregation - Section E '!F$618:F3202,MATCH(C3881,' Disaggregation - Section E '!A$618:A3202,0)+1,1)&lt;&gt;0,INDEX(' Disaggregation - Section E '!F$618:F$1820,MATCH(C3881,' Disaggregation - Section E '!A$618:A3202,0)+1,1),""),"")</f>
        <v/>
      </c>
      <c r="I3881" s="503" t="str">
        <f ca="1">IFERROR(IF(VLOOKUP(C3881,' Disaggregation - Section E '!A$618:N2005,8,0)=0,"",VLOOKUP(C3881,' Disaggregation - Section E '!A$618:N2005,8,0)),"")</f>
        <v/>
      </c>
      <c r="J3881" s="503" t="str">
        <f ca="1">IFERROR(IF(VLOOKUP(C3881,' Disaggregation - Section E '!A$618:N3202,13,0)=0,"",VLOOKUP(C3881,' Disaggregation - Section E '!A$618:N3202,13,0)),"")</f>
        <v/>
      </c>
      <c r="K3881" s="497" t="str">
        <f ca="1">IFERROR(VLOOKUP(C3881,' Disaggregation - Section E '!A$618:N2005,3,0),"")</f>
        <v>TCP-1⁽ᴹ⁾ Número de casos notificados de todas las formas de tuberculosis (esto es, confirmados bacteriológicamente y con diagnóstico clínico), casos nuevos y recaídas.</v>
      </c>
      <c r="L3881" s="497"/>
      <c r="M3881" s="497" t="str">
        <f ca="1">IFERROR(IF(VLOOKUP(C3881,' Disaggregation - Section E '!A$618:T2005,20,0)=0,"",VLOOKUP(C3881,' Disaggregation - Section E '!A$618:T2005,20,0)),"")</f>
        <v>IDR-00933</v>
      </c>
      <c r="N3881" s="503" t="str">
        <f ca="1">IFERROR(IF(VLOOKUP(C3881,' Disaggregation - Section E '!A$618:N2005,14,0)=0,"",VLOOKUP(C3881,' Disaggregation - Section E '!A$618:N2005,14,0)),"")</f>
        <v>As it is a focused country, no disaggregation is requested for the indicators.</v>
      </c>
      <c r="O3881" s="503" t="str">
        <f ca="1">IFERROR(IF(VLOOKUP(C3881,' Disaggregation - Section E '!A$618:N2005,9,0)=0,"",VLOOKUP(C3881,' Disaggregation - Section E '!A$618:N2005,9,0)),"")</f>
        <v/>
      </c>
      <c r="P3881" s="503" t="str">
        <f ca="1">IFERROR(IF(VLOOKUP(C3881,' Disaggregation - Section E '!A$618:N2005,10,0)=0,"",VLOOKUP(C3881,' Disaggregation - Section E '!A$618:N2005,10,0)),"")</f>
        <v>Al ser un país focalizado no se solicita desagregación para los indicadores.</v>
      </c>
    </row>
    <row r="3882" spans="1:16" x14ac:dyDescent="0.35">
      <c r="A3882" s="497" t="b">
        <f t="shared" ca="1" si="228"/>
        <v>1</v>
      </c>
      <c r="B3882" s="497"/>
      <c r="C3882" s="510" t="str">
        <f ca="1">IF(COUNTA(D$2498:D3882)=1,"",OFFSET(B3880,-COUNTA(D$2498:D3882)+3,1))</f>
        <v>a163p000004NtWaAAK</v>
      </c>
      <c r="D3882" s="512"/>
      <c r="E3882" s="500" t="str">
        <f ca="1">IFERROR(IF(VLOOKUP(C3882,' Disaggregation - Section E '!A$618:N2006,7,0)="","",VLOOKUP(C3882,' Disaggregation - Section E '!A$618:N2006,7,0)*100),"")</f>
        <v/>
      </c>
      <c r="F3882" s="503" t="str">
        <f ca="1">IFERROR(VLOOKUP(C3882,' Disaggregation - Section E '!A$618:N2006,5,0),"")</f>
        <v>Negativo</v>
      </c>
      <c r="G3882" s="502" t="str">
        <f ca="1">IFERROR(IF(VLOOKUP(C3882,' Disaggregation - Section E '!A$618:N2006,6,0)="","",VLOOKUP(C3882,' Disaggregation - Section E '!A$618:N2006,6,0)),"")</f>
        <v/>
      </c>
      <c r="H3882" s="512" t="str">
        <f ca="1">IFERROR(IF(INDEX(' Disaggregation - Section E '!F$618:F3203,MATCH(C3882,' Disaggregation - Section E '!A$618:A3203,0)+1,1)&lt;&gt;0,INDEX(' Disaggregation - Section E '!F$618:F$1820,MATCH(C3882,' Disaggregation - Section E '!A$618:A3203,0)+1,1),""),"")</f>
        <v/>
      </c>
      <c r="I3882" s="503" t="str">
        <f ca="1">IFERROR(IF(VLOOKUP(C3882,' Disaggregation - Section E '!A$618:N2006,8,0)=0,"",VLOOKUP(C3882,' Disaggregation - Section E '!A$618:N2006,8,0)),"")</f>
        <v/>
      </c>
      <c r="J3882" s="503" t="str">
        <f ca="1">IFERROR(IF(VLOOKUP(C3882,' Disaggregation - Section E '!A$618:N3203,13,0)=0,"",VLOOKUP(C3882,' Disaggregation - Section E '!A$618:N3203,13,0)),"")</f>
        <v/>
      </c>
      <c r="K3882" s="497" t="str">
        <f ca="1">IFERROR(VLOOKUP(C3882,' Disaggregation - Section E '!A$618:N2006,3,0),"")</f>
        <v>TCP-1⁽ᴹ⁾ Número de casos notificados de todas las formas de tuberculosis (esto es, confirmados bacteriológicamente y con diagnóstico clínico), casos nuevos y recaídas.</v>
      </c>
      <c r="L3882" s="497"/>
      <c r="M3882" s="497" t="str">
        <f ca="1">IFERROR(IF(VLOOKUP(C3882,' Disaggregation - Section E '!A$618:T2006,20,0)=0,"",VLOOKUP(C3882,' Disaggregation - Section E '!A$618:T2006,20,0)),"")</f>
        <v>IDR-00932</v>
      </c>
      <c r="N3882" s="503" t="str">
        <f ca="1">IFERROR(IF(VLOOKUP(C3882,' Disaggregation - Section E '!A$618:N2006,14,0)=0,"",VLOOKUP(C3882,' Disaggregation - Section E '!A$618:N2006,14,0)),"")</f>
        <v>As it is a focused country, no disaggregation is requested for the indicators.</v>
      </c>
      <c r="O3882" s="503" t="str">
        <f ca="1">IFERROR(IF(VLOOKUP(C3882,' Disaggregation - Section E '!A$618:N2006,9,0)=0,"",VLOOKUP(C3882,' Disaggregation - Section E '!A$618:N2006,9,0)),"")</f>
        <v/>
      </c>
      <c r="P3882" s="503" t="str">
        <f ca="1">IFERROR(IF(VLOOKUP(C3882,' Disaggregation - Section E '!A$618:N2006,10,0)=0,"",VLOOKUP(C3882,' Disaggregation - Section E '!A$618:N2006,10,0)),"")</f>
        <v>Al ser un país focalizado no se solicita desagregación para los indicadores.</v>
      </c>
    </row>
    <row r="3883" spans="1:16" x14ac:dyDescent="0.35">
      <c r="A3883" s="497" t="b">
        <f t="shared" ca="1" si="228"/>
        <v>1</v>
      </c>
      <c r="B3883" s="497"/>
      <c r="C3883" s="510" t="str">
        <f ca="1">IF(COUNTA(D$2498:D3883)=1,"",OFFSET(B3881,-COUNTA(D$2498:D3883)+3,1))</f>
        <v>a163p000004NtWbAAK</v>
      </c>
      <c r="D3883" s="512"/>
      <c r="E3883" s="500" t="str">
        <f ca="1">IFERROR(IF(VLOOKUP(C3883,' Disaggregation - Section E '!A$618:N2007,7,0)="","",VLOOKUP(C3883,' Disaggregation - Section E '!A$618:N2007,7,0)*100),"")</f>
        <v/>
      </c>
      <c r="F3883" s="503" t="str">
        <f ca="1">IFERROR(VLOOKUP(C3883,' Disaggregation - Section E '!A$618:N2007,5,0),"")</f>
        <v>Positivo</v>
      </c>
      <c r="G3883" s="502" t="str">
        <f ca="1">IFERROR(IF(VLOOKUP(C3883,' Disaggregation - Section E '!A$618:N2007,6,0)="","",VLOOKUP(C3883,' Disaggregation - Section E '!A$618:N2007,6,0)),"")</f>
        <v/>
      </c>
      <c r="H3883" s="512" t="str">
        <f ca="1">IFERROR(IF(INDEX(' Disaggregation - Section E '!F$618:F3204,MATCH(C3883,' Disaggregation - Section E '!A$618:A3204,0)+1,1)&lt;&gt;0,INDEX(' Disaggregation - Section E '!F$618:F$1820,MATCH(C3883,' Disaggregation - Section E '!A$618:A3204,0)+1,1),""),"")</f>
        <v/>
      </c>
      <c r="I3883" s="503" t="str">
        <f ca="1">IFERROR(IF(VLOOKUP(C3883,' Disaggregation - Section E '!A$618:N2007,8,0)=0,"",VLOOKUP(C3883,' Disaggregation - Section E '!A$618:N2007,8,0)),"")</f>
        <v/>
      </c>
      <c r="J3883" s="503" t="str">
        <f ca="1">IFERROR(IF(VLOOKUP(C3883,' Disaggregation - Section E '!A$618:N3204,13,0)=0,"",VLOOKUP(C3883,' Disaggregation - Section E '!A$618:N3204,13,0)),"")</f>
        <v/>
      </c>
      <c r="K3883" s="497" t="str">
        <f ca="1">IFERROR(VLOOKUP(C3883,' Disaggregation - Section E '!A$618:N2007,3,0),"")</f>
        <v>TCP-1⁽ᴹ⁾ Número de casos notificados de todas las formas de tuberculosis (esto es, confirmados bacteriológicamente y con diagnóstico clínico), casos nuevos y recaídas.</v>
      </c>
      <c r="L3883" s="497"/>
      <c r="M3883" s="497" t="str">
        <f ca="1">IFERROR(IF(VLOOKUP(C3883,' Disaggregation - Section E '!A$618:T2007,20,0)=0,"",VLOOKUP(C3883,' Disaggregation - Section E '!A$618:T2007,20,0)),"")</f>
        <v>IDR-00931</v>
      </c>
      <c r="N3883" s="503" t="str">
        <f ca="1">IFERROR(IF(VLOOKUP(C3883,' Disaggregation - Section E '!A$618:N2007,14,0)=0,"",VLOOKUP(C3883,' Disaggregation - Section E '!A$618:N2007,14,0)),"")</f>
        <v>As it is a focused country, no disaggregation is requested for the indicators.</v>
      </c>
      <c r="O3883" s="503" t="str">
        <f ca="1">IFERROR(IF(VLOOKUP(C3883,' Disaggregation - Section E '!A$618:N2007,9,0)=0,"",VLOOKUP(C3883,' Disaggregation - Section E '!A$618:N2007,9,0)),"")</f>
        <v/>
      </c>
      <c r="P3883" s="503" t="str">
        <f ca="1">IFERROR(IF(VLOOKUP(C3883,' Disaggregation - Section E '!A$618:N2007,10,0)=0,"",VLOOKUP(C3883,' Disaggregation - Section E '!A$618:N2007,10,0)),"")</f>
        <v>Al ser un país focalizado no se solicita desagregación para los indicadores.</v>
      </c>
    </row>
    <row r="3884" spans="1:16" x14ac:dyDescent="0.35">
      <c r="A3884" s="497" t="b">
        <f t="shared" ca="1" si="228"/>
        <v>1</v>
      </c>
      <c r="B3884" s="497"/>
      <c r="C3884" s="510" t="str">
        <f ca="1">IF(COUNTA(D$2498:D3884)=1,"",OFFSET(B3882,-COUNTA(D$2498:D3884)+3,1))</f>
        <v>a163p000004NtWcAAK</v>
      </c>
      <c r="D3884" s="512"/>
      <c r="E3884" s="500" t="str">
        <f ca="1">IFERROR(IF(VLOOKUP(C3884,' Disaggregation - Section E '!A$618:N2008,7,0)="","",VLOOKUP(C3884,' Disaggregation - Section E '!A$618:N2008,7,0)*100),"")</f>
        <v/>
      </c>
      <c r="F3884" s="503" t="str">
        <f ca="1">IFERROR(VLOOKUP(C3884,' Disaggregation - Section E '!A$618:N2008,5,0),"")</f>
        <v>Mujeres</v>
      </c>
      <c r="G3884" s="502" t="str">
        <f ca="1">IFERROR(IF(VLOOKUP(C3884,' Disaggregation - Section E '!A$618:N2008,6,0)="","",VLOOKUP(C3884,' Disaggregation - Section E '!A$618:N2008,6,0)),"")</f>
        <v/>
      </c>
      <c r="H3884" s="512" t="str">
        <f ca="1">IFERROR(IF(INDEX(' Disaggregation - Section E '!F$618:F3205,MATCH(C3884,' Disaggregation - Section E '!A$618:A3205,0)+1,1)&lt;&gt;0,INDEX(' Disaggregation - Section E '!F$618:F$1820,MATCH(C3884,' Disaggregation - Section E '!A$618:A3205,0)+1,1),""),"")</f>
        <v/>
      </c>
      <c r="I3884" s="503" t="str">
        <f ca="1">IFERROR(IF(VLOOKUP(C3884,' Disaggregation - Section E '!A$618:N2008,8,0)=0,"",VLOOKUP(C3884,' Disaggregation - Section E '!A$618:N2008,8,0)),"")</f>
        <v/>
      </c>
      <c r="J3884" s="503" t="str">
        <f ca="1">IFERROR(IF(VLOOKUP(C3884,' Disaggregation - Section E '!A$618:N3205,13,0)=0,"",VLOOKUP(C3884,' Disaggregation - Section E '!A$618:N3205,13,0)),"")</f>
        <v/>
      </c>
      <c r="K3884" s="497" t="str">
        <f ca="1">IFERROR(VLOOKUP(C3884,' Disaggregation - Section E '!A$618:N2008,3,0),"")</f>
        <v>TCP-1⁽ᴹ⁾ Número de casos notificados de todas las formas de tuberculosis (esto es, confirmados bacteriológicamente y con diagnóstico clínico), casos nuevos y recaídas.</v>
      </c>
      <c r="L3884" s="497"/>
      <c r="M3884" s="497" t="str">
        <f ca="1">IFERROR(IF(VLOOKUP(C3884,' Disaggregation - Section E '!A$618:T2008,20,0)=0,"",VLOOKUP(C3884,' Disaggregation - Section E '!A$618:T2008,20,0)),"")</f>
        <v>IDR-00853</v>
      </c>
      <c r="N3884" s="503" t="str">
        <f ca="1">IFERROR(IF(VLOOKUP(C3884,' Disaggregation - Section E '!A$618:N2008,14,0)=0,"",VLOOKUP(C3884,' Disaggregation - Section E '!A$618:N2008,14,0)),"")</f>
        <v>As it is a focused country, no disaggregation is requested for the indicators.</v>
      </c>
      <c r="O3884" s="503" t="str">
        <f ca="1">IFERROR(IF(VLOOKUP(C3884,' Disaggregation - Section E '!A$618:N2008,9,0)=0,"",VLOOKUP(C3884,' Disaggregation - Section E '!A$618:N2008,9,0)),"")</f>
        <v/>
      </c>
      <c r="P3884" s="503" t="str">
        <f ca="1">IFERROR(IF(VLOOKUP(C3884,' Disaggregation - Section E '!A$618:N2008,10,0)=0,"",VLOOKUP(C3884,' Disaggregation - Section E '!A$618:N2008,10,0)),"")</f>
        <v>Al ser un país focalizado no se solicita desagregación para los indicadores.</v>
      </c>
    </row>
    <row r="3885" spans="1:16" x14ac:dyDescent="0.35">
      <c r="A3885" s="497" t="b">
        <f t="shared" ca="1" si="228"/>
        <v>1</v>
      </c>
      <c r="B3885" s="497"/>
      <c r="C3885" s="510" t="str">
        <f ca="1">IF(COUNTA(D$2498:D3885)=1,"",OFFSET(B3883,-COUNTA(D$2498:D3885)+3,1))</f>
        <v>a163p000004NtWdAAK</v>
      </c>
      <c r="D3885" s="512"/>
      <c r="E3885" s="500" t="str">
        <f ca="1">IFERROR(IF(VLOOKUP(C3885,' Disaggregation - Section E '!A$618:N2009,7,0)="","",VLOOKUP(C3885,' Disaggregation - Section E '!A$618:N2009,7,0)*100),"")</f>
        <v/>
      </c>
      <c r="F3885" s="503" t="str">
        <f ca="1">IFERROR(VLOOKUP(C3885,' Disaggregation - Section E '!A$618:N2009,5,0),"")</f>
        <v>Hombres</v>
      </c>
      <c r="G3885" s="502" t="str">
        <f ca="1">IFERROR(IF(VLOOKUP(C3885,' Disaggregation - Section E '!A$618:N2009,6,0)="","",VLOOKUP(C3885,' Disaggregation - Section E '!A$618:N2009,6,0)),"")</f>
        <v/>
      </c>
      <c r="H3885" s="512" t="str">
        <f ca="1">IFERROR(IF(INDEX(' Disaggregation - Section E '!F$618:F3206,MATCH(C3885,' Disaggregation - Section E '!A$618:A3206,0)+1,1)&lt;&gt;0,INDEX(' Disaggregation - Section E '!F$618:F$1820,MATCH(C3885,' Disaggregation - Section E '!A$618:A3206,0)+1,1),""),"")</f>
        <v/>
      </c>
      <c r="I3885" s="503" t="str">
        <f ca="1">IFERROR(IF(VLOOKUP(C3885,' Disaggregation - Section E '!A$618:N2009,8,0)=0,"",VLOOKUP(C3885,' Disaggregation - Section E '!A$618:N2009,8,0)),"")</f>
        <v/>
      </c>
      <c r="J3885" s="503" t="str">
        <f ca="1">IFERROR(IF(VLOOKUP(C3885,' Disaggregation - Section E '!A$618:N3206,13,0)=0,"",VLOOKUP(C3885,' Disaggregation - Section E '!A$618:N3206,13,0)),"")</f>
        <v/>
      </c>
      <c r="K3885" s="497" t="str">
        <f ca="1">IFERROR(VLOOKUP(C3885,' Disaggregation - Section E '!A$618:N2009,3,0),"")</f>
        <v>TCP-1⁽ᴹ⁾ Número de casos notificados de todas las formas de tuberculosis (esto es, confirmados bacteriológicamente y con diagnóstico clínico), casos nuevos y recaídas.</v>
      </c>
      <c r="L3885" s="497"/>
      <c r="M3885" s="497" t="str">
        <f ca="1">IFERROR(IF(VLOOKUP(C3885,' Disaggregation - Section E '!A$618:T2009,20,0)=0,"",VLOOKUP(C3885,' Disaggregation - Section E '!A$618:T2009,20,0)),"")</f>
        <v>IDR-00852</v>
      </c>
      <c r="N3885" s="503" t="str">
        <f ca="1">IFERROR(IF(VLOOKUP(C3885,' Disaggregation - Section E '!A$618:N2009,14,0)=0,"",VLOOKUP(C3885,' Disaggregation - Section E '!A$618:N2009,14,0)),"")</f>
        <v>As it is a focused country, no disaggregation is requested for the indicators.</v>
      </c>
      <c r="O3885" s="503" t="str">
        <f ca="1">IFERROR(IF(VLOOKUP(C3885,' Disaggregation - Section E '!A$618:N2009,9,0)=0,"",VLOOKUP(C3885,' Disaggregation - Section E '!A$618:N2009,9,0)),"")</f>
        <v/>
      </c>
      <c r="P3885" s="503" t="str">
        <f ca="1">IFERROR(IF(VLOOKUP(C3885,' Disaggregation - Section E '!A$618:N2009,10,0)=0,"",VLOOKUP(C3885,' Disaggregation - Section E '!A$618:N2009,10,0)),"")</f>
        <v>Al ser un país focalizado no se solicita desagregación para los indicadores.</v>
      </c>
    </row>
    <row r="3886" spans="1:16" x14ac:dyDescent="0.35">
      <c r="A3886" s="497" t="b">
        <f t="shared" ca="1" si="228"/>
        <v>1</v>
      </c>
      <c r="B3886" s="497"/>
      <c r="C3886" s="510" t="str">
        <f ca="1">IF(COUNTA(D$2498:D3886)=1,"",OFFSET(B3884,-COUNTA(D$2498:D3886)+3,1))</f>
        <v>a163p000004NtWeAAK</v>
      </c>
      <c r="D3886" s="512"/>
      <c r="E3886" s="500" t="str">
        <f ca="1">IFERROR(IF(VLOOKUP(C3886,' Disaggregation - Section E '!A$618:N2010,7,0)="","",VLOOKUP(C3886,' Disaggregation - Section E '!A$618:N2010,7,0)*100),"")</f>
        <v/>
      </c>
      <c r="F3886" s="503" t="str">
        <f ca="1">IFERROR(VLOOKUP(C3886,' Disaggregation - Section E '!A$618:N2010,5,0),"")</f>
        <v>15+</v>
      </c>
      <c r="G3886" s="502" t="str">
        <f ca="1">IFERROR(IF(VLOOKUP(C3886,' Disaggregation - Section E '!A$618:N2010,6,0)="","",VLOOKUP(C3886,' Disaggregation - Section E '!A$618:N2010,6,0)),"")</f>
        <v/>
      </c>
      <c r="H3886" s="512" t="str">
        <f ca="1">IFERROR(IF(INDEX(' Disaggregation - Section E '!F$618:F3207,MATCH(C3886,' Disaggregation - Section E '!A$618:A3207,0)+1,1)&lt;&gt;0,INDEX(' Disaggregation - Section E '!F$618:F$1820,MATCH(C3886,' Disaggregation - Section E '!A$618:A3207,0)+1,1),""),"")</f>
        <v/>
      </c>
      <c r="I3886" s="503" t="str">
        <f ca="1">IFERROR(IF(VLOOKUP(C3886,' Disaggregation - Section E '!A$618:N2010,8,0)=0,"",VLOOKUP(C3886,' Disaggregation - Section E '!A$618:N2010,8,0)),"")</f>
        <v/>
      </c>
      <c r="J3886" s="503" t="str">
        <f ca="1">IFERROR(IF(VLOOKUP(C3886,' Disaggregation - Section E '!A$618:N3207,13,0)=0,"",VLOOKUP(C3886,' Disaggregation - Section E '!A$618:N3207,13,0)),"")</f>
        <v/>
      </c>
      <c r="K3886" s="497" t="str">
        <f ca="1">IFERROR(VLOOKUP(C3886,' Disaggregation - Section E '!A$618:N2010,3,0),"")</f>
        <v>TCP-1⁽ᴹ⁾ Número de casos notificados de todas las formas de tuberculosis (esto es, confirmados bacteriológicamente y con diagnóstico clínico), casos nuevos y recaídas.</v>
      </c>
      <c r="L3886" s="497"/>
      <c r="M3886" s="497" t="str">
        <f ca="1">IFERROR(IF(VLOOKUP(C3886,' Disaggregation - Section E '!A$618:T2010,20,0)=0,"",VLOOKUP(C3886,' Disaggregation - Section E '!A$618:T2010,20,0)),"")</f>
        <v>IDR-00726</v>
      </c>
      <c r="N3886" s="503" t="str">
        <f ca="1">IFERROR(IF(VLOOKUP(C3886,' Disaggregation - Section E '!A$618:N2010,14,0)=0,"",VLOOKUP(C3886,' Disaggregation - Section E '!A$618:N2010,14,0)),"")</f>
        <v>As it is a focused country, no disaggregation is requested for the indicators.</v>
      </c>
      <c r="O3886" s="503" t="str">
        <f ca="1">IFERROR(IF(VLOOKUP(C3886,' Disaggregation - Section E '!A$618:N2010,9,0)=0,"",VLOOKUP(C3886,' Disaggregation - Section E '!A$618:N2010,9,0)),"")</f>
        <v/>
      </c>
      <c r="P3886" s="503" t="str">
        <f ca="1">IFERROR(IF(VLOOKUP(C3886,' Disaggregation - Section E '!A$618:N2010,10,0)=0,"",VLOOKUP(C3886,' Disaggregation - Section E '!A$618:N2010,10,0)),"")</f>
        <v>Al ser un país focalizado no se solicita desagregación para los indicadores.</v>
      </c>
    </row>
    <row r="3887" spans="1:16" x14ac:dyDescent="0.35">
      <c r="A3887" s="497" t="b">
        <f t="shared" ca="1" si="228"/>
        <v>1</v>
      </c>
      <c r="B3887" s="497"/>
      <c r="C3887" s="510" t="str">
        <f ca="1">IF(COUNTA(D$2498:D3887)=1,"",OFFSET(B3885,-COUNTA(D$2498:D3887)+3,1))</f>
        <v>a163p000004NtWfAAK</v>
      </c>
      <c r="D3887" s="512"/>
      <c r="E3887" s="500" t="str">
        <f ca="1">IFERROR(IF(VLOOKUP(C3887,' Disaggregation - Section E '!A$618:N2011,7,0)="","",VLOOKUP(C3887,' Disaggregation - Section E '!A$618:N2011,7,0)*100),"")</f>
        <v/>
      </c>
      <c r="F3887" s="503" t="str">
        <f ca="1">IFERROR(VLOOKUP(C3887,' Disaggregation - Section E '!A$618:N2011,5,0),"")</f>
        <v>&lt;15</v>
      </c>
      <c r="G3887" s="502" t="str">
        <f ca="1">IFERROR(IF(VLOOKUP(C3887,' Disaggregation - Section E '!A$618:N2011,6,0)="","",VLOOKUP(C3887,' Disaggregation - Section E '!A$618:N2011,6,0)),"")</f>
        <v/>
      </c>
      <c r="H3887" s="512" t="str">
        <f ca="1">IFERROR(IF(INDEX(' Disaggregation - Section E '!F$618:F3208,MATCH(C3887,' Disaggregation - Section E '!A$618:A3208,0)+1,1)&lt;&gt;0,INDEX(' Disaggregation - Section E '!F$618:F$1820,MATCH(C3887,' Disaggregation - Section E '!A$618:A3208,0)+1,1),""),"")</f>
        <v/>
      </c>
      <c r="I3887" s="503" t="str">
        <f ca="1">IFERROR(IF(VLOOKUP(C3887,' Disaggregation - Section E '!A$618:N2011,8,0)=0,"",VLOOKUP(C3887,' Disaggregation - Section E '!A$618:N2011,8,0)),"")</f>
        <v/>
      </c>
      <c r="J3887" s="503" t="str">
        <f ca="1">IFERROR(IF(VLOOKUP(C3887,' Disaggregation - Section E '!A$618:N3208,13,0)=0,"",VLOOKUP(C3887,' Disaggregation - Section E '!A$618:N3208,13,0)),"")</f>
        <v/>
      </c>
      <c r="K3887" s="497" t="str">
        <f ca="1">IFERROR(VLOOKUP(C3887,' Disaggregation - Section E '!A$618:N2011,3,0),"")</f>
        <v>TCP-1⁽ᴹ⁾ Número de casos notificados de todas las formas de tuberculosis (esto es, confirmados bacteriológicamente y con diagnóstico clínico), casos nuevos y recaídas.</v>
      </c>
      <c r="L3887" s="497"/>
      <c r="M3887" s="497" t="str">
        <f ca="1">IFERROR(IF(VLOOKUP(C3887,' Disaggregation - Section E '!A$618:T2011,20,0)=0,"",VLOOKUP(C3887,' Disaggregation - Section E '!A$618:T2011,20,0)),"")</f>
        <v>IDR-00725</v>
      </c>
      <c r="N3887" s="503" t="str">
        <f ca="1">IFERROR(IF(VLOOKUP(C3887,' Disaggregation - Section E '!A$618:N2011,14,0)=0,"",VLOOKUP(C3887,' Disaggregation - Section E '!A$618:N2011,14,0)),"")</f>
        <v>As it is a focused country, no disaggregation is requested for the indicators.</v>
      </c>
      <c r="O3887" s="503" t="str">
        <f ca="1">IFERROR(IF(VLOOKUP(C3887,' Disaggregation - Section E '!A$618:N2011,9,0)=0,"",VLOOKUP(C3887,' Disaggregation - Section E '!A$618:N2011,9,0)),"")</f>
        <v/>
      </c>
      <c r="P3887" s="503" t="str">
        <f ca="1">IFERROR(IF(VLOOKUP(C3887,' Disaggregation - Section E '!A$618:N2011,10,0)=0,"",VLOOKUP(C3887,' Disaggregation - Section E '!A$618:N2011,10,0)),"")</f>
        <v>Al ser un país focalizado no se solicita desagregación para los indicadores.</v>
      </c>
    </row>
    <row r="3888" spans="1:16" x14ac:dyDescent="0.35">
      <c r="A3888" s="497" t="b">
        <f t="shared" ca="1" si="228"/>
        <v>0</v>
      </c>
      <c r="B3888" s="497"/>
      <c r="C3888" s="510" t="str">
        <f ca="1">IF(COUNTA(D$2498:D3888)=1,"",OFFSET(B3886,-COUNTA(D$2498:D3888)+3,1))</f>
        <v>a163p000004NtWgAAK</v>
      </c>
      <c r="D3888" s="512"/>
      <c r="E3888" s="500" t="str">
        <f ca="1">IFERROR(IF(VLOOKUP(C3888,' Disaggregation - Section E '!A$618:N2012,7,0)="","",VLOOKUP(C3888,' Disaggregation - Section E '!A$618:N2012,7,0)*100),"")</f>
        <v/>
      </c>
      <c r="F3888" s="503" t="str">
        <f ca="1">IFERROR(VLOOKUP(C3888,' Disaggregation - Section E '!A$618:N2012,5,0),"")</f>
        <v/>
      </c>
      <c r="G3888" s="502" t="str">
        <f ca="1">IFERROR(IF(VLOOKUP(C3888,' Disaggregation - Section E '!A$618:N2012,6,0)="","",VLOOKUP(C3888,' Disaggregation - Section E '!A$618:N2012,6,0)),"")</f>
        <v/>
      </c>
      <c r="H3888" s="512" t="str">
        <f ca="1">IFERROR(IF(INDEX(' Disaggregation - Section E '!F$618:F3209,MATCH(C3888,' Disaggregation - Section E '!A$618:A3209,0)+1,1)&lt;&gt;0,INDEX(' Disaggregation - Section E '!F$618:F$1820,MATCH(C3888,' Disaggregation - Section E '!A$618:A3209,0)+1,1),""),"")</f>
        <v/>
      </c>
      <c r="I3888" s="503" t="str">
        <f ca="1">IFERROR(IF(VLOOKUP(C3888,' Disaggregation - Section E '!A$618:N2012,8,0)=0,"",VLOOKUP(C3888,' Disaggregation - Section E '!A$618:N2012,8,0)),"")</f>
        <v/>
      </c>
      <c r="J3888" s="503" t="str">
        <f ca="1">IFERROR(IF(VLOOKUP(C3888,' Disaggregation - Section E '!A$618:N3209,13,0)=0,"",VLOOKUP(C3888,' Disaggregation - Section E '!A$618:N3209,13,0)),"")</f>
        <v/>
      </c>
      <c r="K3888" s="497" t="str">
        <f ca="1">IFERROR(VLOOKUP(C3888,' Disaggregation - Section E '!A$618:N2012,3,0),"")</f>
        <v>TCP-1⁽ᴹ⁾ Número de casos notificados de todas las formas de tuberculosis (esto es, confirmados bacteriológicamente y con diagnóstico clínico), casos nuevos y recaídas.</v>
      </c>
      <c r="L3888" s="497"/>
      <c r="M3888" s="497" t="str">
        <f ca="1">IFERROR(IF(VLOOKUP(C3888,' Disaggregation - Section E '!A$618:T2012,20,0)=0,"",VLOOKUP(C3888,' Disaggregation - Section E '!A$618:T2012,20,0)),"")</f>
        <v/>
      </c>
      <c r="N3888" s="503" t="str">
        <f ca="1">IFERROR(IF(VLOOKUP(C3888,' Disaggregation - Section E '!A$618:N2012,14,0)=0,"",VLOOKUP(C3888,' Disaggregation - Section E '!A$618:N2012,14,0)),"")</f>
        <v/>
      </c>
      <c r="O3888" s="503" t="str">
        <f ca="1">IFERROR(IF(VLOOKUP(C3888,' Disaggregation - Section E '!A$618:N2012,9,0)=0,"",VLOOKUP(C3888,' Disaggregation - Section E '!A$618:N2012,9,0)),"")</f>
        <v/>
      </c>
      <c r="P3888" s="503" t="str">
        <f ca="1">IFERROR(IF(VLOOKUP(C3888,' Disaggregation - Section E '!A$618:N2012,10,0)=0,"",VLOOKUP(C3888,' Disaggregation - Section E '!A$618:N2012,10,0)),"")</f>
        <v/>
      </c>
    </row>
    <row r="3889" spans="1:16" x14ac:dyDescent="0.35">
      <c r="A3889" s="497" t="b">
        <f t="shared" ca="1" si="228"/>
        <v>0</v>
      </c>
      <c r="B3889" s="497"/>
      <c r="C3889" s="510" t="str">
        <f ca="1">IF(COUNTA(D$2498:D3889)=1,"",OFFSET(B3887,-COUNTA(D$2498:D3889)+3,1))</f>
        <v>a163p000004NtWhAAK</v>
      </c>
      <c r="D3889" s="512"/>
      <c r="E3889" s="500" t="str">
        <f ca="1">IFERROR(IF(VLOOKUP(C3889,' Disaggregation - Section E '!A$618:N2013,7,0)="","",VLOOKUP(C3889,' Disaggregation - Section E '!A$618:N2013,7,0)*100),"")</f>
        <v/>
      </c>
      <c r="F3889" s="503" t="str">
        <f ca="1">IFERROR(VLOOKUP(C3889,' Disaggregation - Section E '!A$618:N2013,5,0),"")</f>
        <v/>
      </c>
      <c r="G3889" s="502" t="str">
        <f ca="1">IFERROR(IF(VLOOKUP(C3889,' Disaggregation - Section E '!A$618:N2013,6,0)="","",VLOOKUP(C3889,' Disaggregation - Section E '!A$618:N2013,6,0)),"")</f>
        <v/>
      </c>
      <c r="H3889" s="512" t="str">
        <f ca="1">IFERROR(IF(INDEX(' Disaggregation - Section E '!F$618:F3210,MATCH(C3889,' Disaggregation - Section E '!A$618:A3210,0)+1,1)&lt;&gt;0,INDEX(' Disaggregation - Section E '!F$618:F$1820,MATCH(C3889,' Disaggregation - Section E '!A$618:A3210,0)+1,1),""),"")</f>
        <v/>
      </c>
      <c r="I3889" s="503" t="str">
        <f ca="1">IFERROR(IF(VLOOKUP(C3889,' Disaggregation - Section E '!A$618:N2013,8,0)=0,"",VLOOKUP(C3889,' Disaggregation - Section E '!A$618:N2013,8,0)),"")</f>
        <v/>
      </c>
      <c r="J3889" s="503" t="str">
        <f ca="1">IFERROR(IF(VLOOKUP(C3889,' Disaggregation - Section E '!A$618:N3210,13,0)=0,"",VLOOKUP(C3889,' Disaggregation - Section E '!A$618:N3210,13,0)),"")</f>
        <v/>
      </c>
      <c r="K3889" s="497" t="str">
        <f ca="1">IFERROR(VLOOKUP(C3889,' Disaggregation - Section E '!A$618:N2013,3,0),"")</f>
        <v>TCP-1⁽ᴹ⁾ Número de casos notificados de todas las formas de tuberculosis (esto es, confirmados bacteriológicamente y con diagnóstico clínico), casos nuevos y recaídas.</v>
      </c>
      <c r="L3889" s="497"/>
      <c r="M3889" s="497" t="str">
        <f ca="1">IFERROR(IF(VLOOKUP(C3889,' Disaggregation - Section E '!A$618:T2013,20,0)=0,"",VLOOKUP(C3889,' Disaggregation - Section E '!A$618:T2013,20,0)),"")</f>
        <v/>
      </c>
      <c r="N3889" s="503" t="str">
        <f ca="1">IFERROR(IF(VLOOKUP(C3889,' Disaggregation - Section E '!A$618:N2013,14,0)=0,"",VLOOKUP(C3889,' Disaggregation - Section E '!A$618:N2013,14,0)),"")</f>
        <v/>
      </c>
      <c r="O3889" s="503" t="str">
        <f ca="1">IFERROR(IF(VLOOKUP(C3889,' Disaggregation - Section E '!A$618:N2013,9,0)=0,"",VLOOKUP(C3889,' Disaggregation - Section E '!A$618:N2013,9,0)),"")</f>
        <v/>
      </c>
      <c r="P3889" s="503" t="str">
        <f ca="1">IFERROR(IF(VLOOKUP(C3889,' Disaggregation - Section E '!A$618:N2013,10,0)=0,"",VLOOKUP(C3889,' Disaggregation - Section E '!A$618:N2013,10,0)),"")</f>
        <v/>
      </c>
    </row>
    <row r="3890" spans="1:16" x14ac:dyDescent="0.35">
      <c r="A3890" s="497" t="b">
        <f t="shared" ca="1" si="228"/>
        <v>0</v>
      </c>
      <c r="B3890" s="497"/>
      <c r="C3890" s="510" t="str">
        <f ca="1">IF(COUNTA(D$2498:D3890)=1,"",OFFSET(B3888,-COUNTA(D$2498:D3890)+3,1))</f>
        <v>a163p000004NtWiAAK</v>
      </c>
      <c r="D3890" s="512"/>
      <c r="E3890" s="500" t="str">
        <f ca="1">IFERROR(IF(VLOOKUP(C3890,' Disaggregation - Section E '!A$618:N2014,7,0)="","",VLOOKUP(C3890,' Disaggregation - Section E '!A$618:N2014,7,0)*100),"")</f>
        <v/>
      </c>
      <c r="F3890" s="503" t="str">
        <f ca="1">IFERROR(VLOOKUP(C3890,' Disaggregation - Section E '!A$618:N2014,5,0),"")</f>
        <v/>
      </c>
      <c r="G3890" s="502" t="str">
        <f ca="1">IFERROR(IF(VLOOKUP(C3890,' Disaggregation - Section E '!A$618:N2014,6,0)="","",VLOOKUP(C3890,' Disaggregation - Section E '!A$618:N2014,6,0)),"")</f>
        <v/>
      </c>
      <c r="H3890" s="512" t="str">
        <f ca="1">IFERROR(IF(INDEX(' Disaggregation - Section E '!F$618:F3211,MATCH(C3890,' Disaggregation - Section E '!A$618:A3211,0)+1,1)&lt;&gt;0,INDEX(' Disaggregation - Section E '!F$618:F$1820,MATCH(C3890,' Disaggregation - Section E '!A$618:A3211,0)+1,1),""),"")</f>
        <v/>
      </c>
      <c r="I3890" s="503" t="str">
        <f ca="1">IFERROR(IF(VLOOKUP(C3890,' Disaggregation - Section E '!A$618:N2014,8,0)=0,"",VLOOKUP(C3890,' Disaggregation - Section E '!A$618:N2014,8,0)),"")</f>
        <v/>
      </c>
      <c r="J3890" s="503" t="str">
        <f ca="1">IFERROR(IF(VLOOKUP(C3890,' Disaggregation - Section E '!A$618:N3211,13,0)=0,"",VLOOKUP(C3890,' Disaggregation - Section E '!A$618:N3211,13,0)),"")</f>
        <v/>
      </c>
      <c r="K3890" s="497" t="str">
        <f ca="1">IFERROR(VLOOKUP(C3890,' Disaggregation - Section E '!A$618:N2014,3,0),"")</f>
        <v>TCP-1⁽ᴹ⁾ Número de casos notificados de todas las formas de tuberculosis (esto es, confirmados bacteriológicamente y con diagnóstico clínico), casos nuevos y recaídas.</v>
      </c>
      <c r="L3890" s="497"/>
      <c r="M3890" s="497" t="str">
        <f ca="1">IFERROR(IF(VLOOKUP(C3890,' Disaggregation - Section E '!A$618:T2014,20,0)=0,"",VLOOKUP(C3890,' Disaggregation - Section E '!A$618:T2014,20,0)),"")</f>
        <v/>
      </c>
      <c r="N3890" s="503" t="str">
        <f ca="1">IFERROR(IF(VLOOKUP(C3890,' Disaggregation - Section E '!A$618:N2014,14,0)=0,"",VLOOKUP(C3890,' Disaggregation - Section E '!A$618:N2014,14,0)),"")</f>
        <v/>
      </c>
      <c r="O3890" s="503" t="str">
        <f ca="1">IFERROR(IF(VLOOKUP(C3890,' Disaggregation - Section E '!A$618:N2014,9,0)=0,"",VLOOKUP(C3890,' Disaggregation - Section E '!A$618:N2014,9,0)),"")</f>
        <v/>
      </c>
      <c r="P3890" s="503" t="str">
        <f ca="1">IFERROR(IF(VLOOKUP(C3890,' Disaggregation - Section E '!A$618:N2014,10,0)=0,"",VLOOKUP(C3890,' Disaggregation - Section E '!A$618:N2014,10,0)),"")</f>
        <v/>
      </c>
    </row>
    <row r="3891" spans="1:16" x14ac:dyDescent="0.35">
      <c r="A3891" s="497" t="b">
        <f t="shared" ca="1" si="228"/>
        <v>0</v>
      </c>
      <c r="B3891" s="497"/>
      <c r="C3891" s="510" t="str">
        <f ca="1">IF(COUNTA(D$2498:D3891)=1,"",OFFSET(B3889,-COUNTA(D$2498:D3891)+3,1))</f>
        <v>a163p000004NtWjAAK</v>
      </c>
      <c r="D3891" s="512"/>
      <c r="E3891" s="500" t="str">
        <f ca="1">IFERROR(IF(VLOOKUP(C3891,' Disaggregation - Section E '!A$618:N2015,7,0)="","",VLOOKUP(C3891,' Disaggregation - Section E '!A$618:N2015,7,0)*100),"")</f>
        <v/>
      </c>
      <c r="F3891" s="503" t="str">
        <f ca="1">IFERROR(VLOOKUP(C3891,' Disaggregation - Section E '!A$618:N2015,5,0),"")</f>
        <v/>
      </c>
      <c r="G3891" s="502" t="str">
        <f ca="1">IFERROR(IF(VLOOKUP(C3891,' Disaggregation - Section E '!A$618:N2015,6,0)="","",VLOOKUP(C3891,' Disaggregation - Section E '!A$618:N2015,6,0)),"")</f>
        <v/>
      </c>
      <c r="H3891" s="512" t="str">
        <f ca="1">IFERROR(IF(INDEX(' Disaggregation - Section E '!F$618:F3212,MATCH(C3891,' Disaggregation - Section E '!A$618:A3212,0)+1,1)&lt;&gt;0,INDEX(' Disaggregation - Section E '!F$618:F$1820,MATCH(C3891,' Disaggregation - Section E '!A$618:A3212,0)+1,1),""),"")</f>
        <v/>
      </c>
      <c r="I3891" s="503" t="str">
        <f ca="1">IFERROR(IF(VLOOKUP(C3891,' Disaggregation - Section E '!A$618:N2015,8,0)=0,"",VLOOKUP(C3891,' Disaggregation - Section E '!A$618:N2015,8,0)),"")</f>
        <v/>
      </c>
      <c r="J3891" s="503" t="str">
        <f ca="1">IFERROR(IF(VLOOKUP(C3891,' Disaggregation - Section E '!A$618:N3212,13,0)=0,"",VLOOKUP(C3891,' Disaggregation - Section E '!A$618:N3212,13,0)),"")</f>
        <v/>
      </c>
      <c r="K3891" s="497" t="str">
        <f ca="1">IFERROR(VLOOKUP(C3891,' Disaggregation - Section E '!A$618:N2015,3,0),"")</f>
        <v>TCP-1⁽ᴹ⁾ Número de casos notificados de todas las formas de tuberculosis (esto es, confirmados bacteriológicamente y con diagnóstico clínico), casos nuevos y recaídas.</v>
      </c>
      <c r="L3891" s="497"/>
      <c r="M3891" s="497" t="str">
        <f ca="1">IFERROR(IF(VLOOKUP(C3891,' Disaggregation - Section E '!A$618:T2015,20,0)=0,"",VLOOKUP(C3891,' Disaggregation - Section E '!A$618:T2015,20,0)),"")</f>
        <v/>
      </c>
      <c r="N3891" s="503" t="str">
        <f ca="1">IFERROR(IF(VLOOKUP(C3891,' Disaggregation - Section E '!A$618:N2015,14,0)=0,"",VLOOKUP(C3891,' Disaggregation - Section E '!A$618:N2015,14,0)),"")</f>
        <v/>
      </c>
      <c r="O3891" s="503" t="str">
        <f ca="1">IFERROR(IF(VLOOKUP(C3891,' Disaggregation - Section E '!A$618:N2015,9,0)=0,"",VLOOKUP(C3891,' Disaggregation - Section E '!A$618:N2015,9,0)),"")</f>
        <v/>
      </c>
      <c r="P3891" s="503" t="str">
        <f ca="1">IFERROR(IF(VLOOKUP(C3891,' Disaggregation - Section E '!A$618:N2015,10,0)=0,"",VLOOKUP(C3891,' Disaggregation - Section E '!A$618:N2015,10,0)),"")</f>
        <v/>
      </c>
    </row>
    <row r="3892" spans="1:16" x14ac:dyDescent="0.35">
      <c r="A3892" s="497" t="b">
        <f t="shared" ref="A3892:A3955" ca="1" si="229">IF(M3892&lt;&gt;"",TRUE,FALSE)</f>
        <v>0</v>
      </c>
      <c r="B3892" s="497"/>
      <c r="C3892" s="510" t="str">
        <f ca="1">IF(COUNTA(D$2498:D3892)=1,"",OFFSET(B3890,-COUNTA(D$2498:D3892)+3,1))</f>
        <v>a163p000004NtWkAAK</v>
      </c>
      <c r="D3892" s="512"/>
      <c r="E3892" s="500" t="str">
        <f ca="1">IFERROR(IF(VLOOKUP(C3892,' Disaggregation - Section E '!A$618:N2016,7,0)="","",VLOOKUP(C3892,' Disaggregation - Section E '!A$618:N2016,7,0)*100),"")</f>
        <v/>
      </c>
      <c r="F3892" s="503" t="str">
        <f ca="1">IFERROR(VLOOKUP(C3892,' Disaggregation - Section E '!A$618:N2016,5,0),"")</f>
        <v/>
      </c>
      <c r="G3892" s="502" t="str">
        <f ca="1">IFERROR(IF(VLOOKUP(C3892,' Disaggregation - Section E '!A$618:N2016,6,0)="","",VLOOKUP(C3892,' Disaggregation - Section E '!A$618:N2016,6,0)),"")</f>
        <v/>
      </c>
      <c r="H3892" s="512" t="str">
        <f ca="1">IFERROR(IF(INDEX(' Disaggregation - Section E '!F$618:F3213,MATCH(C3892,' Disaggregation - Section E '!A$618:A3213,0)+1,1)&lt;&gt;0,INDEX(' Disaggregation - Section E '!F$618:F$1820,MATCH(C3892,' Disaggregation - Section E '!A$618:A3213,0)+1,1),""),"")</f>
        <v/>
      </c>
      <c r="I3892" s="503" t="str">
        <f ca="1">IFERROR(IF(VLOOKUP(C3892,' Disaggregation - Section E '!A$618:N2016,8,0)=0,"",VLOOKUP(C3892,' Disaggregation - Section E '!A$618:N2016,8,0)),"")</f>
        <v/>
      </c>
      <c r="J3892" s="503" t="str">
        <f ca="1">IFERROR(IF(VLOOKUP(C3892,' Disaggregation - Section E '!A$618:N3213,13,0)=0,"",VLOOKUP(C3892,' Disaggregation - Section E '!A$618:N3213,13,0)),"")</f>
        <v/>
      </c>
      <c r="K3892" s="497" t="str">
        <f ca="1">IFERROR(VLOOKUP(C3892,' Disaggregation - Section E '!A$618:N2016,3,0),"")</f>
        <v>TCP-1⁽ᴹ⁾ Número de casos notificados de todas las formas de tuberculosis (esto es, confirmados bacteriológicamente y con diagnóstico clínico), casos nuevos y recaídas.</v>
      </c>
      <c r="L3892" s="497"/>
      <c r="M3892" s="497" t="str">
        <f ca="1">IFERROR(IF(VLOOKUP(C3892,' Disaggregation - Section E '!A$618:T2016,20,0)=0,"",VLOOKUP(C3892,' Disaggregation - Section E '!A$618:T2016,20,0)),"")</f>
        <v/>
      </c>
      <c r="N3892" s="503" t="str">
        <f ca="1">IFERROR(IF(VLOOKUP(C3892,' Disaggregation - Section E '!A$618:N2016,14,0)=0,"",VLOOKUP(C3892,' Disaggregation - Section E '!A$618:N2016,14,0)),"")</f>
        <v/>
      </c>
      <c r="O3892" s="503" t="str">
        <f ca="1">IFERROR(IF(VLOOKUP(C3892,' Disaggregation - Section E '!A$618:N2016,9,0)=0,"",VLOOKUP(C3892,' Disaggregation - Section E '!A$618:N2016,9,0)),"")</f>
        <v/>
      </c>
      <c r="P3892" s="503" t="str">
        <f ca="1">IFERROR(IF(VLOOKUP(C3892,' Disaggregation - Section E '!A$618:N2016,10,0)=0,"",VLOOKUP(C3892,' Disaggregation - Section E '!A$618:N2016,10,0)),"")</f>
        <v/>
      </c>
    </row>
    <row r="3893" spans="1:16" x14ac:dyDescent="0.35">
      <c r="A3893" s="497" t="b">
        <f t="shared" ca="1" si="229"/>
        <v>0</v>
      </c>
      <c r="B3893" s="497"/>
      <c r="C3893" s="510" t="str">
        <f ca="1">IF(COUNTA(D$2498:D3893)=1,"",OFFSET(B3891,-COUNTA(D$2498:D3893)+3,1))</f>
        <v>a163p000004NtWlAAK</v>
      </c>
      <c r="D3893" s="512"/>
      <c r="E3893" s="500" t="str">
        <f ca="1">IFERROR(IF(VLOOKUP(C3893,' Disaggregation - Section E '!A$618:N2017,7,0)="","",VLOOKUP(C3893,' Disaggregation - Section E '!A$618:N2017,7,0)*100),"")</f>
        <v/>
      </c>
      <c r="F3893" s="503" t="str">
        <f ca="1">IFERROR(VLOOKUP(C3893,' Disaggregation - Section E '!A$618:N2017,5,0),"")</f>
        <v/>
      </c>
      <c r="G3893" s="502" t="str">
        <f ca="1">IFERROR(IF(VLOOKUP(C3893,' Disaggregation - Section E '!A$618:N2017,6,0)="","",VLOOKUP(C3893,' Disaggregation - Section E '!A$618:N2017,6,0)),"")</f>
        <v/>
      </c>
      <c r="H3893" s="512" t="str">
        <f ca="1">IFERROR(IF(INDEX(' Disaggregation - Section E '!F$618:F3214,MATCH(C3893,' Disaggregation - Section E '!A$618:A3214,0)+1,1)&lt;&gt;0,INDEX(' Disaggregation - Section E '!F$618:F$1820,MATCH(C3893,' Disaggregation - Section E '!A$618:A3214,0)+1,1),""),"")</f>
        <v/>
      </c>
      <c r="I3893" s="503" t="str">
        <f ca="1">IFERROR(IF(VLOOKUP(C3893,' Disaggregation - Section E '!A$618:N2017,8,0)=0,"",VLOOKUP(C3893,' Disaggregation - Section E '!A$618:N2017,8,0)),"")</f>
        <v/>
      </c>
      <c r="J3893" s="503" t="str">
        <f ca="1">IFERROR(IF(VLOOKUP(C3893,' Disaggregation - Section E '!A$618:N3214,13,0)=0,"",VLOOKUP(C3893,' Disaggregation - Section E '!A$618:N3214,13,0)),"")</f>
        <v/>
      </c>
      <c r="K3893" s="497" t="str">
        <f ca="1">IFERROR(VLOOKUP(C3893,' Disaggregation - Section E '!A$618:N2017,3,0),"")</f>
        <v>TCP-1⁽ᴹ⁾ Número de casos notificados de todas las formas de tuberculosis (esto es, confirmados bacteriológicamente y con diagnóstico clínico), casos nuevos y recaídas.</v>
      </c>
      <c r="L3893" s="497"/>
      <c r="M3893" s="497" t="str">
        <f ca="1">IFERROR(IF(VLOOKUP(C3893,' Disaggregation - Section E '!A$618:T2017,20,0)=0,"",VLOOKUP(C3893,' Disaggregation - Section E '!A$618:T2017,20,0)),"")</f>
        <v/>
      </c>
      <c r="N3893" s="503" t="str">
        <f ca="1">IFERROR(IF(VLOOKUP(C3893,' Disaggregation - Section E '!A$618:N2017,14,0)=0,"",VLOOKUP(C3893,' Disaggregation - Section E '!A$618:N2017,14,0)),"")</f>
        <v/>
      </c>
      <c r="O3893" s="503" t="str">
        <f ca="1">IFERROR(IF(VLOOKUP(C3893,' Disaggregation - Section E '!A$618:N2017,9,0)=0,"",VLOOKUP(C3893,' Disaggregation - Section E '!A$618:N2017,9,0)),"")</f>
        <v/>
      </c>
      <c r="P3893" s="503" t="str">
        <f ca="1">IFERROR(IF(VLOOKUP(C3893,' Disaggregation - Section E '!A$618:N2017,10,0)=0,"",VLOOKUP(C3893,' Disaggregation - Section E '!A$618:N2017,10,0)),"")</f>
        <v/>
      </c>
    </row>
    <row r="3894" spans="1:16" x14ac:dyDescent="0.35">
      <c r="A3894" s="497" t="b">
        <f t="shared" ca="1" si="229"/>
        <v>0</v>
      </c>
      <c r="B3894" s="497"/>
      <c r="C3894" s="510" t="str">
        <f ca="1">IF(COUNTA(D$2498:D3894)=1,"",OFFSET(B3892,-COUNTA(D$2498:D3894)+3,1))</f>
        <v>a163p000004NtWmAAK</v>
      </c>
      <c r="D3894" s="512"/>
      <c r="E3894" s="500" t="str">
        <f ca="1">IFERROR(IF(VLOOKUP(C3894,' Disaggregation - Section E '!A$618:N2018,7,0)="","",VLOOKUP(C3894,' Disaggregation - Section E '!A$618:N2018,7,0)*100),"")</f>
        <v/>
      </c>
      <c r="F3894" s="503" t="str">
        <f ca="1">IFERROR(VLOOKUP(C3894,' Disaggregation - Section E '!A$618:N2018,5,0),"")</f>
        <v/>
      </c>
      <c r="G3894" s="502" t="str">
        <f ca="1">IFERROR(IF(VLOOKUP(C3894,' Disaggregation - Section E '!A$618:N2018,6,0)="","",VLOOKUP(C3894,' Disaggregation - Section E '!A$618:N2018,6,0)),"")</f>
        <v/>
      </c>
      <c r="H3894" s="512" t="str">
        <f ca="1">IFERROR(IF(INDEX(' Disaggregation - Section E '!F$618:F3215,MATCH(C3894,' Disaggregation - Section E '!A$618:A3215,0)+1,1)&lt;&gt;0,INDEX(' Disaggregation - Section E '!F$618:F$1820,MATCH(C3894,' Disaggregation - Section E '!A$618:A3215,0)+1,1),""),"")</f>
        <v/>
      </c>
      <c r="I3894" s="503" t="str">
        <f ca="1">IFERROR(IF(VLOOKUP(C3894,' Disaggregation - Section E '!A$618:N2018,8,0)=0,"",VLOOKUP(C3894,' Disaggregation - Section E '!A$618:N2018,8,0)),"")</f>
        <v/>
      </c>
      <c r="J3894" s="503" t="str">
        <f ca="1">IFERROR(IF(VLOOKUP(C3894,' Disaggregation - Section E '!A$618:N3215,13,0)=0,"",VLOOKUP(C3894,' Disaggregation - Section E '!A$618:N3215,13,0)),"")</f>
        <v/>
      </c>
      <c r="K3894" s="497" t="str">
        <f ca="1">IFERROR(VLOOKUP(C3894,' Disaggregation - Section E '!A$618:N2018,3,0),"")</f>
        <v>TCP-1⁽ᴹ⁾ Número de casos notificados de todas las formas de tuberculosis (esto es, confirmados bacteriológicamente y con diagnóstico clínico), casos nuevos y recaídas.</v>
      </c>
      <c r="L3894" s="497"/>
      <c r="M3894" s="497" t="str">
        <f ca="1">IFERROR(IF(VLOOKUP(C3894,' Disaggregation - Section E '!A$618:T2018,20,0)=0,"",VLOOKUP(C3894,' Disaggregation - Section E '!A$618:T2018,20,0)),"")</f>
        <v/>
      </c>
      <c r="N3894" s="503" t="str">
        <f ca="1">IFERROR(IF(VLOOKUP(C3894,' Disaggregation - Section E '!A$618:N2018,14,0)=0,"",VLOOKUP(C3894,' Disaggregation - Section E '!A$618:N2018,14,0)),"")</f>
        <v/>
      </c>
      <c r="O3894" s="503" t="str">
        <f ca="1">IFERROR(IF(VLOOKUP(C3894,' Disaggregation - Section E '!A$618:N2018,9,0)=0,"",VLOOKUP(C3894,' Disaggregation - Section E '!A$618:N2018,9,0)),"")</f>
        <v/>
      </c>
      <c r="P3894" s="503" t="str">
        <f ca="1">IFERROR(IF(VLOOKUP(C3894,' Disaggregation - Section E '!A$618:N2018,10,0)=0,"",VLOOKUP(C3894,' Disaggregation - Section E '!A$618:N2018,10,0)),"")</f>
        <v/>
      </c>
    </row>
    <row r="3895" spans="1:16" x14ac:dyDescent="0.35">
      <c r="A3895" s="497" t="b">
        <f t="shared" ca="1" si="229"/>
        <v>0</v>
      </c>
      <c r="B3895" s="497"/>
      <c r="C3895" s="510" t="str">
        <f ca="1">IF(COUNTA(D$2498:D3895)=1,"",OFFSET(B3893,-COUNTA(D$2498:D3895)+3,1))</f>
        <v>a163p000004NtWnAAK</v>
      </c>
      <c r="D3895" s="512"/>
      <c r="E3895" s="500" t="str">
        <f ca="1">IFERROR(IF(VLOOKUP(C3895,' Disaggregation - Section E '!A$618:N2019,7,0)="","",VLOOKUP(C3895,' Disaggregation - Section E '!A$618:N2019,7,0)*100),"")</f>
        <v/>
      </c>
      <c r="F3895" s="503" t="str">
        <f ca="1">IFERROR(VLOOKUP(C3895,' Disaggregation - Section E '!A$618:N2019,5,0),"")</f>
        <v/>
      </c>
      <c r="G3895" s="502" t="str">
        <f ca="1">IFERROR(IF(VLOOKUP(C3895,' Disaggregation - Section E '!A$618:N2019,6,0)="","",VLOOKUP(C3895,' Disaggregation - Section E '!A$618:N2019,6,0)),"")</f>
        <v/>
      </c>
      <c r="H3895" s="512" t="str">
        <f ca="1">IFERROR(IF(INDEX(' Disaggregation - Section E '!F$618:F3216,MATCH(C3895,' Disaggregation - Section E '!A$618:A3216,0)+1,1)&lt;&gt;0,INDEX(' Disaggregation - Section E '!F$618:F$1820,MATCH(C3895,' Disaggregation - Section E '!A$618:A3216,0)+1,1),""),"")</f>
        <v/>
      </c>
      <c r="I3895" s="503" t="str">
        <f ca="1">IFERROR(IF(VLOOKUP(C3895,' Disaggregation - Section E '!A$618:N2019,8,0)=0,"",VLOOKUP(C3895,' Disaggregation - Section E '!A$618:N2019,8,0)),"")</f>
        <v/>
      </c>
      <c r="J3895" s="503" t="str">
        <f ca="1">IFERROR(IF(VLOOKUP(C3895,' Disaggregation - Section E '!A$618:N3216,13,0)=0,"",VLOOKUP(C3895,' Disaggregation - Section E '!A$618:N3216,13,0)),"")</f>
        <v/>
      </c>
      <c r="K3895" s="497" t="str">
        <f ca="1">IFERROR(VLOOKUP(C3895,' Disaggregation - Section E '!A$618:N2019,3,0),"")</f>
        <v>TCP-1⁽ᴹ⁾ Número de casos notificados de todas las formas de tuberculosis (esto es, confirmados bacteriológicamente y con diagnóstico clínico), casos nuevos y recaídas.</v>
      </c>
      <c r="L3895" s="497"/>
      <c r="M3895" s="497" t="str">
        <f ca="1">IFERROR(IF(VLOOKUP(C3895,' Disaggregation - Section E '!A$618:T2019,20,0)=0,"",VLOOKUP(C3895,' Disaggregation - Section E '!A$618:T2019,20,0)),"")</f>
        <v/>
      </c>
      <c r="N3895" s="503" t="str">
        <f ca="1">IFERROR(IF(VLOOKUP(C3895,' Disaggregation - Section E '!A$618:N2019,14,0)=0,"",VLOOKUP(C3895,' Disaggregation - Section E '!A$618:N2019,14,0)),"")</f>
        <v/>
      </c>
      <c r="O3895" s="503" t="str">
        <f ca="1">IFERROR(IF(VLOOKUP(C3895,' Disaggregation - Section E '!A$618:N2019,9,0)=0,"",VLOOKUP(C3895,' Disaggregation - Section E '!A$618:N2019,9,0)),"")</f>
        <v/>
      </c>
      <c r="P3895" s="503" t="str">
        <f ca="1">IFERROR(IF(VLOOKUP(C3895,' Disaggregation - Section E '!A$618:N2019,10,0)=0,"",VLOOKUP(C3895,' Disaggregation - Section E '!A$618:N2019,10,0)),"")</f>
        <v/>
      </c>
    </row>
    <row r="3896" spans="1:16" x14ac:dyDescent="0.35">
      <c r="A3896" s="497" t="b">
        <f t="shared" ca="1" si="229"/>
        <v>0</v>
      </c>
      <c r="B3896" s="497"/>
      <c r="C3896" s="510" t="str">
        <f ca="1">IF(COUNTA(D$2498:D3896)=1,"",OFFSET(B3894,-COUNTA(D$2498:D3896)+3,1))</f>
        <v>a163p000004NtWoAAK</v>
      </c>
      <c r="D3896" s="512"/>
      <c r="E3896" s="500" t="str">
        <f ca="1">IFERROR(IF(VLOOKUP(C3896,' Disaggregation - Section E '!A$618:N2020,7,0)="","",VLOOKUP(C3896,' Disaggregation - Section E '!A$618:N2020,7,0)*100),"")</f>
        <v/>
      </c>
      <c r="F3896" s="503" t="str">
        <f ca="1">IFERROR(VLOOKUP(C3896,' Disaggregation - Section E '!A$618:N2020,5,0),"")</f>
        <v/>
      </c>
      <c r="G3896" s="502" t="str">
        <f ca="1">IFERROR(IF(VLOOKUP(C3896,' Disaggregation - Section E '!A$618:N2020,6,0)="","",VLOOKUP(C3896,' Disaggregation - Section E '!A$618:N2020,6,0)),"")</f>
        <v/>
      </c>
      <c r="H3896" s="512" t="str">
        <f ca="1">IFERROR(IF(INDEX(' Disaggregation - Section E '!F$618:F3217,MATCH(C3896,' Disaggregation - Section E '!A$618:A3217,0)+1,1)&lt;&gt;0,INDEX(' Disaggregation - Section E '!F$618:F$1820,MATCH(C3896,' Disaggregation - Section E '!A$618:A3217,0)+1,1),""),"")</f>
        <v/>
      </c>
      <c r="I3896" s="503" t="str">
        <f ca="1">IFERROR(IF(VLOOKUP(C3896,' Disaggregation - Section E '!A$618:N2020,8,0)=0,"",VLOOKUP(C3896,' Disaggregation - Section E '!A$618:N2020,8,0)),"")</f>
        <v/>
      </c>
      <c r="J3896" s="503" t="str">
        <f ca="1">IFERROR(IF(VLOOKUP(C3896,' Disaggregation - Section E '!A$618:N3217,13,0)=0,"",VLOOKUP(C3896,' Disaggregation - Section E '!A$618:N3217,13,0)),"")</f>
        <v/>
      </c>
      <c r="K3896" s="497" t="str">
        <f ca="1">IFERROR(VLOOKUP(C3896,' Disaggregation - Section E '!A$618:N2020,3,0),"")</f>
        <v>TCP-1⁽ᴹ⁾ Número de casos notificados de todas las formas de tuberculosis (esto es, confirmados bacteriológicamente y con diagnóstico clínico), casos nuevos y recaídas.</v>
      </c>
      <c r="L3896" s="497"/>
      <c r="M3896" s="497" t="str">
        <f ca="1">IFERROR(IF(VLOOKUP(C3896,' Disaggregation - Section E '!A$618:T2020,20,0)=0,"",VLOOKUP(C3896,' Disaggregation - Section E '!A$618:T2020,20,0)),"")</f>
        <v/>
      </c>
      <c r="N3896" s="503" t="str">
        <f ca="1">IFERROR(IF(VLOOKUP(C3896,' Disaggregation - Section E '!A$618:N2020,14,0)=0,"",VLOOKUP(C3896,' Disaggregation - Section E '!A$618:N2020,14,0)),"")</f>
        <v/>
      </c>
      <c r="O3896" s="503" t="str">
        <f ca="1">IFERROR(IF(VLOOKUP(C3896,' Disaggregation - Section E '!A$618:N2020,9,0)=0,"",VLOOKUP(C3896,' Disaggregation - Section E '!A$618:N2020,9,0)),"")</f>
        <v/>
      </c>
      <c r="P3896" s="503" t="str">
        <f ca="1">IFERROR(IF(VLOOKUP(C3896,' Disaggregation - Section E '!A$618:N2020,10,0)=0,"",VLOOKUP(C3896,' Disaggregation - Section E '!A$618:N2020,10,0)),"")</f>
        <v/>
      </c>
    </row>
    <row r="3897" spans="1:16" x14ac:dyDescent="0.35">
      <c r="A3897" s="497" t="b">
        <f t="shared" ca="1" si="229"/>
        <v>0</v>
      </c>
      <c r="B3897" s="497"/>
      <c r="C3897" s="510" t="str">
        <f ca="1">IF(COUNTA(D$2498:D3897)=1,"",OFFSET(B3895,-COUNTA(D$2498:D3897)+3,1))</f>
        <v>a163p000004NtWpAAK</v>
      </c>
      <c r="D3897" s="512"/>
      <c r="E3897" s="500" t="str">
        <f ca="1">IFERROR(IF(VLOOKUP(C3897,' Disaggregation - Section E '!A$618:N2021,7,0)="","",VLOOKUP(C3897,' Disaggregation - Section E '!A$618:N2021,7,0)*100),"")</f>
        <v/>
      </c>
      <c r="F3897" s="503" t="str">
        <f ca="1">IFERROR(VLOOKUP(C3897,' Disaggregation - Section E '!A$618:N2021,5,0),"")</f>
        <v/>
      </c>
      <c r="G3897" s="502" t="str">
        <f ca="1">IFERROR(IF(VLOOKUP(C3897,' Disaggregation - Section E '!A$618:N2021,6,0)="","",VLOOKUP(C3897,' Disaggregation - Section E '!A$618:N2021,6,0)),"")</f>
        <v/>
      </c>
      <c r="H3897" s="512" t="str">
        <f ca="1">IFERROR(IF(INDEX(' Disaggregation - Section E '!F$618:F3218,MATCH(C3897,' Disaggregation - Section E '!A$618:A3218,0)+1,1)&lt;&gt;0,INDEX(' Disaggregation - Section E '!F$618:F$1820,MATCH(C3897,' Disaggregation - Section E '!A$618:A3218,0)+1,1),""),"")</f>
        <v/>
      </c>
      <c r="I3897" s="503" t="str">
        <f ca="1">IFERROR(IF(VLOOKUP(C3897,' Disaggregation - Section E '!A$618:N2021,8,0)=0,"",VLOOKUP(C3897,' Disaggregation - Section E '!A$618:N2021,8,0)),"")</f>
        <v/>
      </c>
      <c r="J3897" s="503" t="str">
        <f ca="1">IFERROR(IF(VLOOKUP(C3897,' Disaggregation - Section E '!A$618:N3218,13,0)=0,"",VLOOKUP(C3897,' Disaggregation - Section E '!A$618:N3218,13,0)),"")</f>
        <v/>
      </c>
      <c r="K3897" s="497" t="str">
        <f ca="1">IFERROR(VLOOKUP(C3897,' Disaggregation - Section E '!A$618:N2021,3,0),"")</f>
        <v>TCP-1⁽ᴹ⁾ Número de casos notificados de todas las formas de tuberculosis (esto es, confirmados bacteriológicamente y con diagnóstico clínico), casos nuevos y recaídas.</v>
      </c>
      <c r="L3897" s="497"/>
      <c r="M3897" s="497" t="str">
        <f ca="1">IFERROR(IF(VLOOKUP(C3897,' Disaggregation - Section E '!A$618:T2021,20,0)=0,"",VLOOKUP(C3897,' Disaggregation - Section E '!A$618:T2021,20,0)),"")</f>
        <v/>
      </c>
      <c r="N3897" s="503" t="str">
        <f ca="1">IFERROR(IF(VLOOKUP(C3897,' Disaggregation - Section E '!A$618:N2021,14,0)=0,"",VLOOKUP(C3897,' Disaggregation - Section E '!A$618:N2021,14,0)),"")</f>
        <v/>
      </c>
      <c r="O3897" s="503" t="str">
        <f ca="1">IFERROR(IF(VLOOKUP(C3897,' Disaggregation - Section E '!A$618:N2021,9,0)=0,"",VLOOKUP(C3897,' Disaggregation - Section E '!A$618:N2021,9,0)),"")</f>
        <v/>
      </c>
      <c r="P3897" s="503" t="str">
        <f ca="1">IFERROR(IF(VLOOKUP(C3897,' Disaggregation - Section E '!A$618:N2021,10,0)=0,"",VLOOKUP(C3897,' Disaggregation - Section E '!A$618:N2021,10,0)),"")</f>
        <v/>
      </c>
    </row>
    <row r="3898" spans="1:16" x14ac:dyDescent="0.35">
      <c r="A3898" s="497" t="b">
        <f t="shared" ca="1" si="229"/>
        <v>0</v>
      </c>
      <c r="B3898" s="497"/>
      <c r="C3898" s="510" t="str">
        <f ca="1">IF(COUNTA(D$2498:D3898)=1,"",OFFSET(B3896,-COUNTA(D$2498:D3898)+3,1))</f>
        <v>a163p000004NtWqAAK</v>
      </c>
      <c r="D3898" s="512"/>
      <c r="E3898" s="500" t="str">
        <f ca="1">IFERROR(IF(VLOOKUP(C3898,' Disaggregation - Section E '!A$618:N2022,7,0)="","",VLOOKUP(C3898,' Disaggregation - Section E '!A$618:N2022,7,0)*100),"")</f>
        <v/>
      </c>
      <c r="F3898" s="503" t="str">
        <f ca="1">IFERROR(VLOOKUP(C3898,' Disaggregation - Section E '!A$618:N2022,5,0),"")</f>
        <v/>
      </c>
      <c r="G3898" s="502" t="str">
        <f ca="1">IFERROR(IF(VLOOKUP(C3898,' Disaggregation - Section E '!A$618:N2022,6,0)="","",VLOOKUP(C3898,' Disaggregation - Section E '!A$618:N2022,6,0)),"")</f>
        <v/>
      </c>
      <c r="H3898" s="512" t="str">
        <f ca="1">IFERROR(IF(INDEX(' Disaggregation - Section E '!F$618:F3219,MATCH(C3898,' Disaggregation - Section E '!A$618:A3219,0)+1,1)&lt;&gt;0,INDEX(' Disaggregation - Section E '!F$618:F$1820,MATCH(C3898,' Disaggregation - Section E '!A$618:A3219,0)+1,1),""),"")</f>
        <v/>
      </c>
      <c r="I3898" s="503" t="str">
        <f ca="1">IFERROR(IF(VLOOKUP(C3898,' Disaggregation - Section E '!A$618:N2022,8,0)=0,"",VLOOKUP(C3898,' Disaggregation - Section E '!A$618:N2022,8,0)),"")</f>
        <v/>
      </c>
      <c r="J3898" s="503" t="str">
        <f ca="1">IFERROR(IF(VLOOKUP(C3898,' Disaggregation - Section E '!A$618:N3219,13,0)=0,"",VLOOKUP(C3898,' Disaggregation - Section E '!A$618:N3219,13,0)),"")</f>
        <v/>
      </c>
      <c r="K3898" s="497" t="str">
        <f ca="1">IFERROR(VLOOKUP(C3898,' Disaggregation - Section E '!A$618:N2022,3,0),"")</f>
        <v>TCP-1⁽ᴹ⁾ Número de casos notificados de todas las formas de tuberculosis (esto es, confirmados bacteriológicamente y con diagnóstico clínico), casos nuevos y recaídas.</v>
      </c>
      <c r="L3898" s="497"/>
      <c r="M3898" s="497" t="str">
        <f ca="1">IFERROR(IF(VLOOKUP(C3898,' Disaggregation - Section E '!A$618:T2022,20,0)=0,"",VLOOKUP(C3898,' Disaggregation - Section E '!A$618:T2022,20,0)),"")</f>
        <v/>
      </c>
      <c r="N3898" s="503" t="str">
        <f ca="1">IFERROR(IF(VLOOKUP(C3898,' Disaggregation - Section E '!A$618:N2022,14,0)=0,"",VLOOKUP(C3898,' Disaggregation - Section E '!A$618:N2022,14,0)),"")</f>
        <v/>
      </c>
      <c r="O3898" s="503" t="str">
        <f ca="1">IFERROR(IF(VLOOKUP(C3898,' Disaggregation - Section E '!A$618:N2022,9,0)=0,"",VLOOKUP(C3898,' Disaggregation - Section E '!A$618:N2022,9,0)),"")</f>
        <v/>
      </c>
      <c r="P3898" s="503" t="str">
        <f ca="1">IFERROR(IF(VLOOKUP(C3898,' Disaggregation - Section E '!A$618:N2022,10,0)=0,"",VLOOKUP(C3898,' Disaggregation - Section E '!A$618:N2022,10,0)),"")</f>
        <v/>
      </c>
    </row>
    <row r="3899" spans="1:16" x14ac:dyDescent="0.35">
      <c r="A3899" s="497" t="b">
        <f t="shared" ca="1" si="229"/>
        <v>0</v>
      </c>
      <c r="B3899" s="497"/>
      <c r="C3899" s="510" t="str">
        <f ca="1">IF(COUNTA(D$2498:D3899)=1,"",OFFSET(B3897,-COUNTA(D$2498:D3899)+3,1))</f>
        <v>a163p000004NtWrAAK</v>
      </c>
      <c r="D3899" s="512"/>
      <c r="E3899" s="500" t="str">
        <f ca="1">IFERROR(IF(VLOOKUP(C3899,' Disaggregation - Section E '!A$618:N2023,7,0)="","",VLOOKUP(C3899,' Disaggregation - Section E '!A$618:N2023,7,0)*100),"")</f>
        <v/>
      </c>
      <c r="F3899" s="503" t="str">
        <f ca="1">IFERROR(VLOOKUP(C3899,' Disaggregation - Section E '!A$618:N2023,5,0),"")</f>
        <v/>
      </c>
      <c r="G3899" s="502" t="str">
        <f ca="1">IFERROR(IF(VLOOKUP(C3899,' Disaggregation - Section E '!A$618:N2023,6,0)="","",VLOOKUP(C3899,' Disaggregation - Section E '!A$618:N2023,6,0)),"")</f>
        <v/>
      </c>
      <c r="H3899" s="512" t="str">
        <f ca="1">IFERROR(IF(INDEX(' Disaggregation - Section E '!F$618:F3220,MATCH(C3899,' Disaggregation - Section E '!A$618:A3220,0)+1,1)&lt;&gt;0,INDEX(' Disaggregation - Section E '!F$618:F$1820,MATCH(C3899,' Disaggregation - Section E '!A$618:A3220,0)+1,1),""),"")</f>
        <v/>
      </c>
      <c r="I3899" s="503" t="str">
        <f ca="1">IFERROR(IF(VLOOKUP(C3899,' Disaggregation - Section E '!A$618:N2023,8,0)=0,"",VLOOKUP(C3899,' Disaggregation - Section E '!A$618:N2023,8,0)),"")</f>
        <v/>
      </c>
      <c r="J3899" s="503" t="str">
        <f ca="1">IFERROR(IF(VLOOKUP(C3899,' Disaggregation - Section E '!A$618:N3220,13,0)=0,"",VLOOKUP(C3899,' Disaggregation - Section E '!A$618:N3220,13,0)),"")</f>
        <v/>
      </c>
      <c r="K3899" s="497" t="str">
        <f ca="1">IFERROR(VLOOKUP(C3899,' Disaggregation - Section E '!A$618:N2023,3,0),"")</f>
        <v>TCP-1⁽ᴹ⁾ Número de casos notificados de todas las formas de tuberculosis (esto es, confirmados bacteriológicamente y con diagnóstico clínico), casos nuevos y recaídas.</v>
      </c>
      <c r="L3899" s="497"/>
      <c r="M3899" s="497" t="str">
        <f ca="1">IFERROR(IF(VLOOKUP(C3899,' Disaggregation - Section E '!A$618:T2023,20,0)=0,"",VLOOKUP(C3899,' Disaggregation - Section E '!A$618:T2023,20,0)),"")</f>
        <v/>
      </c>
      <c r="N3899" s="503" t="str">
        <f ca="1">IFERROR(IF(VLOOKUP(C3899,' Disaggregation - Section E '!A$618:N2023,14,0)=0,"",VLOOKUP(C3899,' Disaggregation - Section E '!A$618:N2023,14,0)),"")</f>
        <v/>
      </c>
      <c r="O3899" s="503" t="str">
        <f ca="1">IFERROR(IF(VLOOKUP(C3899,' Disaggregation - Section E '!A$618:N2023,9,0)=0,"",VLOOKUP(C3899,' Disaggregation - Section E '!A$618:N2023,9,0)),"")</f>
        <v/>
      </c>
      <c r="P3899" s="503" t="str">
        <f ca="1">IFERROR(IF(VLOOKUP(C3899,' Disaggregation - Section E '!A$618:N2023,10,0)=0,"",VLOOKUP(C3899,' Disaggregation - Section E '!A$618:N2023,10,0)),"")</f>
        <v/>
      </c>
    </row>
    <row r="3900" spans="1:16" x14ac:dyDescent="0.35">
      <c r="A3900" s="497" t="b">
        <f t="shared" ca="1" si="229"/>
        <v>1</v>
      </c>
      <c r="B3900" s="497"/>
      <c r="C3900" s="510" t="str">
        <f ca="1">IF(COUNTA(D$2498:D3900)=1,"",OFFSET(B3898,-COUNTA(D$2498:D3900)+3,1))</f>
        <v>a163p000004NtNCAA0</v>
      </c>
      <c r="D3900" s="512"/>
      <c r="E3900" s="500" t="str">
        <f ca="1">IFERROR(IF(VLOOKUP(C3900,' Disaggregation - Section E '!A$618:N2024,7,0)="","",VLOOKUP(C3900,' Disaggregation - Section E '!A$618:N2024,7,0)*100),"")</f>
        <v/>
      </c>
      <c r="F3900" s="503" t="str">
        <f ca="1">IFERROR(VLOOKUP(C3900,' Disaggregation - Section E '!A$618:N2024,5,0),"")</f>
        <v>Transgénero</v>
      </c>
      <c r="G3900" s="502" t="str">
        <f ca="1">IFERROR(IF(VLOOKUP(C3900,' Disaggregation - Section E '!A$618:N2024,6,0)="","",VLOOKUP(C3900,' Disaggregation - Section E '!A$618:N2024,6,0)),"")</f>
        <v/>
      </c>
      <c r="H3900" s="512" t="str">
        <f ca="1">IFERROR(IF(INDEX(' Disaggregation - Section E '!F$618:F3221,MATCH(C3900,' Disaggregation - Section E '!A$618:A3221,0)+1,1)&lt;&gt;0,INDEX(' Disaggregation - Section E '!F$618:F$1820,MATCH(C3900,' Disaggregation - Section E '!A$618:A3221,0)+1,1),""),"")</f>
        <v/>
      </c>
      <c r="I3900" s="503" t="str">
        <f ca="1">IFERROR(IF(VLOOKUP(C3900,' Disaggregation - Section E '!A$618:N2024,8,0)=0,"",VLOOKUP(C3900,' Disaggregation - Section E '!A$618:N2024,8,0)),"")</f>
        <v/>
      </c>
      <c r="J3900" s="503" t="str">
        <f ca="1">IFERROR(IF(VLOOKUP(C3900,' Disaggregation - Section E '!A$618:N3221,13,0)=0,"",VLOOKUP(C3900,' Disaggregation - Section E '!A$618:N3221,13,0)),"")</f>
        <v/>
      </c>
      <c r="K3900" s="497" t="str">
        <f ca="1">IFERROR(VLOOKUP(C3900,' Disaggregation - Section E '!A$618:N2024,3,0),"")</f>
        <v>KP-1c⁽ᴹ⁾ Porcentaje de trabajadores sexuales alcanzados por programas de prevención del VIH - paquete definido de servicios</v>
      </c>
      <c r="L3900" s="497"/>
      <c r="M3900" s="497" t="str">
        <f ca="1">IFERROR(IF(VLOOKUP(C3900,' Disaggregation - Section E '!A$618:T2024,20,0)=0,"",VLOOKUP(C3900,' Disaggregation - Section E '!A$618:T2024,20,0)),"")</f>
        <v>IDR-00825</v>
      </c>
      <c r="N3900" s="503" t="str">
        <f ca="1">IFERROR(IF(VLOOKUP(C3900,' Disaggregation - Section E '!A$618:N2024,14,0)=0,"",VLOOKUP(C3900,' Disaggregation - Section E '!A$618:N2024,14,0)),"")</f>
        <v>Being a focused country, no disaggregation is required</v>
      </c>
      <c r="O3900" s="503" t="str">
        <f ca="1">IFERROR(IF(VLOOKUP(C3900,' Disaggregation - Section E '!A$618:N2024,9,0)=0,"",VLOOKUP(C3900,' Disaggregation - Section E '!A$618:N2024,9,0)),"")</f>
        <v/>
      </c>
      <c r="P3900" s="503" t="str">
        <f ca="1">IFERROR(IF(VLOOKUP(C3900,' Disaggregation - Section E '!A$618:N2024,10,0)=0,"",VLOOKUP(C3900,' Disaggregation - Section E '!A$618:N2024,10,0)),"")</f>
        <v>Al ser un país focalizado no se requiere desagregación</v>
      </c>
    </row>
    <row r="3901" spans="1:16" x14ac:dyDescent="0.35">
      <c r="A3901" s="497" t="b">
        <f t="shared" ca="1" si="229"/>
        <v>1</v>
      </c>
      <c r="B3901" s="497"/>
      <c r="C3901" s="510" t="str">
        <f ca="1">IF(COUNTA(D$2498:D3901)=1,"",OFFSET(B3899,-COUNTA(D$2498:D3901)+3,1))</f>
        <v>a163p000004NtNDAA0</v>
      </c>
      <c r="D3901" s="512"/>
      <c r="E3901" s="500" t="str">
        <f ca="1">IFERROR(IF(VLOOKUP(C3901,' Disaggregation - Section E '!A$618:N2025,7,0)="","",VLOOKUP(C3901,' Disaggregation - Section E '!A$618:N2025,7,0)*100),"")</f>
        <v/>
      </c>
      <c r="F3901" s="503" t="str">
        <f ca="1">IFERROR(VLOOKUP(C3901,' Disaggregation - Section E '!A$618:N2025,5,0),"")</f>
        <v>Mujeres</v>
      </c>
      <c r="G3901" s="502" t="str">
        <f ca="1">IFERROR(IF(VLOOKUP(C3901,' Disaggregation - Section E '!A$618:N2025,6,0)="","",VLOOKUP(C3901,' Disaggregation - Section E '!A$618:N2025,6,0)),"")</f>
        <v/>
      </c>
      <c r="H3901" s="512" t="str">
        <f ca="1">IFERROR(IF(INDEX(' Disaggregation - Section E '!F$618:F3222,MATCH(C3901,' Disaggregation - Section E '!A$618:A3222,0)+1,1)&lt;&gt;0,INDEX(' Disaggregation - Section E '!F$618:F$1820,MATCH(C3901,' Disaggregation - Section E '!A$618:A3222,0)+1,1),""),"")</f>
        <v/>
      </c>
      <c r="I3901" s="503" t="str">
        <f ca="1">IFERROR(IF(VLOOKUP(C3901,' Disaggregation - Section E '!A$618:N2025,8,0)=0,"",VLOOKUP(C3901,' Disaggregation - Section E '!A$618:N2025,8,0)),"")</f>
        <v/>
      </c>
      <c r="J3901" s="503" t="str">
        <f ca="1">IFERROR(IF(VLOOKUP(C3901,' Disaggregation - Section E '!A$618:N3222,13,0)=0,"",VLOOKUP(C3901,' Disaggregation - Section E '!A$618:N3222,13,0)),"")</f>
        <v/>
      </c>
      <c r="K3901" s="497" t="str">
        <f ca="1">IFERROR(VLOOKUP(C3901,' Disaggregation - Section E '!A$618:N2025,3,0),"")</f>
        <v>KP-1c⁽ᴹ⁾ Porcentaje de trabajadores sexuales alcanzados por programas de prevención del VIH - paquete definido de servicios</v>
      </c>
      <c r="L3901" s="497"/>
      <c r="M3901" s="497" t="str">
        <f ca="1">IFERROR(IF(VLOOKUP(C3901,' Disaggregation - Section E '!A$618:T2025,20,0)=0,"",VLOOKUP(C3901,' Disaggregation - Section E '!A$618:T2025,20,0)),"")</f>
        <v>IDR-00824</v>
      </c>
      <c r="N3901" s="503" t="str">
        <f ca="1">IFERROR(IF(VLOOKUP(C3901,' Disaggregation - Section E '!A$618:N2025,14,0)=0,"",VLOOKUP(C3901,' Disaggregation - Section E '!A$618:N2025,14,0)),"")</f>
        <v>Being a focused country, no disaggregation is required</v>
      </c>
      <c r="O3901" s="503" t="str">
        <f ca="1">IFERROR(IF(VLOOKUP(C3901,' Disaggregation - Section E '!A$618:N2025,9,0)=0,"",VLOOKUP(C3901,' Disaggregation - Section E '!A$618:N2025,9,0)),"")</f>
        <v/>
      </c>
      <c r="P3901" s="503" t="str">
        <f ca="1">IFERROR(IF(VLOOKUP(C3901,' Disaggregation - Section E '!A$618:N2025,10,0)=0,"",VLOOKUP(C3901,' Disaggregation - Section E '!A$618:N2025,10,0)),"")</f>
        <v>Al ser un país focalizado no se requiere desagregación</v>
      </c>
    </row>
    <row r="3902" spans="1:16" x14ac:dyDescent="0.35">
      <c r="A3902" s="497" t="b">
        <f t="shared" ca="1" si="229"/>
        <v>1</v>
      </c>
      <c r="B3902" s="497"/>
      <c r="C3902" s="510" t="str">
        <f ca="1">IF(COUNTA(D$2498:D3902)=1,"",OFFSET(B3900,-COUNTA(D$2498:D3902)+3,1))</f>
        <v>a163p000004NtNEAA0</v>
      </c>
      <c r="D3902" s="512"/>
      <c r="E3902" s="500" t="str">
        <f ca="1">IFERROR(IF(VLOOKUP(C3902,' Disaggregation - Section E '!A$618:N2026,7,0)="","",VLOOKUP(C3902,' Disaggregation - Section E '!A$618:N2026,7,0)*100),"")</f>
        <v/>
      </c>
      <c r="F3902" s="503" t="str">
        <f ca="1">IFERROR(VLOOKUP(C3902,' Disaggregation - Section E '!A$618:N2026,5,0),"")</f>
        <v>Hombres</v>
      </c>
      <c r="G3902" s="502" t="str">
        <f ca="1">IFERROR(IF(VLOOKUP(C3902,' Disaggregation - Section E '!A$618:N2026,6,0)="","",VLOOKUP(C3902,' Disaggregation - Section E '!A$618:N2026,6,0)),"")</f>
        <v/>
      </c>
      <c r="H3902" s="512" t="str">
        <f ca="1">IFERROR(IF(INDEX(' Disaggregation - Section E '!F$618:F3223,MATCH(C3902,' Disaggregation - Section E '!A$618:A3223,0)+1,1)&lt;&gt;0,INDEX(' Disaggregation - Section E '!F$618:F$1820,MATCH(C3902,' Disaggregation - Section E '!A$618:A3223,0)+1,1),""),"")</f>
        <v/>
      </c>
      <c r="I3902" s="503" t="str">
        <f ca="1">IFERROR(IF(VLOOKUP(C3902,' Disaggregation - Section E '!A$618:N2026,8,0)=0,"",VLOOKUP(C3902,' Disaggregation - Section E '!A$618:N2026,8,0)),"")</f>
        <v/>
      </c>
      <c r="J3902" s="503" t="str">
        <f ca="1">IFERROR(IF(VLOOKUP(C3902,' Disaggregation - Section E '!A$618:N3223,13,0)=0,"",VLOOKUP(C3902,' Disaggregation - Section E '!A$618:N3223,13,0)),"")</f>
        <v/>
      </c>
      <c r="K3902" s="497" t="str">
        <f ca="1">IFERROR(VLOOKUP(C3902,' Disaggregation - Section E '!A$618:N2026,3,0),"")</f>
        <v>KP-1c⁽ᴹ⁾ Porcentaje de trabajadores sexuales alcanzados por programas de prevención del VIH - paquete definido de servicios</v>
      </c>
      <c r="L3902" s="497"/>
      <c r="M3902" s="497" t="str">
        <f ca="1">IFERROR(IF(VLOOKUP(C3902,' Disaggregation - Section E '!A$618:T2026,20,0)=0,"",VLOOKUP(C3902,' Disaggregation - Section E '!A$618:T2026,20,0)),"")</f>
        <v>IDR-00823</v>
      </c>
      <c r="N3902" s="503" t="str">
        <f ca="1">IFERROR(IF(VLOOKUP(C3902,' Disaggregation - Section E '!A$618:N2026,14,0)=0,"",VLOOKUP(C3902,' Disaggregation - Section E '!A$618:N2026,14,0)),"")</f>
        <v>Being a focused country, no disaggregation is required</v>
      </c>
      <c r="O3902" s="503" t="str">
        <f ca="1">IFERROR(IF(VLOOKUP(C3902,' Disaggregation - Section E '!A$618:N2026,9,0)=0,"",VLOOKUP(C3902,' Disaggregation - Section E '!A$618:N2026,9,0)),"")</f>
        <v/>
      </c>
      <c r="P3902" s="503" t="str">
        <f ca="1">IFERROR(IF(VLOOKUP(C3902,' Disaggregation - Section E '!A$618:N2026,10,0)=0,"",VLOOKUP(C3902,' Disaggregation - Section E '!A$618:N2026,10,0)),"")</f>
        <v>Al ser un país focalizado no se requiere desagregación</v>
      </c>
    </row>
    <row r="3903" spans="1:16" x14ac:dyDescent="0.35">
      <c r="A3903" s="497" t="b">
        <f t="shared" ca="1" si="229"/>
        <v>1</v>
      </c>
      <c r="B3903" s="497"/>
      <c r="C3903" s="510" t="str">
        <f ca="1">IF(COUNTA(D$2498:D3903)=1,"",OFFSET(B3901,-COUNTA(D$2498:D3903)+3,1))</f>
        <v>a163p000004NtNFAA0</v>
      </c>
      <c r="D3903" s="512"/>
      <c r="E3903" s="500" t="str">
        <f ca="1">IFERROR(IF(VLOOKUP(C3903,' Disaggregation - Section E '!A$618:N2027,7,0)="","",VLOOKUP(C3903,' Disaggregation - Section E '!A$618:N2027,7,0)*100),"")</f>
        <v/>
      </c>
      <c r="F3903" s="503" t="str">
        <f ca="1">IFERROR(VLOOKUP(C3903,' Disaggregation - Section E '!A$618:N2027,5,0),"")</f>
        <v>25+</v>
      </c>
      <c r="G3903" s="502" t="str">
        <f ca="1">IFERROR(IF(VLOOKUP(C3903,' Disaggregation - Section E '!A$618:N2027,6,0)="","",VLOOKUP(C3903,' Disaggregation - Section E '!A$618:N2027,6,0)),"")</f>
        <v/>
      </c>
      <c r="H3903" s="512" t="str">
        <f ca="1">IFERROR(IF(INDEX(' Disaggregation - Section E '!F$618:F3224,MATCH(C3903,' Disaggregation - Section E '!A$618:A3224,0)+1,1)&lt;&gt;0,INDEX(' Disaggregation - Section E '!F$618:F$1820,MATCH(C3903,' Disaggregation - Section E '!A$618:A3224,0)+1,1),""),"")</f>
        <v/>
      </c>
      <c r="I3903" s="503" t="str">
        <f ca="1">IFERROR(IF(VLOOKUP(C3903,' Disaggregation - Section E '!A$618:N2027,8,0)=0,"",VLOOKUP(C3903,' Disaggregation - Section E '!A$618:N2027,8,0)),"")</f>
        <v/>
      </c>
      <c r="J3903" s="503" t="str">
        <f ca="1">IFERROR(IF(VLOOKUP(C3903,' Disaggregation - Section E '!A$618:N3224,13,0)=0,"",VLOOKUP(C3903,' Disaggregation - Section E '!A$618:N3224,13,0)),"")</f>
        <v/>
      </c>
      <c r="K3903" s="497" t="str">
        <f ca="1">IFERROR(VLOOKUP(C3903,' Disaggregation - Section E '!A$618:N2027,3,0),"")</f>
        <v>KP-1c⁽ᴹ⁾ Porcentaje de trabajadores sexuales alcanzados por programas de prevención del VIH - paquete definido de servicios</v>
      </c>
      <c r="L3903" s="497"/>
      <c r="M3903" s="497" t="str">
        <f ca="1">IFERROR(IF(VLOOKUP(C3903,' Disaggregation - Section E '!A$618:T2027,20,0)=0,"",VLOOKUP(C3903,' Disaggregation - Section E '!A$618:T2027,20,0)),"")</f>
        <v>IDR-00704</v>
      </c>
      <c r="N3903" s="503" t="str">
        <f ca="1">IFERROR(IF(VLOOKUP(C3903,' Disaggregation - Section E '!A$618:N2027,14,0)=0,"",VLOOKUP(C3903,' Disaggregation - Section E '!A$618:N2027,14,0)),"")</f>
        <v>Being a focused country, no disaggregation is required</v>
      </c>
      <c r="O3903" s="503" t="str">
        <f ca="1">IFERROR(IF(VLOOKUP(C3903,' Disaggregation - Section E '!A$618:N2027,9,0)=0,"",VLOOKUP(C3903,' Disaggregation - Section E '!A$618:N2027,9,0)),"")</f>
        <v/>
      </c>
      <c r="P3903" s="503" t="str">
        <f ca="1">IFERROR(IF(VLOOKUP(C3903,' Disaggregation - Section E '!A$618:N2027,10,0)=0,"",VLOOKUP(C3903,' Disaggregation - Section E '!A$618:N2027,10,0)),"")</f>
        <v>Al ser un país focalizado no se requiere desagregación</v>
      </c>
    </row>
    <row r="3904" spans="1:16" x14ac:dyDescent="0.35">
      <c r="A3904" s="497" t="b">
        <f t="shared" ca="1" si="229"/>
        <v>1</v>
      </c>
      <c r="B3904" s="497"/>
      <c r="C3904" s="510" t="str">
        <f ca="1">IF(COUNTA(D$2498:D3904)=1,"",OFFSET(B3902,-COUNTA(D$2498:D3904)+3,1))</f>
        <v>a163p000004NtNGAA0</v>
      </c>
      <c r="D3904" s="512"/>
      <c r="E3904" s="500" t="str">
        <f ca="1">IFERROR(IF(VLOOKUP(C3904,' Disaggregation - Section E '!A$618:N2028,7,0)="","",VLOOKUP(C3904,' Disaggregation - Section E '!A$618:N2028,7,0)*100),"")</f>
        <v/>
      </c>
      <c r="F3904" s="503" t="str">
        <f ca="1">IFERROR(VLOOKUP(C3904,' Disaggregation - Section E '!A$618:N2028,5,0),"")</f>
        <v>&lt;25</v>
      </c>
      <c r="G3904" s="502" t="str">
        <f ca="1">IFERROR(IF(VLOOKUP(C3904,' Disaggregation - Section E '!A$618:N2028,6,0)="","",VLOOKUP(C3904,' Disaggregation - Section E '!A$618:N2028,6,0)),"")</f>
        <v/>
      </c>
      <c r="H3904" s="512" t="str">
        <f ca="1">IFERROR(IF(INDEX(' Disaggregation - Section E '!F$618:F3225,MATCH(C3904,' Disaggregation - Section E '!A$618:A3225,0)+1,1)&lt;&gt;0,INDEX(' Disaggregation - Section E '!F$618:F$1820,MATCH(C3904,' Disaggregation - Section E '!A$618:A3225,0)+1,1),""),"")</f>
        <v/>
      </c>
      <c r="I3904" s="503" t="str">
        <f ca="1">IFERROR(IF(VLOOKUP(C3904,' Disaggregation - Section E '!A$618:N2028,8,0)=0,"",VLOOKUP(C3904,' Disaggregation - Section E '!A$618:N2028,8,0)),"")</f>
        <v/>
      </c>
      <c r="J3904" s="503" t="str">
        <f ca="1">IFERROR(IF(VLOOKUP(C3904,' Disaggregation - Section E '!A$618:N3225,13,0)=0,"",VLOOKUP(C3904,' Disaggregation - Section E '!A$618:N3225,13,0)),"")</f>
        <v/>
      </c>
      <c r="K3904" s="497" t="str">
        <f ca="1">IFERROR(VLOOKUP(C3904,' Disaggregation - Section E '!A$618:N2028,3,0),"")</f>
        <v>KP-1c⁽ᴹ⁾ Porcentaje de trabajadores sexuales alcanzados por programas de prevención del VIH - paquete definido de servicios</v>
      </c>
      <c r="L3904" s="497"/>
      <c r="M3904" s="497" t="str">
        <f ca="1">IFERROR(IF(VLOOKUP(C3904,' Disaggregation - Section E '!A$618:T2028,20,0)=0,"",VLOOKUP(C3904,' Disaggregation - Section E '!A$618:T2028,20,0)),"")</f>
        <v>IDR-00703</v>
      </c>
      <c r="N3904" s="503" t="str">
        <f ca="1">IFERROR(IF(VLOOKUP(C3904,' Disaggregation - Section E '!A$618:N2028,14,0)=0,"",VLOOKUP(C3904,' Disaggregation - Section E '!A$618:N2028,14,0)),"")</f>
        <v>Being a focused country, no disaggregation is required</v>
      </c>
      <c r="O3904" s="503" t="str">
        <f ca="1">IFERROR(IF(VLOOKUP(C3904,' Disaggregation - Section E '!A$618:N2028,9,0)=0,"",VLOOKUP(C3904,' Disaggregation - Section E '!A$618:N2028,9,0)),"")</f>
        <v/>
      </c>
      <c r="P3904" s="503" t="str">
        <f ca="1">IFERROR(IF(VLOOKUP(C3904,' Disaggregation - Section E '!A$618:N2028,10,0)=0,"",VLOOKUP(C3904,' Disaggregation - Section E '!A$618:N2028,10,0)),"")</f>
        <v>Al ser un país focalizado no se requiere desagregación</v>
      </c>
    </row>
    <row r="3905" spans="1:16" x14ac:dyDescent="0.35">
      <c r="A3905" s="497" t="b">
        <f t="shared" ca="1" si="229"/>
        <v>0</v>
      </c>
      <c r="B3905" s="497"/>
      <c r="C3905" s="510" t="str">
        <f ca="1">IF(COUNTA(D$2498:D3905)=1,"",OFFSET(B3903,-COUNTA(D$2498:D3905)+3,1))</f>
        <v>a163p000004NtNHAA0</v>
      </c>
      <c r="D3905" s="512"/>
      <c r="E3905" s="500" t="str">
        <f ca="1">IFERROR(IF(VLOOKUP(C3905,' Disaggregation - Section E '!A$618:N2029,7,0)="","",VLOOKUP(C3905,' Disaggregation - Section E '!A$618:N2029,7,0)*100),"")</f>
        <v/>
      </c>
      <c r="F3905" s="503" t="str">
        <f ca="1">IFERROR(VLOOKUP(C3905,' Disaggregation - Section E '!A$618:N2029,5,0),"")</f>
        <v/>
      </c>
      <c r="G3905" s="502" t="str">
        <f ca="1">IFERROR(IF(VLOOKUP(C3905,' Disaggregation - Section E '!A$618:N2029,6,0)="","",VLOOKUP(C3905,' Disaggregation - Section E '!A$618:N2029,6,0)),"")</f>
        <v/>
      </c>
      <c r="H3905" s="512" t="str">
        <f ca="1">IFERROR(IF(INDEX(' Disaggregation - Section E '!F$618:F3226,MATCH(C3905,' Disaggregation - Section E '!A$618:A3226,0)+1,1)&lt;&gt;0,INDEX(' Disaggregation - Section E '!F$618:F$1820,MATCH(C3905,' Disaggregation - Section E '!A$618:A3226,0)+1,1),""),"")</f>
        <v/>
      </c>
      <c r="I3905" s="503" t="str">
        <f ca="1">IFERROR(IF(VLOOKUP(C3905,' Disaggregation - Section E '!A$618:N2029,8,0)=0,"",VLOOKUP(C3905,' Disaggregation - Section E '!A$618:N2029,8,0)),"")</f>
        <v/>
      </c>
      <c r="J3905" s="503" t="str">
        <f ca="1">IFERROR(IF(VLOOKUP(C3905,' Disaggregation - Section E '!A$618:N3226,13,0)=0,"",VLOOKUP(C3905,' Disaggregation - Section E '!A$618:N3226,13,0)),"")</f>
        <v/>
      </c>
      <c r="K3905" s="497" t="str">
        <f ca="1">IFERROR(VLOOKUP(C3905,' Disaggregation - Section E '!A$618:N2029,3,0),"")</f>
        <v>KP-1c⁽ᴹ⁾ Porcentaje de trabajadores sexuales alcanzados por programas de prevención del VIH - paquete definido de servicios</v>
      </c>
      <c r="L3905" s="497"/>
      <c r="M3905" s="497" t="str">
        <f ca="1">IFERROR(IF(VLOOKUP(C3905,' Disaggregation - Section E '!A$618:T2029,20,0)=0,"",VLOOKUP(C3905,' Disaggregation - Section E '!A$618:T2029,20,0)),"")</f>
        <v/>
      </c>
      <c r="N3905" s="503" t="str">
        <f ca="1">IFERROR(IF(VLOOKUP(C3905,' Disaggregation - Section E '!A$618:N2029,14,0)=0,"",VLOOKUP(C3905,' Disaggregation - Section E '!A$618:N2029,14,0)),"")</f>
        <v/>
      </c>
      <c r="O3905" s="503" t="str">
        <f ca="1">IFERROR(IF(VLOOKUP(C3905,' Disaggregation - Section E '!A$618:N2029,9,0)=0,"",VLOOKUP(C3905,' Disaggregation - Section E '!A$618:N2029,9,0)),"")</f>
        <v/>
      </c>
      <c r="P3905" s="503" t="str">
        <f ca="1">IFERROR(IF(VLOOKUP(C3905,' Disaggregation - Section E '!A$618:N2029,10,0)=0,"",VLOOKUP(C3905,' Disaggregation - Section E '!A$618:N2029,10,0)),"")</f>
        <v/>
      </c>
    </row>
    <row r="3906" spans="1:16" x14ac:dyDescent="0.35">
      <c r="A3906" s="497" t="b">
        <f t="shared" ca="1" si="229"/>
        <v>0</v>
      </c>
      <c r="B3906" s="497"/>
      <c r="C3906" s="510" t="str">
        <f ca="1">IF(COUNTA(D$2498:D3906)=1,"",OFFSET(B3904,-COUNTA(D$2498:D3906)+3,1))</f>
        <v>a163p000004NtNIAA0</v>
      </c>
      <c r="D3906" s="512"/>
      <c r="E3906" s="500" t="str">
        <f ca="1">IFERROR(IF(VLOOKUP(C3906,' Disaggregation - Section E '!A$618:N2030,7,0)="","",VLOOKUP(C3906,' Disaggregation - Section E '!A$618:N2030,7,0)*100),"")</f>
        <v/>
      </c>
      <c r="F3906" s="503" t="str">
        <f ca="1">IFERROR(VLOOKUP(C3906,' Disaggregation - Section E '!A$618:N2030,5,0),"")</f>
        <v/>
      </c>
      <c r="G3906" s="502" t="str">
        <f ca="1">IFERROR(IF(VLOOKUP(C3906,' Disaggregation - Section E '!A$618:N2030,6,0)="","",VLOOKUP(C3906,' Disaggregation - Section E '!A$618:N2030,6,0)),"")</f>
        <v/>
      </c>
      <c r="H3906" s="512" t="str">
        <f ca="1">IFERROR(IF(INDEX(' Disaggregation - Section E '!F$618:F3227,MATCH(C3906,' Disaggregation - Section E '!A$618:A3227,0)+1,1)&lt;&gt;0,INDEX(' Disaggregation - Section E '!F$618:F$1820,MATCH(C3906,' Disaggregation - Section E '!A$618:A3227,0)+1,1),""),"")</f>
        <v/>
      </c>
      <c r="I3906" s="503" t="str">
        <f ca="1">IFERROR(IF(VLOOKUP(C3906,' Disaggregation - Section E '!A$618:N2030,8,0)=0,"",VLOOKUP(C3906,' Disaggregation - Section E '!A$618:N2030,8,0)),"")</f>
        <v/>
      </c>
      <c r="J3906" s="503" t="str">
        <f ca="1">IFERROR(IF(VLOOKUP(C3906,' Disaggregation - Section E '!A$618:N3227,13,0)=0,"",VLOOKUP(C3906,' Disaggregation - Section E '!A$618:N3227,13,0)),"")</f>
        <v/>
      </c>
      <c r="K3906" s="497" t="str">
        <f ca="1">IFERROR(VLOOKUP(C3906,' Disaggregation - Section E '!A$618:N2030,3,0),"")</f>
        <v>KP-1c⁽ᴹ⁾ Porcentaje de trabajadores sexuales alcanzados por programas de prevención del VIH - paquete definido de servicios</v>
      </c>
      <c r="L3906" s="497"/>
      <c r="M3906" s="497" t="str">
        <f ca="1">IFERROR(IF(VLOOKUP(C3906,' Disaggregation - Section E '!A$618:T2030,20,0)=0,"",VLOOKUP(C3906,' Disaggregation - Section E '!A$618:T2030,20,0)),"")</f>
        <v/>
      </c>
      <c r="N3906" s="503" t="str">
        <f ca="1">IFERROR(IF(VLOOKUP(C3906,' Disaggregation - Section E '!A$618:N2030,14,0)=0,"",VLOOKUP(C3906,' Disaggregation - Section E '!A$618:N2030,14,0)),"")</f>
        <v/>
      </c>
      <c r="O3906" s="503" t="str">
        <f ca="1">IFERROR(IF(VLOOKUP(C3906,' Disaggregation - Section E '!A$618:N2030,9,0)=0,"",VLOOKUP(C3906,' Disaggregation - Section E '!A$618:N2030,9,0)),"")</f>
        <v/>
      </c>
      <c r="P3906" s="503" t="str">
        <f ca="1">IFERROR(IF(VLOOKUP(C3906,' Disaggregation - Section E '!A$618:N2030,10,0)=0,"",VLOOKUP(C3906,' Disaggregation - Section E '!A$618:N2030,10,0)),"")</f>
        <v/>
      </c>
    </row>
    <row r="3907" spans="1:16" x14ac:dyDescent="0.35">
      <c r="A3907" s="497" t="b">
        <f t="shared" ca="1" si="229"/>
        <v>0</v>
      </c>
      <c r="B3907" s="497"/>
      <c r="C3907" s="510" t="str">
        <f ca="1">IF(COUNTA(D$2498:D3907)=1,"",OFFSET(B3905,-COUNTA(D$2498:D3907)+3,1))</f>
        <v>a163p000004NtNJAA0</v>
      </c>
      <c r="D3907" s="512"/>
      <c r="E3907" s="500" t="str">
        <f ca="1">IFERROR(IF(VLOOKUP(C3907,' Disaggregation - Section E '!A$618:N2031,7,0)="","",VLOOKUP(C3907,' Disaggregation - Section E '!A$618:N2031,7,0)*100),"")</f>
        <v/>
      </c>
      <c r="F3907" s="503" t="str">
        <f ca="1">IFERROR(VLOOKUP(C3907,' Disaggregation - Section E '!A$618:N2031,5,0),"")</f>
        <v/>
      </c>
      <c r="G3907" s="502" t="str">
        <f ca="1">IFERROR(IF(VLOOKUP(C3907,' Disaggregation - Section E '!A$618:N2031,6,0)="","",VLOOKUP(C3907,' Disaggregation - Section E '!A$618:N2031,6,0)),"")</f>
        <v/>
      </c>
      <c r="H3907" s="512" t="str">
        <f ca="1">IFERROR(IF(INDEX(' Disaggregation - Section E '!F$618:F3228,MATCH(C3907,' Disaggregation - Section E '!A$618:A3228,0)+1,1)&lt;&gt;0,INDEX(' Disaggregation - Section E '!F$618:F$1820,MATCH(C3907,' Disaggregation - Section E '!A$618:A3228,0)+1,1),""),"")</f>
        <v/>
      </c>
      <c r="I3907" s="503" t="str">
        <f ca="1">IFERROR(IF(VLOOKUP(C3907,' Disaggregation - Section E '!A$618:N2031,8,0)=0,"",VLOOKUP(C3907,' Disaggregation - Section E '!A$618:N2031,8,0)),"")</f>
        <v/>
      </c>
      <c r="J3907" s="503" t="str">
        <f ca="1">IFERROR(IF(VLOOKUP(C3907,' Disaggregation - Section E '!A$618:N3228,13,0)=0,"",VLOOKUP(C3907,' Disaggregation - Section E '!A$618:N3228,13,0)),"")</f>
        <v/>
      </c>
      <c r="K3907" s="497" t="str">
        <f ca="1">IFERROR(VLOOKUP(C3907,' Disaggregation - Section E '!A$618:N2031,3,0),"")</f>
        <v>KP-1c⁽ᴹ⁾ Porcentaje de trabajadores sexuales alcanzados por programas de prevención del VIH - paquete definido de servicios</v>
      </c>
      <c r="L3907" s="497"/>
      <c r="M3907" s="497" t="str">
        <f ca="1">IFERROR(IF(VLOOKUP(C3907,' Disaggregation - Section E '!A$618:T2031,20,0)=0,"",VLOOKUP(C3907,' Disaggregation - Section E '!A$618:T2031,20,0)),"")</f>
        <v/>
      </c>
      <c r="N3907" s="503" t="str">
        <f ca="1">IFERROR(IF(VLOOKUP(C3907,' Disaggregation - Section E '!A$618:N2031,14,0)=0,"",VLOOKUP(C3907,' Disaggregation - Section E '!A$618:N2031,14,0)),"")</f>
        <v/>
      </c>
      <c r="O3907" s="503" t="str">
        <f ca="1">IFERROR(IF(VLOOKUP(C3907,' Disaggregation - Section E '!A$618:N2031,9,0)=0,"",VLOOKUP(C3907,' Disaggregation - Section E '!A$618:N2031,9,0)),"")</f>
        <v/>
      </c>
      <c r="P3907" s="503" t="str">
        <f ca="1">IFERROR(IF(VLOOKUP(C3907,' Disaggregation - Section E '!A$618:N2031,10,0)=0,"",VLOOKUP(C3907,' Disaggregation - Section E '!A$618:N2031,10,0)),"")</f>
        <v/>
      </c>
    </row>
    <row r="3908" spans="1:16" x14ac:dyDescent="0.35">
      <c r="A3908" s="497" t="b">
        <f t="shared" ca="1" si="229"/>
        <v>0</v>
      </c>
      <c r="B3908" s="497"/>
      <c r="C3908" s="510" t="str">
        <f ca="1">IF(COUNTA(D$2498:D3908)=1,"",OFFSET(B3906,-COUNTA(D$2498:D3908)+3,1))</f>
        <v>a163p000004NtNKAA0</v>
      </c>
      <c r="D3908" s="512"/>
      <c r="E3908" s="500" t="str">
        <f ca="1">IFERROR(IF(VLOOKUP(C3908,' Disaggregation - Section E '!A$618:N2032,7,0)="","",VLOOKUP(C3908,' Disaggregation - Section E '!A$618:N2032,7,0)*100),"")</f>
        <v/>
      </c>
      <c r="F3908" s="503" t="str">
        <f ca="1">IFERROR(VLOOKUP(C3908,' Disaggregation - Section E '!A$618:N2032,5,0),"")</f>
        <v/>
      </c>
      <c r="G3908" s="502" t="str">
        <f ca="1">IFERROR(IF(VLOOKUP(C3908,' Disaggregation - Section E '!A$618:N2032,6,0)="","",VLOOKUP(C3908,' Disaggregation - Section E '!A$618:N2032,6,0)),"")</f>
        <v/>
      </c>
      <c r="H3908" s="512" t="str">
        <f ca="1">IFERROR(IF(INDEX(' Disaggregation - Section E '!F$618:F3229,MATCH(C3908,' Disaggregation - Section E '!A$618:A3229,0)+1,1)&lt;&gt;0,INDEX(' Disaggregation - Section E '!F$618:F$1820,MATCH(C3908,' Disaggregation - Section E '!A$618:A3229,0)+1,1),""),"")</f>
        <v/>
      </c>
      <c r="I3908" s="503" t="str">
        <f ca="1">IFERROR(IF(VLOOKUP(C3908,' Disaggregation - Section E '!A$618:N2032,8,0)=0,"",VLOOKUP(C3908,' Disaggregation - Section E '!A$618:N2032,8,0)),"")</f>
        <v/>
      </c>
      <c r="J3908" s="503" t="str">
        <f ca="1">IFERROR(IF(VLOOKUP(C3908,' Disaggregation - Section E '!A$618:N3229,13,0)=0,"",VLOOKUP(C3908,' Disaggregation - Section E '!A$618:N3229,13,0)),"")</f>
        <v/>
      </c>
      <c r="K3908" s="497" t="str">
        <f ca="1">IFERROR(VLOOKUP(C3908,' Disaggregation - Section E '!A$618:N2032,3,0),"")</f>
        <v>KP-1c⁽ᴹ⁾ Porcentaje de trabajadores sexuales alcanzados por programas de prevención del VIH - paquete definido de servicios</v>
      </c>
      <c r="L3908" s="497"/>
      <c r="M3908" s="497" t="str">
        <f ca="1">IFERROR(IF(VLOOKUP(C3908,' Disaggregation - Section E '!A$618:T2032,20,0)=0,"",VLOOKUP(C3908,' Disaggregation - Section E '!A$618:T2032,20,0)),"")</f>
        <v/>
      </c>
      <c r="N3908" s="503" t="str">
        <f ca="1">IFERROR(IF(VLOOKUP(C3908,' Disaggregation - Section E '!A$618:N2032,14,0)=0,"",VLOOKUP(C3908,' Disaggregation - Section E '!A$618:N2032,14,0)),"")</f>
        <v/>
      </c>
      <c r="O3908" s="503" t="str">
        <f ca="1">IFERROR(IF(VLOOKUP(C3908,' Disaggregation - Section E '!A$618:N2032,9,0)=0,"",VLOOKUP(C3908,' Disaggregation - Section E '!A$618:N2032,9,0)),"")</f>
        <v/>
      </c>
      <c r="P3908" s="503" t="str">
        <f ca="1">IFERROR(IF(VLOOKUP(C3908,' Disaggregation - Section E '!A$618:N2032,10,0)=0,"",VLOOKUP(C3908,' Disaggregation - Section E '!A$618:N2032,10,0)),"")</f>
        <v/>
      </c>
    </row>
    <row r="3909" spans="1:16" x14ac:dyDescent="0.35">
      <c r="A3909" s="497" t="b">
        <f t="shared" ca="1" si="229"/>
        <v>0</v>
      </c>
      <c r="B3909" s="497"/>
      <c r="C3909" s="510" t="str">
        <f ca="1">IF(COUNTA(D$2498:D3909)=1,"",OFFSET(B3907,-COUNTA(D$2498:D3909)+3,1))</f>
        <v>a163p000004NtNLAA0</v>
      </c>
      <c r="D3909" s="512"/>
      <c r="E3909" s="500" t="str">
        <f ca="1">IFERROR(IF(VLOOKUP(C3909,' Disaggregation - Section E '!A$618:N2033,7,0)="","",VLOOKUP(C3909,' Disaggregation - Section E '!A$618:N2033,7,0)*100),"")</f>
        <v/>
      </c>
      <c r="F3909" s="503" t="str">
        <f ca="1">IFERROR(VLOOKUP(C3909,' Disaggregation - Section E '!A$618:N2033,5,0),"")</f>
        <v/>
      </c>
      <c r="G3909" s="502" t="str">
        <f ca="1">IFERROR(IF(VLOOKUP(C3909,' Disaggregation - Section E '!A$618:N2033,6,0)="","",VLOOKUP(C3909,' Disaggregation - Section E '!A$618:N2033,6,0)),"")</f>
        <v/>
      </c>
      <c r="H3909" s="512" t="str">
        <f ca="1">IFERROR(IF(INDEX(' Disaggregation - Section E '!F$618:F3230,MATCH(C3909,' Disaggregation - Section E '!A$618:A3230,0)+1,1)&lt;&gt;0,INDEX(' Disaggregation - Section E '!F$618:F$1820,MATCH(C3909,' Disaggregation - Section E '!A$618:A3230,0)+1,1),""),"")</f>
        <v/>
      </c>
      <c r="I3909" s="503" t="str">
        <f ca="1">IFERROR(IF(VLOOKUP(C3909,' Disaggregation - Section E '!A$618:N2033,8,0)=0,"",VLOOKUP(C3909,' Disaggregation - Section E '!A$618:N2033,8,0)),"")</f>
        <v/>
      </c>
      <c r="J3909" s="503" t="str">
        <f ca="1">IFERROR(IF(VLOOKUP(C3909,' Disaggregation - Section E '!A$618:N3230,13,0)=0,"",VLOOKUP(C3909,' Disaggregation - Section E '!A$618:N3230,13,0)),"")</f>
        <v/>
      </c>
      <c r="K3909" s="497" t="str">
        <f ca="1">IFERROR(VLOOKUP(C3909,' Disaggregation - Section E '!A$618:N2033,3,0),"")</f>
        <v>KP-1c⁽ᴹ⁾ Porcentaje de trabajadores sexuales alcanzados por programas de prevención del VIH - paquete definido de servicios</v>
      </c>
      <c r="L3909" s="497"/>
      <c r="M3909" s="497" t="str">
        <f ca="1">IFERROR(IF(VLOOKUP(C3909,' Disaggregation - Section E '!A$618:T2033,20,0)=0,"",VLOOKUP(C3909,' Disaggregation - Section E '!A$618:T2033,20,0)),"")</f>
        <v/>
      </c>
      <c r="N3909" s="503" t="str">
        <f ca="1">IFERROR(IF(VLOOKUP(C3909,' Disaggregation - Section E '!A$618:N2033,14,0)=0,"",VLOOKUP(C3909,' Disaggregation - Section E '!A$618:N2033,14,0)),"")</f>
        <v/>
      </c>
      <c r="O3909" s="503" t="str">
        <f ca="1">IFERROR(IF(VLOOKUP(C3909,' Disaggregation - Section E '!A$618:N2033,9,0)=0,"",VLOOKUP(C3909,' Disaggregation - Section E '!A$618:N2033,9,0)),"")</f>
        <v/>
      </c>
      <c r="P3909" s="503" t="str">
        <f ca="1">IFERROR(IF(VLOOKUP(C3909,' Disaggregation - Section E '!A$618:N2033,10,0)=0,"",VLOOKUP(C3909,' Disaggregation - Section E '!A$618:N2033,10,0)),"")</f>
        <v/>
      </c>
    </row>
    <row r="3910" spans="1:16" x14ac:dyDescent="0.35">
      <c r="A3910" s="497" t="b">
        <f t="shared" ca="1" si="229"/>
        <v>0</v>
      </c>
      <c r="B3910" s="497"/>
      <c r="C3910" s="510" t="str">
        <f ca="1">IF(COUNTA(D$2498:D3910)=1,"",OFFSET(B3908,-COUNTA(D$2498:D3910)+3,1))</f>
        <v>a163p000004NtNMAA0</v>
      </c>
      <c r="D3910" s="512"/>
      <c r="E3910" s="500" t="str">
        <f ca="1">IFERROR(IF(VLOOKUP(C3910,' Disaggregation - Section E '!A$618:N2034,7,0)="","",VLOOKUP(C3910,' Disaggregation - Section E '!A$618:N2034,7,0)*100),"")</f>
        <v/>
      </c>
      <c r="F3910" s="503" t="str">
        <f ca="1">IFERROR(VLOOKUP(C3910,' Disaggregation - Section E '!A$618:N2034,5,0),"")</f>
        <v/>
      </c>
      <c r="G3910" s="502" t="str">
        <f ca="1">IFERROR(IF(VLOOKUP(C3910,' Disaggregation - Section E '!A$618:N2034,6,0)="","",VLOOKUP(C3910,' Disaggregation - Section E '!A$618:N2034,6,0)),"")</f>
        <v/>
      </c>
      <c r="H3910" s="512" t="str">
        <f ca="1">IFERROR(IF(INDEX(' Disaggregation - Section E '!F$618:F3231,MATCH(C3910,' Disaggregation - Section E '!A$618:A3231,0)+1,1)&lt;&gt;0,INDEX(' Disaggregation - Section E '!F$618:F$1820,MATCH(C3910,' Disaggregation - Section E '!A$618:A3231,0)+1,1),""),"")</f>
        <v/>
      </c>
      <c r="I3910" s="503" t="str">
        <f ca="1">IFERROR(IF(VLOOKUP(C3910,' Disaggregation - Section E '!A$618:N2034,8,0)=0,"",VLOOKUP(C3910,' Disaggregation - Section E '!A$618:N2034,8,0)),"")</f>
        <v/>
      </c>
      <c r="J3910" s="503" t="str">
        <f ca="1">IFERROR(IF(VLOOKUP(C3910,' Disaggregation - Section E '!A$618:N3231,13,0)=0,"",VLOOKUP(C3910,' Disaggregation - Section E '!A$618:N3231,13,0)),"")</f>
        <v/>
      </c>
      <c r="K3910" s="497" t="str">
        <f ca="1">IFERROR(VLOOKUP(C3910,' Disaggregation - Section E '!A$618:N2034,3,0),"")</f>
        <v>KP-1c⁽ᴹ⁾ Porcentaje de trabajadores sexuales alcanzados por programas de prevención del VIH - paquete definido de servicios</v>
      </c>
      <c r="L3910" s="497"/>
      <c r="M3910" s="497" t="str">
        <f ca="1">IFERROR(IF(VLOOKUP(C3910,' Disaggregation - Section E '!A$618:T2034,20,0)=0,"",VLOOKUP(C3910,' Disaggregation - Section E '!A$618:T2034,20,0)),"")</f>
        <v/>
      </c>
      <c r="N3910" s="503" t="str">
        <f ca="1">IFERROR(IF(VLOOKUP(C3910,' Disaggregation - Section E '!A$618:N2034,14,0)=0,"",VLOOKUP(C3910,' Disaggregation - Section E '!A$618:N2034,14,0)),"")</f>
        <v/>
      </c>
      <c r="O3910" s="503" t="str">
        <f ca="1">IFERROR(IF(VLOOKUP(C3910,' Disaggregation - Section E '!A$618:N2034,9,0)=0,"",VLOOKUP(C3910,' Disaggregation - Section E '!A$618:N2034,9,0)),"")</f>
        <v/>
      </c>
      <c r="P3910" s="503" t="str">
        <f ca="1">IFERROR(IF(VLOOKUP(C3910,' Disaggregation - Section E '!A$618:N2034,10,0)=0,"",VLOOKUP(C3910,' Disaggregation - Section E '!A$618:N2034,10,0)),"")</f>
        <v/>
      </c>
    </row>
    <row r="3911" spans="1:16" x14ac:dyDescent="0.35">
      <c r="A3911" s="497" t="b">
        <f t="shared" ca="1" si="229"/>
        <v>0</v>
      </c>
      <c r="B3911" s="497"/>
      <c r="C3911" s="510" t="str">
        <f ca="1">IF(COUNTA(D$2498:D3911)=1,"",OFFSET(B3909,-COUNTA(D$2498:D3911)+3,1))</f>
        <v>a163p000004NtNNAA0</v>
      </c>
      <c r="D3911" s="512"/>
      <c r="E3911" s="500" t="str">
        <f ca="1">IFERROR(IF(VLOOKUP(C3911,' Disaggregation - Section E '!A$618:N2035,7,0)="","",VLOOKUP(C3911,' Disaggregation - Section E '!A$618:N2035,7,0)*100),"")</f>
        <v/>
      </c>
      <c r="F3911" s="503" t="str">
        <f ca="1">IFERROR(VLOOKUP(C3911,' Disaggregation - Section E '!A$618:N2035,5,0),"")</f>
        <v/>
      </c>
      <c r="G3911" s="502" t="str">
        <f ca="1">IFERROR(IF(VLOOKUP(C3911,' Disaggregation - Section E '!A$618:N2035,6,0)="","",VLOOKUP(C3911,' Disaggregation - Section E '!A$618:N2035,6,0)),"")</f>
        <v/>
      </c>
      <c r="H3911" s="512" t="str">
        <f ca="1">IFERROR(IF(INDEX(' Disaggregation - Section E '!F$618:F3232,MATCH(C3911,' Disaggregation - Section E '!A$618:A3232,0)+1,1)&lt;&gt;0,INDEX(' Disaggregation - Section E '!F$618:F$1820,MATCH(C3911,' Disaggregation - Section E '!A$618:A3232,0)+1,1),""),"")</f>
        <v/>
      </c>
      <c r="I3911" s="503" t="str">
        <f ca="1">IFERROR(IF(VLOOKUP(C3911,' Disaggregation - Section E '!A$618:N2035,8,0)=0,"",VLOOKUP(C3911,' Disaggregation - Section E '!A$618:N2035,8,0)),"")</f>
        <v/>
      </c>
      <c r="J3911" s="503" t="str">
        <f ca="1">IFERROR(IF(VLOOKUP(C3911,' Disaggregation - Section E '!A$618:N3232,13,0)=0,"",VLOOKUP(C3911,' Disaggregation - Section E '!A$618:N3232,13,0)),"")</f>
        <v/>
      </c>
      <c r="K3911" s="497" t="str">
        <f ca="1">IFERROR(VLOOKUP(C3911,' Disaggregation - Section E '!A$618:N2035,3,0),"")</f>
        <v>KP-1c⁽ᴹ⁾ Porcentaje de trabajadores sexuales alcanzados por programas de prevención del VIH - paquete definido de servicios</v>
      </c>
      <c r="L3911" s="497"/>
      <c r="M3911" s="497" t="str">
        <f ca="1">IFERROR(IF(VLOOKUP(C3911,' Disaggregation - Section E '!A$618:T2035,20,0)=0,"",VLOOKUP(C3911,' Disaggregation - Section E '!A$618:T2035,20,0)),"")</f>
        <v/>
      </c>
      <c r="N3911" s="503" t="str">
        <f ca="1">IFERROR(IF(VLOOKUP(C3911,' Disaggregation - Section E '!A$618:N2035,14,0)=0,"",VLOOKUP(C3911,' Disaggregation - Section E '!A$618:N2035,14,0)),"")</f>
        <v/>
      </c>
      <c r="O3911" s="503" t="str">
        <f ca="1">IFERROR(IF(VLOOKUP(C3911,' Disaggregation - Section E '!A$618:N2035,9,0)=0,"",VLOOKUP(C3911,' Disaggregation - Section E '!A$618:N2035,9,0)),"")</f>
        <v/>
      </c>
      <c r="P3911" s="503" t="str">
        <f ca="1">IFERROR(IF(VLOOKUP(C3911,' Disaggregation - Section E '!A$618:N2035,10,0)=0,"",VLOOKUP(C3911,' Disaggregation - Section E '!A$618:N2035,10,0)),"")</f>
        <v/>
      </c>
    </row>
    <row r="3912" spans="1:16" x14ac:dyDescent="0.35">
      <c r="A3912" s="497" t="b">
        <f t="shared" ca="1" si="229"/>
        <v>0</v>
      </c>
      <c r="B3912" s="497"/>
      <c r="C3912" s="510" t="str">
        <f ca="1">IF(COUNTA(D$2498:D3912)=1,"",OFFSET(B3910,-COUNTA(D$2498:D3912)+3,1))</f>
        <v>a163p000004NtNOAA0</v>
      </c>
      <c r="D3912" s="512"/>
      <c r="E3912" s="500" t="str">
        <f ca="1">IFERROR(IF(VLOOKUP(C3912,' Disaggregation - Section E '!A$618:N2036,7,0)="","",VLOOKUP(C3912,' Disaggregation - Section E '!A$618:N2036,7,0)*100),"")</f>
        <v/>
      </c>
      <c r="F3912" s="503" t="str">
        <f ca="1">IFERROR(VLOOKUP(C3912,' Disaggregation - Section E '!A$618:N2036,5,0),"")</f>
        <v/>
      </c>
      <c r="G3912" s="502" t="str">
        <f ca="1">IFERROR(IF(VLOOKUP(C3912,' Disaggregation - Section E '!A$618:N2036,6,0)="","",VLOOKUP(C3912,' Disaggregation - Section E '!A$618:N2036,6,0)),"")</f>
        <v/>
      </c>
      <c r="H3912" s="512" t="str">
        <f ca="1">IFERROR(IF(INDEX(' Disaggregation - Section E '!F$618:F3233,MATCH(C3912,' Disaggregation - Section E '!A$618:A3233,0)+1,1)&lt;&gt;0,INDEX(' Disaggregation - Section E '!F$618:F$1820,MATCH(C3912,' Disaggregation - Section E '!A$618:A3233,0)+1,1),""),"")</f>
        <v/>
      </c>
      <c r="I3912" s="503" t="str">
        <f ca="1">IFERROR(IF(VLOOKUP(C3912,' Disaggregation - Section E '!A$618:N2036,8,0)=0,"",VLOOKUP(C3912,' Disaggregation - Section E '!A$618:N2036,8,0)),"")</f>
        <v/>
      </c>
      <c r="J3912" s="503" t="str">
        <f ca="1">IFERROR(IF(VLOOKUP(C3912,' Disaggregation - Section E '!A$618:N3233,13,0)=0,"",VLOOKUP(C3912,' Disaggregation - Section E '!A$618:N3233,13,0)),"")</f>
        <v/>
      </c>
      <c r="K3912" s="497" t="str">
        <f ca="1">IFERROR(VLOOKUP(C3912,' Disaggregation - Section E '!A$618:N2036,3,0),"")</f>
        <v>KP-1c⁽ᴹ⁾ Porcentaje de trabajadores sexuales alcanzados por programas de prevención del VIH - paquete definido de servicios</v>
      </c>
      <c r="L3912" s="497"/>
      <c r="M3912" s="497" t="str">
        <f ca="1">IFERROR(IF(VLOOKUP(C3912,' Disaggregation - Section E '!A$618:T2036,20,0)=0,"",VLOOKUP(C3912,' Disaggregation - Section E '!A$618:T2036,20,0)),"")</f>
        <v/>
      </c>
      <c r="N3912" s="503" t="str">
        <f ca="1">IFERROR(IF(VLOOKUP(C3912,' Disaggregation - Section E '!A$618:N2036,14,0)=0,"",VLOOKUP(C3912,' Disaggregation - Section E '!A$618:N2036,14,0)),"")</f>
        <v/>
      </c>
      <c r="O3912" s="503" t="str">
        <f ca="1">IFERROR(IF(VLOOKUP(C3912,' Disaggregation - Section E '!A$618:N2036,9,0)=0,"",VLOOKUP(C3912,' Disaggregation - Section E '!A$618:N2036,9,0)),"")</f>
        <v/>
      </c>
      <c r="P3912" s="503" t="str">
        <f ca="1">IFERROR(IF(VLOOKUP(C3912,' Disaggregation - Section E '!A$618:N2036,10,0)=0,"",VLOOKUP(C3912,' Disaggregation - Section E '!A$618:N2036,10,0)),"")</f>
        <v/>
      </c>
    </row>
    <row r="3913" spans="1:16" x14ac:dyDescent="0.35">
      <c r="A3913" s="497" t="b">
        <f t="shared" ca="1" si="229"/>
        <v>0</v>
      </c>
      <c r="B3913" s="497"/>
      <c r="C3913" s="510" t="str">
        <f ca="1">IF(COUNTA(D$2498:D3913)=1,"",OFFSET(B3911,-COUNTA(D$2498:D3913)+3,1))</f>
        <v>a163p000004NtNPAA0</v>
      </c>
      <c r="D3913" s="512"/>
      <c r="E3913" s="500" t="str">
        <f ca="1">IFERROR(IF(VLOOKUP(C3913,' Disaggregation - Section E '!A$618:N2037,7,0)="","",VLOOKUP(C3913,' Disaggregation - Section E '!A$618:N2037,7,0)*100),"")</f>
        <v/>
      </c>
      <c r="F3913" s="503" t="str">
        <f ca="1">IFERROR(VLOOKUP(C3913,' Disaggregation - Section E '!A$618:N2037,5,0),"")</f>
        <v/>
      </c>
      <c r="G3913" s="502" t="str">
        <f ca="1">IFERROR(IF(VLOOKUP(C3913,' Disaggregation - Section E '!A$618:N2037,6,0)="","",VLOOKUP(C3913,' Disaggregation - Section E '!A$618:N2037,6,0)),"")</f>
        <v/>
      </c>
      <c r="H3913" s="512" t="str">
        <f ca="1">IFERROR(IF(INDEX(' Disaggregation - Section E '!F$618:F3234,MATCH(C3913,' Disaggregation - Section E '!A$618:A3234,0)+1,1)&lt;&gt;0,INDEX(' Disaggregation - Section E '!F$618:F$1820,MATCH(C3913,' Disaggregation - Section E '!A$618:A3234,0)+1,1),""),"")</f>
        <v/>
      </c>
      <c r="I3913" s="503" t="str">
        <f ca="1">IFERROR(IF(VLOOKUP(C3913,' Disaggregation - Section E '!A$618:N2037,8,0)=0,"",VLOOKUP(C3913,' Disaggregation - Section E '!A$618:N2037,8,0)),"")</f>
        <v/>
      </c>
      <c r="J3913" s="503" t="str">
        <f ca="1">IFERROR(IF(VLOOKUP(C3913,' Disaggregation - Section E '!A$618:N3234,13,0)=0,"",VLOOKUP(C3913,' Disaggregation - Section E '!A$618:N3234,13,0)),"")</f>
        <v/>
      </c>
      <c r="K3913" s="497" t="str">
        <f ca="1">IFERROR(VLOOKUP(C3913,' Disaggregation - Section E '!A$618:N2037,3,0),"")</f>
        <v>KP-1c⁽ᴹ⁾ Porcentaje de trabajadores sexuales alcanzados por programas de prevención del VIH - paquete definido de servicios</v>
      </c>
      <c r="L3913" s="497"/>
      <c r="M3913" s="497" t="str">
        <f ca="1">IFERROR(IF(VLOOKUP(C3913,' Disaggregation - Section E '!A$618:T2037,20,0)=0,"",VLOOKUP(C3913,' Disaggregation - Section E '!A$618:T2037,20,0)),"")</f>
        <v/>
      </c>
      <c r="N3913" s="503" t="str">
        <f ca="1">IFERROR(IF(VLOOKUP(C3913,' Disaggregation - Section E '!A$618:N2037,14,0)=0,"",VLOOKUP(C3913,' Disaggregation - Section E '!A$618:N2037,14,0)),"")</f>
        <v/>
      </c>
      <c r="O3913" s="503" t="str">
        <f ca="1">IFERROR(IF(VLOOKUP(C3913,' Disaggregation - Section E '!A$618:N2037,9,0)=0,"",VLOOKUP(C3913,' Disaggregation - Section E '!A$618:N2037,9,0)),"")</f>
        <v/>
      </c>
      <c r="P3913" s="503" t="str">
        <f ca="1">IFERROR(IF(VLOOKUP(C3913,' Disaggregation - Section E '!A$618:N2037,10,0)=0,"",VLOOKUP(C3913,' Disaggregation - Section E '!A$618:N2037,10,0)),"")</f>
        <v/>
      </c>
    </row>
    <row r="3914" spans="1:16" x14ac:dyDescent="0.35">
      <c r="A3914" s="497" t="b">
        <f t="shared" ca="1" si="229"/>
        <v>0</v>
      </c>
      <c r="B3914" s="497"/>
      <c r="C3914" s="510" t="str">
        <f ca="1">IF(COUNTA(D$2498:D3914)=1,"",OFFSET(B3912,-COUNTA(D$2498:D3914)+3,1))</f>
        <v>a163p000004NtNQAA0</v>
      </c>
      <c r="D3914" s="512"/>
      <c r="E3914" s="500" t="str">
        <f ca="1">IFERROR(IF(VLOOKUP(C3914,' Disaggregation - Section E '!A$618:N2038,7,0)="","",VLOOKUP(C3914,' Disaggregation - Section E '!A$618:N2038,7,0)*100),"")</f>
        <v/>
      </c>
      <c r="F3914" s="503" t="str">
        <f ca="1">IFERROR(VLOOKUP(C3914,' Disaggregation - Section E '!A$618:N2038,5,0),"")</f>
        <v/>
      </c>
      <c r="G3914" s="502" t="str">
        <f ca="1">IFERROR(IF(VLOOKUP(C3914,' Disaggregation - Section E '!A$618:N2038,6,0)="","",VLOOKUP(C3914,' Disaggregation - Section E '!A$618:N2038,6,0)),"")</f>
        <v/>
      </c>
      <c r="H3914" s="512" t="str">
        <f ca="1">IFERROR(IF(INDEX(' Disaggregation - Section E '!F$618:F3235,MATCH(C3914,' Disaggregation - Section E '!A$618:A3235,0)+1,1)&lt;&gt;0,INDEX(' Disaggregation - Section E '!F$618:F$1820,MATCH(C3914,' Disaggregation - Section E '!A$618:A3235,0)+1,1),""),"")</f>
        <v/>
      </c>
      <c r="I3914" s="503" t="str">
        <f ca="1">IFERROR(IF(VLOOKUP(C3914,' Disaggregation - Section E '!A$618:N2038,8,0)=0,"",VLOOKUP(C3914,' Disaggregation - Section E '!A$618:N2038,8,0)),"")</f>
        <v/>
      </c>
      <c r="J3914" s="503" t="str">
        <f ca="1">IFERROR(IF(VLOOKUP(C3914,' Disaggregation - Section E '!A$618:N3235,13,0)=0,"",VLOOKUP(C3914,' Disaggregation - Section E '!A$618:N3235,13,0)),"")</f>
        <v/>
      </c>
      <c r="K3914" s="497" t="str">
        <f ca="1">IFERROR(VLOOKUP(C3914,' Disaggregation - Section E '!A$618:N2038,3,0),"")</f>
        <v>KP-1c⁽ᴹ⁾ Porcentaje de trabajadores sexuales alcanzados por programas de prevención del VIH - paquete definido de servicios</v>
      </c>
      <c r="L3914" s="497"/>
      <c r="M3914" s="497" t="str">
        <f ca="1">IFERROR(IF(VLOOKUP(C3914,' Disaggregation - Section E '!A$618:T2038,20,0)=0,"",VLOOKUP(C3914,' Disaggregation - Section E '!A$618:T2038,20,0)),"")</f>
        <v/>
      </c>
      <c r="N3914" s="503" t="str">
        <f ca="1">IFERROR(IF(VLOOKUP(C3914,' Disaggregation - Section E '!A$618:N2038,14,0)=0,"",VLOOKUP(C3914,' Disaggregation - Section E '!A$618:N2038,14,0)),"")</f>
        <v/>
      </c>
      <c r="O3914" s="503" t="str">
        <f ca="1">IFERROR(IF(VLOOKUP(C3914,' Disaggregation - Section E '!A$618:N2038,9,0)=0,"",VLOOKUP(C3914,' Disaggregation - Section E '!A$618:N2038,9,0)),"")</f>
        <v/>
      </c>
      <c r="P3914" s="503" t="str">
        <f ca="1">IFERROR(IF(VLOOKUP(C3914,' Disaggregation - Section E '!A$618:N2038,10,0)=0,"",VLOOKUP(C3914,' Disaggregation - Section E '!A$618:N2038,10,0)),"")</f>
        <v/>
      </c>
    </row>
    <row r="3915" spans="1:16" x14ac:dyDescent="0.35">
      <c r="A3915" s="497" t="b">
        <f t="shared" ca="1" si="229"/>
        <v>0</v>
      </c>
      <c r="B3915" s="497"/>
      <c r="C3915" s="510" t="str">
        <f ca="1">IF(COUNTA(D$2498:D3915)=1,"",OFFSET(B3913,-COUNTA(D$2498:D3915)+3,1))</f>
        <v>a163p000004NtNRAA0</v>
      </c>
      <c r="D3915" s="512"/>
      <c r="E3915" s="500" t="str">
        <f ca="1">IFERROR(IF(VLOOKUP(C3915,' Disaggregation - Section E '!A$618:N2039,7,0)="","",VLOOKUP(C3915,' Disaggregation - Section E '!A$618:N2039,7,0)*100),"")</f>
        <v/>
      </c>
      <c r="F3915" s="503" t="str">
        <f ca="1">IFERROR(VLOOKUP(C3915,' Disaggregation - Section E '!A$618:N2039,5,0),"")</f>
        <v/>
      </c>
      <c r="G3915" s="502" t="str">
        <f ca="1">IFERROR(IF(VLOOKUP(C3915,' Disaggregation - Section E '!A$618:N2039,6,0)="","",VLOOKUP(C3915,' Disaggregation - Section E '!A$618:N2039,6,0)),"")</f>
        <v/>
      </c>
      <c r="H3915" s="512" t="str">
        <f ca="1">IFERROR(IF(INDEX(' Disaggregation - Section E '!F$618:F3236,MATCH(C3915,' Disaggregation - Section E '!A$618:A3236,0)+1,1)&lt;&gt;0,INDEX(' Disaggregation - Section E '!F$618:F$1820,MATCH(C3915,' Disaggregation - Section E '!A$618:A3236,0)+1,1),""),"")</f>
        <v/>
      </c>
      <c r="I3915" s="503" t="str">
        <f ca="1">IFERROR(IF(VLOOKUP(C3915,' Disaggregation - Section E '!A$618:N2039,8,0)=0,"",VLOOKUP(C3915,' Disaggregation - Section E '!A$618:N2039,8,0)),"")</f>
        <v/>
      </c>
      <c r="J3915" s="503" t="str">
        <f ca="1">IFERROR(IF(VLOOKUP(C3915,' Disaggregation - Section E '!A$618:N3236,13,0)=0,"",VLOOKUP(C3915,' Disaggregation - Section E '!A$618:N3236,13,0)),"")</f>
        <v/>
      </c>
      <c r="K3915" s="497" t="str">
        <f ca="1">IFERROR(VLOOKUP(C3915,' Disaggregation - Section E '!A$618:N2039,3,0),"")</f>
        <v>KP-1c⁽ᴹ⁾ Porcentaje de trabajadores sexuales alcanzados por programas de prevención del VIH - paquete definido de servicios</v>
      </c>
      <c r="L3915" s="497"/>
      <c r="M3915" s="497" t="str">
        <f ca="1">IFERROR(IF(VLOOKUP(C3915,' Disaggregation - Section E '!A$618:T2039,20,0)=0,"",VLOOKUP(C3915,' Disaggregation - Section E '!A$618:T2039,20,0)),"")</f>
        <v/>
      </c>
      <c r="N3915" s="503" t="str">
        <f ca="1">IFERROR(IF(VLOOKUP(C3915,' Disaggregation - Section E '!A$618:N2039,14,0)=0,"",VLOOKUP(C3915,' Disaggregation - Section E '!A$618:N2039,14,0)),"")</f>
        <v/>
      </c>
      <c r="O3915" s="503" t="str">
        <f ca="1">IFERROR(IF(VLOOKUP(C3915,' Disaggregation - Section E '!A$618:N2039,9,0)=0,"",VLOOKUP(C3915,' Disaggregation - Section E '!A$618:N2039,9,0)),"")</f>
        <v/>
      </c>
      <c r="P3915" s="503" t="str">
        <f ca="1">IFERROR(IF(VLOOKUP(C3915,' Disaggregation - Section E '!A$618:N2039,10,0)=0,"",VLOOKUP(C3915,' Disaggregation - Section E '!A$618:N2039,10,0)),"")</f>
        <v/>
      </c>
    </row>
    <row r="3916" spans="1:16" x14ac:dyDescent="0.35">
      <c r="A3916" s="497" t="b">
        <f t="shared" ca="1" si="229"/>
        <v>0</v>
      </c>
      <c r="B3916" s="497"/>
      <c r="C3916" s="510" t="str">
        <f ca="1">IF(COUNTA(D$2498:D3916)=1,"",OFFSET(B3914,-COUNTA(D$2498:D3916)+3,1))</f>
        <v>a163p000004NtNSAA0</v>
      </c>
      <c r="D3916" s="512"/>
      <c r="E3916" s="500" t="str">
        <f ca="1">IFERROR(IF(VLOOKUP(C3916,' Disaggregation - Section E '!A$618:N2040,7,0)="","",VLOOKUP(C3916,' Disaggregation - Section E '!A$618:N2040,7,0)*100),"")</f>
        <v/>
      </c>
      <c r="F3916" s="503" t="str">
        <f ca="1">IFERROR(VLOOKUP(C3916,' Disaggregation - Section E '!A$618:N2040,5,0),"")</f>
        <v/>
      </c>
      <c r="G3916" s="502" t="str">
        <f ca="1">IFERROR(IF(VLOOKUP(C3916,' Disaggregation - Section E '!A$618:N2040,6,0)="","",VLOOKUP(C3916,' Disaggregation - Section E '!A$618:N2040,6,0)),"")</f>
        <v/>
      </c>
      <c r="H3916" s="512" t="str">
        <f ca="1">IFERROR(IF(INDEX(' Disaggregation - Section E '!F$618:F3237,MATCH(C3916,' Disaggregation - Section E '!A$618:A3237,0)+1,1)&lt;&gt;0,INDEX(' Disaggregation - Section E '!F$618:F$1820,MATCH(C3916,' Disaggregation - Section E '!A$618:A3237,0)+1,1),""),"")</f>
        <v/>
      </c>
      <c r="I3916" s="503" t="str">
        <f ca="1">IFERROR(IF(VLOOKUP(C3916,' Disaggregation - Section E '!A$618:N2040,8,0)=0,"",VLOOKUP(C3916,' Disaggregation - Section E '!A$618:N2040,8,0)),"")</f>
        <v/>
      </c>
      <c r="J3916" s="503" t="str">
        <f ca="1">IFERROR(IF(VLOOKUP(C3916,' Disaggregation - Section E '!A$618:N3237,13,0)=0,"",VLOOKUP(C3916,' Disaggregation - Section E '!A$618:N3237,13,0)),"")</f>
        <v/>
      </c>
      <c r="K3916" s="497" t="str">
        <f ca="1">IFERROR(VLOOKUP(C3916,' Disaggregation - Section E '!A$618:N2040,3,0),"")</f>
        <v>KP-1c⁽ᴹ⁾ Porcentaje de trabajadores sexuales alcanzados por programas de prevención del VIH - paquete definido de servicios</v>
      </c>
      <c r="L3916" s="497"/>
      <c r="M3916" s="497" t="str">
        <f ca="1">IFERROR(IF(VLOOKUP(C3916,' Disaggregation - Section E '!A$618:T2040,20,0)=0,"",VLOOKUP(C3916,' Disaggregation - Section E '!A$618:T2040,20,0)),"")</f>
        <v/>
      </c>
      <c r="N3916" s="503" t="str">
        <f ca="1">IFERROR(IF(VLOOKUP(C3916,' Disaggregation - Section E '!A$618:N2040,14,0)=0,"",VLOOKUP(C3916,' Disaggregation - Section E '!A$618:N2040,14,0)),"")</f>
        <v/>
      </c>
      <c r="O3916" s="503" t="str">
        <f ca="1">IFERROR(IF(VLOOKUP(C3916,' Disaggregation - Section E '!A$618:N2040,9,0)=0,"",VLOOKUP(C3916,' Disaggregation - Section E '!A$618:N2040,9,0)),"")</f>
        <v/>
      </c>
      <c r="P3916" s="503" t="str">
        <f ca="1">IFERROR(IF(VLOOKUP(C3916,' Disaggregation - Section E '!A$618:N2040,10,0)=0,"",VLOOKUP(C3916,' Disaggregation - Section E '!A$618:N2040,10,0)),"")</f>
        <v/>
      </c>
    </row>
    <row r="3917" spans="1:16" x14ac:dyDescent="0.35">
      <c r="A3917" s="497" t="b">
        <f t="shared" ca="1" si="229"/>
        <v>0</v>
      </c>
      <c r="B3917" s="497"/>
      <c r="C3917" s="510" t="str">
        <f ca="1">IF(COUNTA(D$2498:D3917)=1,"",OFFSET(B3915,-COUNTA(D$2498:D3917)+3,1))</f>
        <v>a163p000004NtNTAA0</v>
      </c>
      <c r="D3917" s="512"/>
      <c r="E3917" s="500" t="str">
        <f ca="1">IFERROR(IF(VLOOKUP(C3917,' Disaggregation - Section E '!A$618:N2041,7,0)="","",VLOOKUP(C3917,' Disaggregation - Section E '!A$618:N2041,7,0)*100),"")</f>
        <v/>
      </c>
      <c r="F3917" s="503" t="str">
        <f ca="1">IFERROR(VLOOKUP(C3917,' Disaggregation - Section E '!A$618:N2041,5,0),"")</f>
        <v/>
      </c>
      <c r="G3917" s="502" t="str">
        <f ca="1">IFERROR(IF(VLOOKUP(C3917,' Disaggregation - Section E '!A$618:N2041,6,0)="","",VLOOKUP(C3917,' Disaggregation - Section E '!A$618:N2041,6,0)),"")</f>
        <v/>
      </c>
      <c r="H3917" s="512" t="str">
        <f ca="1">IFERROR(IF(INDEX(' Disaggregation - Section E '!F$618:F3238,MATCH(C3917,' Disaggregation - Section E '!A$618:A3238,0)+1,1)&lt;&gt;0,INDEX(' Disaggregation - Section E '!F$618:F$1820,MATCH(C3917,' Disaggregation - Section E '!A$618:A3238,0)+1,1),""),"")</f>
        <v/>
      </c>
      <c r="I3917" s="503" t="str">
        <f ca="1">IFERROR(IF(VLOOKUP(C3917,' Disaggregation - Section E '!A$618:N2041,8,0)=0,"",VLOOKUP(C3917,' Disaggregation - Section E '!A$618:N2041,8,0)),"")</f>
        <v/>
      </c>
      <c r="J3917" s="503" t="str">
        <f ca="1">IFERROR(IF(VLOOKUP(C3917,' Disaggregation - Section E '!A$618:N3238,13,0)=0,"",VLOOKUP(C3917,' Disaggregation - Section E '!A$618:N3238,13,0)),"")</f>
        <v/>
      </c>
      <c r="K3917" s="497" t="str">
        <f ca="1">IFERROR(VLOOKUP(C3917,' Disaggregation - Section E '!A$618:N2041,3,0),"")</f>
        <v>KP-1c⁽ᴹ⁾ Porcentaje de trabajadores sexuales alcanzados por programas de prevención del VIH - paquete definido de servicios</v>
      </c>
      <c r="L3917" s="497"/>
      <c r="M3917" s="497" t="str">
        <f ca="1">IFERROR(IF(VLOOKUP(C3917,' Disaggregation - Section E '!A$618:T2041,20,0)=0,"",VLOOKUP(C3917,' Disaggregation - Section E '!A$618:T2041,20,0)),"")</f>
        <v/>
      </c>
      <c r="N3917" s="503" t="str">
        <f ca="1">IFERROR(IF(VLOOKUP(C3917,' Disaggregation - Section E '!A$618:N2041,14,0)=0,"",VLOOKUP(C3917,' Disaggregation - Section E '!A$618:N2041,14,0)),"")</f>
        <v/>
      </c>
      <c r="O3917" s="503" t="str">
        <f ca="1">IFERROR(IF(VLOOKUP(C3917,' Disaggregation - Section E '!A$618:N2041,9,0)=0,"",VLOOKUP(C3917,' Disaggregation - Section E '!A$618:N2041,9,0)),"")</f>
        <v/>
      </c>
      <c r="P3917" s="503" t="str">
        <f ca="1">IFERROR(IF(VLOOKUP(C3917,' Disaggregation - Section E '!A$618:N2041,10,0)=0,"",VLOOKUP(C3917,' Disaggregation - Section E '!A$618:N2041,10,0)),"")</f>
        <v/>
      </c>
    </row>
    <row r="3918" spans="1:16" x14ac:dyDescent="0.35">
      <c r="A3918" s="497" t="b">
        <f t="shared" ca="1" si="229"/>
        <v>0</v>
      </c>
      <c r="B3918" s="497"/>
      <c r="C3918" s="510" t="str">
        <f ca="1">IF(COUNTA(D$2498:D3918)=1,"",OFFSET(B3916,-COUNTA(D$2498:D3918)+3,1))</f>
        <v>a163p000004NtNUAA0</v>
      </c>
      <c r="D3918" s="512"/>
      <c r="E3918" s="500" t="str">
        <f ca="1">IFERROR(IF(VLOOKUP(C3918,' Disaggregation - Section E '!A$618:N2042,7,0)="","",VLOOKUP(C3918,' Disaggregation - Section E '!A$618:N2042,7,0)*100),"")</f>
        <v/>
      </c>
      <c r="F3918" s="503" t="str">
        <f ca="1">IFERROR(VLOOKUP(C3918,' Disaggregation - Section E '!A$618:N2042,5,0),"")</f>
        <v/>
      </c>
      <c r="G3918" s="502" t="str">
        <f ca="1">IFERROR(IF(VLOOKUP(C3918,' Disaggregation - Section E '!A$618:N2042,6,0)="","",VLOOKUP(C3918,' Disaggregation - Section E '!A$618:N2042,6,0)),"")</f>
        <v/>
      </c>
      <c r="H3918" s="512" t="str">
        <f ca="1">IFERROR(IF(INDEX(' Disaggregation - Section E '!F$618:F3239,MATCH(C3918,' Disaggregation - Section E '!A$618:A3239,0)+1,1)&lt;&gt;0,INDEX(' Disaggregation - Section E '!F$618:F$1820,MATCH(C3918,' Disaggregation - Section E '!A$618:A3239,0)+1,1),""),"")</f>
        <v/>
      </c>
      <c r="I3918" s="503" t="str">
        <f ca="1">IFERROR(IF(VLOOKUP(C3918,' Disaggregation - Section E '!A$618:N2042,8,0)=0,"",VLOOKUP(C3918,' Disaggregation - Section E '!A$618:N2042,8,0)),"")</f>
        <v/>
      </c>
      <c r="J3918" s="503" t="str">
        <f ca="1">IFERROR(IF(VLOOKUP(C3918,' Disaggregation - Section E '!A$618:N3239,13,0)=0,"",VLOOKUP(C3918,' Disaggregation - Section E '!A$618:N3239,13,0)),"")</f>
        <v/>
      </c>
      <c r="K3918" s="497" t="str">
        <f ca="1">IFERROR(VLOOKUP(C3918,' Disaggregation - Section E '!A$618:N2042,3,0),"")</f>
        <v>KP-1c⁽ᴹ⁾ Porcentaje de trabajadores sexuales alcanzados por programas de prevención del VIH - paquete definido de servicios</v>
      </c>
      <c r="L3918" s="497"/>
      <c r="M3918" s="497" t="str">
        <f ca="1">IFERROR(IF(VLOOKUP(C3918,' Disaggregation - Section E '!A$618:T2042,20,0)=0,"",VLOOKUP(C3918,' Disaggregation - Section E '!A$618:T2042,20,0)),"")</f>
        <v/>
      </c>
      <c r="N3918" s="503" t="str">
        <f ca="1">IFERROR(IF(VLOOKUP(C3918,' Disaggregation - Section E '!A$618:N2042,14,0)=0,"",VLOOKUP(C3918,' Disaggregation - Section E '!A$618:N2042,14,0)),"")</f>
        <v/>
      </c>
      <c r="O3918" s="503" t="str">
        <f ca="1">IFERROR(IF(VLOOKUP(C3918,' Disaggregation - Section E '!A$618:N2042,9,0)=0,"",VLOOKUP(C3918,' Disaggregation - Section E '!A$618:N2042,9,0)),"")</f>
        <v/>
      </c>
      <c r="P3918" s="503" t="str">
        <f ca="1">IFERROR(IF(VLOOKUP(C3918,' Disaggregation - Section E '!A$618:N2042,10,0)=0,"",VLOOKUP(C3918,' Disaggregation - Section E '!A$618:N2042,10,0)),"")</f>
        <v/>
      </c>
    </row>
    <row r="3919" spans="1:16" x14ac:dyDescent="0.35">
      <c r="A3919" s="497" t="b">
        <f t="shared" ca="1" si="229"/>
        <v>0</v>
      </c>
      <c r="B3919" s="497"/>
      <c r="C3919" s="510" t="str">
        <f ca="1">IF(COUNTA(D$2498:D3919)=1,"",OFFSET(B3917,-COUNTA(D$2498:D3919)+3,1))</f>
        <v>a163p000004NtNVAA0</v>
      </c>
      <c r="D3919" s="512"/>
      <c r="E3919" s="500" t="str">
        <f ca="1">IFERROR(IF(VLOOKUP(C3919,' Disaggregation - Section E '!A$618:N2043,7,0)="","",VLOOKUP(C3919,' Disaggregation - Section E '!A$618:N2043,7,0)*100),"")</f>
        <v/>
      </c>
      <c r="F3919" s="503" t="str">
        <f ca="1">IFERROR(VLOOKUP(C3919,' Disaggregation - Section E '!A$618:N2043,5,0),"")</f>
        <v/>
      </c>
      <c r="G3919" s="502" t="str">
        <f ca="1">IFERROR(IF(VLOOKUP(C3919,' Disaggregation - Section E '!A$618:N2043,6,0)="","",VLOOKUP(C3919,' Disaggregation - Section E '!A$618:N2043,6,0)),"")</f>
        <v/>
      </c>
      <c r="H3919" s="512" t="str">
        <f ca="1">IFERROR(IF(INDEX(' Disaggregation - Section E '!F$618:F3240,MATCH(C3919,' Disaggregation - Section E '!A$618:A3240,0)+1,1)&lt;&gt;0,INDEX(' Disaggregation - Section E '!F$618:F$1820,MATCH(C3919,' Disaggregation - Section E '!A$618:A3240,0)+1,1),""),"")</f>
        <v/>
      </c>
      <c r="I3919" s="503" t="str">
        <f ca="1">IFERROR(IF(VLOOKUP(C3919,' Disaggregation - Section E '!A$618:N2043,8,0)=0,"",VLOOKUP(C3919,' Disaggregation - Section E '!A$618:N2043,8,0)),"")</f>
        <v/>
      </c>
      <c r="J3919" s="503" t="str">
        <f ca="1">IFERROR(IF(VLOOKUP(C3919,' Disaggregation - Section E '!A$618:N3240,13,0)=0,"",VLOOKUP(C3919,' Disaggregation - Section E '!A$618:N3240,13,0)),"")</f>
        <v/>
      </c>
      <c r="K3919" s="497" t="str">
        <f ca="1">IFERROR(VLOOKUP(C3919,' Disaggregation - Section E '!A$618:N2043,3,0),"")</f>
        <v>KP-1c⁽ᴹ⁾ Porcentaje de trabajadores sexuales alcanzados por programas de prevención del VIH - paquete definido de servicios</v>
      </c>
      <c r="L3919" s="497"/>
      <c r="M3919" s="497" t="str">
        <f ca="1">IFERROR(IF(VLOOKUP(C3919,' Disaggregation - Section E '!A$618:T2043,20,0)=0,"",VLOOKUP(C3919,' Disaggregation - Section E '!A$618:T2043,20,0)),"")</f>
        <v/>
      </c>
      <c r="N3919" s="503" t="str">
        <f ca="1">IFERROR(IF(VLOOKUP(C3919,' Disaggregation - Section E '!A$618:N2043,14,0)=0,"",VLOOKUP(C3919,' Disaggregation - Section E '!A$618:N2043,14,0)),"")</f>
        <v/>
      </c>
      <c r="O3919" s="503" t="str">
        <f ca="1">IFERROR(IF(VLOOKUP(C3919,' Disaggregation - Section E '!A$618:N2043,9,0)=0,"",VLOOKUP(C3919,' Disaggregation - Section E '!A$618:N2043,9,0)),"")</f>
        <v/>
      </c>
      <c r="P3919" s="503" t="str">
        <f ca="1">IFERROR(IF(VLOOKUP(C3919,' Disaggregation - Section E '!A$618:N2043,10,0)=0,"",VLOOKUP(C3919,' Disaggregation - Section E '!A$618:N2043,10,0)),"")</f>
        <v/>
      </c>
    </row>
    <row r="3920" spans="1:16" x14ac:dyDescent="0.35">
      <c r="A3920" s="497" t="b">
        <f t="shared" ca="1" si="229"/>
        <v>1</v>
      </c>
      <c r="B3920" s="497"/>
      <c r="C3920" s="510" t="str">
        <f ca="1">IF(COUNTA(D$2498:D3920)=1,"",OFFSET(B3918,-COUNTA(D$2498:D3920)+3,1))</f>
        <v>a163p000004NtWsAAK</v>
      </c>
      <c r="D3920" s="512"/>
      <c r="E3920" s="500" t="str">
        <f ca="1">IFERROR(IF(VLOOKUP(C3920,' Disaggregation - Section E '!A$618:N2044,7,0)="","",VLOOKUP(C3920,' Disaggregation - Section E '!A$618:N2044,7,0)*100),"")</f>
        <v/>
      </c>
      <c r="F3920" s="503" t="str">
        <f ca="1">IFERROR(VLOOKUP(C3920,' Disaggregation - Section E '!A$618:N2044,5,0),"")</f>
        <v>Reclusos</v>
      </c>
      <c r="G3920" s="502" t="str">
        <f ca="1">IFERROR(IF(VLOOKUP(C3920,' Disaggregation - Section E '!A$618:N2044,6,0)="","",VLOOKUP(C3920,' Disaggregation - Section E '!A$618:N2044,6,0)),"")</f>
        <v/>
      </c>
      <c r="H3920" s="512" t="str">
        <f ca="1">IFERROR(IF(INDEX(' Disaggregation - Section E '!F$618:F3241,MATCH(C3920,' Disaggregation - Section E '!A$618:A3241,0)+1,1)&lt;&gt;0,INDEX(' Disaggregation - Section E '!F$618:F$1820,MATCH(C3920,' Disaggregation - Section E '!A$618:A3241,0)+1,1),""),"")</f>
        <v/>
      </c>
      <c r="I3920" s="503" t="str">
        <f ca="1">IFERROR(IF(VLOOKUP(C3920,' Disaggregation - Section E '!A$618:N2044,8,0)=0,"",VLOOKUP(C3920,' Disaggregation - Section E '!A$618:N2044,8,0)),"")</f>
        <v/>
      </c>
      <c r="J3920" s="503" t="str">
        <f ca="1">IFERROR(IF(VLOOKUP(C3920,' Disaggregation - Section E '!A$618:N3241,13,0)=0,"",VLOOKUP(C3920,' Disaggregation - Section E '!A$618:N3241,13,0)),"")</f>
        <v/>
      </c>
      <c r="K3920" s="497" t="str">
        <f ca="1">IFERROR(VLOOKUP(C3920,' Disaggregation - Section E '!A$618:N2044,3,0),"")</f>
        <v>TCS-1.1⁽ᴹ⁾ Porcentaje de personas en TARV entre todas las personas viviendo con VIH al final del período de reporte</v>
      </c>
      <c r="L3920" s="497"/>
      <c r="M3920" s="497" t="str">
        <f ca="1">IFERROR(IF(VLOOKUP(C3920,' Disaggregation - Section E '!A$618:T2044,20,0)=0,"",VLOOKUP(C3920,' Disaggregation - Section E '!A$618:T2044,20,0)),"")</f>
        <v>IDR-00980</v>
      </c>
      <c r="N3920" s="503" t="str">
        <f ca="1">IFERROR(IF(VLOOKUP(C3920,' Disaggregation - Section E '!A$618:N2044,14,0)=0,"",VLOOKUP(C3920,' Disaggregation - Section E '!A$618:N2044,14,0)),"")</f>
        <v/>
      </c>
      <c r="O3920" s="503" t="str">
        <f ca="1">IFERROR(IF(VLOOKUP(C3920,' Disaggregation - Section E '!A$618:N2044,9,0)=0,"",VLOOKUP(C3920,' Disaggregation - Section E '!A$618:N2044,9,0)),"")</f>
        <v/>
      </c>
      <c r="P3920" s="503" t="str">
        <f ca="1">IFERROR(IF(VLOOKUP(C3920,' Disaggregation - Section E '!A$618:N2044,10,0)=0,"",VLOOKUP(C3920,' Disaggregation - Section E '!A$618:N2044,10,0)),"")</f>
        <v/>
      </c>
    </row>
    <row r="3921" spans="1:16" x14ac:dyDescent="0.35">
      <c r="A3921" s="497" t="b">
        <f t="shared" ca="1" si="229"/>
        <v>1</v>
      </c>
      <c r="B3921" s="497"/>
      <c r="C3921" s="510" t="str">
        <f ca="1">IF(COUNTA(D$2498:D3921)=1,"",OFFSET(B3919,-COUNTA(D$2498:D3921)+3,1))</f>
        <v>a163p000004NtWtAAK</v>
      </c>
      <c r="D3921" s="512"/>
      <c r="E3921" s="500" t="str">
        <f ca="1">IFERROR(IF(VLOOKUP(C3921,' Disaggregation - Section E '!A$618:N2045,7,0)="","",VLOOKUP(C3921,' Disaggregation - Section E '!A$618:N2045,7,0)*100),"")</f>
        <v/>
      </c>
      <c r="F3921" s="503" t="str">
        <f ca="1">IFERROR(VLOOKUP(C3921,' Disaggregation - Section E '!A$618:N2045,5,0),"")</f>
        <v>PWID</v>
      </c>
      <c r="G3921" s="502" t="str">
        <f ca="1">IFERROR(IF(VLOOKUP(C3921,' Disaggregation - Section E '!A$618:N2045,6,0)="","",VLOOKUP(C3921,' Disaggregation - Section E '!A$618:N2045,6,0)),"")</f>
        <v/>
      </c>
      <c r="H3921" s="512" t="str">
        <f ca="1">IFERROR(IF(INDEX(' Disaggregation - Section E '!F$618:F3242,MATCH(C3921,' Disaggregation - Section E '!A$618:A3242,0)+1,1)&lt;&gt;0,INDEX(' Disaggregation - Section E '!F$618:F$1820,MATCH(C3921,' Disaggregation - Section E '!A$618:A3242,0)+1,1),""),"")</f>
        <v/>
      </c>
      <c r="I3921" s="503" t="str">
        <f ca="1">IFERROR(IF(VLOOKUP(C3921,' Disaggregation - Section E '!A$618:N2045,8,0)=0,"",VLOOKUP(C3921,' Disaggregation - Section E '!A$618:N2045,8,0)),"")</f>
        <v/>
      </c>
      <c r="J3921" s="503" t="str">
        <f ca="1">IFERROR(IF(VLOOKUP(C3921,' Disaggregation - Section E '!A$618:N3242,13,0)=0,"",VLOOKUP(C3921,' Disaggregation - Section E '!A$618:N3242,13,0)),"")</f>
        <v/>
      </c>
      <c r="K3921" s="497" t="str">
        <f ca="1">IFERROR(VLOOKUP(C3921,' Disaggregation - Section E '!A$618:N2045,3,0),"")</f>
        <v>TCS-1.1⁽ᴹ⁾ Porcentaje de personas en TARV entre todas las personas viviendo con VIH al final del período de reporte</v>
      </c>
      <c r="L3921" s="497"/>
      <c r="M3921" s="497" t="str">
        <f ca="1">IFERROR(IF(VLOOKUP(C3921,' Disaggregation - Section E '!A$618:T2045,20,0)=0,"",VLOOKUP(C3921,' Disaggregation - Section E '!A$618:T2045,20,0)),"")</f>
        <v>IDR-00979</v>
      </c>
      <c r="N3921" s="503" t="str">
        <f ca="1">IFERROR(IF(VLOOKUP(C3921,' Disaggregation - Section E '!A$618:N2045,14,0)=0,"",VLOOKUP(C3921,' Disaggregation - Section E '!A$618:N2045,14,0)),"")</f>
        <v/>
      </c>
      <c r="O3921" s="503" t="str">
        <f ca="1">IFERROR(IF(VLOOKUP(C3921,' Disaggregation - Section E '!A$618:N2045,9,0)=0,"",VLOOKUP(C3921,' Disaggregation - Section E '!A$618:N2045,9,0)),"")</f>
        <v/>
      </c>
      <c r="P3921" s="503" t="str">
        <f ca="1">IFERROR(IF(VLOOKUP(C3921,' Disaggregation - Section E '!A$618:N2045,10,0)=0,"",VLOOKUP(C3921,' Disaggregation - Section E '!A$618:N2045,10,0)),"")</f>
        <v/>
      </c>
    </row>
    <row r="3922" spans="1:16" x14ac:dyDescent="0.35">
      <c r="A3922" s="497" t="b">
        <f t="shared" ca="1" si="229"/>
        <v>1</v>
      </c>
      <c r="B3922" s="497"/>
      <c r="C3922" s="510" t="str">
        <f ca="1">IF(COUNTA(D$2498:D3922)=1,"",OFFSET(B3920,-COUNTA(D$2498:D3922)+3,1))</f>
        <v>a163p000004NtWuAAK</v>
      </c>
      <c r="D3922" s="512"/>
      <c r="E3922" s="500" t="str">
        <f ca="1">IFERROR(IF(VLOOKUP(C3922,' Disaggregation - Section E '!A$618:N2046,7,0)="","",VLOOKUP(C3922,' Disaggregation - Section E '!A$618:N2046,7,0)*100),"")</f>
        <v/>
      </c>
      <c r="F3922" s="503" t="str">
        <f ca="1">IFERROR(VLOOKUP(C3922,' Disaggregation - Section E '!A$618:N2046,5,0),"")</f>
        <v>Trabajadores sexuales</v>
      </c>
      <c r="G3922" s="502" t="str">
        <f ca="1">IFERROR(IF(VLOOKUP(C3922,' Disaggregation - Section E '!A$618:N2046,6,0)="","",VLOOKUP(C3922,' Disaggregation - Section E '!A$618:N2046,6,0)),"")</f>
        <v/>
      </c>
      <c r="H3922" s="512" t="str">
        <f ca="1">IFERROR(IF(INDEX(' Disaggregation - Section E '!F$618:F3243,MATCH(C3922,' Disaggregation - Section E '!A$618:A3243,0)+1,1)&lt;&gt;0,INDEX(' Disaggregation - Section E '!F$618:F$1820,MATCH(C3922,' Disaggregation - Section E '!A$618:A3243,0)+1,1),""),"")</f>
        <v/>
      </c>
      <c r="I3922" s="503" t="str">
        <f ca="1">IFERROR(IF(VLOOKUP(C3922,' Disaggregation - Section E '!A$618:N2046,8,0)=0,"",VLOOKUP(C3922,' Disaggregation - Section E '!A$618:N2046,8,0)),"")</f>
        <v/>
      </c>
      <c r="J3922" s="503" t="str">
        <f ca="1">IFERROR(IF(VLOOKUP(C3922,' Disaggregation - Section E '!A$618:N3243,13,0)=0,"",VLOOKUP(C3922,' Disaggregation - Section E '!A$618:N3243,13,0)),"")</f>
        <v/>
      </c>
      <c r="K3922" s="497" t="str">
        <f ca="1">IFERROR(VLOOKUP(C3922,' Disaggregation - Section E '!A$618:N2046,3,0),"")</f>
        <v>TCS-1.1⁽ᴹ⁾ Porcentaje de personas en TARV entre todas las personas viviendo con VIH al final del período de reporte</v>
      </c>
      <c r="L3922" s="497"/>
      <c r="M3922" s="497" t="str">
        <f ca="1">IFERROR(IF(VLOOKUP(C3922,' Disaggregation - Section E '!A$618:T2046,20,0)=0,"",VLOOKUP(C3922,' Disaggregation - Section E '!A$618:T2046,20,0)),"")</f>
        <v>IDR-00978</v>
      </c>
      <c r="N3922" s="503" t="str">
        <f ca="1">IFERROR(IF(VLOOKUP(C3922,' Disaggregation - Section E '!A$618:N2046,14,0)=0,"",VLOOKUP(C3922,' Disaggregation - Section E '!A$618:N2046,14,0)),"")</f>
        <v/>
      </c>
      <c r="O3922" s="503" t="str">
        <f ca="1">IFERROR(IF(VLOOKUP(C3922,' Disaggregation - Section E '!A$618:N2046,9,0)=0,"",VLOOKUP(C3922,' Disaggregation - Section E '!A$618:N2046,9,0)),"")</f>
        <v/>
      </c>
      <c r="P3922" s="503" t="str">
        <f ca="1">IFERROR(IF(VLOOKUP(C3922,' Disaggregation - Section E '!A$618:N2046,10,0)=0,"",VLOOKUP(C3922,' Disaggregation - Section E '!A$618:N2046,10,0)),"")</f>
        <v/>
      </c>
    </row>
    <row r="3923" spans="1:16" x14ac:dyDescent="0.35">
      <c r="A3923" s="497" t="b">
        <f t="shared" ca="1" si="229"/>
        <v>1</v>
      </c>
      <c r="B3923" s="497"/>
      <c r="C3923" s="510" t="str">
        <f ca="1">IF(COUNTA(D$2498:D3923)=1,"",OFFSET(B3921,-COUNTA(D$2498:D3923)+3,1))</f>
        <v>a163p000004NtWvAAK</v>
      </c>
      <c r="D3923" s="512"/>
      <c r="E3923" s="500" t="str">
        <f ca="1">IFERROR(IF(VLOOKUP(C3923,' Disaggregation - Section E '!A$618:N2047,7,0)="","",VLOOKUP(C3923,' Disaggregation - Section E '!A$618:N2047,7,0)*100),"")</f>
        <v/>
      </c>
      <c r="F3923" s="503" t="str">
        <f ca="1">IFERROR(VLOOKUP(C3923,' Disaggregation - Section E '!A$618:N2047,5,0),"")</f>
        <v>HSH</v>
      </c>
      <c r="G3923" s="502" t="str">
        <f ca="1">IFERROR(IF(VLOOKUP(C3923,' Disaggregation - Section E '!A$618:N2047,6,0)="","",VLOOKUP(C3923,' Disaggregation - Section E '!A$618:N2047,6,0)),"")</f>
        <v/>
      </c>
      <c r="H3923" s="512" t="str">
        <f ca="1">IFERROR(IF(INDEX(' Disaggregation - Section E '!F$618:F3244,MATCH(C3923,' Disaggregation - Section E '!A$618:A3244,0)+1,1)&lt;&gt;0,INDEX(' Disaggregation - Section E '!F$618:F$1820,MATCH(C3923,' Disaggregation - Section E '!A$618:A3244,0)+1,1),""),"")</f>
        <v/>
      </c>
      <c r="I3923" s="503" t="str">
        <f ca="1">IFERROR(IF(VLOOKUP(C3923,' Disaggregation - Section E '!A$618:N2047,8,0)=0,"",VLOOKUP(C3923,' Disaggregation - Section E '!A$618:N2047,8,0)),"")</f>
        <v/>
      </c>
      <c r="J3923" s="503" t="str">
        <f ca="1">IFERROR(IF(VLOOKUP(C3923,' Disaggregation - Section E '!A$618:N3244,13,0)=0,"",VLOOKUP(C3923,' Disaggregation - Section E '!A$618:N3244,13,0)),"")</f>
        <v/>
      </c>
      <c r="K3923" s="497" t="str">
        <f ca="1">IFERROR(VLOOKUP(C3923,' Disaggregation - Section E '!A$618:N2047,3,0),"")</f>
        <v>TCS-1.1⁽ᴹ⁾ Porcentaje de personas en TARV entre todas las personas viviendo con VIH al final del período de reporte</v>
      </c>
      <c r="L3923" s="497"/>
      <c r="M3923" s="497" t="str">
        <f ca="1">IFERROR(IF(VLOOKUP(C3923,' Disaggregation - Section E '!A$618:T2047,20,0)=0,"",VLOOKUP(C3923,' Disaggregation - Section E '!A$618:T2047,20,0)),"")</f>
        <v>IDR-00977</v>
      </c>
      <c r="N3923" s="503" t="str">
        <f ca="1">IFERROR(IF(VLOOKUP(C3923,' Disaggregation - Section E '!A$618:N2047,14,0)=0,"",VLOOKUP(C3923,' Disaggregation - Section E '!A$618:N2047,14,0)),"")</f>
        <v/>
      </c>
      <c r="O3923" s="503" t="str">
        <f ca="1">IFERROR(IF(VLOOKUP(C3923,' Disaggregation - Section E '!A$618:N2047,9,0)=0,"",VLOOKUP(C3923,' Disaggregation - Section E '!A$618:N2047,9,0)),"")</f>
        <v/>
      </c>
      <c r="P3923" s="503" t="str">
        <f ca="1">IFERROR(IF(VLOOKUP(C3923,' Disaggregation - Section E '!A$618:N2047,10,0)=0,"",VLOOKUP(C3923,' Disaggregation - Section E '!A$618:N2047,10,0)),"")</f>
        <v/>
      </c>
    </row>
    <row r="3924" spans="1:16" x14ac:dyDescent="0.35">
      <c r="A3924" s="497" t="b">
        <f t="shared" ca="1" si="229"/>
        <v>1</v>
      </c>
      <c r="B3924" s="497"/>
      <c r="C3924" s="510" t="str">
        <f ca="1">IF(COUNTA(D$2498:D3924)=1,"",OFFSET(B3922,-COUNTA(D$2498:D3924)+3,1))</f>
        <v>a163p000004NtWwAAK</v>
      </c>
      <c r="D3924" s="512"/>
      <c r="E3924" s="500" t="str">
        <f ca="1">IFERROR(IF(VLOOKUP(C3924,' Disaggregation - Section E '!A$618:N2048,7,0)="","",VLOOKUP(C3924,' Disaggregation - Section E '!A$618:N2048,7,0)*100),"")</f>
        <v/>
      </c>
      <c r="F3924" s="503" t="str">
        <f ca="1">IFERROR(VLOOKUP(C3924,' Disaggregation - Section E '!A$618:N2048,5,0),"")</f>
        <v>Iniciaron TARV recientemente</v>
      </c>
      <c r="G3924" s="502" t="str">
        <f ca="1">IFERROR(IF(VLOOKUP(C3924,' Disaggregation - Section E '!A$618:N2048,6,0)="","",VLOOKUP(C3924,' Disaggregation - Section E '!A$618:N2048,6,0)),"")</f>
        <v/>
      </c>
      <c r="H3924" s="512" t="str">
        <f ca="1">IFERROR(IF(INDEX(' Disaggregation - Section E '!F$618:F3245,MATCH(C3924,' Disaggregation - Section E '!A$618:A3245,0)+1,1)&lt;&gt;0,INDEX(' Disaggregation - Section E '!F$618:F$1820,MATCH(C3924,' Disaggregation - Section E '!A$618:A3245,0)+1,1),""),"")</f>
        <v/>
      </c>
      <c r="I3924" s="503" t="str">
        <f ca="1">IFERROR(IF(VLOOKUP(C3924,' Disaggregation - Section E '!A$618:N2048,8,0)=0,"",VLOOKUP(C3924,' Disaggregation - Section E '!A$618:N2048,8,0)),"")</f>
        <v/>
      </c>
      <c r="J3924" s="503" t="str">
        <f ca="1">IFERROR(IF(VLOOKUP(C3924,' Disaggregation - Section E '!A$618:N3245,13,0)=0,"",VLOOKUP(C3924,' Disaggregation - Section E '!A$618:N3245,13,0)),"")</f>
        <v/>
      </c>
      <c r="K3924" s="497" t="str">
        <f ca="1">IFERROR(VLOOKUP(C3924,' Disaggregation - Section E '!A$618:N2048,3,0),"")</f>
        <v>TCS-1.1⁽ᴹ⁾ Porcentaje de personas en TARV entre todas las personas viviendo con VIH al final del período de reporte</v>
      </c>
      <c r="L3924" s="497"/>
      <c r="M3924" s="497" t="str">
        <f ca="1">IFERROR(IF(VLOOKUP(C3924,' Disaggregation - Section E '!A$618:T2048,20,0)=0,"",VLOOKUP(C3924,' Disaggregation - Section E '!A$618:T2048,20,0)),"")</f>
        <v>IDR-00904</v>
      </c>
      <c r="N3924" s="503" t="str">
        <f ca="1">IFERROR(IF(VLOOKUP(C3924,' Disaggregation - Section E '!A$618:N2048,14,0)=0,"",VLOOKUP(C3924,' Disaggregation - Section E '!A$618:N2048,14,0)),"")</f>
        <v/>
      </c>
      <c r="O3924" s="503" t="str">
        <f ca="1">IFERROR(IF(VLOOKUP(C3924,' Disaggregation - Section E '!A$618:N2048,9,0)=0,"",VLOOKUP(C3924,' Disaggregation - Section E '!A$618:N2048,9,0)),"")</f>
        <v/>
      </c>
      <c r="P3924" s="503" t="str">
        <f ca="1">IFERROR(IF(VLOOKUP(C3924,' Disaggregation - Section E '!A$618:N2048,10,0)=0,"",VLOOKUP(C3924,' Disaggregation - Section E '!A$618:N2048,10,0)),"")</f>
        <v/>
      </c>
    </row>
    <row r="3925" spans="1:16" x14ac:dyDescent="0.35">
      <c r="A3925" s="497" t="b">
        <f t="shared" ca="1" si="229"/>
        <v>1</v>
      </c>
      <c r="B3925" s="497"/>
      <c r="C3925" s="510" t="str">
        <f ca="1">IF(COUNTA(D$2498:D3925)=1,"",OFFSET(B3923,-COUNTA(D$2498:D3925)+3,1))</f>
        <v>a163p000004NtWxAAK</v>
      </c>
      <c r="D3925" s="512"/>
      <c r="E3925" s="500" t="str">
        <f ca="1">IFERROR(IF(VLOOKUP(C3925,' Disaggregation - Section E '!A$618:N2049,7,0)="","",VLOOKUP(C3925,' Disaggregation - Section E '!A$618:N2049,7,0)*100),"")</f>
        <v/>
      </c>
      <c r="F3925" s="503" t="str">
        <f ca="1">IFERROR(VLOOKUP(C3925,' Disaggregation - Section E '!A$618:N2049,5,0),"")</f>
        <v>Mujeres 15-24</v>
      </c>
      <c r="G3925" s="502" t="str">
        <f ca="1">IFERROR(IF(VLOOKUP(C3925,' Disaggregation - Section E '!A$618:N2049,6,0)="","",VLOOKUP(C3925,' Disaggregation - Section E '!A$618:N2049,6,0)),"")</f>
        <v/>
      </c>
      <c r="H3925" s="512" t="str">
        <f ca="1">IFERROR(IF(INDEX(' Disaggregation - Section E '!F$618:F3246,MATCH(C3925,' Disaggregation - Section E '!A$618:A3246,0)+1,1)&lt;&gt;0,INDEX(' Disaggregation - Section E '!F$618:F$1820,MATCH(C3925,' Disaggregation - Section E '!A$618:A3246,0)+1,1),""),"")</f>
        <v/>
      </c>
      <c r="I3925" s="503" t="str">
        <f ca="1">IFERROR(IF(VLOOKUP(C3925,' Disaggregation - Section E '!A$618:N2049,8,0)=0,"",VLOOKUP(C3925,' Disaggregation - Section E '!A$618:N2049,8,0)),"")</f>
        <v/>
      </c>
      <c r="J3925" s="503" t="str">
        <f ca="1">IFERROR(IF(VLOOKUP(C3925,' Disaggregation - Section E '!A$618:N3246,13,0)=0,"",VLOOKUP(C3925,' Disaggregation - Section E '!A$618:N3246,13,0)),"")</f>
        <v/>
      </c>
      <c r="K3925" s="497" t="str">
        <f ca="1">IFERROR(VLOOKUP(C3925,' Disaggregation - Section E '!A$618:N2049,3,0),"")</f>
        <v>TCS-1.1⁽ᴹ⁾ Porcentaje de personas en TARV entre todas las personas viviendo con VIH al final del período de reporte</v>
      </c>
      <c r="L3925" s="497"/>
      <c r="M3925" s="497" t="str">
        <f ca="1">IFERROR(IF(VLOOKUP(C3925,' Disaggregation - Section E '!A$618:T2049,20,0)=0,"",VLOOKUP(C3925,' Disaggregation - Section E '!A$618:T2049,20,0)),"")</f>
        <v>IDR-00891</v>
      </c>
      <c r="N3925" s="503" t="str">
        <f ca="1">IFERROR(IF(VLOOKUP(C3925,' Disaggregation - Section E '!A$618:N2049,14,0)=0,"",VLOOKUP(C3925,' Disaggregation - Section E '!A$618:N2049,14,0)),"")</f>
        <v/>
      </c>
      <c r="O3925" s="503" t="str">
        <f ca="1">IFERROR(IF(VLOOKUP(C3925,' Disaggregation - Section E '!A$618:N2049,9,0)=0,"",VLOOKUP(C3925,' Disaggregation - Section E '!A$618:N2049,9,0)),"")</f>
        <v/>
      </c>
      <c r="P3925" s="503" t="str">
        <f ca="1">IFERROR(IF(VLOOKUP(C3925,' Disaggregation - Section E '!A$618:N2049,10,0)=0,"",VLOOKUP(C3925,' Disaggregation - Section E '!A$618:N2049,10,0)),"")</f>
        <v/>
      </c>
    </row>
    <row r="3926" spans="1:16" x14ac:dyDescent="0.35">
      <c r="A3926" s="497" t="b">
        <f t="shared" ca="1" si="229"/>
        <v>1</v>
      </c>
      <c r="B3926" s="497"/>
      <c r="C3926" s="510" t="str">
        <f ca="1">IF(COUNTA(D$2498:D3926)=1,"",OFFSET(B3924,-COUNTA(D$2498:D3926)+3,1))</f>
        <v>a163p000004NtWyAAK</v>
      </c>
      <c r="D3926" s="512"/>
      <c r="E3926" s="500" t="str">
        <f ca="1">IFERROR(IF(VLOOKUP(C3926,' Disaggregation - Section E '!A$618:N2050,7,0)="","",VLOOKUP(C3926,' Disaggregation - Section E '!A$618:N2050,7,0)*100),"")</f>
        <v/>
      </c>
      <c r="F3926" s="503" t="str">
        <f ca="1">IFERROR(VLOOKUP(C3926,' Disaggregation - Section E '!A$618:N2050,5,0),"")</f>
        <v>Hombres 15-24</v>
      </c>
      <c r="G3926" s="502" t="str">
        <f ca="1">IFERROR(IF(VLOOKUP(C3926,' Disaggregation - Section E '!A$618:N2050,6,0)="","",VLOOKUP(C3926,' Disaggregation - Section E '!A$618:N2050,6,0)),"")</f>
        <v/>
      </c>
      <c r="H3926" s="512" t="str">
        <f ca="1">IFERROR(IF(INDEX(' Disaggregation - Section E '!F$618:F3247,MATCH(C3926,' Disaggregation - Section E '!A$618:A3247,0)+1,1)&lt;&gt;0,INDEX(' Disaggregation - Section E '!F$618:F$1820,MATCH(C3926,' Disaggregation - Section E '!A$618:A3247,0)+1,1),""),"")</f>
        <v/>
      </c>
      <c r="I3926" s="503" t="str">
        <f ca="1">IFERROR(IF(VLOOKUP(C3926,' Disaggregation - Section E '!A$618:N2050,8,0)=0,"",VLOOKUP(C3926,' Disaggregation - Section E '!A$618:N2050,8,0)),"")</f>
        <v/>
      </c>
      <c r="J3926" s="503" t="str">
        <f ca="1">IFERROR(IF(VLOOKUP(C3926,' Disaggregation - Section E '!A$618:N3247,13,0)=0,"",VLOOKUP(C3926,' Disaggregation - Section E '!A$618:N3247,13,0)),"")</f>
        <v/>
      </c>
      <c r="K3926" s="497" t="str">
        <f ca="1">IFERROR(VLOOKUP(C3926,' Disaggregation - Section E '!A$618:N2050,3,0),"")</f>
        <v>TCS-1.1⁽ᴹ⁾ Porcentaje de personas en TARV entre todas las personas viviendo con VIH al final del período de reporte</v>
      </c>
      <c r="L3926" s="497"/>
      <c r="M3926" s="497" t="str">
        <f ca="1">IFERROR(IF(VLOOKUP(C3926,' Disaggregation - Section E '!A$618:T2050,20,0)=0,"",VLOOKUP(C3926,' Disaggregation - Section E '!A$618:T2050,20,0)),"")</f>
        <v>IDR-00890</v>
      </c>
      <c r="N3926" s="503" t="str">
        <f ca="1">IFERROR(IF(VLOOKUP(C3926,' Disaggregation - Section E '!A$618:N2050,14,0)=0,"",VLOOKUP(C3926,' Disaggregation - Section E '!A$618:N2050,14,0)),"")</f>
        <v/>
      </c>
      <c r="O3926" s="503" t="str">
        <f ca="1">IFERROR(IF(VLOOKUP(C3926,' Disaggregation - Section E '!A$618:N2050,9,0)=0,"",VLOOKUP(C3926,' Disaggregation - Section E '!A$618:N2050,9,0)),"")</f>
        <v/>
      </c>
      <c r="P3926" s="503" t="str">
        <f ca="1">IFERROR(IF(VLOOKUP(C3926,' Disaggregation - Section E '!A$618:N2050,10,0)=0,"",VLOOKUP(C3926,' Disaggregation - Section E '!A$618:N2050,10,0)),"")</f>
        <v/>
      </c>
    </row>
    <row r="3927" spans="1:16" x14ac:dyDescent="0.35">
      <c r="A3927" s="497" t="b">
        <f t="shared" ca="1" si="229"/>
        <v>1</v>
      </c>
      <c r="B3927" s="497"/>
      <c r="C3927" s="510" t="str">
        <f ca="1">IF(COUNTA(D$2498:D3927)=1,"",OFFSET(B3925,-COUNTA(D$2498:D3927)+3,1))</f>
        <v>a163p000004NtWzAAK</v>
      </c>
      <c r="D3927" s="512"/>
      <c r="E3927" s="500" t="str">
        <f ca="1">IFERROR(IF(VLOOKUP(C3927,' Disaggregation - Section E '!A$618:N2051,7,0)="","",VLOOKUP(C3927,' Disaggregation - Section E '!A$618:N2051,7,0)*100),"")</f>
        <v/>
      </c>
      <c r="F3927" s="503" t="str">
        <f ca="1">IFERROR(VLOOKUP(C3927,' Disaggregation - Section E '!A$618:N2051,5,0),"")</f>
        <v>Mujeres 20-24</v>
      </c>
      <c r="G3927" s="502" t="str">
        <f ca="1">IFERROR(IF(VLOOKUP(C3927,' Disaggregation - Section E '!A$618:N2051,6,0)="","",VLOOKUP(C3927,' Disaggregation - Section E '!A$618:N2051,6,0)),"")</f>
        <v/>
      </c>
      <c r="H3927" s="512" t="str">
        <f ca="1">IFERROR(IF(INDEX(' Disaggregation - Section E '!F$618:F3248,MATCH(C3927,' Disaggregation - Section E '!A$618:A3248,0)+1,1)&lt;&gt;0,INDEX(' Disaggregation - Section E '!F$618:F$1820,MATCH(C3927,' Disaggregation - Section E '!A$618:A3248,0)+1,1),""),"")</f>
        <v/>
      </c>
      <c r="I3927" s="503" t="str">
        <f ca="1">IFERROR(IF(VLOOKUP(C3927,' Disaggregation - Section E '!A$618:N2051,8,0)=0,"",VLOOKUP(C3927,' Disaggregation - Section E '!A$618:N2051,8,0)),"")</f>
        <v/>
      </c>
      <c r="J3927" s="503" t="str">
        <f ca="1">IFERROR(IF(VLOOKUP(C3927,' Disaggregation - Section E '!A$618:N3248,13,0)=0,"",VLOOKUP(C3927,' Disaggregation - Section E '!A$618:N3248,13,0)),"")</f>
        <v/>
      </c>
      <c r="K3927" s="497" t="str">
        <f ca="1">IFERROR(VLOOKUP(C3927,' Disaggregation - Section E '!A$618:N2051,3,0),"")</f>
        <v>TCS-1.1⁽ᴹ⁾ Porcentaje de personas en TARV entre todas las personas viviendo con VIH al final del período de reporte</v>
      </c>
      <c r="L3927" s="497"/>
      <c r="M3927" s="497" t="str">
        <f ca="1">IFERROR(IF(VLOOKUP(C3927,' Disaggregation - Section E '!A$618:T2051,20,0)=0,"",VLOOKUP(C3927,' Disaggregation - Section E '!A$618:T2051,20,0)),"")</f>
        <v>IDR-00889</v>
      </c>
      <c r="N3927" s="503" t="str">
        <f ca="1">IFERROR(IF(VLOOKUP(C3927,' Disaggregation - Section E '!A$618:N2051,14,0)=0,"",VLOOKUP(C3927,' Disaggregation - Section E '!A$618:N2051,14,0)),"")</f>
        <v/>
      </c>
      <c r="O3927" s="503" t="str">
        <f ca="1">IFERROR(IF(VLOOKUP(C3927,' Disaggregation - Section E '!A$618:N2051,9,0)=0,"",VLOOKUP(C3927,' Disaggregation - Section E '!A$618:N2051,9,0)),"")</f>
        <v/>
      </c>
      <c r="P3927" s="503" t="str">
        <f ca="1">IFERROR(IF(VLOOKUP(C3927,' Disaggregation - Section E '!A$618:N2051,10,0)=0,"",VLOOKUP(C3927,' Disaggregation - Section E '!A$618:N2051,10,0)),"")</f>
        <v/>
      </c>
    </row>
    <row r="3928" spans="1:16" x14ac:dyDescent="0.35">
      <c r="A3928" s="497" t="b">
        <f t="shared" ca="1" si="229"/>
        <v>1</v>
      </c>
      <c r="B3928" s="497"/>
      <c r="C3928" s="510" t="str">
        <f ca="1">IF(COUNTA(D$2498:D3928)=1,"",OFFSET(B3926,-COUNTA(D$2498:D3928)+3,1))</f>
        <v>a163p000004NtX0AAK</v>
      </c>
      <c r="D3928" s="512"/>
      <c r="E3928" s="500" t="str">
        <f ca="1">IFERROR(IF(VLOOKUP(C3928,' Disaggregation - Section E '!A$618:N2052,7,0)="","",VLOOKUP(C3928,' Disaggregation - Section E '!A$618:N2052,7,0)*100),"")</f>
        <v/>
      </c>
      <c r="F3928" s="503" t="str">
        <f ca="1">IFERROR(VLOOKUP(C3928,' Disaggregation - Section E '!A$618:N2052,5,0),"")</f>
        <v>Hombres 20-24</v>
      </c>
      <c r="G3928" s="502" t="str">
        <f ca="1">IFERROR(IF(VLOOKUP(C3928,' Disaggregation - Section E '!A$618:N2052,6,0)="","",VLOOKUP(C3928,' Disaggregation - Section E '!A$618:N2052,6,0)),"")</f>
        <v/>
      </c>
      <c r="H3928" s="512" t="str">
        <f ca="1">IFERROR(IF(INDEX(' Disaggregation - Section E '!F$618:F3249,MATCH(C3928,' Disaggregation - Section E '!A$618:A3249,0)+1,1)&lt;&gt;0,INDEX(' Disaggregation - Section E '!F$618:F$1820,MATCH(C3928,' Disaggregation - Section E '!A$618:A3249,0)+1,1),""),"")</f>
        <v/>
      </c>
      <c r="I3928" s="503" t="str">
        <f ca="1">IFERROR(IF(VLOOKUP(C3928,' Disaggregation - Section E '!A$618:N2052,8,0)=0,"",VLOOKUP(C3928,' Disaggregation - Section E '!A$618:N2052,8,0)),"")</f>
        <v/>
      </c>
      <c r="J3928" s="503" t="str">
        <f ca="1">IFERROR(IF(VLOOKUP(C3928,' Disaggregation - Section E '!A$618:N3249,13,0)=0,"",VLOOKUP(C3928,' Disaggregation - Section E '!A$618:N3249,13,0)),"")</f>
        <v/>
      </c>
      <c r="K3928" s="497" t="str">
        <f ca="1">IFERROR(VLOOKUP(C3928,' Disaggregation - Section E '!A$618:N2052,3,0),"")</f>
        <v>TCS-1.1⁽ᴹ⁾ Porcentaje de personas en TARV entre todas las personas viviendo con VIH al final del período de reporte</v>
      </c>
      <c r="L3928" s="497"/>
      <c r="M3928" s="497" t="str">
        <f ca="1">IFERROR(IF(VLOOKUP(C3928,' Disaggregation - Section E '!A$618:T2052,20,0)=0,"",VLOOKUP(C3928,' Disaggregation - Section E '!A$618:T2052,20,0)),"")</f>
        <v>IDR-00888</v>
      </c>
      <c r="N3928" s="503" t="str">
        <f ca="1">IFERROR(IF(VLOOKUP(C3928,' Disaggregation - Section E '!A$618:N2052,14,0)=0,"",VLOOKUP(C3928,' Disaggregation - Section E '!A$618:N2052,14,0)),"")</f>
        <v/>
      </c>
      <c r="O3928" s="503" t="str">
        <f ca="1">IFERROR(IF(VLOOKUP(C3928,' Disaggregation - Section E '!A$618:N2052,9,0)=0,"",VLOOKUP(C3928,' Disaggregation - Section E '!A$618:N2052,9,0)),"")</f>
        <v/>
      </c>
      <c r="P3928" s="503" t="str">
        <f ca="1">IFERROR(IF(VLOOKUP(C3928,' Disaggregation - Section E '!A$618:N2052,10,0)=0,"",VLOOKUP(C3928,' Disaggregation - Section E '!A$618:N2052,10,0)),"")</f>
        <v/>
      </c>
    </row>
    <row r="3929" spans="1:16" x14ac:dyDescent="0.35">
      <c r="A3929" s="497" t="b">
        <f t="shared" ca="1" si="229"/>
        <v>1</v>
      </c>
      <c r="B3929" s="497"/>
      <c r="C3929" s="510" t="str">
        <f ca="1">IF(COUNTA(D$2498:D3929)=1,"",OFFSET(B3927,-COUNTA(D$2498:D3929)+3,1))</f>
        <v>a163p000004NtX1AAK</v>
      </c>
      <c r="D3929" s="512"/>
      <c r="E3929" s="500" t="str">
        <f ca="1">IFERROR(IF(VLOOKUP(C3929,' Disaggregation - Section E '!A$618:N2053,7,0)="","",VLOOKUP(C3929,' Disaggregation - Section E '!A$618:N2053,7,0)*100),"")</f>
        <v/>
      </c>
      <c r="F3929" s="503" t="str">
        <f ca="1">IFERROR(VLOOKUP(C3929,' Disaggregation - Section E '!A$618:N2053,5,0),"")</f>
        <v>Mujeres 15-19</v>
      </c>
      <c r="G3929" s="502" t="str">
        <f ca="1">IFERROR(IF(VLOOKUP(C3929,' Disaggregation - Section E '!A$618:N2053,6,0)="","",VLOOKUP(C3929,' Disaggregation - Section E '!A$618:N2053,6,0)),"")</f>
        <v/>
      </c>
      <c r="H3929" s="512" t="str">
        <f ca="1">IFERROR(IF(INDEX(' Disaggregation - Section E '!F$618:F3250,MATCH(C3929,' Disaggregation - Section E '!A$618:A3250,0)+1,1)&lt;&gt;0,INDEX(' Disaggregation - Section E '!F$618:F$1820,MATCH(C3929,' Disaggregation - Section E '!A$618:A3250,0)+1,1),""),"")</f>
        <v/>
      </c>
      <c r="I3929" s="503" t="str">
        <f ca="1">IFERROR(IF(VLOOKUP(C3929,' Disaggregation - Section E '!A$618:N2053,8,0)=0,"",VLOOKUP(C3929,' Disaggregation - Section E '!A$618:N2053,8,0)),"")</f>
        <v/>
      </c>
      <c r="J3929" s="503" t="str">
        <f ca="1">IFERROR(IF(VLOOKUP(C3929,' Disaggregation - Section E '!A$618:N3250,13,0)=0,"",VLOOKUP(C3929,' Disaggregation - Section E '!A$618:N3250,13,0)),"")</f>
        <v/>
      </c>
      <c r="K3929" s="497" t="str">
        <f ca="1">IFERROR(VLOOKUP(C3929,' Disaggregation - Section E '!A$618:N2053,3,0),"")</f>
        <v>TCS-1.1⁽ᴹ⁾ Porcentaje de personas en TARV entre todas las personas viviendo con VIH al final del período de reporte</v>
      </c>
      <c r="L3929" s="497"/>
      <c r="M3929" s="497" t="str">
        <f ca="1">IFERROR(IF(VLOOKUP(C3929,' Disaggregation - Section E '!A$618:T2053,20,0)=0,"",VLOOKUP(C3929,' Disaggregation - Section E '!A$618:T2053,20,0)),"")</f>
        <v>IDR-00887</v>
      </c>
      <c r="N3929" s="503" t="str">
        <f ca="1">IFERROR(IF(VLOOKUP(C3929,' Disaggregation - Section E '!A$618:N2053,14,0)=0,"",VLOOKUP(C3929,' Disaggregation - Section E '!A$618:N2053,14,0)),"")</f>
        <v/>
      </c>
      <c r="O3929" s="503" t="str">
        <f ca="1">IFERROR(IF(VLOOKUP(C3929,' Disaggregation - Section E '!A$618:N2053,9,0)=0,"",VLOOKUP(C3929,' Disaggregation - Section E '!A$618:N2053,9,0)),"")</f>
        <v/>
      </c>
      <c r="P3929" s="503" t="str">
        <f ca="1">IFERROR(IF(VLOOKUP(C3929,' Disaggregation - Section E '!A$618:N2053,10,0)=0,"",VLOOKUP(C3929,' Disaggregation - Section E '!A$618:N2053,10,0)),"")</f>
        <v/>
      </c>
    </row>
    <row r="3930" spans="1:16" x14ac:dyDescent="0.35">
      <c r="A3930" s="497" t="b">
        <f t="shared" ca="1" si="229"/>
        <v>1</v>
      </c>
      <c r="B3930" s="497"/>
      <c r="C3930" s="510" t="str">
        <f ca="1">IF(COUNTA(D$2498:D3930)=1,"",OFFSET(B3928,-COUNTA(D$2498:D3930)+3,1))</f>
        <v>a163p000004NtX2AAK</v>
      </c>
      <c r="D3930" s="512"/>
      <c r="E3930" s="500" t="str">
        <f ca="1">IFERROR(IF(VLOOKUP(C3930,' Disaggregation - Section E '!A$618:N2054,7,0)="","",VLOOKUP(C3930,' Disaggregation - Section E '!A$618:N2054,7,0)*100),"")</f>
        <v/>
      </c>
      <c r="F3930" s="503" t="str">
        <f ca="1">IFERROR(VLOOKUP(C3930,' Disaggregation - Section E '!A$618:N2054,5,0),"")</f>
        <v>Hombres 15-19</v>
      </c>
      <c r="G3930" s="502" t="str">
        <f ca="1">IFERROR(IF(VLOOKUP(C3930,' Disaggregation - Section E '!A$618:N2054,6,0)="","",VLOOKUP(C3930,' Disaggregation - Section E '!A$618:N2054,6,0)),"")</f>
        <v/>
      </c>
      <c r="H3930" s="512" t="str">
        <f ca="1">IFERROR(IF(INDEX(' Disaggregation - Section E '!F$618:F3251,MATCH(C3930,' Disaggregation - Section E '!A$618:A3251,0)+1,1)&lt;&gt;0,INDEX(' Disaggregation - Section E '!F$618:F$1820,MATCH(C3930,' Disaggregation - Section E '!A$618:A3251,0)+1,1),""),"")</f>
        <v/>
      </c>
      <c r="I3930" s="503" t="str">
        <f ca="1">IFERROR(IF(VLOOKUP(C3930,' Disaggregation - Section E '!A$618:N2054,8,0)=0,"",VLOOKUP(C3930,' Disaggregation - Section E '!A$618:N2054,8,0)),"")</f>
        <v/>
      </c>
      <c r="J3930" s="503" t="str">
        <f ca="1">IFERROR(IF(VLOOKUP(C3930,' Disaggregation - Section E '!A$618:N3251,13,0)=0,"",VLOOKUP(C3930,' Disaggregation - Section E '!A$618:N3251,13,0)),"")</f>
        <v/>
      </c>
      <c r="K3930" s="497" t="str">
        <f ca="1">IFERROR(VLOOKUP(C3930,' Disaggregation - Section E '!A$618:N2054,3,0),"")</f>
        <v>TCS-1.1⁽ᴹ⁾ Porcentaje de personas en TARV entre todas las personas viviendo con VIH al final del período de reporte</v>
      </c>
      <c r="L3930" s="497"/>
      <c r="M3930" s="497" t="str">
        <f ca="1">IFERROR(IF(VLOOKUP(C3930,' Disaggregation - Section E '!A$618:T2054,20,0)=0,"",VLOOKUP(C3930,' Disaggregation - Section E '!A$618:T2054,20,0)),"")</f>
        <v>IDR-00886</v>
      </c>
      <c r="N3930" s="503" t="str">
        <f ca="1">IFERROR(IF(VLOOKUP(C3930,' Disaggregation - Section E '!A$618:N2054,14,0)=0,"",VLOOKUP(C3930,' Disaggregation - Section E '!A$618:N2054,14,0)),"")</f>
        <v/>
      </c>
      <c r="O3930" s="503" t="str">
        <f ca="1">IFERROR(IF(VLOOKUP(C3930,' Disaggregation - Section E '!A$618:N2054,9,0)=0,"",VLOOKUP(C3930,' Disaggregation - Section E '!A$618:N2054,9,0)),"")</f>
        <v/>
      </c>
      <c r="P3930" s="503" t="str">
        <f ca="1">IFERROR(IF(VLOOKUP(C3930,' Disaggregation - Section E '!A$618:N2054,10,0)=0,"",VLOOKUP(C3930,' Disaggregation - Section E '!A$618:N2054,10,0)),"")</f>
        <v/>
      </c>
    </row>
    <row r="3931" spans="1:16" x14ac:dyDescent="0.35">
      <c r="A3931" s="497" t="b">
        <f t="shared" ca="1" si="229"/>
        <v>1</v>
      </c>
      <c r="B3931" s="497"/>
      <c r="C3931" s="510" t="str">
        <f ca="1">IF(COUNTA(D$2498:D3931)=1,"",OFFSET(B3929,-COUNTA(D$2498:D3931)+3,1))</f>
        <v>a163p000004NtX3AAK</v>
      </c>
      <c r="D3931" s="512"/>
      <c r="E3931" s="500" t="str">
        <f ca="1">IFERROR(IF(VLOOKUP(C3931,' Disaggregation - Section E '!A$618:N2055,7,0)="","",VLOOKUP(C3931,' Disaggregation - Section E '!A$618:N2055,7,0)*100),"")</f>
        <v/>
      </c>
      <c r="F3931" s="503" t="str">
        <f ca="1">IFERROR(VLOOKUP(C3931,' Disaggregation - Section E '!A$618:N2055,5,0),"")</f>
        <v>Mujeres 15+</v>
      </c>
      <c r="G3931" s="502" t="str">
        <f ca="1">IFERROR(IF(VLOOKUP(C3931,' Disaggregation - Section E '!A$618:N2055,6,0)="","",VLOOKUP(C3931,' Disaggregation - Section E '!A$618:N2055,6,0)),"")</f>
        <v/>
      </c>
      <c r="H3931" s="512" t="str">
        <f ca="1">IFERROR(IF(INDEX(' Disaggregation - Section E '!F$618:F3252,MATCH(C3931,' Disaggregation - Section E '!A$618:A3252,0)+1,1)&lt;&gt;0,INDEX(' Disaggregation - Section E '!F$618:F$1820,MATCH(C3931,' Disaggregation - Section E '!A$618:A3252,0)+1,1),""),"")</f>
        <v/>
      </c>
      <c r="I3931" s="503" t="str">
        <f ca="1">IFERROR(IF(VLOOKUP(C3931,' Disaggregation - Section E '!A$618:N2055,8,0)=0,"",VLOOKUP(C3931,' Disaggregation - Section E '!A$618:N2055,8,0)),"")</f>
        <v/>
      </c>
      <c r="J3931" s="503" t="str">
        <f ca="1">IFERROR(IF(VLOOKUP(C3931,' Disaggregation - Section E '!A$618:N3252,13,0)=0,"",VLOOKUP(C3931,' Disaggregation - Section E '!A$618:N3252,13,0)),"")</f>
        <v/>
      </c>
      <c r="K3931" s="497" t="str">
        <f ca="1">IFERROR(VLOOKUP(C3931,' Disaggregation - Section E '!A$618:N2055,3,0),"")</f>
        <v>TCS-1.1⁽ᴹ⁾ Porcentaje de personas en TARV entre todas las personas viviendo con VIH al final del período de reporte</v>
      </c>
      <c r="L3931" s="497"/>
      <c r="M3931" s="497" t="str">
        <f ca="1">IFERROR(IF(VLOOKUP(C3931,' Disaggregation - Section E '!A$618:T2055,20,0)=0,"",VLOOKUP(C3931,' Disaggregation - Section E '!A$618:T2055,20,0)),"")</f>
        <v>IDR-00885</v>
      </c>
      <c r="N3931" s="503" t="str">
        <f ca="1">IFERROR(IF(VLOOKUP(C3931,' Disaggregation - Section E '!A$618:N2055,14,0)=0,"",VLOOKUP(C3931,' Disaggregation - Section E '!A$618:N2055,14,0)),"")</f>
        <v/>
      </c>
      <c r="O3931" s="503" t="str">
        <f ca="1">IFERROR(IF(VLOOKUP(C3931,' Disaggregation - Section E '!A$618:N2055,9,0)=0,"",VLOOKUP(C3931,' Disaggregation - Section E '!A$618:N2055,9,0)),"")</f>
        <v/>
      </c>
      <c r="P3931" s="503" t="str">
        <f ca="1">IFERROR(IF(VLOOKUP(C3931,' Disaggregation - Section E '!A$618:N2055,10,0)=0,"",VLOOKUP(C3931,' Disaggregation - Section E '!A$618:N2055,10,0)),"")</f>
        <v/>
      </c>
    </row>
    <row r="3932" spans="1:16" x14ac:dyDescent="0.35">
      <c r="A3932" s="497" t="b">
        <f t="shared" ca="1" si="229"/>
        <v>1</v>
      </c>
      <c r="B3932" s="497"/>
      <c r="C3932" s="510" t="str">
        <f ca="1">IF(COUNTA(D$2498:D3932)=1,"",OFFSET(B3930,-COUNTA(D$2498:D3932)+3,1))</f>
        <v>a163p000004NtX4AAK</v>
      </c>
      <c r="D3932" s="512"/>
      <c r="E3932" s="500" t="str">
        <f ca="1">IFERROR(IF(VLOOKUP(C3932,' Disaggregation - Section E '!A$618:N2056,7,0)="","",VLOOKUP(C3932,' Disaggregation - Section E '!A$618:N2056,7,0)*100),"")</f>
        <v/>
      </c>
      <c r="F3932" s="503" t="str">
        <f ca="1">IFERROR(VLOOKUP(C3932,' Disaggregation - Section E '!A$618:N2056,5,0),"")</f>
        <v>Hombres 15+</v>
      </c>
      <c r="G3932" s="502" t="str">
        <f ca="1">IFERROR(IF(VLOOKUP(C3932,' Disaggregation - Section E '!A$618:N2056,6,0)="","",VLOOKUP(C3932,' Disaggregation - Section E '!A$618:N2056,6,0)),"")</f>
        <v/>
      </c>
      <c r="H3932" s="512" t="str">
        <f ca="1">IFERROR(IF(INDEX(' Disaggregation - Section E '!F$618:F3253,MATCH(C3932,' Disaggregation - Section E '!A$618:A3253,0)+1,1)&lt;&gt;0,INDEX(' Disaggregation - Section E '!F$618:F$1820,MATCH(C3932,' Disaggregation - Section E '!A$618:A3253,0)+1,1),""),"")</f>
        <v/>
      </c>
      <c r="I3932" s="503" t="str">
        <f ca="1">IFERROR(IF(VLOOKUP(C3932,' Disaggregation - Section E '!A$618:N2056,8,0)=0,"",VLOOKUP(C3932,' Disaggregation - Section E '!A$618:N2056,8,0)),"")</f>
        <v/>
      </c>
      <c r="J3932" s="503" t="str">
        <f ca="1">IFERROR(IF(VLOOKUP(C3932,' Disaggregation - Section E '!A$618:N3253,13,0)=0,"",VLOOKUP(C3932,' Disaggregation - Section E '!A$618:N3253,13,0)),"")</f>
        <v/>
      </c>
      <c r="K3932" s="497" t="str">
        <f ca="1">IFERROR(VLOOKUP(C3932,' Disaggregation - Section E '!A$618:N2056,3,0),"")</f>
        <v>TCS-1.1⁽ᴹ⁾ Porcentaje de personas en TARV entre todas las personas viviendo con VIH al final del período de reporte</v>
      </c>
      <c r="L3932" s="497"/>
      <c r="M3932" s="497" t="str">
        <f ca="1">IFERROR(IF(VLOOKUP(C3932,' Disaggregation - Section E '!A$618:T2056,20,0)=0,"",VLOOKUP(C3932,' Disaggregation - Section E '!A$618:T2056,20,0)),"")</f>
        <v>IDR-00884</v>
      </c>
      <c r="N3932" s="503" t="str">
        <f ca="1">IFERROR(IF(VLOOKUP(C3932,' Disaggregation - Section E '!A$618:N2056,14,0)=0,"",VLOOKUP(C3932,' Disaggregation - Section E '!A$618:N2056,14,0)),"")</f>
        <v/>
      </c>
      <c r="O3932" s="503" t="str">
        <f ca="1">IFERROR(IF(VLOOKUP(C3932,' Disaggregation - Section E '!A$618:N2056,9,0)=0,"",VLOOKUP(C3932,' Disaggregation - Section E '!A$618:N2056,9,0)),"")</f>
        <v/>
      </c>
      <c r="P3932" s="503" t="str">
        <f ca="1">IFERROR(IF(VLOOKUP(C3932,' Disaggregation - Section E '!A$618:N2056,10,0)=0,"",VLOOKUP(C3932,' Disaggregation - Section E '!A$618:N2056,10,0)),"")</f>
        <v/>
      </c>
    </row>
    <row r="3933" spans="1:16" x14ac:dyDescent="0.35">
      <c r="A3933" s="497" t="b">
        <f t="shared" ca="1" si="229"/>
        <v>1</v>
      </c>
      <c r="B3933" s="497"/>
      <c r="C3933" s="510" t="str">
        <f ca="1">IF(COUNTA(D$2498:D3933)=1,"",OFFSET(B3931,-COUNTA(D$2498:D3933)+3,1))</f>
        <v>a163p000004NtX5AAK</v>
      </c>
      <c r="D3933" s="512"/>
      <c r="E3933" s="500" t="str">
        <f ca="1">IFERROR(IF(VLOOKUP(C3933,' Disaggregation - Section E '!A$618:N2057,7,0)="","",VLOOKUP(C3933,' Disaggregation - Section E '!A$618:N2057,7,0)*100),"")</f>
        <v/>
      </c>
      <c r="F3933" s="503" t="str">
        <f ca="1">IFERROR(VLOOKUP(C3933,' Disaggregation - Section E '!A$618:N2057,5,0),"")</f>
        <v>Transgénero</v>
      </c>
      <c r="G3933" s="502" t="str">
        <f ca="1">IFERROR(IF(VLOOKUP(C3933,' Disaggregation - Section E '!A$618:N2057,6,0)="","",VLOOKUP(C3933,' Disaggregation - Section E '!A$618:N2057,6,0)),"")</f>
        <v/>
      </c>
      <c r="H3933" s="512" t="str">
        <f ca="1">IFERROR(IF(INDEX(' Disaggregation - Section E '!F$618:F3254,MATCH(C3933,' Disaggregation - Section E '!A$618:A3254,0)+1,1)&lt;&gt;0,INDEX(' Disaggregation - Section E '!F$618:F$1820,MATCH(C3933,' Disaggregation - Section E '!A$618:A3254,0)+1,1),""),"")</f>
        <v/>
      </c>
      <c r="I3933" s="503" t="str">
        <f ca="1">IFERROR(IF(VLOOKUP(C3933,' Disaggregation - Section E '!A$618:N2057,8,0)=0,"",VLOOKUP(C3933,' Disaggregation - Section E '!A$618:N2057,8,0)),"")</f>
        <v/>
      </c>
      <c r="J3933" s="503" t="str">
        <f ca="1">IFERROR(IF(VLOOKUP(C3933,' Disaggregation - Section E '!A$618:N3254,13,0)=0,"",VLOOKUP(C3933,' Disaggregation - Section E '!A$618:N3254,13,0)),"")</f>
        <v/>
      </c>
      <c r="K3933" s="497" t="str">
        <f ca="1">IFERROR(VLOOKUP(C3933,' Disaggregation - Section E '!A$618:N2057,3,0),"")</f>
        <v>TCS-1.1⁽ᴹ⁾ Porcentaje de personas en TARV entre todas las personas viviendo con VIH al final del período de reporte</v>
      </c>
      <c r="L3933" s="497"/>
      <c r="M3933" s="497" t="str">
        <f ca="1">IFERROR(IF(VLOOKUP(C3933,' Disaggregation - Section E '!A$618:T2057,20,0)=0,"",VLOOKUP(C3933,' Disaggregation - Section E '!A$618:T2057,20,0)),"")</f>
        <v>IDR-00846</v>
      </c>
      <c r="N3933" s="503" t="str">
        <f ca="1">IFERROR(IF(VLOOKUP(C3933,' Disaggregation - Section E '!A$618:N2057,14,0)=0,"",VLOOKUP(C3933,' Disaggregation - Section E '!A$618:N2057,14,0)),"")</f>
        <v/>
      </c>
      <c r="O3933" s="503" t="str">
        <f ca="1">IFERROR(IF(VLOOKUP(C3933,' Disaggregation - Section E '!A$618:N2057,9,0)=0,"",VLOOKUP(C3933,' Disaggregation - Section E '!A$618:N2057,9,0)),"")</f>
        <v/>
      </c>
      <c r="P3933" s="503" t="str">
        <f ca="1">IFERROR(IF(VLOOKUP(C3933,' Disaggregation - Section E '!A$618:N2057,10,0)=0,"",VLOOKUP(C3933,' Disaggregation - Section E '!A$618:N2057,10,0)),"")</f>
        <v/>
      </c>
    </row>
    <row r="3934" spans="1:16" x14ac:dyDescent="0.35">
      <c r="A3934" s="497" t="b">
        <f t="shared" ca="1" si="229"/>
        <v>1</v>
      </c>
      <c r="B3934" s="497"/>
      <c r="C3934" s="510" t="str">
        <f ca="1">IF(COUNTA(D$2498:D3934)=1,"",OFFSET(B3932,-COUNTA(D$2498:D3934)+3,1))</f>
        <v>a163p000004NtX6AAK</v>
      </c>
      <c r="D3934" s="512"/>
      <c r="E3934" s="500" t="str">
        <f ca="1">IFERROR(IF(VLOOKUP(C3934,' Disaggregation - Section E '!A$618:N2058,7,0)="","",VLOOKUP(C3934,' Disaggregation - Section E '!A$618:N2058,7,0)*100),"")</f>
        <v/>
      </c>
      <c r="F3934" s="503" t="str">
        <f ca="1">IFERROR(VLOOKUP(C3934,' Disaggregation - Section E '!A$618:N2058,5,0),"")</f>
        <v>Mujeres</v>
      </c>
      <c r="G3934" s="502" t="str">
        <f ca="1">IFERROR(IF(VLOOKUP(C3934,' Disaggregation - Section E '!A$618:N2058,6,0)="","",VLOOKUP(C3934,' Disaggregation - Section E '!A$618:N2058,6,0)),"")</f>
        <v/>
      </c>
      <c r="H3934" s="512" t="str">
        <f ca="1">IFERROR(IF(INDEX(' Disaggregation - Section E '!F$618:F3255,MATCH(C3934,' Disaggregation - Section E '!A$618:A3255,0)+1,1)&lt;&gt;0,INDEX(' Disaggregation - Section E '!F$618:F$1820,MATCH(C3934,' Disaggregation - Section E '!A$618:A3255,0)+1,1),""),"")</f>
        <v/>
      </c>
      <c r="I3934" s="503" t="str">
        <f ca="1">IFERROR(IF(VLOOKUP(C3934,' Disaggregation - Section E '!A$618:N2058,8,0)=0,"",VLOOKUP(C3934,' Disaggregation - Section E '!A$618:N2058,8,0)),"")</f>
        <v/>
      </c>
      <c r="J3934" s="503" t="str">
        <f ca="1">IFERROR(IF(VLOOKUP(C3934,' Disaggregation - Section E '!A$618:N3255,13,0)=0,"",VLOOKUP(C3934,' Disaggregation - Section E '!A$618:N3255,13,0)),"")</f>
        <v/>
      </c>
      <c r="K3934" s="497" t="str">
        <f ca="1">IFERROR(VLOOKUP(C3934,' Disaggregation - Section E '!A$618:N2058,3,0),"")</f>
        <v>TCS-1.1⁽ᴹ⁾ Porcentaje de personas en TARV entre todas las personas viviendo con VIH al final del período de reporte</v>
      </c>
      <c r="L3934" s="497"/>
      <c r="M3934" s="497" t="str">
        <f ca="1">IFERROR(IF(VLOOKUP(C3934,' Disaggregation - Section E '!A$618:T2058,20,0)=0,"",VLOOKUP(C3934,' Disaggregation - Section E '!A$618:T2058,20,0)),"")</f>
        <v>IDR-00845</v>
      </c>
      <c r="N3934" s="503" t="str">
        <f ca="1">IFERROR(IF(VLOOKUP(C3934,' Disaggregation - Section E '!A$618:N2058,14,0)=0,"",VLOOKUP(C3934,' Disaggregation - Section E '!A$618:N2058,14,0)),"")</f>
        <v/>
      </c>
      <c r="O3934" s="503" t="str">
        <f ca="1">IFERROR(IF(VLOOKUP(C3934,' Disaggregation - Section E '!A$618:N2058,9,0)=0,"",VLOOKUP(C3934,' Disaggregation - Section E '!A$618:N2058,9,0)),"")</f>
        <v/>
      </c>
      <c r="P3934" s="503" t="str">
        <f ca="1">IFERROR(IF(VLOOKUP(C3934,' Disaggregation - Section E '!A$618:N2058,10,0)=0,"",VLOOKUP(C3934,' Disaggregation - Section E '!A$618:N2058,10,0)),"")</f>
        <v/>
      </c>
    </row>
    <row r="3935" spans="1:16" x14ac:dyDescent="0.35">
      <c r="A3935" s="497" t="b">
        <f t="shared" ca="1" si="229"/>
        <v>1</v>
      </c>
      <c r="B3935" s="497"/>
      <c r="C3935" s="510" t="str">
        <f ca="1">IF(COUNTA(D$2498:D3935)=1,"",OFFSET(B3933,-COUNTA(D$2498:D3935)+3,1))</f>
        <v>a163p000004NtX7AAK</v>
      </c>
      <c r="D3935" s="512"/>
      <c r="E3935" s="500" t="str">
        <f ca="1">IFERROR(IF(VLOOKUP(C3935,' Disaggregation - Section E '!A$618:N2059,7,0)="","",VLOOKUP(C3935,' Disaggregation - Section E '!A$618:N2059,7,0)*100),"")</f>
        <v/>
      </c>
      <c r="F3935" s="503" t="str">
        <f ca="1">IFERROR(VLOOKUP(C3935,' Disaggregation - Section E '!A$618:N2059,5,0),"")</f>
        <v>Hombres</v>
      </c>
      <c r="G3935" s="502" t="str">
        <f ca="1">IFERROR(IF(VLOOKUP(C3935,' Disaggregation - Section E '!A$618:N2059,6,0)="","",VLOOKUP(C3935,' Disaggregation - Section E '!A$618:N2059,6,0)),"")</f>
        <v/>
      </c>
      <c r="H3935" s="512" t="str">
        <f ca="1">IFERROR(IF(INDEX(' Disaggregation - Section E '!F$618:F3256,MATCH(C3935,' Disaggregation - Section E '!A$618:A3256,0)+1,1)&lt;&gt;0,INDEX(' Disaggregation - Section E '!F$618:F$1820,MATCH(C3935,' Disaggregation - Section E '!A$618:A3256,0)+1,1),""),"")</f>
        <v/>
      </c>
      <c r="I3935" s="503" t="str">
        <f ca="1">IFERROR(IF(VLOOKUP(C3935,' Disaggregation - Section E '!A$618:N2059,8,0)=0,"",VLOOKUP(C3935,' Disaggregation - Section E '!A$618:N2059,8,0)),"")</f>
        <v/>
      </c>
      <c r="J3935" s="503" t="str">
        <f ca="1">IFERROR(IF(VLOOKUP(C3935,' Disaggregation - Section E '!A$618:N3256,13,0)=0,"",VLOOKUP(C3935,' Disaggregation - Section E '!A$618:N3256,13,0)),"")</f>
        <v/>
      </c>
      <c r="K3935" s="497" t="str">
        <f ca="1">IFERROR(VLOOKUP(C3935,' Disaggregation - Section E '!A$618:N2059,3,0),"")</f>
        <v>TCS-1.1⁽ᴹ⁾ Porcentaje de personas en TARV entre todas las personas viviendo con VIH al final del período de reporte</v>
      </c>
      <c r="L3935" s="497"/>
      <c r="M3935" s="497" t="str">
        <f ca="1">IFERROR(IF(VLOOKUP(C3935,' Disaggregation - Section E '!A$618:T2059,20,0)=0,"",VLOOKUP(C3935,' Disaggregation - Section E '!A$618:T2059,20,0)),"")</f>
        <v>IDR-00844</v>
      </c>
      <c r="N3935" s="503" t="str">
        <f ca="1">IFERROR(IF(VLOOKUP(C3935,' Disaggregation - Section E '!A$618:N2059,14,0)=0,"",VLOOKUP(C3935,' Disaggregation - Section E '!A$618:N2059,14,0)),"")</f>
        <v/>
      </c>
      <c r="O3935" s="503" t="str">
        <f ca="1">IFERROR(IF(VLOOKUP(C3935,' Disaggregation - Section E '!A$618:N2059,9,0)=0,"",VLOOKUP(C3935,' Disaggregation - Section E '!A$618:N2059,9,0)),"")</f>
        <v/>
      </c>
      <c r="P3935" s="503" t="str">
        <f ca="1">IFERROR(IF(VLOOKUP(C3935,' Disaggregation - Section E '!A$618:N2059,10,0)=0,"",VLOOKUP(C3935,' Disaggregation - Section E '!A$618:N2059,10,0)),"")</f>
        <v/>
      </c>
    </row>
    <row r="3936" spans="1:16" x14ac:dyDescent="0.35">
      <c r="A3936" s="497" t="b">
        <f t="shared" ca="1" si="229"/>
        <v>1</v>
      </c>
      <c r="B3936" s="497"/>
      <c r="C3936" s="510" t="str">
        <f ca="1">IF(COUNTA(D$2498:D3936)=1,"",OFFSET(B3934,-COUNTA(D$2498:D3936)+3,1))</f>
        <v>a163p000004NtX8AAK</v>
      </c>
      <c r="D3936" s="512"/>
      <c r="E3936" s="500" t="str">
        <f ca="1">IFERROR(IF(VLOOKUP(C3936,' Disaggregation - Section E '!A$618:N2060,7,0)="","",VLOOKUP(C3936,' Disaggregation - Section E '!A$618:N2060,7,0)*100),"")</f>
        <v/>
      </c>
      <c r="F3936" s="503" t="str">
        <f ca="1">IFERROR(VLOOKUP(C3936,' Disaggregation - Section E '!A$618:N2060,5,0),"")</f>
        <v>15+</v>
      </c>
      <c r="G3936" s="502" t="str">
        <f ca="1">IFERROR(IF(VLOOKUP(C3936,' Disaggregation - Section E '!A$618:N2060,6,0)="","",VLOOKUP(C3936,' Disaggregation - Section E '!A$618:N2060,6,0)),"")</f>
        <v/>
      </c>
      <c r="H3936" s="512" t="str">
        <f ca="1">IFERROR(IF(INDEX(' Disaggregation - Section E '!F$618:F3257,MATCH(C3936,' Disaggregation - Section E '!A$618:A3257,0)+1,1)&lt;&gt;0,INDEX(' Disaggregation - Section E '!F$618:F$1820,MATCH(C3936,' Disaggregation - Section E '!A$618:A3257,0)+1,1),""),"")</f>
        <v/>
      </c>
      <c r="I3936" s="503" t="str">
        <f ca="1">IFERROR(IF(VLOOKUP(C3936,' Disaggregation - Section E '!A$618:N2060,8,0)=0,"",VLOOKUP(C3936,' Disaggregation - Section E '!A$618:N2060,8,0)),"")</f>
        <v/>
      </c>
      <c r="J3936" s="503" t="str">
        <f ca="1">IFERROR(IF(VLOOKUP(C3936,' Disaggregation - Section E '!A$618:N3257,13,0)=0,"",VLOOKUP(C3936,' Disaggregation - Section E '!A$618:N3257,13,0)),"")</f>
        <v/>
      </c>
      <c r="K3936" s="497" t="str">
        <f ca="1">IFERROR(VLOOKUP(C3936,' Disaggregation - Section E '!A$618:N2060,3,0),"")</f>
        <v>TCS-1.1⁽ᴹ⁾ Porcentaje de personas en TARV entre todas las personas viviendo con VIH al final del período de reporte</v>
      </c>
      <c r="L3936" s="497"/>
      <c r="M3936" s="497" t="str">
        <f ca="1">IFERROR(IF(VLOOKUP(C3936,' Disaggregation - Section E '!A$618:T2060,20,0)=0,"",VLOOKUP(C3936,' Disaggregation - Section E '!A$618:T2060,20,0)),"")</f>
        <v>IDR-00724</v>
      </c>
      <c r="N3936" s="503" t="str">
        <f ca="1">IFERROR(IF(VLOOKUP(C3936,' Disaggregation - Section E '!A$618:N2060,14,0)=0,"",VLOOKUP(C3936,' Disaggregation - Section E '!A$618:N2060,14,0)),"")</f>
        <v/>
      </c>
      <c r="O3936" s="503" t="str">
        <f ca="1">IFERROR(IF(VLOOKUP(C3936,' Disaggregation - Section E '!A$618:N2060,9,0)=0,"",VLOOKUP(C3936,' Disaggregation - Section E '!A$618:N2060,9,0)),"")</f>
        <v/>
      </c>
      <c r="P3936" s="503" t="str">
        <f ca="1">IFERROR(IF(VLOOKUP(C3936,' Disaggregation - Section E '!A$618:N2060,10,0)=0,"",VLOOKUP(C3936,' Disaggregation - Section E '!A$618:N2060,10,0)),"")</f>
        <v/>
      </c>
    </row>
    <row r="3937" spans="1:16" x14ac:dyDescent="0.35">
      <c r="A3937" s="497" t="b">
        <f t="shared" ca="1" si="229"/>
        <v>1</v>
      </c>
      <c r="B3937" s="497"/>
      <c r="C3937" s="510" t="str">
        <f ca="1">IF(COUNTA(D$2498:D3937)=1,"",OFFSET(B3935,-COUNTA(D$2498:D3937)+3,1))</f>
        <v>a163p000004NtX9AAK</v>
      </c>
      <c r="D3937" s="512"/>
      <c r="E3937" s="500" t="str">
        <f ca="1">IFERROR(IF(VLOOKUP(C3937,' Disaggregation - Section E '!A$618:N2061,7,0)="","",VLOOKUP(C3937,' Disaggregation - Section E '!A$618:N2061,7,0)*100),"")</f>
        <v/>
      </c>
      <c r="F3937" s="503" t="str">
        <f ca="1">IFERROR(VLOOKUP(C3937,' Disaggregation - Section E '!A$618:N2061,5,0),"")</f>
        <v>&lt;15</v>
      </c>
      <c r="G3937" s="502" t="str">
        <f ca="1">IFERROR(IF(VLOOKUP(C3937,' Disaggregation - Section E '!A$618:N2061,6,0)="","",VLOOKUP(C3937,' Disaggregation - Section E '!A$618:N2061,6,0)),"")</f>
        <v/>
      </c>
      <c r="H3937" s="512" t="str">
        <f ca="1">IFERROR(IF(INDEX(' Disaggregation - Section E '!F$618:F3258,MATCH(C3937,' Disaggregation - Section E '!A$618:A3258,0)+1,1)&lt;&gt;0,INDEX(' Disaggregation - Section E '!F$618:F$1820,MATCH(C3937,' Disaggregation - Section E '!A$618:A3258,0)+1,1),""),"")</f>
        <v/>
      </c>
      <c r="I3937" s="503" t="str">
        <f ca="1">IFERROR(IF(VLOOKUP(C3937,' Disaggregation - Section E '!A$618:N2061,8,0)=0,"",VLOOKUP(C3937,' Disaggregation - Section E '!A$618:N2061,8,0)),"")</f>
        <v/>
      </c>
      <c r="J3937" s="503" t="str">
        <f ca="1">IFERROR(IF(VLOOKUP(C3937,' Disaggregation - Section E '!A$618:N3258,13,0)=0,"",VLOOKUP(C3937,' Disaggregation - Section E '!A$618:N3258,13,0)),"")</f>
        <v/>
      </c>
      <c r="K3937" s="497" t="str">
        <f ca="1">IFERROR(VLOOKUP(C3937,' Disaggregation - Section E '!A$618:N2061,3,0),"")</f>
        <v>TCS-1.1⁽ᴹ⁾ Porcentaje de personas en TARV entre todas las personas viviendo con VIH al final del período de reporte</v>
      </c>
      <c r="L3937" s="497"/>
      <c r="M3937" s="497" t="str">
        <f ca="1">IFERROR(IF(VLOOKUP(C3937,' Disaggregation - Section E '!A$618:T2061,20,0)=0,"",VLOOKUP(C3937,' Disaggregation - Section E '!A$618:T2061,20,0)),"")</f>
        <v>IDR-00723</v>
      </c>
      <c r="N3937" s="503" t="str">
        <f ca="1">IFERROR(IF(VLOOKUP(C3937,' Disaggregation - Section E '!A$618:N2061,14,0)=0,"",VLOOKUP(C3937,' Disaggregation - Section E '!A$618:N2061,14,0)),"")</f>
        <v/>
      </c>
      <c r="O3937" s="503" t="str">
        <f ca="1">IFERROR(IF(VLOOKUP(C3937,' Disaggregation - Section E '!A$618:N2061,9,0)=0,"",VLOOKUP(C3937,' Disaggregation - Section E '!A$618:N2061,9,0)),"")</f>
        <v/>
      </c>
      <c r="P3937" s="503" t="str">
        <f ca="1">IFERROR(IF(VLOOKUP(C3937,' Disaggregation - Section E '!A$618:N2061,10,0)=0,"",VLOOKUP(C3937,' Disaggregation - Section E '!A$618:N2061,10,0)),"")</f>
        <v/>
      </c>
    </row>
    <row r="3938" spans="1:16" x14ac:dyDescent="0.35">
      <c r="A3938" s="497" t="b">
        <f t="shared" ca="1" si="229"/>
        <v>0</v>
      </c>
      <c r="B3938" s="497"/>
      <c r="C3938" s="510" t="str">
        <f ca="1">IF(COUNTA(D$2498:D3938)=1,"",OFFSET(B3936,-COUNTA(D$2498:D3938)+3,1))</f>
        <v>a163p000004NtXAAA0</v>
      </c>
      <c r="D3938" s="512"/>
      <c r="E3938" s="500" t="str">
        <f ca="1">IFERROR(IF(VLOOKUP(C3938,' Disaggregation - Section E '!A$618:N2062,7,0)="","",VLOOKUP(C3938,' Disaggregation - Section E '!A$618:N2062,7,0)*100),"")</f>
        <v/>
      </c>
      <c r="F3938" s="503" t="str">
        <f ca="1">IFERROR(VLOOKUP(C3938,' Disaggregation - Section E '!A$618:N2062,5,0),"")</f>
        <v/>
      </c>
      <c r="G3938" s="502" t="str">
        <f ca="1">IFERROR(IF(VLOOKUP(C3938,' Disaggregation - Section E '!A$618:N2062,6,0)="","",VLOOKUP(C3938,' Disaggregation - Section E '!A$618:N2062,6,0)),"")</f>
        <v/>
      </c>
      <c r="H3938" s="512" t="str">
        <f ca="1">IFERROR(IF(INDEX(' Disaggregation - Section E '!F$618:F3259,MATCH(C3938,' Disaggregation - Section E '!A$618:A3259,0)+1,1)&lt;&gt;0,INDEX(' Disaggregation - Section E '!F$618:F$1820,MATCH(C3938,' Disaggregation - Section E '!A$618:A3259,0)+1,1),""),"")</f>
        <v/>
      </c>
      <c r="I3938" s="503" t="str">
        <f ca="1">IFERROR(IF(VLOOKUP(C3938,' Disaggregation - Section E '!A$618:N2062,8,0)=0,"",VLOOKUP(C3938,' Disaggregation - Section E '!A$618:N2062,8,0)),"")</f>
        <v/>
      </c>
      <c r="J3938" s="503" t="str">
        <f ca="1">IFERROR(IF(VLOOKUP(C3938,' Disaggregation - Section E '!A$618:N3259,13,0)=0,"",VLOOKUP(C3938,' Disaggregation - Section E '!A$618:N3259,13,0)),"")</f>
        <v/>
      </c>
      <c r="K3938" s="497" t="str">
        <f ca="1">IFERROR(VLOOKUP(C3938,' Disaggregation - Section E '!A$618:N2062,3,0),"")</f>
        <v>TCS-1.1⁽ᴹ⁾ Porcentaje de personas en TARV entre todas las personas viviendo con VIH al final del período de reporte</v>
      </c>
      <c r="L3938" s="497"/>
      <c r="M3938" s="497" t="str">
        <f ca="1">IFERROR(IF(VLOOKUP(C3938,' Disaggregation - Section E '!A$618:T2062,20,0)=0,"",VLOOKUP(C3938,' Disaggregation - Section E '!A$618:T2062,20,0)),"")</f>
        <v/>
      </c>
      <c r="N3938" s="503" t="str">
        <f ca="1">IFERROR(IF(VLOOKUP(C3938,' Disaggregation - Section E '!A$618:N2062,14,0)=0,"",VLOOKUP(C3938,' Disaggregation - Section E '!A$618:N2062,14,0)),"")</f>
        <v/>
      </c>
      <c r="O3938" s="503" t="str">
        <f ca="1">IFERROR(IF(VLOOKUP(C3938,' Disaggregation - Section E '!A$618:N2062,9,0)=0,"",VLOOKUP(C3938,' Disaggregation - Section E '!A$618:N2062,9,0)),"")</f>
        <v/>
      </c>
      <c r="P3938" s="503" t="str">
        <f ca="1">IFERROR(IF(VLOOKUP(C3938,' Disaggregation - Section E '!A$618:N2062,10,0)=0,"",VLOOKUP(C3938,' Disaggregation - Section E '!A$618:N2062,10,0)),"")</f>
        <v/>
      </c>
    </row>
    <row r="3939" spans="1:16" x14ac:dyDescent="0.35">
      <c r="A3939" s="497" t="b">
        <f t="shared" ca="1" si="229"/>
        <v>0</v>
      </c>
      <c r="B3939" s="497"/>
      <c r="C3939" s="510" t="str">
        <f ca="1">IF(COUNTA(D$2498:D3939)=1,"",OFFSET(B3937,-COUNTA(D$2498:D3939)+3,1))</f>
        <v>a163p000004NtXBAA0</v>
      </c>
      <c r="D3939" s="512"/>
      <c r="E3939" s="500" t="str">
        <f ca="1">IFERROR(IF(VLOOKUP(C3939,' Disaggregation - Section E '!A$618:N2063,7,0)="","",VLOOKUP(C3939,' Disaggregation - Section E '!A$618:N2063,7,0)*100),"")</f>
        <v/>
      </c>
      <c r="F3939" s="503" t="str">
        <f ca="1">IFERROR(VLOOKUP(C3939,' Disaggregation - Section E '!A$618:N2063,5,0),"")</f>
        <v/>
      </c>
      <c r="G3939" s="502" t="str">
        <f ca="1">IFERROR(IF(VLOOKUP(C3939,' Disaggregation - Section E '!A$618:N2063,6,0)="","",VLOOKUP(C3939,' Disaggregation - Section E '!A$618:N2063,6,0)),"")</f>
        <v/>
      </c>
      <c r="H3939" s="512" t="str">
        <f ca="1">IFERROR(IF(INDEX(' Disaggregation - Section E '!F$618:F3260,MATCH(C3939,' Disaggregation - Section E '!A$618:A3260,0)+1,1)&lt;&gt;0,INDEX(' Disaggregation - Section E '!F$618:F$1820,MATCH(C3939,' Disaggregation - Section E '!A$618:A3260,0)+1,1),""),"")</f>
        <v/>
      </c>
      <c r="I3939" s="503" t="str">
        <f ca="1">IFERROR(IF(VLOOKUP(C3939,' Disaggregation - Section E '!A$618:N2063,8,0)=0,"",VLOOKUP(C3939,' Disaggregation - Section E '!A$618:N2063,8,0)),"")</f>
        <v/>
      </c>
      <c r="J3939" s="503" t="str">
        <f ca="1">IFERROR(IF(VLOOKUP(C3939,' Disaggregation - Section E '!A$618:N3260,13,0)=0,"",VLOOKUP(C3939,' Disaggregation - Section E '!A$618:N3260,13,0)),"")</f>
        <v/>
      </c>
      <c r="K3939" s="497" t="str">
        <f ca="1">IFERROR(VLOOKUP(C3939,' Disaggregation - Section E '!A$618:N2063,3,0),"")</f>
        <v>TCS-1.1⁽ᴹ⁾ Porcentaje de personas en TARV entre todas las personas viviendo con VIH al final del período de reporte</v>
      </c>
      <c r="L3939" s="497"/>
      <c r="M3939" s="497" t="str">
        <f ca="1">IFERROR(IF(VLOOKUP(C3939,' Disaggregation - Section E '!A$618:T2063,20,0)=0,"",VLOOKUP(C3939,' Disaggregation - Section E '!A$618:T2063,20,0)),"")</f>
        <v/>
      </c>
      <c r="N3939" s="503" t="str">
        <f ca="1">IFERROR(IF(VLOOKUP(C3939,' Disaggregation - Section E '!A$618:N2063,14,0)=0,"",VLOOKUP(C3939,' Disaggregation - Section E '!A$618:N2063,14,0)),"")</f>
        <v/>
      </c>
      <c r="O3939" s="503" t="str">
        <f ca="1">IFERROR(IF(VLOOKUP(C3939,' Disaggregation - Section E '!A$618:N2063,9,0)=0,"",VLOOKUP(C3939,' Disaggregation - Section E '!A$618:N2063,9,0)),"")</f>
        <v/>
      </c>
      <c r="P3939" s="503" t="str">
        <f ca="1">IFERROR(IF(VLOOKUP(C3939,' Disaggregation - Section E '!A$618:N2063,10,0)=0,"",VLOOKUP(C3939,' Disaggregation - Section E '!A$618:N2063,10,0)),"")</f>
        <v/>
      </c>
    </row>
    <row r="3940" spans="1:16" x14ac:dyDescent="0.35">
      <c r="A3940" s="497" t="b">
        <f t="shared" ca="1" si="229"/>
        <v>0</v>
      </c>
      <c r="B3940" s="497"/>
      <c r="C3940" s="510" t="str">
        <f ca="1">IF(COUNTA(D$2498:D3940)=1,"",OFFSET(B3938,-COUNTA(D$2498:D3940)+3,1))</f>
        <v>a163p000004NtNWAA0</v>
      </c>
      <c r="D3940" s="512"/>
      <c r="E3940" s="500" t="str">
        <f ca="1">IFERROR(IF(VLOOKUP(C3940,' Disaggregation - Section E '!A$618:N2064,7,0)="","",VLOOKUP(C3940,' Disaggregation - Section E '!A$618:N2064,7,0)*100),"")</f>
        <v/>
      </c>
      <c r="F3940" s="503" t="str">
        <f ca="1">IFERROR(VLOOKUP(C3940,' Disaggregation - Section E '!A$618:N2064,5,0),"")</f>
        <v/>
      </c>
      <c r="G3940" s="502" t="str">
        <f ca="1">IFERROR(IF(VLOOKUP(C3940,' Disaggregation - Section E '!A$618:N2064,6,0)="","",VLOOKUP(C3940,' Disaggregation - Section E '!A$618:N2064,6,0)),"")</f>
        <v/>
      </c>
      <c r="H3940" s="512" t="str">
        <f ca="1">IFERROR(IF(INDEX(' Disaggregation - Section E '!F$618:F3261,MATCH(C3940,' Disaggregation - Section E '!A$618:A3261,0)+1,1)&lt;&gt;0,INDEX(' Disaggregation - Section E '!F$618:F$1820,MATCH(C3940,' Disaggregation - Section E '!A$618:A3261,0)+1,1),""),"")</f>
        <v/>
      </c>
      <c r="I3940" s="503" t="str">
        <f ca="1">IFERROR(IF(VLOOKUP(C3940,' Disaggregation - Section E '!A$618:N2064,8,0)=0,"",VLOOKUP(C3940,' Disaggregation - Section E '!A$618:N2064,8,0)),"")</f>
        <v/>
      </c>
      <c r="J3940" s="503" t="str">
        <f ca="1">IFERROR(IF(VLOOKUP(C3940,' Disaggregation - Section E '!A$618:N3261,13,0)=0,"",VLOOKUP(C3940,' Disaggregation - Section E '!A$618:N3261,13,0)),"")</f>
        <v/>
      </c>
      <c r="K3940" s="497" t="str">
        <f ca="1">IFERROR(VLOOKUP(C3940,' Disaggregation - Section E '!A$618:N2064,3,0),"")</f>
        <v>KP-6a Porcentaje de HSH elegibles que iniciaron PrEP durante el período de reporte</v>
      </c>
      <c r="L3940" s="497"/>
      <c r="M3940" s="497" t="str">
        <f ca="1">IFERROR(IF(VLOOKUP(C3940,' Disaggregation - Section E '!A$618:T2064,20,0)=0,"",VLOOKUP(C3940,' Disaggregation - Section E '!A$618:T2064,20,0)),"")</f>
        <v/>
      </c>
      <c r="N3940" s="503" t="str">
        <f ca="1">IFERROR(IF(VLOOKUP(C3940,' Disaggregation - Section E '!A$618:N2064,14,0)=0,"",VLOOKUP(C3940,' Disaggregation - Section E '!A$618:N2064,14,0)),"")</f>
        <v>Being a focused country, no disaggregation is required</v>
      </c>
      <c r="O3940" s="503" t="str">
        <f ca="1">IFERROR(IF(VLOOKUP(C3940,' Disaggregation - Section E '!A$618:N2064,9,0)=0,"",VLOOKUP(C3940,' Disaggregation - Section E '!A$618:N2064,9,0)),"")</f>
        <v/>
      </c>
      <c r="P3940" s="503" t="str">
        <f ca="1">IFERROR(IF(VLOOKUP(C3940,' Disaggregation - Section E '!A$618:N2064,10,0)=0,"",VLOOKUP(C3940,' Disaggregation - Section E '!A$618:N2064,10,0)),"")</f>
        <v>Al ser un país focalizado no se requiere desagregación</v>
      </c>
    </row>
    <row r="3941" spans="1:16" x14ac:dyDescent="0.35">
      <c r="A3941" s="497" t="b">
        <f t="shared" ca="1" si="229"/>
        <v>0</v>
      </c>
      <c r="B3941" s="497"/>
      <c r="C3941" s="510" t="str">
        <f ca="1">IF(COUNTA(D$2498:D3941)=1,"",OFFSET(B3939,-COUNTA(D$2498:D3941)+3,1))</f>
        <v>a163p000004NtNXAA0</v>
      </c>
      <c r="D3941" s="512"/>
      <c r="E3941" s="500" t="str">
        <f ca="1">IFERROR(IF(VLOOKUP(C3941,' Disaggregation - Section E '!A$618:N2065,7,0)="","",VLOOKUP(C3941,' Disaggregation - Section E '!A$618:N2065,7,0)*100),"")</f>
        <v/>
      </c>
      <c r="F3941" s="503" t="str">
        <f ca="1">IFERROR(VLOOKUP(C3941,' Disaggregation - Section E '!A$618:N2065,5,0),"")</f>
        <v/>
      </c>
      <c r="G3941" s="502" t="str">
        <f ca="1">IFERROR(IF(VLOOKUP(C3941,' Disaggregation - Section E '!A$618:N2065,6,0)="","",VLOOKUP(C3941,' Disaggregation - Section E '!A$618:N2065,6,0)),"")</f>
        <v/>
      </c>
      <c r="H3941" s="512" t="str">
        <f ca="1">IFERROR(IF(INDEX(' Disaggregation - Section E '!F$618:F3262,MATCH(C3941,' Disaggregation - Section E '!A$618:A3262,0)+1,1)&lt;&gt;0,INDEX(' Disaggregation - Section E '!F$618:F$1820,MATCH(C3941,' Disaggregation - Section E '!A$618:A3262,0)+1,1),""),"")</f>
        <v/>
      </c>
      <c r="I3941" s="503" t="str">
        <f ca="1">IFERROR(IF(VLOOKUP(C3941,' Disaggregation - Section E '!A$618:N2065,8,0)=0,"",VLOOKUP(C3941,' Disaggregation - Section E '!A$618:N2065,8,0)),"")</f>
        <v/>
      </c>
      <c r="J3941" s="503" t="str">
        <f ca="1">IFERROR(IF(VLOOKUP(C3941,' Disaggregation - Section E '!A$618:N3262,13,0)=0,"",VLOOKUP(C3941,' Disaggregation - Section E '!A$618:N3262,13,0)),"")</f>
        <v/>
      </c>
      <c r="K3941" s="497" t="str">
        <f ca="1">IFERROR(VLOOKUP(C3941,' Disaggregation - Section E '!A$618:N2065,3,0),"")</f>
        <v>KP-6a Porcentaje de HSH elegibles que iniciaron PrEP durante el período de reporte</v>
      </c>
      <c r="L3941" s="497"/>
      <c r="M3941" s="497" t="str">
        <f ca="1">IFERROR(IF(VLOOKUP(C3941,' Disaggregation - Section E '!A$618:T2065,20,0)=0,"",VLOOKUP(C3941,' Disaggregation - Section E '!A$618:T2065,20,0)),"")</f>
        <v/>
      </c>
      <c r="N3941" s="503" t="str">
        <f ca="1">IFERROR(IF(VLOOKUP(C3941,' Disaggregation - Section E '!A$618:N2065,14,0)=0,"",VLOOKUP(C3941,' Disaggregation - Section E '!A$618:N2065,14,0)),"")</f>
        <v>Being a focused country, no disaggregation is required</v>
      </c>
      <c r="O3941" s="503" t="str">
        <f ca="1">IFERROR(IF(VLOOKUP(C3941,' Disaggregation - Section E '!A$618:N2065,9,0)=0,"",VLOOKUP(C3941,' Disaggregation - Section E '!A$618:N2065,9,0)),"")</f>
        <v/>
      </c>
      <c r="P3941" s="503" t="str">
        <f ca="1">IFERROR(IF(VLOOKUP(C3941,' Disaggregation - Section E '!A$618:N2065,10,0)=0,"",VLOOKUP(C3941,' Disaggregation - Section E '!A$618:N2065,10,0)),"")</f>
        <v>Al ser un país focalizado no se requiere desagregación</v>
      </c>
    </row>
    <row r="3942" spans="1:16" x14ac:dyDescent="0.35">
      <c r="A3942" s="497" t="b">
        <f t="shared" ca="1" si="229"/>
        <v>0</v>
      </c>
      <c r="B3942" s="497"/>
      <c r="C3942" s="510" t="str">
        <f ca="1">IF(COUNTA(D$2498:D3942)=1,"",OFFSET(B3940,-COUNTA(D$2498:D3942)+3,1))</f>
        <v>a163p000004NtNYAA0</v>
      </c>
      <c r="D3942" s="512"/>
      <c r="E3942" s="500" t="str">
        <f ca="1">IFERROR(IF(VLOOKUP(C3942,' Disaggregation - Section E '!A$618:N2066,7,0)="","",VLOOKUP(C3942,' Disaggregation - Section E '!A$618:N2066,7,0)*100),"")</f>
        <v/>
      </c>
      <c r="F3942" s="503" t="str">
        <f ca="1">IFERROR(VLOOKUP(C3942,' Disaggregation - Section E '!A$618:N2066,5,0),"")</f>
        <v/>
      </c>
      <c r="G3942" s="502" t="str">
        <f ca="1">IFERROR(IF(VLOOKUP(C3942,' Disaggregation - Section E '!A$618:N2066,6,0)="","",VLOOKUP(C3942,' Disaggregation - Section E '!A$618:N2066,6,0)),"")</f>
        <v/>
      </c>
      <c r="H3942" s="512" t="str">
        <f ca="1">IFERROR(IF(INDEX(' Disaggregation - Section E '!F$618:F3263,MATCH(C3942,' Disaggregation - Section E '!A$618:A3263,0)+1,1)&lt;&gt;0,INDEX(' Disaggregation - Section E '!F$618:F$1820,MATCH(C3942,' Disaggregation - Section E '!A$618:A3263,0)+1,1),""),"")</f>
        <v/>
      </c>
      <c r="I3942" s="503" t="str">
        <f ca="1">IFERROR(IF(VLOOKUP(C3942,' Disaggregation - Section E '!A$618:N2066,8,0)=0,"",VLOOKUP(C3942,' Disaggregation - Section E '!A$618:N2066,8,0)),"")</f>
        <v/>
      </c>
      <c r="J3942" s="503" t="str">
        <f ca="1">IFERROR(IF(VLOOKUP(C3942,' Disaggregation - Section E '!A$618:N3263,13,0)=0,"",VLOOKUP(C3942,' Disaggregation - Section E '!A$618:N3263,13,0)),"")</f>
        <v/>
      </c>
      <c r="K3942" s="497" t="str">
        <f ca="1">IFERROR(VLOOKUP(C3942,' Disaggregation - Section E '!A$618:N2066,3,0),"")</f>
        <v>KP-6a Porcentaje de HSH elegibles que iniciaron PrEP durante el período de reporte</v>
      </c>
      <c r="L3942" s="497"/>
      <c r="M3942" s="497" t="str">
        <f ca="1">IFERROR(IF(VLOOKUP(C3942,' Disaggregation - Section E '!A$618:T2066,20,0)=0,"",VLOOKUP(C3942,' Disaggregation - Section E '!A$618:T2066,20,0)),"")</f>
        <v/>
      </c>
      <c r="N3942" s="503" t="str">
        <f ca="1">IFERROR(IF(VLOOKUP(C3942,' Disaggregation - Section E '!A$618:N2066,14,0)=0,"",VLOOKUP(C3942,' Disaggregation - Section E '!A$618:N2066,14,0)),"")</f>
        <v>Being a focused country, no disaggregation is required</v>
      </c>
      <c r="O3942" s="503" t="str">
        <f ca="1">IFERROR(IF(VLOOKUP(C3942,' Disaggregation - Section E '!A$618:N2066,9,0)=0,"",VLOOKUP(C3942,' Disaggregation - Section E '!A$618:N2066,9,0)),"")</f>
        <v/>
      </c>
      <c r="P3942" s="503" t="str">
        <f ca="1">IFERROR(IF(VLOOKUP(C3942,' Disaggregation - Section E '!A$618:N2066,10,0)=0,"",VLOOKUP(C3942,' Disaggregation - Section E '!A$618:N2066,10,0)),"")</f>
        <v>Al ser un país focalizado no se requiere desagregación</v>
      </c>
    </row>
    <row r="3943" spans="1:16" x14ac:dyDescent="0.35">
      <c r="A3943" s="497" t="b">
        <f t="shared" ca="1" si="229"/>
        <v>0</v>
      </c>
      <c r="B3943" s="497"/>
      <c r="C3943" s="510" t="str">
        <f ca="1">IF(COUNTA(D$2498:D3943)=1,"",OFFSET(B3941,-COUNTA(D$2498:D3943)+3,1))</f>
        <v>a163p000004NtNZAA0</v>
      </c>
      <c r="D3943" s="512"/>
      <c r="E3943" s="500" t="str">
        <f ca="1">IFERROR(IF(VLOOKUP(C3943,' Disaggregation - Section E '!A$618:N2067,7,0)="","",VLOOKUP(C3943,' Disaggregation - Section E '!A$618:N2067,7,0)*100),"")</f>
        <v/>
      </c>
      <c r="F3943" s="503" t="str">
        <f ca="1">IFERROR(VLOOKUP(C3943,' Disaggregation - Section E '!A$618:N2067,5,0),"")</f>
        <v/>
      </c>
      <c r="G3943" s="502" t="str">
        <f ca="1">IFERROR(IF(VLOOKUP(C3943,' Disaggregation - Section E '!A$618:N2067,6,0)="","",VLOOKUP(C3943,' Disaggregation - Section E '!A$618:N2067,6,0)),"")</f>
        <v/>
      </c>
      <c r="H3943" s="512" t="str">
        <f ca="1">IFERROR(IF(INDEX(' Disaggregation - Section E '!F$618:F3264,MATCH(C3943,' Disaggregation - Section E '!A$618:A3264,0)+1,1)&lt;&gt;0,INDEX(' Disaggregation - Section E '!F$618:F$1820,MATCH(C3943,' Disaggregation - Section E '!A$618:A3264,0)+1,1),""),"")</f>
        <v/>
      </c>
      <c r="I3943" s="503" t="str">
        <f ca="1">IFERROR(IF(VLOOKUP(C3943,' Disaggregation - Section E '!A$618:N2067,8,0)=0,"",VLOOKUP(C3943,' Disaggregation - Section E '!A$618:N2067,8,0)),"")</f>
        <v/>
      </c>
      <c r="J3943" s="503" t="str">
        <f ca="1">IFERROR(IF(VLOOKUP(C3943,' Disaggregation - Section E '!A$618:N3264,13,0)=0,"",VLOOKUP(C3943,' Disaggregation - Section E '!A$618:N3264,13,0)),"")</f>
        <v/>
      </c>
      <c r="K3943" s="497" t="str">
        <f ca="1">IFERROR(VLOOKUP(C3943,' Disaggregation - Section E '!A$618:N2067,3,0),"")</f>
        <v>KP-6a Porcentaje de HSH elegibles que iniciaron PrEP durante el período de reporte</v>
      </c>
      <c r="L3943" s="497"/>
      <c r="M3943" s="497" t="str">
        <f ca="1">IFERROR(IF(VLOOKUP(C3943,' Disaggregation - Section E '!A$618:T2067,20,0)=0,"",VLOOKUP(C3943,' Disaggregation - Section E '!A$618:T2067,20,0)),"")</f>
        <v/>
      </c>
      <c r="N3943" s="503" t="str">
        <f ca="1">IFERROR(IF(VLOOKUP(C3943,' Disaggregation - Section E '!A$618:N2067,14,0)=0,"",VLOOKUP(C3943,' Disaggregation - Section E '!A$618:N2067,14,0)),"")</f>
        <v>Being a focused country, no disaggregation is required</v>
      </c>
      <c r="O3943" s="503" t="str">
        <f ca="1">IFERROR(IF(VLOOKUP(C3943,' Disaggregation - Section E '!A$618:N2067,9,0)=0,"",VLOOKUP(C3943,' Disaggregation - Section E '!A$618:N2067,9,0)),"")</f>
        <v/>
      </c>
      <c r="P3943" s="503" t="str">
        <f ca="1">IFERROR(IF(VLOOKUP(C3943,' Disaggregation - Section E '!A$618:N2067,10,0)=0,"",VLOOKUP(C3943,' Disaggregation - Section E '!A$618:N2067,10,0)),"")</f>
        <v>Al ser un país focalizado no se requiere desagregación</v>
      </c>
    </row>
    <row r="3944" spans="1:16" x14ac:dyDescent="0.35">
      <c r="A3944" s="497" t="b">
        <f t="shared" ca="1" si="229"/>
        <v>0</v>
      </c>
      <c r="B3944" s="497"/>
      <c r="C3944" s="510" t="str">
        <f ca="1">IF(COUNTA(D$2498:D3944)=1,"",OFFSET(B3942,-COUNTA(D$2498:D3944)+3,1))</f>
        <v>a163p000004NtNaAAK</v>
      </c>
      <c r="D3944" s="512"/>
      <c r="E3944" s="500" t="str">
        <f ca="1">IFERROR(IF(VLOOKUP(C3944,' Disaggregation - Section E '!A$618:N2068,7,0)="","",VLOOKUP(C3944,' Disaggregation - Section E '!A$618:N2068,7,0)*100),"")</f>
        <v/>
      </c>
      <c r="F3944" s="503" t="str">
        <f ca="1">IFERROR(VLOOKUP(C3944,' Disaggregation - Section E '!A$618:N2068,5,0),"")</f>
        <v/>
      </c>
      <c r="G3944" s="502" t="str">
        <f ca="1">IFERROR(IF(VLOOKUP(C3944,' Disaggregation - Section E '!A$618:N2068,6,0)="","",VLOOKUP(C3944,' Disaggregation - Section E '!A$618:N2068,6,0)),"")</f>
        <v/>
      </c>
      <c r="H3944" s="512" t="str">
        <f ca="1">IFERROR(IF(INDEX(' Disaggregation - Section E '!F$618:F3265,MATCH(C3944,' Disaggregation - Section E '!A$618:A3265,0)+1,1)&lt;&gt;0,INDEX(' Disaggregation - Section E '!F$618:F$1820,MATCH(C3944,' Disaggregation - Section E '!A$618:A3265,0)+1,1),""),"")</f>
        <v/>
      </c>
      <c r="I3944" s="503" t="str">
        <f ca="1">IFERROR(IF(VLOOKUP(C3944,' Disaggregation - Section E '!A$618:N2068,8,0)=0,"",VLOOKUP(C3944,' Disaggregation - Section E '!A$618:N2068,8,0)),"")</f>
        <v/>
      </c>
      <c r="J3944" s="503" t="str">
        <f ca="1">IFERROR(IF(VLOOKUP(C3944,' Disaggregation - Section E '!A$618:N3265,13,0)=0,"",VLOOKUP(C3944,' Disaggregation - Section E '!A$618:N3265,13,0)),"")</f>
        <v/>
      </c>
      <c r="K3944" s="497" t="str">
        <f ca="1">IFERROR(VLOOKUP(C3944,' Disaggregation - Section E '!A$618:N2068,3,0),"")</f>
        <v>KP-6a Porcentaje de HSH elegibles que iniciaron PrEP durante el período de reporte</v>
      </c>
      <c r="L3944" s="497"/>
      <c r="M3944" s="497" t="str">
        <f ca="1">IFERROR(IF(VLOOKUP(C3944,' Disaggregation - Section E '!A$618:T2068,20,0)=0,"",VLOOKUP(C3944,' Disaggregation - Section E '!A$618:T2068,20,0)),"")</f>
        <v/>
      </c>
      <c r="N3944" s="503" t="str">
        <f ca="1">IFERROR(IF(VLOOKUP(C3944,' Disaggregation - Section E '!A$618:N2068,14,0)=0,"",VLOOKUP(C3944,' Disaggregation - Section E '!A$618:N2068,14,0)),"")</f>
        <v>Being a focused country, no disaggregation is required</v>
      </c>
      <c r="O3944" s="503" t="str">
        <f ca="1">IFERROR(IF(VLOOKUP(C3944,' Disaggregation - Section E '!A$618:N2068,9,0)=0,"",VLOOKUP(C3944,' Disaggregation - Section E '!A$618:N2068,9,0)),"")</f>
        <v/>
      </c>
      <c r="P3944" s="503" t="str">
        <f ca="1">IFERROR(IF(VLOOKUP(C3944,' Disaggregation - Section E '!A$618:N2068,10,0)=0,"",VLOOKUP(C3944,' Disaggregation - Section E '!A$618:N2068,10,0)),"")</f>
        <v>Al ser un país focalizado no se requiere desagregación</v>
      </c>
    </row>
    <row r="3945" spans="1:16" x14ac:dyDescent="0.35">
      <c r="A3945" s="497" t="b">
        <f t="shared" ca="1" si="229"/>
        <v>0</v>
      </c>
      <c r="B3945" s="497"/>
      <c r="C3945" s="510" t="str">
        <f ca="1">IF(COUNTA(D$2498:D3945)=1,"",OFFSET(B3943,-COUNTA(D$2498:D3945)+3,1))</f>
        <v>a163p000004NtNbAAK</v>
      </c>
      <c r="D3945" s="512"/>
      <c r="E3945" s="500" t="str">
        <f ca="1">IFERROR(IF(VLOOKUP(C3945,' Disaggregation - Section E '!A$618:N2069,7,0)="","",VLOOKUP(C3945,' Disaggregation - Section E '!A$618:N2069,7,0)*100),"")</f>
        <v/>
      </c>
      <c r="F3945" s="503" t="str">
        <f ca="1">IFERROR(VLOOKUP(C3945,' Disaggregation - Section E '!A$618:N2069,5,0),"")</f>
        <v/>
      </c>
      <c r="G3945" s="502" t="str">
        <f ca="1">IFERROR(IF(VLOOKUP(C3945,' Disaggregation - Section E '!A$618:N2069,6,0)="","",VLOOKUP(C3945,' Disaggregation - Section E '!A$618:N2069,6,0)),"")</f>
        <v/>
      </c>
      <c r="H3945" s="512" t="str">
        <f ca="1">IFERROR(IF(INDEX(' Disaggregation - Section E '!F$618:F3266,MATCH(C3945,' Disaggregation - Section E '!A$618:A3266,0)+1,1)&lt;&gt;0,INDEX(' Disaggregation - Section E '!F$618:F$1820,MATCH(C3945,' Disaggregation - Section E '!A$618:A3266,0)+1,1),""),"")</f>
        <v/>
      </c>
      <c r="I3945" s="503" t="str">
        <f ca="1">IFERROR(IF(VLOOKUP(C3945,' Disaggregation - Section E '!A$618:N2069,8,0)=0,"",VLOOKUP(C3945,' Disaggregation - Section E '!A$618:N2069,8,0)),"")</f>
        <v/>
      </c>
      <c r="J3945" s="503" t="str">
        <f ca="1">IFERROR(IF(VLOOKUP(C3945,' Disaggregation - Section E '!A$618:N3266,13,0)=0,"",VLOOKUP(C3945,' Disaggregation - Section E '!A$618:N3266,13,0)),"")</f>
        <v/>
      </c>
      <c r="K3945" s="497" t="str">
        <f ca="1">IFERROR(VLOOKUP(C3945,' Disaggregation - Section E '!A$618:N2069,3,0),"")</f>
        <v>KP-6a Porcentaje de HSH elegibles que iniciaron PrEP durante el período de reporte</v>
      </c>
      <c r="L3945" s="497"/>
      <c r="M3945" s="497" t="str">
        <f ca="1">IFERROR(IF(VLOOKUP(C3945,' Disaggregation - Section E '!A$618:T2069,20,0)=0,"",VLOOKUP(C3945,' Disaggregation - Section E '!A$618:T2069,20,0)),"")</f>
        <v/>
      </c>
      <c r="N3945" s="503" t="str">
        <f ca="1">IFERROR(IF(VLOOKUP(C3945,' Disaggregation - Section E '!A$618:N2069,14,0)=0,"",VLOOKUP(C3945,' Disaggregation - Section E '!A$618:N2069,14,0)),"")</f>
        <v>Being a focused country, no disaggregation is required</v>
      </c>
      <c r="O3945" s="503" t="str">
        <f ca="1">IFERROR(IF(VLOOKUP(C3945,' Disaggregation - Section E '!A$618:N2069,9,0)=0,"",VLOOKUP(C3945,' Disaggregation - Section E '!A$618:N2069,9,0)),"")</f>
        <v/>
      </c>
      <c r="P3945" s="503" t="str">
        <f ca="1">IFERROR(IF(VLOOKUP(C3945,' Disaggregation - Section E '!A$618:N2069,10,0)=0,"",VLOOKUP(C3945,' Disaggregation - Section E '!A$618:N2069,10,0)),"")</f>
        <v>Al ser un país focalizado no se requiere desagregación</v>
      </c>
    </row>
    <row r="3946" spans="1:16" x14ac:dyDescent="0.35">
      <c r="A3946" s="497" t="b">
        <f t="shared" ca="1" si="229"/>
        <v>0</v>
      </c>
      <c r="B3946" s="497"/>
      <c r="C3946" s="510" t="str">
        <f ca="1">IF(COUNTA(D$2498:D3946)=1,"",OFFSET(B3944,-COUNTA(D$2498:D3946)+3,1))</f>
        <v>a163p000004NtNcAAK</v>
      </c>
      <c r="D3946" s="512"/>
      <c r="E3946" s="500" t="str">
        <f ca="1">IFERROR(IF(VLOOKUP(C3946,' Disaggregation - Section E '!A$618:N2070,7,0)="","",VLOOKUP(C3946,' Disaggregation - Section E '!A$618:N2070,7,0)*100),"")</f>
        <v/>
      </c>
      <c r="F3946" s="503" t="str">
        <f ca="1">IFERROR(VLOOKUP(C3946,' Disaggregation - Section E '!A$618:N2070,5,0),"")</f>
        <v/>
      </c>
      <c r="G3946" s="502" t="str">
        <f ca="1">IFERROR(IF(VLOOKUP(C3946,' Disaggregation - Section E '!A$618:N2070,6,0)="","",VLOOKUP(C3946,' Disaggregation - Section E '!A$618:N2070,6,0)),"")</f>
        <v/>
      </c>
      <c r="H3946" s="512" t="str">
        <f ca="1">IFERROR(IF(INDEX(' Disaggregation - Section E '!F$618:F3267,MATCH(C3946,' Disaggregation - Section E '!A$618:A3267,0)+1,1)&lt;&gt;0,INDEX(' Disaggregation - Section E '!F$618:F$1820,MATCH(C3946,' Disaggregation - Section E '!A$618:A3267,0)+1,1),""),"")</f>
        <v/>
      </c>
      <c r="I3946" s="503" t="str">
        <f ca="1">IFERROR(IF(VLOOKUP(C3946,' Disaggregation - Section E '!A$618:N2070,8,0)=0,"",VLOOKUP(C3946,' Disaggregation - Section E '!A$618:N2070,8,0)),"")</f>
        <v/>
      </c>
      <c r="J3946" s="503" t="str">
        <f ca="1">IFERROR(IF(VLOOKUP(C3946,' Disaggregation - Section E '!A$618:N3267,13,0)=0,"",VLOOKUP(C3946,' Disaggregation - Section E '!A$618:N3267,13,0)),"")</f>
        <v/>
      </c>
      <c r="K3946" s="497" t="str">
        <f ca="1">IFERROR(VLOOKUP(C3946,' Disaggregation - Section E '!A$618:N2070,3,0),"")</f>
        <v>KP-6a Porcentaje de HSH elegibles que iniciaron PrEP durante el período de reporte</v>
      </c>
      <c r="L3946" s="497"/>
      <c r="M3946" s="497" t="str">
        <f ca="1">IFERROR(IF(VLOOKUP(C3946,' Disaggregation - Section E '!A$618:T2070,20,0)=0,"",VLOOKUP(C3946,' Disaggregation - Section E '!A$618:T2070,20,0)),"")</f>
        <v/>
      </c>
      <c r="N3946" s="503" t="str">
        <f ca="1">IFERROR(IF(VLOOKUP(C3946,' Disaggregation - Section E '!A$618:N2070,14,0)=0,"",VLOOKUP(C3946,' Disaggregation - Section E '!A$618:N2070,14,0)),"")</f>
        <v>Being a focused country, no disaggregation is required</v>
      </c>
      <c r="O3946" s="503" t="str">
        <f ca="1">IFERROR(IF(VLOOKUP(C3946,' Disaggregation - Section E '!A$618:N2070,9,0)=0,"",VLOOKUP(C3946,' Disaggregation - Section E '!A$618:N2070,9,0)),"")</f>
        <v/>
      </c>
      <c r="P3946" s="503" t="str">
        <f ca="1">IFERROR(IF(VLOOKUP(C3946,' Disaggregation - Section E '!A$618:N2070,10,0)=0,"",VLOOKUP(C3946,' Disaggregation - Section E '!A$618:N2070,10,0)),"")</f>
        <v>Al ser un país focalizado no se requiere desagregación</v>
      </c>
    </row>
    <row r="3947" spans="1:16" x14ac:dyDescent="0.35">
      <c r="A3947" s="497" t="b">
        <f t="shared" ca="1" si="229"/>
        <v>0</v>
      </c>
      <c r="B3947" s="497"/>
      <c r="C3947" s="510" t="str">
        <f ca="1">IF(COUNTA(D$2498:D3947)=1,"",OFFSET(B3945,-COUNTA(D$2498:D3947)+3,1))</f>
        <v>a163p000004NtNdAAK</v>
      </c>
      <c r="D3947" s="512"/>
      <c r="E3947" s="500" t="str">
        <f ca="1">IFERROR(IF(VLOOKUP(C3947,' Disaggregation - Section E '!A$618:N2071,7,0)="","",VLOOKUP(C3947,' Disaggregation - Section E '!A$618:N2071,7,0)*100),"")</f>
        <v/>
      </c>
      <c r="F3947" s="503" t="str">
        <f ca="1">IFERROR(VLOOKUP(C3947,' Disaggregation - Section E '!A$618:N2071,5,0),"")</f>
        <v/>
      </c>
      <c r="G3947" s="502" t="str">
        <f ca="1">IFERROR(IF(VLOOKUP(C3947,' Disaggregation - Section E '!A$618:N2071,6,0)="","",VLOOKUP(C3947,' Disaggregation - Section E '!A$618:N2071,6,0)),"")</f>
        <v/>
      </c>
      <c r="H3947" s="512" t="str">
        <f ca="1">IFERROR(IF(INDEX(' Disaggregation - Section E '!F$618:F3268,MATCH(C3947,' Disaggregation - Section E '!A$618:A3268,0)+1,1)&lt;&gt;0,INDEX(' Disaggregation - Section E '!F$618:F$1820,MATCH(C3947,' Disaggregation - Section E '!A$618:A3268,0)+1,1),""),"")</f>
        <v/>
      </c>
      <c r="I3947" s="503" t="str">
        <f ca="1">IFERROR(IF(VLOOKUP(C3947,' Disaggregation - Section E '!A$618:N2071,8,0)=0,"",VLOOKUP(C3947,' Disaggregation - Section E '!A$618:N2071,8,0)),"")</f>
        <v/>
      </c>
      <c r="J3947" s="503" t="str">
        <f ca="1">IFERROR(IF(VLOOKUP(C3947,' Disaggregation - Section E '!A$618:N3268,13,0)=0,"",VLOOKUP(C3947,' Disaggregation - Section E '!A$618:N3268,13,0)),"")</f>
        <v/>
      </c>
      <c r="K3947" s="497" t="str">
        <f ca="1">IFERROR(VLOOKUP(C3947,' Disaggregation - Section E '!A$618:N2071,3,0),"")</f>
        <v>KP-6a Porcentaje de HSH elegibles que iniciaron PrEP durante el período de reporte</v>
      </c>
      <c r="L3947" s="497"/>
      <c r="M3947" s="497" t="str">
        <f ca="1">IFERROR(IF(VLOOKUP(C3947,' Disaggregation - Section E '!A$618:T2071,20,0)=0,"",VLOOKUP(C3947,' Disaggregation - Section E '!A$618:T2071,20,0)),"")</f>
        <v/>
      </c>
      <c r="N3947" s="503" t="str">
        <f ca="1">IFERROR(IF(VLOOKUP(C3947,' Disaggregation - Section E '!A$618:N2071,14,0)=0,"",VLOOKUP(C3947,' Disaggregation - Section E '!A$618:N2071,14,0)),"")</f>
        <v>Being a focused country, no disaggregation is required</v>
      </c>
      <c r="O3947" s="503" t="str">
        <f ca="1">IFERROR(IF(VLOOKUP(C3947,' Disaggregation - Section E '!A$618:N2071,9,0)=0,"",VLOOKUP(C3947,' Disaggregation - Section E '!A$618:N2071,9,0)),"")</f>
        <v/>
      </c>
      <c r="P3947" s="503" t="str">
        <f ca="1">IFERROR(IF(VLOOKUP(C3947,' Disaggregation - Section E '!A$618:N2071,10,0)=0,"",VLOOKUP(C3947,' Disaggregation - Section E '!A$618:N2071,10,0)),"")</f>
        <v>Al ser un país focalizado no se requiere desagregación</v>
      </c>
    </row>
    <row r="3948" spans="1:16" x14ac:dyDescent="0.35">
      <c r="A3948" s="497" t="b">
        <f t="shared" ca="1" si="229"/>
        <v>0</v>
      </c>
      <c r="B3948" s="497"/>
      <c r="C3948" s="510" t="str">
        <f ca="1">IF(COUNTA(D$2498:D3948)=1,"",OFFSET(B3946,-COUNTA(D$2498:D3948)+3,1))</f>
        <v>a163p000004NtNeAAK</v>
      </c>
      <c r="D3948" s="512"/>
      <c r="E3948" s="500" t="str">
        <f ca="1">IFERROR(IF(VLOOKUP(C3948,' Disaggregation - Section E '!A$618:N2072,7,0)="","",VLOOKUP(C3948,' Disaggregation - Section E '!A$618:N2072,7,0)*100),"")</f>
        <v/>
      </c>
      <c r="F3948" s="503" t="str">
        <f ca="1">IFERROR(VLOOKUP(C3948,' Disaggregation - Section E '!A$618:N2072,5,0),"")</f>
        <v/>
      </c>
      <c r="G3948" s="502" t="str">
        <f ca="1">IFERROR(IF(VLOOKUP(C3948,' Disaggregation - Section E '!A$618:N2072,6,0)="","",VLOOKUP(C3948,' Disaggregation - Section E '!A$618:N2072,6,0)),"")</f>
        <v/>
      </c>
      <c r="H3948" s="512" t="str">
        <f ca="1">IFERROR(IF(INDEX(' Disaggregation - Section E '!F$618:F3269,MATCH(C3948,' Disaggregation - Section E '!A$618:A3269,0)+1,1)&lt;&gt;0,INDEX(' Disaggregation - Section E '!F$618:F$1820,MATCH(C3948,' Disaggregation - Section E '!A$618:A3269,0)+1,1),""),"")</f>
        <v/>
      </c>
      <c r="I3948" s="503" t="str">
        <f ca="1">IFERROR(IF(VLOOKUP(C3948,' Disaggregation - Section E '!A$618:N2072,8,0)=0,"",VLOOKUP(C3948,' Disaggregation - Section E '!A$618:N2072,8,0)),"")</f>
        <v/>
      </c>
      <c r="J3948" s="503" t="str">
        <f ca="1">IFERROR(IF(VLOOKUP(C3948,' Disaggregation - Section E '!A$618:N3269,13,0)=0,"",VLOOKUP(C3948,' Disaggregation - Section E '!A$618:N3269,13,0)),"")</f>
        <v/>
      </c>
      <c r="K3948" s="497" t="str">
        <f ca="1">IFERROR(VLOOKUP(C3948,' Disaggregation - Section E '!A$618:N2072,3,0),"")</f>
        <v>KP-6a Porcentaje de HSH elegibles que iniciaron PrEP durante el período de reporte</v>
      </c>
      <c r="L3948" s="497"/>
      <c r="M3948" s="497" t="str">
        <f ca="1">IFERROR(IF(VLOOKUP(C3948,' Disaggregation - Section E '!A$618:T2072,20,0)=0,"",VLOOKUP(C3948,' Disaggregation - Section E '!A$618:T2072,20,0)),"")</f>
        <v/>
      </c>
      <c r="N3948" s="503" t="str">
        <f ca="1">IFERROR(IF(VLOOKUP(C3948,' Disaggregation - Section E '!A$618:N2072,14,0)=0,"",VLOOKUP(C3948,' Disaggregation - Section E '!A$618:N2072,14,0)),"")</f>
        <v>Being a focused country, no disaggregation is required</v>
      </c>
      <c r="O3948" s="503" t="str">
        <f ca="1">IFERROR(IF(VLOOKUP(C3948,' Disaggregation - Section E '!A$618:N2072,9,0)=0,"",VLOOKUP(C3948,' Disaggregation - Section E '!A$618:N2072,9,0)),"")</f>
        <v/>
      </c>
      <c r="P3948" s="503" t="str">
        <f ca="1">IFERROR(IF(VLOOKUP(C3948,' Disaggregation - Section E '!A$618:N2072,10,0)=0,"",VLOOKUP(C3948,' Disaggregation - Section E '!A$618:N2072,10,0)),"")</f>
        <v>Al ser un país focalizado no se requiere desagregación</v>
      </c>
    </row>
    <row r="3949" spans="1:16" x14ac:dyDescent="0.35">
      <c r="A3949" s="497" t="b">
        <f t="shared" ca="1" si="229"/>
        <v>0</v>
      </c>
      <c r="B3949" s="497"/>
      <c r="C3949" s="510" t="str">
        <f ca="1">IF(COUNTA(D$2498:D3949)=1,"",OFFSET(B3947,-COUNTA(D$2498:D3949)+3,1))</f>
        <v>a163p000004NtNfAAK</v>
      </c>
      <c r="D3949" s="512"/>
      <c r="E3949" s="500" t="str">
        <f ca="1">IFERROR(IF(VLOOKUP(C3949,' Disaggregation - Section E '!A$618:N2073,7,0)="","",VLOOKUP(C3949,' Disaggregation - Section E '!A$618:N2073,7,0)*100),"")</f>
        <v/>
      </c>
      <c r="F3949" s="503" t="str">
        <f ca="1">IFERROR(VLOOKUP(C3949,' Disaggregation - Section E '!A$618:N2073,5,0),"")</f>
        <v/>
      </c>
      <c r="G3949" s="502" t="str">
        <f ca="1">IFERROR(IF(VLOOKUP(C3949,' Disaggregation - Section E '!A$618:N2073,6,0)="","",VLOOKUP(C3949,' Disaggregation - Section E '!A$618:N2073,6,0)),"")</f>
        <v/>
      </c>
      <c r="H3949" s="512" t="str">
        <f ca="1">IFERROR(IF(INDEX(' Disaggregation - Section E '!F$618:F3270,MATCH(C3949,' Disaggregation - Section E '!A$618:A3270,0)+1,1)&lt;&gt;0,INDEX(' Disaggregation - Section E '!F$618:F$1820,MATCH(C3949,' Disaggregation - Section E '!A$618:A3270,0)+1,1),""),"")</f>
        <v/>
      </c>
      <c r="I3949" s="503" t="str">
        <f ca="1">IFERROR(IF(VLOOKUP(C3949,' Disaggregation - Section E '!A$618:N2073,8,0)=0,"",VLOOKUP(C3949,' Disaggregation - Section E '!A$618:N2073,8,0)),"")</f>
        <v/>
      </c>
      <c r="J3949" s="503" t="str">
        <f ca="1">IFERROR(IF(VLOOKUP(C3949,' Disaggregation - Section E '!A$618:N3270,13,0)=0,"",VLOOKUP(C3949,' Disaggregation - Section E '!A$618:N3270,13,0)),"")</f>
        <v/>
      </c>
      <c r="K3949" s="497" t="str">
        <f ca="1">IFERROR(VLOOKUP(C3949,' Disaggregation - Section E '!A$618:N2073,3,0),"")</f>
        <v>KP-6a Porcentaje de HSH elegibles que iniciaron PrEP durante el período de reporte</v>
      </c>
      <c r="L3949" s="497"/>
      <c r="M3949" s="497" t="str">
        <f ca="1">IFERROR(IF(VLOOKUP(C3949,' Disaggregation - Section E '!A$618:T2073,20,0)=0,"",VLOOKUP(C3949,' Disaggregation - Section E '!A$618:T2073,20,0)),"")</f>
        <v/>
      </c>
      <c r="N3949" s="503" t="str">
        <f ca="1">IFERROR(IF(VLOOKUP(C3949,' Disaggregation - Section E '!A$618:N2073,14,0)=0,"",VLOOKUP(C3949,' Disaggregation - Section E '!A$618:N2073,14,0)),"")</f>
        <v>Being a focused country, no disaggregation is required</v>
      </c>
      <c r="O3949" s="503" t="str">
        <f ca="1">IFERROR(IF(VLOOKUP(C3949,' Disaggregation - Section E '!A$618:N2073,9,0)=0,"",VLOOKUP(C3949,' Disaggregation - Section E '!A$618:N2073,9,0)),"")</f>
        <v/>
      </c>
      <c r="P3949" s="503" t="str">
        <f ca="1">IFERROR(IF(VLOOKUP(C3949,' Disaggregation - Section E '!A$618:N2073,10,0)=0,"",VLOOKUP(C3949,' Disaggregation - Section E '!A$618:N2073,10,0)),"")</f>
        <v>Al ser un país focalizado no se requiere desagregación</v>
      </c>
    </row>
    <row r="3950" spans="1:16" x14ac:dyDescent="0.35">
      <c r="A3950" s="497" t="b">
        <f t="shared" ca="1" si="229"/>
        <v>0</v>
      </c>
      <c r="B3950" s="497"/>
      <c r="C3950" s="510" t="str">
        <f ca="1">IF(COUNTA(D$2498:D3950)=1,"",OFFSET(B3948,-COUNTA(D$2498:D3950)+3,1))</f>
        <v>a163p000004NtNgAAK</v>
      </c>
      <c r="D3950" s="512"/>
      <c r="E3950" s="500" t="str">
        <f ca="1">IFERROR(IF(VLOOKUP(C3950,' Disaggregation - Section E '!A$618:N2074,7,0)="","",VLOOKUP(C3950,' Disaggregation - Section E '!A$618:N2074,7,0)*100),"")</f>
        <v/>
      </c>
      <c r="F3950" s="503" t="str">
        <f ca="1">IFERROR(VLOOKUP(C3950,' Disaggregation - Section E '!A$618:N2074,5,0),"")</f>
        <v/>
      </c>
      <c r="G3950" s="502" t="str">
        <f ca="1">IFERROR(IF(VLOOKUP(C3950,' Disaggregation - Section E '!A$618:N2074,6,0)="","",VLOOKUP(C3950,' Disaggregation - Section E '!A$618:N2074,6,0)),"")</f>
        <v/>
      </c>
      <c r="H3950" s="512" t="str">
        <f ca="1">IFERROR(IF(INDEX(' Disaggregation - Section E '!F$618:F3271,MATCH(C3950,' Disaggregation - Section E '!A$618:A3271,0)+1,1)&lt;&gt;0,INDEX(' Disaggregation - Section E '!F$618:F$1820,MATCH(C3950,' Disaggregation - Section E '!A$618:A3271,0)+1,1),""),"")</f>
        <v/>
      </c>
      <c r="I3950" s="503" t="str">
        <f ca="1">IFERROR(IF(VLOOKUP(C3950,' Disaggregation - Section E '!A$618:N2074,8,0)=0,"",VLOOKUP(C3950,' Disaggregation - Section E '!A$618:N2074,8,0)),"")</f>
        <v/>
      </c>
      <c r="J3950" s="503" t="str">
        <f ca="1">IFERROR(IF(VLOOKUP(C3950,' Disaggregation - Section E '!A$618:N3271,13,0)=0,"",VLOOKUP(C3950,' Disaggregation - Section E '!A$618:N3271,13,0)),"")</f>
        <v/>
      </c>
      <c r="K3950" s="497" t="str">
        <f ca="1">IFERROR(VLOOKUP(C3950,' Disaggregation - Section E '!A$618:N2074,3,0),"")</f>
        <v>KP-6a Porcentaje de HSH elegibles que iniciaron PrEP durante el período de reporte</v>
      </c>
      <c r="L3950" s="497"/>
      <c r="M3950" s="497" t="str">
        <f ca="1">IFERROR(IF(VLOOKUP(C3950,' Disaggregation - Section E '!A$618:T2074,20,0)=0,"",VLOOKUP(C3950,' Disaggregation - Section E '!A$618:T2074,20,0)),"")</f>
        <v/>
      </c>
      <c r="N3950" s="503" t="str">
        <f ca="1">IFERROR(IF(VLOOKUP(C3950,' Disaggregation - Section E '!A$618:N2074,14,0)=0,"",VLOOKUP(C3950,' Disaggregation - Section E '!A$618:N2074,14,0)),"")</f>
        <v>Being a focused country, no disaggregation is required</v>
      </c>
      <c r="O3950" s="503" t="str">
        <f ca="1">IFERROR(IF(VLOOKUP(C3950,' Disaggregation - Section E '!A$618:N2074,9,0)=0,"",VLOOKUP(C3950,' Disaggregation - Section E '!A$618:N2074,9,0)),"")</f>
        <v/>
      </c>
      <c r="P3950" s="503" t="str">
        <f ca="1">IFERROR(IF(VLOOKUP(C3950,' Disaggregation - Section E '!A$618:N2074,10,0)=0,"",VLOOKUP(C3950,' Disaggregation - Section E '!A$618:N2074,10,0)),"")</f>
        <v>Al ser un país focalizado no se requiere desagregación</v>
      </c>
    </row>
    <row r="3951" spans="1:16" x14ac:dyDescent="0.35">
      <c r="A3951" s="497" t="b">
        <f t="shared" ca="1" si="229"/>
        <v>0</v>
      </c>
      <c r="B3951" s="497"/>
      <c r="C3951" s="510" t="str">
        <f ca="1">IF(COUNTA(D$2498:D3951)=1,"",OFFSET(B3949,-COUNTA(D$2498:D3951)+3,1))</f>
        <v>a163p000004NtNhAAK</v>
      </c>
      <c r="D3951" s="512"/>
      <c r="E3951" s="500" t="str">
        <f ca="1">IFERROR(IF(VLOOKUP(C3951,' Disaggregation - Section E '!A$618:N2075,7,0)="","",VLOOKUP(C3951,' Disaggregation - Section E '!A$618:N2075,7,0)*100),"")</f>
        <v/>
      </c>
      <c r="F3951" s="503" t="str">
        <f ca="1">IFERROR(VLOOKUP(C3951,' Disaggregation - Section E '!A$618:N2075,5,0),"")</f>
        <v/>
      </c>
      <c r="G3951" s="502" t="str">
        <f ca="1">IFERROR(IF(VLOOKUP(C3951,' Disaggregation - Section E '!A$618:N2075,6,0)="","",VLOOKUP(C3951,' Disaggregation - Section E '!A$618:N2075,6,0)),"")</f>
        <v/>
      </c>
      <c r="H3951" s="512" t="str">
        <f ca="1">IFERROR(IF(INDEX(' Disaggregation - Section E '!F$618:F3272,MATCH(C3951,' Disaggregation - Section E '!A$618:A3272,0)+1,1)&lt;&gt;0,INDEX(' Disaggregation - Section E '!F$618:F$1820,MATCH(C3951,' Disaggregation - Section E '!A$618:A3272,0)+1,1),""),"")</f>
        <v/>
      </c>
      <c r="I3951" s="503" t="str">
        <f ca="1">IFERROR(IF(VLOOKUP(C3951,' Disaggregation - Section E '!A$618:N2075,8,0)=0,"",VLOOKUP(C3951,' Disaggregation - Section E '!A$618:N2075,8,0)),"")</f>
        <v/>
      </c>
      <c r="J3951" s="503" t="str">
        <f ca="1">IFERROR(IF(VLOOKUP(C3951,' Disaggregation - Section E '!A$618:N3272,13,0)=0,"",VLOOKUP(C3951,' Disaggregation - Section E '!A$618:N3272,13,0)),"")</f>
        <v/>
      </c>
      <c r="K3951" s="497" t="str">
        <f ca="1">IFERROR(VLOOKUP(C3951,' Disaggregation - Section E '!A$618:N2075,3,0),"")</f>
        <v>KP-6a Porcentaje de HSH elegibles que iniciaron PrEP durante el período de reporte</v>
      </c>
      <c r="L3951" s="497"/>
      <c r="M3951" s="497" t="str">
        <f ca="1">IFERROR(IF(VLOOKUP(C3951,' Disaggregation - Section E '!A$618:T2075,20,0)=0,"",VLOOKUP(C3951,' Disaggregation - Section E '!A$618:T2075,20,0)),"")</f>
        <v/>
      </c>
      <c r="N3951" s="503" t="str">
        <f ca="1">IFERROR(IF(VLOOKUP(C3951,' Disaggregation - Section E '!A$618:N2075,14,0)=0,"",VLOOKUP(C3951,' Disaggregation - Section E '!A$618:N2075,14,0)),"")</f>
        <v>Being a focused country, no disaggregation is required</v>
      </c>
      <c r="O3951" s="503" t="str">
        <f ca="1">IFERROR(IF(VLOOKUP(C3951,' Disaggregation - Section E '!A$618:N2075,9,0)=0,"",VLOOKUP(C3951,' Disaggregation - Section E '!A$618:N2075,9,0)),"")</f>
        <v/>
      </c>
      <c r="P3951" s="503" t="str">
        <f ca="1">IFERROR(IF(VLOOKUP(C3951,' Disaggregation - Section E '!A$618:N2075,10,0)=0,"",VLOOKUP(C3951,' Disaggregation - Section E '!A$618:N2075,10,0)),"")</f>
        <v>Al ser un país focalizado no se requiere desagregación</v>
      </c>
    </row>
    <row r="3952" spans="1:16" x14ac:dyDescent="0.35">
      <c r="A3952" s="497" t="b">
        <f t="shared" ca="1" si="229"/>
        <v>0</v>
      </c>
      <c r="B3952" s="497"/>
      <c r="C3952" s="510" t="str">
        <f ca="1">IF(COUNTA(D$2498:D3952)=1,"",OFFSET(B3950,-COUNTA(D$2498:D3952)+3,1))</f>
        <v>a163p000004NtNiAAK</v>
      </c>
      <c r="D3952" s="512"/>
      <c r="E3952" s="500" t="str">
        <f ca="1">IFERROR(IF(VLOOKUP(C3952,' Disaggregation - Section E '!A$618:N2076,7,0)="","",VLOOKUP(C3952,' Disaggregation - Section E '!A$618:N2076,7,0)*100),"")</f>
        <v/>
      </c>
      <c r="F3952" s="503" t="str">
        <f ca="1">IFERROR(VLOOKUP(C3952,' Disaggregation - Section E '!A$618:N2076,5,0),"")</f>
        <v/>
      </c>
      <c r="G3952" s="502" t="str">
        <f ca="1">IFERROR(IF(VLOOKUP(C3952,' Disaggregation - Section E '!A$618:N2076,6,0)="","",VLOOKUP(C3952,' Disaggregation - Section E '!A$618:N2076,6,0)),"")</f>
        <v/>
      </c>
      <c r="H3952" s="512" t="str">
        <f ca="1">IFERROR(IF(INDEX(' Disaggregation - Section E '!F$618:F3273,MATCH(C3952,' Disaggregation - Section E '!A$618:A3273,0)+1,1)&lt;&gt;0,INDEX(' Disaggregation - Section E '!F$618:F$1820,MATCH(C3952,' Disaggregation - Section E '!A$618:A3273,0)+1,1),""),"")</f>
        <v/>
      </c>
      <c r="I3952" s="503" t="str">
        <f ca="1">IFERROR(IF(VLOOKUP(C3952,' Disaggregation - Section E '!A$618:N2076,8,0)=0,"",VLOOKUP(C3952,' Disaggregation - Section E '!A$618:N2076,8,0)),"")</f>
        <v/>
      </c>
      <c r="J3952" s="503" t="str">
        <f ca="1">IFERROR(IF(VLOOKUP(C3952,' Disaggregation - Section E '!A$618:N3273,13,0)=0,"",VLOOKUP(C3952,' Disaggregation - Section E '!A$618:N3273,13,0)),"")</f>
        <v/>
      </c>
      <c r="K3952" s="497" t="str">
        <f ca="1">IFERROR(VLOOKUP(C3952,' Disaggregation - Section E '!A$618:N2076,3,0),"")</f>
        <v>KP-6a Porcentaje de HSH elegibles que iniciaron PrEP durante el período de reporte</v>
      </c>
      <c r="L3952" s="497"/>
      <c r="M3952" s="497" t="str">
        <f ca="1">IFERROR(IF(VLOOKUP(C3952,' Disaggregation - Section E '!A$618:T2076,20,0)=0,"",VLOOKUP(C3952,' Disaggregation - Section E '!A$618:T2076,20,0)),"")</f>
        <v/>
      </c>
      <c r="N3952" s="503" t="str">
        <f ca="1">IFERROR(IF(VLOOKUP(C3952,' Disaggregation - Section E '!A$618:N2076,14,0)=0,"",VLOOKUP(C3952,' Disaggregation - Section E '!A$618:N2076,14,0)),"")</f>
        <v>Being a focused country, no disaggregation is required</v>
      </c>
      <c r="O3952" s="503" t="str">
        <f ca="1">IFERROR(IF(VLOOKUP(C3952,' Disaggregation - Section E '!A$618:N2076,9,0)=0,"",VLOOKUP(C3952,' Disaggregation - Section E '!A$618:N2076,9,0)),"")</f>
        <v/>
      </c>
      <c r="P3952" s="503" t="str">
        <f ca="1">IFERROR(IF(VLOOKUP(C3952,' Disaggregation - Section E '!A$618:N2076,10,0)=0,"",VLOOKUP(C3952,' Disaggregation - Section E '!A$618:N2076,10,0)),"")</f>
        <v>Al ser un país focalizado no se requiere desagregación</v>
      </c>
    </row>
    <row r="3953" spans="1:16" x14ac:dyDescent="0.35">
      <c r="A3953" s="497" t="b">
        <f t="shared" ca="1" si="229"/>
        <v>0</v>
      </c>
      <c r="B3953" s="497"/>
      <c r="C3953" s="510" t="str">
        <f ca="1">IF(COUNTA(D$2498:D3953)=1,"",OFFSET(B3951,-COUNTA(D$2498:D3953)+3,1))</f>
        <v>a163p000004NtNjAAK</v>
      </c>
      <c r="D3953" s="512"/>
      <c r="E3953" s="500" t="str">
        <f ca="1">IFERROR(IF(VLOOKUP(C3953,' Disaggregation - Section E '!A$618:N2077,7,0)="","",VLOOKUP(C3953,' Disaggregation - Section E '!A$618:N2077,7,0)*100),"")</f>
        <v/>
      </c>
      <c r="F3953" s="503" t="str">
        <f ca="1">IFERROR(VLOOKUP(C3953,' Disaggregation - Section E '!A$618:N2077,5,0),"")</f>
        <v/>
      </c>
      <c r="G3953" s="502" t="str">
        <f ca="1">IFERROR(IF(VLOOKUP(C3953,' Disaggregation - Section E '!A$618:N2077,6,0)="","",VLOOKUP(C3953,' Disaggregation - Section E '!A$618:N2077,6,0)),"")</f>
        <v/>
      </c>
      <c r="H3953" s="512" t="str">
        <f ca="1">IFERROR(IF(INDEX(' Disaggregation - Section E '!F$618:F3274,MATCH(C3953,' Disaggregation - Section E '!A$618:A3274,0)+1,1)&lt;&gt;0,INDEX(' Disaggregation - Section E '!F$618:F$1820,MATCH(C3953,' Disaggregation - Section E '!A$618:A3274,0)+1,1),""),"")</f>
        <v/>
      </c>
      <c r="I3953" s="503" t="str">
        <f ca="1">IFERROR(IF(VLOOKUP(C3953,' Disaggregation - Section E '!A$618:N2077,8,0)=0,"",VLOOKUP(C3953,' Disaggregation - Section E '!A$618:N2077,8,0)),"")</f>
        <v/>
      </c>
      <c r="J3953" s="503" t="str">
        <f ca="1">IFERROR(IF(VLOOKUP(C3953,' Disaggregation - Section E '!A$618:N3274,13,0)=0,"",VLOOKUP(C3953,' Disaggregation - Section E '!A$618:N3274,13,0)),"")</f>
        <v/>
      </c>
      <c r="K3953" s="497" t="str">
        <f ca="1">IFERROR(VLOOKUP(C3953,' Disaggregation - Section E '!A$618:N2077,3,0),"")</f>
        <v>KP-6a Porcentaje de HSH elegibles que iniciaron PrEP durante el período de reporte</v>
      </c>
      <c r="L3953" s="497"/>
      <c r="M3953" s="497" t="str">
        <f ca="1">IFERROR(IF(VLOOKUP(C3953,' Disaggregation - Section E '!A$618:T2077,20,0)=0,"",VLOOKUP(C3953,' Disaggregation - Section E '!A$618:T2077,20,0)),"")</f>
        <v/>
      </c>
      <c r="N3953" s="503" t="str">
        <f ca="1">IFERROR(IF(VLOOKUP(C3953,' Disaggregation - Section E '!A$618:N2077,14,0)=0,"",VLOOKUP(C3953,' Disaggregation - Section E '!A$618:N2077,14,0)),"")</f>
        <v>Being a focused country, no disaggregation is required</v>
      </c>
      <c r="O3953" s="503" t="str">
        <f ca="1">IFERROR(IF(VLOOKUP(C3953,' Disaggregation - Section E '!A$618:N2077,9,0)=0,"",VLOOKUP(C3953,' Disaggregation - Section E '!A$618:N2077,9,0)),"")</f>
        <v/>
      </c>
      <c r="P3953" s="503" t="str">
        <f ca="1">IFERROR(IF(VLOOKUP(C3953,' Disaggregation - Section E '!A$618:N2077,10,0)=0,"",VLOOKUP(C3953,' Disaggregation - Section E '!A$618:N2077,10,0)),"")</f>
        <v>Al ser un país focalizado no se requiere desagregación</v>
      </c>
    </row>
    <row r="3954" spans="1:16" x14ac:dyDescent="0.35">
      <c r="A3954" s="497" t="b">
        <f t="shared" ca="1" si="229"/>
        <v>0</v>
      </c>
      <c r="B3954" s="497"/>
      <c r="C3954" s="510" t="str">
        <f ca="1">IF(COUNTA(D$2498:D3954)=1,"",OFFSET(B3952,-COUNTA(D$2498:D3954)+3,1))</f>
        <v>a163p000004NtNkAAK</v>
      </c>
      <c r="D3954" s="512"/>
      <c r="E3954" s="500" t="str">
        <f ca="1">IFERROR(IF(VLOOKUP(C3954,' Disaggregation - Section E '!A$618:N2078,7,0)="","",VLOOKUP(C3954,' Disaggregation - Section E '!A$618:N2078,7,0)*100),"")</f>
        <v/>
      </c>
      <c r="F3954" s="503" t="str">
        <f ca="1">IFERROR(VLOOKUP(C3954,' Disaggregation - Section E '!A$618:N2078,5,0),"")</f>
        <v/>
      </c>
      <c r="G3954" s="502" t="str">
        <f ca="1">IFERROR(IF(VLOOKUP(C3954,' Disaggregation - Section E '!A$618:N2078,6,0)="","",VLOOKUP(C3954,' Disaggregation - Section E '!A$618:N2078,6,0)),"")</f>
        <v/>
      </c>
      <c r="H3954" s="512" t="str">
        <f ca="1">IFERROR(IF(INDEX(' Disaggregation - Section E '!F$618:F3275,MATCH(C3954,' Disaggregation - Section E '!A$618:A3275,0)+1,1)&lt;&gt;0,INDEX(' Disaggregation - Section E '!F$618:F$1820,MATCH(C3954,' Disaggregation - Section E '!A$618:A3275,0)+1,1),""),"")</f>
        <v/>
      </c>
      <c r="I3954" s="503" t="str">
        <f ca="1">IFERROR(IF(VLOOKUP(C3954,' Disaggregation - Section E '!A$618:N2078,8,0)=0,"",VLOOKUP(C3954,' Disaggregation - Section E '!A$618:N2078,8,0)),"")</f>
        <v/>
      </c>
      <c r="J3954" s="503" t="str">
        <f ca="1">IFERROR(IF(VLOOKUP(C3954,' Disaggregation - Section E '!A$618:N3275,13,0)=0,"",VLOOKUP(C3954,' Disaggregation - Section E '!A$618:N3275,13,0)),"")</f>
        <v/>
      </c>
      <c r="K3954" s="497" t="str">
        <f ca="1">IFERROR(VLOOKUP(C3954,' Disaggregation - Section E '!A$618:N2078,3,0),"")</f>
        <v>KP-6a Porcentaje de HSH elegibles que iniciaron PrEP durante el período de reporte</v>
      </c>
      <c r="L3954" s="497"/>
      <c r="M3954" s="497" t="str">
        <f ca="1">IFERROR(IF(VLOOKUP(C3954,' Disaggregation - Section E '!A$618:T2078,20,0)=0,"",VLOOKUP(C3954,' Disaggregation - Section E '!A$618:T2078,20,0)),"")</f>
        <v/>
      </c>
      <c r="N3954" s="503" t="str">
        <f ca="1">IFERROR(IF(VLOOKUP(C3954,' Disaggregation - Section E '!A$618:N2078,14,0)=0,"",VLOOKUP(C3954,' Disaggregation - Section E '!A$618:N2078,14,0)),"")</f>
        <v>Being a focused country, no disaggregation is required</v>
      </c>
      <c r="O3954" s="503" t="str">
        <f ca="1">IFERROR(IF(VLOOKUP(C3954,' Disaggregation - Section E '!A$618:N2078,9,0)=0,"",VLOOKUP(C3954,' Disaggregation - Section E '!A$618:N2078,9,0)),"")</f>
        <v/>
      </c>
      <c r="P3954" s="503" t="str">
        <f ca="1">IFERROR(IF(VLOOKUP(C3954,' Disaggregation - Section E '!A$618:N2078,10,0)=0,"",VLOOKUP(C3954,' Disaggregation - Section E '!A$618:N2078,10,0)),"")</f>
        <v>Al ser un país focalizado no se requiere desagregación</v>
      </c>
    </row>
    <row r="3955" spans="1:16" x14ac:dyDescent="0.35">
      <c r="A3955" s="497" t="b">
        <f t="shared" ca="1" si="229"/>
        <v>0</v>
      </c>
      <c r="B3955" s="497"/>
      <c r="C3955" s="510" t="str">
        <f ca="1">IF(COUNTA(D$2498:D3955)=1,"",OFFSET(B3953,-COUNTA(D$2498:D3955)+3,1))</f>
        <v>a163p000004NtNlAAK</v>
      </c>
      <c r="D3955" s="512"/>
      <c r="E3955" s="500" t="str">
        <f ca="1">IFERROR(IF(VLOOKUP(C3955,' Disaggregation - Section E '!A$618:N2079,7,0)="","",VLOOKUP(C3955,' Disaggregation - Section E '!A$618:N2079,7,0)*100),"")</f>
        <v/>
      </c>
      <c r="F3955" s="503" t="str">
        <f ca="1">IFERROR(VLOOKUP(C3955,' Disaggregation - Section E '!A$618:N2079,5,0),"")</f>
        <v/>
      </c>
      <c r="G3955" s="502" t="str">
        <f ca="1">IFERROR(IF(VLOOKUP(C3955,' Disaggregation - Section E '!A$618:N2079,6,0)="","",VLOOKUP(C3955,' Disaggregation - Section E '!A$618:N2079,6,0)),"")</f>
        <v/>
      </c>
      <c r="H3955" s="512" t="str">
        <f ca="1">IFERROR(IF(INDEX(' Disaggregation - Section E '!F$618:F3276,MATCH(C3955,' Disaggregation - Section E '!A$618:A3276,0)+1,1)&lt;&gt;0,INDEX(' Disaggregation - Section E '!F$618:F$1820,MATCH(C3955,' Disaggregation - Section E '!A$618:A3276,0)+1,1),""),"")</f>
        <v/>
      </c>
      <c r="I3955" s="503" t="str">
        <f ca="1">IFERROR(IF(VLOOKUP(C3955,' Disaggregation - Section E '!A$618:N2079,8,0)=0,"",VLOOKUP(C3955,' Disaggregation - Section E '!A$618:N2079,8,0)),"")</f>
        <v/>
      </c>
      <c r="J3955" s="503" t="str">
        <f ca="1">IFERROR(IF(VLOOKUP(C3955,' Disaggregation - Section E '!A$618:N3276,13,0)=0,"",VLOOKUP(C3955,' Disaggregation - Section E '!A$618:N3276,13,0)),"")</f>
        <v/>
      </c>
      <c r="K3955" s="497" t="str">
        <f ca="1">IFERROR(VLOOKUP(C3955,' Disaggregation - Section E '!A$618:N2079,3,0),"")</f>
        <v>KP-6a Porcentaje de HSH elegibles que iniciaron PrEP durante el período de reporte</v>
      </c>
      <c r="L3955" s="497"/>
      <c r="M3955" s="497" t="str">
        <f ca="1">IFERROR(IF(VLOOKUP(C3955,' Disaggregation - Section E '!A$618:T2079,20,0)=0,"",VLOOKUP(C3955,' Disaggregation - Section E '!A$618:T2079,20,0)),"")</f>
        <v/>
      </c>
      <c r="N3955" s="503" t="str">
        <f ca="1">IFERROR(IF(VLOOKUP(C3955,' Disaggregation - Section E '!A$618:N2079,14,0)=0,"",VLOOKUP(C3955,' Disaggregation - Section E '!A$618:N2079,14,0)),"")</f>
        <v>Being a focused country, no disaggregation is required</v>
      </c>
      <c r="O3955" s="503" t="str">
        <f ca="1">IFERROR(IF(VLOOKUP(C3955,' Disaggregation - Section E '!A$618:N2079,9,0)=0,"",VLOOKUP(C3955,' Disaggregation - Section E '!A$618:N2079,9,0)),"")</f>
        <v/>
      </c>
      <c r="P3955" s="503" t="str">
        <f ca="1">IFERROR(IF(VLOOKUP(C3955,' Disaggregation - Section E '!A$618:N2079,10,0)=0,"",VLOOKUP(C3955,' Disaggregation - Section E '!A$618:N2079,10,0)),"")</f>
        <v>Al ser un país focalizado no se requiere desagregación</v>
      </c>
    </row>
    <row r="3956" spans="1:16" x14ac:dyDescent="0.35">
      <c r="A3956" s="497" t="b">
        <f t="shared" ref="A3956:A4019" ca="1" si="230">IF(M3956&lt;&gt;"",TRUE,FALSE)</f>
        <v>0</v>
      </c>
      <c r="B3956" s="497"/>
      <c r="C3956" s="510" t="str">
        <f ca="1">IF(COUNTA(D$2498:D3956)=1,"",OFFSET(B3954,-COUNTA(D$2498:D3956)+3,1))</f>
        <v>a163p000004NtNmAAK</v>
      </c>
      <c r="D3956" s="512"/>
      <c r="E3956" s="500" t="str">
        <f ca="1">IFERROR(IF(VLOOKUP(C3956,' Disaggregation - Section E '!A$618:N2080,7,0)="","",VLOOKUP(C3956,' Disaggregation - Section E '!A$618:N2080,7,0)*100),"")</f>
        <v/>
      </c>
      <c r="F3956" s="503" t="str">
        <f ca="1">IFERROR(VLOOKUP(C3956,' Disaggregation - Section E '!A$618:N2080,5,0),"")</f>
        <v/>
      </c>
      <c r="G3956" s="502" t="str">
        <f ca="1">IFERROR(IF(VLOOKUP(C3956,' Disaggregation - Section E '!A$618:N2080,6,0)="","",VLOOKUP(C3956,' Disaggregation - Section E '!A$618:N2080,6,0)),"")</f>
        <v/>
      </c>
      <c r="H3956" s="512" t="str">
        <f ca="1">IFERROR(IF(INDEX(' Disaggregation - Section E '!F$618:F3277,MATCH(C3956,' Disaggregation - Section E '!A$618:A3277,0)+1,1)&lt;&gt;0,INDEX(' Disaggregation - Section E '!F$618:F$1820,MATCH(C3956,' Disaggregation - Section E '!A$618:A3277,0)+1,1),""),"")</f>
        <v/>
      </c>
      <c r="I3956" s="503" t="str">
        <f ca="1">IFERROR(IF(VLOOKUP(C3956,' Disaggregation - Section E '!A$618:N2080,8,0)=0,"",VLOOKUP(C3956,' Disaggregation - Section E '!A$618:N2080,8,0)),"")</f>
        <v/>
      </c>
      <c r="J3956" s="503" t="str">
        <f ca="1">IFERROR(IF(VLOOKUP(C3956,' Disaggregation - Section E '!A$618:N3277,13,0)=0,"",VLOOKUP(C3956,' Disaggregation - Section E '!A$618:N3277,13,0)),"")</f>
        <v/>
      </c>
      <c r="K3956" s="497" t="str">
        <f ca="1">IFERROR(VLOOKUP(C3956,' Disaggregation - Section E '!A$618:N2080,3,0),"")</f>
        <v>KP-6a Porcentaje de HSH elegibles que iniciaron PrEP durante el período de reporte</v>
      </c>
      <c r="L3956" s="497"/>
      <c r="M3956" s="497" t="str">
        <f ca="1">IFERROR(IF(VLOOKUP(C3956,' Disaggregation - Section E '!A$618:T2080,20,0)=0,"",VLOOKUP(C3956,' Disaggregation - Section E '!A$618:T2080,20,0)),"")</f>
        <v/>
      </c>
      <c r="N3956" s="503" t="str">
        <f ca="1">IFERROR(IF(VLOOKUP(C3956,' Disaggregation - Section E '!A$618:N2080,14,0)=0,"",VLOOKUP(C3956,' Disaggregation - Section E '!A$618:N2080,14,0)),"")</f>
        <v>Being a focused country, no disaggregation is required</v>
      </c>
      <c r="O3956" s="503" t="str">
        <f ca="1">IFERROR(IF(VLOOKUP(C3956,' Disaggregation - Section E '!A$618:N2080,9,0)=0,"",VLOOKUP(C3956,' Disaggregation - Section E '!A$618:N2080,9,0)),"")</f>
        <v/>
      </c>
      <c r="P3956" s="503" t="str">
        <f ca="1">IFERROR(IF(VLOOKUP(C3956,' Disaggregation - Section E '!A$618:N2080,10,0)=0,"",VLOOKUP(C3956,' Disaggregation - Section E '!A$618:N2080,10,0)),"")</f>
        <v>Al ser un país focalizado no se requiere desagregación</v>
      </c>
    </row>
    <row r="3957" spans="1:16" x14ac:dyDescent="0.35">
      <c r="A3957" s="497" t="b">
        <f t="shared" ca="1" si="230"/>
        <v>0</v>
      </c>
      <c r="B3957" s="497"/>
      <c r="C3957" s="510" t="str">
        <f ca="1">IF(COUNTA(D$2498:D3957)=1,"",OFFSET(B3955,-COUNTA(D$2498:D3957)+3,1))</f>
        <v>a163p000004NtNnAAK</v>
      </c>
      <c r="D3957" s="512"/>
      <c r="E3957" s="500" t="str">
        <f ca="1">IFERROR(IF(VLOOKUP(C3957,' Disaggregation - Section E '!A$618:N2081,7,0)="","",VLOOKUP(C3957,' Disaggregation - Section E '!A$618:N2081,7,0)*100),"")</f>
        <v/>
      </c>
      <c r="F3957" s="503" t="str">
        <f ca="1">IFERROR(VLOOKUP(C3957,' Disaggregation - Section E '!A$618:N2081,5,0),"")</f>
        <v/>
      </c>
      <c r="G3957" s="502" t="str">
        <f ca="1">IFERROR(IF(VLOOKUP(C3957,' Disaggregation - Section E '!A$618:N2081,6,0)="","",VLOOKUP(C3957,' Disaggregation - Section E '!A$618:N2081,6,0)),"")</f>
        <v/>
      </c>
      <c r="H3957" s="512" t="str">
        <f ca="1">IFERROR(IF(INDEX(' Disaggregation - Section E '!F$618:F3278,MATCH(C3957,' Disaggregation - Section E '!A$618:A3278,0)+1,1)&lt;&gt;0,INDEX(' Disaggregation - Section E '!F$618:F$1820,MATCH(C3957,' Disaggregation - Section E '!A$618:A3278,0)+1,1),""),"")</f>
        <v/>
      </c>
      <c r="I3957" s="503" t="str">
        <f ca="1">IFERROR(IF(VLOOKUP(C3957,' Disaggregation - Section E '!A$618:N2081,8,0)=0,"",VLOOKUP(C3957,' Disaggregation - Section E '!A$618:N2081,8,0)),"")</f>
        <v/>
      </c>
      <c r="J3957" s="503" t="str">
        <f ca="1">IFERROR(IF(VLOOKUP(C3957,' Disaggregation - Section E '!A$618:N3278,13,0)=0,"",VLOOKUP(C3957,' Disaggregation - Section E '!A$618:N3278,13,0)),"")</f>
        <v/>
      </c>
      <c r="K3957" s="497" t="str">
        <f ca="1">IFERROR(VLOOKUP(C3957,' Disaggregation - Section E '!A$618:N2081,3,0),"")</f>
        <v>KP-6a Porcentaje de HSH elegibles que iniciaron PrEP durante el período de reporte</v>
      </c>
      <c r="L3957" s="497"/>
      <c r="M3957" s="497" t="str">
        <f ca="1">IFERROR(IF(VLOOKUP(C3957,' Disaggregation - Section E '!A$618:T2081,20,0)=0,"",VLOOKUP(C3957,' Disaggregation - Section E '!A$618:T2081,20,0)),"")</f>
        <v/>
      </c>
      <c r="N3957" s="503" t="str">
        <f ca="1">IFERROR(IF(VLOOKUP(C3957,' Disaggregation - Section E '!A$618:N2081,14,0)=0,"",VLOOKUP(C3957,' Disaggregation - Section E '!A$618:N2081,14,0)),"")</f>
        <v>Being a focused country, no disaggregation is required</v>
      </c>
      <c r="O3957" s="503" t="str">
        <f ca="1">IFERROR(IF(VLOOKUP(C3957,' Disaggregation - Section E '!A$618:N2081,9,0)=0,"",VLOOKUP(C3957,' Disaggregation - Section E '!A$618:N2081,9,0)),"")</f>
        <v/>
      </c>
      <c r="P3957" s="503" t="str">
        <f ca="1">IFERROR(IF(VLOOKUP(C3957,' Disaggregation - Section E '!A$618:N2081,10,0)=0,"",VLOOKUP(C3957,' Disaggregation - Section E '!A$618:N2081,10,0)),"")</f>
        <v>Al ser un país focalizado no se requiere desagregación</v>
      </c>
    </row>
    <row r="3958" spans="1:16" x14ac:dyDescent="0.35">
      <c r="A3958" s="497" t="b">
        <f t="shared" ca="1" si="230"/>
        <v>0</v>
      </c>
      <c r="B3958" s="497"/>
      <c r="C3958" s="510" t="str">
        <f ca="1">IF(COUNTA(D$2498:D3958)=1,"",OFFSET(B3956,-COUNTA(D$2498:D3958)+3,1))</f>
        <v>a163p000004NtNoAAK</v>
      </c>
      <c r="D3958" s="512"/>
      <c r="E3958" s="500" t="str">
        <f ca="1">IFERROR(IF(VLOOKUP(C3958,' Disaggregation - Section E '!A$618:N2082,7,0)="","",VLOOKUP(C3958,' Disaggregation - Section E '!A$618:N2082,7,0)*100),"")</f>
        <v/>
      </c>
      <c r="F3958" s="503" t="str">
        <f ca="1">IFERROR(VLOOKUP(C3958,' Disaggregation - Section E '!A$618:N2082,5,0),"")</f>
        <v/>
      </c>
      <c r="G3958" s="502" t="str">
        <f ca="1">IFERROR(IF(VLOOKUP(C3958,' Disaggregation - Section E '!A$618:N2082,6,0)="","",VLOOKUP(C3958,' Disaggregation - Section E '!A$618:N2082,6,0)),"")</f>
        <v/>
      </c>
      <c r="H3958" s="512" t="str">
        <f ca="1">IFERROR(IF(INDEX(' Disaggregation - Section E '!F$618:F3279,MATCH(C3958,' Disaggregation - Section E '!A$618:A3279,0)+1,1)&lt;&gt;0,INDEX(' Disaggregation - Section E '!F$618:F$1820,MATCH(C3958,' Disaggregation - Section E '!A$618:A3279,0)+1,1),""),"")</f>
        <v/>
      </c>
      <c r="I3958" s="503" t="str">
        <f ca="1">IFERROR(IF(VLOOKUP(C3958,' Disaggregation - Section E '!A$618:N2082,8,0)=0,"",VLOOKUP(C3958,' Disaggregation - Section E '!A$618:N2082,8,0)),"")</f>
        <v/>
      </c>
      <c r="J3958" s="503" t="str">
        <f ca="1">IFERROR(IF(VLOOKUP(C3958,' Disaggregation - Section E '!A$618:N3279,13,0)=0,"",VLOOKUP(C3958,' Disaggregation - Section E '!A$618:N3279,13,0)),"")</f>
        <v/>
      </c>
      <c r="K3958" s="497" t="str">
        <f ca="1">IFERROR(VLOOKUP(C3958,' Disaggregation - Section E '!A$618:N2082,3,0),"")</f>
        <v>KP-6a Porcentaje de HSH elegibles que iniciaron PrEP durante el período de reporte</v>
      </c>
      <c r="L3958" s="497"/>
      <c r="M3958" s="497" t="str">
        <f ca="1">IFERROR(IF(VLOOKUP(C3958,' Disaggregation - Section E '!A$618:T2082,20,0)=0,"",VLOOKUP(C3958,' Disaggregation - Section E '!A$618:T2082,20,0)),"")</f>
        <v/>
      </c>
      <c r="N3958" s="503" t="str">
        <f ca="1">IFERROR(IF(VLOOKUP(C3958,' Disaggregation - Section E '!A$618:N2082,14,0)=0,"",VLOOKUP(C3958,' Disaggregation - Section E '!A$618:N2082,14,0)),"")</f>
        <v/>
      </c>
      <c r="O3958" s="503" t="str">
        <f ca="1">IFERROR(IF(VLOOKUP(C3958,' Disaggregation - Section E '!A$618:N2082,9,0)=0,"",VLOOKUP(C3958,' Disaggregation - Section E '!A$618:N2082,9,0)),"")</f>
        <v/>
      </c>
      <c r="P3958" s="503" t="str">
        <f ca="1">IFERROR(IF(VLOOKUP(C3958,' Disaggregation - Section E '!A$618:N2082,10,0)=0,"",VLOOKUP(C3958,' Disaggregation - Section E '!A$618:N2082,10,0)),"")</f>
        <v/>
      </c>
    </row>
    <row r="3959" spans="1:16" x14ac:dyDescent="0.35">
      <c r="A3959" s="497" t="b">
        <f t="shared" ca="1" si="230"/>
        <v>0</v>
      </c>
      <c r="B3959" s="497"/>
      <c r="C3959" s="510" t="str">
        <f ca="1">IF(COUNTA(D$2498:D3959)=1,"",OFFSET(B3957,-COUNTA(D$2498:D3959)+3,1))</f>
        <v>a163p000004NtNpAAK</v>
      </c>
      <c r="D3959" s="512"/>
      <c r="E3959" s="500" t="str">
        <f ca="1">IFERROR(IF(VLOOKUP(C3959,' Disaggregation - Section E '!A$618:N2083,7,0)="","",VLOOKUP(C3959,' Disaggregation - Section E '!A$618:N2083,7,0)*100),"")</f>
        <v/>
      </c>
      <c r="F3959" s="503" t="str">
        <f ca="1">IFERROR(VLOOKUP(C3959,' Disaggregation - Section E '!A$618:N2083,5,0),"")</f>
        <v/>
      </c>
      <c r="G3959" s="502" t="str">
        <f ca="1">IFERROR(IF(VLOOKUP(C3959,' Disaggregation - Section E '!A$618:N2083,6,0)="","",VLOOKUP(C3959,' Disaggregation - Section E '!A$618:N2083,6,0)),"")</f>
        <v/>
      </c>
      <c r="H3959" s="512" t="str">
        <f ca="1">IFERROR(IF(INDEX(' Disaggregation - Section E '!F$618:F3280,MATCH(C3959,' Disaggregation - Section E '!A$618:A3280,0)+1,1)&lt;&gt;0,INDEX(' Disaggregation - Section E '!F$618:F$1820,MATCH(C3959,' Disaggregation - Section E '!A$618:A3280,0)+1,1),""),"")</f>
        <v/>
      </c>
      <c r="I3959" s="503" t="str">
        <f ca="1">IFERROR(IF(VLOOKUP(C3959,' Disaggregation - Section E '!A$618:N2083,8,0)=0,"",VLOOKUP(C3959,' Disaggregation - Section E '!A$618:N2083,8,0)),"")</f>
        <v/>
      </c>
      <c r="J3959" s="503" t="str">
        <f ca="1">IFERROR(IF(VLOOKUP(C3959,' Disaggregation - Section E '!A$618:N3280,13,0)=0,"",VLOOKUP(C3959,' Disaggregation - Section E '!A$618:N3280,13,0)),"")</f>
        <v/>
      </c>
      <c r="K3959" s="497" t="str">
        <f ca="1">IFERROR(VLOOKUP(C3959,' Disaggregation - Section E '!A$618:N2083,3,0),"")</f>
        <v>KP-6a Porcentaje de HSH elegibles que iniciaron PrEP durante el período de reporte</v>
      </c>
      <c r="L3959" s="497"/>
      <c r="M3959" s="497" t="str">
        <f ca="1">IFERROR(IF(VLOOKUP(C3959,' Disaggregation - Section E '!A$618:T2083,20,0)=0,"",VLOOKUP(C3959,' Disaggregation - Section E '!A$618:T2083,20,0)),"")</f>
        <v/>
      </c>
      <c r="N3959" s="503" t="str">
        <f ca="1">IFERROR(IF(VLOOKUP(C3959,' Disaggregation - Section E '!A$618:N2083,14,0)=0,"",VLOOKUP(C3959,' Disaggregation - Section E '!A$618:N2083,14,0)),"")</f>
        <v/>
      </c>
      <c r="O3959" s="503" t="str">
        <f ca="1">IFERROR(IF(VLOOKUP(C3959,' Disaggregation - Section E '!A$618:N2083,9,0)=0,"",VLOOKUP(C3959,' Disaggregation - Section E '!A$618:N2083,9,0)),"")</f>
        <v/>
      </c>
      <c r="P3959" s="503" t="str">
        <f ca="1">IFERROR(IF(VLOOKUP(C3959,' Disaggregation - Section E '!A$618:N2083,10,0)=0,"",VLOOKUP(C3959,' Disaggregation - Section E '!A$618:N2083,10,0)),"")</f>
        <v/>
      </c>
    </row>
    <row r="3960" spans="1:16" x14ac:dyDescent="0.35">
      <c r="A3960" s="497" t="b">
        <f t="shared" ca="1" si="230"/>
        <v>0</v>
      </c>
      <c r="B3960" s="497"/>
      <c r="C3960" s="510" t="str">
        <f ca="1">IF(COUNTA(D$2498:D3960)=1,"",OFFSET(B3958,-COUNTA(D$2498:D3960)+3,1))</f>
        <v>a163p000004NtXCAA0</v>
      </c>
      <c r="D3960" s="512"/>
      <c r="E3960" s="500" t="str">
        <f ca="1">IFERROR(IF(VLOOKUP(C3960,' Disaggregation - Section E '!A$618:N2084,7,0)="","",VLOOKUP(C3960,' Disaggregation - Section E '!A$618:N2084,7,0)*100),"")</f>
        <v/>
      </c>
      <c r="F3960" s="503" t="str">
        <f ca="1">IFERROR(VLOOKUP(C3960,' Disaggregation - Section E '!A$618:N2084,5,0),"")</f>
        <v/>
      </c>
      <c r="G3960" s="502" t="str">
        <f ca="1">IFERROR(IF(VLOOKUP(C3960,' Disaggregation - Section E '!A$618:N2084,6,0)="","",VLOOKUP(C3960,' Disaggregation - Section E '!A$618:N2084,6,0)),"")</f>
        <v/>
      </c>
      <c r="H3960" s="512" t="str">
        <f ca="1">IFERROR(IF(INDEX(' Disaggregation - Section E '!F$618:F3281,MATCH(C3960,' Disaggregation - Section E '!A$618:A3281,0)+1,1)&lt;&gt;0,INDEX(' Disaggregation - Section E '!F$618:F$1820,MATCH(C3960,' Disaggregation - Section E '!A$618:A3281,0)+1,1),""),"")</f>
        <v/>
      </c>
      <c r="I3960" s="503" t="str">
        <f ca="1">IFERROR(IF(VLOOKUP(C3960,' Disaggregation - Section E '!A$618:N2084,8,0)=0,"",VLOOKUP(C3960,' Disaggregation - Section E '!A$618:N2084,8,0)),"")</f>
        <v/>
      </c>
      <c r="J3960" s="503" t="str">
        <f ca="1">IFERROR(IF(VLOOKUP(C3960,' Disaggregation - Section E '!A$618:N3281,13,0)=0,"",VLOOKUP(C3960,' Disaggregation - Section E '!A$618:N3281,13,0)),"")</f>
        <v/>
      </c>
      <c r="K3960" s="497" t="str">
        <f ca="1">IFERROR(VLOOKUP(C3960,' Disaggregation - Section E '!A$618:N2084,3,0),"")</f>
        <v>KP-6b Porcentaje de personas transgénero elegibles que iniciaron PrEP durante el período de reporte</v>
      </c>
      <c r="L3960" s="497"/>
      <c r="M3960" s="497" t="str">
        <f ca="1">IFERROR(IF(VLOOKUP(C3960,' Disaggregation - Section E '!A$618:T2084,20,0)=0,"",VLOOKUP(C3960,' Disaggregation - Section E '!A$618:T2084,20,0)),"")</f>
        <v/>
      </c>
      <c r="N3960" s="503" t="str">
        <f ca="1">IFERROR(IF(VLOOKUP(C3960,' Disaggregation - Section E '!A$618:N2084,14,0)=0,"",VLOOKUP(C3960,' Disaggregation - Section E '!A$618:N2084,14,0)),"")</f>
        <v/>
      </c>
      <c r="O3960" s="503" t="str">
        <f ca="1">IFERROR(IF(VLOOKUP(C3960,' Disaggregation - Section E '!A$618:N2084,9,0)=0,"",VLOOKUP(C3960,' Disaggregation - Section E '!A$618:N2084,9,0)),"")</f>
        <v/>
      </c>
      <c r="P3960" s="503" t="str">
        <f ca="1">IFERROR(IF(VLOOKUP(C3960,' Disaggregation - Section E '!A$618:N2084,10,0)=0,"",VLOOKUP(C3960,' Disaggregation - Section E '!A$618:N2084,10,0)),"")</f>
        <v/>
      </c>
    </row>
    <row r="3961" spans="1:16" x14ac:dyDescent="0.35">
      <c r="A3961" s="497" t="b">
        <f t="shared" ca="1" si="230"/>
        <v>0</v>
      </c>
      <c r="B3961" s="497"/>
      <c r="C3961" s="510" t="str">
        <f ca="1">IF(COUNTA(D$2498:D3961)=1,"",OFFSET(B3959,-COUNTA(D$2498:D3961)+3,1))</f>
        <v>a163p000004NtXDAA0</v>
      </c>
      <c r="D3961" s="512"/>
      <c r="E3961" s="500" t="str">
        <f ca="1">IFERROR(IF(VLOOKUP(C3961,' Disaggregation - Section E '!A$618:N2085,7,0)="","",VLOOKUP(C3961,' Disaggregation - Section E '!A$618:N2085,7,0)*100),"")</f>
        <v/>
      </c>
      <c r="F3961" s="503" t="str">
        <f ca="1">IFERROR(VLOOKUP(C3961,' Disaggregation - Section E '!A$618:N2085,5,0),"")</f>
        <v/>
      </c>
      <c r="G3961" s="502" t="str">
        <f ca="1">IFERROR(IF(VLOOKUP(C3961,' Disaggregation - Section E '!A$618:N2085,6,0)="","",VLOOKUP(C3961,' Disaggregation - Section E '!A$618:N2085,6,0)),"")</f>
        <v/>
      </c>
      <c r="H3961" s="512" t="str">
        <f ca="1">IFERROR(IF(INDEX(' Disaggregation - Section E '!F$618:F3282,MATCH(C3961,' Disaggregation - Section E '!A$618:A3282,0)+1,1)&lt;&gt;0,INDEX(' Disaggregation - Section E '!F$618:F$1820,MATCH(C3961,' Disaggregation - Section E '!A$618:A3282,0)+1,1),""),"")</f>
        <v/>
      </c>
      <c r="I3961" s="503" t="str">
        <f ca="1">IFERROR(IF(VLOOKUP(C3961,' Disaggregation - Section E '!A$618:N2085,8,0)=0,"",VLOOKUP(C3961,' Disaggregation - Section E '!A$618:N2085,8,0)),"")</f>
        <v/>
      </c>
      <c r="J3961" s="503" t="str">
        <f ca="1">IFERROR(IF(VLOOKUP(C3961,' Disaggregation - Section E '!A$618:N3282,13,0)=0,"",VLOOKUP(C3961,' Disaggregation - Section E '!A$618:N3282,13,0)),"")</f>
        <v/>
      </c>
      <c r="K3961" s="497" t="str">
        <f ca="1">IFERROR(VLOOKUP(C3961,' Disaggregation - Section E '!A$618:N2085,3,0),"")</f>
        <v>KP-6b Porcentaje de personas transgénero elegibles que iniciaron PrEP durante el período de reporte</v>
      </c>
      <c r="L3961" s="497"/>
      <c r="M3961" s="497" t="str">
        <f ca="1">IFERROR(IF(VLOOKUP(C3961,' Disaggregation - Section E '!A$618:T2085,20,0)=0,"",VLOOKUP(C3961,' Disaggregation - Section E '!A$618:T2085,20,0)),"")</f>
        <v/>
      </c>
      <c r="N3961" s="503" t="str">
        <f ca="1">IFERROR(IF(VLOOKUP(C3961,' Disaggregation - Section E '!A$618:N2085,14,0)=0,"",VLOOKUP(C3961,' Disaggregation - Section E '!A$618:N2085,14,0)),"")</f>
        <v/>
      </c>
      <c r="O3961" s="503" t="str">
        <f ca="1">IFERROR(IF(VLOOKUP(C3961,' Disaggregation - Section E '!A$618:N2085,9,0)=0,"",VLOOKUP(C3961,' Disaggregation - Section E '!A$618:N2085,9,0)),"")</f>
        <v/>
      </c>
      <c r="P3961" s="503" t="str">
        <f ca="1">IFERROR(IF(VLOOKUP(C3961,' Disaggregation - Section E '!A$618:N2085,10,0)=0,"",VLOOKUP(C3961,' Disaggregation - Section E '!A$618:N2085,10,0)),"")</f>
        <v/>
      </c>
    </row>
    <row r="3962" spans="1:16" x14ac:dyDescent="0.35">
      <c r="A3962" s="497" t="b">
        <f t="shared" ca="1" si="230"/>
        <v>0</v>
      </c>
      <c r="B3962" s="497"/>
      <c r="C3962" s="510" t="str">
        <f ca="1">IF(COUNTA(D$2498:D3962)=1,"",OFFSET(B3960,-COUNTA(D$2498:D3962)+3,1))</f>
        <v>a163p000004NtXEAA0</v>
      </c>
      <c r="D3962" s="512"/>
      <c r="E3962" s="500" t="str">
        <f ca="1">IFERROR(IF(VLOOKUP(C3962,' Disaggregation - Section E '!A$618:N2086,7,0)="","",VLOOKUP(C3962,' Disaggregation - Section E '!A$618:N2086,7,0)*100),"")</f>
        <v/>
      </c>
      <c r="F3962" s="503" t="str">
        <f ca="1">IFERROR(VLOOKUP(C3962,' Disaggregation - Section E '!A$618:N2086,5,0),"")</f>
        <v/>
      </c>
      <c r="G3962" s="502" t="str">
        <f ca="1">IFERROR(IF(VLOOKUP(C3962,' Disaggregation - Section E '!A$618:N2086,6,0)="","",VLOOKUP(C3962,' Disaggregation - Section E '!A$618:N2086,6,0)),"")</f>
        <v/>
      </c>
      <c r="H3962" s="512" t="str">
        <f ca="1">IFERROR(IF(INDEX(' Disaggregation - Section E '!F$618:F3283,MATCH(C3962,' Disaggregation - Section E '!A$618:A3283,0)+1,1)&lt;&gt;0,INDEX(' Disaggregation - Section E '!F$618:F$1820,MATCH(C3962,' Disaggregation - Section E '!A$618:A3283,0)+1,1),""),"")</f>
        <v/>
      </c>
      <c r="I3962" s="503" t="str">
        <f ca="1">IFERROR(IF(VLOOKUP(C3962,' Disaggregation - Section E '!A$618:N2086,8,0)=0,"",VLOOKUP(C3962,' Disaggregation - Section E '!A$618:N2086,8,0)),"")</f>
        <v/>
      </c>
      <c r="J3962" s="503" t="str">
        <f ca="1">IFERROR(IF(VLOOKUP(C3962,' Disaggregation - Section E '!A$618:N3283,13,0)=0,"",VLOOKUP(C3962,' Disaggregation - Section E '!A$618:N3283,13,0)),"")</f>
        <v/>
      </c>
      <c r="K3962" s="497" t="str">
        <f ca="1">IFERROR(VLOOKUP(C3962,' Disaggregation - Section E '!A$618:N2086,3,0),"")</f>
        <v>KP-6b Porcentaje de personas transgénero elegibles que iniciaron PrEP durante el período de reporte</v>
      </c>
      <c r="L3962" s="497"/>
      <c r="M3962" s="497" t="str">
        <f ca="1">IFERROR(IF(VLOOKUP(C3962,' Disaggregation - Section E '!A$618:T2086,20,0)=0,"",VLOOKUP(C3962,' Disaggregation - Section E '!A$618:T2086,20,0)),"")</f>
        <v/>
      </c>
      <c r="N3962" s="503" t="str">
        <f ca="1">IFERROR(IF(VLOOKUP(C3962,' Disaggregation - Section E '!A$618:N2086,14,0)=0,"",VLOOKUP(C3962,' Disaggregation - Section E '!A$618:N2086,14,0)),"")</f>
        <v/>
      </c>
      <c r="O3962" s="503" t="str">
        <f ca="1">IFERROR(IF(VLOOKUP(C3962,' Disaggregation - Section E '!A$618:N2086,9,0)=0,"",VLOOKUP(C3962,' Disaggregation - Section E '!A$618:N2086,9,0)),"")</f>
        <v/>
      </c>
      <c r="P3962" s="503" t="str">
        <f ca="1">IFERROR(IF(VLOOKUP(C3962,' Disaggregation - Section E '!A$618:N2086,10,0)=0,"",VLOOKUP(C3962,' Disaggregation - Section E '!A$618:N2086,10,0)),"")</f>
        <v/>
      </c>
    </row>
    <row r="3963" spans="1:16" x14ac:dyDescent="0.35">
      <c r="A3963" s="497" t="b">
        <f t="shared" ca="1" si="230"/>
        <v>0</v>
      </c>
      <c r="B3963" s="497"/>
      <c r="C3963" s="510" t="str">
        <f ca="1">IF(COUNTA(D$2498:D3963)=1,"",OFFSET(B3961,-COUNTA(D$2498:D3963)+3,1))</f>
        <v>a163p000004NtXFAA0</v>
      </c>
      <c r="D3963" s="512"/>
      <c r="E3963" s="500" t="str">
        <f ca="1">IFERROR(IF(VLOOKUP(C3963,' Disaggregation - Section E '!A$618:N2087,7,0)="","",VLOOKUP(C3963,' Disaggregation - Section E '!A$618:N2087,7,0)*100),"")</f>
        <v/>
      </c>
      <c r="F3963" s="503" t="str">
        <f ca="1">IFERROR(VLOOKUP(C3963,' Disaggregation - Section E '!A$618:N2087,5,0),"")</f>
        <v/>
      </c>
      <c r="G3963" s="502" t="str">
        <f ca="1">IFERROR(IF(VLOOKUP(C3963,' Disaggregation - Section E '!A$618:N2087,6,0)="","",VLOOKUP(C3963,' Disaggregation - Section E '!A$618:N2087,6,0)),"")</f>
        <v/>
      </c>
      <c r="H3963" s="512" t="str">
        <f ca="1">IFERROR(IF(INDEX(' Disaggregation - Section E '!F$618:F3284,MATCH(C3963,' Disaggregation - Section E '!A$618:A3284,0)+1,1)&lt;&gt;0,INDEX(' Disaggregation - Section E '!F$618:F$1820,MATCH(C3963,' Disaggregation - Section E '!A$618:A3284,0)+1,1),""),"")</f>
        <v/>
      </c>
      <c r="I3963" s="503" t="str">
        <f ca="1">IFERROR(IF(VLOOKUP(C3963,' Disaggregation - Section E '!A$618:N2087,8,0)=0,"",VLOOKUP(C3963,' Disaggregation - Section E '!A$618:N2087,8,0)),"")</f>
        <v/>
      </c>
      <c r="J3963" s="503" t="str">
        <f ca="1">IFERROR(IF(VLOOKUP(C3963,' Disaggregation - Section E '!A$618:N3284,13,0)=0,"",VLOOKUP(C3963,' Disaggregation - Section E '!A$618:N3284,13,0)),"")</f>
        <v/>
      </c>
      <c r="K3963" s="497" t="str">
        <f ca="1">IFERROR(VLOOKUP(C3963,' Disaggregation - Section E '!A$618:N2087,3,0),"")</f>
        <v>KP-6b Porcentaje de personas transgénero elegibles que iniciaron PrEP durante el período de reporte</v>
      </c>
      <c r="L3963" s="497"/>
      <c r="M3963" s="497" t="str">
        <f ca="1">IFERROR(IF(VLOOKUP(C3963,' Disaggregation - Section E '!A$618:T2087,20,0)=0,"",VLOOKUP(C3963,' Disaggregation - Section E '!A$618:T2087,20,0)),"")</f>
        <v/>
      </c>
      <c r="N3963" s="503" t="str">
        <f ca="1">IFERROR(IF(VLOOKUP(C3963,' Disaggregation - Section E '!A$618:N2087,14,0)=0,"",VLOOKUP(C3963,' Disaggregation - Section E '!A$618:N2087,14,0)),"")</f>
        <v/>
      </c>
      <c r="O3963" s="503" t="str">
        <f ca="1">IFERROR(IF(VLOOKUP(C3963,' Disaggregation - Section E '!A$618:N2087,9,0)=0,"",VLOOKUP(C3963,' Disaggregation - Section E '!A$618:N2087,9,0)),"")</f>
        <v/>
      </c>
      <c r="P3963" s="503" t="str">
        <f ca="1">IFERROR(IF(VLOOKUP(C3963,' Disaggregation - Section E '!A$618:N2087,10,0)=0,"",VLOOKUP(C3963,' Disaggregation - Section E '!A$618:N2087,10,0)),"")</f>
        <v/>
      </c>
    </row>
    <row r="3964" spans="1:16" x14ac:dyDescent="0.35">
      <c r="A3964" s="497" t="b">
        <f t="shared" ca="1" si="230"/>
        <v>0</v>
      </c>
      <c r="B3964" s="497"/>
      <c r="C3964" s="510" t="str">
        <f ca="1">IF(COUNTA(D$2498:D3964)=1,"",OFFSET(B3962,-COUNTA(D$2498:D3964)+3,1))</f>
        <v>a163p000004NtXGAA0</v>
      </c>
      <c r="D3964" s="512"/>
      <c r="E3964" s="500" t="str">
        <f ca="1">IFERROR(IF(VLOOKUP(C3964,' Disaggregation - Section E '!A$618:N2088,7,0)="","",VLOOKUP(C3964,' Disaggregation - Section E '!A$618:N2088,7,0)*100),"")</f>
        <v/>
      </c>
      <c r="F3964" s="503" t="str">
        <f ca="1">IFERROR(VLOOKUP(C3964,' Disaggregation - Section E '!A$618:N2088,5,0),"")</f>
        <v/>
      </c>
      <c r="G3964" s="502" t="str">
        <f ca="1">IFERROR(IF(VLOOKUP(C3964,' Disaggregation - Section E '!A$618:N2088,6,0)="","",VLOOKUP(C3964,' Disaggregation - Section E '!A$618:N2088,6,0)),"")</f>
        <v/>
      </c>
      <c r="H3964" s="512" t="str">
        <f ca="1">IFERROR(IF(INDEX(' Disaggregation - Section E '!F$618:F3285,MATCH(C3964,' Disaggregation - Section E '!A$618:A3285,0)+1,1)&lt;&gt;0,INDEX(' Disaggregation - Section E '!F$618:F$1820,MATCH(C3964,' Disaggregation - Section E '!A$618:A3285,0)+1,1),""),"")</f>
        <v/>
      </c>
      <c r="I3964" s="503" t="str">
        <f ca="1">IFERROR(IF(VLOOKUP(C3964,' Disaggregation - Section E '!A$618:N2088,8,0)=0,"",VLOOKUP(C3964,' Disaggregation - Section E '!A$618:N2088,8,0)),"")</f>
        <v/>
      </c>
      <c r="J3964" s="503" t="str">
        <f ca="1">IFERROR(IF(VLOOKUP(C3964,' Disaggregation - Section E '!A$618:N3285,13,0)=0,"",VLOOKUP(C3964,' Disaggregation - Section E '!A$618:N3285,13,0)),"")</f>
        <v/>
      </c>
      <c r="K3964" s="497" t="str">
        <f ca="1">IFERROR(VLOOKUP(C3964,' Disaggregation - Section E '!A$618:N2088,3,0),"")</f>
        <v>KP-6b Porcentaje de personas transgénero elegibles que iniciaron PrEP durante el período de reporte</v>
      </c>
      <c r="L3964" s="497"/>
      <c r="M3964" s="497" t="str">
        <f ca="1">IFERROR(IF(VLOOKUP(C3964,' Disaggregation - Section E '!A$618:T2088,20,0)=0,"",VLOOKUP(C3964,' Disaggregation - Section E '!A$618:T2088,20,0)),"")</f>
        <v/>
      </c>
      <c r="N3964" s="503" t="str">
        <f ca="1">IFERROR(IF(VLOOKUP(C3964,' Disaggregation - Section E '!A$618:N2088,14,0)=0,"",VLOOKUP(C3964,' Disaggregation - Section E '!A$618:N2088,14,0)),"")</f>
        <v/>
      </c>
      <c r="O3964" s="503" t="str">
        <f ca="1">IFERROR(IF(VLOOKUP(C3964,' Disaggregation - Section E '!A$618:N2088,9,0)=0,"",VLOOKUP(C3964,' Disaggregation - Section E '!A$618:N2088,9,0)),"")</f>
        <v/>
      </c>
      <c r="P3964" s="503" t="str">
        <f ca="1">IFERROR(IF(VLOOKUP(C3964,' Disaggregation - Section E '!A$618:N2088,10,0)=0,"",VLOOKUP(C3964,' Disaggregation - Section E '!A$618:N2088,10,0)),"")</f>
        <v/>
      </c>
    </row>
    <row r="3965" spans="1:16" x14ac:dyDescent="0.35">
      <c r="A3965" s="497" t="b">
        <f t="shared" ca="1" si="230"/>
        <v>0</v>
      </c>
      <c r="B3965" s="497"/>
      <c r="C3965" s="510" t="str">
        <f ca="1">IF(COUNTA(D$2498:D3965)=1,"",OFFSET(B3963,-COUNTA(D$2498:D3965)+3,1))</f>
        <v>a163p000004NtXHAA0</v>
      </c>
      <c r="D3965" s="512"/>
      <c r="E3965" s="500" t="str">
        <f ca="1">IFERROR(IF(VLOOKUP(C3965,' Disaggregation - Section E '!A$618:N2089,7,0)="","",VLOOKUP(C3965,' Disaggregation - Section E '!A$618:N2089,7,0)*100),"")</f>
        <v/>
      </c>
      <c r="F3965" s="503" t="str">
        <f ca="1">IFERROR(VLOOKUP(C3965,' Disaggregation - Section E '!A$618:N2089,5,0),"")</f>
        <v/>
      </c>
      <c r="G3965" s="502" t="str">
        <f ca="1">IFERROR(IF(VLOOKUP(C3965,' Disaggregation - Section E '!A$618:N2089,6,0)="","",VLOOKUP(C3965,' Disaggregation - Section E '!A$618:N2089,6,0)),"")</f>
        <v/>
      </c>
      <c r="H3965" s="512" t="str">
        <f ca="1">IFERROR(IF(INDEX(' Disaggregation - Section E '!F$618:F3286,MATCH(C3965,' Disaggregation - Section E '!A$618:A3286,0)+1,1)&lt;&gt;0,INDEX(' Disaggregation - Section E '!F$618:F$1820,MATCH(C3965,' Disaggregation - Section E '!A$618:A3286,0)+1,1),""),"")</f>
        <v/>
      </c>
      <c r="I3965" s="503" t="str">
        <f ca="1">IFERROR(IF(VLOOKUP(C3965,' Disaggregation - Section E '!A$618:N2089,8,0)=0,"",VLOOKUP(C3965,' Disaggregation - Section E '!A$618:N2089,8,0)),"")</f>
        <v/>
      </c>
      <c r="J3965" s="503" t="str">
        <f ca="1">IFERROR(IF(VLOOKUP(C3965,' Disaggregation - Section E '!A$618:N3286,13,0)=0,"",VLOOKUP(C3965,' Disaggregation - Section E '!A$618:N3286,13,0)),"")</f>
        <v/>
      </c>
      <c r="K3965" s="497" t="str">
        <f ca="1">IFERROR(VLOOKUP(C3965,' Disaggregation - Section E '!A$618:N2089,3,0),"")</f>
        <v>KP-6b Porcentaje de personas transgénero elegibles que iniciaron PrEP durante el período de reporte</v>
      </c>
      <c r="L3965" s="497"/>
      <c r="M3965" s="497" t="str">
        <f ca="1">IFERROR(IF(VLOOKUP(C3965,' Disaggregation - Section E '!A$618:T2089,20,0)=0,"",VLOOKUP(C3965,' Disaggregation - Section E '!A$618:T2089,20,0)),"")</f>
        <v/>
      </c>
      <c r="N3965" s="503" t="str">
        <f ca="1">IFERROR(IF(VLOOKUP(C3965,' Disaggregation - Section E '!A$618:N2089,14,0)=0,"",VLOOKUP(C3965,' Disaggregation - Section E '!A$618:N2089,14,0)),"")</f>
        <v/>
      </c>
      <c r="O3965" s="503" t="str">
        <f ca="1">IFERROR(IF(VLOOKUP(C3965,' Disaggregation - Section E '!A$618:N2089,9,0)=0,"",VLOOKUP(C3965,' Disaggregation - Section E '!A$618:N2089,9,0)),"")</f>
        <v/>
      </c>
      <c r="P3965" s="503" t="str">
        <f ca="1">IFERROR(IF(VLOOKUP(C3965,' Disaggregation - Section E '!A$618:N2089,10,0)=0,"",VLOOKUP(C3965,' Disaggregation - Section E '!A$618:N2089,10,0)),"")</f>
        <v/>
      </c>
    </row>
    <row r="3966" spans="1:16" x14ac:dyDescent="0.35">
      <c r="A3966" s="497" t="b">
        <f t="shared" ca="1" si="230"/>
        <v>0</v>
      </c>
      <c r="B3966" s="497"/>
      <c r="C3966" s="510" t="str">
        <f ca="1">IF(COUNTA(D$2498:D3966)=1,"",OFFSET(B3964,-COUNTA(D$2498:D3966)+3,1))</f>
        <v>a163p000004NtXIAA0</v>
      </c>
      <c r="D3966" s="512"/>
      <c r="E3966" s="500" t="str">
        <f ca="1">IFERROR(IF(VLOOKUP(C3966,' Disaggregation - Section E '!A$618:N2090,7,0)="","",VLOOKUP(C3966,' Disaggregation - Section E '!A$618:N2090,7,0)*100),"")</f>
        <v/>
      </c>
      <c r="F3966" s="503" t="str">
        <f ca="1">IFERROR(VLOOKUP(C3966,' Disaggregation - Section E '!A$618:N2090,5,0),"")</f>
        <v/>
      </c>
      <c r="G3966" s="502" t="str">
        <f ca="1">IFERROR(IF(VLOOKUP(C3966,' Disaggregation - Section E '!A$618:N2090,6,0)="","",VLOOKUP(C3966,' Disaggregation - Section E '!A$618:N2090,6,0)),"")</f>
        <v/>
      </c>
      <c r="H3966" s="512" t="str">
        <f ca="1">IFERROR(IF(INDEX(' Disaggregation - Section E '!F$618:F3287,MATCH(C3966,' Disaggregation - Section E '!A$618:A3287,0)+1,1)&lt;&gt;0,INDEX(' Disaggregation - Section E '!F$618:F$1820,MATCH(C3966,' Disaggregation - Section E '!A$618:A3287,0)+1,1),""),"")</f>
        <v/>
      </c>
      <c r="I3966" s="503" t="str">
        <f ca="1">IFERROR(IF(VLOOKUP(C3966,' Disaggregation - Section E '!A$618:N2090,8,0)=0,"",VLOOKUP(C3966,' Disaggregation - Section E '!A$618:N2090,8,0)),"")</f>
        <v/>
      </c>
      <c r="J3966" s="503" t="str">
        <f ca="1">IFERROR(IF(VLOOKUP(C3966,' Disaggregation - Section E '!A$618:N3287,13,0)=0,"",VLOOKUP(C3966,' Disaggregation - Section E '!A$618:N3287,13,0)),"")</f>
        <v/>
      </c>
      <c r="K3966" s="497" t="str">
        <f ca="1">IFERROR(VLOOKUP(C3966,' Disaggregation - Section E '!A$618:N2090,3,0),"")</f>
        <v>KP-6b Porcentaje de personas transgénero elegibles que iniciaron PrEP durante el período de reporte</v>
      </c>
      <c r="L3966" s="497"/>
      <c r="M3966" s="497" t="str">
        <f ca="1">IFERROR(IF(VLOOKUP(C3966,' Disaggregation - Section E '!A$618:T2090,20,0)=0,"",VLOOKUP(C3966,' Disaggregation - Section E '!A$618:T2090,20,0)),"")</f>
        <v/>
      </c>
      <c r="N3966" s="503" t="str">
        <f ca="1">IFERROR(IF(VLOOKUP(C3966,' Disaggregation - Section E '!A$618:N2090,14,0)=0,"",VLOOKUP(C3966,' Disaggregation - Section E '!A$618:N2090,14,0)),"")</f>
        <v/>
      </c>
      <c r="O3966" s="503" t="str">
        <f ca="1">IFERROR(IF(VLOOKUP(C3966,' Disaggregation - Section E '!A$618:N2090,9,0)=0,"",VLOOKUP(C3966,' Disaggregation - Section E '!A$618:N2090,9,0)),"")</f>
        <v/>
      </c>
      <c r="P3966" s="503" t="str">
        <f ca="1">IFERROR(IF(VLOOKUP(C3966,' Disaggregation - Section E '!A$618:N2090,10,0)=0,"",VLOOKUP(C3966,' Disaggregation - Section E '!A$618:N2090,10,0)),"")</f>
        <v/>
      </c>
    </row>
    <row r="3967" spans="1:16" x14ac:dyDescent="0.35">
      <c r="A3967" s="497" t="b">
        <f t="shared" ca="1" si="230"/>
        <v>0</v>
      </c>
      <c r="B3967" s="497"/>
      <c r="C3967" s="510" t="str">
        <f ca="1">IF(COUNTA(D$2498:D3967)=1,"",OFFSET(B3965,-COUNTA(D$2498:D3967)+3,1))</f>
        <v>a163p000004NtXJAA0</v>
      </c>
      <c r="D3967" s="512"/>
      <c r="E3967" s="500" t="str">
        <f ca="1">IFERROR(IF(VLOOKUP(C3967,' Disaggregation - Section E '!A$618:N2091,7,0)="","",VLOOKUP(C3967,' Disaggregation - Section E '!A$618:N2091,7,0)*100),"")</f>
        <v/>
      </c>
      <c r="F3967" s="503" t="str">
        <f ca="1">IFERROR(VLOOKUP(C3967,' Disaggregation - Section E '!A$618:N2091,5,0),"")</f>
        <v/>
      </c>
      <c r="G3967" s="502" t="str">
        <f ca="1">IFERROR(IF(VLOOKUP(C3967,' Disaggregation - Section E '!A$618:N2091,6,0)="","",VLOOKUP(C3967,' Disaggregation - Section E '!A$618:N2091,6,0)),"")</f>
        <v/>
      </c>
      <c r="H3967" s="512" t="str">
        <f ca="1">IFERROR(IF(INDEX(' Disaggregation - Section E '!F$618:F3288,MATCH(C3967,' Disaggregation - Section E '!A$618:A3288,0)+1,1)&lt;&gt;0,INDEX(' Disaggregation - Section E '!F$618:F$1820,MATCH(C3967,' Disaggregation - Section E '!A$618:A3288,0)+1,1),""),"")</f>
        <v/>
      </c>
      <c r="I3967" s="503" t="str">
        <f ca="1">IFERROR(IF(VLOOKUP(C3967,' Disaggregation - Section E '!A$618:N2091,8,0)=0,"",VLOOKUP(C3967,' Disaggregation - Section E '!A$618:N2091,8,0)),"")</f>
        <v/>
      </c>
      <c r="J3967" s="503" t="str">
        <f ca="1">IFERROR(IF(VLOOKUP(C3967,' Disaggregation - Section E '!A$618:N3288,13,0)=0,"",VLOOKUP(C3967,' Disaggregation - Section E '!A$618:N3288,13,0)),"")</f>
        <v/>
      </c>
      <c r="K3967" s="497" t="str">
        <f ca="1">IFERROR(VLOOKUP(C3967,' Disaggregation - Section E '!A$618:N2091,3,0),"")</f>
        <v>KP-6b Porcentaje de personas transgénero elegibles que iniciaron PrEP durante el período de reporte</v>
      </c>
      <c r="L3967" s="497"/>
      <c r="M3967" s="497" t="str">
        <f ca="1">IFERROR(IF(VLOOKUP(C3967,' Disaggregation - Section E '!A$618:T2091,20,0)=0,"",VLOOKUP(C3967,' Disaggregation - Section E '!A$618:T2091,20,0)),"")</f>
        <v/>
      </c>
      <c r="N3967" s="503" t="str">
        <f ca="1">IFERROR(IF(VLOOKUP(C3967,' Disaggregation - Section E '!A$618:N2091,14,0)=0,"",VLOOKUP(C3967,' Disaggregation - Section E '!A$618:N2091,14,0)),"")</f>
        <v/>
      </c>
      <c r="O3967" s="503" t="str">
        <f ca="1">IFERROR(IF(VLOOKUP(C3967,' Disaggregation - Section E '!A$618:N2091,9,0)=0,"",VLOOKUP(C3967,' Disaggregation - Section E '!A$618:N2091,9,0)),"")</f>
        <v/>
      </c>
      <c r="P3967" s="503" t="str">
        <f ca="1">IFERROR(IF(VLOOKUP(C3967,' Disaggregation - Section E '!A$618:N2091,10,0)=0,"",VLOOKUP(C3967,' Disaggregation - Section E '!A$618:N2091,10,0)),"")</f>
        <v/>
      </c>
    </row>
    <row r="3968" spans="1:16" x14ac:dyDescent="0.35">
      <c r="A3968" s="497" t="b">
        <f t="shared" ca="1" si="230"/>
        <v>0</v>
      </c>
      <c r="B3968" s="497"/>
      <c r="C3968" s="510" t="str">
        <f ca="1">IF(COUNTA(D$2498:D3968)=1,"",OFFSET(B3966,-COUNTA(D$2498:D3968)+3,1))</f>
        <v>a163p000004NtXKAA0</v>
      </c>
      <c r="D3968" s="512"/>
      <c r="E3968" s="500" t="str">
        <f ca="1">IFERROR(IF(VLOOKUP(C3968,' Disaggregation - Section E '!A$618:N2092,7,0)="","",VLOOKUP(C3968,' Disaggregation - Section E '!A$618:N2092,7,0)*100),"")</f>
        <v/>
      </c>
      <c r="F3968" s="503" t="str">
        <f ca="1">IFERROR(VLOOKUP(C3968,' Disaggregation - Section E '!A$618:N2092,5,0),"")</f>
        <v/>
      </c>
      <c r="G3968" s="502" t="str">
        <f ca="1">IFERROR(IF(VLOOKUP(C3968,' Disaggregation - Section E '!A$618:N2092,6,0)="","",VLOOKUP(C3968,' Disaggregation - Section E '!A$618:N2092,6,0)),"")</f>
        <v/>
      </c>
      <c r="H3968" s="512" t="str">
        <f ca="1">IFERROR(IF(INDEX(' Disaggregation - Section E '!F$618:F3289,MATCH(C3968,' Disaggregation - Section E '!A$618:A3289,0)+1,1)&lt;&gt;0,INDEX(' Disaggregation - Section E '!F$618:F$1820,MATCH(C3968,' Disaggregation - Section E '!A$618:A3289,0)+1,1),""),"")</f>
        <v/>
      </c>
      <c r="I3968" s="503" t="str">
        <f ca="1">IFERROR(IF(VLOOKUP(C3968,' Disaggregation - Section E '!A$618:N2092,8,0)=0,"",VLOOKUP(C3968,' Disaggregation - Section E '!A$618:N2092,8,0)),"")</f>
        <v/>
      </c>
      <c r="J3968" s="503" t="str">
        <f ca="1">IFERROR(IF(VLOOKUP(C3968,' Disaggregation - Section E '!A$618:N3289,13,0)=0,"",VLOOKUP(C3968,' Disaggregation - Section E '!A$618:N3289,13,0)),"")</f>
        <v/>
      </c>
      <c r="K3968" s="497" t="str">
        <f ca="1">IFERROR(VLOOKUP(C3968,' Disaggregation - Section E '!A$618:N2092,3,0),"")</f>
        <v>KP-6b Porcentaje de personas transgénero elegibles que iniciaron PrEP durante el período de reporte</v>
      </c>
      <c r="L3968" s="497"/>
      <c r="M3968" s="497" t="str">
        <f ca="1">IFERROR(IF(VLOOKUP(C3968,' Disaggregation - Section E '!A$618:T2092,20,0)=0,"",VLOOKUP(C3968,' Disaggregation - Section E '!A$618:T2092,20,0)),"")</f>
        <v/>
      </c>
      <c r="N3968" s="503" t="str">
        <f ca="1">IFERROR(IF(VLOOKUP(C3968,' Disaggregation - Section E '!A$618:N2092,14,0)=0,"",VLOOKUP(C3968,' Disaggregation - Section E '!A$618:N2092,14,0)),"")</f>
        <v/>
      </c>
      <c r="O3968" s="503" t="str">
        <f ca="1">IFERROR(IF(VLOOKUP(C3968,' Disaggregation - Section E '!A$618:N2092,9,0)=0,"",VLOOKUP(C3968,' Disaggregation - Section E '!A$618:N2092,9,0)),"")</f>
        <v/>
      </c>
      <c r="P3968" s="503" t="str">
        <f ca="1">IFERROR(IF(VLOOKUP(C3968,' Disaggregation - Section E '!A$618:N2092,10,0)=0,"",VLOOKUP(C3968,' Disaggregation - Section E '!A$618:N2092,10,0)),"")</f>
        <v/>
      </c>
    </row>
    <row r="3969" spans="1:16" x14ac:dyDescent="0.35">
      <c r="A3969" s="497" t="b">
        <f t="shared" ca="1" si="230"/>
        <v>0</v>
      </c>
      <c r="B3969" s="497"/>
      <c r="C3969" s="510" t="str">
        <f ca="1">IF(COUNTA(D$2498:D3969)=1,"",OFFSET(B3967,-COUNTA(D$2498:D3969)+3,1))</f>
        <v>a163p000004NtXLAA0</v>
      </c>
      <c r="D3969" s="512"/>
      <c r="E3969" s="500" t="str">
        <f ca="1">IFERROR(IF(VLOOKUP(C3969,' Disaggregation - Section E '!A$618:N2093,7,0)="","",VLOOKUP(C3969,' Disaggregation - Section E '!A$618:N2093,7,0)*100),"")</f>
        <v/>
      </c>
      <c r="F3969" s="503" t="str">
        <f ca="1">IFERROR(VLOOKUP(C3969,' Disaggregation - Section E '!A$618:N2093,5,0),"")</f>
        <v/>
      </c>
      <c r="G3969" s="502" t="str">
        <f ca="1">IFERROR(IF(VLOOKUP(C3969,' Disaggregation - Section E '!A$618:N2093,6,0)="","",VLOOKUP(C3969,' Disaggregation - Section E '!A$618:N2093,6,0)),"")</f>
        <v/>
      </c>
      <c r="H3969" s="512" t="str">
        <f ca="1">IFERROR(IF(INDEX(' Disaggregation - Section E '!F$618:F3290,MATCH(C3969,' Disaggregation - Section E '!A$618:A3290,0)+1,1)&lt;&gt;0,INDEX(' Disaggregation - Section E '!F$618:F$1820,MATCH(C3969,' Disaggregation - Section E '!A$618:A3290,0)+1,1),""),"")</f>
        <v/>
      </c>
      <c r="I3969" s="503" t="str">
        <f ca="1">IFERROR(IF(VLOOKUP(C3969,' Disaggregation - Section E '!A$618:N2093,8,0)=0,"",VLOOKUP(C3969,' Disaggregation - Section E '!A$618:N2093,8,0)),"")</f>
        <v/>
      </c>
      <c r="J3969" s="503" t="str">
        <f ca="1">IFERROR(IF(VLOOKUP(C3969,' Disaggregation - Section E '!A$618:N3290,13,0)=0,"",VLOOKUP(C3969,' Disaggregation - Section E '!A$618:N3290,13,0)),"")</f>
        <v/>
      </c>
      <c r="K3969" s="497" t="str">
        <f ca="1">IFERROR(VLOOKUP(C3969,' Disaggregation - Section E '!A$618:N2093,3,0),"")</f>
        <v>KP-6b Porcentaje de personas transgénero elegibles que iniciaron PrEP durante el período de reporte</v>
      </c>
      <c r="L3969" s="497"/>
      <c r="M3969" s="497" t="str">
        <f ca="1">IFERROR(IF(VLOOKUP(C3969,' Disaggregation - Section E '!A$618:T2093,20,0)=0,"",VLOOKUP(C3969,' Disaggregation - Section E '!A$618:T2093,20,0)),"")</f>
        <v/>
      </c>
      <c r="N3969" s="503" t="str">
        <f ca="1">IFERROR(IF(VLOOKUP(C3969,' Disaggregation - Section E '!A$618:N2093,14,0)=0,"",VLOOKUP(C3969,' Disaggregation - Section E '!A$618:N2093,14,0)),"")</f>
        <v/>
      </c>
      <c r="O3969" s="503" t="str">
        <f ca="1">IFERROR(IF(VLOOKUP(C3969,' Disaggregation - Section E '!A$618:N2093,9,0)=0,"",VLOOKUP(C3969,' Disaggregation - Section E '!A$618:N2093,9,0)),"")</f>
        <v/>
      </c>
      <c r="P3969" s="503" t="str">
        <f ca="1">IFERROR(IF(VLOOKUP(C3969,' Disaggregation - Section E '!A$618:N2093,10,0)=0,"",VLOOKUP(C3969,' Disaggregation - Section E '!A$618:N2093,10,0)),"")</f>
        <v/>
      </c>
    </row>
    <row r="3970" spans="1:16" x14ac:dyDescent="0.35">
      <c r="A3970" s="497" t="b">
        <f t="shared" ca="1" si="230"/>
        <v>0</v>
      </c>
      <c r="B3970" s="497"/>
      <c r="C3970" s="510" t="str">
        <f ca="1">IF(COUNTA(D$2498:D3970)=1,"",OFFSET(B3968,-COUNTA(D$2498:D3970)+3,1))</f>
        <v>a163p000004NtXMAA0</v>
      </c>
      <c r="D3970" s="512"/>
      <c r="E3970" s="500" t="str">
        <f ca="1">IFERROR(IF(VLOOKUP(C3970,' Disaggregation - Section E '!A$618:N2094,7,0)="","",VLOOKUP(C3970,' Disaggregation - Section E '!A$618:N2094,7,0)*100),"")</f>
        <v/>
      </c>
      <c r="F3970" s="503" t="str">
        <f ca="1">IFERROR(VLOOKUP(C3970,' Disaggregation - Section E '!A$618:N2094,5,0),"")</f>
        <v/>
      </c>
      <c r="G3970" s="502" t="str">
        <f ca="1">IFERROR(IF(VLOOKUP(C3970,' Disaggregation - Section E '!A$618:N2094,6,0)="","",VLOOKUP(C3970,' Disaggregation - Section E '!A$618:N2094,6,0)),"")</f>
        <v/>
      </c>
      <c r="H3970" s="512" t="str">
        <f ca="1">IFERROR(IF(INDEX(' Disaggregation - Section E '!F$618:F3291,MATCH(C3970,' Disaggregation - Section E '!A$618:A3291,0)+1,1)&lt;&gt;0,INDEX(' Disaggregation - Section E '!F$618:F$1820,MATCH(C3970,' Disaggregation - Section E '!A$618:A3291,0)+1,1),""),"")</f>
        <v/>
      </c>
      <c r="I3970" s="503" t="str">
        <f ca="1">IFERROR(IF(VLOOKUP(C3970,' Disaggregation - Section E '!A$618:N2094,8,0)=0,"",VLOOKUP(C3970,' Disaggregation - Section E '!A$618:N2094,8,0)),"")</f>
        <v/>
      </c>
      <c r="J3970" s="503" t="str">
        <f ca="1">IFERROR(IF(VLOOKUP(C3970,' Disaggregation - Section E '!A$618:N3291,13,0)=0,"",VLOOKUP(C3970,' Disaggregation - Section E '!A$618:N3291,13,0)),"")</f>
        <v/>
      </c>
      <c r="K3970" s="497" t="str">
        <f ca="1">IFERROR(VLOOKUP(C3970,' Disaggregation - Section E '!A$618:N2094,3,0),"")</f>
        <v>KP-6b Porcentaje de personas transgénero elegibles que iniciaron PrEP durante el período de reporte</v>
      </c>
      <c r="L3970" s="497"/>
      <c r="M3970" s="497" t="str">
        <f ca="1">IFERROR(IF(VLOOKUP(C3970,' Disaggregation - Section E '!A$618:T2094,20,0)=0,"",VLOOKUP(C3970,' Disaggregation - Section E '!A$618:T2094,20,0)),"")</f>
        <v/>
      </c>
      <c r="N3970" s="503" t="str">
        <f ca="1">IFERROR(IF(VLOOKUP(C3970,' Disaggregation - Section E '!A$618:N2094,14,0)=0,"",VLOOKUP(C3970,' Disaggregation - Section E '!A$618:N2094,14,0)),"")</f>
        <v/>
      </c>
      <c r="O3970" s="503" t="str">
        <f ca="1">IFERROR(IF(VLOOKUP(C3970,' Disaggregation - Section E '!A$618:N2094,9,0)=0,"",VLOOKUP(C3970,' Disaggregation - Section E '!A$618:N2094,9,0)),"")</f>
        <v/>
      </c>
      <c r="P3970" s="503" t="str">
        <f ca="1">IFERROR(IF(VLOOKUP(C3970,' Disaggregation - Section E '!A$618:N2094,10,0)=0,"",VLOOKUP(C3970,' Disaggregation - Section E '!A$618:N2094,10,0)),"")</f>
        <v/>
      </c>
    </row>
    <row r="3971" spans="1:16" x14ac:dyDescent="0.35">
      <c r="A3971" s="497" t="b">
        <f t="shared" ca="1" si="230"/>
        <v>0</v>
      </c>
      <c r="B3971" s="497"/>
      <c r="C3971" s="510" t="str">
        <f ca="1">IF(COUNTA(D$2498:D3971)=1,"",OFFSET(B3969,-COUNTA(D$2498:D3971)+3,1))</f>
        <v>a163p000004NtXNAA0</v>
      </c>
      <c r="D3971" s="512"/>
      <c r="E3971" s="500" t="str">
        <f ca="1">IFERROR(IF(VLOOKUP(C3971,' Disaggregation - Section E '!A$618:N2095,7,0)="","",VLOOKUP(C3971,' Disaggregation - Section E '!A$618:N2095,7,0)*100),"")</f>
        <v/>
      </c>
      <c r="F3971" s="503" t="str">
        <f ca="1">IFERROR(VLOOKUP(C3971,' Disaggregation - Section E '!A$618:N2095,5,0),"")</f>
        <v/>
      </c>
      <c r="G3971" s="502" t="str">
        <f ca="1">IFERROR(IF(VLOOKUP(C3971,' Disaggregation - Section E '!A$618:N2095,6,0)="","",VLOOKUP(C3971,' Disaggregation - Section E '!A$618:N2095,6,0)),"")</f>
        <v/>
      </c>
      <c r="H3971" s="512" t="str">
        <f ca="1">IFERROR(IF(INDEX(' Disaggregation - Section E '!F$618:F3292,MATCH(C3971,' Disaggregation - Section E '!A$618:A3292,0)+1,1)&lt;&gt;0,INDEX(' Disaggregation - Section E '!F$618:F$1820,MATCH(C3971,' Disaggregation - Section E '!A$618:A3292,0)+1,1),""),"")</f>
        <v/>
      </c>
      <c r="I3971" s="503" t="str">
        <f ca="1">IFERROR(IF(VLOOKUP(C3971,' Disaggregation - Section E '!A$618:N2095,8,0)=0,"",VLOOKUP(C3971,' Disaggregation - Section E '!A$618:N2095,8,0)),"")</f>
        <v/>
      </c>
      <c r="J3971" s="503" t="str">
        <f ca="1">IFERROR(IF(VLOOKUP(C3971,' Disaggregation - Section E '!A$618:N3292,13,0)=0,"",VLOOKUP(C3971,' Disaggregation - Section E '!A$618:N3292,13,0)),"")</f>
        <v/>
      </c>
      <c r="K3971" s="497" t="str">
        <f ca="1">IFERROR(VLOOKUP(C3971,' Disaggregation - Section E '!A$618:N2095,3,0),"")</f>
        <v>KP-6b Porcentaje de personas transgénero elegibles que iniciaron PrEP durante el período de reporte</v>
      </c>
      <c r="L3971" s="497"/>
      <c r="M3971" s="497" t="str">
        <f ca="1">IFERROR(IF(VLOOKUP(C3971,' Disaggregation - Section E '!A$618:T2095,20,0)=0,"",VLOOKUP(C3971,' Disaggregation - Section E '!A$618:T2095,20,0)),"")</f>
        <v/>
      </c>
      <c r="N3971" s="503" t="str">
        <f ca="1">IFERROR(IF(VLOOKUP(C3971,' Disaggregation - Section E '!A$618:N2095,14,0)=0,"",VLOOKUP(C3971,' Disaggregation - Section E '!A$618:N2095,14,0)),"")</f>
        <v/>
      </c>
      <c r="O3971" s="503" t="str">
        <f ca="1">IFERROR(IF(VLOOKUP(C3971,' Disaggregation - Section E '!A$618:N2095,9,0)=0,"",VLOOKUP(C3971,' Disaggregation - Section E '!A$618:N2095,9,0)),"")</f>
        <v/>
      </c>
      <c r="P3971" s="503" t="str">
        <f ca="1">IFERROR(IF(VLOOKUP(C3971,' Disaggregation - Section E '!A$618:N2095,10,0)=0,"",VLOOKUP(C3971,' Disaggregation - Section E '!A$618:N2095,10,0)),"")</f>
        <v/>
      </c>
    </row>
    <row r="3972" spans="1:16" x14ac:dyDescent="0.35">
      <c r="A3972" s="497" t="b">
        <f t="shared" ca="1" si="230"/>
        <v>0</v>
      </c>
      <c r="B3972" s="497"/>
      <c r="C3972" s="510" t="str">
        <f ca="1">IF(COUNTA(D$2498:D3972)=1,"",OFFSET(B3970,-COUNTA(D$2498:D3972)+3,1))</f>
        <v>a163p000004NtXOAA0</v>
      </c>
      <c r="D3972" s="512"/>
      <c r="E3972" s="500" t="str">
        <f ca="1">IFERROR(IF(VLOOKUP(C3972,' Disaggregation - Section E '!A$618:N2096,7,0)="","",VLOOKUP(C3972,' Disaggregation - Section E '!A$618:N2096,7,0)*100),"")</f>
        <v/>
      </c>
      <c r="F3972" s="503" t="str">
        <f ca="1">IFERROR(VLOOKUP(C3972,' Disaggregation - Section E '!A$618:N2096,5,0),"")</f>
        <v/>
      </c>
      <c r="G3972" s="502" t="str">
        <f ca="1">IFERROR(IF(VLOOKUP(C3972,' Disaggregation - Section E '!A$618:N2096,6,0)="","",VLOOKUP(C3972,' Disaggregation - Section E '!A$618:N2096,6,0)),"")</f>
        <v/>
      </c>
      <c r="H3972" s="512" t="str">
        <f ca="1">IFERROR(IF(INDEX(' Disaggregation - Section E '!F$618:F3293,MATCH(C3972,' Disaggregation - Section E '!A$618:A3293,0)+1,1)&lt;&gt;0,INDEX(' Disaggregation - Section E '!F$618:F$1820,MATCH(C3972,' Disaggregation - Section E '!A$618:A3293,0)+1,1),""),"")</f>
        <v/>
      </c>
      <c r="I3972" s="503" t="str">
        <f ca="1">IFERROR(IF(VLOOKUP(C3972,' Disaggregation - Section E '!A$618:N2096,8,0)=0,"",VLOOKUP(C3972,' Disaggregation - Section E '!A$618:N2096,8,0)),"")</f>
        <v/>
      </c>
      <c r="J3972" s="503" t="str">
        <f ca="1">IFERROR(IF(VLOOKUP(C3972,' Disaggregation - Section E '!A$618:N3293,13,0)=0,"",VLOOKUP(C3972,' Disaggregation - Section E '!A$618:N3293,13,0)),"")</f>
        <v/>
      </c>
      <c r="K3972" s="497" t="str">
        <f ca="1">IFERROR(VLOOKUP(C3972,' Disaggregation - Section E '!A$618:N2096,3,0),"")</f>
        <v>KP-6b Porcentaje de personas transgénero elegibles que iniciaron PrEP durante el período de reporte</v>
      </c>
      <c r="L3972" s="497"/>
      <c r="M3972" s="497" t="str">
        <f ca="1">IFERROR(IF(VLOOKUP(C3972,' Disaggregation - Section E '!A$618:T2096,20,0)=0,"",VLOOKUP(C3972,' Disaggregation - Section E '!A$618:T2096,20,0)),"")</f>
        <v/>
      </c>
      <c r="N3972" s="503" t="str">
        <f ca="1">IFERROR(IF(VLOOKUP(C3972,' Disaggregation - Section E '!A$618:N2096,14,0)=0,"",VLOOKUP(C3972,' Disaggregation - Section E '!A$618:N2096,14,0)),"")</f>
        <v/>
      </c>
      <c r="O3972" s="503" t="str">
        <f ca="1">IFERROR(IF(VLOOKUP(C3972,' Disaggregation - Section E '!A$618:N2096,9,0)=0,"",VLOOKUP(C3972,' Disaggregation - Section E '!A$618:N2096,9,0)),"")</f>
        <v/>
      </c>
      <c r="P3972" s="503" t="str">
        <f ca="1">IFERROR(IF(VLOOKUP(C3972,' Disaggregation - Section E '!A$618:N2096,10,0)=0,"",VLOOKUP(C3972,' Disaggregation - Section E '!A$618:N2096,10,0)),"")</f>
        <v/>
      </c>
    </row>
    <row r="3973" spans="1:16" x14ac:dyDescent="0.35">
      <c r="A3973" s="497" t="b">
        <f t="shared" ca="1" si="230"/>
        <v>0</v>
      </c>
      <c r="B3973" s="497"/>
      <c r="C3973" s="510" t="str">
        <f ca="1">IF(COUNTA(D$2498:D3973)=1,"",OFFSET(B3971,-COUNTA(D$2498:D3973)+3,1))</f>
        <v>a163p000004NtXPAA0</v>
      </c>
      <c r="D3973" s="512"/>
      <c r="E3973" s="500" t="str">
        <f ca="1">IFERROR(IF(VLOOKUP(C3973,' Disaggregation - Section E '!A$618:N2097,7,0)="","",VLOOKUP(C3973,' Disaggregation - Section E '!A$618:N2097,7,0)*100),"")</f>
        <v/>
      </c>
      <c r="F3973" s="503" t="str">
        <f ca="1">IFERROR(VLOOKUP(C3973,' Disaggregation - Section E '!A$618:N2097,5,0),"")</f>
        <v/>
      </c>
      <c r="G3973" s="502" t="str">
        <f ca="1">IFERROR(IF(VLOOKUP(C3973,' Disaggregation - Section E '!A$618:N2097,6,0)="","",VLOOKUP(C3973,' Disaggregation - Section E '!A$618:N2097,6,0)),"")</f>
        <v/>
      </c>
      <c r="H3973" s="512" t="str">
        <f ca="1">IFERROR(IF(INDEX(' Disaggregation - Section E '!F$618:F3294,MATCH(C3973,' Disaggregation - Section E '!A$618:A3294,0)+1,1)&lt;&gt;0,INDEX(' Disaggregation - Section E '!F$618:F$1820,MATCH(C3973,' Disaggregation - Section E '!A$618:A3294,0)+1,1),""),"")</f>
        <v/>
      </c>
      <c r="I3973" s="503" t="str">
        <f ca="1">IFERROR(IF(VLOOKUP(C3973,' Disaggregation - Section E '!A$618:N2097,8,0)=0,"",VLOOKUP(C3973,' Disaggregation - Section E '!A$618:N2097,8,0)),"")</f>
        <v/>
      </c>
      <c r="J3973" s="503" t="str">
        <f ca="1">IFERROR(IF(VLOOKUP(C3973,' Disaggregation - Section E '!A$618:N3294,13,0)=0,"",VLOOKUP(C3973,' Disaggregation - Section E '!A$618:N3294,13,0)),"")</f>
        <v/>
      </c>
      <c r="K3973" s="497" t="str">
        <f ca="1">IFERROR(VLOOKUP(C3973,' Disaggregation - Section E '!A$618:N2097,3,0),"")</f>
        <v>KP-6b Porcentaje de personas transgénero elegibles que iniciaron PrEP durante el período de reporte</v>
      </c>
      <c r="L3973" s="497"/>
      <c r="M3973" s="497" t="str">
        <f ca="1">IFERROR(IF(VLOOKUP(C3973,' Disaggregation - Section E '!A$618:T2097,20,0)=0,"",VLOOKUP(C3973,' Disaggregation - Section E '!A$618:T2097,20,0)),"")</f>
        <v/>
      </c>
      <c r="N3973" s="503" t="str">
        <f ca="1">IFERROR(IF(VLOOKUP(C3973,' Disaggregation - Section E '!A$618:N2097,14,0)=0,"",VLOOKUP(C3973,' Disaggregation - Section E '!A$618:N2097,14,0)),"")</f>
        <v/>
      </c>
      <c r="O3973" s="503" t="str">
        <f ca="1">IFERROR(IF(VLOOKUP(C3973,' Disaggregation - Section E '!A$618:N2097,9,0)=0,"",VLOOKUP(C3973,' Disaggregation - Section E '!A$618:N2097,9,0)),"")</f>
        <v/>
      </c>
      <c r="P3973" s="503" t="str">
        <f ca="1">IFERROR(IF(VLOOKUP(C3973,' Disaggregation - Section E '!A$618:N2097,10,0)=0,"",VLOOKUP(C3973,' Disaggregation - Section E '!A$618:N2097,10,0)),"")</f>
        <v/>
      </c>
    </row>
    <row r="3974" spans="1:16" x14ac:dyDescent="0.35">
      <c r="A3974" s="497" t="b">
        <f t="shared" ca="1" si="230"/>
        <v>0</v>
      </c>
      <c r="B3974" s="497"/>
      <c r="C3974" s="510" t="str">
        <f ca="1">IF(COUNTA(D$2498:D3974)=1,"",OFFSET(B3972,-COUNTA(D$2498:D3974)+3,1))</f>
        <v>a163p000004NtXQAA0</v>
      </c>
      <c r="D3974" s="512"/>
      <c r="E3974" s="500" t="str">
        <f ca="1">IFERROR(IF(VLOOKUP(C3974,' Disaggregation - Section E '!A$618:N2098,7,0)="","",VLOOKUP(C3974,' Disaggregation - Section E '!A$618:N2098,7,0)*100),"")</f>
        <v/>
      </c>
      <c r="F3974" s="503" t="str">
        <f ca="1">IFERROR(VLOOKUP(C3974,' Disaggregation - Section E '!A$618:N2098,5,0),"")</f>
        <v/>
      </c>
      <c r="G3974" s="502" t="str">
        <f ca="1">IFERROR(IF(VLOOKUP(C3974,' Disaggregation - Section E '!A$618:N2098,6,0)="","",VLOOKUP(C3974,' Disaggregation - Section E '!A$618:N2098,6,0)),"")</f>
        <v/>
      </c>
      <c r="H3974" s="512" t="str">
        <f ca="1">IFERROR(IF(INDEX(' Disaggregation - Section E '!F$618:F3295,MATCH(C3974,' Disaggregation - Section E '!A$618:A3295,0)+1,1)&lt;&gt;0,INDEX(' Disaggregation - Section E '!F$618:F$1820,MATCH(C3974,' Disaggregation - Section E '!A$618:A3295,0)+1,1),""),"")</f>
        <v/>
      </c>
      <c r="I3974" s="503" t="str">
        <f ca="1">IFERROR(IF(VLOOKUP(C3974,' Disaggregation - Section E '!A$618:N2098,8,0)=0,"",VLOOKUP(C3974,' Disaggregation - Section E '!A$618:N2098,8,0)),"")</f>
        <v/>
      </c>
      <c r="J3974" s="503" t="str">
        <f ca="1">IFERROR(IF(VLOOKUP(C3974,' Disaggregation - Section E '!A$618:N3295,13,0)=0,"",VLOOKUP(C3974,' Disaggregation - Section E '!A$618:N3295,13,0)),"")</f>
        <v/>
      </c>
      <c r="K3974" s="497" t="str">
        <f ca="1">IFERROR(VLOOKUP(C3974,' Disaggregation - Section E '!A$618:N2098,3,0),"")</f>
        <v>KP-6b Porcentaje de personas transgénero elegibles que iniciaron PrEP durante el período de reporte</v>
      </c>
      <c r="L3974" s="497"/>
      <c r="M3974" s="497" t="str">
        <f ca="1">IFERROR(IF(VLOOKUP(C3974,' Disaggregation - Section E '!A$618:T2098,20,0)=0,"",VLOOKUP(C3974,' Disaggregation - Section E '!A$618:T2098,20,0)),"")</f>
        <v/>
      </c>
      <c r="N3974" s="503" t="str">
        <f ca="1">IFERROR(IF(VLOOKUP(C3974,' Disaggregation - Section E '!A$618:N2098,14,0)=0,"",VLOOKUP(C3974,' Disaggregation - Section E '!A$618:N2098,14,0)),"")</f>
        <v/>
      </c>
      <c r="O3974" s="503" t="str">
        <f ca="1">IFERROR(IF(VLOOKUP(C3974,' Disaggregation - Section E '!A$618:N2098,9,0)=0,"",VLOOKUP(C3974,' Disaggregation - Section E '!A$618:N2098,9,0)),"")</f>
        <v/>
      </c>
      <c r="P3974" s="503" t="str">
        <f ca="1">IFERROR(IF(VLOOKUP(C3974,' Disaggregation - Section E '!A$618:N2098,10,0)=0,"",VLOOKUP(C3974,' Disaggregation - Section E '!A$618:N2098,10,0)),"")</f>
        <v/>
      </c>
    </row>
    <row r="3975" spans="1:16" x14ac:dyDescent="0.35">
      <c r="A3975" s="497" t="b">
        <f t="shared" ca="1" si="230"/>
        <v>0</v>
      </c>
      <c r="B3975" s="497"/>
      <c r="C3975" s="510" t="str">
        <f ca="1">IF(COUNTA(D$2498:D3975)=1,"",OFFSET(B3973,-COUNTA(D$2498:D3975)+3,1))</f>
        <v>a163p000004NtXRAA0</v>
      </c>
      <c r="D3975" s="512"/>
      <c r="E3975" s="500" t="str">
        <f ca="1">IFERROR(IF(VLOOKUP(C3975,' Disaggregation - Section E '!A$618:N2099,7,0)="","",VLOOKUP(C3975,' Disaggregation - Section E '!A$618:N2099,7,0)*100),"")</f>
        <v/>
      </c>
      <c r="F3975" s="503" t="str">
        <f ca="1">IFERROR(VLOOKUP(C3975,' Disaggregation - Section E '!A$618:N2099,5,0),"")</f>
        <v/>
      </c>
      <c r="G3975" s="502" t="str">
        <f ca="1">IFERROR(IF(VLOOKUP(C3975,' Disaggregation - Section E '!A$618:N2099,6,0)="","",VLOOKUP(C3975,' Disaggregation - Section E '!A$618:N2099,6,0)),"")</f>
        <v/>
      </c>
      <c r="H3975" s="512" t="str">
        <f ca="1">IFERROR(IF(INDEX(' Disaggregation - Section E '!F$618:F3296,MATCH(C3975,' Disaggregation - Section E '!A$618:A3296,0)+1,1)&lt;&gt;0,INDEX(' Disaggregation - Section E '!F$618:F$1820,MATCH(C3975,' Disaggregation - Section E '!A$618:A3296,0)+1,1),""),"")</f>
        <v/>
      </c>
      <c r="I3975" s="503" t="str">
        <f ca="1">IFERROR(IF(VLOOKUP(C3975,' Disaggregation - Section E '!A$618:N2099,8,0)=0,"",VLOOKUP(C3975,' Disaggregation - Section E '!A$618:N2099,8,0)),"")</f>
        <v/>
      </c>
      <c r="J3975" s="503" t="str">
        <f ca="1">IFERROR(IF(VLOOKUP(C3975,' Disaggregation - Section E '!A$618:N3296,13,0)=0,"",VLOOKUP(C3975,' Disaggregation - Section E '!A$618:N3296,13,0)),"")</f>
        <v/>
      </c>
      <c r="K3975" s="497" t="str">
        <f ca="1">IFERROR(VLOOKUP(C3975,' Disaggregation - Section E '!A$618:N2099,3,0),"")</f>
        <v>KP-6b Porcentaje de personas transgénero elegibles que iniciaron PrEP durante el período de reporte</v>
      </c>
      <c r="L3975" s="497"/>
      <c r="M3975" s="497" t="str">
        <f ca="1">IFERROR(IF(VLOOKUP(C3975,' Disaggregation - Section E '!A$618:T2099,20,0)=0,"",VLOOKUP(C3975,' Disaggregation - Section E '!A$618:T2099,20,0)),"")</f>
        <v/>
      </c>
      <c r="N3975" s="503" t="str">
        <f ca="1">IFERROR(IF(VLOOKUP(C3975,' Disaggregation - Section E '!A$618:N2099,14,0)=0,"",VLOOKUP(C3975,' Disaggregation - Section E '!A$618:N2099,14,0)),"")</f>
        <v/>
      </c>
      <c r="O3975" s="503" t="str">
        <f ca="1">IFERROR(IF(VLOOKUP(C3975,' Disaggregation - Section E '!A$618:N2099,9,0)=0,"",VLOOKUP(C3975,' Disaggregation - Section E '!A$618:N2099,9,0)),"")</f>
        <v/>
      </c>
      <c r="P3975" s="503" t="str">
        <f ca="1">IFERROR(IF(VLOOKUP(C3975,' Disaggregation - Section E '!A$618:N2099,10,0)=0,"",VLOOKUP(C3975,' Disaggregation - Section E '!A$618:N2099,10,0)),"")</f>
        <v/>
      </c>
    </row>
    <row r="3976" spans="1:16" x14ac:dyDescent="0.35">
      <c r="A3976" s="497" t="b">
        <f t="shared" ca="1" si="230"/>
        <v>0</v>
      </c>
      <c r="B3976" s="497"/>
      <c r="C3976" s="510" t="str">
        <f ca="1">IF(COUNTA(D$2498:D3976)=1,"",OFFSET(B3974,-COUNTA(D$2498:D3976)+3,1))</f>
        <v>a163p000004NtXSAA0</v>
      </c>
      <c r="D3976" s="512"/>
      <c r="E3976" s="500" t="str">
        <f ca="1">IFERROR(IF(VLOOKUP(C3976,' Disaggregation - Section E '!A$618:N2100,7,0)="","",VLOOKUP(C3976,' Disaggregation - Section E '!A$618:N2100,7,0)*100),"")</f>
        <v/>
      </c>
      <c r="F3976" s="503" t="str">
        <f ca="1">IFERROR(VLOOKUP(C3976,' Disaggregation - Section E '!A$618:N2100,5,0),"")</f>
        <v/>
      </c>
      <c r="G3976" s="502" t="str">
        <f ca="1">IFERROR(IF(VLOOKUP(C3976,' Disaggregation - Section E '!A$618:N2100,6,0)="","",VLOOKUP(C3976,' Disaggregation - Section E '!A$618:N2100,6,0)),"")</f>
        <v/>
      </c>
      <c r="H3976" s="512" t="str">
        <f ca="1">IFERROR(IF(INDEX(' Disaggregation - Section E '!F$618:F3297,MATCH(C3976,' Disaggregation - Section E '!A$618:A3297,0)+1,1)&lt;&gt;0,INDEX(' Disaggregation - Section E '!F$618:F$1820,MATCH(C3976,' Disaggregation - Section E '!A$618:A3297,0)+1,1),""),"")</f>
        <v/>
      </c>
      <c r="I3976" s="503" t="str">
        <f ca="1">IFERROR(IF(VLOOKUP(C3976,' Disaggregation - Section E '!A$618:N2100,8,0)=0,"",VLOOKUP(C3976,' Disaggregation - Section E '!A$618:N2100,8,0)),"")</f>
        <v/>
      </c>
      <c r="J3976" s="503" t="str">
        <f ca="1">IFERROR(IF(VLOOKUP(C3976,' Disaggregation - Section E '!A$618:N3297,13,0)=0,"",VLOOKUP(C3976,' Disaggregation - Section E '!A$618:N3297,13,0)),"")</f>
        <v/>
      </c>
      <c r="K3976" s="497" t="str">
        <f ca="1">IFERROR(VLOOKUP(C3976,' Disaggregation - Section E '!A$618:N2100,3,0),"")</f>
        <v>KP-6b Porcentaje de personas transgénero elegibles que iniciaron PrEP durante el período de reporte</v>
      </c>
      <c r="L3976" s="497"/>
      <c r="M3976" s="497" t="str">
        <f ca="1">IFERROR(IF(VLOOKUP(C3976,' Disaggregation - Section E '!A$618:T2100,20,0)=0,"",VLOOKUP(C3976,' Disaggregation - Section E '!A$618:T2100,20,0)),"")</f>
        <v/>
      </c>
      <c r="N3976" s="503" t="str">
        <f ca="1">IFERROR(IF(VLOOKUP(C3976,' Disaggregation - Section E '!A$618:N2100,14,0)=0,"",VLOOKUP(C3976,' Disaggregation - Section E '!A$618:N2100,14,0)),"")</f>
        <v/>
      </c>
      <c r="O3976" s="503" t="str">
        <f ca="1">IFERROR(IF(VLOOKUP(C3976,' Disaggregation - Section E '!A$618:N2100,9,0)=0,"",VLOOKUP(C3976,' Disaggregation - Section E '!A$618:N2100,9,0)),"")</f>
        <v/>
      </c>
      <c r="P3976" s="503" t="str">
        <f ca="1">IFERROR(IF(VLOOKUP(C3976,' Disaggregation - Section E '!A$618:N2100,10,0)=0,"",VLOOKUP(C3976,' Disaggregation - Section E '!A$618:N2100,10,0)),"")</f>
        <v/>
      </c>
    </row>
    <row r="3977" spans="1:16" x14ac:dyDescent="0.35">
      <c r="A3977" s="497" t="b">
        <f t="shared" ca="1" si="230"/>
        <v>0</v>
      </c>
      <c r="B3977" s="497"/>
      <c r="C3977" s="510" t="str">
        <f ca="1">IF(COUNTA(D$2498:D3977)=1,"",OFFSET(B3975,-COUNTA(D$2498:D3977)+3,1))</f>
        <v>a163p000004NtXTAA0</v>
      </c>
      <c r="D3977" s="512"/>
      <c r="E3977" s="500" t="str">
        <f ca="1">IFERROR(IF(VLOOKUP(C3977,' Disaggregation - Section E '!A$618:N2101,7,0)="","",VLOOKUP(C3977,' Disaggregation - Section E '!A$618:N2101,7,0)*100),"")</f>
        <v/>
      </c>
      <c r="F3977" s="503" t="str">
        <f ca="1">IFERROR(VLOOKUP(C3977,' Disaggregation - Section E '!A$618:N2101,5,0),"")</f>
        <v/>
      </c>
      <c r="G3977" s="502" t="str">
        <f ca="1">IFERROR(IF(VLOOKUP(C3977,' Disaggregation - Section E '!A$618:N2101,6,0)="","",VLOOKUP(C3977,' Disaggregation - Section E '!A$618:N2101,6,0)),"")</f>
        <v/>
      </c>
      <c r="H3977" s="512" t="str">
        <f ca="1">IFERROR(IF(INDEX(' Disaggregation - Section E '!F$618:F3298,MATCH(C3977,' Disaggregation - Section E '!A$618:A3298,0)+1,1)&lt;&gt;0,INDEX(' Disaggregation - Section E '!F$618:F$1820,MATCH(C3977,' Disaggregation - Section E '!A$618:A3298,0)+1,1),""),"")</f>
        <v/>
      </c>
      <c r="I3977" s="503" t="str">
        <f ca="1">IFERROR(IF(VLOOKUP(C3977,' Disaggregation - Section E '!A$618:N2101,8,0)=0,"",VLOOKUP(C3977,' Disaggregation - Section E '!A$618:N2101,8,0)),"")</f>
        <v/>
      </c>
      <c r="J3977" s="503" t="str">
        <f ca="1">IFERROR(IF(VLOOKUP(C3977,' Disaggregation - Section E '!A$618:N3298,13,0)=0,"",VLOOKUP(C3977,' Disaggregation - Section E '!A$618:N3298,13,0)),"")</f>
        <v/>
      </c>
      <c r="K3977" s="497" t="str">
        <f ca="1">IFERROR(VLOOKUP(C3977,' Disaggregation - Section E '!A$618:N2101,3,0),"")</f>
        <v>KP-6b Porcentaje de personas transgénero elegibles que iniciaron PrEP durante el período de reporte</v>
      </c>
      <c r="L3977" s="497"/>
      <c r="M3977" s="497" t="str">
        <f ca="1">IFERROR(IF(VLOOKUP(C3977,' Disaggregation - Section E '!A$618:T2101,20,0)=0,"",VLOOKUP(C3977,' Disaggregation - Section E '!A$618:T2101,20,0)),"")</f>
        <v/>
      </c>
      <c r="N3977" s="503" t="str">
        <f ca="1">IFERROR(IF(VLOOKUP(C3977,' Disaggregation - Section E '!A$618:N2101,14,0)=0,"",VLOOKUP(C3977,' Disaggregation - Section E '!A$618:N2101,14,0)),"")</f>
        <v/>
      </c>
      <c r="O3977" s="503" t="str">
        <f ca="1">IFERROR(IF(VLOOKUP(C3977,' Disaggregation - Section E '!A$618:N2101,9,0)=0,"",VLOOKUP(C3977,' Disaggregation - Section E '!A$618:N2101,9,0)),"")</f>
        <v/>
      </c>
      <c r="P3977" s="503" t="str">
        <f ca="1">IFERROR(IF(VLOOKUP(C3977,' Disaggregation - Section E '!A$618:N2101,10,0)=0,"",VLOOKUP(C3977,' Disaggregation - Section E '!A$618:N2101,10,0)),"")</f>
        <v/>
      </c>
    </row>
    <row r="3978" spans="1:16" x14ac:dyDescent="0.35">
      <c r="A3978" s="497" t="b">
        <f t="shared" ca="1" si="230"/>
        <v>0</v>
      </c>
      <c r="B3978" s="497"/>
      <c r="C3978" s="510" t="str">
        <f ca="1">IF(COUNTA(D$2498:D3978)=1,"",OFFSET(B3976,-COUNTA(D$2498:D3978)+3,1))</f>
        <v>a163p000004NtXUAA0</v>
      </c>
      <c r="D3978" s="512"/>
      <c r="E3978" s="500" t="str">
        <f ca="1">IFERROR(IF(VLOOKUP(C3978,' Disaggregation - Section E '!A$618:N2102,7,0)="","",VLOOKUP(C3978,' Disaggregation - Section E '!A$618:N2102,7,0)*100),"")</f>
        <v/>
      </c>
      <c r="F3978" s="503" t="str">
        <f ca="1">IFERROR(VLOOKUP(C3978,' Disaggregation - Section E '!A$618:N2102,5,0),"")</f>
        <v/>
      </c>
      <c r="G3978" s="502" t="str">
        <f ca="1">IFERROR(IF(VLOOKUP(C3978,' Disaggregation - Section E '!A$618:N2102,6,0)="","",VLOOKUP(C3978,' Disaggregation - Section E '!A$618:N2102,6,0)),"")</f>
        <v/>
      </c>
      <c r="H3978" s="512" t="str">
        <f ca="1">IFERROR(IF(INDEX(' Disaggregation - Section E '!F$618:F3299,MATCH(C3978,' Disaggregation - Section E '!A$618:A3299,0)+1,1)&lt;&gt;0,INDEX(' Disaggregation - Section E '!F$618:F$1820,MATCH(C3978,' Disaggregation - Section E '!A$618:A3299,0)+1,1),""),"")</f>
        <v/>
      </c>
      <c r="I3978" s="503" t="str">
        <f ca="1">IFERROR(IF(VLOOKUP(C3978,' Disaggregation - Section E '!A$618:N2102,8,0)=0,"",VLOOKUP(C3978,' Disaggregation - Section E '!A$618:N2102,8,0)),"")</f>
        <v/>
      </c>
      <c r="J3978" s="503" t="str">
        <f ca="1">IFERROR(IF(VLOOKUP(C3978,' Disaggregation - Section E '!A$618:N3299,13,0)=0,"",VLOOKUP(C3978,' Disaggregation - Section E '!A$618:N3299,13,0)),"")</f>
        <v/>
      </c>
      <c r="K3978" s="497" t="str">
        <f ca="1">IFERROR(VLOOKUP(C3978,' Disaggregation - Section E '!A$618:N2102,3,0),"")</f>
        <v>KP-6b Porcentaje de personas transgénero elegibles que iniciaron PrEP durante el período de reporte</v>
      </c>
      <c r="L3978" s="497"/>
      <c r="M3978" s="497" t="str">
        <f ca="1">IFERROR(IF(VLOOKUP(C3978,' Disaggregation - Section E '!A$618:T2102,20,0)=0,"",VLOOKUP(C3978,' Disaggregation - Section E '!A$618:T2102,20,0)),"")</f>
        <v/>
      </c>
      <c r="N3978" s="503" t="str">
        <f ca="1">IFERROR(IF(VLOOKUP(C3978,' Disaggregation - Section E '!A$618:N2102,14,0)=0,"",VLOOKUP(C3978,' Disaggregation - Section E '!A$618:N2102,14,0)),"")</f>
        <v/>
      </c>
      <c r="O3978" s="503" t="str">
        <f ca="1">IFERROR(IF(VLOOKUP(C3978,' Disaggregation - Section E '!A$618:N2102,9,0)=0,"",VLOOKUP(C3978,' Disaggregation - Section E '!A$618:N2102,9,0)),"")</f>
        <v/>
      </c>
      <c r="P3978" s="503" t="str">
        <f ca="1">IFERROR(IF(VLOOKUP(C3978,' Disaggregation - Section E '!A$618:N2102,10,0)=0,"",VLOOKUP(C3978,' Disaggregation - Section E '!A$618:N2102,10,0)),"")</f>
        <v/>
      </c>
    </row>
    <row r="3979" spans="1:16" x14ac:dyDescent="0.35">
      <c r="A3979" s="497" t="b">
        <f t="shared" ca="1" si="230"/>
        <v>0</v>
      </c>
      <c r="B3979" s="497"/>
      <c r="C3979" s="510" t="str">
        <f ca="1">IF(COUNTA(D$2498:D3979)=1,"",OFFSET(B3977,-COUNTA(D$2498:D3979)+3,1))</f>
        <v>a163p000004NtXVAA0</v>
      </c>
      <c r="D3979" s="512"/>
      <c r="E3979" s="500" t="str">
        <f ca="1">IFERROR(IF(VLOOKUP(C3979,' Disaggregation - Section E '!A$618:N2103,7,0)="","",VLOOKUP(C3979,' Disaggregation - Section E '!A$618:N2103,7,0)*100),"")</f>
        <v/>
      </c>
      <c r="F3979" s="503" t="str">
        <f ca="1">IFERROR(VLOOKUP(C3979,' Disaggregation - Section E '!A$618:N2103,5,0),"")</f>
        <v/>
      </c>
      <c r="G3979" s="502" t="str">
        <f ca="1">IFERROR(IF(VLOOKUP(C3979,' Disaggregation - Section E '!A$618:N2103,6,0)="","",VLOOKUP(C3979,' Disaggregation - Section E '!A$618:N2103,6,0)),"")</f>
        <v/>
      </c>
      <c r="H3979" s="512" t="str">
        <f ca="1">IFERROR(IF(INDEX(' Disaggregation - Section E '!F$618:F3300,MATCH(C3979,' Disaggregation - Section E '!A$618:A3300,0)+1,1)&lt;&gt;0,INDEX(' Disaggregation - Section E '!F$618:F$1820,MATCH(C3979,' Disaggregation - Section E '!A$618:A3300,0)+1,1),""),"")</f>
        <v/>
      </c>
      <c r="I3979" s="503" t="str">
        <f ca="1">IFERROR(IF(VLOOKUP(C3979,' Disaggregation - Section E '!A$618:N2103,8,0)=0,"",VLOOKUP(C3979,' Disaggregation - Section E '!A$618:N2103,8,0)),"")</f>
        <v/>
      </c>
      <c r="J3979" s="503" t="str">
        <f ca="1">IFERROR(IF(VLOOKUP(C3979,' Disaggregation - Section E '!A$618:N3300,13,0)=0,"",VLOOKUP(C3979,' Disaggregation - Section E '!A$618:N3300,13,0)),"")</f>
        <v/>
      </c>
      <c r="K3979" s="497" t="str">
        <f ca="1">IFERROR(VLOOKUP(C3979,' Disaggregation - Section E '!A$618:N2103,3,0),"")</f>
        <v>KP-6b Porcentaje de personas transgénero elegibles que iniciaron PrEP durante el período de reporte</v>
      </c>
      <c r="L3979" s="497"/>
      <c r="M3979" s="497" t="str">
        <f ca="1">IFERROR(IF(VLOOKUP(C3979,' Disaggregation - Section E '!A$618:T2103,20,0)=0,"",VLOOKUP(C3979,' Disaggregation - Section E '!A$618:T2103,20,0)),"")</f>
        <v/>
      </c>
      <c r="N3979" s="503" t="str">
        <f ca="1">IFERROR(IF(VLOOKUP(C3979,' Disaggregation - Section E '!A$618:N2103,14,0)=0,"",VLOOKUP(C3979,' Disaggregation - Section E '!A$618:N2103,14,0)),"")</f>
        <v/>
      </c>
      <c r="O3979" s="503" t="str">
        <f ca="1">IFERROR(IF(VLOOKUP(C3979,' Disaggregation - Section E '!A$618:N2103,9,0)=0,"",VLOOKUP(C3979,' Disaggregation - Section E '!A$618:N2103,9,0)),"")</f>
        <v/>
      </c>
      <c r="P3979" s="503" t="str">
        <f ca="1">IFERROR(IF(VLOOKUP(C3979,' Disaggregation - Section E '!A$618:N2103,10,0)=0,"",VLOOKUP(C3979,' Disaggregation - Section E '!A$618:N2103,10,0)),"")</f>
        <v/>
      </c>
    </row>
    <row r="3980" spans="1:16" x14ac:dyDescent="0.35">
      <c r="A3980" s="497" t="b">
        <f t="shared" ca="1" si="230"/>
        <v>1</v>
      </c>
      <c r="B3980" s="497"/>
      <c r="C3980" s="510" t="str">
        <f ca="1">IF(COUNTA(D$2498:D3980)=1,"",OFFSET(B3978,-COUNTA(D$2498:D3980)+3,1))</f>
        <v>a163p000004NtNqAAK</v>
      </c>
      <c r="D3980" s="512"/>
      <c r="E3980" s="500" t="str">
        <f ca="1">IFERROR(IF(VLOOKUP(C3980,' Disaggregation - Section E '!A$618:N2104,7,0)="","",VLOOKUP(C3980,' Disaggregation - Section E '!A$618:N2104,7,0)*100),"")</f>
        <v/>
      </c>
      <c r="F3980" s="503" t="str">
        <f ca="1">IFERROR(VLOOKUP(C3980,' Disaggregation - Section E '!A$618:N2104,5,0),"")</f>
        <v>Reclusos</v>
      </c>
      <c r="G3980" s="502" t="str">
        <f ca="1">IFERROR(IF(VLOOKUP(C3980,' Disaggregation - Section E '!A$618:N2104,6,0)="","",VLOOKUP(C3980,' Disaggregation - Section E '!A$618:N2104,6,0)),"")</f>
        <v/>
      </c>
      <c r="H3980" s="512" t="str">
        <f ca="1">IFERROR(IF(INDEX(' Disaggregation - Section E '!F$618:F3301,MATCH(C3980,' Disaggregation - Section E '!A$618:A3301,0)+1,1)&lt;&gt;0,INDEX(' Disaggregation - Section E '!F$618:F$1820,MATCH(C3980,' Disaggregation - Section E '!A$618:A3301,0)+1,1),""),"")</f>
        <v/>
      </c>
      <c r="I3980" s="503" t="str">
        <f ca="1">IFERROR(IF(VLOOKUP(C3980,' Disaggregation - Section E '!A$618:N2104,8,0)=0,"",VLOOKUP(C3980,' Disaggregation - Section E '!A$618:N2104,8,0)),"")</f>
        <v/>
      </c>
      <c r="J3980" s="503" t="str">
        <f ca="1">IFERROR(IF(VLOOKUP(C3980,' Disaggregation - Section E '!A$618:N3301,13,0)=0,"",VLOOKUP(C3980,' Disaggregation - Section E '!A$618:N3301,13,0)),"")</f>
        <v/>
      </c>
      <c r="K3980" s="497" t="str">
        <f ca="1">IFERROR(VLOOKUP(C3980,' Disaggregation - Section E '!A$618:N2104,3,0),"")</f>
        <v>HTS-5 Porcentaje de personas con diagnóstico nuevo de VIH que han iniciado terapia antirretroviral</v>
      </c>
      <c r="L3980" s="497"/>
      <c r="M3980" s="497" t="str">
        <f ca="1">IFERROR(IF(VLOOKUP(C3980,' Disaggregation - Section E '!A$618:T2104,20,0)=0,"",VLOOKUP(C3980,' Disaggregation - Section E '!A$618:T2104,20,0)),"")</f>
        <v>IDR-00976</v>
      </c>
      <c r="N3980" s="503" t="str">
        <f ca="1">IFERROR(IF(VLOOKUP(C3980,' Disaggregation - Section E '!A$618:N2104,14,0)=0,"",VLOOKUP(C3980,' Disaggregation - Section E '!A$618:N2104,14,0)),"")</f>
        <v/>
      </c>
      <c r="O3980" s="503" t="str">
        <f ca="1">IFERROR(IF(VLOOKUP(C3980,' Disaggregation - Section E '!A$618:N2104,9,0)=0,"",VLOOKUP(C3980,' Disaggregation - Section E '!A$618:N2104,9,0)),"")</f>
        <v/>
      </c>
      <c r="P3980" s="503" t="str">
        <f ca="1">IFERROR(IF(VLOOKUP(C3980,' Disaggregation - Section E '!A$618:N2104,10,0)=0,"",VLOOKUP(C3980,' Disaggregation - Section E '!A$618:N2104,10,0)),"")</f>
        <v/>
      </c>
    </row>
    <row r="3981" spans="1:16" x14ac:dyDescent="0.35">
      <c r="A3981" s="497" t="b">
        <f t="shared" ca="1" si="230"/>
        <v>1</v>
      </c>
      <c r="B3981" s="497"/>
      <c r="C3981" s="510" t="str">
        <f ca="1">IF(COUNTA(D$2498:D3981)=1,"",OFFSET(B3979,-COUNTA(D$2498:D3981)+3,1))</f>
        <v>a163p000004NtNrAAK</v>
      </c>
      <c r="D3981" s="512"/>
      <c r="E3981" s="500" t="str">
        <f ca="1">IFERROR(IF(VLOOKUP(C3981,' Disaggregation - Section E '!A$618:N2105,7,0)="","",VLOOKUP(C3981,' Disaggregation - Section E '!A$618:N2105,7,0)*100),"")</f>
        <v/>
      </c>
      <c r="F3981" s="503" t="str">
        <f ca="1">IFERROR(VLOOKUP(C3981,' Disaggregation - Section E '!A$618:N2105,5,0),"")</f>
        <v>PWID</v>
      </c>
      <c r="G3981" s="502" t="str">
        <f ca="1">IFERROR(IF(VLOOKUP(C3981,' Disaggregation - Section E '!A$618:N2105,6,0)="","",VLOOKUP(C3981,' Disaggregation - Section E '!A$618:N2105,6,0)),"")</f>
        <v/>
      </c>
      <c r="H3981" s="512" t="str">
        <f ca="1">IFERROR(IF(INDEX(' Disaggregation - Section E '!F$618:F3302,MATCH(C3981,' Disaggregation - Section E '!A$618:A3302,0)+1,1)&lt;&gt;0,INDEX(' Disaggregation - Section E '!F$618:F$1820,MATCH(C3981,' Disaggregation - Section E '!A$618:A3302,0)+1,1),""),"")</f>
        <v/>
      </c>
      <c r="I3981" s="503" t="str">
        <f ca="1">IFERROR(IF(VLOOKUP(C3981,' Disaggregation - Section E '!A$618:N2105,8,0)=0,"",VLOOKUP(C3981,' Disaggregation - Section E '!A$618:N2105,8,0)),"")</f>
        <v/>
      </c>
      <c r="J3981" s="503" t="str">
        <f ca="1">IFERROR(IF(VLOOKUP(C3981,' Disaggregation - Section E '!A$618:N3302,13,0)=0,"",VLOOKUP(C3981,' Disaggregation - Section E '!A$618:N3302,13,0)),"")</f>
        <v/>
      </c>
      <c r="K3981" s="497" t="str">
        <f ca="1">IFERROR(VLOOKUP(C3981,' Disaggregation - Section E '!A$618:N2105,3,0),"")</f>
        <v>HTS-5 Porcentaje de personas con diagnóstico nuevo de VIH que han iniciado terapia antirretroviral</v>
      </c>
      <c r="L3981" s="497"/>
      <c r="M3981" s="497" t="str">
        <f ca="1">IFERROR(IF(VLOOKUP(C3981,' Disaggregation - Section E '!A$618:T2105,20,0)=0,"",VLOOKUP(C3981,' Disaggregation - Section E '!A$618:T2105,20,0)),"")</f>
        <v>IDR-00975</v>
      </c>
      <c r="N3981" s="503" t="str">
        <f ca="1">IFERROR(IF(VLOOKUP(C3981,' Disaggregation - Section E '!A$618:N2105,14,0)=0,"",VLOOKUP(C3981,' Disaggregation - Section E '!A$618:N2105,14,0)),"")</f>
        <v/>
      </c>
      <c r="O3981" s="503" t="str">
        <f ca="1">IFERROR(IF(VLOOKUP(C3981,' Disaggregation - Section E '!A$618:N2105,9,0)=0,"",VLOOKUP(C3981,' Disaggregation - Section E '!A$618:N2105,9,0)),"")</f>
        <v/>
      </c>
      <c r="P3981" s="503" t="str">
        <f ca="1">IFERROR(IF(VLOOKUP(C3981,' Disaggregation - Section E '!A$618:N2105,10,0)=0,"",VLOOKUP(C3981,' Disaggregation - Section E '!A$618:N2105,10,0)),"")</f>
        <v/>
      </c>
    </row>
    <row r="3982" spans="1:16" x14ac:dyDescent="0.35">
      <c r="A3982" s="497" t="b">
        <f t="shared" ca="1" si="230"/>
        <v>1</v>
      </c>
      <c r="B3982" s="497"/>
      <c r="C3982" s="510" t="str">
        <f ca="1">IF(COUNTA(D$2498:D3982)=1,"",OFFSET(B3980,-COUNTA(D$2498:D3982)+3,1))</f>
        <v>a163p000004NtNsAAK</v>
      </c>
      <c r="D3982" s="512"/>
      <c r="E3982" s="500" t="str">
        <f ca="1">IFERROR(IF(VLOOKUP(C3982,' Disaggregation - Section E '!A$618:N2106,7,0)="","",VLOOKUP(C3982,' Disaggregation - Section E '!A$618:N2106,7,0)*100),"")</f>
        <v/>
      </c>
      <c r="F3982" s="503" t="str">
        <f ca="1">IFERROR(VLOOKUP(C3982,' Disaggregation - Section E '!A$618:N2106,5,0),"")</f>
        <v>Trabajadores sexuales</v>
      </c>
      <c r="G3982" s="502" t="str">
        <f ca="1">IFERROR(IF(VLOOKUP(C3982,' Disaggregation - Section E '!A$618:N2106,6,0)="","",VLOOKUP(C3982,' Disaggregation - Section E '!A$618:N2106,6,0)),"")</f>
        <v/>
      </c>
      <c r="H3982" s="512" t="str">
        <f ca="1">IFERROR(IF(INDEX(' Disaggregation - Section E '!F$618:F3303,MATCH(C3982,' Disaggregation - Section E '!A$618:A3303,0)+1,1)&lt;&gt;0,INDEX(' Disaggregation - Section E '!F$618:F$1820,MATCH(C3982,' Disaggregation - Section E '!A$618:A3303,0)+1,1),""),"")</f>
        <v/>
      </c>
      <c r="I3982" s="503" t="str">
        <f ca="1">IFERROR(IF(VLOOKUP(C3982,' Disaggregation - Section E '!A$618:N2106,8,0)=0,"",VLOOKUP(C3982,' Disaggregation - Section E '!A$618:N2106,8,0)),"")</f>
        <v/>
      </c>
      <c r="J3982" s="503" t="str">
        <f ca="1">IFERROR(IF(VLOOKUP(C3982,' Disaggregation - Section E '!A$618:N3303,13,0)=0,"",VLOOKUP(C3982,' Disaggregation - Section E '!A$618:N3303,13,0)),"")</f>
        <v/>
      </c>
      <c r="K3982" s="497" t="str">
        <f ca="1">IFERROR(VLOOKUP(C3982,' Disaggregation - Section E '!A$618:N2106,3,0),"")</f>
        <v>HTS-5 Porcentaje de personas con diagnóstico nuevo de VIH que han iniciado terapia antirretroviral</v>
      </c>
      <c r="L3982" s="497"/>
      <c r="M3982" s="497" t="str">
        <f ca="1">IFERROR(IF(VLOOKUP(C3982,' Disaggregation - Section E '!A$618:T2106,20,0)=0,"",VLOOKUP(C3982,' Disaggregation - Section E '!A$618:T2106,20,0)),"")</f>
        <v>IDR-00974</v>
      </c>
      <c r="N3982" s="503" t="str">
        <f ca="1">IFERROR(IF(VLOOKUP(C3982,' Disaggregation - Section E '!A$618:N2106,14,0)=0,"",VLOOKUP(C3982,' Disaggregation - Section E '!A$618:N2106,14,0)),"")</f>
        <v/>
      </c>
      <c r="O3982" s="503" t="str">
        <f ca="1">IFERROR(IF(VLOOKUP(C3982,' Disaggregation - Section E '!A$618:N2106,9,0)=0,"",VLOOKUP(C3982,' Disaggregation - Section E '!A$618:N2106,9,0)),"")</f>
        <v/>
      </c>
      <c r="P3982" s="503" t="str">
        <f ca="1">IFERROR(IF(VLOOKUP(C3982,' Disaggregation - Section E '!A$618:N2106,10,0)=0,"",VLOOKUP(C3982,' Disaggregation - Section E '!A$618:N2106,10,0)),"")</f>
        <v/>
      </c>
    </row>
    <row r="3983" spans="1:16" x14ac:dyDescent="0.35">
      <c r="A3983" s="497" t="b">
        <f t="shared" ca="1" si="230"/>
        <v>1</v>
      </c>
      <c r="B3983" s="497"/>
      <c r="C3983" s="510" t="str">
        <f ca="1">IF(COUNTA(D$2498:D3983)=1,"",OFFSET(B3981,-COUNTA(D$2498:D3983)+3,1))</f>
        <v>a163p000004NtNtAAK</v>
      </c>
      <c r="D3983" s="512"/>
      <c r="E3983" s="500" t="str">
        <f ca="1">IFERROR(IF(VLOOKUP(C3983,' Disaggregation - Section E '!A$618:N2107,7,0)="","",VLOOKUP(C3983,' Disaggregation - Section E '!A$618:N2107,7,0)*100),"")</f>
        <v/>
      </c>
      <c r="F3983" s="503" t="str">
        <f ca="1">IFERROR(VLOOKUP(C3983,' Disaggregation - Section E '!A$618:N2107,5,0),"")</f>
        <v>HSH</v>
      </c>
      <c r="G3983" s="502" t="str">
        <f ca="1">IFERROR(IF(VLOOKUP(C3983,' Disaggregation - Section E '!A$618:N2107,6,0)="","",VLOOKUP(C3983,' Disaggregation - Section E '!A$618:N2107,6,0)),"")</f>
        <v/>
      </c>
      <c r="H3983" s="512" t="str">
        <f ca="1">IFERROR(IF(INDEX(' Disaggregation - Section E '!F$618:F3304,MATCH(C3983,' Disaggregation - Section E '!A$618:A3304,0)+1,1)&lt;&gt;0,INDEX(' Disaggregation - Section E '!F$618:F$1820,MATCH(C3983,' Disaggregation - Section E '!A$618:A3304,0)+1,1),""),"")</f>
        <v/>
      </c>
      <c r="I3983" s="503" t="str">
        <f ca="1">IFERROR(IF(VLOOKUP(C3983,' Disaggregation - Section E '!A$618:N2107,8,0)=0,"",VLOOKUP(C3983,' Disaggregation - Section E '!A$618:N2107,8,0)),"")</f>
        <v/>
      </c>
      <c r="J3983" s="503" t="str">
        <f ca="1">IFERROR(IF(VLOOKUP(C3983,' Disaggregation - Section E '!A$618:N3304,13,0)=0,"",VLOOKUP(C3983,' Disaggregation - Section E '!A$618:N3304,13,0)),"")</f>
        <v/>
      </c>
      <c r="K3983" s="497" t="str">
        <f ca="1">IFERROR(VLOOKUP(C3983,' Disaggregation - Section E '!A$618:N2107,3,0),"")</f>
        <v>HTS-5 Porcentaje de personas con diagnóstico nuevo de VIH que han iniciado terapia antirretroviral</v>
      </c>
      <c r="L3983" s="497"/>
      <c r="M3983" s="497" t="str">
        <f ca="1">IFERROR(IF(VLOOKUP(C3983,' Disaggregation - Section E '!A$618:T2107,20,0)=0,"",VLOOKUP(C3983,' Disaggregation - Section E '!A$618:T2107,20,0)),"")</f>
        <v>IDR-00973</v>
      </c>
      <c r="N3983" s="503" t="str">
        <f ca="1">IFERROR(IF(VLOOKUP(C3983,' Disaggregation - Section E '!A$618:N2107,14,0)=0,"",VLOOKUP(C3983,' Disaggregation - Section E '!A$618:N2107,14,0)),"")</f>
        <v/>
      </c>
      <c r="O3983" s="503" t="str">
        <f ca="1">IFERROR(IF(VLOOKUP(C3983,' Disaggregation - Section E '!A$618:N2107,9,0)=0,"",VLOOKUP(C3983,' Disaggregation - Section E '!A$618:N2107,9,0)),"")</f>
        <v/>
      </c>
      <c r="P3983" s="503" t="str">
        <f ca="1">IFERROR(IF(VLOOKUP(C3983,' Disaggregation - Section E '!A$618:N2107,10,0)=0,"",VLOOKUP(C3983,' Disaggregation - Section E '!A$618:N2107,10,0)),"")</f>
        <v/>
      </c>
    </row>
    <row r="3984" spans="1:16" x14ac:dyDescent="0.35">
      <c r="A3984" s="497" t="b">
        <f t="shared" ca="1" si="230"/>
        <v>1</v>
      </c>
      <c r="B3984" s="497"/>
      <c r="C3984" s="510" t="str">
        <f ca="1">IF(COUNTA(D$2498:D3984)=1,"",OFFSET(B3982,-COUNTA(D$2498:D3984)+3,1))</f>
        <v>a163p000004NtNuAAK</v>
      </c>
      <c r="D3984" s="512"/>
      <c r="E3984" s="500" t="str">
        <f ca="1">IFERROR(IF(VLOOKUP(C3984,' Disaggregation - Section E '!A$618:N2108,7,0)="","",VLOOKUP(C3984,' Disaggregation - Section E '!A$618:N2108,7,0)*100),"")</f>
        <v/>
      </c>
      <c r="F3984" s="503" t="str">
        <f ca="1">IFERROR(VLOOKUP(C3984,' Disaggregation - Section E '!A$618:N2108,5,0),"")</f>
        <v>Transgénero</v>
      </c>
      <c r="G3984" s="502" t="str">
        <f ca="1">IFERROR(IF(VLOOKUP(C3984,' Disaggregation - Section E '!A$618:N2108,6,0)="","",VLOOKUP(C3984,' Disaggregation - Section E '!A$618:N2108,6,0)),"")</f>
        <v/>
      </c>
      <c r="H3984" s="512" t="str">
        <f ca="1">IFERROR(IF(INDEX(' Disaggregation - Section E '!F$618:F3305,MATCH(C3984,' Disaggregation - Section E '!A$618:A3305,0)+1,1)&lt;&gt;0,INDEX(' Disaggregation - Section E '!F$618:F$1820,MATCH(C3984,' Disaggregation - Section E '!A$618:A3305,0)+1,1),""),"")</f>
        <v/>
      </c>
      <c r="I3984" s="503" t="str">
        <f ca="1">IFERROR(IF(VLOOKUP(C3984,' Disaggregation - Section E '!A$618:N2108,8,0)=0,"",VLOOKUP(C3984,' Disaggregation - Section E '!A$618:N2108,8,0)),"")</f>
        <v/>
      </c>
      <c r="J3984" s="503" t="str">
        <f ca="1">IFERROR(IF(VLOOKUP(C3984,' Disaggregation - Section E '!A$618:N3305,13,0)=0,"",VLOOKUP(C3984,' Disaggregation - Section E '!A$618:N3305,13,0)),"")</f>
        <v/>
      </c>
      <c r="K3984" s="497" t="str">
        <f ca="1">IFERROR(VLOOKUP(C3984,' Disaggregation - Section E '!A$618:N2108,3,0),"")</f>
        <v>HTS-5 Porcentaje de personas con diagnóstico nuevo de VIH que han iniciado terapia antirretroviral</v>
      </c>
      <c r="L3984" s="497"/>
      <c r="M3984" s="497" t="str">
        <f ca="1">IFERROR(IF(VLOOKUP(C3984,' Disaggregation - Section E '!A$618:T2108,20,0)=0,"",VLOOKUP(C3984,' Disaggregation - Section E '!A$618:T2108,20,0)),"")</f>
        <v>IDR-00843</v>
      </c>
      <c r="N3984" s="503" t="str">
        <f ca="1">IFERROR(IF(VLOOKUP(C3984,' Disaggregation - Section E '!A$618:N2108,14,0)=0,"",VLOOKUP(C3984,' Disaggregation - Section E '!A$618:N2108,14,0)),"")</f>
        <v/>
      </c>
      <c r="O3984" s="503" t="str">
        <f ca="1">IFERROR(IF(VLOOKUP(C3984,' Disaggregation - Section E '!A$618:N2108,9,0)=0,"",VLOOKUP(C3984,' Disaggregation - Section E '!A$618:N2108,9,0)),"")</f>
        <v/>
      </c>
      <c r="P3984" s="503" t="str">
        <f ca="1">IFERROR(IF(VLOOKUP(C3984,' Disaggregation - Section E '!A$618:N2108,10,0)=0,"",VLOOKUP(C3984,' Disaggregation - Section E '!A$618:N2108,10,0)),"")</f>
        <v/>
      </c>
    </row>
    <row r="3985" spans="1:16" x14ac:dyDescent="0.35">
      <c r="A3985" s="497" t="b">
        <f t="shared" ca="1" si="230"/>
        <v>1</v>
      </c>
      <c r="B3985" s="497"/>
      <c r="C3985" s="510" t="str">
        <f ca="1">IF(COUNTA(D$2498:D3985)=1,"",OFFSET(B3983,-COUNTA(D$2498:D3985)+3,1))</f>
        <v>a163p000004NtNvAAK</v>
      </c>
      <c r="D3985" s="512"/>
      <c r="E3985" s="500" t="str">
        <f ca="1">IFERROR(IF(VLOOKUP(C3985,' Disaggregation - Section E '!A$618:N2109,7,0)="","",VLOOKUP(C3985,' Disaggregation - Section E '!A$618:N2109,7,0)*100),"")</f>
        <v/>
      </c>
      <c r="F3985" s="503" t="str">
        <f ca="1">IFERROR(VLOOKUP(C3985,' Disaggregation - Section E '!A$618:N2109,5,0),"")</f>
        <v>Mujeres</v>
      </c>
      <c r="G3985" s="502" t="str">
        <f ca="1">IFERROR(IF(VLOOKUP(C3985,' Disaggregation - Section E '!A$618:N2109,6,0)="","",VLOOKUP(C3985,' Disaggregation - Section E '!A$618:N2109,6,0)),"")</f>
        <v/>
      </c>
      <c r="H3985" s="512" t="str">
        <f ca="1">IFERROR(IF(INDEX(' Disaggregation - Section E '!F$618:F3306,MATCH(C3985,' Disaggregation - Section E '!A$618:A3306,0)+1,1)&lt;&gt;0,INDEX(' Disaggregation - Section E '!F$618:F$1820,MATCH(C3985,' Disaggregation - Section E '!A$618:A3306,0)+1,1),""),"")</f>
        <v/>
      </c>
      <c r="I3985" s="503" t="str">
        <f ca="1">IFERROR(IF(VLOOKUP(C3985,' Disaggregation - Section E '!A$618:N2109,8,0)=0,"",VLOOKUP(C3985,' Disaggregation - Section E '!A$618:N2109,8,0)),"")</f>
        <v/>
      </c>
      <c r="J3985" s="503" t="str">
        <f ca="1">IFERROR(IF(VLOOKUP(C3985,' Disaggregation - Section E '!A$618:N3306,13,0)=0,"",VLOOKUP(C3985,' Disaggregation - Section E '!A$618:N3306,13,0)),"")</f>
        <v/>
      </c>
      <c r="K3985" s="497" t="str">
        <f ca="1">IFERROR(VLOOKUP(C3985,' Disaggregation - Section E '!A$618:N2109,3,0),"")</f>
        <v>HTS-5 Porcentaje de personas con diagnóstico nuevo de VIH que han iniciado terapia antirretroviral</v>
      </c>
      <c r="L3985" s="497"/>
      <c r="M3985" s="497" t="str">
        <f ca="1">IFERROR(IF(VLOOKUP(C3985,' Disaggregation - Section E '!A$618:T2109,20,0)=0,"",VLOOKUP(C3985,' Disaggregation - Section E '!A$618:T2109,20,0)),"")</f>
        <v>IDR-00842</v>
      </c>
      <c r="N3985" s="503" t="str">
        <f ca="1">IFERROR(IF(VLOOKUP(C3985,' Disaggregation - Section E '!A$618:N2109,14,0)=0,"",VLOOKUP(C3985,' Disaggregation - Section E '!A$618:N2109,14,0)),"")</f>
        <v/>
      </c>
      <c r="O3985" s="503" t="str">
        <f ca="1">IFERROR(IF(VLOOKUP(C3985,' Disaggregation - Section E '!A$618:N2109,9,0)=0,"",VLOOKUP(C3985,' Disaggregation - Section E '!A$618:N2109,9,0)),"")</f>
        <v/>
      </c>
      <c r="P3985" s="503" t="str">
        <f ca="1">IFERROR(IF(VLOOKUP(C3985,' Disaggregation - Section E '!A$618:N2109,10,0)=0,"",VLOOKUP(C3985,' Disaggregation - Section E '!A$618:N2109,10,0)),"")</f>
        <v/>
      </c>
    </row>
    <row r="3986" spans="1:16" x14ac:dyDescent="0.35">
      <c r="A3986" s="497" t="b">
        <f t="shared" ca="1" si="230"/>
        <v>1</v>
      </c>
      <c r="B3986" s="497"/>
      <c r="C3986" s="510" t="str">
        <f ca="1">IF(COUNTA(D$2498:D3986)=1,"",OFFSET(B3984,-COUNTA(D$2498:D3986)+3,1))</f>
        <v>a163p000004NtNwAAK</v>
      </c>
      <c r="D3986" s="512"/>
      <c r="E3986" s="500" t="str">
        <f ca="1">IFERROR(IF(VLOOKUP(C3986,' Disaggregation - Section E '!A$618:N2110,7,0)="","",VLOOKUP(C3986,' Disaggregation - Section E '!A$618:N2110,7,0)*100),"")</f>
        <v/>
      </c>
      <c r="F3986" s="503" t="str">
        <f ca="1">IFERROR(VLOOKUP(C3986,' Disaggregation - Section E '!A$618:N2110,5,0),"")</f>
        <v>Hombres</v>
      </c>
      <c r="G3986" s="502" t="str">
        <f ca="1">IFERROR(IF(VLOOKUP(C3986,' Disaggregation - Section E '!A$618:N2110,6,0)="","",VLOOKUP(C3986,' Disaggregation - Section E '!A$618:N2110,6,0)),"")</f>
        <v/>
      </c>
      <c r="H3986" s="512" t="str">
        <f ca="1">IFERROR(IF(INDEX(' Disaggregation - Section E '!F$618:F3307,MATCH(C3986,' Disaggregation - Section E '!A$618:A3307,0)+1,1)&lt;&gt;0,INDEX(' Disaggregation - Section E '!F$618:F$1820,MATCH(C3986,' Disaggregation - Section E '!A$618:A3307,0)+1,1),""),"")</f>
        <v/>
      </c>
      <c r="I3986" s="503" t="str">
        <f ca="1">IFERROR(IF(VLOOKUP(C3986,' Disaggregation - Section E '!A$618:N2110,8,0)=0,"",VLOOKUP(C3986,' Disaggregation - Section E '!A$618:N2110,8,0)),"")</f>
        <v/>
      </c>
      <c r="J3986" s="503" t="str">
        <f ca="1">IFERROR(IF(VLOOKUP(C3986,' Disaggregation - Section E '!A$618:N3307,13,0)=0,"",VLOOKUP(C3986,' Disaggregation - Section E '!A$618:N3307,13,0)),"")</f>
        <v/>
      </c>
      <c r="K3986" s="497" t="str">
        <f ca="1">IFERROR(VLOOKUP(C3986,' Disaggregation - Section E '!A$618:N2110,3,0),"")</f>
        <v>HTS-5 Porcentaje de personas con diagnóstico nuevo de VIH que han iniciado terapia antirretroviral</v>
      </c>
      <c r="L3986" s="497"/>
      <c r="M3986" s="497" t="str">
        <f ca="1">IFERROR(IF(VLOOKUP(C3986,' Disaggregation - Section E '!A$618:T2110,20,0)=0,"",VLOOKUP(C3986,' Disaggregation - Section E '!A$618:T2110,20,0)),"")</f>
        <v>IDR-00841</v>
      </c>
      <c r="N3986" s="503" t="str">
        <f ca="1">IFERROR(IF(VLOOKUP(C3986,' Disaggregation - Section E '!A$618:N2110,14,0)=0,"",VLOOKUP(C3986,' Disaggregation - Section E '!A$618:N2110,14,0)),"")</f>
        <v/>
      </c>
      <c r="O3986" s="503" t="str">
        <f ca="1">IFERROR(IF(VLOOKUP(C3986,' Disaggregation - Section E '!A$618:N2110,9,0)=0,"",VLOOKUP(C3986,' Disaggregation - Section E '!A$618:N2110,9,0)),"")</f>
        <v/>
      </c>
      <c r="P3986" s="503" t="str">
        <f ca="1">IFERROR(IF(VLOOKUP(C3986,' Disaggregation - Section E '!A$618:N2110,10,0)=0,"",VLOOKUP(C3986,' Disaggregation - Section E '!A$618:N2110,10,0)),"")</f>
        <v/>
      </c>
    </row>
    <row r="3987" spans="1:16" x14ac:dyDescent="0.35">
      <c r="A3987" s="497" t="b">
        <f t="shared" ca="1" si="230"/>
        <v>0</v>
      </c>
      <c r="B3987" s="497"/>
      <c r="C3987" s="510" t="str">
        <f ca="1">IF(COUNTA(D$2498:D3987)=1,"",OFFSET(B3985,-COUNTA(D$2498:D3987)+3,1))</f>
        <v>a163p000004NtNxAAK</v>
      </c>
      <c r="D3987" s="512"/>
      <c r="E3987" s="500" t="str">
        <f ca="1">IFERROR(IF(VLOOKUP(C3987,' Disaggregation - Section E '!A$618:N2111,7,0)="","",VLOOKUP(C3987,' Disaggregation - Section E '!A$618:N2111,7,0)*100),"")</f>
        <v/>
      </c>
      <c r="F3987" s="503" t="str">
        <f ca="1">IFERROR(VLOOKUP(C3987,' Disaggregation - Section E '!A$618:N2111,5,0),"")</f>
        <v/>
      </c>
      <c r="G3987" s="502" t="str">
        <f ca="1">IFERROR(IF(VLOOKUP(C3987,' Disaggregation - Section E '!A$618:N2111,6,0)="","",VLOOKUP(C3987,' Disaggregation - Section E '!A$618:N2111,6,0)),"")</f>
        <v/>
      </c>
      <c r="H3987" s="512" t="str">
        <f ca="1">IFERROR(IF(INDEX(' Disaggregation - Section E '!F$618:F3308,MATCH(C3987,' Disaggregation - Section E '!A$618:A3308,0)+1,1)&lt;&gt;0,INDEX(' Disaggregation - Section E '!F$618:F$1820,MATCH(C3987,' Disaggregation - Section E '!A$618:A3308,0)+1,1),""),"")</f>
        <v/>
      </c>
      <c r="I3987" s="503" t="str">
        <f ca="1">IFERROR(IF(VLOOKUP(C3987,' Disaggregation - Section E '!A$618:N2111,8,0)=0,"",VLOOKUP(C3987,' Disaggregation - Section E '!A$618:N2111,8,0)),"")</f>
        <v/>
      </c>
      <c r="J3987" s="503" t="str">
        <f ca="1">IFERROR(IF(VLOOKUP(C3987,' Disaggregation - Section E '!A$618:N3308,13,0)=0,"",VLOOKUP(C3987,' Disaggregation - Section E '!A$618:N3308,13,0)),"")</f>
        <v/>
      </c>
      <c r="K3987" s="497" t="str">
        <f ca="1">IFERROR(VLOOKUP(C3987,' Disaggregation - Section E '!A$618:N2111,3,0),"")</f>
        <v>HTS-5 Porcentaje de personas con diagnóstico nuevo de VIH que han iniciado terapia antirretroviral</v>
      </c>
      <c r="L3987" s="497"/>
      <c r="M3987" s="497" t="str">
        <f ca="1">IFERROR(IF(VLOOKUP(C3987,' Disaggregation - Section E '!A$618:T2111,20,0)=0,"",VLOOKUP(C3987,' Disaggregation - Section E '!A$618:T2111,20,0)),"")</f>
        <v/>
      </c>
      <c r="N3987" s="503" t="str">
        <f ca="1">IFERROR(IF(VLOOKUP(C3987,' Disaggregation - Section E '!A$618:N2111,14,0)=0,"",VLOOKUP(C3987,' Disaggregation - Section E '!A$618:N2111,14,0)),"")</f>
        <v/>
      </c>
      <c r="O3987" s="503" t="str">
        <f ca="1">IFERROR(IF(VLOOKUP(C3987,' Disaggregation - Section E '!A$618:N2111,9,0)=0,"",VLOOKUP(C3987,' Disaggregation - Section E '!A$618:N2111,9,0)),"")</f>
        <v/>
      </c>
      <c r="P3987" s="503" t="str">
        <f ca="1">IFERROR(IF(VLOOKUP(C3987,' Disaggregation - Section E '!A$618:N2111,10,0)=0,"",VLOOKUP(C3987,' Disaggregation - Section E '!A$618:N2111,10,0)),"")</f>
        <v/>
      </c>
    </row>
    <row r="3988" spans="1:16" x14ac:dyDescent="0.35">
      <c r="A3988" s="497" t="b">
        <f t="shared" ca="1" si="230"/>
        <v>0</v>
      </c>
      <c r="B3988" s="497"/>
      <c r="C3988" s="510" t="str">
        <f ca="1">IF(COUNTA(D$2498:D3988)=1,"",OFFSET(B3986,-COUNTA(D$2498:D3988)+3,1))</f>
        <v>a163p000004NtNyAAK</v>
      </c>
      <c r="D3988" s="512"/>
      <c r="E3988" s="500" t="str">
        <f ca="1">IFERROR(IF(VLOOKUP(C3988,' Disaggregation - Section E '!A$618:N2112,7,0)="","",VLOOKUP(C3988,' Disaggregation - Section E '!A$618:N2112,7,0)*100),"")</f>
        <v/>
      </c>
      <c r="F3988" s="503" t="str">
        <f ca="1">IFERROR(VLOOKUP(C3988,' Disaggregation - Section E '!A$618:N2112,5,0),"")</f>
        <v/>
      </c>
      <c r="G3988" s="502" t="str">
        <f ca="1">IFERROR(IF(VLOOKUP(C3988,' Disaggregation - Section E '!A$618:N2112,6,0)="","",VLOOKUP(C3988,' Disaggregation - Section E '!A$618:N2112,6,0)),"")</f>
        <v/>
      </c>
      <c r="H3988" s="512" t="str">
        <f ca="1">IFERROR(IF(INDEX(' Disaggregation - Section E '!F$618:F3309,MATCH(C3988,' Disaggregation - Section E '!A$618:A3309,0)+1,1)&lt;&gt;0,INDEX(' Disaggregation - Section E '!F$618:F$1820,MATCH(C3988,' Disaggregation - Section E '!A$618:A3309,0)+1,1),""),"")</f>
        <v/>
      </c>
      <c r="I3988" s="503" t="str">
        <f ca="1">IFERROR(IF(VLOOKUP(C3988,' Disaggregation - Section E '!A$618:N2112,8,0)=0,"",VLOOKUP(C3988,' Disaggregation - Section E '!A$618:N2112,8,0)),"")</f>
        <v/>
      </c>
      <c r="J3988" s="503" t="str">
        <f ca="1">IFERROR(IF(VLOOKUP(C3988,' Disaggregation - Section E '!A$618:N3309,13,0)=0,"",VLOOKUP(C3988,' Disaggregation - Section E '!A$618:N3309,13,0)),"")</f>
        <v/>
      </c>
      <c r="K3988" s="497" t="str">
        <f ca="1">IFERROR(VLOOKUP(C3988,' Disaggregation - Section E '!A$618:N2112,3,0),"")</f>
        <v>HTS-5 Porcentaje de personas con diagnóstico nuevo de VIH que han iniciado terapia antirretroviral</v>
      </c>
      <c r="L3988" s="497"/>
      <c r="M3988" s="497" t="str">
        <f ca="1">IFERROR(IF(VLOOKUP(C3988,' Disaggregation - Section E '!A$618:T2112,20,0)=0,"",VLOOKUP(C3988,' Disaggregation - Section E '!A$618:T2112,20,0)),"")</f>
        <v/>
      </c>
      <c r="N3988" s="503" t="str">
        <f ca="1">IFERROR(IF(VLOOKUP(C3988,' Disaggregation - Section E '!A$618:N2112,14,0)=0,"",VLOOKUP(C3988,' Disaggregation - Section E '!A$618:N2112,14,0)),"")</f>
        <v/>
      </c>
      <c r="O3988" s="503" t="str">
        <f ca="1">IFERROR(IF(VLOOKUP(C3988,' Disaggregation - Section E '!A$618:N2112,9,0)=0,"",VLOOKUP(C3988,' Disaggregation - Section E '!A$618:N2112,9,0)),"")</f>
        <v/>
      </c>
      <c r="P3988" s="503" t="str">
        <f ca="1">IFERROR(IF(VLOOKUP(C3988,' Disaggregation - Section E '!A$618:N2112,10,0)=0,"",VLOOKUP(C3988,' Disaggregation - Section E '!A$618:N2112,10,0)),"")</f>
        <v/>
      </c>
    </row>
    <row r="3989" spans="1:16" x14ac:dyDescent="0.35">
      <c r="A3989" s="497" t="b">
        <f t="shared" ca="1" si="230"/>
        <v>0</v>
      </c>
      <c r="B3989" s="497"/>
      <c r="C3989" s="510" t="str">
        <f ca="1">IF(COUNTA(D$2498:D3989)=1,"",OFFSET(B3987,-COUNTA(D$2498:D3989)+3,1))</f>
        <v>a163p000004NtNzAAK</v>
      </c>
      <c r="D3989" s="512"/>
      <c r="E3989" s="500" t="str">
        <f ca="1">IFERROR(IF(VLOOKUP(C3989,' Disaggregation - Section E '!A$618:N2113,7,0)="","",VLOOKUP(C3989,' Disaggregation - Section E '!A$618:N2113,7,0)*100),"")</f>
        <v/>
      </c>
      <c r="F3989" s="503" t="str">
        <f ca="1">IFERROR(VLOOKUP(C3989,' Disaggregation - Section E '!A$618:N2113,5,0),"")</f>
        <v/>
      </c>
      <c r="G3989" s="502" t="str">
        <f ca="1">IFERROR(IF(VLOOKUP(C3989,' Disaggregation - Section E '!A$618:N2113,6,0)="","",VLOOKUP(C3989,' Disaggregation - Section E '!A$618:N2113,6,0)),"")</f>
        <v/>
      </c>
      <c r="H3989" s="512" t="str">
        <f ca="1">IFERROR(IF(INDEX(' Disaggregation - Section E '!F$618:F3310,MATCH(C3989,' Disaggregation - Section E '!A$618:A3310,0)+1,1)&lt;&gt;0,INDEX(' Disaggregation - Section E '!F$618:F$1820,MATCH(C3989,' Disaggregation - Section E '!A$618:A3310,0)+1,1),""),"")</f>
        <v/>
      </c>
      <c r="I3989" s="503" t="str">
        <f ca="1">IFERROR(IF(VLOOKUP(C3989,' Disaggregation - Section E '!A$618:N2113,8,0)=0,"",VLOOKUP(C3989,' Disaggregation - Section E '!A$618:N2113,8,0)),"")</f>
        <v/>
      </c>
      <c r="J3989" s="503" t="str">
        <f ca="1">IFERROR(IF(VLOOKUP(C3989,' Disaggregation - Section E '!A$618:N3310,13,0)=0,"",VLOOKUP(C3989,' Disaggregation - Section E '!A$618:N3310,13,0)),"")</f>
        <v/>
      </c>
      <c r="K3989" s="497" t="str">
        <f ca="1">IFERROR(VLOOKUP(C3989,' Disaggregation - Section E '!A$618:N2113,3,0),"")</f>
        <v>HTS-5 Porcentaje de personas con diagnóstico nuevo de VIH que han iniciado terapia antirretroviral</v>
      </c>
      <c r="L3989" s="497"/>
      <c r="M3989" s="497" t="str">
        <f ca="1">IFERROR(IF(VLOOKUP(C3989,' Disaggregation - Section E '!A$618:T2113,20,0)=0,"",VLOOKUP(C3989,' Disaggregation - Section E '!A$618:T2113,20,0)),"")</f>
        <v/>
      </c>
      <c r="N3989" s="503" t="str">
        <f ca="1">IFERROR(IF(VLOOKUP(C3989,' Disaggregation - Section E '!A$618:N2113,14,0)=0,"",VLOOKUP(C3989,' Disaggregation - Section E '!A$618:N2113,14,0)),"")</f>
        <v/>
      </c>
      <c r="O3989" s="503" t="str">
        <f ca="1">IFERROR(IF(VLOOKUP(C3989,' Disaggregation - Section E '!A$618:N2113,9,0)=0,"",VLOOKUP(C3989,' Disaggregation - Section E '!A$618:N2113,9,0)),"")</f>
        <v/>
      </c>
      <c r="P3989" s="503" t="str">
        <f ca="1">IFERROR(IF(VLOOKUP(C3989,' Disaggregation - Section E '!A$618:N2113,10,0)=0,"",VLOOKUP(C3989,' Disaggregation - Section E '!A$618:N2113,10,0)),"")</f>
        <v/>
      </c>
    </row>
    <row r="3990" spans="1:16" x14ac:dyDescent="0.35">
      <c r="A3990" s="497" t="b">
        <f t="shared" ca="1" si="230"/>
        <v>0</v>
      </c>
      <c r="B3990" s="497"/>
      <c r="C3990" s="510" t="str">
        <f ca="1">IF(COUNTA(D$2498:D3990)=1,"",OFFSET(B3988,-COUNTA(D$2498:D3990)+3,1))</f>
        <v>a163p000004NtO0AAK</v>
      </c>
      <c r="D3990" s="512"/>
      <c r="E3990" s="500" t="str">
        <f ca="1">IFERROR(IF(VLOOKUP(C3990,' Disaggregation - Section E '!A$618:N2114,7,0)="","",VLOOKUP(C3990,' Disaggregation - Section E '!A$618:N2114,7,0)*100),"")</f>
        <v/>
      </c>
      <c r="F3990" s="503" t="str">
        <f ca="1">IFERROR(VLOOKUP(C3990,' Disaggregation - Section E '!A$618:N2114,5,0),"")</f>
        <v/>
      </c>
      <c r="G3990" s="502" t="str">
        <f ca="1">IFERROR(IF(VLOOKUP(C3990,' Disaggregation - Section E '!A$618:N2114,6,0)="","",VLOOKUP(C3990,' Disaggregation - Section E '!A$618:N2114,6,0)),"")</f>
        <v/>
      </c>
      <c r="H3990" s="512" t="str">
        <f ca="1">IFERROR(IF(INDEX(' Disaggregation - Section E '!F$618:F3311,MATCH(C3990,' Disaggregation - Section E '!A$618:A3311,0)+1,1)&lt;&gt;0,INDEX(' Disaggregation - Section E '!F$618:F$1820,MATCH(C3990,' Disaggregation - Section E '!A$618:A3311,0)+1,1),""),"")</f>
        <v/>
      </c>
      <c r="I3990" s="503" t="str">
        <f ca="1">IFERROR(IF(VLOOKUP(C3990,' Disaggregation - Section E '!A$618:N2114,8,0)=0,"",VLOOKUP(C3990,' Disaggregation - Section E '!A$618:N2114,8,0)),"")</f>
        <v/>
      </c>
      <c r="J3990" s="503" t="str">
        <f ca="1">IFERROR(IF(VLOOKUP(C3990,' Disaggregation - Section E '!A$618:N3311,13,0)=0,"",VLOOKUP(C3990,' Disaggregation - Section E '!A$618:N3311,13,0)),"")</f>
        <v/>
      </c>
      <c r="K3990" s="497" t="str">
        <f ca="1">IFERROR(VLOOKUP(C3990,' Disaggregation - Section E '!A$618:N2114,3,0),"")</f>
        <v>HTS-5 Porcentaje de personas con diagnóstico nuevo de VIH que han iniciado terapia antirretroviral</v>
      </c>
      <c r="L3990" s="497"/>
      <c r="M3990" s="497" t="str">
        <f ca="1">IFERROR(IF(VLOOKUP(C3990,' Disaggregation - Section E '!A$618:T2114,20,0)=0,"",VLOOKUP(C3990,' Disaggregation - Section E '!A$618:T2114,20,0)),"")</f>
        <v/>
      </c>
      <c r="N3990" s="503" t="str">
        <f ca="1">IFERROR(IF(VLOOKUP(C3990,' Disaggregation - Section E '!A$618:N2114,14,0)=0,"",VLOOKUP(C3990,' Disaggregation - Section E '!A$618:N2114,14,0)),"")</f>
        <v/>
      </c>
      <c r="O3990" s="503" t="str">
        <f ca="1">IFERROR(IF(VLOOKUP(C3990,' Disaggregation - Section E '!A$618:N2114,9,0)=0,"",VLOOKUP(C3990,' Disaggregation - Section E '!A$618:N2114,9,0)),"")</f>
        <v/>
      </c>
      <c r="P3990" s="503" t="str">
        <f ca="1">IFERROR(IF(VLOOKUP(C3990,' Disaggregation - Section E '!A$618:N2114,10,0)=0,"",VLOOKUP(C3990,' Disaggregation - Section E '!A$618:N2114,10,0)),"")</f>
        <v/>
      </c>
    </row>
    <row r="3991" spans="1:16" x14ac:dyDescent="0.35">
      <c r="A3991" s="497" t="b">
        <f t="shared" ca="1" si="230"/>
        <v>0</v>
      </c>
      <c r="B3991" s="497"/>
      <c r="C3991" s="510" t="str">
        <f ca="1">IF(COUNTA(D$2498:D3991)=1,"",OFFSET(B3989,-COUNTA(D$2498:D3991)+3,1))</f>
        <v>a163p000004NtO1AAK</v>
      </c>
      <c r="D3991" s="512"/>
      <c r="E3991" s="500" t="str">
        <f ca="1">IFERROR(IF(VLOOKUP(C3991,' Disaggregation - Section E '!A$618:N2115,7,0)="","",VLOOKUP(C3991,' Disaggregation - Section E '!A$618:N2115,7,0)*100),"")</f>
        <v/>
      </c>
      <c r="F3991" s="503" t="str">
        <f ca="1">IFERROR(VLOOKUP(C3991,' Disaggregation - Section E '!A$618:N2115,5,0),"")</f>
        <v/>
      </c>
      <c r="G3991" s="502" t="str">
        <f ca="1">IFERROR(IF(VLOOKUP(C3991,' Disaggregation - Section E '!A$618:N2115,6,0)="","",VLOOKUP(C3991,' Disaggregation - Section E '!A$618:N2115,6,0)),"")</f>
        <v/>
      </c>
      <c r="H3991" s="512" t="str">
        <f ca="1">IFERROR(IF(INDEX(' Disaggregation - Section E '!F$618:F3312,MATCH(C3991,' Disaggregation - Section E '!A$618:A3312,0)+1,1)&lt;&gt;0,INDEX(' Disaggregation - Section E '!F$618:F$1820,MATCH(C3991,' Disaggregation - Section E '!A$618:A3312,0)+1,1),""),"")</f>
        <v/>
      </c>
      <c r="I3991" s="503" t="str">
        <f ca="1">IFERROR(IF(VLOOKUP(C3991,' Disaggregation - Section E '!A$618:N2115,8,0)=0,"",VLOOKUP(C3991,' Disaggregation - Section E '!A$618:N2115,8,0)),"")</f>
        <v/>
      </c>
      <c r="J3991" s="503" t="str">
        <f ca="1">IFERROR(IF(VLOOKUP(C3991,' Disaggregation - Section E '!A$618:N3312,13,0)=0,"",VLOOKUP(C3991,' Disaggregation - Section E '!A$618:N3312,13,0)),"")</f>
        <v/>
      </c>
      <c r="K3991" s="497" t="str">
        <f ca="1">IFERROR(VLOOKUP(C3991,' Disaggregation - Section E '!A$618:N2115,3,0),"")</f>
        <v>HTS-5 Porcentaje de personas con diagnóstico nuevo de VIH que han iniciado terapia antirretroviral</v>
      </c>
      <c r="L3991" s="497"/>
      <c r="M3991" s="497" t="str">
        <f ca="1">IFERROR(IF(VLOOKUP(C3991,' Disaggregation - Section E '!A$618:T2115,20,0)=0,"",VLOOKUP(C3991,' Disaggregation - Section E '!A$618:T2115,20,0)),"")</f>
        <v/>
      </c>
      <c r="N3991" s="503" t="str">
        <f ca="1">IFERROR(IF(VLOOKUP(C3991,' Disaggregation - Section E '!A$618:N2115,14,0)=0,"",VLOOKUP(C3991,' Disaggregation - Section E '!A$618:N2115,14,0)),"")</f>
        <v/>
      </c>
      <c r="O3991" s="503" t="str">
        <f ca="1">IFERROR(IF(VLOOKUP(C3991,' Disaggregation - Section E '!A$618:N2115,9,0)=0,"",VLOOKUP(C3991,' Disaggregation - Section E '!A$618:N2115,9,0)),"")</f>
        <v/>
      </c>
      <c r="P3991" s="503" t="str">
        <f ca="1">IFERROR(IF(VLOOKUP(C3991,' Disaggregation - Section E '!A$618:N2115,10,0)=0,"",VLOOKUP(C3991,' Disaggregation - Section E '!A$618:N2115,10,0)),"")</f>
        <v/>
      </c>
    </row>
    <row r="3992" spans="1:16" x14ac:dyDescent="0.35">
      <c r="A3992" s="497" t="b">
        <f t="shared" ca="1" si="230"/>
        <v>0</v>
      </c>
      <c r="B3992" s="497"/>
      <c r="C3992" s="510" t="str">
        <f ca="1">IF(COUNTA(D$2498:D3992)=1,"",OFFSET(B3990,-COUNTA(D$2498:D3992)+3,1))</f>
        <v>a163p000004NtO2AAK</v>
      </c>
      <c r="D3992" s="512"/>
      <c r="E3992" s="500" t="str">
        <f ca="1">IFERROR(IF(VLOOKUP(C3992,' Disaggregation - Section E '!A$618:N2116,7,0)="","",VLOOKUP(C3992,' Disaggregation - Section E '!A$618:N2116,7,0)*100),"")</f>
        <v/>
      </c>
      <c r="F3992" s="503" t="str">
        <f ca="1">IFERROR(VLOOKUP(C3992,' Disaggregation - Section E '!A$618:N2116,5,0),"")</f>
        <v/>
      </c>
      <c r="G3992" s="502" t="str">
        <f ca="1">IFERROR(IF(VLOOKUP(C3992,' Disaggregation - Section E '!A$618:N2116,6,0)="","",VLOOKUP(C3992,' Disaggregation - Section E '!A$618:N2116,6,0)),"")</f>
        <v/>
      </c>
      <c r="H3992" s="512" t="str">
        <f ca="1">IFERROR(IF(INDEX(' Disaggregation - Section E '!F$618:F3313,MATCH(C3992,' Disaggregation - Section E '!A$618:A3313,0)+1,1)&lt;&gt;0,INDEX(' Disaggregation - Section E '!F$618:F$1820,MATCH(C3992,' Disaggregation - Section E '!A$618:A3313,0)+1,1),""),"")</f>
        <v/>
      </c>
      <c r="I3992" s="503" t="str">
        <f ca="1">IFERROR(IF(VLOOKUP(C3992,' Disaggregation - Section E '!A$618:N2116,8,0)=0,"",VLOOKUP(C3992,' Disaggregation - Section E '!A$618:N2116,8,0)),"")</f>
        <v/>
      </c>
      <c r="J3992" s="503" t="str">
        <f ca="1">IFERROR(IF(VLOOKUP(C3992,' Disaggregation - Section E '!A$618:N3313,13,0)=0,"",VLOOKUP(C3992,' Disaggregation - Section E '!A$618:N3313,13,0)),"")</f>
        <v/>
      </c>
      <c r="K3992" s="497" t="str">
        <f ca="1">IFERROR(VLOOKUP(C3992,' Disaggregation - Section E '!A$618:N2116,3,0),"")</f>
        <v>HTS-5 Porcentaje de personas con diagnóstico nuevo de VIH que han iniciado terapia antirretroviral</v>
      </c>
      <c r="L3992" s="497"/>
      <c r="M3992" s="497" t="str">
        <f ca="1">IFERROR(IF(VLOOKUP(C3992,' Disaggregation - Section E '!A$618:T2116,20,0)=0,"",VLOOKUP(C3992,' Disaggregation - Section E '!A$618:T2116,20,0)),"")</f>
        <v/>
      </c>
      <c r="N3992" s="503" t="str">
        <f ca="1">IFERROR(IF(VLOOKUP(C3992,' Disaggregation - Section E '!A$618:N2116,14,0)=0,"",VLOOKUP(C3992,' Disaggregation - Section E '!A$618:N2116,14,0)),"")</f>
        <v/>
      </c>
      <c r="O3992" s="503" t="str">
        <f ca="1">IFERROR(IF(VLOOKUP(C3992,' Disaggregation - Section E '!A$618:N2116,9,0)=0,"",VLOOKUP(C3992,' Disaggregation - Section E '!A$618:N2116,9,0)),"")</f>
        <v/>
      </c>
      <c r="P3992" s="503" t="str">
        <f ca="1">IFERROR(IF(VLOOKUP(C3992,' Disaggregation - Section E '!A$618:N2116,10,0)=0,"",VLOOKUP(C3992,' Disaggregation - Section E '!A$618:N2116,10,0)),"")</f>
        <v/>
      </c>
    </row>
    <row r="3993" spans="1:16" x14ac:dyDescent="0.35">
      <c r="A3993" s="497" t="b">
        <f t="shared" ca="1" si="230"/>
        <v>0</v>
      </c>
      <c r="B3993" s="497"/>
      <c r="C3993" s="510" t="str">
        <f ca="1">IF(COUNTA(D$2498:D3993)=1,"",OFFSET(B3991,-COUNTA(D$2498:D3993)+3,1))</f>
        <v>a163p000004NtO3AAK</v>
      </c>
      <c r="D3993" s="512"/>
      <c r="E3993" s="500" t="str">
        <f ca="1">IFERROR(IF(VLOOKUP(C3993,' Disaggregation - Section E '!A$618:N2117,7,0)="","",VLOOKUP(C3993,' Disaggregation - Section E '!A$618:N2117,7,0)*100),"")</f>
        <v/>
      </c>
      <c r="F3993" s="503" t="str">
        <f ca="1">IFERROR(VLOOKUP(C3993,' Disaggregation - Section E '!A$618:N2117,5,0),"")</f>
        <v/>
      </c>
      <c r="G3993" s="502" t="str">
        <f ca="1">IFERROR(IF(VLOOKUP(C3993,' Disaggregation - Section E '!A$618:N2117,6,0)="","",VLOOKUP(C3993,' Disaggregation - Section E '!A$618:N2117,6,0)),"")</f>
        <v/>
      </c>
      <c r="H3993" s="512" t="str">
        <f ca="1">IFERROR(IF(INDEX(' Disaggregation - Section E '!F$618:F3314,MATCH(C3993,' Disaggregation - Section E '!A$618:A3314,0)+1,1)&lt;&gt;0,INDEX(' Disaggregation - Section E '!F$618:F$1820,MATCH(C3993,' Disaggregation - Section E '!A$618:A3314,0)+1,1),""),"")</f>
        <v/>
      </c>
      <c r="I3993" s="503" t="str">
        <f ca="1">IFERROR(IF(VLOOKUP(C3993,' Disaggregation - Section E '!A$618:N2117,8,0)=0,"",VLOOKUP(C3993,' Disaggregation - Section E '!A$618:N2117,8,0)),"")</f>
        <v/>
      </c>
      <c r="J3993" s="503" t="str">
        <f ca="1">IFERROR(IF(VLOOKUP(C3993,' Disaggregation - Section E '!A$618:N3314,13,0)=0,"",VLOOKUP(C3993,' Disaggregation - Section E '!A$618:N3314,13,0)),"")</f>
        <v/>
      </c>
      <c r="K3993" s="497" t="str">
        <f ca="1">IFERROR(VLOOKUP(C3993,' Disaggregation - Section E '!A$618:N2117,3,0),"")</f>
        <v>HTS-5 Porcentaje de personas con diagnóstico nuevo de VIH que han iniciado terapia antirretroviral</v>
      </c>
      <c r="L3993" s="497"/>
      <c r="M3993" s="497" t="str">
        <f ca="1">IFERROR(IF(VLOOKUP(C3993,' Disaggregation - Section E '!A$618:T2117,20,0)=0,"",VLOOKUP(C3993,' Disaggregation - Section E '!A$618:T2117,20,0)),"")</f>
        <v/>
      </c>
      <c r="N3993" s="503" t="str">
        <f ca="1">IFERROR(IF(VLOOKUP(C3993,' Disaggregation - Section E '!A$618:N2117,14,0)=0,"",VLOOKUP(C3993,' Disaggregation - Section E '!A$618:N2117,14,0)),"")</f>
        <v/>
      </c>
      <c r="O3993" s="503" t="str">
        <f ca="1">IFERROR(IF(VLOOKUP(C3993,' Disaggregation - Section E '!A$618:N2117,9,0)=0,"",VLOOKUP(C3993,' Disaggregation - Section E '!A$618:N2117,9,0)),"")</f>
        <v/>
      </c>
      <c r="P3993" s="503" t="str">
        <f ca="1">IFERROR(IF(VLOOKUP(C3993,' Disaggregation - Section E '!A$618:N2117,10,0)=0,"",VLOOKUP(C3993,' Disaggregation - Section E '!A$618:N2117,10,0)),"")</f>
        <v/>
      </c>
    </row>
    <row r="3994" spans="1:16" x14ac:dyDescent="0.35">
      <c r="A3994" s="497" t="b">
        <f t="shared" ca="1" si="230"/>
        <v>0</v>
      </c>
      <c r="B3994" s="497"/>
      <c r="C3994" s="510" t="str">
        <f ca="1">IF(COUNTA(D$2498:D3994)=1,"",OFFSET(B3992,-COUNTA(D$2498:D3994)+3,1))</f>
        <v>a163p000004NtO4AAK</v>
      </c>
      <c r="D3994" s="512"/>
      <c r="E3994" s="500" t="str">
        <f ca="1">IFERROR(IF(VLOOKUP(C3994,' Disaggregation - Section E '!A$618:N2118,7,0)="","",VLOOKUP(C3994,' Disaggregation - Section E '!A$618:N2118,7,0)*100),"")</f>
        <v/>
      </c>
      <c r="F3994" s="503" t="str">
        <f ca="1">IFERROR(VLOOKUP(C3994,' Disaggregation - Section E '!A$618:N2118,5,0),"")</f>
        <v/>
      </c>
      <c r="G3994" s="502" t="str">
        <f ca="1">IFERROR(IF(VLOOKUP(C3994,' Disaggregation - Section E '!A$618:N2118,6,0)="","",VLOOKUP(C3994,' Disaggregation - Section E '!A$618:N2118,6,0)),"")</f>
        <v/>
      </c>
      <c r="H3994" s="512" t="str">
        <f ca="1">IFERROR(IF(INDEX(' Disaggregation - Section E '!F$618:F3315,MATCH(C3994,' Disaggregation - Section E '!A$618:A3315,0)+1,1)&lt;&gt;0,INDEX(' Disaggregation - Section E '!F$618:F$1820,MATCH(C3994,' Disaggregation - Section E '!A$618:A3315,0)+1,1),""),"")</f>
        <v/>
      </c>
      <c r="I3994" s="503" t="str">
        <f ca="1">IFERROR(IF(VLOOKUP(C3994,' Disaggregation - Section E '!A$618:N2118,8,0)=0,"",VLOOKUP(C3994,' Disaggregation - Section E '!A$618:N2118,8,0)),"")</f>
        <v/>
      </c>
      <c r="J3994" s="503" t="str">
        <f ca="1">IFERROR(IF(VLOOKUP(C3994,' Disaggregation - Section E '!A$618:N3315,13,0)=0,"",VLOOKUP(C3994,' Disaggregation - Section E '!A$618:N3315,13,0)),"")</f>
        <v/>
      </c>
      <c r="K3994" s="497" t="str">
        <f ca="1">IFERROR(VLOOKUP(C3994,' Disaggregation - Section E '!A$618:N2118,3,0),"")</f>
        <v>HTS-5 Porcentaje de personas con diagnóstico nuevo de VIH que han iniciado terapia antirretroviral</v>
      </c>
      <c r="L3994" s="497"/>
      <c r="M3994" s="497" t="str">
        <f ca="1">IFERROR(IF(VLOOKUP(C3994,' Disaggregation - Section E '!A$618:T2118,20,0)=0,"",VLOOKUP(C3994,' Disaggregation - Section E '!A$618:T2118,20,0)),"")</f>
        <v/>
      </c>
      <c r="N3994" s="503" t="str">
        <f ca="1">IFERROR(IF(VLOOKUP(C3994,' Disaggregation - Section E '!A$618:N2118,14,0)=0,"",VLOOKUP(C3994,' Disaggregation - Section E '!A$618:N2118,14,0)),"")</f>
        <v/>
      </c>
      <c r="O3994" s="503" t="str">
        <f ca="1">IFERROR(IF(VLOOKUP(C3994,' Disaggregation - Section E '!A$618:N2118,9,0)=0,"",VLOOKUP(C3994,' Disaggregation - Section E '!A$618:N2118,9,0)),"")</f>
        <v/>
      </c>
      <c r="P3994" s="503" t="str">
        <f ca="1">IFERROR(IF(VLOOKUP(C3994,' Disaggregation - Section E '!A$618:N2118,10,0)=0,"",VLOOKUP(C3994,' Disaggregation - Section E '!A$618:N2118,10,0)),"")</f>
        <v/>
      </c>
    </row>
    <row r="3995" spans="1:16" x14ac:dyDescent="0.35">
      <c r="A3995" s="497" t="b">
        <f t="shared" ca="1" si="230"/>
        <v>0</v>
      </c>
      <c r="B3995" s="497"/>
      <c r="C3995" s="510" t="str">
        <f ca="1">IF(COUNTA(D$2498:D3995)=1,"",OFFSET(B3993,-COUNTA(D$2498:D3995)+3,1))</f>
        <v>a163p000004NtO5AAK</v>
      </c>
      <c r="D3995" s="512"/>
      <c r="E3995" s="500" t="str">
        <f ca="1">IFERROR(IF(VLOOKUP(C3995,' Disaggregation - Section E '!A$618:N2119,7,0)="","",VLOOKUP(C3995,' Disaggregation - Section E '!A$618:N2119,7,0)*100),"")</f>
        <v/>
      </c>
      <c r="F3995" s="503" t="str">
        <f ca="1">IFERROR(VLOOKUP(C3995,' Disaggregation - Section E '!A$618:N2119,5,0),"")</f>
        <v/>
      </c>
      <c r="G3995" s="502" t="str">
        <f ca="1">IFERROR(IF(VLOOKUP(C3995,' Disaggregation - Section E '!A$618:N2119,6,0)="","",VLOOKUP(C3995,' Disaggregation - Section E '!A$618:N2119,6,0)),"")</f>
        <v/>
      </c>
      <c r="H3995" s="512" t="str">
        <f ca="1">IFERROR(IF(INDEX(' Disaggregation - Section E '!F$618:F3316,MATCH(C3995,' Disaggregation - Section E '!A$618:A3316,0)+1,1)&lt;&gt;0,INDEX(' Disaggregation - Section E '!F$618:F$1820,MATCH(C3995,' Disaggregation - Section E '!A$618:A3316,0)+1,1),""),"")</f>
        <v/>
      </c>
      <c r="I3995" s="503" t="str">
        <f ca="1">IFERROR(IF(VLOOKUP(C3995,' Disaggregation - Section E '!A$618:N2119,8,0)=0,"",VLOOKUP(C3995,' Disaggregation - Section E '!A$618:N2119,8,0)),"")</f>
        <v/>
      </c>
      <c r="J3995" s="503" t="str">
        <f ca="1">IFERROR(IF(VLOOKUP(C3995,' Disaggregation - Section E '!A$618:N3316,13,0)=0,"",VLOOKUP(C3995,' Disaggregation - Section E '!A$618:N3316,13,0)),"")</f>
        <v/>
      </c>
      <c r="K3995" s="497" t="str">
        <f ca="1">IFERROR(VLOOKUP(C3995,' Disaggregation - Section E '!A$618:N2119,3,0),"")</f>
        <v>HTS-5 Porcentaje de personas con diagnóstico nuevo de VIH que han iniciado terapia antirretroviral</v>
      </c>
      <c r="L3995" s="497"/>
      <c r="M3995" s="497" t="str">
        <f ca="1">IFERROR(IF(VLOOKUP(C3995,' Disaggregation - Section E '!A$618:T2119,20,0)=0,"",VLOOKUP(C3995,' Disaggregation - Section E '!A$618:T2119,20,0)),"")</f>
        <v/>
      </c>
      <c r="N3995" s="503" t="str">
        <f ca="1">IFERROR(IF(VLOOKUP(C3995,' Disaggregation - Section E '!A$618:N2119,14,0)=0,"",VLOOKUP(C3995,' Disaggregation - Section E '!A$618:N2119,14,0)),"")</f>
        <v/>
      </c>
      <c r="O3995" s="503" t="str">
        <f ca="1">IFERROR(IF(VLOOKUP(C3995,' Disaggregation - Section E '!A$618:N2119,9,0)=0,"",VLOOKUP(C3995,' Disaggregation - Section E '!A$618:N2119,9,0)),"")</f>
        <v/>
      </c>
      <c r="P3995" s="503" t="str">
        <f ca="1">IFERROR(IF(VLOOKUP(C3995,' Disaggregation - Section E '!A$618:N2119,10,0)=0,"",VLOOKUP(C3995,' Disaggregation - Section E '!A$618:N2119,10,0)),"")</f>
        <v/>
      </c>
    </row>
    <row r="3996" spans="1:16" x14ac:dyDescent="0.35">
      <c r="A3996" s="497" t="b">
        <f t="shared" ca="1" si="230"/>
        <v>0</v>
      </c>
      <c r="B3996" s="497"/>
      <c r="C3996" s="510" t="str">
        <f ca="1">IF(COUNTA(D$2498:D3996)=1,"",OFFSET(B3994,-COUNTA(D$2498:D3996)+3,1))</f>
        <v>a163p000004NtO6AAK</v>
      </c>
      <c r="D3996" s="512"/>
      <c r="E3996" s="500" t="str">
        <f ca="1">IFERROR(IF(VLOOKUP(C3996,' Disaggregation - Section E '!A$618:N2120,7,0)="","",VLOOKUP(C3996,' Disaggregation - Section E '!A$618:N2120,7,0)*100),"")</f>
        <v/>
      </c>
      <c r="F3996" s="503" t="str">
        <f ca="1">IFERROR(VLOOKUP(C3996,' Disaggregation - Section E '!A$618:N2120,5,0),"")</f>
        <v/>
      </c>
      <c r="G3996" s="502" t="str">
        <f ca="1">IFERROR(IF(VLOOKUP(C3996,' Disaggregation - Section E '!A$618:N2120,6,0)="","",VLOOKUP(C3996,' Disaggregation - Section E '!A$618:N2120,6,0)),"")</f>
        <v/>
      </c>
      <c r="H3996" s="512" t="str">
        <f ca="1">IFERROR(IF(INDEX(' Disaggregation - Section E '!F$618:F3317,MATCH(C3996,' Disaggregation - Section E '!A$618:A3317,0)+1,1)&lt;&gt;0,INDEX(' Disaggregation - Section E '!F$618:F$1820,MATCH(C3996,' Disaggregation - Section E '!A$618:A3317,0)+1,1),""),"")</f>
        <v/>
      </c>
      <c r="I3996" s="503" t="str">
        <f ca="1">IFERROR(IF(VLOOKUP(C3996,' Disaggregation - Section E '!A$618:N2120,8,0)=0,"",VLOOKUP(C3996,' Disaggregation - Section E '!A$618:N2120,8,0)),"")</f>
        <v/>
      </c>
      <c r="J3996" s="503" t="str">
        <f ca="1">IFERROR(IF(VLOOKUP(C3996,' Disaggregation - Section E '!A$618:N3317,13,0)=0,"",VLOOKUP(C3996,' Disaggregation - Section E '!A$618:N3317,13,0)),"")</f>
        <v/>
      </c>
      <c r="K3996" s="497" t="str">
        <f ca="1">IFERROR(VLOOKUP(C3996,' Disaggregation - Section E '!A$618:N2120,3,0),"")</f>
        <v>HTS-5 Porcentaje de personas con diagnóstico nuevo de VIH que han iniciado terapia antirretroviral</v>
      </c>
      <c r="L3996" s="497"/>
      <c r="M3996" s="497" t="str">
        <f ca="1">IFERROR(IF(VLOOKUP(C3996,' Disaggregation - Section E '!A$618:T2120,20,0)=0,"",VLOOKUP(C3996,' Disaggregation - Section E '!A$618:T2120,20,0)),"")</f>
        <v/>
      </c>
      <c r="N3996" s="503" t="str">
        <f ca="1">IFERROR(IF(VLOOKUP(C3996,' Disaggregation - Section E '!A$618:N2120,14,0)=0,"",VLOOKUP(C3996,' Disaggregation - Section E '!A$618:N2120,14,0)),"")</f>
        <v/>
      </c>
      <c r="O3996" s="503" t="str">
        <f ca="1">IFERROR(IF(VLOOKUP(C3996,' Disaggregation - Section E '!A$618:N2120,9,0)=0,"",VLOOKUP(C3996,' Disaggregation - Section E '!A$618:N2120,9,0)),"")</f>
        <v/>
      </c>
      <c r="P3996" s="503" t="str">
        <f ca="1">IFERROR(IF(VLOOKUP(C3996,' Disaggregation - Section E '!A$618:N2120,10,0)=0,"",VLOOKUP(C3996,' Disaggregation - Section E '!A$618:N2120,10,0)),"")</f>
        <v/>
      </c>
    </row>
    <row r="3997" spans="1:16" x14ac:dyDescent="0.35">
      <c r="A3997" s="497" t="b">
        <f t="shared" ca="1" si="230"/>
        <v>0</v>
      </c>
      <c r="B3997" s="497"/>
      <c r="C3997" s="510" t="str">
        <f ca="1">IF(COUNTA(D$2498:D3997)=1,"",OFFSET(B3995,-COUNTA(D$2498:D3997)+3,1))</f>
        <v>a163p000004NtO7AAK</v>
      </c>
      <c r="D3997" s="512"/>
      <c r="E3997" s="500" t="str">
        <f ca="1">IFERROR(IF(VLOOKUP(C3997,' Disaggregation - Section E '!A$618:N2121,7,0)="","",VLOOKUP(C3997,' Disaggregation - Section E '!A$618:N2121,7,0)*100),"")</f>
        <v/>
      </c>
      <c r="F3997" s="503" t="str">
        <f ca="1">IFERROR(VLOOKUP(C3997,' Disaggregation - Section E '!A$618:N2121,5,0),"")</f>
        <v/>
      </c>
      <c r="G3997" s="502" t="str">
        <f ca="1">IFERROR(IF(VLOOKUP(C3997,' Disaggregation - Section E '!A$618:N2121,6,0)="","",VLOOKUP(C3997,' Disaggregation - Section E '!A$618:N2121,6,0)),"")</f>
        <v/>
      </c>
      <c r="H3997" s="512" t="str">
        <f ca="1">IFERROR(IF(INDEX(' Disaggregation - Section E '!F$618:F3318,MATCH(C3997,' Disaggregation - Section E '!A$618:A3318,0)+1,1)&lt;&gt;0,INDEX(' Disaggregation - Section E '!F$618:F$1820,MATCH(C3997,' Disaggregation - Section E '!A$618:A3318,0)+1,1),""),"")</f>
        <v/>
      </c>
      <c r="I3997" s="503" t="str">
        <f ca="1">IFERROR(IF(VLOOKUP(C3997,' Disaggregation - Section E '!A$618:N2121,8,0)=0,"",VLOOKUP(C3997,' Disaggregation - Section E '!A$618:N2121,8,0)),"")</f>
        <v/>
      </c>
      <c r="J3997" s="503" t="str">
        <f ca="1">IFERROR(IF(VLOOKUP(C3997,' Disaggregation - Section E '!A$618:N3318,13,0)=0,"",VLOOKUP(C3997,' Disaggregation - Section E '!A$618:N3318,13,0)),"")</f>
        <v/>
      </c>
      <c r="K3997" s="497" t="str">
        <f ca="1">IFERROR(VLOOKUP(C3997,' Disaggregation - Section E '!A$618:N2121,3,0),"")</f>
        <v>HTS-5 Porcentaje de personas con diagnóstico nuevo de VIH que han iniciado terapia antirretroviral</v>
      </c>
      <c r="L3997" s="497"/>
      <c r="M3997" s="497" t="str">
        <f ca="1">IFERROR(IF(VLOOKUP(C3997,' Disaggregation - Section E '!A$618:T2121,20,0)=0,"",VLOOKUP(C3997,' Disaggregation - Section E '!A$618:T2121,20,0)),"")</f>
        <v/>
      </c>
      <c r="N3997" s="503" t="str">
        <f ca="1">IFERROR(IF(VLOOKUP(C3997,' Disaggregation - Section E '!A$618:N2121,14,0)=0,"",VLOOKUP(C3997,' Disaggregation - Section E '!A$618:N2121,14,0)),"")</f>
        <v/>
      </c>
      <c r="O3997" s="503" t="str">
        <f ca="1">IFERROR(IF(VLOOKUP(C3997,' Disaggregation - Section E '!A$618:N2121,9,0)=0,"",VLOOKUP(C3997,' Disaggregation - Section E '!A$618:N2121,9,0)),"")</f>
        <v/>
      </c>
      <c r="P3997" s="503" t="str">
        <f ca="1">IFERROR(IF(VLOOKUP(C3997,' Disaggregation - Section E '!A$618:N2121,10,0)=0,"",VLOOKUP(C3997,' Disaggregation - Section E '!A$618:N2121,10,0)),"")</f>
        <v/>
      </c>
    </row>
    <row r="3998" spans="1:16" x14ac:dyDescent="0.35">
      <c r="A3998" s="497" t="b">
        <f t="shared" ca="1" si="230"/>
        <v>0</v>
      </c>
      <c r="B3998" s="497"/>
      <c r="C3998" s="510" t="str">
        <f ca="1">IF(COUNTA(D$2498:D3998)=1,"",OFFSET(B3996,-COUNTA(D$2498:D3998)+3,1))</f>
        <v>a163p000004NtO8AAK</v>
      </c>
      <c r="D3998" s="512"/>
      <c r="E3998" s="500" t="str">
        <f ca="1">IFERROR(IF(VLOOKUP(C3998,' Disaggregation - Section E '!A$618:N2122,7,0)="","",VLOOKUP(C3998,' Disaggregation - Section E '!A$618:N2122,7,0)*100),"")</f>
        <v/>
      </c>
      <c r="F3998" s="503" t="str">
        <f ca="1">IFERROR(VLOOKUP(C3998,' Disaggregation - Section E '!A$618:N2122,5,0),"")</f>
        <v/>
      </c>
      <c r="G3998" s="502" t="str">
        <f ca="1">IFERROR(IF(VLOOKUP(C3998,' Disaggregation - Section E '!A$618:N2122,6,0)="","",VLOOKUP(C3998,' Disaggregation - Section E '!A$618:N2122,6,0)),"")</f>
        <v/>
      </c>
      <c r="H3998" s="512" t="str">
        <f ca="1">IFERROR(IF(INDEX(' Disaggregation - Section E '!F$618:F3319,MATCH(C3998,' Disaggregation - Section E '!A$618:A3319,0)+1,1)&lt;&gt;0,INDEX(' Disaggregation - Section E '!F$618:F$1820,MATCH(C3998,' Disaggregation - Section E '!A$618:A3319,0)+1,1),""),"")</f>
        <v/>
      </c>
      <c r="I3998" s="503" t="str">
        <f ca="1">IFERROR(IF(VLOOKUP(C3998,' Disaggregation - Section E '!A$618:N2122,8,0)=0,"",VLOOKUP(C3998,' Disaggregation - Section E '!A$618:N2122,8,0)),"")</f>
        <v/>
      </c>
      <c r="J3998" s="503" t="str">
        <f ca="1">IFERROR(IF(VLOOKUP(C3998,' Disaggregation - Section E '!A$618:N3319,13,0)=0,"",VLOOKUP(C3998,' Disaggregation - Section E '!A$618:N3319,13,0)),"")</f>
        <v/>
      </c>
      <c r="K3998" s="497" t="str">
        <f ca="1">IFERROR(VLOOKUP(C3998,' Disaggregation - Section E '!A$618:N2122,3,0),"")</f>
        <v>HTS-5 Porcentaje de personas con diagnóstico nuevo de VIH que han iniciado terapia antirretroviral</v>
      </c>
      <c r="L3998" s="497"/>
      <c r="M3998" s="497" t="str">
        <f ca="1">IFERROR(IF(VLOOKUP(C3998,' Disaggregation - Section E '!A$618:T2122,20,0)=0,"",VLOOKUP(C3998,' Disaggregation - Section E '!A$618:T2122,20,0)),"")</f>
        <v/>
      </c>
      <c r="N3998" s="503" t="str">
        <f ca="1">IFERROR(IF(VLOOKUP(C3998,' Disaggregation - Section E '!A$618:N2122,14,0)=0,"",VLOOKUP(C3998,' Disaggregation - Section E '!A$618:N2122,14,0)),"")</f>
        <v/>
      </c>
      <c r="O3998" s="503" t="str">
        <f ca="1">IFERROR(IF(VLOOKUP(C3998,' Disaggregation - Section E '!A$618:N2122,9,0)=0,"",VLOOKUP(C3998,' Disaggregation - Section E '!A$618:N2122,9,0)),"")</f>
        <v/>
      </c>
      <c r="P3998" s="503" t="str">
        <f ca="1">IFERROR(IF(VLOOKUP(C3998,' Disaggregation - Section E '!A$618:N2122,10,0)=0,"",VLOOKUP(C3998,' Disaggregation - Section E '!A$618:N2122,10,0)),"")</f>
        <v/>
      </c>
    </row>
    <row r="3999" spans="1:16" x14ac:dyDescent="0.35">
      <c r="A3999" s="497" t="b">
        <f t="shared" ca="1" si="230"/>
        <v>0</v>
      </c>
      <c r="B3999" s="497"/>
      <c r="C3999" s="510" t="str">
        <f ca="1">IF(COUNTA(D$2498:D3999)=1,"",OFFSET(B3997,-COUNTA(D$2498:D3999)+3,1))</f>
        <v>a163p000004NtO9AAK</v>
      </c>
      <c r="D3999" s="512"/>
      <c r="E3999" s="500" t="str">
        <f ca="1">IFERROR(IF(VLOOKUP(C3999,' Disaggregation - Section E '!A$618:N2123,7,0)="","",VLOOKUP(C3999,' Disaggregation - Section E '!A$618:N2123,7,0)*100),"")</f>
        <v/>
      </c>
      <c r="F3999" s="503" t="str">
        <f ca="1">IFERROR(VLOOKUP(C3999,' Disaggregation - Section E '!A$618:N2123,5,0),"")</f>
        <v/>
      </c>
      <c r="G3999" s="502" t="str">
        <f ca="1">IFERROR(IF(VLOOKUP(C3999,' Disaggregation - Section E '!A$618:N2123,6,0)="","",VLOOKUP(C3999,' Disaggregation - Section E '!A$618:N2123,6,0)),"")</f>
        <v/>
      </c>
      <c r="H3999" s="512" t="str">
        <f ca="1">IFERROR(IF(INDEX(' Disaggregation - Section E '!F$618:F3320,MATCH(C3999,' Disaggregation - Section E '!A$618:A3320,0)+1,1)&lt;&gt;0,INDEX(' Disaggregation - Section E '!F$618:F$1820,MATCH(C3999,' Disaggregation - Section E '!A$618:A3320,0)+1,1),""),"")</f>
        <v/>
      </c>
      <c r="I3999" s="503" t="str">
        <f ca="1">IFERROR(IF(VLOOKUP(C3999,' Disaggregation - Section E '!A$618:N2123,8,0)=0,"",VLOOKUP(C3999,' Disaggregation - Section E '!A$618:N2123,8,0)),"")</f>
        <v/>
      </c>
      <c r="J3999" s="503" t="str">
        <f ca="1">IFERROR(IF(VLOOKUP(C3999,' Disaggregation - Section E '!A$618:N3320,13,0)=0,"",VLOOKUP(C3999,' Disaggregation - Section E '!A$618:N3320,13,0)),"")</f>
        <v/>
      </c>
      <c r="K3999" s="497" t="str">
        <f ca="1">IFERROR(VLOOKUP(C3999,' Disaggregation - Section E '!A$618:N2123,3,0),"")</f>
        <v>HTS-5 Porcentaje de personas con diagnóstico nuevo de VIH que han iniciado terapia antirretroviral</v>
      </c>
      <c r="L3999" s="497"/>
      <c r="M3999" s="497" t="str">
        <f ca="1">IFERROR(IF(VLOOKUP(C3999,' Disaggregation - Section E '!A$618:T2123,20,0)=0,"",VLOOKUP(C3999,' Disaggregation - Section E '!A$618:T2123,20,0)),"")</f>
        <v/>
      </c>
      <c r="N3999" s="503" t="str">
        <f ca="1">IFERROR(IF(VLOOKUP(C3999,' Disaggregation - Section E '!A$618:N2123,14,0)=0,"",VLOOKUP(C3999,' Disaggregation - Section E '!A$618:N2123,14,0)),"")</f>
        <v/>
      </c>
      <c r="O3999" s="503" t="str">
        <f ca="1">IFERROR(IF(VLOOKUP(C3999,' Disaggregation - Section E '!A$618:N2123,9,0)=0,"",VLOOKUP(C3999,' Disaggregation - Section E '!A$618:N2123,9,0)),"")</f>
        <v/>
      </c>
      <c r="P3999" s="503" t="str">
        <f ca="1">IFERROR(IF(VLOOKUP(C3999,' Disaggregation - Section E '!A$618:N2123,10,0)=0,"",VLOOKUP(C3999,' Disaggregation - Section E '!A$618:N2123,10,0)),"")</f>
        <v/>
      </c>
    </row>
    <row r="4000" spans="1:16" x14ac:dyDescent="0.35">
      <c r="A4000" s="497" t="b">
        <f t="shared" ca="1" si="230"/>
        <v>0</v>
      </c>
      <c r="B4000" s="497"/>
      <c r="C4000" s="510" t="str">
        <f ca="1">IF(COUNTA(D$2498:D4000)=1,"",OFFSET(B3998,-COUNTA(D$2498:D4000)+3,1))</f>
        <v>a163p000004NtXWAA0</v>
      </c>
      <c r="D4000" s="512"/>
      <c r="E4000" s="500" t="str">
        <f ca="1">IFERROR(IF(VLOOKUP(C4000,' Disaggregation - Section E '!A$618:N2124,7,0)="","",VLOOKUP(C4000,' Disaggregation - Section E '!A$618:N2124,7,0)*100),"")</f>
        <v/>
      </c>
      <c r="F4000" s="503" t="str">
        <f ca="1">IFERROR(VLOOKUP(C4000,' Disaggregation - Section E '!A$618:N2124,5,0),"")</f>
        <v/>
      </c>
      <c r="G4000" s="502" t="str">
        <f ca="1">IFERROR(IF(VLOOKUP(C4000,' Disaggregation - Section E '!A$618:N2124,6,0)="","",VLOOKUP(C4000,' Disaggregation - Section E '!A$618:N2124,6,0)),"")</f>
        <v/>
      </c>
      <c r="H4000" s="512" t="str">
        <f ca="1">IFERROR(IF(INDEX(' Disaggregation - Section E '!F$618:F3321,MATCH(C4000,' Disaggregation - Section E '!A$618:A3321,0)+1,1)&lt;&gt;0,INDEX(' Disaggregation - Section E '!F$618:F$1820,MATCH(C4000,' Disaggregation - Section E '!A$618:A3321,0)+1,1),""),"")</f>
        <v/>
      </c>
      <c r="I4000" s="503" t="str">
        <f ca="1">IFERROR(IF(VLOOKUP(C4000,' Disaggregation - Section E '!A$618:N2124,8,0)=0,"",VLOOKUP(C4000,' Disaggregation - Section E '!A$618:N2124,8,0)),"")</f>
        <v/>
      </c>
      <c r="J4000" s="503" t="str">
        <f ca="1">IFERROR(IF(VLOOKUP(C4000,' Disaggregation - Section E '!A$618:N3321,13,0)=0,"",VLOOKUP(C4000,' Disaggregation - Section E '!A$618:N3321,13,0)),"")</f>
        <v/>
      </c>
      <c r="K4000" s="497" t="str">
        <f ca="1">IFERROR(VLOOKUP(C4000,' Disaggregation - Section E '!A$618:N2124,3,0),"")</f>
        <v/>
      </c>
      <c r="L4000" s="497"/>
      <c r="M4000" s="497" t="str">
        <f ca="1">IFERROR(IF(VLOOKUP(C4000,' Disaggregation - Section E '!A$618:T2124,20,0)=0,"",VLOOKUP(C4000,' Disaggregation - Section E '!A$618:T2124,20,0)),"")</f>
        <v/>
      </c>
      <c r="N4000" s="503" t="str">
        <f ca="1">IFERROR(IF(VLOOKUP(C4000,' Disaggregation - Section E '!A$618:N2124,14,0)=0,"",VLOOKUP(C4000,' Disaggregation - Section E '!A$618:N2124,14,0)),"")</f>
        <v/>
      </c>
      <c r="O4000" s="503" t="str">
        <f ca="1">IFERROR(IF(VLOOKUP(C4000,' Disaggregation - Section E '!A$618:N2124,9,0)=0,"",VLOOKUP(C4000,' Disaggregation - Section E '!A$618:N2124,9,0)),"")</f>
        <v/>
      </c>
      <c r="P4000" s="503" t="str">
        <f ca="1">IFERROR(IF(VLOOKUP(C4000,' Disaggregation - Section E '!A$618:N2124,10,0)=0,"",VLOOKUP(C4000,' Disaggregation - Section E '!A$618:N2124,10,0)),"")</f>
        <v/>
      </c>
    </row>
    <row r="4001" spans="1:16" x14ac:dyDescent="0.35">
      <c r="A4001" s="497" t="b">
        <f t="shared" ca="1" si="230"/>
        <v>0</v>
      </c>
      <c r="B4001" s="497"/>
      <c r="C4001" s="510" t="str">
        <f ca="1">IF(COUNTA(D$2498:D4001)=1,"",OFFSET(B3999,-COUNTA(D$2498:D4001)+3,1))</f>
        <v>a163p000004NtXXAA0</v>
      </c>
      <c r="D4001" s="512"/>
      <c r="E4001" s="500" t="str">
        <f ca="1">IFERROR(IF(VLOOKUP(C4001,' Disaggregation - Section E '!A$618:N2125,7,0)="","",VLOOKUP(C4001,' Disaggregation - Section E '!A$618:N2125,7,0)*100),"")</f>
        <v/>
      </c>
      <c r="F4001" s="503" t="str">
        <f ca="1">IFERROR(VLOOKUP(C4001,' Disaggregation - Section E '!A$618:N2125,5,0),"")</f>
        <v/>
      </c>
      <c r="G4001" s="502" t="str">
        <f ca="1">IFERROR(IF(VLOOKUP(C4001,' Disaggregation - Section E '!A$618:N2125,6,0)="","",VLOOKUP(C4001,' Disaggregation - Section E '!A$618:N2125,6,0)),"")</f>
        <v/>
      </c>
      <c r="H4001" s="512" t="str">
        <f ca="1">IFERROR(IF(INDEX(' Disaggregation - Section E '!F$618:F3322,MATCH(C4001,' Disaggregation - Section E '!A$618:A3322,0)+1,1)&lt;&gt;0,INDEX(' Disaggregation - Section E '!F$618:F$1820,MATCH(C4001,' Disaggregation - Section E '!A$618:A3322,0)+1,1),""),"")</f>
        <v/>
      </c>
      <c r="I4001" s="503" t="str">
        <f ca="1">IFERROR(IF(VLOOKUP(C4001,' Disaggregation - Section E '!A$618:N2125,8,0)=0,"",VLOOKUP(C4001,' Disaggregation - Section E '!A$618:N2125,8,0)),"")</f>
        <v/>
      </c>
      <c r="J4001" s="503" t="str">
        <f ca="1">IFERROR(IF(VLOOKUP(C4001,' Disaggregation - Section E '!A$618:N3322,13,0)=0,"",VLOOKUP(C4001,' Disaggregation - Section E '!A$618:N3322,13,0)),"")</f>
        <v/>
      </c>
      <c r="K4001" s="497" t="str">
        <f ca="1">IFERROR(VLOOKUP(C4001,' Disaggregation - Section E '!A$618:N2125,3,0),"")</f>
        <v/>
      </c>
      <c r="L4001" s="497"/>
      <c r="M4001" s="497" t="str">
        <f ca="1">IFERROR(IF(VLOOKUP(C4001,' Disaggregation - Section E '!A$618:T2125,20,0)=0,"",VLOOKUP(C4001,' Disaggregation - Section E '!A$618:T2125,20,0)),"")</f>
        <v/>
      </c>
      <c r="N4001" s="503" t="str">
        <f ca="1">IFERROR(IF(VLOOKUP(C4001,' Disaggregation - Section E '!A$618:N2125,14,0)=0,"",VLOOKUP(C4001,' Disaggregation - Section E '!A$618:N2125,14,0)),"")</f>
        <v/>
      </c>
      <c r="O4001" s="503" t="str">
        <f ca="1">IFERROR(IF(VLOOKUP(C4001,' Disaggregation - Section E '!A$618:N2125,9,0)=0,"",VLOOKUP(C4001,' Disaggregation - Section E '!A$618:N2125,9,0)),"")</f>
        <v/>
      </c>
      <c r="P4001" s="503" t="str">
        <f ca="1">IFERROR(IF(VLOOKUP(C4001,' Disaggregation - Section E '!A$618:N2125,10,0)=0,"",VLOOKUP(C4001,' Disaggregation - Section E '!A$618:N2125,10,0)),"")</f>
        <v/>
      </c>
    </row>
    <row r="4002" spans="1:16" x14ac:dyDescent="0.35">
      <c r="A4002" s="497" t="b">
        <f t="shared" ca="1" si="230"/>
        <v>0</v>
      </c>
      <c r="B4002" s="497"/>
      <c r="C4002" s="510" t="str">
        <f ca="1">IF(COUNTA(D$2498:D4002)=1,"",OFFSET(B4000,-COUNTA(D$2498:D4002)+3,1))</f>
        <v>a163p000004NtXYAA0</v>
      </c>
      <c r="D4002" s="512"/>
      <c r="E4002" s="500" t="str">
        <f ca="1">IFERROR(IF(VLOOKUP(C4002,' Disaggregation - Section E '!A$618:N2126,7,0)="","",VLOOKUP(C4002,' Disaggregation - Section E '!A$618:N2126,7,0)*100),"")</f>
        <v/>
      </c>
      <c r="F4002" s="503" t="str">
        <f ca="1">IFERROR(VLOOKUP(C4002,' Disaggregation - Section E '!A$618:N2126,5,0),"")</f>
        <v/>
      </c>
      <c r="G4002" s="502" t="str">
        <f ca="1">IFERROR(IF(VLOOKUP(C4002,' Disaggregation - Section E '!A$618:N2126,6,0)="","",VLOOKUP(C4002,' Disaggregation - Section E '!A$618:N2126,6,0)),"")</f>
        <v/>
      </c>
      <c r="H4002" s="512" t="str">
        <f ca="1">IFERROR(IF(INDEX(' Disaggregation - Section E '!F$618:F3323,MATCH(C4002,' Disaggregation - Section E '!A$618:A3323,0)+1,1)&lt;&gt;0,INDEX(' Disaggregation - Section E '!F$618:F$1820,MATCH(C4002,' Disaggregation - Section E '!A$618:A3323,0)+1,1),""),"")</f>
        <v/>
      </c>
      <c r="I4002" s="503" t="str">
        <f ca="1">IFERROR(IF(VLOOKUP(C4002,' Disaggregation - Section E '!A$618:N2126,8,0)=0,"",VLOOKUP(C4002,' Disaggregation - Section E '!A$618:N2126,8,0)),"")</f>
        <v/>
      </c>
      <c r="J4002" s="503" t="str">
        <f ca="1">IFERROR(IF(VLOOKUP(C4002,' Disaggregation - Section E '!A$618:N3323,13,0)=0,"",VLOOKUP(C4002,' Disaggregation - Section E '!A$618:N3323,13,0)),"")</f>
        <v/>
      </c>
      <c r="K4002" s="497" t="str">
        <f ca="1">IFERROR(VLOOKUP(C4002,' Disaggregation - Section E '!A$618:N2126,3,0),"")</f>
        <v/>
      </c>
      <c r="L4002" s="497"/>
      <c r="M4002" s="497" t="str">
        <f ca="1">IFERROR(IF(VLOOKUP(C4002,' Disaggregation - Section E '!A$618:T2126,20,0)=0,"",VLOOKUP(C4002,' Disaggregation - Section E '!A$618:T2126,20,0)),"")</f>
        <v/>
      </c>
      <c r="N4002" s="503" t="str">
        <f ca="1">IFERROR(IF(VLOOKUP(C4002,' Disaggregation - Section E '!A$618:N2126,14,0)=0,"",VLOOKUP(C4002,' Disaggregation - Section E '!A$618:N2126,14,0)),"")</f>
        <v/>
      </c>
      <c r="O4002" s="503" t="str">
        <f ca="1">IFERROR(IF(VLOOKUP(C4002,' Disaggregation - Section E '!A$618:N2126,9,0)=0,"",VLOOKUP(C4002,' Disaggregation - Section E '!A$618:N2126,9,0)),"")</f>
        <v/>
      </c>
      <c r="P4002" s="503" t="str">
        <f ca="1">IFERROR(IF(VLOOKUP(C4002,' Disaggregation - Section E '!A$618:N2126,10,0)=0,"",VLOOKUP(C4002,' Disaggregation - Section E '!A$618:N2126,10,0)),"")</f>
        <v/>
      </c>
    </row>
    <row r="4003" spans="1:16" x14ac:dyDescent="0.35">
      <c r="A4003" s="497" t="b">
        <f t="shared" ca="1" si="230"/>
        <v>0</v>
      </c>
      <c r="B4003" s="497"/>
      <c r="C4003" s="510" t="str">
        <f ca="1">IF(COUNTA(D$2498:D4003)=1,"",OFFSET(B4001,-COUNTA(D$2498:D4003)+3,1))</f>
        <v>a163p000004NtXZAA0</v>
      </c>
      <c r="D4003" s="512"/>
      <c r="E4003" s="500" t="str">
        <f ca="1">IFERROR(IF(VLOOKUP(C4003,' Disaggregation - Section E '!A$618:N2127,7,0)="","",VLOOKUP(C4003,' Disaggregation - Section E '!A$618:N2127,7,0)*100),"")</f>
        <v/>
      </c>
      <c r="F4003" s="503" t="str">
        <f ca="1">IFERROR(VLOOKUP(C4003,' Disaggregation - Section E '!A$618:N2127,5,0),"")</f>
        <v/>
      </c>
      <c r="G4003" s="502" t="str">
        <f ca="1">IFERROR(IF(VLOOKUP(C4003,' Disaggregation - Section E '!A$618:N2127,6,0)="","",VLOOKUP(C4003,' Disaggregation - Section E '!A$618:N2127,6,0)),"")</f>
        <v/>
      </c>
      <c r="H4003" s="512" t="str">
        <f ca="1">IFERROR(IF(INDEX(' Disaggregation - Section E '!F$618:F3324,MATCH(C4003,' Disaggregation - Section E '!A$618:A3324,0)+1,1)&lt;&gt;0,INDEX(' Disaggregation - Section E '!F$618:F$1820,MATCH(C4003,' Disaggregation - Section E '!A$618:A3324,0)+1,1),""),"")</f>
        <v/>
      </c>
      <c r="I4003" s="503" t="str">
        <f ca="1">IFERROR(IF(VLOOKUP(C4003,' Disaggregation - Section E '!A$618:N2127,8,0)=0,"",VLOOKUP(C4003,' Disaggregation - Section E '!A$618:N2127,8,0)),"")</f>
        <v/>
      </c>
      <c r="J4003" s="503" t="str">
        <f ca="1">IFERROR(IF(VLOOKUP(C4003,' Disaggregation - Section E '!A$618:N3324,13,0)=0,"",VLOOKUP(C4003,' Disaggregation - Section E '!A$618:N3324,13,0)),"")</f>
        <v/>
      </c>
      <c r="K4003" s="497" t="str">
        <f ca="1">IFERROR(VLOOKUP(C4003,' Disaggregation - Section E '!A$618:N2127,3,0),"")</f>
        <v/>
      </c>
      <c r="L4003" s="497"/>
      <c r="M4003" s="497" t="str">
        <f ca="1">IFERROR(IF(VLOOKUP(C4003,' Disaggregation - Section E '!A$618:T2127,20,0)=0,"",VLOOKUP(C4003,' Disaggregation - Section E '!A$618:T2127,20,0)),"")</f>
        <v/>
      </c>
      <c r="N4003" s="503" t="str">
        <f ca="1">IFERROR(IF(VLOOKUP(C4003,' Disaggregation - Section E '!A$618:N2127,14,0)=0,"",VLOOKUP(C4003,' Disaggregation - Section E '!A$618:N2127,14,0)),"")</f>
        <v/>
      </c>
      <c r="O4003" s="503" t="str">
        <f ca="1">IFERROR(IF(VLOOKUP(C4003,' Disaggregation - Section E '!A$618:N2127,9,0)=0,"",VLOOKUP(C4003,' Disaggregation - Section E '!A$618:N2127,9,0)),"")</f>
        <v/>
      </c>
      <c r="P4003" s="503" t="str">
        <f ca="1">IFERROR(IF(VLOOKUP(C4003,' Disaggregation - Section E '!A$618:N2127,10,0)=0,"",VLOOKUP(C4003,' Disaggregation - Section E '!A$618:N2127,10,0)),"")</f>
        <v/>
      </c>
    </row>
    <row r="4004" spans="1:16" x14ac:dyDescent="0.35">
      <c r="A4004" s="497" t="b">
        <f t="shared" ca="1" si="230"/>
        <v>0</v>
      </c>
      <c r="B4004" s="497"/>
      <c r="C4004" s="510" t="str">
        <f ca="1">IF(COUNTA(D$2498:D4004)=1,"",OFFSET(B4002,-COUNTA(D$2498:D4004)+3,1))</f>
        <v>a163p000004NtXaAAK</v>
      </c>
      <c r="D4004" s="512"/>
      <c r="E4004" s="500" t="str">
        <f ca="1">IFERROR(IF(VLOOKUP(C4004,' Disaggregation - Section E '!A$618:N2128,7,0)="","",VLOOKUP(C4004,' Disaggregation - Section E '!A$618:N2128,7,0)*100),"")</f>
        <v/>
      </c>
      <c r="F4004" s="503" t="str">
        <f ca="1">IFERROR(VLOOKUP(C4004,' Disaggregation - Section E '!A$618:N2128,5,0),"")</f>
        <v/>
      </c>
      <c r="G4004" s="502" t="str">
        <f ca="1">IFERROR(IF(VLOOKUP(C4004,' Disaggregation - Section E '!A$618:N2128,6,0)="","",VLOOKUP(C4004,' Disaggregation - Section E '!A$618:N2128,6,0)),"")</f>
        <v/>
      </c>
      <c r="H4004" s="512" t="str">
        <f ca="1">IFERROR(IF(INDEX(' Disaggregation - Section E '!F$618:F3325,MATCH(C4004,' Disaggregation - Section E '!A$618:A3325,0)+1,1)&lt;&gt;0,INDEX(' Disaggregation - Section E '!F$618:F$1820,MATCH(C4004,' Disaggregation - Section E '!A$618:A3325,0)+1,1),""),"")</f>
        <v/>
      </c>
      <c r="I4004" s="503" t="str">
        <f ca="1">IFERROR(IF(VLOOKUP(C4004,' Disaggregation - Section E '!A$618:N2128,8,0)=0,"",VLOOKUP(C4004,' Disaggregation - Section E '!A$618:N2128,8,0)),"")</f>
        <v/>
      </c>
      <c r="J4004" s="503" t="str">
        <f ca="1">IFERROR(IF(VLOOKUP(C4004,' Disaggregation - Section E '!A$618:N3325,13,0)=0,"",VLOOKUP(C4004,' Disaggregation - Section E '!A$618:N3325,13,0)),"")</f>
        <v/>
      </c>
      <c r="K4004" s="497" t="str">
        <f ca="1">IFERROR(VLOOKUP(C4004,' Disaggregation - Section E '!A$618:N2128,3,0),"")</f>
        <v/>
      </c>
      <c r="L4004" s="497"/>
      <c r="M4004" s="497" t="str">
        <f ca="1">IFERROR(IF(VLOOKUP(C4004,' Disaggregation - Section E '!A$618:T2128,20,0)=0,"",VLOOKUP(C4004,' Disaggregation - Section E '!A$618:T2128,20,0)),"")</f>
        <v/>
      </c>
      <c r="N4004" s="503" t="str">
        <f ca="1">IFERROR(IF(VLOOKUP(C4004,' Disaggregation - Section E '!A$618:N2128,14,0)=0,"",VLOOKUP(C4004,' Disaggregation - Section E '!A$618:N2128,14,0)),"")</f>
        <v/>
      </c>
      <c r="O4004" s="503" t="str">
        <f ca="1">IFERROR(IF(VLOOKUP(C4004,' Disaggregation - Section E '!A$618:N2128,9,0)=0,"",VLOOKUP(C4004,' Disaggregation - Section E '!A$618:N2128,9,0)),"")</f>
        <v/>
      </c>
      <c r="P4004" s="503" t="str">
        <f ca="1">IFERROR(IF(VLOOKUP(C4004,' Disaggregation - Section E '!A$618:N2128,10,0)=0,"",VLOOKUP(C4004,' Disaggregation - Section E '!A$618:N2128,10,0)),"")</f>
        <v/>
      </c>
    </row>
    <row r="4005" spans="1:16" x14ac:dyDescent="0.35">
      <c r="A4005" s="497" t="b">
        <f t="shared" ca="1" si="230"/>
        <v>0</v>
      </c>
      <c r="B4005" s="497"/>
      <c r="C4005" s="510" t="str">
        <f ca="1">IF(COUNTA(D$2498:D4005)=1,"",OFFSET(B4003,-COUNTA(D$2498:D4005)+3,1))</f>
        <v>a163p000004NtXbAAK</v>
      </c>
      <c r="D4005" s="512"/>
      <c r="E4005" s="500" t="str">
        <f ca="1">IFERROR(IF(VLOOKUP(C4005,' Disaggregation - Section E '!A$618:N2129,7,0)="","",VLOOKUP(C4005,' Disaggregation - Section E '!A$618:N2129,7,0)*100),"")</f>
        <v/>
      </c>
      <c r="F4005" s="503" t="str">
        <f ca="1">IFERROR(VLOOKUP(C4005,' Disaggregation - Section E '!A$618:N2129,5,0),"")</f>
        <v/>
      </c>
      <c r="G4005" s="502" t="str">
        <f ca="1">IFERROR(IF(VLOOKUP(C4005,' Disaggregation - Section E '!A$618:N2129,6,0)="","",VLOOKUP(C4005,' Disaggregation - Section E '!A$618:N2129,6,0)),"")</f>
        <v/>
      </c>
      <c r="H4005" s="512" t="str">
        <f ca="1">IFERROR(IF(INDEX(' Disaggregation - Section E '!F$618:F3326,MATCH(C4005,' Disaggregation - Section E '!A$618:A3326,0)+1,1)&lt;&gt;0,INDEX(' Disaggregation - Section E '!F$618:F$1820,MATCH(C4005,' Disaggregation - Section E '!A$618:A3326,0)+1,1),""),"")</f>
        <v/>
      </c>
      <c r="I4005" s="503" t="str">
        <f ca="1">IFERROR(IF(VLOOKUP(C4005,' Disaggregation - Section E '!A$618:N2129,8,0)=0,"",VLOOKUP(C4005,' Disaggregation - Section E '!A$618:N2129,8,0)),"")</f>
        <v/>
      </c>
      <c r="J4005" s="503" t="str">
        <f ca="1">IFERROR(IF(VLOOKUP(C4005,' Disaggregation - Section E '!A$618:N3326,13,0)=0,"",VLOOKUP(C4005,' Disaggregation - Section E '!A$618:N3326,13,0)),"")</f>
        <v/>
      </c>
      <c r="K4005" s="497" t="str">
        <f ca="1">IFERROR(VLOOKUP(C4005,' Disaggregation - Section E '!A$618:N2129,3,0),"")</f>
        <v/>
      </c>
      <c r="L4005" s="497"/>
      <c r="M4005" s="497" t="str">
        <f ca="1">IFERROR(IF(VLOOKUP(C4005,' Disaggregation - Section E '!A$618:T2129,20,0)=0,"",VLOOKUP(C4005,' Disaggregation - Section E '!A$618:T2129,20,0)),"")</f>
        <v/>
      </c>
      <c r="N4005" s="503" t="str">
        <f ca="1">IFERROR(IF(VLOOKUP(C4005,' Disaggregation - Section E '!A$618:N2129,14,0)=0,"",VLOOKUP(C4005,' Disaggregation - Section E '!A$618:N2129,14,0)),"")</f>
        <v/>
      </c>
      <c r="O4005" s="503" t="str">
        <f ca="1">IFERROR(IF(VLOOKUP(C4005,' Disaggregation - Section E '!A$618:N2129,9,0)=0,"",VLOOKUP(C4005,' Disaggregation - Section E '!A$618:N2129,9,0)),"")</f>
        <v/>
      </c>
      <c r="P4005" s="503" t="str">
        <f ca="1">IFERROR(IF(VLOOKUP(C4005,' Disaggregation - Section E '!A$618:N2129,10,0)=0,"",VLOOKUP(C4005,' Disaggregation - Section E '!A$618:N2129,10,0)),"")</f>
        <v/>
      </c>
    </row>
    <row r="4006" spans="1:16" x14ac:dyDescent="0.35">
      <c r="A4006" s="497" t="b">
        <f t="shared" ca="1" si="230"/>
        <v>0</v>
      </c>
      <c r="B4006" s="497"/>
      <c r="C4006" s="510" t="str">
        <f ca="1">IF(COUNTA(D$2498:D4006)=1,"",OFFSET(B4004,-COUNTA(D$2498:D4006)+3,1))</f>
        <v>a163p000004NtXcAAK</v>
      </c>
      <c r="D4006" s="512"/>
      <c r="E4006" s="500" t="str">
        <f ca="1">IFERROR(IF(VLOOKUP(C4006,' Disaggregation - Section E '!A$618:N2130,7,0)="","",VLOOKUP(C4006,' Disaggregation - Section E '!A$618:N2130,7,0)*100),"")</f>
        <v/>
      </c>
      <c r="F4006" s="503" t="str">
        <f ca="1">IFERROR(VLOOKUP(C4006,' Disaggregation - Section E '!A$618:N2130,5,0),"")</f>
        <v/>
      </c>
      <c r="G4006" s="502" t="str">
        <f ca="1">IFERROR(IF(VLOOKUP(C4006,' Disaggregation - Section E '!A$618:N2130,6,0)="","",VLOOKUP(C4006,' Disaggregation - Section E '!A$618:N2130,6,0)),"")</f>
        <v/>
      </c>
      <c r="H4006" s="512" t="str">
        <f ca="1">IFERROR(IF(INDEX(' Disaggregation - Section E '!F$618:F3327,MATCH(C4006,' Disaggregation - Section E '!A$618:A3327,0)+1,1)&lt;&gt;0,INDEX(' Disaggregation - Section E '!F$618:F$1820,MATCH(C4006,' Disaggregation - Section E '!A$618:A3327,0)+1,1),""),"")</f>
        <v/>
      </c>
      <c r="I4006" s="503" t="str">
        <f ca="1">IFERROR(IF(VLOOKUP(C4006,' Disaggregation - Section E '!A$618:N2130,8,0)=0,"",VLOOKUP(C4006,' Disaggregation - Section E '!A$618:N2130,8,0)),"")</f>
        <v/>
      </c>
      <c r="J4006" s="503" t="str">
        <f ca="1">IFERROR(IF(VLOOKUP(C4006,' Disaggregation - Section E '!A$618:N3327,13,0)=0,"",VLOOKUP(C4006,' Disaggregation - Section E '!A$618:N3327,13,0)),"")</f>
        <v/>
      </c>
      <c r="K4006" s="497" t="str">
        <f ca="1">IFERROR(VLOOKUP(C4006,' Disaggregation - Section E '!A$618:N2130,3,0),"")</f>
        <v/>
      </c>
      <c r="L4006" s="497"/>
      <c r="M4006" s="497" t="str">
        <f ca="1">IFERROR(IF(VLOOKUP(C4006,' Disaggregation - Section E '!A$618:T2130,20,0)=0,"",VLOOKUP(C4006,' Disaggregation - Section E '!A$618:T2130,20,0)),"")</f>
        <v/>
      </c>
      <c r="N4006" s="503" t="str">
        <f ca="1">IFERROR(IF(VLOOKUP(C4006,' Disaggregation - Section E '!A$618:N2130,14,0)=0,"",VLOOKUP(C4006,' Disaggregation - Section E '!A$618:N2130,14,0)),"")</f>
        <v/>
      </c>
      <c r="O4006" s="503" t="str">
        <f ca="1">IFERROR(IF(VLOOKUP(C4006,' Disaggregation - Section E '!A$618:N2130,9,0)=0,"",VLOOKUP(C4006,' Disaggregation - Section E '!A$618:N2130,9,0)),"")</f>
        <v/>
      </c>
      <c r="P4006" s="503" t="str">
        <f ca="1">IFERROR(IF(VLOOKUP(C4006,' Disaggregation - Section E '!A$618:N2130,10,0)=0,"",VLOOKUP(C4006,' Disaggregation - Section E '!A$618:N2130,10,0)),"")</f>
        <v/>
      </c>
    </row>
    <row r="4007" spans="1:16" x14ac:dyDescent="0.35">
      <c r="A4007" s="497" t="b">
        <f t="shared" ca="1" si="230"/>
        <v>0</v>
      </c>
      <c r="B4007" s="497"/>
      <c r="C4007" s="510" t="str">
        <f ca="1">IF(COUNTA(D$2498:D4007)=1,"",OFFSET(B4005,-COUNTA(D$2498:D4007)+3,1))</f>
        <v>a163p000004NtXdAAK</v>
      </c>
      <c r="D4007" s="512"/>
      <c r="E4007" s="500" t="str">
        <f ca="1">IFERROR(IF(VLOOKUP(C4007,' Disaggregation - Section E '!A$618:N2131,7,0)="","",VLOOKUP(C4007,' Disaggregation - Section E '!A$618:N2131,7,0)*100),"")</f>
        <v/>
      </c>
      <c r="F4007" s="503" t="str">
        <f ca="1">IFERROR(VLOOKUP(C4007,' Disaggregation - Section E '!A$618:N2131,5,0),"")</f>
        <v/>
      </c>
      <c r="G4007" s="502" t="str">
        <f ca="1">IFERROR(IF(VLOOKUP(C4007,' Disaggregation - Section E '!A$618:N2131,6,0)="","",VLOOKUP(C4007,' Disaggregation - Section E '!A$618:N2131,6,0)),"")</f>
        <v/>
      </c>
      <c r="H4007" s="512" t="str">
        <f ca="1">IFERROR(IF(INDEX(' Disaggregation - Section E '!F$618:F3328,MATCH(C4007,' Disaggregation - Section E '!A$618:A3328,0)+1,1)&lt;&gt;0,INDEX(' Disaggregation - Section E '!F$618:F$1820,MATCH(C4007,' Disaggregation - Section E '!A$618:A3328,0)+1,1),""),"")</f>
        <v/>
      </c>
      <c r="I4007" s="503" t="str">
        <f ca="1">IFERROR(IF(VLOOKUP(C4007,' Disaggregation - Section E '!A$618:N2131,8,0)=0,"",VLOOKUP(C4007,' Disaggregation - Section E '!A$618:N2131,8,0)),"")</f>
        <v/>
      </c>
      <c r="J4007" s="503" t="str">
        <f ca="1">IFERROR(IF(VLOOKUP(C4007,' Disaggregation - Section E '!A$618:N3328,13,0)=0,"",VLOOKUP(C4007,' Disaggregation - Section E '!A$618:N3328,13,0)),"")</f>
        <v/>
      </c>
      <c r="K4007" s="497" t="str">
        <f ca="1">IFERROR(VLOOKUP(C4007,' Disaggregation - Section E '!A$618:N2131,3,0),"")</f>
        <v/>
      </c>
      <c r="L4007" s="497"/>
      <c r="M4007" s="497" t="str">
        <f ca="1">IFERROR(IF(VLOOKUP(C4007,' Disaggregation - Section E '!A$618:T2131,20,0)=0,"",VLOOKUP(C4007,' Disaggregation - Section E '!A$618:T2131,20,0)),"")</f>
        <v/>
      </c>
      <c r="N4007" s="503" t="str">
        <f ca="1">IFERROR(IF(VLOOKUP(C4007,' Disaggregation - Section E '!A$618:N2131,14,0)=0,"",VLOOKUP(C4007,' Disaggregation - Section E '!A$618:N2131,14,0)),"")</f>
        <v/>
      </c>
      <c r="O4007" s="503" t="str">
        <f ca="1">IFERROR(IF(VLOOKUP(C4007,' Disaggregation - Section E '!A$618:N2131,9,0)=0,"",VLOOKUP(C4007,' Disaggregation - Section E '!A$618:N2131,9,0)),"")</f>
        <v/>
      </c>
      <c r="P4007" s="503" t="str">
        <f ca="1">IFERROR(IF(VLOOKUP(C4007,' Disaggregation - Section E '!A$618:N2131,10,0)=0,"",VLOOKUP(C4007,' Disaggregation - Section E '!A$618:N2131,10,0)),"")</f>
        <v/>
      </c>
    </row>
    <row r="4008" spans="1:16" x14ac:dyDescent="0.35">
      <c r="A4008" s="497" t="b">
        <f t="shared" ca="1" si="230"/>
        <v>0</v>
      </c>
      <c r="B4008" s="497"/>
      <c r="C4008" s="510" t="str">
        <f ca="1">IF(COUNTA(D$2498:D4008)=1,"",OFFSET(B4006,-COUNTA(D$2498:D4008)+3,1))</f>
        <v>a163p000004NtXeAAK</v>
      </c>
      <c r="D4008" s="512"/>
      <c r="E4008" s="500" t="str">
        <f ca="1">IFERROR(IF(VLOOKUP(C4008,' Disaggregation - Section E '!A$618:N2132,7,0)="","",VLOOKUP(C4008,' Disaggregation - Section E '!A$618:N2132,7,0)*100),"")</f>
        <v/>
      </c>
      <c r="F4008" s="503" t="str">
        <f ca="1">IFERROR(VLOOKUP(C4008,' Disaggregation - Section E '!A$618:N2132,5,0),"")</f>
        <v/>
      </c>
      <c r="G4008" s="502" t="str">
        <f ca="1">IFERROR(IF(VLOOKUP(C4008,' Disaggregation - Section E '!A$618:N2132,6,0)="","",VLOOKUP(C4008,' Disaggregation - Section E '!A$618:N2132,6,0)),"")</f>
        <v/>
      </c>
      <c r="H4008" s="512" t="str">
        <f ca="1">IFERROR(IF(INDEX(' Disaggregation - Section E '!F$618:F3329,MATCH(C4008,' Disaggregation - Section E '!A$618:A3329,0)+1,1)&lt;&gt;0,INDEX(' Disaggregation - Section E '!F$618:F$1820,MATCH(C4008,' Disaggregation - Section E '!A$618:A3329,0)+1,1),""),"")</f>
        <v/>
      </c>
      <c r="I4008" s="503" t="str">
        <f ca="1">IFERROR(IF(VLOOKUP(C4008,' Disaggregation - Section E '!A$618:N2132,8,0)=0,"",VLOOKUP(C4008,' Disaggregation - Section E '!A$618:N2132,8,0)),"")</f>
        <v/>
      </c>
      <c r="J4008" s="503" t="str">
        <f ca="1">IFERROR(IF(VLOOKUP(C4008,' Disaggregation - Section E '!A$618:N3329,13,0)=0,"",VLOOKUP(C4008,' Disaggregation - Section E '!A$618:N3329,13,0)),"")</f>
        <v/>
      </c>
      <c r="K4008" s="497" t="str">
        <f ca="1">IFERROR(VLOOKUP(C4008,' Disaggregation - Section E '!A$618:N2132,3,0),"")</f>
        <v/>
      </c>
      <c r="L4008" s="497"/>
      <c r="M4008" s="497" t="str">
        <f ca="1">IFERROR(IF(VLOOKUP(C4008,' Disaggregation - Section E '!A$618:T2132,20,0)=0,"",VLOOKUP(C4008,' Disaggregation - Section E '!A$618:T2132,20,0)),"")</f>
        <v/>
      </c>
      <c r="N4008" s="503" t="str">
        <f ca="1">IFERROR(IF(VLOOKUP(C4008,' Disaggregation - Section E '!A$618:N2132,14,0)=0,"",VLOOKUP(C4008,' Disaggregation - Section E '!A$618:N2132,14,0)),"")</f>
        <v/>
      </c>
      <c r="O4008" s="503" t="str">
        <f ca="1">IFERROR(IF(VLOOKUP(C4008,' Disaggregation - Section E '!A$618:N2132,9,0)=0,"",VLOOKUP(C4008,' Disaggregation - Section E '!A$618:N2132,9,0)),"")</f>
        <v/>
      </c>
      <c r="P4008" s="503" t="str">
        <f ca="1">IFERROR(IF(VLOOKUP(C4008,' Disaggregation - Section E '!A$618:N2132,10,0)=0,"",VLOOKUP(C4008,' Disaggregation - Section E '!A$618:N2132,10,0)),"")</f>
        <v/>
      </c>
    </row>
    <row r="4009" spans="1:16" x14ac:dyDescent="0.35">
      <c r="A4009" s="497" t="b">
        <f t="shared" ca="1" si="230"/>
        <v>0</v>
      </c>
      <c r="B4009" s="497"/>
      <c r="C4009" s="510" t="str">
        <f ca="1">IF(COUNTA(D$2498:D4009)=1,"",OFFSET(B4007,-COUNTA(D$2498:D4009)+3,1))</f>
        <v>a163p000004NtXfAAK</v>
      </c>
      <c r="D4009" s="512"/>
      <c r="E4009" s="500" t="str">
        <f ca="1">IFERROR(IF(VLOOKUP(C4009,' Disaggregation - Section E '!A$618:N2133,7,0)="","",VLOOKUP(C4009,' Disaggregation - Section E '!A$618:N2133,7,0)*100),"")</f>
        <v/>
      </c>
      <c r="F4009" s="503" t="str">
        <f ca="1">IFERROR(VLOOKUP(C4009,' Disaggregation - Section E '!A$618:N2133,5,0),"")</f>
        <v/>
      </c>
      <c r="G4009" s="502" t="str">
        <f ca="1">IFERROR(IF(VLOOKUP(C4009,' Disaggregation - Section E '!A$618:N2133,6,0)="","",VLOOKUP(C4009,' Disaggregation - Section E '!A$618:N2133,6,0)),"")</f>
        <v/>
      </c>
      <c r="H4009" s="512" t="str">
        <f ca="1">IFERROR(IF(INDEX(' Disaggregation - Section E '!F$618:F3330,MATCH(C4009,' Disaggregation - Section E '!A$618:A3330,0)+1,1)&lt;&gt;0,INDEX(' Disaggregation - Section E '!F$618:F$1820,MATCH(C4009,' Disaggregation - Section E '!A$618:A3330,0)+1,1),""),"")</f>
        <v/>
      </c>
      <c r="I4009" s="503" t="str">
        <f ca="1">IFERROR(IF(VLOOKUP(C4009,' Disaggregation - Section E '!A$618:N2133,8,0)=0,"",VLOOKUP(C4009,' Disaggregation - Section E '!A$618:N2133,8,0)),"")</f>
        <v/>
      </c>
      <c r="J4009" s="503" t="str">
        <f ca="1">IFERROR(IF(VLOOKUP(C4009,' Disaggregation - Section E '!A$618:N3330,13,0)=0,"",VLOOKUP(C4009,' Disaggregation - Section E '!A$618:N3330,13,0)),"")</f>
        <v/>
      </c>
      <c r="K4009" s="497" t="str">
        <f ca="1">IFERROR(VLOOKUP(C4009,' Disaggregation - Section E '!A$618:N2133,3,0),"")</f>
        <v/>
      </c>
      <c r="L4009" s="497"/>
      <c r="M4009" s="497" t="str">
        <f ca="1">IFERROR(IF(VLOOKUP(C4009,' Disaggregation - Section E '!A$618:T2133,20,0)=0,"",VLOOKUP(C4009,' Disaggregation - Section E '!A$618:T2133,20,0)),"")</f>
        <v/>
      </c>
      <c r="N4009" s="503" t="str">
        <f ca="1">IFERROR(IF(VLOOKUP(C4009,' Disaggregation - Section E '!A$618:N2133,14,0)=0,"",VLOOKUP(C4009,' Disaggregation - Section E '!A$618:N2133,14,0)),"")</f>
        <v/>
      </c>
      <c r="O4009" s="503" t="str">
        <f ca="1">IFERROR(IF(VLOOKUP(C4009,' Disaggregation - Section E '!A$618:N2133,9,0)=0,"",VLOOKUP(C4009,' Disaggregation - Section E '!A$618:N2133,9,0)),"")</f>
        <v/>
      </c>
      <c r="P4009" s="503" t="str">
        <f ca="1">IFERROR(IF(VLOOKUP(C4009,' Disaggregation - Section E '!A$618:N2133,10,0)=0,"",VLOOKUP(C4009,' Disaggregation - Section E '!A$618:N2133,10,0)),"")</f>
        <v/>
      </c>
    </row>
    <row r="4010" spans="1:16" x14ac:dyDescent="0.35">
      <c r="A4010" s="497" t="b">
        <f t="shared" ca="1" si="230"/>
        <v>0</v>
      </c>
      <c r="B4010" s="497"/>
      <c r="C4010" s="510" t="str">
        <f ca="1">IF(COUNTA(D$2498:D4010)=1,"",OFFSET(B4008,-COUNTA(D$2498:D4010)+3,1))</f>
        <v>a163p000004NtXgAAK</v>
      </c>
      <c r="D4010" s="512"/>
      <c r="E4010" s="500" t="str">
        <f ca="1">IFERROR(IF(VLOOKUP(C4010,' Disaggregation - Section E '!A$618:N2134,7,0)="","",VLOOKUP(C4010,' Disaggregation - Section E '!A$618:N2134,7,0)*100),"")</f>
        <v/>
      </c>
      <c r="F4010" s="503" t="str">
        <f ca="1">IFERROR(VLOOKUP(C4010,' Disaggregation - Section E '!A$618:N2134,5,0),"")</f>
        <v/>
      </c>
      <c r="G4010" s="502" t="str">
        <f ca="1">IFERROR(IF(VLOOKUP(C4010,' Disaggregation - Section E '!A$618:N2134,6,0)="","",VLOOKUP(C4010,' Disaggregation - Section E '!A$618:N2134,6,0)),"")</f>
        <v/>
      </c>
      <c r="H4010" s="512" t="str">
        <f ca="1">IFERROR(IF(INDEX(' Disaggregation - Section E '!F$618:F3331,MATCH(C4010,' Disaggregation - Section E '!A$618:A3331,0)+1,1)&lt;&gt;0,INDEX(' Disaggregation - Section E '!F$618:F$1820,MATCH(C4010,' Disaggregation - Section E '!A$618:A3331,0)+1,1),""),"")</f>
        <v/>
      </c>
      <c r="I4010" s="503" t="str">
        <f ca="1">IFERROR(IF(VLOOKUP(C4010,' Disaggregation - Section E '!A$618:N2134,8,0)=0,"",VLOOKUP(C4010,' Disaggregation - Section E '!A$618:N2134,8,0)),"")</f>
        <v/>
      </c>
      <c r="J4010" s="503" t="str">
        <f ca="1">IFERROR(IF(VLOOKUP(C4010,' Disaggregation - Section E '!A$618:N3331,13,0)=0,"",VLOOKUP(C4010,' Disaggregation - Section E '!A$618:N3331,13,0)),"")</f>
        <v/>
      </c>
      <c r="K4010" s="497" t="str">
        <f ca="1">IFERROR(VLOOKUP(C4010,' Disaggregation - Section E '!A$618:N2134,3,0),"")</f>
        <v/>
      </c>
      <c r="L4010" s="497"/>
      <c r="M4010" s="497" t="str">
        <f ca="1">IFERROR(IF(VLOOKUP(C4010,' Disaggregation - Section E '!A$618:T2134,20,0)=0,"",VLOOKUP(C4010,' Disaggregation - Section E '!A$618:T2134,20,0)),"")</f>
        <v/>
      </c>
      <c r="N4010" s="503" t="str">
        <f ca="1">IFERROR(IF(VLOOKUP(C4010,' Disaggregation - Section E '!A$618:N2134,14,0)=0,"",VLOOKUP(C4010,' Disaggregation - Section E '!A$618:N2134,14,0)),"")</f>
        <v/>
      </c>
      <c r="O4010" s="503" t="str">
        <f ca="1">IFERROR(IF(VLOOKUP(C4010,' Disaggregation - Section E '!A$618:N2134,9,0)=0,"",VLOOKUP(C4010,' Disaggregation - Section E '!A$618:N2134,9,0)),"")</f>
        <v/>
      </c>
      <c r="P4010" s="503" t="str">
        <f ca="1">IFERROR(IF(VLOOKUP(C4010,' Disaggregation - Section E '!A$618:N2134,10,0)=0,"",VLOOKUP(C4010,' Disaggregation - Section E '!A$618:N2134,10,0)),"")</f>
        <v/>
      </c>
    </row>
    <row r="4011" spans="1:16" x14ac:dyDescent="0.35">
      <c r="A4011" s="497" t="b">
        <f t="shared" ca="1" si="230"/>
        <v>0</v>
      </c>
      <c r="B4011" s="497"/>
      <c r="C4011" s="510" t="str">
        <f ca="1">IF(COUNTA(D$2498:D4011)=1,"",OFFSET(B4009,-COUNTA(D$2498:D4011)+3,1))</f>
        <v>a163p000004NtXhAAK</v>
      </c>
      <c r="D4011" s="512"/>
      <c r="E4011" s="500" t="str">
        <f ca="1">IFERROR(IF(VLOOKUP(C4011,' Disaggregation - Section E '!A$618:N2135,7,0)="","",VLOOKUP(C4011,' Disaggregation - Section E '!A$618:N2135,7,0)*100),"")</f>
        <v/>
      </c>
      <c r="F4011" s="503" t="str">
        <f ca="1">IFERROR(VLOOKUP(C4011,' Disaggregation - Section E '!A$618:N2135,5,0),"")</f>
        <v/>
      </c>
      <c r="G4011" s="502" t="str">
        <f ca="1">IFERROR(IF(VLOOKUP(C4011,' Disaggregation - Section E '!A$618:N2135,6,0)="","",VLOOKUP(C4011,' Disaggregation - Section E '!A$618:N2135,6,0)),"")</f>
        <v/>
      </c>
      <c r="H4011" s="512" t="str">
        <f ca="1">IFERROR(IF(INDEX(' Disaggregation - Section E '!F$618:F3332,MATCH(C4011,' Disaggregation - Section E '!A$618:A3332,0)+1,1)&lt;&gt;0,INDEX(' Disaggregation - Section E '!F$618:F$1820,MATCH(C4011,' Disaggregation - Section E '!A$618:A3332,0)+1,1),""),"")</f>
        <v/>
      </c>
      <c r="I4011" s="503" t="str">
        <f ca="1">IFERROR(IF(VLOOKUP(C4011,' Disaggregation - Section E '!A$618:N2135,8,0)=0,"",VLOOKUP(C4011,' Disaggregation - Section E '!A$618:N2135,8,0)),"")</f>
        <v/>
      </c>
      <c r="J4011" s="503" t="str">
        <f ca="1">IFERROR(IF(VLOOKUP(C4011,' Disaggregation - Section E '!A$618:N3332,13,0)=0,"",VLOOKUP(C4011,' Disaggregation - Section E '!A$618:N3332,13,0)),"")</f>
        <v/>
      </c>
      <c r="K4011" s="497" t="str">
        <f ca="1">IFERROR(VLOOKUP(C4011,' Disaggregation - Section E '!A$618:N2135,3,0),"")</f>
        <v/>
      </c>
      <c r="L4011" s="497"/>
      <c r="M4011" s="497" t="str">
        <f ca="1">IFERROR(IF(VLOOKUP(C4011,' Disaggregation - Section E '!A$618:T2135,20,0)=0,"",VLOOKUP(C4011,' Disaggregation - Section E '!A$618:T2135,20,0)),"")</f>
        <v/>
      </c>
      <c r="N4011" s="503" t="str">
        <f ca="1">IFERROR(IF(VLOOKUP(C4011,' Disaggregation - Section E '!A$618:N2135,14,0)=0,"",VLOOKUP(C4011,' Disaggregation - Section E '!A$618:N2135,14,0)),"")</f>
        <v/>
      </c>
      <c r="O4011" s="503" t="str">
        <f ca="1">IFERROR(IF(VLOOKUP(C4011,' Disaggregation - Section E '!A$618:N2135,9,0)=0,"",VLOOKUP(C4011,' Disaggregation - Section E '!A$618:N2135,9,0)),"")</f>
        <v/>
      </c>
      <c r="P4011" s="503" t="str">
        <f ca="1">IFERROR(IF(VLOOKUP(C4011,' Disaggregation - Section E '!A$618:N2135,10,0)=0,"",VLOOKUP(C4011,' Disaggregation - Section E '!A$618:N2135,10,0)),"")</f>
        <v/>
      </c>
    </row>
    <row r="4012" spans="1:16" x14ac:dyDescent="0.35">
      <c r="A4012" s="497" t="b">
        <f t="shared" ca="1" si="230"/>
        <v>0</v>
      </c>
      <c r="B4012" s="497"/>
      <c r="C4012" s="510" t="str">
        <f ca="1">IF(COUNTA(D$2498:D4012)=1,"",OFFSET(B4010,-COUNTA(D$2498:D4012)+3,1))</f>
        <v>a163p000004NtXiAAK</v>
      </c>
      <c r="D4012" s="512"/>
      <c r="E4012" s="500" t="str">
        <f ca="1">IFERROR(IF(VLOOKUP(C4012,' Disaggregation - Section E '!A$618:N2136,7,0)="","",VLOOKUP(C4012,' Disaggregation - Section E '!A$618:N2136,7,0)*100),"")</f>
        <v/>
      </c>
      <c r="F4012" s="503" t="str">
        <f ca="1">IFERROR(VLOOKUP(C4012,' Disaggregation - Section E '!A$618:N2136,5,0),"")</f>
        <v/>
      </c>
      <c r="G4012" s="502" t="str">
        <f ca="1">IFERROR(IF(VLOOKUP(C4012,' Disaggregation - Section E '!A$618:N2136,6,0)="","",VLOOKUP(C4012,' Disaggregation - Section E '!A$618:N2136,6,0)),"")</f>
        <v/>
      </c>
      <c r="H4012" s="512" t="str">
        <f ca="1">IFERROR(IF(INDEX(' Disaggregation - Section E '!F$618:F3333,MATCH(C4012,' Disaggregation - Section E '!A$618:A3333,0)+1,1)&lt;&gt;0,INDEX(' Disaggregation - Section E '!F$618:F$1820,MATCH(C4012,' Disaggregation - Section E '!A$618:A3333,0)+1,1),""),"")</f>
        <v/>
      </c>
      <c r="I4012" s="503" t="str">
        <f ca="1">IFERROR(IF(VLOOKUP(C4012,' Disaggregation - Section E '!A$618:N2136,8,0)=0,"",VLOOKUP(C4012,' Disaggregation - Section E '!A$618:N2136,8,0)),"")</f>
        <v/>
      </c>
      <c r="J4012" s="503" t="str">
        <f ca="1">IFERROR(IF(VLOOKUP(C4012,' Disaggregation - Section E '!A$618:N3333,13,0)=0,"",VLOOKUP(C4012,' Disaggregation - Section E '!A$618:N3333,13,0)),"")</f>
        <v/>
      </c>
      <c r="K4012" s="497" t="str">
        <f ca="1">IFERROR(VLOOKUP(C4012,' Disaggregation - Section E '!A$618:N2136,3,0),"")</f>
        <v/>
      </c>
      <c r="L4012" s="497"/>
      <c r="M4012" s="497" t="str">
        <f ca="1">IFERROR(IF(VLOOKUP(C4012,' Disaggregation - Section E '!A$618:T2136,20,0)=0,"",VLOOKUP(C4012,' Disaggregation - Section E '!A$618:T2136,20,0)),"")</f>
        <v/>
      </c>
      <c r="N4012" s="503" t="str">
        <f ca="1">IFERROR(IF(VLOOKUP(C4012,' Disaggregation - Section E '!A$618:N2136,14,0)=0,"",VLOOKUP(C4012,' Disaggregation - Section E '!A$618:N2136,14,0)),"")</f>
        <v/>
      </c>
      <c r="O4012" s="503" t="str">
        <f ca="1">IFERROR(IF(VLOOKUP(C4012,' Disaggregation - Section E '!A$618:N2136,9,0)=0,"",VLOOKUP(C4012,' Disaggregation - Section E '!A$618:N2136,9,0)),"")</f>
        <v/>
      </c>
      <c r="P4012" s="503" t="str">
        <f ca="1">IFERROR(IF(VLOOKUP(C4012,' Disaggregation - Section E '!A$618:N2136,10,0)=0,"",VLOOKUP(C4012,' Disaggregation - Section E '!A$618:N2136,10,0)),"")</f>
        <v/>
      </c>
    </row>
    <row r="4013" spans="1:16" x14ac:dyDescent="0.35">
      <c r="A4013" s="497" t="b">
        <f t="shared" ca="1" si="230"/>
        <v>0</v>
      </c>
      <c r="B4013" s="497"/>
      <c r="C4013" s="510" t="str">
        <f ca="1">IF(COUNTA(D$2498:D4013)=1,"",OFFSET(B4011,-COUNTA(D$2498:D4013)+3,1))</f>
        <v>a163p000004NtXjAAK</v>
      </c>
      <c r="D4013" s="512"/>
      <c r="E4013" s="500" t="str">
        <f ca="1">IFERROR(IF(VLOOKUP(C4013,' Disaggregation - Section E '!A$618:N2137,7,0)="","",VLOOKUP(C4013,' Disaggregation - Section E '!A$618:N2137,7,0)*100),"")</f>
        <v/>
      </c>
      <c r="F4013" s="503" t="str">
        <f ca="1">IFERROR(VLOOKUP(C4013,' Disaggregation - Section E '!A$618:N2137,5,0),"")</f>
        <v/>
      </c>
      <c r="G4013" s="502" t="str">
        <f ca="1">IFERROR(IF(VLOOKUP(C4013,' Disaggregation - Section E '!A$618:N2137,6,0)="","",VLOOKUP(C4013,' Disaggregation - Section E '!A$618:N2137,6,0)),"")</f>
        <v/>
      </c>
      <c r="H4013" s="512" t="str">
        <f ca="1">IFERROR(IF(INDEX(' Disaggregation - Section E '!F$618:F3334,MATCH(C4013,' Disaggregation - Section E '!A$618:A3334,0)+1,1)&lt;&gt;0,INDEX(' Disaggregation - Section E '!F$618:F$1820,MATCH(C4013,' Disaggregation - Section E '!A$618:A3334,0)+1,1),""),"")</f>
        <v/>
      </c>
      <c r="I4013" s="503" t="str">
        <f ca="1">IFERROR(IF(VLOOKUP(C4013,' Disaggregation - Section E '!A$618:N2137,8,0)=0,"",VLOOKUP(C4013,' Disaggregation - Section E '!A$618:N2137,8,0)),"")</f>
        <v/>
      </c>
      <c r="J4013" s="503" t="str">
        <f ca="1">IFERROR(IF(VLOOKUP(C4013,' Disaggregation - Section E '!A$618:N3334,13,0)=0,"",VLOOKUP(C4013,' Disaggregation - Section E '!A$618:N3334,13,0)),"")</f>
        <v/>
      </c>
      <c r="K4013" s="497" t="str">
        <f ca="1">IFERROR(VLOOKUP(C4013,' Disaggregation - Section E '!A$618:N2137,3,0),"")</f>
        <v/>
      </c>
      <c r="L4013" s="497"/>
      <c r="M4013" s="497" t="str">
        <f ca="1">IFERROR(IF(VLOOKUP(C4013,' Disaggregation - Section E '!A$618:T2137,20,0)=0,"",VLOOKUP(C4013,' Disaggregation - Section E '!A$618:T2137,20,0)),"")</f>
        <v/>
      </c>
      <c r="N4013" s="503" t="str">
        <f ca="1">IFERROR(IF(VLOOKUP(C4013,' Disaggregation - Section E '!A$618:N2137,14,0)=0,"",VLOOKUP(C4013,' Disaggregation - Section E '!A$618:N2137,14,0)),"")</f>
        <v/>
      </c>
      <c r="O4013" s="503" t="str">
        <f ca="1">IFERROR(IF(VLOOKUP(C4013,' Disaggregation - Section E '!A$618:N2137,9,0)=0,"",VLOOKUP(C4013,' Disaggregation - Section E '!A$618:N2137,9,0)),"")</f>
        <v/>
      </c>
      <c r="P4013" s="503" t="str">
        <f ca="1">IFERROR(IF(VLOOKUP(C4013,' Disaggregation - Section E '!A$618:N2137,10,0)=0,"",VLOOKUP(C4013,' Disaggregation - Section E '!A$618:N2137,10,0)),"")</f>
        <v/>
      </c>
    </row>
    <row r="4014" spans="1:16" x14ac:dyDescent="0.35">
      <c r="A4014" s="497" t="b">
        <f t="shared" ca="1" si="230"/>
        <v>0</v>
      </c>
      <c r="B4014" s="497"/>
      <c r="C4014" s="510" t="str">
        <f ca="1">IF(COUNTA(D$2498:D4014)=1,"",OFFSET(B4012,-COUNTA(D$2498:D4014)+3,1))</f>
        <v>a163p000004NtXkAAK</v>
      </c>
      <c r="D4014" s="512"/>
      <c r="E4014" s="500" t="str">
        <f ca="1">IFERROR(IF(VLOOKUP(C4014,' Disaggregation - Section E '!A$618:N2138,7,0)="","",VLOOKUP(C4014,' Disaggregation - Section E '!A$618:N2138,7,0)*100),"")</f>
        <v/>
      </c>
      <c r="F4014" s="503" t="str">
        <f ca="1">IFERROR(VLOOKUP(C4014,' Disaggregation - Section E '!A$618:N2138,5,0),"")</f>
        <v/>
      </c>
      <c r="G4014" s="502" t="str">
        <f ca="1">IFERROR(IF(VLOOKUP(C4014,' Disaggregation - Section E '!A$618:N2138,6,0)="","",VLOOKUP(C4014,' Disaggregation - Section E '!A$618:N2138,6,0)),"")</f>
        <v/>
      </c>
      <c r="H4014" s="512" t="str">
        <f ca="1">IFERROR(IF(INDEX(' Disaggregation - Section E '!F$618:F3335,MATCH(C4014,' Disaggregation - Section E '!A$618:A3335,0)+1,1)&lt;&gt;0,INDEX(' Disaggregation - Section E '!F$618:F$1820,MATCH(C4014,' Disaggregation - Section E '!A$618:A3335,0)+1,1),""),"")</f>
        <v/>
      </c>
      <c r="I4014" s="503" t="str">
        <f ca="1">IFERROR(IF(VLOOKUP(C4014,' Disaggregation - Section E '!A$618:N2138,8,0)=0,"",VLOOKUP(C4014,' Disaggregation - Section E '!A$618:N2138,8,0)),"")</f>
        <v/>
      </c>
      <c r="J4014" s="503" t="str">
        <f ca="1">IFERROR(IF(VLOOKUP(C4014,' Disaggregation - Section E '!A$618:N3335,13,0)=0,"",VLOOKUP(C4014,' Disaggregation - Section E '!A$618:N3335,13,0)),"")</f>
        <v/>
      </c>
      <c r="K4014" s="497" t="str">
        <f ca="1">IFERROR(VLOOKUP(C4014,' Disaggregation - Section E '!A$618:N2138,3,0),"")</f>
        <v/>
      </c>
      <c r="L4014" s="497"/>
      <c r="M4014" s="497" t="str">
        <f ca="1">IFERROR(IF(VLOOKUP(C4014,' Disaggregation - Section E '!A$618:T2138,20,0)=0,"",VLOOKUP(C4014,' Disaggregation - Section E '!A$618:T2138,20,0)),"")</f>
        <v/>
      </c>
      <c r="N4014" s="503" t="str">
        <f ca="1">IFERROR(IF(VLOOKUP(C4014,' Disaggregation - Section E '!A$618:N2138,14,0)=0,"",VLOOKUP(C4014,' Disaggregation - Section E '!A$618:N2138,14,0)),"")</f>
        <v/>
      </c>
      <c r="O4014" s="503" t="str">
        <f ca="1">IFERROR(IF(VLOOKUP(C4014,' Disaggregation - Section E '!A$618:N2138,9,0)=0,"",VLOOKUP(C4014,' Disaggregation - Section E '!A$618:N2138,9,0)),"")</f>
        <v/>
      </c>
      <c r="P4014" s="503" t="str">
        <f ca="1">IFERROR(IF(VLOOKUP(C4014,' Disaggregation - Section E '!A$618:N2138,10,0)=0,"",VLOOKUP(C4014,' Disaggregation - Section E '!A$618:N2138,10,0)),"")</f>
        <v/>
      </c>
    </row>
    <row r="4015" spans="1:16" x14ac:dyDescent="0.35">
      <c r="A4015" s="497" t="b">
        <f t="shared" ca="1" si="230"/>
        <v>0</v>
      </c>
      <c r="B4015" s="497"/>
      <c r="C4015" s="510" t="str">
        <f ca="1">IF(COUNTA(D$2498:D4015)=1,"",OFFSET(B4013,-COUNTA(D$2498:D4015)+3,1))</f>
        <v>a163p000004NtXlAAK</v>
      </c>
      <c r="D4015" s="512"/>
      <c r="E4015" s="500" t="str">
        <f ca="1">IFERROR(IF(VLOOKUP(C4015,' Disaggregation - Section E '!A$618:N2139,7,0)="","",VLOOKUP(C4015,' Disaggregation - Section E '!A$618:N2139,7,0)*100),"")</f>
        <v/>
      </c>
      <c r="F4015" s="503" t="str">
        <f ca="1">IFERROR(VLOOKUP(C4015,' Disaggregation - Section E '!A$618:N2139,5,0),"")</f>
        <v/>
      </c>
      <c r="G4015" s="502" t="str">
        <f ca="1">IFERROR(IF(VLOOKUP(C4015,' Disaggregation - Section E '!A$618:N2139,6,0)="","",VLOOKUP(C4015,' Disaggregation - Section E '!A$618:N2139,6,0)),"")</f>
        <v/>
      </c>
      <c r="H4015" s="512" t="str">
        <f ca="1">IFERROR(IF(INDEX(' Disaggregation - Section E '!F$618:F3336,MATCH(C4015,' Disaggregation - Section E '!A$618:A3336,0)+1,1)&lt;&gt;0,INDEX(' Disaggregation - Section E '!F$618:F$1820,MATCH(C4015,' Disaggregation - Section E '!A$618:A3336,0)+1,1),""),"")</f>
        <v/>
      </c>
      <c r="I4015" s="503" t="str">
        <f ca="1">IFERROR(IF(VLOOKUP(C4015,' Disaggregation - Section E '!A$618:N2139,8,0)=0,"",VLOOKUP(C4015,' Disaggregation - Section E '!A$618:N2139,8,0)),"")</f>
        <v/>
      </c>
      <c r="J4015" s="503" t="str">
        <f ca="1">IFERROR(IF(VLOOKUP(C4015,' Disaggregation - Section E '!A$618:N3336,13,0)=0,"",VLOOKUP(C4015,' Disaggregation - Section E '!A$618:N3336,13,0)),"")</f>
        <v/>
      </c>
      <c r="K4015" s="497" t="str">
        <f ca="1">IFERROR(VLOOKUP(C4015,' Disaggregation - Section E '!A$618:N2139,3,0),"")</f>
        <v/>
      </c>
      <c r="L4015" s="497"/>
      <c r="M4015" s="497" t="str">
        <f ca="1">IFERROR(IF(VLOOKUP(C4015,' Disaggregation - Section E '!A$618:T2139,20,0)=0,"",VLOOKUP(C4015,' Disaggregation - Section E '!A$618:T2139,20,0)),"")</f>
        <v/>
      </c>
      <c r="N4015" s="503" t="str">
        <f ca="1">IFERROR(IF(VLOOKUP(C4015,' Disaggregation - Section E '!A$618:N2139,14,0)=0,"",VLOOKUP(C4015,' Disaggregation - Section E '!A$618:N2139,14,0)),"")</f>
        <v/>
      </c>
      <c r="O4015" s="503" t="str">
        <f ca="1">IFERROR(IF(VLOOKUP(C4015,' Disaggregation - Section E '!A$618:N2139,9,0)=0,"",VLOOKUP(C4015,' Disaggregation - Section E '!A$618:N2139,9,0)),"")</f>
        <v/>
      </c>
      <c r="P4015" s="503" t="str">
        <f ca="1">IFERROR(IF(VLOOKUP(C4015,' Disaggregation - Section E '!A$618:N2139,10,0)=0,"",VLOOKUP(C4015,' Disaggregation - Section E '!A$618:N2139,10,0)),"")</f>
        <v/>
      </c>
    </row>
    <row r="4016" spans="1:16" x14ac:dyDescent="0.35">
      <c r="A4016" s="497" t="b">
        <f t="shared" ca="1" si="230"/>
        <v>0</v>
      </c>
      <c r="B4016" s="497"/>
      <c r="C4016" s="510" t="str">
        <f ca="1">IF(COUNTA(D$2498:D4016)=1,"",OFFSET(B4014,-COUNTA(D$2498:D4016)+3,1))</f>
        <v>a163p000004NtXmAAK</v>
      </c>
      <c r="D4016" s="512"/>
      <c r="E4016" s="500" t="str">
        <f ca="1">IFERROR(IF(VLOOKUP(C4016,' Disaggregation - Section E '!A$618:N2140,7,0)="","",VLOOKUP(C4016,' Disaggregation - Section E '!A$618:N2140,7,0)*100),"")</f>
        <v/>
      </c>
      <c r="F4016" s="503" t="str">
        <f ca="1">IFERROR(VLOOKUP(C4016,' Disaggregation - Section E '!A$618:N2140,5,0),"")</f>
        <v/>
      </c>
      <c r="G4016" s="502" t="str">
        <f ca="1">IFERROR(IF(VLOOKUP(C4016,' Disaggregation - Section E '!A$618:N2140,6,0)="","",VLOOKUP(C4016,' Disaggregation - Section E '!A$618:N2140,6,0)),"")</f>
        <v/>
      </c>
      <c r="H4016" s="512" t="str">
        <f ca="1">IFERROR(IF(INDEX(' Disaggregation - Section E '!F$618:F3337,MATCH(C4016,' Disaggregation - Section E '!A$618:A3337,0)+1,1)&lt;&gt;0,INDEX(' Disaggregation - Section E '!F$618:F$1820,MATCH(C4016,' Disaggregation - Section E '!A$618:A3337,0)+1,1),""),"")</f>
        <v/>
      </c>
      <c r="I4016" s="503" t="str">
        <f ca="1">IFERROR(IF(VLOOKUP(C4016,' Disaggregation - Section E '!A$618:N2140,8,0)=0,"",VLOOKUP(C4016,' Disaggregation - Section E '!A$618:N2140,8,0)),"")</f>
        <v/>
      </c>
      <c r="J4016" s="503" t="str">
        <f ca="1">IFERROR(IF(VLOOKUP(C4016,' Disaggregation - Section E '!A$618:N3337,13,0)=0,"",VLOOKUP(C4016,' Disaggregation - Section E '!A$618:N3337,13,0)),"")</f>
        <v/>
      </c>
      <c r="K4016" s="497" t="str">
        <f ca="1">IFERROR(VLOOKUP(C4016,' Disaggregation - Section E '!A$618:N2140,3,0),"")</f>
        <v/>
      </c>
      <c r="L4016" s="497"/>
      <c r="M4016" s="497" t="str">
        <f ca="1">IFERROR(IF(VLOOKUP(C4016,' Disaggregation - Section E '!A$618:T2140,20,0)=0,"",VLOOKUP(C4016,' Disaggregation - Section E '!A$618:T2140,20,0)),"")</f>
        <v/>
      </c>
      <c r="N4016" s="503" t="str">
        <f ca="1">IFERROR(IF(VLOOKUP(C4016,' Disaggregation - Section E '!A$618:N2140,14,0)=0,"",VLOOKUP(C4016,' Disaggregation - Section E '!A$618:N2140,14,0)),"")</f>
        <v/>
      </c>
      <c r="O4016" s="503" t="str">
        <f ca="1">IFERROR(IF(VLOOKUP(C4016,' Disaggregation - Section E '!A$618:N2140,9,0)=0,"",VLOOKUP(C4016,' Disaggregation - Section E '!A$618:N2140,9,0)),"")</f>
        <v/>
      </c>
      <c r="P4016" s="503" t="str">
        <f ca="1">IFERROR(IF(VLOOKUP(C4016,' Disaggregation - Section E '!A$618:N2140,10,0)=0,"",VLOOKUP(C4016,' Disaggregation - Section E '!A$618:N2140,10,0)),"")</f>
        <v/>
      </c>
    </row>
    <row r="4017" spans="1:16" x14ac:dyDescent="0.35">
      <c r="A4017" s="497" t="b">
        <f t="shared" ca="1" si="230"/>
        <v>0</v>
      </c>
      <c r="B4017" s="497"/>
      <c r="C4017" s="510" t="str">
        <f ca="1">IF(COUNTA(D$2498:D4017)=1,"",OFFSET(B4015,-COUNTA(D$2498:D4017)+3,1))</f>
        <v>a163p000004NtXnAAK</v>
      </c>
      <c r="D4017" s="512"/>
      <c r="E4017" s="500" t="str">
        <f ca="1">IFERROR(IF(VLOOKUP(C4017,' Disaggregation - Section E '!A$618:N2141,7,0)="","",VLOOKUP(C4017,' Disaggregation - Section E '!A$618:N2141,7,0)*100),"")</f>
        <v/>
      </c>
      <c r="F4017" s="503" t="str">
        <f ca="1">IFERROR(VLOOKUP(C4017,' Disaggregation - Section E '!A$618:N2141,5,0),"")</f>
        <v/>
      </c>
      <c r="G4017" s="502" t="str">
        <f ca="1">IFERROR(IF(VLOOKUP(C4017,' Disaggregation - Section E '!A$618:N2141,6,0)="","",VLOOKUP(C4017,' Disaggregation - Section E '!A$618:N2141,6,0)),"")</f>
        <v/>
      </c>
      <c r="H4017" s="512" t="str">
        <f ca="1">IFERROR(IF(INDEX(' Disaggregation - Section E '!F$618:F3338,MATCH(C4017,' Disaggregation - Section E '!A$618:A3338,0)+1,1)&lt;&gt;0,INDEX(' Disaggregation - Section E '!F$618:F$1820,MATCH(C4017,' Disaggregation - Section E '!A$618:A3338,0)+1,1),""),"")</f>
        <v/>
      </c>
      <c r="I4017" s="503" t="str">
        <f ca="1">IFERROR(IF(VLOOKUP(C4017,' Disaggregation - Section E '!A$618:N2141,8,0)=0,"",VLOOKUP(C4017,' Disaggregation - Section E '!A$618:N2141,8,0)),"")</f>
        <v/>
      </c>
      <c r="J4017" s="503" t="str">
        <f ca="1">IFERROR(IF(VLOOKUP(C4017,' Disaggregation - Section E '!A$618:N3338,13,0)=0,"",VLOOKUP(C4017,' Disaggregation - Section E '!A$618:N3338,13,0)),"")</f>
        <v/>
      </c>
      <c r="K4017" s="497" t="str">
        <f ca="1">IFERROR(VLOOKUP(C4017,' Disaggregation - Section E '!A$618:N2141,3,0),"")</f>
        <v/>
      </c>
      <c r="L4017" s="497"/>
      <c r="M4017" s="497" t="str">
        <f ca="1">IFERROR(IF(VLOOKUP(C4017,' Disaggregation - Section E '!A$618:T2141,20,0)=0,"",VLOOKUP(C4017,' Disaggregation - Section E '!A$618:T2141,20,0)),"")</f>
        <v/>
      </c>
      <c r="N4017" s="503" t="str">
        <f ca="1">IFERROR(IF(VLOOKUP(C4017,' Disaggregation - Section E '!A$618:N2141,14,0)=0,"",VLOOKUP(C4017,' Disaggregation - Section E '!A$618:N2141,14,0)),"")</f>
        <v/>
      </c>
      <c r="O4017" s="503" t="str">
        <f ca="1">IFERROR(IF(VLOOKUP(C4017,' Disaggregation - Section E '!A$618:N2141,9,0)=0,"",VLOOKUP(C4017,' Disaggregation - Section E '!A$618:N2141,9,0)),"")</f>
        <v/>
      </c>
      <c r="P4017" s="503" t="str">
        <f ca="1">IFERROR(IF(VLOOKUP(C4017,' Disaggregation - Section E '!A$618:N2141,10,0)=0,"",VLOOKUP(C4017,' Disaggregation - Section E '!A$618:N2141,10,0)),"")</f>
        <v/>
      </c>
    </row>
    <row r="4018" spans="1:16" x14ac:dyDescent="0.35">
      <c r="A4018" s="497" t="b">
        <f t="shared" ca="1" si="230"/>
        <v>0</v>
      </c>
      <c r="B4018" s="497"/>
      <c r="C4018" s="510" t="str">
        <f ca="1">IF(COUNTA(D$2498:D4018)=1,"",OFFSET(B4016,-COUNTA(D$2498:D4018)+3,1))</f>
        <v>a163p000004NtXoAAK</v>
      </c>
      <c r="D4018" s="512"/>
      <c r="E4018" s="500" t="str">
        <f ca="1">IFERROR(IF(VLOOKUP(C4018,' Disaggregation - Section E '!A$618:N2142,7,0)="","",VLOOKUP(C4018,' Disaggregation - Section E '!A$618:N2142,7,0)*100),"")</f>
        <v/>
      </c>
      <c r="F4018" s="503" t="str">
        <f ca="1">IFERROR(VLOOKUP(C4018,' Disaggregation - Section E '!A$618:N2142,5,0),"")</f>
        <v/>
      </c>
      <c r="G4018" s="502" t="str">
        <f ca="1">IFERROR(IF(VLOOKUP(C4018,' Disaggregation - Section E '!A$618:N2142,6,0)="","",VLOOKUP(C4018,' Disaggregation - Section E '!A$618:N2142,6,0)),"")</f>
        <v/>
      </c>
      <c r="H4018" s="512" t="str">
        <f ca="1">IFERROR(IF(INDEX(' Disaggregation - Section E '!F$618:F3339,MATCH(C4018,' Disaggregation - Section E '!A$618:A3339,0)+1,1)&lt;&gt;0,INDEX(' Disaggregation - Section E '!F$618:F$1820,MATCH(C4018,' Disaggregation - Section E '!A$618:A3339,0)+1,1),""),"")</f>
        <v/>
      </c>
      <c r="I4018" s="503" t="str">
        <f ca="1">IFERROR(IF(VLOOKUP(C4018,' Disaggregation - Section E '!A$618:N2142,8,0)=0,"",VLOOKUP(C4018,' Disaggregation - Section E '!A$618:N2142,8,0)),"")</f>
        <v/>
      </c>
      <c r="J4018" s="503" t="str">
        <f ca="1">IFERROR(IF(VLOOKUP(C4018,' Disaggregation - Section E '!A$618:N3339,13,0)=0,"",VLOOKUP(C4018,' Disaggregation - Section E '!A$618:N3339,13,0)),"")</f>
        <v/>
      </c>
      <c r="K4018" s="497" t="str">
        <f ca="1">IFERROR(VLOOKUP(C4018,' Disaggregation - Section E '!A$618:N2142,3,0),"")</f>
        <v/>
      </c>
      <c r="L4018" s="497"/>
      <c r="M4018" s="497" t="str">
        <f ca="1">IFERROR(IF(VLOOKUP(C4018,' Disaggregation - Section E '!A$618:T2142,20,0)=0,"",VLOOKUP(C4018,' Disaggregation - Section E '!A$618:T2142,20,0)),"")</f>
        <v/>
      </c>
      <c r="N4018" s="503" t="str">
        <f ca="1">IFERROR(IF(VLOOKUP(C4018,' Disaggregation - Section E '!A$618:N2142,14,0)=0,"",VLOOKUP(C4018,' Disaggregation - Section E '!A$618:N2142,14,0)),"")</f>
        <v/>
      </c>
      <c r="O4018" s="503" t="str">
        <f ca="1">IFERROR(IF(VLOOKUP(C4018,' Disaggregation - Section E '!A$618:N2142,9,0)=0,"",VLOOKUP(C4018,' Disaggregation - Section E '!A$618:N2142,9,0)),"")</f>
        <v/>
      </c>
      <c r="P4018" s="503" t="str">
        <f ca="1">IFERROR(IF(VLOOKUP(C4018,' Disaggregation - Section E '!A$618:N2142,10,0)=0,"",VLOOKUP(C4018,' Disaggregation - Section E '!A$618:N2142,10,0)),"")</f>
        <v/>
      </c>
    </row>
    <row r="4019" spans="1:16" x14ac:dyDescent="0.35">
      <c r="A4019" s="497" t="b">
        <f t="shared" ca="1" si="230"/>
        <v>0</v>
      </c>
      <c r="B4019" s="497"/>
      <c r="C4019" s="510" t="str">
        <f ca="1">IF(COUNTA(D$2498:D4019)=1,"",OFFSET(B4017,-COUNTA(D$2498:D4019)+3,1))</f>
        <v>a163p000004NtXpAAK</v>
      </c>
      <c r="D4019" s="512"/>
      <c r="E4019" s="500" t="str">
        <f ca="1">IFERROR(IF(VLOOKUP(C4019,' Disaggregation - Section E '!A$618:N2143,7,0)="","",VLOOKUP(C4019,' Disaggregation - Section E '!A$618:N2143,7,0)*100),"")</f>
        <v/>
      </c>
      <c r="F4019" s="503" t="str">
        <f ca="1">IFERROR(VLOOKUP(C4019,' Disaggregation - Section E '!A$618:N2143,5,0),"")</f>
        <v/>
      </c>
      <c r="G4019" s="502" t="str">
        <f ca="1">IFERROR(IF(VLOOKUP(C4019,' Disaggregation - Section E '!A$618:N2143,6,0)="","",VLOOKUP(C4019,' Disaggregation - Section E '!A$618:N2143,6,0)),"")</f>
        <v/>
      </c>
      <c r="H4019" s="512" t="str">
        <f ca="1">IFERROR(IF(INDEX(' Disaggregation - Section E '!F$618:F3340,MATCH(C4019,' Disaggregation - Section E '!A$618:A3340,0)+1,1)&lt;&gt;0,INDEX(' Disaggregation - Section E '!F$618:F$1820,MATCH(C4019,' Disaggregation - Section E '!A$618:A3340,0)+1,1),""),"")</f>
        <v/>
      </c>
      <c r="I4019" s="503" t="str">
        <f ca="1">IFERROR(IF(VLOOKUP(C4019,' Disaggregation - Section E '!A$618:N2143,8,0)=0,"",VLOOKUP(C4019,' Disaggregation - Section E '!A$618:N2143,8,0)),"")</f>
        <v/>
      </c>
      <c r="J4019" s="503" t="str">
        <f ca="1">IFERROR(IF(VLOOKUP(C4019,' Disaggregation - Section E '!A$618:N3340,13,0)=0,"",VLOOKUP(C4019,' Disaggregation - Section E '!A$618:N3340,13,0)),"")</f>
        <v/>
      </c>
      <c r="K4019" s="497" t="str">
        <f ca="1">IFERROR(VLOOKUP(C4019,' Disaggregation - Section E '!A$618:N2143,3,0),"")</f>
        <v/>
      </c>
      <c r="L4019" s="497"/>
      <c r="M4019" s="497" t="str">
        <f ca="1">IFERROR(IF(VLOOKUP(C4019,' Disaggregation - Section E '!A$618:T2143,20,0)=0,"",VLOOKUP(C4019,' Disaggregation - Section E '!A$618:T2143,20,0)),"")</f>
        <v/>
      </c>
      <c r="N4019" s="503" t="str">
        <f ca="1">IFERROR(IF(VLOOKUP(C4019,' Disaggregation - Section E '!A$618:N2143,14,0)=0,"",VLOOKUP(C4019,' Disaggregation - Section E '!A$618:N2143,14,0)),"")</f>
        <v/>
      </c>
      <c r="O4019" s="503" t="str">
        <f ca="1">IFERROR(IF(VLOOKUP(C4019,' Disaggregation - Section E '!A$618:N2143,9,0)=0,"",VLOOKUP(C4019,' Disaggregation - Section E '!A$618:N2143,9,0)),"")</f>
        <v/>
      </c>
      <c r="P4019" s="503" t="str">
        <f ca="1">IFERROR(IF(VLOOKUP(C4019,' Disaggregation - Section E '!A$618:N2143,10,0)=0,"",VLOOKUP(C4019,' Disaggregation - Section E '!A$618:N2143,10,0)),"")</f>
        <v/>
      </c>
    </row>
    <row r="4020" spans="1:16" x14ac:dyDescent="0.35">
      <c r="A4020" s="497" t="b">
        <f t="shared" ref="A4020:A4059" ca="1" si="231">IF(M4020&lt;&gt;"",TRUE,FALSE)</f>
        <v>0</v>
      </c>
      <c r="B4020" s="497"/>
      <c r="C4020" s="510" t="str">
        <f ca="1">IF(COUNTA(D$2498:D4020)=1,"",OFFSET(B4018,-COUNTA(D$2498:D4020)+3,1))</f>
        <v>a163p000004NtOAAA0</v>
      </c>
      <c r="D4020" s="512"/>
      <c r="E4020" s="500" t="str">
        <f ca="1">IFERROR(IF(VLOOKUP(C4020,' Disaggregation - Section E '!A$618:N2144,7,0)="","",VLOOKUP(C4020,' Disaggregation - Section E '!A$618:N2144,7,0)*100),"")</f>
        <v/>
      </c>
      <c r="F4020" s="503" t="str">
        <f ca="1">IFERROR(VLOOKUP(C4020,' Disaggregation - Section E '!A$618:N2144,5,0),"")</f>
        <v/>
      </c>
      <c r="G4020" s="502" t="str">
        <f ca="1">IFERROR(IF(VLOOKUP(C4020,' Disaggregation - Section E '!A$618:N2144,6,0)="","",VLOOKUP(C4020,' Disaggregation - Section E '!A$618:N2144,6,0)),"")</f>
        <v/>
      </c>
      <c r="H4020" s="512" t="str">
        <f ca="1">IFERROR(IF(INDEX(' Disaggregation - Section E '!F$618:F3341,MATCH(C4020,' Disaggregation - Section E '!A$618:A3341,0)+1,1)&lt;&gt;0,INDEX(' Disaggregation - Section E '!F$618:F$1820,MATCH(C4020,' Disaggregation - Section E '!A$618:A3341,0)+1,1),""),"")</f>
        <v/>
      </c>
      <c r="I4020" s="503" t="str">
        <f ca="1">IFERROR(IF(VLOOKUP(C4020,' Disaggregation - Section E '!A$618:N2144,8,0)=0,"",VLOOKUP(C4020,' Disaggregation - Section E '!A$618:N2144,8,0)),"")</f>
        <v/>
      </c>
      <c r="J4020" s="503" t="str">
        <f ca="1">IFERROR(IF(VLOOKUP(C4020,' Disaggregation - Section E '!A$618:N3341,13,0)=0,"",VLOOKUP(C4020,' Disaggregation - Section E '!A$618:N3341,13,0)),"")</f>
        <v/>
      </c>
      <c r="K4020" s="497" t="str">
        <f ca="1">IFERROR(VLOOKUP(C4020,' Disaggregation - Section E '!A$618:N2144,3,0),"")</f>
        <v>TCS-Other1 Porcentaje de personas en TARV a quienes se les ha realizado una prueba de carga viral en los últimos 6 meses.</v>
      </c>
      <c r="L4020" s="497"/>
      <c r="M4020" s="497" t="str">
        <f ca="1">IFERROR(IF(VLOOKUP(C4020,' Disaggregation - Section E '!A$618:T2144,20,0)=0,"",VLOOKUP(C4020,' Disaggregation - Section E '!A$618:T2144,20,0)),"")</f>
        <v/>
      </c>
      <c r="N4020" s="503" t="str">
        <f ca="1">IFERROR(IF(VLOOKUP(C4020,' Disaggregation - Section E '!A$618:N2144,14,0)=0,"",VLOOKUP(C4020,' Disaggregation - Section E '!A$618:N2144,14,0)),"")</f>
        <v/>
      </c>
      <c r="O4020" s="503" t="str">
        <f ca="1">IFERROR(IF(VLOOKUP(C4020,' Disaggregation - Section E '!A$618:N2144,9,0)=0,"",VLOOKUP(C4020,' Disaggregation - Section E '!A$618:N2144,9,0)),"")</f>
        <v/>
      </c>
      <c r="P4020" s="503" t="str">
        <f ca="1">IFERROR(IF(VLOOKUP(C4020,' Disaggregation - Section E '!A$618:N2144,10,0)=0,"",VLOOKUP(C4020,' Disaggregation - Section E '!A$618:N2144,10,0)),"")</f>
        <v/>
      </c>
    </row>
    <row r="4021" spans="1:16" x14ac:dyDescent="0.35">
      <c r="A4021" s="497" t="b">
        <f t="shared" ca="1" si="231"/>
        <v>0</v>
      </c>
      <c r="B4021" s="497"/>
      <c r="C4021" s="510" t="str">
        <f ca="1">IF(COUNTA(D$2498:D4021)=1,"",OFFSET(B4019,-COUNTA(D$2498:D4021)+3,1))</f>
        <v>a163p000004NtOBAA0</v>
      </c>
      <c r="D4021" s="512"/>
      <c r="E4021" s="500" t="str">
        <f ca="1">IFERROR(IF(VLOOKUP(C4021,' Disaggregation - Section E '!A$618:N2145,7,0)="","",VLOOKUP(C4021,' Disaggregation - Section E '!A$618:N2145,7,0)*100),"")</f>
        <v/>
      </c>
      <c r="F4021" s="503" t="str">
        <f ca="1">IFERROR(VLOOKUP(C4021,' Disaggregation - Section E '!A$618:N2145,5,0),"")</f>
        <v/>
      </c>
      <c r="G4021" s="502" t="str">
        <f ca="1">IFERROR(IF(VLOOKUP(C4021,' Disaggregation - Section E '!A$618:N2145,6,0)="","",VLOOKUP(C4021,' Disaggregation - Section E '!A$618:N2145,6,0)),"")</f>
        <v/>
      </c>
      <c r="H4021" s="512" t="str">
        <f ca="1">IFERROR(IF(INDEX(' Disaggregation - Section E '!F$618:F3342,MATCH(C4021,' Disaggregation - Section E '!A$618:A3342,0)+1,1)&lt;&gt;0,INDEX(' Disaggregation - Section E '!F$618:F$1820,MATCH(C4021,' Disaggregation - Section E '!A$618:A3342,0)+1,1),""),"")</f>
        <v/>
      </c>
      <c r="I4021" s="503" t="str">
        <f ca="1">IFERROR(IF(VLOOKUP(C4021,' Disaggregation - Section E '!A$618:N2145,8,0)=0,"",VLOOKUP(C4021,' Disaggregation - Section E '!A$618:N2145,8,0)),"")</f>
        <v/>
      </c>
      <c r="J4021" s="503" t="str">
        <f ca="1">IFERROR(IF(VLOOKUP(C4021,' Disaggregation - Section E '!A$618:N3342,13,0)=0,"",VLOOKUP(C4021,' Disaggregation - Section E '!A$618:N3342,13,0)),"")</f>
        <v/>
      </c>
      <c r="K4021" s="497" t="str">
        <f ca="1">IFERROR(VLOOKUP(C4021,' Disaggregation - Section E '!A$618:N2145,3,0),"")</f>
        <v>TCS-Other1 Porcentaje de personas en TARV a quienes se les ha realizado una prueba de carga viral en los últimos 6 meses.</v>
      </c>
      <c r="L4021" s="497"/>
      <c r="M4021" s="497" t="str">
        <f ca="1">IFERROR(IF(VLOOKUP(C4021,' Disaggregation - Section E '!A$618:T2145,20,0)=0,"",VLOOKUP(C4021,' Disaggregation - Section E '!A$618:T2145,20,0)),"")</f>
        <v/>
      </c>
      <c r="N4021" s="503" t="str">
        <f ca="1">IFERROR(IF(VLOOKUP(C4021,' Disaggregation - Section E '!A$618:N2145,14,0)=0,"",VLOOKUP(C4021,' Disaggregation - Section E '!A$618:N2145,14,0)),"")</f>
        <v/>
      </c>
      <c r="O4021" s="503" t="str">
        <f ca="1">IFERROR(IF(VLOOKUP(C4021,' Disaggregation - Section E '!A$618:N2145,9,0)=0,"",VLOOKUP(C4021,' Disaggregation - Section E '!A$618:N2145,9,0)),"")</f>
        <v/>
      </c>
      <c r="P4021" s="503" t="str">
        <f ca="1">IFERROR(IF(VLOOKUP(C4021,' Disaggregation - Section E '!A$618:N2145,10,0)=0,"",VLOOKUP(C4021,' Disaggregation - Section E '!A$618:N2145,10,0)),"")</f>
        <v/>
      </c>
    </row>
    <row r="4022" spans="1:16" x14ac:dyDescent="0.35">
      <c r="A4022" s="497" t="b">
        <f t="shared" ca="1" si="231"/>
        <v>0</v>
      </c>
      <c r="B4022" s="497"/>
      <c r="C4022" s="510" t="str">
        <f ca="1">IF(COUNTA(D$2498:D4022)=1,"",OFFSET(B4020,-COUNTA(D$2498:D4022)+3,1))</f>
        <v>a163p000004NtOCAA0</v>
      </c>
      <c r="D4022" s="512"/>
      <c r="E4022" s="500" t="str">
        <f ca="1">IFERROR(IF(VLOOKUP(C4022,' Disaggregation - Section E '!A$618:N2146,7,0)="","",VLOOKUP(C4022,' Disaggregation - Section E '!A$618:N2146,7,0)*100),"")</f>
        <v/>
      </c>
      <c r="F4022" s="503" t="str">
        <f ca="1">IFERROR(VLOOKUP(C4022,' Disaggregation - Section E '!A$618:N2146,5,0),"")</f>
        <v/>
      </c>
      <c r="G4022" s="502" t="str">
        <f ca="1">IFERROR(IF(VLOOKUP(C4022,' Disaggregation - Section E '!A$618:N2146,6,0)="","",VLOOKUP(C4022,' Disaggregation - Section E '!A$618:N2146,6,0)),"")</f>
        <v/>
      </c>
      <c r="H4022" s="512" t="str">
        <f ca="1">IFERROR(IF(INDEX(' Disaggregation - Section E '!F$618:F3343,MATCH(C4022,' Disaggregation - Section E '!A$618:A3343,0)+1,1)&lt;&gt;0,INDEX(' Disaggregation - Section E '!F$618:F$1820,MATCH(C4022,' Disaggregation - Section E '!A$618:A3343,0)+1,1),""),"")</f>
        <v/>
      </c>
      <c r="I4022" s="503" t="str">
        <f ca="1">IFERROR(IF(VLOOKUP(C4022,' Disaggregation - Section E '!A$618:N2146,8,0)=0,"",VLOOKUP(C4022,' Disaggregation - Section E '!A$618:N2146,8,0)),"")</f>
        <v/>
      </c>
      <c r="J4022" s="503" t="str">
        <f ca="1">IFERROR(IF(VLOOKUP(C4022,' Disaggregation - Section E '!A$618:N3343,13,0)=0,"",VLOOKUP(C4022,' Disaggregation - Section E '!A$618:N3343,13,0)),"")</f>
        <v/>
      </c>
      <c r="K4022" s="497" t="str">
        <f ca="1">IFERROR(VLOOKUP(C4022,' Disaggregation - Section E '!A$618:N2146,3,0),"")</f>
        <v>TCS-Other1 Porcentaje de personas en TARV a quienes se les ha realizado una prueba de carga viral en los últimos 6 meses.</v>
      </c>
      <c r="L4022" s="497"/>
      <c r="M4022" s="497" t="str">
        <f ca="1">IFERROR(IF(VLOOKUP(C4022,' Disaggregation - Section E '!A$618:T2146,20,0)=0,"",VLOOKUP(C4022,' Disaggregation - Section E '!A$618:T2146,20,0)),"")</f>
        <v/>
      </c>
      <c r="N4022" s="503" t="str">
        <f ca="1">IFERROR(IF(VLOOKUP(C4022,' Disaggregation - Section E '!A$618:N2146,14,0)=0,"",VLOOKUP(C4022,' Disaggregation - Section E '!A$618:N2146,14,0)),"")</f>
        <v/>
      </c>
      <c r="O4022" s="503" t="str">
        <f ca="1">IFERROR(IF(VLOOKUP(C4022,' Disaggregation - Section E '!A$618:N2146,9,0)=0,"",VLOOKUP(C4022,' Disaggregation - Section E '!A$618:N2146,9,0)),"")</f>
        <v/>
      </c>
      <c r="P4022" s="503" t="str">
        <f ca="1">IFERROR(IF(VLOOKUP(C4022,' Disaggregation - Section E '!A$618:N2146,10,0)=0,"",VLOOKUP(C4022,' Disaggregation - Section E '!A$618:N2146,10,0)),"")</f>
        <v/>
      </c>
    </row>
    <row r="4023" spans="1:16" x14ac:dyDescent="0.35">
      <c r="A4023" s="497" t="b">
        <f t="shared" ca="1" si="231"/>
        <v>0</v>
      </c>
      <c r="B4023" s="497"/>
      <c r="C4023" s="510" t="str">
        <f ca="1">IF(COUNTA(D$2498:D4023)=1,"",OFFSET(B4021,-COUNTA(D$2498:D4023)+3,1))</f>
        <v>a163p000004NtODAA0</v>
      </c>
      <c r="D4023" s="512"/>
      <c r="E4023" s="500" t="str">
        <f ca="1">IFERROR(IF(VLOOKUP(C4023,' Disaggregation - Section E '!A$618:N2147,7,0)="","",VLOOKUP(C4023,' Disaggregation - Section E '!A$618:N2147,7,0)*100),"")</f>
        <v/>
      </c>
      <c r="F4023" s="503" t="str">
        <f ca="1">IFERROR(VLOOKUP(C4023,' Disaggregation - Section E '!A$618:N2147,5,0),"")</f>
        <v/>
      </c>
      <c r="G4023" s="502" t="str">
        <f ca="1">IFERROR(IF(VLOOKUP(C4023,' Disaggregation - Section E '!A$618:N2147,6,0)="","",VLOOKUP(C4023,' Disaggregation - Section E '!A$618:N2147,6,0)),"")</f>
        <v/>
      </c>
      <c r="H4023" s="512" t="str">
        <f ca="1">IFERROR(IF(INDEX(' Disaggregation - Section E '!F$618:F3344,MATCH(C4023,' Disaggregation - Section E '!A$618:A3344,0)+1,1)&lt;&gt;0,INDEX(' Disaggregation - Section E '!F$618:F$1820,MATCH(C4023,' Disaggregation - Section E '!A$618:A3344,0)+1,1),""),"")</f>
        <v/>
      </c>
      <c r="I4023" s="503" t="str">
        <f ca="1">IFERROR(IF(VLOOKUP(C4023,' Disaggregation - Section E '!A$618:N2147,8,0)=0,"",VLOOKUP(C4023,' Disaggregation - Section E '!A$618:N2147,8,0)),"")</f>
        <v/>
      </c>
      <c r="J4023" s="503" t="str">
        <f ca="1">IFERROR(IF(VLOOKUP(C4023,' Disaggregation - Section E '!A$618:N3344,13,0)=0,"",VLOOKUP(C4023,' Disaggregation - Section E '!A$618:N3344,13,0)),"")</f>
        <v/>
      </c>
      <c r="K4023" s="497" t="str">
        <f ca="1">IFERROR(VLOOKUP(C4023,' Disaggregation - Section E '!A$618:N2147,3,0),"")</f>
        <v>TCS-Other1 Porcentaje de personas en TARV a quienes se les ha realizado una prueba de carga viral en los últimos 6 meses.</v>
      </c>
      <c r="L4023" s="497"/>
      <c r="M4023" s="497" t="str">
        <f ca="1">IFERROR(IF(VLOOKUP(C4023,' Disaggregation - Section E '!A$618:T2147,20,0)=0,"",VLOOKUP(C4023,' Disaggregation - Section E '!A$618:T2147,20,0)),"")</f>
        <v/>
      </c>
      <c r="N4023" s="503" t="str">
        <f ca="1">IFERROR(IF(VLOOKUP(C4023,' Disaggregation - Section E '!A$618:N2147,14,0)=0,"",VLOOKUP(C4023,' Disaggregation - Section E '!A$618:N2147,14,0)),"")</f>
        <v/>
      </c>
      <c r="O4023" s="503" t="str">
        <f ca="1">IFERROR(IF(VLOOKUP(C4023,' Disaggregation - Section E '!A$618:N2147,9,0)=0,"",VLOOKUP(C4023,' Disaggregation - Section E '!A$618:N2147,9,0)),"")</f>
        <v/>
      </c>
      <c r="P4023" s="503" t="str">
        <f ca="1">IFERROR(IF(VLOOKUP(C4023,' Disaggregation - Section E '!A$618:N2147,10,0)=0,"",VLOOKUP(C4023,' Disaggregation - Section E '!A$618:N2147,10,0)),"")</f>
        <v/>
      </c>
    </row>
    <row r="4024" spans="1:16" x14ac:dyDescent="0.35">
      <c r="A4024" s="497" t="b">
        <f t="shared" ca="1" si="231"/>
        <v>0</v>
      </c>
      <c r="B4024" s="497"/>
      <c r="C4024" s="510" t="str">
        <f ca="1">IF(COUNTA(D$2498:D4024)=1,"",OFFSET(B4022,-COUNTA(D$2498:D4024)+3,1))</f>
        <v>a163p000004NtOEAA0</v>
      </c>
      <c r="D4024" s="512"/>
      <c r="E4024" s="500" t="str">
        <f ca="1">IFERROR(IF(VLOOKUP(C4024,' Disaggregation - Section E '!A$618:N2148,7,0)="","",VLOOKUP(C4024,' Disaggregation - Section E '!A$618:N2148,7,0)*100),"")</f>
        <v/>
      </c>
      <c r="F4024" s="503" t="str">
        <f ca="1">IFERROR(VLOOKUP(C4024,' Disaggregation - Section E '!A$618:N2148,5,0),"")</f>
        <v/>
      </c>
      <c r="G4024" s="502" t="str">
        <f ca="1">IFERROR(IF(VLOOKUP(C4024,' Disaggregation - Section E '!A$618:N2148,6,0)="","",VLOOKUP(C4024,' Disaggregation - Section E '!A$618:N2148,6,0)),"")</f>
        <v/>
      </c>
      <c r="H4024" s="512" t="str">
        <f ca="1">IFERROR(IF(INDEX(' Disaggregation - Section E '!F$618:F3345,MATCH(C4024,' Disaggregation - Section E '!A$618:A3345,0)+1,1)&lt;&gt;0,INDEX(' Disaggregation - Section E '!F$618:F$1820,MATCH(C4024,' Disaggregation - Section E '!A$618:A3345,0)+1,1),""),"")</f>
        <v/>
      </c>
      <c r="I4024" s="503" t="str">
        <f ca="1">IFERROR(IF(VLOOKUP(C4024,' Disaggregation - Section E '!A$618:N2148,8,0)=0,"",VLOOKUP(C4024,' Disaggregation - Section E '!A$618:N2148,8,0)),"")</f>
        <v/>
      </c>
      <c r="J4024" s="503" t="str">
        <f ca="1">IFERROR(IF(VLOOKUP(C4024,' Disaggregation - Section E '!A$618:N3345,13,0)=0,"",VLOOKUP(C4024,' Disaggregation - Section E '!A$618:N3345,13,0)),"")</f>
        <v/>
      </c>
      <c r="K4024" s="497" t="str">
        <f ca="1">IFERROR(VLOOKUP(C4024,' Disaggregation - Section E '!A$618:N2148,3,0),"")</f>
        <v>TCS-Other1 Porcentaje de personas en TARV a quienes se les ha realizado una prueba de carga viral en los últimos 6 meses.</v>
      </c>
      <c r="L4024" s="497"/>
      <c r="M4024" s="497" t="str">
        <f ca="1">IFERROR(IF(VLOOKUP(C4024,' Disaggregation - Section E '!A$618:T2148,20,0)=0,"",VLOOKUP(C4024,' Disaggregation - Section E '!A$618:T2148,20,0)),"")</f>
        <v/>
      </c>
      <c r="N4024" s="503" t="str">
        <f ca="1">IFERROR(IF(VLOOKUP(C4024,' Disaggregation - Section E '!A$618:N2148,14,0)=0,"",VLOOKUP(C4024,' Disaggregation - Section E '!A$618:N2148,14,0)),"")</f>
        <v/>
      </c>
      <c r="O4024" s="503" t="str">
        <f ca="1">IFERROR(IF(VLOOKUP(C4024,' Disaggregation - Section E '!A$618:N2148,9,0)=0,"",VLOOKUP(C4024,' Disaggregation - Section E '!A$618:N2148,9,0)),"")</f>
        <v/>
      </c>
      <c r="P4024" s="503" t="str">
        <f ca="1">IFERROR(IF(VLOOKUP(C4024,' Disaggregation - Section E '!A$618:N2148,10,0)=0,"",VLOOKUP(C4024,' Disaggregation - Section E '!A$618:N2148,10,0)),"")</f>
        <v/>
      </c>
    </row>
    <row r="4025" spans="1:16" x14ac:dyDescent="0.35">
      <c r="A4025" s="497" t="b">
        <f t="shared" ca="1" si="231"/>
        <v>0</v>
      </c>
      <c r="B4025" s="497"/>
      <c r="C4025" s="510" t="str">
        <f ca="1">IF(COUNTA(D$2498:D4025)=1,"",OFFSET(B4023,-COUNTA(D$2498:D4025)+3,1))</f>
        <v>a163p000004NtOFAA0</v>
      </c>
      <c r="D4025" s="512"/>
      <c r="E4025" s="500" t="str">
        <f ca="1">IFERROR(IF(VLOOKUP(C4025,' Disaggregation - Section E '!A$618:N2149,7,0)="","",VLOOKUP(C4025,' Disaggregation - Section E '!A$618:N2149,7,0)*100),"")</f>
        <v/>
      </c>
      <c r="F4025" s="503" t="str">
        <f ca="1">IFERROR(VLOOKUP(C4025,' Disaggregation - Section E '!A$618:N2149,5,0),"")</f>
        <v/>
      </c>
      <c r="G4025" s="502" t="str">
        <f ca="1">IFERROR(IF(VLOOKUP(C4025,' Disaggregation - Section E '!A$618:N2149,6,0)="","",VLOOKUP(C4025,' Disaggregation - Section E '!A$618:N2149,6,0)),"")</f>
        <v/>
      </c>
      <c r="H4025" s="512" t="str">
        <f ca="1">IFERROR(IF(INDEX(' Disaggregation - Section E '!F$618:F3346,MATCH(C4025,' Disaggregation - Section E '!A$618:A3346,0)+1,1)&lt;&gt;0,INDEX(' Disaggregation - Section E '!F$618:F$1820,MATCH(C4025,' Disaggregation - Section E '!A$618:A3346,0)+1,1),""),"")</f>
        <v/>
      </c>
      <c r="I4025" s="503" t="str">
        <f ca="1">IFERROR(IF(VLOOKUP(C4025,' Disaggregation - Section E '!A$618:N2149,8,0)=0,"",VLOOKUP(C4025,' Disaggregation - Section E '!A$618:N2149,8,0)),"")</f>
        <v/>
      </c>
      <c r="J4025" s="503" t="str">
        <f ca="1">IFERROR(IF(VLOOKUP(C4025,' Disaggregation - Section E '!A$618:N3346,13,0)=0,"",VLOOKUP(C4025,' Disaggregation - Section E '!A$618:N3346,13,0)),"")</f>
        <v/>
      </c>
      <c r="K4025" s="497" t="str">
        <f ca="1">IFERROR(VLOOKUP(C4025,' Disaggregation - Section E '!A$618:N2149,3,0),"")</f>
        <v>TCS-Other1 Porcentaje de personas en TARV a quienes se les ha realizado una prueba de carga viral en los últimos 6 meses.</v>
      </c>
      <c r="L4025" s="497"/>
      <c r="M4025" s="497" t="str">
        <f ca="1">IFERROR(IF(VLOOKUP(C4025,' Disaggregation - Section E '!A$618:T2149,20,0)=0,"",VLOOKUP(C4025,' Disaggregation - Section E '!A$618:T2149,20,0)),"")</f>
        <v/>
      </c>
      <c r="N4025" s="503" t="str">
        <f ca="1">IFERROR(IF(VLOOKUP(C4025,' Disaggregation - Section E '!A$618:N2149,14,0)=0,"",VLOOKUP(C4025,' Disaggregation - Section E '!A$618:N2149,14,0)),"")</f>
        <v/>
      </c>
      <c r="O4025" s="503" t="str">
        <f ca="1">IFERROR(IF(VLOOKUP(C4025,' Disaggregation - Section E '!A$618:N2149,9,0)=0,"",VLOOKUP(C4025,' Disaggregation - Section E '!A$618:N2149,9,0)),"")</f>
        <v/>
      </c>
      <c r="P4025" s="503" t="str">
        <f ca="1">IFERROR(IF(VLOOKUP(C4025,' Disaggregation - Section E '!A$618:N2149,10,0)=0,"",VLOOKUP(C4025,' Disaggregation - Section E '!A$618:N2149,10,0)),"")</f>
        <v/>
      </c>
    </row>
    <row r="4026" spans="1:16" x14ac:dyDescent="0.35">
      <c r="A4026" s="497" t="b">
        <f t="shared" ca="1" si="231"/>
        <v>0</v>
      </c>
      <c r="B4026" s="497"/>
      <c r="C4026" s="510" t="str">
        <f ca="1">IF(COUNTA(D$2498:D4026)=1,"",OFFSET(B4024,-COUNTA(D$2498:D4026)+3,1))</f>
        <v>a163p000004NtOGAA0</v>
      </c>
      <c r="D4026" s="512"/>
      <c r="E4026" s="500" t="str">
        <f ca="1">IFERROR(IF(VLOOKUP(C4026,' Disaggregation - Section E '!A$618:N2150,7,0)="","",VLOOKUP(C4026,' Disaggregation - Section E '!A$618:N2150,7,0)*100),"")</f>
        <v/>
      </c>
      <c r="F4026" s="503" t="str">
        <f ca="1">IFERROR(VLOOKUP(C4026,' Disaggregation - Section E '!A$618:N2150,5,0),"")</f>
        <v/>
      </c>
      <c r="G4026" s="502" t="str">
        <f ca="1">IFERROR(IF(VLOOKUP(C4026,' Disaggregation - Section E '!A$618:N2150,6,0)="","",VLOOKUP(C4026,' Disaggregation - Section E '!A$618:N2150,6,0)),"")</f>
        <v/>
      </c>
      <c r="H4026" s="512" t="str">
        <f ca="1">IFERROR(IF(INDEX(' Disaggregation - Section E '!F$618:F3347,MATCH(C4026,' Disaggregation - Section E '!A$618:A3347,0)+1,1)&lt;&gt;0,INDEX(' Disaggregation - Section E '!F$618:F$1820,MATCH(C4026,' Disaggregation - Section E '!A$618:A3347,0)+1,1),""),"")</f>
        <v/>
      </c>
      <c r="I4026" s="503" t="str">
        <f ca="1">IFERROR(IF(VLOOKUP(C4026,' Disaggregation - Section E '!A$618:N2150,8,0)=0,"",VLOOKUP(C4026,' Disaggregation - Section E '!A$618:N2150,8,0)),"")</f>
        <v/>
      </c>
      <c r="J4026" s="503" t="str">
        <f ca="1">IFERROR(IF(VLOOKUP(C4026,' Disaggregation - Section E '!A$618:N3347,13,0)=0,"",VLOOKUP(C4026,' Disaggregation - Section E '!A$618:N3347,13,0)),"")</f>
        <v/>
      </c>
      <c r="K4026" s="497" t="str">
        <f ca="1">IFERROR(VLOOKUP(C4026,' Disaggregation - Section E '!A$618:N2150,3,0),"")</f>
        <v>TCS-Other1 Porcentaje de personas en TARV a quienes se les ha realizado una prueba de carga viral en los últimos 6 meses.</v>
      </c>
      <c r="L4026" s="497"/>
      <c r="M4026" s="497" t="str">
        <f ca="1">IFERROR(IF(VLOOKUP(C4026,' Disaggregation - Section E '!A$618:T2150,20,0)=0,"",VLOOKUP(C4026,' Disaggregation - Section E '!A$618:T2150,20,0)),"")</f>
        <v/>
      </c>
      <c r="N4026" s="503" t="str">
        <f ca="1">IFERROR(IF(VLOOKUP(C4026,' Disaggregation - Section E '!A$618:N2150,14,0)=0,"",VLOOKUP(C4026,' Disaggregation - Section E '!A$618:N2150,14,0)),"")</f>
        <v/>
      </c>
      <c r="O4026" s="503" t="str">
        <f ca="1">IFERROR(IF(VLOOKUP(C4026,' Disaggregation - Section E '!A$618:N2150,9,0)=0,"",VLOOKUP(C4026,' Disaggregation - Section E '!A$618:N2150,9,0)),"")</f>
        <v/>
      </c>
      <c r="P4026" s="503" t="str">
        <f ca="1">IFERROR(IF(VLOOKUP(C4026,' Disaggregation - Section E '!A$618:N2150,10,0)=0,"",VLOOKUP(C4026,' Disaggregation - Section E '!A$618:N2150,10,0)),"")</f>
        <v/>
      </c>
    </row>
    <row r="4027" spans="1:16" x14ac:dyDescent="0.35">
      <c r="A4027" s="497" t="b">
        <f t="shared" ca="1" si="231"/>
        <v>0</v>
      </c>
      <c r="B4027" s="497"/>
      <c r="C4027" s="510" t="str">
        <f ca="1">IF(COUNTA(D$2498:D4027)=1,"",OFFSET(B4025,-COUNTA(D$2498:D4027)+3,1))</f>
        <v>a163p000004NtOHAA0</v>
      </c>
      <c r="D4027" s="512"/>
      <c r="E4027" s="500" t="str">
        <f ca="1">IFERROR(IF(VLOOKUP(C4027,' Disaggregation - Section E '!A$618:N2151,7,0)="","",VLOOKUP(C4027,' Disaggregation - Section E '!A$618:N2151,7,0)*100),"")</f>
        <v/>
      </c>
      <c r="F4027" s="503" t="str">
        <f ca="1">IFERROR(VLOOKUP(C4027,' Disaggregation - Section E '!A$618:N2151,5,0),"")</f>
        <v/>
      </c>
      <c r="G4027" s="502" t="str">
        <f ca="1">IFERROR(IF(VLOOKUP(C4027,' Disaggregation - Section E '!A$618:N2151,6,0)="","",VLOOKUP(C4027,' Disaggregation - Section E '!A$618:N2151,6,0)),"")</f>
        <v/>
      </c>
      <c r="H4027" s="512" t="str">
        <f ca="1">IFERROR(IF(INDEX(' Disaggregation - Section E '!F$618:F3348,MATCH(C4027,' Disaggregation - Section E '!A$618:A3348,0)+1,1)&lt;&gt;0,INDEX(' Disaggregation - Section E '!F$618:F$1820,MATCH(C4027,' Disaggregation - Section E '!A$618:A3348,0)+1,1),""),"")</f>
        <v/>
      </c>
      <c r="I4027" s="503" t="str">
        <f ca="1">IFERROR(IF(VLOOKUP(C4027,' Disaggregation - Section E '!A$618:N2151,8,0)=0,"",VLOOKUP(C4027,' Disaggregation - Section E '!A$618:N2151,8,0)),"")</f>
        <v/>
      </c>
      <c r="J4027" s="503" t="str">
        <f ca="1">IFERROR(IF(VLOOKUP(C4027,' Disaggregation - Section E '!A$618:N3348,13,0)=0,"",VLOOKUP(C4027,' Disaggregation - Section E '!A$618:N3348,13,0)),"")</f>
        <v/>
      </c>
      <c r="K4027" s="497" t="str">
        <f ca="1">IFERROR(VLOOKUP(C4027,' Disaggregation - Section E '!A$618:N2151,3,0),"")</f>
        <v>TCS-Other1 Porcentaje de personas en TARV a quienes se les ha realizado una prueba de carga viral en los últimos 6 meses.</v>
      </c>
      <c r="L4027" s="497"/>
      <c r="M4027" s="497" t="str">
        <f ca="1">IFERROR(IF(VLOOKUP(C4027,' Disaggregation - Section E '!A$618:T2151,20,0)=0,"",VLOOKUP(C4027,' Disaggregation - Section E '!A$618:T2151,20,0)),"")</f>
        <v/>
      </c>
      <c r="N4027" s="503" t="str">
        <f ca="1">IFERROR(IF(VLOOKUP(C4027,' Disaggregation - Section E '!A$618:N2151,14,0)=0,"",VLOOKUP(C4027,' Disaggregation - Section E '!A$618:N2151,14,0)),"")</f>
        <v/>
      </c>
      <c r="O4027" s="503" t="str">
        <f ca="1">IFERROR(IF(VLOOKUP(C4027,' Disaggregation - Section E '!A$618:N2151,9,0)=0,"",VLOOKUP(C4027,' Disaggregation - Section E '!A$618:N2151,9,0)),"")</f>
        <v/>
      </c>
      <c r="P4027" s="503" t="str">
        <f ca="1">IFERROR(IF(VLOOKUP(C4027,' Disaggregation - Section E '!A$618:N2151,10,0)=0,"",VLOOKUP(C4027,' Disaggregation - Section E '!A$618:N2151,10,0)),"")</f>
        <v/>
      </c>
    </row>
    <row r="4028" spans="1:16" x14ac:dyDescent="0.35">
      <c r="A4028" s="497" t="b">
        <f t="shared" ca="1" si="231"/>
        <v>0</v>
      </c>
      <c r="B4028" s="497"/>
      <c r="C4028" s="510" t="str">
        <f ca="1">IF(COUNTA(D$2498:D4028)=1,"",OFFSET(B4026,-COUNTA(D$2498:D4028)+3,1))</f>
        <v>a163p000004NtOIAA0</v>
      </c>
      <c r="D4028" s="512"/>
      <c r="E4028" s="500" t="str">
        <f ca="1">IFERROR(IF(VLOOKUP(C4028,' Disaggregation - Section E '!A$618:N2152,7,0)="","",VLOOKUP(C4028,' Disaggregation - Section E '!A$618:N2152,7,0)*100),"")</f>
        <v/>
      </c>
      <c r="F4028" s="503" t="str">
        <f ca="1">IFERROR(VLOOKUP(C4028,' Disaggregation - Section E '!A$618:N2152,5,0),"")</f>
        <v/>
      </c>
      <c r="G4028" s="502" t="str">
        <f ca="1">IFERROR(IF(VLOOKUP(C4028,' Disaggregation - Section E '!A$618:N2152,6,0)="","",VLOOKUP(C4028,' Disaggregation - Section E '!A$618:N2152,6,0)),"")</f>
        <v/>
      </c>
      <c r="H4028" s="512" t="str">
        <f ca="1">IFERROR(IF(INDEX(' Disaggregation - Section E '!F$618:F3349,MATCH(C4028,' Disaggregation - Section E '!A$618:A3349,0)+1,1)&lt;&gt;0,INDEX(' Disaggregation - Section E '!F$618:F$1820,MATCH(C4028,' Disaggregation - Section E '!A$618:A3349,0)+1,1),""),"")</f>
        <v/>
      </c>
      <c r="I4028" s="503" t="str">
        <f ca="1">IFERROR(IF(VLOOKUP(C4028,' Disaggregation - Section E '!A$618:N2152,8,0)=0,"",VLOOKUP(C4028,' Disaggregation - Section E '!A$618:N2152,8,0)),"")</f>
        <v/>
      </c>
      <c r="J4028" s="503" t="str">
        <f ca="1">IFERROR(IF(VLOOKUP(C4028,' Disaggregation - Section E '!A$618:N3349,13,0)=0,"",VLOOKUP(C4028,' Disaggregation - Section E '!A$618:N3349,13,0)),"")</f>
        <v/>
      </c>
      <c r="K4028" s="497" t="str">
        <f ca="1">IFERROR(VLOOKUP(C4028,' Disaggregation - Section E '!A$618:N2152,3,0),"")</f>
        <v>TCS-Other1 Porcentaje de personas en TARV a quienes se les ha realizado una prueba de carga viral en los últimos 6 meses.</v>
      </c>
      <c r="L4028" s="497"/>
      <c r="M4028" s="497" t="str">
        <f ca="1">IFERROR(IF(VLOOKUP(C4028,' Disaggregation - Section E '!A$618:T2152,20,0)=0,"",VLOOKUP(C4028,' Disaggregation - Section E '!A$618:T2152,20,0)),"")</f>
        <v/>
      </c>
      <c r="N4028" s="503" t="str">
        <f ca="1">IFERROR(IF(VLOOKUP(C4028,' Disaggregation - Section E '!A$618:N2152,14,0)=0,"",VLOOKUP(C4028,' Disaggregation - Section E '!A$618:N2152,14,0)),"")</f>
        <v/>
      </c>
      <c r="O4028" s="503" t="str">
        <f ca="1">IFERROR(IF(VLOOKUP(C4028,' Disaggregation - Section E '!A$618:N2152,9,0)=0,"",VLOOKUP(C4028,' Disaggregation - Section E '!A$618:N2152,9,0)),"")</f>
        <v/>
      </c>
      <c r="P4028" s="503" t="str">
        <f ca="1">IFERROR(IF(VLOOKUP(C4028,' Disaggregation - Section E '!A$618:N2152,10,0)=0,"",VLOOKUP(C4028,' Disaggregation - Section E '!A$618:N2152,10,0)),"")</f>
        <v/>
      </c>
    </row>
    <row r="4029" spans="1:16" x14ac:dyDescent="0.35">
      <c r="A4029" s="497" t="b">
        <f t="shared" ca="1" si="231"/>
        <v>0</v>
      </c>
      <c r="B4029" s="497"/>
      <c r="C4029" s="510" t="str">
        <f ca="1">IF(COUNTA(D$2498:D4029)=1,"",OFFSET(B4027,-COUNTA(D$2498:D4029)+3,1))</f>
        <v>a163p000004NtOJAA0</v>
      </c>
      <c r="D4029" s="512"/>
      <c r="E4029" s="500" t="str">
        <f ca="1">IFERROR(IF(VLOOKUP(C4029,' Disaggregation - Section E '!A$618:N2153,7,0)="","",VLOOKUP(C4029,' Disaggregation - Section E '!A$618:N2153,7,0)*100),"")</f>
        <v/>
      </c>
      <c r="F4029" s="503" t="str">
        <f ca="1">IFERROR(VLOOKUP(C4029,' Disaggregation - Section E '!A$618:N2153,5,0),"")</f>
        <v/>
      </c>
      <c r="G4029" s="502" t="str">
        <f ca="1">IFERROR(IF(VLOOKUP(C4029,' Disaggregation - Section E '!A$618:N2153,6,0)="","",VLOOKUP(C4029,' Disaggregation - Section E '!A$618:N2153,6,0)),"")</f>
        <v/>
      </c>
      <c r="H4029" s="512" t="str">
        <f ca="1">IFERROR(IF(INDEX(' Disaggregation - Section E '!F$618:F3350,MATCH(C4029,' Disaggregation - Section E '!A$618:A3350,0)+1,1)&lt;&gt;0,INDEX(' Disaggregation - Section E '!F$618:F$1820,MATCH(C4029,' Disaggregation - Section E '!A$618:A3350,0)+1,1),""),"")</f>
        <v/>
      </c>
      <c r="I4029" s="503" t="str">
        <f ca="1">IFERROR(IF(VLOOKUP(C4029,' Disaggregation - Section E '!A$618:N2153,8,0)=0,"",VLOOKUP(C4029,' Disaggregation - Section E '!A$618:N2153,8,0)),"")</f>
        <v/>
      </c>
      <c r="J4029" s="503" t="str">
        <f ca="1">IFERROR(IF(VLOOKUP(C4029,' Disaggregation - Section E '!A$618:N3350,13,0)=0,"",VLOOKUP(C4029,' Disaggregation - Section E '!A$618:N3350,13,0)),"")</f>
        <v/>
      </c>
      <c r="K4029" s="497" t="str">
        <f ca="1">IFERROR(VLOOKUP(C4029,' Disaggregation - Section E '!A$618:N2153,3,0),"")</f>
        <v>TCS-Other1 Porcentaje de personas en TARV a quienes se les ha realizado una prueba de carga viral en los últimos 6 meses.</v>
      </c>
      <c r="L4029" s="497"/>
      <c r="M4029" s="497" t="str">
        <f ca="1">IFERROR(IF(VLOOKUP(C4029,' Disaggregation - Section E '!A$618:T2153,20,0)=0,"",VLOOKUP(C4029,' Disaggregation - Section E '!A$618:T2153,20,0)),"")</f>
        <v/>
      </c>
      <c r="N4029" s="503" t="str">
        <f ca="1">IFERROR(IF(VLOOKUP(C4029,' Disaggregation - Section E '!A$618:N2153,14,0)=0,"",VLOOKUP(C4029,' Disaggregation - Section E '!A$618:N2153,14,0)),"")</f>
        <v/>
      </c>
      <c r="O4029" s="503" t="str">
        <f ca="1">IFERROR(IF(VLOOKUP(C4029,' Disaggregation - Section E '!A$618:N2153,9,0)=0,"",VLOOKUP(C4029,' Disaggregation - Section E '!A$618:N2153,9,0)),"")</f>
        <v/>
      </c>
      <c r="P4029" s="503" t="str">
        <f ca="1">IFERROR(IF(VLOOKUP(C4029,' Disaggregation - Section E '!A$618:N2153,10,0)=0,"",VLOOKUP(C4029,' Disaggregation - Section E '!A$618:N2153,10,0)),"")</f>
        <v/>
      </c>
    </row>
    <row r="4030" spans="1:16" x14ac:dyDescent="0.35">
      <c r="A4030" s="497" t="b">
        <f t="shared" ca="1" si="231"/>
        <v>0</v>
      </c>
      <c r="B4030" s="497"/>
      <c r="C4030" s="510" t="str">
        <f ca="1">IF(COUNTA(D$2498:D4030)=1,"",OFFSET(B4028,-COUNTA(D$2498:D4030)+3,1))</f>
        <v>a163p000004NtOKAA0</v>
      </c>
      <c r="D4030" s="512"/>
      <c r="E4030" s="500" t="str">
        <f ca="1">IFERROR(IF(VLOOKUP(C4030,' Disaggregation - Section E '!A$618:N2154,7,0)="","",VLOOKUP(C4030,' Disaggregation - Section E '!A$618:N2154,7,0)*100),"")</f>
        <v/>
      </c>
      <c r="F4030" s="503" t="str">
        <f ca="1">IFERROR(VLOOKUP(C4030,' Disaggregation - Section E '!A$618:N2154,5,0),"")</f>
        <v/>
      </c>
      <c r="G4030" s="502" t="str">
        <f ca="1">IFERROR(IF(VLOOKUP(C4030,' Disaggregation - Section E '!A$618:N2154,6,0)="","",VLOOKUP(C4030,' Disaggregation - Section E '!A$618:N2154,6,0)),"")</f>
        <v/>
      </c>
      <c r="H4030" s="512" t="str">
        <f ca="1">IFERROR(IF(INDEX(' Disaggregation - Section E '!F$618:F3351,MATCH(C4030,' Disaggregation - Section E '!A$618:A3351,0)+1,1)&lt;&gt;0,INDEX(' Disaggregation - Section E '!F$618:F$1820,MATCH(C4030,' Disaggregation - Section E '!A$618:A3351,0)+1,1),""),"")</f>
        <v/>
      </c>
      <c r="I4030" s="503" t="str">
        <f ca="1">IFERROR(IF(VLOOKUP(C4030,' Disaggregation - Section E '!A$618:N2154,8,0)=0,"",VLOOKUP(C4030,' Disaggregation - Section E '!A$618:N2154,8,0)),"")</f>
        <v/>
      </c>
      <c r="J4030" s="503" t="str">
        <f ca="1">IFERROR(IF(VLOOKUP(C4030,' Disaggregation - Section E '!A$618:N3351,13,0)=0,"",VLOOKUP(C4030,' Disaggregation - Section E '!A$618:N3351,13,0)),"")</f>
        <v/>
      </c>
      <c r="K4030" s="497" t="str">
        <f ca="1">IFERROR(VLOOKUP(C4030,' Disaggregation - Section E '!A$618:N2154,3,0),"")</f>
        <v>TCS-Other1 Porcentaje de personas en TARV a quienes se les ha realizado una prueba de carga viral en los últimos 6 meses.</v>
      </c>
      <c r="L4030" s="497"/>
      <c r="M4030" s="497" t="str">
        <f ca="1">IFERROR(IF(VLOOKUP(C4030,' Disaggregation - Section E '!A$618:T2154,20,0)=0,"",VLOOKUP(C4030,' Disaggregation - Section E '!A$618:T2154,20,0)),"")</f>
        <v/>
      </c>
      <c r="N4030" s="503" t="str">
        <f ca="1">IFERROR(IF(VLOOKUP(C4030,' Disaggregation - Section E '!A$618:N2154,14,0)=0,"",VLOOKUP(C4030,' Disaggregation - Section E '!A$618:N2154,14,0)),"")</f>
        <v/>
      </c>
      <c r="O4030" s="503" t="str">
        <f ca="1">IFERROR(IF(VLOOKUP(C4030,' Disaggregation - Section E '!A$618:N2154,9,0)=0,"",VLOOKUP(C4030,' Disaggregation - Section E '!A$618:N2154,9,0)),"")</f>
        <v/>
      </c>
      <c r="P4030" s="503" t="str">
        <f ca="1">IFERROR(IF(VLOOKUP(C4030,' Disaggregation - Section E '!A$618:N2154,10,0)=0,"",VLOOKUP(C4030,' Disaggregation - Section E '!A$618:N2154,10,0)),"")</f>
        <v/>
      </c>
    </row>
    <row r="4031" spans="1:16" x14ac:dyDescent="0.35">
      <c r="A4031" s="497" t="b">
        <f t="shared" ca="1" si="231"/>
        <v>0</v>
      </c>
      <c r="B4031" s="497"/>
      <c r="C4031" s="510" t="str">
        <f ca="1">IF(COUNTA(D$2498:D4031)=1,"",OFFSET(B4029,-COUNTA(D$2498:D4031)+3,1))</f>
        <v>a163p000004NtOLAA0</v>
      </c>
      <c r="D4031" s="512"/>
      <c r="E4031" s="500" t="str">
        <f ca="1">IFERROR(IF(VLOOKUP(C4031,' Disaggregation - Section E '!A$618:N2155,7,0)="","",VLOOKUP(C4031,' Disaggregation - Section E '!A$618:N2155,7,0)*100),"")</f>
        <v/>
      </c>
      <c r="F4031" s="503" t="str">
        <f ca="1">IFERROR(VLOOKUP(C4031,' Disaggregation - Section E '!A$618:N2155,5,0),"")</f>
        <v/>
      </c>
      <c r="G4031" s="502" t="str">
        <f ca="1">IFERROR(IF(VLOOKUP(C4031,' Disaggregation - Section E '!A$618:N2155,6,0)="","",VLOOKUP(C4031,' Disaggregation - Section E '!A$618:N2155,6,0)),"")</f>
        <v/>
      </c>
      <c r="H4031" s="512" t="str">
        <f ca="1">IFERROR(IF(INDEX(' Disaggregation - Section E '!F$618:F3352,MATCH(C4031,' Disaggregation - Section E '!A$618:A3352,0)+1,1)&lt;&gt;0,INDEX(' Disaggregation - Section E '!F$618:F$1820,MATCH(C4031,' Disaggregation - Section E '!A$618:A3352,0)+1,1),""),"")</f>
        <v/>
      </c>
      <c r="I4031" s="503" t="str">
        <f ca="1">IFERROR(IF(VLOOKUP(C4031,' Disaggregation - Section E '!A$618:N2155,8,0)=0,"",VLOOKUP(C4031,' Disaggregation - Section E '!A$618:N2155,8,0)),"")</f>
        <v/>
      </c>
      <c r="J4031" s="503" t="str">
        <f ca="1">IFERROR(IF(VLOOKUP(C4031,' Disaggregation - Section E '!A$618:N3352,13,0)=0,"",VLOOKUP(C4031,' Disaggregation - Section E '!A$618:N3352,13,0)),"")</f>
        <v/>
      </c>
      <c r="K4031" s="497" t="str">
        <f ca="1">IFERROR(VLOOKUP(C4031,' Disaggregation - Section E '!A$618:N2155,3,0),"")</f>
        <v>TCS-Other1 Porcentaje de personas en TARV a quienes se les ha realizado una prueba de carga viral en los últimos 6 meses.</v>
      </c>
      <c r="L4031" s="497"/>
      <c r="M4031" s="497" t="str">
        <f ca="1">IFERROR(IF(VLOOKUP(C4031,' Disaggregation - Section E '!A$618:T2155,20,0)=0,"",VLOOKUP(C4031,' Disaggregation - Section E '!A$618:T2155,20,0)),"")</f>
        <v/>
      </c>
      <c r="N4031" s="503" t="str">
        <f ca="1">IFERROR(IF(VLOOKUP(C4031,' Disaggregation - Section E '!A$618:N2155,14,0)=0,"",VLOOKUP(C4031,' Disaggregation - Section E '!A$618:N2155,14,0)),"")</f>
        <v/>
      </c>
      <c r="O4031" s="503" t="str">
        <f ca="1">IFERROR(IF(VLOOKUP(C4031,' Disaggregation - Section E '!A$618:N2155,9,0)=0,"",VLOOKUP(C4031,' Disaggregation - Section E '!A$618:N2155,9,0)),"")</f>
        <v/>
      </c>
      <c r="P4031" s="503" t="str">
        <f ca="1">IFERROR(IF(VLOOKUP(C4031,' Disaggregation - Section E '!A$618:N2155,10,0)=0,"",VLOOKUP(C4031,' Disaggregation - Section E '!A$618:N2155,10,0)),"")</f>
        <v/>
      </c>
    </row>
    <row r="4032" spans="1:16" x14ac:dyDescent="0.35">
      <c r="A4032" s="497" t="b">
        <f t="shared" ca="1" si="231"/>
        <v>0</v>
      </c>
      <c r="B4032" s="497"/>
      <c r="C4032" s="510" t="str">
        <f ca="1">IF(COUNTA(D$2498:D4032)=1,"",OFFSET(B4030,-COUNTA(D$2498:D4032)+3,1))</f>
        <v>a163p000004NtOMAA0</v>
      </c>
      <c r="D4032" s="512"/>
      <c r="E4032" s="500" t="str">
        <f ca="1">IFERROR(IF(VLOOKUP(C4032,' Disaggregation - Section E '!A$618:N2156,7,0)="","",VLOOKUP(C4032,' Disaggregation - Section E '!A$618:N2156,7,0)*100),"")</f>
        <v/>
      </c>
      <c r="F4032" s="503" t="str">
        <f ca="1">IFERROR(VLOOKUP(C4032,' Disaggregation - Section E '!A$618:N2156,5,0),"")</f>
        <v/>
      </c>
      <c r="G4032" s="502" t="str">
        <f ca="1">IFERROR(IF(VLOOKUP(C4032,' Disaggregation - Section E '!A$618:N2156,6,0)="","",VLOOKUP(C4032,' Disaggregation - Section E '!A$618:N2156,6,0)),"")</f>
        <v/>
      </c>
      <c r="H4032" s="512" t="str">
        <f ca="1">IFERROR(IF(INDEX(' Disaggregation - Section E '!F$618:F3353,MATCH(C4032,' Disaggregation - Section E '!A$618:A3353,0)+1,1)&lt;&gt;0,INDEX(' Disaggregation - Section E '!F$618:F$1820,MATCH(C4032,' Disaggregation - Section E '!A$618:A3353,0)+1,1),""),"")</f>
        <v/>
      </c>
      <c r="I4032" s="503" t="str">
        <f ca="1">IFERROR(IF(VLOOKUP(C4032,' Disaggregation - Section E '!A$618:N2156,8,0)=0,"",VLOOKUP(C4032,' Disaggregation - Section E '!A$618:N2156,8,0)),"")</f>
        <v/>
      </c>
      <c r="J4032" s="503" t="str">
        <f ca="1">IFERROR(IF(VLOOKUP(C4032,' Disaggregation - Section E '!A$618:N3353,13,0)=0,"",VLOOKUP(C4032,' Disaggregation - Section E '!A$618:N3353,13,0)),"")</f>
        <v/>
      </c>
      <c r="K4032" s="497" t="str">
        <f ca="1">IFERROR(VLOOKUP(C4032,' Disaggregation - Section E '!A$618:N2156,3,0),"")</f>
        <v>TCS-Other1 Porcentaje de personas en TARV a quienes se les ha realizado una prueba de carga viral en los últimos 6 meses.</v>
      </c>
      <c r="L4032" s="497"/>
      <c r="M4032" s="497" t="str">
        <f ca="1">IFERROR(IF(VLOOKUP(C4032,' Disaggregation - Section E '!A$618:T2156,20,0)=0,"",VLOOKUP(C4032,' Disaggregation - Section E '!A$618:T2156,20,0)),"")</f>
        <v/>
      </c>
      <c r="N4032" s="503" t="str">
        <f ca="1">IFERROR(IF(VLOOKUP(C4032,' Disaggregation - Section E '!A$618:N2156,14,0)=0,"",VLOOKUP(C4032,' Disaggregation - Section E '!A$618:N2156,14,0)),"")</f>
        <v/>
      </c>
      <c r="O4032" s="503" t="str">
        <f ca="1">IFERROR(IF(VLOOKUP(C4032,' Disaggregation - Section E '!A$618:N2156,9,0)=0,"",VLOOKUP(C4032,' Disaggregation - Section E '!A$618:N2156,9,0)),"")</f>
        <v/>
      </c>
      <c r="P4032" s="503" t="str">
        <f ca="1">IFERROR(IF(VLOOKUP(C4032,' Disaggregation - Section E '!A$618:N2156,10,0)=0,"",VLOOKUP(C4032,' Disaggregation - Section E '!A$618:N2156,10,0)),"")</f>
        <v/>
      </c>
    </row>
    <row r="4033" spans="1:16" x14ac:dyDescent="0.35">
      <c r="A4033" s="497" t="b">
        <f t="shared" ca="1" si="231"/>
        <v>0</v>
      </c>
      <c r="B4033" s="497"/>
      <c r="C4033" s="510" t="str">
        <f ca="1">IF(COUNTA(D$2498:D4033)=1,"",OFFSET(B4031,-COUNTA(D$2498:D4033)+3,1))</f>
        <v>a163p000004NtONAA0</v>
      </c>
      <c r="D4033" s="512"/>
      <c r="E4033" s="500" t="str">
        <f ca="1">IFERROR(IF(VLOOKUP(C4033,' Disaggregation - Section E '!A$618:N2157,7,0)="","",VLOOKUP(C4033,' Disaggregation - Section E '!A$618:N2157,7,0)*100),"")</f>
        <v/>
      </c>
      <c r="F4033" s="503" t="str">
        <f ca="1">IFERROR(VLOOKUP(C4033,' Disaggregation - Section E '!A$618:N2157,5,0),"")</f>
        <v/>
      </c>
      <c r="G4033" s="502" t="str">
        <f ca="1">IFERROR(IF(VLOOKUP(C4033,' Disaggregation - Section E '!A$618:N2157,6,0)="","",VLOOKUP(C4033,' Disaggregation - Section E '!A$618:N2157,6,0)),"")</f>
        <v/>
      </c>
      <c r="H4033" s="512" t="str">
        <f ca="1">IFERROR(IF(INDEX(' Disaggregation - Section E '!F$618:F3354,MATCH(C4033,' Disaggregation - Section E '!A$618:A3354,0)+1,1)&lt;&gt;0,INDEX(' Disaggregation - Section E '!F$618:F$1820,MATCH(C4033,' Disaggregation - Section E '!A$618:A3354,0)+1,1),""),"")</f>
        <v/>
      </c>
      <c r="I4033" s="503" t="str">
        <f ca="1">IFERROR(IF(VLOOKUP(C4033,' Disaggregation - Section E '!A$618:N2157,8,0)=0,"",VLOOKUP(C4033,' Disaggregation - Section E '!A$618:N2157,8,0)),"")</f>
        <v/>
      </c>
      <c r="J4033" s="503" t="str">
        <f ca="1">IFERROR(IF(VLOOKUP(C4033,' Disaggregation - Section E '!A$618:N3354,13,0)=0,"",VLOOKUP(C4033,' Disaggregation - Section E '!A$618:N3354,13,0)),"")</f>
        <v/>
      </c>
      <c r="K4033" s="497" t="str">
        <f ca="1">IFERROR(VLOOKUP(C4033,' Disaggregation - Section E '!A$618:N2157,3,0),"")</f>
        <v>TCS-Other1 Porcentaje de personas en TARV a quienes se les ha realizado una prueba de carga viral en los últimos 6 meses.</v>
      </c>
      <c r="L4033" s="497"/>
      <c r="M4033" s="497" t="str">
        <f ca="1">IFERROR(IF(VLOOKUP(C4033,' Disaggregation - Section E '!A$618:T2157,20,0)=0,"",VLOOKUP(C4033,' Disaggregation - Section E '!A$618:T2157,20,0)),"")</f>
        <v/>
      </c>
      <c r="N4033" s="503" t="str">
        <f ca="1">IFERROR(IF(VLOOKUP(C4033,' Disaggregation - Section E '!A$618:N2157,14,0)=0,"",VLOOKUP(C4033,' Disaggregation - Section E '!A$618:N2157,14,0)),"")</f>
        <v/>
      </c>
      <c r="O4033" s="503" t="str">
        <f ca="1">IFERROR(IF(VLOOKUP(C4033,' Disaggregation - Section E '!A$618:N2157,9,0)=0,"",VLOOKUP(C4033,' Disaggregation - Section E '!A$618:N2157,9,0)),"")</f>
        <v/>
      </c>
      <c r="P4033" s="503" t="str">
        <f ca="1">IFERROR(IF(VLOOKUP(C4033,' Disaggregation - Section E '!A$618:N2157,10,0)=0,"",VLOOKUP(C4033,' Disaggregation - Section E '!A$618:N2157,10,0)),"")</f>
        <v/>
      </c>
    </row>
    <row r="4034" spans="1:16" x14ac:dyDescent="0.35">
      <c r="A4034" s="497" t="b">
        <f t="shared" ca="1" si="231"/>
        <v>0</v>
      </c>
      <c r="B4034" s="497"/>
      <c r="C4034" s="510" t="str">
        <f ca="1">IF(COUNTA(D$2498:D4034)=1,"",OFFSET(B4032,-COUNTA(D$2498:D4034)+3,1))</f>
        <v>a163p000004NtOOAA0</v>
      </c>
      <c r="D4034" s="512"/>
      <c r="E4034" s="500" t="str">
        <f ca="1">IFERROR(IF(VLOOKUP(C4034,' Disaggregation - Section E '!A$618:N2158,7,0)="","",VLOOKUP(C4034,' Disaggregation - Section E '!A$618:N2158,7,0)*100),"")</f>
        <v/>
      </c>
      <c r="F4034" s="503" t="str">
        <f ca="1">IFERROR(VLOOKUP(C4034,' Disaggregation - Section E '!A$618:N2158,5,0),"")</f>
        <v/>
      </c>
      <c r="G4034" s="502" t="str">
        <f ca="1">IFERROR(IF(VLOOKUP(C4034,' Disaggregation - Section E '!A$618:N2158,6,0)="","",VLOOKUP(C4034,' Disaggregation - Section E '!A$618:N2158,6,0)),"")</f>
        <v/>
      </c>
      <c r="H4034" s="512" t="str">
        <f ca="1">IFERROR(IF(INDEX(' Disaggregation - Section E '!F$618:F3355,MATCH(C4034,' Disaggregation - Section E '!A$618:A3355,0)+1,1)&lt;&gt;0,INDEX(' Disaggregation - Section E '!F$618:F$1820,MATCH(C4034,' Disaggregation - Section E '!A$618:A3355,0)+1,1),""),"")</f>
        <v/>
      </c>
      <c r="I4034" s="503" t="str">
        <f ca="1">IFERROR(IF(VLOOKUP(C4034,' Disaggregation - Section E '!A$618:N2158,8,0)=0,"",VLOOKUP(C4034,' Disaggregation - Section E '!A$618:N2158,8,0)),"")</f>
        <v/>
      </c>
      <c r="J4034" s="503" t="str">
        <f ca="1">IFERROR(IF(VLOOKUP(C4034,' Disaggregation - Section E '!A$618:N3355,13,0)=0,"",VLOOKUP(C4034,' Disaggregation - Section E '!A$618:N3355,13,0)),"")</f>
        <v/>
      </c>
      <c r="K4034" s="497" t="str">
        <f ca="1">IFERROR(VLOOKUP(C4034,' Disaggregation - Section E '!A$618:N2158,3,0),"")</f>
        <v>TCS-Other1 Porcentaje de personas en TARV a quienes se les ha realizado una prueba de carga viral en los últimos 6 meses.</v>
      </c>
      <c r="L4034" s="497"/>
      <c r="M4034" s="497" t="str">
        <f ca="1">IFERROR(IF(VLOOKUP(C4034,' Disaggregation - Section E '!A$618:T2158,20,0)=0,"",VLOOKUP(C4034,' Disaggregation - Section E '!A$618:T2158,20,0)),"")</f>
        <v/>
      </c>
      <c r="N4034" s="503" t="str">
        <f ca="1">IFERROR(IF(VLOOKUP(C4034,' Disaggregation - Section E '!A$618:N2158,14,0)=0,"",VLOOKUP(C4034,' Disaggregation - Section E '!A$618:N2158,14,0)),"")</f>
        <v/>
      </c>
      <c r="O4034" s="503" t="str">
        <f ca="1">IFERROR(IF(VLOOKUP(C4034,' Disaggregation - Section E '!A$618:N2158,9,0)=0,"",VLOOKUP(C4034,' Disaggregation - Section E '!A$618:N2158,9,0)),"")</f>
        <v/>
      </c>
      <c r="P4034" s="503" t="str">
        <f ca="1">IFERROR(IF(VLOOKUP(C4034,' Disaggregation - Section E '!A$618:N2158,10,0)=0,"",VLOOKUP(C4034,' Disaggregation - Section E '!A$618:N2158,10,0)),"")</f>
        <v/>
      </c>
    </row>
    <row r="4035" spans="1:16" x14ac:dyDescent="0.35">
      <c r="A4035" s="497" t="b">
        <f t="shared" ca="1" si="231"/>
        <v>0</v>
      </c>
      <c r="B4035" s="497"/>
      <c r="C4035" s="510" t="str">
        <f ca="1">IF(COUNTA(D$2498:D4035)=1,"",OFFSET(B4033,-COUNTA(D$2498:D4035)+3,1))</f>
        <v>a163p000004NtOPAA0</v>
      </c>
      <c r="D4035" s="512"/>
      <c r="E4035" s="500" t="str">
        <f ca="1">IFERROR(IF(VLOOKUP(C4035,' Disaggregation - Section E '!A$618:N2159,7,0)="","",VLOOKUP(C4035,' Disaggregation - Section E '!A$618:N2159,7,0)*100),"")</f>
        <v/>
      </c>
      <c r="F4035" s="503" t="str">
        <f ca="1">IFERROR(VLOOKUP(C4035,' Disaggregation - Section E '!A$618:N2159,5,0),"")</f>
        <v/>
      </c>
      <c r="G4035" s="502" t="str">
        <f ca="1">IFERROR(IF(VLOOKUP(C4035,' Disaggregation - Section E '!A$618:N2159,6,0)="","",VLOOKUP(C4035,' Disaggregation - Section E '!A$618:N2159,6,0)),"")</f>
        <v/>
      </c>
      <c r="H4035" s="512" t="str">
        <f ca="1">IFERROR(IF(INDEX(' Disaggregation - Section E '!F$618:F3356,MATCH(C4035,' Disaggregation - Section E '!A$618:A3356,0)+1,1)&lt;&gt;0,INDEX(' Disaggregation - Section E '!F$618:F$1820,MATCH(C4035,' Disaggregation - Section E '!A$618:A3356,0)+1,1),""),"")</f>
        <v/>
      </c>
      <c r="I4035" s="503" t="str">
        <f ca="1">IFERROR(IF(VLOOKUP(C4035,' Disaggregation - Section E '!A$618:N2159,8,0)=0,"",VLOOKUP(C4035,' Disaggregation - Section E '!A$618:N2159,8,0)),"")</f>
        <v/>
      </c>
      <c r="J4035" s="503" t="str">
        <f ca="1">IFERROR(IF(VLOOKUP(C4035,' Disaggregation - Section E '!A$618:N3356,13,0)=0,"",VLOOKUP(C4035,' Disaggregation - Section E '!A$618:N3356,13,0)),"")</f>
        <v/>
      </c>
      <c r="K4035" s="497" t="str">
        <f ca="1">IFERROR(VLOOKUP(C4035,' Disaggregation - Section E '!A$618:N2159,3,0),"")</f>
        <v>TCS-Other1 Porcentaje de personas en TARV a quienes se les ha realizado una prueba de carga viral en los últimos 6 meses.</v>
      </c>
      <c r="L4035" s="497"/>
      <c r="M4035" s="497" t="str">
        <f ca="1">IFERROR(IF(VLOOKUP(C4035,' Disaggregation - Section E '!A$618:T2159,20,0)=0,"",VLOOKUP(C4035,' Disaggregation - Section E '!A$618:T2159,20,0)),"")</f>
        <v/>
      </c>
      <c r="N4035" s="503" t="str">
        <f ca="1">IFERROR(IF(VLOOKUP(C4035,' Disaggregation - Section E '!A$618:N2159,14,0)=0,"",VLOOKUP(C4035,' Disaggregation - Section E '!A$618:N2159,14,0)),"")</f>
        <v/>
      </c>
      <c r="O4035" s="503" t="str">
        <f ca="1">IFERROR(IF(VLOOKUP(C4035,' Disaggregation - Section E '!A$618:N2159,9,0)=0,"",VLOOKUP(C4035,' Disaggregation - Section E '!A$618:N2159,9,0)),"")</f>
        <v/>
      </c>
      <c r="P4035" s="503" t="str">
        <f ca="1">IFERROR(IF(VLOOKUP(C4035,' Disaggregation - Section E '!A$618:N2159,10,0)=0,"",VLOOKUP(C4035,' Disaggregation - Section E '!A$618:N2159,10,0)),"")</f>
        <v/>
      </c>
    </row>
    <row r="4036" spans="1:16" x14ac:dyDescent="0.35">
      <c r="A4036" s="497" t="b">
        <f t="shared" ca="1" si="231"/>
        <v>0</v>
      </c>
      <c r="B4036" s="497"/>
      <c r="C4036" s="510" t="str">
        <f ca="1">IF(COUNTA(D$2498:D4036)=1,"",OFFSET(B4034,-COUNTA(D$2498:D4036)+3,1))</f>
        <v>a163p000004NtOQAA0</v>
      </c>
      <c r="D4036" s="512"/>
      <c r="E4036" s="500" t="str">
        <f ca="1">IFERROR(IF(VLOOKUP(C4036,' Disaggregation - Section E '!A$618:N2160,7,0)="","",VLOOKUP(C4036,' Disaggregation - Section E '!A$618:N2160,7,0)*100),"")</f>
        <v/>
      </c>
      <c r="F4036" s="503" t="str">
        <f ca="1">IFERROR(VLOOKUP(C4036,' Disaggregation - Section E '!A$618:N2160,5,0),"")</f>
        <v/>
      </c>
      <c r="G4036" s="502" t="str">
        <f ca="1">IFERROR(IF(VLOOKUP(C4036,' Disaggregation - Section E '!A$618:N2160,6,0)="","",VLOOKUP(C4036,' Disaggregation - Section E '!A$618:N2160,6,0)),"")</f>
        <v/>
      </c>
      <c r="H4036" s="512" t="str">
        <f ca="1">IFERROR(IF(INDEX(' Disaggregation - Section E '!F$618:F3357,MATCH(C4036,' Disaggregation - Section E '!A$618:A3357,0)+1,1)&lt;&gt;0,INDEX(' Disaggregation - Section E '!F$618:F$1820,MATCH(C4036,' Disaggregation - Section E '!A$618:A3357,0)+1,1),""),"")</f>
        <v/>
      </c>
      <c r="I4036" s="503" t="str">
        <f ca="1">IFERROR(IF(VLOOKUP(C4036,' Disaggregation - Section E '!A$618:N2160,8,0)=0,"",VLOOKUP(C4036,' Disaggregation - Section E '!A$618:N2160,8,0)),"")</f>
        <v/>
      </c>
      <c r="J4036" s="503" t="str">
        <f ca="1">IFERROR(IF(VLOOKUP(C4036,' Disaggregation - Section E '!A$618:N3357,13,0)=0,"",VLOOKUP(C4036,' Disaggregation - Section E '!A$618:N3357,13,0)),"")</f>
        <v/>
      </c>
      <c r="K4036" s="497" t="str">
        <f ca="1">IFERROR(VLOOKUP(C4036,' Disaggregation - Section E '!A$618:N2160,3,0),"")</f>
        <v>TCS-Other1 Porcentaje de personas en TARV a quienes se les ha realizado una prueba de carga viral en los últimos 6 meses.</v>
      </c>
      <c r="L4036" s="497"/>
      <c r="M4036" s="497" t="str">
        <f ca="1">IFERROR(IF(VLOOKUP(C4036,' Disaggregation - Section E '!A$618:T2160,20,0)=0,"",VLOOKUP(C4036,' Disaggregation - Section E '!A$618:T2160,20,0)),"")</f>
        <v/>
      </c>
      <c r="N4036" s="503" t="str">
        <f ca="1">IFERROR(IF(VLOOKUP(C4036,' Disaggregation - Section E '!A$618:N2160,14,0)=0,"",VLOOKUP(C4036,' Disaggregation - Section E '!A$618:N2160,14,0)),"")</f>
        <v/>
      </c>
      <c r="O4036" s="503" t="str">
        <f ca="1">IFERROR(IF(VLOOKUP(C4036,' Disaggregation - Section E '!A$618:N2160,9,0)=0,"",VLOOKUP(C4036,' Disaggregation - Section E '!A$618:N2160,9,0)),"")</f>
        <v/>
      </c>
      <c r="P4036" s="503" t="str">
        <f ca="1">IFERROR(IF(VLOOKUP(C4036,' Disaggregation - Section E '!A$618:N2160,10,0)=0,"",VLOOKUP(C4036,' Disaggregation - Section E '!A$618:N2160,10,0)),"")</f>
        <v/>
      </c>
    </row>
    <row r="4037" spans="1:16" x14ac:dyDescent="0.35">
      <c r="A4037" s="497" t="b">
        <f t="shared" ca="1" si="231"/>
        <v>0</v>
      </c>
      <c r="B4037" s="497"/>
      <c r="C4037" s="510" t="str">
        <f ca="1">IF(COUNTA(D$2498:D4037)=1,"",OFFSET(B4035,-COUNTA(D$2498:D4037)+3,1))</f>
        <v>a163p000004NtORAA0</v>
      </c>
      <c r="D4037" s="512"/>
      <c r="E4037" s="500" t="str">
        <f ca="1">IFERROR(IF(VLOOKUP(C4037,' Disaggregation - Section E '!A$618:N2161,7,0)="","",VLOOKUP(C4037,' Disaggregation - Section E '!A$618:N2161,7,0)*100),"")</f>
        <v/>
      </c>
      <c r="F4037" s="503" t="str">
        <f ca="1">IFERROR(VLOOKUP(C4037,' Disaggregation - Section E '!A$618:N2161,5,0),"")</f>
        <v/>
      </c>
      <c r="G4037" s="502" t="str">
        <f ca="1">IFERROR(IF(VLOOKUP(C4037,' Disaggregation - Section E '!A$618:N2161,6,0)="","",VLOOKUP(C4037,' Disaggregation - Section E '!A$618:N2161,6,0)),"")</f>
        <v/>
      </c>
      <c r="H4037" s="512" t="str">
        <f ca="1">IFERROR(IF(INDEX(' Disaggregation - Section E '!F$618:F3358,MATCH(C4037,' Disaggregation - Section E '!A$618:A3358,0)+1,1)&lt;&gt;0,INDEX(' Disaggregation - Section E '!F$618:F$1820,MATCH(C4037,' Disaggregation - Section E '!A$618:A3358,0)+1,1),""),"")</f>
        <v/>
      </c>
      <c r="I4037" s="503" t="str">
        <f ca="1">IFERROR(IF(VLOOKUP(C4037,' Disaggregation - Section E '!A$618:N2161,8,0)=0,"",VLOOKUP(C4037,' Disaggregation - Section E '!A$618:N2161,8,0)),"")</f>
        <v/>
      </c>
      <c r="J4037" s="503" t="str">
        <f ca="1">IFERROR(IF(VLOOKUP(C4037,' Disaggregation - Section E '!A$618:N3358,13,0)=0,"",VLOOKUP(C4037,' Disaggregation - Section E '!A$618:N3358,13,0)),"")</f>
        <v/>
      </c>
      <c r="K4037" s="497" t="str">
        <f ca="1">IFERROR(VLOOKUP(C4037,' Disaggregation - Section E '!A$618:N2161,3,0),"")</f>
        <v>TCS-Other1 Porcentaje de personas en TARV a quienes se les ha realizado una prueba de carga viral en los últimos 6 meses.</v>
      </c>
      <c r="L4037" s="497"/>
      <c r="M4037" s="497" t="str">
        <f ca="1">IFERROR(IF(VLOOKUP(C4037,' Disaggregation - Section E '!A$618:T2161,20,0)=0,"",VLOOKUP(C4037,' Disaggregation - Section E '!A$618:T2161,20,0)),"")</f>
        <v/>
      </c>
      <c r="N4037" s="503" t="str">
        <f ca="1">IFERROR(IF(VLOOKUP(C4037,' Disaggregation - Section E '!A$618:N2161,14,0)=0,"",VLOOKUP(C4037,' Disaggregation - Section E '!A$618:N2161,14,0)),"")</f>
        <v/>
      </c>
      <c r="O4037" s="503" t="str">
        <f ca="1">IFERROR(IF(VLOOKUP(C4037,' Disaggregation - Section E '!A$618:N2161,9,0)=0,"",VLOOKUP(C4037,' Disaggregation - Section E '!A$618:N2161,9,0)),"")</f>
        <v/>
      </c>
      <c r="P4037" s="503" t="str">
        <f ca="1">IFERROR(IF(VLOOKUP(C4037,' Disaggregation - Section E '!A$618:N2161,10,0)=0,"",VLOOKUP(C4037,' Disaggregation - Section E '!A$618:N2161,10,0)),"")</f>
        <v/>
      </c>
    </row>
    <row r="4038" spans="1:16" x14ac:dyDescent="0.35">
      <c r="A4038" s="497" t="b">
        <f t="shared" ca="1" si="231"/>
        <v>0</v>
      </c>
      <c r="B4038" s="497"/>
      <c r="C4038" s="510" t="str">
        <f ca="1">IF(COUNTA(D$2498:D4038)=1,"",OFFSET(B4036,-COUNTA(D$2498:D4038)+3,1))</f>
        <v>a163p000004NtOSAA0</v>
      </c>
      <c r="D4038" s="512"/>
      <c r="E4038" s="500" t="str">
        <f ca="1">IFERROR(IF(VLOOKUP(C4038,' Disaggregation - Section E '!A$618:N2162,7,0)="","",VLOOKUP(C4038,' Disaggregation - Section E '!A$618:N2162,7,0)*100),"")</f>
        <v/>
      </c>
      <c r="F4038" s="503" t="str">
        <f ca="1">IFERROR(VLOOKUP(C4038,' Disaggregation - Section E '!A$618:N2162,5,0),"")</f>
        <v/>
      </c>
      <c r="G4038" s="502" t="str">
        <f ca="1">IFERROR(IF(VLOOKUP(C4038,' Disaggregation - Section E '!A$618:N2162,6,0)="","",VLOOKUP(C4038,' Disaggregation - Section E '!A$618:N2162,6,0)),"")</f>
        <v/>
      </c>
      <c r="H4038" s="512" t="str">
        <f ca="1">IFERROR(IF(INDEX(' Disaggregation - Section E '!F$618:F3359,MATCH(C4038,' Disaggregation - Section E '!A$618:A3359,0)+1,1)&lt;&gt;0,INDEX(' Disaggregation - Section E '!F$618:F$1820,MATCH(C4038,' Disaggregation - Section E '!A$618:A3359,0)+1,1),""),"")</f>
        <v/>
      </c>
      <c r="I4038" s="503" t="str">
        <f ca="1">IFERROR(IF(VLOOKUP(C4038,' Disaggregation - Section E '!A$618:N2162,8,0)=0,"",VLOOKUP(C4038,' Disaggregation - Section E '!A$618:N2162,8,0)),"")</f>
        <v/>
      </c>
      <c r="J4038" s="503" t="str">
        <f ca="1">IFERROR(IF(VLOOKUP(C4038,' Disaggregation - Section E '!A$618:N3359,13,0)=0,"",VLOOKUP(C4038,' Disaggregation - Section E '!A$618:N3359,13,0)),"")</f>
        <v/>
      </c>
      <c r="K4038" s="497" t="str">
        <f ca="1">IFERROR(VLOOKUP(C4038,' Disaggregation - Section E '!A$618:N2162,3,0),"")</f>
        <v>TCS-Other1 Porcentaje de personas en TARV a quienes se les ha realizado una prueba de carga viral en los últimos 6 meses.</v>
      </c>
      <c r="L4038" s="497"/>
      <c r="M4038" s="497" t="str">
        <f ca="1">IFERROR(IF(VLOOKUP(C4038,' Disaggregation - Section E '!A$618:T2162,20,0)=0,"",VLOOKUP(C4038,' Disaggregation - Section E '!A$618:T2162,20,0)),"")</f>
        <v/>
      </c>
      <c r="N4038" s="503" t="str">
        <f ca="1">IFERROR(IF(VLOOKUP(C4038,' Disaggregation - Section E '!A$618:N2162,14,0)=0,"",VLOOKUP(C4038,' Disaggregation - Section E '!A$618:N2162,14,0)),"")</f>
        <v/>
      </c>
      <c r="O4038" s="503" t="str">
        <f ca="1">IFERROR(IF(VLOOKUP(C4038,' Disaggregation - Section E '!A$618:N2162,9,0)=0,"",VLOOKUP(C4038,' Disaggregation - Section E '!A$618:N2162,9,0)),"")</f>
        <v/>
      </c>
      <c r="P4038" s="503" t="str">
        <f ca="1">IFERROR(IF(VLOOKUP(C4038,' Disaggregation - Section E '!A$618:N2162,10,0)=0,"",VLOOKUP(C4038,' Disaggregation - Section E '!A$618:N2162,10,0)),"")</f>
        <v/>
      </c>
    </row>
    <row r="4039" spans="1:16" x14ac:dyDescent="0.35">
      <c r="A4039" s="497" t="b">
        <f t="shared" ca="1" si="231"/>
        <v>0</v>
      </c>
      <c r="B4039" s="497"/>
      <c r="C4039" s="510" t="str">
        <f ca="1">IF(COUNTA(D$2498:D4039)=1,"",OFFSET(B4037,-COUNTA(D$2498:D4039)+3,1))</f>
        <v>a163p000004NtOTAA0</v>
      </c>
      <c r="D4039" s="512"/>
      <c r="E4039" s="500" t="str">
        <f ca="1">IFERROR(IF(VLOOKUP(C4039,' Disaggregation - Section E '!A$618:N2163,7,0)="","",VLOOKUP(C4039,' Disaggregation - Section E '!A$618:N2163,7,0)*100),"")</f>
        <v/>
      </c>
      <c r="F4039" s="503" t="str">
        <f ca="1">IFERROR(VLOOKUP(C4039,' Disaggregation - Section E '!A$618:N2163,5,0),"")</f>
        <v/>
      </c>
      <c r="G4039" s="502" t="str">
        <f ca="1">IFERROR(IF(VLOOKUP(C4039,' Disaggregation - Section E '!A$618:N2163,6,0)="","",VLOOKUP(C4039,' Disaggregation - Section E '!A$618:N2163,6,0)),"")</f>
        <v/>
      </c>
      <c r="H4039" s="512" t="str">
        <f ca="1">IFERROR(IF(INDEX(' Disaggregation - Section E '!F$618:F3360,MATCH(C4039,' Disaggregation - Section E '!A$618:A3360,0)+1,1)&lt;&gt;0,INDEX(' Disaggregation - Section E '!F$618:F$1820,MATCH(C4039,' Disaggregation - Section E '!A$618:A3360,0)+1,1),""),"")</f>
        <v/>
      </c>
      <c r="I4039" s="503" t="str">
        <f ca="1">IFERROR(IF(VLOOKUP(C4039,' Disaggregation - Section E '!A$618:N2163,8,0)=0,"",VLOOKUP(C4039,' Disaggregation - Section E '!A$618:N2163,8,0)),"")</f>
        <v/>
      </c>
      <c r="J4039" s="503" t="str">
        <f ca="1">IFERROR(IF(VLOOKUP(C4039,' Disaggregation - Section E '!A$618:N3360,13,0)=0,"",VLOOKUP(C4039,' Disaggregation - Section E '!A$618:N3360,13,0)),"")</f>
        <v/>
      </c>
      <c r="K4039" s="497" t="str">
        <f ca="1">IFERROR(VLOOKUP(C4039,' Disaggregation - Section E '!A$618:N2163,3,0),"")</f>
        <v>TCS-Other1 Porcentaje de personas en TARV a quienes se les ha realizado una prueba de carga viral en los últimos 6 meses.</v>
      </c>
      <c r="L4039" s="497"/>
      <c r="M4039" s="497" t="str">
        <f ca="1">IFERROR(IF(VLOOKUP(C4039,' Disaggregation - Section E '!A$618:T2163,20,0)=0,"",VLOOKUP(C4039,' Disaggregation - Section E '!A$618:T2163,20,0)),"")</f>
        <v/>
      </c>
      <c r="N4039" s="503" t="str">
        <f ca="1">IFERROR(IF(VLOOKUP(C4039,' Disaggregation - Section E '!A$618:N2163,14,0)=0,"",VLOOKUP(C4039,' Disaggregation - Section E '!A$618:N2163,14,0)),"")</f>
        <v/>
      </c>
      <c r="O4039" s="503" t="str">
        <f ca="1">IFERROR(IF(VLOOKUP(C4039,' Disaggregation - Section E '!A$618:N2163,9,0)=0,"",VLOOKUP(C4039,' Disaggregation - Section E '!A$618:N2163,9,0)),"")</f>
        <v/>
      </c>
      <c r="P4039" s="503" t="str">
        <f ca="1">IFERROR(IF(VLOOKUP(C4039,' Disaggregation - Section E '!A$618:N2163,10,0)=0,"",VLOOKUP(C4039,' Disaggregation - Section E '!A$618:N2163,10,0)),"")</f>
        <v/>
      </c>
    </row>
    <row r="4040" spans="1:16" x14ac:dyDescent="0.35">
      <c r="A4040" s="497" t="b">
        <f t="shared" ca="1" si="231"/>
        <v>1</v>
      </c>
      <c r="B4040" s="497"/>
      <c r="C4040" s="510" t="str">
        <f ca="1">IF(COUNTA(D$2498:D4040)=1,"",OFFSET(B4038,-COUNTA(D$2498:D4040)+3,1))</f>
        <v>a163p000004NtXqAAK</v>
      </c>
      <c r="D4040" s="512"/>
      <c r="E4040" s="500" t="str">
        <f ca="1">IFERROR(IF(VLOOKUP(C4040,' Disaggregation - Section E '!A$618:N2164,7,0)="","",VLOOKUP(C4040,' Disaggregation - Section E '!A$618:N2164,7,0)*100),"")</f>
        <v/>
      </c>
      <c r="F4040" s="503" t="str">
        <f ca="1">IFERROR(VLOOKUP(C4040,' Disaggregation - Section E '!A$618:N2164,5,0),"")</f>
        <v>Negativo</v>
      </c>
      <c r="G4040" s="502" t="str">
        <f ca="1">IFERROR(IF(VLOOKUP(C4040,' Disaggregation - Section E '!A$618:N2164,6,0)="","",VLOOKUP(C4040,' Disaggregation - Section E '!A$618:N2164,6,0)),"")</f>
        <v/>
      </c>
      <c r="H4040" s="512" t="str">
        <f ca="1">IFERROR(IF(INDEX(' Disaggregation - Section E '!F$618:F3361,MATCH(C4040,' Disaggregation - Section E '!A$618:A3361,0)+1,1)&lt;&gt;0,INDEX(' Disaggregation - Section E '!F$618:F$1820,MATCH(C4040,' Disaggregation - Section E '!A$618:A3361,0)+1,1),""),"")</f>
        <v/>
      </c>
      <c r="I4040" s="503" t="str">
        <f ca="1">IFERROR(IF(VLOOKUP(C4040,' Disaggregation - Section E '!A$618:N2164,8,0)=0,"",VLOOKUP(C4040,' Disaggregation - Section E '!A$618:N2164,8,0)),"")</f>
        <v/>
      </c>
      <c r="J4040" s="503" t="str">
        <f ca="1">IFERROR(IF(VLOOKUP(C4040,' Disaggregation - Section E '!A$618:N3361,13,0)=0,"",VLOOKUP(C4040,' Disaggregation - Section E '!A$618:N3361,13,0)),"")</f>
        <v/>
      </c>
      <c r="K4040" s="497" t="str">
        <f ca="1">IFERROR(VLOOKUP(C4040,' Disaggregation - Section E '!A$618:N2164,3,0),"")</f>
        <v>HTS-3a⁽ᴹ⁾ Porcentaje de HSH a los que se les ha realizado una prueba de VIH durante el período de reporte y que conocen sus resultados</v>
      </c>
      <c r="L4040" s="497"/>
      <c r="M4040" s="497" t="str">
        <f ca="1">IFERROR(IF(VLOOKUP(C4040,' Disaggregation - Section E '!A$618:T2164,20,0)=0,"",VLOOKUP(C4040,' Disaggregation - Section E '!A$618:T2164,20,0)),"")</f>
        <v>IDR-00920</v>
      </c>
      <c r="N4040" s="503" t="str">
        <f ca="1">IFERROR(IF(VLOOKUP(C4040,' Disaggregation - Section E '!A$618:N2164,14,0)=0,"",VLOOKUP(C4040,' Disaggregation - Section E '!A$618:N2164,14,0)),"")</f>
        <v/>
      </c>
      <c r="O4040" s="503" t="str">
        <f ca="1">IFERROR(IF(VLOOKUP(C4040,' Disaggregation - Section E '!A$618:N2164,9,0)=0,"",VLOOKUP(C4040,' Disaggregation - Section E '!A$618:N2164,9,0)),"")</f>
        <v/>
      </c>
      <c r="P4040" s="503" t="str">
        <f ca="1">IFERROR(IF(VLOOKUP(C4040,' Disaggregation - Section E '!A$618:N2164,10,0)=0,"",VLOOKUP(C4040,' Disaggregation - Section E '!A$618:N2164,10,0)),"")</f>
        <v/>
      </c>
    </row>
    <row r="4041" spans="1:16" x14ac:dyDescent="0.35">
      <c r="A4041" s="497" t="b">
        <f t="shared" ca="1" si="231"/>
        <v>1</v>
      </c>
      <c r="B4041" s="497"/>
      <c r="C4041" s="510" t="str">
        <f ca="1">IF(COUNTA(D$2498:D4041)=1,"",OFFSET(B4039,-COUNTA(D$2498:D4041)+3,1))</f>
        <v>a163p000004NtXrAAK</v>
      </c>
      <c r="D4041" s="512"/>
      <c r="E4041" s="500" t="str">
        <f ca="1">IFERROR(IF(VLOOKUP(C4041,' Disaggregation - Section E '!A$618:N2165,7,0)="","",VLOOKUP(C4041,' Disaggregation - Section E '!A$618:N2165,7,0)*100),"")</f>
        <v/>
      </c>
      <c r="F4041" s="503" t="str">
        <f ca="1">IFERROR(VLOOKUP(C4041,' Disaggregation - Section E '!A$618:N2165,5,0),"")</f>
        <v>Positivo</v>
      </c>
      <c r="G4041" s="502" t="str">
        <f ca="1">IFERROR(IF(VLOOKUP(C4041,' Disaggregation - Section E '!A$618:N2165,6,0)="","",VLOOKUP(C4041,' Disaggregation - Section E '!A$618:N2165,6,0)),"")</f>
        <v/>
      </c>
      <c r="H4041" s="512" t="str">
        <f ca="1">IFERROR(IF(INDEX(' Disaggregation - Section E '!F$618:F3362,MATCH(C4041,' Disaggregation - Section E '!A$618:A3362,0)+1,1)&lt;&gt;0,INDEX(' Disaggregation - Section E '!F$618:F$1820,MATCH(C4041,' Disaggregation - Section E '!A$618:A3362,0)+1,1),""),"")</f>
        <v/>
      </c>
      <c r="I4041" s="503" t="str">
        <f ca="1">IFERROR(IF(VLOOKUP(C4041,' Disaggregation - Section E '!A$618:N2165,8,0)=0,"",VLOOKUP(C4041,' Disaggregation - Section E '!A$618:N2165,8,0)),"")</f>
        <v/>
      </c>
      <c r="J4041" s="503" t="str">
        <f ca="1">IFERROR(IF(VLOOKUP(C4041,' Disaggregation - Section E '!A$618:N3362,13,0)=0,"",VLOOKUP(C4041,' Disaggregation - Section E '!A$618:N3362,13,0)),"")</f>
        <v/>
      </c>
      <c r="K4041" s="497" t="str">
        <f ca="1">IFERROR(VLOOKUP(C4041,' Disaggregation - Section E '!A$618:N2165,3,0),"")</f>
        <v>HTS-3a⁽ᴹ⁾ Porcentaje de HSH a los que se les ha realizado una prueba de VIH durante el período de reporte y que conocen sus resultados</v>
      </c>
      <c r="L4041" s="497"/>
      <c r="M4041" s="497" t="str">
        <f ca="1">IFERROR(IF(VLOOKUP(C4041,' Disaggregation - Section E '!A$618:T2165,20,0)=0,"",VLOOKUP(C4041,' Disaggregation - Section E '!A$618:T2165,20,0)),"")</f>
        <v>IDR-00919</v>
      </c>
      <c r="N4041" s="503" t="str">
        <f ca="1">IFERROR(IF(VLOOKUP(C4041,' Disaggregation - Section E '!A$618:N2165,14,0)=0,"",VLOOKUP(C4041,' Disaggregation - Section E '!A$618:N2165,14,0)),"")</f>
        <v/>
      </c>
      <c r="O4041" s="503" t="str">
        <f ca="1">IFERROR(IF(VLOOKUP(C4041,' Disaggregation - Section E '!A$618:N2165,9,0)=0,"",VLOOKUP(C4041,' Disaggregation - Section E '!A$618:N2165,9,0)),"")</f>
        <v/>
      </c>
      <c r="P4041" s="503" t="str">
        <f ca="1">IFERROR(IF(VLOOKUP(C4041,' Disaggregation - Section E '!A$618:N2165,10,0)=0,"",VLOOKUP(C4041,' Disaggregation - Section E '!A$618:N2165,10,0)),"")</f>
        <v/>
      </c>
    </row>
    <row r="4042" spans="1:16" x14ac:dyDescent="0.35">
      <c r="A4042" s="497" t="b">
        <f t="shared" ca="1" si="231"/>
        <v>1</v>
      </c>
      <c r="B4042" s="497"/>
      <c r="C4042" s="510" t="str">
        <f ca="1">IF(COUNTA(D$2498:D4042)=1,"",OFFSET(B4040,-COUNTA(D$2498:D4042)+3,1))</f>
        <v>a163p000004NtXsAAK</v>
      </c>
      <c r="D4042" s="512"/>
      <c r="E4042" s="500" t="str">
        <f ca="1">IFERROR(IF(VLOOKUP(C4042,' Disaggregation - Section E '!A$618:N2166,7,0)="","",VLOOKUP(C4042,' Disaggregation - Section E '!A$618:N2166,7,0)*100),"")</f>
        <v/>
      </c>
      <c r="F4042" s="503" t="str">
        <f ca="1">IFERROR(VLOOKUP(C4042,' Disaggregation - Section E '!A$618:N2166,5,0),"")</f>
        <v>25+</v>
      </c>
      <c r="G4042" s="502" t="str">
        <f ca="1">IFERROR(IF(VLOOKUP(C4042,' Disaggregation - Section E '!A$618:N2166,6,0)="","",VLOOKUP(C4042,' Disaggregation - Section E '!A$618:N2166,6,0)),"")</f>
        <v/>
      </c>
      <c r="H4042" s="512" t="str">
        <f ca="1">IFERROR(IF(INDEX(' Disaggregation - Section E '!F$618:F3363,MATCH(C4042,' Disaggregation - Section E '!A$618:A3363,0)+1,1)&lt;&gt;0,INDEX(' Disaggregation - Section E '!F$618:F$1820,MATCH(C4042,' Disaggregation - Section E '!A$618:A3363,0)+1,1),""),"")</f>
        <v/>
      </c>
      <c r="I4042" s="503" t="str">
        <f ca="1">IFERROR(IF(VLOOKUP(C4042,' Disaggregation - Section E '!A$618:N2166,8,0)=0,"",VLOOKUP(C4042,' Disaggregation - Section E '!A$618:N2166,8,0)),"")</f>
        <v/>
      </c>
      <c r="J4042" s="503" t="str">
        <f ca="1">IFERROR(IF(VLOOKUP(C4042,' Disaggregation - Section E '!A$618:N3363,13,0)=0,"",VLOOKUP(C4042,' Disaggregation - Section E '!A$618:N3363,13,0)),"")</f>
        <v/>
      </c>
      <c r="K4042" s="497" t="str">
        <f ca="1">IFERROR(VLOOKUP(C4042,' Disaggregation - Section E '!A$618:N2166,3,0),"")</f>
        <v>HTS-3a⁽ᴹ⁾ Porcentaje de HSH a los que se les ha realizado una prueba de VIH durante el período de reporte y que conocen sus resultados</v>
      </c>
      <c r="L4042" s="497"/>
      <c r="M4042" s="497" t="str">
        <f ca="1">IFERROR(IF(VLOOKUP(C4042,' Disaggregation - Section E '!A$618:T2166,20,0)=0,"",VLOOKUP(C4042,' Disaggregation - Section E '!A$618:T2166,20,0)),"")</f>
        <v>IDR-00714</v>
      </c>
      <c r="N4042" s="503" t="str">
        <f ca="1">IFERROR(IF(VLOOKUP(C4042,' Disaggregation - Section E '!A$618:N2166,14,0)=0,"",VLOOKUP(C4042,' Disaggregation - Section E '!A$618:N2166,14,0)),"")</f>
        <v/>
      </c>
      <c r="O4042" s="503" t="str">
        <f ca="1">IFERROR(IF(VLOOKUP(C4042,' Disaggregation - Section E '!A$618:N2166,9,0)=0,"",VLOOKUP(C4042,' Disaggregation - Section E '!A$618:N2166,9,0)),"")</f>
        <v/>
      </c>
      <c r="P4042" s="503" t="str">
        <f ca="1">IFERROR(IF(VLOOKUP(C4042,' Disaggregation - Section E '!A$618:N2166,10,0)=0,"",VLOOKUP(C4042,' Disaggregation - Section E '!A$618:N2166,10,0)),"")</f>
        <v/>
      </c>
    </row>
    <row r="4043" spans="1:16" x14ac:dyDescent="0.35">
      <c r="A4043" s="497" t="b">
        <f t="shared" ca="1" si="231"/>
        <v>1</v>
      </c>
      <c r="B4043" s="497"/>
      <c r="C4043" s="510" t="str">
        <f ca="1">IF(COUNTA(D$2498:D4043)=1,"",OFFSET(B4041,-COUNTA(D$2498:D4043)+3,1))</f>
        <v>a163p000004NtXtAAK</v>
      </c>
      <c r="D4043" s="512"/>
      <c r="E4043" s="500" t="str">
        <f ca="1">IFERROR(IF(VLOOKUP(C4043,' Disaggregation - Section E '!A$618:N2167,7,0)="","",VLOOKUP(C4043,' Disaggregation - Section E '!A$618:N2167,7,0)*100),"")</f>
        <v/>
      </c>
      <c r="F4043" s="503" t="str">
        <f ca="1">IFERROR(VLOOKUP(C4043,' Disaggregation - Section E '!A$618:N2167,5,0),"")</f>
        <v>&lt;25</v>
      </c>
      <c r="G4043" s="502" t="str">
        <f ca="1">IFERROR(IF(VLOOKUP(C4043,' Disaggregation - Section E '!A$618:N2167,6,0)="","",VLOOKUP(C4043,' Disaggregation - Section E '!A$618:N2167,6,0)),"")</f>
        <v/>
      </c>
      <c r="H4043" s="512" t="str">
        <f ca="1">IFERROR(IF(INDEX(' Disaggregation - Section E '!F$618:F3364,MATCH(C4043,' Disaggregation - Section E '!A$618:A3364,0)+1,1)&lt;&gt;0,INDEX(' Disaggregation - Section E '!F$618:F$1820,MATCH(C4043,' Disaggregation - Section E '!A$618:A3364,0)+1,1),""),"")</f>
        <v/>
      </c>
      <c r="I4043" s="503" t="str">
        <f ca="1">IFERROR(IF(VLOOKUP(C4043,' Disaggregation - Section E '!A$618:N2167,8,0)=0,"",VLOOKUP(C4043,' Disaggregation - Section E '!A$618:N2167,8,0)),"")</f>
        <v/>
      </c>
      <c r="J4043" s="503" t="str">
        <f ca="1">IFERROR(IF(VLOOKUP(C4043,' Disaggregation - Section E '!A$618:N3364,13,0)=0,"",VLOOKUP(C4043,' Disaggregation - Section E '!A$618:N3364,13,0)),"")</f>
        <v/>
      </c>
      <c r="K4043" s="497" t="str">
        <f ca="1">IFERROR(VLOOKUP(C4043,' Disaggregation - Section E '!A$618:N2167,3,0),"")</f>
        <v>HTS-3a⁽ᴹ⁾ Porcentaje de HSH a los que se les ha realizado una prueba de VIH durante el período de reporte y que conocen sus resultados</v>
      </c>
      <c r="L4043" s="497"/>
      <c r="M4043" s="497" t="str">
        <f ca="1">IFERROR(IF(VLOOKUP(C4043,' Disaggregation - Section E '!A$618:T2167,20,0)=0,"",VLOOKUP(C4043,' Disaggregation - Section E '!A$618:T2167,20,0)),"")</f>
        <v>IDR-00713</v>
      </c>
      <c r="N4043" s="503" t="str">
        <f ca="1">IFERROR(IF(VLOOKUP(C4043,' Disaggregation - Section E '!A$618:N2167,14,0)=0,"",VLOOKUP(C4043,' Disaggregation - Section E '!A$618:N2167,14,0)),"")</f>
        <v/>
      </c>
      <c r="O4043" s="503" t="str">
        <f ca="1">IFERROR(IF(VLOOKUP(C4043,' Disaggregation - Section E '!A$618:N2167,9,0)=0,"",VLOOKUP(C4043,' Disaggregation - Section E '!A$618:N2167,9,0)),"")</f>
        <v/>
      </c>
      <c r="P4043" s="503" t="str">
        <f ca="1">IFERROR(IF(VLOOKUP(C4043,' Disaggregation - Section E '!A$618:N2167,10,0)=0,"",VLOOKUP(C4043,' Disaggregation - Section E '!A$618:N2167,10,0)),"")</f>
        <v/>
      </c>
    </row>
    <row r="4044" spans="1:16" x14ac:dyDescent="0.35">
      <c r="A4044" s="497" t="b">
        <f t="shared" ca="1" si="231"/>
        <v>0</v>
      </c>
      <c r="B4044" s="497"/>
      <c r="C4044" s="510" t="str">
        <f ca="1">IF(COUNTA(D$2498:D4044)=1,"",OFFSET(B4042,-COUNTA(D$2498:D4044)+3,1))</f>
        <v>a163p000004NtXuAAK</v>
      </c>
      <c r="D4044" s="512"/>
      <c r="E4044" s="500" t="str">
        <f ca="1">IFERROR(IF(VLOOKUP(C4044,' Disaggregation - Section E '!A$618:N2168,7,0)="","",VLOOKUP(C4044,' Disaggregation - Section E '!A$618:N2168,7,0)*100),"")</f>
        <v/>
      </c>
      <c r="F4044" s="503" t="str">
        <f ca="1">IFERROR(VLOOKUP(C4044,' Disaggregation - Section E '!A$618:N2168,5,0),"")</f>
        <v/>
      </c>
      <c r="G4044" s="502" t="str">
        <f ca="1">IFERROR(IF(VLOOKUP(C4044,' Disaggregation - Section E '!A$618:N2168,6,0)="","",VLOOKUP(C4044,' Disaggregation - Section E '!A$618:N2168,6,0)),"")</f>
        <v/>
      </c>
      <c r="H4044" s="512" t="str">
        <f ca="1">IFERROR(IF(INDEX(' Disaggregation - Section E '!F$618:F3365,MATCH(C4044,' Disaggregation - Section E '!A$618:A3365,0)+1,1)&lt;&gt;0,INDEX(' Disaggregation - Section E '!F$618:F$1820,MATCH(C4044,' Disaggregation - Section E '!A$618:A3365,0)+1,1),""),"")</f>
        <v/>
      </c>
      <c r="I4044" s="503" t="str">
        <f ca="1">IFERROR(IF(VLOOKUP(C4044,' Disaggregation - Section E '!A$618:N2168,8,0)=0,"",VLOOKUP(C4044,' Disaggregation - Section E '!A$618:N2168,8,0)),"")</f>
        <v/>
      </c>
      <c r="J4044" s="503" t="str">
        <f ca="1">IFERROR(IF(VLOOKUP(C4044,' Disaggregation - Section E '!A$618:N3365,13,0)=0,"",VLOOKUP(C4044,' Disaggregation - Section E '!A$618:N3365,13,0)),"")</f>
        <v/>
      </c>
      <c r="K4044" s="497" t="str">
        <f ca="1">IFERROR(VLOOKUP(C4044,' Disaggregation - Section E '!A$618:N2168,3,0),"")</f>
        <v>HTS-3a⁽ᴹ⁾ Porcentaje de HSH a los que se les ha realizado una prueba de VIH durante el período de reporte y que conocen sus resultados</v>
      </c>
      <c r="L4044" s="497"/>
      <c r="M4044" s="497" t="str">
        <f ca="1">IFERROR(IF(VLOOKUP(C4044,' Disaggregation - Section E '!A$618:T2168,20,0)=0,"",VLOOKUP(C4044,' Disaggregation - Section E '!A$618:T2168,20,0)),"")</f>
        <v/>
      </c>
      <c r="N4044" s="503" t="str">
        <f ca="1">IFERROR(IF(VLOOKUP(C4044,' Disaggregation - Section E '!A$618:N2168,14,0)=0,"",VLOOKUP(C4044,' Disaggregation - Section E '!A$618:N2168,14,0)),"")</f>
        <v/>
      </c>
      <c r="O4044" s="503" t="str">
        <f ca="1">IFERROR(IF(VLOOKUP(C4044,' Disaggregation - Section E '!A$618:N2168,9,0)=0,"",VLOOKUP(C4044,' Disaggregation - Section E '!A$618:N2168,9,0)),"")</f>
        <v/>
      </c>
      <c r="P4044" s="503" t="str">
        <f ca="1">IFERROR(IF(VLOOKUP(C4044,' Disaggregation - Section E '!A$618:N2168,10,0)=0,"",VLOOKUP(C4044,' Disaggregation - Section E '!A$618:N2168,10,0)),"")</f>
        <v/>
      </c>
    </row>
    <row r="4045" spans="1:16" x14ac:dyDescent="0.35">
      <c r="A4045" s="497" t="b">
        <f t="shared" ca="1" si="231"/>
        <v>0</v>
      </c>
      <c r="B4045" s="497"/>
      <c r="C4045" s="510" t="str">
        <f ca="1">IF(COUNTA(D$2498:D4045)=1,"",OFFSET(B4043,-COUNTA(D$2498:D4045)+3,1))</f>
        <v>a163p000004NtXvAAK</v>
      </c>
      <c r="D4045" s="512"/>
      <c r="E4045" s="500" t="str">
        <f ca="1">IFERROR(IF(VLOOKUP(C4045,' Disaggregation - Section E '!A$618:N2169,7,0)="","",VLOOKUP(C4045,' Disaggregation - Section E '!A$618:N2169,7,0)*100),"")</f>
        <v/>
      </c>
      <c r="F4045" s="503" t="str">
        <f ca="1">IFERROR(VLOOKUP(C4045,' Disaggregation - Section E '!A$618:N2169,5,0),"")</f>
        <v/>
      </c>
      <c r="G4045" s="502" t="str">
        <f ca="1">IFERROR(IF(VLOOKUP(C4045,' Disaggregation - Section E '!A$618:N2169,6,0)="","",VLOOKUP(C4045,' Disaggregation - Section E '!A$618:N2169,6,0)),"")</f>
        <v/>
      </c>
      <c r="H4045" s="512" t="str">
        <f ca="1">IFERROR(IF(INDEX(' Disaggregation - Section E '!F$618:F3366,MATCH(C4045,' Disaggregation - Section E '!A$618:A3366,0)+1,1)&lt;&gt;0,INDEX(' Disaggregation - Section E '!F$618:F$1820,MATCH(C4045,' Disaggregation - Section E '!A$618:A3366,0)+1,1),""),"")</f>
        <v/>
      </c>
      <c r="I4045" s="503" t="str">
        <f ca="1">IFERROR(IF(VLOOKUP(C4045,' Disaggregation - Section E '!A$618:N2169,8,0)=0,"",VLOOKUP(C4045,' Disaggregation - Section E '!A$618:N2169,8,0)),"")</f>
        <v/>
      </c>
      <c r="J4045" s="503" t="str">
        <f ca="1">IFERROR(IF(VLOOKUP(C4045,' Disaggregation - Section E '!A$618:N3366,13,0)=0,"",VLOOKUP(C4045,' Disaggregation - Section E '!A$618:N3366,13,0)),"")</f>
        <v/>
      </c>
      <c r="K4045" s="497" t="str">
        <f ca="1">IFERROR(VLOOKUP(C4045,' Disaggregation - Section E '!A$618:N2169,3,0),"")</f>
        <v>HTS-3a⁽ᴹ⁾ Porcentaje de HSH a los que se les ha realizado una prueba de VIH durante el período de reporte y que conocen sus resultados</v>
      </c>
      <c r="L4045" s="497"/>
      <c r="M4045" s="497" t="str">
        <f ca="1">IFERROR(IF(VLOOKUP(C4045,' Disaggregation - Section E '!A$618:T2169,20,0)=0,"",VLOOKUP(C4045,' Disaggregation - Section E '!A$618:T2169,20,0)),"")</f>
        <v/>
      </c>
      <c r="N4045" s="503" t="str">
        <f ca="1">IFERROR(IF(VLOOKUP(C4045,' Disaggregation - Section E '!A$618:N2169,14,0)=0,"",VLOOKUP(C4045,' Disaggregation - Section E '!A$618:N2169,14,0)),"")</f>
        <v/>
      </c>
      <c r="O4045" s="503" t="str">
        <f ca="1">IFERROR(IF(VLOOKUP(C4045,' Disaggregation - Section E '!A$618:N2169,9,0)=0,"",VLOOKUP(C4045,' Disaggregation - Section E '!A$618:N2169,9,0)),"")</f>
        <v/>
      </c>
      <c r="P4045" s="503" t="str">
        <f ca="1">IFERROR(IF(VLOOKUP(C4045,' Disaggregation - Section E '!A$618:N2169,10,0)=0,"",VLOOKUP(C4045,' Disaggregation - Section E '!A$618:N2169,10,0)),"")</f>
        <v/>
      </c>
    </row>
    <row r="4046" spans="1:16" x14ac:dyDescent="0.35">
      <c r="A4046" s="497" t="b">
        <f t="shared" ca="1" si="231"/>
        <v>0</v>
      </c>
      <c r="B4046" s="497"/>
      <c r="C4046" s="510" t="str">
        <f ca="1">IF(COUNTA(D$2498:D4046)=1,"",OFFSET(B4044,-COUNTA(D$2498:D4046)+3,1))</f>
        <v>a163p000004NtXwAAK</v>
      </c>
      <c r="D4046" s="512"/>
      <c r="E4046" s="500" t="str">
        <f ca="1">IFERROR(IF(VLOOKUP(C4046,' Disaggregation - Section E '!A$618:N2170,7,0)="","",VLOOKUP(C4046,' Disaggregation - Section E '!A$618:N2170,7,0)*100),"")</f>
        <v/>
      </c>
      <c r="F4046" s="503" t="str">
        <f ca="1">IFERROR(VLOOKUP(C4046,' Disaggregation - Section E '!A$618:N2170,5,0),"")</f>
        <v/>
      </c>
      <c r="G4046" s="502" t="str">
        <f ca="1">IFERROR(IF(VLOOKUP(C4046,' Disaggregation - Section E '!A$618:N2170,6,0)="","",VLOOKUP(C4046,' Disaggregation - Section E '!A$618:N2170,6,0)),"")</f>
        <v/>
      </c>
      <c r="H4046" s="512" t="str">
        <f ca="1">IFERROR(IF(INDEX(' Disaggregation - Section E '!F$618:F3367,MATCH(C4046,' Disaggregation - Section E '!A$618:A3367,0)+1,1)&lt;&gt;0,INDEX(' Disaggregation - Section E '!F$618:F$1820,MATCH(C4046,' Disaggregation - Section E '!A$618:A3367,0)+1,1),""),"")</f>
        <v/>
      </c>
      <c r="I4046" s="503" t="str">
        <f ca="1">IFERROR(IF(VLOOKUP(C4046,' Disaggregation - Section E '!A$618:N2170,8,0)=0,"",VLOOKUP(C4046,' Disaggregation - Section E '!A$618:N2170,8,0)),"")</f>
        <v/>
      </c>
      <c r="J4046" s="503" t="str">
        <f ca="1">IFERROR(IF(VLOOKUP(C4046,' Disaggregation - Section E '!A$618:N3367,13,0)=0,"",VLOOKUP(C4046,' Disaggregation - Section E '!A$618:N3367,13,0)),"")</f>
        <v/>
      </c>
      <c r="K4046" s="497" t="str">
        <f ca="1">IFERROR(VLOOKUP(C4046,' Disaggregation - Section E '!A$618:N2170,3,0),"")</f>
        <v>HTS-3a⁽ᴹ⁾ Porcentaje de HSH a los que se les ha realizado una prueba de VIH durante el período de reporte y que conocen sus resultados</v>
      </c>
      <c r="L4046" s="497"/>
      <c r="M4046" s="497" t="str">
        <f ca="1">IFERROR(IF(VLOOKUP(C4046,' Disaggregation - Section E '!A$618:T2170,20,0)=0,"",VLOOKUP(C4046,' Disaggregation - Section E '!A$618:T2170,20,0)),"")</f>
        <v/>
      </c>
      <c r="N4046" s="503" t="str">
        <f ca="1">IFERROR(IF(VLOOKUP(C4046,' Disaggregation - Section E '!A$618:N2170,14,0)=0,"",VLOOKUP(C4046,' Disaggregation - Section E '!A$618:N2170,14,0)),"")</f>
        <v/>
      </c>
      <c r="O4046" s="503" t="str">
        <f ca="1">IFERROR(IF(VLOOKUP(C4046,' Disaggregation - Section E '!A$618:N2170,9,0)=0,"",VLOOKUP(C4046,' Disaggregation - Section E '!A$618:N2170,9,0)),"")</f>
        <v/>
      </c>
      <c r="P4046" s="503" t="str">
        <f ca="1">IFERROR(IF(VLOOKUP(C4046,' Disaggregation - Section E '!A$618:N2170,10,0)=0,"",VLOOKUP(C4046,' Disaggregation - Section E '!A$618:N2170,10,0)),"")</f>
        <v/>
      </c>
    </row>
    <row r="4047" spans="1:16" x14ac:dyDescent="0.35">
      <c r="A4047" s="497" t="b">
        <f t="shared" ca="1" si="231"/>
        <v>0</v>
      </c>
      <c r="B4047" s="497"/>
      <c r="C4047" s="510" t="str">
        <f ca="1">IF(COUNTA(D$2498:D4047)=1,"",OFFSET(B4045,-COUNTA(D$2498:D4047)+3,1))</f>
        <v>a163p000004NtXxAAK</v>
      </c>
      <c r="D4047" s="512"/>
      <c r="E4047" s="500" t="str">
        <f ca="1">IFERROR(IF(VLOOKUP(C4047,' Disaggregation - Section E '!A$618:N2171,7,0)="","",VLOOKUP(C4047,' Disaggregation - Section E '!A$618:N2171,7,0)*100),"")</f>
        <v/>
      </c>
      <c r="F4047" s="503" t="str">
        <f ca="1">IFERROR(VLOOKUP(C4047,' Disaggregation - Section E '!A$618:N2171,5,0),"")</f>
        <v/>
      </c>
      <c r="G4047" s="502" t="str">
        <f ca="1">IFERROR(IF(VLOOKUP(C4047,' Disaggregation - Section E '!A$618:N2171,6,0)="","",VLOOKUP(C4047,' Disaggregation - Section E '!A$618:N2171,6,0)),"")</f>
        <v/>
      </c>
      <c r="H4047" s="512" t="str">
        <f ca="1">IFERROR(IF(INDEX(' Disaggregation - Section E '!F$618:F3368,MATCH(C4047,' Disaggregation - Section E '!A$618:A3368,0)+1,1)&lt;&gt;0,INDEX(' Disaggregation - Section E '!F$618:F$1820,MATCH(C4047,' Disaggregation - Section E '!A$618:A3368,0)+1,1),""),"")</f>
        <v/>
      </c>
      <c r="I4047" s="503" t="str">
        <f ca="1">IFERROR(IF(VLOOKUP(C4047,' Disaggregation - Section E '!A$618:N2171,8,0)=0,"",VLOOKUP(C4047,' Disaggregation - Section E '!A$618:N2171,8,0)),"")</f>
        <v/>
      </c>
      <c r="J4047" s="503" t="str">
        <f ca="1">IFERROR(IF(VLOOKUP(C4047,' Disaggregation - Section E '!A$618:N3368,13,0)=0,"",VLOOKUP(C4047,' Disaggregation - Section E '!A$618:N3368,13,0)),"")</f>
        <v/>
      </c>
      <c r="K4047" s="497" t="str">
        <f ca="1">IFERROR(VLOOKUP(C4047,' Disaggregation - Section E '!A$618:N2171,3,0),"")</f>
        <v>HTS-3a⁽ᴹ⁾ Porcentaje de HSH a los que se les ha realizado una prueba de VIH durante el período de reporte y que conocen sus resultados</v>
      </c>
      <c r="L4047" s="497"/>
      <c r="M4047" s="497" t="str">
        <f ca="1">IFERROR(IF(VLOOKUP(C4047,' Disaggregation - Section E '!A$618:T2171,20,0)=0,"",VLOOKUP(C4047,' Disaggregation - Section E '!A$618:T2171,20,0)),"")</f>
        <v/>
      </c>
      <c r="N4047" s="503" t="str">
        <f ca="1">IFERROR(IF(VLOOKUP(C4047,' Disaggregation - Section E '!A$618:N2171,14,0)=0,"",VLOOKUP(C4047,' Disaggregation - Section E '!A$618:N2171,14,0)),"")</f>
        <v/>
      </c>
      <c r="O4047" s="503" t="str">
        <f ca="1">IFERROR(IF(VLOOKUP(C4047,' Disaggregation - Section E '!A$618:N2171,9,0)=0,"",VLOOKUP(C4047,' Disaggregation - Section E '!A$618:N2171,9,0)),"")</f>
        <v/>
      </c>
      <c r="P4047" s="503" t="str">
        <f ca="1">IFERROR(IF(VLOOKUP(C4047,' Disaggregation - Section E '!A$618:N2171,10,0)=0,"",VLOOKUP(C4047,' Disaggregation - Section E '!A$618:N2171,10,0)),"")</f>
        <v/>
      </c>
    </row>
    <row r="4048" spans="1:16" x14ac:dyDescent="0.35">
      <c r="A4048" s="497" t="b">
        <f t="shared" ca="1" si="231"/>
        <v>0</v>
      </c>
      <c r="B4048" s="497"/>
      <c r="C4048" s="510" t="str">
        <f ca="1">IF(COUNTA(D$2498:D4048)=1,"",OFFSET(B4046,-COUNTA(D$2498:D4048)+3,1))</f>
        <v>a163p000004NtXyAAK</v>
      </c>
      <c r="D4048" s="512"/>
      <c r="E4048" s="500" t="str">
        <f ca="1">IFERROR(IF(VLOOKUP(C4048,' Disaggregation - Section E '!A$618:N2172,7,0)="","",VLOOKUP(C4048,' Disaggregation - Section E '!A$618:N2172,7,0)*100),"")</f>
        <v/>
      </c>
      <c r="F4048" s="503" t="str">
        <f ca="1">IFERROR(VLOOKUP(C4048,' Disaggregation - Section E '!A$618:N2172,5,0),"")</f>
        <v/>
      </c>
      <c r="G4048" s="502" t="str">
        <f ca="1">IFERROR(IF(VLOOKUP(C4048,' Disaggregation - Section E '!A$618:N2172,6,0)="","",VLOOKUP(C4048,' Disaggregation - Section E '!A$618:N2172,6,0)),"")</f>
        <v/>
      </c>
      <c r="H4048" s="512" t="str">
        <f ca="1">IFERROR(IF(INDEX(' Disaggregation - Section E '!F$618:F3369,MATCH(C4048,' Disaggregation - Section E '!A$618:A3369,0)+1,1)&lt;&gt;0,INDEX(' Disaggregation - Section E '!F$618:F$1820,MATCH(C4048,' Disaggregation - Section E '!A$618:A3369,0)+1,1),""),"")</f>
        <v/>
      </c>
      <c r="I4048" s="503" t="str">
        <f ca="1">IFERROR(IF(VLOOKUP(C4048,' Disaggregation - Section E '!A$618:N2172,8,0)=0,"",VLOOKUP(C4048,' Disaggregation - Section E '!A$618:N2172,8,0)),"")</f>
        <v/>
      </c>
      <c r="J4048" s="503" t="str">
        <f ca="1">IFERROR(IF(VLOOKUP(C4048,' Disaggregation - Section E '!A$618:N3369,13,0)=0,"",VLOOKUP(C4048,' Disaggregation - Section E '!A$618:N3369,13,0)),"")</f>
        <v/>
      </c>
      <c r="K4048" s="497" t="str">
        <f ca="1">IFERROR(VLOOKUP(C4048,' Disaggregation - Section E '!A$618:N2172,3,0),"")</f>
        <v>HTS-3a⁽ᴹ⁾ Porcentaje de HSH a los que se les ha realizado una prueba de VIH durante el período de reporte y que conocen sus resultados</v>
      </c>
      <c r="L4048" s="497"/>
      <c r="M4048" s="497" t="str">
        <f ca="1">IFERROR(IF(VLOOKUP(C4048,' Disaggregation - Section E '!A$618:T2172,20,0)=0,"",VLOOKUP(C4048,' Disaggregation - Section E '!A$618:T2172,20,0)),"")</f>
        <v/>
      </c>
      <c r="N4048" s="503" t="str">
        <f ca="1">IFERROR(IF(VLOOKUP(C4048,' Disaggregation - Section E '!A$618:N2172,14,0)=0,"",VLOOKUP(C4048,' Disaggregation - Section E '!A$618:N2172,14,0)),"")</f>
        <v/>
      </c>
      <c r="O4048" s="503" t="str">
        <f ca="1">IFERROR(IF(VLOOKUP(C4048,' Disaggregation - Section E '!A$618:N2172,9,0)=0,"",VLOOKUP(C4048,' Disaggregation - Section E '!A$618:N2172,9,0)),"")</f>
        <v/>
      </c>
      <c r="P4048" s="503" t="str">
        <f ca="1">IFERROR(IF(VLOOKUP(C4048,' Disaggregation - Section E '!A$618:N2172,10,0)=0,"",VLOOKUP(C4048,' Disaggregation - Section E '!A$618:N2172,10,0)),"")</f>
        <v/>
      </c>
    </row>
    <row r="4049" spans="1:18" x14ac:dyDescent="0.35">
      <c r="A4049" s="497" t="b">
        <f t="shared" ca="1" si="231"/>
        <v>0</v>
      </c>
      <c r="B4049" s="497"/>
      <c r="C4049" s="510" t="str">
        <f ca="1">IF(COUNTA(D$2498:D4049)=1,"",OFFSET(B4047,-COUNTA(D$2498:D4049)+3,1))</f>
        <v>a163p000004NtXzAAK</v>
      </c>
      <c r="D4049" s="512"/>
      <c r="E4049" s="500" t="str">
        <f ca="1">IFERROR(IF(VLOOKUP(C4049,' Disaggregation - Section E '!A$618:N2173,7,0)="","",VLOOKUP(C4049,' Disaggregation - Section E '!A$618:N2173,7,0)*100),"")</f>
        <v/>
      </c>
      <c r="F4049" s="503" t="str">
        <f ca="1">IFERROR(VLOOKUP(C4049,' Disaggregation - Section E '!A$618:N2173,5,0),"")</f>
        <v/>
      </c>
      <c r="G4049" s="502" t="str">
        <f ca="1">IFERROR(IF(VLOOKUP(C4049,' Disaggregation - Section E '!A$618:N2173,6,0)="","",VLOOKUP(C4049,' Disaggregation - Section E '!A$618:N2173,6,0)),"")</f>
        <v/>
      </c>
      <c r="H4049" s="512" t="str">
        <f ca="1">IFERROR(IF(INDEX(' Disaggregation - Section E '!F$618:F3370,MATCH(C4049,' Disaggregation - Section E '!A$618:A3370,0)+1,1)&lt;&gt;0,INDEX(' Disaggregation - Section E '!F$618:F$1820,MATCH(C4049,' Disaggregation - Section E '!A$618:A3370,0)+1,1),""),"")</f>
        <v/>
      </c>
      <c r="I4049" s="503" t="str">
        <f ca="1">IFERROR(IF(VLOOKUP(C4049,' Disaggregation - Section E '!A$618:N2173,8,0)=0,"",VLOOKUP(C4049,' Disaggregation - Section E '!A$618:N2173,8,0)),"")</f>
        <v/>
      </c>
      <c r="J4049" s="503" t="str">
        <f ca="1">IFERROR(IF(VLOOKUP(C4049,' Disaggregation - Section E '!A$618:N3370,13,0)=0,"",VLOOKUP(C4049,' Disaggregation - Section E '!A$618:N3370,13,0)),"")</f>
        <v/>
      </c>
      <c r="K4049" s="497" t="str">
        <f ca="1">IFERROR(VLOOKUP(C4049,' Disaggregation - Section E '!A$618:N2173,3,0),"")</f>
        <v>HTS-3a⁽ᴹ⁾ Porcentaje de HSH a los que se les ha realizado una prueba de VIH durante el período de reporte y que conocen sus resultados</v>
      </c>
      <c r="L4049" s="497"/>
      <c r="M4049" s="497" t="str">
        <f ca="1">IFERROR(IF(VLOOKUP(C4049,' Disaggregation - Section E '!A$618:T2173,20,0)=0,"",VLOOKUP(C4049,' Disaggregation - Section E '!A$618:T2173,20,0)),"")</f>
        <v/>
      </c>
      <c r="N4049" s="503" t="str">
        <f ca="1">IFERROR(IF(VLOOKUP(C4049,' Disaggregation - Section E '!A$618:N2173,14,0)=0,"",VLOOKUP(C4049,' Disaggregation - Section E '!A$618:N2173,14,0)),"")</f>
        <v/>
      </c>
      <c r="O4049" s="503" t="str">
        <f ca="1">IFERROR(IF(VLOOKUP(C4049,' Disaggregation - Section E '!A$618:N2173,9,0)=0,"",VLOOKUP(C4049,' Disaggregation - Section E '!A$618:N2173,9,0)),"")</f>
        <v/>
      </c>
      <c r="P4049" s="503" t="str">
        <f ca="1">IFERROR(IF(VLOOKUP(C4049,' Disaggregation - Section E '!A$618:N2173,10,0)=0,"",VLOOKUP(C4049,' Disaggregation - Section E '!A$618:N2173,10,0)),"")</f>
        <v/>
      </c>
    </row>
    <row r="4050" spans="1:18" x14ac:dyDescent="0.35">
      <c r="A4050" s="497" t="b">
        <f t="shared" ca="1" si="231"/>
        <v>0</v>
      </c>
      <c r="B4050" s="497"/>
      <c r="C4050" s="510" t="str">
        <f ca="1">IF(COUNTA(D$2498:D4050)=1,"",OFFSET(B4048,-COUNTA(D$2498:D4050)+3,1))</f>
        <v>a163p000004NtY0AAK</v>
      </c>
      <c r="D4050" s="512"/>
      <c r="E4050" s="500" t="str">
        <f ca="1">IFERROR(IF(VLOOKUP(C4050,' Disaggregation - Section E '!A$618:N2174,7,0)="","",VLOOKUP(C4050,' Disaggregation - Section E '!A$618:N2174,7,0)*100),"")</f>
        <v/>
      </c>
      <c r="F4050" s="503" t="str">
        <f ca="1">IFERROR(VLOOKUP(C4050,' Disaggregation - Section E '!A$618:N2174,5,0),"")</f>
        <v/>
      </c>
      <c r="G4050" s="502" t="str">
        <f ca="1">IFERROR(IF(VLOOKUP(C4050,' Disaggregation - Section E '!A$618:N2174,6,0)="","",VLOOKUP(C4050,' Disaggregation - Section E '!A$618:N2174,6,0)),"")</f>
        <v/>
      </c>
      <c r="H4050" s="512" t="str">
        <f ca="1">IFERROR(IF(INDEX(' Disaggregation - Section E '!F$618:F3371,MATCH(C4050,' Disaggregation - Section E '!A$618:A3371,0)+1,1)&lt;&gt;0,INDEX(' Disaggregation - Section E '!F$618:F$1820,MATCH(C4050,' Disaggregation - Section E '!A$618:A3371,0)+1,1),""),"")</f>
        <v/>
      </c>
      <c r="I4050" s="503" t="str">
        <f ca="1">IFERROR(IF(VLOOKUP(C4050,' Disaggregation - Section E '!A$618:N2174,8,0)=0,"",VLOOKUP(C4050,' Disaggregation - Section E '!A$618:N2174,8,0)),"")</f>
        <v/>
      </c>
      <c r="J4050" s="503" t="str">
        <f ca="1">IFERROR(IF(VLOOKUP(C4050,' Disaggregation - Section E '!A$618:N3371,13,0)=0,"",VLOOKUP(C4050,' Disaggregation - Section E '!A$618:N3371,13,0)),"")</f>
        <v/>
      </c>
      <c r="K4050" s="497" t="str">
        <f ca="1">IFERROR(VLOOKUP(C4050,' Disaggregation - Section E '!A$618:N2174,3,0),"")</f>
        <v>HTS-3a⁽ᴹ⁾ Porcentaje de HSH a los que se les ha realizado una prueba de VIH durante el período de reporte y que conocen sus resultados</v>
      </c>
      <c r="L4050" s="497"/>
      <c r="M4050" s="497" t="str">
        <f ca="1">IFERROR(IF(VLOOKUP(C4050,' Disaggregation - Section E '!A$618:T2174,20,0)=0,"",VLOOKUP(C4050,' Disaggregation - Section E '!A$618:T2174,20,0)),"")</f>
        <v/>
      </c>
      <c r="N4050" s="503" t="str">
        <f ca="1">IFERROR(IF(VLOOKUP(C4050,' Disaggregation - Section E '!A$618:N2174,14,0)=0,"",VLOOKUP(C4050,' Disaggregation - Section E '!A$618:N2174,14,0)),"")</f>
        <v/>
      </c>
      <c r="O4050" s="503" t="str">
        <f ca="1">IFERROR(IF(VLOOKUP(C4050,' Disaggregation - Section E '!A$618:N2174,9,0)=0,"",VLOOKUP(C4050,' Disaggregation - Section E '!A$618:N2174,9,0)),"")</f>
        <v/>
      </c>
      <c r="P4050" s="503" t="str">
        <f ca="1">IFERROR(IF(VLOOKUP(C4050,' Disaggregation - Section E '!A$618:N2174,10,0)=0,"",VLOOKUP(C4050,' Disaggregation - Section E '!A$618:N2174,10,0)),"")</f>
        <v/>
      </c>
    </row>
    <row r="4051" spans="1:18" x14ac:dyDescent="0.35">
      <c r="A4051" s="497" t="b">
        <f t="shared" ca="1" si="231"/>
        <v>0</v>
      </c>
      <c r="B4051" s="497"/>
      <c r="C4051" s="510" t="str">
        <f ca="1">IF(COUNTA(D$2498:D4051)=1,"",OFFSET(B4049,-COUNTA(D$2498:D4051)+3,1))</f>
        <v>a163p000004NtY1AAK</v>
      </c>
      <c r="D4051" s="512"/>
      <c r="E4051" s="500" t="str">
        <f ca="1">IFERROR(IF(VLOOKUP(C4051,' Disaggregation - Section E '!A$618:N2175,7,0)="","",VLOOKUP(C4051,' Disaggregation - Section E '!A$618:N2175,7,0)*100),"")</f>
        <v/>
      </c>
      <c r="F4051" s="503" t="str">
        <f ca="1">IFERROR(VLOOKUP(C4051,' Disaggregation - Section E '!A$618:N2175,5,0),"")</f>
        <v/>
      </c>
      <c r="G4051" s="502" t="str">
        <f ca="1">IFERROR(IF(VLOOKUP(C4051,' Disaggregation - Section E '!A$618:N2175,6,0)="","",VLOOKUP(C4051,' Disaggregation - Section E '!A$618:N2175,6,0)),"")</f>
        <v/>
      </c>
      <c r="H4051" s="512" t="str">
        <f ca="1">IFERROR(IF(INDEX(' Disaggregation - Section E '!F$618:F3372,MATCH(C4051,' Disaggregation - Section E '!A$618:A3372,0)+1,1)&lt;&gt;0,INDEX(' Disaggregation - Section E '!F$618:F$1820,MATCH(C4051,' Disaggregation - Section E '!A$618:A3372,0)+1,1),""),"")</f>
        <v/>
      </c>
      <c r="I4051" s="503" t="str">
        <f ca="1">IFERROR(IF(VLOOKUP(C4051,' Disaggregation - Section E '!A$618:N2175,8,0)=0,"",VLOOKUP(C4051,' Disaggregation - Section E '!A$618:N2175,8,0)),"")</f>
        <v/>
      </c>
      <c r="J4051" s="503" t="str">
        <f ca="1">IFERROR(IF(VLOOKUP(C4051,' Disaggregation - Section E '!A$618:N3372,13,0)=0,"",VLOOKUP(C4051,' Disaggregation - Section E '!A$618:N3372,13,0)),"")</f>
        <v/>
      </c>
      <c r="K4051" s="497" t="str">
        <f ca="1">IFERROR(VLOOKUP(C4051,' Disaggregation - Section E '!A$618:N2175,3,0),"")</f>
        <v>HTS-3a⁽ᴹ⁾ Porcentaje de HSH a los que se les ha realizado una prueba de VIH durante el período de reporte y que conocen sus resultados</v>
      </c>
      <c r="L4051" s="497"/>
      <c r="M4051" s="497" t="str">
        <f ca="1">IFERROR(IF(VLOOKUP(C4051,' Disaggregation - Section E '!A$618:T2175,20,0)=0,"",VLOOKUP(C4051,' Disaggregation - Section E '!A$618:T2175,20,0)),"")</f>
        <v/>
      </c>
      <c r="N4051" s="503" t="str">
        <f ca="1">IFERROR(IF(VLOOKUP(C4051,' Disaggregation - Section E '!A$618:N2175,14,0)=0,"",VLOOKUP(C4051,' Disaggregation - Section E '!A$618:N2175,14,0)),"")</f>
        <v/>
      </c>
      <c r="O4051" s="503" t="str">
        <f ca="1">IFERROR(IF(VLOOKUP(C4051,' Disaggregation - Section E '!A$618:N2175,9,0)=0,"",VLOOKUP(C4051,' Disaggregation - Section E '!A$618:N2175,9,0)),"")</f>
        <v/>
      </c>
      <c r="P4051" s="503" t="str">
        <f ca="1">IFERROR(IF(VLOOKUP(C4051,' Disaggregation - Section E '!A$618:N2175,10,0)=0,"",VLOOKUP(C4051,' Disaggregation - Section E '!A$618:N2175,10,0)),"")</f>
        <v/>
      </c>
    </row>
    <row r="4052" spans="1:18" x14ac:dyDescent="0.35">
      <c r="A4052" s="497" t="b">
        <f t="shared" ca="1" si="231"/>
        <v>0</v>
      </c>
      <c r="B4052" s="497"/>
      <c r="C4052" s="510" t="str">
        <f ca="1">IF(COUNTA(D$2498:D4052)=1,"",OFFSET(B4050,-COUNTA(D$2498:D4052)+3,1))</f>
        <v>a163p000004NtY2AAK</v>
      </c>
      <c r="D4052" s="512"/>
      <c r="E4052" s="500" t="str">
        <f ca="1">IFERROR(IF(VLOOKUP(C4052,' Disaggregation - Section E '!A$618:N2176,7,0)="","",VLOOKUP(C4052,' Disaggregation - Section E '!A$618:N2176,7,0)*100),"")</f>
        <v/>
      </c>
      <c r="F4052" s="503" t="str">
        <f ca="1">IFERROR(VLOOKUP(C4052,' Disaggregation - Section E '!A$618:N2176,5,0),"")</f>
        <v/>
      </c>
      <c r="G4052" s="502" t="str">
        <f ca="1">IFERROR(IF(VLOOKUP(C4052,' Disaggregation - Section E '!A$618:N2176,6,0)="","",VLOOKUP(C4052,' Disaggregation - Section E '!A$618:N2176,6,0)),"")</f>
        <v/>
      </c>
      <c r="H4052" s="512" t="str">
        <f ca="1">IFERROR(IF(INDEX(' Disaggregation - Section E '!F$618:F3373,MATCH(C4052,' Disaggregation - Section E '!A$618:A3373,0)+1,1)&lt;&gt;0,INDEX(' Disaggregation - Section E '!F$618:F$1820,MATCH(C4052,' Disaggregation - Section E '!A$618:A3373,0)+1,1),""),"")</f>
        <v/>
      </c>
      <c r="I4052" s="503" t="str">
        <f ca="1">IFERROR(IF(VLOOKUP(C4052,' Disaggregation - Section E '!A$618:N2176,8,0)=0,"",VLOOKUP(C4052,' Disaggregation - Section E '!A$618:N2176,8,0)),"")</f>
        <v/>
      </c>
      <c r="J4052" s="503" t="str">
        <f ca="1">IFERROR(IF(VLOOKUP(C4052,' Disaggregation - Section E '!A$618:N3373,13,0)=0,"",VLOOKUP(C4052,' Disaggregation - Section E '!A$618:N3373,13,0)),"")</f>
        <v/>
      </c>
      <c r="K4052" s="497" t="str">
        <f ca="1">IFERROR(VLOOKUP(C4052,' Disaggregation - Section E '!A$618:N2176,3,0),"")</f>
        <v>HTS-3a⁽ᴹ⁾ Porcentaje de HSH a los que se les ha realizado una prueba de VIH durante el período de reporte y que conocen sus resultados</v>
      </c>
      <c r="L4052" s="497"/>
      <c r="M4052" s="497" t="str">
        <f ca="1">IFERROR(IF(VLOOKUP(C4052,' Disaggregation - Section E '!A$618:T2176,20,0)=0,"",VLOOKUP(C4052,' Disaggregation - Section E '!A$618:T2176,20,0)),"")</f>
        <v/>
      </c>
      <c r="N4052" s="503" t="str">
        <f ca="1">IFERROR(IF(VLOOKUP(C4052,' Disaggregation - Section E '!A$618:N2176,14,0)=0,"",VLOOKUP(C4052,' Disaggregation - Section E '!A$618:N2176,14,0)),"")</f>
        <v/>
      </c>
      <c r="O4052" s="503" t="str">
        <f ca="1">IFERROR(IF(VLOOKUP(C4052,' Disaggregation - Section E '!A$618:N2176,9,0)=0,"",VLOOKUP(C4052,' Disaggregation - Section E '!A$618:N2176,9,0)),"")</f>
        <v/>
      </c>
      <c r="P4052" s="503" t="str">
        <f ca="1">IFERROR(IF(VLOOKUP(C4052,' Disaggregation - Section E '!A$618:N2176,10,0)=0,"",VLOOKUP(C4052,' Disaggregation - Section E '!A$618:N2176,10,0)),"")</f>
        <v/>
      </c>
    </row>
    <row r="4053" spans="1:18" x14ac:dyDescent="0.35">
      <c r="A4053" s="497" t="b">
        <f t="shared" ca="1" si="231"/>
        <v>0</v>
      </c>
      <c r="B4053" s="497"/>
      <c r="C4053" s="510" t="str">
        <f ca="1">IF(COUNTA(D$2498:D4053)=1,"",OFFSET(B4051,-COUNTA(D$2498:D4053)+3,1))</f>
        <v>a163p000004NtY3AAK</v>
      </c>
      <c r="D4053" s="512"/>
      <c r="E4053" s="500" t="str">
        <f ca="1">IFERROR(IF(VLOOKUP(C4053,' Disaggregation - Section E '!A$618:N2177,7,0)="","",VLOOKUP(C4053,' Disaggregation - Section E '!A$618:N2177,7,0)*100),"")</f>
        <v/>
      </c>
      <c r="F4053" s="503" t="str">
        <f ca="1">IFERROR(VLOOKUP(C4053,' Disaggregation - Section E '!A$618:N2177,5,0),"")</f>
        <v/>
      </c>
      <c r="G4053" s="502" t="str">
        <f ca="1">IFERROR(IF(VLOOKUP(C4053,' Disaggregation - Section E '!A$618:N2177,6,0)="","",VLOOKUP(C4053,' Disaggregation - Section E '!A$618:N2177,6,0)),"")</f>
        <v/>
      </c>
      <c r="H4053" s="512" t="str">
        <f ca="1">IFERROR(IF(INDEX(' Disaggregation - Section E '!F$618:F3374,MATCH(C4053,' Disaggregation - Section E '!A$618:A3374,0)+1,1)&lt;&gt;0,INDEX(' Disaggregation - Section E '!F$618:F$1820,MATCH(C4053,' Disaggregation - Section E '!A$618:A3374,0)+1,1),""),"")</f>
        <v/>
      </c>
      <c r="I4053" s="503" t="str">
        <f ca="1">IFERROR(IF(VLOOKUP(C4053,' Disaggregation - Section E '!A$618:N2177,8,0)=0,"",VLOOKUP(C4053,' Disaggregation - Section E '!A$618:N2177,8,0)),"")</f>
        <v/>
      </c>
      <c r="J4053" s="503" t="str">
        <f ca="1">IFERROR(IF(VLOOKUP(C4053,' Disaggregation - Section E '!A$618:N3374,13,0)=0,"",VLOOKUP(C4053,' Disaggregation - Section E '!A$618:N3374,13,0)),"")</f>
        <v/>
      </c>
      <c r="K4053" s="497" t="str">
        <f ca="1">IFERROR(VLOOKUP(C4053,' Disaggregation - Section E '!A$618:N2177,3,0),"")</f>
        <v>HTS-3a⁽ᴹ⁾ Porcentaje de HSH a los que se les ha realizado una prueba de VIH durante el período de reporte y que conocen sus resultados</v>
      </c>
      <c r="L4053" s="497"/>
      <c r="M4053" s="497" t="str">
        <f ca="1">IFERROR(IF(VLOOKUP(C4053,' Disaggregation - Section E '!A$618:T2177,20,0)=0,"",VLOOKUP(C4053,' Disaggregation - Section E '!A$618:T2177,20,0)),"")</f>
        <v/>
      </c>
      <c r="N4053" s="503" t="str">
        <f ca="1">IFERROR(IF(VLOOKUP(C4053,' Disaggregation - Section E '!A$618:N2177,14,0)=0,"",VLOOKUP(C4053,' Disaggregation - Section E '!A$618:N2177,14,0)),"")</f>
        <v/>
      </c>
      <c r="O4053" s="503" t="str">
        <f ca="1">IFERROR(IF(VLOOKUP(C4053,' Disaggregation - Section E '!A$618:N2177,9,0)=0,"",VLOOKUP(C4053,' Disaggregation - Section E '!A$618:N2177,9,0)),"")</f>
        <v/>
      </c>
      <c r="P4053" s="503" t="str">
        <f ca="1">IFERROR(IF(VLOOKUP(C4053,' Disaggregation - Section E '!A$618:N2177,10,0)=0,"",VLOOKUP(C4053,' Disaggregation - Section E '!A$618:N2177,10,0)),"")</f>
        <v/>
      </c>
    </row>
    <row r="4054" spans="1:18" x14ac:dyDescent="0.35">
      <c r="A4054" s="497" t="b">
        <f t="shared" ca="1" si="231"/>
        <v>0</v>
      </c>
      <c r="B4054" s="497"/>
      <c r="C4054" s="510" t="str">
        <f ca="1">IF(COUNTA(D$2498:D4054)=1,"",OFFSET(B4052,-COUNTA(D$2498:D4054)+3,1))</f>
        <v>a163p000004NtY4AAK</v>
      </c>
      <c r="D4054" s="512"/>
      <c r="E4054" s="500" t="str">
        <f ca="1">IFERROR(IF(VLOOKUP(C4054,' Disaggregation - Section E '!A$618:N2178,7,0)="","",VLOOKUP(C4054,' Disaggregation - Section E '!A$618:N2178,7,0)*100),"")</f>
        <v/>
      </c>
      <c r="F4054" s="503" t="str">
        <f ca="1">IFERROR(VLOOKUP(C4054,' Disaggregation - Section E '!A$618:N2178,5,0),"")</f>
        <v/>
      </c>
      <c r="G4054" s="502" t="str">
        <f ca="1">IFERROR(IF(VLOOKUP(C4054,' Disaggregation - Section E '!A$618:N2178,6,0)="","",VLOOKUP(C4054,' Disaggregation - Section E '!A$618:N2178,6,0)),"")</f>
        <v/>
      </c>
      <c r="H4054" s="512" t="str">
        <f ca="1">IFERROR(IF(INDEX(' Disaggregation - Section E '!F$618:F3375,MATCH(C4054,' Disaggregation - Section E '!A$618:A3375,0)+1,1)&lt;&gt;0,INDEX(' Disaggregation - Section E '!F$618:F$1820,MATCH(C4054,' Disaggregation - Section E '!A$618:A3375,0)+1,1),""),"")</f>
        <v/>
      </c>
      <c r="I4054" s="503" t="str">
        <f ca="1">IFERROR(IF(VLOOKUP(C4054,' Disaggregation - Section E '!A$618:N2178,8,0)=0,"",VLOOKUP(C4054,' Disaggregation - Section E '!A$618:N2178,8,0)),"")</f>
        <v/>
      </c>
      <c r="J4054" s="503" t="str">
        <f ca="1">IFERROR(IF(VLOOKUP(C4054,' Disaggregation - Section E '!A$618:N3375,13,0)=0,"",VLOOKUP(C4054,' Disaggregation - Section E '!A$618:N3375,13,0)),"")</f>
        <v/>
      </c>
      <c r="K4054" s="497" t="str">
        <f ca="1">IFERROR(VLOOKUP(C4054,' Disaggregation - Section E '!A$618:N2178,3,0),"")</f>
        <v>HTS-3a⁽ᴹ⁾ Porcentaje de HSH a los que se les ha realizado una prueba de VIH durante el período de reporte y que conocen sus resultados</v>
      </c>
      <c r="L4054" s="497"/>
      <c r="M4054" s="497" t="str">
        <f ca="1">IFERROR(IF(VLOOKUP(C4054,' Disaggregation - Section E '!A$618:T2178,20,0)=0,"",VLOOKUP(C4054,' Disaggregation - Section E '!A$618:T2178,20,0)),"")</f>
        <v/>
      </c>
      <c r="N4054" s="503" t="str">
        <f ca="1">IFERROR(IF(VLOOKUP(C4054,' Disaggregation - Section E '!A$618:N2178,14,0)=0,"",VLOOKUP(C4054,' Disaggregation - Section E '!A$618:N2178,14,0)),"")</f>
        <v/>
      </c>
      <c r="O4054" s="503" t="str">
        <f ca="1">IFERROR(IF(VLOOKUP(C4054,' Disaggregation - Section E '!A$618:N2178,9,0)=0,"",VLOOKUP(C4054,' Disaggregation - Section E '!A$618:N2178,9,0)),"")</f>
        <v/>
      </c>
      <c r="P4054" s="503" t="str">
        <f ca="1">IFERROR(IF(VLOOKUP(C4054,' Disaggregation - Section E '!A$618:N2178,10,0)=0,"",VLOOKUP(C4054,' Disaggregation - Section E '!A$618:N2178,10,0)),"")</f>
        <v/>
      </c>
    </row>
    <row r="4055" spans="1:18" x14ac:dyDescent="0.35">
      <c r="A4055" s="497" t="b">
        <f t="shared" ca="1" si="231"/>
        <v>0</v>
      </c>
      <c r="B4055" s="497"/>
      <c r="C4055" s="510" t="str">
        <f ca="1">IF(COUNTA(D$2498:D4055)=1,"",OFFSET(B4053,-COUNTA(D$2498:D4055)+3,1))</f>
        <v>a163p000004NtY5AAK</v>
      </c>
      <c r="D4055" s="512"/>
      <c r="E4055" s="500" t="str">
        <f ca="1">IFERROR(IF(VLOOKUP(C4055,' Disaggregation - Section E '!A$618:N2179,7,0)="","",VLOOKUP(C4055,' Disaggregation - Section E '!A$618:N2179,7,0)*100),"")</f>
        <v/>
      </c>
      <c r="F4055" s="503" t="str">
        <f ca="1">IFERROR(VLOOKUP(C4055,' Disaggregation - Section E '!A$618:N2179,5,0),"")</f>
        <v/>
      </c>
      <c r="G4055" s="502" t="str">
        <f ca="1">IFERROR(IF(VLOOKUP(C4055,' Disaggregation - Section E '!A$618:N2179,6,0)="","",VLOOKUP(C4055,' Disaggregation - Section E '!A$618:N2179,6,0)),"")</f>
        <v/>
      </c>
      <c r="H4055" s="512" t="str">
        <f ca="1">IFERROR(IF(INDEX(' Disaggregation - Section E '!F$618:F3376,MATCH(C4055,' Disaggregation - Section E '!A$618:A3376,0)+1,1)&lt;&gt;0,INDEX(' Disaggregation - Section E '!F$618:F$1820,MATCH(C4055,' Disaggregation - Section E '!A$618:A3376,0)+1,1),""),"")</f>
        <v/>
      </c>
      <c r="I4055" s="503" t="str">
        <f ca="1">IFERROR(IF(VLOOKUP(C4055,' Disaggregation - Section E '!A$618:N2179,8,0)=0,"",VLOOKUP(C4055,' Disaggregation - Section E '!A$618:N2179,8,0)),"")</f>
        <v/>
      </c>
      <c r="J4055" s="503" t="str">
        <f ca="1">IFERROR(IF(VLOOKUP(C4055,' Disaggregation - Section E '!A$618:N3376,13,0)=0,"",VLOOKUP(C4055,' Disaggregation - Section E '!A$618:N3376,13,0)),"")</f>
        <v/>
      </c>
      <c r="K4055" s="497" t="str">
        <f ca="1">IFERROR(VLOOKUP(C4055,' Disaggregation - Section E '!A$618:N2179,3,0),"")</f>
        <v>HTS-3a⁽ᴹ⁾ Porcentaje de HSH a los que se les ha realizado una prueba de VIH durante el período de reporte y que conocen sus resultados</v>
      </c>
      <c r="L4055" s="497"/>
      <c r="M4055" s="497" t="str">
        <f ca="1">IFERROR(IF(VLOOKUP(C4055,' Disaggregation - Section E '!A$618:T2179,20,0)=0,"",VLOOKUP(C4055,' Disaggregation - Section E '!A$618:T2179,20,0)),"")</f>
        <v/>
      </c>
      <c r="N4055" s="503" t="str">
        <f ca="1">IFERROR(IF(VLOOKUP(C4055,' Disaggregation - Section E '!A$618:N2179,14,0)=0,"",VLOOKUP(C4055,' Disaggregation - Section E '!A$618:N2179,14,0)),"")</f>
        <v/>
      </c>
      <c r="O4055" s="503" t="str">
        <f ca="1">IFERROR(IF(VLOOKUP(C4055,' Disaggregation - Section E '!A$618:N2179,9,0)=0,"",VLOOKUP(C4055,' Disaggregation - Section E '!A$618:N2179,9,0)),"")</f>
        <v/>
      </c>
      <c r="P4055" s="503" t="str">
        <f ca="1">IFERROR(IF(VLOOKUP(C4055,' Disaggregation - Section E '!A$618:N2179,10,0)=0,"",VLOOKUP(C4055,' Disaggregation - Section E '!A$618:N2179,10,0)),"")</f>
        <v/>
      </c>
    </row>
    <row r="4056" spans="1:18" x14ac:dyDescent="0.35">
      <c r="A4056" s="497" t="b">
        <f t="shared" ca="1" si="231"/>
        <v>0</v>
      </c>
      <c r="B4056" s="497"/>
      <c r="C4056" s="510" t="str">
        <f ca="1">IF(COUNTA(D$2498:D4056)=1,"",OFFSET(B4054,-COUNTA(D$2498:D4056)+3,1))</f>
        <v>a163p000004NtY6AAK</v>
      </c>
      <c r="D4056" s="512"/>
      <c r="E4056" s="500" t="str">
        <f ca="1">IFERROR(IF(VLOOKUP(C4056,' Disaggregation - Section E '!A$618:N2180,7,0)="","",VLOOKUP(C4056,' Disaggregation - Section E '!A$618:N2180,7,0)*100),"")</f>
        <v/>
      </c>
      <c r="F4056" s="503" t="str">
        <f ca="1">IFERROR(VLOOKUP(C4056,' Disaggregation - Section E '!A$618:N2180,5,0),"")</f>
        <v/>
      </c>
      <c r="G4056" s="502" t="str">
        <f ca="1">IFERROR(IF(VLOOKUP(C4056,' Disaggregation - Section E '!A$618:N2180,6,0)="","",VLOOKUP(C4056,' Disaggregation - Section E '!A$618:N2180,6,0)),"")</f>
        <v/>
      </c>
      <c r="H4056" s="512" t="str">
        <f ca="1">IFERROR(IF(INDEX(' Disaggregation - Section E '!F$618:F3377,MATCH(C4056,' Disaggregation - Section E '!A$618:A3377,0)+1,1)&lt;&gt;0,INDEX(' Disaggregation - Section E '!F$618:F$1820,MATCH(C4056,' Disaggregation - Section E '!A$618:A3377,0)+1,1),""),"")</f>
        <v/>
      </c>
      <c r="I4056" s="503" t="str">
        <f ca="1">IFERROR(IF(VLOOKUP(C4056,' Disaggregation - Section E '!A$618:N2180,8,0)=0,"",VLOOKUP(C4056,' Disaggregation - Section E '!A$618:N2180,8,0)),"")</f>
        <v/>
      </c>
      <c r="J4056" s="503" t="str">
        <f ca="1">IFERROR(IF(VLOOKUP(C4056,' Disaggregation - Section E '!A$618:N3377,13,0)=0,"",VLOOKUP(C4056,' Disaggregation - Section E '!A$618:N3377,13,0)),"")</f>
        <v/>
      </c>
      <c r="K4056" s="497" t="str">
        <f ca="1">IFERROR(VLOOKUP(C4056,' Disaggregation - Section E '!A$618:N2180,3,0),"")</f>
        <v>HTS-3a⁽ᴹ⁾ Porcentaje de HSH a los que se les ha realizado una prueba de VIH durante el período de reporte y que conocen sus resultados</v>
      </c>
      <c r="L4056" s="497"/>
      <c r="M4056" s="497" t="str">
        <f ca="1">IFERROR(IF(VLOOKUP(C4056,' Disaggregation - Section E '!A$618:T2180,20,0)=0,"",VLOOKUP(C4056,' Disaggregation - Section E '!A$618:T2180,20,0)),"")</f>
        <v/>
      </c>
      <c r="N4056" s="503" t="str">
        <f ca="1">IFERROR(IF(VLOOKUP(C4056,' Disaggregation - Section E '!A$618:N2180,14,0)=0,"",VLOOKUP(C4056,' Disaggregation - Section E '!A$618:N2180,14,0)),"")</f>
        <v/>
      </c>
      <c r="O4056" s="503" t="str">
        <f ca="1">IFERROR(IF(VLOOKUP(C4056,' Disaggregation - Section E '!A$618:N2180,9,0)=0,"",VLOOKUP(C4056,' Disaggregation - Section E '!A$618:N2180,9,0)),"")</f>
        <v/>
      </c>
      <c r="P4056" s="503" t="str">
        <f ca="1">IFERROR(IF(VLOOKUP(C4056,' Disaggregation - Section E '!A$618:N2180,10,0)=0,"",VLOOKUP(C4056,' Disaggregation - Section E '!A$618:N2180,10,0)),"")</f>
        <v/>
      </c>
    </row>
    <row r="4057" spans="1:18" x14ac:dyDescent="0.35">
      <c r="A4057" s="497" t="b">
        <f t="shared" ca="1" si="231"/>
        <v>0</v>
      </c>
      <c r="B4057" s="497"/>
      <c r="C4057" s="510" t="str">
        <f ca="1">IF(COUNTA(D$2498:D4057)=1,"",OFFSET(B4055,-COUNTA(D$2498:D4057)+3,1))</f>
        <v>a163p000004NtY7AAK</v>
      </c>
      <c r="D4057" s="512"/>
      <c r="E4057" s="500" t="str">
        <f ca="1">IFERROR(IF(VLOOKUP(C4057,' Disaggregation - Section E '!A$618:N2181,7,0)="","",VLOOKUP(C4057,' Disaggregation - Section E '!A$618:N2181,7,0)*100),"")</f>
        <v/>
      </c>
      <c r="F4057" s="503" t="str">
        <f ca="1">IFERROR(VLOOKUP(C4057,' Disaggregation - Section E '!A$618:N2181,5,0),"")</f>
        <v/>
      </c>
      <c r="G4057" s="502" t="str">
        <f ca="1">IFERROR(IF(VLOOKUP(C4057,' Disaggregation - Section E '!A$618:N2181,6,0)="","",VLOOKUP(C4057,' Disaggregation - Section E '!A$618:N2181,6,0)),"")</f>
        <v/>
      </c>
      <c r="H4057" s="512" t="str">
        <f ca="1">IFERROR(IF(INDEX(' Disaggregation - Section E '!F$618:F3378,MATCH(C4057,' Disaggregation - Section E '!A$618:A3378,0)+1,1)&lt;&gt;0,INDEX(' Disaggregation - Section E '!F$618:F$1820,MATCH(C4057,' Disaggregation - Section E '!A$618:A3378,0)+1,1),""),"")</f>
        <v/>
      </c>
      <c r="I4057" s="503" t="str">
        <f ca="1">IFERROR(IF(VLOOKUP(C4057,' Disaggregation - Section E '!A$618:N2181,8,0)=0,"",VLOOKUP(C4057,' Disaggregation - Section E '!A$618:N2181,8,0)),"")</f>
        <v/>
      </c>
      <c r="J4057" s="503" t="str">
        <f ca="1">IFERROR(IF(VLOOKUP(C4057,' Disaggregation - Section E '!A$618:N3378,13,0)=0,"",VLOOKUP(C4057,' Disaggregation - Section E '!A$618:N3378,13,0)),"")</f>
        <v/>
      </c>
      <c r="K4057" s="497" t="str">
        <f ca="1">IFERROR(VLOOKUP(C4057,' Disaggregation - Section E '!A$618:N2181,3,0),"")</f>
        <v>HTS-3a⁽ᴹ⁾ Porcentaje de HSH a los que se les ha realizado una prueba de VIH durante el período de reporte y que conocen sus resultados</v>
      </c>
      <c r="L4057" s="497"/>
      <c r="M4057" s="497" t="str">
        <f ca="1">IFERROR(IF(VLOOKUP(C4057,' Disaggregation - Section E '!A$618:T2181,20,0)=0,"",VLOOKUP(C4057,' Disaggregation - Section E '!A$618:T2181,20,0)),"")</f>
        <v/>
      </c>
      <c r="N4057" s="503" t="str">
        <f ca="1">IFERROR(IF(VLOOKUP(C4057,' Disaggregation - Section E '!A$618:N2181,14,0)=0,"",VLOOKUP(C4057,' Disaggregation - Section E '!A$618:N2181,14,0)),"")</f>
        <v/>
      </c>
      <c r="O4057" s="503" t="str">
        <f ca="1">IFERROR(IF(VLOOKUP(C4057,' Disaggregation - Section E '!A$618:N2181,9,0)=0,"",VLOOKUP(C4057,' Disaggregation - Section E '!A$618:N2181,9,0)),"")</f>
        <v/>
      </c>
      <c r="P4057" s="503" t="str">
        <f ca="1">IFERROR(IF(VLOOKUP(C4057,' Disaggregation - Section E '!A$618:N2181,10,0)=0,"",VLOOKUP(C4057,' Disaggregation - Section E '!A$618:N2181,10,0)),"")</f>
        <v/>
      </c>
    </row>
    <row r="4058" spans="1:18" x14ac:dyDescent="0.35">
      <c r="A4058" s="497" t="b">
        <f t="shared" ca="1" si="231"/>
        <v>0</v>
      </c>
      <c r="B4058" s="497"/>
      <c r="C4058" s="510" t="str">
        <f ca="1">IF(COUNTA(D$2498:D4058)=1,"",OFFSET(B4056,-COUNTA(D$2498:D4058)+3,1))</f>
        <v>a163p000004NtY8AAK</v>
      </c>
      <c r="D4058" s="512"/>
      <c r="E4058" s="500" t="str">
        <f ca="1">IFERROR(IF(VLOOKUP(C4058,' Disaggregation - Section E '!A$618:N2182,7,0)="","",VLOOKUP(C4058,' Disaggregation - Section E '!A$618:N2182,7,0)*100),"")</f>
        <v/>
      </c>
      <c r="F4058" s="503" t="str">
        <f ca="1">IFERROR(VLOOKUP(C4058,' Disaggregation - Section E '!A$618:N2182,5,0),"")</f>
        <v/>
      </c>
      <c r="G4058" s="502" t="str">
        <f ca="1">IFERROR(IF(VLOOKUP(C4058,' Disaggregation - Section E '!A$618:N2182,6,0)="","",VLOOKUP(C4058,' Disaggregation - Section E '!A$618:N2182,6,0)),"")</f>
        <v/>
      </c>
      <c r="H4058" s="512" t="str">
        <f ca="1">IFERROR(IF(INDEX(' Disaggregation - Section E '!F$618:F3379,MATCH(C4058,' Disaggregation - Section E '!A$618:A3379,0)+1,1)&lt;&gt;0,INDEX(' Disaggregation - Section E '!F$618:F$1820,MATCH(C4058,' Disaggregation - Section E '!A$618:A3379,0)+1,1),""),"")</f>
        <v/>
      </c>
      <c r="I4058" s="503" t="str">
        <f ca="1">IFERROR(IF(VLOOKUP(C4058,' Disaggregation - Section E '!A$618:N2182,8,0)=0,"",VLOOKUP(C4058,' Disaggregation - Section E '!A$618:N2182,8,0)),"")</f>
        <v/>
      </c>
      <c r="J4058" s="503" t="str">
        <f ca="1">IFERROR(IF(VLOOKUP(C4058,' Disaggregation - Section E '!A$618:N3379,13,0)=0,"",VLOOKUP(C4058,' Disaggregation - Section E '!A$618:N3379,13,0)),"")</f>
        <v/>
      </c>
      <c r="K4058" s="497" t="str">
        <f ca="1">IFERROR(VLOOKUP(C4058,' Disaggregation - Section E '!A$618:N2182,3,0),"")</f>
        <v>HTS-3a⁽ᴹ⁾ Porcentaje de HSH a los que se les ha realizado una prueba de VIH durante el período de reporte y que conocen sus resultados</v>
      </c>
      <c r="L4058" s="497"/>
      <c r="M4058" s="497" t="str">
        <f ca="1">IFERROR(IF(VLOOKUP(C4058,' Disaggregation - Section E '!A$618:T2182,20,0)=0,"",VLOOKUP(C4058,' Disaggregation - Section E '!A$618:T2182,20,0)),"")</f>
        <v/>
      </c>
      <c r="N4058" s="503" t="str">
        <f ca="1">IFERROR(IF(VLOOKUP(C4058,' Disaggregation - Section E '!A$618:N2182,14,0)=0,"",VLOOKUP(C4058,' Disaggregation - Section E '!A$618:N2182,14,0)),"")</f>
        <v/>
      </c>
      <c r="O4058" s="503" t="str">
        <f ca="1">IFERROR(IF(VLOOKUP(C4058,' Disaggregation - Section E '!A$618:N2182,9,0)=0,"",VLOOKUP(C4058,' Disaggregation - Section E '!A$618:N2182,9,0)),"")</f>
        <v/>
      </c>
      <c r="P4058" s="503" t="str">
        <f ca="1">IFERROR(IF(VLOOKUP(C4058,' Disaggregation - Section E '!A$618:N2182,10,0)=0,"",VLOOKUP(C4058,' Disaggregation - Section E '!A$618:N2182,10,0)),"")</f>
        <v/>
      </c>
    </row>
    <row r="4059" spans="1:18" x14ac:dyDescent="0.35">
      <c r="A4059" s="497" t="b">
        <f t="shared" ca="1" si="231"/>
        <v>0</v>
      </c>
      <c r="B4059" s="497"/>
      <c r="C4059" s="510" t="str">
        <f ca="1">IF(COUNTA(D$2498:D4059)=1,"",OFFSET(B4057,-COUNTA(D$2498:D4059)+3,1))</f>
        <v>a163p000004NtY9AAK</v>
      </c>
      <c r="D4059" s="512"/>
      <c r="E4059" s="500" t="str">
        <f ca="1">IFERROR(IF(VLOOKUP(C4059,' Disaggregation - Section E '!A$618:N2183,7,0)="","",VLOOKUP(C4059,' Disaggregation - Section E '!A$618:N2183,7,0)*100),"")</f>
        <v/>
      </c>
      <c r="F4059" s="503" t="str">
        <f ca="1">IFERROR(VLOOKUP(C4059,' Disaggregation - Section E '!A$618:N2183,5,0),"")</f>
        <v/>
      </c>
      <c r="G4059" s="502" t="str">
        <f ca="1">IFERROR(IF(VLOOKUP(C4059,' Disaggregation - Section E '!A$618:N2183,6,0)="","",VLOOKUP(C4059,' Disaggregation - Section E '!A$618:N2183,6,0)),"")</f>
        <v/>
      </c>
      <c r="H4059" s="512" t="str">
        <f ca="1">IFERROR(IF(INDEX(' Disaggregation - Section E '!F$618:F3380,MATCH(C4059,' Disaggregation - Section E '!A$618:A3380,0)+1,1)&lt;&gt;0,INDEX(' Disaggregation - Section E '!F$618:F$1820,MATCH(C4059,' Disaggregation - Section E '!A$618:A3380,0)+1,1),""),"")</f>
        <v/>
      </c>
      <c r="I4059" s="503" t="str">
        <f ca="1">IFERROR(IF(VLOOKUP(C4059,' Disaggregation - Section E '!A$618:N2183,8,0)=0,"",VLOOKUP(C4059,' Disaggregation - Section E '!A$618:N2183,8,0)),"")</f>
        <v/>
      </c>
      <c r="J4059" s="503" t="str">
        <f ca="1">IFERROR(IF(VLOOKUP(C4059,' Disaggregation - Section E '!A$618:N3380,13,0)=0,"",VLOOKUP(C4059,' Disaggregation - Section E '!A$618:N3380,13,0)),"")</f>
        <v/>
      </c>
      <c r="K4059" s="497" t="str">
        <f ca="1">IFERROR(VLOOKUP(C4059,' Disaggregation - Section E '!A$618:N2183,3,0),"")</f>
        <v>HTS-3a⁽ᴹ⁾ Porcentaje de HSH a los que se les ha realizado una prueba de VIH durante el período de reporte y que conocen sus resultados</v>
      </c>
      <c r="L4059" s="497"/>
      <c r="M4059" s="497" t="str">
        <f ca="1">IFERROR(IF(VLOOKUP(C4059,' Disaggregation - Section E '!A$618:T2183,20,0)=0,"",VLOOKUP(C4059,' Disaggregation - Section E '!A$618:T2183,20,0)),"")</f>
        <v/>
      </c>
      <c r="N4059" s="503" t="str">
        <f ca="1">IFERROR(IF(VLOOKUP(C4059,' Disaggregation - Section E '!A$618:N2183,14,0)=0,"",VLOOKUP(C4059,' Disaggregation - Section E '!A$618:N2183,14,0)),"")</f>
        <v/>
      </c>
      <c r="O4059" s="503" t="str">
        <f ca="1">IFERROR(IF(VLOOKUP(C4059,' Disaggregation - Section E '!A$618:N2183,9,0)=0,"",VLOOKUP(C4059,' Disaggregation - Section E '!A$618:N2183,9,0)),"")</f>
        <v/>
      </c>
      <c r="P4059" s="503" t="str">
        <f ca="1">IFERROR(IF(VLOOKUP(C4059,' Disaggregation - Section E '!A$618:N2183,10,0)=0,"",VLOOKUP(C4059,' Disaggregation - Section E '!A$618:N2183,10,0)),"")</f>
        <v/>
      </c>
    </row>
    <row r="4060" spans="1:18" x14ac:dyDescent="0.35">
      <c r="J4060" s="496" t="str">
        <f ca="1">IF(ROW()&gt;'Impact Indicator Target Update'!A19,"",INDIRECT("'Impact Indicators - Section B'!A"&amp;'Impact Indicator Target Update'!D19))</f>
        <v/>
      </c>
    </row>
    <row r="4061" spans="1:18" x14ac:dyDescent="0.35">
      <c r="J4061" s="496" t="str">
        <f ca="1">IF(ROW()&gt;'Impact Indicator Target Update'!A20,"",INDIRECT("'Impact Indicators - Section B'!A"&amp;'Impact Indicator Target Update'!D20))</f>
        <v/>
      </c>
    </row>
    <row r="4062" spans="1:18" x14ac:dyDescent="0.35">
      <c r="A4062" s="507" t="s">
        <v>363</v>
      </c>
      <c r="B4062" s="496" t="s">
        <v>352</v>
      </c>
      <c r="J4062" s="496" t="str">
        <f ca="1">IF(ROW()&gt;'Impact Indicator Target Update'!A21,"",INDIRECT("'Impact Indicators - Section B'!A"&amp;'Impact Indicator Target Update'!D21))</f>
        <v/>
      </c>
    </row>
    <row r="4063" spans="1:18" x14ac:dyDescent="0.35">
      <c r="A4063" s="497" t="s">
        <v>46</v>
      </c>
      <c r="B4063" s="497">
        <v>7</v>
      </c>
      <c r="C4063" s="497" t="s">
        <v>48</v>
      </c>
      <c r="D4063" s="497" t="s">
        <v>148</v>
      </c>
      <c r="E4063" s="497" t="s">
        <v>100</v>
      </c>
      <c r="F4063" s="497" t="s">
        <v>68</v>
      </c>
      <c r="G4063" s="497" t="s">
        <v>347</v>
      </c>
      <c r="H4063" s="497">
        <v>-81</v>
      </c>
      <c r="I4063" s="497" t="s">
        <v>349</v>
      </c>
      <c r="J4063" s="497" t="s">
        <v>39</v>
      </c>
      <c r="K4063" s="497" t="s">
        <v>279</v>
      </c>
      <c r="L4063" s="497" t="s">
        <v>345</v>
      </c>
      <c r="M4063" s="497" t="s">
        <v>474</v>
      </c>
      <c r="N4063" s="497" t="s">
        <v>9</v>
      </c>
      <c r="O4063" s="497" t="s">
        <v>473</v>
      </c>
      <c r="P4063" s="497" t="s">
        <v>67</v>
      </c>
      <c r="Q4063" s="497" t="s">
        <v>1</v>
      </c>
      <c r="R4063" s="497" t="s">
        <v>378</v>
      </c>
    </row>
    <row r="4064" spans="1:18" hidden="1" x14ac:dyDescent="0.35">
      <c r="A4064" s="497" t="b">
        <f ca="1">IF(M4064&lt;&gt;"",TRUE,FALSE)</f>
        <v>1</v>
      </c>
      <c r="B4064" s="497">
        <f>IF(_xlfn.ISFORMULA(J4064),B4063+1,B4063)</f>
        <v>8</v>
      </c>
      <c r="C4064" s="515" t="str">
        <f ca="1">IF(COUNTA($G$4062:G4063)=1,"",OFFSET(B4064,-COUNTA($G$4062:G4063)+1,1))</f>
        <v/>
      </c>
      <c r="D4064" s="497" t="str">
        <f ca="1">IFERROR(IF(INDIRECT("'WPTM - Section F'!AT"&amp;$B4064)=0,"",INDIRECT("'WPTM - Section F'!AT"&amp;$B4064)),"")</f>
        <v/>
      </c>
      <c r="E4064" s="503"/>
      <c r="F4064" s="503" t="str">
        <f ca="1">IFERROR(IF(INDIRECT("'WPTM - Section F'!AU"&amp;$B4064)=0,"",INDIRECT("'WPTM - Section F'!AU"&amp;$B4064)),"")</f>
        <v>Actividad clave (EN)</v>
      </c>
      <c r="G4064" s="520"/>
      <c r="H4064" s="498">
        <f>H4063+1</f>
        <v>-80</v>
      </c>
      <c r="I4064" s="497" t="str">
        <f ca="1">IF(IFERROR(VLOOKUP(INDIRECT("'WPTM - Section F'!F"&amp;B4064),'Overview - Section A'!M$31:R33,6,0),IFERROR(VLOOKUP(INDIRECT("'WPTM - Section F'!F"&amp;B4064),'Overview - Section A'!E$27:J30,6,0),""))=0,"",IFERROR(VLOOKUP(INDIRECT("'WPTM - Section F'!F"&amp;B4064),'Overview - Section A'!M$31:R33,6,0),IFERROR(VLOOKUP(INDIRECT("'WPTM - Section F'!F"&amp;B4064),'Overview - Section A'!E$27:J30,6,0),"")))</f>
        <v/>
      </c>
      <c r="J4064" s="497" t="str">
        <f ca="1">IFERROR(IF(INDIRECT("'WPTM - Section F'!G"&amp;$B4064)=0,"",INDIRECT("'WPTM - Section F'!G"&amp;$B4064)),"")</f>
        <v>País</v>
      </c>
      <c r="K4064" s="503" t="str">
        <f ca="1">IFERROR(IF(INDIRECT("'WPTM - Section F'!BF"&amp;$B4064)=0,"",INDIRECT("'WPTM - Section F'!BF"&amp;$B4064)),"")</f>
        <v>population english</v>
      </c>
      <c r="L4064" s="497" t="str">
        <f ca="1">IFERROR(INDEX('Reference Records'!F$412:F619,MATCH(INDIRECT("'WPTM - Section F'!AP"&amp;B4064)&amp;"|"&amp;INDIRECT("'WPTM - Section F'!C"&amp;$B4064),'Reference Records'!G$412:G619,0)),"")</f>
        <v/>
      </c>
      <c r="M4064" s="503" t="str">
        <f ca="1">IFERROR(IF(INDIRECT("'WPTM - Section F'!E"&amp;$B4064)=0,"",INDIRECT("'WPTM - Section F'!E"&amp;$B4064)),"")</f>
        <v>Actividad clave</v>
      </c>
      <c r="N4064" s="503" t="str">
        <f ca="1">IFERROR(IF(INDIRECT("'WPTM - Section F'!AV"&amp;$B4064)=0,"",INDIRECT("'WPTM - Section F'!AV"&amp;$B4064)),"")</f>
        <v>Comentarios (EN)</v>
      </c>
      <c r="O4064" s="503" t="str">
        <f ca="1">IFERROR(IF(INDIRECT("'WPTM - Section F'!AN"&amp;$B4064)=0,"",INDIRECT("'WPTM - Section F'!AN"&amp;$B4064)),"")</f>
        <v>Comentarios</v>
      </c>
      <c r="P4064" s="503" t="str">
        <f ca="1">IFERROR(IF(INDIRECT("'WPTM - Section F'!BE"&amp;$B4064)=0,"",INDIRECT("'WPTM - Section F'!BE"&amp;$B4064)),"")</f>
        <v>english interventions</v>
      </c>
      <c r="Q4064" s="503" t="s">
        <v>969</v>
      </c>
      <c r="R4064" s="512" t="s">
        <v>970</v>
      </c>
    </row>
    <row r="4065" spans="1:18" x14ac:dyDescent="0.35">
      <c r="A4065" s="497" t="b">
        <v>0</v>
      </c>
      <c r="B4065" s="497">
        <f t="shared" ref="B4065:B4128" si="232">IF(_xlfn.ISFORMULA(J4065),B4064+1,B4064)</f>
        <v>8</v>
      </c>
      <c r="C4065" s="515" t="s">
        <v>9914</v>
      </c>
      <c r="D4065" s="497" t="s">
        <v>1214</v>
      </c>
      <c r="E4065" s="503"/>
      <c r="F4065" s="503"/>
      <c r="G4065" s="520" t="s">
        <v>9915</v>
      </c>
      <c r="H4065" s="498">
        <f t="shared" ref="H4065:H4128" si="233">H4064+1</f>
        <v>-79</v>
      </c>
      <c r="I4065" s="497"/>
      <c r="J4065" s="497"/>
      <c r="K4065" s="503"/>
      <c r="L4065" s="497"/>
      <c r="M4065" s="503"/>
      <c r="N4065" s="503"/>
      <c r="O4065" s="503"/>
      <c r="P4065" s="503"/>
      <c r="Q4065" s="503"/>
      <c r="R4065" s="512">
        <v>1</v>
      </c>
    </row>
    <row r="4066" spans="1:18" x14ac:dyDescent="0.35">
      <c r="A4066" s="497" t="b">
        <v>0</v>
      </c>
      <c r="B4066" s="497">
        <f t="shared" si="232"/>
        <v>8</v>
      </c>
      <c r="C4066" s="515" t="s">
        <v>9916</v>
      </c>
      <c r="D4066" s="497" t="s">
        <v>1216</v>
      </c>
      <c r="E4066" s="503"/>
      <c r="F4066" s="503"/>
      <c r="G4066" s="520" t="s">
        <v>9917</v>
      </c>
      <c r="H4066" s="498">
        <f t="shared" si="233"/>
        <v>-78</v>
      </c>
      <c r="I4066" s="497"/>
      <c r="J4066" s="497"/>
      <c r="K4066" s="503"/>
      <c r="L4066" s="497"/>
      <c r="M4066" s="503"/>
      <c r="N4066" s="503"/>
      <c r="O4066" s="503"/>
      <c r="P4066" s="503"/>
      <c r="Q4066" s="503"/>
      <c r="R4066" s="512">
        <v>2</v>
      </c>
    </row>
    <row r="4067" spans="1:18" x14ac:dyDescent="0.35">
      <c r="A4067" s="497" t="b">
        <v>0</v>
      </c>
      <c r="B4067" s="497">
        <f t="shared" si="232"/>
        <v>8</v>
      </c>
      <c r="C4067" s="515" t="s">
        <v>9918</v>
      </c>
      <c r="D4067" s="497" t="s">
        <v>1214</v>
      </c>
      <c r="E4067" s="503"/>
      <c r="F4067" s="503"/>
      <c r="G4067" s="520" t="s">
        <v>9919</v>
      </c>
      <c r="H4067" s="498">
        <f t="shared" si="233"/>
        <v>-77</v>
      </c>
      <c r="I4067" s="497"/>
      <c r="J4067" s="497"/>
      <c r="K4067" s="503"/>
      <c r="L4067" s="497"/>
      <c r="M4067" s="503"/>
      <c r="N4067" s="503"/>
      <c r="O4067" s="503"/>
      <c r="P4067" s="503"/>
      <c r="Q4067" s="503"/>
      <c r="R4067" s="512">
        <v>3</v>
      </c>
    </row>
    <row r="4068" spans="1:18" x14ac:dyDescent="0.35">
      <c r="A4068" s="497" t="b">
        <v>0</v>
      </c>
      <c r="B4068" s="497">
        <f t="shared" si="232"/>
        <v>8</v>
      </c>
      <c r="C4068" s="515" t="s">
        <v>9920</v>
      </c>
      <c r="D4068" s="497" t="s">
        <v>1216</v>
      </c>
      <c r="E4068" s="503"/>
      <c r="F4068" s="503"/>
      <c r="G4068" s="520" t="s">
        <v>9921</v>
      </c>
      <c r="H4068" s="498">
        <f t="shared" si="233"/>
        <v>-76</v>
      </c>
      <c r="I4068" s="497"/>
      <c r="J4068" s="497"/>
      <c r="K4068" s="503"/>
      <c r="L4068" s="497"/>
      <c r="M4068" s="503"/>
      <c r="N4068" s="503"/>
      <c r="O4068" s="503"/>
      <c r="P4068" s="503"/>
      <c r="Q4068" s="503"/>
      <c r="R4068" s="512">
        <v>4</v>
      </c>
    </row>
    <row r="4069" spans="1:18" x14ac:dyDescent="0.35">
      <c r="A4069" s="497" t="b">
        <v>0</v>
      </c>
      <c r="B4069" s="497">
        <f t="shared" si="232"/>
        <v>8</v>
      </c>
      <c r="C4069" s="515" t="s">
        <v>9922</v>
      </c>
      <c r="D4069" s="497" t="s">
        <v>1214</v>
      </c>
      <c r="E4069" s="503"/>
      <c r="F4069" s="503"/>
      <c r="G4069" s="520" t="s">
        <v>9923</v>
      </c>
      <c r="H4069" s="498">
        <f t="shared" si="233"/>
        <v>-75</v>
      </c>
      <c r="I4069" s="497"/>
      <c r="J4069" s="497"/>
      <c r="K4069" s="503"/>
      <c r="L4069" s="497"/>
      <c r="M4069" s="503"/>
      <c r="N4069" s="503"/>
      <c r="O4069" s="503"/>
      <c r="P4069" s="503"/>
      <c r="Q4069" s="503"/>
      <c r="R4069" s="512">
        <v>5</v>
      </c>
    </row>
    <row r="4070" spans="1:18" x14ac:dyDescent="0.35">
      <c r="A4070" s="497" t="b">
        <v>0</v>
      </c>
      <c r="B4070" s="497">
        <f t="shared" si="232"/>
        <v>8</v>
      </c>
      <c r="C4070" s="515" t="s">
        <v>9924</v>
      </c>
      <c r="D4070" s="497" t="s">
        <v>1216</v>
      </c>
      <c r="E4070" s="503"/>
      <c r="F4070" s="503"/>
      <c r="G4070" s="520" t="s">
        <v>9925</v>
      </c>
      <c r="H4070" s="498">
        <f t="shared" si="233"/>
        <v>-74</v>
      </c>
      <c r="I4070" s="497"/>
      <c r="J4070" s="497"/>
      <c r="K4070" s="503"/>
      <c r="L4070" s="497"/>
      <c r="M4070" s="503"/>
      <c r="N4070" s="503"/>
      <c r="O4070" s="503"/>
      <c r="P4070" s="503"/>
      <c r="Q4070" s="503"/>
      <c r="R4070" s="512">
        <v>6</v>
      </c>
    </row>
    <row r="4071" spans="1:18" x14ac:dyDescent="0.35">
      <c r="A4071" s="497" t="b">
        <v>0</v>
      </c>
      <c r="B4071" s="497">
        <f t="shared" si="232"/>
        <v>8</v>
      </c>
      <c r="C4071" s="515" t="s">
        <v>9926</v>
      </c>
      <c r="D4071" s="497" t="s">
        <v>1214</v>
      </c>
      <c r="E4071" s="503"/>
      <c r="F4071" s="503"/>
      <c r="G4071" s="520" t="s">
        <v>9927</v>
      </c>
      <c r="H4071" s="498">
        <f t="shared" si="233"/>
        <v>-73</v>
      </c>
      <c r="I4071" s="497"/>
      <c r="J4071" s="497"/>
      <c r="K4071" s="503"/>
      <c r="L4071" s="497"/>
      <c r="M4071" s="503"/>
      <c r="N4071" s="503"/>
      <c r="O4071" s="503"/>
      <c r="P4071" s="503"/>
      <c r="Q4071" s="503"/>
      <c r="R4071" s="512">
        <v>7</v>
      </c>
    </row>
    <row r="4072" spans="1:18" x14ac:dyDescent="0.35">
      <c r="A4072" s="497" t="b">
        <v>0</v>
      </c>
      <c r="B4072" s="497">
        <f t="shared" si="232"/>
        <v>8</v>
      </c>
      <c r="C4072" s="515" t="s">
        <v>9928</v>
      </c>
      <c r="D4072" s="497" t="s">
        <v>1216</v>
      </c>
      <c r="E4072" s="503"/>
      <c r="F4072" s="503"/>
      <c r="G4072" s="520" t="s">
        <v>9929</v>
      </c>
      <c r="H4072" s="498">
        <f t="shared" si="233"/>
        <v>-72</v>
      </c>
      <c r="I4072" s="497"/>
      <c r="J4072" s="497"/>
      <c r="K4072" s="503"/>
      <c r="L4072" s="497"/>
      <c r="M4072" s="503"/>
      <c r="N4072" s="503"/>
      <c r="O4072" s="503"/>
      <c r="P4072" s="503"/>
      <c r="Q4072" s="503"/>
      <c r="R4072" s="512">
        <v>8</v>
      </c>
    </row>
    <row r="4073" spans="1:18" x14ac:dyDescent="0.35">
      <c r="A4073" s="497" t="b">
        <v>0</v>
      </c>
      <c r="B4073" s="497">
        <f t="shared" si="232"/>
        <v>8</v>
      </c>
      <c r="C4073" s="515" t="s">
        <v>9930</v>
      </c>
      <c r="D4073" s="497" t="s">
        <v>1214</v>
      </c>
      <c r="E4073" s="503"/>
      <c r="F4073" s="503"/>
      <c r="G4073" s="520" t="s">
        <v>9931</v>
      </c>
      <c r="H4073" s="498">
        <f t="shared" si="233"/>
        <v>-71</v>
      </c>
      <c r="I4073" s="497"/>
      <c r="J4073" s="497"/>
      <c r="K4073" s="503"/>
      <c r="L4073" s="497"/>
      <c r="M4073" s="503"/>
      <c r="N4073" s="503"/>
      <c r="O4073" s="503"/>
      <c r="P4073" s="503"/>
      <c r="Q4073" s="503"/>
      <c r="R4073" s="512">
        <v>9</v>
      </c>
    </row>
    <row r="4074" spans="1:18" x14ac:dyDescent="0.35">
      <c r="A4074" s="497" t="b">
        <v>0</v>
      </c>
      <c r="B4074" s="497">
        <f t="shared" si="232"/>
        <v>8</v>
      </c>
      <c r="C4074" s="515" t="s">
        <v>9932</v>
      </c>
      <c r="D4074" s="497" t="s">
        <v>1216</v>
      </c>
      <c r="E4074" s="503"/>
      <c r="F4074" s="503"/>
      <c r="G4074" s="520" t="s">
        <v>9933</v>
      </c>
      <c r="H4074" s="498">
        <f t="shared" si="233"/>
        <v>-70</v>
      </c>
      <c r="I4074" s="497"/>
      <c r="J4074" s="497"/>
      <c r="K4074" s="503"/>
      <c r="L4074" s="497"/>
      <c r="M4074" s="503"/>
      <c r="N4074" s="503"/>
      <c r="O4074" s="503"/>
      <c r="P4074" s="503"/>
      <c r="Q4074" s="503"/>
      <c r="R4074" s="512">
        <v>10</v>
      </c>
    </row>
    <row r="4075" spans="1:18" x14ac:dyDescent="0.35">
      <c r="A4075" s="497" t="b">
        <v>0</v>
      </c>
      <c r="B4075" s="497">
        <f t="shared" si="232"/>
        <v>8</v>
      </c>
      <c r="C4075" s="515" t="s">
        <v>9934</v>
      </c>
      <c r="D4075" s="497" t="s">
        <v>1214</v>
      </c>
      <c r="E4075" s="503"/>
      <c r="F4075" s="503"/>
      <c r="G4075" s="520" t="s">
        <v>9935</v>
      </c>
      <c r="H4075" s="498">
        <f t="shared" si="233"/>
        <v>-69</v>
      </c>
      <c r="I4075" s="497"/>
      <c r="J4075" s="497"/>
      <c r="K4075" s="503"/>
      <c r="L4075" s="497"/>
      <c r="M4075" s="503"/>
      <c r="N4075" s="503"/>
      <c r="O4075" s="503"/>
      <c r="P4075" s="503"/>
      <c r="Q4075" s="503"/>
      <c r="R4075" s="512">
        <v>11</v>
      </c>
    </row>
    <row r="4076" spans="1:18" x14ac:dyDescent="0.35">
      <c r="A4076" s="497" t="b">
        <v>0</v>
      </c>
      <c r="B4076" s="497">
        <f t="shared" si="232"/>
        <v>8</v>
      </c>
      <c r="C4076" s="515" t="s">
        <v>9936</v>
      </c>
      <c r="D4076" s="497" t="s">
        <v>1216</v>
      </c>
      <c r="E4076" s="503"/>
      <c r="F4076" s="503"/>
      <c r="G4076" s="520" t="s">
        <v>9937</v>
      </c>
      <c r="H4076" s="498">
        <f t="shared" si="233"/>
        <v>-68</v>
      </c>
      <c r="I4076" s="497"/>
      <c r="J4076" s="497"/>
      <c r="K4076" s="503"/>
      <c r="L4076" s="497"/>
      <c r="M4076" s="503"/>
      <c r="N4076" s="503"/>
      <c r="O4076" s="503"/>
      <c r="P4076" s="503"/>
      <c r="Q4076" s="503"/>
      <c r="R4076" s="512">
        <v>12</v>
      </c>
    </row>
    <row r="4077" spans="1:18" x14ac:dyDescent="0.35">
      <c r="A4077" s="497" t="b">
        <v>0</v>
      </c>
      <c r="B4077" s="497">
        <f t="shared" si="232"/>
        <v>8</v>
      </c>
      <c r="C4077" s="515" t="s">
        <v>9938</v>
      </c>
      <c r="D4077" s="497" t="s">
        <v>1214</v>
      </c>
      <c r="E4077" s="503"/>
      <c r="F4077" s="503"/>
      <c r="G4077" s="520" t="s">
        <v>9939</v>
      </c>
      <c r="H4077" s="498">
        <f t="shared" si="233"/>
        <v>-67</v>
      </c>
      <c r="I4077" s="497"/>
      <c r="J4077" s="497"/>
      <c r="K4077" s="503"/>
      <c r="L4077" s="497"/>
      <c r="M4077" s="503"/>
      <c r="N4077" s="503"/>
      <c r="O4077" s="503"/>
      <c r="P4077" s="503"/>
      <c r="Q4077" s="503"/>
      <c r="R4077" s="512">
        <v>13</v>
      </c>
    </row>
    <row r="4078" spans="1:18" x14ac:dyDescent="0.35">
      <c r="A4078" s="497" t="b">
        <v>0</v>
      </c>
      <c r="B4078" s="497">
        <f t="shared" si="232"/>
        <v>8</v>
      </c>
      <c r="C4078" s="515" t="s">
        <v>9940</v>
      </c>
      <c r="D4078" s="497" t="s">
        <v>1216</v>
      </c>
      <c r="E4078" s="503"/>
      <c r="F4078" s="503"/>
      <c r="G4078" s="520" t="s">
        <v>9941</v>
      </c>
      <c r="H4078" s="498">
        <f t="shared" si="233"/>
        <v>-66</v>
      </c>
      <c r="I4078" s="497"/>
      <c r="J4078" s="497"/>
      <c r="K4078" s="503"/>
      <c r="L4078" s="497"/>
      <c r="M4078" s="503"/>
      <c r="N4078" s="503"/>
      <c r="O4078" s="503"/>
      <c r="P4078" s="503"/>
      <c r="Q4078" s="503"/>
      <c r="R4078" s="512">
        <v>14</v>
      </c>
    </row>
    <row r="4079" spans="1:18" x14ac:dyDescent="0.35">
      <c r="A4079" s="497" t="b">
        <v>0</v>
      </c>
      <c r="B4079" s="497">
        <f t="shared" si="232"/>
        <v>8</v>
      </c>
      <c r="C4079" s="515" t="s">
        <v>9942</v>
      </c>
      <c r="D4079" s="497" t="s">
        <v>1214</v>
      </c>
      <c r="E4079" s="503"/>
      <c r="F4079" s="503"/>
      <c r="G4079" s="520" t="s">
        <v>9943</v>
      </c>
      <c r="H4079" s="498">
        <f t="shared" si="233"/>
        <v>-65</v>
      </c>
      <c r="I4079" s="497"/>
      <c r="J4079" s="497"/>
      <c r="K4079" s="503"/>
      <c r="L4079" s="497"/>
      <c r="M4079" s="503"/>
      <c r="N4079" s="503"/>
      <c r="O4079" s="503"/>
      <c r="P4079" s="503"/>
      <c r="Q4079" s="503"/>
      <c r="R4079" s="512">
        <v>15</v>
      </c>
    </row>
    <row r="4080" spans="1:18" x14ac:dyDescent="0.35">
      <c r="A4080" s="497" t="b">
        <v>0</v>
      </c>
      <c r="B4080" s="497">
        <f t="shared" si="232"/>
        <v>8</v>
      </c>
      <c r="C4080" s="515" t="s">
        <v>9944</v>
      </c>
      <c r="D4080" s="497" t="s">
        <v>1216</v>
      </c>
      <c r="E4080" s="503"/>
      <c r="F4080" s="503"/>
      <c r="G4080" s="520" t="s">
        <v>9945</v>
      </c>
      <c r="H4080" s="498">
        <f t="shared" si="233"/>
        <v>-64</v>
      </c>
      <c r="I4080" s="497"/>
      <c r="J4080" s="497"/>
      <c r="K4080" s="503"/>
      <c r="L4080" s="497"/>
      <c r="M4080" s="503"/>
      <c r="N4080" s="503"/>
      <c r="O4080" s="503"/>
      <c r="P4080" s="503"/>
      <c r="Q4080" s="503"/>
      <c r="R4080" s="512">
        <v>16</v>
      </c>
    </row>
    <row r="4081" spans="1:18" x14ac:dyDescent="0.35">
      <c r="A4081" s="497" t="b">
        <v>0</v>
      </c>
      <c r="B4081" s="497">
        <f t="shared" si="232"/>
        <v>8</v>
      </c>
      <c r="C4081" s="515" t="s">
        <v>9946</v>
      </c>
      <c r="D4081" s="497" t="s">
        <v>1214</v>
      </c>
      <c r="E4081" s="503"/>
      <c r="F4081" s="503"/>
      <c r="G4081" s="520" t="s">
        <v>9947</v>
      </c>
      <c r="H4081" s="498">
        <f t="shared" si="233"/>
        <v>-63</v>
      </c>
      <c r="I4081" s="497"/>
      <c r="J4081" s="497"/>
      <c r="K4081" s="503"/>
      <c r="L4081" s="497"/>
      <c r="M4081" s="503"/>
      <c r="N4081" s="503"/>
      <c r="O4081" s="503"/>
      <c r="P4081" s="503"/>
      <c r="Q4081" s="503"/>
      <c r="R4081" s="512">
        <v>17</v>
      </c>
    </row>
    <row r="4082" spans="1:18" x14ac:dyDescent="0.35">
      <c r="A4082" s="497" t="b">
        <v>0</v>
      </c>
      <c r="B4082" s="497">
        <f t="shared" si="232"/>
        <v>8</v>
      </c>
      <c r="C4082" s="515" t="s">
        <v>9948</v>
      </c>
      <c r="D4082" s="497" t="s">
        <v>1216</v>
      </c>
      <c r="E4082" s="503"/>
      <c r="F4082" s="503"/>
      <c r="G4082" s="520" t="s">
        <v>9949</v>
      </c>
      <c r="H4082" s="498">
        <f t="shared" si="233"/>
        <v>-62</v>
      </c>
      <c r="I4082" s="497"/>
      <c r="J4082" s="497"/>
      <c r="K4082" s="503"/>
      <c r="L4082" s="497"/>
      <c r="M4082" s="503"/>
      <c r="N4082" s="503"/>
      <c r="O4082" s="503"/>
      <c r="P4082" s="503"/>
      <c r="Q4082" s="503"/>
      <c r="R4082" s="512">
        <v>18</v>
      </c>
    </row>
    <row r="4083" spans="1:18" x14ac:dyDescent="0.35">
      <c r="A4083" s="497" t="b">
        <v>0</v>
      </c>
      <c r="B4083" s="497">
        <f t="shared" si="232"/>
        <v>8</v>
      </c>
      <c r="C4083" s="515" t="s">
        <v>9950</v>
      </c>
      <c r="D4083" s="497" t="s">
        <v>1214</v>
      </c>
      <c r="E4083" s="503"/>
      <c r="F4083" s="503"/>
      <c r="G4083" s="520" t="s">
        <v>9951</v>
      </c>
      <c r="H4083" s="498">
        <f t="shared" si="233"/>
        <v>-61</v>
      </c>
      <c r="I4083" s="497"/>
      <c r="J4083" s="497"/>
      <c r="K4083" s="503"/>
      <c r="L4083" s="497"/>
      <c r="M4083" s="503"/>
      <c r="N4083" s="503"/>
      <c r="O4083" s="503"/>
      <c r="P4083" s="503"/>
      <c r="Q4083" s="503"/>
      <c r="R4083" s="512">
        <v>19</v>
      </c>
    </row>
    <row r="4084" spans="1:18" x14ac:dyDescent="0.35">
      <c r="A4084" s="497" t="b">
        <v>0</v>
      </c>
      <c r="B4084" s="497">
        <f t="shared" si="232"/>
        <v>8</v>
      </c>
      <c r="C4084" s="515" t="s">
        <v>9952</v>
      </c>
      <c r="D4084" s="497" t="s">
        <v>1216</v>
      </c>
      <c r="E4084" s="503"/>
      <c r="F4084" s="503"/>
      <c r="G4084" s="520" t="s">
        <v>9953</v>
      </c>
      <c r="H4084" s="498">
        <f t="shared" si="233"/>
        <v>-60</v>
      </c>
      <c r="I4084" s="497"/>
      <c r="J4084" s="497"/>
      <c r="K4084" s="503"/>
      <c r="L4084" s="497"/>
      <c r="M4084" s="503"/>
      <c r="N4084" s="503"/>
      <c r="O4084" s="503"/>
      <c r="P4084" s="503"/>
      <c r="Q4084" s="503"/>
      <c r="R4084" s="512">
        <v>20</v>
      </c>
    </row>
    <row r="4085" spans="1:18" x14ac:dyDescent="0.35">
      <c r="A4085" s="497" t="b">
        <v>0</v>
      </c>
      <c r="B4085" s="497">
        <f t="shared" si="232"/>
        <v>8</v>
      </c>
      <c r="C4085" s="515" t="s">
        <v>9954</v>
      </c>
      <c r="D4085" s="497" t="s">
        <v>1214</v>
      </c>
      <c r="E4085" s="503"/>
      <c r="F4085" s="503"/>
      <c r="G4085" s="520" t="s">
        <v>9955</v>
      </c>
      <c r="H4085" s="498">
        <f t="shared" si="233"/>
        <v>-59</v>
      </c>
      <c r="I4085" s="497"/>
      <c r="J4085" s="497"/>
      <c r="K4085" s="503"/>
      <c r="L4085" s="497"/>
      <c r="M4085" s="503"/>
      <c r="N4085" s="503"/>
      <c r="O4085" s="503"/>
      <c r="P4085" s="503"/>
      <c r="Q4085" s="503"/>
      <c r="R4085" s="512">
        <v>21</v>
      </c>
    </row>
    <row r="4086" spans="1:18" x14ac:dyDescent="0.35">
      <c r="A4086" s="497" t="b">
        <v>0</v>
      </c>
      <c r="B4086" s="497">
        <f t="shared" si="232"/>
        <v>8</v>
      </c>
      <c r="C4086" s="515" t="s">
        <v>9956</v>
      </c>
      <c r="D4086" s="497" t="s">
        <v>1216</v>
      </c>
      <c r="E4086" s="503"/>
      <c r="F4086" s="503"/>
      <c r="G4086" s="520" t="s">
        <v>9957</v>
      </c>
      <c r="H4086" s="498">
        <f t="shared" si="233"/>
        <v>-58</v>
      </c>
      <c r="I4086" s="497"/>
      <c r="J4086" s="497"/>
      <c r="K4086" s="503"/>
      <c r="L4086" s="497"/>
      <c r="M4086" s="503"/>
      <c r="N4086" s="503"/>
      <c r="O4086" s="503"/>
      <c r="P4086" s="503"/>
      <c r="Q4086" s="503"/>
      <c r="R4086" s="512">
        <v>22</v>
      </c>
    </row>
    <row r="4087" spans="1:18" x14ac:dyDescent="0.35">
      <c r="A4087" s="497" t="b">
        <v>0</v>
      </c>
      <c r="B4087" s="497">
        <f t="shared" si="232"/>
        <v>8</v>
      </c>
      <c r="C4087" s="515" t="s">
        <v>9958</v>
      </c>
      <c r="D4087" s="497" t="s">
        <v>1214</v>
      </c>
      <c r="E4087" s="503"/>
      <c r="F4087" s="503"/>
      <c r="G4087" s="520" t="s">
        <v>9959</v>
      </c>
      <c r="H4087" s="498">
        <f t="shared" si="233"/>
        <v>-57</v>
      </c>
      <c r="I4087" s="497"/>
      <c r="J4087" s="497"/>
      <c r="K4087" s="503"/>
      <c r="L4087" s="497"/>
      <c r="M4087" s="503"/>
      <c r="N4087" s="503"/>
      <c r="O4087" s="503"/>
      <c r="P4087" s="503"/>
      <c r="Q4087" s="503"/>
      <c r="R4087" s="512">
        <v>23</v>
      </c>
    </row>
    <row r="4088" spans="1:18" x14ac:dyDescent="0.35">
      <c r="A4088" s="497" t="b">
        <v>0</v>
      </c>
      <c r="B4088" s="497">
        <f t="shared" si="232"/>
        <v>8</v>
      </c>
      <c r="C4088" s="515" t="s">
        <v>9960</v>
      </c>
      <c r="D4088" s="497" t="s">
        <v>1216</v>
      </c>
      <c r="E4088" s="503"/>
      <c r="F4088" s="503"/>
      <c r="G4088" s="520" t="s">
        <v>9961</v>
      </c>
      <c r="H4088" s="498">
        <f t="shared" si="233"/>
        <v>-56</v>
      </c>
      <c r="I4088" s="497"/>
      <c r="J4088" s="497"/>
      <c r="K4088" s="503"/>
      <c r="L4088" s="497"/>
      <c r="M4088" s="503"/>
      <c r="N4088" s="503"/>
      <c r="O4088" s="503"/>
      <c r="P4088" s="503"/>
      <c r="Q4088" s="503"/>
      <c r="R4088" s="512">
        <v>24</v>
      </c>
    </row>
    <row r="4089" spans="1:18" x14ac:dyDescent="0.35">
      <c r="A4089" s="497" t="b">
        <v>0</v>
      </c>
      <c r="B4089" s="497">
        <f t="shared" si="232"/>
        <v>8</v>
      </c>
      <c r="C4089" s="515" t="s">
        <v>9962</v>
      </c>
      <c r="D4089" s="497" t="s">
        <v>1214</v>
      </c>
      <c r="E4089" s="503"/>
      <c r="F4089" s="503"/>
      <c r="G4089" s="520" t="s">
        <v>9963</v>
      </c>
      <c r="H4089" s="498">
        <f t="shared" si="233"/>
        <v>-55</v>
      </c>
      <c r="I4089" s="497"/>
      <c r="J4089" s="497"/>
      <c r="K4089" s="503"/>
      <c r="L4089" s="497"/>
      <c r="M4089" s="503"/>
      <c r="N4089" s="503"/>
      <c r="O4089" s="503"/>
      <c r="P4089" s="503"/>
      <c r="Q4089" s="503"/>
      <c r="R4089" s="512">
        <v>25</v>
      </c>
    </row>
    <row r="4090" spans="1:18" x14ac:dyDescent="0.35">
      <c r="A4090" s="497" t="b">
        <v>0</v>
      </c>
      <c r="B4090" s="497">
        <f t="shared" si="232"/>
        <v>8</v>
      </c>
      <c r="C4090" s="515" t="s">
        <v>9964</v>
      </c>
      <c r="D4090" s="497" t="s">
        <v>1216</v>
      </c>
      <c r="E4090" s="503"/>
      <c r="F4090" s="503"/>
      <c r="G4090" s="520" t="s">
        <v>9965</v>
      </c>
      <c r="H4090" s="498">
        <f t="shared" si="233"/>
        <v>-54</v>
      </c>
      <c r="I4090" s="497"/>
      <c r="J4090" s="497"/>
      <c r="K4090" s="503"/>
      <c r="L4090" s="497"/>
      <c r="M4090" s="503"/>
      <c r="N4090" s="503"/>
      <c r="O4090" s="503"/>
      <c r="P4090" s="503"/>
      <c r="Q4090" s="503"/>
      <c r="R4090" s="512">
        <v>26</v>
      </c>
    </row>
    <row r="4091" spans="1:18" x14ac:dyDescent="0.35">
      <c r="A4091" s="497" t="b">
        <v>0</v>
      </c>
      <c r="B4091" s="497">
        <f t="shared" si="232"/>
        <v>8</v>
      </c>
      <c r="C4091" s="515" t="s">
        <v>9966</v>
      </c>
      <c r="D4091" s="497" t="s">
        <v>1214</v>
      </c>
      <c r="E4091" s="503"/>
      <c r="F4091" s="503"/>
      <c r="G4091" s="520" t="s">
        <v>9967</v>
      </c>
      <c r="H4091" s="498">
        <f t="shared" si="233"/>
        <v>-53</v>
      </c>
      <c r="I4091" s="497"/>
      <c r="J4091" s="497"/>
      <c r="K4091" s="503"/>
      <c r="L4091" s="497"/>
      <c r="M4091" s="503"/>
      <c r="N4091" s="503"/>
      <c r="O4091" s="503"/>
      <c r="P4091" s="503"/>
      <c r="Q4091" s="503"/>
      <c r="R4091" s="512">
        <v>27</v>
      </c>
    </row>
    <row r="4092" spans="1:18" x14ac:dyDescent="0.35">
      <c r="A4092" s="497" t="b">
        <v>0</v>
      </c>
      <c r="B4092" s="497">
        <f t="shared" si="232"/>
        <v>8</v>
      </c>
      <c r="C4092" s="515" t="s">
        <v>9968</v>
      </c>
      <c r="D4092" s="497" t="s">
        <v>1216</v>
      </c>
      <c r="E4092" s="503"/>
      <c r="F4092" s="503"/>
      <c r="G4092" s="520" t="s">
        <v>9969</v>
      </c>
      <c r="H4092" s="498">
        <f t="shared" si="233"/>
        <v>-52</v>
      </c>
      <c r="I4092" s="497"/>
      <c r="J4092" s="497"/>
      <c r="K4092" s="503"/>
      <c r="L4092" s="497"/>
      <c r="M4092" s="503"/>
      <c r="N4092" s="503"/>
      <c r="O4092" s="503"/>
      <c r="P4092" s="503"/>
      <c r="Q4092" s="503"/>
      <c r="R4092" s="512">
        <v>28</v>
      </c>
    </row>
    <row r="4093" spans="1:18" x14ac:dyDescent="0.35">
      <c r="A4093" s="497" t="b">
        <v>0</v>
      </c>
      <c r="B4093" s="497">
        <f t="shared" si="232"/>
        <v>8</v>
      </c>
      <c r="C4093" s="515" t="s">
        <v>9970</v>
      </c>
      <c r="D4093" s="497" t="s">
        <v>1214</v>
      </c>
      <c r="E4093" s="503"/>
      <c r="F4093" s="503"/>
      <c r="G4093" s="520" t="s">
        <v>9971</v>
      </c>
      <c r="H4093" s="498">
        <f t="shared" si="233"/>
        <v>-51</v>
      </c>
      <c r="I4093" s="497"/>
      <c r="J4093" s="497"/>
      <c r="K4093" s="503"/>
      <c r="L4093" s="497"/>
      <c r="M4093" s="503"/>
      <c r="N4093" s="503"/>
      <c r="O4093" s="503"/>
      <c r="P4093" s="503"/>
      <c r="Q4093" s="503"/>
      <c r="R4093" s="512">
        <v>29</v>
      </c>
    </row>
    <row r="4094" spans="1:18" x14ac:dyDescent="0.35">
      <c r="A4094" s="497" t="b">
        <v>0</v>
      </c>
      <c r="B4094" s="497">
        <f t="shared" si="232"/>
        <v>8</v>
      </c>
      <c r="C4094" s="515" t="s">
        <v>9972</v>
      </c>
      <c r="D4094" s="497" t="s">
        <v>1216</v>
      </c>
      <c r="E4094" s="503"/>
      <c r="F4094" s="503"/>
      <c r="G4094" s="520" t="s">
        <v>9973</v>
      </c>
      <c r="H4094" s="498">
        <f t="shared" si="233"/>
        <v>-50</v>
      </c>
      <c r="I4094" s="497"/>
      <c r="J4094" s="497"/>
      <c r="K4094" s="503"/>
      <c r="L4094" s="497"/>
      <c r="M4094" s="503"/>
      <c r="N4094" s="503"/>
      <c r="O4094" s="503"/>
      <c r="P4094" s="503"/>
      <c r="Q4094" s="503"/>
      <c r="R4094" s="512">
        <v>30</v>
      </c>
    </row>
    <row r="4095" spans="1:18" x14ac:dyDescent="0.35">
      <c r="A4095" s="497" t="b">
        <v>0</v>
      </c>
      <c r="B4095" s="497">
        <f t="shared" si="232"/>
        <v>8</v>
      </c>
      <c r="C4095" s="515" t="s">
        <v>9974</v>
      </c>
      <c r="D4095" s="497" t="s">
        <v>1214</v>
      </c>
      <c r="E4095" s="503"/>
      <c r="F4095" s="503"/>
      <c r="G4095" s="520" t="s">
        <v>9975</v>
      </c>
      <c r="H4095" s="498">
        <f t="shared" si="233"/>
        <v>-49</v>
      </c>
      <c r="I4095" s="497"/>
      <c r="J4095" s="497"/>
      <c r="K4095" s="503"/>
      <c r="L4095" s="497"/>
      <c r="M4095" s="503"/>
      <c r="N4095" s="503"/>
      <c r="O4095" s="503"/>
      <c r="P4095" s="503"/>
      <c r="Q4095" s="503"/>
      <c r="R4095" s="512">
        <v>31</v>
      </c>
    </row>
    <row r="4096" spans="1:18" x14ac:dyDescent="0.35">
      <c r="A4096" s="497" t="b">
        <v>0</v>
      </c>
      <c r="B4096" s="497">
        <f t="shared" si="232"/>
        <v>8</v>
      </c>
      <c r="C4096" s="515" t="s">
        <v>9976</v>
      </c>
      <c r="D4096" s="497" t="s">
        <v>1216</v>
      </c>
      <c r="E4096" s="503"/>
      <c r="F4096" s="503"/>
      <c r="G4096" s="520" t="s">
        <v>9977</v>
      </c>
      <c r="H4096" s="498">
        <f t="shared" si="233"/>
        <v>-48</v>
      </c>
      <c r="I4096" s="497"/>
      <c r="J4096" s="497"/>
      <c r="K4096" s="503"/>
      <c r="L4096" s="497"/>
      <c r="M4096" s="503"/>
      <c r="N4096" s="503"/>
      <c r="O4096" s="503"/>
      <c r="P4096" s="503"/>
      <c r="Q4096" s="503"/>
      <c r="R4096" s="512">
        <v>32</v>
      </c>
    </row>
    <row r="4097" spans="1:18" x14ac:dyDescent="0.35">
      <c r="A4097" s="497" t="b">
        <v>0</v>
      </c>
      <c r="B4097" s="497">
        <f t="shared" si="232"/>
        <v>8</v>
      </c>
      <c r="C4097" s="515" t="s">
        <v>9978</v>
      </c>
      <c r="D4097" s="497" t="s">
        <v>1214</v>
      </c>
      <c r="E4097" s="503"/>
      <c r="F4097" s="503"/>
      <c r="G4097" s="520" t="s">
        <v>9979</v>
      </c>
      <c r="H4097" s="498">
        <f t="shared" si="233"/>
        <v>-47</v>
      </c>
      <c r="I4097" s="497"/>
      <c r="J4097" s="497"/>
      <c r="K4097" s="503"/>
      <c r="L4097" s="497"/>
      <c r="M4097" s="503"/>
      <c r="N4097" s="503"/>
      <c r="O4097" s="503"/>
      <c r="P4097" s="503"/>
      <c r="Q4097" s="503"/>
      <c r="R4097" s="512">
        <v>33</v>
      </c>
    </row>
    <row r="4098" spans="1:18" x14ac:dyDescent="0.35">
      <c r="A4098" s="497" t="b">
        <v>0</v>
      </c>
      <c r="B4098" s="497">
        <f t="shared" si="232"/>
        <v>8</v>
      </c>
      <c r="C4098" s="515" t="s">
        <v>9980</v>
      </c>
      <c r="D4098" s="497" t="s">
        <v>1216</v>
      </c>
      <c r="E4098" s="503"/>
      <c r="F4098" s="503"/>
      <c r="G4098" s="520" t="s">
        <v>9981</v>
      </c>
      <c r="H4098" s="498">
        <f t="shared" si="233"/>
        <v>-46</v>
      </c>
      <c r="I4098" s="497"/>
      <c r="J4098" s="497"/>
      <c r="K4098" s="503"/>
      <c r="L4098" s="497"/>
      <c r="M4098" s="503"/>
      <c r="N4098" s="503"/>
      <c r="O4098" s="503"/>
      <c r="P4098" s="503"/>
      <c r="Q4098" s="503"/>
      <c r="R4098" s="512">
        <v>34</v>
      </c>
    </row>
    <row r="4099" spans="1:18" x14ac:dyDescent="0.35">
      <c r="A4099" s="497" t="b">
        <v>0</v>
      </c>
      <c r="B4099" s="497">
        <f t="shared" si="232"/>
        <v>8</v>
      </c>
      <c r="C4099" s="515" t="s">
        <v>9982</v>
      </c>
      <c r="D4099" s="497" t="s">
        <v>1214</v>
      </c>
      <c r="E4099" s="503"/>
      <c r="F4099" s="503"/>
      <c r="G4099" s="520" t="s">
        <v>9983</v>
      </c>
      <c r="H4099" s="498">
        <f t="shared" si="233"/>
        <v>-45</v>
      </c>
      <c r="I4099" s="497"/>
      <c r="J4099" s="497"/>
      <c r="K4099" s="503"/>
      <c r="L4099" s="497"/>
      <c r="M4099" s="503"/>
      <c r="N4099" s="503"/>
      <c r="O4099" s="503"/>
      <c r="P4099" s="503"/>
      <c r="Q4099" s="503"/>
      <c r="R4099" s="512">
        <v>35</v>
      </c>
    </row>
    <row r="4100" spans="1:18" x14ac:dyDescent="0.35">
      <c r="A4100" s="497" t="b">
        <v>0</v>
      </c>
      <c r="B4100" s="497">
        <f t="shared" si="232"/>
        <v>8</v>
      </c>
      <c r="C4100" s="515" t="s">
        <v>9984</v>
      </c>
      <c r="D4100" s="497" t="s">
        <v>1216</v>
      </c>
      <c r="E4100" s="503"/>
      <c r="F4100" s="503"/>
      <c r="G4100" s="520" t="s">
        <v>9985</v>
      </c>
      <c r="H4100" s="498">
        <f t="shared" si="233"/>
        <v>-44</v>
      </c>
      <c r="I4100" s="497"/>
      <c r="J4100" s="497"/>
      <c r="K4100" s="503"/>
      <c r="L4100" s="497"/>
      <c r="M4100" s="503"/>
      <c r="N4100" s="503"/>
      <c r="O4100" s="503"/>
      <c r="P4100" s="503"/>
      <c r="Q4100" s="503"/>
      <c r="R4100" s="512">
        <v>36</v>
      </c>
    </row>
    <row r="4101" spans="1:18" x14ac:dyDescent="0.35">
      <c r="A4101" s="497" t="b">
        <v>0</v>
      </c>
      <c r="B4101" s="497">
        <f t="shared" si="232"/>
        <v>8</v>
      </c>
      <c r="C4101" s="515" t="s">
        <v>9986</v>
      </c>
      <c r="D4101" s="497" t="s">
        <v>1214</v>
      </c>
      <c r="E4101" s="503"/>
      <c r="F4101" s="503"/>
      <c r="G4101" s="520" t="s">
        <v>9987</v>
      </c>
      <c r="H4101" s="498">
        <f t="shared" si="233"/>
        <v>-43</v>
      </c>
      <c r="I4101" s="497"/>
      <c r="J4101" s="497"/>
      <c r="K4101" s="503"/>
      <c r="L4101" s="497"/>
      <c r="M4101" s="503"/>
      <c r="N4101" s="503"/>
      <c r="O4101" s="503"/>
      <c r="P4101" s="503"/>
      <c r="Q4101" s="503"/>
      <c r="R4101" s="512">
        <v>37</v>
      </c>
    </row>
    <row r="4102" spans="1:18" x14ac:dyDescent="0.35">
      <c r="A4102" s="497" t="b">
        <v>0</v>
      </c>
      <c r="B4102" s="497">
        <f t="shared" si="232"/>
        <v>8</v>
      </c>
      <c r="C4102" s="515" t="s">
        <v>9988</v>
      </c>
      <c r="D4102" s="497" t="s">
        <v>1216</v>
      </c>
      <c r="E4102" s="503"/>
      <c r="F4102" s="503"/>
      <c r="G4102" s="520" t="s">
        <v>9989</v>
      </c>
      <c r="H4102" s="498">
        <f t="shared" si="233"/>
        <v>-42</v>
      </c>
      <c r="I4102" s="497"/>
      <c r="J4102" s="497"/>
      <c r="K4102" s="503"/>
      <c r="L4102" s="497"/>
      <c r="M4102" s="503"/>
      <c r="N4102" s="503"/>
      <c r="O4102" s="503"/>
      <c r="P4102" s="503"/>
      <c r="Q4102" s="503"/>
      <c r="R4102" s="512">
        <v>38</v>
      </c>
    </row>
    <row r="4103" spans="1:18" x14ac:dyDescent="0.35">
      <c r="A4103" s="497" t="b">
        <v>0</v>
      </c>
      <c r="B4103" s="497">
        <f t="shared" si="232"/>
        <v>8</v>
      </c>
      <c r="C4103" s="515" t="s">
        <v>9990</v>
      </c>
      <c r="D4103" s="497" t="s">
        <v>1214</v>
      </c>
      <c r="E4103" s="503"/>
      <c r="F4103" s="503"/>
      <c r="G4103" s="520" t="s">
        <v>9991</v>
      </c>
      <c r="H4103" s="498">
        <f t="shared" si="233"/>
        <v>-41</v>
      </c>
      <c r="I4103" s="497"/>
      <c r="J4103" s="497"/>
      <c r="K4103" s="503"/>
      <c r="L4103" s="497"/>
      <c r="M4103" s="503"/>
      <c r="N4103" s="503"/>
      <c r="O4103" s="503"/>
      <c r="P4103" s="503"/>
      <c r="Q4103" s="503"/>
      <c r="R4103" s="512">
        <v>39</v>
      </c>
    </row>
    <row r="4104" spans="1:18" x14ac:dyDescent="0.35">
      <c r="A4104" s="497" t="b">
        <v>0</v>
      </c>
      <c r="B4104" s="497">
        <f t="shared" si="232"/>
        <v>8</v>
      </c>
      <c r="C4104" s="515" t="s">
        <v>9992</v>
      </c>
      <c r="D4104" s="497" t="s">
        <v>1216</v>
      </c>
      <c r="E4104" s="503"/>
      <c r="F4104" s="503"/>
      <c r="G4104" s="520" t="s">
        <v>9993</v>
      </c>
      <c r="H4104" s="498">
        <f t="shared" si="233"/>
        <v>-40</v>
      </c>
      <c r="I4104" s="497"/>
      <c r="J4104" s="497"/>
      <c r="K4104" s="503"/>
      <c r="L4104" s="497"/>
      <c r="M4104" s="503"/>
      <c r="N4104" s="503"/>
      <c r="O4104" s="503"/>
      <c r="P4104" s="503"/>
      <c r="Q4104" s="503"/>
      <c r="R4104" s="512">
        <v>40</v>
      </c>
    </row>
    <row r="4105" spans="1:18" x14ac:dyDescent="0.35">
      <c r="A4105" s="497" t="b">
        <v>0</v>
      </c>
      <c r="B4105" s="497">
        <f t="shared" si="232"/>
        <v>8</v>
      </c>
      <c r="C4105" s="515" t="s">
        <v>9994</v>
      </c>
      <c r="D4105" s="497" t="s">
        <v>1214</v>
      </c>
      <c r="E4105" s="503"/>
      <c r="F4105" s="503"/>
      <c r="G4105" s="520" t="s">
        <v>9995</v>
      </c>
      <c r="H4105" s="498">
        <f t="shared" si="233"/>
        <v>-39</v>
      </c>
      <c r="I4105" s="497"/>
      <c r="J4105" s="497"/>
      <c r="K4105" s="503"/>
      <c r="L4105" s="497"/>
      <c r="M4105" s="503"/>
      <c r="N4105" s="503"/>
      <c r="O4105" s="503"/>
      <c r="P4105" s="503"/>
      <c r="Q4105" s="503"/>
      <c r="R4105" s="512">
        <v>41</v>
      </c>
    </row>
    <row r="4106" spans="1:18" x14ac:dyDescent="0.35">
      <c r="A4106" s="497" t="b">
        <v>0</v>
      </c>
      <c r="B4106" s="497">
        <f t="shared" si="232"/>
        <v>8</v>
      </c>
      <c r="C4106" s="515" t="s">
        <v>9996</v>
      </c>
      <c r="D4106" s="497" t="s">
        <v>1216</v>
      </c>
      <c r="E4106" s="503"/>
      <c r="F4106" s="503"/>
      <c r="G4106" s="520" t="s">
        <v>9997</v>
      </c>
      <c r="H4106" s="498">
        <f t="shared" si="233"/>
        <v>-38</v>
      </c>
      <c r="I4106" s="497"/>
      <c r="J4106" s="497"/>
      <c r="K4106" s="503"/>
      <c r="L4106" s="497"/>
      <c r="M4106" s="503"/>
      <c r="N4106" s="503"/>
      <c r="O4106" s="503"/>
      <c r="P4106" s="503"/>
      <c r="Q4106" s="503"/>
      <c r="R4106" s="512">
        <v>42</v>
      </c>
    </row>
    <row r="4107" spans="1:18" x14ac:dyDescent="0.35">
      <c r="A4107" s="497" t="b">
        <v>0</v>
      </c>
      <c r="B4107" s="497">
        <f t="shared" si="232"/>
        <v>8</v>
      </c>
      <c r="C4107" s="515" t="s">
        <v>9998</v>
      </c>
      <c r="D4107" s="497" t="s">
        <v>1214</v>
      </c>
      <c r="E4107" s="503"/>
      <c r="F4107" s="503"/>
      <c r="G4107" s="520" t="s">
        <v>9999</v>
      </c>
      <c r="H4107" s="498">
        <f t="shared" si="233"/>
        <v>-37</v>
      </c>
      <c r="I4107" s="497"/>
      <c r="J4107" s="497"/>
      <c r="K4107" s="503"/>
      <c r="L4107" s="497"/>
      <c r="M4107" s="503"/>
      <c r="N4107" s="503"/>
      <c r="O4107" s="503"/>
      <c r="P4107" s="503"/>
      <c r="Q4107" s="503"/>
      <c r="R4107" s="512">
        <v>43</v>
      </c>
    </row>
    <row r="4108" spans="1:18" x14ac:dyDescent="0.35">
      <c r="A4108" s="497" t="b">
        <v>0</v>
      </c>
      <c r="B4108" s="497">
        <f t="shared" si="232"/>
        <v>8</v>
      </c>
      <c r="C4108" s="515" t="s">
        <v>10000</v>
      </c>
      <c r="D4108" s="497" t="s">
        <v>1216</v>
      </c>
      <c r="E4108" s="503"/>
      <c r="F4108" s="503"/>
      <c r="G4108" s="520" t="s">
        <v>10001</v>
      </c>
      <c r="H4108" s="498">
        <f t="shared" si="233"/>
        <v>-36</v>
      </c>
      <c r="I4108" s="497"/>
      <c r="J4108" s="497"/>
      <c r="K4108" s="503"/>
      <c r="L4108" s="497"/>
      <c r="M4108" s="503"/>
      <c r="N4108" s="503"/>
      <c r="O4108" s="503"/>
      <c r="P4108" s="503"/>
      <c r="Q4108" s="503"/>
      <c r="R4108" s="512">
        <v>44</v>
      </c>
    </row>
    <row r="4109" spans="1:18" x14ac:dyDescent="0.35">
      <c r="A4109" s="497" t="b">
        <v>0</v>
      </c>
      <c r="B4109" s="497">
        <f t="shared" si="232"/>
        <v>8</v>
      </c>
      <c r="C4109" s="515" t="s">
        <v>10002</v>
      </c>
      <c r="D4109" s="497" t="s">
        <v>1214</v>
      </c>
      <c r="E4109" s="503"/>
      <c r="F4109" s="503"/>
      <c r="G4109" s="520" t="s">
        <v>10003</v>
      </c>
      <c r="H4109" s="498">
        <f t="shared" si="233"/>
        <v>-35</v>
      </c>
      <c r="I4109" s="497"/>
      <c r="J4109" s="497"/>
      <c r="K4109" s="503"/>
      <c r="L4109" s="497"/>
      <c r="M4109" s="503"/>
      <c r="N4109" s="503"/>
      <c r="O4109" s="503"/>
      <c r="P4109" s="503"/>
      <c r="Q4109" s="503"/>
      <c r="R4109" s="512">
        <v>45</v>
      </c>
    </row>
    <row r="4110" spans="1:18" x14ac:dyDescent="0.35">
      <c r="A4110" s="497" t="b">
        <v>0</v>
      </c>
      <c r="B4110" s="497">
        <f t="shared" si="232"/>
        <v>8</v>
      </c>
      <c r="C4110" s="515" t="s">
        <v>10004</v>
      </c>
      <c r="D4110" s="497" t="s">
        <v>1216</v>
      </c>
      <c r="E4110" s="503"/>
      <c r="F4110" s="503"/>
      <c r="G4110" s="520" t="s">
        <v>10005</v>
      </c>
      <c r="H4110" s="498">
        <f t="shared" si="233"/>
        <v>-34</v>
      </c>
      <c r="I4110" s="497"/>
      <c r="J4110" s="497"/>
      <c r="K4110" s="503"/>
      <c r="L4110" s="497"/>
      <c r="M4110" s="503"/>
      <c r="N4110" s="503"/>
      <c r="O4110" s="503"/>
      <c r="P4110" s="503"/>
      <c r="Q4110" s="503"/>
      <c r="R4110" s="512">
        <v>46</v>
      </c>
    </row>
    <row r="4111" spans="1:18" x14ac:dyDescent="0.35">
      <c r="A4111" s="497" t="b">
        <v>0</v>
      </c>
      <c r="B4111" s="497">
        <f t="shared" si="232"/>
        <v>8</v>
      </c>
      <c r="C4111" s="515" t="s">
        <v>10006</v>
      </c>
      <c r="D4111" s="497" t="s">
        <v>1214</v>
      </c>
      <c r="E4111" s="503"/>
      <c r="F4111" s="503"/>
      <c r="G4111" s="520" t="s">
        <v>10007</v>
      </c>
      <c r="H4111" s="498">
        <f t="shared" si="233"/>
        <v>-33</v>
      </c>
      <c r="I4111" s="497"/>
      <c r="J4111" s="497"/>
      <c r="K4111" s="503"/>
      <c r="L4111" s="497"/>
      <c r="M4111" s="503"/>
      <c r="N4111" s="503"/>
      <c r="O4111" s="503"/>
      <c r="P4111" s="503"/>
      <c r="Q4111" s="503"/>
      <c r="R4111" s="512">
        <v>47</v>
      </c>
    </row>
    <row r="4112" spans="1:18" x14ac:dyDescent="0.35">
      <c r="A4112" s="497" t="b">
        <v>0</v>
      </c>
      <c r="B4112" s="497">
        <f t="shared" si="232"/>
        <v>8</v>
      </c>
      <c r="C4112" s="515" t="s">
        <v>10008</v>
      </c>
      <c r="D4112" s="497" t="s">
        <v>1216</v>
      </c>
      <c r="E4112" s="503"/>
      <c r="F4112" s="503"/>
      <c r="G4112" s="520" t="s">
        <v>10009</v>
      </c>
      <c r="H4112" s="498">
        <f t="shared" si="233"/>
        <v>-32</v>
      </c>
      <c r="I4112" s="497"/>
      <c r="J4112" s="497"/>
      <c r="K4112" s="503"/>
      <c r="L4112" s="497"/>
      <c r="M4112" s="503"/>
      <c r="N4112" s="503"/>
      <c r="O4112" s="503"/>
      <c r="P4112" s="503"/>
      <c r="Q4112" s="503"/>
      <c r="R4112" s="512">
        <v>48</v>
      </c>
    </row>
    <row r="4113" spans="1:18" x14ac:dyDescent="0.35">
      <c r="A4113" s="497" t="b">
        <v>0</v>
      </c>
      <c r="B4113" s="497">
        <f t="shared" si="232"/>
        <v>8</v>
      </c>
      <c r="C4113" s="515" t="s">
        <v>10010</v>
      </c>
      <c r="D4113" s="497" t="s">
        <v>1214</v>
      </c>
      <c r="E4113" s="503"/>
      <c r="F4113" s="503"/>
      <c r="G4113" s="520" t="s">
        <v>10011</v>
      </c>
      <c r="H4113" s="498">
        <f t="shared" si="233"/>
        <v>-31</v>
      </c>
      <c r="I4113" s="497"/>
      <c r="J4113" s="497"/>
      <c r="K4113" s="503"/>
      <c r="L4113" s="497"/>
      <c r="M4113" s="503"/>
      <c r="N4113" s="503"/>
      <c r="O4113" s="503"/>
      <c r="P4113" s="503"/>
      <c r="Q4113" s="503"/>
      <c r="R4113" s="512">
        <v>49</v>
      </c>
    </row>
    <row r="4114" spans="1:18" x14ac:dyDescent="0.35">
      <c r="A4114" s="497" t="b">
        <v>0</v>
      </c>
      <c r="B4114" s="497">
        <f t="shared" si="232"/>
        <v>8</v>
      </c>
      <c r="C4114" s="515" t="s">
        <v>10012</v>
      </c>
      <c r="D4114" s="497" t="s">
        <v>1216</v>
      </c>
      <c r="E4114" s="503"/>
      <c r="F4114" s="503"/>
      <c r="G4114" s="520" t="s">
        <v>10013</v>
      </c>
      <c r="H4114" s="498">
        <f t="shared" si="233"/>
        <v>-30</v>
      </c>
      <c r="I4114" s="497"/>
      <c r="J4114" s="497"/>
      <c r="K4114" s="503"/>
      <c r="L4114" s="497"/>
      <c r="M4114" s="503"/>
      <c r="N4114" s="503"/>
      <c r="O4114" s="503"/>
      <c r="P4114" s="503"/>
      <c r="Q4114" s="503"/>
      <c r="R4114" s="512">
        <v>50</v>
      </c>
    </row>
    <row r="4115" spans="1:18" x14ac:dyDescent="0.35">
      <c r="A4115" s="497" t="b">
        <v>0</v>
      </c>
      <c r="B4115" s="497">
        <f t="shared" si="232"/>
        <v>8</v>
      </c>
      <c r="C4115" s="515" t="s">
        <v>10014</v>
      </c>
      <c r="D4115" s="497" t="s">
        <v>1214</v>
      </c>
      <c r="E4115" s="503"/>
      <c r="F4115" s="503"/>
      <c r="G4115" s="520" t="s">
        <v>10015</v>
      </c>
      <c r="H4115" s="498">
        <f t="shared" si="233"/>
        <v>-29</v>
      </c>
      <c r="I4115" s="497"/>
      <c r="J4115" s="497"/>
      <c r="K4115" s="503"/>
      <c r="L4115" s="497"/>
      <c r="M4115" s="503"/>
      <c r="N4115" s="503"/>
      <c r="O4115" s="503"/>
      <c r="P4115" s="503"/>
      <c r="Q4115" s="503"/>
      <c r="R4115" s="512">
        <v>51</v>
      </c>
    </row>
    <row r="4116" spans="1:18" x14ac:dyDescent="0.35">
      <c r="A4116" s="497" t="b">
        <v>0</v>
      </c>
      <c r="B4116" s="497">
        <f t="shared" si="232"/>
        <v>8</v>
      </c>
      <c r="C4116" s="515" t="s">
        <v>10016</v>
      </c>
      <c r="D4116" s="497" t="s">
        <v>1216</v>
      </c>
      <c r="E4116" s="503"/>
      <c r="F4116" s="503"/>
      <c r="G4116" s="520" t="s">
        <v>10017</v>
      </c>
      <c r="H4116" s="498">
        <f t="shared" si="233"/>
        <v>-28</v>
      </c>
      <c r="I4116" s="497"/>
      <c r="J4116" s="497"/>
      <c r="K4116" s="503"/>
      <c r="L4116" s="497"/>
      <c r="M4116" s="503"/>
      <c r="N4116" s="503"/>
      <c r="O4116" s="503"/>
      <c r="P4116" s="503"/>
      <c r="Q4116" s="503"/>
      <c r="R4116" s="512">
        <v>52</v>
      </c>
    </row>
    <row r="4117" spans="1:18" x14ac:dyDescent="0.35">
      <c r="A4117" s="497" t="b">
        <v>0</v>
      </c>
      <c r="B4117" s="497">
        <f t="shared" si="232"/>
        <v>8</v>
      </c>
      <c r="C4117" s="515" t="s">
        <v>10018</v>
      </c>
      <c r="D4117" s="497" t="s">
        <v>1214</v>
      </c>
      <c r="E4117" s="503"/>
      <c r="F4117" s="503"/>
      <c r="G4117" s="520" t="s">
        <v>10019</v>
      </c>
      <c r="H4117" s="498">
        <f t="shared" si="233"/>
        <v>-27</v>
      </c>
      <c r="I4117" s="497"/>
      <c r="J4117" s="497"/>
      <c r="K4117" s="503"/>
      <c r="L4117" s="497"/>
      <c r="M4117" s="503"/>
      <c r="N4117" s="503"/>
      <c r="O4117" s="503"/>
      <c r="P4117" s="503"/>
      <c r="Q4117" s="503"/>
      <c r="R4117" s="512">
        <v>53</v>
      </c>
    </row>
    <row r="4118" spans="1:18" x14ac:dyDescent="0.35">
      <c r="A4118" s="497" t="b">
        <v>0</v>
      </c>
      <c r="B4118" s="497">
        <f t="shared" si="232"/>
        <v>8</v>
      </c>
      <c r="C4118" s="515" t="s">
        <v>10020</v>
      </c>
      <c r="D4118" s="497" t="s">
        <v>1216</v>
      </c>
      <c r="E4118" s="503"/>
      <c r="F4118" s="503"/>
      <c r="G4118" s="520" t="s">
        <v>10021</v>
      </c>
      <c r="H4118" s="498">
        <f t="shared" si="233"/>
        <v>-26</v>
      </c>
      <c r="I4118" s="497"/>
      <c r="J4118" s="497"/>
      <c r="K4118" s="503"/>
      <c r="L4118" s="497"/>
      <c r="M4118" s="503"/>
      <c r="N4118" s="503"/>
      <c r="O4118" s="503"/>
      <c r="P4118" s="503"/>
      <c r="Q4118" s="503"/>
      <c r="R4118" s="512">
        <v>54</v>
      </c>
    </row>
    <row r="4119" spans="1:18" x14ac:dyDescent="0.35">
      <c r="A4119" s="497" t="b">
        <v>0</v>
      </c>
      <c r="B4119" s="497">
        <f t="shared" si="232"/>
        <v>8</v>
      </c>
      <c r="C4119" s="515" t="s">
        <v>10022</v>
      </c>
      <c r="D4119" s="497" t="s">
        <v>1214</v>
      </c>
      <c r="E4119" s="503"/>
      <c r="F4119" s="503"/>
      <c r="G4119" s="520" t="s">
        <v>10023</v>
      </c>
      <c r="H4119" s="498">
        <f t="shared" si="233"/>
        <v>-25</v>
      </c>
      <c r="I4119" s="497"/>
      <c r="J4119" s="497"/>
      <c r="K4119" s="503"/>
      <c r="L4119" s="497"/>
      <c r="M4119" s="503"/>
      <c r="N4119" s="503"/>
      <c r="O4119" s="503"/>
      <c r="P4119" s="503"/>
      <c r="Q4119" s="503"/>
      <c r="R4119" s="512">
        <v>55</v>
      </c>
    </row>
    <row r="4120" spans="1:18" x14ac:dyDescent="0.35">
      <c r="A4120" s="497" t="b">
        <v>0</v>
      </c>
      <c r="B4120" s="497">
        <f t="shared" si="232"/>
        <v>8</v>
      </c>
      <c r="C4120" s="515" t="s">
        <v>10024</v>
      </c>
      <c r="D4120" s="497" t="s">
        <v>1216</v>
      </c>
      <c r="E4120" s="503"/>
      <c r="F4120" s="503"/>
      <c r="G4120" s="520" t="s">
        <v>10025</v>
      </c>
      <c r="H4120" s="498">
        <f t="shared" si="233"/>
        <v>-24</v>
      </c>
      <c r="I4120" s="497"/>
      <c r="J4120" s="497"/>
      <c r="K4120" s="503"/>
      <c r="L4120" s="497"/>
      <c r="M4120" s="503"/>
      <c r="N4120" s="503"/>
      <c r="O4120" s="503"/>
      <c r="P4120" s="503"/>
      <c r="Q4120" s="503"/>
      <c r="R4120" s="512">
        <v>56</v>
      </c>
    </row>
    <row r="4121" spans="1:18" x14ac:dyDescent="0.35">
      <c r="A4121" s="497" t="b">
        <v>0</v>
      </c>
      <c r="B4121" s="497">
        <f t="shared" si="232"/>
        <v>8</v>
      </c>
      <c r="C4121" s="515" t="s">
        <v>10026</v>
      </c>
      <c r="D4121" s="497" t="s">
        <v>1214</v>
      </c>
      <c r="E4121" s="503"/>
      <c r="F4121" s="503"/>
      <c r="G4121" s="520" t="s">
        <v>10027</v>
      </c>
      <c r="H4121" s="498">
        <f t="shared" si="233"/>
        <v>-23</v>
      </c>
      <c r="I4121" s="497"/>
      <c r="J4121" s="497"/>
      <c r="K4121" s="503"/>
      <c r="L4121" s="497"/>
      <c r="M4121" s="503"/>
      <c r="N4121" s="503"/>
      <c r="O4121" s="503"/>
      <c r="P4121" s="503"/>
      <c r="Q4121" s="503"/>
      <c r="R4121" s="512">
        <v>57</v>
      </c>
    </row>
    <row r="4122" spans="1:18" x14ac:dyDescent="0.35">
      <c r="A4122" s="497" t="b">
        <v>0</v>
      </c>
      <c r="B4122" s="497">
        <f t="shared" si="232"/>
        <v>8</v>
      </c>
      <c r="C4122" s="515" t="s">
        <v>10028</v>
      </c>
      <c r="D4122" s="497" t="s">
        <v>1216</v>
      </c>
      <c r="E4122" s="503"/>
      <c r="F4122" s="503"/>
      <c r="G4122" s="520" t="s">
        <v>10029</v>
      </c>
      <c r="H4122" s="498">
        <f t="shared" si="233"/>
        <v>-22</v>
      </c>
      <c r="I4122" s="497"/>
      <c r="J4122" s="497"/>
      <c r="K4122" s="503"/>
      <c r="L4122" s="497"/>
      <c r="M4122" s="503"/>
      <c r="N4122" s="503"/>
      <c r="O4122" s="503"/>
      <c r="P4122" s="503"/>
      <c r="Q4122" s="503"/>
      <c r="R4122" s="512">
        <v>58</v>
      </c>
    </row>
    <row r="4123" spans="1:18" x14ac:dyDescent="0.35">
      <c r="A4123" s="497" t="b">
        <v>0</v>
      </c>
      <c r="B4123" s="497">
        <f t="shared" si="232"/>
        <v>8</v>
      </c>
      <c r="C4123" s="515" t="s">
        <v>10030</v>
      </c>
      <c r="D4123" s="497" t="s">
        <v>1214</v>
      </c>
      <c r="E4123" s="503"/>
      <c r="F4123" s="503"/>
      <c r="G4123" s="520" t="s">
        <v>10031</v>
      </c>
      <c r="H4123" s="498">
        <f t="shared" si="233"/>
        <v>-21</v>
      </c>
      <c r="I4123" s="497"/>
      <c r="J4123" s="497"/>
      <c r="K4123" s="503"/>
      <c r="L4123" s="497"/>
      <c r="M4123" s="503"/>
      <c r="N4123" s="503"/>
      <c r="O4123" s="503"/>
      <c r="P4123" s="503"/>
      <c r="Q4123" s="503"/>
      <c r="R4123" s="512">
        <v>59</v>
      </c>
    </row>
    <row r="4124" spans="1:18" x14ac:dyDescent="0.35">
      <c r="A4124" s="497" t="b">
        <v>0</v>
      </c>
      <c r="B4124" s="497">
        <f t="shared" si="232"/>
        <v>8</v>
      </c>
      <c r="C4124" s="515" t="s">
        <v>10032</v>
      </c>
      <c r="D4124" s="497" t="s">
        <v>1216</v>
      </c>
      <c r="E4124" s="503"/>
      <c r="F4124" s="503"/>
      <c r="G4124" s="520" t="s">
        <v>10033</v>
      </c>
      <c r="H4124" s="498">
        <f t="shared" si="233"/>
        <v>-20</v>
      </c>
      <c r="I4124" s="497"/>
      <c r="J4124" s="497"/>
      <c r="K4124" s="503"/>
      <c r="L4124" s="497"/>
      <c r="M4124" s="503"/>
      <c r="N4124" s="503"/>
      <c r="O4124" s="503"/>
      <c r="P4124" s="503"/>
      <c r="Q4124" s="503"/>
      <c r="R4124" s="512">
        <v>60</v>
      </c>
    </row>
    <row r="4125" spans="1:18" x14ac:dyDescent="0.35">
      <c r="A4125" s="497" t="b">
        <v>0</v>
      </c>
      <c r="B4125" s="497">
        <f t="shared" si="232"/>
        <v>8</v>
      </c>
      <c r="C4125" s="515" t="s">
        <v>10034</v>
      </c>
      <c r="D4125" s="497" t="s">
        <v>1214</v>
      </c>
      <c r="E4125" s="503"/>
      <c r="F4125" s="503"/>
      <c r="G4125" s="520" t="s">
        <v>10035</v>
      </c>
      <c r="H4125" s="498">
        <f t="shared" si="233"/>
        <v>-19</v>
      </c>
      <c r="I4125" s="497"/>
      <c r="J4125" s="497"/>
      <c r="K4125" s="503"/>
      <c r="L4125" s="497"/>
      <c r="M4125" s="503"/>
      <c r="N4125" s="503"/>
      <c r="O4125" s="503"/>
      <c r="P4125" s="503"/>
      <c r="Q4125" s="503"/>
      <c r="R4125" s="512">
        <v>61</v>
      </c>
    </row>
    <row r="4126" spans="1:18" x14ac:dyDescent="0.35">
      <c r="A4126" s="497" t="b">
        <v>0</v>
      </c>
      <c r="B4126" s="497">
        <f t="shared" si="232"/>
        <v>8</v>
      </c>
      <c r="C4126" s="515" t="s">
        <v>10036</v>
      </c>
      <c r="D4126" s="497" t="s">
        <v>1216</v>
      </c>
      <c r="E4126" s="503"/>
      <c r="F4126" s="503"/>
      <c r="G4126" s="520" t="s">
        <v>10037</v>
      </c>
      <c r="H4126" s="498">
        <f t="shared" si="233"/>
        <v>-18</v>
      </c>
      <c r="I4126" s="497"/>
      <c r="J4126" s="497"/>
      <c r="K4126" s="503"/>
      <c r="L4126" s="497"/>
      <c r="M4126" s="503"/>
      <c r="N4126" s="503"/>
      <c r="O4126" s="503"/>
      <c r="P4126" s="503"/>
      <c r="Q4126" s="503"/>
      <c r="R4126" s="512">
        <v>62</v>
      </c>
    </row>
    <row r="4127" spans="1:18" x14ac:dyDescent="0.35">
      <c r="A4127" s="497" t="b">
        <v>0</v>
      </c>
      <c r="B4127" s="497">
        <f t="shared" si="232"/>
        <v>8</v>
      </c>
      <c r="C4127" s="515" t="s">
        <v>10038</v>
      </c>
      <c r="D4127" s="497" t="s">
        <v>1214</v>
      </c>
      <c r="E4127" s="503"/>
      <c r="F4127" s="503"/>
      <c r="G4127" s="520" t="s">
        <v>10039</v>
      </c>
      <c r="H4127" s="498">
        <f t="shared" si="233"/>
        <v>-17</v>
      </c>
      <c r="I4127" s="497"/>
      <c r="J4127" s="497"/>
      <c r="K4127" s="503"/>
      <c r="L4127" s="497"/>
      <c r="M4127" s="503"/>
      <c r="N4127" s="503"/>
      <c r="O4127" s="503"/>
      <c r="P4127" s="503"/>
      <c r="Q4127" s="503"/>
      <c r="R4127" s="512">
        <v>63</v>
      </c>
    </row>
    <row r="4128" spans="1:18" x14ac:dyDescent="0.35">
      <c r="A4128" s="497" t="b">
        <v>0</v>
      </c>
      <c r="B4128" s="497">
        <f t="shared" si="232"/>
        <v>8</v>
      </c>
      <c r="C4128" s="515" t="s">
        <v>10040</v>
      </c>
      <c r="D4128" s="497" t="s">
        <v>1216</v>
      </c>
      <c r="E4128" s="503"/>
      <c r="F4128" s="503"/>
      <c r="G4128" s="520" t="s">
        <v>10041</v>
      </c>
      <c r="H4128" s="498">
        <f t="shared" si="233"/>
        <v>-16</v>
      </c>
      <c r="I4128" s="497"/>
      <c r="J4128" s="497"/>
      <c r="K4128" s="503"/>
      <c r="L4128" s="497"/>
      <c r="M4128" s="503"/>
      <c r="N4128" s="503"/>
      <c r="O4128" s="503"/>
      <c r="P4128" s="503"/>
      <c r="Q4128" s="503"/>
      <c r="R4128" s="512">
        <v>64</v>
      </c>
    </row>
    <row r="4129" spans="1:18" x14ac:dyDescent="0.35">
      <c r="A4129" s="497" t="b">
        <v>0</v>
      </c>
      <c r="B4129" s="497">
        <f t="shared" ref="B4129:B4192" si="234">IF(_xlfn.ISFORMULA(J4129),B4128+1,B4128)</f>
        <v>8</v>
      </c>
      <c r="C4129" s="515" t="s">
        <v>10042</v>
      </c>
      <c r="D4129" s="497" t="s">
        <v>1214</v>
      </c>
      <c r="E4129" s="503"/>
      <c r="F4129" s="503"/>
      <c r="G4129" s="520" t="s">
        <v>10043</v>
      </c>
      <c r="H4129" s="498">
        <f t="shared" ref="H4129:H4192" si="235">H4128+1</f>
        <v>-15</v>
      </c>
      <c r="I4129" s="497"/>
      <c r="J4129" s="497"/>
      <c r="K4129" s="503"/>
      <c r="L4129" s="497"/>
      <c r="M4129" s="503"/>
      <c r="N4129" s="503"/>
      <c r="O4129" s="503"/>
      <c r="P4129" s="503"/>
      <c r="Q4129" s="503"/>
      <c r="R4129" s="512">
        <v>65</v>
      </c>
    </row>
    <row r="4130" spans="1:18" x14ac:dyDescent="0.35">
      <c r="A4130" s="497" t="b">
        <v>0</v>
      </c>
      <c r="B4130" s="497">
        <f t="shared" si="234"/>
        <v>8</v>
      </c>
      <c r="C4130" s="515" t="s">
        <v>10044</v>
      </c>
      <c r="D4130" s="497" t="s">
        <v>1216</v>
      </c>
      <c r="E4130" s="503"/>
      <c r="F4130" s="503"/>
      <c r="G4130" s="520" t="s">
        <v>10045</v>
      </c>
      <c r="H4130" s="498">
        <f t="shared" si="235"/>
        <v>-14</v>
      </c>
      <c r="I4130" s="497"/>
      <c r="J4130" s="497"/>
      <c r="K4130" s="503"/>
      <c r="L4130" s="497"/>
      <c r="M4130" s="503"/>
      <c r="N4130" s="503"/>
      <c r="O4130" s="503"/>
      <c r="P4130" s="503"/>
      <c r="Q4130" s="503"/>
      <c r="R4130" s="512">
        <v>66</v>
      </c>
    </row>
    <row r="4131" spans="1:18" x14ac:dyDescent="0.35">
      <c r="A4131" s="497" t="b">
        <v>0</v>
      </c>
      <c r="B4131" s="497">
        <f t="shared" si="234"/>
        <v>8</v>
      </c>
      <c r="C4131" s="515" t="s">
        <v>10046</v>
      </c>
      <c r="D4131" s="497" t="s">
        <v>1214</v>
      </c>
      <c r="E4131" s="503"/>
      <c r="F4131" s="503"/>
      <c r="G4131" s="520" t="s">
        <v>10047</v>
      </c>
      <c r="H4131" s="498">
        <f t="shared" si="235"/>
        <v>-13</v>
      </c>
      <c r="I4131" s="497"/>
      <c r="J4131" s="497"/>
      <c r="K4131" s="503"/>
      <c r="L4131" s="497"/>
      <c r="M4131" s="503"/>
      <c r="N4131" s="503"/>
      <c r="O4131" s="503"/>
      <c r="P4131" s="503"/>
      <c r="Q4131" s="503"/>
      <c r="R4131" s="512">
        <v>67</v>
      </c>
    </row>
    <row r="4132" spans="1:18" x14ac:dyDescent="0.35">
      <c r="A4132" s="497" t="b">
        <v>0</v>
      </c>
      <c r="B4132" s="497">
        <f t="shared" si="234"/>
        <v>8</v>
      </c>
      <c r="C4132" s="515" t="s">
        <v>10048</v>
      </c>
      <c r="D4132" s="497" t="s">
        <v>1216</v>
      </c>
      <c r="E4132" s="503"/>
      <c r="F4132" s="503"/>
      <c r="G4132" s="520" t="s">
        <v>10049</v>
      </c>
      <c r="H4132" s="498">
        <f t="shared" si="235"/>
        <v>-12</v>
      </c>
      <c r="I4132" s="497"/>
      <c r="J4132" s="497"/>
      <c r="K4132" s="503"/>
      <c r="L4132" s="497"/>
      <c r="M4132" s="503"/>
      <c r="N4132" s="503"/>
      <c r="O4132" s="503"/>
      <c r="P4132" s="503"/>
      <c r="Q4132" s="503"/>
      <c r="R4132" s="512">
        <v>68</v>
      </c>
    </row>
    <row r="4133" spans="1:18" x14ac:dyDescent="0.35">
      <c r="A4133" s="497" t="b">
        <v>0</v>
      </c>
      <c r="B4133" s="497">
        <f t="shared" si="234"/>
        <v>8</v>
      </c>
      <c r="C4133" s="515" t="s">
        <v>10050</v>
      </c>
      <c r="D4133" s="497" t="s">
        <v>1214</v>
      </c>
      <c r="E4133" s="503"/>
      <c r="F4133" s="503"/>
      <c r="G4133" s="520" t="s">
        <v>10051</v>
      </c>
      <c r="H4133" s="498">
        <f t="shared" si="235"/>
        <v>-11</v>
      </c>
      <c r="I4133" s="497"/>
      <c r="J4133" s="497"/>
      <c r="K4133" s="503"/>
      <c r="L4133" s="497"/>
      <c r="M4133" s="503"/>
      <c r="N4133" s="503"/>
      <c r="O4133" s="503"/>
      <c r="P4133" s="503"/>
      <c r="Q4133" s="503"/>
      <c r="R4133" s="512">
        <v>69</v>
      </c>
    </row>
    <row r="4134" spans="1:18" x14ac:dyDescent="0.35">
      <c r="A4134" s="497" t="b">
        <v>0</v>
      </c>
      <c r="B4134" s="497">
        <f t="shared" si="234"/>
        <v>8</v>
      </c>
      <c r="C4134" s="515" t="s">
        <v>10052</v>
      </c>
      <c r="D4134" s="497" t="s">
        <v>1216</v>
      </c>
      <c r="E4134" s="503"/>
      <c r="F4134" s="503"/>
      <c r="G4134" s="520" t="s">
        <v>10053</v>
      </c>
      <c r="H4134" s="498">
        <f t="shared" si="235"/>
        <v>-10</v>
      </c>
      <c r="I4134" s="497"/>
      <c r="J4134" s="497"/>
      <c r="K4134" s="503"/>
      <c r="L4134" s="497"/>
      <c r="M4134" s="503"/>
      <c r="N4134" s="503"/>
      <c r="O4134" s="503"/>
      <c r="P4134" s="503"/>
      <c r="Q4134" s="503"/>
      <c r="R4134" s="512">
        <v>70</v>
      </c>
    </row>
    <row r="4135" spans="1:18" x14ac:dyDescent="0.35">
      <c r="A4135" s="497" t="b">
        <v>0</v>
      </c>
      <c r="B4135" s="497">
        <f t="shared" si="234"/>
        <v>8</v>
      </c>
      <c r="C4135" s="515" t="s">
        <v>10054</v>
      </c>
      <c r="D4135" s="497" t="s">
        <v>1214</v>
      </c>
      <c r="E4135" s="503"/>
      <c r="F4135" s="503"/>
      <c r="G4135" s="520" t="s">
        <v>10055</v>
      </c>
      <c r="H4135" s="498">
        <f t="shared" si="235"/>
        <v>-9</v>
      </c>
      <c r="I4135" s="497"/>
      <c r="J4135" s="497"/>
      <c r="K4135" s="503"/>
      <c r="L4135" s="497"/>
      <c r="M4135" s="503"/>
      <c r="N4135" s="503"/>
      <c r="O4135" s="503"/>
      <c r="P4135" s="503"/>
      <c r="Q4135" s="503"/>
      <c r="R4135" s="512">
        <v>71</v>
      </c>
    </row>
    <row r="4136" spans="1:18" x14ac:dyDescent="0.35">
      <c r="A4136" s="497" t="b">
        <v>0</v>
      </c>
      <c r="B4136" s="497">
        <f t="shared" si="234"/>
        <v>8</v>
      </c>
      <c r="C4136" s="515" t="s">
        <v>10056</v>
      </c>
      <c r="D4136" s="497" t="s">
        <v>1216</v>
      </c>
      <c r="E4136" s="503"/>
      <c r="F4136" s="503"/>
      <c r="G4136" s="520" t="s">
        <v>10057</v>
      </c>
      <c r="H4136" s="498">
        <f t="shared" si="235"/>
        <v>-8</v>
      </c>
      <c r="I4136" s="497"/>
      <c r="J4136" s="497"/>
      <c r="K4136" s="503"/>
      <c r="L4136" s="497"/>
      <c r="M4136" s="503"/>
      <c r="N4136" s="503"/>
      <c r="O4136" s="503"/>
      <c r="P4136" s="503"/>
      <c r="Q4136" s="503"/>
      <c r="R4136" s="512">
        <v>72</v>
      </c>
    </row>
    <row r="4137" spans="1:18" x14ac:dyDescent="0.35">
      <c r="A4137" s="497" t="b">
        <v>0</v>
      </c>
      <c r="B4137" s="497">
        <f t="shared" si="234"/>
        <v>8</v>
      </c>
      <c r="C4137" s="515" t="s">
        <v>10058</v>
      </c>
      <c r="D4137" s="497" t="s">
        <v>1214</v>
      </c>
      <c r="E4137" s="503"/>
      <c r="F4137" s="503"/>
      <c r="G4137" s="520" t="s">
        <v>10059</v>
      </c>
      <c r="H4137" s="498">
        <f t="shared" si="235"/>
        <v>-7</v>
      </c>
      <c r="I4137" s="497"/>
      <c r="J4137" s="497"/>
      <c r="K4137" s="503"/>
      <c r="L4137" s="497"/>
      <c r="M4137" s="503"/>
      <c r="N4137" s="503"/>
      <c r="O4137" s="503"/>
      <c r="P4137" s="503"/>
      <c r="Q4137" s="503"/>
      <c r="R4137" s="512">
        <v>73</v>
      </c>
    </row>
    <row r="4138" spans="1:18" x14ac:dyDescent="0.35">
      <c r="A4138" s="497" t="b">
        <v>0</v>
      </c>
      <c r="B4138" s="497">
        <f t="shared" si="234"/>
        <v>8</v>
      </c>
      <c r="C4138" s="515" t="s">
        <v>10060</v>
      </c>
      <c r="D4138" s="497" t="s">
        <v>1216</v>
      </c>
      <c r="E4138" s="503"/>
      <c r="F4138" s="503"/>
      <c r="G4138" s="520" t="s">
        <v>10061</v>
      </c>
      <c r="H4138" s="498">
        <f t="shared" si="235"/>
        <v>-6</v>
      </c>
      <c r="I4138" s="497"/>
      <c r="J4138" s="497"/>
      <c r="K4138" s="503"/>
      <c r="L4138" s="497"/>
      <c r="M4138" s="503"/>
      <c r="N4138" s="503"/>
      <c r="O4138" s="503"/>
      <c r="P4138" s="503"/>
      <c r="Q4138" s="503"/>
      <c r="R4138" s="512">
        <v>74</v>
      </c>
    </row>
    <row r="4139" spans="1:18" x14ac:dyDescent="0.35">
      <c r="A4139" s="497" t="b">
        <v>0</v>
      </c>
      <c r="B4139" s="497">
        <f t="shared" si="234"/>
        <v>8</v>
      </c>
      <c r="C4139" s="515" t="s">
        <v>10062</v>
      </c>
      <c r="D4139" s="497" t="s">
        <v>1214</v>
      </c>
      <c r="E4139" s="503"/>
      <c r="F4139" s="503"/>
      <c r="G4139" s="520" t="s">
        <v>10063</v>
      </c>
      <c r="H4139" s="498">
        <f t="shared" si="235"/>
        <v>-5</v>
      </c>
      <c r="I4139" s="497"/>
      <c r="J4139" s="497"/>
      <c r="K4139" s="503"/>
      <c r="L4139" s="497"/>
      <c r="M4139" s="503"/>
      <c r="N4139" s="503"/>
      <c r="O4139" s="503"/>
      <c r="P4139" s="503"/>
      <c r="Q4139" s="503"/>
      <c r="R4139" s="512">
        <v>75</v>
      </c>
    </row>
    <row r="4140" spans="1:18" x14ac:dyDescent="0.35">
      <c r="A4140" s="497" t="b">
        <v>0</v>
      </c>
      <c r="B4140" s="497">
        <f t="shared" si="234"/>
        <v>8</v>
      </c>
      <c r="C4140" s="515" t="s">
        <v>10064</v>
      </c>
      <c r="D4140" s="497" t="s">
        <v>1216</v>
      </c>
      <c r="E4140" s="503"/>
      <c r="F4140" s="503"/>
      <c r="G4140" s="520" t="s">
        <v>10065</v>
      </c>
      <c r="H4140" s="498">
        <f t="shared" si="235"/>
        <v>-4</v>
      </c>
      <c r="I4140" s="497"/>
      <c r="J4140" s="497"/>
      <c r="K4140" s="503"/>
      <c r="L4140" s="497"/>
      <c r="M4140" s="503"/>
      <c r="N4140" s="503"/>
      <c r="O4140" s="503"/>
      <c r="P4140" s="503"/>
      <c r="Q4140" s="503"/>
      <c r="R4140" s="512">
        <v>76</v>
      </c>
    </row>
    <row r="4141" spans="1:18" x14ac:dyDescent="0.35">
      <c r="A4141" s="497" t="b">
        <v>0</v>
      </c>
      <c r="B4141" s="497">
        <f t="shared" si="234"/>
        <v>8</v>
      </c>
      <c r="C4141" s="515" t="s">
        <v>10066</v>
      </c>
      <c r="D4141" s="497" t="s">
        <v>1214</v>
      </c>
      <c r="E4141" s="503"/>
      <c r="F4141" s="503"/>
      <c r="G4141" s="520" t="s">
        <v>10067</v>
      </c>
      <c r="H4141" s="498">
        <f t="shared" si="235"/>
        <v>-3</v>
      </c>
      <c r="I4141" s="497"/>
      <c r="J4141" s="497"/>
      <c r="K4141" s="503"/>
      <c r="L4141" s="497"/>
      <c r="M4141" s="503"/>
      <c r="N4141" s="503"/>
      <c r="O4141" s="503"/>
      <c r="P4141" s="503"/>
      <c r="Q4141" s="503"/>
      <c r="R4141" s="512">
        <v>77</v>
      </c>
    </row>
    <row r="4142" spans="1:18" x14ac:dyDescent="0.35">
      <c r="A4142" s="497" t="b">
        <v>0</v>
      </c>
      <c r="B4142" s="497">
        <f t="shared" si="234"/>
        <v>8</v>
      </c>
      <c r="C4142" s="515" t="s">
        <v>10068</v>
      </c>
      <c r="D4142" s="497" t="s">
        <v>1216</v>
      </c>
      <c r="E4142" s="503"/>
      <c r="F4142" s="503"/>
      <c r="G4142" s="520" t="s">
        <v>10069</v>
      </c>
      <c r="H4142" s="498">
        <f t="shared" si="235"/>
        <v>-2</v>
      </c>
      <c r="I4142" s="497"/>
      <c r="J4142" s="497"/>
      <c r="K4142" s="503"/>
      <c r="L4142" s="497"/>
      <c r="M4142" s="503"/>
      <c r="N4142" s="503"/>
      <c r="O4142" s="503"/>
      <c r="P4142" s="503"/>
      <c r="Q4142" s="503"/>
      <c r="R4142" s="512">
        <v>78</v>
      </c>
    </row>
    <row r="4143" spans="1:18" x14ac:dyDescent="0.35">
      <c r="A4143" s="497" t="b">
        <v>0</v>
      </c>
      <c r="B4143" s="497">
        <f t="shared" si="234"/>
        <v>8</v>
      </c>
      <c r="C4143" s="515" t="s">
        <v>10070</v>
      </c>
      <c r="D4143" s="497" t="s">
        <v>1214</v>
      </c>
      <c r="E4143" s="503"/>
      <c r="F4143" s="503"/>
      <c r="G4143" s="520" t="s">
        <v>10071</v>
      </c>
      <c r="H4143" s="498">
        <f t="shared" si="235"/>
        <v>-1</v>
      </c>
      <c r="I4143" s="497"/>
      <c r="J4143" s="497"/>
      <c r="K4143" s="503"/>
      <c r="L4143" s="497"/>
      <c r="M4143" s="503"/>
      <c r="N4143" s="503"/>
      <c r="O4143" s="503"/>
      <c r="P4143" s="503"/>
      <c r="Q4143" s="503"/>
      <c r="R4143" s="512">
        <v>79</v>
      </c>
    </row>
    <row r="4144" spans="1:18" x14ac:dyDescent="0.35">
      <c r="A4144" s="497" t="b">
        <v>0</v>
      </c>
      <c r="B4144" s="497">
        <f t="shared" si="234"/>
        <v>8</v>
      </c>
      <c r="C4144" s="515" t="s">
        <v>10072</v>
      </c>
      <c r="D4144" s="497" t="s">
        <v>1216</v>
      </c>
      <c r="E4144" s="503"/>
      <c r="F4144" s="503"/>
      <c r="G4144" s="520" t="s">
        <v>10073</v>
      </c>
      <c r="H4144" s="498">
        <f t="shared" si="235"/>
        <v>0</v>
      </c>
      <c r="I4144" s="497"/>
      <c r="J4144" s="497"/>
      <c r="K4144" s="503"/>
      <c r="L4144" s="497"/>
      <c r="M4144" s="503"/>
      <c r="N4144" s="503"/>
      <c r="O4144" s="503"/>
      <c r="P4144" s="503"/>
      <c r="Q4144" s="503"/>
      <c r="R4144" s="512">
        <v>80</v>
      </c>
    </row>
    <row r="4145" spans="1:18" x14ac:dyDescent="0.35">
      <c r="A4145" s="497" t="b">
        <v>0</v>
      </c>
      <c r="B4145" s="497">
        <f t="shared" si="234"/>
        <v>8</v>
      </c>
      <c r="C4145" s="515" t="s">
        <v>10074</v>
      </c>
      <c r="D4145" s="497" t="s">
        <v>1214</v>
      </c>
      <c r="E4145" s="503"/>
      <c r="F4145" s="503"/>
      <c r="G4145" s="520" t="s">
        <v>10075</v>
      </c>
      <c r="H4145" s="498">
        <f t="shared" si="235"/>
        <v>1</v>
      </c>
      <c r="I4145" s="497"/>
      <c r="J4145" s="497"/>
      <c r="K4145" s="503"/>
      <c r="L4145" s="497"/>
      <c r="M4145" s="503"/>
      <c r="N4145" s="503"/>
      <c r="O4145" s="503"/>
      <c r="P4145" s="503"/>
      <c r="Q4145" s="503"/>
      <c r="R4145" s="512">
        <v>81</v>
      </c>
    </row>
    <row r="4146" spans="1:18" x14ac:dyDescent="0.35">
      <c r="A4146" s="497" t="b">
        <v>0</v>
      </c>
      <c r="B4146" s="497">
        <f t="shared" si="234"/>
        <v>8</v>
      </c>
      <c r="C4146" s="515" t="s">
        <v>10076</v>
      </c>
      <c r="D4146" s="497" t="s">
        <v>1216</v>
      </c>
      <c r="E4146" s="503"/>
      <c r="F4146" s="503"/>
      <c r="G4146" s="520" t="s">
        <v>10077</v>
      </c>
      <c r="H4146" s="498">
        <f t="shared" si="235"/>
        <v>2</v>
      </c>
      <c r="I4146" s="497"/>
      <c r="J4146" s="497"/>
      <c r="K4146" s="503"/>
      <c r="L4146" s="497"/>
      <c r="M4146" s="503"/>
      <c r="N4146" s="503"/>
      <c r="O4146" s="503"/>
      <c r="P4146" s="503"/>
      <c r="Q4146" s="503"/>
      <c r="R4146" s="512">
        <v>82</v>
      </c>
    </row>
    <row r="4147" spans="1:18" x14ac:dyDescent="0.35">
      <c r="A4147" s="497" t="b">
        <v>0</v>
      </c>
      <c r="B4147" s="497">
        <f t="shared" si="234"/>
        <v>8</v>
      </c>
      <c r="C4147" s="515" t="s">
        <v>10078</v>
      </c>
      <c r="D4147" s="497" t="s">
        <v>1214</v>
      </c>
      <c r="E4147" s="503"/>
      <c r="F4147" s="503"/>
      <c r="G4147" s="520" t="s">
        <v>10079</v>
      </c>
      <c r="H4147" s="498">
        <f t="shared" si="235"/>
        <v>3</v>
      </c>
      <c r="I4147" s="497"/>
      <c r="J4147" s="497"/>
      <c r="K4147" s="503"/>
      <c r="L4147" s="497"/>
      <c r="M4147" s="503"/>
      <c r="N4147" s="503"/>
      <c r="O4147" s="503"/>
      <c r="P4147" s="503"/>
      <c r="Q4147" s="503"/>
      <c r="R4147" s="512">
        <v>83</v>
      </c>
    </row>
    <row r="4148" spans="1:18" x14ac:dyDescent="0.35">
      <c r="A4148" s="497" t="b">
        <v>0</v>
      </c>
      <c r="B4148" s="497">
        <f t="shared" si="234"/>
        <v>8</v>
      </c>
      <c r="C4148" s="515" t="s">
        <v>10080</v>
      </c>
      <c r="D4148" s="497" t="s">
        <v>1216</v>
      </c>
      <c r="E4148" s="503"/>
      <c r="F4148" s="503"/>
      <c r="G4148" s="520" t="s">
        <v>10081</v>
      </c>
      <c r="H4148" s="498">
        <f t="shared" si="235"/>
        <v>4</v>
      </c>
      <c r="I4148" s="497"/>
      <c r="J4148" s="497"/>
      <c r="K4148" s="503"/>
      <c r="L4148" s="497"/>
      <c r="M4148" s="503"/>
      <c r="N4148" s="503"/>
      <c r="O4148" s="503"/>
      <c r="P4148" s="503"/>
      <c r="Q4148" s="503"/>
      <c r="R4148" s="512">
        <v>84</v>
      </c>
    </row>
    <row r="4149" spans="1:18" x14ac:dyDescent="0.35">
      <c r="A4149" s="497" t="b">
        <v>0</v>
      </c>
      <c r="B4149" s="497">
        <f t="shared" si="234"/>
        <v>8</v>
      </c>
      <c r="C4149" s="515" t="s">
        <v>10082</v>
      </c>
      <c r="D4149" s="497" t="s">
        <v>1214</v>
      </c>
      <c r="E4149" s="503"/>
      <c r="F4149" s="503"/>
      <c r="G4149" s="520" t="s">
        <v>10083</v>
      </c>
      <c r="H4149" s="498">
        <f t="shared" si="235"/>
        <v>5</v>
      </c>
      <c r="I4149" s="497"/>
      <c r="J4149" s="497"/>
      <c r="K4149" s="503"/>
      <c r="L4149" s="497"/>
      <c r="M4149" s="503"/>
      <c r="N4149" s="503"/>
      <c r="O4149" s="503"/>
      <c r="P4149" s="503"/>
      <c r="Q4149" s="503"/>
      <c r="R4149" s="512">
        <v>85</v>
      </c>
    </row>
    <row r="4150" spans="1:18" x14ac:dyDescent="0.35">
      <c r="A4150" s="497" t="b">
        <v>0</v>
      </c>
      <c r="B4150" s="497">
        <f t="shared" si="234"/>
        <v>8</v>
      </c>
      <c r="C4150" s="515" t="s">
        <v>10084</v>
      </c>
      <c r="D4150" s="497" t="s">
        <v>1216</v>
      </c>
      <c r="E4150" s="503"/>
      <c r="F4150" s="503"/>
      <c r="G4150" s="520" t="s">
        <v>10085</v>
      </c>
      <c r="H4150" s="498">
        <f t="shared" si="235"/>
        <v>6</v>
      </c>
      <c r="I4150" s="497"/>
      <c r="J4150" s="497"/>
      <c r="K4150" s="503"/>
      <c r="L4150" s="497"/>
      <c r="M4150" s="503"/>
      <c r="N4150" s="503"/>
      <c r="O4150" s="503"/>
      <c r="P4150" s="503"/>
      <c r="Q4150" s="503"/>
      <c r="R4150" s="512">
        <v>86</v>
      </c>
    </row>
    <row r="4151" spans="1:18" x14ac:dyDescent="0.35">
      <c r="A4151" s="497" t="b">
        <v>0</v>
      </c>
      <c r="B4151" s="497">
        <f t="shared" si="234"/>
        <v>8</v>
      </c>
      <c r="C4151" s="515" t="s">
        <v>10086</v>
      </c>
      <c r="D4151" s="497" t="s">
        <v>1214</v>
      </c>
      <c r="E4151" s="503"/>
      <c r="F4151" s="503"/>
      <c r="G4151" s="520" t="s">
        <v>10087</v>
      </c>
      <c r="H4151" s="498">
        <f t="shared" si="235"/>
        <v>7</v>
      </c>
      <c r="I4151" s="497"/>
      <c r="J4151" s="497"/>
      <c r="K4151" s="503"/>
      <c r="L4151" s="497"/>
      <c r="M4151" s="503"/>
      <c r="N4151" s="503"/>
      <c r="O4151" s="503"/>
      <c r="P4151" s="503"/>
      <c r="Q4151" s="503"/>
      <c r="R4151" s="512">
        <v>87</v>
      </c>
    </row>
    <row r="4152" spans="1:18" x14ac:dyDescent="0.35">
      <c r="A4152" s="497" t="b">
        <v>0</v>
      </c>
      <c r="B4152" s="497">
        <f t="shared" si="234"/>
        <v>8</v>
      </c>
      <c r="C4152" s="515" t="s">
        <v>10088</v>
      </c>
      <c r="D4152" s="497" t="s">
        <v>1216</v>
      </c>
      <c r="E4152" s="503"/>
      <c r="F4152" s="503"/>
      <c r="G4152" s="520" t="s">
        <v>10089</v>
      </c>
      <c r="H4152" s="498">
        <f t="shared" si="235"/>
        <v>8</v>
      </c>
      <c r="I4152" s="497"/>
      <c r="J4152" s="497"/>
      <c r="K4152" s="503"/>
      <c r="L4152" s="497"/>
      <c r="M4152" s="503"/>
      <c r="N4152" s="503"/>
      <c r="O4152" s="503"/>
      <c r="P4152" s="503"/>
      <c r="Q4152" s="503"/>
      <c r="R4152" s="512">
        <v>88</v>
      </c>
    </row>
    <row r="4153" spans="1:18" x14ac:dyDescent="0.35">
      <c r="A4153" s="497" t="b">
        <v>0</v>
      </c>
      <c r="B4153" s="497">
        <f t="shared" si="234"/>
        <v>8</v>
      </c>
      <c r="C4153" s="515" t="s">
        <v>10090</v>
      </c>
      <c r="D4153" s="497" t="s">
        <v>1214</v>
      </c>
      <c r="E4153" s="503"/>
      <c r="F4153" s="503"/>
      <c r="G4153" s="520" t="s">
        <v>10091</v>
      </c>
      <c r="H4153" s="498">
        <f t="shared" si="235"/>
        <v>9</v>
      </c>
      <c r="I4153" s="497"/>
      <c r="J4153" s="497"/>
      <c r="K4153" s="503"/>
      <c r="L4153" s="497"/>
      <c r="M4153" s="503"/>
      <c r="N4153" s="503"/>
      <c r="O4153" s="503"/>
      <c r="P4153" s="503"/>
      <c r="Q4153" s="503"/>
      <c r="R4153" s="512">
        <v>89</v>
      </c>
    </row>
    <row r="4154" spans="1:18" x14ac:dyDescent="0.35">
      <c r="A4154" s="497" t="b">
        <v>0</v>
      </c>
      <c r="B4154" s="497">
        <f t="shared" si="234"/>
        <v>8</v>
      </c>
      <c r="C4154" s="515" t="s">
        <v>10092</v>
      </c>
      <c r="D4154" s="497" t="s">
        <v>1216</v>
      </c>
      <c r="E4154" s="503"/>
      <c r="F4154" s="503"/>
      <c r="G4154" s="520" t="s">
        <v>10093</v>
      </c>
      <c r="H4154" s="498">
        <f t="shared" si="235"/>
        <v>10</v>
      </c>
      <c r="I4154" s="497"/>
      <c r="J4154" s="497"/>
      <c r="K4154" s="503"/>
      <c r="L4154" s="497"/>
      <c r="M4154" s="503"/>
      <c r="N4154" s="503"/>
      <c r="O4154" s="503"/>
      <c r="P4154" s="503"/>
      <c r="Q4154" s="503"/>
      <c r="R4154" s="512">
        <v>90</v>
      </c>
    </row>
    <row r="4155" spans="1:18" x14ac:dyDescent="0.35">
      <c r="A4155" s="497" t="b">
        <v>0</v>
      </c>
      <c r="B4155" s="497">
        <f t="shared" si="234"/>
        <v>8</v>
      </c>
      <c r="C4155" s="515" t="s">
        <v>10094</v>
      </c>
      <c r="D4155" s="497" t="s">
        <v>1214</v>
      </c>
      <c r="E4155" s="503"/>
      <c r="F4155" s="503"/>
      <c r="G4155" s="520" t="s">
        <v>10095</v>
      </c>
      <c r="H4155" s="498">
        <f t="shared" si="235"/>
        <v>11</v>
      </c>
      <c r="I4155" s="497"/>
      <c r="J4155" s="497"/>
      <c r="K4155" s="503"/>
      <c r="L4155" s="497"/>
      <c r="M4155" s="503"/>
      <c r="N4155" s="503"/>
      <c r="O4155" s="503"/>
      <c r="P4155" s="503"/>
      <c r="Q4155" s="503"/>
      <c r="R4155" s="512">
        <v>91</v>
      </c>
    </row>
    <row r="4156" spans="1:18" x14ac:dyDescent="0.35">
      <c r="A4156" s="497" t="b">
        <v>0</v>
      </c>
      <c r="B4156" s="497">
        <f t="shared" si="234"/>
        <v>8</v>
      </c>
      <c r="C4156" s="515" t="s">
        <v>10096</v>
      </c>
      <c r="D4156" s="497" t="s">
        <v>1216</v>
      </c>
      <c r="E4156" s="503"/>
      <c r="F4156" s="503"/>
      <c r="G4156" s="520" t="s">
        <v>10097</v>
      </c>
      <c r="H4156" s="498">
        <f t="shared" si="235"/>
        <v>12</v>
      </c>
      <c r="I4156" s="497"/>
      <c r="J4156" s="497"/>
      <c r="K4156" s="503"/>
      <c r="L4156" s="497"/>
      <c r="M4156" s="503"/>
      <c r="N4156" s="503"/>
      <c r="O4156" s="503"/>
      <c r="P4156" s="503"/>
      <c r="Q4156" s="503"/>
      <c r="R4156" s="512">
        <v>92</v>
      </c>
    </row>
    <row r="4157" spans="1:18" x14ac:dyDescent="0.35">
      <c r="A4157" s="497" t="b">
        <v>0</v>
      </c>
      <c r="B4157" s="497">
        <f t="shared" si="234"/>
        <v>8</v>
      </c>
      <c r="C4157" s="515" t="s">
        <v>10098</v>
      </c>
      <c r="D4157" s="497" t="s">
        <v>1214</v>
      </c>
      <c r="E4157" s="503"/>
      <c r="F4157" s="503"/>
      <c r="G4157" s="520" t="s">
        <v>10099</v>
      </c>
      <c r="H4157" s="498">
        <f t="shared" si="235"/>
        <v>13</v>
      </c>
      <c r="I4157" s="497"/>
      <c r="J4157" s="497"/>
      <c r="K4157" s="503"/>
      <c r="L4157" s="497"/>
      <c r="M4157" s="503"/>
      <c r="N4157" s="503"/>
      <c r="O4157" s="503"/>
      <c r="P4157" s="503"/>
      <c r="Q4157" s="503"/>
      <c r="R4157" s="512">
        <v>93</v>
      </c>
    </row>
    <row r="4158" spans="1:18" x14ac:dyDescent="0.35">
      <c r="A4158" s="497" t="b">
        <v>0</v>
      </c>
      <c r="B4158" s="497">
        <f t="shared" si="234"/>
        <v>8</v>
      </c>
      <c r="C4158" s="515" t="s">
        <v>10100</v>
      </c>
      <c r="D4158" s="497" t="s">
        <v>1216</v>
      </c>
      <c r="E4158" s="503"/>
      <c r="F4158" s="503"/>
      <c r="G4158" s="520" t="s">
        <v>10101</v>
      </c>
      <c r="H4158" s="498">
        <f t="shared" si="235"/>
        <v>14</v>
      </c>
      <c r="I4158" s="497"/>
      <c r="J4158" s="497"/>
      <c r="K4158" s="503"/>
      <c r="L4158" s="497"/>
      <c r="M4158" s="503"/>
      <c r="N4158" s="503"/>
      <c r="O4158" s="503"/>
      <c r="P4158" s="503"/>
      <c r="Q4158" s="503"/>
      <c r="R4158" s="512">
        <v>94</v>
      </c>
    </row>
    <row r="4159" spans="1:18" x14ac:dyDescent="0.35">
      <c r="A4159" s="497" t="b">
        <v>0</v>
      </c>
      <c r="B4159" s="497">
        <f t="shared" si="234"/>
        <v>8</v>
      </c>
      <c r="C4159" s="515" t="s">
        <v>10102</v>
      </c>
      <c r="D4159" s="497" t="s">
        <v>1214</v>
      </c>
      <c r="E4159" s="503"/>
      <c r="F4159" s="503"/>
      <c r="G4159" s="520" t="s">
        <v>10103</v>
      </c>
      <c r="H4159" s="498">
        <f t="shared" si="235"/>
        <v>15</v>
      </c>
      <c r="I4159" s="497"/>
      <c r="J4159" s="497"/>
      <c r="K4159" s="503"/>
      <c r="L4159" s="497"/>
      <c r="M4159" s="503"/>
      <c r="N4159" s="503"/>
      <c r="O4159" s="503"/>
      <c r="P4159" s="503"/>
      <c r="Q4159" s="503"/>
      <c r="R4159" s="512">
        <v>95</v>
      </c>
    </row>
    <row r="4160" spans="1:18" x14ac:dyDescent="0.35">
      <c r="A4160" s="497" t="b">
        <v>0</v>
      </c>
      <c r="B4160" s="497">
        <f t="shared" si="234"/>
        <v>8</v>
      </c>
      <c r="C4160" s="515" t="s">
        <v>10104</v>
      </c>
      <c r="D4160" s="497" t="s">
        <v>1216</v>
      </c>
      <c r="E4160" s="503"/>
      <c r="F4160" s="503"/>
      <c r="G4160" s="520" t="s">
        <v>10105</v>
      </c>
      <c r="H4160" s="498">
        <f t="shared" si="235"/>
        <v>16</v>
      </c>
      <c r="I4160" s="497"/>
      <c r="J4160" s="497"/>
      <c r="K4160" s="503"/>
      <c r="L4160" s="497"/>
      <c r="M4160" s="503"/>
      <c r="N4160" s="503"/>
      <c r="O4160" s="503"/>
      <c r="P4160" s="503"/>
      <c r="Q4160" s="503"/>
      <c r="R4160" s="512">
        <v>96</v>
      </c>
    </row>
    <row r="4161" spans="1:18" x14ac:dyDescent="0.35">
      <c r="A4161" s="497" t="b">
        <v>0</v>
      </c>
      <c r="B4161" s="497">
        <f t="shared" si="234"/>
        <v>8</v>
      </c>
      <c r="C4161" s="515" t="s">
        <v>10106</v>
      </c>
      <c r="D4161" s="497" t="s">
        <v>1214</v>
      </c>
      <c r="E4161" s="503"/>
      <c r="F4161" s="503"/>
      <c r="G4161" s="520" t="s">
        <v>10107</v>
      </c>
      <c r="H4161" s="498">
        <f t="shared" si="235"/>
        <v>17</v>
      </c>
      <c r="I4161" s="497"/>
      <c r="J4161" s="497"/>
      <c r="K4161" s="503"/>
      <c r="L4161" s="497"/>
      <c r="M4161" s="503"/>
      <c r="N4161" s="503"/>
      <c r="O4161" s="503"/>
      <c r="P4161" s="503"/>
      <c r="Q4161" s="503"/>
      <c r="R4161" s="512">
        <v>97</v>
      </c>
    </row>
    <row r="4162" spans="1:18" x14ac:dyDescent="0.35">
      <c r="A4162" s="497" t="b">
        <v>0</v>
      </c>
      <c r="B4162" s="497">
        <f t="shared" si="234"/>
        <v>8</v>
      </c>
      <c r="C4162" s="515" t="s">
        <v>10108</v>
      </c>
      <c r="D4162" s="497" t="s">
        <v>1216</v>
      </c>
      <c r="E4162" s="503"/>
      <c r="F4162" s="503"/>
      <c r="G4162" s="520" t="s">
        <v>10109</v>
      </c>
      <c r="H4162" s="498">
        <f t="shared" si="235"/>
        <v>18</v>
      </c>
      <c r="I4162" s="497"/>
      <c r="J4162" s="497"/>
      <c r="K4162" s="503"/>
      <c r="L4162" s="497"/>
      <c r="M4162" s="503"/>
      <c r="N4162" s="503"/>
      <c r="O4162" s="503"/>
      <c r="P4162" s="503"/>
      <c r="Q4162" s="503"/>
      <c r="R4162" s="512">
        <v>98</v>
      </c>
    </row>
    <row r="4163" spans="1:18" x14ac:dyDescent="0.35">
      <c r="A4163" s="497" t="b">
        <v>0</v>
      </c>
      <c r="B4163" s="497">
        <f t="shared" si="234"/>
        <v>8</v>
      </c>
      <c r="C4163" s="515" t="s">
        <v>10110</v>
      </c>
      <c r="D4163" s="497" t="s">
        <v>1214</v>
      </c>
      <c r="E4163" s="503"/>
      <c r="F4163" s="503"/>
      <c r="G4163" s="520" t="s">
        <v>10111</v>
      </c>
      <c r="H4163" s="498">
        <f t="shared" si="235"/>
        <v>19</v>
      </c>
      <c r="I4163" s="497"/>
      <c r="J4163" s="497"/>
      <c r="K4163" s="503"/>
      <c r="L4163" s="497"/>
      <c r="M4163" s="503"/>
      <c r="N4163" s="503"/>
      <c r="O4163" s="503"/>
      <c r="P4163" s="503"/>
      <c r="Q4163" s="503"/>
      <c r="R4163" s="512">
        <v>99</v>
      </c>
    </row>
    <row r="4164" spans="1:18" x14ac:dyDescent="0.35">
      <c r="A4164" s="497" t="b">
        <v>0</v>
      </c>
      <c r="B4164" s="497">
        <f t="shared" si="234"/>
        <v>8</v>
      </c>
      <c r="C4164" s="515" t="s">
        <v>10112</v>
      </c>
      <c r="D4164" s="497" t="s">
        <v>1216</v>
      </c>
      <c r="E4164" s="503"/>
      <c r="F4164" s="503"/>
      <c r="G4164" s="520" t="s">
        <v>10113</v>
      </c>
      <c r="H4164" s="498">
        <f t="shared" si="235"/>
        <v>20</v>
      </c>
      <c r="I4164" s="497"/>
      <c r="J4164" s="497"/>
      <c r="K4164" s="503"/>
      <c r="L4164" s="497"/>
      <c r="M4164" s="503"/>
      <c r="N4164" s="503"/>
      <c r="O4164" s="503"/>
      <c r="P4164" s="503"/>
      <c r="Q4164" s="503"/>
      <c r="R4164" s="512">
        <v>100</v>
      </c>
    </row>
    <row r="4165" spans="1:18" x14ac:dyDescent="0.35">
      <c r="A4165" s="497" t="b">
        <v>0</v>
      </c>
      <c r="B4165" s="497">
        <f t="shared" si="234"/>
        <v>8</v>
      </c>
      <c r="C4165" s="515" t="s">
        <v>10114</v>
      </c>
      <c r="D4165" s="497" t="s">
        <v>1214</v>
      </c>
      <c r="E4165" s="503"/>
      <c r="F4165" s="503"/>
      <c r="G4165" s="520" t="s">
        <v>10115</v>
      </c>
      <c r="H4165" s="498">
        <f t="shared" si="235"/>
        <v>21</v>
      </c>
      <c r="I4165" s="497"/>
      <c r="J4165" s="497"/>
      <c r="K4165" s="503"/>
      <c r="L4165" s="497"/>
      <c r="M4165" s="503"/>
      <c r="N4165" s="503"/>
      <c r="O4165" s="503"/>
      <c r="P4165" s="503"/>
      <c r="Q4165" s="503"/>
      <c r="R4165" s="512">
        <v>101</v>
      </c>
    </row>
    <row r="4166" spans="1:18" x14ac:dyDescent="0.35">
      <c r="A4166" s="497" t="b">
        <v>0</v>
      </c>
      <c r="B4166" s="497">
        <f t="shared" si="234"/>
        <v>8</v>
      </c>
      <c r="C4166" s="515" t="s">
        <v>10116</v>
      </c>
      <c r="D4166" s="497" t="s">
        <v>1216</v>
      </c>
      <c r="E4166" s="503"/>
      <c r="F4166" s="503"/>
      <c r="G4166" s="520" t="s">
        <v>10117</v>
      </c>
      <c r="H4166" s="498">
        <f t="shared" si="235"/>
        <v>22</v>
      </c>
      <c r="I4166" s="497"/>
      <c r="J4166" s="497"/>
      <c r="K4166" s="503"/>
      <c r="L4166" s="497"/>
      <c r="M4166" s="503"/>
      <c r="N4166" s="503"/>
      <c r="O4166" s="503"/>
      <c r="P4166" s="503"/>
      <c r="Q4166" s="503"/>
      <c r="R4166" s="512">
        <v>102</v>
      </c>
    </row>
    <row r="4167" spans="1:18" x14ac:dyDescent="0.35">
      <c r="A4167" s="497" t="b">
        <v>0</v>
      </c>
      <c r="B4167" s="497">
        <f t="shared" si="234"/>
        <v>8</v>
      </c>
      <c r="C4167" s="515" t="s">
        <v>10118</v>
      </c>
      <c r="D4167" s="497" t="s">
        <v>1214</v>
      </c>
      <c r="E4167" s="503"/>
      <c r="F4167" s="503"/>
      <c r="G4167" s="520" t="s">
        <v>10119</v>
      </c>
      <c r="H4167" s="498">
        <f t="shared" si="235"/>
        <v>23</v>
      </c>
      <c r="I4167" s="497"/>
      <c r="J4167" s="497"/>
      <c r="K4167" s="503"/>
      <c r="L4167" s="497"/>
      <c r="M4167" s="503"/>
      <c r="N4167" s="503"/>
      <c r="O4167" s="503"/>
      <c r="P4167" s="503"/>
      <c r="Q4167" s="503"/>
      <c r="R4167" s="512">
        <v>103</v>
      </c>
    </row>
    <row r="4168" spans="1:18" x14ac:dyDescent="0.35">
      <c r="A4168" s="497" t="b">
        <v>0</v>
      </c>
      <c r="B4168" s="497">
        <f t="shared" si="234"/>
        <v>8</v>
      </c>
      <c r="C4168" s="515" t="s">
        <v>10120</v>
      </c>
      <c r="D4168" s="497" t="s">
        <v>1216</v>
      </c>
      <c r="E4168" s="503"/>
      <c r="F4168" s="503"/>
      <c r="G4168" s="520" t="s">
        <v>10121</v>
      </c>
      <c r="H4168" s="498">
        <f t="shared" si="235"/>
        <v>24</v>
      </c>
      <c r="I4168" s="497"/>
      <c r="J4168" s="497"/>
      <c r="K4168" s="503"/>
      <c r="L4168" s="497"/>
      <c r="M4168" s="503"/>
      <c r="N4168" s="503"/>
      <c r="O4168" s="503"/>
      <c r="P4168" s="503"/>
      <c r="Q4168" s="503"/>
      <c r="R4168" s="512">
        <v>104</v>
      </c>
    </row>
    <row r="4169" spans="1:18" x14ac:dyDescent="0.35">
      <c r="A4169" s="497" t="b">
        <v>0</v>
      </c>
      <c r="B4169" s="497">
        <f t="shared" si="234"/>
        <v>8</v>
      </c>
      <c r="C4169" s="515" t="s">
        <v>10122</v>
      </c>
      <c r="D4169" s="497" t="s">
        <v>1214</v>
      </c>
      <c r="E4169" s="503"/>
      <c r="F4169" s="503"/>
      <c r="G4169" s="520" t="s">
        <v>10123</v>
      </c>
      <c r="H4169" s="498">
        <f t="shared" si="235"/>
        <v>25</v>
      </c>
      <c r="I4169" s="497"/>
      <c r="J4169" s="497"/>
      <c r="K4169" s="503"/>
      <c r="L4169" s="497"/>
      <c r="M4169" s="503"/>
      <c r="N4169" s="503"/>
      <c r="O4169" s="503"/>
      <c r="P4169" s="503"/>
      <c r="Q4169" s="503"/>
      <c r="R4169" s="512">
        <v>105</v>
      </c>
    </row>
    <row r="4170" spans="1:18" x14ac:dyDescent="0.35">
      <c r="A4170" s="497" t="b">
        <v>0</v>
      </c>
      <c r="B4170" s="497">
        <f t="shared" si="234"/>
        <v>8</v>
      </c>
      <c r="C4170" s="515" t="s">
        <v>10124</v>
      </c>
      <c r="D4170" s="497" t="s">
        <v>1216</v>
      </c>
      <c r="E4170" s="503"/>
      <c r="F4170" s="503"/>
      <c r="G4170" s="520" t="s">
        <v>10125</v>
      </c>
      <c r="H4170" s="498">
        <f t="shared" si="235"/>
        <v>26</v>
      </c>
      <c r="I4170" s="497"/>
      <c r="J4170" s="497"/>
      <c r="K4170" s="503"/>
      <c r="L4170" s="497"/>
      <c r="M4170" s="503"/>
      <c r="N4170" s="503"/>
      <c r="O4170" s="503"/>
      <c r="P4170" s="503"/>
      <c r="Q4170" s="503"/>
      <c r="R4170" s="512">
        <v>106</v>
      </c>
    </row>
    <row r="4171" spans="1:18" x14ac:dyDescent="0.35">
      <c r="A4171" s="497" t="b">
        <v>0</v>
      </c>
      <c r="B4171" s="497">
        <f t="shared" si="234"/>
        <v>8</v>
      </c>
      <c r="C4171" s="515" t="s">
        <v>10126</v>
      </c>
      <c r="D4171" s="497" t="s">
        <v>1214</v>
      </c>
      <c r="E4171" s="503"/>
      <c r="F4171" s="503"/>
      <c r="G4171" s="520" t="s">
        <v>10127</v>
      </c>
      <c r="H4171" s="498">
        <f t="shared" si="235"/>
        <v>27</v>
      </c>
      <c r="I4171" s="497"/>
      <c r="J4171" s="497"/>
      <c r="K4171" s="503"/>
      <c r="L4171" s="497"/>
      <c r="M4171" s="503"/>
      <c r="N4171" s="503"/>
      <c r="O4171" s="503"/>
      <c r="P4171" s="503"/>
      <c r="Q4171" s="503"/>
      <c r="R4171" s="512">
        <v>107</v>
      </c>
    </row>
    <row r="4172" spans="1:18" x14ac:dyDescent="0.35">
      <c r="A4172" s="497" t="b">
        <v>0</v>
      </c>
      <c r="B4172" s="497">
        <f t="shared" si="234"/>
        <v>8</v>
      </c>
      <c r="C4172" s="515" t="s">
        <v>10128</v>
      </c>
      <c r="D4172" s="497" t="s">
        <v>1216</v>
      </c>
      <c r="E4172" s="503"/>
      <c r="F4172" s="503"/>
      <c r="G4172" s="520" t="s">
        <v>10129</v>
      </c>
      <c r="H4172" s="498">
        <f t="shared" si="235"/>
        <v>28</v>
      </c>
      <c r="I4172" s="497"/>
      <c r="J4172" s="497"/>
      <c r="K4172" s="503"/>
      <c r="L4172" s="497"/>
      <c r="M4172" s="503"/>
      <c r="N4172" s="503"/>
      <c r="O4172" s="503"/>
      <c r="P4172" s="503"/>
      <c r="Q4172" s="503"/>
      <c r="R4172" s="512">
        <v>108</v>
      </c>
    </row>
    <row r="4173" spans="1:18" x14ac:dyDescent="0.35">
      <c r="A4173" s="497" t="b">
        <v>0</v>
      </c>
      <c r="B4173" s="497">
        <f t="shared" si="234"/>
        <v>8</v>
      </c>
      <c r="C4173" s="515" t="s">
        <v>10130</v>
      </c>
      <c r="D4173" s="497" t="s">
        <v>1214</v>
      </c>
      <c r="E4173" s="503"/>
      <c r="F4173" s="503"/>
      <c r="G4173" s="520" t="s">
        <v>10131</v>
      </c>
      <c r="H4173" s="498">
        <f t="shared" si="235"/>
        <v>29</v>
      </c>
      <c r="I4173" s="497"/>
      <c r="J4173" s="497"/>
      <c r="K4173" s="503"/>
      <c r="L4173" s="497"/>
      <c r="M4173" s="503"/>
      <c r="N4173" s="503"/>
      <c r="O4173" s="503"/>
      <c r="P4173" s="503"/>
      <c r="Q4173" s="503"/>
      <c r="R4173" s="512">
        <v>109</v>
      </c>
    </row>
    <row r="4174" spans="1:18" x14ac:dyDescent="0.35">
      <c r="A4174" s="497" t="b">
        <v>0</v>
      </c>
      <c r="B4174" s="497">
        <f t="shared" si="234"/>
        <v>8</v>
      </c>
      <c r="C4174" s="515" t="s">
        <v>10132</v>
      </c>
      <c r="D4174" s="497" t="s">
        <v>1216</v>
      </c>
      <c r="E4174" s="503"/>
      <c r="F4174" s="503"/>
      <c r="G4174" s="520" t="s">
        <v>10133</v>
      </c>
      <c r="H4174" s="498">
        <f t="shared" si="235"/>
        <v>30</v>
      </c>
      <c r="I4174" s="497"/>
      <c r="J4174" s="497"/>
      <c r="K4174" s="503"/>
      <c r="L4174" s="497"/>
      <c r="M4174" s="503"/>
      <c r="N4174" s="503"/>
      <c r="O4174" s="503"/>
      <c r="P4174" s="503"/>
      <c r="Q4174" s="503"/>
      <c r="R4174" s="512">
        <v>110</v>
      </c>
    </row>
    <row r="4175" spans="1:18" x14ac:dyDescent="0.35">
      <c r="A4175" s="497" t="b">
        <v>0</v>
      </c>
      <c r="B4175" s="497">
        <f t="shared" si="234"/>
        <v>8</v>
      </c>
      <c r="C4175" s="515" t="s">
        <v>10134</v>
      </c>
      <c r="D4175" s="497" t="s">
        <v>1214</v>
      </c>
      <c r="E4175" s="503"/>
      <c r="F4175" s="503"/>
      <c r="G4175" s="520" t="s">
        <v>10135</v>
      </c>
      <c r="H4175" s="498">
        <f t="shared" si="235"/>
        <v>31</v>
      </c>
      <c r="I4175" s="497"/>
      <c r="J4175" s="497"/>
      <c r="K4175" s="503"/>
      <c r="L4175" s="497"/>
      <c r="M4175" s="503"/>
      <c r="N4175" s="503"/>
      <c r="O4175" s="503"/>
      <c r="P4175" s="503"/>
      <c r="Q4175" s="503"/>
      <c r="R4175" s="512">
        <v>111</v>
      </c>
    </row>
    <row r="4176" spans="1:18" x14ac:dyDescent="0.35">
      <c r="A4176" s="497" t="b">
        <v>0</v>
      </c>
      <c r="B4176" s="497">
        <f t="shared" si="234"/>
        <v>8</v>
      </c>
      <c r="C4176" s="515" t="s">
        <v>10136</v>
      </c>
      <c r="D4176" s="497" t="s">
        <v>1216</v>
      </c>
      <c r="E4176" s="503"/>
      <c r="F4176" s="503"/>
      <c r="G4176" s="520" t="s">
        <v>10137</v>
      </c>
      <c r="H4176" s="498">
        <f t="shared" si="235"/>
        <v>32</v>
      </c>
      <c r="I4176" s="497"/>
      <c r="J4176" s="497"/>
      <c r="K4176" s="503"/>
      <c r="L4176" s="497"/>
      <c r="M4176" s="503"/>
      <c r="N4176" s="503"/>
      <c r="O4176" s="503"/>
      <c r="P4176" s="503"/>
      <c r="Q4176" s="503"/>
      <c r="R4176" s="512">
        <v>112</v>
      </c>
    </row>
    <row r="4177" spans="1:18" x14ac:dyDescent="0.35">
      <c r="A4177" s="497" t="b">
        <v>0</v>
      </c>
      <c r="B4177" s="497">
        <f t="shared" si="234"/>
        <v>8</v>
      </c>
      <c r="C4177" s="515" t="s">
        <v>10138</v>
      </c>
      <c r="D4177" s="497" t="s">
        <v>1214</v>
      </c>
      <c r="E4177" s="503"/>
      <c r="F4177" s="503"/>
      <c r="G4177" s="520" t="s">
        <v>10139</v>
      </c>
      <c r="H4177" s="498">
        <f t="shared" si="235"/>
        <v>33</v>
      </c>
      <c r="I4177" s="497"/>
      <c r="J4177" s="497"/>
      <c r="K4177" s="503"/>
      <c r="L4177" s="497"/>
      <c r="M4177" s="503"/>
      <c r="N4177" s="503"/>
      <c r="O4177" s="503"/>
      <c r="P4177" s="503"/>
      <c r="Q4177" s="503"/>
      <c r="R4177" s="512">
        <v>113</v>
      </c>
    </row>
    <row r="4178" spans="1:18" x14ac:dyDescent="0.35">
      <c r="A4178" s="497" t="b">
        <v>0</v>
      </c>
      <c r="B4178" s="497">
        <f t="shared" si="234"/>
        <v>8</v>
      </c>
      <c r="C4178" s="515" t="s">
        <v>10140</v>
      </c>
      <c r="D4178" s="497" t="s">
        <v>1216</v>
      </c>
      <c r="E4178" s="503"/>
      <c r="F4178" s="503"/>
      <c r="G4178" s="520" t="s">
        <v>10141</v>
      </c>
      <c r="H4178" s="498">
        <f t="shared" si="235"/>
        <v>34</v>
      </c>
      <c r="I4178" s="497"/>
      <c r="J4178" s="497"/>
      <c r="K4178" s="503"/>
      <c r="L4178" s="497"/>
      <c r="M4178" s="503"/>
      <c r="N4178" s="503"/>
      <c r="O4178" s="503"/>
      <c r="P4178" s="503"/>
      <c r="Q4178" s="503"/>
      <c r="R4178" s="512">
        <v>114</v>
      </c>
    </row>
    <row r="4179" spans="1:18" x14ac:dyDescent="0.35">
      <c r="A4179" s="497" t="b">
        <v>0</v>
      </c>
      <c r="B4179" s="497">
        <f t="shared" si="234"/>
        <v>8</v>
      </c>
      <c r="C4179" s="515" t="s">
        <v>10142</v>
      </c>
      <c r="D4179" s="497" t="s">
        <v>1214</v>
      </c>
      <c r="E4179" s="503"/>
      <c r="F4179" s="503"/>
      <c r="G4179" s="520" t="s">
        <v>10143</v>
      </c>
      <c r="H4179" s="498">
        <f t="shared" si="235"/>
        <v>35</v>
      </c>
      <c r="I4179" s="497"/>
      <c r="J4179" s="497"/>
      <c r="K4179" s="503"/>
      <c r="L4179" s="497"/>
      <c r="M4179" s="503"/>
      <c r="N4179" s="503"/>
      <c r="O4179" s="503"/>
      <c r="P4179" s="503"/>
      <c r="Q4179" s="503"/>
      <c r="R4179" s="512">
        <v>115</v>
      </c>
    </row>
    <row r="4180" spans="1:18" x14ac:dyDescent="0.35">
      <c r="A4180" s="497" t="b">
        <v>0</v>
      </c>
      <c r="B4180" s="497">
        <f t="shared" si="234"/>
        <v>8</v>
      </c>
      <c r="C4180" s="515" t="s">
        <v>10144</v>
      </c>
      <c r="D4180" s="497" t="s">
        <v>1216</v>
      </c>
      <c r="E4180" s="503"/>
      <c r="F4180" s="503"/>
      <c r="G4180" s="520" t="s">
        <v>10145</v>
      </c>
      <c r="H4180" s="498">
        <f t="shared" si="235"/>
        <v>36</v>
      </c>
      <c r="I4180" s="497"/>
      <c r="J4180" s="497"/>
      <c r="K4180" s="503"/>
      <c r="L4180" s="497"/>
      <c r="M4180" s="503"/>
      <c r="N4180" s="503"/>
      <c r="O4180" s="503"/>
      <c r="P4180" s="503"/>
      <c r="Q4180" s="503"/>
      <c r="R4180" s="512">
        <v>116</v>
      </c>
    </row>
    <row r="4181" spans="1:18" x14ac:dyDescent="0.35">
      <c r="A4181" s="497" t="b">
        <v>0</v>
      </c>
      <c r="B4181" s="497">
        <f t="shared" si="234"/>
        <v>8</v>
      </c>
      <c r="C4181" s="515" t="s">
        <v>10146</v>
      </c>
      <c r="D4181" s="497" t="s">
        <v>1214</v>
      </c>
      <c r="E4181" s="503"/>
      <c r="F4181" s="503"/>
      <c r="G4181" s="520" t="s">
        <v>10147</v>
      </c>
      <c r="H4181" s="498">
        <f t="shared" si="235"/>
        <v>37</v>
      </c>
      <c r="I4181" s="497"/>
      <c r="J4181" s="497"/>
      <c r="K4181" s="503"/>
      <c r="L4181" s="497"/>
      <c r="M4181" s="503"/>
      <c r="N4181" s="503"/>
      <c r="O4181" s="503"/>
      <c r="P4181" s="503"/>
      <c r="Q4181" s="503"/>
      <c r="R4181" s="512">
        <v>117</v>
      </c>
    </row>
    <row r="4182" spans="1:18" x14ac:dyDescent="0.35">
      <c r="A4182" s="497" t="b">
        <v>0</v>
      </c>
      <c r="B4182" s="497">
        <f t="shared" si="234"/>
        <v>8</v>
      </c>
      <c r="C4182" s="515" t="s">
        <v>10148</v>
      </c>
      <c r="D4182" s="497" t="s">
        <v>1216</v>
      </c>
      <c r="E4182" s="503"/>
      <c r="F4182" s="503"/>
      <c r="G4182" s="520" t="s">
        <v>10149</v>
      </c>
      <c r="H4182" s="498">
        <f t="shared" si="235"/>
        <v>38</v>
      </c>
      <c r="I4182" s="497"/>
      <c r="J4182" s="497"/>
      <c r="K4182" s="503"/>
      <c r="L4182" s="497"/>
      <c r="M4182" s="503"/>
      <c r="N4182" s="503"/>
      <c r="O4182" s="503"/>
      <c r="P4182" s="503"/>
      <c r="Q4182" s="503"/>
      <c r="R4182" s="512">
        <v>118</v>
      </c>
    </row>
    <row r="4183" spans="1:18" x14ac:dyDescent="0.35">
      <c r="A4183" s="497" t="b">
        <v>0</v>
      </c>
      <c r="B4183" s="497">
        <f t="shared" si="234"/>
        <v>8</v>
      </c>
      <c r="C4183" s="515" t="s">
        <v>10150</v>
      </c>
      <c r="D4183" s="497" t="s">
        <v>1214</v>
      </c>
      <c r="E4183" s="503"/>
      <c r="F4183" s="503"/>
      <c r="G4183" s="520" t="s">
        <v>10151</v>
      </c>
      <c r="H4183" s="498">
        <f t="shared" si="235"/>
        <v>39</v>
      </c>
      <c r="I4183" s="497"/>
      <c r="J4183" s="497"/>
      <c r="K4183" s="503"/>
      <c r="L4183" s="497"/>
      <c r="M4183" s="503"/>
      <c r="N4183" s="503"/>
      <c r="O4183" s="503"/>
      <c r="P4183" s="503"/>
      <c r="Q4183" s="503"/>
      <c r="R4183" s="512">
        <v>119</v>
      </c>
    </row>
    <row r="4184" spans="1:18" x14ac:dyDescent="0.35">
      <c r="A4184" s="497" t="b">
        <v>0</v>
      </c>
      <c r="B4184" s="497">
        <f t="shared" si="234"/>
        <v>8</v>
      </c>
      <c r="C4184" s="515" t="s">
        <v>10152</v>
      </c>
      <c r="D4184" s="497" t="s">
        <v>1216</v>
      </c>
      <c r="E4184" s="503"/>
      <c r="F4184" s="503"/>
      <c r="G4184" s="520" t="s">
        <v>10153</v>
      </c>
      <c r="H4184" s="498">
        <f t="shared" si="235"/>
        <v>40</v>
      </c>
      <c r="I4184" s="497"/>
      <c r="J4184" s="497"/>
      <c r="K4184" s="503"/>
      <c r="L4184" s="497"/>
      <c r="M4184" s="503"/>
      <c r="N4184" s="503"/>
      <c r="O4184" s="503"/>
      <c r="P4184" s="503"/>
      <c r="Q4184" s="503"/>
      <c r="R4184" s="512">
        <v>120</v>
      </c>
    </row>
    <row r="4185" spans="1:18" x14ac:dyDescent="0.35">
      <c r="A4185" s="497" t="b">
        <v>0</v>
      </c>
      <c r="B4185" s="497">
        <f t="shared" si="234"/>
        <v>8</v>
      </c>
      <c r="C4185" s="515" t="s">
        <v>10154</v>
      </c>
      <c r="D4185" s="497" t="s">
        <v>1214</v>
      </c>
      <c r="E4185" s="503"/>
      <c r="F4185" s="503"/>
      <c r="G4185" s="520" t="s">
        <v>10155</v>
      </c>
      <c r="H4185" s="498">
        <f t="shared" si="235"/>
        <v>41</v>
      </c>
      <c r="I4185" s="497"/>
      <c r="J4185" s="497"/>
      <c r="K4185" s="503"/>
      <c r="L4185" s="497"/>
      <c r="M4185" s="503"/>
      <c r="N4185" s="503"/>
      <c r="O4185" s="503"/>
      <c r="P4185" s="503"/>
      <c r="Q4185" s="503"/>
      <c r="R4185" s="512">
        <v>121</v>
      </c>
    </row>
    <row r="4186" spans="1:18" x14ac:dyDescent="0.35">
      <c r="A4186" s="497" t="b">
        <v>0</v>
      </c>
      <c r="B4186" s="497">
        <f t="shared" si="234"/>
        <v>8</v>
      </c>
      <c r="C4186" s="515" t="s">
        <v>10156</v>
      </c>
      <c r="D4186" s="497" t="s">
        <v>1216</v>
      </c>
      <c r="E4186" s="503"/>
      <c r="F4186" s="503"/>
      <c r="G4186" s="520" t="s">
        <v>10157</v>
      </c>
      <c r="H4186" s="498">
        <f t="shared" si="235"/>
        <v>42</v>
      </c>
      <c r="I4186" s="497"/>
      <c r="J4186" s="497"/>
      <c r="K4186" s="503"/>
      <c r="L4186" s="497"/>
      <c r="M4186" s="503"/>
      <c r="N4186" s="503"/>
      <c r="O4186" s="503"/>
      <c r="P4186" s="503"/>
      <c r="Q4186" s="503"/>
      <c r="R4186" s="512">
        <v>122</v>
      </c>
    </row>
    <row r="4187" spans="1:18" x14ac:dyDescent="0.35">
      <c r="A4187" s="497" t="b">
        <v>0</v>
      </c>
      <c r="B4187" s="497">
        <f t="shared" si="234"/>
        <v>8</v>
      </c>
      <c r="C4187" s="515" t="s">
        <v>10158</v>
      </c>
      <c r="D4187" s="497" t="s">
        <v>1214</v>
      </c>
      <c r="E4187" s="503"/>
      <c r="F4187" s="503"/>
      <c r="G4187" s="520" t="s">
        <v>10159</v>
      </c>
      <c r="H4187" s="498">
        <f t="shared" si="235"/>
        <v>43</v>
      </c>
      <c r="I4187" s="497"/>
      <c r="J4187" s="497"/>
      <c r="K4187" s="503"/>
      <c r="L4187" s="497"/>
      <c r="M4187" s="503"/>
      <c r="N4187" s="503"/>
      <c r="O4187" s="503"/>
      <c r="P4187" s="503"/>
      <c r="Q4187" s="503"/>
      <c r="R4187" s="512">
        <v>123</v>
      </c>
    </row>
    <row r="4188" spans="1:18" x14ac:dyDescent="0.35">
      <c r="A4188" s="497" t="b">
        <v>0</v>
      </c>
      <c r="B4188" s="497">
        <f t="shared" si="234"/>
        <v>8</v>
      </c>
      <c r="C4188" s="515" t="s">
        <v>10160</v>
      </c>
      <c r="D4188" s="497" t="s">
        <v>1216</v>
      </c>
      <c r="E4188" s="503"/>
      <c r="F4188" s="503"/>
      <c r="G4188" s="520" t="s">
        <v>10161</v>
      </c>
      <c r="H4188" s="498">
        <f t="shared" si="235"/>
        <v>44</v>
      </c>
      <c r="I4188" s="497"/>
      <c r="J4188" s="497"/>
      <c r="K4188" s="503"/>
      <c r="L4188" s="497"/>
      <c r="M4188" s="503"/>
      <c r="N4188" s="503"/>
      <c r="O4188" s="503"/>
      <c r="P4188" s="503"/>
      <c r="Q4188" s="503"/>
      <c r="R4188" s="512">
        <v>124</v>
      </c>
    </row>
    <row r="4189" spans="1:18" x14ac:dyDescent="0.35">
      <c r="A4189" s="497" t="b">
        <v>0</v>
      </c>
      <c r="B4189" s="497">
        <f t="shared" si="234"/>
        <v>8</v>
      </c>
      <c r="C4189" s="515" t="s">
        <v>10162</v>
      </c>
      <c r="D4189" s="497" t="s">
        <v>1214</v>
      </c>
      <c r="E4189" s="503"/>
      <c r="F4189" s="503"/>
      <c r="G4189" s="520" t="s">
        <v>10163</v>
      </c>
      <c r="H4189" s="498">
        <f t="shared" si="235"/>
        <v>45</v>
      </c>
      <c r="I4189" s="497"/>
      <c r="J4189" s="497"/>
      <c r="K4189" s="503"/>
      <c r="L4189" s="497"/>
      <c r="M4189" s="503"/>
      <c r="N4189" s="503"/>
      <c r="O4189" s="503"/>
      <c r="P4189" s="503"/>
      <c r="Q4189" s="503"/>
      <c r="R4189" s="512">
        <v>125</v>
      </c>
    </row>
    <row r="4190" spans="1:18" x14ac:dyDescent="0.35">
      <c r="A4190" s="497" t="b">
        <v>0</v>
      </c>
      <c r="B4190" s="497">
        <f t="shared" si="234"/>
        <v>8</v>
      </c>
      <c r="C4190" s="515" t="s">
        <v>10164</v>
      </c>
      <c r="D4190" s="497" t="s">
        <v>1216</v>
      </c>
      <c r="E4190" s="503"/>
      <c r="F4190" s="503"/>
      <c r="G4190" s="520" t="s">
        <v>10165</v>
      </c>
      <c r="H4190" s="498">
        <f t="shared" si="235"/>
        <v>46</v>
      </c>
      <c r="I4190" s="497"/>
      <c r="J4190" s="497"/>
      <c r="K4190" s="503"/>
      <c r="L4190" s="497"/>
      <c r="M4190" s="503"/>
      <c r="N4190" s="503"/>
      <c r="O4190" s="503"/>
      <c r="P4190" s="503"/>
      <c r="Q4190" s="503"/>
      <c r="R4190" s="512">
        <v>126</v>
      </c>
    </row>
    <row r="4191" spans="1:18" x14ac:dyDescent="0.35">
      <c r="A4191" s="497" t="b">
        <v>0</v>
      </c>
      <c r="B4191" s="497">
        <f t="shared" si="234"/>
        <v>8</v>
      </c>
      <c r="C4191" s="515" t="s">
        <v>10166</v>
      </c>
      <c r="D4191" s="497" t="s">
        <v>1214</v>
      </c>
      <c r="E4191" s="503"/>
      <c r="F4191" s="503"/>
      <c r="G4191" s="520" t="s">
        <v>10167</v>
      </c>
      <c r="H4191" s="498">
        <f t="shared" si="235"/>
        <v>47</v>
      </c>
      <c r="I4191" s="497"/>
      <c r="J4191" s="497"/>
      <c r="K4191" s="503"/>
      <c r="L4191" s="497"/>
      <c r="M4191" s="503"/>
      <c r="N4191" s="503"/>
      <c r="O4191" s="503"/>
      <c r="P4191" s="503"/>
      <c r="Q4191" s="503"/>
      <c r="R4191" s="512">
        <v>127</v>
      </c>
    </row>
    <row r="4192" spans="1:18" x14ac:dyDescent="0.35">
      <c r="A4192" s="497" t="b">
        <v>0</v>
      </c>
      <c r="B4192" s="497">
        <f t="shared" si="234"/>
        <v>8</v>
      </c>
      <c r="C4192" s="515" t="s">
        <v>10168</v>
      </c>
      <c r="D4192" s="497" t="s">
        <v>1216</v>
      </c>
      <c r="E4192" s="503"/>
      <c r="F4192" s="503"/>
      <c r="G4192" s="520" t="s">
        <v>10169</v>
      </c>
      <c r="H4192" s="498">
        <f t="shared" si="235"/>
        <v>48</v>
      </c>
      <c r="I4192" s="497"/>
      <c r="J4192" s="497"/>
      <c r="K4192" s="503"/>
      <c r="L4192" s="497"/>
      <c r="M4192" s="503"/>
      <c r="N4192" s="503"/>
      <c r="O4192" s="503"/>
      <c r="P4192" s="503"/>
      <c r="Q4192" s="503"/>
      <c r="R4192" s="512">
        <v>128</v>
      </c>
    </row>
    <row r="4193" spans="1:18" x14ac:dyDescent="0.35">
      <c r="A4193" s="497" t="b">
        <v>0</v>
      </c>
      <c r="B4193" s="497">
        <f t="shared" ref="B4193:B4256" si="236">IF(_xlfn.ISFORMULA(J4193),B4192+1,B4192)</f>
        <v>8</v>
      </c>
      <c r="C4193" s="515" t="s">
        <v>10170</v>
      </c>
      <c r="D4193" s="497" t="s">
        <v>1214</v>
      </c>
      <c r="E4193" s="503"/>
      <c r="F4193" s="503"/>
      <c r="G4193" s="520" t="s">
        <v>10171</v>
      </c>
      <c r="H4193" s="498">
        <f t="shared" ref="H4193:H4256" si="237">H4192+1</f>
        <v>49</v>
      </c>
      <c r="I4193" s="497"/>
      <c r="J4193" s="497"/>
      <c r="K4193" s="503"/>
      <c r="L4193" s="497"/>
      <c r="M4193" s="503"/>
      <c r="N4193" s="503"/>
      <c r="O4193" s="503"/>
      <c r="P4193" s="503"/>
      <c r="Q4193" s="503"/>
      <c r="R4193" s="512">
        <v>129</v>
      </c>
    </row>
    <row r="4194" spans="1:18" x14ac:dyDescent="0.35">
      <c r="A4194" s="497" t="b">
        <v>0</v>
      </c>
      <c r="B4194" s="497">
        <f t="shared" si="236"/>
        <v>8</v>
      </c>
      <c r="C4194" s="515" t="s">
        <v>10172</v>
      </c>
      <c r="D4194" s="497" t="s">
        <v>1216</v>
      </c>
      <c r="E4194" s="503"/>
      <c r="F4194" s="503"/>
      <c r="G4194" s="520" t="s">
        <v>10173</v>
      </c>
      <c r="H4194" s="498">
        <f t="shared" si="237"/>
        <v>50</v>
      </c>
      <c r="I4194" s="497"/>
      <c r="J4194" s="497"/>
      <c r="K4194" s="503"/>
      <c r="L4194" s="497"/>
      <c r="M4194" s="503"/>
      <c r="N4194" s="503"/>
      <c r="O4194" s="503"/>
      <c r="P4194" s="503"/>
      <c r="Q4194" s="503"/>
      <c r="R4194" s="512">
        <v>130</v>
      </c>
    </row>
    <row r="4195" spans="1:18" x14ac:dyDescent="0.35">
      <c r="A4195" s="497" t="b">
        <v>0</v>
      </c>
      <c r="B4195" s="497">
        <f t="shared" si="236"/>
        <v>8</v>
      </c>
      <c r="C4195" s="515" t="s">
        <v>10174</v>
      </c>
      <c r="D4195" s="497" t="s">
        <v>1214</v>
      </c>
      <c r="E4195" s="503"/>
      <c r="F4195" s="503"/>
      <c r="G4195" s="520" t="s">
        <v>10175</v>
      </c>
      <c r="H4195" s="498">
        <f t="shared" si="237"/>
        <v>51</v>
      </c>
      <c r="I4195" s="497"/>
      <c r="J4195" s="497"/>
      <c r="K4195" s="503"/>
      <c r="L4195" s="497"/>
      <c r="M4195" s="503"/>
      <c r="N4195" s="503"/>
      <c r="O4195" s="503"/>
      <c r="P4195" s="503"/>
      <c r="Q4195" s="503"/>
      <c r="R4195" s="512">
        <v>131</v>
      </c>
    </row>
    <row r="4196" spans="1:18" x14ac:dyDescent="0.35">
      <c r="A4196" s="497" t="b">
        <v>0</v>
      </c>
      <c r="B4196" s="497">
        <f t="shared" si="236"/>
        <v>8</v>
      </c>
      <c r="C4196" s="515" t="s">
        <v>10176</v>
      </c>
      <c r="D4196" s="497" t="s">
        <v>1216</v>
      </c>
      <c r="E4196" s="503"/>
      <c r="F4196" s="503"/>
      <c r="G4196" s="520" t="s">
        <v>10177</v>
      </c>
      <c r="H4196" s="498">
        <f t="shared" si="237"/>
        <v>52</v>
      </c>
      <c r="I4196" s="497"/>
      <c r="J4196" s="497"/>
      <c r="K4196" s="503"/>
      <c r="L4196" s="497"/>
      <c r="M4196" s="503"/>
      <c r="N4196" s="503"/>
      <c r="O4196" s="503"/>
      <c r="P4196" s="503"/>
      <c r="Q4196" s="503"/>
      <c r="R4196" s="512">
        <v>132</v>
      </c>
    </row>
    <row r="4197" spans="1:18" x14ac:dyDescent="0.35">
      <c r="A4197" s="497" t="b">
        <v>0</v>
      </c>
      <c r="B4197" s="497">
        <f t="shared" si="236"/>
        <v>8</v>
      </c>
      <c r="C4197" s="515" t="s">
        <v>10178</v>
      </c>
      <c r="D4197" s="497" t="s">
        <v>1214</v>
      </c>
      <c r="E4197" s="503"/>
      <c r="F4197" s="503"/>
      <c r="G4197" s="520" t="s">
        <v>10179</v>
      </c>
      <c r="H4197" s="498">
        <f t="shared" si="237"/>
        <v>53</v>
      </c>
      <c r="I4197" s="497"/>
      <c r="J4197" s="497"/>
      <c r="K4197" s="503"/>
      <c r="L4197" s="497"/>
      <c r="M4197" s="503"/>
      <c r="N4197" s="503"/>
      <c r="O4197" s="503"/>
      <c r="P4197" s="503"/>
      <c r="Q4197" s="503"/>
      <c r="R4197" s="512">
        <v>133</v>
      </c>
    </row>
    <row r="4198" spans="1:18" x14ac:dyDescent="0.35">
      <c r="A4198" s="497" t="b">
        <v>0</v>
      </c>
      <c r="B4198" s="497">
        <f t="shared" si="236"/>
        <v>8</v>
      </c>
      <c r="C4198" s="515" t="s">
        <v>10180</v>
      </c>
      <c r="D4198" s="497" t="s">
        <v>1216</v>
      </c>
      <c r="E4198" s="503"/>
      <c r="F4198" s="503"/>
      <c r="G4198" s="520" t="s">
        <v>10181</v>
      </c>
      <c r="H4198" s="498">
        <f t="shared" si="237"/>
        <v>54</v>
      </c>
      <c r="I4198" s="497"/>
      <c r="J4198" s="497"/>
      <c r="K4198" s="503"/>
      <c r="L4198" s="497"/>
      <c r="M4198" s="503"/>
      <c r="N4198" s="503"/>
      <c r="O4198" s="503"/>
      <c r="P4198" s="503"/>
      <c r="Q4198" s="503"/>
      <c r="R4198" s="512">
        <v>134</v>
      </c>
    </row>
    <row r="4199" spans="1:18" x14ac:dyDescent="0.35">
      <c r="A4199" s="497" t="b">
        <v>0</v>
      </c>
      <c r="B4199" s="497">
        <f t="shared" si="236"/>
        <v>8</v>
      </c>
      <c r="C4199" s="515" t="s">
        <v>10182</v>
      </c>
      <c r="D4199" s="497" t="s">
        <v>1214</v>
      </c>
      <c r="E4199" s="503"/>
      <c r="F4199" s="503"/>
      <c r="G4199" s="520" t="s">
        <v>10183</v>
      </c>
      <c r="H4199" s="498">
        <f t="shared" si="237"/>
        <v>55</v>
      </c>
      <c r="I4199" s="497"/>
      <c r="J4199" s="497"/>
      <c r="K4199" s="503"/>
      <c r="L4199" s="497"/>
      <c r="M4199" s="503"/>
      <c r="N4199" s="503"/>
      <c r="O4199" s="503"/>
      <c r="P4199" s="503"/>
      <c r="Q4199" s="503"/>
      <c r="R4199" s="512">
        <v>135</v>
      </c>
    </row>
    <row r="4200" spans="1:18" x14ac:dyDescent="0.35">
      <c r="A4200" s="497" t="b">
        <v>0</v>
      </c>
      <c r="B4200" s="497">
        <f t="shared" si="236"/>
        <v>8</v>
      </c>
      <c r="C4200" s="515" t="s">
        <v>10184</v>
      </c>
      <c r="D4200" s="497" t="s">
        <v>1216</v>
      </c>
      <c r="E4200" s="503"/>
      <c r="F4200" s="503"/>
      <c r="G4200" s="520" t="s">
        <v>10185</v>
      </c>
      <c r="H4200" s="498">
        <f t="shared" si="237"/>
        <v>56</v>
      </c>
      <c r="I4200" s="497"/>
      <c r="J4200" s="497"/>
      <c r="K4200" s="503"/>
      <c r="L4200" s="497"/>
      <c r="M4200" s="503"/>
      <c r="N4200" s="503"/>
      <c r="O4200" s="503"/>
      <c r="P4200" s="503"/>
      <c r="Q4200" s="503"/>
      <c r="R4200" s="512">
        <v>136</v>
      </c>
    </row>
    <row r="4201" spans="1:18" x14ac:dyDescent="0.35">
      <c r="A4201" s="497" t="b">
        <v>0</v>
      </c>
      <c r="B4201" s="497">
        <f t="shared" si="236"/>
        <v>8</v>
      </c>
      <c r="C4201" s="515" t="s">
        <v>10186</v>
      </c>
      <c r="D4201" s="497" t="s">
        <v>1214</v>
      </c>
      <c r="E4201" s="503"/>
      <c r="F4201" s="503"/>
      <c r="G4201" s="520" t="s">
        <v>10187</v>
      </c>
      <c r="H4201" s="498">
        <f t="shared" si="237"/>
        <v>57</v>
      </c>
      <c r="I4201" s="497"/>
      <c r="J4201" s="497"/>
      <c r="K4201" s="503"/>
      <c r="L4201" s="497"/>
      <c r="M4201" s="503"/>
      <c r="N4201" s="503"/>
      <c r="O4201" s="503"/>
      <c r="P4201" s="503"/>
      <c r="Q4201" s="503"/>
      <c r="R4201" s="512">
        <v>137</v>
      </c>
    </row>
    <row r="4202" spans="1:18" x14ac:dyDescent="0.35">
      <c r="A4202" s="497" t="b">
        <v>0</v>
      </c>
      <c r="B4202" s="497">
        <f t="shared" si="236"/>
        <v>8</v>
      </c>
      <c r="C4202" s="515" t="s">
        <v>10188</v>
      </c>
      <c r="D4202" s="497" t="s">
        <v>1216</v>
      </c>
      <c r="E4202" s="503"/>
      <c r="F4202" s="503"/>
      <c r="G4202" s="520" t="s">
        <v>10189</v>
      </c>
      <c r="H4202" s="498">
        <f t="shared" si="237"/>
        <v>58</v>
      </c>
      <c r="I4202" s="497"/>
      <c r="J4202" s="497"/>
      <c r="K4202" s="503"/>
      <c r="L4202" s="497"/>
      <c r="M4202" s="503"/>
      <c r="N4202" s="503"/>
      <c r="O4202" s="503"/>
      <c r="P4202" s="503"/>
      <c r="Q4202" s="503"/>
      <c r="R4202" s="512">
        <v>138</v>
      </c>
    </row>
    <row r="4203" spans="1:18" x14ac:dyDescent="0.35">
      <c r="A4203" s="497" t="b">
        <v>0</v>
      </c>
      <c r="B4203" s="497">
        <f t="shared" si="236"/>
        <v>8</v>
      </c>
      <c r="C4203" s="515" t="s">
        <v>10190</v>
      </c>
      <c r="D4203" s="497" t="s">
        <v>1214</v>
      </c>
      <c r="E4203" s="503"/>
      <c r="F4203" s="503"/>
      <c r="G4203" s="520" t="s">
        <v>10191</v>
      </c>
      <c r="H4203" s="498">
        <f t="shared" si="237"/>
        <v>59</v>
      </c>
      <c r="I4203" s="497"/>
      <c r="J4203" s="497"/>
      <c r="K4203" s="503"/>
      <c r="L4203" s="497"/>
      <c r="M4203" s="503"/>
      <c r="N4203" s="503"/>
      <c r="O4203" s="503"/>
      <c r="P4203" s="503"/>
      <c r="Q4203" s="503"/>
      <c r="R4203" s="512">
        <v>139</v>
      </c>
    </row>
    <row r="4204" spans="1:18" x14ac:dyDescent="0.35">
      <c r="A4204" s="497" t="b">
        <v>0</v>
      </c>
      <c r="B4204" s="497">
        <f t="shared" si="236"/>
        <v>8</v>
      </c>
      <c r="C4204" s="515" t="s">
        <v>10192</v>
      </c>
      <c r="D4204" s="497" t="s">
        <v>1216</v>
      </c>
      <c r="E4204" s="503"/>
      <c r="F4204" s="503"/>
      <c r="G4204" s="520" t="s">
        <v>10193</v>
      </c>
      <c r="H4204" s="498">
        <f t="shared" si="237"/>
        <v>60</v>
      </c>
      <c r="I4204" s="497"/>
      <c r="J4204" s="497"/>
      <c r="K4204" s="503"/>
      <c r="L4204" s="497"/>
      <c r="M4204" s="503"/>
      <c r="N4204" s="503"/>
      <c r="O4204" s="503"/>
      <c r="P4204" s="503"/>
      <c r="Q4204" s="503"/>
      <c r="R4204" s="512">
        <v>140</v>
      </c>
    </row>
    <row r="4205" spans="1:18" x14ac:dyDescent="0.35">
      <c r="A4205" s="497" t="b">
        <v>0</v>
      </c>
      <c r="B4205" s="497">
        <f t="shared" si="236"/>
        <v>8</v>
      </c>
      <c r="C4205" s="515" t="s">
        <v>10194</v>
      </c>
      <c r="D4205" s="497" t="s">
        <v>1214</v>
      </c>
      <c r="E4205" s="503"/>
      <c r="F4205" s="503"/>
      <c r="G4205" s="520" t="s">
        <v>10195</v>
      </c>
      <c r="H4205" s="498">
        <f t="shared" si="237"/>
        <v>61</v>
      </c>
      <c r="I4205" s="497"/>
      <c r="J4205" s="497"/>
      <c r="K4205" s="503"/>
      <c r="L4205" s="497"/>
      <c r="M4205" s="503"/>
      <c r="N4205" s="503"/>
      <c r="O4205" s="503"/>
      <c r="P4205" s="503"/>
      <c r="Q4205" s="503"/>
      <c r="R4205" s="512">
        <v>141</v>
      </c>
    </row>
    <row r="4206" spans="1:18" x14ac:dyDescent="0.35">
      <c r="A4206" s="497" t="b">
        <v>0</v>
      </c>
      <c r="B4206" s="497">
        <f t="shared" si="236"/>
        <v>8</v>
      </c>
      <c r="C4206" s="515" t="s">
        <v>10196</v>
      </c>
      <c r="D4206" s="497" t="s">
        <v>1216</v>
      </c>
      <c r="E4206" s="503"/>
      <c r="F4206" s="503"/>
      <c r="G4206" s="520" t="s">
        <v>10197</v>
      </c>
      <c r="H4206" s="498">
        <f t="shared" si="237"/>
        <v>62</v>
      </c>
      <c r="I4206" s="497"/>
      <c r="J4206" s="497"/>
      <c r="K4206" s="503"/>
      <c r="L4206" s="497"/>
      <c r="M4206" s="503"/>
      <c r="N4206" s="503"/>
      <c r="O4206" s="503"/>
      <c r="P4206" s="503"/>
      <c r="Q4206" s="503"/>
      <c r="R4206" s="512">
        <v>142</v>
      </c>
    </row>
    <row r="4207" spans="1:18" x14ac:dyDescent="0.35">
      <c r="A4207" s="497" t="b">
        <v>0</v>
      </c>
      <c r="B4207" s="497">
        <f t="shared" si="236"/>
        <v>8</v>
      </c>
      <c r="C4207" s="515" t="s">
        <v>10198</v>
      </c>
      <c r="D4207" s="497" t="s">
        <v>1214</v>
      </c>
      <c r="E4207" s="503"/>
      <c r="F4207" s="503"/>
      <c r="G4207" s="520" t="s">
        <v>10199</v>
      </c>
      <c r="H4207" s="498">
        <f t="shared" si="237"/>
        <v>63</v>
      </c>
      <c r="I4207" s="497"/>
      <c r="J4207" s="497"/>
      <c r="K4207" s="503"/>
      <c r="L4207" s="497"/>
      <c r="M4207" s="503"/>
      <c r="N4207" s="503"/>
      <c r="O4207" s="503"/>
      <c r="P4207" s="503"/>
      <c r="Q4207" s="503"/>
      <c r="R4207" s="512">
        <v>143</v>
      </c>
    </row>
    <row r="4208" spans="1:18" x14ac:dyDescent="0.35">
      <c r="A4208" s="497" t="b">
        <v>0</v>
      </c>
      <c r="B4208" s="497">
        <f t="shared" si="236"/>
        <v>8</v>
      </c>
      <c r="C4208" s="515" t="s">
        <v>10200</v>
      </c>
      <c r="D4208" s="497" t="s">
        <v>1216</v>
      </c>
      <c r="E4208" s="503"/>
      <c r="F4208" s="503"/>
      <c r="G4208" s="520" t="s">
        <v>10201</v>
      </c>
      <c r="H4208" s="498">
        <f t="shared" si="237"/>
        <v>64</v>
      </c>
      <c r="I4208" s="497"/>
      <c r="J4208" s="497"/>
      <c r="K4208" s="503"/>
      <c r="L4208" s="497"/>
      <c r="M4208" s="503"/>
      <c r="N4208" s="503"/>
      <c r="O4208" s="503"/>
      <c r="P4208" s="503"/>
      <c r="Q4208" s="503"/>
      <c r="R4208" s="512">
        <v>144</v>
      </c>
    </row>
    <row r="4209" spans="1:18" x14ac:dyDescent="0.35">
      <c r="A4209" s="497" t="b">
        <v>0</v>
      </c>
      <c r="B4209" s="497">
        <f t="shared" si="236"/>
        <v>8</v>
      </c>
      <c r="C4209" s="515" t="s">
        <v>10202</v>
      </c>
      <c r="D4209" s="497" t="s">
        <v>1214</v>
      </c>
      <c r="E4209" s="503"/>
      <c r="F4209" s="503"/>
      <c r="G4209" s="520" t="s">
        <v>10203</v>
      </c>
      <c r="H4209" s="498">
        <f t="shared" si="237"/>
        <v>65</v>
      </c>
      <c r="I4209" s="497"/>
      <c r="J4209" s="497"/>
      <c r="K4209" s="503"/>
      <c r="L4209" s="497"/>
      <c r="M4209" s="503"/>
      <c r="N4209" s="503"/>
      <c r="O4209" s="503"/>
      <c r="P4209" s="503"/>
      <c r="Q4209" s="503"/>
      <c r="R4209" s="512">
        <v>145</v>
      </c>
    </row>
    <row r="4210" spans="1:18" x14ac:dyDescent="0.35">
      <c r="A4210" s="497" t="b">
        <v>0</v>
      </c>
      <c r="B4210" s="497">
        <f t="shared" si="236"/>
        <v>8</v>
      </c>
      <c r="C4210" s="515" t="s">
        <v>10204</v>
      </c>
      <c r="D4210" s="497" t="s">
        <v>1216</v>
      </c>
      <c r="E4210" s="503"/>
      <c r="F4210" s="503"/>
      <c r="G4210" s="520" t="s">
        <v>10205</v>
      </c>
      <c r="H4210" s="498">
        <f t="shared" si="237"/>
        <v>66</v>
      </c>
      <c r="I4210" s="497"/>
      <c r="J4210" s="497"/>
      <c r="K4210" s="503"/>
      <c r="L4210" s="497"/>
      <c r="M4210" s="503"/>
      <c r="N4210" s="503"/>
      <c r="O4210" s="503"/>
      <c r="P4210" s="503"/>
      <c r="Q4210" s="503"/>
      <c r="R4210" s="512">
        <v>146</v>
      </c>
    </row>
    <row r="4211" spans="1:18" x14ac:dyDescent="0.35">
      <c r="A4211" s="497" t="b">
        <v>0</v>
      </c>
      <c r="B4211" s="497">
        <f t="shared" si="236"/>
        <v>8</v>
      </c>
      <c r="C4211" s="515" t="s">
        <v>10206</v>
      </c>
      <c r="D4211" s="497" t="s">
        <v>1214</v>
      </c>
      <c r="E4211" s="503"/>
      <c r="F4211" s="503"/>
      <c r="G4211" s="520" t="s">
        <v>10207</v>
      </c>
      <c r="H4211" s="498">
        <f t="shared" si="237"/>
        <v>67</v>
      </c>
      <c r="I4211" s="497"/>
      <c r="J4211" s="497"/>
      <c r="K4211" s="503"/>
      <c r="L4211" s="497"/>
      <c r="M4211" s="503"/>
      <c r="N4211" s="503"/>
      <c r="O4211" s="503"/>
      <c r="P4211" s="503"/>
      <c r="Q4211" s="503"/>
      <c r="R4211" s="512">
        <v>147</v>
      </c>
    </row>
    <row r="4212" spans="1:18" x14ac:dyDescent="0.35">
      <c r="A4212" s="497" t="b">
        <v>0</v>
      </c>
      <c r="B4212" s="497">
        <f t="shared" si="236"/>
        <v>8</v>
      </c>
      <c r="C4212" s="515" t="s">
        <v>10208</v>
      </c>
      <c r="D4212" s="497" t="s">
        <v>1216</v>
      </c>
      <c r="E4212" s="503"/>
      <c r="F4212" s="503"/>
      <c r="G4212" s="520" t="s">
        <v>10209</v>
      </c>
      <c r="H4212" s="498">
        <f t="shared" si="237"/>
        <v>68</v>
      </c>
      <c r="I4212" s="497"/>
      <c r="J4212" s="497"/>
      <c r="K4212" s="503"/>
      <c r="L4212" s="497"/>
      <c r="M4212" s="503"/>
      <c r="N4212" s="503"/>
      <c r="O4212" s="503"/>
      <c r="P4212" s="503"/>
      <c r="Q4212" s="503"/>
      <c r="R4212" s="512">
        <v>148</v>
      </c>
    </row>
    <row r="4213" spans="1:18" x14ac:dyDescent="0.35">
      <c r="A4213" s="497" t="b">
        <v>0</v>
      </c>
      <c r="B4213" s="497">
        <f t="shared" si="236"/>
        <v>8</v>
      </c>
      <c r="C4213" s="515" t="s">
        <v>10210</v>
      </c>
      <c r="D4213" s="497" t="s">
        <v>1214</v>
      </c>
      <c r="E4213" s="503"/>
      <c r="F4213" s="503"/>
      <c r="G4213" s="520" t="s">
        <v>10211</v>
      </c>
      <c r="H4213" s="498">
        <f t="shared" si="237"/>
        <v>69</v>
      </c>
      <c r="I4213" s="497"/>
      <c r="J4213" s="497"/>
      <c r="K4213" s="503"/>
      <c r="L4213" s="497"/>
      <c r="M4213" s="503"/>
      <c r="N4213" s="503"/>
      <c r="O4213" s="503"/>
      <c r="P4213" s="503"/>
      <c r="Q4213" s="503"/>
      <c r="R4213" s="512">
        <v>149</v>
      </c>
    </row>
    <row r="4214" spans="1:18" x14ac:dyDescent="0.35">
      <c r="A4214" s="497" t="b">
        <v>0</v>
      </c>
      <c r="B4214" s="497">
        <f t="shared" si="236"/>
        <v>8</v>
      </c>
      <c r="C4214" s="515" t="s">
        <v>10212</v>
      </c>
      <c r="D4214" s="497" t="s">
        <v>1216</v>
      </c>
      <c r="E4214" s="503"/>
      <c r="F4214" s="503"/>
      <c r="G4214" s="520" t="s">
        <v>10213</v>
      </c>
      <c r="H4214" s="498">
        <f t="shared" si="237"/>
        <v>70</v>
      </c>
      <c r="I4214" s="497"/>
      <c r="J4214" s="497"/>
      <c r="K4214" s="503"/>
      <c r="L4214" s="497"/>
      <c r="M4214" s="503"/>
      <c r="N4214" s="503"/>
      <c r="O4214" s="503"/>
      <c r="P4214" s="503"/>
      <c r="Q4214" s="503"/>
      <c r="R4214" s="512">
        <v>150</v>
      </c>
    </row>
    <row r="4215" spans="1:18" x14ac:dyDescent="0.35">
      <c r="A4215" s="497" t="b">
        <v>0</v>
      </c>
      <c r="B4215" s="497">
        <f t="shared" si="236"/>
        <v>8</v>
      </c>
      <c r="C4215" s="515" t="s">
        <v>10214</v>
      </c>
      <c r="D4215" s="497" t="s">
        <v>1214</v>
      </c>
      <c r="E4215" s="503"/>
      <c r="F4215" s="503"/>
      <c r="G4215" s="520" t="s">
        <v>10215</v>
      </c>
      <c r="H4215" s="498">
        <f t="shared" si="237"/>
        <v>71</v>
      </c>
      <c r="I4215" s="497"/>
      <c r="J4215" s="497"/>
      <c r="K4215" s="503"/>
      <c r="L4215" s="497"/>
      <c r="M4215" s="503"/>
      <c r="N4215" s="503"/>
      <c r="O4215" s="503"/>
      <c r="P4215" s="503"/>
      <c r="Q4215" s="503"/>
      <c r="R4215" s="512">
        <v>151</v>
      </c>
    </row>
    <row r="4216" spans="1:18" x14ac:dyDescent="0.35">
      <c r="A4216" s="497" t="b">
        <v>0</v>
      </c>
      <c r="B4216" s="497">
        <f t="shared" si="236"/>
        <v>8</v>
      </c>
      <c r="C4216" s="515" t="s">
        <v>10216</v>
      </c>
      <c r="D4216" s="497" t="s">
        <v>1216</v>
      </c>
      <c r="E4216" s="503"/>
      <c r="F4216" s="503"/>
      <c r="G4216" s="520" t="s">
        <v>10217</v>
      </c>
      <c r="H4216" s="498">
        <f t="shared" si="237"/>
        <v>72</v>
      </c>
      <c r="I4216" s="497"/>
      <c r="J4216" s="497"/>
      <c r="K4216" s="503"/>
      <c r="L4216" s="497"/>
      <c r="M4216" s="503"/>
      <c r="N4216" s="503"/>
      <c r="O4216" s="503"/>
      <c r="P4216" s="503"/>
      <c r="Q4216" s="503"/>
      <c r="R4216" s="512">
        <v>152</v>
      </c>
    </row>
    <row r="4217" spans="1:18" x14ac:dyDescent="0.35">
      <c r="A4217" s="497" t="b">
        <v>0</v>
      </c>
      <c r="B4217" s="497">
        <f t="shared" si="236"/>
        <v>8</v>
      </c>
      <c r="C4217" s="515" t="s">
        <v>10218</v>
      </c>
      <c r="D4217" s="497" t="s">
        <v>1214</v>
      </c>
      <c r="E4217" s="503"/>
      <c r="F4217" s="503"/>
      <c r="G4217" s="520" t="s">
        <v>10219</v>
      </c>
      <c r="H4217" s="498">
        <f t="shared" si="237"/>
        <v>73</v>
      </c>
      <c r="I4217" s="497"/>
      <c r="J4217" s="497"/>
      <c r="K4217" s="503"/>
      <c r="L4217" s="497"/>
      <c r="M4217" s="503"/>
      <c r="N4217" s="503"/>
      <c r="O4217" s="503"/>
      <c r="P4217" s="503"/>
      <c r="Q4217" s="503"/>
      <c r="R4217" s="512">
        <v>153</v>
      </c>
    </row>
    <row r="4218" spans="1:18" x14ac:dyDescent="0.35">
      <c r="A4218" s="497" t="b">
        <v>0</v>
      </c>
      <c r="B4218" s="497">
        <f t="shared" si="236"/>
        <v>8</v>
      </c>
      <c r="C4218" s="515" t="s">
        <v>10220</v>
      </c>
      <c r="D4218" s="497" t="s">
        <v>1216</v>
      </c>
      <c r="E4218" s="503"/>
      <c r="F4218" s="503"/>
      <c r="G4218" s="520" t="s">
        <v>10221</v>
      </c>
      <c r="H4218" s="498">
        <f t="shared" si="237"/>
        <v>74</v>
      </c>
      <c r="I4218" s="497"/>
      <c r="J4218" s="497"/>
      <c r="K4218" s="503"/>
      <c r="L4218" s="497"/>
      <c r="M4218" s="503"/>
      <c r="N4218" s="503"/>
      <c r="O4218" s="503"/>
      <c r="P4218" s="503"/>
      <c r="Q4218" s="503"/>
      <c r="R4218" s="512">
        <v>154</v>
      </c>
    </row>
    <row r="4219" spans="1:18" x14ac:dyDescent="0.35">
      <c r="A4219" s="497" t="b">
        <v>0</v>
      </c>
      <c r="B4219" s="497">
        <f t="shared" si="236"/>
        <v>8</v>
      </c>
      <c r="C4219" s="515" t="s">
        <v>10222</v>
      </c>
      <c r="D4219" s="497" t="s">
        <v>1214</v>
      </c>
      <c r="E4219" s="503"/>
      <c r="F4219" s="503"/>
      <c r="G4219" s="520" t="s">
        <v>10223</v>
      </c>
      <c r="H4219" s="498">
        <f t="shared" si="237"/>
        <v>75</v>
      </c>
      <c r="I4219" s="497"/>
      <c r="J4219" s="497"/>
      <c r="K4219" s="503"/>
      <c r="L4219" s="497"/>
      <c r="M4219" s="503"/>
      <c r="N4219" s="503"/>
      <c r="O4219" s="503"/>
      <c r="P4219" s="503"/>
      <c r="Q4219" s="503"/>
      <c r="R4219" s="512">
        <v>155</v>
      </c>
    </row>
    <row r="4220" spans="1:18" x14ac:dyDescent="0.35">
      <c r="A4220" s="497" t="b">
        <v>0</v>
      </c>
      <c r="B4220" s="497">
        <f t="shared" si="236"/>
        <v>8</v>
      </c>
      <c r="C4220" s="515" t="s">
        <v>10224</v>
      </c>
      <c r="D4220" s="497" t="s">
        <v>1216</v>
      </c>
      <c r="E4220" s="503"/>
      <c r="F4220" s="503"/>
      <c r="G4220" s="520" t="s">
        <v>10225</v>
      </c>
      <c r="H4220" s="498">
        <f t="shared" si="237"/>
        <v>76</v>
      </c>
      <c r="I4220" s="497"/>
      <c r="J4220" s="497"/>
      <c r="K4220" s="503"/>
      <c r="L4220" s="497"/>
      <c r="M4220" s="503"/>
      <c r="N4220" s="503"/>
      <c r="O4220" s="503"/>
      <c r="P4220" s="503"/>
      <c r="Q4220" s="503"/>
      <c r="R4220" s="512">
        <v>156</v>
      </c>
    </row>
    <row r="4221" spans="1:18" x14ac:dyDescent="0.35">
      <c r="A4221" s="497" t="b">
        <v>0</v>
      </c>
      <c r="B4221" s="497">
        <f t="shared" si="236"/>
        <v>8</v>
      </c>
      <c r="C4221" s="515" t="s">
        <v>10226</v>
      </c>
      <c r="D4221" s="497" t="s">
        <v>1214</v>
      </c>
      <c r="E4221" s="503"/>
      <c r="F4221" s="503"/>
      <c r="G4221" s="520" t="s">
        <v>10227</v>
      </c>
      <c r="H4221" s="498">
        <f t="shared" si="237"/>
        <v>77</v>
      </c>
      <c r="I4221" s="497"/>
      <c r="J4221" s="497"/>
      <c r="K4221" s="503"/>
      <c r="L4221" s="497"/>
      <c r="M4221" s="503"/>
      <c r="N4221" s="503"/>
      <c r="O4221" s="503"/>
      <c r="P4221" s="503"/>
      <c r="Q4221" s="503"/>
      <c r="R4221" s="512">
        <v>157</v>
      </c>
    </row>
    <row r="4222" spans="1:18" x14ac:dyDescent="0.35">
      <c r="A4222" s="497" t="b">
        <v>0</v>
      </c>
      <c r="B4222" s="497">
        <f t="shared" si="236"/>
        <v>8</v>
      </c>
      <c r="C4222" s="515" t="s">
        <v>10228</v>
      </c>
      <c r="D4222" s="497" t="s">
        <v>1216</v>
      </c>
      <c r="E4222" s="503"/>
      <c r="F4222" s="503"/>
      <c r="G4222" s="520" t="s">
        <v>10229</v>
      </c>
      <c r="H4222" s="498">
        <f t="shared" si="237"/>
        <v>78</v>
      </c>
      <c r="I4222" s="497"/>
      <c r="J4222" s="497"/>
      <c r="K4222" s="503"/>
      <c r="L4222" s="497"/>
      <c r="M4222" s="503"/>
      <c r="N4222" s="503"/>
      <c r="O4222" s="503"/>
      <c r="P4222" s="503"/>
      <c r="Q4222" s="503"/>
      <c r="R4222" s="512">
        <v>158</v>
      </c>
    </row>
    <row r="4223" spans="1:18" x14ac:dyDescent="0.35">
      <c r="A4223" s="497" t="b">
        <v>0</v>
      </c>
      <c r="B4223" s="497">
        <f t="shared" si="236"/>
        <v>8</v>
      </c>
      <c r="C4223" s="515" t="s">
        <v>10230</v>
      </c>
      <c r="D4223" s="497" t="s">
        <v>1214</v>
      </c>
      <c r="E4223" s="503"/>
      <c r="F4223" s="503"/>
      <c r="G4223" s="520" t="s">
        <v>10231</v>
      </c>
      <c r="H4223" s="498">
        <f t="shared" si="237"/>
        <v>79</v>
      </c>
      <c r="I4223" s="497"/>
      <c r="J4223" s="497"/>
      <c r="K4223" s="503"/>
      <c r="L4223" s="497"/>
      <c r="M4223" s="503"/>
      <c r="N4223" s="503"/>
      <c r="O4223" s="503"/>
      <c r="P4223" s="503"/>
      <c r="Q4223" s="503"/>
      <c r="R4223" s="512">
        <v>159</v>
      </c>
    </row>
    <row r="4224" spans="1:18" x14ac:dyDescent="0.35">
      <c r="A4224" s="497" t="b">
        <v>0</v>
      </c>
      <c r="B4224" s="497">
        <f t="shared" si="236"/>
        <v>8</v>
      </c>
      <c r="C4224" s="515" t="s">
        <v>10232</v>
      </c>
      <c r="D4224" s="497" t="s">
        <v>1216</v>
      </c>
      <c r="E4224" s="503"/>
      <c r="F4224" s="503"/>
      <c r="G4224" s="520" t="s">
        <v>10233</v>
      </c>
      <c r="H4224" s="498">
        <f t="shared" si="237"/>
        <v>80</v>
      </c>
      <c r="I4224" s="497"/>
      <c r="J4224" s="497"/>
      <c r="K4224" s="503"/>
      <c r="L4224" s="497"/>
      <c r="M4224" s="503"/>
      <c r="N4224" s="503"/>
      <c r="O4224" s="503"/>
      <c r="P4224" s="503"/>
      <c r="Q4224" s="503"/>
      <c r="R4224" s="512">
        <v>160</v>
      </c>
    </row>
    <row r="4225" spans="1:18" x14ac:dyDescent="0.35">
      <c r="A4225" s="497" t="b">
        <f t="shared" ref="A4225:A4288" ca="1" si="238">IF(M4225&lt;&gt;"",TRUE,FALSE)</f>
        <v>1</v>
      </c>
      <c r="B4225" s="497">
        <f t="shared" si="236"/>
        <v>9</v>
      </c>
      <c r="C4225" s="517" t="str">
        <f ca="1">IF(COUNTA($G$4062:G4224)=1,"",OFFSET(B4225,-COUNTA($G$4062:G4224)+1,1))</f>
        <v>a1N3p00000FRPNtEAP</v>
      </c>
      <c r="D4225" s="497" t="str">
        <f t="shared" ref="D4225:D4288" ca="1" si="239">IFERROR(IF(INDIRECT("'WPTM - Section F'!AT"&amp;$B4225)=0,"",INDIRECT("'WPTM - Section F'!AT"&amp;$B4225)),"")</f>
        <v>INT-211653</v>
      </c>
      <c r="E4225" s="503"/>
      <c r="F4225" s="503" t="str">
        <f t="shared" ref="F4225:F4288" ca="1" si="240">IFERROR(IF(INDIRECT("'WPTM - Section F'!AU"&amp;$B4225)=0,"",INDIRECT("'WPTM - Section F'!AU"&amp;$B4225)),"")</f>
        <v/>
      </c>
      <c r="G4225" s="520"/>
      <c r="H4225" s="498">
        <f t="shared" si="237"/>
        <v>81</v>
      </c>
      <c r="I4225" s="497" t="str">
        <f ca="1">IF(IFERROR(VLOOKUP(INDIRECT("'WPTM - Section F'!F"&amp;B4225),'Overview - Section A'!M$31:R194,6,0),IFERROR(VLOOKUP(INDIRECT("'WPTM - Section F'!F"&amp;B4225),'Overview - Section A'!E$27:J191,6,0),""))=0,"",IFERROR(VLOOKUP(INDIRECT("'WPTM - Section F'!F"&amp;B4225),'Overview - Section A'!M$31:R194,6,0),IFERROR(VLOOKUP(INDIRECT("'WPTM - Section F'!F"&amp;B4225),'Overview - Section A'!E$27:J191,6,0),"")))</f>
        <v/>
      </c>
      <c r="J4225" s="497" t="str">
        <f t="shared" ref="J4225:J4288" ca="1" si="241">IFERROR(IF(INDIRECT("'WPTM - Section F'!G"&amp;$B4225)=0,"",INDIRECT("'WPTM - Section F'!G"&amp;$B4225)),"")</f>
        <v>El Salvador</v>
      </c>
      <c r="K4225" s="503" t="str">
        <f t="shared" ref="K4225:K4288" ca="1" si="242">IFERROR(IF(INDIRECT("'WPTM - Section F'!BF"&amp;$B4225)=0,"",INDIRECT("'WPTM - Section F'!BF"&amp;$B4225)),"")</f>
        <v>Not applicable</v>
      </c>
      <c r="L4225" s="497" t="str">
        <f ca="1">IFERROR(INDEX('Reference Records'!F$412:F780,MATCH(INDIRECT("'WPTM - Section F'!AP"&amp;B4225)&amp;"|"&amp;INDIRECT("'WPTM - Section F'!C"&amp;$B4225),'Reference Records'!G$412:G780,0)),"")</f>
        <v>MCI-01039</v>
      </c>
      <c r="M4225" s="503" t="str">
        <f t="shared" ref="M4225:M4288" ca="1" si="243">IFERROR(IF(INDIRECT("'WPTM - Section F'!E"&amp;$B4225)=0,"",INDIRECT("'WPTM - Section F'!E"&amp;$B4225)),"")</f>
        <v>Remodelación del edificio LNR</v>
      </c>
      <c r="N4225" s="503" t="str">
        <f t="shared" ref="N4225:N4288" ca="1" si="244">IFERROR(IF(INDIRECT("'WPTM - Section F'!AV"&amp;$B4225)=0,"",INDIRECT("'WPTM - Section F'!AV"&amp;$B4225)),"")</f>
        <v/>
      </c>
      <c r="O4225" s="503" t="str">
        <f t="shared" ref="O4225:O4288" ca="1" si="245">IFERROR(IF(INDIRECT("'WPTM - Section F'!AN"&amp;$B4225)=0,"",INDIRECT("'WPTM - Section F'!AN"&amp;$B4225)),"")</f>
        <v/>
      </c>
      <c r="P4225" s="503" t="str">
        <f t="shared" ref="P4225:P4288" ca="1" si="246">IFERROR(IF(INDIRECT("'WPTM - Section F'!BE"&amp;$B4225)=0,"",INDIRECT("'WPTM - Section F'!BE"&amp;$B4225)),"")</f>
        <v>Infrastructure and equipment management systems</v>
      </c>
      <c r="Q4225" s="503"/>
      <c r="R4225" s="512"/>
    </row>
    <row r="4226" spans="1:18" x14ac:dyDescent="0.35">
      <c r="A4226" s="497" t="b">
        <f t="shared" ca="1" si="238"/>
        <v>1</v>
      </c>
      <c r="B4226" s="497">
        <f t="shared" si="236"/>
        <v>10</v>
      </c>
      <c r="C4226" s="517" t="str">
        <f ca="1">IF(COUNTA($G$4062:G4225)=1,"",OFFSET(B4226,-COUNTA($G$4062:G4225)+1,1))</f>
        <v>a1N3p00000FRPPBEA5</v>
      </c>
      <c r="D4226" s="497" t="str">
        <f t="shared" ca="1" si="239"/>
        <v>INT-211653</v>
      </c>
      <c r="E4226" s="503"/>
      <c r="F4226" s="503" t="str">
        <f t="shared" ca="1" si="240"/>
        <v/>
      </c>
      <c r="G4226" s="520"/>
      <c r="H4226" s="498">
        <f t="shared" si="237"/>
        <v>82</v>
      </c>
      <c r="I4226" s="497" t="str">
        <f ca="1">IF(IFERROR(VLOOKUP(INDIRECT("'WPTM - Section F'!F"&amp;B4226),'Overview - Section A'!M$31:R195,6,0),IFERROR(VLOOKUP(INDIRECT("'WPTM - Section F'!F"&amp;B4226),'Overview - Section A'!E$27:J192,6,0),""))=0,"",IFERROR(VLOOKUP(INDIRECT("'WPTM - Section F'!F"&amp;B4226),'Overview - Section A'!M$31:R195,6,0),IFERROR(VLOOKUP(INDIRECT("'WPTM - Section F'!F"&amp;B4226),'Overview - Section A'!E$27:J192,6,0),"")))</f>
        <v/>
      </c>
      <c r="J4226" s="497" t="str">
        <f t="shared" ca="1" si="241"/>
        <v>El Salvador</v>
      </c>
      <c r="K4226" s="503" t="str">
        <f t="shared" ca="1" si="242"/>
        <v>Not applicable</v>
      </c>
      <c r="L4226" s="497" t="str">
        <f ca="1">IFERROR(INDEX('Reference Records'!F$412:F781,MATCH(INDIRECT("'WPTM - Section F'!AP"&amp;B4226)&amp;"|"&amp;INDIRECT("'WPTM - Section F'!C"&amp;$B4226),'Reference Records'!G$412:G781,0)),"")</f>
        <v>MCI-01039</v>
      </c>
      <c r="M4226" s="503" t="str">
        <f t="shared" ca="1" si="243"/>
        <v>Servicios y suministros para la gestión y respuesta del LNR</v>
      </c>
      <c r="N4226" s="503" t="str">
        <f t="shared" ca="1" si="244"/>
        <v/>
      </c>
      <c r="O4226" s="503" t="str">
        <f t="shared" ca="1" si="245"/>
        <v/>
      </c>
      <c r="P4226" s="503" t="str">
        <f t="shared" ca="1" si="246"/>
        <v>Infrastructure and equipment management systems</v>
      </c>
      <c r="Q4226" s="503"/>
      <c r="R4226" s="512"/>
    </row>
    <row r="4227" spans="1:18" x14ac:dyDescent="0.35">
      <c r="A4227" s="497" t="b">
        <f t="shared" ca="1" si="238"/>
        <v>0</v>
      </c>
      <c r="B4227" s="497">
        <f t="shared" si="236"/>
        <v>11</v>
      </c>
      <c r="C4227" s="517" t="str">
        <f ca="1">IF(COUNTA($G$4062:G4226)=1,"",OFFSET(B4227,-COUNTA($G$4062:G4226)+1,1))</f>
        <v>a1N3p00000FRPNuEAP</v>
      </c>
      <c r="D4227" s="497" t="str">
        <f t="shared" ca="1" si="239"/>
        <v>INT-211703</v>
      </c>
      <c r="E4227" s="503"/>
      <c r="F4227" s="503" t="str">
        <f t="shared" ca="1" si="240"/>
        <v/>
      </c>
      <c r="G4227" s="520"/>
      <c r="H4227" s="498">
        <f t="shared" si="237"/>
        <v>83</v>
      </c>
      <c r="I4227" s="497" t="str">
        <f ca="1">IF(IFERROR(VLOOKUP(INDIRECT("'WPTM - Section F'!F"&amp;B4227),'Overview - Section A'!M$31:R196,6,0),IFERROR(VLOOKUP(INDIRECT("'WPTM - Section F'!F"&amp;B4227),'Overview - Section A'!E$27:J193,6,0),""))=0,"",IFERROR(VLOOKUP(INDIRECT("'WPTM - Section F'!F"&amp;B4227),'Overview - Section A'!M$31:R196,6,0),IFERROR(VLOOKUP(INDIRECT("'WPTM - Section F'!F"&amp;B4227),'Overview - Section A'!E$27:J193,6,0),"")))</f>
        <v/>
      </c>
      <c r="J4227" s="497" t="str">
        <f t="shared" ca="1" si="241"/>
        <v/>
      </c>
      <c r="K4227" s="503" t="str">
        <f t="shared" ca="1" si="242"/>
        <v/>
      </c>
      <c r="L4227" s="497" t="str">
        <f ca="1">IFERROR(INDEX('Reference Records'!F$412:F782,MATCH(INDIRECT("'WPTM - Section F'!AP"&amp;B4227)&amp;"|"&amp;INDIRECT("'WPTM - Section F'!C"&amp;$B4227),'Reference Records'!G$412:G782,0)),"")</f>
        <v/>
      </c>
      <c r="M4227" s="503" t="str">
        <f t="shared" ca="1" si="243"/>
        <v/>
      </c>
      <c r="N4227" s="503" t="str">
        <f t="shared" ca="1" si="244"/>
        <v/>
      </c>
      <c r="O4227" s="503" t="str">
        <f t="shared" ca="1" si="245"/>
        <v/>
      </c>
      <c r="P4227" s="503" t="str">
        <f t="shared" ca="1" si="246"/>
        <v/>
      </c>
      <c r="Q4227" s="503"/>
      <c r="R4227" s="512"/>
    </row>
    <row r="4228" spans="1:18" x14ac:dyDescent="0.35">
      <c r="A4228" s="497" t="b">
        <f t="shared" ca="1" si="238"/>
        <v>0</v>
      </c>
      <c r="B4228" s="497">
        <f t="shared" si="236"/>
        <v>12</v>
      </c>
      <c r="C4228" s="517" t="str">
        <f ca="1">IF(COUNTA($G$4062:G4227)=1,"",OFFSET(B4228,-COUNTA($G$4062:G4227)+1,1))</f>
        <v>a1N3p00000FRPPCEA5</v>
      </c>
      <c r="D4228" s="497" t="str">
        <f t="shared" ca="1" si="239"/>
        <v>INT-211703</v>
      </c>
      <c r="E4228" s="503"/>
      <c r="F4228" s="503" t="str">
        <f t="shared" ca="1" si="240"/>
        <v/>
      </c>
      <c r="G4228" s="520"/>
      <c r="H4228" s="498">
        <f t="shared" si="237"/>
        <v>84</v>
      </c>
      <c r="I4228" s="497" t="str">
        <f ca="1">IF(IFERROR(VLOOKUP(INDIRECT("'WPTM - Section F'!F"&amp;B4228),'Overview - Section A'!M$31:R197,6,0),IFERROR(VLOOKUP(INDIRECT("'WPTM - Section F'!F"&amp;B4228),'Overview - Section A'!E$27:J194,6,0),""))=0,"",IFERROR(VLOOKUP(INDIRECT("'WPTM - Section F'!F"&amp;B4228),'Overview - Section A'!M$31:R197,6,0),IFERROR(VLOOKUP(INDIRECT("'WPTM - Section F'!F"&amp;B4228),'Overview - Section A'!E$27:J194,6,0),"")))</f>
        <v/>
      </c>
      <c r="J4228" s="497" t="str">
        <f t="shared" ca="1" si="241"/>
        <v/>
      </c>
      <c r="K4228" s="503" t="str">
        <f t="shared" ca="1" si="242"/>
        <v/>
      </c>
      <c r="L4228" s="497" t="str">
        <f ca="1">IFERROR(INDEX('Reference Records'!F$412:F783,MATCH(INDIRECT("'WPTM - Section F'!AP"&amp;B4228)&amp;"|"&amp;INDIRECT("'WPTM - Section F'!C"&amp;$B4228),'Reference Records'!G$412:G783,0)),"")</f>
        <v/>
      </c>
      <c r="M4228" s="503" t="str">
        <f t="shared" ca="1" si="243"/>
        <v/>
      </c>
      <c r="N4228" s="503" t="str">
        <f t="shared" ca="1" si="244"/>
        <v/>
      </c>
      <c r="O4228" s="503" t="str">
        <f t="shared" ca="1" si="245"/>
        <v/>
      </c>
      <c r="P4228" s="503" t="str">
        <f t="shared" ca="1" si="246"/>
        <v/>
      </c>
      <c r="Q4228" s="503"/>
      <c r="R4228" s="512"/>
    </row>
    <row r="4229" spans="1:18" x14ac:dyDescent="0.35">
      <c r="A4229" s="497" t="b">
        <f t="shared" ca="1" si="238"/>
        <v>0</v>
      </c>
      <c r="B4229" s="497">
        <f t="shared" si="236"/>
        <v>13</v>
      </c>
      <c r="C4229" s="517" t="str">
        <f ca="1">IF(COUNTA($G$4062:G4228)=1,"",OFFSET(B4229,-COUNTA($G$4062:G4228)+1,1))</f>
        <v>a1N3p00000FRPNvEAP</v>
      </c>
      <c r="D4229" s="497" t="str">
        <f t="shared" ca="1" si="239"/>
        <v>INT-211703</v>
      </c>
      <c r="E4229" s="503"/>
      <c r="F4229" s="503" t="str">
        <f t="shared" ca="1" si="240"/>
        <v/>
      </c>
      <c r="G4229" s="520"/>
      <c r="H4229" s="498">
        <f t="shared" si="237"/>
        <v>85</v>
      </c>
      <c r="I4229" s="497" t="str">
        <f ca="1">IF(IFERROR(VLOOKUP(INDIRECT("'WPTM - Section F'!F"&amp;B4229),'Overview - Section A'!M$31:R198,6,0),IFERROR(VLOOKUP(INDIRECT("'WPTM - Section F'!F"&amp;B4229),'Overview - Section A'!E$27:J195,6,0),""))=0,"",IFERROR(VLOOKUP(INDIRECT("'WPTM - Section F'!F"&amp;B4229),'Overview - Section A'!M$31:R198,6,0),IFERROR(VLOOKUP(INDIRECT("'WPTM - Section F'!F"&amp;B4229),'Overview - Section A'!E$27:J195,6,0),"")))</f>
        <v/>
      </c>
      <c r="J4229" s="497" t="str">
        <f t="shared" ca="1" si="241"/>
        <v/>
      </c>
      <c r="K4229" s="503" t="str">
        <f t="shared" ca="1" si="242"/>
        <v/>
      </c>
      <c r="L4229" s="497" t="str">
        <f ca="1">IFERROR(INDEX('Reference Records'!F$412:F784,MATCH(INDIRECT("'WPTM - Section F'!AP"&amp;B4229)&amp;"|"&amp;INDIRECT("'WPTM - Section F'!C"&amp;$B4229),'Reference Records'!G$412:G784,0)),"")</f>
        <v/>
      </c>
      <c r="M4229" s="503" t="str">
        <f t="shared" ca="1" si="243"/>
        <v/>
      </c>
      <c r="N4229" s="503" t="str">
        <f t="shared" ca="1" si="244"/>
        <v/>
      </c>
      <c r="O4229" s="503" t="str">
        <f t="shared" ca="1" si="245"/>
        <v/>
      </c>
      <c r="P4229" s="503" t="str">
        <f t="shared" ca="1" si="246"/>
        <v/>
      </c>
      <c r="Q4229" s="503"/>
      <c r="R4229" s="512"/>
    </row>
    <row r="4230" spans="1:18" x14ac:dyDescent="0.35">
      <c r="A4230" s="497" t="b">
        <f t="shared" ca="1" si="238"/>
        <v>0</v>
      </c>
      <c r="B4230" s="497">
        <f t="shared" si="236"/>
        <v>14</v>
      </c>
      <c r="C4230" s="517" t="str">
        <f ca="1">IF(COUNTA($G$4062:G4229)=1,"",OFFSET(B4230,-COUNTA($G$4062:G4229)+1,1))</f>
        <v>a1N3p00000FRPPDEA5</v>
      </c>
      <c r="D4230" s="497" t="str">
        <f t="shared" ca="1" si="239"/>
        <v>INT-211703</v>
      </c>
      <c r="E4230" s="503"/>
      <c r="F4230" s="503" t="str">
        <f t="shared" ca="1" si="240"/>
        <v/>
      </c>
      <c r="G4230" s="520"/>
      <c r="H4230" s="498">
        <f t="shared" si="237"/>
        <v>86</v>
      </c>
      <c r="I4230" s="497" t="str">
        <f ca="1">IF(IFERROR(VLOOKUP(INDIRECT("'WPTM - Section F'!F"&amp;B4230),'Overview - Section A'!M$31:R199,6,0),IFERROR(VLOOKUP(INDIRECT("'WPTM - Section F'!F"&amp;B4230),'Overview - Section A'!E$27:J196,6,0),""))=0,"",IFERROR(VLOOKUP(INDIRECT("'WPTM - Section F'!F"&amp;B4230),'Overview - Section A'!M$31:R199,6,0),IFERROR(VLOOKUP(INDIRECT("'WPTM - Section F'!F"&amp;B4230),'Overview - Section A'!E$27:J196,6,0),"")))</f>
        <v/>
      </c>
      <c r="J4230" s="497" t="str">
        <f t="shared" ca="1" si="241"/>
        <v/>
      </c>
      <c r="K4230" s="503" t="str">
        <f t="shared" ca="1" si="242"/>
        <v/>
      </c>
      <c r="L4230" s="497" t="str">
        <f ca="1">IFERROR(INDEX('Reference Records'!F$412:F785,MATCH(INDIRECT("'WPTM - Section F'!AP"&amp;B4230)&amp;"|"&amp;INDIRECT("'WPTM - Section F'!C"&amp;$B4230),'Reference Records'!G$412:G785,0)),"")</f>
        <v/>
      </c>
      <c r="M4230" s="503" t="str">
        <f t="shared" ca="1" si="243"/>
        <v/>
      </c>
      <c r="N4230" s="503" t="str">
        <f t="shared" ca="1" si="244"/>
        <v/>
      </c>
      <c r="O4230" s="503" t="str">
        <f t="shared" ca="1" si="245"/>
        <v/>
      </c>
      <c r="P4230" s="503" t="str">
        <f t="shared" ca="1" si="246"/>
        <v/>
      </c>
      <c r="Q4230" s="503"/>
      <c r="R4230" s="512"/>
    </row>
    <row r="4231" spans="1:18" x14ac:dyDescent="0.35">
      <c r="A4231" s="497" t="b">
        <f t="shared" ca="1" si="238"/>
        <v>0</v>
      </c>
      <c r="B4231" s="497">
        <f t="shared" si="236"/>
        <v>15</v>
      </c>
      <c r="C4231" s="517" t="str">
        <f ca="1">IF(COUNTA($G$4062:G4230)=1,"",OFFSET(B4231,-COUNTA($G$4062:G4230)+1,1))</f>
        <v>a1N3p00000FRPNwEAP</v>
      </c>
      <c r="D4231" s="497" t="str">
        <f t="shared" ca="1" si="239"/>
        <v>INT-211703</v>
      </c>
      <c r="E4231" s="503"/>
      <c r="F4231" s="503" t="str">
        <f t="shared" ca="1" si="240"/>
        <v/>
      </c>
      <c r="G4231" s="520"/>
      <c r="H4231" s="498">
        <f t="shared" si="237"/>
        <v>87</v>
      </c>
      <c r="I4231" s="497" t="str">
        <f ca="1">IF(IFERROR(VLOOKUP(INDIRECT("'WPTM - Section F'!F"&amp;B4231),'Overview - Section A'!M$31:R200,6,0),IFERROR(VLOOKUP(INDIRECT("'WPTM - Section F'!F"&amp;B4231),'Overview - Section A'!E$27:J197,6,0),""))=0,"",IFERROR(VLOOKUP(INDIRECT("'WPTM - Section F'!F"&amp;B4231),'Overview - Section A'!M$31:R200,6,0),IFERROR(VLOOKUP(INDIRECT("'WPTM - Section F'!F"&amp;B4231),'Overview - Section A'!E$27:J197,6,0),"")))</f>
        <v/>
      </c>
      <c r="J4231" s="497" t="str">
        <f t="shared" ca="1" si="241"/>
        <v/>
      </c>
      <c r="K4231" s="503" t="str">
        <f t="shared" ca="1" si="242"/>
        <v/>
      </c>
      <c r="L4231" s="497" t="str">
        <f ca="1">IFERROR(INDEX('Reference Records'!F$412:F786,MATCH(INDIRECT("'WPTM - Section F'!AP"&amp;B4231)&amp;"|"&amp;INDIRECT("'WPTM - Section F'!C"&amp;$B4231),'Reference Records'!G$412:G786,0)),"")</f>
        <v/>
      </c>
      <c r="M4231" s="503" t="str">
        <f t="shared" ca="1" si="243"/>
        <v/>
      </c>
      <c r="N4231" s="503" t="str">
        <f t="shared" ca="1" si="244"/>
        <v/>
      </c>
      <c r="O4231" s="503" t="str">
        <f t="shared" ca="1" si="245"/>
        <v/>
      </c>
      <c r="P4231" s="503" t="str">
        <f t="shared" ca="1" si="246"/>
        <v/>
      </c>
      <c r="Q4231" s="503"/>
      <c r="R4231" s="512"/>
    </row>
    <row r="4232" spans="1:18" x14ac:dyDescent="0.35">
      <c r="A4232" s="497" t="b">
        <f t="shared" ca="1" si="238"/>
        <v>0</v>
      </c>
      <c r="B4232" s="497">
        <f t="shared" si="236"/>
        <v>16</v>
      </c>
      <c r="C4232" s="517" t="str">
        <f ca="1">IF(COUNTA($G$4062:G4231)=1,"",OFFSET(B4232,-COUNTA($G$4062:G4231)+1,1))</f>
        <v>a1N3p00000FRPPEEA5</v>
      </c>
      <c r="D4232" s="497" t="str">
        <f t="shared" ca="1" si="239"/>
        <v>INT-211703</v>
      </c>
      <c r="E4232" s="503"/>
      <c r="F4232" s="503" t="str">
        <f t="shared" ca="1" si="240"/>
        <v/>
      </c>
      <c r="G4232" s="520"/>
      <c r="H4232" s="498">
        <f t="shared" si="237"/>
        <v>88</v>
      </c>
      <c r="I4232" s="497" t="str">
        <f ca="1">IF(IFERROR(VLOOKUP(INDIRECT("'WPTM - Section F'!F"&amp;B4232),'Overview - Section A'!M$31:R201,6,0),IFERROR(VLOOKUP(INDIRECT("'WPTM - Section F'!F"&amp;B4232),'Overview - Section A'!E$27:J198,6,0),""))=0,"",IFERROR(VLOOKUP(INDIRECT("'WPTM - Section F'!F"&amp;B4232),'Overview - Section A'!M$31:R201,6,0),IFERROR(VLOOKUP(INDIRECT("'WPTM - Section F'!F"&amp;B4232),'Overview - Section A'!E$27:J198,6,0),"")))</f>
        <v/>
      </c>
      <c r="J4232" s="497" t="str">
        <f t="shared" ca="1" si="241"/>
        <v/>
      </c>
      <c r="K4232" s="503" t="str">
        <f t="shared" ca="1" si="242"/>
        <v/>
      </c>
      <c r="L4232" s="497" t="str">
        <f ca="1">IFERROR(INDEX('Reference Records'!F$412:F787,MATCH(INDIRECT("'WPTM - Section F'!AP"&amp;B4232)&amp;"|"&amp;INDIRECT("'WPTM - Section F'!C"&amp;$B4232),'Reference Records'!G$412:G787,0)),"")</f>
        <v/>
      </c>
      <c r="M4232" s="503" t="str">
        <f t="shared" ca="1" si="243"/>
        <v/>
      </c>
      <c r="N4232" s="503" t="str">
        <f t="shared" ca="1" si="244"/>
        <v/>
      </c>
      <c r="O4232" s="503" t="str">
        <f t="shared" ca="1" si="245"/>
        <v/>
      </c>
      <c r="P4232" s="503" t="str">
        <f t="shared" ca="1" si="246"/>
        <v/>
      </c>
      <c r="Q4232" s="503"/>
      <c r="R4232" s="512"/>
    </row>
    <row r="4233" spans="1:18" x14ac:dyDescent="0.35">
      <c r="A4233" s="497" t="b">
        <f t="shared" ca="1" si="238"/>
        <v>0</v>
      </c>
      <c r="B4233" s="497">
        <f t="shared" si="236"/>
        <v>17</v>
      </c>
      <c r="C4233" s="517" t="str">
        <f ca="1">IF(COUNTA($G$4062:G4232)=1,"",OFFSET(B4233,-COUNTA($G$4062:G4232)+1,1))</f>
        <v>a1N3p00000FRPNxEAP</v>
      </c>
      <c r="D4233" s="497" t="str">
        <f t="shared" ca="1" si="239"/>
        <v>INT-211703</v>
      </c>
      <c r="E4233" s="503"/>
      <c r="F4233" s="503" t="str">
        <f t="shared" ca="1" si="240"/>
        <v/>
      </c>
      <c r="G4233" s="520"/>
      <c r="H4233" s="498">
        <f t="shared" si="237"/>
        <v>89</v>
      </c>
      <c r="I4233" s="497" t="str">
        <f ca="1">IF(IFERROR(VLOOKUP(INDIRECT("'WPTM - Section F'!F"&amp;B4233),'Overview - Section A'!M$31:R202,6,0),IFERROR(VLOOKUP(INDIRECT("'WPTM - Section F'!F"&amp;B4233),'Overview - Section A'!E$27:J199,6,0),""))=0,"",IFERROR(VLOOKUP(INDIRECT("'WPTM - Section F'!F"&amp;B4233),'Overview - Section A'!M$31:R202,6,0),IFERROR(VLOOKUP(INDIRECT("'WPTM - Section F'!F"&amp;B4233),'Overview - Section A'!E$27:J199,6,0),"")))</f>
        <v/>
      </c>
      <c r="J4233" s="497" t="str">
        <f t="shared" ca="1" si="241"/>
        <v/>
      </c>
      <c r="K4233" s="503" t="str">
        <f t="shared" ca="1" si="242"/>
        <v/>
      </c>
      <c r="L4233" s="497" t="str">
        <f ca="1">IFERROR(INDEX('Reference Records'!F$412:F788,MATCH(INDIRECT("'WPTM - Section F'!AP"&amp;B4233)&amp;"|"&amp;INDIRECT("'WPTM - Section F'!C"&amp;$B4233),'Reference Records'!G$412:G788,0)),"")</f>
        <v/>
      </c>
      <c r="M4233" s="503" t="str">
        <f t="shared" ca="1" si="243"/>
        <v/>
      </c>
      <c r="N4233" s="503" t="str">
        <f t="shared" ca="1" si="244"/>
        <v/>
      </c>
      <c r="O4233" s="503" t="str">
        <f t="shared" ca="1" si="245"/>
        <v/>
      </c>
      <c r="P4233" s="503" t="str">
        <f t="shared" ca="1" si="246"/>
        <v/>
      </c>
      <c r="Q4233" s="503"/>
      <c r="R4233" s="512"/>
    </row>
    <row r="4234" spans="1:18" x14ac:dyDescent="0.35">
      <c r="A4234" s="497" t="b">
        <f t="shared" ca="1" si="238"/>
        <v>0</v>
      </c>
      <c r="B4234" s="497">
        <f t="shared" si="236"/>
        <v>18</v>
      </c>
      <c r="C4234" s="517" t="str">
        <f ca="1">IF(COUNTA($G$4062:G4233)=1,"",OFFSET(B4234,-COUNTA($G$4062:G4233)+1,1))</f>
        <v>a1N3p00000FRPPFEA5</v>
      </c>
      <c r="D4234" s="497" t="str">
        <f t="shared" ca="1" si="239"/>
        <v>INT-211703</v>
      </c>
      <c r="E4234" s="503"/>
      <c r="F4234" s="503" t="str">
        <f t="shared" ca="1" si="240"/>
        <v/>
      </c>
      <c r="G4234" s="520"/>
      <c r="H4234" s="498">
        <f t="shared" si="237"/>
        <v>90</v>
      </c>
      <c r="I4234" s="497" t="str">
        <f ca="1">IF(IFERROR(VLOOKUP(INDIRECT("'WPTM - Section F'!F"&amp;B4234),'Overview - Section A'!M$31:R203,6,0),IFERROR(VLOOKUP(INDIRECT("'WPTM - Section F'!F"&amp;B4234),'Overview - Section A'!E$27:J200,6,0),""))=0,"",IFERROR(VLOOKUP(INDIRECT("'WPTM - Section F'!F"&amp;B4234),'Overview - Section A'!M$31:R203,6,0),IFERROR(VLOOKUP(INDIRECT("'WPTM - Section F'!F"&amp;B4234),'Overview - Section A'!E$27:J200,6,0),"")))</f>
        <v/>
      </c>
      <c r="J4234" s="497" t="str">
        <f t="shared" ca="1" si="241"/>
        <v/>
      </c>
      <c r="K4234" s="503" t="str">
        <f t="shared" ca="1" si="242"/>
        <v/>
      </c>
      <c r="L4234" s="497" t="str">
        <f ca="1">IFERROR(INDEX('Reference Records'!F$412:F789,MATCH(INDIRECT("'WPTM - Section F'!AP"&amp;B4234)&amp;"|"&amp;INDIRECT("'WPTM - Section F'!C"&amp;$B4234),'Reference Records'!G$412:G789,0)),"")</f>
        <v/>
      </c>
      <c r="M4234" s="503" t="str">
        <f t="shared" ca="1" si="243"/>
        <v/>
      </c>
      <c r="N4234" s="503" t="str">
        <f t="shared" ca="1" si="244"/>
        <v/>
      </c>
      <c r="O4234" s="503" t="str">
        <f t="shared" ca="1" si="245"/>
        <v/>
      </c>
      <c r="P4234" s="503" t="str">
        <f t="shared" ca="1" si="246"/>
        <v/>
      </c>
      <c r="Q4234" s="503"/>
      <c r="R4234" s="512"/>
    </row>
    <row r="4235" spans="1:18" x14ac:dyDescent="0.35">
      <c r="A4235" s="497" t="b">
        <f t="shared" ca="1" si="238"/>
        <v>0</v>
      </c>
      <c r="B4235" s="497">
        <f t="shared" si="236"/>
        <v>19</v>
      </c>
      <c r="C4235" s="517" t="str">
        <f ca="1">IF(COUNTA($G$4062:G4234)=1,"",OFFSET(B4235,-COUNTA($G$4062:G4234)+1,1))</f>
        <v>a1N3p00000FRPNyEAP</v>
      </c>
      <c r="D4235" s="497" t="str">
        <f t="shared" ca="1" si="239"/>
        <v>INT-211703</v>
      </c>
      <c r="E4235" s="503"/>
      <c r="F4235" s="503" t="str">
        <f t="shared" ca="1" si="240"/>
        <v/>
      </c>
      <c r="G4235" s="520"/>
      <c r="H4235" s="498">
        <f t="shared" si="237"/>
        <v>91</v>
      </c>
      <c r="I4235" s="497" t="str">
        <f ca="1">IF(IFERROR(VLOOKUP(INDIRECT("'WPTM - Section F'!F"&amp;B4235),'Overview - Section A'!M$31:R204,6,0),IFERROR(VLOOKUP(INDIRECT("'WPTM - Section F'!F"&amp;B4235),'Overview - Section A'!E$27:J201,6,0),""))=0,"",IFERROR(VLOOKUP(INDIRECT("'WPTM - Section F'!F"&amp;B4235),'Overview - Section A'!M$31:R204,6,0),IFERROR(VLOOKUP(INDIRECT("'WPTM - Section F'!F"&amp;B4235),'Overview - Section A'!E$27:J201,6,0),"")))</f>
        <v/>
      </c>
      <c r="J4235" s="497" t="str">
        <f t="shared" ca="1" si="241"/>
        <v/>
      </c>
      <c r="K4235" s="503" t="str">
        <f t="shared" ca="1" si="242"/>
        <v/>
      </c>
      <c r="L4235" s="497" t="str">
        <f ca="1">IFERROR(INDEX('Reference Records'!F$412:F790,MATCH(INDIRECT("'WPTM - Section F'!AP"&amp;B4235)&amp;"|"&amp;INDIRECT("'WPTM - Section F'!C"&amp;$B4235),'Reference Records'!G$412:G790,0)),"")</f>
        <v/>
      </c>
      <c r="M4235" s="503" t="str">
        <f t="shared" ca="1" si="243"/>
        <v/>
      </c>
      <c r="N4235" s="503" t="str">
        <f t="shared" ca="1" si="244"/>
        <v/>
      </c>
      <c r="O4235" s="503" t="str">
        <f t="shared" ca="1" si="245"/>
        <v/>
      </c>
      <c r="P4235" s="503" t="str">
        <f t="shared" ca="1" si="246"/>
        <v/>
      </c>
      <c r="Q4235" s="503"/>
      <c r="R4235" s="512"/>
    </row>
    <row r="4236" spans="1:18" x14ac:dyDescent="0.35">
      <c r="A4236" s="497" t="b">
        <f t="shared" ca="1" si="238"/>
        <v>0</v>
      </c>
      <c r="B4236" s="497">
        <f t="shared" si="236"/>
        <v>20</v>
      </c>
      <c r="C4236" s="517" t="str">
        <f ca="1">IF(COUNTA($G$4062:G4235)=1,"",OFFSET(B4236,-COUNTA($G$4062:G4235)+1,1))</f>
        <v>a1N3p00000FRPPGEA5</v>
      </c>
      <c r="D4236" s="497" t="str">
        <f t="shared" ca="1" si="239"/>
        <v>INT-211703</v>
      </c>
      <c r="E4236" s="503"/>
      <c r="F4236" s="503" t="str">
        <f t="shared" ca="1" si="240"/>
        <v/>
      </c>
      <c r="G4236" s="520"/>
      <c r="H4236" s="498">
        <f t="shared" si="237"/>
        <v>92</v>
      </c>
      <c r="I4236" s="497" t="str">
        <f ca="1">IF(IFERROR(VLOOKUP(INDIRECT("'WPTM - Section F'!F"&amp;B4236),'Overview - Section A'!M$31:R205,6,0),IFERROR(VLOOKUP(INDIRECT("'WPTM - Section F'!F"&amp;B4236),'Overview - Section A'!E$27:J202,6,0),""))=0,"",IFERROR(VLOOKUP(INDIRECT("'WPTM - Section F'!F"&amp;B4236),'Overview - Section A'!M$31:R205,6,0),IFERROR(VLOOKUP(INDIRECT("'WPTM - Section F'!F"&amp;B4236),'Overview - Section A'!E$27:J202,6,0),"")))</f>
        <v/>
      </c>
      <c r="J4236" s="497" t="str">
        <f t="shared" ca="1" si="241"/>
        <v/>
      </c>
      <c r="K4236" s="503" t="str">
        <f t="shared" ca="1" si="242"/>
        <v/>
      </c>
      <c r="L4236" s="497" t="str">
        <f ca="1">IFERROR(INDEX('Reference Records'!F$412:F791,MATCH(INDIRECT("'WPTM - Section F'!AP"&amp;B4236)&amp;"|"&amp;INDIRECT("'WPTM - Section F'!C"&amp;$B4236),'Reference Records'!G$412:G791,0)),"")</f>
        <v/>
      </c>
      <c r="M4236" s="503" t="str">
        <f t="shared" ca="1" si="243"/>
        <v/>
      </c>
      <c r="N4236" s="503" t="str">
        <f t="shared" ca="1" si="244"/>
        <v/>
      </c>
      <c r="O4236" s="503" t="str">
        <f t="shared" ca="1" si="245"/>
        <v/>
      </c>
      <c r="P4236" s="503" t="str">
        <f t="shared" ca="1" si="246"/>
        <v/>
      </c>
      <c r="Q4236" s="503"/>
      <c r="R4236" s="512"/>
    </row>
    <row r="4237" spans="1:18" x14ac:dyDescent="0.35">
      <c r="A4237" s="497" t="b">
        <f t="shared" ca="1" si="238"/>
        <v>0</v>
      </c>
      <c r="B4237" s="497">
        <f t="shared" si="236"/>
        <v>21</v>
      </c>
      <c r="C4237" s="517" t="str">
        <f ca="1">IF(COUNTA($G$4062:G4236)=1,"",OFFSET(B4237,-COUNTA($G$4062:G4236)+1,1))</f>
        <v>a1N3p00000FRPNzEAP</v>
      </c>
      <c r="D4237" s="497" t="str">
        <f t="shared" ca="1" si="239"/>
        <v>INT-211703</v>
      </c>
      <c r="E4237" s="503"/>
      <c r="F4237" s="503" t="str">
        <f t="shared" ca="1" si="240"/>
        <v/>
      </c>
      <c r="G4237" s="520"/>
      <c r="H4237" s="498">
        <f t="shared" si="237"/>
        <v>93</v>
      </c>
      <c r="I4237" s="497" t="str">
        <f ca="1">IF(IFERROR(VLOOKUP(INDIRECT("'WPTM - Section F'!F"&amp;B4237),'Overview - Section A'!M$31:R206,6,0),IFERROR(VLOOKUP(INDIRECT("'WPTM - Section F'!F"&amp;B4237),'Overview - Section A'!E$27:J203,6,0),""))=0,"",IFERROR(VLOOKUP(INDIRECT("'WPTM - Section F'!F"&amp;B4237),'Overview - Section A'!M$31:R206,6,0),IFERROR(VLOOKUP(INDIRECT("'WPTM - Section F'!F"&amp;B4237),'Overview - Section A'!E$27:J203,6,0),"")))</f>
        <v/>
      </c>
      <c r="J4237" s="497" t="str">
        <f t="shared" ca="1" si="241"/>
        <v/>
      </c>
      <c r="K4237" s="503" t="str">
        <f t="shared" ca="1" si="242"/>
        <v/>
      </c>
      <c r="L4237" s="497" t="str">
        <f ca="1">IFERROR(INDEX('Reference Records'!F$412:F792,MATCH(INDIRECT("'WPTM - Section F'!AP"&amp;B4237)&amp;"|"&amp;INDIRECT("'WPTM - Section F'!C"&amp;$B4237),'Reference Records'!G$412:G792,0)),"")</f>
        <v/>
      </c>
      <c r="M4237" s="503" t="str">
        <f t="shared" ca="1" si="243"/>
        <v/>
      </c>
      <c r="N4237" s="503" t="str">
        <f t="shared" ca="1" si="244"/>
        <v/>
      </c>
      <c r="O4237" s="503" t="str">
        <f t="shared" ca="1" si="245"/>
        <v/>
      </c>
      <c r="P4237" s="503" t="str">
        <f t="shared" ca="1" si="246"/>
        <v/>
      </c>
      <c r="Q4237" s="503"/>
      <c r="R4237" s="512"/>
    </row>
    <row r="4238" spans="1:18" x14ac:dyDescent="0.35">
      <c r="A4238" s="497" t="b">
        <f t="shared" ca="1" si="238"/>
        <v>0</v>
      </c>
      <c r="B4238" s="497">
        <f t="shared" si="236"/>
        <v>22</v>
      </c>
      <c r="C4238" s="517" t="str">
        <f ca="1">IF(COUNTA($G$4062:G4237)=1,"",OFFSET(B4238,-COUNTA($G$4062:G4237)+1,1))</f>
        <v>a1N3p00000FRPPHEA5</v>
      </c>
      <c r="D4238" s="497" t="str">
        <f t="shared" ca="1" si="239"/>
        <v>INT-211703</v>
      </c>
      <c r="E4238" s="503"/>
      <c r="F4238" s="503" t="str">
        <f t="shared" ca="1" si="240"/>
        <v/>
      </c>
      <c r="G4238" s="520"/>
      <c r="H4238" s="498">
        <f t="shared" si="237"/>
        <v>94</v>
      </c>
      <c r="I4238" s="497" t="str">
        <f ca="1">IF(IFERROR(VLOOKUP(INDIRECT("'WPTM - Section F'!F"&amp;B4238),'Overview - Section A'!M$31:R207,6,0),IFERROR(VLOOKUP(INDIRECT("'WPTM - Section F'!F"&amp;B4238),'Overview - Section A'!E$27:J204,6,0),""))=0,"",IFERROR(VLOOKUP(INDIRECT("'WPTM - Section F'!F"&amp;B4238),'Overview - Section A'!M$31:R207,6,0),IFERROR(VLOOKUP(INDIRECT("'WPTM - Section F'!F"&amp;B4238),'Overview - Section A'!E$27:J204,6,0),"")))</f>
        <v/>
      </c>
      <c r="J4238" s="497" t="str">
        <f t="shared" ca="1" si="241"/>
        <v/>
      </c>
      <c r="K4238" s="503" t="str">
        <f t="shared" ca="1" si="242"/>
        <v/>
      </c>
      <c r="L4238" s="497" t="str">
        <f ca="1">IFERROR(INDEX('Reference Records'!F$412:F793,MATCH(INDIRECT("'WPTM - Section F'!AP"&amp;B4238)&amp;"|"&amp;INDIRECT("'WPTM - Section F'!C"&amp;$B4238),'Reference Records'!G$412:G793,0)),"")</f>
        <v/>
      </c>
      <c r="M4238" s="503" t="str">
        <f t="shared" ca="1" si="243"/>
        <v/>
      </c>
      <c r="N4238" s="503" t="str">
        <f t="shared" ca="1" si="244"/>
        <v/>
      </c>
      <c r="O4238" s="503" t="str">
        <f t="shared" ca="1" si="245"/>
        <v/>
      </c>
      <c r="P4238" s="503" t="str">
        <f t="shared" ca="1" si="246"/>
        <v/>
      </c>
      <c r="Q4238" s="503"/>
      <c r="R4238" s="512"/>
    </row>
    <row r="4239" spans="1:18" x14ac:dyDescent="0.35">
      <c r="A4239" s="497" t="b">
        <f t="shared" ca="1" si="238"/>
        <v>0</v>
      </c>
      <c r="B4239" s="497">
        <f t="shared" si="236"/>
        <v>23</v>
      </c>
      <c r="C4239" s="517" t="str">
        <f ca="1">IF(COUNTA($G$4062:G4238)=1,"",OFFSET(B4239,-COUNTA($G$4062:G4238)+1,1))</f>
        <v>a1N3p00000FRPO0EAP</v>
      </c>
      <c r="D4239" s="497" t="str">
        <f t="shared" ca="1" si="239"/>
        <v>INT-211703</v>
      </c>
      <c r="E4239" s="503"/>
      <c r="F4239" s="503" t="str">
        <f t="shared" ca="1" si="240"/>
        <v/>
      </c>
      <c r="G4239" s="520"/>
      <c r="H4239" s="498">
        <f t="shared" si="237"/>
        <v>95</v>
      </c>
      <c r="I4239" s="497" t="str">
        <f ca="1">IF(IFERROR(VLOOKUP(INDIRECT("'WPTM - Section F'!F"&amp;B4239),'Overview - Section A'!M$31:R208,6,0),IFERROR(VLOOKUP(INDIRECT("'WPTM - Section F'!F"&amp;B4239),'Overview - Section A'!E$27:J205,6,0),""))=0,"",IFERROR(VLOOKUP(INDIRECT("'WPTM - Section F'!F"&amp;B4239),'Overview - Section A'!M$31:R208,6,0),IFERROR(VLOOKUP(INDIRECT("'WPTM - Section F'!F"&amp;B4239),'Overview - Section A'!E$27:J205,6,0),"")))</f>
        <v/>
      </c>
      <c r="J4239" s="497" t="str">
        <f t="shared" ca="1" si="241"/>
        <v/>
      </c>
      <c r="K4239" s="503" t="str">
        <f t="shared" ca="1" si="242"/>
        <v/>
      </c>
      <c r="L4239" s="497" t="str">
        <f ca="1">IFERROR(INDEX('Reference Records'!F$412:F794,MATCH(INDIRECT("'WPTM - Section F'!AP"&amp;B4239)&amp;"|"&amp;INDIRECT("'WPTM - Section F'!C"&amp;$B4239),'Reference Records'!G$412:G794,0)),"")</f>
        <v/>
      </c>
      <c r="M4239" s="503" t="str">
        <f t="shared" ca="1" si="243"/>
        <v/>
      </c>
      <c r="N4239" s="503" t="str">
        <f t="shared" ca="1" si="244"/>
        <v/>
      </c>
      <c r="O4239" s="503" t="str">
        <f t="shared" ca="1" si="245"/>
        <v/>
      </c>
      <c r="P4239" s="503" t="str">
        <f t="shared" ca="1" si="246"/>
        <v/>
      </c>
      <c r="Q4239" s="503"/>
      <c r="R4239" s="512"/>
    </row>
    <row r="4240" spans="1:18" x14ac:dyDescent="0.35">
      <c r="A4240" s="497" t="b">
        <f t="shared" ca="1" si="238"/>
        <v>0</v>
      </c>
      <c r="B4240" s="497">
        <f t="shared" si="236"/>
        <v>24</v>
      </c>
      <c r="C4240" s="517" t="str">
        <f ca="1">IF(COUNTA($G$4062:G4239)=1,"",OFFSET(B4240,-COUNTA($G$4062:G4239)+1,1))</f>
        <v>a1N3p00000FRPPIEA5</v>
      </c>
      <c r="D4240" s="497" t="str">
        <f t="shared" ca="1" si="239"/>
        <v>INT-211703</v>
      </c>
      <c r="E4240" s="503"/>
      <c r="F4240" s="503" t="str">
        <f t="shared" ca="1" si="240"/>
        <v/>
      </c>
      <c r="G4240" s="520"/>
      <c r="H4240" s="498">
        <f t="shared" si="237"/>
        <v>96</v>
      </c>
      <c r="I4240" s="497" t="str">
        <f ca="1">IF(IFERROR(VLOOKUP(INDIRECT("'WPTM - Section F'!F"&amp;B4240),'Overview - Section A'!M$31:R209,6,0),IFERROR(VLOOKUP(INDIRECT("'WPTM - Section F'!F"&amp;B4240),'Overview - Section A'!E$27:J206,6,0),""))=0,"",IFERROR(VLOOKUP(INDIRECT("'WPTM - Section F'!F"&amp;B4240),'Overview - Section A'!M$31:R209,6,0),IFERROR(VLOOKUP(INDIRECT("'WPTM - Section F'!F"&amp;B4240),'Overview - Section A'!E$27:J206,6,0),"")))</f>
        <v/>
      </c>
      <c r="J4240" s="497" t="str">
        <f t="shared" ca="1" si="241"/>
        <v/>
      </c>
      <c r="K4240" s="503" t="str">
        <f t="shared" ca="1" si="242"/>
        <v/>
      </c>
      <c r="L4240" s="497" t="str">
        <f ca="1">IFERROR(INDEX('Reference Records'!F$412:F795,MATCH(INDIRECT("'WPTM - Section F'!AP"&amp;B4240)&amp;"|"&amp;INDIRECT("'WPTM - Section F'!C"&amp;$B4240),'Reference Records'!G$412:G795,0)),"")</f>
        <v/>
      </c>
      <c r="M4240" s="503" t="str">
        <f t="shared" ca="1" si="243"/>
        <v/>
      </c>
      <c r="N4240" s="503" t="str">
        <f t="shared" ca="1" si="244"/>
        <v/>
      </c>
      <c r="O4240" s="503" t="str">
        <f t="shared" ca="1" si="245"/>
        <v/>
      </c>
      <c r="P4240" s="503" t="str">
        <f t="shared" ca="1" si="246"/>
        <v/>
      </c>
      <c r="Q4240" s="503"/>
      <c r="R4240" s="512"/>
    </row>
    <row r="4241" spans="1:18" x14ac:dyDescent="0.35">
      <c r="A4241" s="497" t="b">
        <f t="shared" ca="1" si="238"/>
        <v>0</v>
      </c>
      <c r="B4241" s="497">
        <f t="shared" si="236"/>
        <v>25</v>
      </c>
      <c r="C4241" s="517" t="str">
        <f ca="1">IF(COUNTA($G$4062:G4240)=1,"",OFFSET(B4241,-COUNTA($G$4062:G4240)+1,1))</f>
        <v>a1N3p00000FRPO1EAP</v>
      </c>
      <c r="D4241" s="497" t="str">
        <f t="shared" ca="1" si="239"/>
        <v>INT-211703</v>
      </c>
      <c r="E4241" s="503"/>
      <c r="F4241" s="503" t="str">
        <f t="shared" ca="1" si="240"/>
        <v/>
      </c>
      <c r="G4241" s="520"/>
      <c r="H4241" s="498">
        <f t="shared" si="237"/>
        <v>97</v>
      </c>
      <c r="I4241" s="497" t="str">
        <f ca="1">IF(IFERROR(VLOOKUP(INDIRECT("'WPTM - Section F'!F"&amp;B4241),'Overview - Section A'!M$31:R210,6,0),IFERROR(VLOOKUP(INDIRECT("'WPTM - Section F'!F"&amp;B4241),'Overview - Section A'!E$27:J207,6,0),""))=0,"",IFERROR(VLOOKUP(INDIRECT("'WPTM - Section F'!F"&amp;B4241),'Overview - Section A'!M$31:R210,6,0),IFERROR(VLOOKUP(INDIRECT("'WPTM - Section F'!F"&amp;B4241),'Overview - Section A'!E$27:J207,6,0),"")))</f>
        <v/>
      </c>
      <c r="J4241" s="497" t="str">
        <f t="shared" ca="1" si="241"/>
        <v/>
      </c>
      <c r="K4241" s="503" t="str">
        <f t="shared" ca="1" si="242"/>
        <v/>
      </c>
      <c r="L4241" s="497" t="str">
        <f ca="1">IFERROR(INDEX('Reference Records'!F$412:F796,MATCH(INDIRECT("'WPTM - Section F'!AP"&amp;B4241)&amp;"|"&amp;INDIRECT("'WPTM - Section F'!C"&amp;$B4241),'Reference Records'!G$412:G796,0)),"")</f>
        <v/>
      </c>
      <c r="M4241" s="503" t="str">
        <f t="shared" ca="1" si="243"/>
        <v/>
      </c>
      <c r="N4241" s="503" t="str">
        <f t="shared" ca="1" si="244"/>
        <v/>
      </c>
      <c r="O4241" s="503" t="str">
        <f t="shared" ca="1" si="245"/>
        <v/>
      </c>
      <c r="P4241" s="503" t="str">
        <f t="shared" ca="1" si="246"/>
        <v/>
      </c>
      <c r="Q4241" s="503"/>
      <c r="R4241" s="512"/>
    </row>
    <row r="4242" spans="1:18" x14ac:dyDescent="0.35">
      <c r="A4242" s="497" t="b">
        <f t="shared" ca="1" si="238"/>
        <v>0</v>
      </c>
      <c r="B4242" s="497">
        <f t="shared" si="236"/>
        <v>26</v>
      </c>
      <c r="C4242" s="517" t="str">
        <f ca="1">IF(COUNTA($G$4062:G4241)=1,"",OFFSET(B4242,-COUNTA($G$4062:G4241)+1,1))</f>
        <v>a1N3p00000FRPPJEA5</v>
      </c>
      <c r="D4242" s="497" t="str">
        <f t="shared" ca="1" si="239"/>
        <v>INT-211703</v>
      </c>
      <c r="E4242" s="503"/>
      <c r="F4242" s="503" t="str">
        <f t="shared" ca="1" si="240"/>
        <v/>
      </c>
      <c r="G4242" s="520"/>
      <c r="H4242" s="498">
        <f t="shared" si="237"/>
        <v>98</v>
      </c>
      <c r="I4242" s="497" t="str">
        <f ca="1">IF(IFERROR(VLOOKUP(INDIRECT("'WPTM - Section F'!F"&amp;B4242),'Overview - Section A'!M$31:R211,6,0),IFERROR(VLOOKUP(INDIRECT("'WPTM - Section F'!F"&amp;B4242),'Overview - Section A'!E$27:J208,6,0),""))=0,"",IFERROR(VLOOKUP(INDIRECT("'WPTM - Section F'!F"&amp;B4242),'Overview - Section A'!M$31:R211,6,0),IFERROR(VLOOKUP(INDIRECT("'WPTM - Section F'!F"&amp;B4242),'Overview - Section A'!E$27:J208,6,0),"")))</f>
        <v/>
      </c>
      <c r="J4242" s="497" t="str">
        <f t="shared" ca="1" si="241"/>
        <v/>
      </c>
      <c r="K4242" s="503" t="str">
        <f t="shared" ca="1" si="242"/>
        <v/>
      </c>
      <c r="L4242" s="497" t="str">
        <f ca="1">IFERROR(INDEX('Reference Records'!F$412:F797,MATCH(INDIRECT("'WPTM - Section F'!AP"&amp;B4242)&amp;"|"&amp;INDIRECT("'WPTM - Section F'!C"&amp;$B4242),'Reference Records'!G$412:G797,0)),"")</f>
        <v/>
      </c>
      <c r="M4242" s="503" t="str">
        <f t="shared" ca="1" si="243"/>
        <v/>
      </c>
      <c r="N4242" s="503" t="str">
        <f t="shared" ca="1" si="244"/>
        <v/>
      </c>
      <c r="O4242" s="503" t="str">
        <f t="shared" ca="1" si="245"/>
        <v/>
      </c>
      <c r="P4242" s="503" t="str">
        <f t="shared" ca="1" si="246"/>
        <v/>
      </c>
      <c r="Q4242" s="503"/>
      <c r="R4242" s="512"/>
    </row>
    <row r="4243" spans="1:18" x14ac:dyDescent="0.35">
      <c r="A4243" s="497" t="b">
        <f t="shared" ca="1" si="238"/>
        <v>0</v>
      </c>
      <c r="B4243" s="497">
        <f t="shared" si="236"/>
        <v>27</v>
      </c>
      <c r="C4243" s="517" t="str">
        <f ca="1">IF(COUNTA($G$4062:G4242)=1,"",OFFSET(B4243,-COUNTA($G$4062:G4242)+1,1))</f>
        <v>a1N3p00000FRPO2EAP</v>
      </c>
      <c r="D4243" s="497" t="str">
        <f t="shared" ca="1" si="239"/>
        <v>INT-211703</v>
      </c>
      <c r="E4243" s="503"/>
      <c r="F4243" s="503" t="str">
        <f t="shared" ca="1" si="240"/>
        <v/>
      </c>
      <c r="G4243" s="520"/>
      <c r="H4243" s="498">
        <f t="shared" si="237"/>
        <v>99</v>
      </c>
      <c r="I4243" s="497" t="str">
        <f ca="1">IF(IFERROR(VLOOKUP(INDIRECT("'WPTM - Section F'!F"&amp;B4243),'Overview - Section A'!M$31:R212,6,0),IFERROR(VLOOKUP(INDIRECT("'WPTM - Section F'!F"&amp;B4243),'Overview - Section A'!E$27:J209,6,0),""))=0,"",IFERROR(VLOOKUP(INDIRECT("'WPTM - Section F'!F"&amp;B4243),'Overview - Section A'!M$31:R212,6,0),IFERROR(VLOOKUP(INDIRECT("'WPTM - Section F'!F"&amp;B4243),'Overview - Section A'!E$27:J209,6,0),"")))</f>
        <v/>
      </c>
      <c r="J4243" s="497" t="str">
        <f t="shared" ca="1" si="241"/>
        <v/>
      </c>
      <c r="K4243" s="503" t="str">
        <f t="shared" ca="1" si="242"/>
        <v/>
      </c>
      <c r="L4243" s="497" t="str">
        <f ca="1">IFERROR(INDEX('Reference Records'!F$412:F798,MATCH(INDIRECT("'WPTM - Section F'!AP"&amp;B4243)&amp;"|"&amp;INDIRECT("'WPTM - Section F'!C"&amp;$B4243),'Reference Records'!G$412:G798,0)),"")</f>
        <v/>
      </c>
      <c r="M4243" s="503" t="str">
        <f t="shared" ca="1" si="243"/>
        <v/>
      </c>
      <c r="N4243" s="503" t="str">
        <f t="shared" ca="1" si="244"/>
        <v/>
      </c>
      <c r="O4243" s="503" t="str">
        <f t="shared" ca="1" si="245"/>
        <v/>
      </c>
      <c r="P4243" s="503" t="str">
        <f t="shared" ca="1" si="246"/>
        <v/>
      </c>
      <c r="Q4243" s="503"/>
      <c r="R4243" s="512"/>
    </row>
    <row r="4244" spans="1:18" x14ac:dyDescent="0.35">
      <c r="A4244" s="497" t="b">
        <f t="shared" ca="1" si="238"/>
        <v>0</v>
      </c>
      <c r="B4244" s="497">
        <f t="shared" si="236"/>
        <v>28</v>
      </c>
      <c r="C4244" s="517" t="str">
        <f ca="1">IF(COUNTA($G$4062:G4243)=1,"",OFFSET(B4244,-COUNTA($G$4062:G4243)+1,1))</f>
        <v>a1N3p00000FRPPKEA5</v>
      </c>
      <c r="D4244" s="497" t="str">
        <f t="shared" ca="1" si="239"/>
        <v>INT-211703</v>
      </c>
      <c r="E4244" s="503"/>
      <c r="F4244" s="503" t="str">
        <f t="shared" ca="1" si="240"/>
        <v/>
      </c>
      <c r="G4244" s="520"/>
      <c r="H4244" s="498">
        <f t="shared" si="237"/>
        <v>100</v>
      </c>
      <c r="I4244" s="497" t="str">
        <f ca="1">IF(IFERROR(VLOOKUP(INDIRECT("'WPTM - Section F'!F"&amp;B4244),'Overview - Section A'!M$31:R213,6,0),IFERROR(VLOOKUP(INDIRECT("'WPTM - Section F'!F"&amp;B4244),'Overview - Section A'!E$27:J210,6,0),""))=0,"",IFERROR(VLOOKUP(INDIRECT("'WPTM - Section F'!F"&amp;B4244),'Overview - Section A'!M$31:R213,6,0),IFERROR(VLOOKUP(INDIRECT("'WPTM - Section F'!F"&amp;B4244),'Overview - Section A'!E$27:J210,6,0),"")))</f>
        <v/>
      </c>
      <c r="J4244" s="497" t="str">
        <f t="shared" ca="1" si="241"/>
        <v/>
      </c>
      <c r="K4244" s="503" t="str">
        <f t="shared" ca="1" si="242"/>
        <v/>
      </c>
      <c r="L4244" s="497" t="str">
        <f ca="1">IFERROR(INDEX('Reference Records'!F$412:F799,MATCH(INDIRECT("'WPTM - Section F'!AP"&amp;B4244)&amp;"|"&amp;INDIRECT("'WPTM - Section F'!C"&amp;$B4244),'Reference Records'!G$412:G799,0)),"")</f>
        <v/>
      </c>
      <c r="M4244" s="503" t="str">
        <f t="shared" ca="1" si="243"/>
        <v/>
      </c>
      <c r="N4244" s="503" t="str">
        <f t="shared" ca="1" si="244"/>
        <v/>
      </c>
      <c r="O4244" s="503" t="str">
        <f t="shared" ca="1" si="245"/>
        <v/>
      </c>
      <c r="P4244" s="503" t="str">
        <f t="shared" ca="1" si="246"/>
        <v/>
      </c>
      <c r="Q4244" s="503"/>
      <c r="R4244" s="512"/>
    </row>
    <row r="4245" spans="1:18" x14ac:dyDescent="0.35">
      <c r="A4245" s="497" t="b">
        <f t="shared" ca="1" si="238"/>
        <v>0</v>
      </c>
      <c r="B4245" s="497">
        <f t="shared" si="236"/>
        <v>29</v>
      </c>
      <c r="C4245" s="517" t="str">
        <f ca="1">IF(COUNTA($G$4062:G4244)=1,"",OFFSET(B4245,-COUNTA($G$4062:G4244)+1,1))</f>
        <v>a1N3p00000FRPO3EAP</v>
      </c>
      <c r="D4245" s="497" t="str">
        <f t="shared" ca="1" si="239"/>
        <v>INT-211703</v>
      </c>
      <c r="E4245" s="503"/>
      <c r="F4245" s="503" t="str">
        <f t="shared" ca="1" si="240"/>
        <v/>
      </c>
      <c r="G4245" s="520"/>
      <c r="H4245" s="498">
        <f t="shared" si="237"/>
        <v>101</v>
      </c>
      <c r="I4245" s="497" t="str">
        <f ca="1">IF(IFERROR(VLOOKUP(INDIRECT("'WPTM - Section F'!F"&amp;B4245),'Overview - Section A'!M$31:R214,6,0),IFERROR(VLOOKUP(INDIRECT("'WPTM - Section F'!F"&amp;B4245),'Overview - Section A'!E$27:J211,6,0),""))=0,"",IFERROR(VLOOKUP(INDIRECT("'WPTM - Section F'!F"&amp;B4245),'Overview - Section A'!M$31:R214,6,0),IFERROR(VLOOKUP(INDIRECT("'WPTM - Section F'!F"&amp;B4245),'Overview - Section A'!E$27:J211,6,0),"")))</f>
        <v/>
      </c>
      <c r="J4245" s="497" t="str">
        <f t="shared" ca="1" si="241"/>
        <v/>
      </c>
      <c r="K4245" s="503" t="str">
        <f t="shared" ca="1" si="242"/>
        <v/>
      </c>
      <c r="L4245" s="497" t="str">
        <f ca="1">IFERROR(INDEX('Reference Records'!F$412:F800,MATCH(INDIRECT("'WPTM - Section F'!AP"&amp;B4245)&amp;"|"&amp;INDIRECT("'WPTM - Section F'!C"&amp;$B4245),'Reference Records'!G$412:G800,0)),"")</f>
        <v/>
      </c>
      <c r="M4245" s="503" t="str">
        <f t="shared" ca="1" si="243"/>
        <v/>
      </c>
      <c r="N4245" s="503" t="str">
        <f t="shared" ca="1" si="244"/>
        <v/>
      </c>
      <c r="O4245" s="503" t="str">
        <f t="shared" ca="1" si="245"/>
        <v/>
      </c>
      <c r="P4245" s="503" t="str">
        <f t="shared" ca="1" si="246"/>
        <v/>
      </c>
      <c r="Q4245" s="503"/>
      <c r="R4245" s="512"/>
    </row>
    <row r="4246" spans="1:18" x14ac:dyDescent="0.35">
      <c r="A4246" s="497" t="b">
        <f t="shared" ca="1" si="238"/>
        <v>0</v>
      </c>
      <c r="B4246" s="497">
        <f t="shared" si="236"/>
        <v>30</v>
      </c>
      <c r="C4246" s="517" t="str">
        <f ca="1">IF(COUNTA($G$4062:G4245)=1,"",OFFSET(B4246,-COUNTA($G$4062:G4245)+1,1))</f>
        <v>a1N3p00000FRPPLEA5</v>
      </c>
      <c r="D4246" s="497" t="str">
        <f t="shared" ca="1" si="239"/>
        <v>INT-211703</v>
      </c>
      <c r="E4246" s="503"/>
      <c r="F4246" s="503" t="str">
        <f t="shared" ca="1" si="240"/>
        <v/>
      </c>
      <c r="G4246" s="520"/>
      <c r="H4246" s="498">
        <f t="shared" si="237"/>
        <v>102</v>
      </c>
      <c r="I4246" s="497" t="str">
        <f ca="1">IF(IFERROR(VLOOKUP(INDIRECT("'WPTM - Section F'!F"&amp;B4246),'Overview - Section A'!M$31:R215,6,0),IFERROR(VLOOKUP(INDIRECT("'WPTM - Section F'!F"&amp;B4246),'Overview - Section A'!E$27:J212,6,0),""))=0,"",IFERROR(VLOOKUP(INDIRECT("'WPTM - Section F'!F"&amp;B4246),'Overview - Section A'!M$31:R215,6,0),IFERROR(VLOOKUP(INDIRECT("'WPTM - Section F'!F"&amp;B4246),'Overview - Section A'!E$27:J212,6,0),"")))</f>
        <v/>
      </c>
      <c r="J4246" s="497" t="str">
        <f t="shared" ca="1" si="241"/>
        <v/>
      </c>
      <c r="K4246" s="503" t="str">
        <f t="shared" ca="1" si="242"/>
        <v/>
      </c>
      <c r="L4246" s="497" t="str">
        <f ca="1">IFERROR(INDEX('Reference Records'!F$412:F801,MATCH(INDIRECT("'WPTM - Section F'!AP"&amp;B4246)&amp;"|"&amp;INDIRECT("'WPTM - Section F'!C"&amp;$B4246),'Reference Records'!G$412:G801,0)),"")</f>
        <v/>
      </c>
      <c r="M4246" s="503" t="str">
        <f t="shared" ca="1" si="243"/>
        <v/>
      </c>
      <c r="N4246" s="503" t="str">
        <f t="shared" ca="1" si="244"/>
        <v/>
      </c>
      <c r="O4246" s="503" t="str">
        <f t="shared" ca="1" si="245"/>
        <v/>
      </c>
      <c r="P4246" s="503" t="str">
        <f t="shared" ca="1" si="246"/>
        <v/>
      </c>
      <c r="Q4246" s="503"/>
      <c r="R4246" s="512"/>
    </row>
    <row r="4247" spans="1:18" x14ac:dyDescent="0.35">
      <c r="A4247" s="497" t="b">
        <f t="shared" ca="1" si="238"/>
        <v>0</v>
      </c>
      <c r="B4247" s="497">
        <f t="shared" si="236"/>
        <v>31</v>
      </c>
      <c r="C4247" s="517" t="str">
        <f ca="1">IF(COUNTA($G$4062:G4246)=1,"",OFFSET(B4247,-COUNTA($G$4062:G4246)+1,1))</f>
        <v>a1N3p00000FRPO4EAP</v>
      </c>
      <c r="D4247" s="497" t="str">
        <f t="shared" ca="1" si="239"/>
        <v>INT-211703</v>
      </c>
      <c r="E4247" s="503"/>
      <c r="F4247" s="503" t="str">
        <f t="shared" ca="1" si="240"/>
        <v/>
      </c>
      <c r="G4247" s="520"/>
      <c r="H4247" s="498">
        <f t="shared" si="237"/>
        <v>103</v>
      </c>
      <c r="I4247" s="497" t="str">
        <f ca="1">IF(IFERROR(VLOOKUP(INDIRECT("'WPTM - Section F'!F"&amp;B4247),'Overview - Section A'!M$31:R216,6,0),IFERROR(VLOOKUP(INDIRECT("'WPTM - Section F'!F"&amp;B4247),'Overview - Section A'!E$27:J213,6,0),""))=0,"",IFERROR(VLOOKUP(INDIRECT("'WPTM - Section F'!F"&amp;B4247),'Overview - Section A'!M$31:R216,6,0),IFERROR(VLOOKUP(INDIRECT("'WPTM - Section F'!F"&amp;B4247),'Overview - Section A'!E$27:J213,6,0),"")))</f>
        <v/>
      </c>
      <c r="J4247" s="497" t="str">
        <f t="shared" ca="1" si="241"/>
        <v/>
      </c>
      <c r="K4247" s="503" t="str">
        <f t="shared" ca="1" si="242"/>
        <v/>
      </c>
      <c r="L4247" s="497" t="str">
        <f ca="1">IFERROR(INDEX('Reference Records'!F$412:F802,MATCH(INDIRECT("'WPTM - Section F'!AP"&amp;B4247)&amp;"|"&amp;INDIRECT("'WPTM - Section F'!C"&amp;$B4247),'Reference Records'!G$412:G802,0)),"")</f>
        <v/>
      </c>
      <c r="M4247" s="503" t="str">
        <f t="shared" ca="1" si="243"/>
        <v/>
      </c>
      <c r="N4247" s="503" t="str">
        <f t="shared" ca="1" si="244"/>
        <v/>
      </c>
      <c r="O4247" s="503" t="str">
        <f t="shared" ca="1" si="245"/>
        <v/>
      </c>
      <c r="P4247" s="503" t="str">
        <f t="shared" ca="1" si="246"/>
        <v/>
      </c>
      <c r="Q4247" s="503"/>
      <c r="R4247" s="512"/>
    </row>
    <row r="4248" spans="1:18" x14ac:dyDescent="0.35">
      <c r="A4248" s="497" t="b">
        <f t="shared" ca="1" si="238"/>
        <v>0</v>
      </c>
      <c r="B4248" s="497">
        <f t="shared" si="236"/>
        <v>32</v>
      </c>
      <c r="C4248" s="517" t="str">
        <f ca="1">IF(COUNTA($G$4062:G4247)=1,"",OFFSET(B4248,-COUNTA($G$4062:G4247)+1,1))</f>
        <v>a1N3p00000FRPPMEA5</v>
      </c>
      <c r="D4248" s="497" t="str">
        <f t="shared" ca="1" si="239"/>
        <v>INT-211703</v>
      </c>
      <c r="E4248" s="503"/>
      <c r="F4248" s="503" t="str">
        <f t="shared" ca="1" si="240"/>
        <v/>
      </c>
      <c r="G4248" s="520"/>
      <c r="H4248" s="498">
        <f t="shared" si="237"/>
        <v>104</v>
      </c>
      <c r="I4248" s="497" t="str">
        <f ca="1">IF(IFERROR(VLOOKUP(INDIRECT("'WPTM - Section F'!F"&amp;B4248),'Overview - Section A'!M$31:R217,6,0),IFERROR(VLOOKUP(INDIRECT("'WPTM - Section F'!F"&amp;B4248),'Overview - Section A'!E$27:J214,6,0),""))=0,"",IFERROR(VLOOKUP(INDIRECT("'WPTM - Section F'!F"&amp;B4248),'Overview - Section A'!M$31:R217,6,0),IFERROR(VLOOKUP(INDIRECT("'WPTM - Section F'!F"&amp;B4248),'Overview - Section A'!E$27:J214,6,0),"")))</f>
        <v/>
      </c>
      <c r="J4248" s="497" t="str">
        <f t="shared" ca="1" si="241"/>
        <v/>
      </c>
      <c r="K4248" s="503" t="str">
        <f t="shared" ca="1" si="242"/>
        <v/>
      </c>
      <c r="L4248" s="497" t="str">
        <f ca="1">IFERROR(INDEX('Reference Records'!F$412:F803,MATCH(INDIRECT("'WPTM - Section F'!AP"&amp;B4248)&amp;"|"&amp;INDIRECT("'WPTM - Section F'!C"&amp;$B4248),'Reference Records'!G$412:G803,0)),"")</f>
        <v/>
      </c>
      <c r="M4248" s="503" t="str">
        <f t="shared" ca="1" si="243"/>
        <v/>
      </c>
      <c r="N4248" s="503" t="str">
        <f t="shared" ca="1" si="244"/>
        <v/>
      </c>
      <c r="O4248" s="503" t="str">
        <f t="shared" ca="1" si="245"/>
        <v/>
      </c>
      <c r="P4248" s="503" t="str">
        <f t="shared" ca="1" si="246"/>
        <v/>
      </c>
      <c r="Q4248" s="503"/>
      <c r="R4248" s="512"/>
    </row>
    <row r="4249" spans="1:18" x14ac:dyDescent="0.35">
      <c r="A4249" s="497" t="b">
        <f t="shared" ca="1" si="238"/>
        <v>0</v>
      </c>
      <c r="B4249" s="497">
        <f t="shared" si="236"/>
        <v>33</v>
      </c>
      <c r="C4249" s="517" t="str">
        <f ca="1">IF(COUNTA($G$4062:G4248)=1,"",OFFSET(B4249,-COUNTA($G$4062:G4248)+1,1))</f>
        <v>a1N3p00000FRPO5EAP</v>
      </c>
      <c r="D4249" s="497" t="str">
        <f t="shared" ca="1" si="239"/>
        <v>INT-211703</v>
      </c>
      <c r="E4249" s="503"/>
      <c r="F4249" s="503" t="str">
        <f t="shared" ca="1" si="240"/>
        <v/>
      </c>
      <c r="G4249" s="520"/>
      <c r="H4249" s="498">
        <f t="shared" si="237"/>
        <v>105</v>
      </c>
      <c r="I4249" s="497" t="str">
        <f ca="1">IF(IFERROR(VLOOKUP(INDIRECT("'WPTM - Section F'!F"&amp;B4249),'Overview - Section A'!M$31:R218,6,0),IFERROR(VLOOKUP(INDIRECT("'WPTM - Section F'!F"&amp;B4249),'Overview - Section A'!E$27:J215,6,0),""))=0,"",IFERROR(VLOOKUP(INDIRECT("'WPTM - Section F'!F"&amp;B4249),'Overview - Section A'!M$31:R218,6,0),IFERROR(VLOOKUP(INDIRECT("'WPTM - Section F'!F"&amp;B4249),'Overview - Section A'!E$27:J215,6,0),"")))</f>
        <v/>
      </c>
      <c r="J4249" s="497" t="str">
        <f t="shared" ca="1" si="241"/>
        <v/>
      </c>
      <c r="K4249" s="503" t="str">
        <f t="shared" ca="1" si="242"/>
        <v/>
      </c>
      <c r="L4249" s="497" t="str">
        <f ca="1">IFERROR(INDEX('Reference Records'!F$412:F804,MATCH(INDIRECT("'WPTM - Section F'!AP"&amp;B4249)&amp;"|"&amp;INDIRECT("'WPTM - Section F'!C"&amp;$B4249),'Reference Records'!G$412:G804,0)),"")</f>
        <v/>
      </c>
      <c r="M4249" s="503" t="str">
        <f t="shared" ca="1" si="243"/>
        <v/>
      </c>
      <c r="N4249" s="503" t="str">
        <f t="shared" ca="1" si="244"/>
        <v/>
      </c>
      <c r="O4249" s="503" t="str">
        <f t="shared" ca="1" si="245"/>
        <v/>
      </c>
      <c r="P4249" s="503" t="str">
        <f t="shared" ca="1" si="246"/>
        <v/>
      </c>
      <c r="Q4249" s="503"/>
      <c r="R4249" s="512"/>
    </row>
    <row r="4250" spans="1:18" x14ac:dyDescent="0.35">
      <c r="A4250" s="497" t="b">
        <f t="shared" ca="1" si="238"/>
        <v>0</v>
      </c>
      <c r="B4250" s="497">
        <f t="shared" si="236"/>
        <v>34</v>
      </c>
      <c r="C4250" s="517" t="str">
        <f ca="1">IF(COUNTA($G$4062:G4249)=1,"",OFFSET(B4250,-COUNTA($G$4062:G4249)+1,1))</f>
        <v>a1N3p00000FRPPNEA5</v>
      </c>
      <c r="D4250" s="497" t="str">
        <f t="shared" ca="1" si="239"/>
        <v>INT-211703</v>
      </c>
      <c r="E4250" s="503"/>
      <c r="F4250" s="503" t="str">
        <f t="shared" ca="1" si="240"/>
        <v/>
      </c>
      <c r="G4250" s="520"/>
      <c r="H4250" s="498">
        <f t="shared" si="237"/>
        <v>106</v>
      </c>
      <c r="I4250" s="497" t="str">
        <f ca="1">IF(IFERROR(VLOOKUP(INDIRECT("'WPTM - Section F'!F"&amp;B4250),'Overview - Section A'!M$31:R219,6,0),IFERROR(VLOOKUP(INDIRECT("'WPTM - Section F'!F"&amp;B4250),'Overview - Section A'!E$27:J216,6,0),""))=0,"",IFERROR(VLOOKUP(INDIRECT("'WPTM - Section F'!F"&amp;B4250),'Overview - Section A'!M$31:R219,6,0),IFERROR(VLOOKUP(INDIRECT("'WPTM - Section F'!F"&amp;B4250),'Overview - Section A'!E$27:J216,6,0),"")))</f>
        <v/>
      </c>
      <c r="J4250" s="497" t="str">
        <f t="shared" ca="1" si="241"/>
        <v/>
      </c>
      <c r="K4250" s="503" t="str">
        <f t="shared" ca="1" si="242"/>
        <v/>
      </c>
      <c r="L4250" s="497" t="str">
        <f ca="1">IFERROR(INDEX('Reference Records'!F$412:F805,MATCH(INDIRECT("'WPTM - Section F'!AP"&amp;B4250)&amp;"|"&amp;INDIRECT("'WPTM - Section F'!C"&amp;$B4250),'Reference Records'!G$412:G805,0)),"")</f>
        <v/>
      </c>
      <c r="M4250" s="503" t="str">
        <f t="shared" ca="1" si="243"/>
        <v/>
      </c>
      <c r="N4250" s="503" t="str">
        <f t="shared" ca="1" si="244"/>
        <v/>
      </c>
      <c r="O4250" s="503" t="str">
        <f t="shared" ca="1" si="245"/>
        <v/>
      </c>
      <c r="P4250" s="503" t="str">
        <f t="shared" ca="1" si="246"/>
        <v/>
      </c>
      <c r="Q4250" s="503"/>
      <c r="R4250" s="512"/>
    </row>
    <row r="4251" spans="1:18" x14ac:dyDescent="0.35">
      <c r="A4251" s="497" t="b">
        <f t="shared" ca="1" si="238"/>
        <v>0</v>
      </c>
      <c r="B4251" s="497">
        <f t="shared" si="236"/>
        <v>35</v>
      </c>
      <c r="C4251" s="517" t="str">
        <f ca="1">IF(COUNTA($G$4062:G4250)=1,"",OFFSET(B4251,-COUNTA($G$4062:G4250)+1,1))</f>
        <v>a1N3p00000FRPO6EAP</v>
      </c>
      <c r="D4251" s="497" t="str">
        <f t="shared" ca="1" si="239"/>
        <v>INT-211703</v>
      </c>
      <c r="E4251" s="503"/>
      <c r="F4251" s="503" t="str">
        <f t="shared" ca="1" si="240"/>
        <v/>
      </c>
      <c r="G4251" s="520"/>
      <c r="H4251" s="498">
        <f t="shared" si="237"/>
        <v>107</v>
      </c>
      <c r="I4251" s="497" t="str">
        <f ca="1">IF(IFERROR(VLOOKUP(INDIRECT("'WPTM - Section F'!F"&amp;B4251),'Overview - Section A'!M$31:R220,6,0),IFERROR(VLOOKUP(INDIRECT("'WPTM - Section F'!F"&amp;B4251),'Overview - Section A'!E$27:J217,6,0),""))=0,"",IFERROR(VLOOKUP(INDIRECT("'WPTM - Section F'!F"&amp;B4251),'Overview - Section A'!M$31:R220,6,0),IFERROR(VLOOKUP(INDIRECT("'WPTM - Section F'!F"&amp;B4251),'Overview - Section A'!E$27:J217,6,0),"")))</f>
        <v/>
      </c>
      <c r="J4251" s="497" t="str">
        <f t="shared" ca="1" si="241"/>
        <v/>
      </c>
      <c r="K4251" s="503" t="str">
        <f t="shared" ca="1" si="242"/>
        <v/>
      </c>
      <c r="L4251" s="497" t="str">
        <f ca="1">IFERROR(INDEX('Reference Records'!F$412:F806,MATCH(INDIRECT("'WPTM - Section F'!AP"&amp;B4251)&amp;"|"&amp;INDIRECT("'WPTM - Section F'!C"&amp;$B4251),'Reference Records'!G$412:G806,0)),"")</f>
        <v/>
      </c>
      <c r="M4251" s="503" t="str">
        <f t="shared" ca="1" si="243"/>
        <v/>
      </c>
      <c r="N4251" s="503" t="str">
        <f t="shared" ca="1" si="244"/>
        <v/>
      </c>
      <c r="O4251" s="503" t="str">
        <f t="shared" ca="1" si="245"/>
        <v/>
      </c>
      <c r="P4251" s="503" t="str">
        <f t="shared" ca="1" si="246"/>
        <v/>
      </c>
      <c r="Q4251" s="503"/>
      <c r="R4251" s="512"/>
    </row>
    <row r="4252" spans="1:18" x14ac:dyDescent="0.35">
      <c r="A4252" s="497" t="b">
        <f t="shared" ca="1" si="238"/>
        <v>0</v>
      </c>
      <c r="B4252" s="497">
        <f t="shared" si="236"/>
        <v>36</v>
      </c>
      <c r="C4252" s="517" t="str">
        <f ca="1">IF(COUNTA($G$4062:G4251)=1,"",OFFSET(B4252,-COUNTA($G$4062:G4251)+1,1))</f>
        <v>a1N3p00000FRPPOEA5</v>
      </c>
      <c r="D4252" s="497" t="str">
        <f t="shared" ca="1" si="239"/>
        <v>INT-211703</v>
      </c>
      <c r="E4252" s="503"/>
      <c r="F4252" s="503" t="str">
        <f t="shared" ca="1" si="240"/>
        <v/>
      </c>
      <c r="G4252" s="520"/>
      <c r="H4252" s="498">
        <f t="shared" si="237"/>
        <v>108</v>
      </c>
      <c r="I4252" s="497" t="str">
        <f ca="1">IF(IFERROR(VLOOKUP(INDIRECT("'WPTM - Section F'!F"&amp;B4252),'Overview - Section A'!M$31:R221,6,0),IFERROR(VLOOKUP(INDIRECT("'WPTM - Section F'!F"&amp;B4252),'Overview - Section A'!E$27:J218,6,0),""))=0,"",IFERROR(VLOOKUP(INDIRECT("'WPTM - Section F'!F"&amp;B4252),'Overview - Section A'!M$31:R221,6,0),IFERROR(VLOOKUP(INDIRECT("'WPTM - Section F'!F"&amp;B4252),'Overview - Section A'!E$27:J218,6,0),"")))</f>
        <v/>
      </c>
      <c r="J4252" s="497" t="str">
        <f t="shared" ca="1" si="241"/>
        <v/>
      </c>
      <c r="K4252" s="503" t="str">
        <f t="shared" ca="1" si="242"/>
        <v/>
      </c>
      <c r="L4252" s="497" t="str">
        <f ca="1">IFERROR(INDEX('Reference Records'!F$412:F807,MATCH(INDIRECT("'WPTM - Section F'!AP"&amp;B4252)&amp;"|"&amp;INDIRECT("'WPTM - Section F'!C"&amp;$B4252),'Reference Records'!G$412:G807,0)),"")</f>
        <v/>
      </c>
      <c r="M4252" s="503" t="str">
        <f t="shared" ca="1" si="243"/>
        <v/>
      </c>
      <c r="N4252" s="503" t="str">
        <f t="shared" ca="1" si="244"/>
        <v/>
      </c>
      <c r="O4252" s="503" t="str">
        <f t="shared" ca="1" si="245"/>
        <v/>
      </c>
      <c r="P4252" s="503" t="str">
        <f t="shared" ca="1" si="246"/>
        <v/>
      </c>
      <c r="Q4252" s="503"/>
      <c r="R4252" s="512"/>
    </row>
    <row r="4253" spans="1:18" x14ac:dyDescent="0.35">
      <c r="A4253" s="497" t="b">
        <f t="shared" ca="1" si="238"/>
        <v>0</v>
      </c>
      <c r="B4253" s="497">
        <f t="shared" si="236"/>
        <v>37</v>
      </c>
      <c r="C4253" s="517" t="str">
        <f ca="1">IF(COUNTA($G$4062:G4252)=1,"",OFFSET(B4253,-COUNTA($G$4062:G4252)+1,1))</f>
        <v>a1N3p00000FRPO7EAP</v>
      </c>
      <c r="D4253" s="497" t="str">
        <f t="shared" ca="1" si="239"/>
        <v>INT-211703</v>
      </c>
      <c r="E4253" s="503"/>
      <c r="F4253" s="503" t="str">
        <f t="shared" ca="1" si="240"/>
        <v/>
      </c>
      <c r="G4253" s="520"/>
      <c r="H4253" s="498">
        <f t="shared" si="237"/>
        <v>109</v>
      </c>
      <c r="I4253" s="497" t="str">
        <f ca="1">IF(IFERROR(VLOOKUP(INDIRECT("'WPTM - Section F'!F"&amp;B4253),'Overview - Section A'!M$31:R222,6,0),IFERROR(VLOOKUP(INDIRECT("'WPTM - Section F'!F"&amp;B4253),'Overview - Section A'!E$27:J219,6,0),""))=0,"",IFERROR(VLOOKUP(INDIRECT("'WPTM - Section F'!F"&amp;B4253),'Overview - Section A'!M$31:R222,6,0),IFERROR(VLOOKUP(INDIRECT("'WPTM - Section F'!F"&amp;B4253),'Overview - Section A'!E$27:J219,6,0),"")))</f>
        <v/>
      </c>
      <c r="J4253" s="497" t="str">
        <f t="shared" ca="1" si="241"/>
        <v/>
      </c>
      <c r="K4253" s="503" t="str">
        <f t="shared" ca="1" si="242"/>
        <v/>
      </c>
      <c r="L4253" s="497" t="str">
        <f ca="1">IFERROR(INDEX('Reference Records'!F$412:F808,MATCH(INDIRECT("'WPTM - Section F'!AP"&amp;B4253)&amp;"|"&amp;INDIRECT("'WPTM - Section F'!C"&amp;$B4253),'Reference Records'!G$412:G808,0)),"")</f>
        <v/>
      </c>
      <c r="M4253" s="503" t="str">
        <f t="shared" ca="1" si="243"/>
        <v/>
      </c>
      <c r="N4253" s="503" t="str">
        <f t="shared" ca="1" si="244"/>
        <v/>
      </c>
      <c r="O4253" s="503" t="str">
        <f t="shared" ca="1" si="245"/>
        <v/>
      </c>
      <c r="P4253" s="503" t="str">
        <f t="shared" ca="1" si="246"/>
        <v/>
      </c>
      <c r="Q4253" s="503"/>
      <c r="R4253" s="512"/>
    </row>
    <row r="4254" spans="1:18" x14ac:dyDescent="0.35">
      <c r="A4254" s="497" t="b">
        <f t="shared" ca="1" si="238"/>
        <v>0</v>
      </c>
      <c r="B4254" s="497">
        <f t="shared" si="236"/>
        <v>38</v>
      </c>
      <c r="C4254" s="517" t="str">
        <f ca="1">IF(COUNTA($G$4062:G4253)=1,"",OFFSET(B4254,-COUNTA($G$4062:G4253)+1,1))</f>
        <v>a1N3p00000FRPPPEA5</v>
      </c>
      <c r="D4254" s="497" t="str">
        <f t="shared" ca="1" si="239"/>
        <v>INT-211703</v>
      </c>
      <c r="E4254" s="503"/>
      <c r="F4254" s="503" t="str">
        <f t="shared" ca="1" si="240"/>
        <v/>
      </c>
      <c r="G4254" s="520"/>
      <c r="H4254" s="498">
        <f t="shared" si="237"/>
        <v>110</v>
      </c>
      <c r="I4254" s="497" t="str">
        <f ca="1">IF(IFERROR(VLOOKUP(INDIRECT("'WPTM - Section F'!F"&amp;B4254),'Overview - Section A'!M$31:R223,6,0),IFERROR(VLOOKUP(INDIRECT("'WPTM - Section F'!F"&amp;B4254),'Overview - Section A'!E$27:J220,6,0),""))=0,"",IFERROR(VLOOKUP(INDIRECT("'WPTM - Section F'!F"&amp;B4254),'Overview - Section A'!M$31:R223,6,0),IFERROR(VLOOKUP(INDIRECT("'WPTM - Section F'!F"&amp;B4254),'Overview - Section A'!E$27:J220,6,0),"")))</f>
        <v/>
      </c>
      <c r="J4254" s="497" t="str">
        <f t="shared" ca="1" si="241"/>
        <v/>
      </c>
      <c r="K4254" s="503" t="str">
        <f t="shared" ca="1" si="242"/>
        <v/>
      </c>
      <c r="L4254" s="497" t="str">
        <f ca="1">IFERROR(INDEX('Reference Records'!F$412:F809,MATCH(INDIRECT("'WPTM - Section F'!AP"&amp;B4254)&amp;"|"&amp;INDIRECT("'WPTM - Section F'!C"&amp;$B4254),'Reference Records'!G$412:G809,0)),"")</f>
        <v/>
      </c>
      <c r="M4254" s="503" t="str">
        <f t="shared" ca="1" si="243"/>
        <v/>
      </c>
      <c r="N4254" s="503" t="str">
        <f t="shared" ca="1" si="244"/>
        <v/>
      </c>
      <c r="O4254" s="503" t="str">
        <f t="shared" ca="1" si="245"/>
        <v/>
      </c>
      <c r="P4254" s="503" t="str">
        <f t="shared" ca="1" si="246"/>
        <v/>
      </c>
      <c r="Q4254" s="503"/>
      <c r="R4254" s="512"/>
    </row>
    <row r="4255" spans="1:18" x14ac:dyDescent="0.35">
      <c r="A4255" s="497" t="b">
        <f t="shared" ca="1" si="238"/>
        <v>0</v>
      </c>
      <c r="B4255" s="497">
        <f t="shared" si="236"/>
        <v>39</v>
      </c>
      <c r="C4255" s="517" t="str">
        <f ca="1">IF(COUNTA($G$4062:G4254)=1,"",OFFSET(B4255,-COUNTA($G$4062:G4254)+1,1))</f>
        <v>a1N3p00000FRPO8EAP</v>
      </c>
      <c r="D4255" s="497" t="str">
        <f t="shared" ca="1" si="239"/>
        <v>INT-211703</v>
      </c>
      <c r="E4255" s="503"/>
      <c r="F4255" s="503" t="str">
        <f t="shared" ca="1" si="240"/>
        <v/>
      </c>
      <c r="G4255" s="520"/>
      <c r="H4255" s="498">
        <f t="shared" si="237"/>
        <v>111</v>
      </c>
      <c r="I4255" s="497" t="str">
        <f ca="1">IF(IFERROR(VLOOKUP(INDIRECT("'WPTM - Section F'!F"&amp;B4255),'Overview - Section A'!M$31:R224,6,0),IFERROR(VLOOKUP(INDIRECT("'WPTM - Section F'!F"&amp;B4255),'Overview - Section A'!E$27:J221,6,0),""))=0,"",IFERROR(VLOOKUP(INDIRECT("'WPTM - Section F'!F"&amp;B4255),'Overview - Section A'!M$31:R224,6,0),IFERROR(VLOOKUP(INDIRECT("'WPTM - Section F'!F"&amp;B4255),'Overview - Section A'!E$27:J221,6,0),"")))</f>
        <v/>
      </c>
      <c r="J4255" s="497" t="str">
        <f t="shared" ca="1" si="241"/>
        <v/>
      </c>
      <c r="K4255" s="503" t="str">
        <f t="shared" ca="1" si="242"/>
        <v/>
      </c>
      <c r="L4255" s="497" t="str">
        <f ca="1">IFERROR(INDEX('Reference Records'!F$412:F810,MATCH(INDIRECT("'WPTM - Section F'!AP"&amp;B4255)&amp;"|"&amp;INDIRECT("'WPTM - Section F'!C"&amp;$B4255),'Reference Records'!G$412:G810,0)),"")</f>
        <v/>
      </c>
      <c r="M4255" s="503" t="str">
        <f t="shared" ca="1" si="243"/>
        <v/>
      </c>
      <c r="N4255" s="503" t="str">
        <f t="shared" ca="1" si="244"/>
        <v/>
      </c>
      <c r="O4255" s="503" t="str">
        <f t="shared" ca="1" si="245"/>
        <v/>
      </c>
      <c r="P4255" s="503" t="str">
        <f t="shared" ca="1" si="246"/>
        <v/>
      </c>
      <c r="Q4255" s="503"/>
      <c r="R4255" s="512"/>
    </row>
    <row r="4256" spans="1:18" x14ac:dyDescent="0.35">
      <c r="A4256" s="497" t="b">
        <f t="shared" ca="1" si="238"/>
        <v>0</v>
      </c>
      <c r="B4256" s="497">
        <f t="shared" si="236"/>
        <v>40</v>
      </c>
      <c r="C4256" s="517" t="str">
        <f ca="1">IF(COUNTA($G$4062:G4255)=1,"",OFFSET(B4256,-COUNTA($G$4062:G4255)+1,1))</f>
        <v>a1N3p00000FRPPQEA5</v>
      </c>
      <c r="D4256" s="497" t="str">
        <f t="shared" ca="1" si="239"/>
        <v>INT-211703</v>
      </c>
      <c r="E4256" s="503"/>
      <c r="F4256" s="503" t="str">
        <f t="shared" ca="1" si="240"/>
        <v/>
      </c>
      <c r="G4256" s="520"/>
      <c r="H4256" s="498">
        <f t="shared" si="237"/>
        <v>112</v>
      </c>
      <c r="I4256" s="497" t="str">
        <f ca="1">IF(IFERROR(VLOOKUP(INDIRECT("'WPTM - Section F'!F"&amp;B4256),'Overview - Section A'!M$31:R225,6,0),IFERROR(VLOOKUP(INDIRECT("'WPTM - Section F'!F"&amp;B4256),'Overview - Section A'!E$27:J222,6,0),""))=0,"",IFERROR(VLOOKUP(INDIRECT("'WPTM - Section F'!F"&amp;B4256),'Overview - Section A'!M$31:R225,6,0),IFERROR(VLOOKUP(INDIRECT("'WPTM - Section F'!F"&amp;B4256),'Overview - Section A'!E$27:J222,6,0),"")))</f>
        <v/>
      </c>
      <c r="J4256" s="497" t="str">
        <f t="shared" ca="1" si="241"/>
        <v/>
      </c>
      <c r="K4256" s="503" t="str">
        <f t="shared" ca="1" si="242"/>
        <v/>
      </c>
      <c r="L4256" s="497" t="str">
        <f ca="1">IFERROR(INDEX('Reference Records'!F$412:F811,MATCH(INDIRECT("'WPTM - Section F'!AP"&amp;B4256)&amp;"|"&amp;INDIRECT("'WPTM - Section F'!C"&amp;$B4256),'Reference Records'!G$412:G811,0)),"")</f>
        <v/>
      </c>
      <c r="M4256" s="503" t="str">
        <f t="shared" ca="1" si="243"/>
        <v/>
      </c>
      <c r="N4256" s="503" t="str">
        <f t="shared" ca="1" si="244"/>
        <v/>
      </c>
      <c r="O4256" s="503" t="str">
        <f t="shared" ca="1" si="245"/>
        <v/>
      </c>
      <c r="P4256" s="503" t="str">
        <f t="shared" ca="1" si="246"/>
        <v/>
      </c>
      <c r="Q4256" s="503"/>
      <c r="R4256" s="512"/>
    </row>
    <row r="4257" spans="1:18" x14ac:dyDescent="0.35">
      <c r="A4257" s="497" t="b">
        <f t="shared" ca="1" si="238"/>
        <v>0</v>
      </c>
      <c r="B4257" s="497">
        <f t="shared" ref="B4257:B4304" si="247">IF(_xlfn.ISFORMULA(J4257),B4256+1,B4256)</f>
        <v>41</v>
      </c>
      <c r="C4257" s="517" t="str">
        <f ca="1">IF(COUNTA($G$4062:G4256)=1,"",OFFSET(B4257,-COUNTA($G$4062:G4256)+1,1))</f>
        <v>a1N3p00000FRPO9EAP</v>
      </c>
      <c r="D4257" s="497" t="str">
        <f t="shared" ca="1" si="239"/>
        <v>INT-211703</v>
      </c>
      <c r="E4257" s="503"/>
      <c r="F4257" s="503" t="str">
        <f t="shared" ca="1" si="240"/>
        <v/>
      </c>
      <c r="G4257" s="520"/>
      <c r="H4257" s="498">
        <f t="shared" ref="H4257:H4304" si="248">H4256+1</f>
        <v>113</v>
      </c>
      <c r="I4257" s="497" t="str">
        <f ca="1">IF(IFERROR(VLOOKUP(INDIRECT("'WPTM - Section F'!F"&amp;B4257),'Overview - Section A'!M$31:R226,6,0),IFERROR(VLOOKUP(INDIRECT("'WPTM - Section F'!F"&amp;B4257),'Overview - Section A'!E$27:J223,6,0),""))=0,"",IFERROR(VLOOKUP(INDIRECT("'WPTM - Section F'!F"&amp;B4257),'Overview - Section A'!M$31:R226,6,0),IFERROR(VLOOKUP(INDIRECT("'WPTM - Section F'!F"&amp;B4257),'Overview - Section A'!E$27:J223,6,0),"")))</f>
        <v/>
      </c>
      <c r="J4257" s="497" t="str">
        <f t="shared" ca="1" si="241"/>
        <v/>
      </c>
      <c r="K4257" s="503" t="str">
        <f t="shared" ca="1" si="242"/>
        <v/>
      </c>
      <c r="L4257" s="497" t="str">
        <f ca="1">IFERROR(INDEX('Reference Records'!F$412:F812,MATCH(INDIRECT("'WPTM - Section F'!AP"&amp;B4257)&amp;"|"&amp;INDIRECT("'WPTM - Section F'!C"&amp;$B4257),'Reference Records'!G$412:G812,0)),"")</f>
        <v/>
      </c>
      <c r="M4257" s="503" t="str">
        <f t="shared" ca="1" si="243"/>
        <v/>
      </c>
      <c r="N4257" s="503" t="str">
        <f t="shared" ca="1" si="244"/>
        <v/>
      </c>
      <c r="O4257" s="503" t="str">
        <f t="shared" ca="1" si="245"/>
        <v/>
      </c>
      <c r="P4257" s="503" t="str">
        <f t="shared" ca="1" si="246"/>
        <v/>
      </c>
      <c r="Q4257" s="503"/>
      <c r="R4257" s="512"/>
    </row>
    <row r="4258" spans="1:18" x14ac:dyDescent="0.35">
      <c r="A4258" s="497" t="b">
        <f t="shared" ca="1" si="238"/>
        <v>0</v>
      </c>
      <c r="B4258" s="497">
        <f t="shared" si="247"/>
        <v>42</v>
      </c>
      <c r="C4258" s="517" t="str">
        <f ca="1">IF(COUNTA($G$4062:G4257)=1,"",OFFSET(B4258,-COUNTA($G$4062:G4257)+1,1))</f>
        <v>a1N3p00000FRPPREA5</v>
      </c>
      <c r="D4258" s="497" t="str">
        <f t="shared" ca="1" si="239"/>
        <v>INT-211703</v>
      </c>
      <c r="E4258" s="503"/>
      <c r="F4258" s="503" t="str">
        <f t="shared" ca="1" si="240"/>
        <v/>
      </c>
      <c r="G4258" s="520"/>
      <c r="H4258" s="498">
        <f t="shared" si="248"/>
        <v>114</v>
      </c>
      <c r="I4258" s="497" t="str">
        <f ca="1">IF(IFERROR(VLOOKUP(INDIRECT("'WPTM - Section F'!F"&amp;B4258),'Overview - Section A'!M$31:R227,6,0),IFERROR(VLOOKUP(INDIRECT("'WPTM - Section F'!F"&amp;B4258),'Overview - Section A'!E$27:J224,6,0),""))=0,"",IFERROR(VLOOKUP(INDIRECT("'WPTM - Section F'!F"&amp;B4258),'Overview - Section A'!M$31:R227,6,0),IFERROR(VLOOKUP(INDIRECT("'WPTM - Section F'!F"&amp;B4258),'Overview - Section A'!E$27:J224,6,0),"")))</f>
        <v/>
      </c>
      <c r="J4258" s="497" t="str">
        <f t="shared" ca="1" si="241"/>
        <v/>
      </c>
      <c r="K4258" s="503" t="str">
        <f t="shared" ca="1" si="242"/>
        <v/>
      </c>
      <c r="L4258" s="497" t="str">
        <f ca="1">IFERROR(INDEX('Reference Records'!F$412:F813,MATCH(INDIRECT("'WPTM - Section F'!AP"&amp;B4258)&amp;"|"&amp;INDIRECT("'WPTM - Section F'!C"&amp;$B4258),'Reference Records'!G$412:G813,0)),"")</f>
        <v/>
      </c>
      <c r="M4258" s="503" t="str">
        <f t="shared" ca="1" si="243"/>
        <v/>
      </c>
      <c r="N4258" s="503" t="str">
        <f t="shared" ca="1" si="244"/>
        <v/>
      </c>
      <c r="O4258" s="503" t="str">
        <f t="shared" ca="1" si="245"/>
        <v/>
      </c>
      <c r="P4258" s="503" t="str">
        <f t="shared" ca="1" si="246"/>
        <v/>
      </c>
      <c r="Q4258" s="503"/>
      <c r="R4258" s="512"/>
    </row>
    <row r="4259" spans="1:18" x14ac:dyDescent="0.35">
      <c r="A4259" s="497" t="b">
        <f t="shared" ca="1" si="238"/>
        <v>0</v>
      </c>
      <c r="B4259" s="497">
        <f t="shared" si="247"/>
        <v>43</v>
      </c>
      <c r="C4259" s="517" t="str">
        <f ca="1">IF(COUNTA($G$4062:G4258)=1,"",OFFSET(B4259,-COUNTA($G$4062:G4258)+1,1))</f>
        <v>a1N3p00000FRPOAEA5</v>
      </c>
      <c r="D4259" s="497" t="str">
        <f t="shared" ca="1" si="239"/>
        <v>INT-211703</v>
      </c>
      <c r="E4259" s="503"/>
      <c r="F4259" s="503" t="str">
        <f t="shared" ca="1" si="240"/>
        <v/>
      </c>
      <c r="G4259" s="520"/>
      <c r="H4259" s="498">
        <f t="shared" si="248"/>
        <v>115</v>
      </c>
      <c r="I4259" s="497" t="str">
        <f ca="1">IF(IFERROR(VLOOKUP(INDIRECT("'WPTM - Section F'!F"&amp;B4259),'Overview - Section A'!M$31:R228,6,0),IFERROR(VLOOKUP(INDIRECT("'WPTM - Section F'!F"&amp;B4259),'Overview - Section A'!E$27:J225,6,0),""))=0,"",IFERROR(VLOOKUP(INDIRECT("'WPTM - Section F'!F"&amp;B4259),'Overview - Section A'!M$31:R228,6,0),IFERROR(VLOOKUP(INDIRECT("'WPTM - Section F'!F"&amp;B4259),'Overview - Section A'!E$27:J225,6,0),"")))</f>
        <v/>
      </c>
      <c r="J4259" s="497" t="str">
        <f t="shared" ca="1" si="241"/>
        <v/>
      </c>
      <c r="K4259" s="503" t="str">
        <f t="shared" ca="1" si="242"/>
        <v/>
      </c>
      <c r="L4259" s="497" t="str">
        <f ca="1">IFERROR(INDEX('Reference Records'!F$412:F814,MATCH(INDIRECT("'WPTM - Section F'!AP"&amp;B4259)&amp;"|"&amp;INDIRECT("'WPTM - Section F'!C"&amp;$B4259),'Reference Records'!G$412:G814,0)),"")</f>
        <v/>
      </c>
      <c r="M4259" s="503" t="str">
        <f t="shared" ca="1" si="243"/>
        <v/>
      </c>
      <c r="N4259" s="503" t="str">
        <f t="shared" ca="1" si="244"/>
        <v/>
      </c>
      <c r="O4259" s="503" t="str">
        <f t="shared" ca="1" si="245"/>
        <v/>
      </c>
      <c r="P4259" s="503" t="str">
        <f t="shared" ca="1" si="246"/>
        <v/>
      </c>
      <c r="Q4259" s="503"/>
      <c r="R4259" s="512"/>
    </row>
    <row r="4260" spans="1:18" x14ac:dyDescent="0.35">
      <c r="A4260" s="497" t="b">
        <f t="shared" ca="1" si="238"/>
        <v>0</v>
      </c>
      <c r="B4260" s="497">
        <f t="shared" si="247"/>
        <v>44</v>
      </c>
      <c r="C4260" s="517" t="str">
        <f ca="1">IF(COUNTA($G$4062:G4259)=1,"",OFFSET(B4260,-COUNTA($G$4062:G4259)+1,1))</f>
        <v>a1N3p00000FRPPSEA5</v>
      </c>
      <c r="D4260" s="497" t="str">
        <f t="shared" ca="1" si="239"/>
        <v>INT-211703</v>
      </c>
      <c r="E4260" s="503"/>
      <c r="F4260" s="503" t="str">
        <f t="shared" ca="1" si="240"/>
        <v/>
      </c>
      <c r="G4260" s="520"/>
      <c r="H4260" s="498">
        <f t="shared" si="248"/>
        <v>116</v>
      </c>
      <c r="I4260" s="497" t="str">
        <f ca="1">IF(IFERROR(VLOOKUP(INDIRECT("'WPTM - Section F'!F"&amp;B4260),'Overview - Section A'!M$31:R229,6,0),IFERROR(VLOOKUP(INDIRECT("'WPTM - Section F'!F"&amp;B4260),'Overview - Section A'!E$27:J226,6,0),""))=0,"",IFERROR(VLOOKUP(INDIRECT("'WPTM - Section F'!F"&amp;B4260),'Overview - Section A'!M$31:R229,6,0),IFERROR(VLOOKUP(INDIRECT("'WPTM - Section F'!F"&amp;B4260),'Overview - Section A'!E$27:J226,6,0),"")))</f>
        <v/>
      </c>
      <c r="J4260" s="497" t="str">
        <f t="shared" ca="1" si="241"/>
        <v/>
      </c>
      <c r="K4260" s="503" t="str">
        <f t="shared" ca="1" si="242"/>
        <v/>
      </c>
      <c r="L4260" s="497" t="str">
        <f ca="1">IFERROR(INDEX('Reference Records'!F$412:F815,MATCH(INDIRECT("'WPTM - Section F'!AP"&amp;B4260)&amp;"|"&amp;INDIRECT("'WPTM - Section F'!C"&amp;$B4260),'Reference Records'!G$412:G815,0)),"")</f>
        <v/>
      </c>
      <c r="M4260" s="503" t="str">
        <f t="shared" ca="1" si="243"/>
        <v/>
      </c>
      <c r="N4260" s="503" t="str">
        <f t="shared" ca="1" si="244"/>
        <v/>
      </c>
      <c r="O4260" s="503" t="str">
        <f t="shared" ca="1" si="245"/>
        <v/>
      </c>
      <c r="P4260" s="503" t="str">
        <f t="shared" ca="1" si="246"/>
        <v/>
      </c>
      <c r="Q4260" s="503"/>
      <c r="R4260" s="512"/>
    </row>
    <row r="4261" spans="1:18" x14ac:dyDescent="0.35">
      <c r="A4261" s="497" t="b">
        <f t="shared" ca="1" si="238"/>
        <v>0</v>
      </c>
      <c r="B4261" s="497">
        <f t="shared" si="247"/>
        <v>45</v>
      </c>
      <c r="C4261" s="517" t="str">
        <f ca="1">IF(COUNTA($G$4062:G4260)=1,"",OFFSET(B4261,-COUNTA($G$4062:G4260)+1,1))</f>
        <v>a1N3p00000FRPOBEA5</v>
      </c>
      <c r="D4261" s="497" t="str">
        <f t="shared" ca="1" si="239"/>
        <v>INT-211703</v>
      </c>
      <c r="E4261" s="503"/>
      <c r="F4261" s="503" t="str">
        <f t="shared" ca="1" si="240"/>
        <v/>
      </c>
      <c r="G4261" s="520"/>
      <c r="H4261" s="498">
        <f t="shared" si="248"/>
        <v>117</v>
      </c>
      <c r="I4261" s="497" t="str">
        <f ca="1">IF(IFERROR(VLOOKUP(INDIRECT("'WPTM - Section F'!F"&amp;B4261),'Overview - Section A'!M$31:R230,6,0),IFERROR(VLOOKUP(INDIRECT("'WPTM - Section F'!F"&amp;B4261),'Overview - Section A'!E$27:J227,6,0),""))=0,"",IFERROR(VLOOKUP(INDIRECT("'WPTM - Section F'!F"&amp;B4261),'Overview - Section A'!M$31:R230,6,0),IFERROR(VLOOKUP(INDIRECT("'WPTM - Section F'!F"&amp;B4261),'Overview - Section A'!E$27:J227,6,0),"")))</f>
        <v/>
      </c>
      <c r="J4261" s="497" t="str">
        <f t="shared" ca="1" si="241"/>
        <v/>
      </c>
      <c r="K4261" s="503" t="str">
        <f t="shared" ca="1" si="242"/>
        <v/>
      </c>
      <c r="L4261" s="497" t="str">
        <f ca="1">IFERROR(INDEX('Reference Records'!F$412:F816,MATCH(INDIRECT("'WPTM - Section F'!AP"&amp;B4261)&amp;"|"&amp;INDIRECT("'WPTM - Section F'!C"&amp;$B4261),'Reference Records'!G$412:G816,0)),"")</f>
        <v/>
      </c>
      <c r="M4261" s="503" t="str">
        <f t="shared" ca="1" si="243"/>
        <v/>
      </c>
      <c r="N4261" s="503" t="str">
        <f t="shared" ca="1" si="244"/>
        <v/>
      </c>
      <c r="O4261" s="503" t="str">
        <f t="shared" ca="1" si="245"/>
        <v/>
      </c>
      <c r="P4261" s="503" t="str">
        <f t="shared" ca="1" si="246"/>
        <v/>
      </c>
      <c r="Q4261" s="503"/>
      <c r="R4261" s="512"/>
    </row>
    <row r="4262" spans="1:18" x14ac:dyDescent="0.35">
      <c r="A4262" s="497" t="b">
        <f t="shared" ca="1" si="238"/>
        <v>0</v>
      </c>
      <c r="B4262" s="497">
        <f t="shared" si="247"/>
        <v>46</v>
      </c>
      <c r="C4262" s="517" t="str">
        <f ca="1">IF(COUNTA($G$4062:G4261)=1,"",OFFSET(B4262,-COUNTA($G$4062:G4261)+1,1))</f>
        <v>a1N3p00000FRPPTEA5</v>
      </c>
      <c r="D4262" s="497" t="str">
        <f t="shared" ca="1" si="239"/>
        <v>INT-211703</v>
      </c>
      <c r="E4262" s="503"/>
      <c r="F4262" s="503" t="str">
        <f t="shared" ca="1" si="240"/>
        <v/>
      </c>
      <c r="G4262" s="520"/>
      <c r="H4262" s="498">
        <f t="shared" si="248"/>
        <v>118</v>
      </c>
      <c r="I4262" s="497" t="str">
        <f ca="1">IF(IFERROR(VLOOKUP(INDIRECT("'WPTM - Section F'!F"&amp;B4262),'Overview - Section A'!M$31:R231,6,0),IFERROR(VLOOKUP(INDIRECT("'WPTM - Section F'!F"&amp;B4262),'Overview - Section A'!E$27:J228,6,0),""))=0,"",IFERROR(VLOOKUP(INDIRECT("'WPTM - Section F'!F"&amp;B4262),'Overview - Section A'!M$31:R231,6,0),IFERROR(VLOOKUP(INDIRECT("'WPTM - Section F'!F"&amp;B4262),'Overview - Section A'!E$27:J228,6,0),"")))</f>
        <v/>
      </c>
      <c r="J4262" s="497" t="str">
        <f t="shared" ca="1" si="241"/>
        <v/>
      </c>
      <c r="K4262" s="503" t="str">
        <f t="shared" ca="1" si="242"/>
        <v/>
      </c>
      <c r="L4262" s="497" t="str">
        <f ca="1">IFERROR(INDEX('Reference Records'!F$412:F817,MATCH(INDIRECT("'WPTM - Section F'!AP"&amp;B4262)&amp;"|"&amp;INDIRECT("'WPTM - Section F'!C"&amp;$B4262),'Reference Records'!G$412:G817,0)),"")</f>
        <v/>
      </c>
      <c r="M4262" s="503" t="str">
        <f t="shared" ca="1" si="243"/>
        <v/>
      </c>
      <c r="N4262" s="503" t="str">
        <f t="shared" ca="1" si="244"/>
        <v/>
      </c>
      <c r="O4262" s="503" t="str">
        <f t="shared" ca="1" si="245"/>
        <v/>
      </c>
      <c r="P4262" s="503" t="str">
        <f t="shared" ca="1" si="246"/>
        <v/>
      </c>
      <c r="Q4262" s="503"/>
      <c r="R4262" s="512"/>
    </row>
    <row r="4263" spans="1:18" x14ac:dyDescent="0.35">
      <c r="A4263" s="497" t="b">
        <f t="shared" ca="1" si="238"/>
        <v>0</v>
      </c>
      <c r="B4263" s="497">
        <f t="shared" si="247"/>
        <v>47</v>
      </c>
      <c r="C4263" s="517" t="str">
        <f ca="1">IF(COUNTA($G$4062:G4262)=1,"",OFFSET(B4263,-COUNTA($G$4062:G4262)+1,1))</f>
        <v>a1N3p00000FRPOCEA5</v>
      </c>
      <c r="D4263" s="497" t="str">
        <f t="shared" ca="1" si="239"/>
        <v>INT-211703</v>
      </c>
      <c r="E4263" s="503"/>
      <c r="F4263" s="503" t="str">
        <f t="shared" ca="1" si="240"/>
        <v/>
      </c>
      <c r="G4263" s="520"/>
      <c r="H4263" s="498">
        <f t="shared" si="248"/>
        <v>119</v>
      </c>
      <c r="I4263" s="497" t="str">
        <f ca="1">IF(IFERROR(VLOOKUP(INDIRECT("'WPTM - Section F'!F"&amp;B4263),'Overview - Section A'!M$31:R232,6,0),IFERROR(VLOOKUP(INDIRECT("'WPTM - Section F'!F"&amp;B4263),'Overview - Section A'!E$27:J229,6,0),""))=0,"",IFERROR(VLOOKUP(INDIRECT("'WPTM - Section F'!F"&amp;B4263),'Overview - Section A'!M$31:R232,6,0),IFERROR(VLOOKUP(INDIRECT("'WPTM - Section F'!F"&amp;B4263),'Overview - Section A'!E$27:J229,6,0),"")))</f>
        <v/>
      </c>
      <c r="J4263" s="497" t="str">
        <f t="shared" ca="1" si="241"/>
        <v/>
      </c>
      <c r="K4263" s="503" t="str">
        <f t="shared" ca="1" si="242"/>
        <v/>
      </c>
      <c r="L4263" s="497" t="str">
        <f ca="1">IFERROR(INDEX('Reference Records'!F$412:F818,MATCH(INDIRECT("'WPTM - Section F'!AP"&amp;B4263)&amp;"|"&amp;INDIRECT("'WPTM - Section F'!C"&amp;$B4263),'Reference Records'!G$412:G818,0)),"")</f>
        <v/>
      </c>
      <c r="M4263" s="503" t="str">
        <f t="shared" ca="1" si="243"/>
        <v/>
      </c>
      <c r="N4263" s="503" t="str">
        <f t="shared" ca="1" si="244"/>
        <v/>
      </c>
      <c r="O4263" s="503" t="str">
        <f t="shared" ca="1" si="245"/>
        <v/>
      </c>
      <c r="P4263" s="503" t="str">
        <f t="shared" ca="1" si="246"/>
        <v/>
      </c>
      <c r="Q4263" s="503"/>
      <c r="R4263" s="512"/>
    </row>
    <row r="4264" spans="1:18" x14ac:dyDescent="0.35">
      <c r="A4264" s="497" t="b">
        <f t="shared" ca="1" si="238"/>
        <v>0</v>
      </c>
      <c r="B4264" s="497">
        <f t="shared" si="247"/>
        <v>48</v>
      </c>
      <c r="C4264" s="517" t="str">
        <f ca="1">IF(COUNTA($G$4062:G4263)=1,"",OFFSET(B4264,-COUNTA($G$4062:G4263)+1,1))</f>
        <v>a1N3p00000FRPPVEA5</v>
      </c>
      <c r="D4264" s="497" t="str">
        <f t="shared" ca="1" si="239"/>
        <v>INT-211703</v>
      </c>
      <c r="E4264" s="503"/>
      <c r="F4264" s="503" t="str">
        <f t="shared" ca="1" si="240"/>
        <v/>
      </c>
      <c r="G4264" s="520"/>
      <c r="H4264" s="498">
        <f t="shared" si="248"/>
        <v>120</v>
      </c>
      <c r="I4264" s="497" t="str">
        <f ca="1">IF(IFERROR(VLOOKUP(INDIRECT("'WPTM - Section F'!F"&amp;B4264),'Overview - Section A'!M$31:R233,6,0),IFERROR(VLOOKUP(INDIRECT("'WPTM - Section F'!F"&amp;B4264),'Overview - Section A'!E$27:J230,6,0),""))=0,"",IFERROR(VLOOKUP(INDIRECT("'WPTM - Section F'!F"&amp;B4264),'Overview - Section A'!M$31:R233,6,0),IFERROR(VLOOKUP(INDIRECT("'WPTM - Section F'!F"&amp;B4264),'Overview - Section A'!E$27:J230,6,0),"")))</f>
        <v/>
      </c>
      <c r="J4264" s="497" t="str">
        <f t="shared" ca="1" si="241"/>
        <v/>
      </c>
      <c r="K4264" s="503" t="str">
        <f t="shared" ca="1" si="242"/>
        <v/>
      </c>
      <c r="L4264" s="497" t="str">
        <f ca="1">IFERROR(INDEX('Reference Records'!F$412:F819,MATCH(INDIRECT("'WPTM - Section F'!AP"&amp;B4264)&amp;"|"&amp;INDIRECT("'WPTM - Section F'!C"&amp;$B4264),'Reference Records'!G$412:G819,0)),"")</f>
        <v/>
      </c>
      <c r="M4264" s="503" t="str">
        <f t="shared" ca="1" si="243"/>
        <v/>
      </c>
      <c r="N4264" s="503" t="str">
        <f t="shared" ca="1" si="244"/>
        <v/>
      </c>
      <c r="O4264" s="503" t="str">
        <f t="shared" ca="1" si="245"/>
        <v/>
      </c>
      <c r="P4264" s="503" t="str">
        <f t="shared" ca="1" si="246"/>
        <v/>
      </c>
      <c r="Q4264" s="503"/>
      <c r="R4264" s="512"/>
    </row>
    <row r="4265" spans="1:18" x14ac:dyDescent="0.35">
      <c r="A4265" s="497" t="b">
        <f t="shared" ca="1" si="238"/>
        <v>0</v>
      </c>
      <c r="B4265" s="497">
        <f t="shared" si="247"/>
        <v>49</v>
      </c>
      <c r="C4265" s="517" t="str">
        <f ca="1">IF(COUNTA($G$4062:G4264)=1,"",OFFSET(B4265,-COUNTA($G$4062:G4264)+1,1))</f>
        <v>a1N3p00000FRPODEA5</v>
      </c>
      <c r="D4265" s="497" t="str">
        <f t="shared" ca="1" si="239"/>
        <v>INT-211703</v>
      </c>
      <c r="E4265" s="503"/>
      <c r="F4265" s="503" t="str">
        <f t="shared" ca="1" si="240"/>
        <v/>
      </c>
      <c r="G4265" s="520"/>
      <c r="H4265" s="498">
        <f t="shared" si="248"/>
        <v>121</v>
      </c>
      <c r="I4265" s="497" t="str">
        <f ca="1">IF(IFERROR(VLOOKUP(INDIRECT("'WPTM - Section F'!F"&amp;B4265),'Overview - Section A'!M$31:R234,6,0),IFERROR(VLOOKUP(INDIRECT("'WPTM - Section F'!F"&amp;B4265),'Overview - Section A'!E$27:J231,6,0),""))=0,"",IFERROR(VLOOKUP(INDIRECT("'WPTM - Section F'!F"&amp;B4265),'Overview - Section A'!M$31:R234,6,0),IFERROR(VLOOKUP(INDIRECT("'WPTM - Section F'!F"&amp;B4265),'Overview - Section A'!E$27:J231,6,0),"")))</f>
        <v/>
      </c>
      <c r="J4265" s="497" t="str">
        <f t="shared" ca="1" si="241"/>
        <v/>
      </c>
      <c r="K4265" s="503" t="str">
        <f t="shared" ca="1" si="242"/>
        <v/>
      </c>
      <c r="L4265" s="497" t="str">
        <f ca="1">IFERROR(INDEX('Reference Records'!F$412:F820,MATCH(INDIRECT("'WPTM - Section F'!AP"&amp;B4265)&amp;"|"&amp;INDIRECT("'WPTM - Section F'!C"&amp;$B4265),'Reference Records'!G$412:G820,0)),"")</f>
        <v/>
      </c>
      <c r="M4265" s="503" t="str">
        <f t="shared" ca="1" si="243"/>
        <v/>
      </c>
      <c r="N4265" s="503" t="str">
        <f t="shared" ca="1" si="244"/>
        <v/>
      </c>
      <c r="O4265" s="503" t="str">
        <f t="shared" ca="1" si="245"/>
        <v/>
      </c>
      <c r="P4265" s="503" t="str">
        <f t="shared" ca="1" si="246"/>
        <v/>
      </c>
      <c r="Q4265" s="503"/>
      <c r="R4265" s="512"/>
    </row>
    <row r="4266" spans="1:18" x14ac:dyDescent="0.35">
      <c r="A4266" s="497" t="b">
        <f t="shared" ca="1" si="238"/>
        <v>0</v>
      </c>
      <c r="B4266" s="497">
        <f t="shared" si="247"/>
        <v>50</v>
      </c>
      <c r="C4266" s="517" t="str">
        <f ca="1">IF(COUNTA($G$4062:G4265)=1,"",OFFSET(B4266,-COUNTA($G$4062:G4265)+1,1))</f>
        <v>a1N3p00000FRPPWEA5</v>
      </c>
      <c r="D4266" s="497" t="str">
        <f t="shared" ca="1" si="239"/>
        <v>INT-211703</v>
      </c>
      <c r="E4266" s="503"/>
      <c r="F4266" s="503" t="str">
        <f t="shared" ca="1" si="240"/>
        <v/>
      </c>
      <c r="G4266" s="520"/>
      <c r="H4266" s="498">
        <f t="shared" si="248"/>
        <v>122</v>
      </c>
      <c r="I4266" s="497" t="str">
        <f ca="1">IF(IFERROR(VLOOKUP(INDIRECT("'WPTM - Section F'!F"&amp;B4266),'Overview - Section A'!M$31:R235,6,0),IFERROR(VLOOKUP(INDIRECT("'WPTM - Section F'!F"&amp;B4266),'Overview - Section A'!E$27:J232,6,0),""))=0,"",IFERROR(VLOOKUP(INDIRECT("'WPTM - Section F'!F"&amp;B4266),'Overview - Section A'!M$31:R235,6,0),IFERROR(VLOOKUP(INDIRECT("'WPTM - Section F'!F"&amp;B4266),'Overview - Section A'!E$27:J232,6,0),"")))</f>
        <v/>
      </c>
      <c r="J4266" s="497" t="str">
        <f t="shared" ca="1" si="241"/>
        <v/>
      </c>
      <c r="K4266" s="503" t="str">
        <f t="shared" ca="1" si="242"/>
        <v/>
      </c>
      <c r="L4266" s="497" t="str">
        <f ca="1">IFERROR(INDEX('Reference Records'!F$412:F821,MATCH(INDIRECT("'WPTM - Section F'!AP"&amp;B4266)&amp;"|"&amp;INDIRECT("'WPTM - Section F'!C"&amp;$B4266),'Reference Records'!G$412:G821,0)),"")</f>
        <v/>
      </c>
      <c r="M4266" s="503" t="str">
        <f t="shared" ca="1" si="243"/>
        <v/>
      </c>
      <c r="N4266" s="503" t="str">
        <f t="shared" ca="1" si="244"/>
        <v/>
      </c>
      <c r="O4266" s="503" t="str">
        <f t="shared" ca="1" si="245"/>
        <v/>
      </c>
      <c r="P4266" s="503" t="str">
        <f t="shared" ca="1" si="246"/>
        <v/>
      </c>
      <c r="Q4266" s="503"/>
      <c r="R4266" s="512"/>
    </row>
    <row r="4267" spans="1:18" x14ac:dyDescent="0.35">
      <c r="A4267" s="497" t="b">
        <f t="shared" ca="1" si="238"/>
        <v>0</v>
      </c>
      <c r="B4267" s="497">
        <f t="shared" si="247"/>
        <v>51</v>
      </c>
      <c r="C4267" s="517" t="str">
        <f ca="1">IF(COUNTA($G$4062:G4266)=1,"",OFFSET(B4267,-COUNTA($G$4062:G4266)+1,1))</f>
        <v>a1N3p00000FRPOEEA5</v>
      </c>
      <c r="D4267" s="497" t="str">
        <f t="shared" ca="1" si="239"/>
        <v>INT-211703</v>
      </c>
      <c r="E4267" s="503"/>
      <c r="F4267" s="503" t="str">
        <f t="shared" ca="1" si="240"/>
        <v/>
      </c>
      <c r="G4267" s="520"/>
      <c r="H4267" s="498">
        <f t="shared" si="248"/>
        <v>123</v>
      </c>
      <c r="I4267" s="497" t="str">
        <f ca="1">IF(IFERROR(VLOOKUP(INDIRECT("'WPTM - Section F'!F"&amp;B4267),'Overview - Section A'!M$31:R236,6,0),IFERROR(VLOOKUP(INDIRECT("'WPTM - Section F'!F"&amp;B4267),'Overview - Section A'!E$27:J233,6,0),""))=0,"",IFERROR(VLOOKUP(INDIRECT("'WPTM - Section F'!F"&amp;B4267),'Overview - Section A'!M$31:R236,6,0),IFERROR(VLOOKUP(INDIRECT("'WPTM - Section F'!F"&amp;B4267),'Overview - Section A'!E$27:J233,6,0),"")))</f>
        <v/>
      </c>
      <c r="J4267" s="497" t="str">
        <f t="shared" ca="1" si="241"/>
        <v/>
      </c>
      <c r="K4267" s="503" t="str">
        <f t="shared" ca="1" si="242"/>
        <v/>
      </c>
      <c r="L4267" s="497" t="str">
        <f ca="1">IFERROR(INDEX('Reference Records'!F$412:F822,MATCH(INDIRECT("'WPTM - Section F'!AP"&amp;B4267)&amp;"|"&amp;INDIRECT("'WPTM - Section F'!C"&amp;$B4267),'Reference Records'!G$412:G822,0)),"")</f>
        <v/>
      </c>
      <c r="M4267" s="503" t="str">
        <f t="shared" ca="1" si="243"/>
        <v/>
      </c>
      <c r="N4267" s="503" t="str">
        <f t="shared" ca="1" si="244"/>
        <v/>
      </c>
      <c r="O4267" s="503" t="str">
        <f t="shared" ca="1" si="245"/>
        <v/>
      </c>
      <c r="P4267" s="503" t="str">
        <f t="shared" ca="1" si="246"/>
        <v/>
      </c>
      <c r="Q4267" s="503"/>
      <c r="R4267" s="512"/>
    </row>
    <row r="4268" spans="1:18" x14ac:dyDescent="0.35">
      <c r="A4268" s="497" t="b">
        <f t="shared" ca="1" si="238"/>
        <v>0</v>
      </c>
      <c r="B4268" s="497">
        <f t="shared" si="247"/>
        <v>52</v>
      </c>
      <c r="C4268" s="517" t="str">
        <f ca="1">IF(COUNTA($G$4062:G4267)=1,"",OFFSET(B4268,-COUNTA($G$4062:G4267)+1,1))</f>
        <v>a1N3p00000FRPPXEA5</v>
      </c>
      <c r="D4268" s="497" t="str">
        <f t="shared" ca="1" si="239"/>
        <v>INT-211703</v>
      </c>
      <c r="E4268" s="503"/>
      <c r="F4268" s="503" t="str">
        <f t="shared" ca="1" si="240"/>
        <v/>
      </c>
      <c r="G4268" s="520"/>
      <c r="H4268" s="498">
        <f t="shared" si="248"/>
        <v>124</v>
      </c>
      <c r="I4268" s="497" t="str">
        <f ca="1">IF(IFERROR(VLOOKUP(INDIRECT("'WPTM - Section F'!F"&amp;B4268),'Overview - Section A'!M$31:R237,6,0),IFERROR(VLOOKUP(INDIRECT("'WPTM - Section F'!F"&amp;B4268),'Overview - Section A'!E$27:J234,6,0),""))=0,"",IFERROR(VLOOKUP(INDIRECT("'WPTM - Section F'!F"&amp;B4268),'Overview - Section A'!M$31:R237,6,0),IFERROR(VLOOKUP(INDIRECT("'WPTM - Section F'!F"&amp;B4268),'Overview - Section A'!E$27:J234,6,0),"")))</f>
        <v/>
      </c>
      <c r="J4268" s="497" t="str">
        <f t="shared" ca="1" si="241"/>
        <v/>
      </c>
      <c r="K4268" s="503" t="str">
        <f t="shared" ca="1" si="242"/>
        <v/>
      </c>
      <c r="L4268" s="497" t="str">
        <f ca="1">IFERROR(INDEX('Reference Records'!F$412:F823,MATCH(INDIRECT("'WPTM - Section F'!AP"&amp;B4268)&amp;"|"&amp;INDIRECT("'WPTM - Section F'!C"&amp;$B4268),'Reference Records'!G$412:G823,0)),"")</f>
        <v/>
      </c>
      <c r="M4268" s="503" t="str">
        <f t="shared" ca="1" si="243"/>
        <v/>
      </c>
      <c r="N4268" s="503" t="str">
        <f t="shared" ca="1" si="244"/>
        <v/>
      </c>
      <c r="O4268" s="503" t="str">
        <f t="shared" ca="1" si="245"/>
        <v/>
      </c>
      <c r="P4268" s="503" t="str">
        <f t="shared" ca="1" si="246"/>
        <v/>
      </c>
      <c r="Q4268" s="503"/>
      <c r="R4268" s="512"/>
    </row>
    <row r="4269" spans="1:18" x14ac:dyDescent="0.35">
      <c r="A4269" s="497" t="b">
        <f t="shared" ca="1" si="238"/>
        <v>0</v>
      </c>
      <c r="B4269" s="497">
        <f t="shared" si="247"/>
        <v>53</v>
      </c>
      <c r="C4269" s="517" t="str">
        <f ca="1">IF(COUNTA($G$4062:G4268)=1,"",OFFSET(B4269,-COUNTA($G$4062:G4268)+1,1))</f>
        <v>a1N3p00000FRPOFEA5</v>
      </c>
      <c r="D4269" s="497" t="str">
        <f t="shared" ca="1" si="239"/>
        <v>INT-211703</v>
      </c>
      <c r="E4269" s="503"/>
      <c r="F4269" s="503" t="str">
        <f t="shared" ca="1" si="240"/>
        <v/>
      </c>
      <c r="G4269" s="520"/>
      <c r="H4269" s="498">
        <f t="shared" si="248"/>
        <v>125</v>
      </c>
      <c r="I4269" s="497" t="str">
        <f ca="1">IF(IFERROR(VLOOKUP(INDIRECT("'WPTM - Section F'!F"&amp;B4269),'Overview - Section A'!M$31:R238,6,0),IFERROR(VLOOKUP(INDIRECT("'WPTM - Section F'!F"&amp;B4269),'Overview - Section A'!E$27:J235,6,0),""))=0,"",IFERROR(VLOOKUP(INDIRECT("'WPTM - Section F'!F"&amp;B4269),'Overview - Section A'!M$31:R238,6,0),IFERROR(VLOOKUP(INDIRECT("'WPTM - Section F'!F"&amp;B4269),'Overview - Section A'!E$27:J235,6,0),"")))</f>
        <v/>
      </c>
      <c r="J4269" s="497" t="str">
        <f t="shared" ca="1" si="241"/>
        <v/>
      </c>
      <c r="K4269" s="503" t="str">
        <f t="shared" ca="1" si="242"/>
        <v/>
      </c>
      <c r="L4269" s="497" t="str">
        <f ca="1">IFERROR(INDEX('Reference Records'!F$412:F824,MATCH(INDIRECT("'WPTM - Section F'!AP"&amp;B4269)&amp;"|"&amp;INDIRECT("'WPTM - Section F'!C"&amp;$B4269),'Reference Records'!G$412:G824,0)),"")</f>
        <v/>
      </c>
      <c r="M4269" s="503" t="str">
        <f t="shared" ca="1" si="243"/>
        <v/>
      </c>
      <c r="N4269" s="503" t="str">
        <f t="shared" ca="1" si="244"/>
        <v/>
      </c>
      <c r="O4269" s="503" t="str">
        <f t="shared" ca="1" si="245"/>
        <v/>
      </c>
      <c r="P4269" s="503" t="str">
        <f t="shared" ca="1" si="246"/>
        <v/>
      </c>
      <c r="Q4269" s="503"/>
      <c r="R4269" s="512"/>
    </row>
    <row r="4270" spans="1:18" x14ac:dyDescent="0.35">
      <c r="A4270" s="497" t="b">
        <f t="shared" ca="1" si="238"/>
        <v>0</v>
      </c>
      <c r="B4270" s="497">
        <f t="shared" si="247"/>
        <v>54</v>
      </c>
      <c r="C4270" s="517" t="str">
        <f ca="1">IF(COUNTA($G$4062:G4269)=1,"",OFFSET(B4270,-COUNTA($G$4062:G4269)+1,1))</f>
        <v>a1N3p00000FRPPUEA5</v>
      </c>
      <c r="D4270" s="497" t="str">
        <f t="shared" ca="1" si="239"/>
        <v>INT-211703</v>
      </c>
      <c r="E4270" s="503"/>
      <c r="F4270" s="503" t="str">
        <f t="shared" ca="1" si="240"/>
        <v/>
      </c>
      <c r="G4270" s="520"/>
      <c r="H4270" s="498">
        <f t="shared" si="248"/>
        <v>126</v>
      </c>
      <c r="I4270" s="497" t="str">
        <f ca="1">IF(IFERROR(VLOOKUP(INDIRECT("'WPTM - Section F'!F"&amp;B4270),'Overview - Section A'!M$31:R239,6,0),IFERROR(VLOOKUP(INDIRECT("'WPTM - Section F'!F"&amp;B4270),'Overview - Section A'!E$27:J236,6,0),""))=0,"",IFERROR(VLOOKUP(INDIRECT("'WPTM - Section F'!F"&amp;B4270),'Overview - Section A'!M$31:R239,6,0),IFERROR(VLOOKUP(INDIRECT("'WPTM - Section F'!F"&amp;B4270),'Overview - Section A'!E$27:J236,6,0),"")))</f>
        <v/>
      </c>
      <c r="J4270" s="497" t="str">
        <f t="shared" ca="1" si="241"/>
        <v/>
      </c>
      <c r="K4270" s="503" t="str">
        <f t="shared" ca="1" si="242"/>
        <v/>
      </c>
      <c r="L4270" s="497" t="str">
        <f ca="1">IFERROR(INDEX('Reference Records'!F$412:F825,MATCH(INDIRECT("'WPTM - Section F'!AP"&amp;B4270)&amp;"|"&amp;INDIRECT("'WPTM - Section F'!C"&amp;$B4270),'Reference Records'!G$412:G825,0)),"")</f>
        <v/>
      </c>
      <c r="M4270" s="503" t="str">
        <f t="shared" ca="1" si="243"/>
        <v/>
      </c>
      <c r="N4270" s="503" t="str">
        <f t="shared" ca="1" si="244"/>
        <v/>
      </c>
      <c r="O4270" s="503" t="str">
        <f t="shared" ca="1" si="245"/>
        <v/>
      </c>
      <c r="P4270" s="503" t="str">
        <f t="shared" ca="1" si="246"/>
        <v/>
      </c>
      <c r="Q4270" s="503"/>
      <c r="R4270" s="512"/>
    </row>
    <row r="4271" spans="1:18" x14ac:dyDescent="0.35">
      <c r="A4271" s="497" t="b">
        <f t="shared" ca="1" si="238"/>
        <v>0</v>
      </c>
      <c r="B4271" s="497">
        <f t="shared" si="247"/>
        <v>55</v>
      </c>
      <c r="C4271" s="517" t="str">
        <f ca="1">IF(COUNTA($G$4062:G4270)=1,"",OFFSET(B4271,-COUNTA($G$4062:G4270)+1,1))</f>
        <v>a1N3p00000FRPOGEA5</v>
      </c>
      <c r="D4271" s="497" t="str">
        <f t="shared" ca="1" si="239"/>
        <v>INT-211703</v>
      </c>
      <c r="E4271" s="503"/>
      <c r="F4271" s="503" t="str">
        <f t="shared" ca="1" si="240"/>
        <v/>
      </c>
      <c r="G4271" s="520"/>
      <c r="H4271" s="498">
        <f t="shared" si="248"/>
        <v>127</v>
      </c>
      <c r="I4271" s="497" t="str">
        <f ca="1">IF(IFERROR(VLOOKUP(INDIRECT("'WPTM - Section F'!F"&amp;B4271),'Overview - Section A'!M$31:R240,6,0),IFERROR(VLOOKUP(INDIRECT("'WPTM - Section F'!F"&amp;B4271),'Overview - Section A'!E$27:J237,6,0),""))=0,"",IFERROR(VLOOKUP(INDIRECT("'WPTM - Section F'!F"&amp;B4271),'Overview - Section A'!M$31:R240,6,0),IFERROR(VLOOKUP(INDIRECT("'WPTM - Section F'!F"&amp;B4271),'Overview - Section A'!E$27:J237,6,0),"")))</f>
        <v/>
      </c>
      <c r="J4271" s="497" t="str">
        <f t="shared" ca="1" si="241"/>
        <v/>
      </c>
      <c r="K4271" s="503" t="str">
        <f t="shared" ca="1" si="242"/>
        <v/>
      </c>
      <c r="L4271" s="497" t="str">
        <f ca="1">IFERROR(INDEX('Reference Records'!F$412:F826,MATCH(INDIRECT("'WPTM - Section F'!AP"&amp;B4271)&amp;"|"&amp;INDIRECT("'WPTM - Section F'!C"&amp;$B4271),'Reference Records'!G$412:G826,0)),"")</f>
        <v/>
      </c>
      <c r="M4271" s="503" t="str">
        <f t="shared" ca="1" si="243"/>
        <v/>
      </c>
      <c r="N4271" s="503" t="str">
        <f t="shared" ca="1" si="244"/>
        <v/>
      </c>
      <c r="O4271" s="503" t="str">
        <f t="shared" ca="1" si="245"/>
        <v/>
      </c>
      <c r="P4271" s="503" t="str">
        <f t="shared" ca="1" si="246"/>
        <v/>
      </c>
      <c r="Q4271" s="503"/>
      <c r="R4271" s="512"/>
    </row>
    <row r="4272" spans="1:18" x14ac:dyDescent="0.35">
      <c r="A4272" s="497" t="b">
        <f t="shared" ca="1" si="238"/>
        <v>0</v>
      </c>
      <c r="B4272" s="497">
        <f t="shared" si="247"/>
        <v>56</v>
      </c>
      <c r="C4272" s="517" t="str">
        <f ca="1">IF(COUNTA($G$4062:G4271)=1,"",OFFSET(B4272,-COUNTA($G$4062:G4271)+1,1))</f>
        <v>a1N3p00000FRPPYEA5</v>
      </c>
      <c r="D4272" s="497" t="str">
        <f t="shared" ca="1" si="239"/>
        <v>INT-211703</v>
      </c>
      <c r="E4272" s="503"/>
      <c r="F4272" s="503" t="str">
        <f t="shared" ca="1" si="240"/>
        <v/>
      </c>
      <c r="G4272" s="520"/>
      <c r="H4272" s="498">
        <f t="shared" si="248"/>
        <v>128</v>
      </c>
      <c r="I4272" s="497" t="str">
        <f ca="1">IF(IFERROR(VLOOKUP(INDIRECT("'WPTM - Section F'!F"&amp;B4272),'Overview - Section A'!M$31:R241,6,0),IFERROR(VLOOKUP(INDIRECT("'WPTM - Section F'!F"&amp;B4272),'Overview - Section A'!E$27:J238,6,0),""))=0,"",IFERROR(VLOOKUP(INDIRECT("'WPTM - Section F'!F"&amp;B4272),'Overview - Section A'!M$31:R241,6,0),IFERROR(VLOOKUP(INDIRECT("'WPTM - Section F'!F"&amp;B4272),'Overview - Section A'!E$27:J238,6,0),"")))</f>
        <v/>
      </c>
      <c r="J4272" s="497" t="str">
        <f t="shared" ca="1" si="241"/>
        <v/>
      </c>
      <c r="K4272" s="503" t="str">
        <f t="shared" ca="1" si="242"/>
        <v/>
      </c>
      <c r="L4272" s="497" t="str">
        <f ca="1">IFERROR(INDEX('Reference Records'!F$412:F827,MATCH(INDIRECT("'WPTM - Section F'!AP"&amp;B4272)&amp;"|"&amp;INDIRECT("'WPTM - Section F'!C"&amp;$B4272),'Reference Records'!G$412:G827,0)),"")</f>
        <v/>
      </c>
      <c r="M4272" s="503" t="str">
        <f t="shared" ca="1" si="243"/>
        <v/>
      </c>
      <c r="N4272" s="503" t="str">
        <f t="shared" ca="1" si="244"/>
        <v/>
      </c>
      <c r="O4272" s="503" t="str">
        <f t="shared" ca="1" si="245"/>
        <v/>
      </c>
      <c r="P4272" s="503" t="str">
        <f t="shared" ca="1" si="246"/>
        <v/>
      </c>
      <c r="Q4272" s="503"/>
      <c r="R4272" s="512"/>
    </row>
    <row r="4273" spans="1:18" x14ac:dyDescent="0.35">
      <c r="A4273" s="497" t="b">
        <f t="shared" ca="1" si="238"/>
        <v>0</v>
      </c>
      <c r="B4273" s="497">
        <f t="shared" si="247"/>
        <v>57</v>
      </c>
      <c r="C4273" s="517" t="str">
        <f ca="1">IF(COUNTA($G$4062:G4272)=1,"",OFFSET(B4273,-COUNTA($G$4062:G4272)+1,1))</f>
        <v>a1N3p00000FRPOHEA5</v>
      </c>
      <c r="D4273" s="497" t="str">
        <f t="shared" ca="1" si="239"/>
        <v>INT-211703</v>
      </c>
      <c r="E4273" s="503"/>
      <c r="F4273" s="503" t="str">
        <f t="shared" ca="1" si="240"/>
        <v/>
      </c>
      <c r="G4273" s="520"/>
      <c r="H4273" s="498">
        <f t="shared" si="248"/>
        <v>129</v>
      </c>
      <c r="I4273" s="497" t="str">
        <f ca="1">IF(IFERROR(VLOOKUP(INDIRECT("'WPTM - Section F'!F"&amp;B4273),'Overview - Section A'!M$31:R242,6,0),IFERROR(VLOOKUP(INDIRECT("'WPTM - Section F'!F"&amp;B4273),'Overview - Section A'!E$27:J239,6,0),""))=0,"",IFERROR(VLOOKUP(INDIRECT("'WPTM - Section F'!F"&amp;B4273),'Overview - Section A'!M$31:R242,6,0),IFERROR(VLOOKUP(INDIRECT("'WPTM - Section F'!F"&amp;B4273),'Overview - Section A'!E$27:J239,6,0),"")))</f>
        <v/>
      </c>
      <c r="J4273" s="497" t="str">
        <f t="shared" ca="1" si="241"/>
        <v/>
      </c>
      <c r="K4273" s="503" t="str">
        <f t="shared" ca="1" si="242"/>
        <v/>
      </c>
      <c r="L4273" s="497" t="str">
        <f ca="1">IFERROR(INDEX('Reference Records'!F$412:F828,MATCH(INDIRECT("'WPTM - Section F'!AP"&amp;B4273)&amp;"|"&amp;INDIRECT("'WPTM - Section F'!C"&amp;$B4273),'Reference Records'!G$412:G828,0)),"")</f>
        <v/>
      </c>
      <c r="M4273" s="503" t="str">
        <f t="shared" ca="1" si="243"/>
        <v/>
      </c>
      <c r="N4273" s="503" t="str">
        <f t="shared" ca="1" si="244"/>
        <v/>
      </c>
      <c r="O4273" s="503" t="str">
        <f t="shared" ca="1" si="245"/>
        <v/>
      </c>
      <c r="P4273" s="503" t="str">
        <f t="shared" ca="1" si="246"/>
        <v/>
      </c>
      <c r="Q4273" s="503"/>
      <c r="R4273" s="512"/>
    </row>
    <row r="4274" spans="1:18" x14ac:dyDescent="0.35">
      <c r="A4274" s="497" t="b">
        <f t="shared" ca="1" si="238"/>
        <v>0</v>
      </c>
      <c r="B4274" s="497">
        <f t="shared" si="247"/>
        <v>58</v>
      </c>
      <c r="C4274" s="517" t="str">
        <f ca="1">IF(COUNTA($G$4062:G4273)=1,"",OFFSET(B4274,-COUNTA($G$4062:G4273)+1,1))</f>
        <v>a1N3p00000FRPPZEA5</v>
      </c>
      <c r="D4274" s="497" t="str">
        <f t="shared" ca="1" si="239"/>
        <v>INT-211703</v>
      </c>
      <c r="E4274" s="503"/>
      <c r="F4274" s="503" t="str">
        <f t="shared" ca="1" si="240"/>
        <v/>
      </c>
      <c r="G4274" s="520"/>
      <c r="H4274" s="498">
        <f t="shared" si="248"/>
        <v>130</v>
      </c>
      <c r="I4274" s="497" t="str">
        <f ca="1">IF(IFERROR(VLOOKUP(INDIRECT("'WPTM - Section F'!F"&amp;B4274),'Overview - Section A'!M$31:R243,6,0),IFERROR(VLOOKUP(INDIRECT("'WPTM - Section F'!F"&amp;B4274),'Overview - Section A'!E$27:J240,6,0),""))=0,"",IFERROR(VLOOKUP(INDIRECT("'WPTM - Section F'!F"&amp;B4274),'Overview - Section A'!M$31:R243,6,0),IFERROR(VLOOKUP(INDIRECT("'WPTM - Section F'!F"&amp;B4274),'Overview - Section A'!E$27:J240,6,0),"")))</f>
        <v/>
      </c>
      <c r="J4274" s="497" t="str">
        <f t="shared" ca="1" si="241"/>
        <v/>
      </c>
      <c r="K4274" s="503" t="str">
        <f t="shared" ca="1" si="242"/>
        <v/>
      </c>
      <c r="L4274" s="497" t="str">
        <f ca="1">IFERROR(INDEX('Reference Records'!F$412:F829,MATCH(INDIRECT("'WPTM - Section F'!AP"&amp;B4274)&amp;"|"&amp;INDIRECT("'WPTM - Section F'!C"&amp;$B4274),'Reference Records'!G$412:G829,0)),"")</f>
        <v/>
      </c>
      <c r="M4274" s="503" t="str">
        <f t="shared" ca="1" si="243"/>
        <v/>
      </c>
      <c r="N4274" s="503" t="str">
        <f t="shared" ca="1" si="244"/>
        <v/>
      </c>
      <c r="O4274" s="503" t="str">
        <f t="shared" ca="1" si="245"/>
        <v/>
      </c>
      <c r="P4274" s="503" t="str">
        <f t="shared" ca="1" si="246"/>
        <v/>
      </c>
      <c r="Q4274" s="503"/>
      <c r="R4274" s="512"/>
    </row>
    <row r="4275" spans="1:18" x14ac:dyDescent="0.35">
      <c r="A4275" s="497" t="b">
        <f t="shared" ca="1" si="238"/>
        <v>0</v>
      </c>
      <c r="B4275" s="497">
        <f t="shared" si="247"/>
        <v>59</v>
      </c>
      <c r="C4275" s="517" t="str">
        <f ca="1">IF(COUNTA($G$4062:G4274)=1,"",OFFSET(B4275,-COUNTA($G$4062:G4274)+1,1))</f>
        <v>a1N3p00000FRPOIEA5</v>
      </c>
      <c r="D4275" s="497" t="str">
        <f t="shared" ca="1" si="239"/>
        <v>INT-211703</v>
      </c>
      <c r="E4275" s="503"/>
      <c r="F4275" s="503" t="str">
        <f t="shared" ca="1" si="240"/>
        <v/>
      </c>
      <c r="G4275" s="520"/>
      <c r="H4275" s="498">
        <f t="shared" si="248"/>
        <v>131</v>
      </c>
      <c r="I4275" s="497" t="str">
        <f ca="1">IF(IFERROR(VLOOKUP(INDIRECT("'WPTM - Section F'!F"&amp;B4275),'Overview - Section A'!M$31:R244,6,0),IFERROR(VLOOKUP(INDIRECT("'WPTM - Section F'!F"&amp;B4275),'Overview - Section A'!E$27:J241,6,0),""))=0,"",IFERROR(VLOOKUP(INDIRECT("'WPTM - Section F'!F"&amp;B4275),'Overview - Section A'!M$31:R244,6,0),IFERROR(VLOOKUP(INDIRECT("'WPTM - Section F'!F"&amp;B4275),'Overview - Section A'!E$27:J241,6,0),"")))</f>
        <v/>
      </c>
      <c r="J4275" s="497" t="str">
        <f t="shared" ca="1" si="241"/>
        <v/>
      </c>
      <c r="K4275" s="503" t="str">
        <f t="shared" ca="1" si="242"/>
        <v/>
      </c>
      <c r="L4275" s="497" t="str">
        <f ca="1">IFERROR(INDEX('Reference Records'!F$412:F830,MATCH(INDIRECT("'WPTM - Section F'!AP"&amp;B4275)&amp;"|"&amp;INDIRECT("'WPTM - Section F'!C"&amp;$B4275),'Reference Records'!G$412:G830,0)),"")</f>
        <v/>
      </c>
      <c r="M4275" s="503" t="str">
        <f t="shared" ca="1" si="243"/>
        <v/>
      </c>
      <c r="N4275" s="503" t="str">
        <f t="shared" ca="1" si="244"/>
        <v/>
      </c>
      <c r="O4275" s="503" t="str">
        <f t="shared" ca="1" si="245"/>
        <v/>
      </c>
      <c r="P4275" s="503" t="str">
        <f t="shared" ca="1" si="246"/>
        <v/>
      </c>
      <c r="Q4275" s="503"/>
      <c r="R4275" s="512"/>
    </row>
    <row r="4276" spans="1:18" x14ac:dyDescent="0.35">
      <c r="A4276" s="497" t="b">
        <f t="shared" ca="1" si="238"/>
        <v>0</v>
      </c>
      <c r="B4276" s="497">
        <f t="shared" si="247"/>
        <v>60</v>
      </c>
      <c r="C4276" s="517" t="str">
        <f ca="1">IF(COUNTA($G$4062:G4275)=1,"",OFFSET(B4276,-COUNTA($G$4062:G4275)+1,1))</f>
        <v>a1N3p00000FRPPaEAP</v>
      </c>
      <c r="D4276" s="497" t="str">
        <f t="shared" ca="1" si="239"/>
        <v>INT-211703</v>
      </c>
      <c r="E4276" s="503"/>
      <c r="F4276" s="503" t="str">
        <f t="shared" ca="1" si="240"/>
        <v/>
      </c>
      <c r="G4276" s="520"/>
      <c r="H4276" s="498">
        <f t="shared" si="248"/>
        <v>132</v>
      </c>
      <c r="I4276" s="497" t="str">
        <f ca="1">IF(IFERROR(VLOOKUP(INDIRECT("'WPTM - Section F'!F"&amp;B4276),'Overview - Section A'!M$31:R245,6,0),IFERROR(VLOOKUP(INDIRECT("'WPTM - Section F'!F"&amp;B4276),'Overview - Section A'!E$27:J242,6,0),""))=0,"",IFERROR(VLOOKUP(INDIRECT("'WPTM - Section F'!F"&amp;B4276),'Overview - Section A'!M$31:R245,6,0),IFERROR(VLOOKUP(INDIRECT("'WPTM - Section F'!F"&amp;B4276),'Overview - Section A'!E$27:J242,6,0),"")))</f>
        <v/>
      </c>
      <c r="J4276" s="497" t="str">
        <f t="shared" ca="1" si="241"/>
        <v/>
      </c>
      <c r="K4276" s="503" t="str">
        <f t="shared" ca="1" si="242"/>
        <v/>
      </c>
      <c r="L4276" s="497" t="str">
        <f ca="1">IFERROR(INDEX('Reference Records'!F$412:F831,MATCH(INDIRECT("'WPTM - Section F'!AP"&amp;B4276)&amp;"|"&amp;INDIRECT("'WPTM - Section F'!C"&amp;$B4276),'Reference Records'!G$412:G831,0)),"")</f>
        <v/>
      </c>
      <c r="M4276" s="503" t="str">
        <f t="shared" ca="1" si="243"/>
        <v/>
      </c>
      <c r="N4276" s="503" t="str">
        <f t="shared" ca="1" si="244"/>
        <v/>
      </c>
      <c r="O4276" s="503" t="str">
        <f t="shared" ca="1" si="245"/>
        <v/>
      </c>
      <c r="P4276" s="503" t="str">
        <f t="shared" ca="1" si="246"/>
        <v/>
      </c>
      <c r="Q4276" s="503"/>
      <c r="R4276" s="512"/>
    </row>
    <row r="4277" spans="1:18" x14ac:dyDescent="0.35">
      <c r="A4277" s="497" t="b">
        <f t="shared" ca="1" si="238"/>
        <v>0</v>
      </c>
      <c r="B4277" s="497">
        <f t="shared" si="247"/>
        <v>61</v>
      </c>
      <c r="C4277" s="517" t="str">
        <f ca="1">IF(COUNTA($G$4062:G4276)=1,"",OFFSET(B4277,-COUNTA($G$4062:G4276)+1,1))</f>
        <v>a1N3p00000FRPOJEA5</v>
      </c>
      <c r="D4277" s="497" t="str">
        <f t="shared" ca="1" si="239"/>
        <v>INT-211703</v>
      </c>
      <c r="E4277" s="503"/>
      <c r="F4277" s="503" t="str">
        <f t="shared" ca="1" si="240"/>
        <v/>
      </c>
      <c r="G4277" s="520"/>
      <c r="H4277" s="498">
        <f t="shared" si="248"/>
        <v>133</v>
      </c>
      <c r="I4277" s="497" t="str">
        <f ca="1">IF(IFERROR(VLOOKUP(INDIRECT("'WPTM - Section F'!F"&amp;B4277),'Overview - Section A'!M$31:R246,6,0),IFERROR(VLOOKUP(INDIRECT("'WPTM - Section F'!F"&amp;B4277),'Overview - Section A'!E$27:J243,6,0),""))=0,"",IFERROR(VLOOKUP(INDIRECT("'WPTM - Section F'!F"&amp;B4277),'Overview - Section A'!M$31:R246,6,0),IFERROR(VLOOKUP(INDIRECT("'WPTM - Section F'!F"&amp;B4277),'Overview - Section A'!E$27:J243,6,0),"")))</f>
        <v/>
      </c>
      <c r="J4277" s="497" t="str">
        <f t="shared" ca="1" si="241"/>
        <v/>
      </c>
      <c r="K4277" s="503" t="str">
        <f t="shared" ca="1" si="242"/>
        <v/>
      </c>
      <c r="L4277" s="497" t="str">
        <f ca="1">IFERROR(INDEX('Reference Records'!F$412:F832,MATCH(INDIRECT("'WPTM - Section F'!AP"&amp;B4277)&amp;"|"&amp;INDIRECT("'WPTM - Section F'!C"&amp;$B4277),'Reference Records'!G$412:G832,0)),"")</f>
        <v/>
      </c>
      <c r="M4277" s="503" t="str">
        <f t="shared" ca="1" si="243"/>
        <v/>
      </c>
      <c r="N4277" s="503" t="str">
        <f t="shared" ca="1" si="244"/>
        <v/>
      </c>
      <c r="O4277" s="503" t="str">
        <f t="shared" ca="1" si="245"/>
        <v/>
      </c>
      <c r="P4277" s="503" t="str">
        <f t="shared" ca="1" si="246"/>
        <v/>
      </c>
      <c r="Q4277" s="503"/>
      <c r="R4277" s="512"/>
    </row>
    <row r="4278" spans="1:18" x14ac:dyDescent="0.35">
      <c r="A4278" s="497" t="b">
        <f t="shared" ca="1" si="238"/>
        <v>0</v>
      </c>
      <c r="B4278" s="497">
        <f t="shared" si="247"/>
        <v>62</v>
      </c>
      <c r="C4278" s="517" t="str">
        <f ca="1">IF(COUNTA($G$4062:G4277)=1,"",OFFSET(B4278,-COUNTA($G$4062:G4277)+1,1))</f>
        <v>a1N3p00000FRPPbEAP</v>
      </c>
      <c r="D4278" s="497" t="str">
        <f t="shared" ca="1" si="239"/>
        <v>INT-211703</v>
      </c>
      <c r="E4278" s="503"/>
      <c r="F4278" s="503" t="str">
        <f t="shared" ca="1" si="240"/>
        <v/>
      </c>
      <c r="G4278" s="520"/>
      <c r="H4278" s="498">
        <f t="shared" si="248"/>
        <v>134</v>
      </c>
      <c r="I4278" s="497" t="str">
        <f ca="1">IF(IFERROR(VLOOKUP(INDIRECT("'WPTM - Section F'!F"&amp;B4278),'Overview - Section A'!M$31:R247,6,0),IFERROR(VLOOKUP(INDIRECT("'WPTM - Section F'!F"&amp;B4278),'Overview - Section A'!E$27:J244,6,0),""))=0,"",IFERROR(VLOOKUP(INDIRECT("'WPTM - Section F'!F"&amp;B4278),'Overview - Section A'!M$31:R247,6,0),IFERROR(VLOOKUP(INDIRECT("'WPTM - Section F'!F"&amp;B4278),'Overview - Section A'!E$27:J244,6,0),"")))</f>
        <v/>
      </c>
      <c r="J4278" s="497" t="str">
        <f t="shared" ca="1" si="241"/>
        <v/>
      </c>
      <c r="K4278" s="503" t="str">
        <f t="shared" ca="1" si="242"/>
        <v/>
      </c>
      <c r="L4278" s="497" t="str">
        <f ca="1">IFERROR(INDEX('Reference Records'!F$412:F833,MATCH(INDIRECT("'WPTM - Section F'!AP"&amp;B4278)&amp;"|"&amp;INDIRECT("'WPTM - Section F'!C"&amp;$B4278),'Reference Records'!G$412:G833,0)),"")</f>
        <v/>
      </c>
      <c r="M4278" s="503" t="str">
        <f t="shared" ca="1" si="243"/>
        <v/>
      </c>
      <c r="N4278" s="503" t="str">
        <f t="shared" ca="1" si="244"/>
        <v/>
      </c>
      <c r="O4278" s="503" t="str">
        <f t="shared" ca="1" si="245"/>
        <v/>
      </c>
      <c r="P4278" s="503" t="str">
        <f t="shared" ca="1" si="246"/>
        <v/>
      </c>
      <c r="Q4278" s="503"/>
      <c r="R4278" s="512"/>
    </row>
    <row r="4279" spans="1:18" x14ac:dyDescent="0.35">
      <c r="A4279" s="497" t="b">
        <f t="shared" ca="1" si="238"/>
        <v>0</v>
      </c>
      <c r="B4279" s="497">
        <f t="shared" si="247"/>
        <v>63</v>
      </c>
      <c r="C4279" s="517" t="str">
        <f ca="1">IF(COUNTA($G$4062:G4278)=1,"",OFFSET(B4279,-COUNTA($G$4062:G4278)+1,1))</f>
        <v>a1N3p00000FRPOKEA5</v>
      </c>
      <c r="D4279" s="497" t="str">
        <f t="shared" ca="1" si="239"/>
        <v>INT-211703</v>
      </c>
      <c r="E4279" s="503"/>
      <c r="F4279" s="503" t="str">
        <f t="shared" ca="1" si="240"/>
        <v/>
      </c>
      <c r="G4279" s="520"/>
      <c r="H4279" s="498">
        <f t="shared" si="248"/>
        <v>135</v>
      </c>
      <c r="I4279" s="497" t="str">
        <f ca="1">IF(IFERROR(VLOOKUP(INDIRECT("'WPTM - Section F'!F"&amp;B4279),'Overview - Section A'!M$31:R248,6,0),IFERROR(VLOOKUP(INDIRECT("'WPTM - Section F'!F"&amp;B4279),'Overview - Section A'!E$27:J245,6,0),""))=0,"",IFERROR(VLOOKUP(INDIRECT("'WPTM - Section F'!F"&amp;B4279),'Overview - Section A'!M$31:R248,6,0),IFERROR(VLOOKUP(INDIRECT("'WPTM - Section F'!F"&amp;B4279),'Overview - Section A'!E$27:J245,6,0),"")))</f>
        <v/>
      </c>
      <c r="J4279" s="497" t="str">
        <f t="shared" ca="1" si="241"/>
        <v/>
      </c>
      <c r="K4279" s="503" t="str">
        <f t="shared" ca="1" si="242"/>
        <v/>
      </c>
      <c r="L4279" s="497" t="str">
        <f ca="1">IFERROR(INDEX('Reference Records'!F$412:F834,MATCH(INDIRECT("'WPTM - Section F'!AP"&amp;B4279)&amp;"|"&amp;INDIRECT("'WPTM - Section F'!C"&amp;$B4279),'Reference Records'!G$412:G834,0)),"")</f>
        <v/>
      </c>
      <c r="M4279" s="503" t="str">
        <f t="shared" ca="1" si="243"/>
        <v/>
      </c>
      <c r="N4279" s="503" t="str">
        <f t="shared" ca="1" si="244"/>
        <v/>
      </c>
      <c r="O4279" s="503" t="str">
        <f t="shared" ca="1" si="245"/>
        <v/>
      </c>
      <c r="P4279" s="503" t="str">
        <f t="shared" ca="1" si="246"/>
        <v/>
      </c>
      <c r="Q4279" s="503"/>
      <c r="R4279" s="512"/>
    </row>
    <row r="4280" spans="1:18" x14ac:dyDescent="0.35">
      <c r="A4280" s="497" t="b">
        <f t="shared" ca="1" si="238"/>
        <v>0</v>
      </c>
      <c r="B4280" s="497">
        <f t="shared" si="247"/>
        <v>64</v>
      </c>
      <c r="C4280" s="517" t="str">
        <f ca="1">IF(COUNTA($G$4062:G4279)=1,"",OFFSET(B4280,-COUNTA($G$4062:G4279)+1,1))</f>
        <v>a1N3p00000FRPPcEAP</v>
      </c>
      <c r="D4280" s="497" t="str">
        <f t="shared" ca="1" si="239"/>
        <v>INT-211703</v>
      </c>
      <c r="E4280" s="503"/>
      <c r="F4280" s="503" t="str">
        <f t="shared" ca="1" si="240"/>
        <v/>
      </c>
      <c r="G4280" s="520"/>
      <c r="H4280" s="498">
        <f t="shared" si="248"/>
        <v>136</v>
      </c>
      <c r="I4280" s="497" t="str">
        <f ca="1">IF(IFERROR(VLOOKUP(INDIRECT("'WPTM - Section F'!F"&amp;B4280),'Overview - Section A'!M$31:R249,6,0),IFERROR(VLOOKUP(INDIRECT("'WPTM - Section F'!F"&amp;B4280),'Overview - Section A'!E$27:J246,6,0),""))=0,"",IFERROR(VLOOKUP(INDIRECT("'WPTM - Section F'!F"&amp;B4280),'Overview - Section A'!M$31:R249,6,0),IFERROR(VLOOKUP(INDIRECT("'WPTM - Section F'!F"&amp;B4280),'Overview - Section A'!E$27:J246,6,0),"")))</f>
        <v/>
      </c>
      <c r="J4280" s="497" t="str">
        <f t="shared" ca="1" si="241"/>
        <v/>
      </c>
      <c r="K4280" s="503" t="str">
        <f t="shared" ca="1" si="242"/>
        <v/>
      </c>
      <c r="L4280" s="497" t="str">
        <f ca="1">IFERROR(INDEX('Reference Records'!F$412:F835,MATCH(INDIRECT("'WPTM - Section F'!AP"&amp;B4280)&amp;"|"&amp;INDIRECT("'WPTM - Section F'!C"&amp;$B4280),'Reference Records'!G$412:G835,0)),"")</f>
        <v/>
      </c>
      <c r="M4280" s="503" t="str">
        <f t="shared" ca="1" si="243"/>
        <v/>
      </c>
      <c r="N4280" s="503" t="str">
        <f t="shared" ca="1" si="244"/>
        <v/>
      </c>
      <c r="O4280" s="503" t="str">
        <f t="shared" ca="1" si="245"/>
        <v/>
      </c>
      <c r="P4280" s="503" t="str">
        <f t="shared" ca="1" si="246"/>
        <v/>
      </c>
      <c r="Q4280" s="503"/>
      <c r="R4280" s="512"/>
    </row>
    <row r="4281" spans="1:18" x14ac:dyDescent="0.35">
      <c r="A4281" s="497" t="b">
        <f t="shared" ca="1" si="238"/>
        <v>0</v>
      </c>
      <c r="B4281" s="497">
        <f t="shared" si="247"/>
        <v>65</v>
      </c>
      <c r="C4281" s="517" t="str">
        <f ca="1">IF(COUNTA($G$4062:G4280)=1,"",OFFSET(B4281,-COUNTA($G$4062:G4280)+1,1))</f>
        <v>a1N3p00000FRPOLEA5</v>
      </c>
      <c r="D4281" s="497" t="str">
        <f t="shared" ca="1" si="239"/>
        <v>INT-211703</v>
      </c>
      <c r="E4281" s="503"/>
      <c r="F4281" s="503" t="str">
        <f t="shared" ca="1" si="240"/>
        <v/>
      </c>
      <c r="G4281" s="520"/>
      <c r="H4281" s="498">
        <f t="shared" si="248"/>
        <v>137</v>
      </c>
      <c r="I4281" s="497" t="str">
        <f ca="1">IF(IFERROR(VLOOKUP(INDIRECT("'WPTM - Section F'!F"&amp;B4281),'Overview - Section A'!M$31:R250,6,0),IFERROR(VLOOKUP(INDIRECT("'WPTM - Section F'!F"&amp;B4281),'Overview - Section A'!E$27:J247,6,0),""))=0,"",IFERROR(VLOOKUP(INDIRECT("'WPTM - Section F'!F"&amp;B4281),'Overview - Section A'!M$31:R250,6,0),IFERROR(VLOOKUP(INDIRECT("'WPTM - Section F'!F"&amp;B4281),'Overview - Section A'!E$27:J247,6,0),"")))</f>
        <v/>
      </c>
      <c r="J4281" s="497" t="str">
        <f t="shared" ca="1" si="241"/>
        <v/>
      </c>
      <c r="K4281" s="503" t="str">
        <f t="shared" ca="1" si="242"/>
        <v/>
      </c>
      <c r="L4281" s="497" t="str">
        <f ca="1">IFERROR(INDEX('Reference Records'!F$412:F836,MATCH(INDIRECT("'WPTM - Section F'!AP"&amp;B4281)&amp;"|"&amp;INDIRECT("'WPTM - Section F'!C"&amp;$B4281),'Reference Records'!G$412:G836,0)),"")</f>
        <v/>
      </c>
      <c r="M4281" s="503" t="str">
        <f t="shared" ca="1" si="243"/>
        <v/>
      </c>
      <c r="N4281" s="503" t="str">
        <f t="shared" ca="1" si="244"/>
        <v/>
      </c>
      <c r="O4281" s="503" t="str">
        <f t="shared" ca="1" si="245"/>
        <v/>
      </c>
      <c r="P4281" s="503" t="str">
        <f t="shared" ca="1" si="246"/>
        <v/>
      </c>
      <c r="Q4281" s="503"/>
      <c r="R4281" s="512"/>
    </row>
    <row r="4282" spans="1:18" x14ac:dyDescent="0.35">
      <c r="A4282" s="497" t="b">
        <f t="shared" ca="1" si="238"/>
        <v>0</v>
      </c>
      <c r="B4282" s="497">
        <f t="shared" si="247"/>
        <v>66</v>
      </c>
      <c r="C4282" s="517" t="str">
        <f ca="1">IF(COUNTA($G$4062:G4281)=1,"",OFFSET(B4282,-COUNTA($G$4062:G4281)+1,1))</f>
        <v>a1N3p00000FRPPdEAP</v>
      </c>
      <c r="D4282" s="497" t="str">
        <f t="shared" ca="1" si="239"/>
        <v>INT-211703</v>
      </c>
      <c r="E4282" s="503"/>
      <c r="F4282" s="503" t="str">
        <f t="shared" ca="1" si="240"/>
        <v/>
      </c>
      <c r="G4282" s="520"/>
      <c r="H4282" s="498">
        <f t="shared" si="248"/>
        <v>138</v>
      </c>
      <c r="I4282" s="497" t="str">
        <f ca="1">IF(IFERROR(VLOOKUP(INDIRECT("'WPTM - Section F'!F"&amp;B4282),'Overview - Section A'!M$31:R251,6,0),IFERROR(VLOOKUP(INDIRECT("'WPTM - Section F'!F"&amp;B4282),'Overview - Section A'!E$27:J248,6,0),""))=0,"",IFERROR(VLOOKUP(INDIRECT("'WPTM - Section F'!F"&amp;B4282),'Overview - Section A'!M$31:R251,6,0),IFERROR(VLOOKUP(INDIRECT("'WPTM - Section F'!F"&amp;B4282),'Overview - Section A'!E$27:J248,6,0),"")))</f>
        <v/>
      </c>
      <c r="J4282" s="497" t="str">
        <f t="shared" ca="1" si="241"/>
        <v/>
      </c>
      <c r="K4282" s="503" t="str">
        <f t="shared" ca="1" si="242"/>
        <v/>
      </c>
      <c r="L4282" s="497" t="str">
        <f ca="1">IFERROR(INDEX('Reference Records'!F$412:F837,MATCH(INDIRECT("'WPTM - Section F'!AP"&amp;B4282)&amp;"|"&amp;INDIRECT("'WPTM - Section F'!C"&amp;$B4282),'Reference Records'!G$412:G837,0)),"")</f>
        <v/>
      </c>
      <c r="M4282" s="503" t="str">
        <f t="shared" ca="1" si="243"/>
        <v/>
      </c>
      <c r="N4282" s="503" t="str">
        <f t="shared" ca="1" si="244"/>
        <v/>
      </c>
      <c r="O4282" s="503" t="str">
        <f t="shared" ca="1" si="245"/>
        <v/>
      </c>
      <c r="P4282" s="503" t="str">
        <f t="shared" ca="1" si="246"/>
        <v/>
      </c>
      <c r="Q4282" s="503"/>
      <c r="R4282" s="512"/>
    </row>
    <row r="4283" spans="1:18" x14ac:dyDescent="0.35">
      <c r="A4283" s="497" t="b">
        <f t="shared" ca="1" si="238"/>
        <v>0</v>
      </c>
      <c r="B4283" s="497">
        <f t="shared" si="247"/>
        <v>67</v>
      </c>
      <c r="C4283" s="517" t="str">
        <f ca="1">IF(COUNTA($G$4062:G4282)=1,"",OFFSET(B4283,-COUNTA($G$4062:G4282)+1,1))</f>
        <v>a1N3p00000FRPOMEA5</v>
      </c>
      <c r="D4283" s="497" t="str">
        <f t="shared" ca="1" si="239"/>
        <v>INT-211703</v>
      </c>
      <c r="E4283" s="503"/>
      <c r="F4283" s="503" t="str">
        <f t="shared" ca="1" si="240"/>
        <v/>
      </c>
      <c r="G4283" s="520"/>
      <c r="H4283" s="498">
        <f t="shared" si="248"/>
        <v>139</v>
      </c>
      <c r="I4283" s="497" t="str">
        <f ca="1">IF(IFERROR(VLOOKUP(INDIRECT("'WPTM - Section F'!F"&amp;B4283),'Overview - Section A'!M$31:R252,6,0),IFERROR(VLOOKUP(INDIRECT("'WPTM - Section F'!F"&amp;B4283),'Overview - Section A'!E$27:J249,6,0),""))=0,"",IFERROR(VLOOKUP(INDIRECT("'WPTM - Section F'!F"&amp;B4283),'Overview - Section A'!M$31:R252,6,0),IFERROR(VLOOKUP(INDIRECT("'WPTM - Section F'!F"&amp;B4283),'Overview - Section A'!E$27:J249,6,0),"")))</f>
        <v/>
      </c>
      <c r="J4283" s="497" t="str">
        <f t="shared" ca="1" si="241"/>
        <v/>
      </c>
      <c r="K4283" s="503" t="str">
        <f t="shared" ca="1" si="242"/>
        <v/>
      </c>
      <c r="L4283" s="497" t="str">
        <f ca="1">IFERROR(INDEX('Reference Records'!F$412:F838,MATCH(INDIRECT("'WPTM - Section F'!AP"&amp;B4283)&amp;"|"&amp;INDIRECT("'WPTM - Section F'!C"&amp;$B4283),'Reference Records'!G$412:G838,0)),"")</f>
        <v/>
      </c>
      <c r="M4283" s="503" t="str">
        <f t="shared" ca="1" si="243"/>
        <v/>
      </c>
      <c r="N4283" s="503" t="str">
        <f t="shared" ca="1" si="244"/>
        <v/>
      </c>
      <c r="O4283" s="503" t="str">
        <f t="shared" ca="1" si="245"/>
        <v/>
      </c>
      <c r="P4283" s="503" t="str">
        <f t="shared" ca="1" si="246"/>
        <v/>
      </c>
      <c r="Q4283" s="503"/>
      <c r="R4283" s="512"/>
    </row>
    <row r="4284" spans="1:18" x14ac:dyDescent="0.35">
      <c r="A4284" s="497" t="b">
        <f t="shared" ca="1" si="238"/>
        <v>0</v>
      </c>
      <c r="B4284" s="497">
        <f t="shared" si="247"/>
        <v>68</v>
      </c>
      <c r="C4284" s="517" t="str">
        <f ca="1">IF(COUNTA($G$4062:G4283)=1,"",OFFSET(B4284,-COUNTA($G$4062:G4283)+1,1))</f>
        <v>a1N3p00000FRPPeEAP</v>
      </c>
      <c r="D4284" s="497" t="str">
        <f t="shared" ca="1" si="239"/>
        <v>INT-211703</v>
      </c>
      <c r="E4284" s="503"/>
      <c r="F4284" s="503" t="str">
        <f t="shared" ca="1" si="240"/>
        <v/>
      </c>
      <c r="G4284" s="520"/>
      <c r="H4284" s="498">
        <f t="shared" si="248"/>
        <v>140</v>
      </c>
      <c r="I4284" s="497" t="str">
        <f ca="1">IF(IFERROR(VLOOKUP(INDIRECT("'WPTM - Section F'!F"&amp;B4284),'Overview - Section A'!M$31:R253,6,0),IFERROR(VLOOKUP(INDIRECT("'WPTM - Section F'!F"&amp;B4284),'Overview - Section A'!E$27:J250,6,0),""))=0,"",IFERROR(VLOOKUP(INDIRECT("'WPTM - Section F'!F"&amp;B4284),'Overview - Section A'!M$31:R253,6,0),IFERROR(VLOOKUP(INDIRECT("'WPTM - Section F'!F"&amp;B4284),'Overview - Section A'!E$27:J250,6,0),"")))</f>
        <v/>
      </c>
      <c r="J4284" s="497" t="str">
        <f t="shared" ca="1" si="241"/>
        <v/>
      </c>
      <c r="K4284" s="503" t="str">
        <f t="shared" ca="1" si="242"/>
        <v/>
      </c>
      <c r="L4284" s="497" t="str">
        <f ca="1">IFERROR(INDEX('Reference Records'!F$412:F839,MATCH(INDIRECT("'WPTM - Section F'!AP"&amp;B4284)&amp;"|"&amp;INDIRECT("'WPTM - Section F'!C"&amp;$B4284),'Reference Records'!G$412:G839,0)),"")</f>
        <v/>
      </c>
      <c r="M4284" s="503" t="str">
        <f t="shared" ca="1" si="243"/>
        <v/>
      </c>
      <c r="N4284" s="503" t="str">
        <f t="shared" ca="1" si="244"/>
        <v/>
      </c>
      <c r="O4284" s="503" t="str">
        <f t="shared" ca="1" si="245"/>
        <v/>
      </c>
      <c r="P4284" s="503" t="str">
        <f t="shared" ca="1" si="246"/>
        <v/>
      </c>
      <c r="Q4284" s="503"/>
      <c r="R4284" s="512"/>
    </row>
    <row r="4285" spans="1:18" x14ac:dyDescent="0.35">
      <c r="A4285" s="497" t="b">
        <f t="shared" ca="1" si="238"/>
        <v>0</v>
      </c>
      <c r="B4285" s="497">
        <f t="shared" si="247"/>
        <v>69</v>
      </c>
      <c r="C4285" s="517" t="str">
        <f ca="1">IF(COUNTA($G$4062:G4284)=1,"",OFFSET(B4285,-COUNTA($G$4062:G4284)+1,1))</f>
        <v>a1N3p00000FRPONEA5</v>
      </c>
      <c r="D4285" s="497" t="str">
        <f t="shared" ca="1" si="239"/>
        <v>INT-211703</v>
      </c>
      <c r="E4285" s="503"/>
      <c r="F4285" s="503" t="str">
        <f t="shared" ca="1" si="240"/>
        <v/>
      </c>
      <c r="G4285" s="520"/>
      <c r="H4285" s="498">
        <f t="shared" si="248"/>
        <v>141</v>
      </c>
      <c r="I4285" s="497" t="str">
        <f ca="1">IF(IFERROR(VLOOKUP(INDIRECT("'WPTM - Section F'!F"&amp;B4285),'Overview - Section A'!M$31:R254,6,0),IFERROR(VLOOKUP(INDIRECT("'WPTM - Section F'!F"&amp;B4285),'Overview - Section A'!E$27:J251,6,0),""))=0,"",IFERROR(VLOOKUP(INDIRECT("'WPTM - Section F'!F"&amp;B4285),'Overview - Section A'!M$31:R254,6,0),IFERROR(VLOOKUP(INDIRECT("'WPTM - Section F'!F"&amp;B4285),'Overview - Section A'!E$27:J251,6,0),"")))</f>
        <v/>
      </c>
      <c r="J4285" s="497" t="str">
        <f t="shared" ca="1" si="241"/>
        <v/>
      </c>
      <c r="K4285" s="503" t="str">
        <f t="shared" ca="1" si="242"/>
        <v/>
      </c>
      <c r="L4285" s="497" t="str">
        <f ca="1">IFERROR(INDEX('Reference Records'!F$412:F840,MATCH(INDIRECT("'WPTM - Section F'!AP"&amp;B4285)&amp;"|"&amp;INDIRECT("'WPTM - Section F'!C"&amp;$B4285),'Reference Records'!G$412:G840,0)),"")</f>
        <v/>
      </c>
      <c r="M4285" s="503" t="str">
        <f t="shared" ca="1" si="243"/>
        <v/>
      </c>
      <c r="N4285" s="503" t="str">
        <f t="shared" ca="1" si="244"/>
        <v/>
      </c>
      <c r="O4285" s="503" t="str">
        <f t="shared" ca="1" si="245"/>
        <v/>
      </c>
      <c r="P4285" s="503" t="str">
        <f t="shared" ca="1" si="246"/>
        <v/>
      </c>
      <c r="Q4285" s="503"/>
      <c r="R4285" s="512"/>
    </row>
    <row r="4286" spans="1:18" x14ac:dyDescent="0.35">
      <c r="A4286" s="497" t="b">
        <f t="shared" ca="1" si="238"/>
        <v>0</v>
      </c>
      <c r="B4286" s="497">
        <f t="shared" si="247"/>
        <v>70</v>
      </c>
      <c r="C4286" s="517" t="str">
        <f ca="1">IF(COUNTA($G$4062:G4285)=1,"",OFFSET(B4286,-COUNTA($G$4062:G4285)+1,1))</f>
        <v>a1N3p00000FRPPgEAP</v>
      </c>
      <c r="D4286" s="497" t="str">
        <f t="shared" ca="1" si="239"/>
        <v>INT-211703</v>
      </c>
      <c r="E4286" s="503"/>
      <c r="F4286" s="503" t="str">
        <f t="shared" ca="1" si="240"/>
        <v/>
      </c>
      <c r="G4286" s="520"/>
      <c r="H4286" s="498">
        <f t="shared" si="248"/>
        <v>142</v>
      </c>
      <c r="I4286" s="497" t="str">
        <f ca="1">IF(IFERROR(VLOOKUP(INDIRECT("'WPTM - Section F'!F"&amp;B4286),'Overview - Section A'!M$31:R255,6,0),IFERROR(VLOOKUP(INDIRECT("'WPTM - Section F'!F"&amp;B4286),'Overview - Section A'!E$27:J252,6,0),""))=0,"",IFERROR(VLOOKUP(INDIRECT("'WPTM - Section F'!F"&amp;B4286),'Overview - Section A'!M$31:R255,6,0),IFERROR(VLOOKUP(INDIRECT("'WPTM - Section F'!F"&amp;B4286),'Overview - Section A'!E$27:J252,6,0),"")))</f>
        <v/>
      </c>
      <c r="J4286" s="497" t="str">
        <f t="shared" ca="1" si="241"/>
        <v/>
      </c>
      <c r="K4286" s="503" t="str">
        <f t="shared" ca="1" si="242"/>
        <v/>
      </c>
      <c r="L4286" s="497" t="str">
        <f ca="1">IFERROR(INDEX('Reference Records'!F$412:F841,MATCH(INDIRECT("'WPTM - Section F'!AP"&amp;B4286)&amp;"|"&amp;INDIRECT("'WPTM - Section F'!C"&amp;$B4286),'Reference Records'!G$412:G841,0)),"")</f>
        <v/>
      </c>
      <c r="M4286" s="503" t="str">
        <f t="shared" ca="1" si="243"/>
        <v/>
      </c>
      <c r="N4286" s="503" t="str">
        <f t="shared" ca="1" si="244"/>
        <v/>
      </c>
      <c r="O4286" s="503" t="str">
        <f t="shared" ca="1" si="245"/>
        <v/>
      </c>
      <c r="P4286" s="503" t="str">
        <f t="shared" ca="1" si="246"/>
        <v/>
      </c>
      <c r="Q4286" s="503"/>
      <c r="R4286" s="512"/>
    </row>
    <row r="4287" spans="1:18" x14ac:dyDescent="0.35">
      <c r="A4287" s="497" t="b">
        <f t="shared" ca="1" si="238"/>
        <v>0</v>
      </c>
      <c r="B4287" s="497">
        <f t="shared" si="247"/>
        <v>71</v>
      </c>
      <c r="C4287" s="517" t="str">
        <f ca="1">IF(COUNTA($G$4062:G4286)=1,"",OFFSET(B4287,-COUNTA($G$4062:G4286)+1,1))</f>
        <v>a1N3p00000FRPOOEA5</v>
      </c>
      <c r="D4287" s="497" t="str">
        <f t="shared" ca="1" si="239"/>
        <v>INT-211703</v>
      </c>
      <c r="E4287" s="503"/>
      <c r="F4287" s="503" t="str">
        <f t="shared" ca="1" si="240"/>
        <v/>
      </c>
      <c r="G4287" s="520"/>
      <c r="H4287" s="498">
        <f t="shared" si="248"/>
        <v>143</v>
      </c>
      <c r="I4287" s="497" t="str">
        <f ca="1">IF(IFERROR(VLOOKUP(INDIRECT("'WPTM - Section F'!F"&amp;B4287),'Overview - Section A'!M$31:R256,6,0),IFERROR(VLOOKUP(INDIRECT("'WPTM - Section F'!F"&amp;B4287),'Overview - Section A'!E$27:J253,6,0),""))=0,"",IFERROR(VLOOKUP(INDIRECT("'WPTM - Section F'!F"&amp;B4287),'Overview - Section A'!M$31:R256,6,0),IFERROR(VLOOKUP(INDIRECT("'WPTM - Section F'!F"&amp;B4287),'Overview - Section A'!E$27:J253,6,0),"")))</f>
        <v/>
      </c>
      <c r="J4287" s="497" t="str">
        <f t="shared" ca="1" si="241"/>
        <v/>
      </c>
      <c r="K4287" s="503" t="str">
        <f t="shared" ca="1" si="242"/>
        <v/>
      </c>
      <c r="L4287" s="497" t="str">
        <f ca="1">IFERROR(INDEX('Reference Records'!F$412:F842,MATCH(INDIRECT("'WPTM - Section F'!AP"&amp;B4287)&amp;"|"&amp;INDIRECT("'WPTM - Section F'!C"&amp;$B4287),'Reference Records'!G$412:G842,0)),"")</f>
        <v/>
      </c>
      <c r="M4287" s="503" t="str">
        <f t="shared" ca="1" si="243"/>
        <v/>
      </c>
      <c r="N4287" s="503" t="str">
        <f t="shared" ca="1" si="244"/>
        <v/>
      </c>
      <c r="O4287" s="503" t="str">
        <f t="shared" ca="1" si="245"/>
        <v/>
      </c>
      <c r="P4287" s="503" t="str">
        <f t="shared" ca="1" si="246"/>
        <v/>
      </c>
      <c r="Q4287" s="503"/>
      <c r="R4287" s="512"/>
    </row>
    <row r="4288" spans="1:18" x14ac:dyDescent="0.35">
      <c r="A4288" s="497" t="b">
        <f t="shared" ca="1" si="238"/>
        <v>0</v>
      </c>
      <c r="B4288" s="497">
        <f t="shared" si="247"/>
        <v>72</v>
      </c>
      <c r="C4288" s="517" t="str">
        <f ca="1">IF(COUNTA($G$4062:G4287)=1,"",OFFSET(B4288,-COUNTA($G$4062:G4287)+1,1))</f>
        <v>a1N3p00000FRPPhEAP</v>
      </c>
      <c r="D4288" s="497" t="str">
        <f t="shared" ca="1" si="239"/>
        <v>INT-211703</v>
      </c>
      <c r="E4288" s="503"/>
      <c r="F4288" s="503" t="str">
        <f t="shared" ca="1" si="240"/>
        <v/>
      </c>
      <c r="G4288" s="520"/>
      <c r="H4288" s="498">
        <f t="shared" si="248"/>
        <v>144</v>
      </c>
      <c r="I4288" s="497" t="str">
        <f ca="1">IF(IFERROR(VLOOKUP(INDIRECT("'WPTM - Section F'!F"&amp;B4288),'Overview - Section A'!M$31:R257,6,0),IFERROR(VLOOKUP(INDIRECT("'WPTM - Section F'!F"&amp;B4288),'Overview - Section A'!E$27:J254,6,0),""))=0,"",IFERROR(VLOOKUP(INDIRECT("'WPTM - Section F'!F"&amp;B4288),'Overview - Section A'!M$31:R257,6,0),IFERROR(VLOOKUP(INDIRECT("'WPTM - Section F'!F"&amp;B4288),'Overview - Section A'!E$27:J254,6,0),"")))</f>
        <v/>
      </c>
      <c r="J4288" s="497" t="str">
        <f t="shared" ca="1" si="241"/>
        <v/>
      </c>
      <c r="K4288" s="503" t="str">
        <f t="shared" ca="1" si="242"/>
        <v/>
      </c>
      <c r="L4288" s="497" t="str">
        <f ca="1">IFERROR(INDEX('Reference Records'!F$412:F843,MATCH(INDIRECT("'WPTM - Section F'!AP"&amp;B4288)&amp;"|"&amp;INDIRECT("'WPTM - Section F'!C"&amp;$B4288),'Reference Records'!G$412:G843,0)),"")</f>
        <v/>
      </c>
      <c r="M4288" s="503" t="str">
        <f t="shared" ca="1" si="243"/>
        <v/>
      </c>
      <c r="N4288" s="503" t="str">
        <f t="shared" ca="1" si="244"/>
        <v/>
      </c>
      <c r="O4288" s="503" t="str">
        <f t="shared" ca="1" si="245"/>
        <v/>
      </c>
      <c r="P4288" s="503" t="str">
        <f t="shared" ca="1" si="246"/>
        <v/>
      </c>
      <c r="Q4288" s="503"/>
      <c r="R4288" s="512"/>
    </row>
    <row r="4289" spans="1:18" x14ac:dyDescent="0.35">
      <c r="A4289" s="497" t="b">
        <f t="shared" ref="A4289:A4304" ca="1" si="249">IF(M4289&lt;&gt;"",TRUE,FALSE)</f>
        <v>0</v>
      </c>
      <c r="B4289" s="497">
        <f t="shared" si="247"/>
        <v>73</v>
      </c>
      <c r="C4289" s="517" t="str">
        <f ca="1">IF(COUNTA($G$4062:G4288)=1,"",OFFSET(B4289,-COUNTA($G$4062:G4288)+1,1))</f>
        <v>a1N3p00000FRPOPEA5</v>
      </c>
      <c r="D4289" s="497" t="str">
        <f t="shared" ref="D4289:D4304" ca="1" si="250">IFERROR(IF(INDIRECT("'WPTM - Section F'!AT"&amp;$B4289)=0,"",INDIRECT("'WPTM - Section F'!AT"&amp;$B4289)),"")</f>
        <v>INT-211703</v>
      </c>
      <c r="E4289" s="503"/>
      <c r="F4289" s="503" t="str">
        <f t="shared" ref="F4289:F4304" ca="1" si="251">IFERROR(IF(INDIRECT("'WPTM - Section F'!AU"&amp;$B4289)=0,"",INDIRECT("'WPTM - Section F'!AU"&amp;$B4289)),"")</f>
        <v/>
      </c>
      <c r="G4289" s="520"/>
      <c r="H4289" s="498">
        <f t="shared" si="248"/>
        <v>145</v>
      </c>
      <c r="I4289" s="497" t="str">
        <f ca="1">IF(IFERROR(VLOOKUP(INDIRECT("'WPTM - Section F'!F"&amp;B4289),'Overview - Section A'!M$31:R258,6,0),IFERROR(VLOOKUP(INDIRECT("'WPTM - Section F'!F"&amp;B4289),'Overview - Section A'!E$27:J255,6,0),""))=0,"",IFERROR(VLOOKUP(INDIRECT("'WPTM - Section F'!F"&amp;B4289),'Overview - Section A'!M$31:R258,6,0),IFERROR(VLOOKUP(INDIRECT("'WPTM - Section F'!F"&amp;B4289),'Overview - Section A'!E$27:J255,6,0),"")))</f>
        <v/>
      </c>
      <c r="J4289" s="497" t="str">
        <f t="shared" ref="J4289:J4304" ca="1" si="252">IFERROR(IF(INDIRECT("'WPTM - Section F'!G"&amp;$B4289)=0,"",INDIRECT("'WPTM - Section F'!G"&amp;$B4289)),"")</f>
        <v/>
      </c>
      <c r="K4289" s="503" t="str">
        <f t="shared" ref="K4289:K4304" ca="1" si="253">IFERROR(IF(INDIRECT("'WPTM - Section F'!BF"&amp;$B4289)=0,"",INDIRECT("'WPTM - Section F'!BF"&amp;$B4289)),"")</f>
        <v/>
      </c>
      <c r="L4289" s="497" t="str">
        <f ca="1">IFERROR(INDEX('Reference Records'!F$412:F844,MATCH(INDIRECT("'WPTM - Section F'!AP"&amp;B4289)&amp;"|"&amp;INDIRECT("'WPTM - Section F'!C"&amp;$B4289),'Reference Records'!G$412:G844,0)),"")</f>
        <v/>
      </c>
      <c r="M4289" s="503" t="str">
        <f t="shared" ref="M4289:M4304" ca="1" si="254">IFERROR(IF(INDIRECT("'WPTM - Section F'!E"&amp;$B4289)=0,"",INDIRECT("'WPTM - Section F'!E"&amp;$B4289)),"")</f>
        <v/>
      </c>
      <c r="N4289" s="503" t="str">
        <f t="shared" ref="N4289:N4304" ca="1" si="255">IFERROR(IF(INDIRECT("'WPTM - Section F'!AV"&amp;$B4289)=0,"",INDIRECT("'WPTM - Section F'!AV"&amp;$B4289)),"")</f>
        <v/>
      </c>
      <c r="O4289" s="503" t="str">
        <f t="shared" ref="O4289:O4304" ca="1" si="256">IFERROR(IF(INDIRECT("'WPTM - Section F'!AN"&amp;$B4289)=0,"",INDIRECT("'WPTM - Section F'!AN"&amp;$B4289)),"")</f>
        <v/>
      </c>
      <c r="P4289" s="503" t="str">
        <f t="shared" ref="P4289:P4304" ca="1" si="257">IFERROR(IF(INDIRECT("'WPTM - Section F'!BE"&amp;$B4289)=0,"",INDIRECT("'WPTM - Section F'!BE"&amp;$B4289)),"")</f>
        <v/>
      </c>
      <c r="Q4289" s="503"/>
      <c r="R4289" s="512"/>
    </row>
    <row r="4290" spans="1:18" x14ac:dyDescent="0.35">
      <c r="A4290" s="497" t="b">
        <f t="shared" ca="1" si="249"/>
        <v>0</v>
      </c>
      <c r="B4290" s="497">
        <f t="shared" si="247"/>
        <v>74</v>
      </c>
      <c r="C4290" s="517" t="str">
        <f ca="1">IF(COUNTA($G$4062:G4289)=1,"",OFFSET(B4290,-COUNTA($G$4062:G4289)+1,1))</f>
        <v>a1N3p00000FRPPiEAP</v>
      </c>
      <c r="D4290" s="497" t="str">
        <f t="shared" ca="1" si="250"/>
        <v>INT-211703</v>
      </c>
      <c r="E4290" s="503"/>
      <c r="F4290" s="503" t="str">
        <f t="shared" ca="1" si="251"/>
        <v/>
      </c>
      <c r="G4290" s="520"/>
      <c r="H4290" s="498">
        <f t="shared" si="248"/>
        <v>146</v>
      </c>
      <c r="I4290" s="497" t="str">
        <f ca="1">IF(IFERROR(VLOOKUP(INDIRECT("'WPTM - Section F'!F"&amp;B4290),'Overview - Section A'!M$31:R259,6,0),IFERROR(VLOOKUP(INDIRECT("'WPTM - Section F'!F"&amp;B4290),'Overview - Section A'!E$27:J256,6,0),""))=0,"",IFERROR(VLOOKUP(INDIRECT("'WPTM - Section F'!F"&amp;B4290),'Overview - Section A'!M$31:R259,6,0),IFERROR(VLOOKUP(INDIRECT("'WPTM - Section F'!F"&amp;B4290),'Overview - Section A'!E$27:J256,6,0),"")))</f>
        <v/>
      </c>
      <c r="J4290" s="497" t="str">
        <f t="shared" ca="1" si="252"/>
        <v/>
      </c>
      <c r="K4290" s="503" t="str">
        <f t="shared" ca="1" si="253"/>
        <v/>
      </c>
      <c r="L4290" s="497" t="str">
        <f ca="1">IFERROR(INDEX('Reference Records'!F$412:F845,MATCH(INDIRECT("'WPTM - Section F'!AP"&amp;B4290)&amp;"|"&amp;INDIRECT("'WPTM - Section F'!C"&amp;$B4290),'Reference Records'!G$412:G845,0)),"")</f>
        <v/>
      </c>
      <c r="M4290" s="503" t="str">
        <f t="shared" ca="1" si="254"/>
        <v/>
      </c>
      <c r="N4290" s="503" t="str">
        <f t="shared" ca="1" si="255"/>
        <v/>
      </c>
      <c r="O4290" s="503" t="str">
        <f t="shared" ca="1" si="256"/>
        <v/>
      </c>
      <c r="P4290" s="503" t="str">
        <f t="shared" ca="1" si="257"/>
        <v/>
      </c>
      <c r="Q4290" s="503"/>
      <c r="R4290" s="512"/>
    </row>
    <row r="4291" spans="1:18" x14ac:dyDescent="0.35">
      <c r="A4291" s="497" t="b">
        <f t="shared" ca="1" si="249"/>
        <v>0</v>
      </c>
      <c r="B4291" s="497">
        <f t="shared" si="247"/>
        <v>75</v>
      </c>
      <c r="C4291" s="517" t="str">
        <f ca="1">IF(COUNTA($G$4062:G4290)=1,"",OFFSET(B4291,-COUNTA($G$4062:G4290)+1,1))</f>
        <v>a1N3p00000FRPOQEA5</v>
      </c>
      <c r="D4291" s="497" t="str">
        <f t="shared" ca="1" si="250"/>
        <v>INT-211703</v>
      </c>
      <c r="E4291" s="503"/>
      <c r="F4291" s="503" t="str">
        <f t="shared" ca="1" si="251"/>
        <v/>
      </c>
      <c r="G4291" s="520"/>
      <c r="H4291" s="498">
        <f t="shared" si="248"/>
        <v>147</v>
      </c>
      <c r="I4291" s="497" t="str">
        <f ca="1">IF(IFERROR(VLOOKUP(INDIRECT("'WPTM - Section F'!F"&amp;B4291),'Overview - Section A'!M$31:R260,6,0),IFERROR(VLOOKUP(INDIRECT("'WPTM - Section F'!F"&amp;B4291),'Overview - Section A'!E$27:J257,6,0),""))=0,"",IFERROR(VLOOKUP(INDIRECT("'WPTM - Section F'!F"&amp;B4291),'Overview - Section A'!M$31:R260,6,0),IFERROR(VLOOKUP(INDIRECT("'WPTM - Section F'!F"&amp;B4291),'Overview - Section A'!E$27:J257,6,0),"")))</f>
        <v/>
      </c>
      <c r="J4291" s="497" t="str">
        <f t="shared" ca="1" si="252"/>
        <v/>
      </c>
      <c r="K4291" s="503" t="str">
        <f t="shared" ca="1" si="253"/>
        <v/>
      </c>
      <c r="L4291" s="497" t="str">
        <f ca="1">IFERROR(INDEX('Reference Records'!F$412:F846,MATCH(INDIRECT("'WPTM - Section F'!AP"&amp;B4291)&amp;"|"&amp;INDIRECT("'WPTM - Section F'!C"&amp;$B4291),'Reference Records'!G$412:G846,0)),"")</f>
        <v/>
      </c>
      <c r="M4291" s="503" t="str">
        <f t="shared" ca="1" si="254"/>
        <v/>
      </c>
      <c r="N4291" s="503" t="str">
        <f t="shared" ca="1" si="255"/>
        <v/>
      </c>
      <c r="O4291" s="503" t="str">
        <f t="shared" ca="1" si="256"/>
        <v/>
      </c>
      <c r="P4291" s="503" t="str">
        <f t="shared" ca="1" si="257"/>
        <v/>
      </c>
      <c r="Q4291" s="503"/>
      <c r="R4291" s="512"/>
    </row>
    <row r="4292" spans="1:18" x14ac:dyDescent="0.35">
      <c r="A4292" s="497" t="b">
        <f t="shared" ca="1" si="249"/>
        <v>0</v>
      </c>
      <c r="B4292" s="497">
        <f t="shared" si="247"/>
        <v>76</v>
      </c>
      <c r="C4292" s="517" t="str">
        <f ca="1">IF(COUNTA($G$4062:G4291)=1,"",OFFSET(B4292,-COUNTA($G$4062:G4291)+1,1))</f>
        <v>a1N3p00000FRPPfEAP</v>
      </c>
      <c r="D4292" s="497" t="str">
        <f t="shared" ca="1" si="250"/>
        <v>INT-211703</v>
      </c>
      <c r="E4292" s="503"/>
      <c r="F4292" s="503" t="str">
        <f t="shared" ca="1" si="251"/>
        <v/>
      </c>
      <c r="G4292" s="520"/>
      <c r="H4292" s="498">
        <f t="shared" si="248"/>
        <v>148</v>
      </c>
      <c r="I4292" s="497" t="str">
        <f ca="1">IF(IFERROR(VLOOKUP(INDIRECT("'WPTM - Section F'!F"&amp;B4292),'Overview - Section A'!M$31:R261,6,0),IFERROR(VLOOKUP(INDIRECT("'WPTM - Section F'!F"&amp;B4292),'Overview - Section A'!E$27:J258,6,0),""))=0,"",IFERROR(VLOOKUP(INDIRECT("'WPTM - Section F'!F"&amp;B4292),'Overview - Section A'!M$31:R261,6,0),IFERROR(VLOOKUP(INDIRECT("'WPTM - Section F'!F"&amp;B4292),'Overview - Section A'!E$27:J258,6,0),"")))</f>
        <v/>
      </c>
      <c r="J4292" s="497" t="str">
        <f t="shared" ca="1" si="252"/>
        <v/>
      </c>
      <c r="K4292" s="503" t="str">
        <f t="shared" ca="1" si="253"/>
        <v/>
      </c>
      <c r="L4292" s="497" t="str">
        <f ca="1">IFERROR(INDEX('Reference Records'!F$412:F847,MATCH(INDIRECT("'WPTM - Section F'!AP"&amp;B4292)&amp;"|"&amp;INDIRECT("'WPTM - Section F'!C"&amp;$B4292),'Reference Records'!G$412:G847,0)),"")</f>
        <v/>
      </c>
      <c r="M4292" s="503" t="str">
        <f t="shared" ca="1" si="254"/>
        <v/>
      </c>
      <c r="N4292" s="503" t="str">
        <f t="shared" ca="1" si="255"/>
        <v/>
      </c>
      <c r="O4292" s="503" t="str">
        <f t="shared" ca="1" si="256"/>
        <v/>
      </c>
      <c r="P4292" s="503" t="str">
        <f t="shared" ca="1" si="257"/>
        <v/>
      </c>
      <c r="Q4292" s="503"/>
      <c r="R4292" s="512"/>
    </row>
    <row r="4293" spans="1:18" x14ac:dyDescent="0.35">
      <c r="A4293" s="497" t="b">
        <f t="shared" ca="1" si="249"/>
        <v>0</v>
      </c>
      <c r="B4293" s="497">
        <f t="shared" si="247"/>
        <v>77</v>
      </c>
      <c r="C4293" s="517" t="str">
        <f ca="1">IF(COUNTA($G$4062:G4292)=1,"",OFFSET(B4293,-COUNTA($G$4062:G4292)+1,1))</f>
        <v>a1N3p00000FRPOREA5</v>
      </c>
      <c r="D4293" s="497" t="str">
        <f t="shared" ca="1" si="250"/>
        <v>INT-211703</v>
      </c>
      <c r="E4293" s="503"/>
      <c r="F4293" s="503" t="str">
        <f t="shared" ca="1" si="251"/>
        <v/>
      </c>
      <c r="G4293" s="520"/>
      <c r="H4293" s="498">
        <f t="shared" si="248"/>
        <v>149</v>
      </c>
      <c r="I4293" s="497" t="str">
        <f ca="1">IF(IFERROR(VLOOKUP(INDIRECT("'WPTM - Section F'!F"&amp;B4293),'Overview - Section A'!M$31:R262,6,0),IFERROR(VLOOKUP(INDIRECT("'WPTM - Section F'!F"&amp;B4293),'Overview - Section A'!E$27:J259,6,0),""))=0,"",IFERROR(VLOOKUP(INDIRECT("'WPTM - Section F'!F"&amp;B4293),'Overview - Section A'!M$31:R262,6,0),IFERROR(VLOOKUP(INDIRECT("'WPTM - Section F'!F"&amp;B4293),'Overview - Section A'!E$27:J259,6,0),"")))</f>
        <v/>
      </c>
      <c r="J4293" s="497" t="str">
        <f t="shared" ca="1" si="252"/>
        <v/>
      </c>
      <c r="K4293" s="503" t="str">
        <f t="shared" ca="1" si="253"/>
        <v/>
      </c>
      <c r="L4293" s="497" t="str">
        <f ca="1">IFERROR(INDEX('Reference Records'!F$412:F848,MATCH(INDIRECT("'WPTM - Section F'!AP"&amp;B4293)&amp;"|"&amp;INDIRECT("'WPTM - Section F'!C"&amp;$B4293),'Reference Records'!G$412:G848,0)),"")</f>
        <v/>
      </c>
      <c r="M4293" s="503" t="str">
        <f t="shared" ca="1" si="254"/>
        <v/>
      </c>
      <c r="N4293" s="503" t="str">
        <f t="shared" ca="1" si="255"/>
        <v/>
      </c>
      <c r="O4293" s="503" t="str">
        <f t="shared" ca="1" si="256"/>
        <v/>
      </c>
      <c r="P4293" s="503" t="str">
        <f t="shared" ca="1" si="257"/>
        <v/>
      </c>
      <c r="Q4293" s="503"/>
      <c r="R4293" s="512"/>
    </row>
    <row r="4294" spans="1:18" x14ac:dyDescent="0.35">
      <c r="A4294" s="497" t="b">
        <f t="shared" ca="1" si="249"/>
        <v>0</v>
      </c>
      <c r="B4294" s="497">
        <f t="shared" si="247"/>
        <v>78</v>
      </c>
      <c r="C4294" s="517" t="str">
        <f ca="1">IF(COUNTA($G$4062:G4293)=1,"",OFFSET(B4294,-COUNTA($G$4062:G4293)+1,1))</f>
        <v>a1N3p00000FRPPjEAP</v>
      </c>
      <c r="D4294" s="497" t="str">
        <f t="shared" ca="1" si="250"/>
        <v>INT-211703</v>
      </c>
      <c r="E4294" s="503"/>
      <c r="F4294" s="503" t="str">
        <f t="shared" ca="1" si="251"/>
        <v/>
      </c>
      <c r="G4294" s="520"/>
      <c r="H4294" s="498">
        <f t="shared" si="248"/>
        <v>150</v>
      </c>
      <c r="I4294" s="497" t="str">
        <f ca="1">IF(IFERROR(VLOOKUP(INDIRECT("'WPTM - Section F'!F"&amp;B4294),'Overview - Section A'!M$31:R263,6,0),IFERROR(VLOOKUP(INDIRECT("'WPTM - Section F'!F"&amp;B4294),'Overview - Section A'!E$27:J260,6,0),""))=0,"",IFERROR(VLOOKUP(INDIRECT("'WPTM - Section F'!F"&amp;B4294),'Overview - Section A'!M$31:R263,6,0),IFERROR(VLOOKUP(INDIRECT("'WPTM - Section F'!F"&amp;B4294),'Overview - Section A'!E$27:J260,6,0),"")))</f>
        <v/>
      </c>
      <c r="J4294" s="497" t="str">
        <f t="shared" ca="1" si="252"/>
        <v/>
      </c>
      <c r="K4294" s="503" t="str">
        <f t="shared" ca="1" si="253"/>
        <v/>
      </c>
      <c r="L4294" s="497" t="str">
        <f ca="1">IFERROR(INDEX('Reference Records'!F$412:F849,MATCH(INDIRECT("'WPTM - Section F'!AP"&amp;B4294)&amp;"|"&amp;INDIRECT("'WPTM - Section F'!C"&amp;$B4294),'Reference Records'!G$412:G849,0)),"")</f>
        <v/>
      </c>
      <c r="M4294" s="503" t="str">
        <f t="shared" ca="1" si="254"/>
        <v/>
      </c>
      <c r="N4294" s="503" t="str">
        <f t="shared" ca="1" si="255"/>
        <v/>
      </c>
      <c r="O4294" s="503" t="str">
        <f t="shared" ca="1" si="256"/>
        <v/>
      </c>
      <c r="P4294" s="503" t="str">
        <f t="shared" ca="1" si="257"/>
        <v/>
      </c>
      <c r="Q4294" s="503"/>
      <c r="R4294" s="512"/>
    </row>
    <row r="4295" spans="1:18" x14ac:dyDescent="0.35">
      <c r="A4295" s="497" t="b">
        <f t="shared" ca="1" si="249"/>
        <v>0</v>
      </c>
      <c r="B4295" s="497">
        <f t="shared" si="247"/>
        <v>79</v>
      </c>
      <c r="C4295" s="517" t="str">
        <f ca="1">IF(COUNTA($G$4062:G4294)=1,"",OFFSET(B4295,-COUNTA($G$4062:G4294)+1,1))</f>
        <v>a1N3p00000FRPOSEA5</v>
      </c>
      <c r="D4295" s="497" t="str">
        <f t="shared" ca="1" si="250"/>
        <v>INT-211703</v>
      </c>
      <c r="E4295" s="503"/>
      <c r="F4295" s="503" t="str">
        <f t="shared" ca="1" si="251"/>
        <v/>
      </c>
      <c r="G4295" s="520"/>
      <c r="H4295" s="498">
        <f t="shared" si="248"/>
        <v>151</v>
      </c>
      <c r="I4295" s="497" t="str">
        <f ca="1">IF(IFERROR(VLOOKUP(INDIRECT("'WPTM - Section F'!F"&amp;B4295),'Overview - Section A'!M$31:R264,6,0),IFERROR(VLOOKUP(INDIRECT("'WPTM - Section F'!F"&amp;B4295),'Overview - Section A'!E$27:J261,6,0),""))=0,"",IFERROR(VLOOKUP(INDIRECT("'WPTM - Section F'!F"&amp;B4295),'Overview - Section A'!M$31:R264,6,0),IFERROR(VLOOKUP(INDIRECT("'WPTM - Section F'!F"&amp;B4295),'Overview - Section A'!E$27:J261,6,0),"")))</f>
        <v/>
      </c>
      <c r="J4295" s="497" t="str">
        <f t="shared" ca="1" si="252"/>
        <v/>
      </c>
      <c r="K4295" s="503" t="str">
        <f t="shared" ca="1" si="253"/>
        <v/>
      </c>
      <c r="L4295" s="497" t="str">
        <f ca="1">IFERROR(INDEX('Reference Records'!F$412:F850,MATCH(INDIRECT("'WPTM - Section F'!AP"&amp;B4295)&amp;"|"&amp;INDIRECT("'WPTM - Section F'!C"&amp;$B4295),'Reference Records'!G$412:G850,0)),"")</f>
        <v/>
      </c>
      <c r="M4295" s="503" t="str">
        <f t="shared" ca="1" si="254"/>
        <v/>
      </c>
      <c r="N4295" s="503" t="str">
        <f t="shared" ca="1" si="255"/>
        <v/>
      </c>
      <c r="O4295" s="503" t="str">
        <f t="shared" ca="1" si="256"/>
        <v/>
      </c>
      <c r="P4295" s="503" t="str">
        <f t="shared" ca="1" si="257"/>
        <v/>
      </c>
      <c r="Q4295" s="503"/>
      <c r="R4295" s="512"/>
    </row>
    <row r="4296" spans="1:18" x14ac:dyDescent="0.35">
      <c r="A4296" s="497" t="b">
        <f t="shared" ca="1" si="249"/>
        <v>0</v>
      </c>
      <c r="B4296" s="497">
        <f t="shared" si="247"/>
        <v>80</v>
      </c>
      <c r="C4296" s="517" t="str">
        <f ca="1">IF(COUNTA($G$4062:G4295)=1,"",OFFSET(B4296,-COUNTA($G$4062:G4295)+1,1))</f>
        <v>a1N3p00000FRPPkEAP</v>
      </c>
      <c r="D4296" s="497" t="str">
        <f t="shared" ca="1" si="250"/>
        <v>INT-211703</v>
      </c>
      <c r="E4296" s="503"/>
      <c r="F4296" s="503" t="str">
        <f t="shared" ca="1" si="251"/>
        <v/>
      </c>
      <c r="G4296" s="520"/>
      <c r="H4296" s="498">
        <f t="shared" si="248"/>
        <v>152</v>
      </c>
      <c r="I4296" s="497" t="str">
        <f ca="1">IF(IFERROR(VLOOKUP(INDIRECT("'WPTM - Section F'!F"&amp;B4296),'Overview - Section A'!M$31:R265,6,0),IFERROR(VLOOKUP(INDIRECT("'WPTM - Section F'!F"&amp;B4296),'Overview - Section A'!E$27:J262,6,0),""))=0,"",IFERROR(VLOOKUP(INDIRECT("'WPTM - Section F'!F"&amp;B4296),'Overview - Section A'!M$31:R265,6,0),IFERROR(VLOOKUP(INDIRECT("'WPTM - Section F'!F"&amp;B4296),'Overview - Section A'!E$27:J262,6,0),"")))</f>
        <v/>
      </c>
      <c r="J4296" s="497" t="str">
        <f t="shared" ca="1" si="252"/>
        <v/>
      </c>
      <c r="K4296" s="503" t="str">
        <f t="shared" ca="1" si="253"/>
        <v/>
      </c>
      <c r="L4296" s="497" t="str">
        <f ca="1">IFERROR(INDEX('Reference Records'!F$412:F851,MATCH(INDIRECT("'WPTM - Section F'!AP"&amp;B4296)&amp;"|"&amp;INDIRECT("'WPTM - Section F'!C"&amp;$B4296),'Reference Records'!G$412:G851,0)),"")</f>
        <v/>
      </c>
      <c r="M4296" s="503" t="str">
        <f t="shared" ca="1" si="254"/>
        <v/>
      </c>
      <c r="N4296" s="503" t="str">
        <f t="shared" ca="1" si="255"/>
        <v/>
      </c>
      <c r="O4296" s="503" t="str">
        <f t="shared" ca="1" si="256"/>
        <v/>
      </c>
      <c r="P4296" s="503" t="str">
        <f t="shared" ca="1" si="257"/>
        <v/>
      </c>
      <c r="Q4296" s="503"/>
      <c r="R4296" s="512"/>
    </row>
    <row r="4297" spans="1:18" x14ac:dyDescent="0.35">
      <c r="A4297" s="497" t="b">
        <f t="shared" ca="1" si="249"/>
        <v>0</v>
      </c>
      <c r="B4297" s="497">
        <f t="shared" si="247"/>
        <v>81</v>
      </c>
      <c r="C4297" s="517" t="str">
        <f ca="1">IF(COUNTA($G$4062:G4296)=1,"",OFFSET(B4297,-COUNTA($G$4062:G4296)+1,1))</f>
        <v>a1N3p00000FRPOTEA5</v>
      </c>
      <c r="D4297" s="497" t="str">
        <f t="shared" ca="1" si="250"/>
        <v>INT-211703</v>
      </c>
      <c r="E4297" s="503"/>
      <c r="F4297" s="503" t="str">
        <f t="shared" ca="1" si="251"/>
        <v/>
      </c>
      <c r="G4297" s="520"/>
      <c r="H4297" s="498">
        <f t="shared" si="248"/>
        <v>153</v>
      </c>
      <c r="I4297" s="497" t="str">
        <f ca="1">IF(IFERROR(VLOOKUP(INDIRECT("'WPTM - Section F'!F"&amp;B4297),'Overview - Section A'!M$31:R266,6,0),IFERROR(VLOOKUP(INDIRECT("'WPTM - Section F'!F"&amp;B4297),'Overview - Section A'!E$27:J263,6,0),""))=0,"",IFERROR(VLOOKUP(INDIRECT("'WPTM - Section F'!F"&amp;B4297),'Overview - Section A'!M$31:R266,6,0),IFERROR(VLOOKUP(INDIRECT("'WPTM - Section F'!F"&amp;B4297),'Overview - Section A'!E$27:J263,6,0),"")))</f>
        <v/>
      </c>
      <c r="J4297" s="497" t="str">
        <f t="shared" ca="1" si="252"/>
        <v/>
      </c>
      <c r="K4297" s="503" t="str">
        <f t="shared" ca="1" si="253"/>
        <v/>
      </c>
      <c r="L4297" s="497" t="str">
        <f ca="1">IFERROR(INDEX('Reference Records'!F$412:F852,MATCH(INDIRECT("'WPTM - Section F'!AP"&amp;B4297)&amp;"|"&amp;INDIRECT("'WPTM - Section F'!C"&amp;$B4297),'Reference Records'!G$412:G852,0)),"")</f>
        <v/>
      </c>
      <c r="M4297" s="503" t="str">
        <f t="shared" ca="1" si="254"/>
        <v/>
      </c>
      <c r="N4297" s="503" t="str">
        <f t="shared" ca="1" si="255"/>
        <v/>
      </c>
      <c r="O4297" s="503" t="str">
        <f t="shared" ca="1" si="256"/>
        <v/>
      </c>
      <c r="P4297" s="503" t="str">
        <f t="shared" ca="1" si="257"/>
        <v/>
      </c>
      <c r="Q4297" s="503"/>
      <c r="R4297" s="512"/>
    </row>
    <row r="4298" spans="1:18" x14ac:dyDescent="0.35">
      <c r="A4298" s="497" t="b">
        <f t="shared" ca="1" si="249"/>
        <v>0</v>
      </c>
      <c r="B4298" s="497">
        <f t="shared" si="247"/>
        <v>82</v>
      </c>
      <c r="C4298" s="517" t="str">
        <f ca="1">IF(COUNTA($G$4062:G4297)=1,"",OFFSET(B4298,-COUNTA($G$4062:G4297)+1,1))</f>
        <v>a1N3p00000FRPPlEAP</v>
      </c>
      <c r="D4298" s="497" t="str">
        <f t="shared" ca="1" si="250"/>
        <v>INT-211703</v>
      </c>
      <c r="E4298" s="503"/>
      <c r="F4298" s="503" t="str">
        <f t="shared" ca="1" si="251"/>
        <v/>
      </c>
      <c r="G4298" s="520"/>
      <c r="H4298" s="498">
        <f t="shared" si="248"/>
        <v>154</v>
      </c>
      <c r="I4298" s="497" t="str">
        <f ca="1">IF(IFERROR(VLOOKUP(INDIRECT("'WPTM - Section F'!F"&amp;B4298),'Overview - Section A'!M$31:R267,6,0),IFERROR(VLOOKUP(INDIRECT("'WPTM - Section F'!F"&amp;B4298),'Overview - Section A'!E$27:J264,6,0),""))=0,"",IFERROR(VLOOKUP(INDIRECT("'WPTM - Section F'!F"&amp;B4298),'Overview - Section A'!M$31:R267,6,0),IFERROR(VLOOKUP(INDIRECT("'WPTM - Section F'!F"&amp;B4298),'Overview - Section A'!E$27:J264,6,0),"")))</f>
        <v/>
      </c>
      <c r="J4298" s="497" t="str">
        <f t="shared" ca="1" si="252"/>
        <v/>
      </c>
      <c r="K4298" s="503" t="str">
        <f t="shared" ca="1" si="253"/>
        <v/>
      </c>
      <c r="L4298" s="497" t="str">
        <f ca="1">IFERROR(INDEX('Reference Records'!F$412:F853,MATCH(INDIRECT("'WPTM - Section F'!AP"&amp;B4298)&amp;"|"&amp;INDIRECT("'WPTM - Section F'!C"&amp;$B4298),'Reference Records'!G$412:G853,0)),"")</f>
        <v/>
      </c>
      <c r="M4298" s="503" t="str">
        <f t="shared" ca="1" si="254"/>
        <v/>
      </c>
      <c r="N4298" s="503" t="str">
        <f t="shared" ca="1" si="255"/>
        <v/>
      </c>
      <c r="O4298" s="503" t="str">
        <f t="shared" ca="1" si="256"/>
        <v/>
      </c>
      <c r="P4298" s="503" t="str">
        <f t="shared" ca="1" si="257"/>
        <v/>
      </c>
      <c r="Q4298" s="503"/>
      <c r="R4298" s="512"/>
    </row>
    <row r="4299" spans="1:18" x14ac:dyDescent="0.35">
      <c r="A4299" s="497" t="b">
        <f t="shared" ca="1" si="249"/>
        <v>0</v>
      </c>
      <c r="B4299" s="497">
        <f t="shared" si="247"/>
        <v>83</v>
      </c>
      <c r="C4299" s="517" t="str">
        <f ca="1">IF(COUNTA($G$4062:G4298)=1,"",OFFSET(B4299,-COUNTA($G$4062:G4298)+1,1))</f>
        <v>a1N3p00000FRPOUEA5</v>
      </c>
      <c r="D4299" s="497" t="str">
        <f t="shared" ca="1" si="250"/>
        <v>INT-211703</v>
      </c>
      <c r="E4299" s="503"/>
      <c r="F4299" s="503" t="str">
        <f t="shared" ca="1" si="251"/>
        <v/>
      </c>
      <c r="G4299" s="520"/>
      <c r="H4299" s="498">
        <f t="shared" si="248"/>
        <v>155</v>
      </c>
      <c r="I4299" s="497" t="str">
        <f ca="1">IF(IFERROR(VLOOKUP(INDIRECT("'WPTM - Section F'!F"&amp;B4299),'Overview - Section A'!M$31:R268,6,0),IFERROR(VLOOKUP(INDIRECT("'WPTM - Section F'!F"&amp;B4299),'Overview - Section A'!E$27:J265,6,0),""))=0,"",IFERROR(VLOOKUP(INDIRECT("'WPTM - Section F'!F"&amp;B4299),'Overview - Section A'!M$31:R268,6,0),IFERROR(VLOOKUP(INDIRECT("'WPTM - Section F'!F"&amp;B4299),'Overview - Section A'!E$27:J265,6,0),"")))</f>
        <v/>
      </c>
      <c r="J4299" s="497" t="str">
        <f t="shared" ca="1" si="252"/>
        <v/>
      </c>
      <c r="K4299" s="503" t="str">
        <f t="shared" ca="1" si="253"/>
        <v/>
      </c>
      <c r="L4299" s="497" t="str">
        <f ca="1">IFERROR(INDEX('Reference Records'!F$412:F854,MATCH(INDIRECT("'WPTM - Section F'!AP"&amp;B4299)&amp;"|"&amp;INDIRECT("'WPTM - Section F'!C"&amp;$B4299),'Reference Records'!G$412:G854,0)),"")</f>
        <v/>
      </c>
      <c r="M4299" s="503" t="str">
        <f t="shared" ca="1" si="254"/>
        <v/>
      </c>
      <c r="N4299" s="503" t="str">
        <f t="shared" ca="1" si="255"/>
        <v/>
      </c>
      <c r="O4299" s="503" t="str">
        <f t="shared" ca="1" si="256"/>
        <v/>
      </c>
      <c r="P4299" s="503" t="str">
        <f t="shared" ca="1" si="257"/>
        <v/>
      </c>
      <c r="Q4299" s="503"/>
      <c r="R4299" s="512"/>
    </row>
    <row r="4300" spans="1:18" x14ac:dyDescent="0.35">
      <c r="A4300" s="497" t="b">
        <f t="shared" ca="1" si="249"/>
        <v>0</v>
      </c>
      <c r="B4300" s="497">
        <f t="shared" si="247"/>
        <v>84</v>
      </c>
      <c r="C4300" s="517" t="str">
        <f ca="1">IF(COUNTA($G$4062:G4299)=1,"",OFFSET(B4300,-COUNTA($G$4062:G4299)+1,1))</f>
        <v>a1N3p00000FRPPnEAP</v>
      </c>
      <c r="D4300" s="497" t="str">
        <f t="shared" ca="1" si="250"/>
        <v>INT-211703</v>
      </c>
      <c r="E4300" s="503"/>
      <c r="F4300" s="503" t="str">
        <f t="shared" ca="1" si="251"/>
        <v/>
      </c>
      <c r="G4300" s="520"/>
      <c r="H4300" s="498">
        <f t="shared" si="248"/>
        <v>156</v>
      </c>
      <c r="I4300" s="497" t="str">
        <f ca="1">IF(IFERROR(VLOOKUP(INDIRECT("'WPTM - Section F'!F"&amp;B4300),'Overview - Section A'!M$31:R269,6,0),IFERROR(VLOOKUP(INDIRECT("'WPTM - Section F'!F"&amp;B4300),'Overview - Section A'!E$27:J266,6,0),""))=0,"",IFERROR(VLOOKUP(INDIRECT("'WPTM - Section F'!F"&amp;B4300),'Overview - Section A'!M$31:R269,6,0),IFERROR(VLOOKUP(INDIRECT("'WPTM - Section F'!F"&amp;B4300),'Overview - Section A'!E$27:J266,6,0),"")))</f>
        <v/>
      </c>
      <c r="J4300" s="497" t="str">
        <f t="shared" ca="1" si="252"/>
        <v/>
      </c>
      <c r="K4300" s="503" t="str">
        <f t="shared" ca="1" si="253"/>
        <v/>
      </c>
      <c r="L4300" s="497" t="str">
        <f ca="1">IFERROR(INDEX('Reference Records'!F$412:F855,MATCH(INDIRECT("'WPTM - Section F'!AP"&amp;B4300)&amp;"|"&amp;INDIRECT("'WPTM - Section F'!C"&amp;$B4300),'Reference Records'!G$412:G855,0)),"")</f>
        <v/>
      </c>
      <c r="M4300" s="503" t="str">
        <f t="shared" ca="1" si="254"/>
        <v/>
      </c>
      <c r="N4300" s="503" t="str">
        <f t="shared" ca="1" si="255"/>
        <v/>
      </c>
      <c r="O4300" s="503" t="str">
        <f t="shared" ca="1" si="256"/>
        <v/>
      </c>
      <c r="P4300" s="503" t="str">
        <f t="shared" ca="1" si="257"/>
        <v/>
      </c>
      <c r="Q4300" s="503"/>
      <c r="R4300" s="512"/>
    </row>
    <row r="4301" spans="1:18" x14ac:dyDescent="0.35">
      <c r="A4301" s="497" t="b">
        <f t="shared" ca="1" si="249"/>
        <v>0</v>
      </c>
      <c r="B4301" s="497">
        <f t="shared" si="247"/>
        <v>85</v>
      </c>
      <c r="C4301" s="517" t="str">
        <f ca="1">IF(COUNTA($G$4062:G4300)=1,"",OFFSET(B4301,-COUNTA($G$4062:G4300)+1,1))</f>
        <v>a1N3p00000FRPOVEA5</v>
      </c>
      <c r="D4301" s="497" t="str">
        <f t="shared" ca="1" si="250"/>
        <v>INT-211703</v>
      </c>
      <c r="E4301" s="503"/>
      <c r="F4301" s="503" t="str">
        <f t="shared" ca="1" si="251"/>
        <v/>
      </c>
      <c r="G4301" s="520"/>
      <c r="H4301" s="498">
        <f t="shared" si="248"/>
        <v>157</v>
      </c>
      <c r="I4301" s="497" t="str">
        <f ca="1">IF(IFERROR(VLOOKUP(INDIRECT("'WPTM - Section F'!F"&amp;B4301),'Overview - Section A'!M$31:R270,6,0),IFERROR(VLOOKUP(INDIRECT("'WPTM - Section F'!F"&amp;B4301),'Overview - Section A'!E$27:J267,6,0),""))=0,"",IFERROR(VLOOKUP(INDIRECT("'WPTM - Section F'!F"&amp;B4301),'Overview - Section A'!M$31:R270,6,0),IFERROR(VLOOKUP(INDIRECT("'WPTM - Section F'!F"&amp;B4301),'Overview - Section A'!E$27:J267,6,0),"")))</f>
        <v/>
      </c>
      <c r="J4301" s="497" t="str">
        <f t="shared" ca="1" si="252"/>
        <v/>
      </c>
      <c r="K4301" s="503" t="str">
        <f t="shared" ca="1" si="253"/>
        <v/>
      </c>
      <c r="L4301" s="497" t="str">
        <f ca="1">IFERROR(INDEX('Reference Records'!F$412:F856,MATCH(INDIRECT("'WPTM - Section F'!AP"&amp;B4301)&amp;"|"&amp;INDIRECT("'WPTM - Section F'!C"&amp;$B4301),'Reference Records'!G$412:G856,0)),"")</f>
        <v/>
      </c>
      <c r="M4301" s="503" t="str">
        <f t="shared" ca="1" si="254"/>
        <v/>
      </c>
      <c r="N4301" s="503" t="str">
        <f t="shared" ca="1" si="255"/>
        <v/>
      </c>
      <c r="O4301" s="503" t="str">
        <f t="shared" ca="1" si="256"/>
        <v/>
      </c>
      <c r="P4301" s="503" t="str">
        <f t="shared" ca="1" si="257"/>
        <v/>
      </c>
      <c r="Q4301" s="503"/>
      <c r="R4301" s="512"/>
    </row>
    <row r="4302" spans="1:18" x14ac:dyDescent="0.35">
      <c r="A4302" s="497" t="b">
        <f t="shared" ca="1" si="249"/>
        <v>0</v>
      </c>
      <c r="B4302" s="497">
        <f t="shared" si="247"/>
        <v>86</v>
      </c>
      <c r="C4302" s="517" t="str">
        <f ca="1">IF(COUNTA($G$4062:G4301)=1,"",OFFSET(B4302,-COUNTA($G$4062:G4301)+1,1))</f>
        <v>a1N3p00000FRPPoEAP</v>
      </c>
      <c r="D4302" s="497" t="str">
        <f t="shared" ca="1" si="250"/>
        <v>INT-211703</v>
      </c>
      <c r="E4302" s="503"/>
      <c r="F4302" s="503" t="str">
        <f t="shared" ca="1" si="251"/>
        <v/>
      </c>
      <c r="G4302" s="520"/>
      <c r="H4302" s="498">
        <f t="shared" si="248"/>
        <v>158</v>
      </c>
      <c r="I4302" s="497" t="str">
        <f ca="1">IF(IFERROR(VLOOKUP(INDIRECT("'WPTM - Section F'!F"&amp;B4302),'Overview - Section A'!M$31:R271,6,0),IFERROR(VLOOKUP(INDIRECT("'WPTM - Section F'!F"&amp;B4302),'Overview - Section A'!E$27:J268,6,0),""))=0,"",IFERROR(VLOOKUP(INDIRECT("'WPTM - Section F'!F"&amp;B4302),'Overview - Section A'!M$31:R271,6,0),IFERROR(VLOOKUP(INDIRECT("'WPTM - Section F'!F"&amp;B4302),'Overview - Section A'!E$27:J268,6,0),"")))</f>
        <v/>
      </c>
      <c r="J4302" s="497" t="str">
        <f t="shared" ca="1" si="252"/>
        <v/>
      </c>
      <c r="K4302" s="503" t="str">
        <f t="shared" ca="1" si="253"/>
        <v/>
      </c>
      <c r="L4302" s="497" t="str">
        <f ca="1">IFERROR(INDEX('Reference Records'!F$412:F857,MATCH(INDIRECT("'WPTM - Section F'!AP"&amp;B4302)&amp;"|"&amp;INDIRECT("'WPTM - Section F'!C"&amp;$B4302),'Reference Records'!G$412:G857,0)),"")</f>
        <v/>
      </c>
      <c r="M4302" s="503" t="str">
        <f t="shared" ca="1" si="254"/>
        <v/>
      </c>
      <c r="N4302" s="503" t="str">
        <f t="shared" ca="1" si="255"/>
        <v/>
      </c>
      <c r="O4302" s="503" t="str">
        <f t="shared" ca="1" si="256"/>
        <v/>
      </c>
      <c r="P4302" s="503" t="str">
        <f t="shared" ca="1" si="257"/>
        <v/>
      </c>
      <c r="Q4302" s="503"/>
      <c r="R4302" s="512"/>
    </row>
    <row r="4303" spans="1:18" x14ac:dyDescent="0.35">
      <c r="A4303" s="497" t="b">
        <f t="shared" ca="1" si="249"/>
        <v>0</v>
      </c>
      <c r="B4303" s="497">
        <f t="shared" si="247"/>
        <v>87</v>
      </c>
      <c r="C4303" s="517" t="str">
        <f ca="1">IF(COUNTA($G$4062:G4302)=1,"",OFFSET(B4303,-COUNTA($G$4062:G4302)+1,1))</f>
        <v>a1N3p00000FRPOWEA5</v>
      </c>
      <c r="D4303" s="497" t="str">
        <f t="shared" ca="1" si="250"/>
        <v>INT-211703</v>
      </c>
      <c r="E4303" s="503"/>
      <c r="F4303" s="503" t="str">
        <f t="shared" ca="1" si="251"/>
        <v/>
      </c>
      <c r="G4303" s="520"/>
      <c r="H4303" s="498">
        <f t="shared" si="248"/>
        <v>159</v>
      </c>
      <c r="I4303" s="497" t="str">
        <f ca="1">IF(IFERROR(VLOOKUP(INDIRECT("'WPTM - Section F'!F"&amp;B4303),'Overview - Section A'!M$31:R272,6,0),IFERROR(VLOOKUP(INDIRECT("'WPTM - Section F'!F"&amp;B4303),'Overview - Section A'!E$27:J269,6,0),""))=0,"",IFERROR(VLOOKUP(INDIRECT("'WPTM - Section F'!F"&amp;B4303),'Overview - Section A'!M$31:R272,6,0),IFERROR(VLOOKUP(INDIRECT("'WPTM - Section F'!F"&amp;B4303),'Overview - Section A'!E$27:J269,6,0),"")))</f>
        <v/>
      </c>
      <c r="J4303" s="497" t="str">
        <f t="shared" ca="1" si="252"/>
        <v/>
      </c>
      <c r="K4303" s="503" t="str">
        <f t="shared" ca="1" si="253"/>
        <v/>
      </c>
      <c r="L4303" s="497" t="str">
        <f ca="1">IFERROR(INDEX('Reference Records'!F$412:F858,MATCH(INDIRECT("'WPTM - Section F'!AP"&amp;B4303)&amp;"|"&amp;INDIRECT("'WPTM - Section F'!C"&amp;$B4303),'Reference Records'!G$412:G858,0)),"")</f>
        <v/>
      </c>
      <c r="M4303" s="503" t="str">
        <f t="shared" ca="1" si="254"/>
        <v/>
      </c>
      <c r="N4303" s="503" t="str">
        <f t="shared" ca="1" si="255"/>
        <v/>
      </c>
      <c r="O4303" s="503" t="str">
        <f t="shared" ca="1" si="256"/>
        <v/>
      </c>
      <c r="P4303" s="503" t="str">
        <f t="shared" ca="1" si="257"/>
        <v/>
      </c>
      <c r="Q4303" s="503"/>
      <c r="R4303" s="512"/>
    </row>
    <row r="4304" spans="1:18" x14ac:dyDescent="0.35">
      <c r="A4304" s="497" t="b">
        <f t="shared" ca="1" si="249"/>
        <v>0</v>
      </c>
      <c r="B4304" s="497">
        <f t="shared" si="247"/>
        <v>88</v>
      </c>
      <c r="C4304" s="517" t="str">
        <f ca="1">IF(COUNTA($G$4062:G4303)=1,"",OFFSET(B4304,-COUNTA($G$4062:G4303)+1,1))</f>
        <v>a1N3p00000FRPPpEAP</v>
      </c>
      <c r="D4304" s="497" t="str">
        <f t="shared" ca="1" si="250"/>
        <v>INT-211703</v>
      </c>
      <c r="E4304" s="503"/>
      <c r="F4304" s="503" t="str">
        <f t="shared" ca="1" si="251"/>
        <v/>
      </c>
      <c r="G4304" s="520"/>
      <c r="H4304" s="498">
        <f t="shared" si="248"/>
        <v>160</v>
      </c>
      <c r="I4304" s="497" t="str">
        <f ca="1">IF(IFERROR(VLOOKUP(INDIRECT("'WPTM - Section F'!F"&amp;B4304),'Overview - Section A'!M$31:R273,6,0),IFERROR(VLOOKUP(INDIRECT("'WPTM - Section F'!F"&amp;B4304),'Overview - Section A'!E$27:J270,6,0),""))=0,"",IFERROR(VLOOKUP(INDIRECT("'WPTM - Section F'!F"&amp;B4304),'Overview - Section A'!M$31:R273,6,0),IFERROR(VLOOKUP(INDIRECT("'WPTM - Section F'!F"&amp;B4304),'Overview - Section A'!E$27:J270,6,0),"")))</f>
        <v/>
      </c>
      <c r="J4304" s="497" t="str">
        <f t="shared" ca="1" si="252"/>
        <v/>
      </c>
      <c r="K4304" s="503" t="str">
        <f t="shared" ca="1" si="253"/>
        <v/>
      </c>
      <c r="L4304" s="497" t="str">
        <f ca="1">IFERROR(INDEX('Reference Records'!F$412:F859,MATCH(INDIRECT("'WPTM - Section F'!AP"&amp;B4304)&amp;"|"&amp;INDIRECT("'WPTM - Section F'!C"&amp;$B4304),'Reference Records'!G$412:G859,0)),"")</f>
        <v/>
      </c>
      <c r="M4304" s="503" t="str">
        <f t="shared" ca="1" si="254"/>
        <v/>
      </c>
      <c r="N4304" s="503" t="str">
        <f t="shared" ca="1" si="255"/>
        <v/>
      </c>
      <c r="O4304" s="503" t="str">
        <f t="shared" ca="1" si="256"/>
        <v/>
      </c>
      <c r="P4304" s="503" t="str">
        <f t="shared" ca="1" si="257"/>
        <v/>
      </c>
      <c r="Q4304" s="503"/>
      <c r="R4304" s="512"/>
    </row>
    <row r="4305" spans="1:17" x14ac:dyDescent="0.35">
      <c r="J4305" s="496" t="str">
        <f ca="1">IF(ROW()&gt;'Impact Indicator Target Update'!A24,"",INDIRECT("'Impact Indicators - Section B'!A"&amp;'Impact Indicator Target Update'!D24))</f>
        <v/>
      </c>
    </row>
    <row r="4306" spans="1:17" x14ac:dyDescent="0.35">
      <c r="J4306" s="496" t="str">
        <f ca="1">IF(ROW()&gt;'Impact Indicator Target Update'!A25,"",INDIRECT("'Impact Indicators - Section B'!A"&amp;'Impact Indicator Target Update'!D25))</f>
        <v/>
      </c>
    </row>
    <row r="4307" spans="1:17" x14ac:dyDescent="0.35">
      <c r="J4307" s="496" t="str">
        <f ca="1">IF(ROW()&gt;'Impact Indicator Target Update'!A26,"",INDIRECT("'Impact Indicators - Section B'!A"&amp;'Impact Indicator Target Update'!D26))</f>
        <v/>
      </c>
    </row>
    <row r="4308" spans="1:17" x14ac:dyDescent="0.35">
      <c r="A4308" s="507" t="s">
        <v>377</v>
      </c>
      <c r="J4308" s="496" t="str">
        <f ca="1">IF(ROW()&gt;'Impact Indicator Target Update'!A27,"",INDIRECT("'Impact Indicators - Section B'!A"&amp;'Impact Indicator Target Update'!D27))</f>
        <v/>
      </c>
    </row>
    <row r="4309" spans="1:17" x14ac:dyDescent="0.35">
      <c r="A4309" s="497" t="s">
        <v>46</v>
      </c>
      <c r="B4309" s="497" t="s">
        <v>48</v>
      </c>
      <c r="C4309" s="497" t="s">
        <v>378</v>
      </c>
      <c r="D4309" s="497">
        <v>-481</v>
      </c>
      <c r="E4309" s="497" t="s">
        <v>339</v>
      </c>
      <c r="F4309" s="497" t="s">
        <v>249</v>
      </c>
      <c r="G4309" s="497" t="s">
        <v>400</v>
      </c>
      <c r="H4309" s="497" t="s">
        <v>100</v>
      </c>
      <c r="I4309" s="497" t="s">
        <v>108</v>
      </c>
      <c r="J4309" s="497" t="s">
        <v>475</v>
      </c>
      <c r="K4309" s="497" t="s">
        <v>476</v>
      </c>
      <c r="L4309" s="497"/>
      <c r="M4309" s="497"/>
      <c r="N4309" s="497"/>
      <c r="O4309" s="497"/>
      <c r="P4309" s="497">
        <v>-1</v>
      </c>
      <c r="Q4309" s="497" t="s">
        <v>71</v>
      </c>
    </row>
    <row r="4310" spans="1:17" hidden="1" x14ac:dyDescent="0.35">
      <c r="A4310" s="497" t="b">
        <f ca="1">IF(OR(AND(J4310&lt;&gt;"", J4310&lt;&gt;0), AND(K4310&lt;&gt;"",K4310&lt;&gt;0)),TRUE,FALSE)</f>
        <v>0</v>
      </c>
      <c r="B4310" s="497" t="str">
        <f ca="1">IF(COUNTA(G$4308:G4309)=1,"",OFFSET(B4310,-COUNTA(G$4308:G4309)+1,0))</f>
        <v/>
      </c>
      <c r="C4310" s="512" t="str">
        <f ca="1">IF(COUNTA(G$4308:G4309)=1,"",OFFSET(C4310,-COUNTA(G$4308:G4309)+1,0))</f>
        <v/>
      </c>
      <c r="D4310" s="497">
        <f>D4309+1</f>
        <v>-480</v>
      </c>
      <c r="E4310" s="497">
        <f ca="1">COUNTIF(C4060:C4310,C4310)</f>
        <v>9</v>
      </c>
      <c r="F4310" s="497" t="str">
        <f ca="1">IF(C4310=1,9,IF(E4309=MAX(E4308:E4310),F4308+1,F4309))</f>
        <v>row number</v>
      </c>
      <c r="G4310" s="497"/>
      <c r="H4310" s="503">
        <f ca="1">CHOOSE(E4310,IFERROR(IF(INDIRECT("'WPTM - Section F'!K"&amp;F4310)=0,"",INDIRECT("'WPTM - Section F'!K"&amp;$F4310)),""),IFERROR(IF(INDIRECT("'WPTM - Section F'!O"&amp;F4310)=0,"",INDIRECT("'WPTM - Section F'!O"&amp;$F4310)),""),IFERROR(IF(INDIRECT("'WPTM - Section F'!S"&amp;F4310)=0,"",INDIRECT("'WPTM - Section F'!S"&amp;$F4310)),""),IFERROR(IF(INDIRECT("'WPTM - Section F'!W"&amp;F4310)=0,"",INDIRECT("'WPTM - Section F'!W"&amp;$F4310)),""),IFERROR(IF(INDIRECT("'WPTM - Section F'!AA"&amp;F4310)=0,"",INDIRECT("'WPTM - Section F'!AA"&amp;$F4310)),""),IFERROR(IF(INDIRECT("'WPTM - Section F'!AE"&amp;F4310)=0,"",INDIRECT("'WPTM - Section F'!AE"&amp;$F4310)),""),IFERROR(IF(INDIRECT("'WPTM - Section F'!AI"&amp;F4310)=0,"",INDIRECT("'WPTM - Section F'!AI"&amp;$F4310)),""),IFERROR(IF(INDIRECT("'WPTM - Section F'!AM"&amp;F4310)=0,"",INDIRECT("'WPTM - Section F'!AM"&amp;$F4310)),""),)</f>
        <v>0</v>
      </c>
      <c r="I4310" s="503">
        <f ca="1">CHOOSE(E4310,IFERROR(IF(INDIRECT("'WPTM - Section F'!J"&amp;F4310)=0,"",INDIRECT("'WPTM - Section F'!J"&amp;$F4310)),""),IFERROR(IF(INDIRECT("'WPTM - Section F'!N"&amp;F4310)=0,"",INDIRECT("'WPTM - Section F'!N"&amp;$F4310)),""),IFERROR(IF(INDIRECT("'WPTM - Section F'!R"&amp;F4310)=0,"",INDIRECT("'WPTM - Section F'!R"&amp;$F4310)),""),IFERROR(IF(INDIRECT("'WPTM - Section F'!V"&amp;F4310)=0,"",INDIRECT("'WPTM - Section F'!V"&amp;$F4310)),""),IFERROR(IF(INDIRECT("'WPTM - Section F'!Z"&amp;F4310)=0,"",INDIRECT("'WPTM - Section F'!Z"&amp;$F4310)),""),IFERROR(IF(INDIRECT("'WPTM - Section F'!AD"&amp;F4310)=0,"",INDIRECT("'WPTM - Section F'!AD"&amp;$F4310)),""),IFERROR(IF(INDIRECT("'WPTM - Section F'!AH"&amp;F4310)=0,"",INDIRECT("'WPTM - Section F'!AH"&amp;$F4310)),""),IFERROR(IF(INDIRECT("'WPTM - Section F'!AL"&amp;F4310)=0,"",INDIRECT("'WPTM - Section F'!AL"&amp;$F4310)),""),)</f>
        <v>0</v>
      </c>
      <c r="J4310" s="503">
        <f ca="1">CHOOSE(E4310,IFERROR(IF(INDIRECT("'WPTM - Section F'!H"&amp;F4310)=0,"",INDIRECT("'WPTM - Section F'!H"&amp;$F4310)),""),IFERROR(IF(INDIRECT("'WPTM - Section F'!L"&amp;F4310)=0,"",INDIRECT("'WPTM - Section F'!L"&amp;$F4310)),""),IFERROR(IF(INDIRECT("'WPTM - Section F'!P"&amp;F4310)=0,"",INDIRECT("'WPTM - Section F'!P"&amp;$F4310)),""),IFERROR(IF(INDIRECT("'WPTM - Section F'!T"&amp;F4310)=0,"",INDIRECT("'WPTM - Section F'!T"&amp;$F4310)),""),IFERROR(IF(INDIRECT("'WPTM - Section F'!X"&amp;F4310)=0,"",INDIRECT("'WPTM - Section F'!X"&amp;$F4310)),""),IFERROR(IF(INDIRECT("'WPTM - Section F'!AB"&amp;F4310)=0,"",INDIRECT("'WPTM - Section F'!AB"&amp;$F4310)),""),IFERROR(IF(INDIRECT("'WPTM - Section F'!AF"&amp;F4310)=0,"",INDIRECT("'WPTM - Section F'!AF"&amp;$F4310)),""),IFERROR(IF(INDIRECT("'WPTM - Section F'!AJ"&amp;F4310)=0,"",INDIRECT("'WPTM - Section F'!AJ"&amp;$F4310)),""),)</f>
        <v>0</v>
      </c>
      <c r="K4310" s="503">
        <f ca="1">CHOOSE(E4310,IFERROR(IF(INDIRECT("'WPTM - Section F'!I"&amp;F4310)=0,"",INDIRECT("'WPTM - Section F'!I"&amp;$F4310)),""),IFERROR(IF(INDIRECT("'WPTM - Section F'!M"&amp;F4310)=0,"",INDIRECT("'WPTM - Section F'!M"&amp;$F4310)),""),IFERROR(IF(INDIRECT("'WPTM - Section F'!Q"&amp;F4310)=0,"",INDIRECT("'WPTM - Section F'!Q"&amp;$F4310)),""),IFERROR(IF(INDIRECT("'WPTM - Section F'!U"&amp;F4310)=0,"",INDIRECT("'WPTM - Section F'!U"&amp;$F4310)),""),IFERROR(IF(INDIRECT("'WPTM - Section F'!Y"&amp;F4310)=0,"",INDIRECT("'WPTM - Section F'!Y"&amp;$F4310)),""),IFERROR(IF(INDIRECT("'WPTM - Section F'!AC"&amp;F4310)=0,"",INDIRECT("'WPTM - Section F'!AC"&amp;$F4310)),""),IFERROR(IF(INDIRECT("'WPTM - Section F'!AG"&amp;F4310)=0,"",INDIRECT("'WPTM - Section F'!AG"&amp;$F4310)),""),IFERROR(IF(INDIRECT("'WPTM - Section F'!AK"&amp;F4310)=0,"",INDIRECT("'WPTM - Section F'!AK"&amp;$F4310)),""),)</f>
        <v>0</v>
      </c>
      <c r="L4310" s="497"/>
      <c r="M4310" s="497"/>
      <c r="N4310" s="497"/>
      <c r="O4310" s="497"/>
      <c r="P4310" s="497">
        <f>IF(NOT(_xlfn.ISFORMULA(I4310)),P4309+1,0)</f>
        <v>0</v>
      </c>
      <c r="Q4310" s="497" t="s">
        <v>983</v>
      </c>
    </row>
    <row r="4311" spans="1:17" x14ac:dyDescent="0.35">
      <c r="A4311" s="497" t="b">
        <v>0</v>
      </c>
      <c r="B4311" s="497" t="s">
        <v>10235</v>
      </c>
      <c r="C4311" s="512">
        <v>1</v>
      </c>
      <c r="D4311" s="497">
        <f t="shared" ref="D4311:D4374" si="258">D4310+1</f>
        <v>-479</v>
      </c>
      <c r="E4311" s="497">
        <f t="shared" ref="E4311:E4374" ca="1" si="259">COUNTIF(C4061:C4311,C4311)</f>
        <v>1</v>
      </c>
      <c r="F4311" s="497">
        <f t="shared" ref="F4311:F4374" si="260">IF(C4311=1,9,IF(E4310=MAX(E4309:E4311),F4309+1,F4310))</f>
        <v>9</v>
      </c>
      <c r="G4311" s="497" t="s">
        <v>9915</v>
      </c>
      <c r="H4311" s="503"/>
      <c r="I4311" s="503"/>
      <c r="J4311" s="503"/>
      <c r="K4311" s="503"/>
      <c r="L4311" s="497"/>
      <c r="M4311" s="497"/>
      <c r="N4311" s="497"/>
      <c r="O4311" s="497"/>
      <c r="P4311" s="497">
        <f t="shared" ref="P4311:P4374" si="261">IF(NOT(_xlfn.ISFORMULA(I4311)),P4310+1,0)</f>
        <v>1</v>
      </c>
      <c r="Q4311" s="497" t="b">
        <v>0</v>
      </c>
    </row>
    <row r="4312" spans="1:17" x14ac:dyDescent="0.35">
      <c r="A4312" s="497" t="b">
        <v>0</v>
      </c>
      <c r="B4312" s="497" t="s">
        <v>10236</v>
      </c>
      <c r="C4312" s="512">
        <v>1</v>
      </c>
      <c r="D4312" s="497">
        <f t="shared" si="258"/>
        <v>-478</v>
      </c>
      <c r="E4312" s="497">
        <f t="shared" ca="1" si="259"/>
        <v>2</v>
      </c>
      <c r="F4312" s="497">
        <f t="shared" si="260"/>
        <v>9</v>
      </c>
      <c r="G4312" s="497" t="s">
        <v>9915</v>
      </c>
      <c r="H4312" s="503"/>
      <c r="I4312" s="503"/>
      <c r="J4312" s="503"/>
      <c r="K4312" s="503"/>
      <c r="L4312" s="497"/>
      <c r="M4312" s="497"/>
      <c r="N4312" s="497"/>
      <c r="O4312" s="497"/>
      <c r="P4312" s="497">
        <f t="shared" si="261"/>
        <v>2</v>
      </c>
      <c r="Q4312" s="497" t="b">
        <v>0</v>
      </c>
    </row>
    <row r="4313" spans="1:17" x14ac:dyDescent="0.35">
      <c r="A4313" s="497" t="b">
        <v>0</v>
      </c>
      <c r="B4313" s="497" t="s">
        <v>10237</v>
      </c>
      <c r="C4313" s="512">
        <v>1</v>
      </c>
      <c r="D4313" s="497">
        <f t="shared" si="258"/>
        <v>-477</v>
      </c>
      <c r="E4313" s="497">
        <f t="shared" ca="1" si="259"/>
        <v>3</v>
      </c>
      <c r="F4313" s="497">
        <f t="shared" si="260"/>
        <v>9</v>
      </c>
      <c r="G4313" s="497" t="s">
        <v>9915</v>
      </c>
      <c r="H4313" s="503"/>
      <c r="I4313" s="503"/>
      <c r="J4313" s="503"/>
      <c r="K4313" s="503"/>
      <c r="L4313" s="497"/>
      <c r="M4313" s="497"/>
      <c r="N4313" s="497"/>
      <c r="O4313" s="497"/>
      <c r="P4313" s="497">
        <f t="shared" si="261"/>
        <v>3</v>
      </c>
      <c r="Q4313" s="497" t="b">
        <v>0</v>
      </c>
    </row>
    <row r="4314" spans="1:17" x14ac:dyDescent="0.35">
      <c r="A4314" s="497" t="b">
        <v>0</v>
      </c>
      <c r="B4314" s="497" t="s">
        <v>10238</v>
      </c>
      <c r="C4314" s="512">
        <v>1</v>
      </c>
      <c r="D4314" s="497">
        <f t="shared" si="258"/>
        <v>-476</v>
      </c>
      <c r="E4314" s="497">
        <f t="shared" ca="1" si="259"/>
        <v>4</v>
      </c>
      <c r="F4314" s="497">
        <f t="shared" si="260"/>
        <v>9</v>
      </c>
      <c r="G4314" s="497" t="s">
        <v>9915</v>
      </c>
      <c r="H4314" s="503"/>
      <c r="I4314" s="503"/>
      <c r="J4314" s="503"/>
      <c r="K4314" s="503"/>
      <c r="L4314" s="497"/>
      <c r="M4314" s="497"/>
      <c r="N4314" s="497"/>
      <c r="O4314" s="497"/>
      <c r="P4314" s="497">
        <f t="shared" si="261"/>
        <v>4</v>
      </c>
      <c r="Q4314" s="497" t="b">
        <v>0</v>
      </c>
    </row>
    <row r="4315" spans="1:17" x14ac:dyDescent="0.35">
      <c r="A4315" s="497" t="b">
        <v>0</v>
      </c>
      <c r="B4315" s="497" t="s">
        <v>10239</v>
      </c>
      <c r="C4315" s="512">
        <v>1</v>
      </c>
      <c r="D4315" s="497">
        <f t="shared" si="258"/>
        <v>-475</v>
      </c>
      <c r="E4315" s="497">
        <f t="shared" ca="1" si="259"/>
        <v>5</v>
      </c>
      <c r="F4315" s="497">
        <f t="shared" si="260"/>
        <v>9</v>
      </c>
      <c r="G4315" s="497" t="s">
        <v>9915</v>
      </c>
      <c r="H4315" s="503"/>
      <c r="I4315" s="503"/>
      <c r="J4315" s="503"/>
      <c r="K4315" s="503"/>
      <c r="L4315" s="497"/>
      <c r="M4315" s="497"/>
      <c r="N4315" s="497"/>
      <c r="O4315" s="497"/>
      <c r="P4315" s="497">
        <f t="shared" si="261"/>
        <v>5</v>
      </c>
      <c r="Q4315" s="497" t="b">
        <v>0</v>
      </c>
    </row>
    <row r="4316" spans="1:17" x14ac:dyDescent="0.35">
      <c r="A4316" s="497" t="b">
        <v>0</v>
      </c>
      <c r="B4316" s="497" t="s">
        <v>10240</v>
      </c>
      <c r="C4316" s="512">
        <v>1</v>
      </c>
      <c r="D4316" s="497">
        <f t="shared" si="258"/>
        <v>-474</v>
      </c>
      <c r="E4316" s="497">
        <f t="shared" ca="1" si="259"/>
        <v>6</v>
      </c>
      <c r="F4316" s="497">
        <f t="shared" si="260"/>
        <v>9</v>
      </c>
      <c r="G4316" s="497" t="s">
        <v>9915</v>
      </c>
      <c r="H4316" s="503"/>
      <c r="I4316" s="503"/>
      <c r="J4316" s="503"/>
      <c r="K4316" s="503"/>
      <c r="L4316" s="497"/>
      <c r="M4316" s="497"/>
      <c r="N4316" s="497"/>
      <c r="O4316" s="497"/>
      <c r="P4316" s="497">
        <f t="shared" si="261"/>
        <v>6</v>
      </c>
      <c r="Q4316" s="497" t="b">
        <v>0</v>
      </c>
    </row>
    <row r="4317" spans="1:17" x14ac:dyDescent="0.35">
      <c r="A4317" s="497" t="b">
        <v>0</v>
      </c>
      <c r="B4317" s="497" t="s">
        <v>10241</v>
      </c>
      <c r="C4317" s="512">
        <v>2</v>
      </c>
      <c r="D4317" s="497">
        <f t="shared" si="258"/>
        <v>-473</v>
      </c>
      <c r="E4317" s="497">
        <f t="shared" ca="1" si="259"/>
        <v>1</v>
      </c>
      <c r="F4317" s="497">
        <f t="shared" ca="1" si="260"/>
        <v>10</v>
      </c>
      <c r="G4317" s="497" t="s">
        <v>9917</v>
      </c>
      <c r="H4317" s="503"/>
      <c r="I4317" s="503"/>
      <c r="J4317" s="503"/>
      <c r="K4317" s="503"/>
      <c r="L4317" s="497"/>
      <c r="M4317" s="497"/>
      <c r="N4317" s="497"/>
      <c r="O4317" s="497"/>
      <c r="P4317" s="497">
        <f t="shared" si="261"/>
        <v>7</v>
      </c>
      <c r="Q4317" s="497" t="b">
        <v>0</v>
      </c>
    </row>
    <row r="4318" spans="1:17" x14ac:dyDescent="0.35">
      <c r="A4318" s="497" t="b">
        <v>0</v>
      </c>
      <c r="B4318" s="497" t="s">
        <v>10242</v>
      </c>
      <c r="C4318" s="512">
        <v>2</v>
      </c>
      <c r="D4318" s="497">
        <f t="shared" si="258"/>
        <v>-472</v>
      </c>
      <c r="E4318" s="497">
        <f t="shared" ca="1" si="259"/>
        <v>2</v>
      </c>
      <c r="F4318" s="497">
        <f t="shared" ca="1" si="260"/>
        <v>10</v>
      </c>
      <c r="G4318" s="497" t="s">
        <v>9917</v>
      </c>
      <c r="H4318" s="503"/>
      <c r="I4318" s="503"/>
      <c r="J4318" s="503"/>
      <c r="K4318" s="503"/>
      <c r="L4318" s="497"/>
      <c r="M4318" s="497"/>
      <c r="N4318" s="497"/>
      <c r="O4318" s="497"/>
      <c r="P4318" s="497">
        <f t="shared" si="261"/>
        <v>8</v>
      </c>
      <c r="Q4318" s="497" t="b">
        <v>0</v>
      </c>
    </row>
    <row r="4319" spans="1:17" x14ac:dyDescent="0.35">
      <c r="A4319" s="497" t="b">
        <v>0</v>
      </c>
      <c r="B4319" s="497" t="s">
        <v>10243</v>
      </c>
      <c r="C4319" s="512">
        <v>2</v>
      </c>
      <c r="D4319" s="497">
        <f t="shared" si="258"/>
        <v>-471</v>
      </c>
      <c r="E4319" s="497">
        <f t="shared" ca="1" si="259"/>
        <v>3</v>
      </c>
      <c r="F4319" s="497">
        <f t="shared" ca="1" si="260"/>
        <v>10</v>
      </c>
      <c r="G4319" s="497" t="s">
        <v>9917</v>
      </c>
      <c r="H4319" s="503"/>
      <c r="I4319" s="503"/>
      <c r="J4319" s="503"/>
      <c r="K4319" s="503"/>
      <c r="L4319" s="497"/>
      <c r="M4319" s="497"/>
      <c r="N4319" s="497"/>
      <c r="O4319" s="497"/>
      <c r="P4319" s="497">
        <f t="shared" si="261"/>
        <v>9</v>
      </c>
      <c r="Q4319" s="497" t="b">
        <v>0</v>
      </c>
    </row>
    <row r="4320" spans="1:17" x14ac:dyDescent="0.35">
      <c r="A4320" s="497" t="b">
        <v>0</v>
      </c>
      <c r="B4320" s="497" t="s">
        <v>10244</v>
      </c>
      <c r="C4320" s="512">
        <v>2</v>
      </c>
      <c r="D4320" s="497">
        <f t="shared" si="258"/>
        <v>-470</v>
      </c>
      <c r="E4320" s="497">
        <f t="shared" ca="1" si="259"/>
        <v>4</v>
      </c>
      <c r="F4320" s="497">
        <f t="shared" ca="1" si="260"/>
        <v>10</v>
      </c>
      <c r="G4320" s="497" t="s">
        <v>9917</v>
      </c>
      <c r="H4320" s="503"/>
      <c r="I4320" s="503"/>
      <c r="J4320" s="503"/>
      <c r="K4320" s="503"/>
      <c r="L4320" s="497"/>
      <c r="M4320" s="497"/>
      <c r="N4320" s="497"/>
      <c r="O4320" s="497"/>
      <c r="P4320" s="497">
        <f t="shared" si="261"/>
        <v>10</v>
      </c>
      <c r="Q4320" s="497" t="b">
        <v>0</v>
      </c>
    </row>
    <row r="4321" spans="1:17" x14ac:dyDescent="0.35">
      <c r="A4321" s="497" t="b">
        <v>0</v>
      </c>
      <c r="B4321" s="497" t="s">
        <v>10245</v>
      </c>
      <c r="C4321" s="512">
        <v>2</v>
      </c>
      <c r="D4321" s="497">
        <f t="shared" si="258"/>
        <v>-469</v>
      </c>
      <c r="E4321" s="497">
        <f t="shared" ca="1" si="259"/>
        <v>5</v>
      </c>
      <c r="F4321" s="497">
        <f t="shared" ca="1" si="260"/>
        <v>10</v>
      </c>
      <c r="G4321" s="497" t="s">
        <v>9917</v>
      </c>
      <c r="H4321" s="503"/>
      <c r="I4321" s="503"/>
      <c r="J4321" s="503"/>
      <c r="K4321" s="503"/>
      <c r="L4321" s="497"/>
      <c r="M4321" s="497"/>
      <c r="N4321" s="497"/>
      <c r="O4321" s="497"/>
      <c r="P4321" s="497">
        <f t="shared" si="261"/>
        <v>11</v>
      </c>
      <c r="Q4321" s="497" t="b">
        <v>0</v>
      </c>
    </row>
    <row r="4322" spans="1:17" x14ac:dyDescent="0.35">
      <c r="A4322" s="497" t="b">
        <v>0</v>
      </c>
      <c r="B4322" s="497" t="s">
        <v>10246</v>
      </c>
      <c r="C4322" s="512">
        <v>2</v>
      </c>
      <c r="D4322" s="497">
        <f t="shared" si="258"/>
        <v>-468</v>
      </c>
      <c r="E4322" s="497">
        <f t="shared" ca="1" si="259"/>
        <v>6</v>
      </c>
      <c r="F4322" s="497">
        <f t="shared" ca="1" si="260"/>
        <v>10</v>
      </c>
      <c r="G4322" s="497" t="s">
        <v>9917</v>
      </c>
      <c r="H4322" s="503"/>
      <c r="I4322" s="503"/>
      <c r="J4322" s="503"/>
      <c r="K4322" s="503"/>
      <c r="L4322" s="497"/>
      <c r="M4322" s="497"/>
      <c r="N4322" s="497"/>
      <c r="O4322" s="497"/>
      <c r="P4322" s="497">
        <f t="shared" si="261"/>
        <v>12</v>
      </c>
      <c r="Q4322" s="497" t="b">
        <v>0</v>
      </c>
    </row>
    <row r="4323" spans="1:17" x14ac:dyDescent="0.35">
      <c r="A4323" s="497" t="b">
        <v>0</v>
      </c>
      <c r="B4323" s="497" t="s">
        <v>10247</v>
      </c>
      <c r="C4323" s="512">
        <v>3</v>
      </c>
      <c r="D4323" s="497">
        <f t="shared" si="258"/>
        <v>-467</v>
      </c>
      <c r="E4323" s="497">
        <f t="shared" ca="1" si="259"/>
        <v>1</v>
      </c>
      <c r="F4323" s="497">
        <f t="shared" ca="1" si="260"/>
        <v>11</v>
      </c>
      <c r="G4323" s="497" t="s">
        <v>9919</v>
      </c>
      <c r="H4323" s="503"/>
      <c r="I4323" s="503"/>
      <c r="J4323" s="503"/>
      <c r="K4323" s="503"/>
      <c r="L4323" s="497"/>
      <c r="M4323" s="497"/>
      <c r="N4323" s="497"/>
      <c r="O4323" s="497"/>
      <c r="P4323" s="497">
        <f t="shared" si="261"/>
        <v>13</v>
      </c>
      <c r="Q4323" s="497" t="b">
        <v>0</v>
      </c>
    </row>
    <row r="4324" spans="1:17" x14ac:dyDescent="0.35">
      <c r="A4324" s="497" t="b">
        <v>0</v>
      </c>
      <c r="B4324" s="497" t="s">
        <v>10248</v>
      </c>
      <c r="C4324" s="512">
        <v>3</v>
      </c>
      <c r="D4324" s="497">
        <f t="shared" si="258"/>
        <v>-466</v>
      </c>
      <c r="E4324" s="497">
        <f t="shared" ca="1" si="259"/>
        <v>2</v>
      </c>
      <c r="F4324" s="497">
        <f t="shared" ca="1" si="260"/>
        <v>11</v>
      </c>
      <c r="G4324" s="497" t="s">
        <v>9919</v>
      </c>
      <c r="H4324" s="503"/>
      <c r="I4324" s="503"/>
      <c r="J4324" s="503"/>
      <c r="K4324" s="503"/>
      <c r="L4324" s="497"/>
      <c r="M4324" s="497"/>
      <c r="N4324" s="497"/>
      <c r="O4324" s="497"/>
      <c r="P4324" s="497">
        <f t="shared" si="261"/>
        <v>14</v>
      </c>
      <c r="Q4324" s="497" t="b">
        <v>0</v>
      </c>
    </row>
    <row r="4325" spans="1:17" x14ac:dyDescent="0.35">
      <c r="A4325" s="497" t="b">
        <v>0</v>
      </c>
      <c r="B4325" s="497" t="s">
        <v>10249</v>
      </c>
      <c r="C4325" s="512">
        <v>3</v>
      </c>
      <c r="D4325" s="497">
        <f t="shared" si="258"/>
        <v>-465</v>
      </c>
      <c r="E4325" s="497">
        <f t="shared" ca="1" si="259"/>
        <v>3</v>
      </c>
      <c r="F4325" s="497">
        <f t="shared" ca="1" si="260"/>
        <v>11</v>
      </c>
      <c r="G4325" s="497" t="s">
        <v>9919</v>
      </c>
      <c r="H4325" s="503"/>
      <c r="I4325" s="503"/>
      <c r="J4325" s="503"/>
      <c r="K4325" s="503"/>
      <c r="L4325" s="497"/>
      <c r="M4325" s="497"/>
      <c r="N4325" s="497"/>
      <c r="O4325" s="497"/>
      <c r="P4325" s="497">
        <f t="shared" si="261"/>
        <v>15</v>
      </c>
      <c r="Q4325" s="497" t="b">
        <v>0</v>
      </c>
    </row>
    <row r="4326" spans="1:17" x14ac:dyDescent="0.35">
      <c r="A4326" s="497" t="b">
        <v>0</v>
      </c>
      <c r="B4326" s="497" t="s">
        <v>10250</v>
      </c>
      <c r="C4326" s="512">
        <v>3</v>
      </c>
      <c r="D4326" s="497">
        <f t="shared" si="258"/>
        <v>-464</v>
      </c>
      <c r="E4326" s="497">
        <f t="shared" ca="1" si="259"/>
        <v>4</v>
      </c>
      <c r="F4326" s="497">
        <f t="shared" ca="1" si="260"/>
        <v>11</v>
      </c>
      <c r="G4326" s="497" t="s">
        <v>9919</v>
      </c>
      <c r="H4326" s="503"/>
      <c r="I4326" s="503"/>
      <c r="J4326" s="503"/>
      <c r="K4326" s="503"/>
      <c r="L4326" s="497"/>
      <c r="M4326" s="497"/>
      <c r="N4326" s="497"/>
      <c r="O4326" s="497"/>
      <c r="P4326" s="497">
        <f t="shared" si="261"/>
        <v>16</v>
      </c>
      <c r="Q4326" s="497" t="b">
        <v>0</v>
      </c>
    </row>
    <row r="4327" spans="1:17" x14ac:dyDescent="0.35">
      <c r="A4327" s="497" t="b">
        <v>0</v>
      </c>
      <c r="B4327" s="497" t="s">
        <v>10251</v>
      </c>
      <c r="C4327" s="512">
        <v>3</v>
      </c>
      <c r="D4327" s="497">
        <f t="shared" si="258"/>
        <v>-463</v>
      </c>
      <c r="E4327" s="497">
        <f t="shared" ca="1" si="259"/>
        <v>5</v>
      </c>
      <c r="F4327" s="497">
        <f t="shared" ca="1" si="260"/>
        <v>11</v>
      </c>
      <c r="G4327" s="497" t="s">
        <v>9919</v>
      </c>
      <c r="H4327" s="503"/>
      <c r="I4327" s="503"/>
      <c r="J4327" s="503"/>
      <c r="K4327" s="503"/>
      <c r="L4327" s="497"/>
      <c r="M4327" s="497"/>
      <c r="N4327" s="497"/>
      <c r="O4327" s="497"/>
      <c r="P4327" s="497">
        <f t="shared" si="261"/>
        <v>17</v>
      </c>
      <c r="Q4327" s="497" t="b">
        <v>0</v>
      </c>
    </row>
    <row r="4328" spans="1:17" x14ac:dyDescent="0.35">
      <c r="A4328" s="497" t="b">
        <v>0</v>
      </c>
      <c r="B4328" s="497" t="s">
        <v>10252</v>
      </c>
      <c r="C4328" s="512">
        <v>3</v>
      </c>
      <c r="D4328" s="497">
        <f t="shared" si="258"/>
        <v>-462</v>
      </c>
      <c r="E4328" s="497">
        <f t="shared" ca="1" si="259"/>
        <v>6</v>
      </c>
      <c r="F4328" s="497">
        <f t="shared" ca="1" si="260"/>
        <v>11</v>
      </c>
      <c r="G4328" s="497" t="s">
        <v>9919</v>
      </c>
      <c r="H4328" s="503"/>
      <c r="I4328" s="503"/>
      <c r="J4328" s="503"/>
      <c r="K4328" s="503"/>
      <c r="L4328" s="497"/>
      <c r="M4328" s="497"/>
      <c r="N4328" s="497"/>
      <c r="O4328" s="497"/>
      <c r="P4328" s="497">
        <f t="shared" si="261"/>
        <v>18</v>
      </c>
      <c r="Q4328" s="497" t="b">
        <v>0</v>
      </c>
    </row>
    <row r="4329" spans="1:17" x14ac:dyDescent="0.35">
      <c r="A4329" s="497" t="b">
        <v>0</v>
      </c>
      <c r="B4329" s="497" t="s">
        <v>10253</v>
      </c>
      <c r="C4329" s="512">
        <v>4</v>
      </c>
      <c r="D4329" s="497">
        <f t="shared" si="258"/>
        <v>-461</v>
      </c>
      <c r="E4329" s="497">
        <f t="shared" ca="1" si="259"/>
        <v>1</v>
      </c>
      <c r="F4329" s="497">
        <f t="shared" ca="1" si="260"/>
        <v>12</v>
      </c>
      <c r="G4329" s="497" t="s">
        <v>9921</v>
      </c>
      <c r="H4329" s="503"/>
      <c r="I4329" s="503"/>
      <c r="J4329" s="503"/>
      <c r="K4329" s="503"/>
      <c r="L4329" s="497"/>
      <c r="M4329" s="497"/>
      <c r="N4329" s="497"/>
      <c r="O4329" s="497"/>
      <c r="P4329" s="497">
        <f t="shared" si="261"/>
        <v>19</v>
      </c>
      <c r="Q4329" s="497" t="b">
        <v>0</v>
      </c>
    </row>
    <row r="4330" spans="1:17" x14ac:dyDescent="0.35">
      <c r="A4330" s="497" t="b">
        <v>0</v>
      </c>
      <c r="B4330" s="497" t="s">
        <v>10254</v>
      </c>
      <c r="C4330" s="512">
        <v>4</v>
      </c>
      <c r="D4330" s="497">
        <f t="shared" si="258"/>
        <v>-460</v>
      </c>
      <c r="E4330" s="497">
        <f t="shared" ca="1" si="259"/>
        <v>2</v>
      </c>
      <c r="F4330" s="497">
        <f t="shared" ca="1" si="260"/>
        <v>12</v>
      </c>
      <c r="G4330" s="497" t="s">
        <v>9921</v>
      </c>
      <c r="H4330" s="503"/>
      <c r="I4330" s="503"/>
      <c r="J4330" s="503"/>
      <c r="K4330" s="503"/>
      <c r="L4330" s="497"/>
      <c r="M4330" s="497"/>
      <c r="N4330" s="497"/>
      <c r="O4330" s="497"/>
      <c r="P4330" s="497">
        <f t="shared" si="261"/>
        <v>20</v>
      </c>
      <c r="Q4330" s="497" t="b">
        <v>0</v>
      </c>
    </row>
    <row r="4331" spans="1:17" x14ac:dyDescent="0.35">
      <c r="A4331" s="497" t="b">
        <v>0</v>
      </c>
      <c r="B4331" s="497" t="s">
        <v>10255</v>
      </c>
      <c r="C4331" s="512">
        <v>4</v>
      </c>
      <c r="D4331" s="497">
        <f t="shared" si="258"/>
        <v>-459</v>
      </c>
      <c r="E4331" s="497">
        <f t="shared" ca="1" si="259"/>
        <v>3</v>
      </c>
      <c r="F4331" s="497">
        <f t="shared" ca="1" si="260"/>
        <v>12</v>
      </c>
      <c r="G4331" s="497" t="s">
        <v>9921</v>
      </c>
      <c r="H4331" s="503"/>
      <c r="I4331" s="503"/>
      <c r="J4331" s="503"/>
      <c r="K4331" s="503"/>
      <c r="L4331" s="497"/>
      <c r="M4331" s="497"/>
      <c r="N4331" s="497"/>
      <c r="O4331" s="497"/>
      <c r="P4331" s="497">
        <f t="shared" si="261"/>
        <v>21</v>
      </c>
      <c r="Q4331" s="497" t="b">
        <v>0</v>
      </c>
    </row>
    <row r="4332" spans="1:17" x14ac:dyDescent="0.35">
      <c r="A4332" s="497" t="b">
        <v>0</v>
      </c>
      <c r="B4332" s="497" t="s">
        <v>10256</v>
      </c>
      <c r="C4332" s="512">
        <v>4</v>
      </c>
      <c r="D4332" s="497">
        <f t="shared" si="258"/>
        <v>-458</v>
      </c>
      <c r="E4332" s="497">
        <f t="shared" ca="1" si="259"/>
        <v>4</v>
      </c>
      <c r="F4332" s="497">
        <f t="shared" ca="1" si="260"/>
        <v>12</v>
      </c>
      <c r="G4332" s="497" t="s">
        <v>9921</v>
      </c>
      <c r="H4332" s="503"/>
      <c r="I4332" s="503"/>
      <c r="J4332" s="503"/>
      <c r="K4332" s="503"/>
      <c r="L4332" s="497"/>
      <c r="M4332" s="497"/>
      <c r="N4332" s="497"/>
      <c r="O4332" s="497"/>
      <c r="P4332" s="497">
        <f t="shared" si="261"/>
        <v>22</v>
      </c>
      <c r="Q4332" s="497" t="b">
        <v>0</v>
      </c>
    </row>
    <row r="4333" spans="1:17" x14ac:dyDescent="0.35">
      <c r="A4333" s="497" t="b">
        <v>0</v>
      </c>
      <c r="B4333" s="497" t="s">
        <v>10257</v>
      </c>
      <c r="C4333" s="512">
        <v>4</v>
      </c>
      <c r="D4333" s="497">
        <f t="shared" si="258"/>
        <v>-457</v>
      </c>
      <c r="E4333" s="497">
        <f t="shared" ca="1" si="259"/>
        <v>5</v>
      </c>
      <c r="F4333" s="497">
        <f t="shared" ca="1" si="260"/>
        <v>12</v>
      </c>
      <c r="G4333" s="497" t="s">
        <v>9921</v>
      </c>
      <c r="H4333" s="503"/>
      <c r="I4333" s="503"/>
      <c r="J4333" s="503"/>
      <c r="K4333" s="503"/>
      <c r="L4333" s="497"/>
      <c r="M4333" s="497"/>
      <c r="N4333" s="497"/>
      <c r="O4333" s="497"/>
      <c r="P4333" s="497">
        <f t="shared" si="261"/>
        <v>23</v>
      </c>
      <c r="Q4333" s="497" t="b">
        <v>0</v>
      </c>
    </row>
    <row r="4334" spans="1:17" x14ac:dyDescent="0.35">
      <c r="A4334" s="497" t="b">
        <v>0</v>
      </c>
      <c r="B4334" s="497" t="s">
        <v>10258</v>
      </c>
      <c r="C4334" s="512">
        <v>4</v>
      </c>
      <c r="D4334" s="497">
        <f t="shared" si="258"/>
        <v>-456</v>
      </c>
      <c r="E4334" s="497">
        <f t="shared" ca="1" si="259"/>
        <v>6</v>
      </c>
      <c r="F4334" s="497">
        <f t="shared" ca="1" si="260"/>
        <v>12</v>
      </c>
      <c r="G4334" s="497" t="s">
        <v>9921</v>
      </c>
      <c r="H4334" s="503"/>
      <c r="I4334" s="503"/>
      <c r="J4334" s="503"/>
      <c r="K4334" s="503"/>
      <c r="L4334" s="497"/>
      <c r="M4334" s="497"/>
      <c r="N4334" s="497"/>
      <c r="O4334" s="497"/>
      <c r="P4334" s="497">
        <f t="shared" si="261"/>
        <v>24</v>
      </c>
      <c r="Q4334" s="497" t="b">
        <v>0</v>
      </c>
    </row>
    <row r="4335" spans="1:17" x14ac:dyDescent="0.35">
      <c r="A4335" s="497" t="b">
        <v>0</v>
      </c>
      <c r="B4335" s="497" t="s">
        <v>10259</v>
      </c>
      <c r="C4335" s="512">
        <v>5</v>
      </c>
      <c r="D4335" s="497">
        <f t="shared" si="258"/>
        <v>-455</v>
      </c>
      <c r="E4335" s="497">
        <f t="shared" ca="1" si="259"/>
        <v>1</v>
      </c>
      <c r="F4335" s="497">
        <f t="shared" ca="1" si="260"/>
        <v>13</v>
      </c>
      <c r="G4335" s="497" t="s">
        <v>9923</v>
      </c>
      <c r="H4335" s="503"/>
      <c r="I4335" s="503"/>
      <c r="J4335" s="503"/>
      <c r="K4335" s="503"/>
      <c r="L4335" s="497"/>
      <c r="M4335" s="497"/>
      <c r="N4335" s="497"/>
      <c r="O4335" s="497"/>
      <c r="P4335" s="497">
        <f t="shared" si="261"/>
        <v>25</v>
      </c>
      <c r="Q4335" s="497" t="b">
        <v>0</v>
      </c>
    </row>
    <row r="4336" spans="1:17" x14ac:dyDescent="0.35">
      <c r="A4336" s="497" t="b">
        <v>0</v>
      </c>
      <c r="B4336" s="497" t="s">
        <v>10260</v>
      </c>
      <c r="C4336" s="512">
        <v>5</v>
      </c>
      <c r="D4336" s="497">
        <f t="shared" si="258"/>
        <v>-454</v>
      </c>
      <c r="E4336" s="497">
        <f t="shared" ca="1" si="259"/>
        <v>2</v>
      </c>
      <c r="F4336" s="497">
        <f t="shared" ca="1" si="260"/>
        <v>13</v>
      </c>
      <c r="G4336" s="497" t="s">
        <v>9923</v>
      </c>
      <c r="H4336" s="503"/>
      <c r="I4336" s="503"/>
      <c r="J4336" s="503"/>
      <c r="K4336" s="503"/>
      <c r="L4336" s="497"/>
      <c r="M4336" s="497"/>
      <c r="N4336" s="497"/>
      <c r="O4336" s="497"/>
      <c r="P4336" s="497">
        <f t="shared" si="261"/>
        <v>26</v>
      </c>
      <c r="Q4336" s="497" t="b">
        <v>0</v>
      </c>
    </row>
    <row r="4337" spans="1:17" x14ac:dyDescent="0.35">
      <c r="A4337" s="497" t="b">
        <v>0</v>
      </c>
      <c r="B4337" s="497" t="s">
        <v>10261</v>
      </c>
      <c r="C4337" s="512">
        <v>5</v>
      </c>
      <c r="D4337" s="497">
        <f t="shared" si="258"/>
        <v>-453</v>
      </c>
      <c r="E4337" s="497">
        <f t="shared" ca="1" si="259"/>
        <v>3</v>
      </c>
      <c r="F4337" s="497">
        <f t="shared" ca="1" si="260"/>
        <v>13</v>
      </c>
      <c r="G4337" s="497" t="s">
        <v>9923</v>
      </c>
      <c r="H4337" s="503"/>
      <c r="I4337" s="503"/>
      <c r="J4337" s="503"/>
      <c r="K4337" s="503"/>
      <c r="L4337" s="497"/>
      <c r="M4337" s="497"/>
      <c r="N4337" s="497"/>
      <c r="O4337" s="497"/>
      <c r="P4337" s="497">
        <f t="shared" si="261"/>
        <v>27</v>
      </c>
      <c r="Q4337" s="497" t="b">
        <v>0</v>
      </c>
    </row>
    <row r="4338" spans="1:17" x14ac:dyDescent="0.35">
      <c r="A4338" s="497" t="b">
        <v>0</v>
      </c>
      <c r="B4338" s="497" t="s">
        <v>10262</v>
      </c>
      <c r="C4338" s="512">
        <v>5</v>
      </c>
      <c r="D4338" s="497">
        <f t="shared" si="258"/>
        <v>-452</v>
      </c>
      <c r="E4338" s="497">
        <f t="shared" ca="1" si="259"/>
        <v>4</v>
      </c>
      <c r="F4338" s="497">
        <f t="shared" ca="1" si="260"/>
        <v>13</v>
      </c>
      <c r="G4338" s="497" t="s">
        <v>9923</v>
      </c>
      <c r="H4338" s="503"/>
      <c r="I4338" s="503"/>
      <c r="J4338" s="503"/>
      <c r="K4338" s="503"/>
      <c r="L4338" s="497"/>
      <c r="M4338" s="497"/>
      <c r="N4338" s="497"/>
      <c r="O4338" s="497"/>
      <c r="P4338" s="497">
        <f t="shared" si="261"/>
        <v>28</v>
      </c>
      <c r="Q4338" s="497" t="b">
        <v>0</v>
      </c>
    </row>
    <row r="4339" spans="1:17" x14ac:dyDescent="0.35">
      <c r="A4339" s="497" t="b">
        <v>0</v>
      </c>
      <c r="B4339" s="497" t="s">
        <v>10263</v>
      </c>
      <c r="C4339" s="512">
        <v>5</v>
      </c>
      <c r="D4339" s="497">
        <f t="shared" si="258"/>
        <v>-451</v>
      </c>
      <c r="E4339" s="497">
        <f t="shared" ca="1" si="259"/>
        <v>5</v>
      </c>
      <c r="F4339" s="497">
        <f t="shared" ca="1" si="260"/>
        <v>13</v>
      </c>
      <c r="G4339" s="497" t="s">
        <v>9923</v>
      </c>
      <c r="H4339" s="503"/>
      <c r="I4339" s="503"/>
      <c r="J4339" s="503"/>
      <c r="K4339" s="503"/>
      <c r="L4339" s="497"/>
      <c r="M4339" s="497"/>
      <c r="N4339" s="497"/>
      <c r="O4339" s="497"/>
      <c r="P4339" s="497">
        <f t="shared" si="261"/>
        <v>29</v>
      </c>
      <c r="Q4339" s="497" t="b">
        <v>0</v>
      </c>
    </row>
    <row r="4340" spans="1:17" x14ac:dyDescent="0.35">
      <c r="A4340" s="497" t="b">
        <v>0</v>
      </c>
      <c r="B4340" s="497" t="s">
        <v>10264</v>
      </c>
      <c r="C4340" s="512">
        <v>5</v>
      </c>
      <c r="D4340" s="497">
        <f t="shared" si="258"/>
        <v>-450</v>
      </c>
      <c r="E4340" s="497">
        <f t="shared" ca="1" si="259"/>
        <v>6</v>
      </c>
      <c r="F4340" s="497">
        <f t="shared" ca="1" si="260"/>
        <v>13</v>
      </c>
      <c r="G4340" s="497" t="s">
        <v>9923</v>
      </c>
      <c r="H4340" s="503"/>
      <c r="I4340" s="503"/>
      <c r="J4340" s="503"/>
      <c r="K4340" s="503"/>
      <c r="L4340" s="497"/>
      <c r="M4340" s="497"/>
      <c r="N4340" s="497"/>
      <c r="O4340" s="497"/>
      <c r="P4340" s="497">
        <f t="shared" si="261"/>
        <v>30</v>
      </c>
      <c r="Q4340" s="497" t="b">
        <v>0</v>
      </c>
    </row>
    <row r="4341" spans="1:17" x14ac:dyDescent="0.35">
      <c r="A4341" s="497" t="b">
        <v>0</v>
      </c>
      <c r="B4341" s="497" t="s">
        <v>10265</v>
      </c>
      <c r="C4341" s="512">
        <v>6</v>
      </c>
      <c r="D4341" s="497">
        <f t="shared" si="258"/>
        <v>-449</v>
      </c>
      <c r="E4341" s="497">
        <f t="shared" ca="1" si="259"/>
        <v>1</v>
      </c>
      <c r="F4341" s="497">
        <f t="shared" ca="1" si="260"/>
        <v>14</v>
      </c>
      <c r="G4341" s="497" t="s">
        <v>9925</v>
      </c>
      <c r="H4341" s="503"/>
      <c r="I4341" s="503"/>
      <c r="J4341" s="503"/>
      <c r="K4341" s="503"/>
      <c r="L4341" s="497"/>
      <c r="M4341" s="497"/>
      <c r="N4341" s="497"/>
      <c r="O4341" s="497"/>
      <c r="P4341" s="497">
        <f t="shared" si="261"/>
        <v>31</v>
      </c>
      <c r="Q4341" s="497" t="b">
        <v>0</v>
      </c>
    </row>
    <row r="4342" spans="1:17" x14ac:dyDescent="0.35">
      <c r="A4342" s="497" t="b">
        <v>0</v>
      </c>
      <c r="B4342" s="497" t="s">
        <v>10266</v>
      </c>
      <c r="C4342" s="512">
        <v>6</v>
      </c>
      <c r="D4342" s="497">
        <f t="shared" si="258"/>
        <v>-448</v>
      </c>
      <c r="E4342" s="497">
        <f t="shared" ca="1" si="259"/>
        <v>2</v>
      </c>
      <c r="F4342" s="497">
        <f t="shared" ca="1" si="260"/>
        <v>14</v>
      </c>
      <c r="G4342" s="497" t="s">
        <v>9925</v>
      </c>
      <c r="H4342" s="503"/>
      <c r="I4342" s="503"/>
      <c r="J4342" s="503"/>
      <c r="K4342" s="503"/>
      <c r="L4342" s="497"/>
      <c r="M4342" s="497"/>
      <c r="N4342" s="497"/>
      <c r="O4342" s="497"/>
      <c r="P4342" s="497">
        <f t="shared" si="261"/>
        <v>32</v>
      </c>
      <c r="Q4342" s="497" t="b">
        <v>0</v>
      </c>
    </row>
    <row r="4343" spans="1:17" x14ac:dyDescent="0.35">
      <c r="A4343" s="497" t="b">
        <v>0</v>
      </c>
      <c r="B4343" s="497" t="s">
        <v>10267</v>
      </c>
      <c r="C4343" s="512">
        <v>6</v>
      </c>
      <c r="D4343" s="497">
        <f t="shared" si="258"/>
        <v>-447</v>
      </c>
      <c r="E4343" s="497">
        <f t="shared" ca="1" si="259"/>
        <v>3</v>
      </c>
      <c r="F4343" s="497">
        <f t="shared" ca="1" si="260"/>
        <v>14</v>
      </c>
      <c r="G4343" s="497" t="s">
        <v>9925</v>
      </c>
      <c r="H4343" s="503"/>
      <c r="I4343" s="503"/>
      <c r="J4343" s="503"/>
      <c r="K4343" s="503"/>
      <c r="L4343" s="497"/>
      <c r="M4343" s="497"/>
      <c r="N4343" s="497"/>
      <c r="O4343" s="497"/>
      <c r="P4343" s="497">
        <f t="shared" si="261"/>
        <v>33</v>
      </c>
      <c r="Q4343" s="497" t="b">
        <v>0</v>
      </c>
    </row>
    <row r="4344" spans="1:17" x14ac:dyDescent="0.35">
      <c r="A4344" s="497" t="b">
        <v>0</v>
      </c>
      <c r="B4344" s="497" t="s">
        <v>10268</v>
      </c>
      <c r="C4344" s="512">
        <v>6</v>
      </c>
      <c r="D4344" s="497">
        <f t="shared" si="258"/>
        <v>-446</v>
      </c>
      <c r="E4344" s="497">
        <f t="shared" ca="1" si="259"/>
        <v>4</v>
      </c>
      <c r="F4344" s="497">
        <f t="shared" ca="1" si="260"/>
        <v>14</v>
      </c>
      <c r="G4344" s="497" t="s">
        <v>9925</v>
      </c>
      <c r="H4344" s="503"/>
      <c r="I4344" s="503"/>
      <c r="J4344" s="503"/>
      <c r="K4344" s="503"/>
      <c r="L4344" s="497"/>
      <c r="M4344" s="497"/>
      <c r="N4344" s="497"/>
      <c r="O4344" s="497"/>
      <c r="P4344" s="497">
        <f t="shared" si="261"/>
        <v>34</v>
      </c>
      <c r="Q4344" s="497" t="b">
        <v>0</v>
      </c>
    </row>
    <row r="4345" spans="1:17" x14ac:dyDescent="0.35">
      <c r="A4345" s="497" t="b">
        <v>0</v>
      </c>
      <c r="B4345" s="497" t="s">
        <v>10269</v>
      </c>
      <c r="C4345" s="512">
        <v>6</v>
      </c>
      <c r="D4345" s="497">
        <f t="shared" si="258"/>
        <v>-445</v>
      </c>
      <c r="E4345" s="497">
        <f t="shared" ca="1" si="259"/>
        <v>5</v>
      </c>
      <c r="F4345" s="497">
        <f t="shared" ca="1" si="260"/>
        <v>14</v>
      </c>
      <c r="G4345" s="497" t="s">
        <v>9925</v>
      </c>
      <c r="H4345" s="503"/>
      <c r="I4345" s="503"/>
      <c r="J4345" s="503"/>
      <c r="K4345" s="503"/>
      <c r="L4345" s="497"/>
      <c r="M4345" s="497"/>
      <c r="N4345" s="497"/>
      <c r="O4345" s="497"/>
      <c r="P4345" s="497">
        <f t="shared" si="261"/>
        <v>35</v>
      </c>
      <c r="Q4345" s="497" t="b">
        <v>0</v>
      </c>
    </row>
    <row r="4346" spans="1:17" x14ac:dyDescent="0.35">
      <c r="A4346" s="497" t="b">
        <v>0</v>
      </c>
      <c r="B4346" s="497" t="s">
        <v>10270</v>
      </c>
      <c r="C4346" s="512">
        <v>6</v>
      </c>
      <c r="D4346" s="497">
        <f t="shared" si="258"/>
        <v>-444</v>
      </c>
      <c r="E4346" s="497">
        <f t="shared" ca="1" si="259"/>
        <v>6</v>
      </c>
      <c r="F4346" s="497">
        <f t="shared" ca="1" si="260"/>
        <v>14</v>
      </c>
      <c r="G4346" s="497" t="s">
        <v>9925</v>
      </c>
      <c r="H4346" s="503"/>
      <c r="I4346" s="503"/>
      <c r="J4346" s="503"/>
      <c r="K4346" s="503"/>
      <c r="L4346" s="497"/>
      <c r="M4346" s="497"/>
      <c r="N4346" s="497"/>
      <c r="O4346" s="497"/>
      <c r="P4346" s="497">
        <f t="shared" si="261"/>
        <v>36</v>
      </c>
      <c r="Q4346" s="497" t="b">
        <v>0</v>
      </c>
    </row>
    <row r="4347" spans="1:17" x14ac:dyDescent="0.35">
      <c r="A4347" s="497" t="b">
        <v>0</v>
      </c>
      <c r="B4347" s="497" t="s">
        <v>10271</v>
      </c>
      <c r="C4347" s="512">
        <v>7</v>
      </c>
      <c r="D4347" s="497">
        <f t="shared" si="258"/>
        <v>-443</v>
      </c>
      <c r="E4347" s="497">
        <f t="shared" ca="1" si="259"/>
        <v>1</v>
      </c>
      <c r="F4347" s="497">
        <f t="shared" ca="1" si="260"/>
        <v>15</v>
      </c>
      <c r="G4347" s="497" t="s">
        <v>9927</v>
      </c>
      <c r="H4347" s="503"/>
      <c r="I4347" s="503"/>
      <c r="J4347" s="503"/>
      <c r="K4347" s="503"/>
      <c r="L4347" s="497"/>
      <c r="M4347" s="497"/>
      <c r="N4347" s="497"/>
      <c r="O4347" s="497"/>
      <c r="P4347" s="497">
        <f t="shared" si="261"/>
        <v>37</v>
      </c>
      <c r="Q4347" s="497" t="b">
        <v>0</v>
      </c>
    </row>
    <row r="4348" spans="1:17" x14ac:dyDescent="0.35">
      <c r="A4348" s="497" t="b">
        <v>0</v>
      </c>
      <c r="B4348" s="497" t="s">
        <v>10272</v>
      </c>
      <c r="C4348" s="512">
        <v>7</v>
      </c>
      <c r="D4348" s="497">
        <f t="shared" si="258"/>
        <v>-442</v>
      </c>
      <c r="E4348" s="497">
        <f t="shared" ca="1" si="259"/>
        <v>2</v>
      </c>
      <c r="F4348" s="497">
        <f t="shared" ca="1" si="260"/>
        <v>15</v>
      </c>
      <c r="G4348" s="497" t="s">
        <v>9927</v>
      </c>
      <c r="H4348" s="503"/>
      <c r="I4348" s="503"/>
      <c r="J4348" s="503"/>
      <c r="K4348" s="503"/>
      <c r="L4348" s="497"/>
      <c r="M4348" s="497"/>
      <c r="N4348" s="497"/>
      <c r="O4348" s="497"/>
      <c r="P4348" s="497">
        <f t="shared" si="261"/>
        <v>38</v>
      </c>
      <c r="Q4348" s="497" t="b">
        <v>0</v>
      </c>
    </row>
    <row r="4349" spans="1:17" x14ac:dyDescent="0.35">
      <c r="A4349" s="497" t="b">
        <v>0</v>
      </c>
      <c r="B4349" s="497" t="s">
        <v>10273</v>
      </c>
      <c r="C4349" s="512">
        <v>7</v>
      </c>
      <c r="D4349" s="497">
        <f t="shared" si="258"/>
        <v>-441</v>
      </c>
      <c r="E4349" s="497">
        <f t="shared" ca="1" si="259"/>
        <v>3</v>
      </c>
      <c r="F4349" s="497">
        <f t="shared" ca="1" si="260"/>
        <v>15</v>
      </c>
      <c r="G4349" s="497" t="s">
        <v>9927</v>
      </c>
      <c r="H4349" s="503"/>
      <c r="I4349" s="503"/>
      <c r="J4349" s="503"/>
      <c r="K4349" s="503"/>
      <c r="L4349" s="497"/>
      <c r="M4349" s="497"/>
      <c r="N4349" s="497"/>
      <c r="O4349" s="497"/>
      <c r="P4349" s="497">
        <f t="shared" si="261"/>
        <v>39</v>
      </c>
      <c r="Q4349" s="497" t="b">
        <v>0</v>
      </c>
    </row>
    <row r="4350" spans="1:17" x14ac:dyDescent="0.35">
      <c r="A4350" s="497" t="b">
        <v>0</v>
      </c>
      <c r="B4350" s="497" t="s">
        <v>10274</v>
      </c>
      <c r="C4350" s="512">
        <v>7</v>
      </c>
      <c r="D4350" s="497">
        <f t="shared" si="258"/>
        <v>-440</v>
      </c>
      <c r="E4350" s="497">
        <f t="shared" ca="1" si="259"/>
        <v>4</v>
      </c>
      <c r="F4350" s="497">
        <f t="shared" ca="1" si="260"/>
        <v>15</v>
      </c>
      <c r="G4350" s="497" t="s">
        <v>9927</v>
      </c>
      <c r="H4350" s="503"/>
      <c r="I4350" s="503"/>
      <c r="J4350" s="503"/>
      <c r="K4350" s="503"/>
      <c r="L4350" s="497"/>
      <c r="M4350" s="497"/>
      <c r="N4350" s="497"/>
      <c r="O4350" s="497"/>
      <c r="P4350" s="497">
        <f t="shared" si="261"/>
        <v>40</v>
      </c>
      <c r="Q4350" s="497" t="b">
        <v>0</v>
      </c>
    </row>
    <row r="4351" spans="1:17" x14ac:dyDescent="0.35">
      <c r="A4351" s="497" t="b">
        <v>0</v>
      </c>
      <c r="B4351" s="497" t="s">
        <v>10275</v>
      </c>
      <c r="C4351" s="512">
        <v>7</v>
      </c>
      <c r="D4351" s="497">
        <f t="shared" si="258"/>
        <v>-439</v>
      </c>
      <c r="E4351" s="497">
        <f t="shared" ca="1" si="259"/>
        <v>5</v>
      </c>
      <c r="F4351" s="497">
        <f t="shared" ca="1" si="260"/>
        <v>15</v>
      </c>
      <c r="G4351" s="497" t="s">
        <v>9927</v>
      </c>
      <c r="H4351" s="503"/>
      <c r="I4351" s="503"/>
      <c r="J4351" s="503"/>
      <c r="K4351" s="503"/>
      <c r="L4351" s="497"/>
      <c r="M4351" s="497"/>
      <c r="N4351" s="497"/>
      <c r="O4351" s="497"/>
      <c r="P4351" s="497">
        <f t="shared" si="261"/>
        <v>41</v>
      </c>
      <c r="Q4351" s="497" t="b">
        <v>0</v>
      </c>
    </row>
    <row r="4352" spans="1:17" x14ac:dyDescent="0.35">
      <c r="A4352" s="497" t="b">
        <v>0</v>
      </c>
      <c r="B4352" s="497" t="s">
        <v>10276</v>
      </c>
      <c r="C4352" s="512">
        <v>7</v>
      </c>
      <c r="D4352" s="497">
        <f t="shared" si="258"/>
        <v>-438</v>
      </c>
      <c r="E4352" s="497">
        <f t="shared" ca="1" si="259"/>
        <v>6</v>
      </c>
      <c r="F4352" s="497">
        <f t="shared" ca="1" si="260"/>
        <v>15</v>
      </c>
      <c r="G4352" s="497" t="s">
        <v>9927</v>
      </c>
      <c r="H4352" s="503"/>
      <c r="I4352" s="503"/>
      <c r="J4352" s="503"/>
      <c r="K4352" s="503"/>
      <c r="L4352" s="497"/>
      <c r="M4352" s="497"/>
      <c r="N4352" s="497"/>
      <c r="O4352" s="497"/>
      <c r="P4352" s="497">
        <f t="shared" si="261"/>
        <v>42</v>
      </c>
      <c r="Q4352" s="497" t="b">
        <v>0</v>
      </c>
    </row>
    <row r="4353" spans="1:17" x14ac:dyDescent="0.35">
      <c r="A4353" s="497" t="b">
        <v>0</v>
      </c>
      <c r="B4353" s="497" t="s">
        <v>10277</v>
      </c>
      <c r="C4353" s="512">
        <v>8</v>
      </c>
      <c r="D4353" s="497">
        <f t="shared" si="258"/>
        <v>-437</v>
      </c>
      <c r="E4353" s="497">
        <f t="shared" ca="1" si="259"/>
        <v>1</v>
      </c>
      <c r="F4353" s="497">
        <f t="shared" ca="1" si="260"/>
        <v>16</v>
      </c>
      <c r="G4353" s="497" t="s">
        <v>9929</v>
      </c>
      <c r="H4353" s="503"/>
      <c r="I4353" s="503"/>
      <c r="J4353" s="503"/>
      <c r="K4353" s="503"/>
      <c r="L4353" s="497"/>
      <c r="M4353" s="497"/>
      <c r="N4353" s="497"/>
      <c r="O4353" s="497"/>
      <c r="P4353" s="497">
        <f t="shared" si="261"/>
        <v>43</v>
      </c>
      <c r="Q4353" s="497" t="b">
        <v>0</v>
      </c>
    </row>
    <row r="4354" spans="1:17" x14ac:dyDescent="0.35">
      <c r="A4354" s="497" t="b">
        <v>0</v>
      </c>
      <c r="B4354" s="497" t="s">
        <v>10278</v>
      </c>
      <c r="C4354" s="512">
        <v>8</v>
      </c>
      <c r="D4354" s="497">
        <f t="shared" si="258"/>
        <v>-436</v>
      </c>
      <c r="E4354" s="497">
        <f t="shared" ca="1" si="259"/>
        <v>2</v>
      </c>
      <c r="F4354" s="497">
        <f t="shared" ca="1" si="260"/>
        <v>16</v>
      </c>
      <c r="G4354" s="497" t="s">
        <v>9929</v>
      </c>
      <c r="H4354" s="503"/>
      <c r="I4354" s="503"/>
      <c r="J4354" s="503"/>
      <c r="K4354" s="503"/>
      <c r="L4354" s="497"/>
      <c r="M4354" s="497"/>
      <c r="N4354" s="497"/>
      <c r="O4354" s="497"/>
      <c r="P4354" s="497">
        <f t="shared" si="261"/>
        <v>44</v>
      </c>
      <c r="Q4354" s="497" t="b">
        <v>0</v>
      </c>
    </row>
    <row r="4355" spans="1:17" x14ac:dyDescent="0.35">
      <c r="A4355" s="497" t="b">
        <v>0</v>
      </c>
      <c r="B4355" s="497" t="s">
        <v>10279</v>
      </c>
      <c r="C4355" s="512">
        <v>8</v>
      </c>
      <c r="D4355" s="497">
        <f t="shared" si="258"/>
        <v>-435</v>
      </c>
      <c r="E4355" s="497">
        <f t="shared" ca="1" si="259"/>
        <v>3</v>
      </c>
      <c r="F4355" s="497">
        <f t="shared" ca="1" si="260"/>
        <v>16</v>
      </c>
      <c r="G4355" s="497" t="s">
        <v>9929</v>
      </c>
      <c r="H4355" s="503"/>
      <c r="I4355" s="503"/>
      <c r="J4355" s="503"/>
      <c r="K4355" s="503"/>
      <c r="L4355" s="497"/>
      <c r="M4355" s="497"/>
      <c r="N4355" s="497"/>
      <c r="O4355" s="497"/>
      <c r="P4355" s="497">
        <f t="shared" si="261"/>
        <v>45</v>
      </c>
      <c r="Q4355" s="497" t="b">
        <v>0</v>
      </c>
    </row>
    <row r="4356" spans="1:17" x14ac:dyDescent="0.35">
      <c r="A4356" s="497" t="b">
        <v>0</v>
      </c>
      <c r="B4356" s="497" t="s">
        <v>10280</v>
      </c>
      <c r="C4356" s="512">
        <v>8</v>
      </c>
      <c r="D4356" s="497">
        <f t="shared" si="258"/>
        <v>-434</v>
      </c>
      <c r="E4356" s="497">
        <f t="shared" ca="1" si="259"/>
        <v>4</v>
      </c>
      <c r="F4356" s="497">
        <f t="shared" ca="1" si="260"/>
        <v>16</v>
      </c>
      <c r="G4356" s="497" t="s">
        <v>9929</v>
      </c>
      <c r="H4356" s="503"/>
      <c r="I4356" s="503"/>
      <c r="J4356" s="503"/>
      <c r="K4356" s="503"/>
      <c r="L4356" s="497"/>
      <c r="M4356" s="497"/>
      <c r="N4356" s="497"/>
      <c r="O4356" s="497"/>
      <c r="P4356" s="497">
        <f t="shared" si="261"/>
        <v>46</v>
      </c>
      <c r="Q4356" s="497" t="b">
        <v>0</v>
      </c>
    </row>
    <row r="4357" spans="1:17" x14ac:dyDescent="0.35">
      <c r="A4357" s="497" t="b">
        <v>0</v>
      </c>
      <c r="B4357" s="497" t="s">
        <v>10281</v>
      </c>
      <c r="C4357" s="512">
        <v>8</v>
      </c>
      <c r="D4357" s="497">
        <f t="shared" si="258"/>
        <v>-433</v>
      </c>
      <c r="E4357" s="497">
        <f t="shared" ca="1" si="259"/>
        <v>5</v>
      </c>
      <c r="F4357" s="497">
        <f t="shared" ca="1" si="260"/>
        <v>16</v>
      </c>
      <c r="G4357" s="497" t="s">
        <v>9929</v>
      </c>
      <c r="H4357" s="503"/>
      <c r="I4357" s="503"/>
      <c r="J4357" s="503"/>
      <c r="K4357" s="503"/>
      <c r="L4357" s="497"/>
      <c r="M4357" s="497"/>
      <c r="N4357" s="497"/>
      <c r="O4357" s="497"/>
      <c r="P4357" s="497">
        <f t="shared" si="261"/>
        <v>47</v>
      </c>
      <c r="Q4357" s="497" t="b">
        <v>0</v>
      </c>
    </row>
    <row r="4358" spans="1:17" x14ac:dyDescent="0.35">
      <c r="A4358" s="497" t="b">
        <v>0</v>
      </c>
      <c r="B4358" s="497" t="s">
        <v>10282</v>
      </c>
      <c r="C4358" s="512">
        <v>8</v>
      </c>
      <c r="D4358" s="497">
        <f t="shared" si="258"/>
        <v>-432</v>
      </c>
      <c r="E4358" s="497">
        <f t="shared" ca="1" si="259"/>
        <v>6</v>
      </c>
      <c r="F4358" s="497">
        <f t="shared" ca="1" si="260"/>
        <v>16</v>
      </c>
      <c r="G4358" s="497" t="s">
        <v>9929</v>
      </c>
      <c r="H4358" s="503"/>
      <c r="I4358" s="503"/>
      <c r="J4358" s="503"/>
      <c r="K4358" s="503"/>
      <c r="L4358" s="497"/>
      <c r="M4358" s="497"/>
      <c r="N4358" s="497"/>
      <c r="O4358" s="497"/>
      <c r="P4358" s="497">
        <f t="shared" si="261"/>
        <v>48</v>
      </c>
      <c r="Q4358" s="497" t="b">
        <v>0</v>
      </c>
    </row>
    <row r="4359" spans="1:17" x14ac:dyDescent="0.35">
      <c r="A4359" s="497" t="b">
        <v>0</v>
      </c>
      <c r="B4359" s="497" t="s">
        <v>10283</v>
      </c>
      <c r="C4359" s="512">
        <v>9</v>
      </c>
      <c r="D4359" s="497">
        <f t="shared" si="258"/>
        <v>-431</v>
      </c>
      <c r="E4359" s="497">
        <f t="shared" ca="1" si="259"/>
        <v>1</v>
      </c>
      <c r="F4359" s="497">
        <f t="shared" ca="1" si="260"/>
        <v>17</v>
      </c>
      <c r="G4359" s="497" t="s">
        <v>9931</v>
      </c>
      <c r="H4359" s="503"/>
      <c r="I4359" s="503"/>
      <c r="J4359" s="503"/>
      <c r="K4359" s="503"/>
      <c r="L4359" s="497"/>
      <c r="M4359" s="497"/>
      <c r="N4359" s="497"/>
      <c r="O4359" s="497"/>
      <c r="P4359" s="497">
        <f t="shared" si="261"/>
        <v>49</v>
      </c>
      <c r="Q4359" s="497" t="b">
        <v>0</v>
      </c>
    </row>
    <row r="4360" spans="1:17" x14ac:dyDescent="0.35">
      <c r="A4360" s="497" t="b">
        <v>0</v>
      </c>
      <c r="B4360" s="497" t="s">
        <v>10284</v>
      </c>
      <c r="C4360" s="512">
        <v>9</v>
      </c>
      <c r="D4360" s="497">
        <f t="shared" si="258"/>
        <v>-430</v>
      </c>
      <c r="E4360" s="497">
        <f t="shared" ca="1" si="259"/>
        <v>2</v>
      </c>
      <c r="F4360" s="497">
        <f t="shared" ca="1" si="260"/>
        <v>17</v>
      </c>
      <c r="G4360" s="497" t="s">
        <v>9931</v>
      </c>
      <c r="H4360" s="503"/>
      <c r="I4360" s="503"/>
      <c r="J4360" s="503"/>
      <c r="K4360" s="503"/>
      <c r="L4360" s="497"/>
      <c r="M4360" s="497"/>
      <c r="N4360" s="497"/>
      <c r="O4360" s="497"/>
      <c r="P4360" s="497">
        <f t="shared" si="261"/>
        <v>50</v>
      </c>
      <c r="Q4360" s="497" t="b">
        <v>0</v>
      </c>
    </row>
    <row r="4361" spans="1:17" x14ac:dyDescent="0.35">
      <c r="A4361" s="497" t="b">
        <v>0</v>
      </c>
      <c r="B4361" s="497" t="s">
        <v>10285</v>
      </c>
      <c r="C4361" s="512">
        <v>9</v>
      </c>
      <c r="D4361" s="497">
        <f t="shared" si="258"/>
        <v>-429</v>
      </c>
      <c r="E4361" s="497">
        <f t="shared" ca="1" si="259"/>
        <v>3</v>
      </c>
      <c r="F4361" s="497">
        <f t="shared" ca="1" si="260"/>
        <v>17</v>
      </c>
      <c r="G4361" s="497" t="s">
        <v>9931</v>
      </c>
      <c r="H4361" s="503"/>
      <c r="I4361" s="503"/>
      <c r="J4361" s="503"/>
      <c r="K4361" s="503"/>
      <c r="L4361" s="497"/>
      <c r="M4361" s="497"/>
      <c r="N4361" s="497"/>
      <c r="O4361" s="497"/>
      <c r="P4361" s="497">
        <f t="shared" si="261"/>
        <v>51</v>
      </c>
      <c r="Q4361" s="497" t="b">
        <v>0</v>
      </c>
    </row>
    <row r="4362" spans="1:17" x14ac:dyDescent="0.35">
      <c r="A4362" s="497" t="b">
        <v>0</v>
      </c>
      <c r="B4362" s="497" t="s">
        <v>10286</v>
      </c>
      <c r="C4362" s="512">
        <v>9</v>
      </c>
      <c r="D4362" s="497">
        <f t="shared" si="258"/>
        <v>-428</v>
      </c>
      <c r="E4362" s="497">
        <f t="shared" ca="1" si="259"/>
        <v>4</v>
      </c>
      <c r="F4362" s="497">
        <f t="shared" ca="1" si="260"/>
        <v>17</v>
      </c>
      <c r="G4362" s="497" t="s">
        <v>9931</v>
      </c>
      <c r="H4362" s="503"/>
      <c r="I4362" s="503"/>
      <c r="J4362" s="503"/>
      <c r="K4362" s="503"/>
      <c r="L4362" s="497"/>
      <c r="M4362" s="497"/>
      <c r="N4362" s="497"/>
      <c r="O4362" s="497"/>
      <c r="P4362" s="497">
        <f t="shared" si="261"/>
        <v>52</v>
      </c>
      <c r="Q4362" s="497" t="b">
        <v>0</v>
      </c>
    </row>
    <row r="4363" spans="1:17" x14ac:dyDescent="0.35">
      <c r="A4363" s="497" t="b">
        <v>0</v>
      </c>
      <c r="B4363" s="497" t="s">
        <v>10287</v>
      </c>
      <c r="C4363" s="512">
        <v>9</v>
      </c>
      <c r="D4363" s="497">
        <f t="shared" si="258"/>
        <v>-427</v>
      </c>
      <c r="E4363" s="497">
        <f t="shared" ca="1" si="259"/>
        <v>5</v>
      </c>
      <c r="F4363" s="497">
        <f t="shared" ca="1" si="260"/>
        <v>17</v>
      </c>
      <c r="G4363" s="497" t="s">
        <v>9931</v>
      </c>
      <c r="H4363" s="503"/>
      <c r="I4363" s="503"/>
      <c r="J4363" s="503"/>
      <c r="K4363" s="503"/>
      <c r="L4363" s="497"/>
      <c r="M4363" s="497"/>
      <c r="N4363" s="497"/>
      <c r="O4363" s="497"/>
      <c r="P4363" s="497">
        <f t="shared" si="261"/>
        <v>53</v>
      </c>
      <c r="Q4363" s="497" t="b">
        <v>0</v>
      </c>
    </row>
    <row r="4364" spans="1:17" x14ac:dyDescent="0.35">
      <c r="A4364" s="497" t="b">
        <v>0</v>
      </c>
      <c r="B4364" s="497" t="s">
        <v>10288</v>
      </c>
      <c r="C4364" s="512">
        <v>9</v>
      </c>
      <c r="D4364" s="497">
        <f t="shared" si="258"/>
        <v>-426</v>
      </c>
      <c r="E4364" s="497">
        <f t="shared" ca="1" si="259"/>
        <v>6</v>
      </c>
      <c r="F4364" s="497">
        <f t="shared" ca="1" si="260"/>
        <v>17</v>
      </c>
      <c r="G4364" s="497" t="s">
        <v>9931</v>
      </c>
      <c r="H4364" s="503"/>
      <c r="I4364" s="503"/>
      <c r="J4364" s="503"/>
      <c r="K4364" s="503"/>
      <c r="L4364" s="497"/>
      <c r="M4364" s="497"/>
      <c r="N4364" s="497"/>
      <c r="O4364" s="497"/>
      <c r="P4364" s="497">
        <f t="shared" si="261"/>
        <v>54</v>
      </c>
      <c r="Q4364" s="497" t="b">
        <v>0</v>
      </c>
    </row>
    <row r="4365" spans="1:17" x14ac:dyDescent="0.35">
      <c r="A4365" s="497" t="b">
        <v>0</v>
      </c>
      <c r="B4365" s="497" t="s">
        <v>10289</v>
      </c>
      <c r="C4365" s="512">
        <v>10</v>
      </c>
      <c r="D4365" s="497">
        <f t="shared" si="258"/>
        <v>-425</v>
      </c>
      <c r="E4365" s="497">
        <f t="shared" ca="1" si="259"/>
        <v>1</v>
      </c>
      <c r="F4365" s="497">
        <f t="shared" ca="1" si="260"/>
        <v>18</v>
      </c>
      <c r="G4365" s="497" t="s">
        <v>9933</v>
      </c>
      <c r="H4365" s="503"/>
      <c r="I4365" s="503"/>
      <c r="J4365" s="503"/>
      <c r="K4365" s="503"/>
      <c r="L4365" s="497"/>
      <c r="M4365" s="497"/>
      <c r="N4365" s="497"/>
      <c r="O4365" s="497"/>
      <c r="P4365" s="497">
        <f t="shared" si="261"/>
        <v>55</v>
      </c>
      <c r="Q4365" s="497" t="b">
        <v>0</v>
      </c>
    </row>
    <row r="4366" spans="1:17" x14ac:dyDescent="0.35">
      <c r="A4366" s="497" t="b">
        <v>0</v>
      </c>
      <c r="B4366" s="497" t="s">
        <v>10290</v>
      </c>
      <c r="C4366" s="512">
        <v>10</v>
      </c>
      <c r="D4366" s="497">
        <f t="shared" si="258"/>
        <v>-424</v>
      </c>
      <c r="E4366" s="497">
        <f t="shared" ca="1" si="259"/>
        <v>2</v>
      </c>
      <c r="F4366" s="497">
        <f t="shared" ca="1" si="260"/>
        <v>18</v>
      </c>
      <c r="G4366" s="497" t="s">
        <v>9933</v>
      </c>
      <c r="H4366" s="503"/>
      <c r="I4366" s="503"/>
      <c r="J4366" s="503"/>
      <c r="K4366" s="503"/>
      <c r="L4366" s="497"/>
      <c r="M4366" s="497"/>
      <c r="N4366" s="497"/>
      <c r="O4366" s="497"/>
      <c r="P4366" s="497">
        <f t="shared" si="261"/>
        <v>56</v>
      </c>
      <c r="Q4366" s="497" t="b">
        <v>0</v>
      </c>
    </row>
    <row r="4367" spans="1:17" x14ac:dyDescent="0.35">
      <c r="A4367" s="497" t="b">
        <v>0</v>
      </c>
      <c r="B4367" s="497" t="s">
        <v>10291</v>
      </c>
      <c r="C4367" s="512">
        <v>10</v>
      </c>
      <c r="D4367" s="497">
        <f t="shared" si="258"/>
        <v>-423</v>
      </c>
      <c r="E4367" s="497">
        <f t="shared" ca="1" si="259"/>
        <v>3</v>
      </c>
      <c r="F4367" s="497">
        <f t="shared" ca="1" si="260"/>
        <v>18</v>
      </c>
      <c r="G4367" s="497" t="s">
        <v>9933</v>
      </c>
      <c r="H4367" s="503"/>
      <c r="I4367" s="503"/>
      <c r="J4367" s="503"/>
      <c r="K4367" s="503"/>
      <c r="L4367" s="497"/>
      <c r="M4367" s="497"/>
      <c r="N4367" s="497"/>
      <c r="O4367" s="497"/>
      <c r="P4367" s="497">
        <f t="shared" si="261"/>
        <v>57</v>
      </c>
      <c r="Q4367" s="497" t="b">
        <v>0</v>
      </c>
    </row>
    <row r="4368" spans="1:17" x14ac:dyDescent="0.35">
      <c r="A4368" s="497" t="b">
        <v>0</v>
      </c>
      <c r="B4368" s="497" t="s">
        <v>10292</v>
      </c>
      <c r="C4368" s="512">
        <v>10</v>
      </c>
      <c r="D4368" s="497">
        <f t="shared" si="258"/>
        <v>-422</v>
      </c>
      <c r="E4368" s="497">
        <f t="shared" ca="1" si="259"/>
        <v>4</v>
      </c>
      <c r="F4368" s="497">
        <f t="shared" ca="1" si="260"/>
        <v>18</v>
      </c>
      <c r="G4368" s="497" t="s">
        <v>9933</v>
      </c>
      <c r="H4368" s="503"/>
      <c r="I4368" s="503"/>
      <c r="J4368" s="503"/>
      <c r="K4368" s="503"/>
      <c r="L4368" s="497"/>
      <c r="M4368" s="497"/>
      <c r="N4368" s="497"/>
      <c r="O4368" s="497"/>
      <c r="P4368" s="497">
        <f t="shared" si="261"/>
        <v>58</v>
      </c>
      <c r="Q4368" s="497" t="b">
        <v>0</v>
      </c>
    </row>
    <row r="4369" spans="1:17" x14ac:dyDescent="0.35">
      <c r="A4369" s="497" t="b">
        <v>0</v>
      </c>
      <c r="B4369" s="497" t="s">
        <v>10293</v>
      </c>
      <c r="C4369" s="512">
        <v>10</v>
      </c>
      <c r="D4369" s="497">
        <f t="shared" si="258"/>
        <v>-421</v>
      </c>
      <c r="E4369" s="497">
        <f t="shared" ca="1" si="259"/>
        <v>5</v>
      </c>
      <c r="F4369" s="497">
        <f t="shared" ca="1" si="260"/>
        <v>18</v>
      </c>
      <c r="G4369" s="497" t="s">
        <v>9933</v>
      </c>
      <c r="H4369" s="503"/>
      <c r="I4369" s="503"/>
      <c r="J4369" s="503"/>
      <c r="K4369" s="503"/>
      <c r="L4369" s="497"/>
      <c r="M4369" s="497"/>
      <c r="N4369" s="497"/>
      <c r="O4369" s="497"/>
      <c r="P4369" s="497">
        <f t="shared" si="261"/>
        <v>59</v>
      </c>
      <c r="Q4369" s="497" t="b">
        <v>0</v>
      </c>
    </row>
    <row r="4370" spans="1:17" x14ac:dyDescent="0.35">
      <c r="A4370" s="497" t="b">
        <v>0</v>
      </c>
      <c r="B4370" s="497" t="s">
        <v>10294</v>
      </c>
      <c r="C4370" s="512">
        <v>10</v>
      </c>
      <c r="D4370" s="497">
        <f t="shared" si="258"/>
        <v>-420</v>
      </c>
      <c r="E4370" s="497">
        <f t="shared" ca="1" si="259"/>
        <v>6</v>
      </c>
      <c r="F4370" s="497">
        <f t="shared" ca="1" si="260"/>
        <v>18</v>
      </c>
      <c r="G4370" s="497" t="s">
        <v>9933</v>
      </c>
      <c r="H4370" s="503"/>
      <c r="I4370" s="503"/>
      <c r="J4370" s="503"/>
      <c r="K4370" s="503"/>
      <c r="L4370" s="497"/>
      <c r="M4370" s="497"/>
      <c r="N4370" s="497"/>
      <c r="O4370" s="497"/>
      <c r="P4370" s="497">
        <f t="shared" si="261"/>
        <v>60</v>
      </c>
      <c r="Q4370" s="497" t="b">
        <v>0</v>
      </c>
    </row>
    <row r="4371" spans="1:17" x14ac:dyDescent="0.35">
      <c r="A4371" s="497" t="b">
        <v>0</v>
      </c>
      <c r="B4371" s="497" t="s">
        <v>10295</v>
      </c>
      <c r="C4371" s="512">
        <v>11</v>
      </c>
      <c r="D4371" s="497">
        <f t="shared" si="258"/>
        <v>-419</v>
      </c>
      <c r="E4371" s="497">
        <f t="shared" ca="1" si="259"/>
        <v>1</v>
      </c>
      <c r="F4371" s="497">
        <f t="shared" ca="1" si="260"/>
        <v>19</v>
      </c>
      <c r="G4371" s="497" t="s">
        <v>9935</v>
      </c>
      <c r="H4371" s="503"/>
      <c r="I4371" s="503"/>
      <c r="J4371" s="503"/>
      <c r="K4371" s="503"/>
      <c r="L4371" s="497"/>
      <c r="M4371" s="497"/>
      <c r="N4371" s="497"/>
      <c r="O4371" s="497"/>
      <c r="P4371" s="497">
        <f t="shared" si="261"/>
        <v>61</v>
      </c>
      <c r="Q4371" s="497" t="b">
        <v>0</v>
      </c>
    </row>
    <row r="4372" spans="1:17" x14ac:dyDescent="0.35">
      <c r="A4372" s="497" t="b">
        <v>0</v>
      </c>
      <c r="B4372" s="497" t="s">
        <v>10296</v>
      </c>
      <c r="C4372" s="512">
        <v>11</v>
      </c>
      <c r="D4372" s="497">
        <f t="shared" si="258"/>
        <v>-418</v>
      </c>
      <c r="E4372" s="497">
        <f t="shared" ca="1" si="259"/>
        <v>2</v>
      </c>
      <c r="F4372" s="497">
        <f t="shared" ca="1" si="260"/>
        <v>19</v>
      </c>
      <c r="G4372" s="497" t="s">
        <v>9935</v>
      </c>
      <c r="H4372" s="503"/>
      <c r="I4372" s="503"/>
      <c r="J4372" s="503"/>
      <c r="K4372" s="503"/>
      <c r="L4372" s="497"/>
      <c r="M4372" s="497"/>
      <c r="N4372" s="497"/>
      <c r="O4372" s="497"/>
      <c r="P4372" s="497">
        <f t="shared" si="261"/>
        <v>62</v>
      </c>
      <c r="Q4372" s="497" t="b">
        <v>0</v>
      </c>
    </row>
    <row r="4373" spans="1:17" x14ac:dyDescent="0.35">
      <c r="A4373" s="497" t="b">
        <v>0</v>
      </c>
      <c r="B4373" s="497" t="s">
        <v>10297</v>
      </c>
      <c r="C4373" s="512">
        <v>11</v>
      </c>
      <c r="D4373" s="497">
        <f t="shared" si="258"/>
        <v>-417</v>
      </c>
      <c r="E4373" s="497">
        <f t="shared" ca="1" si="259"/>
        <v>3</v>
      </c>
      <c r="F4373" s="497">
        <f t="shared" ca="1" si="260"/>
        <v>19</v>
      </c>
      <c r="G4373" s="497" t="s">
        <v>9935</v>
      </c>
      <c r="H4373" s="503"/>
      <c r="I4373" s="503"/>
      <c r="J4373" s="503"/>
      <c r="K4373" s="503"/>
      <c r="L4373" s="497"/>
      <c r="M4373" s="497"/>
      <c r="N4373" s="497"/>
      <c r="O4373" s="497"/>
      <c r="P4373" s="497">
        <f t="shared" si="261"/>
        <v>63</v>
      </c>
      <c r="Q4373" s="497" t="b">
        <v>0</v>
      </c>
    </row>
    <row r="4374" spans="1:17" x14ac:dyDescent="0.35">
      <c r="A4374" s="497" t="b">
        <v>0</v>
      </c>
      <c r="B4374" s="497" t="s">
        <v>10298</v>
      </c>
      <c r="C4374" s="512">
        <v>11</v>
      </c>
      <c r="D4374" s="497">
        <f t="shared" si="258"/>
        <v>-416</v>
      </c>
      <c r="E4374" s="497">
        <f t="shared" ca="1" si="259"/>
        <v>4</v>
      </c>
      <c r="F4374" s="497">
        <f t="shared" ca="1" si="260"/>
        <v>19</v>
      </c>
      <c r="G4374" s="497" t="s">
        <v>9935</v>
      </c>
      <c r="H4374" s="503"/>
      <c r="I4374" s="503"/>
      <c r="J4374" s="503"/>
      <c r="K4374" s="503"/>
      <c r="L4374" s="497"/>
      <c r="M4374" s="497"/>
      <c r="N4374" s="497"/>
      <c r="O4374" s="497"/>
      <c r="P4374" s="497">
        <f t="shared" si="261"/>
        <v>64</v>
      </c>
      <c r="Q4374" s="497" t="b">
        <v>0</v>
      </c>
    </row>
    <row r="4375" spans="1:17" x14ac:dyDescent="0.35">
      <c r="A4375" s="497" t="b">
        <v>0</v>
      </c>
      <c r="B4375" s="497" t="s">
        <v>10299</v>
      </c>
      <c r="C4375" s="512">
        <v>11</v>
      </c>
      <c r="D4375" s="497">
        <f t="shared" ref="D4375:D4438" si="262">D4374+1</f>
        <v>-415</v>
      </c>
      <c r="E4375" s="497">
        <f t="shared" ref="E4375:E4438" ca="1" si="263">COUNTIF(C4125:C4375,C4375)</f>
        <v>5</v>
      </c>
      <c r="F4375" s="497">
        <f t="shared" ref="F4375:F4438" ca="1" si="264">IF(C4375=1,9,IF(E4374=MAX(E4373:E4375),F4373+1,F4374))</f>
        <v>19</v>
      </c>
      <c r="G4375" s="497" t="s">
        <v>9935</v>
      </c>
      <c r="H4375" s="503"/>
      <c r="I4375" s="503"/>
      <c r="J4375" s="503"/>
      <c r="K4375" s="503"/>
      <c r="L4375" s="497"/>
      <c r="M4375" s="497"/>
      <c r="N4375" s="497"/>
      <c r="O4375" s="497"/>
      <c r="P4375" s="497">
        <f t="shared" ref="P4375:P4438" si="265">IF(NOT(_xlfn.ISFORMULA(I4375)),P4374+1,0)</f>
        <v>65</v>
      </c>
      <c r="Q4375" s="497" t="b">
        <v>0</v>
      </c>
    </row>
    <row r="4376" spans="1:17" x14ac:dyDescent="0.35">
      <c r="A4376" s="497" t="b">
        <v>0</v>
      </c>
      <c r="B4376" s="497" t="s">
        <v>10300</v>
      </c>
      <c r="C4376" s="512">
        <v>11</v>
      </c>
      <c r="D4376" s="497">
        <f t="shared" si="262"/>
        <v>-414</v>
      </c>
      <c r="E4376" s="497">
        <f t="shared" ca="1" si="263"/>
        <v>6</v>
      </c>
      <c r="F4376" s="497">
        <f t="shared" ca="1" si="264"/>
        <v>19</v>
      </c>
      <c r="G4376" s="497" t="s">
        <v>9935</v>
      </c>
      <c r="H4376" s="503"/>
      <c r="I4376" s="503"/>
      <c r="J4376" s="503"/>
      <c r="K4376" s="503"/>
      <c r="L4376" s="497"/>
      <c r="M4376" s="497"/>
      <c r="N4376" s="497"/>
      <c r="O4376" s="497"/>
      <c r="P4376" s="497">
        <f t="shared" si="265"/>
        <v>66</v>
      </c>
      <c r="Q4376" s="497" t="b">
        <v>0</v>
      </c>
    </row>
    <row r="4377" spans="1:17" x14ac:dyDescent="0.35">
      <c r="A4377" s="497" t="b">
        <v>0</v>
      </c>
      <c r="B4377" s="497" t="s">
        <v>10301</v>
      </c>
      <c r="C4377" s="512">
        <v>12</v>
      </c>
      <c r="D4377" s="497">
        <f t="shared" si="262"/>
        <v>-413</v>
      </c>
      <c r="E4377" s="497">
        <f t="shared" ca="1" si="263"/>
        <v>1</v>
      </c>
      <c r="F4377" s="497">
        <f t="shared" ca="1" si="264"/>
        <v>20</v>
      </c>
      <c r="G4377" s="497" t="s">
        <v>9937</v>
      </c>
      <c r="H4377" s="503"/>
      <c r="I4377" s="503"/>
      <c r="J4377" s="503"/>
      <c r="K4377" s="503"/>
      <c r="L4377" s="497"/>
      <c r="M4377" s="497"/>
      <c r="N4377" s="497"/>
      <c r="O4377" s="497"/>
      <c r="P4377" s="497">
        <f t="shared" si="265"/>
        <v>67</v>
      </c>
      <c r="Q4377" s="497" t="b">
        <v>0</v>
      </c>
    </row>
    <row r="4378" spans="1:17" x14ac:dyDescent="0.35">
      <c r="A4378" s="497" t="b">
        <v>0</v>
      </c>
      <c r="B4378" s="497" t="s">
        <v>10302</v>
      </c>
      <c r="C4378" s="512">
        <v>12</v>
      </c>
      <c r="D4378" s="497">
        <f t="shared" si="262"/>
        <v>-412</v>
      </c>
      <c r="E4378" s="497">
        <f t="shared" ca="1" si="263"/>
        <v>2</v>
      </c>
      <c r="F4378" s="497">
        <f t="shared" ca="1" si="264"/>
        <v>20</v>
      </c>
      <c r="G4378" s="497" t="s">
        <v>9937</v>
      </c>
      <c r="H4378" s="503"/>
      <c r="I4378" s="503"/>
      <c r="J4378" s="503"/>
      <c r="K4378" s="503"/>
      <c r="L4378" s="497"/>
      <c r="M4378" s="497"/>
      <c r="N4378" s="497"/>
      <c r="O4378" s="497"/>
      <c r="P4378" s="497">
        <f t="shared" si="265"/>
        <v>68</v>
      </c>
      <c r="Q4378" s="497" t="b">
        <v>0</v>
      </c>
    </row>
    <row r="4379" spans="1:17" x14ac:dyDescent="0.35">
      <c r="A4379" s="497" t="b">
        <v>0</v>
      </c>
      <c r="B4379" s="497" t="s">
        <v>10303</v>
      </c>
      <c r="C4379" s="512">
        <v>12</v>
      </c>
      <c r="D4379" s="497">
        <f t="shared" si="262"/>
        <v>-411</v>
      </c>
      <c r="E4379" s="497">
        <f t="shared" ca="1" si="263"/>
        <v>3</v>
      </c>
      <c r="F4379" s="497">
        <f t="shared" ca="1" si="264"/>
        <v>20</v>
      </c>
      <c r="G4379" s="497" t="s">
        <v>9937</v>
      </c>
      <c r="H4379" s="503"/>
      <c r="I4379" s="503"/>
      <c r="J4379" s="503"/>
      <c r="K4379" s="503"/>
      <c r="L4379" s="497"/>
      <c r="M4379" s="497"/>
      <c r="N4379" s="497"/>
      <c r="O4379" s="497"/>
      <c r="P4379" s="497">
        <f t="shared" si="265"/>
        <v>69</v>
      </c>
      <c r="Q4379" s="497" t="b">
        <v>0</v>
      </c>
    </row>
    <row r="4380" spans="1:17" x14ac:dyDescent="0.35">
      <c r="A4380" s="497" t="b">
        <v>0</v>
      </c>
      <c r="B4380" s="497" t="s">
        <v>10304</v>
      </c>
      <c r="C4380" s="512">
        <v>12</v>
      </c>
      <c r="D4380" s="497">
        <f t="shared" si="262"/>
        <v>-410</v>
      </c>
      <c r="E4380" s="497">
        <f t="shared" ca="1" si="263"/>
        <v>4</v>
      </c>
      <c r="F4380" s="497">
        <f t="shared" ca="1" si="264"/>
        <v>20</v>
      </c>
      <c r="G4380" s="497" t="s">
        <v>9937</v>
      </c>
      <c r="H4380" s="503"/>
      <c r="I4380" s="503"/>
      <c r="J4380" s="503"/>
      <c r="K4380" s="503"/>
      <c r="L4380" s="497"/>
      <c r="M4380" s="497"/>
      <c r="N4380" s="497"/>
      <c r="O4380" s="497"/>
      <c r="P4380" s="497">
        <f t="shared" si="265"/>
        <v>70</v>
      </c>
      <c r="Q4380" s="497" t="b">
        <v>0</v>
      </c>
    </row>
    <row r="4381" spans="1:17" x14ac:dyDescent="0.35">
      <c r="A4381" s="497" t="b">
        <v>0</v>
      </c>
      <c r="B4381" s="497" t="s">
        <v>10305</v>
      </c>
      <c r="C4381" s="512">
        <v>12</v>
      </c>
      <c r="D4381" s="497">
        <f t="shared" si="262"/>
        <v>-409</v>
      </c>
      <c r="E4381" s="497">
        <f t="shared" ca="1" si="263"/>
        <v>5</v>
      </c>
      <c r="F4381" s="497">
        <f t="shared" ca="1" si="264"/>
        <v>20</v>
      </c>
      <c r="G4381" s="497" t="s">
        <v>9937</v>
      </c>
      <c r="H4381" s="503"/>
      <c r="I4381" s="503"/>
      <c r="J4381" s="503"/>
      <c r="K4381" s="503"/>
      <c r="L4381" s="497"/>
      <c r="M4381" s="497"/>
      <c r="N4381" s="497"/>
      <c r="O4381" s="497"/>
      <c r="P4381" s="497">
        <f t="shared" si="265"/>
        <v>71</v>
      </c>
      <c r="Q4381" s="497" t="b">
        <v>0</v>
      </c>
    </row>
    <row r="4382" spans="1:17" x14ac:dyDescent="0.35">
      <c r="A4382" s="497" t="b">
        <v>0</v>
      </c>
      <c r="B4382" s="497" t="s">
        <v>10306</v>
      </c>
      <c r="C4382" s="512">
        <v>12</v>
      </c>
      <c r="D4382" s="497">
        <f t="shared" si="262"/>
        <v>-408</v>
      </c>
      <c r="E4382" s="497">
        <f t="shared" ca="1" si="263"/>
        <v>6</v>
      </c>
      <c r="F4382" s="497">
        <f t="shared" ca="1" si="264"/>
        <v>20</v>
      </c>
      <c r="G4382" s="497" t="s">
        <v>9937</v>
      </c>
      <c r="H4382" s="503"/>
      <c r="I4382" s="503"/>
      <c r="J4382" s="503"/>
      <c r="K4382" s="503"/>
      <c r="L4382" s="497"/>
      <c r="M4382" s="497"/>
      <c r="N4382" s="497"/>
      <c r="O4382" s="497"/>
      <c r="P4382" s="497">
        <f t="shared" si="265"/>
        <v>72</v>
      </c>
      <c r="Q4382" s="497" t="b">
        <v>0</v>
      </c>
    </row>
    <row r="4383" spans="1:17" x14ac:dyDescent="0.35">
      <c r="A4383" s="497" t="b">
        <v>0</v>
      </c>
      <c r="B4383" s="497" t="s">
        <v>10307</v>
      </c>
      <c r="C4383" s="512">
        <v>13</v>
      </c>
      <c r="D4383" s="497">
        <f t="shared" si="262"/>
        <v>-407</v>
      </c>
      <c r="E4383" s="497">
        <f t="shared" ca="1" si="263"/>
        <v>1</v>
      </c>
      <c r="F4383" s="497">
        <f t="shared" ca="1" si="264"/>
        <v>21</v>
      </c>
      <c r="G4383" s="497" t="s">
        <v>9939</v>
      </c>
      <c r="H4383" s="503"/>
      <c r="I4383" s="503"/>
      <c r="J4383" s="503"/>
      <c r="K4383" s="503"/>
      <c r="L4383" s="497"/>
      <c r="M4383" s="497"/>
      <c r="N4383" s="497"/>
      <c r="O4383" s="497"/>
      <c r="P4383" s="497">
        <f t="shared" si="265"/>
        <v>73</v>
      </c>
      <c r="Q4383" s="497" t="b">
        <v>0</v>
      </c>
    </row>
    <row r="4384" spans="1:17" x14ac:dyDescent="0.35">
      <c r="A4384" s="497" t="b">
        <v>0</v>
      </c>
      <c r="B4384" s="497" t="s">
        <v>10308</v>
      </c>
      <c r="C4384" s="512">
        <v>13</v>
      </c>
      <c r="D4384" s="497">
        <f t="shared" si="262"/>
        <v>-406</v>
      </c>
      <c r="E4384" s="497">
        <f t="shared" ca="1" si="263"/>
        <v>2</v>
      </c>
      <c r="F4384" s="497">
        <f t="shared" ca="1" si="264"/>
        <v>21</v>
      </c>
      <c r="G4384" s="497" t="s">
        <v>9939</v>
      </c>
      <c r="H4384" s="503"/>
      <c r="I4384" s="503"/>
      <c r="J4384" s="503"/>
      <c r="K4384" s="503"/>
      <c r="L4384" s="497"/>
      <c r="M4384" s="497"/>
      <c r="N4384" s="497"/>
      <c r="O4384" s="497"/>
      <c r="P4384" s="497">
        <f t="shared" si="265"/>
        <v>74</v>
      </c>
      <c r="Q4384" s="497" t="b">
        <v>0</v>
      </c>
    </row>
    <row r="4385" spans="1:17" x14ac:dyDescent="0.35">
      <c r="A4385" s="497" t="b">
        <v>0</v>
      </c>
      <c r="B4385" s="497" t="s">
        <v>10309</v>
      </c>
      <c r="C4385" s="512">
        <v>13</v>
      </c>
      <c r="D4385" s="497">
        <f t="shared" si="262"/>
        <v>-405</v>
      </c>
      <c r="E4385" s="497">
        <f t="shared" ca="1" si="263"/>
        <v>3</v>
      </c>
      <c r="F4385" s="497">
        <f t="shared" ca="1" si="264"/>
        <v>21</v>
      </c>
      <c r="G4385" s="497" t="s">
        <v>9939</v>
      </c>
      <c r="H4385" s="503"/>
      <c r="I4385" s="503"/>
      <c r="J4385" s="503"/>
      <c r="K4385" s="503"/>
      <c r="L4385" s="497"/>
      <c r="M4385" s="497"/>
      <c r="N4385" s="497"/>
      <c r="O4385" s="497"/>
      <c r="P4385" s="497">
        <f t="shared" si="265"/>
        <v>75</v>
      </c>
      <c r="Q4385" s="497" t="b">
        <v>0</v>
      </c>
    </row>
    <row r="4386" spans="1:17" x14ac:dyDescent="0.35">
      <c r="A4386" s="497" t="b">
        <v>0</v>
      </c>
      <c r="B4386" s="497" t="s">
        <v>10310</v>
      </c>
      <c r="C4386" s="512">
        <v>13</v>
      </c>
      <c r="D4386" s="497">
        <f t="shared" si="262"/>
        <v>-404</v>
      </c>
      <c r="E4386" s="497">
        <f t="shared" ca="1" si="263"/>
        <v>4</v>
      </c>
      <c r="F4386" s="497">
        <f t="shared" ca="1" si="264"/>
        <v>21</v>
      </c>
      <c r="G4386" s="497" t="s">
        <v>9939</v>
      </c>
      <c r="H4386" s="503"/>
      <c r="I4386" s="503"/>
      <c r="J4386" s="503"/>
      <c r="K4386" s="503"/>
      <c r="L4386" s="497"/>
      <c r="M4386" s="497"/>
      <c r="N4386" s="497"/>
      <c r="O4386" s="497"/>
      <c r="P4386" s="497">
        <f t="shared" si="265"/>
        <v>76</v>
      </c>
      <c r="Q4386" s="497" t="b">
        <v>0</v>
      </c>
    </row>
    <row r="4387" spans="1:17" x14ac:dyDescent="0.35">
      <c r="A4387" s="497" t="b">
        <v>0</v>
      </c>
      <c r="B4387" s="497" t="s">
        <v>10311</v>
      </c>
      <c r="C4387" s="512">
        <v>13</v>
      </c>
      <c r="D4387" s="497">
        <f t="shared" si="262"/>
        <v>-403</v>
      </c>
      <c r="E4387" s="497">
        <f t="shared" ca="1" si="263"/>
        <v>5</v>
      </c>
      <c r="F4387" s="497">
        <f t="shared" ca="1" si="264"/>
        <v>21</v>
      </c>
      <c r="G4387" s="497" t="s">
        <v>9939</v>
      </c>
      <c r="H4387" s="503"/>
      <c r="I4387" s="503"/>
      <c r="J4387" s="503"/>
      <c r="K4387" s="503"/>
      <c r="L4387" s="497"/>
      <c r="M4387" s="497"/>
      <c r="N4387" s="497"/>
      <c r="O4387" s="497"/>
      <c r="P4387" s="497">
        <f t="shared" si="265"/>
        <v>77</v>
      </c>
      <c r="Q4387" s="497" t="b">
        <v>0</v>
      </c>
    </row>
    <row r="4388" spans="1:17" x14ac:dyDescent="0.35">
      <c r="A4388" s="497" t="b">
        <v>0</v>
      </c>
      <c r="B4388" s="497" t="s">
        <v>10312</v>
      </c>
      <c r="C4388" s="512">
        <v>13</v>
      </c>
      <c r="D4388" s="497">
        <f t="shared" si="262"/>
        <v>-402</v>
      </c>
      <c r="E4388" s="497">
        <f t="shared" ca="1" si="263"/>
        <v>6</v>
      </c>
      <c r="F4388" s="497">
        <f t="shared" ca="1" si="264"/>
        <v>21</v>
      </c>
      <c r="G4388" s="497" t="s">
        <v>9939</v>
      </c>
      <c r="H4388" s="503"/>
      <c r="I4388" s="503"/>
      <c r="J4388" s="503"/>
      <c r="K4388" s="503"/>
      <c r="L4388" s="497"/>
      <c r="M4388" s="497"/>
      <c r="N4388" s="497"/>
      <c r="O4388" s="497"/>
      <c r="P4388" s="497">
        <f t="shared" si="265"/>
        <v>78</v>
      </c>
      <c r="Q4388" s="497" t="b">
        <v>0</v>
      </c>
    </row>
    <row r="4389" spans="1:17" x14ac:dyDescent="0.35">
      <c r="A4389" s="497" t="b">
        <v>0</v>
      </c>
      <c r="B4389" s="497" t="s">
        <v>10313</v>
      </c>
      <c r="C4389" s="512">
        <v>14</v>
      </c>
      <c r="D4389" s="497">
        <f t="shared" si="262"/>
        <v>-401</v>
      </c>
      <c r="E4389" s="497">
        <f t="shared" ca="1" si="263"/>
        <v>1</v>
      </c>
      <c r="F4389" s="497">
        <f t="shared" ca="1" si="264"/>
        <v>22</v>
      </c>
      <c r="G4389" s="497" t="s">
        <v>9941</v>
      </c>
      <c r="H4389" s="503"/>
      <c r="I4389" s="503"/>
      <c r="J4389" s="503"/>
      <c r="K4389" s="503"/>
      <c r="L4389" s="497"/>
      <c r="M4389" s="497"/>
      <c r="N4389" s="497"/>
      <c r="O4389" s="497"/>
      <c r="P4389" s="497">
        <f t="shared" si="265"/>
        <v>79</v>
      </c>
      <c r="Q4389" s="497" t="b">
        <v>0</v>
      </c>
    </row>
    <row r="4390" spans="1:17" x14ac:dyDescent="0.35">
      <c r="A4390" s="497" t="b">
        <v>0</v>
      </c>
      <c r="B4390" s="497" t="s">
        <v>10314</v>
      </c>
      <c r="C4390" s="512">
        <v>14</v>
      </c>
      <c r="D4390" s="497">
        <f t="shared" si="262"/>
        <v>-400</v>
      </c>
      <c r="E4390" s="497">
        <f t="shared" ca="1" si="263"/>
        <v>2</v>
      </c>
      <c r="F4390" s="497">
        <f t="shared" ca="1" si="264"/>
        <v>22</v>
      </c>
      <c r="G4390" s="497" t="s">
        <v>9941</v>
      </c>
      <c r="H4390" s="503"/>
      <c r="I4390" s="503"/>
      <c r="J4390" s="503"/>
      <c r="K4390" s="503"/>
      <c r="L4390" s="497"/>
      <c r="M4390" s="497"/>
      <c r="N4390" s="497"/>
      <c r="O4390" s="497"/>
      <c r="P4390" s="497">
        <f t="shared" si="265"/>
        <v>80</v>
      </c>
      <c r="Q4390" s="497" t="b">
        <v>0</v>
      </c>
    </row>
    <row r="4391" spans="1:17" x14ac:dyDescent="0.35">
      <c r="A4391" s="497" t="b">
        <v>0</v>
      </c>
      <c r="B4391" s="497" t="s">
        <v>10315</v>
      </c>
      <c r="C4391" s="512">
        <v>14</v>
      </c>
      <c r="D4391" s="497">
        <f t="shared" si="262"/>
        <v>-399</v>
      </c>
      <c r="E4391" s="497">
        <f t="shared" ca="1" si="263"/>
        <v>3</v>
      </c>
      <c r="F4391" s="497">
        <f t="shared" ca="1" si="264"/>
        <v>22</v>
      </c>
      <c r="G4391" s="497" t="s">
        <v>9941</v>
      </c>
      <c r="H4391" s="503"/>
      <c r="I4391" s="503"/>
      <c r="J4391" s="503"/>
      <c r="K4391" s="503"/>
      <c r="L4391" s="497"/>
      <c r="M4391" s="497"/>
      <c r="N4391" s="497"/>
      <c r="O4391" s="497"/>
      <c r="P4391" s="497">
        <f t="shared" si="265"/>
        <v>81</v>
      </c>
      <c r="Q4391" s="497" t="b">
        <v>0</v>
      </c>
    </row>
    <row r="4392" spans="1:17" x14ac:dyDescent="0.35">
      <c r="A4392" s="497" t="b">
        <v>0</v>
      </c>
      <c r="B4392" s="497" t="s">
        <v>10316</v>
      </c>
      <c r="C4392" s="512">
        <v>14</v>
      </c>
      <c r="D4392" s="497">
        <f t="shared" si="262"/>
        <v>-398</v>
      </c>
      <c r="E4392" s="497">
        <f t="shared" ca="1" si="263"/>
        <v>4</v>
      </c>
      <c r="F4392" s="497">
        <f t="shared" ca="1" si="264"/>
        <v>22</v>
      </c>
      <c r="G4392" s="497" t="s">
        <v>9941</v>
      </c>
      <c r="H4392" s="503"/>
      <c r="I4392" s="503"/>
      <c r="J4392" s="503"/>
      <c r="K4392" s="503"/>
      <c r="L4392" s="497"/>
      <c r="M4392" s="497"/>
      <c r="N4392" s="497"/>
      <c r="O4392" s="497"/>
      <c r="P4392" s="497">
        <f t="shared" si="265"/>
        <v>82</v>
      </c>
      <c r="Q4392" s="497" t="b">
        <v>0</v>
      </c>
    </row>
    <row r="4393" spans="1:17" x14ac:dyDescent="0.35">
      <c r="A4393" s="497" t="b">
        <v>0</v>
      </c>
      <c r="B4393" s="497" t="s">
        <v>10317</v>
      </c>
      <c r="C4393" s="512">
        <v>14</v>
      </c>
      <c r="D4393" s="497">
        <f t="shared" si="262"/>
        <v>-397</v>
      </c>
      <c r="E4393" s="497">
        <f t="shared" ca="1" si="263"/>
        <v>5</v>
      </c>
      <c r="F4393" s="497">
        <f t="shared" ca="1" si="264"/>
        <v>22</v>
      </c>
      <c r="G4393" s="497" t="s">
        <v>9941</v>
      </c>
      <c r="H4393" s="503"/>
      <c r="I4393" s="503"/>
      <c r="J4393" s="503"/>
      <c r="K4393" s="503"/>
      <c r="L4393" s="497"/>
      <c r="M4393" s="497"/>
      <c r="N4393" s="497"/>
      <c r="O4393" s="497"/>
      <c r="P4393" s="497">
        <f t="shared" si="265"/>
        <v>83</v>
      </c>
      <c r="Q4393" s="497" t="b">
        <v>0</v>
      </c>
    </row>
    <row r="4394" spans="1:17" x14ac:dyDescent="0.35">
      <c r="A4394" s="497" t="b">
        <v>0</v>
      </c>
      <c r="B4394" s="497" t="s">
        <v>10318</v>
      </c>
      <c r="C4394" s="512">
        <v>14</v>
      </c>
      <c r="D4394" s="497">
        <f t="shared" si="262"/>
        <v>-396</v>
      </c>
      <c r="E4394" s="497">
        <f t="shared" ca="1" si="263"/>
        <v>6</v>
      </c>
      <c r="F4394" s="497">
        <f t="shared" ca="1" si="264"/>
        <v>22</v>
      </c>
      <c r="G4394" s="497" t="s">
        <v>9941</v>
      </c>
      <c r="H4394" s="503"/>
      <c r="I4394" s="503"/>
      <c r="J4394" s="503"/>
      <c r="K4394" s="503"/>
      <c r="L4394" s="497"/>
      <c r="M4394" s="497"/>
      <c r="N4394" s="497"/>
      <c r="O4394" s="497"/>
      <c r="P4394" s="497">
        <f t="shared" si="265"/>
        <v>84</v>
      </c>
      <c r="Q4394" s="497" t="b">
        <v>0</v>
      </c>
    </row>
    <row r="4395" spans="1:17" x14ac:dyDescent="0.35">
      <c r="A4395" s="497" t="b">
        <v>0</v>
      </c>
      <c r="B4395" s="497" t="s">
        <v>10319</v>
      </c>
      <c r="C4395" s="512">
        <v>15</v>
      </c>
      <c r="D4395" s="497">
        <f t="shared" si="262"/>
        <v>-395</v>
      </c>
      <c r="E4395" s="497">
        <f t="shared" ca="1" si="263"/>
        <v>1</v>
      </c>
      <c r="F4395" s="497">
        <f t="shared" ca="1" si="264"/>
        <v>23</v>
      </c>
      <c r="G4395" s="497" t="s">
        <v>9943</v>
      </c>
      <c r="H4395" s="503"/>
      <c r="I4395" s="503"/>
      <c r="J4395" s="503"/>
      <c r="K4395" s="503"/>
      <c r="L4395" s="497"/>
      <c r="M4395" s="497"/>
      <c r="N4395" s="497"/>
      <c r="O4395" s="497"/>
      <c r="P4395" s="497">
        <f t="shared" si="265"/>
        <v>85</v>
      </c>
      <c r="Q4395" s="497" t="b">
        <v>0</v>
      </c>
    </row>
    <row r="4396" spans="1:17" x14ac:dyDescent="0.35">
      <c r="A4396" s="497" t="b">
        <v>0</v>
      </c>
      <c r="B4396" s="497" t="s">
        <v>10320</v>
      </c>
      <c r="C4396" s="512">
        <v>15</v>
      </c>
      <c r="D4396" s="497">
        <f t="shared" si="262"/>
        <v>-394</v>
      </c>
      <c r="E4396" s="497">
        <f t="shared" ca="1" si="263"/>
        <v>2</v>
      </c>
      <c r="F4396" s="497">
        <f t="shared" ca="1" si="264"/>
        <v>23</v>
      </c>
      <c r="G4396" s="497" t="s">
        <v>9943</v>
      </c>
      <c r="H4396" s="503"/>
      <c r="I4396" s="503"/>
      <c r="J4396" s="503"/>
      <c r="K4396" s="503"/>
      <c r="L4396" s="497"/>
      <c r="M4396" s="497"/>
      <c r="N4396" s="497"/>
      <c r="O4396" s="497"/>
      <c r="P4396" s="497">
        <f t="shared" si="265"/>
        <v>86</v>
      </c>
      <c r="Q4396" s="497" t="b">
        <v>0</v>
      </c>
    </row>
    <row r="4397" spans="1:17" x14ac:dyDescent="0.35">
      <c r="A4397" s="497" t="b">
        <v>0</v>
      </c>
      <c r="B4397" s="497" t="s">
        <v>10321</v>
      </c>
      <c r="C4397" s="512">
        <v>15</v>
      </c>
      <c r="D4397" s="497">
        <f t="shared" si="262"/>
        <v>-393</v>
      </c>
      <c r="E4397" s="497">
        <f t="shared" ca="1" si="263"/>
        <v>3</v>
      </c>
      <c r="F4397" s="497">
        <f t="shared" ca="1" si="264"/>
        <v>23</v>
      </c>
      <c r="G4397" s="497" t="s">
        <v>9943</v>
      </c>
      <c r="H4397" s="503"/>
      <c r="I4397" s="503"/>
      <c r="J4397" s="503"/>
      <c r="K4397" s="503"/>
      <c r="L4397" s="497"/>
      <c r="M4397" s="497"/>
      <c r="N4397" s="497"/>
      <c r="O4397" s="497"/>
      <c r="P4397" s="497">
        <f t="shared" si="265"/>
        <v>87</v>
      </c>
      <c r="Q4397" s="497" t="b">
        <v>0</v>
      </c>
    </row>
    <row r="4398" spans="1:17" x14ac:dyDescent="0.35">
      <c r="A4398" s="497" t="b">
        <v>0</v>
      </c>
      <c r="B4398" s="497" t="s">
        <v>10322</v>
      </c>
      <c r="C4398" s="512">
        <v>15</v>
      </c>
      <c r="D4398" s="497">
        <f t="shared" si="262"/>
        <v>-392</v>
      </c>
      <c r="E4398" s="497">
        <f t="shared" ca="1" si="263"/>
        <v>4</v>
      </c>
      <c r="F4398" s="497">
        <f t="shared" ca="1" si="264"/>
        <v>23</v>
      </c>
      <c r="G4398" s="497" t="s">
        <v>9943</v>
      </c>
      <c r="H4398" s="503"/>
      <c r="I4398" s="503"/>
      <c r="J4398" s="503"/>
      <c r="K4398" s="503"/>
      <c r="L4398" s="497"/>
      <c r="M4398" s="497"/>
      <c r="N4398" s="497"/>
      <c r="O4398" s="497"/>
      <c r="P4398" s="497">
        <f t="shared" si="265"/>
        <v>88</v>
      </c>
      <c r="Q4398" s="497" t="b">
        <v>0</v>
      </c>
    </row>
    <row r="4399" spans="1:17" x14ac:dyDescent="0.35">
      <c r="A4399" s="497" t="b">
        <v>0</v>
      </c>
      <c r="B4399" s="497" t="s">
        <v>10323</v>
      </c>
      <c r="C4399" s="512">
        <v>15</v>
      </c>
      <c r="D4399" s="497">
        <f t="shared" si="262"/>
        <v>-391</v>
      </c>
      <c r="E4399" s="497">
        <f t="shared" ca="1" si="263"/>
        <v>5</v>
      </c>
      <c r="F4399" s="497">
        <f t="shared" ca="1" si="264"/>
        <v>23</v>
      </c>
      <c r="G4399" s="497" t="s">
        <v>9943</v>
      </c>
      <c r="H4399" s="503"/>
      <c r="I4399" s="503"/>
      <c r="J4399" s="503"/>
      <c r="K4399" s="503"/>
      <c r="L4399" s="497"/>
      <c r="M4399" s="497"/>
      <c r="N4399" s="497"/>
      <c r="O4399" s="497"/>
      <c r="P4399" s="497">
        <f t="shared" si="265"/>
        <v>89</v>
      </c>
      <c r="Q4399" s="497" t="b">
        <v>0</v>
      </c>
    </row>
    <row r="4400" spans="1:17" x14ac:dyDescent="0.35">
      <c r="A4400" s="497" t="b">
        <v>0</v>
      </c>
      <c r="B4400" s="497" t="s">
        <v>10324</v>
      </c>
      <c r="C4400" s="512">
        <v>15</v>
      </c>
      <c r="D4400" s="497">
        <f t="shared" si="262"/>
        <v>-390</v>
      </c>
      <c r="E4400" s="497">
        <f t="shared" ca="1" si="263"/>
        <v>6</v>
      </c>
      <c r="F4400" s="497">
        <f t="shared" ca="1" si="264"/>
        <v>23</v>
      </c>
      <c r="G4400" s="497" t="s">
        <v>9943</v>
      </c>
      <c r="H4400" s="503"/>
      <c r="I4400" s="503"/>
      <c r="J4400" s="503"/>
      <c r="K4400" s="503"/>
      <c r="L4400" s="497"/>
      <c r="M4400" s="497"/>
      <c r="N4400" s="497"/>
      <c r="O4400" s="497"/>
      <c r="P4400" s="497">
        <f t="shared" si="265"/>
        <v>90</v>
      </c>
      <c r="Q4400" s="497" t="b">
        <v>0</v>
      </c>
    </row>
    <row r="4401" spans="1:17" x14ac:dyDescent="0.35">
      <c r="A4401" s="497" t="b">
        <v>0</v>
      </c>
      <c r="B4401" s="497" t="s">
        <v>10325</v>
      </c>
      <c r="C4401" s="512">
        <v>16</v>
      </c>
      <c r="D4401" s="497">
        <f t="shared" si="262"/>
        <v>-389</v>
      </c>
      <c r="E4401" s="497">
        <f t="shared" ca="1" si="263"/>
        <v>1</v>
      </c>
      <c r="F4401" s="497">
        <f t="shared" ca="1" si="264"/>
        <v>24</v>
      </c>
      <c r="G4401" s="497" t="s">
        <v>9945</v>
      </c>
      <c r="H4401" s="503"/>
      <c r="I4401" s="503"/>
      <c r="J4401" s="503"/>
      <c r="K4401" s="503"/>
      <c r="L4401" s="497"/>
      <c r="M4401" s="497"/>
      <c r="N4401" s="497"/>
      <c r="O4401" s="497"/>
      <c r="P4401" s="497">
        <f t="shared" si="265"/>
        <v>91</v>
      </c>
      <c r="Q4401" s="497" t="b">
        <v>0</v>
      </c>
    </row>
    <row r="4402" spans="1:17" x14ac:dyDescent="0.35">
      <c r="A4402" s="497" t="b">
        <v>0</v>
      </c>
      <c r="B4402" s="497" t="s">
        <v>10326</v>
      </c>
      <c r="C4402" s="512">
        <v>16</v>
      </c>
      <c r="D4402" s="497">
        <f t="shared" si="262"/>
        <v>-388</v>
      </c>
      <c r="E4402" s="497">
        <f t="shared" ca="1" si="263"/>
        <v>2</v>
      </c>
      <c r="F4402" s="497">
        <f t="shared" ca="1" si="264"/>
        <v>24</v>
      </c>
      <c r="G4402" s="497" t="s">
        <v>9945</v>
      </c>
      <c r="H4402" s="503"/>
      <c r="I4402" s="503"/>
      <c r="J4402" s="503"/>
      <c r="K4402" s="503"/>
      <c r="L4402" s="497"/>
      <c r="M4402" s="497"/>
      <c r="N4402" s="497"/>
      <c r="O4402" s="497"/>
      <c r="P4402" s="497">
        <f t="shared" si="265"/>
        <v>92</v>
      </c>
      <c r="Q4402" s="497" t="b">
        <v>0</v>
      </c>
    </row>
    <row r="4403" spans="1:17" x14ac:dyDescent="0.35">
      <c r="A4403" s="497" t="b">
        <v>0</v>
      </c>
      <c r="B4403" s="497" t="s">
        <v>10327</v>
      </c>
      <c r="C4403" s="512">
        <v>16</v>
      </c>
      <c r="D4403" s="497">
        <f t="shared" si="262"/>
        <v>-387</v>
      </c>
      <c r="E4403" s="497">
        <f t="shared" ca="1" si="263"/>
        <v>3</v>
      </c>
      <c r="F4403" s="497">
        <f t="shared" ca="1" si="264"/>
        <v>24</v>
      </c>
      <c r="G4403" s="497" t="s">
        <v>9945</v>
      </c>
      <c r="H4403" s="503"/>
      <c r="I4403" s="503"/>
      <c r="J4403" s="503"/>
      <c r="K4403" s="503"/>
      <c r="L4403" s="497"/>
      <c r="M4403" s="497"/>
      <c r="N4403" s="497"/>
      <c r="O4403" s="497"/>
      <c r="P4403" s="497">
        <f t="shared" si="265"/>
        <v>93</v>
      </c>
      <c r="Q4403" s="497" t="b">
        <v>0</v>
      </c>
    </row>
    <row r="4404" spans="1:17" x14ac:dyDescent="0.35">
      <c r="A4404" s="497" t="b">
        <v>0</v>
      </c>
      <c r="B4404" s="497" t="s">
        <v>10328</v>
      </c>
      <c r="C4404" s="512">
        <v>16</v>
      </c>
      <c r="D4404" s="497">
        <f t="shared" si="262"/>
        <v>-386</v>
      </c>
      <c r="E4404" s="497">
        <f t="shared" ca="1" si="263"/>
        <v>4</v>
      </c>
      <c r="F4404" s="497">
        <f t="shared" ca="1" si="264"/>
        <v>24</v>
      </c>
      <c r="G4404" s="497" t="s">
        <v>9945</v>
      </c>
      <c r="H4404" s="503"/>
      <c r="I4404" s="503"/>
      <c r="J4404" s="503"/>
      <c r="K4404" s="503"/>
      <c r="L4404" s="497"/>
      <c r="M4404" s="497"/>
      <c r="N4404" s="497"/>
      <c r="O4404" s="497"/>
      <c r="P4404" s="497">
        <f t="shared" si="265"/>
        <v>94</v>
      </c>
      <c r="Q4404" s="497" t="b">
        <v>0</v>
      </c>
    </row>
    <row r="4405" spans="1:17" x14ac:dyDescent="0.35">
      <c r="A4405" s="497" t="b">
        <v>0</v>
      </c>
      <c r="B4405" s="497" t="s">
        <v>10329</v>
      </c>
      <c r="C4405" s="512">
        <v>16</v>
      </c>
      <c r="D4405" s="497">
        <f t="shared" si="262"/>
        <v>-385</v>
      </c>
      <c r="E4405" s="497">
        <f t="shared" ca="1" si="263"/>
        <v>5</v>
      </c>
      <c r="F4405" s="497">
        <f t="shared" ca="1" si="264"/>
        <v>24</v>
      </c>
      <c r="G4405" s="497" t="s">
        <v>9945</v>
      </c>
      <c r="H4405" s="503"/>
      <c r="I4405" s="503"/>
      <c r="J4405" s="503"/>
      <c r="K4405" s="503"/>
      <c r="L4405" s="497"/>
      <c r="M4405" s="497"/>
      <c r="N4405" s="497"/>
      <c r="O4405" s="497"/>
      <c r="P4405" s="497">
        <f t="shared" si="265"/>
        <v>95</v>
      </c>
      <c r="Q4405" s="497" t="b">
        <v>0</v>
      </c>
    </row>
    <row r="4406" spans="1:17" x14ac:dyDescent="0.35">
      <c r="A4406" s="497" t="b">
        <v>0</v>
      </c>
      <c r="B4406" s="497" t="s">
        <v>10330</v>
      </c>
      <c r="C4406" s="512">
        <v>16</v>
      </c>
      <c r="D4406" s="497">
        <f t="shared" si="262"/>
        <v>-384</v>
      </c>
      <c r="E4406" s="497">
        <f t="shared" ca="1" si="263"/>
        <v>6</v>
      </c>
      <c r="F4406" s="497">
        <f t="shared" ca="1" si="264"/>
        <v>24</v>
      </c>
      <c r="G4406" s="497" t="s">
        <v>9945</v>
      </c>
      <c r="H4406" s="503"/>
      <c r="I4406" s="503"/>
      <c r="J4406" s="503"/>
      <c r="K4406" s="503"/>
      <c r="L4406" s="497"/>
      <c r="M4406" s="497"/>
      <c r="N4406" s="497"/>
      <c r="O4406" s="497"/>
      <c r="P4406" s="497">
        <f t="shared" si="265"/>
        <v>96</v>
      </c>
      <c r="Q4406" s="497" t="b">
        <v>0</v>
      </c>
    </row>
    <row r="4407" spans="1:17" x14ac:dyDescent="0.35">
      <c r="A4407" s="497" t="b">
        <v>0</v>
      </c>
      <c r="B4407" s="497" t="s">
        <v>10331</v>
      </c>
      <c r="C4407" s="512">
        <v>17</v>
      </c>
      <c r="D4407" s="497">
        <f t="shared" si="262"/>
        <v>-383</v>
      </c>
      <c r="E4407" s="497">
        <f t="shared" ca="1" si="263"/>
        <v>1</v>
      </c>
      <c r="F4407" s="497">
        <f t="shared" ca="1" si="264"/>
        <v>25</v>
      </c>
      <c r="G4407" s="497" t="s">
        <v>9947</v>
      </c>
      <c r="H4407" s="503"/>
      <c r="I4407" s="503"/>
      <c r="J4407" s="503"/>
      <c r="K4407" s="503"/>
      <c r="L4407" s="497"/>
      <c r="M4407" s="497"/>
      <c r="N4407" s="497"/>
      <c r="O4407" s="497"/>
      <c r="P4407" s="497">
        <f t="shared" si="265"/>
        <v>97</v>
      </c>
      <c r="Q4407" s="497" t="b">
        <v>0</v>
      </c>
    </row>
    <row r="4408" spans="1:17" x14ac:dyDescent="0.35">
      <c r="A4408" s="497" t="b">
        <v>0</v>
      </c>
      <c r="B4408" s="497" t="s">
        <v>10332</v>
      </c>
      <c r="C4408" s="512">
        <v>17</v>
      </c>
      <c r="D4408" s="497">
        <f t="shared" si="262"/>
        <v>-382</v>
      </c>
      <c r="E4408" s="497">
        <f t="shared" ca="1" si="263"/>
        <v>2</v>
      </c>
      <c r="F4408" s="497">
        <f t="shared" ca="1" si="264"/>
        <v>25</v>
      </c>
      <c r="G4408" s="497" t="s">
        <v>9947</v>
      </c>
      <c r="H4408" s="503"/>
      <c r="I4408" s="503"/>
      <c r="J4408" s="503"/>
      <c r="K4408" s="503"/>
      <c r="L4408" s="497"/>
      <c r="M4408" s="497"/>
      <c r="N4408" s="497"/>
      <c r="O4408" s="497"/>
      <c r="P4408" s="497">
        <f t="shared" si="265"/>
        <v>98</v>
      </c>
      <c r="Q4408" s="497" t="b">
        <v>0</v>
      </c>
    </row>
    <row r="4409" spans="1:17" x14ac:dyDescent="0.35">
      <c r="A4409" s="497" t="b">
        <v>0</v>
      </c>
      <c r="B4409" s="497" t="s">
        <v>10333</v>
      </c>
      <c r="C4409" s="512">
        <v>17</v>
      </c>
      <c r="D4409" s="497">
        <f t="shared" si="262"/>
        <v>-381</v>
      </c>
      <c r="E4409" s="497">
        <f t="shared" ca="1" si="263"/>
        <v>3</v>
      </c>
      <c r="F4409" s="497">
        <f t="shared" ca="1" si="264"/>
        <v>25</v>
      </c>
      <c r="G4409" s="497" t="s">
        <v>9947</v>
      </c>
      <c r="H4409" s="503"/>
      <c r="I4409" s="503"/>
      <c r="J4409" s="503"/>
      <c r="K4409" s="503"/>
      <c r="L4409" s="497"/>
      <c r="M4409" s="497"/>
      <c r="N4409" s="497"/>
      <c r="O4409" s="497"/>
      <c r="P4409" s="497">
        <f t="shared" si="265"/>
        <v>99</v>
      </c>
      <c r="Q4409" s="497" t="b">
        <v>0</v>
      </c>
    </row>
    <row r="4410" spans="1:17" x14ac:dyDescent="0.35">
      <c r="A4410" s="497" t="b">
        <v>0</v>
      </c>
      <c r="B4410" s="497" t="s">
        <v>10334</v>
      </c>
      <c r="C4410" s="512">
        <v>17</v>
      </c>
      <c r="D4410" s="497">
        <f t="shared" si="262"/>
        <v>-380</v>
      </c>
      <c r="E4410" s="497">
        <f t="shared" ca="1" si="263"/>
        <v>4</v>
      </c>
      <c r="F4410" s="497">
        <f t="shared" ca="1" si="264"/>
        <v>25</v>
      </c>
      <c r="G4410" s="497" t="s">
        <v>9947</v>
      </c>
      <c r="H4410" s="503"/>
      <c r="I4410" s="503"/>
      <c r="J4410" s="503"/>
      <c r="K4410" s="503"/>
      <c r="L4410" s="497"/>
      <c r="M4410" s="497"/>
      <c r="N4410" s="497"/>
      <c r="O4410" s="497"/>
      <c r="P4410" s="497">
        <f t="shared" si="265"/>
        <v>100</v>
      </c>
      <c r="Q4410" s="497" t="b">
        <v>0</v>
      </c>
    </row>
    <row r="4411" spans="1:17" x14ac:dyDescent="0.35">
      <c r="A4411" s="497" t="b">
        <v>0</v>
      </c>
      <c r="B4411" s="497" t="s">
        <v>10335</v>
      </c>
      <c r="C4411" s="512">
        <v>17</v>
      </c>
      <c r="D4411" s="497">
        <f t="shared" si="262"/>
        <v>-379</v>
      </c>
      <c r="E4411" s="497">
        <f t="shared" ca="1" si="263"/>
        <v>5</v>
      </c>
      <c r="F4411" s="497">
        <f t="shared" ca="1" si="264"/>
        <v>25</v>
      </c>
      <c r="G4411" s="497" t="s">
        <v>9947</v>
      </c>
      <c r="H4411" s="503"/>
      <c r="I4411" s="503"/>
      <c r="J4411" s="503"/>
      <c r="K4411" s="503"/>
      <c r="L4411" s="497"/>
      <c r="M4411" s="497"/>
      <c r="N4411" s="497"/>
      <c r="O4411" s="497"/>
      <c r="P4411" s="497">
        <f t="shared" si="265"/>
        <v>101</v>
      </c>
      <c r="Q4411" s="497" t="b">
        <v>0</v>
      </c>
    </row>
    <row r="4412" spans="1:17" x14ac:dyDescent="0.35">
      <c r="A4412" s="497" t="b">
        <v>0</v>
      </c>
      <c r="B4412" s="497" t="s">
        <v>10336</v>
      </c>
      <c r="C4412" s="512">
        <v>17</v>
      </c>
      <c r="D4412" s="497">
        <f t="shared" si="262"/>
        <v>-378</v>
      </c>
      <c r="E4412" s="497">
        <f t="shared" ca="1" si="263"/>
        <v>6</v>
      </c>
      <c r="F4412" s="497">
        <f t="shared" ca="1" si="264"/>
        <v>25</v>
      </c>
      <c r="G4412" s="497" t="s">
        <v>9947</v>
      </c>
      <c r="H4412" s="503"/>
      <c r="I4412" s="503"/>
      <c r="J4412" s="503"/>
      <c r="K4412" s="503"/>
      <c r="L4412" s="497"/>
      <c r="M4412" s="497"/>
      <c r="N4412" s="497"/>
      <c r="O4412" s="497"/>
      <c r="P4412" s="497">
        <f t="shared" si="265"/>
        <v>102</v>
      </c>
      <c r="Q4412" s="497" t="b">
        <v>0</v>
      </c>
    </row>
    <row r="4413" spans="1:17" x14ac:dyDescent="0.35">
      <c r="A4413" s="497" t="b">
        <v>0</v>
      </c>
      <c r="B4413" s="497" t="s">
        <v>10337</v>
      </c>
      <c r="C4413" s="512">
        <v>18</v>
      </c>
      <c r="D4413" s="497">
        <f t="shared" si="262"/>
        <v>-377</v>
      </c>
      <c r="E4413" s="497">
        <f t="shared" ca="1" si="263"/>
        <v>1</v>
      </c>
      <c r="F4413" s="497">
        <f t="shared" ca="1" si="264"/>
        <v>26</v>
      </c>
      <c r="G4413" s="497" t="s">
        <v>9949</v>
      </c>
      <c r="H4413" s="503"/>
      <c r="I4413" s="503"/>
      <c r="J4413" s="503"/>
      <c r="K4413" s="503"/>
      <c r="L4413" s="497"/>
      <c r="M4413" s="497"/>
      <c r="N4413" s="497"/>
      <c r="O4413" s="497"/>
      <c r="P4413" s="497">
        <f t="shared" si="265"/>
        <v>103</v>
      </c>
      <c r="Q4413" s="497" t="b">
        <v>0</v>
      </c>
    </row>
    <row r="4414" spans="1:17" x14ac:dyDescent="0.35">
      <c r="A4414" s="497" t="b">
        <v>0</v>
      </c>
      <c r="B4414" s="497" t="s">
        <v>10338</v>
      </c>
      <c r="C4414" s="512">
        <v>18</v>
      </c>
      <c r="D4414" s="497">
        <f t="shared" si="262"/>
        <v>-376</v>
      </c>
      <c r="E4414" s="497">
        <f t="shared" ca="1" si="263"/>
        <v>2</v>
      </c>
      <c r="F4414" s="497">
        <f t="shared" ca="1" si="264"/>
        <v>26</v>
      </c>
      <c r="G4414" s="497" t="s">
        <v>9949</v>
      </c>
      <c r="H4414" s="503"/>
      <c r="I4414" s="503"/>
      <c r="J4414" s="503"/>
      <c r="K4414" s="503"/>
      <c r="L4414" s="497"/>
      <c r="M4414" s="497"/>
      <c r="N4414" s="497"/>
      <c r="O4414" s="497"/>
      <c r="P4414" s="497">
        <f t="shared" si="265"/>
        <v>104</v>
      </c>
      <c r="Q4414" s="497" t="b">
        <v>0</v>
      </c>
    </row>
    <row r="4415" spans="1:17" x14ac:dyDescent="0.35">
      <c r="A4415" s="497" t="b">
        <v>0</v>
      </c>
      <c r="B4415" s="497" t="s">
        <v>10339</v>
      </c>
      <c r="C4415" s="512">
        <v>18</v>
      </c>
      <c r="D4415" s="497">
        <f t="shared" si="262"/>
        <v>-375</v>
      </c>
      <c r="E4415" s="497">
        <f t="shared" ca="1" si="263"/>
        <v>3</v>
      </c>
      <c r="F4415" s="497">
        <f t="shared" ca="1" si="264"/>
        <v>26</v>
      </c>
      <c r="G4415" s="497" t="s">
        <v>9949</v>
      </c>
      <c r="H4415" s="503"/>
      <c r="I4415" s="503"/>
      <c r="J4415" s="503"/>
      <c r="K4415" s="503"/>
      <c r="L4415" s="497"/>
      <c r="M4415" s="497"/>
      <c r="N4415" s="497"/>
      <c r="O4415" s="497"/>
      <c r="P4415" s="497">
        <f t="shared" si="265"/>
        <v>105</v>
      </c>
      <c r="Q4415" s="497" t="b">
        <v>0</v>
      </c>
    </row>
    <row r="4416" spans="1:17" x14ac:dyDescent="0.35">
      <c r="A4416" s="497" t="b">
        <v>0</v>
      </c>
      <c r="B4416" s="497" t="s">
        <v>10340</v>
      </c>
      <c r="C4416" s="512">
        <v>18</v>
      </c>
      <c r="D4416" s="497">
        <f t="shared" si="262"/>
        <v>-374</v>
      </c>
      <c r="E4416" s="497">
        <f t="shared" ca="1" si="263"/>
        <v>4</v>
      </c>
      <c r="F4416" s="497">
        <f t="shared" ca="1" si="264"/>
        <v>26</v>
      </c>
      <c r="G4416" s="497" t="s">
        <v>9949</v>
      </c>
      <c r="H4416" s="503"/>
      <c r="I4416" s="503"/>
      <c r="J4416" s="503"/>
      <c r="K4416" s="503"/>
      <c r="L4416" s="497"/>
      <c r="M4416" s="497"/>
      <c r="N4416" s="497"/>
      <c r="O4416" s="497"/>
      <c r="P4416" s="497">
        <f t="shared" si="265"/>
        <v>106</v>
      </c>
      <c r="Q4416" s="497" t="b">
        <v>0</v>
      </c>
    </row>
    <row r="4417" spans="1:17" x14ac:dyDescent="0.35">
      <c r="A4417" s="497" t="b">
        <v>0</v>
      </c>
      <c r="B4417" s="497" t="s">
        <v>10341</v>
      </c>
      <c r="C4417" s="512">
        <v>18</v>
      </c>
      <c r="D4417" s="497">
        <f t="shared" si="262"/>
        <v>-373</v>
      </c>
      <c r="E4417" s="497">
        <f t="shared" ca="1" si="263"/>
        <v>5</v>
      </c>
      <c r="F4417" s="497">
        <f t="shared" ca="1" si="264"/>
        <v>26</v>
      </c>
      <c r="G4417" s="497" t="s">
        <v>9949</v>
      </c>
      <c r="H4417" s="503"/>
      <c r="I4417" s="503"/>
      <c r="J4417" s="503"/>
      <c r="K4417" s="503"/>
      <c r="L4417" s="497"/>
      <c r="M4417" s="497"/>
      <c r="N4417" s="497"/>
      <c r="O4417" s="497"/>
      <c r="P4417" s="497">
        <f t="shared" si="265"/>
        <v>107</v>
      </c>
      <c r="Q4417" s="497" t="b">
        <v>0</v>
      </c>
    </row>
    <row r="4418" spans="1:17" x14ac:dyDescent="0.35">
      <c r="A4418" s="497" t="b">
        <v>0</v>
      </c>
      <c r="B4418" s="497" t="s">
        <v>10342</v>
      </c>
      <c r="C4418" s="512">
        <v>18</v>
      </c>
      <c r="D4418" s="497">
        <f t="shared" si="262"/>
        <v>-372</v>
      </c>
      <c r="E4418" s="497">
        <f t="shared" ca="1" si="263"/>
        <v>6</v>
      </c>
      <c r="F4418" s="497">
        <f t="shared" ca="1" si="264"/>
        <v>26</v>
      </c>
      <c r="G4418" s="497" t="s">
        <v>9949</v>
      </c>
      <c r="H4418" s="503"/>
      <c r="I4418" s="503"/>
      <c r="J4418" s="503"/>
      <c r="K4418" s="503"/>
      <c r="L4418" s="497"/>
      <c r="M4418" s="497"/>
      <c r="N4418" s="497"/>
      <c r="O4418" s="497"/>
      <c r="P4418" s="497">
        <f t="shared" si="265"/>
        <v>108</v>
      </c>
      <c r="Q4418" s="497" t="b">
        <v>0</v>
      </c>
    </row>
    <row r="4419" spans="1:17" x14ac:dyDescent="0.35">
      <c r="A4419" s="497" t="b">
        <v>0</v>
      </c>
      <c r="B4419" s="497" t="s">
        <v>10343</v>
      </c>
      <c r="C4419" s="512">
        <v>19</v>
      </c>
      <c r="D4419" s="497">
        <f t="shared" si="262"/>
        <v>-371</v>
      </c>
      <c r="E4419" s="497">
        <f t="shared" ca="1" si="263"/>
        <v>1</v>
      </c>
      <c r="F4419" s="497">
        <f t="shared" ca="1" si="264"/>
        <v>27</v>
      </c>
      <c r="G4419" s="497" t="s">
        <v>9951</v>
      </c>
      <c r="H4419" s="503"/>
      <c r="I4419" s="503"/>
      <c r="J4419" s="503"/>
      <c r="K4419" s="503"/>
      <c r="L4419" s="497"/>
      <c r="M4419" s="497"/>
      <c r="N4419" s="497"/>
      <c r="O4419" s="497"/>
      <c r="P4419" s="497">
        <f t="shared" si="265"/>
        <v>109</v>
      </c>
      <c r="Q4419" s="497" t="b">
        <v>0</v>
      </c>
    </row>
    <row r="4420" spans="1:17" x14ac:dyDescent="0.35">
      <c r="A4420" s="497" t="b">
        <v>0</v>
      </c>
      <c r="B4420" s="497" t="s">
        <v>10344</v>
      </c>
      <c r="C4420" s="512">
        <v>19</v>
      </c>
      <c r="D4420" s="497">
        <f t="shared" si="262"/>
        <v>-370</v>
      </c>
      <c r="E4420" s="497">
        <f t="shared" ca="1" si="263"/>
        <v>2</v>
      </c>
      <c r="F4420" s="497">
        <f t="shared" ca="1" si="264"/>
        <v>27</v>
      </c>
      <c r="G4420" s="497" t="s">
        <v>9951</v>
      </c>
      <c r="H4420" s="503"/>
      <c r="I4420" s="503"/>
      <c r="J4420" s="503"/>
      <c r="K4420" s="503"/>
      <c r="L4420" s="497"/>
      <c r="M4420" s="497"/>
      <c r="N4420" s="497"/>
      <c r="O4420" s="497"/>
      <c r="P4420" s="497">
        <f t="shared" si="265"/>
        <v>110</v>
      </c>
      <c r="Q4420" s="497" t="b">
        <v>0</v>
      </c>
    </row>
    <row r="4421" spans="1:17" x14ac:dyDescent="0.35">
      <c r="A4421" s="497" t="b">
        <v>0</v>
      </c>
      <c r="B4421" s="497" t="s">
        <v>10345</v>
      </c>
      <c r="C4421" s="512">
        <v>19</v>
      </c>
      <c r="D4421" s="497">
        <f t="shared" si="262"/>
        <v>-369</v>
      </c>
      <c r="E4421" s="497">
        <f t="shared" ca="1" si="263"/>
        <v>3</v>
      </c>
      <c r="F4421" s="497">
        <f t="shared" ca="1" si="264"/>
        <v>27</v>
      </c>
      <c r="G4421" s="497" t="s">
        <v>9951</v>
      </c>
      <c r="H4421" s="503"/>
      <c r="I4421" s="503"/>
      <c r="J4421" s="503"/>
      <c r="K4421" s="503"/>
      <c r="L4421" s="497"/>
      <c r="M4421" s="497"/>
      <c r="N4421" s="497"/>
      <c r="O4421" s="497"/>
      <c r="P4421" s="497">
        <f t="shared" si="265"/>
        <v>111</v>
      </c>
      <c r="Q4421" s="497" t="b">
        <v>0</v>
      </c>
    </row>
    <row r="4422" spans="1:17" x14ac:dyDescent="0.35">
      <c r="A4422" s="497" t="b">
        <v>0</v>
      </c>
      <c r="B4422" s="497" t="s">
        <v>10346</v>
      </c>
      <c r="C4422" s="512">
        <v>19</v>
      </c>
      <c r="D4422" s="497">
        <f t="shared" si="262"/>
        <v>-368</v>
      </c>
      <c r="E4422" s="497">
        <f t="shared" ca="1" si="263"/>
        <v>4</v>
      </c>
      <c r="F4422" s="497">
        <f t="shared" ca="1" si="264"/>
        <v>27</v>
      </c>
      <c r="G4422" s="497" t="s">
        <v>9951</v>
      </c>
      <c r="H4422" s="503"/>
      <c r="I4422" s="503"/>
      <c r="J4422" s="503"/>
      <c r="K4422" s="503"/>
      <c r="L4422" s="497"/>
      <c r="M4422" s="497"/>
      <c r="N4422" s="497"/>
      <c r="O4422" s="497"/>
      <c r="P4422" s="497">
        <f t="shared" si="265"/>
        <v>112</v>
      </c>
      <c r="Q4422" s="497" t="b">
        <v>0</v>
      </c>
    </row>
    <row r="4423" spans="1:17" x14ac:dyDescent="0.35">
      <c r="A4423" s="497" t="b">
        <v>0</v>
      </c>
      <c r="B4423" s="497" t="s">
        <v>10347</v>
      </c>
      <c r="C4423" s="512">
        <v>19</v>
      </c>
      <c r="D4423" s="497">
        <f t="shared" si="262"/>
        <v>-367</v>
      </c>
      <c r="E4423" s="497">
        <f t="shared" ca="1" si="263"/>
        <v>5</v>
      </c>
      <c r="F4423" s="497">
        <f t="shared" ca="1" si="264"/>
        <v>27</v>
      </c>
      <c r="G4423" s="497" t="s">
        <v>9951</v>
      </c>
      <c r="H4423" s="503"/>
      <c r="I4423" s="503"/>
      <c r="J4423" s="503"/>
      <c r="K4423" s="503"/>
      <c r="L4423" s="497"/>
      <c r="M4423" s="497"/>
      <c r="N4423" s="497"/>
      <c r="O4423" s="497"/>
      <c r="P4423" s="497">
        <f t="shared" si="265"/>
        <v>113</v>
      </c>
      <c r="Q4423" s="497" t="b">
        <v>0</v>
      </c>
    </row>
    <row r="4424" spans="1:17" x14ac:dyDescent="0.35">
      <c r="A4424" s="497" t="b">
        <v>0</v>
      </c>
      <c r="B4424" s="497" t="s">
        <v>10348</v>
      </c>
      <c r="C4424" s="512">
        <v>19</v>
      </c>
      <c r="D4424" s="497">
        <f t="shared" si="262"/>
        <v>-366</v>
      </c>
      <c r="E4424" s="497">
        <f t="shared" ca="1" si="263"/>
        <v>6</v>
      </c>
      <c r="F4424" s="497">
        <f t="shared" ca="1" si="264"/>
        <v>27</v>
      </c>
      <c r="G4424" s="497" t="s">
        <v>9951</v>
      </c>
      <c r="H4424" s="503"/>
      <c r="I4424" s="503"/>
      <c r="J4424" s="503"/>
      <c r="K4424" s="503"/>
      <c r="L4424" s="497"/>
      <c r="M4424" s="497"/>
      <c r="N4424" s="497"/>
      <c r="O4424" s="497"/>
      <c r="P4424" s="497">
        <f t="shared" si="265"/>
        <v>114</v>
      </c>
      <c r="Q4424" s="497" t="b">
        <v>0</v>
      </c>
    </row>
    <row r="4425" spans="1:17" x14ac:dyDescent="0.35">
      <c r="A4425" s="497" t="b">
        <v>0</v>
      </c>
      <c r="B4425" s="497" t="s">
        <v>10349</v>
      </c>
      <c r="C4425" s="512">
        <v>20</v>
      </c>
      <c r="D4425" s="497">
        <f t="shared" si="262"/>
        <v>-365</v>
      </c>
      <c r="E4425" s="497">
        <f t="shared" ca="1" si="263"/>
        <v>1</v>
      </c>
      <c r="F4425" s="497">
        <f t="shared" ca="1" si="264"/>
        <v>28</v>
      </c>
      <c r="G4425" s="497" t="s">
        <v>9953</v>
      </c>
      <c r="H4425" s="503"/>
      <c r="I4425" s="503"/>
      <c r="J4425" s="503"/>
      <c r="K4425" s="503"/>
      <c r="L4425" s="497"/>
      <c r="M4425" s="497"/>
      <c r="N4425" s="497"/>
      <c r="O4425" s="497"/>
      <c r="P4425" s="497">
        <f t="shared" si="265"/>
        <v>115</v>
      </c>
      <c r="Q4425" s="497" t="b">
        <v>0</v>
      </c>
    </row>
    <row r="4426" spans="1:17" x14ac:dyDescent="0.35">
      <c r="A4426" s="497" t="b">
        <v>0</v>
      </c>
      <c r="B4426" s="497" t="s">
        <v>10350</v>
      </c>
      <c r="C4426" s="512">
        <v>20</v>
      </c>
      <c r="D4426" s="497">
        <f t="shared" si="262"/>
        <v>-364</v>
      </c>
      <c r="E4426" s="497">
        <f t="shared" ca="1" si="263"/>
        <v>2</v>
      </c>
      <c r="F4426" s="497">
        <f t="shared" ca="1" si="264"/>
        <v>28</v>
      </c>
      <c r="G4426" s="497" t="s">
        <v>9953</v>
      </c>
      <c r="H4426" s="503"/>
      <c r="I4426" s="503"/>
      <c r="J4426" s="503"/>
      <c r="K4426" s="503"/>
      <c r="L4426" s="497"/>
      <c r="M4426" s="497"/>
      <c r="N4426" s="497"/>
      <c r="O4426" s="497"/>
      <c r="P4426" s="497">
        <f t="shared" si="265"/>
        <v>116</v>
      </c>
      <c r="Q4426" s="497" t="b">
        <v>0</v>
      </c>
    </row>
    <row r="4427" spans="1:17" x14ac:dyDescent="0.35">
      <c r="A4427" s="497" t="b">
        <v>0</v>
      </c>
      <c r="B4427" s="497" t="s">
        <v>10351</v>
      </c>
      <c r="C4427" s="512">
        <v>20</v>
      </c>
      <c r="D4427" s="497">
        <f t="shared" si="262"/>
        <v>-363</v>
      </c>
      <c r="E4427" s="497">
        <f t="shared" ca="1" si="263"/>
        <v>3</v>
      </c>
      <c r="F4427" s="497">
        <f t="shared" ca="1" si="264"/>
        <v>28</v>
      </c>
      <c r="G4427" s="497" t="s">
        <v>9953</v>
      </c>
      <c r="H4427" s="503"/>
      <c r="I4427" s="503"/>
      <c r="J4427" s="503"/>
      <c r="K4427" s="503"/>
      <c r="L4427" s="497"/>
      <c r="M4427" s="497"/>
      <c r="N4427" s="497"/>
      <c r="O4427" s="497"/>
      <c r="P4427" s="497">
        <f t="shared" si="265"/>
        <v>117</v>
      </c>
      <c r="Q4427" s="497" t="b">
        <v>0</v>
      </c>
    </row>
    <row r="4428" spans="1:17" x14ac:dyDescent="0.35">
      <c r="A4428" s="497" t="b">
        <v>0</v>
      </c>
      <c r="B4428" s="497" t="s">
        <v>10352</v>
      </c>
      <c r="C4428" s="512">
        <v>20</v>
      </c>
      <c r="D4428" s="497">
        <f t="shared" si="262"/>
        <v>-362</v>
      </c>
      <c r="E4428" s="497">
        <f t="shared" ca="1" si="263"/>
        <v>4</v>
      </c>
      <c r="F4428" s="497">
        <f t="shared" ca="1" si="264"/>
        <v>28</v>
      </c>
      <c r="G4428" s="497" t="s">
        <v>9953</v>
      </c>
      <c r="H4428" s="503"/>
      <c r="I4428" s="503"/>
      <c r="J4428" s="503"/>
      <c r="K4428" s="503"/>
      <c r="L4428" s="497"/>
      <c r="M4428" s="497"/>
      <c r="N4428" s="497"/>
      <c r="O4428" s="497"/>
      <c r="P4428" s="497">
        <f t="shared" si="265"/>
        <v>118</v>
      </c>
      <c r="Q4428" s="497" t="b">
        <v>0</v>
      </c>
    </row>
    <row r="4429" spans="1:17" x14ac:dyDescent="0.35">
      <c r="A4429" s="497" t="b">
        <v>0</v>
      </c>
      <c r="B4429" s="497" t="s">
        <v>10353</v>
      </c>
      <c r="C4429" s="512">
        <v>20</v>
      </c>
      <c r="D4429" s="497">
        <f t="shared" si="262"/>
        <v>-361</v>
      </c>
      <c r="E4429" s="497">
        <f t="shared" ca="1" si="263"/>
        <v>5</v>
      </c>
      <c r="F4429" s="497">
        <f t="shared" ca="1" si="264"/>
        <v>28</v>
      </c>
      <c r="G4429" s="497" t="s">
        <v>9953</v>
      </c>
      <c r="H4429" s="503"/>
      <c r="I4429" s="503"/>
      <c r="J4429" s="503"/>
      <c r="K4429" s="503"/>
      <c r="L4429" s="497"/>
      <c r="M4429" s="497"/>
      <c r="N4429" s="497"/>
      <c r="O4429" s="497"/>
      <c r="P4429" s="497">
        <f t="shared" si="265"/>
        <v>119</v>
      </c>
      <c r="Q4429" s="497" t="b">
        <v>0</v>
      </c>
    </row>
    <row r="4430" spans="1:17" x14ac:dyDescent="0.35">
      <c r="A4430" s="497" t="b">
        <v>0</v>
      </c>
      <c r="B4430" s="497" t="s">
        <v>10354</v>
      </c>
      <c r="C4430" s="512">
        <v>20</v>
      </c>
      <c r="D4430" s="497">
        <f t="shared" si="262"/>
        <v>-360</v>
      </c>
      <c r="E4430" s="497">
        <f t="shared" ca="1" si="263"/>
        <v>6</v>
      </c>
      <c r="F4430" s="497">
        <f t="shared" ca="1" si="264"/>
        <v>28</v>
      </c>
      <c r="G4430" s="497" t="s">
        <v>9953</v>
      </c>
      <c r="H4430" s="503"/>
      <c r="I4430" s="503"/>
      <c r="J4430" s="503"/>
      <c r="K4430" s="503"/>
      <c r="L4430" s="497"/>
      <c r="M4430" s="497"/>
      <c r="N4430" s="497"/>
      <c r="O4430" s="497"/>
      <c r="P4430" s="497">
        <f t="shared" si="265"/>
        <v>120</v>
      </c>
      <c r="Q4430" s="497" t="b">
        <v>0</v>
      </c>
    </row>
    <row r="4431" spans="1:17" x14ac:dyDescent="0.35">
      <c r="A4431" s="497" t="b">
        <v>0</v>
      </c>
      <c r="B4431" s="497" t="s">
        <v>10355</v>
      </c>
      <c r="C4431" s="512">
        <v>21</v>
      </c>
      <c r="D4431" s="497">
        <f t="shared" si="262"/>
        <v>-359</v>
      </c>
      <c r="E4431" s="497">
        <f t="shared" ca="1" si="263"/>
        <v>1</v>
      </c>
      <c r="F4431" s="497">
        <f t="shared" ca="1" si="264"/>
        <v>29</v>
      </c>
      <c r="G4431" s="497" t="s">
        <v>9955</v>
      </c>
      <c r="H4431" s="503"/>
      <c r="I4431" s="503"/>
      <c r="J4431" s="503"/>
      <c r="K4431" s="503"/>
      <c r="L4431" s="497"/>
      <c r="M4431" s="497"/>
      <c r="N4431" s="497"/>
      <c r="O4431" s="497"/>
      <c r="P4431" s="497">
        <f t="shared" si="265"/>
        <v>121</v>
      </c>
      <c r="Q4431" s="497" t="b">
        <v>0</v>
      </c>
    </row>
    <row r="4432" spans="1:17" x14ac:dyDescent="0.35">
      <c r="A4432" s="497" t="b">
        <v>0</v>
      </c>
      <c r="B4432" s="497" t="s">
        <v>10356</v>
      </c>
      <c r="C4432" s="512">
        <v>21</v>
      </c>
      <c r="D4432" s="497">
        <f t="shared" si="262"/>
        <v>-358</v>
      </c>
      <c r="E4432" s="497">
        <f t="shared" ca="1" si="263"/>
        <v>2</v>
      </c>
      <c r="F4432" s="497">
        <f t="shared" ca="1" si="264"/>
        <v>29</v>
      </c>
      <c r="G4432" s="497" t="s">
        <v>9955</v>
      </c>
      <c r="H4432" s="503"/>
      <c r="I4432" s="503"/>
      <c r="J4432" s="503"/>
      <c r="K4432" s="503"/>
      <c r="L4432" s="497"/>
      <c r="M4432" s="497"/>
      <c r="N4432" s="497"/>
      <c r="O4432" s="497"/>
      <c r="P4432" s="497">
        <f t="shared" si="265"/>
        <v>122</v>
      </c>
      <c r="Q4432" s="497" t="b">
        <v>0</v>
      </c>
    </row>
    <row r="4433" spans="1:17" x14ac:dyDescent="0.35">
      <c r="A4433" s="497" t="b">
        <v>0</v>
      </c>
      <c r="B4433" s="497" t="s">
        <v>10357</v>
      </c>
      <c r="C4433" s="512">
        <v>21</v>
      </c>
      <c r="D4433" s="497">
        <f t="shared" si="262"/>
        <v>-357</v>
      </c>
      <c r="E4433" s="497">
        <f t="shared" ca="1" si="263"/>
        <v>3</v>
      </c>
      <c r="F4433" s="497">
        <f t="shared" ca="1" si="264"/>
        <v>29</v>
      </c>
      <c r="G4433" s="497" t="s">
        <v>9955</v>
      </c>
      <c r="H4433" s="503"/>
      <c r="I4433" s="503"/>
      <c r="J4433" s="503"/>
      <c r="K4433" s="503"/>
      <c r="L4433" s="497"/>
      <c r="M4433" s="497"/>
      <c r="N4433" s="497"/>
      <c r="O4433" s="497"/>
      <c r="P4433" s="497">
        <f t="shared" si="265"/>
        <v>123</v>
      </c>
      <c r="Q4433" s="497" t="b">
        <v>0</v>
      </c>
    </row>
    <row r="4434" spans="1:17" x14ac:dyDescent="0.35">
      <c r="A4434" s="497" t="b">
        <v>0</v>
      </c>
      <c r="B4434" s="497" t="s">
        <v>10358</v>
      </c>
      <c r="C4434" s="512">
        <v>21</v>
      </c>
      <c r="D4434" s="497">
        <f t="shared" si="262"/>
        <v>-356</v>
      </c>
      <c r="E4434" s="497">
        <f t="shared" ca="1" si="263"/>
        <v>4</v>
      </c>
      <c r="F4434" s="497">
        <f t="shared" ca="1" si="264"/>
        <v>29</v>
      </c>
      <c r="G4434" s="497" t="s">
        <v>9955</v>
      </c>
      <c r="H4434" s="503"/>
      <c r="I4434" s="503"/>
      <c r="J4434" s="503"/>
      <c r="K4434" s="503"/>
      <c r="L4434" s="497"/>
      <c r="M4434" s="497"/>
      <c r="N4434" s="497"/>
      <c r="O4434" s="497"/>
      <c r="P4434" s="497">
        <f t="shared" si="265"/>
        <v>124</v>
      </c>
      <c r="Q4434" s="497" t="b">
        <v>0</v>
      </c>
    </row>
    <row r="4435" spans="1:17" x14ac:dyDescent="0.35">
      <c r="A4435" s="497" t="b">
        <v>0</v>
      </c>
      <c r="B4435" s="497" t="s">
        <v>10359</v>
      </c>
      <c r="C4435" s="512">
        <v>21</v>
      </c>
      <c r="D4435" s="497">
        <f t="shared" si="262"/>
        <v>-355</v>
      </c>
      <c r="E4435" s="497">
        <f t="shared" ca="1" si="263"/>
        <v>5</v>
      </c>
      <c r="F4435" s="497">
        <f t="shared" ca="1" si="264"/>
        <v>29</v>
      </c>
      <c r="G4435" s="497" t="s">
        <v>9955</v>
      </c>
      <c r="H4435" s="503"/>
      <c r="I4435" s="503"/>
      <c r="J4435" s="503"/>
      <c r="K4435" s="503"/>
      <c r="L4435" s="497"/>
      <c r="M4435" s="497"/>
      <c r="N4435" s="497"/>
      <c r="O4435" s="497"/>
      <c r="P4435" s="497">
        <f t="shared" si="265"/>
        <v>125</v>
      </c>
      <c r="Q4435" s="497" t="b">
        <v>0</v>
      </c>
    </row>
    <row r="4436" spans="1:17" x14ac:dyDescent="0.35">
      <c r="A4436" s="497" t="b">
        <v>0</v>
      </c>
      <c r="B4436" s="497" t="s">
        <v>10360</v>
      </c>
      <c r="C4436" s="512">
        <v>21</v>
      </c>
      <c r="D4436" s="497">
        <f t="shared" si="262"/>
        <v>-354</v>
      </c>
      <c r="E4436" s="497">
        <f t="shared" ca="1" si="263"/>
        <v>6</v>
      </c>
      <c r="F4436" s="497">
        <f t="shared" ca="1" si="264"/>
        <v>29</v>
      </c>
      <c r="G4436" s="497" t="s">
        <v>9955</v>
      </c>
      <c r="H4436" s="503"/>
      <c r="I4436" s="503"/>
      <c r="J4436" s="503"/>
      <c r="K4436" s="503"/>
      <c r="L4436" s="497"/>
      <c r="M4436" s="497"/>
      <c r="N4436" s="497"/>
      <c r="O4436" s="497"/>
      <c r="P4436" s="497">
        <f t="shared" si="265"/>
        <v>126</v>
      </c>
      <c r="Q4436" s="497" t="b">
        <v>0</v>
      </c>
    </row>
    <row r="4437" spans="1:17" x14ac:dyDescent="0.35">
      <c r="A4437" s="497" t="b">
        <v>0</v>
      </c>
      <c r="B4437" s="497" t="s">
        <v>10361</v>
      </c>
      <c r="C4437" s="512">
        <v>22</v>
      </c>
      <c r="D4437" s="497">
        <f t="shared" si="262"/>
        <v>-353</v>
      </c>
      <c r="E4437" s="497">
        <f t="shared" ca="1" si="263"/>
        <v>1</v>
      </c>
      <c r="F4437" s="497">
        <f t="shared" ca="1" si="264"/>
        <v>30</v>
      </c>
      <c r="G4437" s="497" t="s">
        <v>9957</v>
      </c>
      <c r="H4437" s="503"/>
      <c r="I4437" s="503"/>
      <c r="J4437" s="503"/>
      <c r="K4437" s="503"/>
      <c r="L4437" s="497"/>
      <c r="M4437" s="497"/>
      <c r="N4437" s="497"/>
      <c r="O4437" s="497"/>
      <c r="P4437" s="497">
        <f t="shared" si="265"/>
        <v>127</v>
      </c>
      <c r="Q4437" s="497" t="b">
        <v>0</v>
      </c>
    </row>
    <row r="4438" spans="1:17" x14ac:dyDescent="0.35">
      <c r="A4438" s="497" t="b">
        <v>0</v>
      </c>
      <c r="B4438" s="497" t="s">
        <v>10362</v>
      </c>
      <c r="C4438" s="512">
        <v>22</v>
      </c>
      <c r="D4438" s="497">
        <f t="shared" si="262"/>
        <v>-352</v>
      </c>
      <c r="E4438" s="497">
        <f t="shared" ca="1" si="263"/>
        <v>2</v>
      </c>
      <c r="F4438" s="497">
        <f t="shared" ca="1" si="264"/>
        <v>30</v>
      </c>
      <c r="G4438" s="497" t="s">
        <v>9957</v>
      </c>
      <c r="H4438" s="503"/>
      <c r="I4438" s="503"/>
      <c r="J4438" s="503"/>
      <c r="K4438" s="503"/>
      <c r="L4438" s="497"/>
      <c r="M4438" s="497"/>
      <c r="N4438" s="497"/>
      <c r="O4438" s="497"/>
      <c r="P4438" s="497">
        <f t="shared" si="265"/>
        <v>128</v>
      </c>
      <c r="Q4438" s="497" t="b">
        <v>0</v>
      </c>
    </row>
    <row r="4439" spans="1:17" x14ac:dyDescent="0.35">
      <c r="A4439" s="497" t="b">
        <v>0</v>
      </c>
      <c r="B4439" s="497" t="s">
        <v>10363</v>
      </c>
      <c r="C4439" s="512">
        <v>22</v>
      </c>
      <c r="D4439" s="497">
        <f t="shared" ref="D4439:D4502" si="266">D4438+1</f>
        <v>-351</v>
      </c>
      <c r="E4439" s="497">
        <f t="shared" ref="E4439:E4502" ca="1" si="267">COUNTIF(C4189:C4439,C4439)</f>
        <v>3</v>
      </c>
      <c r="F4439" s="497">
        <f t="shared" ref="F4439:F4502" ca="1" si="268">IF(C4439=1,9,IF(E4438=MAX(E4437:E4439),F4437+1,F4438))</f>
        <v>30</v>
      </c>
      <c r="G4439" s="497" t="s">
        <v>9957</v>
      </c>
      <c r="H4439" s="503"/>
      <c r="I4439" s="503"/>
      <c r="J4439" s="503"/>
      <c r="K4439" s="503"/>
      <c r="L4439" s="497"/>
      <c r="M4439" s="497"/>
      <c r="N4439" s="497"/>
      <c r="O4439" s="497"/>
      <c r="P4439" s="497">
        <f t="shared" ref="P4439:P4502" si="269">IF(NOT(_xlfn.ISFORMULA(I4439)),P4438+1,0)</f>
        <v>129</v>
      </c>
      <c r="Q4439" s="497" t="b">
        <v>0</v>
      </c>
    </row>
    <row r="4440" spans="1:17" x14ac:dyDescent="0.35">
      <c r="A4440" s="497" t="b">
        <v>0</v>
      </c>
      <c r="B4440" s="497" t="s">
        <v>10364</v>
      </c>
      <c r="C4440" s="512">
        <v>22</v>
      </c>
      <c r="D4440" s="497">
        <f t="shared" si="266"/>
        <v>-350</v>
      </c>
      <c r="E4440" s="497">
        <f t="shared" ca="1" si="267"/>
        <v>4</v>
      </c>
      <c r="F4440" s="497">
        <f t="shared" ca="1" si="268"/>
        <v>30</v>
      </c>
      <c r="G4440" s="497" t="s">
        <v>9957</v>
      </c>
      <c r="H4440" s="503"/>
      <c r="I4440" s="503"/>
      <c r="J4440" s="503"/>
      <c r="K4440" s="503"/>
      <c r="L4440" s="497"/>
      <c r="M4440" s="497"/>
      <c r="N4440" s="497"/>
      <c r="O4440" s="497"/>
      <c r="P4440" s="497">
        <f t="shared" si="269"/>
        <v>130</v>
      </c>
      <c r="Q4440" s="497" t="b">
        <v>0</v>
      </c>
    </row>
    <row r="4441" spans="1:17" x14ac:dyDescent="0.35">
      <c r="A4441" s="497" t="b">
        <v>0</v>
      </c>
      <c r="B4441" s="497" t="s">
        <v>10365</v>
      </c>
      <c r="C4441" s="512">
        <v>22</v>
      </c>
      <c r="D4441" s="497">
        <f t="shared" si="266"/>
        <v>-349</v>
      </c>
      <c r="E4441" s="497">
        <f t="shared" ca="1" si="267"/>
        <v>5</v>
      </c>
      <c r="F4441" s="497">
        <f t="shared" ca="1" si="268"/>
        <v>30</v>
      </c>
      <c r="G4441" s="497" t="s">
        <v>9957</v>
      </c>
      <c r="H4441" s="503"/>
      <c r="I4441" s="503"/>
      <c r="J4441" s="503"/>
      <c r="K4441" s="503"/>
      <c r="L4441" s="497"/>
      <c r="M4441" s="497"/>
      <c r="N4441" s="497"/>
      <c r="O4441" s="497"/>
      <c r="P4441" s="497">
        <f t="shared" si="269"/>
        <v>131</v>
      </c>
      <c r="Q4441" s="497" t="b">
        <v>0</v>
      </c>
    </row>
    <row r="4442" spans="1:17" x14ac:dyDescent="0.35">
      <c r="A4442" s="497" t="b">
        <v>0</v>
      </c>
      <c r="B4442" s="497" t="s">
        <v>10366</v>
      </c>
      <c r="C4442" s="512">
        <v>22</v>
      </c>
      <c r="D4442" s="497">
        <f t="shared" si="266"/>
        <v>-348</v>
      </c>
      <c r="E4442" s="497">
        <f t="shared" ca="1" si="267"/>
        <v>6</v>
      </c>
      <c r="F4442" s="497">
        <f t="shared" ca="1" si="268"/>
        <v>30</v>
      </c>
      <c r="G4442" s="497" t="s">
        <v>9957</v>
      </c>
      <c r="H4442" s="503"/>
      <c r="I4442" s="503"/>
      <c r="J4442" s="503"/>
      <c r="K4442" s="503"/>
      <c r="L4442" s="497"/>
      <c r="M4442" s="497"/>
      <c r="N4442" s="497"/>
      <c r="O4442" s="497"/>
      <c r="P4442" s="497">
        <f t="shared" si="269"/>
        <v>132</v>
      </c>
      <c r="Q4442" s="497" t="b">
        <v>0</v>
      </c>
    </row>
    <row r="4443" spans="1:17" x14ac:dyDescent="0.35">
      <c r="A4443" s="497" t="b">
        <v>0</v>
      </c>
      <c r="B4443" s="497" t="s">
        <v>10367</v>
      </c>
      <c r="C4443" s="512">
        <v>23</v>
      </c>
      <c r="D4443" s="497">
        <f t="shared" si="266"/>
        <v>-347</v>
      </c>
      <c r="E4443" s="497">
        <f t="shared" ca="1" si="267"/>
        <v>1</v>
      </c>
      <c r="F4443" s="497">
        <f t="shared" ca="1" si="268"/>
        <v>31</v>
      </c>
      <c r="G4443" s="497" t="s">
        <v>9959</v>
      </c>
      <c r="H4443" s="503"/>
      <c r="I4443" s="503"/>
      <c r="J4443" s="503"/>
      <c r="K4443" s="503"/>
      <c r="L4443" s="497"/>
      <c r="M4443" s="497"/>
      <c r="N4443" s="497"/>
      <c r="O4443" s="497"/>
      <c r="P4443" s="497">
        <f t="shared" si="269"/>
        <v>133</v>
      </c>
      <c r="Q4443" s="497" t="b">
        <v>0</v>
      </c>
    </row>
    <row r="4444" spans="1:17" x14ac:dyDescent="0.35">
      <c r="A4444" s="497" t="b">
        <v>0</v>
      </c>
      <c r="B4444" s="497" t="s">
        <v>10368</v>
      </c>
      <c r="C4444" s="512">
        <v>23</v>
      </c>
      <c r="D4444" s="497">
        <f t="shared" si="266"/>
        <v>-346</v>
      </c>
      <c r="E4444" s="497">
        <f t="shared" ca="1" si="267"/>
        <v>2</v>
      </c>
      <c r="F4444" s="497">
        <f t="shared" ca="1" si="268"/>
        <v>31</v>
      </c>
      <c r="G4444" s="497" t="s">
        <v>9959</v>
      </c>
      <c r="H4444" s="503"/>
      <c r="I4444" s="503"/>
      <c r="J4444" s="503"/>
      <c r="K4444" s="503"/>
      <c r="L4444" s="497"/>
      <c r="M4444" s="497"/>
      <c r="N4444" s="497"/>
      <c r="O4444" s="497"/>
      <c r="P4444" s="497">
        <f t="shared" si="269"/>
        <v>134</v>
      </c>
      <c r="Q4444" s="497" t="b">
        <v>0</v>
      </c>
    </row>
    <row r="4445" spans="1:17" x14ac:dyDescent="0.35">
      <c r="A4445" s="497" t="b">
        <v>0</v>
      </c>
      <c r="B4445" s="497" t="s">
        <v>10369</v>
      </c>
      <c r="C4445" s="512">
        <v>23</v>
      </c>
      <c r="D4445" s="497">
        <f t="shared" si="266"/>
        <v>-345</v>
      </c>
      <c r="E4445" s="497">
        <f t="shared" ca="1" si="267"/>
        <v>3</v>
      </c>
      <c r="F4445" s="497">
        <f t="shared" ca="1" si="268"/>
        <v>31</v>
      </c>
      <c r="G4445" s="497" t="s">
        <v>9959</v>
      </c>
      <c r="H4445" s="503"/>
      <c r="I4445" s="503"/>
      <c r="J4445" s="503"/>
      <c r="K4445" s="503"/>
      <c r="L4445" s="497"/>
      <c r="M4445" s="497"/>
      <c r="N4445" s="497"/>
      <c r="O4445" s="497"/>
      <c r="P4445" s="497">
        <f t="shared" si="269"/>
        <v>135</v>
      </c>
      <c r="Q4445" s="497" t="b">
        <v>0</v>
      </c>
    </row>
    <row r="4446" spans="1:17" x14ac:dyDescent="0.35">
      <c r="A4446" s="497" t="b">
        <v>0</v>
      </c>
      <c r="B4446" s="497" t="s">
        <v>10370</v>
      </c>
      <c r="C4446" s="512">
        <v>23</v>
      </c>
      <c r="D4446" s="497">
        <f t="shared" si="266"/>
        <v>-344</v>
      </c>
      <c r="E4446" s="497">
        <f t="shared" ca="1" si="267"/>
        <v>4</v>
      </c>
      <c r="F4446" s="497">
        <f t="shared" ca="1" si="268"/>
        <v>31</v>
      </c>
      <c r="G4446" s="497" t="s">
        <v>9959</v>
      </c>
      <c r="H4446" s="503"/>
      <c r="I4446" s="503"/>
      <c r="J4446" s="503"/>
      <c r="K4446" s="503"/>
      <c r="L4446" s="497"/>
      <c r="M4446" s="497"/>
      <c r="N4446" s="497"/>
      <c r="O4446" s="497"/>
      <c r="P4446" s="497">
        <f t="shared" si="269"/>
        <v>136</v>
      </c>
      <c r="Q4446" s="497" t="b">
        <v>0</v>
      </c>
    </row>
    <row r="4447" spans="1:17" x14ac:dyDescent="0.35">
      <c r="A4447" s="497" t="b">
        <v>0</v>
      </c>
      <c r="B4447" s="497" t="s">
        <v>10371</v>
      </c>
      <c r="C4447" s="512">
        <v>23</v>
      </c>
      <c r="D4447" s="497">
        <f t="shared" si="266"/>
        <v>-343</v>
      </c>
      <c r="E4447" s="497">
        <f t="shared" ca="1" si="267"/>
        <v>5</v>
      </c>
      <c r="F4447" s="497">
        <f t="shared" ca="1" si="268"/>
        <v>31</v>
      </c>
      <c r="G4447" s="497" t="s">
        <v>9959</v>
      </c>
      <c r="H4447" s="503"/>
      <c r="I4447" s="503"/>
      <c r="J4447" s="503"/>
      <c r="K4447" s="503"/>
      <c r="L4447" s="497"/>
      <c r="M4447" s="497"/>
      <c r="N4447" s="497"/>
      <c r="O4447" s="497"/>
      <c r="P4447" s="497">
        <f t="shared" si="269"/>
        <v>137</v>
      </c>
      <c r="Q4447" s="497" t="b">
        <v>0</v>
      </c>
    </row>
    <row r="4448" spans="1:17" x14ac:dyDescent="0.35">
      <c r="A4448" s="497" t="b">
        <v>0</v>
      </c>
      <c r="B4448" s="497" t="s">
        <v>10372</v>
      </c>
      <c r="C4448" s="512">
        <v>23</v>
      </c>
      <c r="D4448" s="497">
        <f t="shared" si="266"/>
        <v>-342</v>
      </c>
      <c r="E4448" s="497">
        <f t="shared" ca="1" si="267"/>
        <v>6</v>
      </c>
      <c r="F4448" s="497">
        <f t="shared" ca="1" si="268"/>
        <v>31</v>
      </c>
      <c r="G4448" s="497" t="s">
        <v>9959</v>
      </c>
      <c r="H4448" s="503"/>
      <c r="I4448" s="503"/>
      <c r="J4448" s="503"/>
      <c r="K4448" s="503"/>
      <c r="L4448" s="497"/>
      <c r="M4448" s="497"/>
      <c r="N4448" s="497"/>
      <c r="O4448" s="497"/>
      <c r="P4448" s="497">
        <f t="shared" si="269"/>
        <v>138</v>
      </c>
      <c r="Q4448" s="497" t="b">
        <v>0</v>
      </c>
    </row>
    <row r="4449" spans="1:17" x14ac:dyDescent="0.35">
      <c r="A4449" s="497" t="b">
        <v>0</v>
      </c>
      <c r="B4449" s="497" t="s">
        <v>10373</v>
      </c>
      <c r="C4449" s="512">
        <v>24</v>
      </c>
      <c r="D4449" s="497">
        <f t="shared" si="266"/>
        <v>-341</v>
      </c>
      <c r="E4449" s="497">
        <f t="shared" ca="1" si="267"/>
        <v>1</v>
      </c>
      <c r="F4449" s="497">
        <f t="shared" ca="1" si="268"/>
        <v>32</v>
      </c>
      <c r="G4449" s="497" t="s">
        <v>9961</v>
      </c>
      <c r="H4449" s="503"/>
      <c r="I4449" s="503"/>
      <c r="J4449" s="503"/>
      <c r="K4449" s="503"/>
      <c r="L4449" s="497"/>
      <c r="M4449" s="497"/>
      <c r="N4449" s="497"/>
      <c r="O4449" s="497"/>
      <c r="P4449" s="497">
        <f t="shared" si="269"/>
        <v>139</v>
      </c>
      <c r="Q4449" s="497" t="b">
        <v>0</v>
      </c>
    </row>
    <row r="4450" spans="1:17" x14ac:dyDescent="0.35">
      <c r="A4450" s="497" t="b">
        <v>0</v>
      </c>
      <c r="B4450" s="497" t="s">
        <v>10374</v>
      </c>
      <c r="C4450" s="512">
        <v>24</v>
      </c>
      <c r="D4450" s="497">
        <f t="shared" si="266"/>
        <v>-340</v>
      </c>
      <c r="E4450" s="497">
        <f t="shared" ca="1" si="267"/>
        <v>2</v>
      </c>
      <c r="F4450" s="497">
        <f t="shared" ca="1" si="268"/>
        <v>32</v>
      </c>
      <c r="G4450" s="497" t="s">
        <v>9961</v>
      </c>
      <c r="H4450" s="503"/>
      <c r="I4450" s="503"/>
      <c r="J4450" s="503"/>
      <c r="K4450" s="503"/>
      <c r="L4450" s="497"/>
      <c r="M4450" s="497"/>
      <c r="N4450" s="497"/>
      <c r="O4450" s="497"/>
      <c r="P4450" s="497">
        <f t="shared" si="269"/>
        <v>140</v>
      </c>
      <c r="Q4450" s="497" t="b">
        <v>0</v>
      </c>
    </row>
    <row r="4451" spans="1:17" x14ac:dyDescent="0.35">
      <c r="A4451" s="497" t="b">
        <v>0</v>
      </c>
      <c r="B4451" s="497" t="s">
        <v>10375</v>
      </c>
      <c r="C4451" s="512">
        <v>24</v>
      </c>
      <c r="D4451" s="497">
        <f t="shared" si="266"/>
        <v>-339</v>
      </c>
      <c r="E4451" s="497">
        <f t="shared" ca="1" si="267"/>
        <v>3</v>
      </c>
      <c r="F4451" s="497">
        <f t="shared" ca="1" si="268"/>
        <v>32</v>
      </c>
      <c r="G4451" s="497" t="s">
        <v>9961</v>
      </c>
      <c r="H4451" s="503"/>
      <c r="I4451" s="503"/>
      <c r="J4451" s="503"/>
      <c r="K4451" s="503"/>
      <c r="L4451" s="497"/>
      <c r="M4451" s="497"/>
      <c r="N4451" s="497"/>
      <c r="O4451" s="497"/>
      <c r="P4451" s="497">
        <f t="shared" si="269"/>
        <v>141</v>
      </c>
      <c r="Q4451" s="497" t="b">
        <v>0</v>
      </c>
    </row>
    <row r="4452" spans="1:17" x14ac:dyDescent="0.35">
      <c r="A4452" s="497" t="b">
        <v>0</v>
      </c>
      <c r="B4452" s="497" t="s">
        <v>10376</v>
      </c>
      <c r="C4452" s="512">
        <v>24</v>
      </c>
      <c r="D4452" s="497">
        <f t="shared" si="266"/>
        <v>-338</v>
      </c>
      <c r="E4452" s="497">
        <f t="shared" ca="1" si="267"/>
        <v>4</v>
      </c>
      <c r="F4452" s="497">
        <f t="shared" ca="1" si="268"/>
        <v>32</v>
      </c>
      <c r="G4452" s="497" t="s">
        <v>9961</v>
      </c>
      <c r="H4452" s="503"/>
      <c r="I4452" s="503"/>
      <c r="J4452" s="503"/>
      <c r="K4452" s="503"/>
      <c r="L4452" s="497"/>
      <c r="M4452" s="497"/>
      <c r="N4452" s="497"/>
      <c r="O4452" s="497"/>
      <c r="P4452" s="497">
        <f t="shared" si="269"/>
        <v>142</v>
      </c>
      <c r="Q4452" s="497" t="b">
        <v>0</v>
      </c>
    </row>
    <row r="4453" spans="1:17" x14ac:dyDescent="0.35">
      <c r="A4453" s="497" t="b">
        <v>0</v>
      </c>
      <c r="B4453" s="497" t="s">
        <v>10377</v>
      </c>
      <c r="C4453" s="512">
        <v>24</v>
      </c>
      <c r="D4453" s="497">
        <f t="shared" si="266"/>
        <v>-337</v>
      </c>
      <c r="E4453" s="497">
        <f t="shared" ca="1" si="267"/>
        <v>5</v>
      </c>
      <c r="F4453" s="497">
        <f t="shared" ca="1" si="268"/>
        <v>32</v>
      </c>
      <c r="G4453" s="497" t="s">
        <v>9961</v>
      </c>
      <c r="H4453" s="503"/>
      <c r="I4453" s="503"/>
      <c r="J4453" s="503"/>
      <c r="K4453" s="503"/>
      <c r="L4453" s="497"/>
      <c r="M4453" s="497"/>
      <c r="N4453" s="497"/>
      <c r="O4453" s="497"/>
      <c r="P4453" s="497">
        <f t="shared" si="269"/>
        <v>143</v>
      </c>
      <c r="Q4453" s="497" t="b">
        <v>0</v>
      </c>
    </row>
    <row r="4454" spans="1:17" x14ac:dyDescent="0.35">
      <c r="A4454" s="497" t="b">
        <v>0</v>
      </c>
      <c r="B4454" s="497" t="s">
        <v>10378</v>
      </c>
      <c r="C4454" s="512">
        <v>24</v>
      </c>
      <c r="D4454" s="497">
        <f t="shared" si="266"/>
        <v>-336</v>
      </c>
      <c r="E4454" s="497">
        <f t="shared" ca="1" si="267"/>
        <v>6</v>
      </c>
      <c r="F4454" s="497">
        <f t="shared" ca="1" si="268"/>
        <v>32</v>
      </c>
      <c r="G4454" s="497" t="s">
        <v>9961</v>
      </c>
      <c r="H4454" s="503"/>
      <c r="I4454" s="503"/>
      <c r="J4454" s="503"/>
      <c r="K4454" s="503"/>
      <c r="L4454" s="497"/>
      <c r="M4454" s="497"/>
      <c r="N4454" s="497"/>
      <c r="O4454" s="497"/>
      <c r="P4454" s="497">
        <f t="shared" si="269"/>
        <v>144</v>
      </c>
      <c r="Q4454" s="497" t="b">
        <v>0</v>
      </c>
    </row>
    <row r="4455" spans="1:17" x14ac:dyDescent="0.35">
      <c r="A4455" s="497" t="b">
        <v>0</v>
      </c>
      <c r="B4455" s="497" t="s">
        <v>10379</v>
      </c>
      <c r="C4455" s="512">
        <v>25</v>
      </c>
      <c r="D4455" s="497">
        <f t="shared" si="266"/>
        <v>-335</v>
      </c>
      <c r="E4455" s="497">
        <f t="shared" ca="1" si="267"/>
        <v>1</v>
      </c>
      <c r="F4455" s="497">
        <f t="shared" ca="1" si="268"/>
        <v>33</v>
      </c>
      <c r="G4455" s="497" t="s">
        <v>9963</v>
      </c>
      <c r="H4455" s="503"/>
      <c r="I4455" s="503"/>
      <c r="J4455" s="503"/>
      <c r="K4455" s="503"/>
      <c r="L4455" s="497"/>
      <c r="M4455" s="497"/>
      <c r="N4455" s="497"/>
      <c r="O4455" s="497"/>
      <c r="P4455" s="497">
        <f t="shared" si="269"/>
        <v>145</v>
      </c>
      <c r="Q4455" s="497" t="b">
        <v>0</v>
      </c>
    </row>
    <row r="4456" spans="1:17" x14ac:dyDescent="0.35">
      <c r="A4456" s="497" t="b">
        <v>0</v>
      </c>
      <c r="B4456" s="497" t="s">
        <v>10380</v>
      </c>
      <c r="C4456" s="512">
        <v>25</v>
      </c>
      <c r="D4456" s="497">
        <f t="shared" si="266"/>
        <v>-334</v>
      </c>
      <c r="E4456" s="497">
        <f t="shared" ca="1" si="267"/>
        <v>2</v>
      </c>
      <c r="F4456" s="497">
        <f t="shared" ca="1" si="268"/>
        <v>33</v>
      </c>
      <c r="G4456" s="497" t="s">
        <v>9963</v>
      </c>
      <c r="H4456" s="503"/>
      <c r="I4456" s="503"/>
      <c r="J4456" s="503"/>
      <c r="K4456" s="503"/>
      <c r="L4456" s="497"/>
      <c r="M4456" s="497"/>
      <c r="N4456" s="497"/>
      <c r="O4456" s="497"/>
      <c r="P4456" s="497">
        <f t="shared" si="269"/>
        <v>146</v>
      </c>
      <c r="Q4456" s="497" t="b">
        <v>0</v>
      </c>
    </row>
    <row r="4457" spans="1:17" x14ac:dyDescent="0.35">
      <c r="A4457" s="497" t="b">
        <v>0</v>
      </c>
      <c r="B4457" s="497" t="s">
        <v>10381</v>
      </c>
      <c r="C4457" s="512">
        <v>25</v>
      </c>
      <c r="D4457" s="497">
        <f t="shared" si="266"/>
        <v>-333</v>
      </c>
      <c r="E4457" s="497">
        <f t="shared" ca="1" si="267"/>
        <v>3</v>
      </c>
      <c r="F4457" s="497">
        <f t="shared" ca="1" si="268"/>
        <v>33</v>
      </c>
      <c r="G4457" s="497" t="s">
        <v>9963</v>
      </c>
      <c r="H4457" s="503"/>
      <c r="I4457" s="503"/>
      <c r="J4457" s="503"/>
      <c r="K4457" s="503"/>
      <c r="L4457" s="497"/>
      <c r="M4457" s="497"/>
      <c r="N4457" s="497"/>
      <c r="O4457" s="497"/>
      <c r="P4457" s="497">
        <f t="shared" si="269"/>
        <v>147</v>
      </c>
      <c r="Q4457" s="497" t="b">
        <v>0</v>
      </c>
    </row>
    <row r="4458" spans="1:17" x14ac:dyDescent="0.35">
      <c r="A4458" s="497" t="b">
        <v>0</v>
      </c>
      <c r="B4458" s="497" t="s">
        <v>10382</v>
      </c>
      <c r="C4458" s="512">
        <v>25</v>
      </c>
      <c r="D4458" s="497">
        <f t="shared" si="266"/>
        <v>-332</v>
      </c>
      <c r="E4458" s="497">
        <f t="shared" ca="1" si="267"/>
        <v>4</v>
      </c>
      <c r="F4458" s="497">
        <f t="shared" ca="1" si="268"/>
        <v>33</v>
      </c>
      <c r="G4458" s="497" t="s">
        <v>9963</v>
      </c>
      <c r="H4458" s="503"/>
      <c r="I4458" s="503"/>
      <c r="J4458" s="503"/>
      <c r="K4458" s="503"/>
      <c r="L4458" s="497"/>
      <c r="M4458" s="497"/>
      <c r="N4458" s="497"/>
      <c r="O4458" s="497"/>
      <c r="P4458" s="497">
        <f t="shared" si="269"/>
        <v>148</v>
      </c>
      <c r="Q4458" s="497" t="b">
        <v>0</v>
      </c>
    </row>
    <row r="4459" spans="1:17" x14ac:dyDescent="0.35">
      <c r="A4459" s="497" t="b">
        <v>0</v>
      </c>
      <c r="B4459" s="497" t="s">
        <v>10383</v>
      </c>
      <c r="C4459" s="512">
        <v>25</v>
      </c>
      <c r="D4459" s="497">
        <f t="shared" si="266"/>
        <v>-331</v>
      </c>
      <c r="E4459" s="497">
        <f t="shared" ca="1" si="267"/>
        <v>5</v>
      </c>
      <c r="F4459" s="497">
        <f t="shared" ca="1" si="268"/>
        <v>33</v>
      </c>
      <c r="G4459" s="497" t="s">
        <v>9963</v>
      </c>
      <c r="H4459" s="503"/>
      <c r="I4459" s="503"/>
      <c r="J4459" s="503"/>
      <c r="K4459" s="503"/>
      <c r="L4459" s="497"/>
      <c r="M4459" s="497"/>
      <c r="N4459" s="497"/>
      <c r="O4459" s="497"/>
      <c r="P4459" s="497">
        <f t="shared" si="269"/>
        <v>149</v>
      </c>
      <c r="Q4459" s="497" t="b">
        <v>0</v>
      </c>
    </row>
    <row r="4460" spans="1:17" x14ac:dyDescent="0.35">
      <c r="A4460" s="497" t="b">
        <v>0</v>
      </c>
      <c r="B4460" s="497" t="s">
        <v>10384</v>
      </c>
      <c r="C4460" s="512">
        <v>25</v>
      </c>
      <c r="D4460" s="497">
        <f t="shared" si="266"/>
        <v>-330</v>
      </c>
      <c r="E4460" s="497">
        <f t="shared" ca="1" si="267"/>
        <v>6</v>
      </c>
      <c r="F4460" s="497">
        <f t="shared" ca="1" si="268"/>
        <v>33</v>
      </c>
      <c r="G4460" s="497" t="s">
        <v>9963</v>
      </c>
      <c r="H4460" s="503"/>
      <c r="I4460" s="503"/>
      <c r="J4460" s="503"/>
      <c r="K4460" s="503"/>
      <c r="L4460" s="497"/>
      <c r="M4460" s="497"/>
      <c r="N4460" s="497"/>
      <c r="O4460" s="497"/>
      <c r="P4460" s="497">
        <f t="shared" si="269"/>
        <v>150</v>
      </c>
      <c r="Q4460" s="497" t="b">
        <v>0</v>
      </c>
    </row>
    <row r="4461" spans="1:17" x14ac:dyDescent="0.35">
      <c r="A4461" s="497" t="b">
        <v>0</v>
      </c>
      <c r="B4461" s="497" t="s">
        <v>10385</v>
      </c>
      <c r="C4461" s="512">
        <v>26</v>
      </c>
      <c r="D4461" s="497">
        <f t="shared" si="266"/>
        <v>-329</v>
      </c>
      <c r="E4461" s="497">
        <f t="shared" ca="1" si="267"/>
        <v>1</v>
      </c>
      <c r="F4461" s="497">
        <f t="shared" ca="1" si="268"/>
        <v>34</v>
      </c>
      <c r="G4461" s="497" t="s">
        <v>9965</v>
      </c>
      <c r="H4461" s="503"/>
      <c r="I4461" s="503"/>
      <c r="J4461" s="503"/>
      <c r="K4461" s="503"/>
      <c r="L4461" s="497"/>
      <c r="M4461" s="497"/>
      <c r="N4461" s="497"/>
      <c r="O4461" s="497"/>
      <c r="P4461" s="497">
        <f t="shared" si="269"/>
        <v>151</v>
      </c>
      <c r="Q4461" s="497" t="b">
        <v>0</v>
      </c>
    </row>
    <row r="4462" spans="1:17" x14ac:dyDescent="0.35">
      <c r="A4462" s="497" t="b">
        <v>0</v>
      </c>
      <c r="B4462" s="497" t="s">
        <v>10386</v>
      </c>
      <c r="C4462" s="512">
        <v>26</v>
      </c>
      <c r="D4462" s="497">
        <f t="shared" si="266"/>
        <v>-328</v>
      </c>
      <c r="E4462" s="497">
        <f t="shared" ca="1" si="267"/>
        <v>2</v>
      </c>
      <c r="F4462" s="497">
        <f t="shared" ca="1" si="268"/>
        <v>34</v>
      </c>
      <c r="G4462" s="497" t="s">
        <v>9965</v>
      </c>
      <c r="H4462" s="503"/>
      <c r="I4462" s="503"/>
      <c r="J4462" s="503"/>
      <c r="K4462" s="503"/>
      <c r="L4462" s="497"/>
      <c r="M4462" s="497"/>
      <c r="N4462" s="497"/>
      <c r="O4462" s="497"/>
      <c r="P4462" s="497">
        <f t="shared" si="269"/>
        <v>152</v>
      </c>
      <c r="Q4462" s="497" t="b">
        <v>0</v>
      </c>
    </row>
    <row r="4463" spans="1:17" x14ac:dyDescent="0.35">
      <c r="A4463" s="497" t="b">
        <v>0</v>
      </c>
      <c r="B4463" s="497" t="s">
        <v>10387</v>
      </c>
      <c r="C4463" s="512">
        <v>26</v>
      </c>
      <c r="D4463" s="497">
        <f t="shared" si="266"/>
        <v>-327</v>
      </c>
      <c r="E4463" s="497">
        <f t="shared" ca="1" si="267"/>
        <v>3</v>
      </c>
      <c r="F4463" s="497">
        <f t="shared" ca="1" si="268"/>
        <v>34</v>
      </c>
      <c r="G4463" s="497" t="s">
        <v>9965</v>
      </c>
      <c r="H4463" s="503"/>
      <c r="I4463" s="503"/>
      <c r="J4463" s="503"/>
      <c r="K4463" s="503"/>
      <c r="L4463" s="497"/>
      <c r="M4463" s="497"/>
      <c r="N4463" s="497"/>
      <c r="O4463" s="497"/>
      <c r="P4463" s="497">
        <f t="shared" si="269"/>
        <v>153</v>
      </c>
      <c r="Q4463" s="497" t="b">
        <v>0</v>
      </c>
    </row>
    <row r="4464" spans="1:17" x14ac:dyDescent="0.35">
      <c r="A4464" s="497" t="b">
        <v>0</v>
      </c>
      <c r="B4464" s="497" t="s">
        <v>10388</v>
      </c>
      <c r="C4464" s="512">
        <v>26</v>
      </c>
      <c r="D4464" s="497">
        <f t="shared" si="266"/>
        <v>-326</v>
      </c>
      <c r="E4464" s="497">
        <f t="shared" ca="1" si="267"/>
        <v>4</v>
      </c>
      <c r="F4464" s="497">
        <f t="shared" ca="1" si="268"/>
        <v>34</v>
      </c>
      <c r="G4464" s="497" t="s">
        <v>9965</v>
      </c>
      <c r="H4464" s="503"/>
      <c r="I4464" s="503"/>
      <c r="J4464" s="503"/>
      <c r="K4464" s="503"/>
      <c r="L4464" s="497"/>
      <c r="M4464" s="497"/>
      <c r="N4464" s="497"/>
      <c r="O4464" s="497"/>
      <c r="P4464" s="497">
        <f t="shared" si="269"/>
        <v>154</v>
      </c>
      <c r="Q4464" s="497" t="b">
        <v>0</v>
      </c>
    </row>
    <row r="4465" spans="1:17" x14ac:dyDescent="0.35">
      <c r="A4465" s="497" t="b">
        <v>0</v>
      </c>
      <c r="B4465" s="497" t="s">
        <v>10389</v>
      </c>
      <c r="C4465" s="512">
        <v>26</v>
      </c>
      <c r="D4465" s="497">
        <f t="shared" si="266"/>
        <v>-325</v>
      </c>
      <c r="E4465" s="497">
        <f t="shared" ca="1" si="267"/>
        <v>5</v>
      </c>
      <c r="F4465" s="497">
        <f t="shared" ca="1" si="268"/>
        <v>34</v>
      </c>
      <c r="G4465" s="497" t="s">
        <v>9965</v>
      </c>
      <c r="H4465" s="503"/>
      <c r="I4465" s="503"/>
      <c r="J4465" s="503"/>
      <c r="K4465" s="503"/>
      <c r="L4465" s="497"/>
      <c r="M4465" s="497"/>
      <c r="N4465" s="497"/>
      <c r="O4465" s="497"/>
      <c r="P4465" s="497">
        <f t="shared" si="269"/>
        <v>155</v>
      </c>
      <c r="Q4465" s="497" t="b">
        <v>0</v>
      </c>
    </row>
    <row r="4466" spans="1:17" x14ac:dyDescent="0.35">
      <c r="A4466" s="497" t="b">
        <v>0</v>
      </c>
      <c r="B4466" s="497" t="s">
        <v>10390</v>
      </c>
      <c r="C4466" s="512">
        <v>26</v>
      </c>
      <c r="D4466" s="497">
        <f t="shared" si="266"/>
        <v>-324</v>
      </c>
      <c r="E4466" s="497">
        <f t="shared" ca="1" si="267"/>
        <v>6</v>
      </c>
      <c r="F4466" s="497">
        <f t="shared" ca="1" si="268"/>
        <v>34</v>
      </c>
      <c r="G4466" s="497" t="s">
        <v>9965</v>
      </c>
      <c r="H4466" s="503"/>
      <c r="I4466" s="503"/>
      <c r="J4466" s="503"/>
      <c r="K4466" s="503"/>
      <c r="L4466" s="497"/>
      <c r="M4466" s="497"/>
      <c r="N4466" s="497"/>
      <c r="O4466" s="497"/>
      <c r="P4466" s="497">
        <f t="shared" si="269"/>
        <v>156</v>
      </c>
      <c r="Q4466" s="497" t="b">
        <v>0</v>
      </c>
    </row>
    <row r="4467" spans="1:17" x14ac:dyDescent="0.35">
      <c r="A4467" s="497" t="b">
        <v>0</v>
      </c>
      <c r="B4467" s="497" t="s">
        <v>10391</v>
      </c>
      <c r="C4467" s="512">
        <v>27</v>
      </c>
      <c r="D4467" s="497">
        <f t="shared" si="266"/>
        <v>-323</v>
      </c>
      <c r="E4467" s="497">
        <f t="shared" ca="1" si="267"/>
        <v>1</v>
      </c>
      <c r="F4467" s="497">
        <f t="shared" ca="1" si="268"/>
        <v>35</v>
      </c>
      <c r="G4467" s="497" t="s">
        <v>9967</v>
      </c>
      <c r="H4467" s="503"/>
      <c r="I4467" s="503"/>
      <c r="J4467" s="503"/>
      <c r="K4467" s="503"/>
      <c r="L4467" s="497"/>
      <c r="M4467" s="497"/>
      <c r="N4467" s="497"/>
      <c r="O4467" s="497"/>
      <c r="P4467" s="497">
        <f t="shared" si="269"/>
        <v>157</v>
      </c>
      <c r="Q4467" s="497" t="b">
        <v>0</v>
      </c>
    </row>
    <row r="4468" spans="1:17" x14ac:dyDescent="0.35">
      <c r="A4468" s="497" t="b">
        <v>0</v>
      </c>
      <c r="B4468" s="497" t="s">
        <v>10392</v>
      </c>
      <c r="C4468" s="512">
        <v>27</v>
      </c>
      <c r="D4468" s="497">
        <f t="shared" si="266"/>
        <v>-322</v>
      </c>
      <c r="E4468" s="497">
        <f t="shared" ca="1" si="267"/>
        <v>2</v>
      </c>
      <c r="F4468" s="497">
        <f t="shared" ca="1" si="268"/>
        <v>35</v>
      </c>
      <c r="G4468" s="497" t="s">
        <v>9967</v>
      </c>
      <c r="H4468" s="503"/>
      <c r="I4468" s="503"/>
      <c r="J4468" s="503"/>
      <c r="K4468" s="503"/>
      <c r="L4468" s="497"/>
      <c r="M4468" s="497"/>
      <c r="N4468" s="497"/>
      <c r="O4468" s="497"/>
      <c r="P4468" s="497">
        <f t="shared" si="269"/>
        <v>158</v>
      </c>
      <c r="Q4468" s="497" t="b">
        <v>0</v>
      </c>
    </row>
    <row r="4469" spans="1:17" x14ac:dyDescent="0.35">
      <c r="A4469" s="497" t="b">
        <v>0</v>
      </c>
      <c r="B4469" s="497" t="s">
        <v>10393</v>
      </c>
      <c r="C4469" s="512">
        <v>27</v>
      </c>
      <c r="D4469" s="497">
        <f t="shared" si="266"/>
        <v>-321</v>
      </c>
      <c r="E4469" s="497">
        <f t="shared" ca="1" si="267"/>
        <v>3</v>
      </c>
      <c r="F4469" s="497">
        <f t="shared" ca="1" si="268"/>
        <v>35</v>
      </c>
      <c r="G4469" s="497" t="s">
        <v>9967</v>
      </c>
      <c r="H4469" s="503"/>
      <c r="I4469" s="503"/>
      <c r="J4469" s="503"/>
      <c r="K4469" s="503"/>
      <c r="L4469" s="497"/>
      <c r="M4469" s="497"/>
      <c r="N4469" s="497"/>
      <c r="O4469" s="497"/>
      <c r="P4469" s="497">
        <f t="shared" si="269"/>
        <v>159</v>
      </c>
      <c r="Q4469" s="497" t="b">
        <v>0</v>
      </c>
    </row>
    <row r="4470" spans="1:17" x14ac:dyDescent="0.35">
      <c r="A4470" s="497" t="b">
        <v>0</v>
      </c>
      <c r="B4470" s="497" t="s">
        <v>10394</v>
      </c>
      <c r="C4470" s="512">
        <v>27</v>
      </c>
      <c r="D4470" s="497">
        <f t="shared" si="266"/>
        <v>-320</v>
      </c>
      <c r="E4470" s="497">
        <f t="shared" ca="1" si="267"/>
        <v>4</v>
      </c>
      <c r="F4470" s="497">
        <f t="shared" ca="1" si="268"/>
        <v>35</v>
      </c>
      <c r="G4470" s="497" t="s">
        <v>9967</v>
      </c>
      <c r="H4470" s="503"/>
      <c r="I4470" s="503"/>
      <c r="J4470" s="503"/>
      <c r="K4470" s="503"/>
      <c r="L4470" s="497"/>
      <c r="M4470" s="497"/>
      <c r="N4470" s="497"/>
      <c r="O4470" s="497"/>
      <c r="P4470" s="497">
        <f t="shared" si="269"/>
        <v>160</v>
      </c>
      <c r="Q4470" s="497" t="b">
        <v>0</v>
      </c>
    </row>
    <row r="4471" spans="1:17" x14ac:dyDescent="0.35">
      <c r="A4471" s="497" t="b">
        <v>0</v>
      </c>
      <c r="B4471" s="497" t="s">
        <v>10395</v>
      </c>
      <c r="C4471" s="512">
        <v>27</v>
      </c>
      <c r="D4471" s="497">
        <f t="shared" si="266"/>
        <v>-319</v>
      </c>
      <c r="E4471" s="497">
        <f t="shared" ca="1" si="267"/>
        <v>5</v>
      </c>
      <c r="F4471" s="497">
        <f t="shared" ca="1" si="268"/>
        <v>35</v>
      </c>
      <c r="G4471" s="497" t="s">
        <v>9967</v>
      </c>
      <c r="H4471" s="503"/>
      <c r="I4471" s="503"/>
      <c r="J4471" s="503"/>
      <c r="K4471" s="503"/>
      <c r="L4471" s="497"/>
      <c r="M4471" s="497"/>
      <c r="N4471" s="497"/>
      <c r="O4471" s="497"/>
      <c r="P4471" s="497">
        <f t="shared" si="269"/>
        <v>161</v>
      </c>
      <c r="Q4471" s="497" t="b">
        <v>0</v>
      </c>
    </row>
    <row r="4472" spans="1:17" x14ac:dyDescent="0.35">
      <c r="A4472" s="497" t="b">
        <v>0</v>
      </c>
      <c r="B4472" s="497" t="s">
        <v>10396</v>
      </c>
      <c r="C4472" s="512">
        <v>27</v>
      </c>
      <c r="D4472" s="497">
        <f t="shared" si="266"/>
        <v>-318</v>
      </c>
      <c r="E4472" s="497">
        <f t="shared" ca="1" si="267"/>
        <v>6</v>
      </c>
      <c r="F4472" s="497">
        <f t="shared" ca="1" si="268"/>
        <v>35</v>
      </c>
      <c r="G4472" s="497" t="s">
        <v>9967</v>
      </c>
      <c r="H4472" s="503"/>
      <c r="I4472" s="503"/>
      <c r="J4472" s="503"/>
      <c r="K4472" s="503"/>
      <c r="L4472" s="497"/>
      <c r="M4472" s="497"/>
      <c r="N4472" s="497"/>
      <c r="O4472" s="497"/>
      <c r="P4472" s="497">
        <f t="shared" si="269"/>
        <v>162</v>
      </c>
      <c r="Q4472" s="497" t="b">
        <v>0</v>
      </c>
    </row>
    <row r="4473" spans="1:17" x14ac:dyDescent="0.35">
      <c r="A4473" s="497" t="b">
        <v>0</v>
      </c>
      <c r="B4473" s="497" t="s">
        <v>10397</v>
      </c>
      <c r="C4473" s="512">
        <v>28</v>
      </c>
      <c r="D4473" s="497">
        <f t="shared" si="266"/>
        <v>-317</v>
      </c>
      <c r="E4473" s="497">
        <f t="shared" ca="1" si="267"/>
        <v>1</v>
      </c>
      <c r="F4473" s="497">
        <f t="shared" ca="1" si="268"/>
        <v>36</v>
      </c>
      <c r="G4473" s="497" t="s">
        <v>9969</v>
      </c>
      <c r="H4473" s="503"/>
      <c r="I4473" s="503"/>
      <c r="J4473" s="503"/>
      <c r="K4473" s="503"/>
      <c r="L4473" s="497"/>
      <c r="M4473" s="497"/>
      <c r="N4473" s="497"/>
      <c r="O4473" s="497"/>
      <c r="P4473" s="497">
        <f t="shared" si="269"/>
        <v>163</v>
      </c>
      <c r="Q4473" s="497" t="b">
        <v>0</v>
      </c>
    </row>
    <row r="4474" spans="1:17" x14ac:dyDescent="0.35">
      <c r="A4474" s="497" t="b">
        <v>0</v>
      </c>
      <c r="B4474" s="497" t="s">
        <v>10398</v>
      </c>
      <c r="C4474" s="512">
        <v>28</v>
      </c>
      <c r="D4474" s="497">
        <f t="shared" si="266"/>
        <v>-316</v>
      </c>
      <c r="E4474" s="497">
        <f t="shared" ca="1" si="267"/>
        <v>2</v>
      </c>
      <c r="F4474" s="497">
        <f t="shared" ca="1" si="268"/>
        <v>36</v>
      </c>
      <c r="G4474" s="497" t="s">
        <v>9969</v>
      </c>
      <c r="H4474" s="503"/>
      <c r="I4474" s="503"/>
      <c r="J4474" s="503"/>
      <c r="K4474" s="503"/>
      <c r="L4474" s="497"/>
      <c r="M4474" s="497"/>
      <c r="N4474" s="497"/>
      <c r="O4474" s="497"/>
      <c r="P4474" s="497">
        <f t="shared" si="269"/>
        <v>164</v>
      </c>
      <c r="Q4474" s="497" t="b">
        <v>0</v>
      </c>
    </row>
    <row r="4475" spans="1:17" x14ac:dyDescent="0.35">
      <c r="A4475" s="497" t="b">
        <v>0</v>
      </c>
      <c r="B4475" s="497" t="s">
        <v>10399</v>
      </c>
      <c r="C4475" s="512">
        <v>28</v>
      </c>
      <c r="D4475" s="497">
        <f t="shared" si="266"/>
        <v>-315</v>
      </c>
      <c r="E4475" s="497">
        <f t="shared" ca="1" si="267"/>
        <v>3</v>
      </c>
      <c r="F4475" s="497">
        <f t="shared" ca="1" si="268"/>
        <v>36</v>
      </c>
      <c r="G4475" s="497" t="s">
        <v>9969</v>
      </c>
      <c r="H4475" s="503"/>
      <c r="I4475" s="503"/>
      <c r="J4475" s="503"/>
      <c r="K4475" s="503"/>
      <c r="L4475" s="497"/>
      <c r="M4475" s="497"/>
      <c r="N4475" s="497"/>
      <c r="O4475" s="497"/>
      <c r="P4475" s="497">
        <f t="shared" si="269"/>
        <v>165</v>
      </c>
      <c r="Q4475" s="497" t="b">
        <v>0</v>
      </c>
    </row>
    <row r="4476" spans="1:17" x14ac:dyDescent="0.35">
      <c r="A4476" s="497" t="b">
        <v>0</v>
      </c>
      <c r="B4476" s="497" t="s">
        <v>10400</v>
      </c>
      <c r="C4476" s="512">
        <v>28</v>
      </c>
      <c r="D4476" s="497">
        <f t="shared" si="266"/>
        <v>-314</v>
      </c>
      <c r="E4476" s="497">
        <f t="shared" ca="1" si="267"/>
        <v>4</v>
      </c>
      <c r="F4476" s="497">
        <f t="shared" ca="1" si="268"/>
        <v>36</v>
      </c>
      <c r="G4476" s="497" t="s">
        <v>9969</v>
      </c>
      <c r="H4476" s="503"/>
      <c r="I4476" s="503"/>
      <c r="J4476" s="503"/>
      <c r="K4476" s="503"/>
      <c r="L4476" s="497"/>
      <c r="M4476" s="497"/>
      <c r="N4476" s="497"/>
      <c r="O4476" s="497"/>
      <c r="P4476" s="497">
        <f t="shared" si="269"/>
        <v>166</v>
      </c>
      <c r="Q4476" s="497" t="b">
        <v>0</v>
      </c>
    </row>
    <row r="4477" spans="1:17" x14ac:dyDescent="0.35">
      <c r="A4477" s="497" t="b">
        <v>0</v>
      </c>
      <c r="B4477" s="497" t="s">
        <v>10401</v>
      </c>
      <c r="C4477" s="512">
        <v>28</v>
      </c>
      <c r="D4477" s="497">
        <f t="shared" si="266"/>
        <v>-313</v>
      </c>
      <c r="E4477" s="497">
        <f t="shared" ca="1" si="267"/>
        <v>5</v>
      </c>
      <c r="F4477" s="497">
        <f t="shared" ca="1" si="268"/>
        <v>36</v>
      </c>
      <c r="G4477" s="497" t="s">
        <v>9969</v>
      </c>
      <c r="H4477" s="503"/>
      <c r="I4477" s="503"/>
      <c r="J4477" s="503"/>
      <c r="K4477" s="503"/>
      <c r="L4477" s="497"/>
      <c r="M4477" s="497"/>
      <c r="N4477" s="497"/>
      <c r="O4477" s="497"/>
      <c r="P4477" s="497">
        <f t="shared" si="269"/>
        <v>167</v>
      </c>
      <c r="Q4477" s="497" t="b">
        <v>0</v>
      </c>
    </row>
    <row r="4478" spans="1:17" x14ac:dyDescent="0.35">
      <c r="A4478" s="497" t="b">
        <v>0</v>
      </c>
      <c r="B4478" s="497" t="s">
        <v>10402</v>
      </c>
      <c r="C4478" s="512">
        <v>28</v>
      </c>
      <c r="D4478" s="497">
        <f t="shared" si="266"/>
        <v>-312</v>
      </c>
      <c r="E4478" s="497">
        <f t="shared" ca="1" si="267"/>
        <v>6</v>
      </c>
      <c r="F4478" s="497">
        <f t="shared" ca="1" si="268"/>
        <v>36</v>
      </c>
      <c r="G4478" s="497" t="s">
        <v>9969</v>
      </c>
      <c r="H4478" s="503"/>
      <c r="I4478" s="503"/>
      <c r="J4478" s="503"/>
      <c r="K4478" s="503"/>
      <c r="L4478" s="497"/>
      <c r="M4478" s="497"/>
      <c r="N4478" s="497"/>
      <c r="O4478" s="497"/>
      <c r="P4478" s="497">
        <f t="shared" si="269"/>
        <v>168</v>
      </c>
      <c r="Q4478" s="497" t="b">
        <v>0</v>
      </c>
    </row>
    <row r="4479" spans="1:17" x14ac:dyDescent="0.35">
      <c r="A4479" s="497" t="b">
        <v>0</v>
      </c>
      <c r="B4479" s="497" t="s">
        <v>10403</v>
      </c>
      <c r="C4479" s="512">
        <v>29</v>
      </c>
      <c r="D4479" s="497">
        <f t="shared" si="266"/>
        <v>-311</v>
      </c>
      <c r="E4479" s="497">
        <f t="shared" ca="1" si="267"/>
        <v>1</v>
      </c>
      <c r="F4479" s="497">
        <f t="shared" ca="1" si="268"/>
        <v>37</v>
      </c>
      <c r="G4479" s="497" t="s">
        <v>9971</v>
      </c>
      <c r="H4479" s="503"/>
      <c r="I4479" s="503"/>
      <c r="J4479" s="503"/>
      <c r="K4479" s="503"/>
      <c r="L4479" s="497"/>
      <c r="M4479" s="497"/>
      <c r="N4479" s="497"/>
      <c r="O4479" s="497"/>
      <c r="P4479" s="497">
        <f t="shared" si="269"/>
        <v>169</v>
      </c>
      <c r="Q4479" s="497" t="b">
        <v>0</v>
      </c>
    </row>
    <row r="4480" spans="1:17" x14ac:dyDescent="0.35">
      <c r="A4480" s="497" t="b">
        <v>0</v>
      </c>
      <c r="B4480" s="497" t="s">
        <v>10404</v>
      </c>
      <c r="C4480" s="512">
        <v>29</v>
      </c>
      <c r="D4480" s="497">
        <f t="shared" si="266"/>
        <v>-310</v>
      </c>
      <c r="E4480" s="497">
        <f t="shared" ca="1" si="267"/>
        <v>2</v>
      </c>
      <c r="F4480" s="497">
        <f t="shared" ca="1" si="268"/>
        <v>37</v>
      </c>
      <c r="G4480" s="497" t="s">
        <v>9971</v>
      </c>
      <c r="H4480" s="503"/>
      <c r="I4480" s="503"/>
      <c r="J4480" s="503"/>
      <c r="K4480" s="503"/>
      <c r="L4480" s="497"/>
      <c r="M4480" s="497"/>
      <c r="N4480" s="497"/>
      <c r="O4480" s="497"/>
      <c r="P4480" s="497">
        <f t="shared" si="269"/>
        <v>170</v>
      </c>
      <c r="Q4480" s="497" t="b">
        <v>0</v>
      </c>
    </row>
    <row r="4481" spans="1:17" x14ac:dyDescent="0.35">
      <c r="A4481" s="497" t="b">
        <v>0</v>
      </c>
      <c r="B4481" s="497" t="s">
        <v>10405</v>
      </c>
      <c r="C4481" s="512">
        <v>29</v>
      </c>
      <c r="D4481" s="497">
        <f t="shared" si="266"/>
        <v>-309</v>
      </c>
      <c r="E4481" s="497">
        <f t="shared" ca="1" si="267"/>
        <v>3</v>
      </c>
      <c r="F4481" s="497">
        <f t="shared" ca="1" si="268"/>
        <v>37</v>
      </c>
      <c r="G4481" s="497" t="s">
        <v>9971</v>
      </c>
      <c r="H4481" s="503"/>
      <c r="I4481" s="503"/>
      <c r="J4481" s="503"/>
      <c r="K4481" s="503"/>
      <c r="L4481" s="497"/>
      <c r="M4481" s="497"/>
      <c r="N4481" s="497"/>
      <c r="O4481" s="497"/>
      <c r="P4481" s="497">
        <f t="shared" si="269"/>
        <v>171</v>
      </c>
      <c r="Q4481" s="497" t="b">
        <v>0</v>
      </c>
    </row>
    <row r="4482" spans="1:17" x14ac:dyDescent="0.35">
      <c r="A4482" s="497" t="b">
        <v>0</v>
      </c>
      <c r="B4482" s="497" t="s">
        <v>10406</v>
      </c>
      <c r="C4482" s="512">
        <v>29</v>
      </c>
      <c r="D4482" s="497">
        <f t="shared" si="266"/>
        <v>-308</v>
      </c>
      <c r="E4482" s="497">
        <f t="shared" ca="1" si="267"/>
        <v>4</v>
      </c>
      <c r="F4482" s="497">
        <f t="shared" ca="1" si="268"/>
        <v>37</v>
      </c>
      <c r="G4482" s="497" t="s">
        <v>9971</v>
      </c>
      <c r="H4482" s="503"/>
      <c r="I4482" s="503"/>
      <c r="J4482" s="503"/>
      <c r="K4482" s="503"/>
      <c r="L4482" s="497"/>
      <c r="M4482" s="497"/>
      <c r="N4482" s="497"/>
      <c r="O4482" s="497"/>
      <c r="P4482" s="497">
        <f t="shared" si="269"/>
        <v>172</v>
      </c>
      <c r="Q4482" s="497" t="b">
        <v>0</v>
      </c>
    </row>
    <row r="4483" spans="1:17" x14ac:dyDescent="0.35">
      <c r="A4483" s="497" t="b">
        <v>0</v>
      </c>
      <c r="B4483" s="497" t="s">
        <v>10407</v>
      </c>
      <c r="C4483" s="512">
        <v>29</v>
      </c>
      <c r="D4483" s="497">
        <f t="shared" si="266"/>
        <v>-307</v>
      </c>
      <c r="E4483" s="497">
        <f t="shared" ca="1" si="267"/>
        <v>5</v>
      </c>
      <c r="F4483" s="497">
        <f t="shared" ca="1" si="268"/>
        <v>37</v>
      </c>
      <c r="G4483" s="497" t="s">
        <v>9971</v>
      </c>
      <c r="H4483" s="503"/>
      <c r="I4483" s="503"/>
      <c r="J4483" s="503"/>
      <c r="K4483" s="503"/>
      <c r="L4483" s="497"/>
      <c r="M4483" s="497"/>
      <c r="N4483" s="497"/>
      <c r="O4483" s="497"/>
      <c r="P4483" s="497">
        <f t="shared" si="269"/>
        <v>173</v>
      </c>
      <c r="Q4483" s="497" t="b">
        <v>0</v>
      </c>
    </row>
    <row r="4484" spans="1:17" x14ac:dyDescent="0.35">
      <c r="A4484" s="497" t="b">
        <v>0</v>
      </c>
      <c r="B4484" s="497" t="s">
        <v>10408</v>
      </c>
      <c r="C4484" s="512">
        <v>29</v>
      </c>
      <c r="D4484" s="497">
        <f t="shared" si="266"/>
        <v>-306</v>
      </c>
      <c r="E4484" s="497">
        <f t="shared" ca="1" si="267"/>
        <v>6</v>
      </c>
      <c r="F4484" s="497">
        <f t="shared" ca="1" si="268"/>
        <v>37</v>
      </c>
      <c r="G4484" s="497" t="s">
        <v>9971</v>
      </c>
      <c r="H4484" s="503"/>
      <c r="I4484" s="503"/>
      <c r="J4484" s="503"/>
      <c r="K4484" s="503"/>
      <c r="L4484" s="497"/>
      <c r="M4484" s="497"/>
      <c r="N4484" s="497"/>
      <c r="O4484" s="497"/>
      <c r="P4484" s="497">
        <f t="shared" si="269"/>
        <v>174</v>
      </c>
      <c r="Q4484" s="497" t="b">
        <v>0</v>
      </c>
    </row>
    <row r="4485" spans="1:17" x14ac:dyDescent="0.35">
      <c r="A4485" s="497" t="b">
        <v>0</v>
      </c>
      <c r="B4485" s="497" t="s">
        <v>10409</v>
      </c>
      <c r="C4485" s="512">
        <v>30</v>
      </c>
      <c r="D4485" s="497">
        <f t="shared" si="266"/>
        <v>-305</v>
      </c>
      <c r="E4485" s="497">
        <f t="shared" ca="1" si="267"/>
        <v>1</v>
      </c>
      <c r="F4485" s="497">
        <f t="shared" ca="1" si="268"/>
        <v>38</v>
      </c>
      <c r="G4485" s="497" t="s">
        <v>9973</v>
      </c>
      <c r="H4485" s="503"/>
      <c r="I4485" s="503"/>
      <c r="J4485" s="503"/>
      <c r="K4485" s="503"/>
      <c r="L4485" s="497"/>
      <c r="M4485" s="497"/>
      <c r="N4485" s="497"/>
      <c r="O4485" s="497"/>
      <c r="P4485" s="497">
        <f t="shared" si="269"/>
        <v>175</v>
      </c>
      <c r="Q4485" s="497" t="b">
        <v>0</v>
      </c>
    </row>
    <row r="4486" spans="1:17" x14ac:dyDescent="0.35">
      <c r="A4486" s="497" t="b">
        <v>0</v>
      </c>
      <c r="B4486" s="497" t="s">
        <v>10410</v>
      </c>
      <c r="C4486" s="512">
        <v>30</v>
      </c>
      <c r="D4486" s="497">
        <f t="shared" si="266"/>
        <v>-304</v>
      </c>
      <c r="E4486" s="497">
        <f t="shared" ca="1" si="267"/>
        <v>2</v>
      </c>
      <c r="F4486" s="497">
        <f t="shared" ca="1" si="268"/>
        <v>38</v>
      </c>
      <c r="G4486" s="497" t="s">
        <v>9973</v>
      </c>
      <c r="H4486" s="503"/>
      <c r="I4486" s="503"/>
      <c r="J4486" s="503"/>
      <c r="K4486" s="503"/>
      <c r="L4486" s="497"/>
      <c r="M4486" s="497"/>
      <c r="N4486" s="497"/>
      <c r="O4486" s="497"/>
      <c r="P4486" s="497">
        <f t="shared" si="269"/>
        <v>176</v>
      </c>
      <c r="Q4486" s="497" t="b">
        <v>0</v>
      </c>
    </row>
    <row r="4487" spans="1:17" x14ac:dyDescent="0.35">
      <c r="A4487" s="497" t="b">
        <v>0</v>
      </c>
      <c r="B4487" s="497" t="s">
        <v>10411</v>
      </c>
      <c r="C4487" s="512">
        <v>30</v>
      </c>
      <c r="D4487" s="497">
        <f t="shared" si="266"/>
        <v>-303</v>
      </c>
      <c r="E4487" s="497">
        <f t="shared" ca="1" si="267"/>
        <v>3</v>
      </c>
      <c r="F4487" s="497">
        <f t="shared" ca="1" si="268"/>
        <v>38</v>
      </c>
      <c r="G4487" s="497" t="s">
        <v>9973</v>
      </c>
      <c r="H4487" s="503"/>
      <c r="I4487" s="503"/>
      <c r="J4487" s="503"/>
      <c r="K4487" s="503"/>
      <c r="L4487" s="497"/>
      <c r="M4487" s="497"/>
      <c r="N4487" s="497"/>
      <c r="O4487" s="497"/>
      <c r="P4487" s="497">
        <f t="shared" si="269"/>
        <v>177</v>
      </c>
      <c r="Q4487" s="497" t="b">
        <v>0</v>
      </c>
    </row>
    <row r="4488" spans="1:17" x14ac:dyDescent="0.35">
      <c r="A4488" s="497" t="b">
        <v>0</v>
      </c>
      <c r="B4488" s="497" t="s">
        <v>10412</v>
      </c>
      <c r="C4488" s="512">
        <v>30</v>
      </c>
      <c r="D4488" s="497">
        <f t="shared" si="266"/>
        <v>-302</v>
      </c>
      <c r="E4488" s="497">
        <f t="shared" ca="1" si="267"/>
        <v>4</v>
      </c>
      <c r="F4488" s="497">
        <f t="shared" ca="1" si="268"/>
        <v>38</v>
      </c>
      <c r="G4488" s="497" t="s">
        <v>9973</v>
      </c>
      <c r="H4488" s="503"/>
      <c r="I4488" s="503"/>
      <c r="J4488" s="503"/>
      <c r="K4488" s="503"/>
      <c r="L4488" s="497"/>
      <c r="M4488" s="497"/>
      <c r="N4488" s="497"/>
      <c r="O4488" s="497"/>
      <c r="P4488" s="497">
        <f t="shared" si="269"/>
        <v>178</v>
      </c>
      <c r="Q4488" s="497" t="b">
        <v>0</v>
      </c>
    </row>
    <row r="4489" spans="1:17" x14ac:dyDescent="0.35">
      <c r="A4489" s="497" t="b">
        <v>0</v>
      </c>
      <c r="B4489" s="497" t="s">
        <v>10413</v>
      </c>
      <c r="C4489" s="512">
        <v>30</v>
      </c>
      <c r="D4489" s="497">
        <f t="shared" si="266"/>
        <v>-301</v>
      </c>
      <c r="E4489" s="497">
        <f t="shared" ca="1" si="267"/>
        <v>5</v>
      </c>
      <c r="F4489" s="497">
        <f t="shared" ca="1" si="268"/>
        <v>38</v>
      </c>
      <c r="G4489" s="497" t="s">
        <v>9973</v>
      </c>
      <c r="H4489" s="503"/>
      <c r="I4489" s="503"/>
      <c r="J4489" s="503"/>
      <c r="K4489" s="503"/>
      <c r="L4489" s="497"/>
      <c r="M4489" s="497"/>
      <c r="N4489" s="497"/>
      <c r="O4489" s="497"/>
      <c r="P4489" s="497">
        <f t="shared" si="269"/>
        <v>179</v>
      </c>
      <c r="Q4489" s="497" t="b">
        <v>0</v>
      </c>
    </row>
    <row r="4490" spans="1:17" x14ac:dyDescent="0.35">
      <c r="A4490" s="497" t="b">
        <v>0</v>
      </c>
      <c r="B4490" s="497" t="s">
        <v>10414</v>
      </c>
      <c r="C4490" s="512">
        <v>30</v>
      </c>
      <c r="D4490" s="497">
        <f t="shared" si="266"/>
        <v>-300</v>
      </c>
      <c r="E4490" s="497">
        <f t="shared" ca="1" si="267"/>
        <v>6</v>
      </c>
      <c r="F4490" s="497">
        <f t="shared" ca="1" si="268"/>
        <v>38</v>
      </c>
      <c r="G4490" s="497" t="s">
        <v>9973</v>
      </c>
      <c r="H4490" s="503"/>
      <c r="I4490" s="503"/>
      <c r="J4490" s="503"/>
      <c r="K4490" s="503"/>
      <c r="L4490" s="497"/>
      <c r="M4490" s="497"/>
      <c r="N4490" s="497"/>
      <c r="O4490" s="497"/>
      <c r="P4490" s="497">
        <f t="shared" si="269"/>
        <v>180</v>
      </c>
      <c r="Q4490" s="497" t="b">
        <v>0</v>
      </c>
    </row>
    <row r="4491" spans="1:17" x14ac:dyDescent="0.35">
      <c r="A4491" s="497" t="b">
        <v>0</v>
      </c>
      <c r="B4491" s="497" t="s">
        <v>10415</v>
      </c>
      <c r="C4491" s="512">
        <v>31</v>
      </c>
      <c r="D4491" s="497">
        <f t="shared" si="266"/>
        <v>-299</v>
      </c>
      <c r="E4491" s="497">
        <f t="shared" ca="1" si="267"/>
        <v>1</v>
      </c>
      <c r="F4491" s="497">
        <f t="shared" ca="1" si="268"/>
        <v>39</v>
      </c>
      <c r="G4491" s="497" t="s">
        <v>9975</v>
      </c>
      <c r="H4491" s="503"/>
      <c r="I4491" s="503"/>
      <c r="J4491" s="503"/>
      <c r="K4491" s="503"/>
      <c r="L4491" s="497"/>
      <c r="M4491" s="497"/>
      <c r="N4491" s="497"/>
      <c r="O4491" s="497"/>
      <c r="P4491" s="497">
        <f t="shared" si="269"/>
        <v>181</v>
      </c>
      <c r="Q4491" s="497" t="b">
        <v>0</v>
      </c>
    </row>
    <row r="4492" spans="1:17" x14ac:dyDescent="0.35">
      <c r="A4492" s="497" t="b">
        <v>0</v>
      </c>
      <c r="B4492" s="497" t="s">
        <v>10416</v>
      </c>
      <c r="C4492" s="512">
        <v>31</v>
      </c>
      <c r="D4492" s="497">
        <f t="shared" si="266"/>
        <v>-298</v>
      </c>
      <c r="E4492" s="497">
        <f t="shared" ca="1" si="267"/>
        <v>2</v>
      </c>
      <c r="F4492" s="497">
        <f t="shared" ca="1" si="268"/>
        <v>39</v>
      </c>
      <c r="G4492" s="497" t="s">
        <v>9975</v>
      </c>
      <c r="H4492" s="503"/>
      <c r="I4492" s="503"/>
      <c r="J4492" s="503"/>
      <c r="K4492" s="503"/>
      <c r="L4492" s="497"/>
      <c r="M4492" s="497"/>
      <c r="N4492" s="497"/>
      <c r="O4492" s="497"/>
      <c r="P4492" s="497">
        <f t="shared" si="269"/>
        <v>182</v>
      </c>
      <c r="Q4492" s="497" t="b">
        <v>0</v>
      </c>
    </row>
    <row r="4493" spans="1:17" x14ac:dyDescent="0.35">
      <c r="A4493" s="497" t="b">
        <v>0</v>
      </c>
      <c r="B4493" s="497" t="s">
        <v>10417</v>
      </c>
      <c r="C4493" s="512">
        <v>31</v>
      </c>
      <c r="D4493" s="497">
        <f t="shared" si="266"/>
        <v>-297</v>
      </c>
      <c r="E4493" s="497">
        <f t="shared" ca="1" si="267"/>
        <v>3</v>
      </c>
      <c r="F4493" s="497">
        <f t="shared" ca="1" si="268"/>
        <v>39</v>
      </c>
      <c r="G4493" s="497" t="s">
        <v>9975</v>
      </c>
      <c r="H4493" s="503"/>
      <c r="I4493" s="503"/>
      <c r="J4493" s="503"/>
      <c r="K4493" s="503"/>
      <c r="L4493" s="497"/>
      <c r="M4493" s="497"/>
      <c r="N4493" s="497"/>
      <c r="O4493" s="497"/>
      <c r="P4493" s="497">
        <f t="shared" si="269"/>
        <v>183</v>
      </c>
      <c r="Q4493" s="497" t="b">
        <v>0</v>
      </c>
    </row>
    <row r="4494" spans="1:17" x14ac:dyDescent="0.35">
      <c r="A4494" s="497" t="b">
        <v>0</v>
      </c>
      <c r="B4494" s="497" t="s">
        <v>10418</v>
      </c>
      <c r="C4494" s="512">
        <v>31</v>
      </c>
      <c r="D4494" s="497">
        <f t="shared" si="266"/>
        <v>-296</v>
      </c>
      <c r="E4494" s="497">
        <f t="shared" ca="1" si="267"/>
        <v>4</v>
      </c>
      <c r="F4494" s="497">
        <f t="shared" ca="1" si="268"/>
        <v>39</v>
      </c>
      <c r="G4494" s="497" t="s">
        <v>9975</v>
      </c>
      <c r="H4494" s="503"/>
      <c r="I4494" s="503"/>
      <c r="J4494" s="503"/>
      <c r="K4494" s="503"/>
      <c r="L4494" s="497"/>
      <c r="M4494" s="497"/>
      <c r="N4494" s="497"/>
      <c r="O4494" s="497"/>
      <c r="P4494" s="497">
        <f t="shared" si="269"/>
        <v>184</v>
      </c>
      <c r="Q4494" s="497" t="b">
        <v>0</v>
      </c>
    </row>
    <row r="4495" spans="1:17" x14ac:dyDescent="0.35">
      <c r="A4495" s="497" t="b">
        <v>0</v>
      </c>
      <c r="B4495" s="497" t="s">
        <v>10419</v>
      </c>
      <c r="C4495" s="512">
        <v>31</v>
      </c>
      <c r="D4495" s="497">
        <f t="shared" si="266"/>
        <v>-295</v>
      </c>
      <c r="E4495" s="497">
        <f t="shared" ca="1" si="267"/>
        <v>5</v>
      </c>
      <c r="F4495" s="497">
        <f t="shared" ca="1" si="268"/>
        <v>39</v>
      </c>
      <c r="G4495" s="497" t="s">
        <v>9975</v>
      </c>
      <c r="H4495" s="503"/>
      <c r="I4495" s="503"/>
      <c r="J4495" s="503"/>
      <c r="K4495" s="503"/>
      <c r="L4495" s="497"/>
      <c r="M4495" s="497"/>
      <c r="N4495" s="497"/>
      <c r="O4495" s="497"/>
      <c r="P4495" s="497">
        <f t="shared" si="269"/>
        <v>185</v>
      </c>
      <c r="Q4495" s="497" t="b">
        <v>0</v>
      </c>
    </row>
    <row r="4496" spans="1:17" x14ac:dyDescent="0.35">
      <c r="A4496" s="497" t="b">
        <v>0</v>
      </c>
      <c r="B4496" s="497" t="s">
        <v>10420</v>
      </c>
      <c r="C4496" s="512">
        <v>31</v>
      </c>
      <c r="D4496" s="497">
        <f t="shared" si="266"/>
        <v>-294</v>
      </c>
      <c r="E4496" s="497">
        <f t="shared" ca="1" si="267"/>
        <v>6</v>
      </c>
      <c r="F4496" s="497">
        <f t="shared" ca="1" si="268"/>
        <v>39</v>
      </c>
      <c r="G4496" s="497" t="s">
        <v>9975</v>
      </c>
      <c r="H4496" s="503"/>
      <c r="I4496" s="503"/>
      <c r="J4496" s="503"/>
      <c r="K4496" s="503"/>
      <c r="L4496" s="497"/>
      <c r="M4496" s="497"/>
      <c r="N4496" s="497"/>
      <c r="O4496" s="497"/>
      <c r="P4496" s="497">
        <f t="shared" si="269"/>
        <v>186</v>
      </c>
      <c r="Q4496" s="497" t="b">
        <v>0</v>
      </c>
    </row>
    <row r="4497" spans="1:17" x14ac:dyDescent="0.35">
      <c r="A4497" s="497" t="b">
        <v>0</v>
      </c>
      <c r="B4497" s="497" t="s">
        <v>10421</v>
      </c>
      <c r="C4497" s="512">
        <v>32</v>
      </c>
      <c r="D4497" s="497">
        <f t="shared" si="266"/>
        <v>-293</v>
      </c>
      <c r="E4497" s="497">
        <f t="shared" ca="1" si="267"/>
        <v>1</v>
      </c>
      <c r="F4497" s="497">
        <f t="shared" ca="1" si="268"/>
        <v>40</v>
      </c>
      <c r="G4497" s="497" t="s">
        <v>9977</v>
      </c>
      <c r="H4497" s="503"/>
      <c r="I4497" s="503"/>
      <c r="J4497" s="503"/>
      <c r="K4497" s="503"/>
      <c r="L4497" s="497"/>
      <c r="M4497" s="497"/>
      <c r="N4497" s="497"/>
      <c r="O4497" s="497"/>
      <c r="P4497" s="497">
        <f t="shared" si="269"/>
        <v>187</v>
      </c>
      <c r="Q4497" s="497" t="b">
        <v>0</v>
      </c>
    </row>
    <row r="4498" spans="1:17" x14ac:dyDescent="0.35">
      <c r="A4498" s="497" t="b">
        <v>0</v>
      </c>
      <c r="B4498" s="497" t="s">
        <v>10422</v>
      </c>
      <c r="C4498" s="512">
        <v>32</v>
      </c>
      <c r="D4498" s="497">
        <f t="shared" si="266"/>
        <v>-292</v>
      </c>
      <c r="E4498" s="497">
        <f t="shared" ca="1" si="267"/>
        <v>2</v>
      </c>
      <c r="F4498" s="497">
        <f t="shared" ca="1" si="268"/>
        <v>40</v>
      </c>
      <c r="G4498" s="497" t="s">
        <v>9977</v>
      </c>
      <c r="H4498" s="503"/>
      <c r="I4498" s="503"/>
      <c r="J4498" s="503"/>
      <c r="K4498" s="503"/>
      <c r="L4498" s="497"/>
      <c r="M4498" s="497"/>
      <c r="N4498" s="497"/>
      <c r="O4498" s="497"/>
      <c r="P4498" s="497">
        <f t="shared" si="269"/>
        <v>188</v>
      </c>
      <c r="Q4498" s="497" t="b">
        <v>0</v>
      </c>
    </row>
    <row r="4499" spans="1:17" x14ac:dyDescent="0.35">
      <c r="A4499" s="497" t="b">
        <v>0</v>
      </c>
      <c r="B4499" s="497" t="s">
        <v>10423</v>
      </c>
      <c r="C4499" s="512">
        <v>32</v>
      </c>
      <c r="D4499" s="497">
        <f t="shared" si="266"/>
        <v>-291</v>
      </c>
      <c r="E4499" s="497">
        <f t="shared" ca="1" si="267"/>
        <v>3</v>
      </c>
      <c r="F4499" s="497">
        <f t="shared" ca="1" si="268"/>
        <v>40</v>
      </c>
      <c r="G4499" s="497" t="s">
        <v>9977</v>
      </c>
      <c r="H4499" s="503"/>
      <c r="I4499" s="503"/>
      <c r="J4499" s="503"/>
      <c r="K4499" s="503"/>
      <c r="L4499" s="497"/>
      <c r="M4499" s="497"/>
      <c r="N4499" s="497"/>
      <c r="O4499" s="497"/>
      <c r="P4499" s="497">
        <f t="shared" si="269"/>
        <v>189</v>
      </c>
      <c r="Q4499" s="497" t="b">
        <v>0</v>
      </c>
    </row>
    <row r="4500" spans="1:17" x14ac:dyDescent="0.35">
      <c r="A4500" s="497" t="b">
        <v>0</v>
      </c>
      <c r="B4500" s="497" t="s">
        <v>10424</v>
      </c>
      <c r="C4500" s="512">
        <v>32</v>
      </c>
      <c r="D4500" s="497">
        <f t="shared" si="266"/>
        <v>-290</v>
      </c>
      <c r="E4500" s="497">
        <f t="shared" ca="1" si="267"/>
        <v>4</v>
      </c>
      <c r="F4500" s="497">
        <f t="shared" ca="1" si="268"/>
        <v>40</v>
      </c>
      <c r="G4500" s="497" t="s">
        <v>9977</v>
      </c>
      <c r="H4500" s="503"/>
      <c r="I4500" s="503"/>
      <c r="J4500" s="503"/>
      <c r="K4500" s="503"/>
      <c r="L4500" s="497"/>
      <c r="M4500" s="497"/>
      <c r="N4500" s="497"/>
      <c r="O4500" s="497"/>
      <c r="P4500" s="497">
        <f t="shared" si="269"/>
        <v>190</v>
      </c>
      <c r="Q4500" s="497" t="b">
        <v>0</v>
      </c>
    </row>
    <row r="4501" spans="1:17" x14ac:dyDescent="0.35">
      <c r="A4501" s="497" t="b">
        <v>0</v>
      </c>
      <c r="B4501" s="497" t="s">
        <v>10425</v>
      </c>
      <c r="C4501" s="512">
        <v>32</v>
      </c>
      <c r="D4501" s="497">
        <f t="shared" si="266"/>
        <v>-289</v>
      </c>
      <c r="E4501" s="497">
        <f t="shared" ca="1" si="267"/>
        <v>5</v>
      </c>
      <c r="F4501" s="497">
        <f t="shared" ca="1" si="268"/>
        <v>40</v>
      </c>
      <c r="G4501" s="497" t="s">
        <v>9977</v>
      </c>
      <c r="H4501" s="503"/>
      <c r="I4501" s="503"/>
      <c r="J4501" s="503"/>
      <c r="K4501" s="503"/>
      <c r="L4501" s="497"/>
      <c r="M4501" s="497"/>
      <c r="N4501" s="497"/>
      <c r="O4501" s="497"/>
      <c r="P4501" s="497">
        <f t="shared" si="269"/>
        <v>191</v>
      </c>
      <c r="Q4501" s="497" t="b">
        <v>0</v>
      </c>
    </row>
    <row r="4502" spans="1:17" x14ac:dyDescent="0.35">
      <c r="A4502" s="497" t="b">
        <v>0</v>
      </c>
      <c r="B4502" s="497" t="s">
        <v>10426</v>
      </c>
      <c r="C4502" s="512">
        <v>32</v>
      </c>
      <c r="D4502" s="497">
        <f t="shared" si="266"/>
        <v>-288</v>
      </c>
      <c r="E4502" s="497">
        <f t="shared" ca="1" si="267"/>
        <v>6</v>
      </c>
      <c r="F4502" s="497">
        <f t="shared" ca="1" si="268"/>
        <v>40</v>
      </c>
      <c r="G4502" s="497" t="s">
        <v>9977</v>
      </c>
      <c r="H4502" s="503"/>
      <c r="I4502" s="503"/>
      <c r="J4502" s="503"/>
      <c r="K4502" s="503"/>
      <c r="L4502" s="497"/>
      <c r="M4502" s="497"/>
      <c r="N4502" s="497"/>
      <c r="O4502" s="497"/>
      <c r="P4502" s="497">
        <f t="shared" si="269"/>
        <v>192</v>
      </c>
      <c r="Q4502" s="497" t="b">
        <v>0</v>
      </c>
    </row>
    <row r="4503" spans="1:17" x14ac:dyDescent="0.35">
      <c r="A4503" s="497" t="b">
        <v>0</v>
      </c>
      <c r="B4503" s="497" t="s">
        <v>10427</v>
      </c>
      <c r="C4503" s="512">
        <v>33</v>
      </c>
      <c r="D4503" s="497">
        <f t="shared" ref="D4503:D4566" si="270">D4502+1</f>
        <v>-287</v>
      </c>
      <c r="E4503" s="497">
        <f t="shared" ref="E4503:E4566" ca="1" si="271">COUNTIF(C4253:C4503,C4503)</f>
        <v>1</v>
      </c>
      <c r="F4503" s="497">
        <f t="shared" ref="F4503:F4566" ca="1" si="272">IF(C4503=1,9,IF(E4502=MAX(E4501:E4503),F4501+1,F4502))</f>
        <v>41</v>
      </c>
      <c r="G4503" s="497" t="s">
        <v>9979</v>
      </c>
      <c r="H4503" s="503"/>
      <c r="I4503" s="503"/>
      <c r="J4503" s="503"/>
      <c r="K4503" s="503"/>
      <c r="L4503" s="497"/>
      <c r="M4503" s="497"/>
      <c r="N4503" s="497"/>
      <c r="O4503" s="497"/>
      <c r="P4503" s="497">
        <f t="shared" ref="P4503:P4566" si="273">IF(NOT(_xlfn.ISFORMULA(I4503)),P4502+1,0)</f>
        <v>193</v>
      </c>
      <c r="Q4503" s="497" t="b">
        <v>0</v>
      </c>
    </row>
    <row r="4504" spans="1:17" x14ac:dyDescent="0.35">
      <c r="A4504" s="497" t="b">
        <v>0</v>
      </c>
      <c r="B4504" s="497" t="s">
        <v>10428</v>
      </c>
      <c r="C4504" s="512">
        <v>33</v>
      </c>
      <c r="D4504" s="497">
        <f t="shared" si="270"/>
        <v>-286</v>
      </c>
      <c r="E4504" s="497">
        <f t="shared" ca="1" si="271"/>
        <v>2</v>
      </c>
      <c r="F4504" s="497">
        <f t="shared" ca="1" si="272"/>
        <v>41</v>
      </c>
      <c r="G4504" s="497" t="s">
        <v>9979</v>
      </c>
      <c r="H4504" s="503"/>
      <c r="I4504" s="503"/>
      <c r="J4504" s="503"/>
      <c r="K4504" s="503"/>
      <c r="L4504" s="497"/>
      <c r="M4504" s="497"/>
      <c r="N4504" s="497"/>
      <c r="O4504" s="497"/>
      <c r="P4504" s="497">
        <f t="shared" si="273"/>
        <v>194</v>
      </c>
      <c r="Q4504" s="497" t="b">
        <v>0</v>
      </c>
    </row>
    <row r="4505" spans="1:17" x14ac:dyDescent="0.35">
      <c r="A4505" s="497" t="b">
        <v>0</v>
      </c>
      <c r="B4505" s="497" t="s">
        <v>10429</v>
      </c>
      <c r="C4505" s="512">
        <v>33</v>
      </c>
      <c r="D4505" s="497">
        <f t="shared" si="270"/>
        <v>-285</v>
      </c>
      <c r="E4505" s="497">
        <f t="shared" ca="1" si="271"/>
        <v>3</v>
      </c>
      <c r="F4505" s="497">
        <f t="shared" ca="1" si="272"/>
        <v>41</v>
      </c>
      <c r="G4505" s="497" t="s">
        <v>9979</v>
      </c>
      <c r="H4505" s="503"/>
      <c r="I4505" s="503"/>
      <c r="J4505" s="503"/>
      <c r="K4505" s="503"/>
      <c r="L4505" s="497"/>
      <c r="M4505" s="497"/>
      <c r="N4505" s="497"/>
      <c r="O4505" s="497"/>
      <c r="P4505" s="497">
        <f t="shared" si="273"/>
        <v>195</v>
      </c>
      <c r="Q4505" s="497" t="b">
        <v>0</v>
      </c>
    </row>
    <row r="4506" spans="1:17" x14ac:dyDescent="0.35">
      <c r="A4506" s="497" t="b">
        <v>0</v>
      </c>
      <c r="B4506" s="497" t="s">
        <v>10430</v>
      </c>
      <c r="C4506" s="512">
        <v>33</v>
      </c>
      <c r="D4506" s="497">
        <f t="shared" si="270"/>
        <v>-284</v>
      </c>
      <c r="E4506" s="497">
        <f t="shared" ca="1" si="271"/>
        <v>4</v>
      </c>
      <c r="F4506" s="497">
        <f t="shared" ca="1" si="272"/>
        <v>41</v>
      </c>
      <c r="G4506" s="497" t="s">
        <v>9979</v>
      </c>
      <c r="H4506" s="503"/>
      <c r="I4506" s="503"/>
      <c r="J4506" s="503"/>
      <c r="K4506" s="503"/>
      <c r="L4506" s="497"/>
      <c r="M4506" s="497"/>
      <c r="N4506" s="497"/>
      <c r="O4506" s="497"/>
      <c r="P4506" s="497">
        <f t="shared" si="273"/>
        <v>196</v>
      </c>
      <c r="Q4506" s="497" t="b">
        <v>0</v>
      </c>
    </row>
    <row r="4507" spans="1:17" x14ac:dyDescent="0.35">
      <c r="A4507" s="497" t="b">
        <v>0</v>
      </c>
      <c r="B4507" s="497" t="s">
        <v>10431</v>
      </c>
      <c r="C4507" s="512">
        <v>33</v>
      </c>
      <c r="D4507" s="497">
        <f t="shared" si="270"/>
        <v>-283</v>
      </c>
      <c r="E4507" s="497">
        <f t="shared" ca="1" si="271"/>
        <v>5</v>
      </c>
      <c r="F4507" s="497">
        <f t="shared" ca="1" si="272"/>
        <v>41</v>
      </c>
      <c r="G4507" s="497" t="s">
        <v>9979</v>
      </c>
      <c r="H4507" s="503"/>
      <c r="I4507" s="503"/>
      <c r="J4507" s="503"/>
      <c r="K4507" s="503"/>
      <c r="L4507" s="497"/>
      <c r="M4507" s="497"/>
      <c r="N4507" s="497"/>
      <c r="O4507" s="497"/>
      <c r="P4507" s="497">
        <f t="shared" si="273"/>
        <v>197</v>
      </c>
      <c r="Q4507" s="497" t="b">
        <v>0</v>
      </c>
    </row>
    <row r="4508" spans="1:17" x14ac:dyDescent="0.35">
      <c r="A4508" s="497" t="b">
        <v>0</v>
      </c>
      <c r="B4508" s="497" t="s">
        <v>10432</v>
      </c>
      <c r="C4508" s="512">
        <v>33</v>
      </c>
      <c r="D4508" s="497">
        <f t="shared" si="270"/>
        <v>-282</v>
      </c>
      <c r="E4508" s="497">
        <f t="shared" ca="1" si="271"/>
        <v>6</v>
      </c>
      <c r="F4508" s="497">
        <f t="shared" ca="1" si="272"/>
        <v>41</v>
      </c>
      <c r="G4508" s="497" t="s">
        <v>9979</v>
      </c>
      <c r="H4508" s="503"/>
      <c r="I4508" s="503"/>
      <c r="J4508" s="503"/>
      <c r="K4508" s="503"/>
      <c r="L4508" s="497"/>
      <c r="M4508" s="497"/>
      <c r="N4508" s="497"/>
      <c r="O4508" s="497"/>
      <c r="P4508" s="497">
        <f t="shared" si="273"/>
        <v>198</v>
      </c>
      <c r="Q4508" s="497" t="b">
        <v>0</v>
      </c>
    </row>
    <row r="4509" spans="1:17" x14ac:dyDescent="0.35">
      <c r="A4509" s="497" t="b">
        <v>0</v>
      </c>
      <c r="B4509" s="497" t="s">
        <v>10433</v>
      </c>
      <c r="C4509" s="512">
        <v>34</v>
      </c>
      <c r="D4509" s="497">
        <f t="shared" si="270"/>
        <v>-281</v>
      </c>
      <c r="E4509" s="497">
        <f t="shared" ca="1" si="271"/>
        <v>1</v>
      </c>
      <c r="F4509" s="497">
        <f t="shared" ca="1" si="272"/>
        <v>42</v>
      </c>
      <c r="G4509" s="497" t="s">
        <v>9981</v>
      </c>
      <c r="H4509" s="503"/>
      <c r="I4509" s="503"/>
      <c r="J4509" s="503"/>
      <c r="K4509" s="503"/>
      <c r="L4509" s="497"/>
      <c r="M4509" s="497"/>
      <c r="N4509" s="497"/>
      <c r="O4509" s="497"/>
      <c r="P4509" s="497">
        <f t="shared" si="273"/>
        <v>199</v>
      </c>
      <c r="Q4509" s="497" t="b">
        <v>0</v>
      </c>
    </row>
    <row r="4510" spans="1:17" x14ac:dyDescent="0.35">
      <c r="A4510" s="497" t="b">
        <v>0</v>
      </c>
      <c r="B4510" s="497" t="s">
        <v>10434</v>
      </c>
      <c r="C4510" s="512">
        <v>34</v>
      </c>
      <c r="D4510" s="497">
        <f t="shared" si="270"/>
        <v>-280</v>
      </c>
      <c r="E4510" s="497">
        <f t="shared" ca="1" si="271"/>
        <v>2</v>
      </c>
      <c r="F4510" s="497">
        <f t="shared" ca="1" si="272"/>
        <v>42</v>
      </c>
      <c r="G4510" s="497" t="s">
        <v>9981</v>
      </c>
      <c r="H4510" s="503"/>
      <c r="I4510" s="503"/>
      <c r="J4510" s="503"/>
      <c r="K4510" s="503"/>
      <c r="L4510" s="497"/>
      <c r="M4510" s="497"/>
      <c r="N4510" s="497"/>
      <c r="O4510" s="497"/>
      <c r="P4510" s="497">
        <f t="shared" si="273"/>
        <v>200</v>
      </c>
      <c r="Q4510" s="497" t="b">
        <v>0</v>
      </c>
    </row>
    <row r="4511" spans="1:17" x14ac:dyDescent="0.35">
      <c r="A4511" s="497" t="b">
        <v>0</v>
      </c>
      <c r="B4511" s="497" t="s">
        <v>10435</v>
      </c>
      <c r="C4511" s="512">
        <v>34</v>
      </c>
      <c r="D4511" s="497">
        <f t="shared" si="270"/>
        <v>-279</v>
      </c>
      <c r="E4511" s="497">
        <f t="shared" ca="1" si="271"/>
        <v>3</v>
      </c>
      <c r="F4511" s="497">
        <f t="shared" ca="1" si="272"/>
        <v>42</v>
      </c>
      <c r="G4511" s="497" t="s">
        <v>9981</v>
      </c>
      <c r="H4511" s="503"/>
      <c r="I4511" s="503"/>
      <c r="J4511" s="503"/>
      <c r="K4511" s="503"/>
      <c r="L4511" s="497"/>
      <c r="M4511" s="497"/>
      <c r="N4511" s="497"/>
      <c r="O4511" s="497"/>
      <c r="P4511" s="497">
        <f t="shared" si="273"/>
        <v>201</v>
      </c>
      <c r="Q4511" s="497" t="b">
        <v>0</v>
      </c>
    </row>
    <row r="4512" spans="1:17" x14ac:dyDescent="0.35">
      <c r="A4512" s="497" t="b">
        <v>0</v>
      </c>
      <c r="B4512" s="497" t="s">
        <v>10436</v>
      </c>
      <c r="C4512" s="512">
        <v>34</v>
      </c>
      <c r="D4512" s="497">
        <f t="shared" si="270"/>
        <v>-278</v>
      </c>
      <c r="E4512" s="497">
        <f t="shared" ca="1" si="271"/>
        <v>4</v>
      </c>
      <c r="F4512" s="497">
        <f t="shared" ca="1" si="272"/>
        <v>42</v>
      </c>
      <c r="G4512" s="497" t="s">
        <v>9981</v>
      </c>
      <c r="H4512" s="503"/>
      <c r="I4512" s="503"/>
      <c r="J4512" s="503"/>
      <c r="K4512" s="503"/>
      <c r="L4512" s="497"/>
      <c r="M4512" s="497"/>
      <c r="N4512" s="497"/>
      <c r="O4512" s="497"/>
      <c r="P4512" s="497">
        <f t="shared" si="273"/>
        <v>202</v>
      </c>
      <c r="Q4512" s="497" t="b">
        <v>0</v>
      </c>
    </row>
    <row r="4513" spans="1:17" x14ac:dyDescent="0.35">
      <c r="A4513" s="497" t="b">
        <v>0</v>
      </c>
      <c r="B4513" s="497" t="s">
        <v>10437</v>
      </c>
      <c r="C4513" s="512">
        <v>34</v>
      </c>
      <c r="D4513" s="497">
        <f t="shared" si="270"/>
        <v>-277</v>
      </c>
      <c r="E4513" s="497">
        <f t="shared" ca="1" si="271"/>
        <v>5</v>
      </c>
      <c r="F4513" s="497">
        <f t="shared" ca="1" si="272"/>
        <v>42</v>
      </c>
      <c r="G4513" s="497" t="s">
        <v>9981</v>
      </c>
      <c r="H4513" s="503"/>
      <c r="I4513" s="503"/>
      <c r="J4513" s="503"/>
      <c r="K4513" s="503"/>
      <c r="L4513" s="497"/>
      <c r="M4513" s="497"/>
      <c r="N4513" s="497"/>
      <c r="O4513" s="497"/>
      <c r="P4513" s="497">
        <f t="shared" si="273"/>
        <v>203</v>
      </c>
      <c r="Q4513" s="497" t="b">
        <v>0</v>
      </c>
    </row>
    <row r="4514" spans="1:17" x14ac:dyDescent="0.35">
      <c r="A4514" s="497" t="b">
        <v>0</v>
      </c>
      <c r="B4514" s="497" t="s">
        <v>10438</v>
      </c>
      <c r="C4514" s="512">
        <v>34</v>
      </c>
      <c r="D4514" s="497">
        <f t="shared" si="270"/>
        <v>-276</v>
      </c>
      <c r="E4514" s="497">
        <f t="shared" ca="1" si="271"/>
        <v>6</v>
      </c>
      <c r="F4514" s="497">
        <f t="shared" ca="1" si="272"/>
        <v>42</v>
      </c>
      <c r="G4514" s="497" t="s">
        <v>9981</v>
      </c>
      <c r="H4514" s="503"/>
      <c r="I4514" s="503"/>
      <c r="J4514" s="503"/>
      <c r="K4514" s="503"/>
      <c r="L4514" s="497"/>
      <c r="M4514" s="497"/>
      <c r="N4514" s="497"/>
      <c r="O4514" s="497"/>
      <c r="P4514" s="497">
        <f t="shared" si="273"/>
        <v>204</v>
      </c>
      <c r="Q4514" s="497" t="b">
        <v>0</v>
      </c>
    </row>
    <row r="4515" spans="1:17" x14ac:dyDescent="0.35">
      <c r="A4515" s="497" t="b">
        <v>0</v>
      </c>
      <c r="B4515" s="497" t="s">
        <v>10439</v>
      </c>
      <c r="C4515" s="512">
        <v>35</v>
      </c>
      <c r="D4515" s="497">
        <f t="shared" si="270"/>
        <v>-275</v>
      </c>
      <c r="E4515" s="497">
        <f t="shared" ca="1" si="271"/>
        <v>1</v>
      </c>
      <c r="F4515" s="497">
        <f t="shared" ca="1" si="272"/>
        <v>43</v>
      </c>
      <c r="G4515" s="497" t="s">
        <v>9983</v>
      </c>
      <c r="H4515" s="503"/>
      <c r="I4515" s="503"/>
      <c r="J4515" s="503"/>
      <c r="K4515" s="503"/>
      <c r="L4515" s="497"/>
      <c r="M4515" s="497"/>
      <c r="N4515" s="497"/>
      <c r="O4515" s="497"/>
      <c r="P4515" s="497">
        <f t="shared" si="273"/>
        <v>205</v>
      </c>
      <c r="Q4515" s="497" t="b">
        <v>0</v>
      </c>
    </row>
    <row r="4516" spans="1:17" x14ac:dyDescent="0.35">
      <c r="A4516" s="497" t="b">
        <v>0</v>
      </c>
      <c r="B4516" s="497" t="s">
        <v>10440</v>
      </c>
      <c r="C4516" s="512">
        <v>35</v>
      </c>
      <c r="D4516" s="497">
        <f t="shared" si="270"/>
        <v>-274</v>
      </c>
      <c r="E4516" s="497">
        <f t="shared" ca="1" si="271"/>
        <v>2</v>
      </c>
      <c r="F4516" s="497">
        <f t="shared" ca="1" si="272"/>
        <v>43</v>
      </c>
      <c r="G4516" s="497" t="s">
        <v>9983</v>
      </c>
      <c r="H4516" s="503"/>
      <c r="I4516" s="503"/>
      <c r="J4516" s="503"/>
      <c r="K4516" s="503"/>
      <c r="L4516" s="497"/>
      <c r="M4516" s="497"/>
      <c r="N4516" s="497"/>
      <c r="O4516" s="497"/>
      <c r="P4516" s="497">
        <f t="shared" si="273"/>
        <v>206</v>
      </c>
      <c r="Q4516" s="497" t="b">
        <v>0</v>
      </c>
    </row>
    <row r="4517" spans="1:17" x14ac:dyDescent="0.35">
      <c r="A4517" s="497" t="b">
        <v>0</v>
      </c>
      <c r="B4517" s="497" t="s">
        <v>10441</v>
      </c>
      <c r="C4517" s="512">
        <v>35</v>
      </c>
      <c r="D4517" s="497">
        <f t="shared" si="270"/>
        <v>-273</v>
      </c>
      <c r="E4517" s="497">
        <f t="shared" ca="1" si="271"/>
        <v>3</v>
      </c>
      <c r="F4517" s="497">
        <f t="shared" ca="1" si="272"/>
        <v>43</v>
      </c>
      <c r="G4517" s="497" t="s">
        <v>9983</v>
      </c>
      <c r="H4517" s="503"/>
      <c r="I4517" s="503"/>
      <c r="J4517" s="503"/>
      <c r="K4517" s="503"/>
      <c r="L4517" s="497"/>
      <c r="M4517" s="497"/>
      <c r="N4517" s="497"/>
      <c r="O4517" s="497"/>
      <c r="P4517" s="497">
        <f t="shared" si="273"/>
        <v>207</v>
      </c>
      <c r="Q4517" s="497" t="b">
        <v>0</v>
      </c>
    </row>
    <row r="4518" spans="1:17" x14ac:dyDescent="0.35">
      <c r="A4518" s="497" t="b">
        <v>0</v>
      </c>
      <c r="B4518" s="497" t="s">
        <v>10442</v>
      </c>
      <c r="C4518" s="512">
        <v>35</v>
      </c>
      <c r="D4518" s="497">
        <f t="shared" si="270"/>
        <v>-272</v>
      </c>
      <c r="E4518" s="497">
        <f t="shared" ca="1" si="271"/>
        <v>4</v>
      </c>
      <c r="F4518" s="497">
        <f t="shared" ca="1" si="272"/>
        <v>43</v>
      </c>
      <c r="G4518" s="497" t="s">
        <v>9983</v>
      </c>
      <c r="H4518" s="503"/>
      <c r="I4518" s="503"/>
      <c r="J4518" s="503"/>
      <c r="K4518" s="503"/>
      <c r="L4518" s="497"/>
      <c r="M4518" s="497"/>
      <c r="N4518" s="497"/>
      <c r="O4518" s="497"/>
      <c r="P4518" s="497">
        <f t="shared" si="273"/>
        <v>208</v>
      </c>
      <c r="Q4518" s="497" t="b">
        <v>0</v>
      </c>
    </row>
    <row r="4519" spans="1:17" x14ac:dyDescent="0.35">
      <c r="A4519" s="497" t="b">
        <v>0</v>
      </c>
      <c r="B4519" s="497" t="s">
        <v>10443</v>
      </c>
      <c r="C4519" s="512">
        <v>35</v>
      </c>
      <c r="D4519" s="497">
        <f t="shared" si="270"/>
        <v>-271</v>
      </c>
      <c r="E4519" s="497">
        <f t="shared" ca="1" si="271"/>
        <v>5</v>
      </c>
      <c r="F4519" s="497">
        <f t="shared" ca="1" si="272"/>
        <v>43</v>
      </c>
      <c r="G4519" s="497" t="s">
        <v>9983</v>
      </c>
      <c r="H4519" s="503"/>
      <c r="I4519" s="503"/>
      <c r="J4519" s="503"/>
      <c r="K4519" s="503"/>
      <c r="L4519" s="497"/>
      <c r="M4519" s="497"/>
      <c r="N4519" s="497"/>
      <c r="O4519" s="497"/>
      <c r="P4519" s="497">
        <f t="shared" si="273"/>
        <v>209</v>
      </c>
      <c r="Q4519" s="497" t="b">
        <v>0</v>
      </c>
    </row>
    <row r="4520" spans="1:17" x14ac:dyDescent="0.35">
      <c r="A4520" s="497" t="b">
        <v>0</v>
      </c>
      <c r="B4520" s="497" t="s">
        <v>10444</v>
      </c>
      <c r="C4520" s="512">
        <v>35</v>
      </c>
      <c r="D4520" s="497">
        <f t="shared" si="270"/>
        <v>-270</v>
      </c>
      <c r="E4520" s="497">
        <f t="shared" ca="1" si="271"/>
        <v>6</v>
      </c>
      <c r="F4520" s="497">
        <f t="shared" ca="1" si="272"/>
        <v>43</v>
      </c>
      <c r="G4520" s="497" t="s">
        <v>9983</v>
      </c>
      <c r="H4520" s="503"/>
      <c r="I4520" s="503"/>
      <c r="J4520" s="503"/>
      <c r="K4520" s="503"/>
      <c r="L4520" s="497"/>
      <c r="M4520" s="497"/>
      <c r="N4520" s="497"/>
      <c r="O4520" s="497"/>
      <c r="P4520" s="497">
        <f t="shared" si="273"/>
        <v>210</v>
      </c>
      <c r="Q4520" s="497" t="b">
        <v>0</v>
      </c>
    </row>
    <row r="4521" spans="1:17" x14ac:dyDescent="0.35">
      <c r="A4521" s="497" t="b">
        <v>0</v>
      </c>
      <c r="B4521" s="497" t="s">
        <v>10445</v>
      </c>
      <c r="C4521" s="512">
        <v>36</v>
      </c>
      <c r="D4521" s="497">
        <f t="shared" si="270"/>
        <v>-269</v>
      </c>
      <c r="E4521" s="497">
        <f t="shared" ca="1" si="271"/>
        <v>1</v>
      </c>
      <c r="F4521" s="497">
        <f t="shared" ca="1" si="272"/>
        <v>44</v>
      </c>
      <c r="G4521" s="497" t="s">
        <v>9985</v>
      </c>
      <c r="H4521" s="503"/>
      <c r="I4521" s="503"/>
      <c r="J4521" s="503"/>
      <c r="K4521" s="503"/>
      <c r="L4521" s="497"/>
      <c r="M4521" s="497"/>
      <c r="N4521" s="497"/>
      <c r="O4521" s="497"/>
      <c r="P4521" s="497">
        <f t="shared" si="273"/>
        <v>211</v>
      </c>
      <c r="Q4521" s="497" t="b">
        <v>0</v>
      </c>
    </row>
    <row r="4522" spans="1:17" x14ac:dyDescent="0.35">
      <c r="A4522" s="497" t="b">
        <v>0</v>
      </c>
      <c r="B4522" s="497" t="s">
        <v>10446</v>
      </c>
      <c r="C4522" s="512">
        <v>36</v>
      </c>
      <c r="D4522" s="497">
        <f t="shared" si="270"/>
        <v>-268</v>
      </c>
      <c r="E4522" s="497">
        <f t="shared" ca="1" si="271"/>
        <v>2</v>
      </c>
      <c r="F4522" s="497">
        <f t="shared" ca="1" si="272"/>
        <v>44</v>
      </c>
      <c r="G4522" s="497" t="s">
        <v>9985</v>
      </c>
      <c r="H4522" s="503"/>
      <c r="I4522" s="503"/>
      <c r="J4522" s="503"/>
      <c r="K4522" s="503"/>
      <c r="L4522" s="497"/>
      <c r="M4522" s="497"/>
      <c r="N4522" s="497"/>
      <c r="O4522" s="497"/>
      <c r="P4522" s="497">
        <f t="shared" si="273"/>
        <v>212</v>
      </c>
      <c r="Q4522" s="497" t="b">
        <v>0</v>
      </c>
    </row>
    <row r="4523" spans="1:17" x14ac:dyDescent="0.35">
      <c r="A4523" s="497" t="b">
        <v>0</v>
      </c>
      <c r="B4523" s="497" t="s">
        <v>10447</v>
      </c>
      <c r="C4523" s="512">
        <v>36</v>
      </c>
      <c r="D4523" s="497">
        <f t="shared" si="270"/>
        <v>-267</v>
      </c>
      <c r="E4523" s="497">
        <f t="shared" ca="1" si="271"/>
        <v>3</v>
      </c>
      <c r="F4523" s="497">
        <f t="shared" ca="1" si="272"/>
        <v>44</v>
      </c>
      <c r="G4523" s="497" t="s">
        <v>9985</v>
      </c>
      <c r="H4523" s="503"/>
      <c r="I4523" s="503"/>
      <c r="J4523" s="503"/>
      <c r="K4523" s="503"/>
      <c r="L4523" s="497"/>
      <c r="M4523" s="497"/>
      <c r="N4523" s="497"/>
      <c r="O4523" s="497"/>
      <c r="P4523" s="497">
        <f t="shared" si="273"/>
        <v>213</v>
      </c>
      <c r="Q4523" s="497" t="b">
        <v>0</v>
      </c>
    </row>
    <row r="4524" spans="1:17" x14ac:dyDescent="0.35">
      <c r="A4524" s="497" t="b">
        <v>0</v>
      </c>
      <c r="B4524" s="497" t="s">
        <v>10448</v>
      </c>
      <c r="C4524" s="512">
        <v>36</v>
      </c>
      <c r="D4524" s="497">
        <f t="shared" si="270"/>
        <v>-266</v>
      </c>
      <c r="E4524" s="497">
        <f t="shared" ca="1" si="271"/>
        <v>4</v>
      </c>
      <c r="F4524" s="497">
        <f t="shared" ca="1" si="272"/>
        <v>44</v>
      </c>
      <c r="G4524" s="497" t="s">
        <v>9985</v>
      </c>
      <c r="H4524" s="503"/>
      <c r="I4524" s="503"/>
      <c r="J4524" s="503"/>
      <c r="K4524" s="503"/>
      <c r="L4524" s="497"/>
      <c r="M4524" s="497"/>
      <c r="N4524" s="497"/>
      <c r="O4524" s="497"/>
      <c r="P4524" s="497">
        <f t="shared" si="273"/>
        <v>214</v>
      </c>
      <c r="Q4524" s="497" t="b">
        <v>0</v>
      </c>
    </row>
    <row r="4525" spans="1:17" x14ac:dyDescent="0.35">
      <c r="A4525" s="497" t="b">
        <v>0</v>
      </c>
      <c r="B4525" s="497" t="s">
        <v>10449</v>
      </c>
      <c r="C4525" s="512">
        <v>36</v>
      </c>
      <c r="D4525" s="497">
        <f t="shared" si="270"/>
        <v>-265</v>
      </c>
      <c r="E4525" s="497">
        <f t="shared" ca="1" si="271"/>
        <v>5</v>
      </c>
      <c r="F4525" s="497">
        <f t="shared" ca="1" si="272"/>
        <v>44</v>
      </c>
      <c r="G4525" s="497" t="s">
        <v>9985</v>
      </c>
      <c r="H4525" s="503"/>
      <c r="I4525" s="503"/>
      <c r="J4525" s="503"/>
      <c r="K4525" s="503"/>
      <c r="L4525" s="497"/>
      <c r="M4525" s="497"/>
      <c r="N4525" s="497"/>
      <c r="O4525" s="497"/>
      <c r="P4525" s="497">
        <f t="shared" si="273"/>
        <v>215</v>
      </c>
      <c r="Q4525" s="497" t="b">
        <v>0</v>
      </c>
    </row>
    <row r="4526" spans="1:17" x14ac:dyDescent="0.35">
      <c r="A4526" s="497" t="b">
        <v>0</v>
      </c>
      <c r="B4526" s="497" t="s">
        <v>10450</v>
      </c>
      <c r="C4526" s="512">
        <v>36</v>
      </c>
      <c r="D4526" s="497">
        <f t="shared" si="270"/>
        <v>-264</v>
      </c>
      <c r="E4526" s="497">
        <f t="shared" ca="1" si="271"/>
        <v>6</v>
      </c>
      <c r="F4526" s="497">
        <f t="shared" ca="1" si="272"/>
        <v>44</v>
      </c>
      <c r="G4526" s="497" t="s">
        <v>9985</v>
      </c>
      <c r="H4526" s="503"/>
      <c r="I4526" s="503"/>
      <c r="J4526" s="503"/>
      <c r="K4526" s="503"/>
      <c r="L4526" s="497"/>
      <c r="M4526" s="497"/>
      <c r="N4526" s="497"/>
      <c r="O4526" s="497"/>
      <c r="P4526" s="497">
        <f t="shared" si="273"/>
        <v>216</v>
      </c>
      <c r="Q4526" s="497" t="b">
        <v>0</v>
      </c>
    </row>
    <row r="4527" spans="1:17" x14ac:dyDescent="0.35">
      <c r="A4527" s="497" t="b">
        <v>0</v>
      </c>
      <c r="B4527" s="497" t="s">
        <v>10451</v>
      </c>
      <c r="C4527" s="512">
        <v>37</v>
      </c>
      <c r="D4527" s="497">
        <f t="shared" si="270"/>
        <v>-263</v>
      </c>
      <c r="E4527" s="497">
        <f t="shared" ca="1" si="271"/>
        <v>1</v>
      </c>
      <c r="F4527" s="497">
        <f t="shared" ca="1" si="272"/>
        <v>45</v>
      </c>
      <c r="G4527" s="497" t="s">
        <v>9987</v>
      </c>
      <c r="H4527" s="503"/>
      <c r="I4527" s="503"/>
      <c r="J4527" s="503"/>
      <c r="K4527" s="503"/>
      <c r="L4527" s="497"/>
      <c r="M4527" s="497"/>
      <c r="N4527" s="497"/>
      <c r="O4527" s="497"/>
      <c r="P4527" s="497">
        <f t="shared" si="273"/>
        <v>217</v>
      </c>
      <c r="Q4527" s="497" t="b">
        <v>0</v>
      </c>
    </row>
    <row r="4528" spans="1:17" x14ac:dyDescent="0.35">
      <c r="A4528" s="497" t="b">
        <v>0</v>
      </c>
      <c r="B4528" s="497" t="s">
        <v>10452</v>
      </c>
      <c r="C4528" s="512">
        <v>37</v>
      </c>
      <c r="D4528" s="497">
        <f t="shared" si="270"/>
        <v>-262</v>
      </c>
      <c r="E4528" s="497">
        <f t="shared" ca="1" si="271"/>
        <v>2</v>
      </c>
      <c r="F4528" s="497">
        <f t="shared" ca="1" si="272"/>
        <v>45</v>
      </c>
      <c r="G4528" s="497" t="s">
        <v>9987</v>
      </c>
      <c r="H4528" s="503"/>
      <c r="I4528" s="503"/>
      <c r="J4528" s="503"/>
      <c r="K4528" s="503"/>
      <c r="L4528" s="497"/>
      <c r="M4528" s="497"/>
      <c r="N4528" s="497"/>
      <c r="O4528" s="497"/>
      <c r="P4528" s="497">
        <f t="shared" si="273"/>
        <v>218</v>
      </c>
      <c r="Q4528" s="497" t="b">
        <v>0</v>
      </c>
    </row>
    <row r="4529" spans="1:17" x14ac:dyDescent="0.35">
      <c r="A4529" s="497" t="b">
        <v>0</v>
      </c>
      <c r="B4529" s="497" t="s">
        <v>10453</v>
      </c>
      <c r="C4529" s="512">
        <v>37</v>
      </c>
      <c r="D4529" s="497">
        <f t="shared" si="270"/>
        <v>-261</v>
      </c>
      <c r="E4529" s="497">
        <f t="shared" ca="1" si="271"/>
        <v>3</v>
      </c>
      <c r="F4529" s="497">
        <f t="shared" ca="1" si="272"/>
        <v>45</v>
      </c>
      <c r="G4529" s="497" t="s">
        <v>9987</v>
      </c>
      <c r="H4529" s="503"/>
      <c r="I4529" s="503"/>
      <c r="J4529" s="503"/>
      <c r="K4529" s="503"/>
      <c r="L4529" s="497"/>
      <c r="M4529" s="497"/>
      <c r="N4529" s="497"/>
      <c r="O4529" s="497"/>
      <c r="P4529" s="497">
        <f t="shared" si="273"/>
        <v>219</v>
      </c>
      <c r="Q4529" s="497" t="b">
        <v>0</v>
      </c>
    </row>
    <row r="4530" spans="1:17" x14ac:dyDescent="0.35">
      <c r="A4530" s="497" t="b">
        <v>0</v>
      </c>
      <c r="B4530" s="497" t="s">
        <v>10454</v>
      </c>
      <c r="C4530" s="512">
        <v>37</v>
      </c>
      <c r="D4530" s="497">
        <f t="shared" si="270"/>
        <v>-260</v>
      </c>
      <c r="E4530" s="497">
        <f t="shared" ca="1" si="271"/>
        <v>4</v>
      </c>
      <c r="F4530" s="497">
        <f t="shared" ca="1" si="272"/>
        <v>45</v>
      </c>
      <c r="G4530" s="497" t="s">
        <v>9987</v>
      </c>
      <c r="H4530" s="503"/>
      <c r="I4530" s="503"/>
      <c r="J4530" s="503"/>
      <c r="K4530" s="503"/>
      <c r="L4530" s="497"/>
      <c r="M4530" s="497"/>
      <c r="N4530" s="497"/>
      <c r="O4530" s="497"/>
      <c r="P4530" s="497">
        <f t="shared" si="273"/>
        <v>220</v>
      </c>
      <c r="Q4530" s="497" t="b">
        <v>0</v>
      </c>
    </row>
    <row r="4531" spans="1:17" x14ac:dyDescent="0.35">
      <c r="A4531" s="497" t="b">
        <v>0</v>
      </c>
      <c r="B4531" s="497" t="s">
        <v>10455</v>
      </c>
      <c r="C4531" s="512">
        <v>37</v>
      </c>
      <c r="D4531" s="497">
        <f t="shared" si="270"/>
        <v>-259</v>
      </c>
      <c r="E4531" s="497">
        <f t="shared" ca="1" si="271"/>
        <v>5</v>
      </c>
      <c r="F4531" s="497">
        <f t="shared" ca="1" si="272"/>
        <v>45</v>
      </c>
      <c r="G4531" s="497" t="s">
        <v>9987</v>
      </c>
      <c r="H4531" s="503"/>
      <c r="I4531" s="503"/>
      <c r="J4531" s="503"/>
      <c r="K4531" s="503"/>
      <c r="L4531" s="497"/>
      <c r="M4531" s="497"/>
      <c r="N4531" s="497"/>
      <c r="O4531" s="497"/>
      <c r="P4531" s="497">
        <f t="shared" si="273"/>
        <v>221</v>
      </c>
      <c r="Q4531" s="497" t="b">
        <v>0</v>
      </c>
    </row>
    <row r="4532" spans="1:17" x14ac:dyDescent="0.35">
      <c r="A4532" s="497" t="b">
        <v>0</v>
      </c>
      <c r="B4532" s="497" t="s">
        <v>10456</v>
      </c>
      <c r="C4532" s="512">
        <v>37</v>
      </c>
      <c r="D4532" s="497">
        <f t="shared" si="270"/>
        <v>-258</v>
      </c>
      <c r="E4532" s="497">
        <f t="shared" ca="1" si="271"/>
        <v>6</v>
      </c>
      <c r="F4532" s="497">
        <f t="shared" ca="1" si="272"/>
        <v>45</v>
      </c>
      <c r="G4532" s="497" t="s">
        <v>9987</v>
      </c>
      <c r="H4532" s="503"/>
      <c r="I4532" s="503"/>
      <c r="J4532" s="503"/>
      <c r="K4532" s="503"/>
      <c r="L4532" s="497"/>
      <c r="M4532" s="497"/>
      <c r="N4532" s="497"/>
      <c r="O4532" s="497"/>
      <c r="P4532" s="497">
        <f t="shared" si="273"/>
        <v>222</v>
      </c>
      <c r="Q4532" s="497" t="b">
        <v>0</v>
      </c>
    </row>
    <row r="4533" spans="1:17" x14ac:dyDescent="0.35">
      <c r="A4533" s="497" t="b">
        <v>0</v>
      </c>
      <c r="B4533" s="497" t="s">
        <v>10457</v>
      </c>
      <c r="C4533" s="512">
        <v>38</v>
      </c>
      <c r="D4533" s="497">
        <f t="shared" si="270"/>
        <v>-257</v>
      </c>
      <c r="E4533" s="497">
        <f t="shared" ca="1" si="271"/>
        <v>1</v>
      </c>
      <c r="F4533" s="497">
        <f t="shared" ca="1" si="272"/>
        <v>46</v>
      </c>
      <c r="G4533" s="497" t="s">
        <v>9989</v>
      </c>
      <c r="H4533" s="503"/>
      <c r="I4533" s="503"/>
      <c r="J4533" s="503"/>
      <c r="K4533" s="503"/>
      <c r="L4533" s="497"/>
      <c r="M4533" s="497"/>
      <c r="N4533" s="497"/>
      <c r="O4533" s="497"/>
      <c r="P4533" s="497">
        <f t="shared" si="273"/>
        <v>223</v>
      </c>
      <c r="Q4533" s="497" t="b">
        <v>0</v>
      </c>
    </row>
    <row r="4534" spans="1:17" x14ac:dyDescent="0.35">
      <c r="A4534" s="497" t="b">
        <v>0</v>
      </c>
      <c r="B4534" s="497" t="s">
        <v>10458</v>
      </c>
      <c r="C4534" s="512">
        <v>38</v>
      </c>
      <c r="D4534" s="497">
        <f t="shared" si="270"/>
        <v>-256</v>
      </c>
      <c r="E4534" s="497">
        <f t="shared" ca="1" si="271"/>
        <v>2</v>
      </c>
      <c r="F4534" s="497">
        <f t="shared" ca="1" si="272"/>
        <v>46</v>
      </c>
      <c r="G4534" s="497" t="s">
        <v>9989</v>
      </c>
      <c r="H4534" s="503"/>
      <c r="I4534" s="503"/>
      <c r="J4534" s="503"/>
      <c r="K4534" s="503"/>
      <c r="L4534" s="497"/>
      <c r="M4534" s="497"/>
      <c r="N4534" s="497"/>
      <c r="O4534" s="497"/>
      <c r="P4534" s="497">
        <f t="shared" si="273"/>
        <v>224</v>
      </c>
      <c r="Q4534" s="497" t="b">
        <v>0</v>
      </c>
    </row>
    <row r="4535" spans="1:17" x14ac:dyDescent="0.35">
      <c r="A4535" s="497" t="b">
        <v>0</v>
      </c>
      <c r="B4535" s="497" t="s">
        <v>10459</v>
      </c>
      <c r="C4535" s="512">
        <v>38</v>
      </c>
      <c r="D4535" s="497">
        <f t="shared" si="270"/>
        <v>-255</v>
      </c>
      <c r="E4535" s="497">
        <f t="shared" ca="1" si="271"/>
        <v>3</v>
      </c>
      <c r="F4535" s="497">
        <f t="shared" ca="1" si="272"/>
        <v>46</v>
      </c>
      <c r="G4535" s="497" t="s">
        <v>9989</v>
      </c>
      <c r="H4535" s="503"/>
      <c r="I4535" s="503"/>
      <c r="J4535" s="503"/>
      <c r="K4535" s="503"/>
      <c r="L4535" s="497"/>
      <c r="M4535" s="497"/>
      <c r="N4535" s="497"/>
      <c r="O4535" s="497"/>
      <c r="P4535" s="497">
        <f t="shared" si="273"/>
        <v>225</v>
      </c>
      <c r="Q4535" s="497" t="b">
        <v>0</v>
      </c>
    </row>
    <row r="4536" spans="1:17" x14ac:dyDescent="0.35">
      <c r="A4536" s="497" t="b">
        <v>0</v>
      </c>
      <c r="B4536" s="497" t="s">
        <v>10460</v>
      </c>
      <c r="C4536" s="512">
        <v>38</v>
      </c>
      <c r="D4536" s="497">
        <f t="shared" si="270"/>
        <v>-254</v>
      </c>
      <c r="E4536" s="497">
        <f t="shared" ca="1" si="271"/>
        <v>4</v>
      </c>
      <c r="F4536" s="497">
        <f t="shared" ca="1" si="272"/>
        <v>46</v>
      </c>
      <c r="G4536" s="497" t="s">
        <v>9989</v>
      </c>
      <c r="H4536" s="503"/>
      <c r="I4536" s="503"/>
      <c r="J4536" s="503"/>
      <c r="K4536" s="503"/>
      <c r="L4536" s="497"/>
      <c r="M4536" s="497"/>
      <c r="N4536" s="497"/>
      <c r="O4536" s="497"/>
      <c r="P4536" s="497">
        <f t="shared" si="273"/>
        <v>226</v>
      </c>
      <c r="Q4536" s="497" t="b">
        <v>0</v>
      </c>
    </row>
    <row r="4537" spans="1:17" x14ac:dyDescent="0.35">
      <c r="A4537" s="497" t="b">
        <v>0</v>
      </c>
      <c r="B4537" s="497" t="s">
        <v>10461</v>
      </c>
      <c r="C4537" s="512">
        <v>38</v>
      </c>
      <c r="D4537" s="497">
        <f t="shared" si="270"/>
        <v>-253</v>
      </c>
      <c r="E4537" s="497">
        <f t="shared" ca="1" si="271"/>
        <v>5</v>
      </c>
      <c r="F4537" s="497">
        <f t="shared" ca="1" si="272"/>
        <v>46</v>
      </c>
      <c r="G4537" s="497" t="s">
        <v>9989</v>
      </c>
      <c r="H4537" s="503"/>
      <c r="I4537" s="503"/>
      <c r="J4537" s="503"/>
      <c r="K4537" s="503"/>
      <c r="L4537" s="497"/>
      <c r="M4537" s="497"/>
      <c r="N4537" s="497"/>
      <c r="O4537" s="497"/>
      <c r="P4537" s="497">
        <f t="shared" si="273"/>
        <v>227</v>
      </c>
      <c r="Q4537" s="497" t="b">
        <v>0</v>
      </c>
    </row>
    <row r="4538" spans="1:17" x14ac:dyDescent="0.35">
      <c r="A4538" s="497" t="b">
        <v>0</v>
      </c>
      <c r="B4538" s="497" t="s">
        <v>10462</v>
      </c>
      <c r="C4538" s="512">
        <v>38</v>
      </c>
      <c r="D4538" s="497">
        <f t="shared" si="270"/>
        <v>-252</v>
      </c>
      <c r="E4538" s="497">
        <f t="shared" ca="1" si="271"/>
        <v>6</v>
      </c>
      <c r="F4538" s="497">
        <f t="shared" ca="1" si="272"/>
        <v>46</v>
      </c>
      <c r="G4538" s="497" t="s">
        <v>9989</v>
      </c>
      <c r="H4538" s="503"/>
      <c r="I4538" s="503"/>
      <c r="J4538" s="503"/>
      <c r="K4538" s="503"/>
      <c r="L4538" s="497"/>
      <c r="M4538" s="497"/>
      <c r="N4538" s="497"/>
      <c r="O4538" s="497"/>
      <c r="P4538" s="497">
        <f t="shared" si="273"/>
        <v>228</v>
      </c>
      <c r="Q4538" s="497" t="b">
        <v>0</v>
      </c>
    </row>
    <row r="4539" spans="1:17" x14ac:dyDescent="0.35">
      <c r="A4539" s="497" t="b">
        <v>0</v>
      </c>
      <c r="B4539" s="497" t="s">
        <v>10463</v>
      </c>
      <c r="C4539" s="512">
        <v>39</v>
      </c>
      <c r="D4539" s="497">
        <f t="shared" si="270"/>
        <v>-251</v>
      </c>
      <c r="E4539" s="497">
        <f t="shared" ca="1" si="271"/>
        <v>1</v>
      </c>
      <c r="F4539" s="497">
        <f t="shared" ca="1" si="272"/>
        <v>47</v>
      </c>
      <c r="G4539" s="497" t="s">
        <v>9991</v>
      </c>
      <c r="H4539" s="503"/>
      <c r="I4539" s="503"/>
      <c r="J4539" s="503"/>
      <c r="K4539" s="503"/>
      <c r="L4539" s="497"/>
      <c r="M4539" s="497"/>
      <c r="N4539" s="497"/>
      <c r="O4539" s="497"/>
      <c r="P4539" s="497">
        <f t="shared" si="273"/>
        <v>229</v>
      </c>
      <c r="Q4539" s="497" t="b">
        <v>0</v>
      </c>
    </row>
    <row r="4540" spans="1:17" x14ac:dyDescent="0.35">
      <c r="A4540" s="497" t="b">
        <v>0</v>
      </c>
      <c r="B4540" s="497" t="s">
        <v>10464</v>
      </c>
      <c r="C4540" s="512">
        <v>39</v>
      </c>
      <c r="D4540" s="497">
        <f t="shared" si="270"/>
        <v>-250</v>
      </c>
      <c r="E4540" s="497">
        <f t="shared" ca="1" si="271"/>
        <v>2</v>
      </c>
      <c r="F4540" s="497">
        <f t="shared" ca="1" si="272"/>
        <v>47</v>
      </c>
      <c r="G4540" s="497" t="s">
        <v>9991</v>
      </c>
      <c r="H4540" s="503"/>
      <c r="I4540" s="503"/>
      <c r="J4540" s="503"/>
      <c r="K4540" s="503"/>
      <c r="L4540" s="497"/>
      <c r="M4540" s="497"/>
      <c r="N4540" s="497"/>
      <c r="O4540" s="497"/>
      <c r="P4540" s="497">
        <f t="shared" si="273"/>
        <v>230</v>
      </c>
      <c r="Q4540" s="497" t="b">
        <v>0</v>
      </c>
    </row>
    <row r="4541" spans="1:17" x14ac:dyDescent="0.35">
      <c r="A4541" s="497" t="b">
        <v>0</v>
      </c>
      <c r="B4541" s="497" t="s">
        <v>10465</v>
      </c>
      <c r="C4541" s="512">
        <v>39</v>
      </c>
      <c r="D4541" s="497">
        <f t="shared" si="270"/>
        <v>-249</v>
      </c>
      <c r="E4541" s="497">
        <f t="shared" ca="1" si="271"/>
        <v>3</v>
      </c>
      <c r="F4541" s="497">
        <f t="shared" ca="1" si="272"/>
        <v>47</v>
      </c>
      <c r="G4541" s="497" t="s">
        <v>9991</v>
      </c>
      <c r="H4541" s="503"/>
      <c r="I4541" s="503"/>
      <c r="J4541" s="503"/>
      <c r="K4541" s="503"/>
      <c r="L4541" s="497"/>
      <c r="M4541" s="497"/>
      <c r="N4541" s="497"/>
      <c r="O4541" s="497"/>
      <c r="P4541" s="497">
        <f t="shared" si="273"/>
        <v>231</v>
      </c>
      <c r="Q4541" s="497" t="b">
        <v>0</v>
      </c>
    </row>
    <row r="4542" spans="1:17" x14ac:dyDescent="0.35">
      <c r="A4542" s="497" t="b">
        <v>0</v>
      </c>
      <c r="B4542" s="497" t="s">
        <v>10466</v>
      </c>
      <c r="C4542" s="512">
        <v>39</v>
      </c>
      <c r="D4542" s="497">
        <f t="shared" si="270"/>
        <v>-248</v>
      </c>
      <c r="E4542" s="497">
        <f t="shared" ca="1" si="271"/>
        <v>4</v>
      </c>
      <c r="F4542" s="497">
        <f t="shared" ca="1" si="272"/>
        <v>47</v>
      </c>
      <c r="G4542" s="497" t="s">
        <v>9991</v>
      </c>
      <c r="H4542" s="503"/>
      <c r="I4542" s="503"/>
      <c r="J4542" s="503"/>
      <c r="K4542" s="503"/>
      <c r="L4542" s="497"/>
      <c r="M4542" s="497"/>
      <c r="N4542" s="497"/>
      <c r="O4542" s="497"/>
      <c r="P4542" s="497">
        <f t="shared" si="273"/>
        <v>232</v>
      </c>
      <c r="Q4542" s="497" t="b">
        <v>0</v>
      </c>
    </row>
    <row r="4543" spans="1:17" x14ac:dyDescent="0.35">
      <c r="A4543" s="497" t="b">
        <v>0</v>
      </c>
      <c r="B4543" s="497" t="s">
        <v>10467</v>
      </c>
      <c r="C4543" s="512">
        <v>39</v>
      </c>
      <c r="D4543" s="497">
        <f t="shared" si="270"/>
        <v>-247</v>
      </c>
      <c r="E4543" s="497">
        <f t="shared" ca="1" si="271"/>
        <v>5</v>
      </c>
      <c r="F4543" s="497">
        <f t="shared" ca="1" si="272"/>
        <v>47</v>
      </c>
      <c r="G4543" s="497" t="s">
        <v>9991</v>
      </c>
      <c r="H4543" s="503"/>
      <c r="I4543" s="503"/>
      <c r="J4543" s="503"/>
      <c r="K4543" s="503"/>
      <c r="L4543" s="497"/>
      <c r="M4543" s="497"/>
      <c r="N4543" s="497"/>
      <c r="O4543" s="497"/>
      <c r="P4543" s="497">
        <f t="shared" si="273"/>
        <v>233</v>
      </c>
      <c r="Q4543" s="497" t="b">
        <v>0</v>
      </c>
    </row>
    <row r="4544" spans="1:17" x14ac:dyDescent="0.35">
      <c r="A4544" s="497" t="b">
        <v>0</v>
      </c>
      <c r="B4544" s="497" t="s">
        <v>10468</v>
      </c>
      <c r="C4544" s="512">
        <v>39</v>
      </c>
      <c r="D4544" s="497">
        <f t="shared" si="270"/>
        <v>-246</v>
      </c>
      <c r="E4544" s="497">
        <f t="shared" ca="1" si="271"/>
        <v>6</v>
      </c>
      <c r="F4544" s="497">
        <f t="shared" ca="1" si="272"/>
        <v>47</v>
      </c>
      <c r="G4544" s="497" t="s">
        <v>9991</v>
      </c>
      <c r="H4544" s="503"/>
      <c r="I4544" s="503"/>
      <c r="J4544" s="503"/>
      <c r="K4544" s="503"/>
      <c r="L4544" s="497"/>
      <c r="M4544" s="497"/>
      <c r="N4544" s="497"/>
      <c r="O4544" s="497"/>
      <c r="P4544" s="497">
        <f t="shared" si="273"/>
        <v>234</v>
      </c>
      <c r="Q4544" s="497" t="b">
        <v>0</v>
      </c>
    </row>
    <row r="4545" spans="1:17" x14ac:dyDescent="0.35">
      <c r="A4545" s="497" t="b">
        <v>0</v>
      </c>
      <c r="B4545" s="497" t="s">
        <v>10469</v>
      </c>
      <c r="C4545" s="512">
        <v>40</v>
      </c>
      <c r="D4545" s="497">
        <f t="shared" si="270"/>
        <v>-245</v>
      </c>
      <c r="E4545" s="497">
        <f t="shared" ca="1" si="271"/>
        <v>1</v>
      </c>
      <c r="F4545" s="497">
        <f t="shared" ca="1" si="272"/>
        <v>48</v>
      </c>
      <c r="G4545" s="497" t="s">
        <v>9993</v>
      </c>
      <c r="H4545" s="503"/>
      <c r="I4545" s="503"/>
      <c r="J4545" s="503"/>
      <c r="K4545" s="503"/>
      <c r="L4545" s="497"/>
      <c r="M4545" s="497"/>
      <c r="N4545" s="497"/>
      <c r="O4545" s="497"/>
      <c r="P4545" s="497">
        <f t="shared" si="273"/>
        <v>235</v>
      </c>
      <c r="Q4545" s="497" t="b">
        <v>0</v>
      </c>
    </row>
    <row r="4546" spans="1:17" x14ac:dyDescent="0.35">
      <c r="A4546" s="497" t="b">
        <v>0</v>
      </c>
      <c r="B4546" s="497" t="s">
        <v>10470</v>
      </c>
      <c r="C4546" s="512">
        <v>40</v>
      </c>
      <c r="D4546" s="497">
        <f t="shared" si="270"/>
        <v>-244</v>
      </c>
      <c r="E4546" s="497">
        <f t="shared" ca="1" si="271"/>
        <v>2</v>
      </c>
      <c r="F4546" s="497">
        <f t="shared" ca="1" si="272"/>
        <v>48</v>
      </c>
      <c r="G4546" s="497" t="s">
        <v>9993</v>
      </c>
      <c r="H4546" s="503"/>
      <c r="I4546" s="503"/>
      <c r="J4546" s="503"/>
      <c r="K4546" s="503"/>
      <c r="L4546" s="497"/>
      <c r="M4546" s="497"/>
      <c r="N4546" s="497"/>
      <c r="O4546" s="497"/>
      <c r="P4546" s="497">
        <f t="shared" si="273"/>
        <v>236</v>
      </c>
      <c r="Q4546" s="497" t="b">
        <v>0</v>
      </c>
    </row>
    <row r="4547" spans="1:17" x14ac:dyDescent="0.35">
      <c r="A4547" s="497" t="b">
        <v>0</v>
      </c>
      <c r="B4547" s="497" t="s">
        <v>10471</v>
      </c>
      <c r="C4547" s="512">
        <v>40</v>
      </c>
      <c r="D4547" s="497">
        <f t="shared" si="270"/>
        <v>-243</v>
      </c>
      <c r="E4547" s="497">
        <f t="shared" ca="1" si="271"/>
        <v>3</v>
      </c>
      <c r="F4547" s="497">
        <f t="shared" ca="1" si="272"/>
        <v>48</v>
      </c>
      <c r="G4547" s="497" t="s">
        <v>9993</v>
      </c>
      <c r="H4547" s="503"/>
      <c r="I4547" s="503"/>
      <c r="J4547" s="503"/>
      <c r="K4547" s="503"/>
      <c r="L4547" s="497"/>
      <c r="M4547" s="497"/>
      <c r="N4547" s="497"/>
      <c r="O4547" s="497"/>
      <c r="P4547" s="497">
        <f t="shared" si="273"/>
        <v>237</v>
      </c>
      <c r="Q4547" s="497" t="b">
        <v>0</v>
      </c>
    </row>
    <row r="4548" spans="1:17" x14ac:dyDescent="0.35">
      <c r="A4548" s="497" t="b">
        <v>0</v>
      </c>
      <c r="B4548" s="497" t="s">
        <v>10472</v>
      </c>
      <c r="C4548" s="512">
        <v>40</v>
      </c>
      <c r="D4548" s="497">
        <f t="shared" si="270"/>
        <v>-242</v>
      </c>
      <c r="E4548" s="497">
        <f t="shared" ca="1" si="271"/>
        <v>4</v>
      </c>
      <c r="F4548" s="497">
        <f t="shared" ca="1" si="272"/>
        <v>48</v>
      </c>
      <c r="G4548" s="497" t="s">
        <v>9993</v>
      </c>
      <c r="H4548" s="503"/>
      <c r="I4548" s="503"/>
      <c r="J4548" s="503"/>
      <c r="K4548" s="503"/>
      <c r="L4548" s="497"/>
      <c r="M4548" s="497"/>
      <c r="N4548" s="497"/>
      <c r="O4548" s="497"/>
      <c r="P4548" s="497">
        <f t="shared" si="273"/>
        <v>238</v>
      </c>
      <c r="Q4548" s="497" t="b">
        <v>0</v>
      </c>
    </row>
    <row r="4549" spans="1:17" x14ac:dyDescent="0.35">
      <c r="A4549" s="497" t="b">
        <v>0</v>
      </c>
      <c r="B4549" s="497" t="s">
        <v>10473</v>
      </c>
      <c r="C4549" s="512">
        <v>40</v>
      </c>
      <c r="D4549" s="497">
        <f t="shared" si="270"/>
        <v>-241</v>
      </c>
      <c r="E4549" s="497">
        <f t="shared" ca="1" si="271"/>
        <v>5</v>
      </c>
      <c r="F4549" s="497">
        <f t="shared" ca="1" si="272"/>
        <v>48</v>
      </c>
      <c r="G4549" s="497" t="s">
        <v>9993</v>
      </c>
      <c r="H4549" s="503"/>
      <c r="I4549" s="503"/>
      <c r="J4549" s="503"/>
      <c r="K4549" s="503"/>
      <c r="L4549" s="497"/>
      <c r="M4549" s="497"/>
      <c r="N4549" s="497"/>
      <c r="O4549" s="497"/>
      <c r="P4549" s="497">
        <f t="shared" si="273"/>
        <v>239</v>
      </c>
      <c r="Q4549" s="497" t="b">
        <v>0</v>
      </c>
    </row>
    <row r="4550" spans="1:17" x14ac:dyDescent="0.35">
      <c r="A4550" s="497" t="b">
        <v>0</v>
      </c>
      <c r="B4550" s="497" t="s">
        <v>10474</v>
      </c>
      <c r="C4550" s="512">
        <v>40</v>
      </c>
      <c r="D4550" s="497">
        <f t="shared" si="270"/>
        <v>-240</v>
      </c>
      <c r="E4550" s="497">
        <f t="shared" ca="1" si="271"/>
        <v>6</v>
      </c>
      <c r="F4550" s="497">
        <f t="shared" ca="1" si="272"/>
        <v>48</v>
      </c>
      <c r="G4550" s="497" t="s">
        <v>9993</v>
      </c>
      <c r="H4550" s="503"/>
      <c r="I4550" s="503"/>
      <c r="J4550" s="503"/>
      <c r="K4550" s="503"/>
      <c r="L4550" s="497"/>
      <c r="M4550" s="497"/>
      <c r="N4550" s="497"/>
      <c r="O4550" s="497"/>
      <c r="P4550" s="497">
        <f t="shared" si="273"/>
        <v>240</v>
      </c>
      <c r="Q4550" s="497" t="b">
        <v>0</v>
      </c>
    </row>
    <row r="4551" spans="1:17" x14ac:dyDescent="0.35">
      <c r="A4551" s="497" t="b">
        <v>0</v>
      </c>
      <c r="B4551" s="497" t="s">
        <v>10475</v>
      </c>
      <c r="C4551" s="512">
        <v>41</v>
      </c>
      <c r="D4551" s="497">
        <f t="shared" si="270"/>
        <v>-239</v>
      </c>
      <c r="E4551" s="497">
        <f t="shared" ca="1" si="271"/>
        <v>1</v>
      </c>
      <c r="F4551" s="497">
        <f t="shared" ca="1" si="272"/>
        <v>49</v>
      </c>
      <c r="G4551" s="497" t="s">
        <v>9995</v>
      </c>
      <c r="H4551" s="503"/>
      <c r="I4551" s="503"/>
      <c r="J4551" s="503"/>
      <c r="K4551" s="503"/>
      <c r="L4551" s="497"/>
      <c r="M4551" s="497"/>
      <c r="N4551" s="497"/>
      <c r="O4551" s="497"/>
      <c r="P4551" s="497">
        <f t="shared" si="273"/>
        <v>241</v>
      </c>
      <c r="Q4551" s="497" t="b">
        <v>0</v>
      </c>
    </row>
    <row r="4552" spans="1:17" x14ac:dyDescent="0.35">
      <c r="A4552" s="497" t="b">
        <v>0</v>
      </c>
      <c r="B4552" s="497" t="s">
        <v>10476</v>
      </c>
      <c r="C4552" s="512">
        <v>41</v>
      </c>
      <c r="D4552" s="497">
        <f t="shared" si="270"/>
        <v>-238</v>
      </c>
      <c r="E4552" s="497">
        <f t="shared" ca="1" si="271"/>
        <v>2</v>
      </c>
      <c r="F4552" s="497">
        <f t="shared" ca="1" si="272"/>
        <v>49</v>
      </c>
      <c r="G4552" s="497" t="s">
        <v>9995</v>
      </c>
      <c r="H4552" s="503"/>
      <c r="I4552" s="503"/>
      <c r="J4552" s="503"/>
      <c r="K4552" s="503"/>
      <c r="L4552" s="497"/>
      <c r="M4552" s="497"/>
      <c r="N4552" s="497"/>
      <c r="O4552" s="497"/>
      <c r="P4552" s="497">
        <f t="shared" si="273"/>
        <v>242</v>
      </c>
      <c r="Q4552" s="497" t="b">
        <v>0</v>
      </c>
    </row>
    <row r="4553" spans="1:17" x14ac:dyDescent="0.35">
      <c r="A4553" s="497" t="b">
        <v>0</v>
      </c>
      <c r="B4553" s="497" t="s">
        <v>10477</v>
      </c>
      <c r="C4553" s="512">
        <v>41</v>
      </c>
      <c r="D4553" s="497">
        <f t="shared" si="270"/>
        <v>-237</v>
      </c>
      <c r="E4553" s="497">
        <f t="shared" ca="1" si="271"/>
        <v>3</v>
      </c>
      <c r="F4553" s="497">
        <f t="shared" ca="1" si="272"/>
        <v>49</v>
      </c>
      <c r="G4553" s="497" t="s">
        <v>9995</v>
      </c>
      <c r="H4553" s="503"/>
      <c r="I4553" s="503"/>
      <c r="J4553" s="503"/>
      <c r="K4553" s="503"/>
      <c r="L4553" s="497"/>
      <c r="M4553" s="497"/>
      <c r="N4553" s="497"/>
      <c r="O4553" s="497"/>
      <c r="P4553" s="497">
        <f t="shared" si="273"/>
        <v>243</v>
      </c>
      <c r="Q4553" s="497" t="b">
        <v>0</v>
      </c>
    </row>
    <row r="4554" spans="1:17" x14ac:dyDescent="0.35">
      <c r="A4554" s="497" t="b">
        <v>0</v>
      </c>
      <c r="B4554" s="497" t="s">
        <v>10478</v>
      </c>
      <c r="C4554" s="512">
        <v>41</v>
      </c>
      <c r="D4554" s="497">
        <f t="shared" si="270"/>
        <v>-236</v>
      </c>
      <c r="E4554" s="497">
        <f t="shared" ca="1" si="271"/>
        <v>4</v>
      </c>
      <c r="F4554" s="497">
        <f t="shared" ca="1" si="272"/>
        <v>49</v>
      </c>
      <c r="G4554" s="497" t="s">
        <v>9995</v>
      </c>
      <c r="H4554" s="503"/>
      <c r="I4554" s="503"/>
      <c r="J4554" s="503"/>
      <c r="K4554" s="503"/>
      <c r="L4554" s="497"/>
      <c r="M4554" s="497"/>
      <c r="N4554" s="497"/>
      <c r="O4554" s="497"/>
      <c r="P4554" s="497">
        <f t="shared" si="273"/>
        <v>244</v>
      </c>
      <c r="Q4554" s="497" t="b">
        <v>0</v>
      </c>
    </row>
    <row r="4555" spans="1:17" x14ac:dyDescent="0.35">
      <c r="A4555" s="497" t="b">
        <v>0</v>
      </c>
      <c r="B4555" s="497" t="s">
        <v>10479</v>
      </c>
      <c r="C4555" s="512">
        <v>41</v>
      </c>
      <c r="D4555" s="497">
        <f t="shared" si="270"/>
        <v>-235</v>
      </c>
      <c r="E4555" s="497">
        <f t="shared" ca="1" si="271"/>
        <v>5</v>
      </c>
      <c r="F4555" s="497">
        <f t="shared" ca="1" si="272"/>
        <v>49</v>
      </c>
      <c r="G4555" s="497" t="s">
        <v>9995</v>
      </c>
      <c r="H4555" s="503"/>
      <c r="I4555" s="503"/>
      <c r="J4555" s="503"/>
      <c r="K4555" s="503"/>
      <c r="L4555" s="497"/>
      <c r="M4555" s="497"/>
      <c r="N4555" s="497"/>
      <c r="O4555" s="497"/>
      <c r="P4555" s="497">
        <f t="shared" si="273"/>
        <v>245</v>
      </c>
      <c r="Q4555" s="497" t="b">
        <v>0</v>
      </c>
    </row>
    <row r="4556" spans="1:17" x14ac:dyDescent="0.35">
      <c r="A4556" s="497" t="b">
        <v>0</v>
      </c>
      <c r="B4556" s="497" t="s">
        <v>10480</v>
      </c>
      <c r="C4556" s="512">
        <v>41</v>
      </c>
      <c r="D4556" s="497">
        <f t="shared" si="270"/>
        <v>-234</v>
      </c>
      <c r="E4556" s="497">
        <f t="shared" ca="1" si="271"/>
        <v>6</v>
      </c>
      <c r="F4556" s="497">
        <f t="shared" ca="1" si="272"/>
        <v>49</v>
      </c>
      <c r="G4556" s="497" t="s">
        <v>9995</v>
      </c>
      <c r="H4556" s="503"/>
      <c r="I4556" s="503"/>
      <c r="J4556" s="503"/>
      <c r="K4556" s="503"/>
      <c r="L4556" s="497"/>
      <c r="M4556" s="497"/>
      <c r="N4556" s="497"/>
      <c r="O4556" s="497"/>
      <c r="P4556" s="497">
        <f t="shared" si="273"/>
        <v>246</v>
      </c>
      <c r="Q4556" s="497" t="b">
        <v>0</v>
      </c>
    </row>
    <row r="4557" spans="1:17" x14ac:dyDescent="0.35">
      <c r="A4557" s="497" t="b">
        <v>0</v>
      </c>
      <c r="B4557" s="497" t="s">
        <v>10481</v>
      </c>
      <c r="C4557" s="512">
        <v>42</v>
      </c>
      <c r="D4557" s="497">
        <f t="shared" si="270"/>
        <v>-233</v>
      </c>
      <c r="E4557" s="497">
        <f t="shared" ca="1" si="271"/>
        <v>1</v>
      </c>
      <c r="F4557" s="497">
        <f t="shared" ca="1" si="272"/>
        <v>50</v>
      </c>
      <c r="G4557" s="497" t="s">
        <v>9997</v>
      </c>
      <c r="H4557" s="503"/>
      <c r="I4557" s="503"/>
      <c r="J4557" s="503"/>
      <c r="K4557" s="503"/>
      <c r="L4557" s="497"/>
      <c r="M4557" s="497"/>
      <c r="N4557" s="497"/>
      <c r="O4557" s="497"/>
      <c r="P4557" s="497">
        <f t="shared" si="273"/>
        <v>247</v>
      </c>
      <c r="Q4557" s="497" t="b">
        <v>0</v>
      </c>
    </row>
    <row r="4558" spans="1:17" x14ac:dyDescent="0.35">
      <c r="A4558" s="497" t="b">
        <v>0</v>
      </c>
      <c r="B4558" s="497" t="s">
        <v>10482</v>
      </c>
      <c r="C4558" s="512">
        <v>42</v>
      </c>
      <c r="D4558" s="497">
        <f t="shared" si="270"/>
        <v>-232</v>
      </c>
      <c r="E4558" s="497">
        <f t="shared" ca="1" si="271"/>
        <v>2</v>
      </c>
      <c r="F4558" s="497">
        <f t="shared" ca="1" si="272"/>
        <v>50</v>
      </c>
      <c r="G4558" s="497" t="s">
        <v>9997</v>
      </c>
      <c r="H4558" s="503"/>
      <c r="I4558" s="503"/>
      <c r="J4558" s="503"/>
      <c r="K4558" s="503"/>
      <c r="L4558" s="497"/>
      <c r="M4558" s="497"/>
      <c r="N4558" s="497"/>
      <c r="O4558" s="497"/>
      <c r="P4558" s="497">
        <f t="shared" si="273"/>
        <v>248</v>
      </c>
      <c r="Q4558" s="497" t="b">
        <v>0</v>
      </c>
    </row>
    <row r="4559" spans="1:17" x14ac:dyDescent="0.35">
      <c r="A4559" s="497" t="b">
        <v>0</v>
      </c>
      <c r="B4559" s="497" t="s">
        <v>10483</v>
      </c>
      <c r="C4559" s="512">
        <v>42</v>
      </c>
      <c r="D4559" s="497">
        <f t="shared" si="270"/>
        <v>-231</v>
      </c>
      <c r="E4559" s="497">
        <f t="shared" ca="1" si="271"/>
        <v>3</v>
      </c>
      <c r="F4559" s="497">
        <f t="shared" ca="1" si="272"/>
        <v>50</v>
      </c>
      <c r="G4559" s="497" t="s">
        <v>9997</v>
      </c>
      <c r="H4559" s="503"/>
      <c r="I4559" s="503"/>
      <c r="J4559" s="503"/>
      <c r="K4559" s="503"/>
      <c r="L4559" s="497"/>
      <c r="M4559" s="497"/>
      <c r="N4559" s="497"/>
      <c r="O4559" s="497"/>
      <c r="P4559" s="497">
        <f t="shared" si="273"/>
        <v>249</v>
      </c>
      <c r="Q4559" s="497" t="b">
        <v>0</v>
      </c>
    </row>
    <row r="4560" spans="1:17" x14ac:dyDescent="0.35">
      <c r="A4560" s="497" t="b">
        <v>0</v>
      </c>
      <c r="B4560" s="497" t="s">
        <v>10484</v>
      </c>
      <c r="C4560" s="512">
        <v>42</v>
      </c>
      <c r="D4560" s="497">
        <f t="shared" si="270"/>
        <v>-230</v>
      </c>
      <c r="E4560" s="497">
        <f t="shared" ca="1" si="271"/>
        <v>4</v>
      </c>
      <c r="F4560" s="497">
        <f t="shared" ca="1" si="272"/>
        <v>50</v>
      </c>
      <c r="G4560" s="497" t="s">
        <v>9997</v>
      </c>
      <c r="H4560" s="503"/>
      <c r="I4560" s="503"/>
      <c r="J4560" s="503"/>
      <c r="K4560" s="503"/>
      <c r="L4560" s="497"/>
      <c r="M4560" s="497"/>
      <c r="N4560" s="497"/>
      <c r="O4560" s="497"/>
      <c r="P4560" s="497">
        <f t="shared" si="273"/>
        <v>250</v>
      </c>
      <c r="Q4560" s="497" t="b">
        <v>0</v>
      </c>
    </row>
    <row r="4561" spans="1:17" x14ac:dyDescent="0.35">
      <c r="A4561" s="497" t="b">
        <v>0</v>
      </c>
      <c r="B4561" s="497" t="s">
        <v>10485</v>
      </c>
      <c r="C4561" s="512">
        <v>42</v>
      </c>
      <c r="D4561" s="497">
        <f t="shared" si="270"/>
        <v>-229</v>
      </c>
      <c r="E4561" s="497">
        <f t="shared" si="271"/>
        <v>5</v>
      </c>
      <c r="F4561" s="497">
        <f t="shared" ca="1" si="272"/>
        <v>50</v>
      </c>
      <c r="G4561" s="497" t="s">
        <v>9997</v>
      </c>
      <c r="H4561" s="503"/>
      <c r="I4561" s="503"/>
      <c r="J4561" s="503"/>
      <c r="K4561" s="503"/>
      <c r="L4561" s="497"/>
      <c r="M4561" s="497"/>
      <c r="N4561" s="497"/>
      <c r="O4561" s="497"/>
      <c r="P4561" s="497">
        <f t="shared" si="273"/>
        <v>251</v>
      </c>
      <c r="Q4561" s="497" t="b">
        <v>0</v>
      </c>
    </row>
    <row r="4562" spans="1:17" x14ac:dyDescent="0.35">
      <c r="A4562" s="497" t="b">
        <v>0</v>
      </c>
      <c r="B4562" s="497" t="s">
        <v>10486</v>
      </c>
      <c r="C4562" s="512">
        <v>42</v>
      </c>
      <c r="D4562" s="497">
        <f t="shared" si="270"/>
        <v>-228</v>
      </c>
      <c r="E4562" s="497">
        <f t="shared" si="271"/>
        <v>6</v>
      </c>
      <c r="F4562" s="497">
        <f t="shared" ca="1" si="272"/>
        <v>50</v>
      </c>
      <c r="G4562" s="497" t="s">
        <v>9997</v>
      </c>
      <c r="H4562" s="503"/>
      <c r="I4562" s="503"/>
      <c r="J4562" s="503"/>
      <c r="K4562" s="503"/>
      <c r="L4562" s="497"/>
      <c r="M4562" s="497"/>
      <c r="N4562" s="497"/>
      <c r="O4562" s="497"/>
      <c r="P4562" s="497">
        <f t="shared" si="273"/>
        <v>252</v>
      </c>
      <c r="Q4562" s="497" t="b">
        <v>0</v>
      </c>
    </row>
    <row r="4563" spans="1:17" x14ac:dyDescent="0.35">
      <c r="A4563" s="497" t="b">
        <v>0</v>
      </c>
      <c r="B4563" s="497" t="s">
        <v>10487</v>
      </c>
      <c r="C4563" s="512">
        <v>43</v>
      </c>
      <c r="D4563" s="497">
        <f t="shared" si="270"/>
        <v>-227</v>
      </c>
      <c r="E4563" s="497">
        <f t="shared" si="271"/>
        <v>1</v>
      </c>
      <c r="F4563" s="497">
        <f t="shared" ca="1" si="272"/>
        <v>51</v>
      </c>
      <c r="G4563" s="497" t="s">
        <v>9999</v>
      </c>
      <c r="H4563" s="503"/>
      <c r="I4563" s="503"/>
      <c r="J4563" s="503"/>
      <c r="K4563" s="503"/>
      <c r="L4563" s="497"/>
      <c r="M4563" s="497"/>
      <c r="N4563" s="497"/>
      <c r="O4563" s="497"/>
      <c r="P4563" s="497">
        <f t="shared" si="273"/>
        <v>253</v>
      </c>
      <c r="Q4563" s="497" t="b">
        <v>0</v>
      </c>
    </row>
    <row r="4564" spans="1:17" x14ac:dyDescent="0.35">
      <c r="A4564" s="497" t="b">
        <v>0</v>
      </c>
      <c r="B4564" s="497" t="s">
        <v>10488</v>
      </c>
      <c r="C4564" s="512">
        <v>43</v>
      </c>
      <c r="D4564" s="497">
        <f t="shared" si="270"/>
        <v>-226</v>
      </c>
      <c r="E4564" s="497">
        <f t="shared" si="271"/>
        <v>2</v>
      </c>
      <c r="F4564" s="497">
        <f t="shared" ca="1" si="272"/>
        <v>51</v>
      </c>
      <c r="G4564" s="497" t="s">
        <v>9999</v>
      </c>
      <c r="H4564" s="503"/>
      <c r="I4564" s="503"/>
      <c r="J4564" s="503"/>
      <c r="K4564" s="503"/>
      <c r="L4564" s="497"/>
      <c r="M4564" s="497"/>
      <c r="N4564" s="497"/>
      <c r="O4564" s="497"/>
      <c r="P4564" s="497">
        <f t="shared" si="273"/>
        <v>254</v>
      </c>
      <c r="Q4564" s="497" t="b">
        <v>0</v>
      </c>
    </row>
    <row r="4565" spans="1:17" x14ac:dyDescent="0.35">
      <c r="A4565" s="497" t="b">
        <v>0</v>
      </c>
      <c r="B4565" s="497" t="s">
        <v>10489</v>
      </c>
      <c r="C4565" s="512">
        <v>43</v>
      </c>
      <c r="D4565" s="497">
        <f t="shared" si="270"/>
        <v>-225</v>
      </c>
      <c r="E4565" s="497">
        <f t="shared" si="271"/>
        <v>3</v>
      </c>
      <c r="F4565" s="497">
        <f t="shared" ca="1" si="272"/>
        <v>51</v>
      </c>
      <c r="G4565" s="497" t="s">
        <v>9999</v>
      </c>
      <c r="H4565" s="503"/>
      <c r="I4565" s="503"/>
      <c r="J4565" s="503"/>
      <c r="K4565" s="503"/>
      <c r="L4565" s="497"/>
      <c r="M4565" s="497"/>
      <c r="N4565" s="497"/>
      <c r="O4565" s="497"/>
      <c r="P4565" s="497">
        <f t="shared" si="273"/>
        <v>255</v>
      </c>
      <c r="Q4565" s="497" t="b">
        <v>0</v>
      </c>
    </row>
    <row r="4566" spans="1:17" x14ac:dyDescent="0.35">
      <c r="A4566" s="497" t="b">
        <v>0</v>
      </c>
      <c r="B4566" s="497" t="s">
        <v>10490</v>
      </c>
      <c r="C4566" s="512">
        <v>43</v>
      </c>
      <c r="D4566" s="497">
        <f t="shared" si="270"/>
        <v>-224</v>
      </c>
      <c r="E4566" s="497">
        <f t="shared" si="271"/>
        <v>4</v>
      </c>
      <c r="F4566" s="497">
        <f t="shared" ca="1" si="272"/>
        <v>51</v>
      </c>
      <c r="G4566" s="497" t="s">
        <v>9999</v>
      </c>
      <c r="H4566" s="503"/>
      <c r="I4566" s="503"/>
      <c r="J4566" s="503"/>
      <c r="K4566" s="503"/>
      <c r="L4566" s="497"/>
      <c r="M4566" s="497"/>
      <c r="N4566" s="497"/>
      <c r="O4566" s="497"/>
      <c r="P4566" s="497">
        <f t="shared" si="273"/>
        <v>256</v>
      </c>
      <c r="Q4566" s="497" t="b">
        <v>0</v>
      </c>
    </row>
    <row r="4567" spans="1:17" x14ac:dyDescent="0.35">
      <c r="A4567" s="497" t="b">
        <v>0</v>
      </c>
      <c r="B4567" s="497" t="s">
        <v>10491</v>
      </c>
      <c r="C4567" s="512">
        <v>43</v>
      </c>
      <c r="D4567" s="497">
        <f t="shared" ref="D4567:D4630" si="274">D4566+1</f>
        <v>-223</v>
      </c>
      <c r="E4567" s="497">
        <f t="shared" ref="E4567:E4630" si="275">COUNTIF(C4317:C4567,C4567)</f>
        <v>5</v>
      </c>
      <c r="F4567" s="497">
        <f t="shared" ref="F4567:F4630" ca="1" si="276">IF(C4567=1,9,IF(E4566=MAX(E4565:E4567),F4565+1,F4566))</f>
        <v>51</v>
      </c>
      <c r="G4567" s="497" t="s">
        <v>9999</v>
      </c>
      <c r="H4567" s="503"/>
      <c r="I4567" s="503"/>
      <c r="J4567" s="503"/>
      <c r="K4567" s="503"/>
      <c r="L4567" s="497"/>
      <c r="M4567" s="497"/>
      <c r="N4567" s="497"/>
      <c r="O4567" s="497"/>
      <c r="P4567" s="497">
        <f t="shared" ref="P4567:P4630" si="277">IF(NOT(_xlfn.ISFORMULA(I4567)),P4566+1,0)</f>
        <v>257</v>
      </c>
      <c r="Q4567" s="497" t="b">
        <v>0</v>
      </c>
    </row>
    <row r="4568" spans="1:17" x14ac:dyDescent="0.35">
      <c r="A4568" s="497" t="b">
        <v>0</v>
      </c>
      <c r="B4568" s="497" t="s">
        <v>10492</v>
      </c>
      <c r="C4568" s="512">
        <v>43</v>
      </c>
      <c r="D4568" s="497">
        <f t="shared" si="274"/>
        <v>-222</v>
      </c>
      <c r="E4568" s="497">
        <f t="shared" si="275"/>
        <v>6</v>
      </c>
      <c r="F4568" s="497">
        <f t="shared" ca="1" si="276"/>
        <v>51</v>
      </c>
      <c r="G4568" s="497" t="s">
        <v>9999</v>
      </c>
      <c r="H4568" s="503"/>
      <c r="I4568" s="503"/>
      <c r="J4568" s="503"/>
      <c r="K4568" s="503"/>
      <c r="L4568" s="497"/>
      <c r="M4568" s="497"/>
      <c r="N4568" s="497"/>
      <c r="O4568" s="497"/>
      <c r="P4568" s="497">
        <f t="shared" si="277"/>
        <v>258</v>
      </c>
      <c r="Q4568" s="497" t="b">
        <v>0</v>
      </c>
    </row>
    <row r="4569" spans="1:17" x14ac:dyDescent="0.35">
      <c r="A4569" s="497" t="b">
        <v>0</v>
      </c>
      <c r="B4569" s="497" t="s">
        <v>10493</v>
      </c>
      <c r="C4569" s="512">
        <v>44</v>
      </c>
      <c r="D4569" s="497">
        <f t="shared" si="274"/>
        <v>-221</v>
      </c>
      <c r="E4569" s="497">
        <f t="shared" si="275"/>
        <v>1</v>
      </c>
      <c r="F4569" s="497">
        <f t="shared" ca="1" si="276"/>
        <v>52</v>
      </c>
      <c r="G4569" s="497" t="s">
        <v>10001</v>
      </c>
      <c r="H4569" s="503"/>
      <c r="I4569" s="503"/>
      <c r="J4569" s="503"/>
      <c r="K4569" s="503"/>
      <c r="L4569" s="497"/>
      <c r="M4569" s="497"/>
      <c r="N4569" s="497"/>
      <c r="O4569" s="497"/>
      <c r="P4569" s="497">
        <f t="shared" si="277"/>
        <v>259</v>
      </c>
      <c r="Q4569" s="497" t="b">
        <v>0</v>
      </c>
    </row>
    <row r="4570" spans="1:17" x14ac:dyDescent="0.35">
      <c r="A4570" s="497" t="b">
        <v>0</v>
      </c>
      <c r="B4570" s="497" t="s">
        <v>10494</v>
      </c>
      <c r="C4570" s="512">
        <v>44</v>
      </c>
      <c r="D4570" s="497">
        <f t="shared" si="274"/>
        <v>-220</v>
      </c>
      <c r="E4570" s="497">
        <f t="shared" si="275"/>
        <v>2</v>
      </c>
      <c r="F4570" s="497">
        <f t="shared" ca="1" si="276"/>
        <v>52</v>
      </c>
      <c r="G4570" s="497" t="s">
        <v>10001</v>
      </c>
      <c r="H4570" s="503"/>
      <c r="I4570" s="503"/>
      <c r="J4570" s="503"/>
      <c r="K4570" s="503"/>
      <c r="L4570" s="497"/>
      <c r="M4570" s="497"/>
      <c r="N4570" s="497"/>
      <c r="O4570" s="497"/>
      <c r="P4570" s="497">
        <f t="shared" si="277"/>
        <v>260</v>
      </c>
      <c r="Q4570" s="497" t="b">
        <v>0</v>
      </c>
    </row>
    <row r="4571" spans="1:17" x14ac:dyDescent="0.35">
      <c r="A4571" s="497" t="b">
        <v>0</v>
      </c>
      <c r="B4571" s="497" t="s">
        <v>10495</v>
      </c>
      <c r="C4571" s="512">
        <v>44</v>
      </c>
      <c r="D4571" s="497">
        <f t="shared" si="274"/>
        <v>-219</v>
      </c>
      <c r="E4571" s="497">
        <f t="shared" si="275"/>
        <v>3</v>
      </c>
      <c r="F4571" s="497">
        <f t="shared" ca="1" si="276"/>
        <v>52</v>
      </c>
      <c r="G4571" s="497" t="s">
        <v>10001</v>
      </c>
      <c r="H4571" s="503"/>
      <c r="I4571" s="503"/>
      <c r="J4571" s="503"/>
      <c r="K4571" s="503"/>
      <c r="L4571" s="497"/>
      <c r="M4571" s="497"/>
      <c r="N4571" s="497"/>
      <c r="O4571" s="497"/>
      <c r="P4571" s="497">
        <f t="shared" si="277"/>
        <v>261</v>
      </c>
      <c r="Q4571" s="497" t="b">
        <v>0</v>
      </c>
    </row>
    <row r="4572" spans="1:17" x14ac:dyDescent="0.35">
      <c r="A4572" s="497" t="b">
        <v>0</v>
      </c>
      <c r="B4572" s="497" t="s">
        <v>10496</v>
      </c>
      <c r="C4572" s="512">
        <v>44</v>
      </c>
      <c r="D4572" s="497">
        <f t="shared" si="274"/>
        <v>-218</v>
      </c>
      <c r="E4572" s="497">
        <f t="shared" si="275"/>
        <v>4</v>
      </c>
      <c r="F4572" s="497">
        <f t="shared" ca="1" si="276"/>
        <v>52</v>
      </c>
      <c r="G4572" s="497" t="s">
        <v>10001</v>
      </c>
      <c r="H4572" s="503"/>
      <c r="I4572" s="503"/>
      <c r="J4572" s="503"/>
      <c r="K4572" s="503"/>
      <c r="L4572" s="497"/>
      <c r="M4572" s="497"/>
      <c r="N4572" s="497"/>
      <c r="O4572" s="497"/>
      <c r="P4572" s="497">
        <f t="shared" si="277"/>
        <v>262</v>
      </c>
      <c r="Q4572" s="497" t="b">
        <v>0</v>
      </c>
    </row>
    <row r="4573" spans="1:17" x14ac:dyDescent="0.35">
      <c r="A4573" s="497" t="b">
        <v>0</v>
      </c>
      <c r="B4573" s="497" t="s">
        <v>10497</v>
      </c>
      <c r="C4573" s="512">
        <v>44</v>
      </c>
      <c r="D4573" s="497">
        <f t="shared" si="274"/>
        <v>-217</v>
      </c>
      <c r="E4573" s="497">
        <f t="shared" si="275"/>
        <v>5</v>
      </c>
      <c r="F4573" s="497">
        <f t="shared" ca="1" si="276"/>
        <v>52</v>
      </c>
      <c r="G4573" s="497" t="s">
        <v>10001</v>
      </c>
      <c r="H4573" s="503"/>
      <c r="I4573" s="503"/>
      <c r="J4573" s="503"/>
      <c r="K4573" s="503"/>
      <c r="L4573" s="497"/>
      <c r="M4573" s="497"/>
      <c r="N4573" s="497"/>
      <c r="O4573" s="497"/>
      <c r="P4573" s="497">
        <f t="shared" si="277"/>
        <v>263</v>
      </c>
      <c r="Q4573" s="497" t="b">
        <v>0</v>
      </c>
    </row>
    <row r="4574" spans="1:17" x14ac:dyDescent="0.35">
      <c r="A4574" s="497" t="b">
        <v>0</v>
      </c>
      <c r="B4574" s="497" t="s">
        <v>10498</v>
      </c>
      <c r="C4574" s="512">
        <v>44</v>
      </c>
      <c r="D4574" s="497">
        <f t="shared" si="274"/>
        <v>-216</v>
      </c>
      <c r="E4574" s="497">
        <f t="shared" si="275"/>
        <v>6</v>
      </c>
      <c r="F4574" s="497">
        <f t="shared" ca="1" si="276"/>
        <v>52</v>
      </c>
      <c r="G4574" s="497" t="s">
        <v>10001</v>
      </c>
      <c r="H4574" s="503"/>
      <c r="I4574" s="503"/>
      <c r="J4574" s="503"/>
      <c r="K4574" s="503"/>
      <c r="L4574" s="497"/>
      <c r="M4574" s="497"/>
      <c r="N4574" s="497"/>
      <c r="O4574" s="497"/>
      <c r="P4574" s="497">
        <f t="shared" si="277"/>
        <v>264</v>
      </c>
      <c r="Q4574" s="497" t="b">
        <v>0</v>
      </c>
    </row>
    <row r="4575" spans="1:17" x14ac:dyDescent="0.35">
      <c r="A4575" s="497" t="b">
        <v>0</v>
      </c>
      <c r="B4575" s="497" t="s">
        <v>10499</v>
      </c>
      <c r="C4575" s="512">
        <v>45</v>
      </c>
      <c r="D4575" s="497">
        <f t="shared" si="274"/>
        <v>-215</v>
      </c>
      <c r="E4575" s="497">
        <f t="shared" si="275"/>
        <v>1</v>
      </c>
      <c r="F4575" s="497">
        <f t="shared" ca="1" si="276"/>
        <v>53</v>
      </c>
      <c r="G4575" s="497" t="s">
        <v>10003</v>
      </c>
      <c r="H4575" s="503"/>
      <c r="I4575" s="503"/>
      <c r="J4575" s="503"/>
      <c r="K4575" s="503"/>
      <c r="L4575" s="497"/>
      <c r="M4575" s="497"/>
      <c r="N4575" s="497"/>
      <c r="O4575" s="497"/>
      <c r="P4575" s="497">
        <f t="shared" si="277"/>
        <v>265</v>
      </c>
      <c r="Q4575" s="497" t="b">
        <v>0</v>
      </c>
    </row>
    <row r="4576" spans="1:17" x14ac:dyDescent="0.35">
      <c r="A4576" s="497" t="b">
        <v>0</v>
      </c>
      <c r="B4576" s="497" t="s">
        <v>10500</v>
      </c>
      <c r="C4576" s="512">
        <v>45</v>
      </c>
      <c r="D4576" s="497">
        <f t="shared" si="274"/>
        <v>-214</v>
      </c>
      <c r="E4576" s="497">
        <f t="shared" si="275"/>
        <v>2</v>
      </c>
      <c r="F4576" s="497">
        <f t="shared" ca="1" si="276"/>
        <v>53</v>
      </c>
      <c r="G4576" s="497" t="s">
        <v>10003</v>
      </c>
      <c r="H4576" s="503"/>
      <c r="I4576" s="503"/>
      <c r="J4576" s="503"/>
      <c r="K4576" s="503"/>
      <c r="L4576" s="497"/>
      <c r="M4576" s="497"/>
      <c r="N4576" s="497"/>
      <c r="O4576" s="497"/>
      <c r="P4576" s="497">
        <f t="shared" si="277"/>
        <v>266</v>
      </c>
      <c r="Q4576" s="497" t="b">
        <v>0</v>
      </c>
    </row>
    <row r="4577" spans="1:17" x14ac:dyDescent="0.35">
      <c r="A4577" s="497" t="b">
        <v>0</v>
      </c>
      <c r="B4577" s="497" t="s">
        <v>10501</v>
      </c>
      <c r="C4577" s="512">
        <v>45</v>
      </c>
      <c r="D4577" s="497">
        <f t="shared" si="274"/>
        <v>-213</v>
      </c>
      <c r="E4577" s="497">
        <f t="shared" si="275"/>
        <v>3</v>
      </c>
      <c r="F4577" s="497">
        <f t="shared" ca="1" si="276"/>
        <v>53</v>
      </c>
      <c r="G4577" s="497" t="s">
        <v>10003</v>
      </c>
      <c r="H4577" s="503"/>
      <c r="I4577" s="503"/>
      <c r="J4577" s="503"/>
      <c r="K4577" s="503"/>
      <c r="L4577" s="497"/>
      <c r="M4577" s="497"/>
      <c r="N4577" s="497"/>
      <c r="O4577" s="497"/>
      <c r="P4577" s="497">
        <f t="shared" si="277"/>
        <v>267</v>
      </c>
      <c r="Q4577" s="497" t="b">
        <v>0</v>
      </c>
    </row>
    <row r="4578" spans="1:17" x14ac:dyDescent="0.35">
      <c r="A4578" s="497" t="b">
        <v>0</v>
      </c>
      <c r="B4578" s="497" t="s">
        <v>10502</v>
      </c>
      <c r="C4578" s="512">
        <v>45</v>
      </c>
      <c r="D4578" s="497">
        <f t="shared" si="274"/>
        <v>-212</v>
      </c>
      <c r="E4578" s="497">
        <f t="shared" si="275"/>
        <v>4</v>
      </c>
      <c r="F4578" s="497">
        <f t="shared" ca="1" si="276"/>
        <v>53</v>
      </c>
      <c r="G4578" s="497" t="s">
        <v>10003</v>
      </c>
      <c r="H4578" s="503"/>
      <c r="I4578" s="503"/>
      <c r="J4578" s="503"/>
      <c r="K4578" s="503"/>
      <c r="L4578" s="497"/>
      <c r="M4578" s="497"/>
      <c r="N4578" s="497"/>
      <c r="O4578" s="497"/>
      <c r="P4578" s="497">
        <f t="shared" si="277"/>
        <v>268</v>
      </c>
      <c r="Q4578" s="497" t="b">
        <v>0</v>
      </c>
    </row>
    <row r="4579" spans="1:17" x14ac:dyDescent="0.35">
      <c r="A4579" s="497" t="b">
        <v>0</v>
      </c>
      <c r="B4579" s="497" t="s">
        <v>10503</v>
      </c>
      <c r="C4579" s="512">
        <v>45</v>
      </c>
      <c r="D4579" s="497">
        <f t="shared" si="274"/>
        <v>-211</v>
      </c>
      <c r="E4579" s="497">
        <f t="shared" si="275"/>
        <v>5</v>
      </c>
      <c r="F4579" s="497">
        <f t="shared" ca="1" si="276"/>
        <v>53</v>
      </c>
      <c r="G4579" s="497" t="s">
        <v>10003</v>
      </c>
      <c r="H4579" s="503"/>
      <c r="I4579" s="503"/>
      <c r="J4579" s="503"/>
      <c r="K4579" s="503"/>
      <c r="L4579" s="497"/>
      <c r="M4579" s="497"/>
      <c r="N4579" s="497"/>
      <c r="O4579" s="497"/>
      <c r="P4579" s="497">
        <f t="shared" si="277"/>
        <v>269</v>
      </c>
      <c r="Q4579" s="497" t="b">
        <v>0</v>
      </c>
    </row>
    <row r="4580" spans="1:17" x14ac:dyDescent="0.35">
      <c r="A4580" s="497" t="b">
        <v>0</v>
      </c>
      <c r="B4580" s="497" t="s">
        <v>10504</v>
      </c>
      <c r="C4580" s="512">
        <v>45</v>
      </c>
      <c r="D4580" s="497">
        <f t="shared" si="274"/>
        <v>-210</v>
      </c>
      <c r="E4580" s="497">
        <f t="shared" si="275"/>
        <v>6</v>
      </c>
      <c r="F4580" s="497">
        <f t="shared" ca="1" si="276"/>
        <v>53</v>
      </c>
      <c r="G4580" s="497" t="s">
        <v>10003</v>
      </c>
      <c r="H4580" s="503"/>
      <c r="I4580" s="503"/>
      <c r="J4580" s="503"/>
      <c r="K4580" s="503"/>
      <c r="L4580" s="497"/>
      <c r="M4580" s="497"/>
      <c r="N4580" s="497"/>
      <c r="O4580" s="497"/>
      <c r="P4580" s="497">
        <f t="shared" si="277"/>
        <v>270</v>
      </c>
      <c r="Q4580" s="497" t="b">
        <v>0</v>
      </c>
    </row>
    <row r="4581" spans="1:17" x14ac:dyDescent="0.35">
      <c r="A4581" s="497" t="b">
        <v>0</v>
      </c>
      <c r="B4581" s="497" t="s">
        <v>10505</v>
      </c>
      <c r="C4581" s="512">
        <v>46</v>
      </c>
      <c r="D4581" s="497">
        <f t="shared" si="274"/>
        <v>-209</v>
      </c>
      <c r="E4581" s="497">
        <f t="shared" si="275"/>
        <v>1</v>
      </c>
      <c r="F4581" s="497">
        <f t="shared" ca="1" si="276"/>
        <v>54</v>
      </c>
      <c r="G4581" s="497" t="s">
        <v>10005</v>
      </c>
      <c r="H4581" s="503"/>
      <c r="I4581" s="503"/>
      <c r="J4581" s="503"/>
      <c r="K4581" s="503"/>
      <c r="L4581" s="497"/>
      <c r="M4581" s="497"/>
      <c r="N4581" s="497"/>
      <c r="O4581" s="497"/>
      <c r="P4581" s="497">
        <f t="shared" si="277"/>
        <v>271</v>
      </c>
      <c r="Q4581" s="497" t="b">
        <v>0</v>
      </c>
    </row>
    <row r="4582" spans="1:17" x14ac:dyDescent="0.35">
      <c r="A4582" s="497" t="b">
        <v>0</v>
      </c>
      <c r="B4582" s="497" t="s">
        <v>10506</v>
      </c>
      <c r="C4582" s="512">
        <v>46</v>
      </c>
      <c r="D4582" s="497">
        <f t="shared" si="274"/>
        <v>-208</v>
      </c>
      <c r="E4582" s="497">
        <f t="shared" si="275"/>
        <v>2</v>
      </c>
      <c r="F4582" s="497">
        <f t="shared" ca="1" si="276"/>
        <v>54</v>
      </c>
      <c r="G4582" s="497" t="s">
        <v>10005</v>
      </c>
      <c r="H4582" s="503"/>
      <c r="I4582" s="503"/>
      <c r="J4582" s="503"/>
      <c r="K4582" s="503"/>
      <c r="L4582" s="497"/>
      <c r="M4582" s="497"/>
      <c r="N4582" s="497"/>
      <c r="O4582" s="497"/>
      <c r="P4582" s="497">
        <f t="shared" si="277"/>
        <v>272</v>
      </c>
      <c r="Q4582" s="497" t="b">
        <v>0</v>
      </c>
    </row>
    <row r="4583" spans="1:17" x14ac:dyDescent="0.35">
      <c r="A4583" s="497" t="b">
        <v>0</v>
      </c>
      <c r="B4583" s="497" t="s">
        <v>10507</v>
      </c>
      <c r="C4583" s="512">
        <v>46</v>
      </c>
      <c r="D4583" s="497">
        <f t="shared" si="274"/>
        <v>-207</v>
      </c>
      <c r="E4583" s="497">
        <f t="shared" si="275"/>
        <v>3</v>
      </c>
      <c r="F4583" s="497">
        <f t="shared" ca="1" si="276"/>
        <v>54</v>
      </c>
      <c r="G4583" s="497" t="s">
        <v>10005</v>
      </c>
      <c r="H4583" s="503"/>
      <c r="I4583" s="503"/>
      <c r="J4583" s="503"/>
      <c r="K4583" s="503"/>
      <c r="L4583" s="497"/>
      <c r="M4583" s="497"/>
      <c r="N4583" s="497"/>
      <c r="O4583" s="497"/>
      <c r="P4583" s="497">
        <f t="shared" si="277"/>
        <v>273</v>
      </c>
      <c r="Q4583" s="497" t="b">
        <v>0</v>
      </c>
    </row>
    <row r="4584" spans="1:17" x14ac:dyDescent="0.35">
      <c r="A4584" s="497" t="b">
        <v>0</v>
      </c>
      <c r="B4584" s="497" t="s">
        <v>10508</v>
      </c>
      <c r="C4584" s="512">
        <v>46</v>
      </c>
      <c r="D4584" s="497">
        <f t="shared" si="274"/>
        <v>-206</v>
      </c>
      <c r="E4584" s="497">
        <f t="shared" si="275"/>
        <v>4</v>
      </c>
      <c r="F4584" s="497">
        <f t="shared" ca="1" si="276"/>
        <v>54</v>
      </c>
      <c r="G4584" s="497" t="s">
        <v>10005</v>
      </c>
      <c r="H4584" s="503"/>
      <c r="I4584" s="503"/>
      <c r="J4584" s="503"/>
      <c r="K4584" s="503"/>
      <c r="L4584" s="497"/>
      <c r="M4584" s="497"/>
      <c r="N4584" s="497"/>
      <c r="O4584" s="497"/>
      <c r="P4584" s="497">
        <f t="shared" si="277"/>
        <v>274</v>
      </c>
      <c r="Q4584" s="497" t="b">
        <v>0</v>
      </c>
    </row>
    <row r="4585" spans="1:17" x14ac:dyDescent="0.35">
      <c r="A4585" s="497" t="b">
        <v>0</v>
      </c>
      <c r="B4585" s="497" t="s">
        <v>10509</v>
      </c>
      <c r="C4585" s="512">
        <v>46</v>
      </c>
      <c r="D4585" s="497">
        <f t="shared" si="274"/>
        <v>-205</v>
      </c>
      <c r="E4585" s="497">
        <f t="shared" si="275"/>
        <v>5</v>
      </c>
      <c r="F4585" s="497">
        <f t="shared" ca="1" si="276"/>
        <v>54</v>
      </c>
      <c r="G4585" s="497" t="s">
        <v>10005</v>
      </c>
      <c r="H4585" s="503"/>
      <c r="I4585" s="503"/>
      <c r="J4585" s="503"/>
      <c r="K4585" s="503"/>
      <c r="L4585" s="497"/>
      <c r="M4585" s="497"/>
      <c r="N4585" s="497"/>
      <c r="O4585" s="497"/>
      <c r="P4585" s="497">
        <f t="shared" si="277"/>
        <v>275</v>
      </c>
      <c r="Q4585" s="497" t="b">
        <v>0</v>
      </c>
    </row>
    <row r="4586" spans="1:17" x14ac:dyDescent="0.35">
      <c r="A4586" s="497" t="b">
        <v>0</v>
      </c>
      <c r="B4586" s="497" t="s">
        <v>10510</v>
      </c>
      <c r="C4586" s="512">
        <v>46</v>
      </c>
      <c r="D4586" s="497">
        <f t="shared" si="274"/>
        <v>-204</v>
      </c>
      <c r="E4586" s="497">
        <f t="shared" si="275"/>
        <v>6</v>
      </c>
      <c r="F4586" s="497">
        <f t="shared" ca="1" si="276"/>
        <v>54</v>
      </c>
      <c r="G4586" s="497" t="s">
        <v>10005</v>
      </c>
      <c r="H4586" s="503"/>
      <c r="I4586" s="503"/>
      <c r="J4586" s="503"/>
      <c r="K4586" s="503"/>
      <c r="L4586" s="497"/>
      <c r="M4586" s="497"/>
      <c r="N4586" s="497"/>
      <c r="O4586" s="497"/>
      <c r="P4586" s="497">
        <f t="shared" si="277"/>
        <v>276</v>
      </c>
      <c r="Q4586" s="497" t="b">
        <v>0</v>
      </c>
    </row>
    <row r="4587" spans="1:17" x14ac:dyDescent="0.35">
      <c r="A4587" s="497" t="b">
        <v>0</v>
      </c>
      <c r="B4587" s="497" t="s">
        <v>10511</v>
      </c>
      <c r="C4587" s="512">
        <v>47</v>
      </c>
      <c r="D4587" s="497">
        <f t="shared" si="274"/>
        <v>-203</v>
      </c>
      <c r="E4587" s="497">
        <f t="shared" si="275"/>
        <v>1</v>
      </c>
      <c r="F4587" s="497">
        <f t="shared" ca="1" si="276"/>
        <v>55</v>
      </c>
      <c r="G4587" s="497" t="s">
        <v>10007</v>
      </c>
      <c r="H4587" s="503"/>
      <c r="I4587" s="503"/>
      <c r="J4587" s="503"/>
      <c r="K4587" s="503"/>
      <c r="L4587" s="497"/>
      <c r="M4587" s="497"/>
      <c r="N4587" s="497"/>
      <c r="O4587" s="497"/>
      <c r="P4587" s="497">
        <f t="shared" si="277"/>
        <v>277</v>
      </c>
      <c r="Q4587" s="497" t="b">
        <v>0</v>
      </c>
    </row>
    <row r="4588" spans="1:17" x14ac:dyDescent="0.35">
      <c r="A4588" s="497" t="b">
        <v>0</v>
      </c>
      <c r="B4588" s="497" t="s">
        <v>10512</v>
      </c>
      <c r="C4588" s="512">
        <v>47</v>
      </c>
      <c r="D4588" s="497">
        <f t="shared" si="274"/>
        <v>-202</v>
      </c>
      <c r="E4588" s="497">
        <f t="shared" si="275"/>
        <v>2</v>
      </c>
      <c r="F4588" s="497">
        <f t="shared" ca="1" si="276"/>
        <v>55</v>
      </c>
      <c r="G4588" s="497" t="s">
        <v>10007</v>
      </c>
      <c r="H4588" s="503"/>
      <c r="I4588" s="503"/>
      <c r="J4588" s="503"/>
      <c r="K4588" s="503"/>
      <c r="L4588" s="497"/>
      <c r="M4588" s="497"/>
      <c r="N4588" s="497"/>
      <c r="O4588" s="497"/>
      <c r="P4588" s="497">
        <f t="shared" si="277"/>
        <v>278</v>
      </c>
      <c r="Q4588" s="497" t="b">
        <v>0</v>
      </c>
    </row>
    <row r="4589" spans="1:17" x14ac:dyDescent="0.35">
      <c r="A4589" s="497" t="b">
        <v>0</v>
      </c>
      <c r="B4589" s="497" t="s">
        <v>10513</v>
      </c>
      <c r="C4589" s="512">
        <v>47</v>
      </c>
      <c r="D4589" s="497">
        <f t="shared" si="274"/>
        <v>-201</v>
      </c>
      <c r="E4589" s="497">
        <f t="shared" si="275"/>
        <v>3</v>
      </c>
      <c r="F4589" s="497">
        <f t="shared" ca="1" si="276"/>
        <v>55</v>
      </c>
      <c r="G4589" s="497" t="s">
        <v>10007</v>
      </c>
      <c r="H4589" s="503"/>
      <c r="I4589" s="503"/>
      <c r="J4589" s="503"/>
      <c r="K4589" s="503"/>
      <c r="L4589" s="497"/>
      <c r="M4589" s="497"/>
      <c r="N4589" s="497"/>
      <c r="O4589" s="497"/>
      <c r="P4589" s="497">
        <f t="shared" si="277"/>
        <v>279</v>
      </c>
      <c r="Q4589" s="497" t="b">
        <v>0</v>
      </c>
    </row>
    <row r="4590" spans="1:17" x14ac:dyDescent="0.35">
      <c r="A4590" s="497" t="b">
        <v>0</v>
      </c>
      <c r="B4590" s="497" t="s">
        <v>10514</v>
      </c>
      <c r="C4590" s="512">
        <v>47</v>
      </c>
      <c r="D4590" s="497">
        <f t="shared" si="274"/>
        <v>-200</v>
      </c>
      <c r="E4590" s="497">
        <f t="shared" si="275"/>
        <v>4</v>
      </c>
      <c r="F4590" s="497">
        <f t="shared" ca="1" si="276"/>
        <v>55</v>
      </c>
      <c r="G4590" s="497" t="s">
        <v>10007</v>
      </c>
      <c r="H4590" s="503"/>
      <c r="I4590" s="503"/>
      <c r="J4590" s="503"/>
      <c r="K4590" s="503"/>
      <c r="L4590" s="497"/>
      <c r="M4590" s="497"/>
      <c r="N4590" s="497"/>
      <c r="O4590" s="497"/>
      <c r="P4590" s="497">
        <f t="shared" si="277"/>
        <v>280</v>
      </c>
      <c r="Q4590" s="497" t="b">
        <v>0</v>
      </c>
    </row>
    <row r="4591" spans="1:17" x14ac:dyDescent="0.35">
      <c r="A4591" s="497" t="b">
        <v>0</v>
      </c>
      <c r="B4591" s="497" t="s">
        <v>10515</v>
      </c>
      <c r="C4591" s="512">
        <v>47</v>
      </c>
      <c r="D4591" s="497">
        <f t="shared" si="274"/>
        <v>-199</v>
      </c>
      <c r="E4591" s="497">
        <f t="shared" si="275"/>
        <v>5</v>
      </c>
      <c r="F4591" s="497">
        <f t="shared" ca="1" si="276"/>
        <v>55</v>
      </c>
      <c r="G4591" s="497" t="s">
        <v>10007</v>
      </c>
      <c r="H4591" s="503"/>
      <c r="I4591" s="503"/>
      <c r="J4591" s="503"/>
      <c r="K4591" s="503"/>
      <c r="L4591" s="497"/>
      <c r="M4591" s="497"/>
      <c r="N4591" s="497"/>
      <c r="O4591" s="497"/>
      <c r="P4591" s="497">
        <f t="shared" si="277"/>
        <v>281</v>
      </c>
      <c r="Q4591" s="497" t="b">
        <v>0</v>
      </c>
    </row>
    <row r="4592" spans="1:17" x14ac:dyDescent="0.35">
      <c r="A4592" s="497" t="b">
        <v>0</v>
      </c>
      <c r="B4592" s="497" t="s">
        <v>10516</v>
      </c>
      <c r="C4592" s="512">
        <v>47</v>
      </c>
      <c r="D4592" s="497">
        <f t="shared" si="274"/>
        <v>-198</v>
      </c>
      <c r="E4592" s="497">
        <f t="shared" si="275"/>
        <v>6</v>
      </c>
      <c r="F4592" s="497">
        <f t="shared" ca="1" si="276"/>
        <v>55</v>
      </c>
      <c r="G4592" s="497" t="s">
        <v>10007</v>
      </c>
      <c r="H4592" s="503"/>
      <c r="I4592" s="503"/>
      <c r="J4592" s="503"/>
      <c r="K4592" s="503"/>
      <c r="L4592" s="497"/>
      <c r="M4592" s="497"/>
      <c r="N4592" s="497"/>
      <c r="O4592" s="497"/>
      <c r="P4592" s="497">
        <f t="shared" si="277"/>
        <v>282</v>
      </c>
      <c r="Q4592" s="497" t="b">
        <v>0</v>
      </c>
    </row>
    <row r="4593" spans="1:17" x14ac:dyDescent="0.35">
      <c r="A4593" s="497" t="b">
        <v>0</v>
      </c>
      <c r="B4593" s="497" t="s">
        <v>10517</v>
      </c>
      <c r="C4593" s="512">
        <v>48</v>
      </c>
      <c r="D4593" s="497">
        <f t="shared" si="274"/>
        <v>-197</v>
      </c>
      <c r="E4593" s="497">
        <f t="shared" si="275"/>
        <v>1</v>
      </c>
      <c r="F4593" s="497">
        <f t="shared" ca="1" si="276"/>
        <v>56</v>
      </c>
      <c r="G4593" s="497" t="s">
        <v>10009</v>
      </c>
      <c r="H4593" s="503"/>
      <c r="I4593" s="503"/>
      <c r="J4593" s="503"/>
      <c r="K4593" s="503"/>
      <c r="L4593" s="497"/>
      <c r="M4593" s="497"/>
      <c r="N4593" s="497"/>
      <c r="O4593" s="497"/>
      <c r="P4593" s="497">
        <f t="shared" si="277"/>
        <v>283</v>
      </c>
      <c r="Q4593" s="497" t="b">
        <v>0</v>
      </c>
    </row>
    <row r="4594" spans="1:17" x14ac:dyDescent="0.35">
      <c r="A4594" s="497" t="b">
        <v>0</v>
      </c>
      <c r="B4594" s="497" t="s">
        <v>10518</v>
      </c>
      <c r="C4594" s="512">
        <v>48</v>
      </c>
      <c r="D4594" s="497">
        <f t="shared" si="274"/>
        <v>-196</v>
      </c>
      <c r="E4594" s="497">
        <f t="shared" si="275"/>
        <v>2</v>
      </c>
      <c r="F4594" s="497">
        <f t="shared" ca="1" si="276"/>
        <v>56</v>
      </c>
      <c r="G4594" s="497" t="s">
        <v>10009</v>
      </c>
      <c r="H4594" s="503"/>
      <c r="I4594" s="503"/>
      <c r="J4594" s="503"/>
      <c r="K4594" s="503"/>
      <c r="L4594" s="497"/>
      <c r="M4594" s="497"/>
      <c r="N4594" s="497"/>
      <c r="O4594" s="497"/>
      <c r="P4594" s="497">
        <f t="shared" si="277"/>
        <v>284</v>
      </c>
      <c r="Q4594" s="497" t="b">
        <v>0</v>
      </c>
    </row>
    <row r="4595" spans="1:17" x14ac:dyDescent="0.35">
      <c r="A4595" s="497" t="b">
        <v>0</v>
      </c>
      <c r="B4595" s="497" t="s">
        <v>10519</v>
      </c>
      <c r="C4595" s="512">
        <v>48</v>
      </c>
      <c r="D4595" s="497">
        <f t="shared" si="274"/>
        <v>-195</v>
      </c>
      <c r="E4595" s="497">
        <f t="shared" si="275"/>
        <v>3</v>
      </c>
      <c r="F4595" s="497">
        <f t="shared" ca="1" si="276"/>
        <v>56</v>
      </c>
      <c r="G4595" s="497" t="s">
        <v>10009</v>
      </c>
      <c r="H4595" s="503"/>
      <c r="I4595" s="503"/>
      <c r="J4595" s="503"/>
      <c r="K4595" s="503"/>
      <c r="L4595" s="497"/>
      <c r="M4595" s="497"/>
      <c r="N4595" s="497"/>
      <c r="O4595" s="497"/>
      <c r="P4595" s="497">
        <f t="shared" si="277"/>
        <v>285</v>
      </c>
      <c r="Q4595" s="497" t="b">
        <v>0</v>
      </c>
    </row>
    <row r="4596" spans="1:17" x14ac:dyDescent="0.35">
      <c r="A4596" s="497" t="b">
        <v>0</v>
      </c>
      <c r="B4596" s="497" t="s">
        <v>10520</v>
      </c>
      <c r="C4596" s="512">
        <v>48</v>
      </c>
      <c r="D4596" s="497">
        <f t="shared" si="274"/>
        <v>-194</v>
      </c>
      <c r="E4596" s="497">
        <f t="shared" si="275"/>
        <v>4</v>
      </c>
      <c r="F4596" s="497">
        <f t="shared" ca="1" si="276"/>
        <v>56</v>
      </c>
      <c r="G4596" s="497" t="s">
        <v>10009</v>
      </c>
      <c r="H4596" s="503"/>
      <c r="I4596" s="503"/>
      <c r="J4596" s="503"/>
      <c r="K4596" s="503"/>
      <c r="L4596" s="497"/>
      <c r="M4596" s="497"/>
      <c r="N4596" s="497"/>
      <c r="O4596" s="497"/>
      <c r="P4596" s="497">
        <f t="shared" si="277"/>
        <v>286</v>
      </c>
      <c r="Q4596" s="497" t="b">
        <v>0</v>
      </c>
    </row>
    <row r="4597" spans="1:17" x14ac:dyDescent="0.35">
      <c r="A4597" s="497" t="b">
        <v>0</v>
      </c>
      <c r="B4597" s="497" t="s">
        <v>10521</v>
      </c>
      <c r="C4597" s="512">
        <v>48</v>
      </c>
      <c r="D4597" s="497">
        <f t="shared" si="274"/>
        <v>-193</v>
      </c>
      <c r="E4597" s="497">
        <f t="shared" si="275"/>
        <v>5</v>
      </c>
      <c r="F4597" s="497">
        <f t="shared" ca="1" si="276"/>
        <v>56</v>
      </c>
      <c r="G4597" s="497" t="s">
        <v>10009</v>
      </c>
      <c r="H4597" s="503"/>
      <c r="I4597" s="503"/>
      <c r="J4597" s="503"/>
      <c r="K4597" s="503"/>
      <c r="L4597" s="497"/>
      <c r="M4597" s="497"/>
      <c r="N4597" s="497"/>
      <c r="O4597" s="497"/>
      <c r="P4597" s="497">
        <f t="shared" si="277"/>
        <v>287</v>
      </c>
      <c r="Q4597" s="497" t="b">
        <v>0</v>
      </c>
    </row>
    <row r="4598" spans="1:17" x14ac:dyDescent="0.35">
      <c r="A4598" s="497" t="b">
        <v>0</v>
      </c>
      <c r="B4598" s="497" t="s">
        <v>10522</v>
      </c>
      <c r="C4598" s="512">
        <v>48</v>
      </c>
      <c r="D4598" s="497">
        <f t="shared" si="274"/>
        <v>-192</v>
      </c>
      <c r="E4598" s="497">
        <f t="shared" si="275"/>
        <v>6</v>
      </c>
      <c r="F4598" s="497">
        <f t="shared" ca="1" si="276"/>
        <v>56</v>
      </c>
      <c r="G4598" s="497" t="s">
        <v>10009</v>
      </c>
      <c r="H4598" s="503"/>
      <c r="I4598" s="503"/>
      <c r="J4598" s="503"/>
      <c r="K4598" s="503"/>
      <c r="L4598" s="497"/>
      <c r="M4598" s="497"/>
      <c r="N4598" s="497"/>
      <c r="O4598" s="497"/>
      <c r="P4598" s="497">
        <f t="shared" si="277"/>
        <v>288</v>
      </c>
      <c r="Q4598" s="497" t="b">
        <v>0</v>
      </c>
    </row>
    <row r="4599" spans="1:17" x14ac:dyDescent="0.35">
      <c r="A4599" s="497" t="b">
        <v>0</v>
      </c>
      <c r="B4599" s="497" t="s">
        <v>10523</v>
      </c>
      <c r="C4599" s="512">
        <v>49</v>
      </c>
      <c r="D4599" s="497">
        <f t="shared" si="274"/>
        <v>-191</v>
      </c>
      <c r="E4599" s="497">
        <f t="shared" si="275"/>
        <v>1</v>
      </c>
      <c r="F4599" s="497">
        <f t="shared" ca="1" si="276"/>
        <v>57</v>
      </c>
      <c r="G4599" s="497" t="s">
        <v>10011</v>
      </c>
      <c r="H4599" s="503"/>
      <c r="I4599" s="503"/>
      <c r="J4599" s="503"/>
      <c r="K4599" s="503"/>
      <c r="L4599" s="497"/>
      <c r="M4599" s="497"/>
      <c r="N4599" s="497"/>
      <c r="O4599" s="497"/>
      <c r="P4599" s="497">
        <f t="shared" si="277"/>
        <v>289</v>
      </c>
      <c r="Q4599" s="497" t="b">
        <v>0</v>
      </c>
    </row>
    <row r="4600" spans="1:17" x14ac:dyDescent="0.35">
      <c r="A4600" s="497" t="b">
        <v>0</v>
      </c>
      <c r="B4600" s="497" t="s">
        <v>10524</v>
      </c>
      <c r="C4600" s="512">
        <v>49</v>
      </c>
      <c r="D4600" s="497">
        <f t="shared" si="274"/>
        <v>-190</v>
      </c>
      <c r="E4600" s="497">
        <f t="shared" si="275"/>
        <v>2</v>
      </c>
      <c r="F4600" s="497">
        <f t="shared" ca="1" si="276"/>
        <v>57</v>
      </c>
      <c r="G4600" s="497" t="s">
        <v>10011</v>
      </c>
      <c r="H4600" s="503"/>
      <c r="I4600" s="503"/>
      <c r="J4600" s="503"/>
      <c r="K4600" s="503"/>
      <c r="L4600" s="497"/>
      <c r="M4600" s="497"/>
      <c r="N4600" s="497"/>
      <c r="O4600" s="497"/>
      <c r="P4600" s="497">
        <f t="shared" si="277"/>
        <v>290</v>
      </c>
      <c r="Q4600" s="497" t="b">
        <v>0</v>
      </c>
    </row>
    <row r="4601" spans="1:17" x14ac:dyDescent="0.35">
      <c r="A4601" s="497" t="b">
        <v>0</v>
      </c>
      <c r="B4601" s="497" t="s">
        <v>10525</v>
      </c>
      <c r="C4601" s="512">
        <v>49</v>
      </c>
      <c r="D4601" s="497">
        <f t="shared" si="274"/>
        <v>-189</v>
      </c>
      <c r="E4601" s="497">
        <f t="shared" si="275"/>
        <v>3</v>
      </c>
      <c r="F4601" s="497">
        <f t="shared" ca="1" si="276"/>
        <v>57</v>
      </c>
      <c r="G4601" s="497" t="s">
        <v>10011</v>
      </c>
      <c r="H4601" s="503"/>
      <c r="I4601" s="503"/>
      <c r="J4601" s="503"/>
      <c r="K4601" s="503"/>
      <c r="L4601" s="497"/>
      <c r="M4601" s="497"/>
      <c r="N4601" s="497"/>
      <c r="O4601" s="497"/>
      <c r="P4601" s="497">
        <f t="shared" si="277"/>
        <v>291</v>
      </c>
      <c r="Q4601" s="497" t="b">
        <v>0</v>
      </c>
    </row>
    <row r="4602" spans="1:17" x14ac:dyDescent="0.35">
      <c r="A4602" s="497" t="b">
        <v>0</v>
      </c>
      <c r="B4602" s="497" t="s">
        <v>10526</v>
      </c>
      <c r="C4602" s="512">
        <v>49</v>
      </c>
      <c r="D4602" s="497">
        <f t="shared" si="274"/>
        <v>-188</v>
      </c>
      <c r="E4602" s="497">
        <f t="shared" si="275"/>
        <v>4</v>
      </c>
      <c r="F4602" s="497">
        <f t="shared" ca="1" si="276"/>
        <v>57</v>
      </c>
      <c r="G4602" s="497" t="s">
        <v>10011</v>
      </c>
      <c r="H4602" s="503"/>
      <c r="I4602" s="503"/>
      <c r="J4602" s="503"/>
      <c r="K4602" s="503"/>
      <c r="L4602" s="497"/>
      <c r="M4602" s="497"/>
      <c r="N4602" s="497"/>
      <c r="O4602" s="497"/>
      <c r="P4602" s="497">
        <f t="shared" si="277"/>
        <v>292</v>
      </c>
      <c r="Q4602" s="497" t="b">
        <v>0</v>
      </c>
    </row>
    <row r="4603" spans="1:17" x14ac:dyDescent="0.35">
      <c r="A4603" s="497" t="b">
        <v>0</v>
      </c>
      <c r="B4603" s="497" t="s">
        <v>10527</v>
      </c>
      <c r="C4603" s="512">
        <v>49</v>
      </c>
      <c r="D4603" s="497">
        <f t="shared" si="274"/>
        <v>-187</v>
      </c>
      <c r="E4603" s="497">
        <f t="shared" si="275"/>
        <v>5</v>
      </c>
      <c r="F4603" s="497">
        <f t="shared" ca="1" si="276"/>
        <v>57</v>
      </c>
      <c r="G4603" s="497" t="s">
        <v>10011</v>
      </c>
      <c r="H4603" s="503"/>
      <c r="I4603" s="503"/>
      <c r="J4603" s="503"/>
      <c r="K4603" s="503"/>
      <c r="L4603" s="497"/>
      <c r="M4603" s="497"/>
      <c r="N4603" s="497"/>
      <c r="O4603" s="497"/>
      <c r="P4603" s="497">
        <f t="shared" si="277"/>
        <v>293</v>
      </c>
      <c r="Q4603" s="497" t="b">
        <v>0</v>
      </c>
    </row>
    <row r="4604" spans="1:17" x14ac:dyDescent="0.35">
      <c r="A4604" s="497" t="b">
        <v>0</v>
      </c>
      <c r="B4604" s="497" t="s">
        <v>10528</v>
      </c>
      <c r="C4604" s="512">
        <v>49</v>
      </c>
      <c r="D4604" s="497">
        <f t="shared" si="274"/>
        <v>-186</v>
      </c>
      <c r="E4604" s="497">
        <f t="shared" si="275"/>
        <v>6</v>
      </c>
      <c r="F4604" s="497">
        <f t="shared" ca="1" si="276"/>
        <v>57</v>
      </c>
      <c r="G4604" s="497" t="s">
        <v>10011</v>
      </c>
      <c r="H4604" s="503"/>
      <c r="I4604" s="503"/>
      <c r="J4604" s="503"/>
      <c r="K4604" s="503"/>
      <c r="L4604" s="497"/>
      <c r="M4604" s="497"/>
      <c r="N4604" s="497"/>
      <c r="O4604" s="497"/>
      <c r="P4604" s="497">
        <f t="shared" si="277"/>
        <v>294</v>
      </c>
      <c r="Q4604" s="497" t="b">
        <v>0</v>
      </c>
    </row>
    <row r="4605" spans="1:17" x14ac:dyDescent="0.35">
      <c r="A4605" s="497" t="b">
        <v>0</v>
      </c>
      <c r="B4605" s="497" t="s">
        <v>10529</v>
      </c>
      <c r="C4605" s="512">
        <v>50</v>
      </c>
      <c r="D4605" s="497">
        <f t="shared" si="274"/>
        <v>-185</v>
      </c>
      <c r="E4605" s="497">
        <f t="shared" si="275"/>
        <v>1</v>
      </c>
      <c r="F4605" s="497">
        <f t="shared" ca="1" si="276"/>
        <v>58</v>
      </c>
      <c r="G4605" s="497" t="s">
        <v>10013</v>
      </c>
      <c r="H4605" s="503"/>
      <c r="I4605" s="503"/>
      <c r="J4605" s="503"/>
      <c r="K4605" s="503"/>
      <c r="L4605" s="497"/>
      <c r="M4605" s="497"/>
      <c r="N4605" s="497"/>
      <c r="O4605" s="497"/>
      <c r="P4605" s="497">
        <f t="shared" si="277"/>
        <v>295</v>
      </c>
      <c r="Q4605" s="497" t="b">
        <v>0</v>
      </c>
    </row>
    <row r="4606" spans="1:17" x14ac:dyDescent="0.35">
      <c r="A4606" s="497" t="b">
        <v>0</v>
      </c>
      <c r="B4606" s="497" t="s">
        <v>10530</v>
      </c>
      <c r="C4606" s="512">
        <v>50</v>
      </c>
      <c r="D4606" s="497">
        <f t="shared" si="274"/>
        <v>-184</v>
      </c>
      <c r="E4606" s="497">
        <f t="shared" si="275"/>
        <v>2</v>
      </c>
      <c r="F4606" s="497">
        <f t="shared" ca="1" si="276"/>
        <v>58</v>
      </c>
      <c r="G4606" s="497" t="s">
        <v>10013</v>
      </c>
      <c r="H4606" s="503"/>
      <c r="I4606" s="503"/>
      <c r="J4606" s="503"/>
      <c r="K4606" s="503"/>
      <c r="L4606" s="497"/>
      <c r="M4606" s="497"/>
      <c r="N4606" s="497"/>
      <c r="O4606" s="497"/>
      <c r="P4606" s="497">
        <f t="shared" si="277"/>
        <v>296</v>
      </c>
      <c r="Q4606" s="497" t="b">
        <v>0</v>
      </c>
    </row>
    <row r="4607" spans="1:17" x14ac:dyDescent="0.35">
      <c r="A4607" s="497" t="b">
        <v>0</v>
      </c>
      <c r="B4607" s="497" t="s">
        <v>10531</v>
      </c>
      <c r="C4607" s="512">
        <v>50</v>
      </c>
      <c r="D4607" s="497">
        <f t="shared" si="274"/>
        <v>-183</v>
      </c>
      <c r="E4607" s="497">
        <f t="shared" si="275"/>
        <v>3</v>
      </c>
      <c r="F4607" s="497">
        <f t="shared" ca="1" si="276"/>
        <v>58</v>
      </c>
      <c r="G4607" s="497" t="s">
        <v>10013</v>
      </c>
      <c r="H4607" s="503"/>
      <c r="I4607" s="503"/>
      <c r="J4607" s="503"/>
      <c r="K4607" s="503"/>
      <c r="L4607" s="497"/>
      <c r="M4607" s="497"/>
      <c r="N4607" s="497"/>
      <c r="O4607" s="497"/>
      <c r="P4607" s="497">
        <f t="shared" si="277"/>
        <v>297</v>
      </c>
      <c r="Q4607" s="497" t="b">
        <v>0</v>
      </c>
    </row>
    <row r="4608" spans="1:17" x14ac:dyDescent="0.35">
      <c r="A4608" s="497" t="b">
        <v>0</v>
      </c>
      <c r="B4608" s="497" t="s">
        <v>10532</v>
      </c>
      <c r="C4608" s="512">
        <v>50</v>
      </c>
      <c r="D4608" s="497">
        <f t="shared" si="274"/>
        <v>-182</v>
      </c>
      <c r="E4608" s="497">
        <f t="shared" si="275"/>
        <v>4</v>
      </c>
      <c r="F4608" s="497">
        <f t="shared" ca="1" si="276"/>
        <v>58</v>
      </c>
      <c r="G4608" s="497" t="s">
        <v>10013</v>
      </c>
      <c r="H4608" s="503"/>
      <c r="I4608" s="503"/>
      <c r="J4608" s="503"/>
      <c r="K4608" s="503"/>
      <c r="L4608" s="497"/>
      <c r="M4608" s="497"/>
      <c r="N4608" s="497"/>
      <c r="O4608" s="497"/>
      <c r="P4608" s="497">
        <f t="shared" si="277"/>
        <v>298</v>
      </c>
      <c r="Q4608" s="497" t="b">
        <v>0</v>
      </c>
    </row>
    <row r="4609" spans="1:17" x14ac:dyDescent="0.35">
      <c r="A4609" s="497" t="b">
        <v>0</v>
      </c>
      <c r="B4609" s="497" t="s">
        <v>10533</v>
      </c>
      <c r="C4609" s="512">
        <v>50</v>
      </c>
      <c r="D4609" s="497">
        <f t="shared" si="274"/>
        <v>-181</v>
      </c>
      <c r="E4609" s="497">
        <f t="shared" si="275"/>
        <v>5</v>
      </c>
      <c r="F4609" s="497">
        <f t="shared" ca="1" si="276"/>
        <v>58</v>
      </c>
      <c r="G4609" s="497" t="s">
        <v>10013</v>
      </c>
      <c r="H4609" s="503"/>
      <c r="I4609" s="503"/>
      <c r="J4609" s="503"/>
      <c r="K4609" s="503"/>
      <c r="L4609" s="497"/>
      <c r="M4609" s="497"/>
      <c r="N4609" s="497"/>
      <c r="O4609" s="497"/>
      <c r="P4609" s="497">
        <f t="shared" si="277"/>
        <v>299</v>
      </c>
      <c r="Q4609" s="497" t="b">
        <v>0</v>
      </c>
    </row>
    <row r="4610" spans="1:17" x14ac:dyDescent="0.35">
      <c r="A4610" s="497" t="b">
        <v>0</v>
      </c>
      <c r="B4610" s="497" t="s">
        <v>10534</v>
      </c>
      <c r="C4610" s="512">
        <v>50</v>
      </c>
      <c r="D4610" s="497">
        <f t="shared" si="274"/>
        <v>-180</v>
      </c>
      <c r="E4610" s="497">
        <f t="shared" si="275"/>
        <v>6</v>
      </c>
      <c r="F4610" s="497">
        <f t="shared" ca="1" si="276"/>
        <v>58</v>
      </c>
      <c r="G4610" s="497" t="s">
        <v>10013</v>
      </c>
      <c r="H4610" s="503"/>
      <c r="I4610" s="503"/>
      <c r="J4610" s="503"/>
      <c r="K4610" s="503"/>
      <c r="L4610" s="497"/>
      <c r="M4610" s="497"/>
      <c r="N4610" s="497"/>
      <c r="O4610" s="497"/>
      <c r="P4610" s="497">
        <f t="shared" si="277"/>
        <v>300</v>
      </c>
      <c r="Q4610" s="497" t="b">
        <v>0</v>
      </c>
    </row>
    <row r="4611" spans="1:17" x14ac:dyDescent="0.35">
      <c r="A4611" s="497" t="b">
        <v>0</v>
      </c>
      <c r="B4611" s="497" t="s">
        <v>10535</v>
      </c>
      <c r="C4611" s="512">
        <v>51</v>
      </c>
      <c r="D4611" s="497">
        <f t="shared" si="274"/>
        <v>-179</v>
      </c>
      <c r="E4611" s="497">
        <f t="shared" si="275"/>
        <v>1</v>
      </c>
      <c r="F4611" s="497">
        <f t="shared" ca="1" si="276"/>
        <v>59</v>
      </c>
      <c r="G4611" s="497" t="s">
        <v>10015</v>
      </c>
      <c r="H4611" s="503"/>
      <c r="I4611" s="503"/>
      <c r="J4611" s="503"/>
      <c r="K4611" s="503"/>
      <c r="L4611" s="497"/>
      <c r="M4611" s="497"/>
      <c r="N4611" s="497"/>
      <c r="O4611" s="497"/>
      <c r="P4611" s="497">
        <f t="shared" si="277"/>
        <v>301</v>
      </c>
      <c r="Q4611" s="497" t="b">
        <v>0</v>
      </c>
    </row>
    <row r="4612" spans="1:17" x14ac:dyDescent="0.35">
      <c r="A4612" s="497" t="b">
        <v>0</v>
      </c>
      <c r="B4612" s="497" t="s">
        <v>10536</v>
      </c>
      <c r="C4612" s="512">
        <v>51</v>
      </c>
      <c r="D4612" s="497">
        <f t="shared" si="274"/>
        <v>-178</v>
      </c>
      <c r="E4612" s="497">
        <f t="shared" si="275"/>
        <v>2</v>
      </c>
      <c r="F4612" s="497">
        <f t="shared" ca="1" si="276"/>
        <v>59</v>
      </c>
      <c r="G4612" s="497" t="s">
        <v>10015</v>
      </c>
      <c r="H4612" s="503"/>
      <c r="I4612" s="503"/>
      <c r="J4612" s="503"/>
      <c r="K4612" s="503"/>
      <c r="L4612" s="497"/>
      <c r="M4612" s="497"/>
      <c r="N4612" s="497"/>
      <c r="O4612" s="497"/>
      <c r="P4612" s="497">
        <f t="shared" si="277"/>
        <v>302</v>
      </c>
      <c r="Q4612" s="497" t="b">
        <v>0</v>
      </c>
    </row>
    <row r="4613" spans="1:17" x14ac:dyDescent="0.35">
      <c r="A4613" s="497" t="b">
        <v>0</v>
      </c>
      <c r="B4613" s="497" t="s">
        <v>10537</v>
      </c>
      <c r="C4613" s="512">
        <v>51</v>
      </c>
      <c r="D4613" s="497">
        <f t="shared" si="274"/>
        <v>-177</v>
      </c>
      <c r="E4613" s="497">
        <f t="shared" si="275"/>
        <v>3</v>
      </c>
      <c r="F4613" s="497">
        <f t="shared" ca="1" si="276"/>
        <v>59</v>
      </c>
      <c r="G4613" s="497" t="s">
        <v>10015</v>
      </c>
      <c r="H4613" s="503"/>
      <c r="I4613" s="503"/>
      <c r="J4613" s="503"/>
      <c r="K4613" s="503"/>
      <c r="L4613" s="497"/>
      <c r="M4613" s="497"/>
      <c r="N4613" s="497"/>
      <c r="O4613" s="497"/>
      <c r="P4613" s="497">
        <f t="shared" si="277"/>
        <v>303</v>
      </c>
      <c r="Q4613" s="497" t="b">
        <v>0</v>
      </c>
    </row>
    <row r="4614" spans="1:17" x14ac:dyDescent="0.35">
      <c r="A4614" s="497" t="b">
        <v>0</v>
      </c>
      <c r="B4614" s="497" t="s">
        <v>10538</v>
      </c>
      <c r="C4614" s="512">
        <v>51</v>
      </c>
      <c r="D4614" s="497">
        <f t="shared" si="274"/>
        <v>-176</v>
      </c>
      <c r="E4614" s="497">
        <f t="shared" si="275"/>
        <v>4</v>
      </c>
      <c r="F4614" s="497">
        <f t="shared" ca="1" si="276"/>
        <v>59</v>
      </c>
      <c r="G4614" s="497" t="s">
        <v>10015</v>
      </c>
      <c r="H4614" s="503"/>
      <c r="I4614" s="503"/>
      <c r="J4614" s="503"/>
      <c r="K4614" s="503"/>
      <c r="L4614" s="497"/>
      <c r="M4614" s="497"/>
      <c r="N4614" s="497"/>
      <c r="O4614" s="497"/>
      <c r="P4614" s="497">
        <f t="shared" si="277"/>
        <v>304</v>
      </c>
      <c r="Q4614" s="497" t="b">
        <v>0</v>
      </c>
    </row>
    <row r="4615" spans="1:17" x14ac:dyDescent="0.35">
      <c r="A4615" s="497" t="b">
        <v>0</v>
      </c>
      <c r="B4615" s="497" t="s">
        <v>10539</v>
      </c>
      <c r="C4615" s="512">
        <v>51</v>
      </c>
      <c r="D4615" s="497">
        <f t="shared" si="274"/>
        <v>-175</v>
      </c>
      <c r="E4615" s="497">
        <f t="shared" si="275"/>
        <v>5</v>
      </c>
      <c r="F4615" s="497">
        <f t="shared" ca="1" si="276"/>
        <v>59</v>
      </c>
      <c r="G4615" s="497" t="s">
        <v>10015</v>
      </c>
      <c r="H4615" s="503"/>
      <c r="I4615" s="503"/>
      <c r="J4615" s="503"/>
      <c r="K4615" s="503"/>
      <c r="L4615" s="497"/>
      <c r="M4615" s="497"/>
      <c r="N4615" s="497"/>
      <c r="O4615" s="497"/>
      <c r="P4615" s="497">
        <f t="shared" si="277"/>
        <v>305</v>
      </c>
      <c r="Q4615" s="497" t="b">
        <v>0</v>
      </c>
    </row>
    <row r="4616" spans="1:17" x14ac:dyDescent="0.35">
      <c r="A4616" s="497" t="b">
        <v>0</v>
      </c>
      <c r="B4616" s="497" t="s">
        <v>10540</v>
      </c>
      <c r="C4616" s="512">
        <v>51</v>
      </c>
      <c r="D4616" s="497">
        <f t="shared" si="274"/>
        <v>-174</v>
      </c>
      <c r="E4616" s="497">
        <f t="shared" si="275"/>
        <v>6</v>
      </c>
      <c r="F4616" s="497">
        <f t="shared" ca="1" si="276"/>
        <v>59</v>
      </c>
      <c r="G4616" s="497" t="s">
        <v>10015</v>
      </c>
      <c r="H4616" s="503"/>
      <c r="I4616" s="503"/>
      <c r="J4616" s="503"/>
      <c r="K4616" s="503"/>
      <c r="L4616" s="497"/>
      <c r="M4616" s="497"/>
      <c r="N4616" s="497"/>
      <c r="O4616" s="497"/>
      <c r="P4616" s="497">
        <f t="shared" si="277"/>
        <v>306</v>
      </c>
      <c r="Q4616" s="497" t="b">
        <v>0</v>
      </c>
    </row>
    <row r="4617" spans="1:17" x14ac:dyDescent="0.35">
      <c r="A4617" s="497" t="b">
        <v>0</v>
      </c>
      <c r="B4617" s="497" t="s">
        <v>10541</v>
      </c>
      <c r="C4617" s="512">
        <v>52</v>
      </c>
      <c r="D4617" s="497">
        <f t="shared" si="274"/>
        <v>-173</v>
      </c>
      <c r="E4617" s="497">
        <f t="shared" si="275"/>
        <v>1</v>
      </c>
      <c r="F4617" s="497">
        <f t="shared" ca="1" si="276"/>
        <v>60</v>
      </c>
      <c r="G4617" s="497" t="s">
        <v>10017</v>
      </c>
      <c r="H4617" s="503"/>
      <c r="I4617" s="503"/>
      <c r="J4617" s="503"/>
      <c r="K4617" s="503"/>
      <c r="L4617" s="497"/>
      <c r="M4617" s="497"/>
      <c r="N4617" s="497"/>
      <c r="O4617" s="497"/>
      <c r="P4617" s="497">
        <f t="shared" si="277"/>
        <v>307</v>
      </c>
      <c r="Q4617" s="497" t="b">
        <v>0</v>
      </c>
    </row>
    <row r="4618" spans="1:17" x14ac:dyDescent="0.35">
      <c r="A4618" s="497" t="b">
        <v>0</v>
      </c>
      <c r="B4618" s="497" t="s">
        <v>10542</v>
      </c>
      <c r="C4618" s="512">
        <v>52</v>
      </c>
      <c r="D4618" s="497">
        <f t="shared" si="274"/>
        <v>-172</v>
      </c>
      <c r="E4618" s="497">
        <f t="shared" si="275"/>
        <v>2</v>
      </c>
      <c r="F4618" s="497">
        <f t="shared" ca="1" si="276"/>
        <v>60</v>
      </c>
      <c r="G4618" s="497" t="s">
        <v>10017</v>
      </c>
      <c r="H4618" s="503"/>
      <c r="I4618" s="503"/>
      <c r="J4618" s="503"/>
      <c r="K4618" s="503"/>
      <c r="L4618" s="497"/>
      <c r="M4618" s="497"/>
      <c r="N4618" s="497"/>
      <c r="O4618" s="497"/>
      <c r="P4618" s="497">
        <f t="shared" si="277"/>
        <v>308</v>
      </c>
      <c r="Q4618" s="497" t="b">
        <v>0</v>
      </c>
    </row>
    <row r="4619" spans="1:17" x14ac:dyDescent="0.35">
      <c r="A4619" s="497" t="b">
        <v>0</v>
      </c>
      <c r="B4619" s="497" t="s">
        <v>10543</v>
      </c>
      <c r="C4619" s="512">
        <v>52</v>
      </c>
      <c r="D4619" s="497">
        <f t="shared" si="274"/>
        <v>-171</v>
      </c>
      <c r="E4619" s="497">
        <f t="shared" si="275"/>
        <v>3</v>
      </c>
      <c r="F4619" s="497">
        <f t="shared" ca="1" si="276"/>
        <v>60</v>
      </c>
      <c r="G4619" s="497" t="s">
        <v>10017</v>
      </c>
      <c r="H4619" s="503"/>
      <c r="I4619" s="503"/>
      <c r="J4619" s="503"/>
      <c r="K4619" s="503"/>
      <c r="L4619" s="497"/>
      <c r="M4619" s="497"/>
      <c r="N4619" s="497"/>
      <c r="O4619" s="497"/>
      <c r="P4619" s="497">
        <f t="shared" si="277"/>
        <v>309</v>
      </c>
      <c r="Q4619" s="497" t="b">
        <v>0</v>
      </c>
    </row>
    <row r="4620" spans="1:17" x14ac:dyDescent="0.35">
      <c r="A4620" s="497" t="b">
        <v>0</v>
      </c>
      <c r="B4620" s="497" t="s">
        <v>10544</v>
      </c>
      <c r="C4620" s="512">
        <v>52</v>
      </c>
      <c r="D4620" s="497">
        <f t="shared" si="274"/>
        <v>-170</v>
      </c>
      <c r="E4620" s="497">
        <f t="shared" si="275"/>
        <v>4</v>
      </c>
      <c r="F4620" s="497">
        <f t="shared" ca="1" si="276"/>
        <v>60</v>
      </c>
      <c r="G4620" s="497" t="s">
        <v>10017</v>
      </c>
      <c r="H4620" s="503"/>
      <c r="I4620" s="503"/>
      <c r="J4620" s="503"/>
      <c r="K4620" s="503"/>
      <c r="L4620" s="497"/>
      <c r="M4620" s="497"/>
      <c r="N4620" s="497"/>
      <c r="O4620" s="497"/>
      <c r="P4620" s="497">
        <f t="shared" si="277"/>
        <v>310</v>
      </c>
      <c r="Q4620" s="497" t="b">
        <v>0</v>
      </c>
    </row>
    <row r="4621" spans="1:17" x14ac:dyDescent="0.35">
      <c r="A4621" s="497" t="b">
        <v>0</v>
      </c>
      <c r="B4621" s="497" t="s">
        <v>10545</v>
      </c>
      <c r="C4621" s="512">
        <v>52</v>
      </c>
      <c r="D4621" s="497">
        <f t="shared" si="274"/>
        <v>-169</v>
      </c>
      <c r="E4621" s="497">
        <f t="shared" si="275"/>
        <v>5</v>
      </c>
      <c r="F4621" s="497">
        <f t="shared" ca="1" si="276"/>
        <v>60</v>
      </c>
      <c r="G4621" s="497" t="s">
        <v>10017</v>
      </c>
      <c r="H4621" s="503"/>
      <c r="I4621" s="503"/>
      <c r="J4621" s="503"/>
      <c r="K4621" s="503"/>
      <c r="L4621" s="497"/>
      <c r="M4621" s="497"/>
      <c r="N4621" s="497"/>
      <c r="O4621" s="497"/>
      <c r="P4621" s="497">
        <f t="shared" si="277"/>
        <v>311</v>
      </c>
      <c r="Q4621" s="497" t="b">
        <v>0</v>
      </c>
    </row>
    <row r="4622" spans="1:17" x14ac:dyDescent="0.35">
      <c r="A4622" s="497" t="b">
        <v>0</v>
      </c>
      <c r="B4622" s="497" t="s">
        <v>10546</v>
      </c>
      <c r="C4622" s="512">
        <v>52</v>
      </c>
      <c r="D4622" s="497">
        <f t="shared" si="274"/>
        <v>-168</v>
      </c>
      <c r="E4622" s="497">
        <f t="shared" si="275"/>
        <v>6</v>
      </c>
      <c r="F4622" s="497">
        <f t="shared" ca="1" si="276"/>
        <v>60</v>
      </c>
      <c r="G4622" s="497" t="s">
        <v>10017</v>
      </c>
      <c r="H4622" s="503"/>
      <c r="I4622" s="503"/>
      <c r="J4622" s="503"/>
      <c r="K4622" s="503"/>
      <c r="L4622" s="497"/>
      <c r="M4622" s="497"/>
      <c r="N4622" s="497"/>
      <c r="O4622" s="497"/>
      <c r="P4622" s="497">
        <f t="shared" si="277"/>
        <v>312</v>
      </c>
      <c r="Q4622" s="497" t="b">
        <v>0</v>
      </c>
    </row>
    <row r="4623" spans="1:17" x14ac:dyDescent="0.35">
      <c r="A4623" s="497" t="b">
        <v>0</v>
      </c>
      <c r="B4623" s="497" t="s">
        <v>10547</v>
      </c>
      <c r="C4623" s="512">
        <v>53</v>
      </c>
      <c r="D4623" s="497">
        <f t="shared" si="274"/>
        <v>-167</v>
      </c>
      <c r="E4623" s="497">
        <f t="shared" si="275"/>
        <v>1</v>
      </c>
      <c r="F4623" s="497">
        <f t="shared" ca="1" si="276"/>
        <v>61</v>
      </c>
      <c r="G4623" s="497" t="s">
        <v>10019</v>
      </c>
      <c r="H4623" s="503"/>
      <c r="I4623" s="503"/>
      <c r="J4623" s="503"/>
      <c r="K4623" s="503"/>
      <c r="L4623" s="497"/>
      <c r="M4623" s="497"/>
      <c r="N4623" s="497"/>
      <c r="O4623" s="497"/>
      <c r="P4623" s="497">
        <f t="shared" si="277"/>
        <v>313</v>
      </c>
      <c r="Q4623" s="497" t="b">
        <v>0</v>
      </c>
    </row>
    <row r="4624" spans="1:17" x14ac:dyDescent="0.35">
      <c r="A4624" s="497" t="b">
        <v>0</v>
      </c>
      <c r="B4624" s="497" t="s">
        <v>10548</v>
      </c>
      <c r="C4624" s="512">
        <v>53</v>
      </c>
      <c r="D4624" s="497">
        <f t="shared" si="274"/>
        <v>-166</v>
      </c>
      <c r="E4624" s="497">
        <f t="shared" si="275"/>
        <v>2</v>
      </c>
      <c r="F4624" s="497">
        <f t="shared" ca="1" si="276"/>
        <v>61</v>
      </c>
      <c r="G4624" s="497" t="s">
        <v>10019</v>
      </c>
      <c r="H4624" s="503"/>
      <c r="I4624" s="503"/>
      <c r="J4624" s="503"/>
      <c r="K4624" s="503"/>
      <c r="L4624" s="497"/>
      <c r="M4624" s="497"/>
      <c r="N4624" s="497"/>
      <c r="O4624" s="497"/>
      <c r="P4624" s="497">
        <f t="shared" si="277"/>
        <v>314</v>
      </c>
      <c r="Q4624" s="497" t="b">
        <v>0</v>
      </c>
    </row>
    <row r="4625" spans="1:17" x14ac:dyDescent="0.35">
      <c r="A4625" s="497" t="b">
        <v>0</v>
      </c>
      <c r="B4625" s="497" t="s">
        <v>10549</v>
      </c>
      <c r="C4625" s="512">
        <v>53</v>
      </c>
      <c r="D4625" s="497">
        <f t="shared" si="274"/>
        <v>-165</v>
      </c>
      <c r="E4625" s="497">
        <f t="shared" si="275"/>
        <v>3</v>
      </c>
      <c r="F4625" s="497">
        <f t="shared" ca="1" si="276"/>
        <v>61</v>
      </c>
      <c r="G4625" s="497" t="s">
        <v>10019</v>
      </c>
      <c r="H4625" s="503"/>
      <c r="I4625" s="503"/>
      <c r="J4625" s="503"/>
      <c r="K4625" s="503"/>
      <c r="L4625" s="497"/>
      <c r="M4625" s="497"/>
      <c r="N4625" s="497"/>
      <c r="O4625" s="497"/>
      <c r="P4625" s="497">
        <f t="shared" si="277"/>
        <v>315</v>
      </c>
      <c r="Q4625" s="497" t="b">
        <v>0</v>
      </c>
    </row>
    <row r="4626" spans="1:17" x14ac:dyDescent="0.35">
      <c r="A4626" s="497" t="b">
        <v>0</v>
      </c>
      <c r="B4626" s="497" t="s">
        <v>10550</v>
      </c>
      <c r="C4626" s="512">
        <v>53</v>
      </c>
      <c r="D4626" s="497">
        <f t="shared" si="274"/>
        <v>-164</v>
      </c>
      <c r="E4626" s="497">
        <f t="shared" si="275"/>
        <v>4</v>
      </c>
      <c r="F4626" s="497">
        <f t="shared" ca="1" si="276"/>
        <v>61</v>
      </c>
      <c r="G4626" s="497" t="s">
        <v>10019</v>
      </c>
      <c r="H4626" s="503"/>
      <c r="I4626" s="503"/>
      <c r="J4626" s="503"/>
      <c r="K4626" s="503"/>
      <c r="L4626" s="497"/>
      <c r="M4626" s="497"/>
      <c r="N4626" s="497"/>
      <c r="O4626" s="497"/>
      <c r="P4626" s="497">
        <f t="shared" si="277"/>
        <v>316</v>
      </c>
      <c r="Q4626" s="497" t="b">
        <v>0</v>
      </c>
    </row>
    <row r="4627" spans="1:17" x14ac:dyDescent="0.35">
      <c r="A4627" s="497" t="b">
        <v>0</v>
      </c>
      <c r="B4627" s="497" t="s">
        <v>10551</v>
      </c>
      <c r="C4627" s="512">
        <v>53</v>
      </c>
      <c r="D4627" s="497">
        <f t="shared" si="274"/>
        <v>-163</v>
      </c>
      <c r="E4627" s="497">
        <f t="shared" si="275"/>
        <v>5</v>
      </c>
      <c r="F4627" s="497">
        <f t="shared" ca="1" si="276"/>
        <v>61</v>
      </c>
      <c r="G4627" s="497" t="s">
        <v>10019</v>
      </c>
      <c r="H4627" s="503"/>
      <c r="I4627" s="503"/>
      <c r="J4627" s="503"/>
      <c r="K4627" s="503"/>
      <c r="L4627" s="497"/>
      <c r="M4627" s="497"/>
      <c r="N4627" s="497"/>
      <c r="O4627" s="497"/>
      <c r="P4627" s="497">
        <f t="shared" si="277"/>
        <v>317</v>
      </c>
      <c r="Q4627" s="497" t="b">
        <v>0</v>
      </c>
    </row>
    <row r="4628" spans="1:17" x14ac:dyDescent="0.35">
      <c r="A4628" s="497" t="b">
        <v>0</v>
      </c>
      <c r="B4628" s="497" t="s">
        <v>10552</v>
      </c>
      <c r="C4628" s="512">
        <v>53</v>
      </c>
      <c r="D4628" s="497">
        <f t="shared" si="274"/>
        <v>-162</v>
      </c>
      <c r="E4628" s="497">
        <f t="shared" si="275"/>
        <v>6</v>
      </c>
      <c r="F4628" s="497">
        <f t="shared" ca="1" si="276"/>
        <v>61</v>
      </c>
      <c r="G4628" s="497" t="s">
        <v>10019</v>
      </c>
      <c r="H4628" s="503"/>
      <c r="I4628" s="503"/>
      <c r="J4628" s="503"/>
      <c r="K4628" s="503"/>
      <c r="L4628" s="497"/>
      <c r="M4628" s="497"/>
      <c r="N4628" s="497"/>
      <c r="O4628" s="497"/>
      <c r="P4628" s="497">
        <f t="shared" si="277"/>
        <v>318</v>
      </c>
      <c r="Q4628" s="497" t="b">
        <v>0</v>
      </c>
    </row>
    <row r="4629" spans="1:17" x14ac:dyDescent="0.35">
      <c r="A4629" s="497" t="b">
        <v>0</v>
      </c>
      <c r="B4629" s="497" t="s">
        <v>10553</v>
      </c>
      <c r="C4629" s="512">
        <v>54</v>
      </c>
      <c r="D4629" s="497">
        <f t="shared" si="274"/>
        <v>-161</v>
      </c>
      <c r="E4629" s="497">
        <f t="shared" si="275"/>
        <v>1</v>
      </c>
      <c r="F4629" s="497">
        <f t="shared" ca="1" si="276"/>
        <v>62</v>
      </c>
      <c r="G4629" s="497" t="s">
        <v>10021</v>
      </c>
      <c r="H4629" s="503"/>
      <c r="I4629" s="503"/>
      <c r="J4629" s="503"/>
      <c r="K4629" s="503"/>
      <c r="L4629" s="497"/>
      <c r="M4629" s="497"/>
      <c r="N4629" s="497"/>
      <c r="O4629" s="497"/>
      <c r="P4629" s="497">
        <f t="shared" si="277"/>
        <v>319</v>
      </c>
      <c r="Q4629" s="497" t="b">
        <v>0</v>
      </c>
    </row>
    <row r="4630" spans="1:17" x14ac:dyDescent="0.35">
      <c r="A4630" s="497" t="b">
        <v>0</v>
      </c>
      <c r="B4630" s="497" t="s">
        <v>10554</v>
      </c>
      <c r="C4630" s="512">
        <v>54</v>
      </c>
      <c r="D4630" s="497">
        <f t="shared" si="274"/>
        <v>-160</v>
      </c>
      <c r="E4630" s="497">
        <f t="shared" si="275"/>
        <v>2</v>
      </c>
      <c r="F4630" s="497">
        <f t="shared" ca="1" si="276"/>
        <v>62</v>
      </c>
      <c r="G4630" s="497" t="s">
        <v>10021</v>
      </c>
      <c r="H4630" s="503"/>
      <c r="I4630" s="503"/>
      <c r="J4630" s="503"/>
      <c r="K4630" s="503"/>
      <c r="L4630" s="497"/>
      <c r="M4630" s="497"/>
      <c r="N4630" s="497"/>
      <c r="O4630" s="497"/>
      <c r="P4630" s="497">
        <f t="shared" si="277"/>
        <v>320</v>
      </c>
      <c r="Q4630" s="497" t="b">
        <v>0</v>
      </c>
    </row>
    <row r="4631" spans="1:17" x14ac:dyDescent="0.35">
      <c r="A4631" s="497" t="b">
        <v>0</v>
      </c>
      <c r="B4631" s="497" t="s">
        <v>10555</v>
      </c>
      <c r="C4631" s="512">
        <v>54</v>
      </c>
      <c r="D4631" s="497">
        <f t="shared" ref="D4631:D4694" si="278">D4630+1</f>
        <v>-159</v>
      </c>
      <c r="E4631" s="497">
        <f t="shared" ref="E4631:E4694" si="279">COUNTIF(C4381:C4631,C4631)</f>
        <v>3</v>
      </c>
      <c r="F4631" s="497">
        <f t="shared" ref="F4631:F4694" ca="1" si="280">IF(C4631=1,9,IF(E4630=MAX(E4629:E4631),F4629+1,F4630))</f>
        <v>62</v>
      </c>
      <c r="G4631" s="497" t="s">
        <v>10021</v>
      </c>
      <c r="H4631" s="503"/>
      <c r="I4631" s="503"/>
      <c r="J4631" s="503"/>
      <c r="K4631" s="503"/>
      <c r="L4631" s="497"/>
      <c r="M4631" s="497"/>
      <c r="N4631" s="497"/>
      <c r="O4631" s="497"/>
      <c r="P4631" s="497">
        <f t="shared" ref="P4631:P4694" si="281">IF(NOT(_xlfn.ISFORMULA(I4631)),P4630+1,0)</f>
        <v>321</v>
      </c>
      <c r="Q4631" s="497" t="b">
        <v>0</v>
      </c>
    </row>
    <row r="4632" spans="1:17" x14ac:dyDescent="0.35">
      <c r="A4632" s="497" t="b">
        <v>0</v>
      </c>
      <c r="B4632" s="497" t="s">
        <v>10556</v>
      </c>
      <c r="C4632" s="512">
        <v>54</v>
      </c>
      <c r="D4632" s="497">
        <f t="shared" si="278"/>
        <v>-158</v>
      </c>
      <c r="E4632" s="497">
        <f t="shared" si="279"/>
        <v>4</v>
      </c>
      <c r="F4632" s="497">
        <f t="shared" ca="1" si="280"/>
        <v>62</v>
      </c>
      <c r="G4632" s="497" t="s">
        <v>10021</v>
      </c>
      <c r="H4632" s="503"/>
      <c r="I4632" s="503"/>
      <c r="J4632" s="503"/>
      <c r="K4632" s="503"/>
      <c r="L4632" s="497"/>
      <c r="M4632" s="497"/>
      <c r="N4632" s="497"/>
      <c r="O4632" s="497"/>
      <c r="P4632" s="497">
        <f t="shared" si="281"/>
        <v>322</v>
      </c>
      <c r="Q4632" s="497" t="b">
        <v>0</v>
      </c>
    </row>
    <row r="4633" spans="1:17" x14ac:dyDescent="0.35">
      <c r="A4633" s="497" t="b">
        <v>0</v>
      </c>
      <c r="B4633" s="497" t="s">
        <v>10557</v>
      </c>
      <c r="C4633" s="512">
        <v>54</v>
      </c>
      <c r="D4633" s="497">
        <f t="shared" si="278"/>
        <v>-157</v>
      </c>
      <c r="E4633" s="497">
        <f t="shared" si="279"/>
        <v>5</v>
      </c>
      <c r="F4633" s="497">
        <f t="shared" ca="1" si="280"/>
        <v>62</v>
      </c>
      <c r="G4633" s="497" t="s">
        <v>10021</v>
      </c>
      <c r="H4633" s="503"/>
      <c r="I4633" s="503"/>
      <c r="J4633" s="503"/>
      <c r="K4633" s="503"/>
      <c r="L4633" s="497"/>
      <c r="M4633" s="497"/>
      <c r="N4633" s="497"/>
      <c r="O4633" s="497"/>
      <c r="P4633" s="497">
        <f t="shared" si="281"/>
        <v>323</v>
      </c>
      <c r="Q4633" s="497" t="b">
        <v>0</v>
      </c>
    </row>
    <row r="4634" spans="1:17" x14ac:dyDescent="0.35">
      <c r="A4634" s="497" t="b">
        <v>0</v>
      </c>
      <c r="B4634" s="497" t="s">
        <v>10558</v>
      </c>
      <c r="C4634" s="512">
        <v>54</v>
      </c>
      <c r="D4634" s="497">
        <f t="shared" si="278"/>
        <v>-156</v>
      </c>
      <c r="E4634" s="497">
        <f t="shared" si="279"/>
        <v>6</v>
      </c>
      <c r="F4634" s="497">
        <f t="shared" ca="1" si="280"/>
        <v>62</v>
      </c>
      <c r="G4634" s="497" t="s">
        <v>10021</v>
      </c>
      <c r="H4634" s="503"/>
      <c r="I4634" s="503"/>
      <c r="J4634" s="503"/>
      <c r="K4634" s="503"/>
      <c r="L4634" s="497"/>
      <c r="M4634" s="497"/>
      <c r="N4634" s="497"/>
      <c r="O4634" s="497"/>
      <c r="P4634" s="497">
        <f t="shared" si="281"/>
        <v>324</v>
      </c>
      <c r="Q4634" s="497" t="b">
        <v>0</v>
      </c>
    </row>
    <row r="4635" spans="1:17" x14ac:dyDescent="0.35">
      <c r="A4635" s="497" t="b">
        <v>0</v>
      </c>
      <c r="B4635" s="497" t="s">
        <v>10559</v>
      </c>
      <c r="C4635" s="512">
        <v>55</v>
      </c>
      <c r="D4635" s="497">
        <f t="shared" si="278"/>
        <v>-155</v>
      </c>
      <c r="E4635" s="497">
        <f t="shared" si="279"/>
        <v>1</v>
      </c>
      <c r="F4635" s="497">
        <f t="shared" ca="1" si="280"/>
        <v>63</v>
      </c>
      <c r="G4635" s="497" t="s">
        <v>10023</v>
      </c>
      <c r="H4635" s="503"/>
      <c r="I4635" s="503"/>
      <c r="J4635" s="503"/>
      <c r="K4635" s="503"/>
      <c r="L4635" s="497"/>
      <c r="M4635" s="497"/>
      <c r="N4635" s="497"/>
      <c r="O4635" s="497"/>
      <c r="P4635" s="497">
        <f t="shared" si="281"/>
        <v>325</v>
      </c>
      <c r="Q4635" s="497" t="b">
        <v>0</v>
      </c>
    </row>
    <row r="4636" spans="1:17" x14ac:dyDescent="0.35">
      <c r="A4636" s="497" t="b">
        <v>0</v>
      </c>
      <c r="B4636" s="497" t="s">
        <v>10560</v>
      </c>
      <c r="C4636" s="512">
        <v>55</v>
      </c>
      <c r="D4636" s="497">
        <f t="shared" si="278"/>
        <v>-154</v>
      </c>
      <c r="E4636" s="497">
        <f t="shared" si="279"/>
        <v>2</v>
      </c>
      <c r="F4636" s="497">
        <f t="shared" ca="1" si="280"/>
        <v>63</v>
      </c>
      <c r="G4636" s="497" t="s">
        <v>10023</v>
      </c>
      <c r="H4636" s="503"/>
      <c r="I4636" s="503"/>
      <c r="J4636" s="503"/>
      <c r="K4636" s="503"/>
      <c r="L4636" s="497"/>
      <c r="M4636" s="497"/>
      <c r="N4636" s="497"/>
      <c r="O4636" s="497"/>
      <c r="P4636" s="497">
        <f t="shared" si="281"/>
        <v>326</v>
      </c>
      <c r="Q4636" s="497" t="b">
        <v>0</v>
      </c>
    </row>
    <row r="4637" spans="1:17" x14ac:dyDescent="0.35">
      <c r="A4637" s="497" t="b">
        <v>0</v>
      </c>
      <c r="B4637" s="497" t="s">
        <v>10561</v>
      </c>
      <c r="C4637" s="512">
        <v>55</v>
      </c>
      <c r="D4637" s="497">
        <f t="shared" si="278"/>
        <v>-153</v>
      </c>
      <c r="E4637" s="497">
        <f t="shared" si="279"/>
        <v>3</v>
      </c>
      <c r="F4637" s="497">
        <f t="shared" ca="1" si="280"/>
        <v>63</v>
      </c>
      <c r="G4637" s="497" t="s">
        <v>10023</v>
      </c>
      <c r="H4637" s="503"/>
      <c r="I4637" s="503"/>
      <c r="J4637" s="503"/>
      <c r="K4637" s="503"/>
      <c r="L4637" s="497"/>
      <c r="M4637" s="497"/>
      <c r="N4637" s="497"/>
      <c r="O4637" s="497"/>
      <c r="P4637" s="497">
        <f t="shared" si="281"/>
        <v>327</v>
      </c>
      <c r="Q4637" s="497" t="b">
        <v>0</v>
      </c>
    </row>
    <row r="4638" spans="1:17" x14ac:dyDescent="0.35">
      <c r="A4638" s="497" t="b">
        <v>0</v>
      </c>
      <c r="B4638" s="497" t="s">
        <v>10562</v>
      </c>
      <c r="C4638" s="512">
        <v>55</v>
      </c>
      <c r="D4638" s="497">
        <f t="shared" si="278"/>
        <v>-152</v>
      </c>
      <c r="E4638" s="497">
        <f t="shared" si="279"/>
        <v>4</v>
      </c>
      <c r="F4638" s="497">
        <f t="shared" ca="1" si="280"/>
        <v>63</v>
      </c>
      <c r="G4638" s="497" t="s">
        <v>10023</v>
      </c>
      <c r="H4638" s="503"/>
      <c r="I4638" s="503"/>
      <c r="J4638" s="503"/>
      <c r="K4638" s="503"/>
      <c r="L4638" s="497"/>
      <c r="M4638" s="497"/>
      <c r="N4638" s="497"/>
      <c r="O4638" s="497"/>
      <c r="P4638" s="497">
        <f t="shared" si="281"/>
        <v>328</v>
      </c>
      <c r="Q4638" s="497" t="b">
        <v>0</v>
      </c>
    </row>
    <row r="4639" spans="1:17" x14ac:dyDescent="0.35">
      <c r="A4639" s="497" t="b">
        <v>0</v>
      </c>
      <c r="B4639" s="497" t="s">
        <v>10563</v>
      </c>
      <c r="C4639" s="512">
        <v>55</v>
      </c>
      <c r="D4639" s="497">
        <f t="shared" si="278"/>
        <v>-151</v>
      </c>
      <c r="E4639" s="497">
        <f t="shared" si="279"/>
        <v>5</v>
      </c>
      <c r="F4639" s="497">
        <f t="shared" ca="1" si="280"/>
        <v>63</v>
      </c>
      <c r="G4639" s="497" t="s">
        <v>10023</v>
      </c>
      <c r="H4639" s="503"/>
      <c r="I4639" s="503"/>
      <c r="J4639" s="503"/>
      <c r="K4639" s="503"/>
      <c r="L4639" s="497"/>
      <c r="M4639" s="497"/>
      <c r="N4639" s="497"/>
      <c r="O4639" s="497"/>
      <c r="P4639" s="497">
        <f t="shared" si="281"/>
        <v>329</v>
      </c>
      <c r="Q4639" s="497" t="b">
        <v>0</v>
      </c>
    </row>
    <row r="4640" spans="1:17" x14ac:dyDescent="0.35">
      <c r="A4640" s="497" t="b">
        <v>0</v>
      </c>
      <c r="B4640" s="497" t="s">
        <v>10564</v>
      </c>
      <c r="C4640" s="512">
        <v>55</v>
      </c>
      <c r="D4640" s="497">
        <f t="shared" si="278"/>
        <v>-150</v>
      </c>
      <c r="E4640" s="497">
        <f t="shared" si="279"/>
        <v>6</v>
      </c>
      <c r="F4640" s="497">
        <f t="shared" ca="1" si="280"/>
        <v>63</v>
      </c>
      <c r="G4640" s="497" t="s">
        <v>10023</v>
      </c>
      <c r="H4640" s="503"/>
      <c r="I4640" s="503"/>
      <c r="J4640" s="503"/>
      <c r="K4640" s="503"/>
      <c r="L4640" s="497"/>
      <c r="M4640" s="497"/>
      <c r="N4640" s="497"/>
      <c r="O4640" s="497"/>
      <c r="P4640" s="497">
        <f t="shared" si="281"/>
        <v>330</v>
      </c>
      <c r="Q4640" s="497" t="b">
        <v>0</v>
      </c>
    </row>
    <row r="4641" spans="1:17" x14ac:dyDescent="0.35">
      <c r="A4641" s="497" t="b">
        <v>0</v>
      </c>
      <c r="B4641" s="497" t="s">
        <v>10565</v>
      </c>
      <c r="C4641" s="512">
        <v>56</v>
      </c>
      <c r="D4641" s="497">
        <f t="shared" si="278"/>
        <v>-149</v>
      </c>
      <c r="E4641" s="497">
        <f t="shared" si="279"/>
        <v>1</v>
      </c>
      <c r="F4641" s="497">
        <f t="shared" ca="1" si="280"/>
        <v>64</v>
      </c>
      <c r="G4641" s="497" t="s">
        <v>10025</v>
      </c>
      <c r="H4641" s="503"/>
      <c r="I4641" s="503"/>
      <c r="J4641" s="503"/>
      <c r="K4641" s="503"/>
      <c r="L4641" s="497"/>
      <c r="M4641" s="497"/>
      <c r="N4641" s="497"/>
      <c r="O4641" s="497"/>
      <c r="P4641" s="497">
        <f t="shared" si="281"/>
        <v>331</v>
      </c>
      <c r="Q4641" s="497" t="b">
        <v>0</v>
      </c>
    </row>
    <row r="4642" spans="1:17" x14ac:dyDescent="0.35">
      <c r="A4642" s="497" t="b">
        <v>0</v>
      </c>
      <c r="B4642" s="497" t="s">
        <v>10566</v>
      </c>
      <c r="C4642" s="512">
        <v>56</v>
      </c>
      <c r="D4642" s="497">
        <f t="shared" si="278"/>
        <v>-148</v>
      </c>
      <c r="E4642" s="497">
        <f t="shared" si="279"/>
        <v>2</v>
      </c>
      <c r="F4642" s="497">
        <f t="shared" ca="1" si="280"/>
        <v>64</v>
      </c>
      <c r="G4642" s="497" t="s">
        <v>10025</v>
      </c>
      <c r="H4642" s="503"/>
      <c r="I4642" s="503"/>
      <c r="J4642" s="503"/>
      <c r="K4642" s="503"/>
      <c r="L4642" s="497"/>
      <c r="M4642" s="497"/>
      <c r="N4642" s="497"/>
      <c r="O4642" s="497"/>
      <c r="P4642" s="497">
        <f t="shared" si="281"/>
        <v>332</v>
      </c>
      <c r="Q4642" s="497" t="b">
        <v>0</v>
      </c>
    </row>
    <row r="4643" spans="1:17" x14ac:dyDescent="0.35">
      <c r="A4643" s="497" t="b">
        <v>0</v>
      </c>
      <c r="B4643" s="497" t="s">
        <v>10567</v>
      </c>
      <c r="C4643" s="512">
        <v>56</v>
      </c>
      <c r="D4643" s="497">
        <f t="shared" si="278"/>
        <v>-147</v>
      </c>
      <c r="E4643" s="497">
        <f t="shared" si="279"/>
        <v>3</v>
      </c>
      <c r="F4643" s="497">
        <f t="shared" ca="1" si="280"/>
        <v>64</v>
      </c>
      <c r="G4643" s="497" t="s">
        <v>10025</v>
      </c>
      <c r="H4643" s="503"/>
      <c r="I4643" s="503"/>
      <c r="J4643" s="503"/>
      <c r="K4643" s="503"/>
      <c r="L4643" s="497"/>
      <c r="M4643" s="497"/>
      <c r="N4643" s="497"/>
      <c r="O4643" s="497"/>
      <c r="P4643" s="497">
        <f t="shared" si="281"/>
        <v>333</v>
      </c>
      <c r="Q4643" s="497" t="b">
        <v>0</v>
      </c>
    </row>
    <row r="4644" spans="1:17" x14ac:dyDescent="0.35">
      <c r="A4644" s="497" t="b">
        <v>0</v>
      </c>
      <c r="B4644" s="497" t="s">
        <v>10568</v>
      </c>
      <c r="C4644" s="512">
        <v>56</v>
      </c>
      <c r="D4644" s="497">
        <f t="shared" si="278"/>
        <v>-146</v>
      </c>
      <c r="E4644" s="497">
        <f t="shared" si="279"/>
        <v>4</v>
      </c>
      <c r="F4644" s="497">
        <f t="shared" ca="1" si="280"/>
        <v>64</v>
      </c>
      <c r="G4644" s="497" t="s">
        <v>10025</v>
      </c>
      <c r="H4644" s="503"/>
      <c r="I4644" s="503"/>
      <c r="J4644" s="503"/>
      <c r="K4644" s="503"/>
      <c r="L4644" s="497"/>
      <c r="M4644" s="497"/>
      <c r="N4644" s="497"/>
      <c r="O4644" s="497"/>
      <c r="P4644" s="497">
        <f t="shared" si="281"/>
        <v>334</v>
      </c>
      <c r="Q4644" s="497" t="b">
        <v>0</v>
      </c>
    </row>
    <row r="4645" spans="1:17" x14ac:dyDescent="0.35">
      <c r="A4645" s="497" t="b">
        <v>0</v>
      </c>
      <c r="B4645" s="497" t="s">
        <v>10569</v>
      </c>
      <c r="C4645" s="512">
        <v>56</v>
      </c>
      <c r="D4645" s="497">
        <f t="shared" si="278"/>
        <v>-145</v>
      </c>
      <c r="E4645" s="497">
        <f t="shared" si="279"/>
        <v>5</v>
      </c>
      <c r="F4645" s="497">
        <f t="shared" ca="1" si="280"/>
        <v>64</v>
      </c>
      <c r="G4645" s="497" t="s">
        <v>10025</v>
      </c>
      <c r="H4645" s="503"/>
      <c r="I4645" s="503"/>
      <c r="J4645" s="503"/>
      <c r="K4645" s="503"/>
      <c r="L4645" s="497"/>
      <c r="M4645" s="497"/>
      <c r="N4645" s="497"/>
      <c r="O4645" s="497"/>
      <c r="P4645" s="497">
        <f t="shared" si="281"/>
        <v>335</v>
      </c>
      <c r="Q4645" s="497" t="b">
        <v>0</v>
      </c>
    </row>
    <row r="4646" spans="1:17" x14ac:dyDescent="0.35">
      <c r="A4646" s="497" t="b">
        <v>0</v>
      </c>
      <c r="B4646" s="497" t="s">
        <v>10570</v>
      </c>
      <c r="C4646" s="512">
        <v>56</v>
      </c>
      <c r="D4646" s="497">
        <f t="shared" si="278"/>
        <v>-144</v>
      </c>
      <c r="E4646" s="497">
        <f t="shared" si="279"/>
        <v>6</v>
      </c>
      <c r="F4646" s="497">
        <f t="shared" ca="1" si="280"/>
        <v>64</v>
      </c>
      <c r="G4646" s="497" t="s">
        <v>10025</v>
      </c>
      <c r="H4646" s="503"/>
      <c r="I4646" s="503"/>
      <c r="J4646" s="503"/>
      <c r="K4646" s="503"/>
      <c r="L4646" s="497"/>
      <c r="M4646" s="497"/>
      <c r="N4646" s="497"/>
      <c r="O4646" s="497"/>
      <c r="P4646" s="497">
        <f t="shared" si="281"/>
        <v>336</v>
      </c>
      <c r="Q4646" s="497" t="b">
        <v>0</v>
      </c>
    </row>
    <row r="4647" spans="1:17" x14ac:dyDescent="0.35">
      <c r="A4647" s="497" t="b">
        <v>0</v>
      </c>
      <c r="B4647" s="497" t="s">
        <v>10571</v>
      </c>
      <c r="C4647" s="512">
        <v>57</v>
      </c>
      <c r="D4647" s="497">
        <f t="shared" si="278"/>
        <v>-143</v>
      </c>
      <c r="E4647" s="497">
        <f t="shared" si="279"/>
        <v>1</v>
      </c>
      <c r="F4647" s="497">
        <f t="shared" ca="1" si="280"/>
        <v>65</v>
      </c>
      <c r="G4647" s="497" t="s">
        <v>10027</v>
      </c>
      <c r="H4647" s="503"/>
      <c r="I4647" s="503"/>
      <c r="J4647" s="503"/>
      <c r="K4647" s="503"/>
      <c r="L4647" s="497"/>
      <c r="M4647" s="497"/>
      <c r="N4647" s="497"/>
      <c r="O4647" s="497"/>
      <c r="P4647" s="497">
        <f t="shared" si="281"/>
        <v>337</v>
      </c>
      <c r="Q4647" s="497" t="b">
        <v>0</v>
      </c>
    </row>
    <row r="4648" spans="1:17" x14ac:dyDescent="0.35">
      <c r="A4648" s="497" t="b">
        <v>0</v>
      </c>
      <c r="B4648" s="497" t="s">
        <v>10572</v>
      </c>
      <c r="C4648" s="512">
        <v>57</v>
      </c>
      <c r="D4648" s="497">
        <f t="shared" si="278"/>
        <v>-142</v>
      </c>
      <c r="E4648" s="497">
        <f t="shared" si="279"/>
        <v>2</v>
      </c>
      <c r="F4648" s="497">
        <f t="shared" ca="1" si="280"/>
        <v>65</v>
      </c>
      <c r="G4648" s="497" t="s">
        <v>10027</v>
      </c>
      <c r="H4648" s="503"/>
      <c r="I4648" s="503"/>
      <c r="J4648" s="503"/>
      <c r="K4648" s="503"/>
      <c r="L4648" s="497"/>
      <c r="M4648" s="497"/>
      <c r="N4648" s="497"/>
      <c r="O4648" s="497"/>
      <c r="P4648" s="497">
        <f t="shared" si="281"/>
        <v>338</v>
      </c>
      <c r="Q4648" s="497" t="b">
        <v>0</v>
      </c>
    </row>
    <row r="4649" spans="1:17" x14ac:dyDescent="0.35">
      <c r="A4649" s="497" t="b">
        <v>0</v>
      </c>
      <c r="B4649" s="497" t="s">
        <v>10573</v>
      </c>
      <c r="C4649" s="512">
        <v>57</v>
      </c>
      <c r="D4649" s="497">
        <f t="shared" si="278"/>
        <v>-141</v>
      </c>
      <c r="E4649" s="497">
        <f t="shared" si="279"/>
        <v>3</v>
      </c>
      <c r="F4649" s="497">
        <f t="shared" ca="1" si="280"/>
        <v>65</v>
      </c>
      <c r="G4649" s="497" t="s">
        <v>10027</v>
      </c>
      <c r="H4649" s="503"/>
      <c r="I4649" s="503"/>
      <c r="J4649" s="503"/>
      <c r="K4649" s="503"/>
      <c r="L4649" s="497"/>
      <c r="M4649" s="497"/>
      <c r="N4649" s="497"/>
      <c r="O4649" s="497"/>
      <c r="P4649" s="497">
        <f t="shared" si="281"/>
        <v>339</v>
      </c>
      <c r="Q4649" s="497" t="b">
        <v>0</v>
      </c>
    </row>
    <row r="4650" spans="1:17" x14ac:dyDescent="0.35">
      <c r="A4650" s="497" t="b">
        <v>0</v>
      </c>
      <c r="B4650" s="497" t="s">
        <v>10574</v>
      </c>
      <c r="C4650" s="512">
        <v>57</v>
      </c>
      <c r="D4650" s="497">
        <f t="shared" si="278"/>
        <v>-140</v>
      </c>
      <c r="E4650" s="497">
        <f t="shared" si="279"/>
        <v>4</v>
      </c>
      <c r="F4650" s="497">
        <f t="shared" ca="1" si="280"/>
        <v>65</v>
      </c>
      <c r="G4650" s="497" t="s">
        <v>10027</v>
      </c>
      <c r="H4650" s="503"/>
      <c r="I4650" s="503"/>
      <c r="J4650" s="503"/>
      <c r="K4650" s="503"/>
      <c r="L4650" s="497"/>
      <c r="M4650" s="497"/>
      <c r="N4650" s="497"/>
      <c r="O4650" s="497"/>
      <c r="P4650" s="497">
        <f t="shared" si="281"/>
        <v>340</v>
      </c>
      <c r="Q4650" s="497" t="b">
        <v>0</v>
      </c>
    </row>
    <row r="4651" spans="1:17" x14ac:dyDescent="0.35">
      <c r="A4651" s="497" t="b">
        <v>0</v>
      </c>
      <c r="B4651" s="497" t="s">
        <v>10575</v>
      </c>
      <c r="C4651" s="512">
        <v>57</v>
      </c>
      <c r="D4651" s="497">
        <f t="shared" si="278"/>
        <v>-139</v>
      </c>
      <c r="E4651" s="497">
        <f t="shared" si="279"/>
        <v>5</v>
      </c>
      <c r="F4651" s="497">
        <f t="shared" ca="1" si="280"/>
        <v>65</v>
      </c>
      <c r="G4651" s="497" t="s">
        <v>10027</v>
      </c>
      <c r="H4651" s="503"/>
      <c r="I4651" s="503"/>
      <c r="J4651" s="503"/>
      <c r="K4651" s="503"/>
      <c r="L4651" s="497"/>
      <c r="M4651" s="497"/>
      <c r="N4651" s="497"/>
      <c r="O4651" s="497"/>
      <c r="P4651" s="497">
        <f t="shared" si="281"/>
        <v>341</v>
      </c>
      <c r="Q4651" s="497" t="b">
        <v>0</v>
      </c>
    </row>
    <row r="4652" spans="1:17" x14ac:dyDescent="0.35">
      <c r="A4652" s="497" t="b">
        <v>0</v>
      </c>
      <c r="B4652" s="497" t="s">
        <v>10576</v>
      </c>
      <c r="C4652" s="512">
        <v>57</v>
      </c>
      <c r="D4652" s="497">
        <f t="shared" si="278"/>
        <v>-138</v>
      </c>
      <c r="E4652" s="497">
        <f t="shared" si="279"/>
        <v>6</v>
      </c>
      <c r="F4652" s="497">
        <f t="shared" ca="1" si="280"/>
        <v>65</v>
      </c>
      <c r="G4652" s="497" t="s">
        <v>10027</v>
      </c>
      <c r="H4652" s="503"/>
      <c r="I4652" s="503"/>
      <c r="J4652" s="503"/>
      <c r="K4652" s="503"/>
      <c r="L4652" s="497"/>
      <c r="M4652" s="497"/>
      <c r="N4652" s="497"/>
      <c r="O4652" s="497"/>
      <c r="P4652" s="497">
        <f t="shared" si="281"/>
        <v>342</v>
      </c>
      <c r="Q4652" s="497" t="b">
        <v>0</v>
      </c>
    </row>
    <row r="4653" spans="1:17" x14ac:dyDescent="0.35">
      <c r="A4653" s="497" t="b">
        <v>0</v>
      </c>
      <c r="B4653" s="497" t="s">
        <v>10577</v>
      </c>
      <c r="C4653" s="512">
        <v>58</v>
      </c>
      <c r="D4653" s="497">
        <f t="shared" si="278"/>
        <v>-137</v>
      </c>
      <c r="E4653" s="497">
        <f t="shared" si="279"/>
        <v>1</v>
      </c>
      <c r="F4653" s="497">
        <f t="shared" ca="1" si="280"/>
        <v>66</v>
      </c>
      <c r="G4653" s="497" t="s">
        <v>10029</v>
      </c>
      <c r="H4653" s="503"/>
      <c r="I4653" s="503"/>
      <c r="J4653" s="503"/>
      <c r="K4653" s="503"/>
      <c r="L4653" s="497"/>
      <c r="M4653" s="497"/>
      <c r="N4653" s="497"/>
      <c r="O4653" s="497"/>
      <c r="P4653" s="497">
        <f t="shared" si="281"/>
        <v>343</v>
      </c>
      <c r="Q4653" s="497" t="b">
        <v>0</v>
      </c>
    </row>
    <row r="4654" spans="1:17" x14ac:dyDescent="0.35">
      <c r="A4654" s="497" t="b">
        <v>0</v>
      </c>
      <c r="B4654" s="497" t="s">
        <v>10578</v>
      </c>
      <c r="C4654" s="512">
        <v>58</v>
      </c>
      <c r="D4654" s="497">
        <f t="shared" si="278"/>
        <v>-136</v>
      </c>
      <c r="E4654" s="497">
        <f t="shared" si="279"/>
        <v>2</v>
      </c>
      <c r="F4654" s="497">
        <f t="shared" ca="1" si="280"/>
        <v>66</v>
      </c>
      <c r="G4654" s="497" t="s">
        <v>10029</v>
      </c>
      <c r="H4654" s="503"/>
      <c r="I4654" s="503"/>
      <c r="J4654" s="503"/>
      <c r="K4654" s="503"/>
      <c r="L4654" s="497"/>
      <c r="M4654" s="497"/>
      <c r="N4654" s="497"/>
      <c r="O4654" s="497"/>
      <c r="P4654" s="497">
        <f t="shared" si="281"/>
        <v>344</v>
      </c>
      <c r="Q4654" s="497" t="b">
        <v>0</v>
      </c>
    </row>
    <row r="4655" spans="1:17" x14ac:dyDescent="0.35">
      <c r="A4655" s="497" t="b">
        <v>0</v>
      </c>
      <c r="B4655" s="497" t="s">
        <v>10579</v>
      </c>
      <c r="C4655" s="512">
        <v>58</v>
      </c>
      <c r="D4655" s="497">
        <f t="shared" si="278"/>
        <v>-135</v>
      </c>
      <c r="E4655" s="497">
        <f t="shared" si="279"/>
        <v>3</v>
      </c>
      <c r="F4655" s="497">
        <f t="shared" ca="1" si="280"/>
        <v>66</v>
      </c>
      <c r="G4655" s="497" t="s">
        <v>10029</v>
      </c>
      <c r="H4655" s="503"/>
      <c r="I4655" s="503"/>
      <c r="J4655" s="503"/>
      <c r="K4655" s="503"/>
      <c r="L4655" s="497"/>
      <c r="M4655" s="497"/>
      <c r="N4655" s="497"/>
      <c r="O4655" s="497"/>
      <c r="P4655" s="497">
        <f t="shared" si="281"/>
        <v>345</v>
      </c>
      <c r="Q4655" s="497" t="b">
        <v>0</v>
      </c>
    </row>
    <row r="4656" spans="1:17" x14ac:dyDescent="0.35">
      <c r="A4656" s="497" t="b">
        <v>0</v>
      </c>
      <c r="B4656" s="497" t="s">
        <v>10580</v>
      </c>
      <c r="C4656" s="512">
        <v>58</v>
      </c>
      <c r="D4656" s="497">
        <f t="shared" si="278"/>
        <v>-134</v>
      </c>
      <c r="E4656" s="497">
        <f t="shared" si="279"/>
        <v>4</v>
      </c>
      <c r="F4656" s="497">
        <f t="shared" ca="1" si="280"/>
        <v>66</v>
      </c>
      <c r="G4656" s="497" t="s">
        <v>10029</v>
      </c>
      <c r="H4656" s="503"/>
      <c r="I4656" s="503"/>
      <c r="J4656" s="503"/>
      <c r="K4656" s="503"/>
      <c r="L4656" s="497"/>
      <c r="M4656" s="497"/>
      <c r="N4656" s="497"/>
      <c r="O4656" s="497"/>
      <c r="P4656" s="497">
        <f t="shared" si="281"/>
        <v>346</v>
      </c>
      <c r="Q4656" s="497" t="b">
        <v>0</v>
      </c>
    </row>
    <row r="4657" spans="1:17" x14ac:dyDescent="0.35">
      <c r="A4657" s="497" t="b">
        <v>0</v>
      </c>
      <c r="B4657" s="497" t="s">
        <v>10581</v>
      </c>
      <c r="C4657" s="512">
        <v>58</v>
      </c>
      <c r="D4657" s="497">
        <f t="shared" si="278"/>
        <v>-133</v>
      </c>
      <c r="E4657" s="497">
        <f t="shared" si="279"/>
        <v>5</v>
      </c>
      <c r="F4657" s="497">
        <f t="shared" ca="1" si="280"/>
        <v>66</v>
      </c>
      <c r="G4657" s="497" t="s">
        <v>10029</v>
      </c>
      <c r="H4657" s="503"/>
      <c r="I4657" s="503"/>
      <c r="J4657" s="503"/>
      <c r="K4657" s="503"/>
      <c r="L4657" s="497"/>
      <c r="M4657" s="497"/>
      <c r="N4657" s="497"/>
      <c r="O4657" s="497"/>
      <c r="P4657" s="497">
        <f t="shared" si="281"/>
        <v>347</v>
      </c>
      <c r="Q4657" s="497" t="b">
        <v>0</v>
      </c>
    </row>
    <row r="4658" spans="1:17" x14ac:dyDescent="0.35">
      <c r="A4658" s="497" t="b">
        <v>0</v>
      </c>
      <c r="B4658" s="497" t="s">
        <v>10582</v>
      </c>
      <c r="C4658" s="512">
        <v>58</v>
      </c>
      <c r="D4658" s="497">
        <f t="shared" si="278"/>
        <v>-132</v>
      </c>
      <c r="E4658" s="497">
        <f t="shared" si="279"/>
        <v>6</v>
      </c>
      <c r="F4658" s="497">
        <f t="shared" ca="1" si="280"/>
        <v>66</v>
      </c>
      <c r="G4658" s="497" t="s">
        <v>10029</v>
      </c>
      <c r="H4658" s="503"/>
      <c r="I4658" s="503"/>
      <c r="J4658" s="503"/>
      <c r="K4658" s="503"/>
      <c r="L4658" s="497"/>
      <c r="M4658" s="497"/>
      <c r="N4658" s="497"/>
      <c r="O4658" s="497"/>
      <c r="P4658" s="497">
        <f t="shared" si="281"/>
        <v>348</v>
      </c>
      <c r="Q4658" s="497" t="b">
        <v>0</v>
      </c>
    </row>
    <row r="4659" spans="1:17" x14ac:dyDescent="0.35">
      <c r="A4659" s="497" t="b">
        <v>0</v>
      </c>
      <c r="B4659" s="497" t="s">
        <v>10583</v>
      </c>
      <c r="C4659" s="512">
        <v>59</v>
      </c>
      <c r="D4659" s="497">
        <f t="shared" si="278"/>
        <v>-131</v>
      </c>
      <c r="E4659" s="497">
        <f t="shared" si="279"/>
        <v>1</v>
      </c>
      <c r="F4659" s="497">
        <f t="shared" ca="1" si="280"/>
        <v>67</v>
      </c>
      <c r="G4659" s="497" t="s">
        <v>10031</v>
      </c>
      <c r="H4659" s="503"/>
      <c r="I4659" s="503"/>
      <c r="J4659" s="503"/>
      <c r="K4659" s="503"/>
      <c r="L4659" s="497"/>
      <c r="M4659" s="497"/>
      <c r="N4659" s="497"/>
      <c r="O4659" s="497"/>
      <c r="P4659" s="497">
        <f t="shared" si="281"/>
        <v>349</v>
      </c>
      <c r="Q4659" s="497" t="b">
        <v>0</v>
      </c>
    </row>
    <row r="4660" spans="1:17" x14ac:dyDescent="0.35">
      <c r="A4660" s="497" t="b">
        <v>0</v>
      </c>
      <c r="B4660" s="497" t="s">
        <v>10584</v>
      </c>
      <c r="C4660" s="512">
        <v>59</v>
      </c>
      <c r="D4660" s="497">
        <f t="shared" si="278"/>
        <v>-130</v>
      </c>
      <c r="E4660" s="497">
        <f t="shared" si="279"/>
        <v>2</v>
      </c>
      <c r="F4660" s="497">
        <f t="shared" ca="1" si="280"/>
        <v>67</v>
      </c>
      <c r="G4660" s="497" t="s">
        <v>10031</v>
      </c>
      <c r="H4660" s="503"/>
      <c r="I4660" s="503"/>
      <c r="J4660" s="503"/>
      <c r="K4660" s="503"/>
      <c r="L4660" s="497"/>
      <c r="M4660" s="497"/>
      <c r="N4660" s="497"/>
      <c r="O4660" s="497"/>
      <c r="P4660" s="497">
        <f t="shared" si="281"/>
        <v>350</v>
      </c>
      <c r="Q4660" s="497" t="b">
        <v>0</v>
      </c>
    </row>
    <row r="4661" spans="1:17" x14ac:dyDescent="0.35">
      <c r="A4661" s="497" t="b">
        <v>0</v>
      </c>
      <c r="B4661" s="497" t="s">
        <v>10585</v>
      </c>
      <c r="C4661" s="512">
        <v>59</v>
      </c>
      <c r="D4661" s="497">
        <f t="shared" si="278"/>
        <v>-129</v>
      </c>
      <c r="E4661" s="497">
        <f t="shared" si="279"/>
        <v>3</v>
      </c>
      <c r="F4661" s="497">
        <f t="shared" ca="1" si="280"/>
        <v>67</v>
      </c>
      <c r="G4661" s="497" t="s">
        <v>10031</v>
      </c>
      <c r="H4661" s="503"/>
      <c r="I4661" s="503"/>
      <c r="J4661" s="503"/>
      <c r="K4661" s="503"/>
      <c r="L4661" s="497"/>
      <c r="M4661" s="497"/>
      <c r="N4661" s="497"/>
      <c r="O4661" s="497"/>
      <c r="P4661" s="497">
        <f t="shared" si="281"/>
        <v>351</v>
      </c>
      <c r="Q4661" s="497" t="b">
        <v>0</v>
      </c>
    </row>
    <row r="4662" spans="1:17" x14ac:dyDescent="0.35">
      <c r="A4662" s="497" t="b">
        <v>0</v>
      </c>
      <c r="B4662" s="497" t="s">
        <v>10586</v>
      </c>
      <c r="C4662" s="512">
        <v>59</v>
      </c>
      <c r="D4662" s="497">
        <f t="shared" si="278"/>
        <v>-128</v>
      </c>
      <c r="E4662" s="497">
        <f t="shared" si="279"/>
        <v>4</v>
      </c>
      <c r="F4662" s="497">
        <f t="shared" ca="1" si="280"/>
        <v>67</v>
      </c>
      <c r="G4662" s="497" t="s">
        <v>10031</v>
      </c>
      <c r="H4662" s="503"/>
      <c r="I4662" s="503"/>
      <c r="J4662" s="503"/>
      <c r="K4662" s="503"/>
      <c r="L4662" s="497"/>
      <c r="M4662" s="497"/>
      <c r="N4662" s="497"/>
      <c r="O4662" s="497"/>
      <c r="P4662" s="497">
        <f t="shared" si="281"/>
        <v>352</v>
      </c>
      <c r="Q4662" s="497" t="b">
        <v>0</v>
      </c>
    </row>
    <row r="4663" spans="1:17" x14ac:dyDescent="0.35">
      <c r="A4663" s="497" t="b">
        <v>0</v>
      </c>
      <c r="B4663" s="497" t="s">
        <v>10587</v>
      </c>
      <c r="C4663" s="512">
        <v>59</v>
      </c>
      <c r="D4663" s="497">
        <f t="shared" si="278"/>
        <v>-127</v>
      </c>
      <c r="E4663" s="497">
        <f t="shared" si="279"/>
        <v>5</v>
      </c>
      <c r="F4663" s="497">
        <f t="shared" ca="1" si="280"/>
        <v>67</v>
      </c>
      <c r="G4663" s="497" t="s">
        <v>10031</v>
      </c>
      <c r="H4663" s="503"/>
      <c r="I4663" s="503"/>
      <c r="J4663" s="503"/>
      <c r="K4663" s="503"/>
      <c r="L4663" s="497"/>
      <c r="M4663" s="497"/>
      <c r="N4663" s="497"/>
      <c r="O4663" s="497"/>
      <c r="P4663" s="497">
        <f t="shared" si="281"/>
        <v>353</v>
      </c>
      <c r="Q4663" s="497" t="b">
        <v>0</v>
      </c>
    </row>
    <row r="4664" spans="1:17" x14ac:dyDescent="0.35">
      <c r="A4664" s="497" t="b">
        <v>0</v>
      </c>
      <c r="B4664" s="497" t="s">
        <v>10588</v>
      </c>
      <c r="C4664" s="512">
        <v>59</v>
      </c>
      <c r="D4664" s="497">
        <f t="shared" si="278"/>
        <v>-126</v>
      </c>
      <c r="E4664" s="497">
        <f t="shared" si="279"/>
        <v>6</v>
      </c>
      <c r="F4664" s="497">
        <f t="shared" ca="1" si="280"/>
        <v>67</v>
      </c>
      <c r="G4664" s="497" t="s">
        <v>10031</v>
      </c>
      <c r="H4664" s="503"/>
      <c r="I4664" s="503"/>
      <c r="J4664" s="503"/>
      <c r="K4664" s="503"/>
      <c r="L4664" s="497"/>
      <c r="M4664" s="497"/>
      <c r="N4664" s="497"/>
      <c r="O4664" s="497"/>
      <c r="P4664" s="497">
        <f t="shared" si="281"/>
        <v>354</v>
      </c>
      <c r="Q4664" s="497" t="b">
        <v>0</v>
      </c>
    </row>
    <row r="4665" spans="1:17" x14ac:dyDescent="0.35">
      <c r="A4665" s="497" t="b">
        <v>0</v>
      </c>
      <c r="B4665" s="497" t="s">
        <v>10589</v>
      </c>
      <c r="C4665" s="512">
        <v>60</v>
      </c>
      <c r="D4665" s="497">
        <f t="shared" si="278"/>
        <v>-125</v>
      </c>
      <c r="E4665" s="497">
        <f t="shared" si="279"/>
        <v>1</v>
      </c>
      <c r="F4665" s="497">
        <f t="shared" ca="1" si="280"/>
        <v>68</v>
      </c>
      <c r="G4665" s="497" t="s">
        <v>10033</v>
      </c>
      <c r="H4665" s="503"/>
      <c r="I4665" s="503"/>
      <c r="J4665" s="503"/>
      <c r="K4665" s="503"/>
      <c r="L4665" s="497"/>
      <c r="M4665" s="497"/>
      <c r="N4665" s="497"/>
      <c r="O4665" s="497"/>
      <c r="P4665" s="497">
        <f t="shared" si="281"/>
        <v>355</v>
      </c>
      <c r="Q4665" s="497" t="b">
        <v>0</v>
      </c>
    </row>
    <row r="4666" spans="1:17" x14ac:dyDescent="0.35">
      <c r="A4666" s="497" t="b">
        <v>0</v>
      </c>
      <c r="B4666" s="497" t="s">
        <v>10590</v>
      </c>
      <c r="C4666" s="512">
        <v>60</v>
      </c>
      <c r="D4666" s="497">
        <f t="shared" si="278"/>
        <v>-124</v>
      </c>
      <c r="E4666" s="497">
        <f t="shared" si="279"/>
        <v>2</v>
      </c>
      <c r="F4666" s="497">
        <f t="shared" ca="1" si="280"/>
        <v>68</v>
      </c>
      <c r="G4666" s="497" t="s">
        <v>10033</v>
      </c>
      <c r="H4666" s="503"/>
      <c r="I4666" s="503"/>
      <c r="J4666" s="503"/>
      <c r="K4666" s="503"/>
      <c r="L4666" s="497"/>
      <c r="M4666" s="497"/>
      <c r="N4666" s="497"/>
      <c r="O4666" s="497"/>
      <c r="P4666" s="497">
        <f t="shared" si="281"/>
        <v>356</v>
      </c>
      <c r="Q4666" s="497" t="b">
        <v>0</v>
      </c>
    </row>
    <row r="4667" spans="1:17" x14ac:dyDescent="0.35">
      <c r="A4667" s="497" t="b">
        <v>0</v>
      </c>
      <c r="B4667" s="497" t="s">
        <v>10591</v>
      </c>
      <c r="C4667" s="512">
        <v>60</v>
      </c>
      <c r="D4667" s="497">
        <f t="shared" si="278"/>
        <v>-123</v>
      </c>
      <c r="E4667" s="497">
        <f t="shared" si="279"/>
        <v>3</v>
      </c>
      <c r="F4667" s="497">
        <f t="shared" ca="1" si="280"/>
        <v>68</v>
      </c>
      <c r="G4667" s="497" t="s">
        <v>10033</v>
      </c>
      <c r="H4667" s="503"/>
      <c r="I4667" s="503"/>
      <c r="J4667" s="503"/>
      <c r="K4667" s="503"/>
      <c r="L4667" s="497"/>
      <c r="M4667" s="497"/>
      <c r="N4667" s="497"/>
      <c r="O4667" s="497"/>
      <c r="P4667" s="497">
        <f t="shared" si="281"/>
        <v>357</v>
      </c>
      <c r="Q4667" s="497" t="b">
        <v>0</v>
      </c>
    </row>
    <row r="4668" spans="1:17" x14ac:dyDescent="0.35">
      <c r="A4668" s="497" t="b">
        <v>0</v>
      </c>
      <c r="B4668" s="497" t="s">
        <v>10592</v>
      </c>
      <c r="C4668" s="512">
        <v>60</v>
      </c>
      <c r="D4668" s="497">
        <f t="shared" si="278"/>
        <v>-122</v>
      </c>
      <c r="E4668" s="497">
        <f t="shared" si="279"/>
        <v>4</v>
      </c>
      <c r="F4668" s="497">
        <f t="shared" ca="1" si="280"/>
        <v>68</v>
      </c>
      <c r="G4668" s="497" t="s">
        <v>10033</v>
      </c>
      <c r="H4668" s="503"/>
      <c r="I4668" s="503"/>
      <c r="J4668" s="503"/>
      <c r="K4668" s="503"/>
      <c r="L4668" s="497"/>
      <c r="M4668" s="497"/>
      <c r="N4668" s="497"/>
      <c r="O4668" s="497"/>
      <c r="P4668" s="497">
        <f t="shared" si="281"/>
        <v>358</v>
      </c>
      <c r="Q4668" s="497" t="b">
        <v>0</v>
      </c>
    </row>
    <row r="4669" spans="1:17" x14ac:dyDescent="0.35">
      <c r="A4669" s="497" t="b">
        <v>0</v>
      </c>
      <c r="B4669" s="497" t="s">
        <v>10593</v>
      </c>
      <c r="C4669" s="512">
        <v>60</v>
      </c>
      <c r="D4669" s="497">
        <f t="shared" si="278"/>
        <v>-121</v>
      </c>
      <c r="E4669" s="497">
        <f t="shared" si="279"/>
        <v>5</v>
      </c>
      <c r="F4669" s="497">
        <f t="shared" ca="1" si="280"/>
        <v>68</v>
      </c>
      <c r="G4669" s="497" t="s">
        <v>10033</v>
      </c>
      <c r="H4669" s="503"/>
      <c r="I4669" s="503"/>
      <c r="J4669" s="503"/>
      <c r="K4669" s="503"/>
      <c r="L4669" s="497"/>
      <c r="M4669" s="497"/>
      <c r="N4669" s="497"/>
      <c r="O4669" s="497"/>
      <c r="P4669" s="497">
        <f t="shared" si="281"/>
        <v>359</v>
      </c>
      <c r="Q4669" s="497" t="b">
        <v>0</v>
      </c>
    </row>
    <row r="4670" spans="1:17" x14ac:dyDescent="0.35">
      <c r="A4670" s="497" t="b">
        <v>0</v>
      </c>
      <c r="B4670" s="497" t="s">
        <v>10594</v>
      </c>
      <c r="C4670" s="512">
        <v>60</v>
      </c>
      <c r="D4670" s="497">
        <f t="shared" si="278"/>
        <v>-120</v>
      </c>
      <c r="E4670" s="497">
        <f t="shared" si="279"/>
        <v>6</v>
      </c>
      <c r="F4670" s="497">
        <f t="shared" ca="1" si="280"/>
        <v>68</v>
      </c>
      <c r="G4670" s="497" t="s">
        <v>10033</v>
      </c>
      <c r="H4670" s="503"/>
      <c r="I4670" s="503"/>
      <c r="J4670" s="503"/>
      <c r="K4670" s="503"/>
      <c r="L4670" s="497"/>
      <c r="M4670" s="497"/>
      <c r="N4670" s="497"/>
      <c r="O4670" s="497"/>
      <c r="P4670" s="497">
        <f t="shared" si="281"/>
        <v>360</v>
      </c>
      <c r="Q4670" s="497" t="b">
        <v>0</v>
      </c>
    </row>
    <row r="4671" spans="1:17" x14ac:dyDescent="0.35">
      <c r="A4671" s="497" t="b">
        <v>0</v>
      </c>
      <c r="B4671" s="497" t="s">
        <v>10595</v>
      </c>
      <c r="C4671" s="512">
        <v>61</v>
      </c>
      <c r="D4671" s="497">
        <f t="shared" si="278"/>
        <v>-119</v>
      </c>
      <c r="E4671" s="497">
        <f t="shared" si="279"/>
        <v>1</v>
      </c>
      <c r="F4671" s="497">
        <f t="shared" ca="1" si="280"/>
        <v>69</v>
      </c>
      <c r="G4671" s="497" t="s">
        <v>10035</v>
      </c>
      <c r="H4671" s="503"/>
      <c r="I4671" s="503"/>
      <c r="J4671" s="503"/>
      <c r="K4671" s="503"/>
      <c r="L4671" s="497"/>
      <c r="M4671" s="497"/>
      <c r="N4671" s="497"/>
      <c r="O4671" s="497"/>
      <c r="P4671" s="497">
        <f t="shared" si="281"/>
        <v>361</v>
      </c>
      <c r="Q4671" s="497" t="b">
        <v>0</v>
      </c>
    </row>
    <row r="4672" spans="1:17" x14ac:dyDescent="0.35">
      <c r="A4672" s="497" t="b">
        <v>0</v>
      </c>
      <c r="B4672" s="497" t="s">
        <v>10596</v>
      </c>
      <c r="C4672" s="512">
        <v>61</v>
      </c>
      <c r="D4672" s="497">
        <f t="shared" si="278"/>
        <v>-118</v>
      </c>
      <c r="E4672" s="497">
        <f t="shared" si="279"/>
        <v>2</v>
      </c>
      <c r="F4672" s="497">
        <f t="shared" ca="1" si="280"/>
        <v>69</v>
      </c>
      <c r="G4672" s="497" t="s">
        <v>10035</v>
      </c>
      <c r="H4672" s="503"/>
      <c r="I4672" s="503"/>
      <c r="J4672" s="503"/>
      <c r="K4672" s="503"/>
      <c r="L4672" s="497"/>
      <c r="M4672" s="497"/>
      <c r="N4672" s="497"/>
      <c r="O4672" s="497"/>
      <c r="P4672" s="497">
        <f t="shared" si="281"/>
        <v>362</v>
      </c>
      <c r="Q4672" s="497" t="b">
        <v>0</v>
      </c>
    </row>
    <row r="4673" spans="1:17" x14ac:dyDescent="0.35">
      <c r="A4673" s="497" t="b">
        <v>0</v>
      </c>
      <c r="B4673" s="497" t="s">
        <v>10597</v>
      </c>
      <c r="C4673" s="512">
        <v>61</v>
      </c>
      <c r="D4673" s="497">
        <f t="shared" si="278"/>
        <v>-117</v>
      </c>
      <c r="E4673" s="497">
        <f t="shared" si="279"/>
        <v>3</v>
      </c>
      <c r="F4673" s="497">
        <f t="shared" ca="1" si="280"/>
        <v>69</v>
      </c>
      <c r="G4673" s="497" t="s">
        <v>10035</v>
      </c>
      <c r="H4673" s="503"/>
      <c r="I4673" s="503"/>
      <c r="J4673" s="503"/>
      <c r="K4673" s="503"/>
      <c r="L4673" s="497"/>
      <c r="M4673" s="497"/>
      <c r="N4673" s="497"/>
      <c r="O4673" s="497"/>
      <c r="P4673" s="497">
        <f t="shared" si="281"/>
        <v>363</v>
      </c>
      <c r="Q4673" s="497" t="b">
        <v>0</v>
      </c>
    </row>
    <row r="4674" spans="1:17" x14ac:dyDescent="0.35">
      <c r="A4674" s="497" t="b">
        <v>0</v>
      </c>
      <c r="B4674" s="497" t="s">
        <v>10598</v>
      </c>
      <c r="C4674" s="512">
        <v>61</v>
      </c>
      <c r="D4674" s="497">
        <f t="shared" si="278"/>
        <v>-116</v>
      </c>
      <c r="E4674" s="497">
        <f t="shared" si="279"/>
        <v>4</v>
      </c>
      <c r="F4674" s="497">
        <f t="shared" ca="1" si="280"/>
        <v>69</v>
      </c>
      <c r="G4674" s="497" t="s">
        <v>10035</v>
      </c>
      <c r="H4674" s="503"/>
      <c r="I4674" s="503"/>
      <c r="J4674" s="503"/>
      <c r="K4674" s="503"/>
      <c r="L4674" s="497"/>
      <c r="M4674" s="497"/>
      <c r="N4674" s="497"/>
      <c r="O4674" s="497"/>
      <c r="P4674" s="497">
        <f t="shared" si="281"/>
        <v>364</v>
      </c>
      <c r="Q4674" s="497" t="b">
        <v>0</v>
      </c>
    </row>
    <row r="4675" spans="1:17" x14ac:dyDescent="0.35">
      <c r="A4675" s="497" t="b">
        <v>0</v>
      </c>
      <c r="B4675" s="497" t="s">
        <v>10599</v>
      </c>
      <c r="C4675" s="512">
        <v>61</v>
      </c>
      <c r="D4675" s="497">
        <f t="shared" si="278"/>
        <v>-115</v>
      </c>
      <c r="E4675" s="497">
        <f t="shared" si="279"/>
        <v>5</v>
      </c>
      <c r="F4675" s="497">
        <f t="shared" ca="1" si="280"/>
        <v>69</v>
      </c>
      <c r="G4675" s="497" t="s">
        <v>10035</v>
      </c>
      <c r="H4675" s="503"/>
      <c r="I4675" s="503"/>
      <c r="J4675" s="503"/>
      <c r="K4675" s="503"/>
      <c r="L4675" s="497"/>
      <c r="M4675" s="497"/>
      <c r="N4675" s="497"/>
      <c r="O4675" s="497"/>
      <c r="P4675" s="497">
        <f t="shared" si="281"/>
        <v>365</v>
      </c>
      <c r="Q4675" s="497" t="b">
        <v>0</v>
      </c>
    </row>
    <row r="4676" spans="1:17" x14ac:dyDescent="0.35">
      <c r="A4676" s="497" t="b">
        <v>0</v>
      </c>
      <c r="B4676" s="497" t="s">
        <v>10600</v>
      </c>
      <c r="C4676" s="512">
        <v>61</v>
      </c>
      <c r="D4676" s="497">
        <f t="shared" si="278"/>
        <v>-114</v>
      </c>
      <c r="E4676" s="497">
        <f t="shared" si="279"/>
        <v>6</v>
      </c>
      <c r="F4676" s="497">
        <f t="shared" ca="1" si="280"/>
        <v>69</v>
      </c>
      <c r="G4676" s="497" t="s">
        <v>10035</v>
      </c>
      <c r="H4676" s="503"/>
      <c r="I4676" s="503"/>
      <c r="J4676" s="503"/>
      <c r="K4676" s="503"/>
      <c r="L4676" s="497"/>
      <c r="M4676" s="497"/>
      <c r="N4676" s="497"/>
      <c r="O4676" s="497"/>
      <c r="P4676" s="497">
        <f t="shared" si="281"/>
        <v>366</v>
      </c>
      <c r="Q4676" s="497" t="b">
        <v>0</v>
      </c>
    </row>
    <row r="4677" spans="1:17" x14ac:dyDescent="0.35">
      <c r="A4677" s="497" t="b">
        <v>0</v>
      </c>
      <c r="B4677" s="497" t="s">
        <v>10601</v>
      </c>
      <c r="C4677" s="512">
        <v>62</v>
      </c>
      <c r="D4677" s="497">
        <f t="shared" si="278"/>
        <v>-113</v>
      </c>
      <c r="E4677" s="497">
        <f t="shared" si="279"/>
        <v>1</v>
      </c>
      <c r="F4677" s="497">
        <f t="shared" ca="1" si="280"/>
        <v>70</v>
      </c>
      <c r="G4677" s="497" t="s">
        <v>10037</v>
      </c>
      <c r="H4677" s="503"/>
      <c r="I4677" s="503"/>
      <c r="J4677" s="503"/>
      <c r="K4677" s="503"/>
      <c r="L4677" s="497"/>
      <c r="M4677" s="497"/>
      <c r="N4677" s="497"/>
      <c r="O4677" s="497"/>
      <c r="P4677" s="497">
        <f t="shared" si="281"/>
        <v>367</v>
      </c>
      <c r="Q4677" s="497" t="b">
        <v>0</v>
      </c>
    </row>
    <row r="4678" spans="1:17" x14ac:dyDescent="0.35">
      <c r="A4678" s="497" t="b">
        <v>0</v>
      </c>
      <c r="B4678" s="497" t="s">
        <v>10602</v>
      </c>
      <c r="C4678" s="512">
        <v>62</v>
      </c>
      <c r="D4678" s="497">
        <f t="shared" si="278"/>
        <v>-112</v>
      </c>
      <c r="E4678" s="497">
        <f t="shared" si="279"/>
        <v>2</v>
      </c>
      <c r="F4678" s="497">
        <f t="shared" ca="1" si="280"/>
        <v>70</v>
      </c>
      <c r="G4678" s="497" t="s">
        <v>10037</v>
      </c>
      <c r="H4678" s="503"/>
      <c r="I4678" s="503"/>
      <c r="J4678" s="503"/>
      <c r="K4678" s="503"/>
      <c r="L4678" s="497"/>
      <c r="M4678" s="497"/>
      <c r="N4678" s="497"/>
      <c r="O4678" s="497"/>
      <c r="P4678" s="497">
        <f t="shared" si="281"/>
        <v>368</v>
      </c>
      <c r="Q4678" s="497" t="b">
        <v>0</v>
      </c>
    </row>
    <row r="4679" spans="1:17" x14ac:dyDescent="0.35">
      <c r="A4679" s="497" t="b">
        <v>0</v>
      </c>
      <c r="B4679" s="497" t="s">
        <v>10603</v>
      </c>
      <c r="C4679" s="512">
        <v>62</v>
      </c>
      <c r="D4679" s="497">
        <f t="shared" si="278"/>
        <v>-111</v>
      </c>
      <c r="E4679" s="497">
        <f t="shared" si="279"/>
        <v>3</v>
      </c>
      <c r="F4679" s="497">
        <f t="shared" ca="1" si="280"/>
        <v>70</v>
      </c>
      <c r="G4679" s="497" t="s">
        <v>10037</v>
      </c>
      <c r="H4679" s="503"/>
      <c r="I4679" s="503"/>
      <c r="J4679" s="503"/>
      <c r="K4679" s="503"/>
      <c r="L4679" s="497"/>
      <c r="M4679" s="497"/>
      <c r="N4679" s="497"/>
      <c r="O4679" s="497"/>
      <c r="P4679" s="497">
        <f t="shared" si="281"/>
        <v>369</v>
      </c>
      <c r="Q4679" s="497" t="b">
        <v>0</v>
      </c>
    </row>
    <row r="4680" spans="1:17" x14ac:dyDescent="0.35">
      <c r="A4680" s="497" t="b">
        <v>0</v>
      </c>
      <c r="B4680" s="497" t="s">
        <v>10604</v>
      </c>
      <c r="C4680" s="512">
        <v>62</v>
      </c>
      <c r="D4680" s="497">
        <f t="shared" si="278"/>
        <v>-110</v>
      </c>
      <c r="E4680" s="497">
        <f t="shared" si="279"/>
        <v>4</v>
      </c>
      <c r="F4680" s="497">
        <f t="shared" ca="1" si="280"/>
        <v>70</v>
      </c>
      <c r="G4680" s="497" t="s">
        <v>10037</v>
      </c>
      <c r="H4680" s="503"/>
      <c r="I4680" s="503"/>
      <c r="J4680" s="503"/>
      <c r="K4680" s="503"/>
      <c r="L4680" s="497"/>
      <c r="M4680" s="497"/>
      <c r="N4680" s="497"/>
      <c r="O4680" s="497"/>
      <c r="P4680" s="497">
        <f t="shared" si="281"/>
        <v>370</v>
      </c>
      <c r="Q4680" s="497" t="b">
        <v>0</v>
      </c>
    </row>
    <row r="4681" spans="1:17" x14ac:dyDescent="0.35">
      <c r="A4681" s="497" t="b">
        <v>0</v>
      </c>
      <c r="B4681" s="497" t="s">
        <v>10605</v>
      </c>
      <c r="C4681" s="512">
        <v>62</v>
      </c>
      <c r="D4681" s="497">
        <f t="shared" si="278"/>
        <v>-109</v>
      </c>
      <c r="E4681" s="497">
        <f t="shared" si="279"/>
        <v>5</v>
      </c>
      <c r="F4681" s="497">
        <f t="shared" ca="1" si="280"/>
        <v>70</v>
      </c>
      <c r="G4681" s="497" t="s">
        <v>10037</v>
      </c>
      <c r="H4681" s="503"/>
      <c r="I4681" s="503"/>
      <c r="J4681" s="503"/>
      <c r="K4681" s="503"/>
      <c r="L4681" s="497"/>
      <c r="M4681" s="497"/>
      <c r="N4681" s="497"/>
      <c r="O4681" s="497"/>
      <c r="P4681" s="497">
        <f t="shared" si="281"/>
        <v>371</v>
      </c>
      <c r="Q4681" s="497" t="b">
        <v>0</v>
      </c>
    </row>
    <row r="4682" spans="1:17" x14ac:dyDescent="0.35">
      <c r="A4682" s="497" t="b">
        <v>0</v>
      </c>
      <c r="B4682" s="497" t="s">
        <v>10606</v>
      </c>
      <c r="C4682" s="512">
        <v>62</v>
      </c>
      <c r="D4682" s="497">
        <f t="shared" si="278"/>
        <v>-108</v>
      </c>
      <c r="E4682" s="497">
        <f t="shared" si="279"/>
        <v>6</v>
      </c>
      <c r="F4682" s="497">
        <f t="shared" ca="1" si="280"/>
        <v>70</v>
      </c>
      <c r="G4682" s="497" t="s">
        <v>10037</v>
      </c>
      <c r="H4682" s="503"/>
      <c r="I4682" s="503"/>
      <c r="J4682" s="503"/>
      <c r="K4682" s="503"/>
      <c r="L4682" s="497"/>
      <c r="M4682" s="497"/>
      <c r="N4682" s="497"/>
      <c r="O4682" s="497"/>
      <c r="P4682" s="497">
        <f t="shared" si="281"/>
        <v>372</v>
      </c>
      <c r="Q4682" s="497" t="b">
        <v>0</v>
      </c>
    </row>
    <row r="4683" spans="1:17" x14ac:dyDescent="0.35">
      <c r="A4683" s="497" t="b">
        <v>0</v>
      </c>
      <c r="B4683" s="497" t="s">
        <v>10607</v>
      </c>
      <c r="C4683" s="512">
        <v>63</v>
      </c>
      <c r="D4683" s="497">
        <f t="shared" si="278"/>
        <v>-107</v>
      </c>
      <c r="E4683" s="497">
        <f t="shared" si="279"/>
        <v>1</v>
      </c>
      <c r="F4683" s="497">
        <f t="shared" ca="1" si="280"/>
        <v>71</v>
      </c>
      <c r="G4683" s="497" t="s">
        <v>10039</v>
      </c>
      <c r="H4683" s="503"/>
      <c r="I4683" s="503"/>
      <c r="J4683" s="503"/>
      <c r="K4683" s="503"/>
      <c r="L4683" s="497"/>
      <c r="M4683" s="497"/>
      <c r="N4683" s="497"/>
      <c r="O4683" s="497"/>
      <c r="P4683" s="497">
        <f t="shared" si="281"/>
        <v>373</v>
      </c>
      <c r="Q4683" s="497" t="b">
        <v>0</v>
      </c>
    </row>
    <row r="4684" spans="1:17" x14ac:dyDescent="0.35">
      <c r="A4684" s="497" t="b">
        <v>0</v>
      </c>
      <c r="B4684" s="497" t="s">
        <v>10608</v>
      </c>
      <c r="C4684" s="512">
        <v>63</v>
      </c>
      <c r="D4684" s="497">
        <f t="shared" si="278"/>
        <v>-106</v>
      </c>
      <c r="E4684" s="497">
        <f t="shared" si="279"/>
        <v>2</v>
      </c>
      <c r="F4684" s="497">
        <f t="shared" ca="1" si="280"/>
        <v>71</v>
      </c>
      <c r="G4684" s="497" t="s">
        <v>10039</v>
      </c>
      <c r="H4684" s="503"/>
      <c r="I4684" s="503"/>
      <c r="J4684" s="503"/>
      <c r="K4684" s="503"/>
      <c r="L4684" s="497"/>
      <c r="M4684" s="497"/>
      <c r="N4684" s="497"/>
      <c r="O4684" s="497"/>
      <c r="P4684" s="497">
        <f t="shared" si="281"/>
        <v>374</v>
      </c>
      <c r="Q4684" s="497" t="b">
        <v>0</v>
      </c>
    </row>
    <row r="4685" spans="1:17" x14ac:dyDescent="0.35">
      <c r="A4685" s="497" t="b">
        <v>0</v>
      </c>
      <c r="B4685" s="497" t="s">
        <v>10609</v>
      </c>
      <c r="C4685" s="512">
        <v>63</v>
      </c>
      <c r="D4685" s="497">
        <f t="shared" si="278"/>
        <v>-105</v>
      </c>
      <c r="E4685" s="497">
        <f t="shared" si="279"/>
        <v>3</v>
      </c>
      <c r="F4685" s="497">
        <f t="shared" ca="1" si="280"/>
        <v>71</v>
      </c>
      <c r="G4685" s="497" t="s">
        <v>10039</v>
      </c>
      <c r="H4685" s="503"/>
      <c r="I4685" s="503"/>
      <c r="J4685" s="503"/>
      <c r="K4685" s="503"/>
      <c r="L4685" s="497"/>
      <c r="M4685" s="497"/>
      <c r="N4685" s="497"/>
      <c r="O4685" s="497"/>
      <c r="P4685" s="497">
        <f t="shared" si="281"/>
        <v>375</v>
      </c>
      <c r="Q4685" s="497" t="b">
        <v>0</v>
      </c>
    </row>
    <row r="4686" spans="1:17" x14ac:dyDescent="0.35">
      <c r="A4686" s="497" t="b">
        <v>0</v>
      </c>
      <c r="B4686" s="497" t="s">
        <v>10610</v>
      </c>
      <c r="C4686" s="512">
        <v>63</v>
      </c>
      <c r="D4686" s="497">
        <f t="shared" si="278"/>
        <v>-104</v>
      </c>
      <c r="E4686" s="497">
        <f t="shared" si="279"/>
        <v>4</v>
      </c>
      <c r="F4686" s="497">
        <f t="shared" ca="1" si="280"/>
        <v>71</v>
      </c>
      <c r="G4686" s="497" t="s">
        <v>10039</v>
      </c>
      <c r="H4686" s="503"/>
      <c r="I4686" s="503"/>
      <c r="J4686" s="503"/>
      <c r="K4686" s="503"/>
      <c r="L4686" s="497"/>
      <c r="M4686" s="497"/>
      <c r="N4686" s="497"/>
      <c r="O4686" s="497"/>
      <c r="P4686" s="497">
        <f t="shared" si="281"/>
        <v>376</v>
      </c>
      <c r="Q4686" s="497" t="b">
        <v>0</v>
      </c>
    </row>
    <row r="4687" spans="1:17" x14ac:dyDescent="0.35">
      <c r="A4687" s="497" t="b">
        <v>0</v>
      </c>
      <c r="B4687" s="497" t="s">
        <v>10611</v>
      </c>
      <c r="C4687" s="512">
        <v>63</v>
      </c>
      <c r="D4687" s="497">
        <f t="shared" si="278"/>
        <v>-103</v>
      </c>
      <c r="E4687" s="497">
        <f t="shared" si="279"/>
        <v>5</v>
      </c>
      <c r="F4687" s="497">
        <f t="shared" ca="1" si="280"/>
        <v>71</v>
      </c>
      <c r="G4687" s="497" t="s">
        <v>10039</v>
      </c>
      <c r="H4687" s="503"/>
      <c r="I4687" s="503"/>
      <c r="J4687" s="503"/>
      <c r="K4687" s="503"/>
      <c r="L4687" s="497"/>
      <c r="M4687" s="497"/>
      <c r="N4687" s="497"/>
      <c r="O4687" s="497"/>
      <c r="P4687" s="497">
        <f t="shared" si="281"/>
        <v>377</v>
      </c>
      <c r="Q4687" s="497" t="b">
        <v>0</v>
      </c>
    </row>
    <row r="4688" spans="1:17" x14ac:dyDescent="0.35">
      <c r="A4688" s="497" t="b">
        <v>0</v>
      </c>
      <c r="B4688" s="497" t="s">
        <v>10612</v>
      </c>
      <c r="C4688" s="512">
        <v>63</v>
      </c>
      <c r="D4688" s="497">
        <f t="shared" si="278"/>
        <v>-102</v>
      </c>
      <c r="E4688" s="497">
        <f t="shared" si="279"/>
        <v>6</v>
      </c>
      <c r="F4688" s="497">
        <f t="shared" ca="1" si="280"/>
        <v>71</v>
      </c>
      <c r="G4688" s="497" t="s">
        <v>10039</v>
      </c>
      <c r="H4688" s="503"/>
      <c r="I4688" s="503"/>
      <c r="J4688" s="503"/>
      <c r="K4688" s="503"/>
      <c r="L4688" s="497"/>
      <c r="M4688" s="497"/>
      <c r="N4688" s="497"/>
      <c r="O4688" s="497"/>
      <c r="P4688" s="497">
        <f t="shared" si="281"/>
        <v>378</v>
      </c>
      <c r="Q4688" s="497" t="b">
        <v>0</v>
      </c>
    </row>
    <row r="4689" spans="1:17" x14ac:dyDescent="0.35">
      <c r="A4689" s="497" t="b">
        <v>0</v>
      </c>
      <c r="B4689" s="497" t="s">
        <v>10613</v>
      </c>
      <c r="C4689" s="512">
        <v>64</v>
      </c>
      <c r="D4689" s="497">
        <f t="shared" si="278"/>
        <v>-101</v>
      </c>
      <c r="E4689" s="497">
        <f t="shared" si="279"/>
        <v>1</v>
      </c>
      <c r="F4689" s="497">
        <f t="shared" ca="1" si="280"/>
        <v>72</v>
      </c>
      <c r="G4689" s="497" t="s">
        <v>10041</v>
      </c>
      <c r="H4689" s="503"/>
      <c r="I4689" s="503"/>
      <c r="J4689" s="503"/>
      <c r="K4689" s="503"/>
      <c r="L4689" s="497"/>
      <c r="M4689" s="497"/>
      <c r="N4689" s="497"/>
      <c r="O4689" s="497"/>
      <c r="P4689" s="497">
        <f t="shared" si="281"/>
        <v>379</v>
      </c>
      <c r="Q4689" s="497" t="b">
        <v>0</v>
      </c>
    </row>
    <row r="4690" spans="1:17" x14ac:dyDescent="0.35">
      <c r="A4690" s="497" t="b">
        <v>0</v>
      </c>
      <c r="B4690" s="497" t="s">
        <v>10614</v>
      </c>
      <c r="C4690" s="512">
        <v>64</v>
      </c>
      <c r="D4690" s="497">
        <f t="shared" si="278"/>
        <v>-100</v>
      </c>
      <c r="E4690" s="497">
        <f t="shared" si="279"/>
        <v>2</v>
      </c>
      <c r="F4690" s="497">
        <f t="shared" ca="1" si="280"/>
        <v>72</v>
      </c>
      <c r="G4690" s="497" t="s">
        <v>10041</v>
      </c>
      <c r="H4690" s="503"/>
      <c r="I4690" s="503"/>
      <c r="J4690" s="503"/>
      <c r="K4690" s="503"/>
      <c r="L4690" s="497"/>
      <c r="M4690" s="497"/>
      <c r="N4690" s="497"/>
      <c r="O4690" s="497"/>
      <c r="P4690" s="497">
        <f t="shared" si="281"/>
        <v>380</v>
      </c>
      <c r="Q4690" s="497" t="b">
        <v>0</v>
      </c>
    </row>
    <row r="4691" spans="1:17" x14ac:dyDescent="0.35">
      <c r="A4691" s="497" t="b">
        <v>0</v>
      </c>
      <c r="B4691" s="497" t="s">
        <v>10615</v>
      </c>
      <c r="C4691" s="512">
        <v>64</v>
      </c>
      <c r="D4691" s="497">
        <f t="shared" si="278"/>
        <v>-99</v>
      </c>
      <c r="E4691" s="497">
        <f t="shared" si="279"/>
        <v>3</v>
      </c>
      <c r="F4691" s="497">
        <f t="shared" ca="1" si="280"/>
        <v>72</v>
      </c>
      <c r="G4691" s="497" t="s">
        <v>10041</v>
      </c>
      <c r="H4691" s="503"/>
      <c r="I4691" s="503"/>
      <c r="J4691" s="503"/>
      <c r="K4691" s="503"/>
      <c r="L4691" s="497"/>
      <c r="M4691" s="497"/>
      <c r="N4691" s="497"/>
      <c r="O4691" s="497"/>
      <c r="P4691" s="497">
        <f t="shared" si="281"/>
        <v>381</v>
      </c>
      <c r="Q4691" s="497" t="b">
        <v>0</v>
      </c>
    </row>
    <row r="4692" spans="1:17" x14ac:dyDescent="0.35">
      <c r="A4692" s="497" t="b">
        <v>0</v>
      </c>
      <c r="B4692" s="497" t="s">
        <v>10616</v>
      </c>
      <c r="C4692" s="512">
        <v>64</v>
      </c>
      <c r="D4692" s="497">
        <f t="shared" si="278"/>
        <v>-98</v>
      </c>
      <c r="E4692" s="497">
        <f t="shared" si="279"/>
        <v>4</v>
      </c>
      <c r="F4692" s="497">
        <f t="shared" ca="1" si="280"/>
        <v>72</v>
      </c>
      <c r="G4692" s="497" t="s">
        <v>10041</v>
      </c>
      <c r="H4692" s="503"/>
      <c r="I4692" s="503"/>
      <c r="J4692" s="503"/>
      <c r="K4692" s="503"/>
      <c r="L4692" s="497"/>
      <c r="M4692" s="497"/>
      <c r="N4692" s="497"/>
      <c r="O4692" s="497"/>
      <c r="P4692" s="497">
        <f t="shared" si="281"/>
        <v>382</v>
      </c>
      <c r="Q4692" s="497" t="b">
        <v>0</v>
      </c>
    </row>
    <row r="4693" spans="1:17" x14ac:dyDescent="0.35">
      <c r="A4693" s="497" t="b">
        <v>0</v>
      </c>
      <c r="B4693" s="497" t="s">
        <v>10617</v>
      </c>
      <c r="C4693" s="512">
        <v>64</v>
      </c>
      <c r="D4693" s="497">
        <f t="shared" si="278"/>
        <v>-97</v>
      </c>
      <c r="E4693" s="497">
        <f t="shared" si="279"/>
        <v>5</v>
      </c>
      <c r="F4693" s="497">
        <f t="shared" ca="1" si="280"/>
        <v>72</v>
      </c>
      <c r="G4693" s="497" t="s">
        <v>10041</v>
      </c>
      <c r="H4693" s="503"/>
      <c r="I4693" s="503"/>
      <c r="J4693" s="503"/>
      <c r="K4693" s="503"/>
      <c r="L4693" s="497"/>
      <c r="M4693" s="497"/>
      <c r="N4693" s="497"/>
      <c r="O4693" s="497"/>
      <c r="P4693" s="497">
        <f t="shared" si="281"/>
        <v>383</v>
      </c>
      <c r="Q4693" s="497" t="b">
        <v>0</v>
      </c>
    </row>
    <row r="4694" spans="1:17" x14ac:dyDescent="0.35">
      <c r="A4694" s="497" t="b">
        <v>0</v>
      </c>
      <c r="B4694" s="497" t="s">
        <v>10618</v>
      </c>
      <c r="C4694" s="512">
        <v>64</v>
      </c>
      <c r="D4694" s="497">
        <f t="shared" si="278"/>
        <v>-96</v>
      </c>
      <c r="E4694" s="497">
        <f t="shared" si="279"/>
        <v>6</v>
      </c>
      <c r="F4694" s="497">
        <f t="shared" ca="1" si="280"/>
        <v>72</v>
      </c>
      <c r="G4694" s="497" t="s">
        <v>10041</v>
      </c>
      <c r="H4694" s="503"/>
      <c r="I4694" s="503"/>
      <c r="J4694" s="503"/>
      <c r="K4694" s="503"/>
      <c r="L4694" s="497"/>
      <c r="M4694" s="497"/>
      <c r="N4694" s="497"/>
      <c r="O4694" s="497"/>
      <c r="P4694" s="497">
        <f t="shared" si="281"/>
        <v>384</v>
      </c>
      <c r="Q4694" s="497" t="b">
        <v>0</v>
      </c>
    </row>
    <row r="4695" spans="1:17" x14ac:dyDescent="0.35">
      <c r="A4695" s="497" t="b">
        <v>0</v>
      </c>
      <c r="B4695" s="497" t="s">
        <v>10619</v>
      </c>
      <c r="C4695" s="512">
        <v>65</v>
      </c>
      <c r="D4695" s="497">
        <f t="shared" ref="D4695:D4758" si="282">D4694+1</f>
        <v>-95</v>
      </c>
      <c r="E4695" s="497">
        <f t="shared" ref="E4695:E4758" si="283">COUNTIF(C4445:C4695,C4695)</f>
        <v>1</v>
      </c>
      <c r="F4695" s="497">
        <f t="shared" ref="F4695:F4758" ca="1" si="284">IF(C4695=1,9,IF(E4694=MAX(E4693:E4695),F4693+1,F4694))</f>
        <v>73</v>
      </c>
      <c r="G4695" s="497" t="s">
        <v>10043</v>
      </c>
      <c r="H4695" s="503"/>
      <c r="I4695" s="503"/>
      <c r="J4695" s="503"/>
      <c r="K4695" s="503"/>
      <c r="L4695" s="497"/>
      <c r="M4695" s="497"/>
      <c r="N4695" s="497"/>
      <c r="O4695" s="497"/>
      <c r="P4695" s="497">
        <f t="shared" ref="P4695:P4758" si="285">IF(NOT(_xlfn.ISFORMULA(I4695)),P4694+1,0)</f>
        <v>385</v>
      </c>
      <c r="Q4695" s="497" t="b">
        <v>0</v>
      </c>
    </row>
    <row r="4696" spans="1:17" x14ac:dyDescent="0.35">
      <c r="A4696" s="497" t="b">
        <v>0</v>
      </c>
      <c r="B4696" s="497" t="s">
        <v>10620</v>
      </c>
      <c r="C4696" s="512">
        <v>65</v>
      </c>
      <c r="D4696" s="497">
        <f t="shared" si="282"/>
        <v>-94</v>
      </c>
      <c r="E4696" s="497">
        <f t="shared" si="283"/>
        <v>2</v>
      </c>
      <c r="F4696" s="497">
        <f t="shared" ca="1" si="284"/>
        <v>73</v>
      </c>
      <c r="G4696" s="497" t="s">
        <v>10043</v>
      </c>
      <c r="H4696" s="503"/>
      <c r="I4696" s="503"/>
      <c r="J4696" s="503"/>
      <c r="K4696" s="503"/>
      <c r="L4696" s="497"/>
      <c r="M4696" s="497"/>
      <c r="N4696" s="497"/>
      <c r="O4696" s="497"/>
      <c r="P4696" s="497">
        <f t="shared" si="285"/>
        <v>386</v>
      </c>
      <c r="Q4696" s="497" t="b">
        <v>0</v>
      </c>
    </row>
    <row r="4697" spans="1:17" x14ac:dyDescent="0.35">
      <c r="A4697" s="497" t="b">
        <v>0</v>
      </c>
      <c r="B4697" s="497" t="s">
        <v>10621</v>
      </c>
      <c r="C4697" s="512">
        <v>65</v>
      </c>
      <c r="D4697" s="497">
        <f t="shared" si="282"/>
        <v>-93</v>
      </c>
      <c r="E4697" s="497">
        <f t="shared" si="283"/>
        <v>3</v>
      </c>
      <c r="F4697" s="497">
        <f t="shared" ca="1" si="284"/>
        <v>73</v>
      </c>
      <c r="G4697" s="497" t="s">
        <v>10043</v>
      </c>
      <c r="H4697" s="503"/>
      <c r="I4697" s="503"/>
      <c r="J4697" s="503"/>
      <c r="K4697" s="503"/>
      <c r="L4697" s="497"/>
      <c r="M4697" s="497"/>
      <c r="N4697" s="497"/>
      <c r="O4697" s="497"/>
      <c r="P4697" s="497">
        <f t="shared" si="285"/>
        <v>387</v>
      </c>
      <c r="Q4697" s="497" t="b">
        <v>0</v>
      </c>
    </row>
    <row r="4698" spans="1:17" x14ac:dyDescent="0.35">
      <c r="A4698" s="497" t="b">
        <v>0</v>
      </c>
      <c r="B4698" s="497" t="s">
        <v>10622</v>
      </c>
      <c r="C4698" s="512">
        <v>65</v>
      </c>
      <c r="D4698" s="497">
        <f t="shared" si="282"/>
        <v>-92</v>
      </c>
      <c r="E4698" s="497">
        <f t="shared" si="283"/>
        <v>4</v>
      </c>
      <c r="F4698" s="497">
        <f t="shared" ca="1" si="284"/>
        <v>73</v>
      </c>
      <c r="G4698" s="497" t="s">
        <v>10043</v>
      </c>
      <c r="H4698" s="503"/>
      <c r="I4698" s="503"/>
      <c r="J4698" s="503"/>
      <c r="K4698" s="503"/>
      <c r="L4698" s="497"/>
      <c r="M4698" s="497"/>
      <c r="N4698" s="497"/>
      <c r="O4698" s="497"/>
      <c r="P4698" s="497">
        <f t="shared" si="285"/>
        <v>388</v>
      </c>
      <c r="Q4698" s="497" t="b">
        <v>0</v>
      </c>
    </row>
    <row r="4699" spans="1:17" x14ac:dyDescent="0.35">
      <c r="A4699" s="497" t="b">
        <v>0</v>
      </c>
      <c r="B4699" s="497" t="s">
        <v>10623</v>
      </c>
      <c r="C4699" s="512">
        <v>65</v>
      </c>
      <c r="D4699" s="497">
        <f t="shared" si="282"/>
        <v>-91</v>
      </c>
      <c r="E4699" s="497">
        <f t="shared" si="283"/>
        <v>5</v>
      </c>
      <c r="F4699" s="497">
        <f t="shared" ca="1" si="284"/>
        <v>73</v>
      </c>
      <c r="G4699" s="497" t="s">
        <v>10043</v>
      </c>
      <c r="H4699" s="503"/>
      <c r="I4699" s="503"/>
      <c r="J4699" s="503"/>
      <c r="K4699" s="503"/>
      <c r="L4699" s="497"/>
      <c r="M4699" s="497"/>
      <c r="N4699" s="497"/>
      <c r="O4699" s="497"/>
      <c r="P4699" s="497">
        <f t="shared" si="285"/>
        <v>389</v>
      </c>
      <c r="Q4699" s="497" t="b">
        <v>0</v>
      </c>
    </row>
    <row r="4700" spans="1:17" x14ac:dyDescent="0.35">
      <c r="A4700" s="497" t="b">
        <v>0</v>
      </c>
      <c r="B4700" s="497" t="s">
        <v>10624</v>
      </c>
      <c r="C4700" s="512">
        <v>65</v>
      </c>
      <c r="D4700" s="497">
        <f t="shared" si="282"/>
        <v>-90</v>
      </c>
      <c r="E4700" s="497">
        <f t="shared" si="283"/>
        <v>6</v>
      </c>
      <c r="F4700" s="497">
        <f t="shared" ca="1" si="284"/>
        <v>73</v>
      </c>
      <c r="G4700" s="497" t="s">
        <v>10043</v>
      </c>
      <c r="H4700" s="503"/>
      <c r="I4700" s="503"/>
      <c r="J4700" s="503"/>
      <c r="K4700" s="503"/>
      <c r="L4700" s="497"/>
      <c r="M4700" s="497"/>
      <c r="N4700" s="497"/>
      <c r="O4700" s="497"/>
      <c r="P4700" s="497">
        <f t="shared" si="285"/>
        <v>390</v>
      </c>
      <c r="Q4700" s="497" t="b">
        <v>0</v>
      </c>
    </row>
    <row r="4701" spans="1:17" x14ac:dyDescent="0.35">
      <c r="A4701" s="497" t="b">
        <v>0</v>
      </c>
      <c r="B4701" s="497" t="s">
        <v>10625</v>
      </c>
      <c r="C4701" s="512">
        <v>66</v>
      </c>
      <c r="D4701" s="497">
        <f t="shared" si="282"/>
        <v>-89</v>
      </c>
      <c r="E4701" s="497">
        <f t="shared" si="283"/>
        <v>1</v>
      </c>
      <c r="F4701" s="497">
        <f t="shared" ca="1" si="284"/>
        <v>74</v>
      </c>
      <c r="G4701" s="497" t="s">
        <v>10045</v>
      </c>
      <c r="H4701" s="503"/>
      <c r="I4701" s="503"/>
      <c r="J4701" s="503"/>
      <c r="K4701" s="503"/>
      <c r="L4701" s="497"/>
      <c r="M4701" s="497"/>
      <c r="N4701" s="497"/>
      <c r="O4701" s="497"/>
      <c r="P4701" s="497">
        <f t="shared" si="285"/>
        <v>391</v>
      </c>
      <c r="Q4701" s="497" t="b">
        <v>0</v>
      </c>
    </row>
    <row r="4702" spans="1:17" x14ac:dyDescent="0.35">
      <c r="A4702" s="497" t="b">
        <v>0</v>
      </c>
      <c r="B4702" s="497" t="s">
        <v>10626</v>
      </c>
      <c r="C4702" s="512">
        <v>66</v>
      </c>
      <c r="D4702" s="497">
        <f t="shared" si="282"/>
        <v>-88</v>
      </c>
      <c r="E4702" s="497">
        <f t="shared" si="283"/>
        <v>2</v>
      </c>
      <c r="F4702" s="497">
        <f t="shared" ca="1" si="284"/>
        <v>74</v>
      </c>
      <c r="G4702" s="497" t="s">
        <v>10045</v>
      </c>
      <c r="H4702" s="503"/>
      <c r="I4702" s="503"/>
      <c r="J4702" s="503"/>
      <c r="K4702" s="503"/>
      <c r="L4702" s="497"/>
      <c r="M4702" s="497"/>
      <c r="N4702" s="497"/>
      <c r="O4702" s="497"/>
      <c r="P4702" s="497">
        <f t="shared" si="285"/>
        <v>392</v>
      </c>
      <c r="Q4702" s="497" t="b">
        <v>0</v>
      </c>
    </row>
    <row r="4703" spans="1:17" x14ac:dyDescent="0.35">
      <c r="A4703" s="497" t="b">
        <v>0</v>
      </c>
      <c r="B4703" s="497" t="s">
        <v>10627</v>
      </c>
      <c r="C4703" s="512">
        <v>66</v>
      </c>
      <c r="D4703" s="497">
        <f t="shared" si="282"/>
        <v>-87</v>
      </c>
      <c r="E4703" s="497">
        <f t="shared" si="283"/>
        <v>3</v>
      </c>
      <c r="F4703" s="497">
        <f t="shared" ca="1" si="284"/>
        <v>74</v>
      </c>
      <c r="G4703" s="497" t="s">
        <v>10045</v>
      </c>
      <c r="H4703" s="503"/>
      <c r="I4703" s="503"/>
      <c r="J4703" s="503"/>
      <c r="K4703" s="503"/>
      <c r="L4703" s="497"/>
      <c r="M4703" s="497"/>
      <c r="N4703" s="497"/>
      <c r="O4703" s="497"/>
      <c r="P4703" s="497">
        <f t="shared" si="285"/>
        <v>393</v>
      </c>
      <c r="Q4703" s="497" t="b">
        <v>0</v>
      </c>
    </row>
    <row r="4704" spans="1:17" x14ac:dyDescent="0.35">
      <c r="A4704" s="497" t="b">
        <v>0</v>
      </c>
      <c r="B4704" s="497" t="s">
        <v>10628</v>
      </c>
      <c r="C4704" s="512">
        <v>66</v>
      </c>
      <c r="D4704" s="497">
        <f t="shared" si="282"/>
        <v>-86</v>
      </c>
      <c r="E4704" s="497">
        <f t="shared" si="283"/>
        <v>4</v>
      </c>
      <c r="F4704" s="497">
        <f t="shared" ca="1" si="284"/>
        <v>74</v>
      </c>
      <c r="G4704" s="497" t="s">
        <v>10045</v>
      </c>
      <c r="H4704" s="503"/>
      <c r="I4704" s="503"/>
      <c r="J4704" s="503"/>
      <c r="K4704" s="503"/>
      <c r="L4704" s="497"/>
      <c r="M4704" s="497"/>
      <c r="N4704" s="497"/>
      <c r="O4704" s="497"/>
      <c r="P4704" s="497">
        <f t="shared" si="285"/>
        <v>394</v>
      </c>
      <c r="Q4704" s="497" t="b">
        <v>0</v>
      </c>
    </row>
    <row r="4705" spans="1:17" x14ac:dyDescent="0.35">
      <c r="A4705" s="497" t="b">
        <v>0</v>
      </c>
      <c r="B4705" s="497" t="s">
        <v>10629</v>
      </c>
      <c r="C4705" s="512">
        <v>66</v>
      </c>
      <c r="D4705" s="497">
        <f t="shared" si="282"/>
        <v>-85</v>
      </c>
      <c r="E4705" s="497">
        <f t="shared" si="283"/>
        <v>5</v>
      </c>
      <c r="F4705" s="497">
        <f t="shared" ca="1" si="284"/>
        <v>74</v>
      </c>
      <c r="G4705" s="497" t="s">
        <v>10045</v>
      </c>
      <c r="H4705" s="503"/>
      <c r="I4705" s="503"/>
      <c r="J4705" s="503"/>
      <c r="K4705" s="503"/>
      <c r="L4705" s="497"/>
      <c r="M4705" s="497"/>
      <c r="N4705" s="497"/>
      <c r="O4705" s="497"/>
      <c r="P4705" s="497">
        <f t="shared" si="285"/>
        <v>395</v>
      </c>
      <c r="Q4705" s="497" t="b">
        <v>0</v>
      </c>
    </row>
    <row r="4706" spans="1:17" x14ac:dyDescent="0.35">
      <c r="A4706" s="497" t="b">
        <v>0</v>
      </c>
      <c r="B4706" s="497" t="s">
        <v>10630</v>
      </c>
      <c r="C4706" s="512">
        <v>66</v>
      </c>
      <c r="D4706" s="497">
        <f t="shared" si="282"/>
        <v>-84</v>
      </c>
      <c r="E4706" s="497">
        <f t="shared" si="283"/>
        <v>6</v>
      </c>
      <c r="F4706" s="497">
        <f t="shared" ca="1" si="284"/>
        <v>74</v>
      </c>
      <c r="G4706" s="497" t="s">
        <v>10045</v>
      </c>
      <c r="H4706" s="503"/>
      <c r="I4706" s="503"/>
      <c r="J4706" s="503"/>
      <c r="K4706" s="503"/>
      <c r="L4706" s="497"/>
      <c r="M4706" s="497"/>
      <c r="N4706" s="497"/>
      <c r="O4706" s="497"/>
      <c r="P4706" s="497">
        <f t="shared" si="285"/>
        <v>396</v>
      </c>
      <c r="Q4706" s="497" t="b">
        <v>0</v>
      </c>
    </row>
    <row r="4707" spans="1:17" x14ac:dyDescent="0.35">
      <c r="A4707" s="497" t="b">
        <v>0</v>
      </c>
      <c r="B4707" s="497" t="s">
        <v>10631</v>
      </c>
      <c r="C4707" s="512">
        <v>67</v>
      </c>
      <c r="D4707" s="497">
        <f t="shared" si="282"/>
        <v>-83</v>
      </c>
      <c r="E4707" s="497">
        <f t="shared" si="283"/>
        <v>1</v>
      </c>
      <c r="F4707" s="497">
        <f t="shared" ca="1" si="284"/>
        <v>75</v>
      </c>
      <c r="G4707" s="497" t="s">
        <v>10047</v>
      </c>
      <c r="H4707" s="503"/>
      <c r="I4707" s="503"/>
      <c r="J4707" s="503"/>
      <c r="K4707" s="503"/>
      <c r="L4707" s="497"/>
      <c r="M4707" s="497"/>
      <c r="N4707" s="497"/>
      <c r="O4707" s="497"/>
      <c r="P4707" s="497">
        <f t="shared" si="285"/>
        <v>397</v>
      </c>
      <c r="Q4707" s="497" t="b">
        <v>0</v>
      </c>
    </row>
    <row r="4708" spans="1:17" x14ac:dyDescent="0.35">
      <c r="A4708" s="497" t="b">
        <v>0</v>
      </c>
      <c r="B4708" s="497" t="s">
        <v>10632</v>
      </c>
      <c r="C4708" s="512">
        <v>67</v>
      </c>
      <c r="D4708" s="497">
        <f t="shared" si="282"/>
        <v>-82</v>
      </c>
      <c r="E4708" s="497">
        <f t="shared" si="283"/>
        <v>2</v>
      </c>
      <c r="F4708" s="497">
        <f t="shared" ca="1" si="284"/>
        <v>75</v>
      </c>
      <c r="G4708" s="497" t="s">
        <v>10047</v>
      </c>
      <c r="H4708" s="503"/>
      <c r="I4708" s="503"/>
      <c r="J4708" s="503"/>
      <c r="K4708" s="503"/>
      <c r="L4708" s="497"/>
      <c r="M4708" s="497"/>
      <c r="N4708" s="497"/>
      <c r="O4708" s="497"/>
      <c r="P4708" s="497">
        <f t="shared" si="285"/>
        <v>398</v>
      </c>
      <c r="Q4708" s="497" t="b">
        <v>0</v>
      </c>
    </row>
    <row r="4709" spans="1:17" x14ac:dyDescent="0.35">
      <c r="A4709" s="497" t="b">
        <v>0</v>
      </c>
      <c r="B4709" s="497" t="s">
        <v>10633</v>
      </c>
      <c r="C4709" s="512">
        <v>67</v>
      </c>
      <c r="D4709" s="497">
        <f t="shared" si="282"/>
        <v>-81</v>
      </c>
      <c r="E4709" s="497">
        <f t="shared" si="283"/>
        <v>3</v>
      </c>
      <c r="F4709" s="497">
        <f t="shared" ca="1" si="284"/>
        <v>75</v>
      </c>
      <c r="G4709" s="497" t="s">
        <v>10047</v>
      </c>
      <c r="H4709" s="503"/>
      <c r="I4709" s="503"/>
      <c r="J4709" s="503"/>
      <c r="K4709" s="503"/>
      <c r="L4709" s="497"/>
      <c r="M4709" s="497"/>
      <c r="N4709" s="497"/>
      <c r="O4709" s="497"/>
      <c r="P4709" s="497">
        <f t="shared" si="285"/>
        <v>399</v>
      </c>
      <c r="Q4709" s="497" t="b">
        <v>0</v>
      </c>
    </row>
    <row r="4710" spans="1:17" x14ac:dyDescent="0.35">
      <c r="A4710" s="497" t="b">
        <v>0</v>
      </c>
      <c r="B4710" s="497" t="s">
        <v>10634</v>
      </c>
      <c r="C4710" s="512">
        <v>67</v>
      </c>
      <c r="D4710" s="497">
        <f t="shared" si="282"/>
        <v>-80</v>
      </c>
      <c r="E4710" s="497">
        <f t="shared" si="283"/>
        <v>4</v>
      </c>
      <c r="F4710" s="497">
        <f t="shared" ca="1" si="284"/>
        <v>75</v>
      </c>
      <c r="G4710" s="497" t="s">
        <v>10047</v>
      </c>
      <c r="H4710" s="503"/>
      <c r="I4710" s="503"/>
      <c r="J4710" s="503"/>
      <c r="K4710" s="503"/>
      <c r="L4710" s="497"/>
      <c r="M4710" s="497"/>
      <c r="N4710" s="497"/>
      <c r="O4710" s="497"/>
      <c r="P4710" s="497">
        <f t="shared" si="285"/>
        <v>400</v>
      </c>
      <c r="Q4710" s="497" t="b">
        <v>0</v>
      </c>
    </row>
    <row r="4711" spans="1:17" x14ac:dyDescent="0.35">
      <c r="A4711" s="497" t="b">
        <v>0</v>
      </c>
      <c r="B4711" s="497" t="s">
        <v>10635</v>
      </c>
      <c r="C4711" s="512">
        <v>67</v>
      </c>
      <c r="D4711" s="497">
        <f t="shared" si="282"/>
        <v>-79</v>
      </c>
      <c r="E4711" s="497">
        <f t="shared" si="283"/>
        <v>5</v>
      </c>
      <c r="F4711" s="497">
        <f t="shared" ca="1" si="284"/>
        <v>75</v>
      </c>
      <c r="G4711" s="497" t="s">
        <v>10047</v>
      </c>
      <c r="H4711" s="503"/>
      <c r="I4711" s="503"/>
      <c r="J4711" s="503"/>
      <c r="K4711" s="503"/>
      <c r="L4711" s="497"/>
      <c r="M4711" s="497"/>
      <c r="N4711" s="497"/>
      <c r="O4711" s="497"/>
      <c r="P4711" s="497">
        <f t="shared" si="285"/>
        <v>401</v>
      </c>
      <c r="Q4711" s="497" t="b">
        <v>0</v>
      </c>
    </row>
    <row r="4712" spans="1:17" x14ac:dyDescent="0.35">
      <c r="A4712" s="497" t="b">
        <v>0</v>
      </c>
      <c r="B4712" s="497" t="s">
        <v>10636</v>
      </c>
      <c r="C4712" s="512">
        <v>67</v>
      </c>
      <c r="D4712" s="497">
        <f t="shared" si="282"/>
        <v>-78</v>
      </c>
      <c r="E4712" s="497">
        <f t="shared" si="283"/>
        <v>6</v>
      </c>
      <c r="F4712" s="497">
        <f t="shared" ca="1" si="284"/>
        <v>75</v>
      </c>
      <c r="G4712" s="497" t="s">
        <v>10047</v>
      </c>
      <c r="H4712" s="503"/>
      <c r="I4712" s="503"/>
      <c r="J4712" s="503"/>
      <c r="K4712" s="503"/>
      <c r="L4712" s="497"/>
      <c r="M4712" s="497"/>
      <c r="N4712" s="497"/>
      <c r="O4712" s="497"/>
      <c r="P4712" s="497">
        <f t="shared" si="285"/>
        <v>402</v>
      </c>
      <c r="Q4712" s="497" t="b">
        <v>0</v>
      </c>
    </row>
    <row r="4713" spans="1:17" x14ac:dyDescent="0.35">
      <c r="A4713" s="497" t="b">
        <v>0</v>
      </c>
      <c r="B4713" s="497" t="s">
        <v>10637</v>
      </c>
      <c r="C4713" s="512">
        <v>68</v>
      </c>
      <c r="D4713" s="497">
        <f t="shared" si="282"/>
        <v>-77</v>
      </c>
      <c r="E4713" s="497">
        <f t="shared" si="283"/>
        <v>1</v>
      </c>
      <c r="F4713" s="497">
        <f t="shared" ca="1" si="284"/>
        <v>76</v>
      </c>
      <c r="G4713" s="497" t="s">
        <v>10049</v>
      </c>
      <c r="H4713" s="503"/>
      <c r="I4713" s="503"/>
      <c r="J4713" s="503"/>
      <c r="K4713" s="503"/>
      <c r="L4713" s="497"/>
      <c r="M4713" s="497"/>
      <c r="N4713" s="497"/>
      <c r="O4713" s="497"/>
      <c r="P4713" s="497">
        <f t="shared" si="285"/>
        <v>403</v>
      </c>
      <c r="Q4713" s="497" t="b">
        <v>0</v>
      </c>
    </row>
    <row r="4714" spans="1:17" x14ac:dyDescent="0.35">
      <c r="A4714" s="497" t="b">
        <v>0</v>
      </c>
      <c r="B4714" s="497" t="s">
        <v>10638</v>
      </c>
      <c r="C4714" s="512">
        <v>68</v>
      </c>
      <c r="D4714" s="497">
        <f t="shared" si="282"/>
        <v>-76</v>
      </c>
      <c r="E4714" s="497">
        <f t="shared" si="283"/>
        <v>2</v>
      </c>
      <c r="F4714" s="497">
        <f t="shared" ca="1" si="284"/>
        <v>76</v>
      </c>
      <c r="G4714" s="497" t="s">
        <v>10049</v>
      </c>
      <c r="H4714" s="503"/>
      <c r="I4714" s="503"/>
      <c r="J4714" s="503"/>
      <c r="K4714" s="503"/>
      <c r="L4714" s="497"/>
      <c r="M4714" s="497"/>
      <c r="N4714" s="497"/>
      <c r="O4714" s="497"/>
      <c r="P4714" s="497">
        <f t="shared" si="285"/>
        <v>404</v>
      </c>
      <c r="Q4714" s="497" t="b">
        <v>0</v>
      </c>
    </row>
    <row r="4715" spans="1:17" x14ac:dyDescent="0.35">
      <c r="A4715" s="497" t="b">
        <v>0</v>
      </c>
      <c r="B4715" s="497" t="s">
        <v>10639</v>
      </c>
      <c r="C4715" s="512">
        <v>68</v>
      </c>
      <c r="D4715" s="497">
        <f t="shared" si="282"/>
        <v>-75</v>
      </c>
      <c r="E4715" s="497">
        <f t="shared" si="283"/>
        <v>3</v>
      </c>
      <c r="F4715" s="497">
        <f t="shared" ca="1" si="284"/>
        <v>76</v>
      </c>
      <c r="G4715" s="497" t="s">
        <v>10049</v>
      </c>
      <c r="H4715" s="503"/>
      <c r="I4715" s="503"/>
      <c r="J4715" s="503"/>
      <c r="K4715" s="503"/>
      <c r="L4715" s="497"/>
      <c r="M4715" s="497"/>
      <c r="N4715" s="497"/>
      <c r="O4715" s="497"/>
      <c r="P4715" s="497">
        <f t="shared" si="285"/>
        <v>405</v>
      </c>
      <c r="Q4715" s="497" t="b">
        <v>0</v>
      </c>
    </row>
    <row r="4716" spans="1:17" x14ac:dyDescent="0.35">
      <c r="A4716" s="497" t="b">
        <v>0</v>
      </c>
      <c r="B4716" s="497" t="s">
        <v>10640</v>
      </c>
      <c r="C4716" s="512">
        <v>68</v>
      </c>
      <c r="D4716" s="497">
        <f t="shared" si="282"/>
        <v>-74</v>
      </c>
      <c r="E4716" s="497">
        <f t="shared" si="283"/>
        <v>4</v>
      </c>
      <c r="F4716" s="497">
        <f t="shared" ca="1" si="284"/>
        <v>76</v>
      </c>
      <c r="G4716" s="497" t="s">
        <v>10049</v>
      </c>
      <c r="H4716" s="503"/>
      <c r="I4716" s="503"/>
      <c r="J4716" s="503"/>
      <c r="K4716" s="503"/>
      <c r="L4716" s="497"/>
      <c r="M4716" s="497"/>
      <c r="N4716" s="497"/>
      <c r="O4716" s="497"/>
      <c r="P4716" s="497">
        <f t="shared" si="285"/>
        <v>406</v>
      </c>
      <c r="Q4716" s="497" t="b">
        <v>0</v>
      </c>
    </row>
    <row r="4717" spans="1:17" x14ac:dyDescent="0.35">
      <c r="A4717" s="497" t="b">
        <v>0</v>
      </c>
      <c r="B4717" s="497" t="s">
        <v>10641</v>
      </c>
      <c r="C4717" s="512">
        <v>68</v>
      </c>
      <c r="D4717" s="497">
        <f t="shared" si="282"/>
        <v>-73</v>
      </c>
      <c r="E4717" s="497">
        <f t="shared" si="283"/>
        <v>5</v>
      </c>
      <c r="F4717" s="497">
        <f t="shared" ca="1" si="284"/>
        <v>76</v>
      </c>
      <c r="G4717" s="497" t="s">
        <v>10049</v>
      </c>
      <c r="H4717" s="503"/>
      <c r="I4717" s="503"/>
      <c r="J4717" s="503"/>
      <c r="K4717" s="503"/>
      <c r="L4717" s="497"/>
      <c r="M4717" s="497"/>
      <c r="N4717" s="497"/>
      <c r="O4717" s="497"/>
      <c r="P4717" s="497">
        <f t="shared" si="285"/>
        <v>407</v>
      </c>
      <c r="Q4717" s="497" t="b">
        <v>0</v>
      </c>
    </row>
    <row r="4718" spans="1:17" x14ac:dyDescent="0.35">
      <c r="A4718" s="497" t="b">
        <v>0</v>
      </c>
      <c r="B4718" s="497" t="s">
        <v>10642</v>
      </c>
      <c r="C4718" s="512">
        <v>68</v>
      </c>
      <c r="D4718" s="497">
        <f t="shared" si="282"/>
        <v>-72</v>
      </c>
      <c r="E4718" s="497">
        <f t="shared" si="283"/>
        <v>6</v>
      </c>
      <c r="F4718" s="497">
        <f t="shared" ca="1" si="284"/>
        <v>76</v>
      </c>
      <c r="G4718" s="497" t="s">
        <v>10049</v>
      </c>
      <c r="H4718" s="503"/>
      <c r="I4718" s="503"/>
      <c r="J4718" s="503"/>
      <c r="K4718" s="503"/>
      <c r="L4718" s="497"/>
      <c r="M4718" s="497"/>
      <c r="N4718" s="497"/>
      <c r="O4718" s="497"/>
      <c r="P4718" s="497">
        <f t="shared" si="285"/>
        <v>408</v>
      </c>
      <c r="Q4718" s="497" t="b">
        <v>0</v>
      </c>
    </row>
    <row r="4719" spans="1:17" x14ac:dyDescent="0.35">
      <c r="A4719" s="497" t="b">
        <v>0</v>
      </c>
      <c r="B4719" s="497" t="s">
        <v>10643</v>
      </c>
      <c r="C4719" s="512">
        <v>69</v>
      </c>
      <c r="D4719" s="497">
        <f t="shared" si="282"/>
        <v>-71</v>
      </c>
      <c r="E4719" s="497">
        <f t="shared" si="283"/>
        <v>1</v>
      </c>
      <c r="F4719" s="497">
        <f t="shared" ca="1" si="284"/>
        <v>77</v>
      </c>
      <c r="G4719" s="497" t="s">
        <v>10051</v>
      </c>
      <c r="H4719" s="503"/>
      <c r="I4719" s="503"/>
      <c r="J4719" s="503"/>
      <c r="K4719" s="503"/>
      <c r="L4719" s="497"/>
      <c r="M4719" s="497"/>
      <c r="N4719" s="497"/>
      <c r="O4719" s="497"/>
      <c r="P4719" s="497">
        <f t="shared" si="285"/>
        <v>409</v>
      </c>
      <c r="Q4719" s="497" t="b">
        <v>0</v>
      </c>
    </row>
    <row r="4720" spans="1:17" x14ac:dyDescent="0.35">
      <c r="A4720" s="497" t="b">
        <v>0</v>
      </c>
      <c r="B4720" s="497" t="s">
        <v>10644</v>
      </c>
      <c r="C4720" s="512">
        <v>69</v>
      </c>
      <c r="D4720" s="497">
        <f t="shared" si="282"/>
        <v>-70</v>
      </c>
      <c r="E4720" s="497">
        <f t="shared" si="283"/>
        <v>2</v>
      </c>
      <c r="F4720" s="497">
        <f t="shared" ca="1" si="284"/>
        <v>77</v>
      </c>
      <c r="G4720" s="497" t="s">
        <v>10051</v>
      </c>
      <c r="H4720" s="503"/>
      <c r="I4720" s="503"/>
      <c r="J4720" s="503"/>
      <c r="K4720" s="503"/>
      <c r="L4720" s="497"/>
      <c r="M4720" s="497"/>
      <c r="N4720" s="497"/>
      <c r="O4720" s="497"/>
      <c r="P4720" s="497">
        <f t="shared" si="285"/>
        <v>410</v>
      </c>
      <c r="Q4720" s="497" t="b">
        <v>0</v>
      </c>
    </row>
    <row r="4721" spans="1:17" x14ac:dyDescent="0.35">
      <c r="A4721" s="497" t="b">
        <v>0</v>
      </c>
      <c r="B4721" s="497" t="s">
        <v>10645</v>
      </c>
      <c r="C4721" s="512">
        <v>69</v>
      </c>
      <c r="D4721" s="497">
        <f t="shared" si="282"/>
        <v>-69</v>
      </c>
      <c r="E4721" s="497">
        <f t="shared" si="283"/>
        <v>3</v>
      </c>
      <c r="F4721" s="497">
        <f t="shared" ca="1" si="284"/>
        <v>77</v>
      </c>
      <c r="G4721" s="497" t="s">
        <v>10051</v>
      </c>
      <c r="H4721" s="503"/>
      <c r="I4721" s="503"/>
      <c r="J4721" s="503"/>
      <c r="K4721" s="503"/>
      <c r="L4721" s="497"/>
      <c r="M4721" s="497"/>
      <c r="N4721" s="497"/>
      <c r="O4721" s="497"/>
      <c r="P4721" s="497">
        <f t="shared" si="285"/>
        <v>411</v>
      </c>
      <c r="Q4721" s="497" t="b">
        <v>0</v>
      </c>
    </row>
    <row r="4722" spans="1:17" x14ac:dyDescent="0.35">
      <c r="A4722" s="497" t="b">
        <v>0</v>
      </c>
      <c r="B4722" s="497" t="s">
        <v>10646</v>
      </c>
      <c r="C4722" s="512">
        <v>69</v>
      </c>
      <c r="D4722" s="497">
        <f t="shared" si="282"/>
        <v>-68</v>
      </c>
      <c r="E4722" s="497">
        <f t="shared" si="283"/>
        <v>4</v>
      </c>
      <c r="F4722" s="497">
        <f t="shared" ca="1" si="284"/>
        <v>77</v>
      </c>
      <c r="G4722" s="497" t="s">
        <v>10051</v>
      </c>
      <c r="H4722" s="503"/>
      <c r="I4722" s="503"/>
      <c r="J4722" s="503"/>
      <c r="K4722" s="503"/>
      <c r="L4722" s="497"/>
      <c r="M4722" s="497"/>
      <c r="N4722" s="497"/>
      <c r="O4722" s="497"/>
      <c r="P4722" s="497">
        <f t="shared" si="285"/>
        <v>412</v>
      </c>
      <c r="Q4722" s="497" t="b">
        <v>0</v>
      </c>
    </row>
    <row r="4723" spans="1:17" x14ac:dyDescent="0.35">
      <c r="A4723" s="497" t="b">
        <v>0</v>
      </c>
      <c r="B4723" s="497" t="s">
        <v>10647</v>
      </c>
      <c r="C4723" s="512">
        <v>69</v>
      </c>
      <c r="D4723" s="497">
        <f t="shared" si="282"/>
        <v>-67</v>
      </c>
      <c r="E4723" s="497">
        <f t="shared" si="283"/>
        <v>5</v>
      </c>
      <c r="F4723" s="497">
        <f t="shared" ca="1" si="284"/>
        <v>77</v>
      </c>
      <c r="G4723" s="497" t="s">
        <v>10051</v>
      </c>
      <c r="H4723" s="503"/>
      <c r="I4723" s="503"/>
      <c r="J4723" s="503"/>
      <c r="K4723" s="503"/>
      <c r="L4723" s="497"/>
      <c r="M4723" s="497"/>
      <c r="N4723" s="497"/>
      <c r="O4723" s="497"/>
      <c r="P4723" s="497">
        <f t="shared" si="285"/>
        <v>413</v>
      </c>
      <c r="Q4723" s="497" t="b">
        <v>0</v>
      </c>
    </row>
    <row r="4724" spans="1:17" x14ac:dyDescent="0.35">
      <c r="A4724" s="497" t="b">
        <v>0</v>
      </c>
      <c r="B4724" s="497" t="s">
        <v>10648</v>
      </c>
      <c r="C4724" s="512">
        <v>69</v>
      </c>
      <c r="D4724" s="497">
        <f t="shared" si="282"/>
        <v>-66</v>
      </c>
      <c r="E4724" s="497">
        <f t="shared" si="283"/>
        <v>6</v>
      </c>
      <c r="F4724" s="497">
        <f t="shared" ca="1" si="284"/>
        <v>77</v>
      </c>
      <c r="G4724" s="497" t="s">
        <v>10051</v>
      </c>
      <c r="H4724" s="503"/>
      <c r="I4724" s="503"/>
      <c r="J4724" s="503"/>
      <c r="K4724" s="503"/>
      <c r="L4724" s="497"/>
      <c r="M4724" s="497"/>
      <c r="N4724" s="497"/>
      <c r="O4724" s="497"/>
      <c r="P4724" s="497">
        <f t="shared" si="285"/>
        <v>414</v>
      </c>
      <c r="Q4724" s="497" t="b">
        <v>0</v>
      </c>
    </row>
    <row r="4725" spans="1:17" x14ac:dyDescent="0.35">
      <c r="A4725" s="497" t="b">
        <v>0</v>
      </c>
      <c r="B4725" s="497" t="s">
        <v>10649</v>
      </c>
      <c r="C4725" s="512">
        <v>70</v>
      </c>
      <c r="D4725" s="497">
        <f t="shared" si="282"/>
        <v>-65</v>
      </c>
      <c r="E4725" s="497">
        <f t="shared" si="283"/>
        <v>1</v>
      </c>
      <c r="F4725" s="497">
        <f t="shared" ca="1" si="284"/>
        <v>78</v>
      </c>
      <c r="G4725" s="497" t="s">
        <v>10053</v>
      </c>
      <c r="H4725" s="503"/>
      <c r="I4725" s="503"/>
      <c r="J4725" s="503"/>
      <c r="K4725" s="503"/>
      <c r="L4725" s="497"/>
      <c r="M4725" s="497"/>
      <c r="N4725" s="497"/>
      <c r="O4725" s="497"/>
      <c r="P4725" s="497">
        <f t="shared" si="285"/>
        <v>415</v>
      </c>
      <c r="Q4725" s="497" t="b">
        <v>0</v>
      </c>
    </row>
    <row r="4726" spans="1:17" x14ac:dyDescent="0.35">
      <c r="A4726" s="497" t="b">
        <v>0</v>
      </c>
      <c r="B4726" s="497" t="s">
        <v>10650</v>
      </c>
      <c r="C4726" s="512">
        <v>70</v>
      </c>
      <c r="D4726" s="497">
        <f t="shared" si="282"/>
        <v>-64</v>
      </c>
      <c r="E4726" s="497">
        <f t="shared" si="283"/>
        <v>2</v>
      </c>
      <c r="F4726" s="497">
        <f t="shared" ca="1" si="284"/>
        <v>78</v>
      </c>
      <c r="G4726" s="497" t="s">
        <v>10053</v>
      </c>
      <c r="H4726" s="503"/>
      <c r="I4726" s="503"/>
      <c r="J4726" s="503"/>
      <c r="K4726" s="503"/>
      <c r="L4726" s="497"/>
      <c r="M4726" s="497"/>
      <c r="N4726" s="497"/>
      <c r="O4726" s="497"/>
      <c r="P4726" s="497">
        <f t="shared" si="285"/>
        <v>416</v>
      </c>
      <c r="Q4726" s="497" t="b">
        <v>0</v>
      </c>
    </row>
    <row r="4727" spans="1:17" x14ac:dyDescent="0.35">
      <c r="A4727" s="497" t="b">
        <v>0</v>
      </c>
      <c r="B4727" s="497" t="s">
        <v>10651</v>
      </c>
      <c r="C4727" s="512">
        <v>70</v>
      </c>
      <c r="D4727" s="497">
        <f t="shared" si="282"/>
        <v>-63</v>
      </c>
      <c r="E4727" s="497">
        <f t="shared" si="283"/>
        <v>3</v>
      </c>
      <c r="F4727" s="497">
        <f t="shared" ca="1" si="284"/>
        <v>78</v>
      </c>
      <c r="G4727" s="497" t="s">
        <v>10053</v>
      </c>
      <c r="H4727" s="503"/>
      <c r="I4727" s="503"/>
      <c r="J4727" s="503"/>
      <c r="K4727" s="503"/>
      <c r="L4727" s="497"/>
      <c r="M4727" s="497"/>
      <c r="N4727" s="497"/>
      <c r="O4727" s="497"/>
      <c r="P4727" s="497">
        <f t="shared" si="285"/>
        <v>417</v>
      </c>
      <c r="Q4727" s="497" t="b">
        <v>0</v>
      </c>
    </row>
    <row r="4728" spans="1:17" x14ac:dyDescent="0.35">
      <c r="A4728" s="497" t="b">
        <v>0</v>
      </c>
      <c r="B4728" s="497" t="s">
        <v>10652</v>
      </c>
      <c r="C4728" s="512">
        <v>70</v>
      </c>
      <c r="D4728" s="497">
        <f t="shared" si="282"/>
        <v>-62</v>
      </c>
      <c r="E4728" s="497">
        <f t="shared" si="283"/>
        <v>4</v>
      </c>
      <c r="F4728" s="497">
        <f t="shared" ca="1" si="284"/>
        <v>78</v>
      </c>
      <c r="G4728" s="497" t="s">
        <v>10053</v>
      </c>
      <c r="H4728" s="503"/>
      <c r="I4728" s="503"/>
      <c r="J4728" s="503"/>
      <c r="K4728" s="503"/>
      <c r="L4728" s="497"/>
      <c r="M4728" s="497"/>
      <c r="N4728" s="497"/>
      <c r="O4728" s="497"/>
      <c r="P4728" s="497">
        <f t="shared" si="285"/>
        <v>418</v>
      </c>
      <c r="Q4728" s="497" t="b">
        <v>0</v>
      </c>
    </row>
    <row r="4729" spans="1:17" x14ac:dyDescent="0.35">
      <c r="A4729" s="497" t="b">
        <v>0</v>
      </c>
      <c r="B4729" s="497" t="s">
        <v>10653</v>
      </c>
      <c r="C4729" s="512">
        <v>70</v>
      </c>
      <c r="D4729" s="497">
        <f t="shared" si="282"/>
        <v>-61</v>
      </c>
      <c r="E4729" s="497">
        <f t="shared" si="283"/>
        <v>5</v>
      </c>
      <c r="F4729" s="497">
        <f t="shared" ca="1" si="284"/>
        <v>78</v>
      </c>
      <c r="G4729" s="497" t="s">
        <v>10053</v>
      </c>
      <c r="H4729" s="503"/>
      <c r="I4729" s="503"/>
      <c r="J4729" s="503"/>
      <c r="K4729" s="503"/>
      <c r="L4729" s="497"/>
      <c r="M4729" s="497"/>
      <c r="N4729" s="497"/>
      <c r="O4729" s="497"/>
      <c r="P4729" s="497">
        <f t="shared" si="285"/>
        <v>419</v>
      </c>
      <c r="Q4729" s="497" t="b">
        <v>0</v>
      </c>
    </row>
    <row r="4730" spans="1:17" x14ac:dyDescent="0.35">
      <c r="A4730" s="497" t="b">
        <v>0</v>
      </c>
      <c r="B4730" s="497" t="s">
        <v>10654</v>
      </c>
      <c r="C4730" s="512">
        <v>70</v>
      </c>
      <c r="D4730" s="497">
        <f t="shared" si="282"/>
        <v>-60</v>
      </c>
      <c r="E4730" s="497">
        <f t="shared" si="283"/>
        <v>6</v>
      </c>
      <c r="F4730" s="497">
        <f t="shared" ca="1" si="284"/>
        <v>78</v>
      </c>
      <c r="G4730" s="497" t="s">
        <v>10053</v>
      </c>
      <c r="H4730" s="503"/>
      <c r="I4730" s="503"/>
      <c r="J4730" s="503"/>
      <c r="K4730" s="503"/>
      <c r="L4730" s="497"/>
      <c r="M4730" s="497"/>
      <c r="N4730" s="497"/>
      <c r="O4730" s="497"/>
      <c r="P4730" s="497">
        <f t="shared" si="285"/>
        <v>420</v>
      </c>
      <c r="Q4730" s="497" t="b">
        <v>0</v>
      </c>
    </row>
    <row r="4731" spans="1:17" x14ac:dyDescent="0.35">
      <c r="A4731" s="497" t="b">
        <v>0</v>
      </c>
      <c r="B4731" s="497" t="s">
        <v>10655</v>
      </c>
      <c r="C4731" s="512">
        <v>71</v>
      </c>
      <c r="D4731" s="497">
        <f t="shared" si="282"/>
        <v>-59</v>
      </c>
      <c r="E4731" s="497">
        <f t="shared" si="283"/>
        <v>1</v>
      </c>
      <c r="F4731" s="497">
        <f t="shared" ca="1" si="284"/>
        <v>79</v>
      </c>
      <c r="G4731" s="497" t="s">
        <v>10055</v>
      </c>
      <c r="H4731" s="503"/>
      <c r="I4731" s="503"/>
      <c r="J4731" s="503"/>
      <c r="K4731" s="503"/>
      <c r="L4731" s="497"/>
      <c r="M4731" s="497"/>
      <c r="N4731" s="497"/>
      <c r="O4731" s="497"/>
      <c r="P4731" s="497">
        <f t="shared" si="285"/>
        <v>421</v>
      </c>
      <c r="Q4731" s="497" t="b">
        <v>0</v>
      </c>
    </row>
    <row r="4732" spans="1:17" x14ac:dyDescent="0.35">
      <c r="A4732" s="497" t="b">
        <v>0</v>
      </c>
      <c r="B4732" s="497" t="s">
        <v>10656</v>
      </c>
      <c r="C4732" s="512">
        <v>71</v>
      </c>
      <c r="D4732" s="497">
        <f t="shared" si="282"/>
        <v>-58</v>
      </c>
      <c r="E4732" s="497">
        <f t="shared" si="283"/>
        <v>2</v>
      </c>
      <c r="F4732" s="497">
        <f t="shared" ca="1" si="284"/>
        <v>79</v>
      </c>
      <c r="G4732" s="497" t="s">
        <v>10055</v>
      </c>
      <c r="H4732" s="503"/>
      <c r="I4732" s="503"/>
      <c r="J4732" s="503"/>
      <c r="K4732" s="503"/>
      <c r="L4732" s="497"/>
      <c r="M4732" s="497"/>
      <c r="N4732" s="497"/>
      <c r="O4732" s="497"/>
      <c r="P4732" s="497">
        <f t="shared" si="285"/>
        <v>422</v>
      </c>
      <c r="Q4732" s="497" t="b">
        <v>0</v>
      </c>
    </row>
    <row r="4733" spans="1:17" x14ac:dyDescent="0.35">
      <c r="A4733" s="497" t="b">
        <v>0</v>
      </c>
      <c r="B4733" s="497" t="s">
        <v>10657</v>
      </c>
      <c r="C4733" s="512">
        <v>71</v>
      </c>
      <c r="D4733" s="497">
        <f t="shared" si="282"/>
        <v>-57</v>
      </c>
      <c r="E4733" s="497">
        <f t="shared" si="283"/>
        <v>3</v>
      </c>
      <c r="F4733" s="497">
        <f t="shared" ca="1" si="284"/>
        <v>79</v>
      </c>
      <c r="G4733" s="497" t="s">
        <v>10055</v>
      </c>
      <c r="H4733" s="503"/>
      <c r="I4733" s="503"/>
      <c r="J4733" s="503"/>
      <c r="K4733" s="503"/>
      <c r="L4733" s="497"/>
      <c r="M4733" s="497"/>
      <c r="N4733" s="497"/>
      <c r="O4733" s="497"/>
      <c r="P4733" s="497">
        <f t="shared" si="285"/>
        <v>423</v>
      </c>
      <c r="Q4733" s="497" t="b">
        <v>0</v>
      </c>
    </row>
    <row r="4734" spans="1:17" x14ac:dyDescent="0.35">
      <c r="A4734" s="497" t="b">
        <v>0</v>
      </c>
      <c r="B4734" s="497" t="s">
        <v>10658</v>
      </c>
      <c r="C4734" s="512">
        <v>71</v>
      </c>
      <c r="D4734" s="497">
        <f t="shared" si="282"/>
        <v>-56</v>
      </c>
      <c r="E4734" s="497">
        <f t="shared" si="283"/>
        <v>4</v>
      </c>
      <c r="F4734" s="497">
        <f t="shared" ca="1" si="284"/>
        <v>79</v>
      </c>
      <c r="G4734" s="497" t="s">
        <v>10055</v>
      </c>
      <c r="H4734" s="503"/>
      <c r="I4734" s="503"/>
      <c r="J4734" s="503"/>
      <c r="K4734" s="503"/>
      <c r="L4734" s="497"/>
      <c r="M4734" s="497"/>
      <c r="N4734" s="497"/>
      <c r="O4734" s="497"/>
      <c r="P4734" s="497">
        <f t="shared" si="285"/>
        <v>424</v>
      </c>
      <c r="Q4734" s="497" t="b">
        <v>0</v>
      </c>
    </row>
    <row r="4735" spans="1:17" x14ac:dyDescent="0.35">
      <c r="A4735" s="497" t="b">
        <v>0</v>
      </c>
      <c r="B4735" s="497" t="s">
        <v>10659</v>
      </c>
      <c r="C4735" s="512">
        <v>71</v>
      </c>
      <c r="D4735" s="497">
        <f t="shared" si="282"/>
        <v>-55</v>
      </c>
      <c r="E4735" s="497">
        <f t="shared" si="283"/>
        <v>5</v>
      </c>
      <c r="F4735" s="497">
        <f t="shared" ca="1" si="284"/>
        <v>79</v>
      </c>
      <c r="G4735" s="497" t="s">
        <v>10055</v>
      </c>
      <c r="H4735" s="503"/>
      <c r="I4735" s="503"/>
      <c r="J4735" s="503"/>
      <c r="K4735" s="503"/>
      <c r="L4735" s="497"/>
      <c r="M4735" s="497"/>
      <c r="N4735" s="497"/>
      <c r="O4735" s="497"/>
      <c r="P4735" s="497">
        <f t="shared" si="285"/>
        <v>425</v>
      </c>
      <c r="Q4735" s="497" t="b">
        <v>0</v>
      </c>
    </row>
    <row r="4736" spans="1:17" x14ac:dyDescent="0.35">
      <c r="A4736" s="497" t="b">
        <v>0</v>
      </c>
      <c r="B4736" s="497" t="s">
        <v>10660</v>
      </c>
      <c r="C4736" s="512">
        <v>71</v>
      </c>
      <c r="D4736" s="497">
        <f t="shared" si="282"/>
        <v>-54</v>
      </c>
      <c r="E4736" s="497">
        <f t="shared" si="283"/>
        <v>6</v>
      </c>
      <c r="F4736" s="497">
        <f t="shared" ca="1" si="284"/>
        <v>79</v>
      </c>
      <c r="G4736" s="497" t="s">
        <v>10055</v>
      </c>
      <c r="H4736" s="503"/>
      <c r="I4736" s="503"/>
      <c r="J4736" s="503"/>
      <c r="K4736" s="503"/>
      <c r="L4736" s="497"/>
      <c r="M4736" s="497"/>
      <c r="N4736" s="497"/>
      <c r="O4736" s="497"/>
      <c r="P4736" s="497">
        <f t="shared" si="285"/>
        <v>426</v>
      </c>
      <c r="Q4736" s="497" t="b">
        <v>0</v>
      </c>
    </row>
    <row r="4737" spans="1:17" x14ac:dyDescent="0.35">
      <c r="A4737" s="497" t="b">
        <v>0</v>
      </c>
      <c r="B4737" s="497" t="s">
        <v>10661</v>
      </c>
      <c r="C4737" s="512">
        <v>72</v>
      </c>
      <c r="D4737" s="497">
        <f t="shared" si="282"/>
        <v>-53</v>
      </c>
      <c r="E4737" s="497">
        <f t="shared" si="283"/>
        <v>1</v>
      </c>
      <c r="F4737" s="497">
        <f t="shared" ca="1" si="284"/>
        <v>80</v>
      </c>
      <c r="G4737" s="497" t="s">
        <v>10057</v>
      </c>
      <c r="H4737" s="503"/>
      <c r="I4737" s="503"/>
      <c r="J4737" s="503"/>
      <c r="K4737" s="503"/>
      <c r="L4737" s="497"/>
      <c r="M4737" s="497"/>
      <c r="N4737" s="497"/>
      <c r="O4737" s="497"/>
      <c r="P4737" s="497">
        <f t="shared" si="285"/>
        <v>427</v>
      </c>
      <c r="Q4737" s="497" t="b">
        <v>0</v>
      </c>
    </row>
    <row r="4738" spans="1:17" x14ac:dyDescent="0.35">
      <c r="A4738" s="497" t="b">
        <v>0</v>
      </c>
      <c r="B4738" s="497" t="s">
        <v>10662</v>
      </c>
      <c r="C4738" s="512">
        <v>72</v>
      </c>
      <c r="D4738" s="497">
        <f t="shared" si="282"/>
        <v>-52</v>
      </c>
      <c r="E4738" s="497">
        <f t="shared" si="283"/>
        <v>2</v>
      </c>
      <c r="F4738" s="497">
        <f t="shared" ca="1" si="284"/>
        <v>80</v>
      </c>
      <c r="G4738" s="497" t="s">
        <v>10057</v>
      </c>
      <c r="H4738" s="503"/>
      <c r="I4738" s="503"/>
      <c r="J4738" s="503"/>
      <c r="K4738" s="503"/>
      <c r="L4738" s="497"/>
      <c r="M4738" s="497"/>
      <c r="N4738" s="497"/>
      <c r="O4738" s="497"/>
      <c r="P4738" s="497">
        <f t="shared" si="285"/>
        <v>428</v>
      </c>
      <c r="Q4738" s="497" t="b">
        <v>0</v>
      </c>
    </row>
    <row r="4739" spans="1:17" x14ac:dyDescent="0.35">
      <c r="A4739" s="497" t="b">
        <v>0</v>
      </c>
      <c r="B4739" s="497" t="s">
        <v>10663</v>
      </c>
      <c r="C4739" s="512">
        <v>72</v>
      </c>
      <c r="D4739" s="497">
        <f t="shared" si="282"/>
        <v>-51</v>
      </c>
      <c r="E4739" s="497">
        <f t="shared" si="283"/>
        <v>3</v>
      </c>
      <c r="F4739" s="497">
        <f t="shared" ca="1" si="284"/>
        <v>80</v>
      </c>
      <c r="G4739" s="497" t="s">
        <v>10057</v>
      </c>
      <c r="H4739" s="503"/>
      <c r="I4739" s="503"/>
      <c r="J4739" s="503"/>
      <c r="K4739" s="503"/>
      <c r="L4739" s="497"/>
      <c r="M4739" s="497"/>
      <c r="N4739" s="497"/>
      <c r="O4739" s="497"/>
      <c r="P4739" s="497">
        <f t="shared" si="285"/>
        <v>429</v>
      </c>
      <c r="Q4739" s="497" t="b">
        <v>0</v>
      </c>
    </row>
    <row r="4740" spans="1:17" x14ac:dyDescent="0.35">
      <c r="A4740" s="497" t="b">
        <v>0</v>
      </c>
      <c r="B4740" s="497" t="s">
        <v>10664</v>
      </c>
      <c r="C4740" s="512">
        <v>72</v>
      </c>
      <c r="D4740" s="497">
        <f t="shared" si="282"/>
        <v>-50</v>
      </c>
      <c r="E4740" s="497">
        <f t="shared" si="283"/>
        <v>4</v>
      </c>
      <c r="F4740" s="497">
        <f t="shared" ca="1" si="284"/>
        <v>80</v>
      </c>
      <c r="G4740" s="497" t="s">
        <v>10057</v>
      </c>
      <c r="H4740" s="503"/>
      <c r="I4740" s="503"/>
      <c r="J4740" s="503"/>
      <c r="K4740" s="503"/>
      <c r="L4740" s="497"/>
      <c r="M4740" s="497"/>
      <c r="N4740" s="497"/>
      <c r="O4740" s="497"/>
      <c r="P4740" s="497">
        <f t="shared" si="285"/>
        <v>430</v>
      </c>
      <c r="Q4740" s="497" t="b">
        <v>0</v>
      </c>
    </row>
    <row r="4741" spans="1:17" x14ac:dyDescent="0.35">
      <c r="A4741" s="497" t="b">
        <v>0</v>
      </c>
      <c r="B4741" s="497" t="s">
        <v>10665</v>
      </c>
      <c r="C4741" s="512">
        <v>72</v>
      </c>
      <c r="D4741" s="497">
        <f t="shared" si="282"/>
        <v>-49</v>
      </c>
      <c r="E4741" s="497">
        <f t="shared" si="283"/>
        <v>5</v>
      </c>
      <c r="F4741" s="497">
        <f t="shared" ca="1" si="284"/>
        <v>80</v>
      </c>
      <c r="G4741" s="497" t="s">
        <v>10057</v>
      </c>
      <c r="H4741" s="503"/>
      <c r="I4741" s="503"/>
      <c r="J4741" s="503"/>
      <c r="K4741" s="503"/>
      <c r="L4741" s="497"/>
      <c r="M4741" s="497"/>
      <c r="N4741" s="497"/>
      <c r="O4741" s="497"/>
      <c r="P4741" s="497">
        <f t="shared" si="285"/>
        <v>431</v>
      </c>
      <c r="Q4741" s="497" t="b">
        <v>0</v>
      </c>
    </row>
    <row r="4742" spans="1:17" x14ac:dyDescent="0.35">
      <c r="A4742" s="497" t="b">
        <v>0</v>
      </c>
      <c r="B4742" s="497" t="s">
        <v>10666</v>
      </c>
      <c r="C4742" s="512">
        <v>72</v>
      </c>
      <c r="D4742" s="497">
        <f t="shared" si="282"/>
        <v>-48</v>
      </c>
      <c r="E4742" s="497">
        <f t="shared" si="283"/>
        <v>6</v>
      </c>
      <c r="F4742" s="497">
        <f t="shared" ca="1" si="284"/>
        <v>80</v>
      </c>
      <c r="G4742" s="497" t="s">
        <v>10057</v>
      </c>
      <c r="H4742" s="503"/>
      <c r="I4742" s="503"/>
      <c r="J4742" s="503"/>
      <c r="K4742" s="503"/>
      <c r="L4742" s="497"/>
      <c r="M4742" s="497"/>
      <c r="N4742" s="497"/>
      <c r="O4742" s="497"/>
      <c r="P4742" s="497">
        <f t="shared" si="285"/>
        <v>432</v>
      </c>
      <c r="Q4742" s="497" t="b">
        <v>0</v>
      </c>
    </row>
    <row r="4743" spans="1:17" x14ac:dyDescent="0.35">
      <c r="A4743" s="497" t="b">
        <v>0</v>
      </c>
      <c r="B4743" s="497" t="s">
        <v>10667</v>
      </c>
      <c r="C4743" s="512">
        <v>73</v>
      </c>
      <c r="D4743" s="497">
        <f t="shared" si="282"/>
        <v>-47</v>
      </c>
      <c r="E4743" s="497">
        <f t="shared" si="283"/>
        <v>1</v>
      </c>
      <c r="F4743" s="497">
        <f t="shared" ca="1" si="284"/>
        <v>81</v>
      </c>
      <c r="G4743" s="497" t="s">
        <v>10059</v>
      </c>
      <c r="H4743" s="503"/>
      <c r="I4743" s="503"/>
      <c r="J4743" s="503"/>
      <c r="K4743" s="503"/>
      <c r="L4743" s="497"/>
      <c r="M4743" s="497"/>
      <c r="N4743" s="497"/>
      <c r="O4743" s="497"/>
      <c r="P4743" s="497">
        <f t="shared" si="285"/>
        <v>433</v>
      </c>
      <c r="Q4743" s="497" t="b">
        <v>0</v>
      </c>
    </row>
    <row r="4744" spans="1:17" x14ac:dyDescent="0.35">
      <c r="A4744" s="497" t="b">
        <v>0</v>
      </c>
      <c r="B4744" s="497" t="s">
        <v>10668</v>
      </c>
      <c r="C4744" s="512">
        <v>73</v>
      </c>
      <c r="D4744" s="497">
        <f t="shared" si="282"/>
        <v>-46</v>
      </c>
      <c r="E4744" s="497">
        <f t="shared" si="283"/>
        <v>2</v>
      </c>
      <c r="F4744" s="497">
        <f t="shared" ca="1" si="284"/>
        <v>81</v>
      </c>
      <c r="G4744" s="497" t="s">
        <v>10059</v>
      </c>
      <c r="H4744" s="503"/>
      <c r="I4744" s="503"/>
      <c r="J4744" s="503"/>
      <c r="K4744" s="503"/>
      <c r="L4744" s="497"/>
      <c r="M4744" s="497"/>
      <c r="N4744" s="497"/>
      <c r="O4744" s="497"/>
      <c r="P4744" s="497">
        <f t="shared" si="285"/>
        <v>434</v>
      </c>
      <c r="Q4744" s="497" t="b">
        <v>0</v>
      </c>
    </row>
    <row r="4745" spans="1:17" x14ac:dyDescent="0.35">
      <c r="A4745" s="497" t="b">
        <v>0</v>
      </c>
      <c r="B4745" s="497" t="s">
        <v>10669</v>
      </c>
      <c r="C4745" s="512">
        <v>73</v>
      </c>
      <c r="D4745" s="497">
        <f t="shared" si="282"/>
        <v>-45</v>
      </c>
      <c r="E4745" s="497">
        <f t="shared" si="283"/>
        <v>3</v>
      </c>
      <c r="F4745" s="497">
        <f t="shared" ca="1" si="284"/>
        <v>81</v>
      </c>
      <c r="G4745" s="497" t="s">
        <v>10059</v>
      </c>
      <c r="H4745" s="503"/>
      <c r="I4745" s="503"/>
      <c r="J4745" s="503"/>
      <c r="K4745" s="503"/>
      <c r="L4745" s="497"/>
      <c r="M4745" s="497"/>
      <c r="N4745" s="497"/>
      <c r="O4745" s="497"/>
      <c r="P4745" s="497">
        <f t="shared" si="285"/>
        <v>435</v>
      </c>
      <c r="Q4745" s="497" t="b">
        <v>0</v>
      </c>
    </row>
    <row r="4746" spans="1:17" x14ac:dyDescent="0.35">
      <c r="A4746" s="497" t="b">
        <v>0</v>
      </c>
      <c r="B4746" s="497" t="s">
        <v>10670</v>
      </c>
      <c r="C4746" s="512">
        <v>73</v>
      </c>
      <c r="D4746" s="497">
        <f t="shared" si="282"/>
        <v>-44</v>
      </c>
      <c r="E4746" s="497">
        <f t="shared" si="283"/>
        <v>4</v>
      </c>
      <c r="F4746" s="497">
        <f t="shared" ca="1" si="284"/>
        <v>81</v>
      </c>
      <c r="G4746" s="497" t="s">
        <v>10059</v>
      </c>
      <c r="H4746" s="503"/>
      <c r="I4746" s="503"/>
      <c r="J4746" s="503"/>
      <c r="K4746" s="503"/>
      <c r="L4746" s="497"/>
      <c r="M4746" s="497"/>
      <c r="N4746" s="497"/>
      <c r="O4746" s="497"/>
      <c r="P4746" s="497">
        <f t="shared" si="285"/>
        <v>436</v>
      </c>
      <c r="Q4746" s="497" t="b">
        <v>0</v>
      </c>
    </row>
    <row r="4747" spans="1:17" x14ac:dyDescent="0.35">
      <c r="A4747" s="497" t="b">
        <v>0</v>
      </c>
      <c r="B4747" s="497" t="s">
        <v>10671</v>
      </c>
      <c r="C4747" s="512">
        <v>73</v>
      </c>
      <c r="D4747" s="497">
        <f t="shared" si="282"/>
        <v>-43</v>
      </c>
      <c r="E4747" s="497">
        <f t="shared" si="283"/>
        <v>5</v>
      </c>
      <c r="F4747" s="497">
        <f t="shared" ca="1" si="284"/>
        <v>81</v>
      </c>
      <c r="G4747" s="497" t="s">
        <v>10059</v>
      </c>
      <c r="H4747" s="503"/>
      <c r="I4747" s="503"/>
      <c r="J4747" s="503"/>
      <c r="K4747" s="503"/>
      <c r="L4747" s="497"/>
      <c r="M4747" s="497"/>
      <c r="N4747" s="497"/>
      <c r="O4747" s="497"/>
      <c r="P4747" s="497">
        <f t="shared" si="285"/>
        <v>437</v>
      </c>
      <c r="Q4747" s="497" t="b">
        <v>0</v>
      </c>
    </row>
    <row r="4748" spans="1:17" x14ac:dyDescent="0.35">
      <c r="A4748" s="497" t="b">
        <v>0</v>
      </c>
      <c r="B4748" s="497" t="s">
        <v>10672</v>
      </c>
      <c r="C4748" s="512">
        <v>73</v>
      </c>
      <c r="D4748" s="497">
        <f t="shared" si="282"/>
        <v>-42</v>
      </c>
      <c r="E4748" s="497">
        <f t="shared" si="283"/>
        <v>6</v>
      </c>
      <c r="F4748" s="497">
        <f t="shared" ca="1" si="284"/>
        <v>81</v>
      </c>
      <c r="G4748" s="497" t="s">
        <v>10059</v>
      </c>
      <c r="H4748" s="503"/>
      <c r="I4748" s="503"/>
      <c r="J4748" s="503"/>
      <c r="K4748" s="503"/>
      <c r="L4748" s="497"/>
      <c r="M4748" s="497"/>
      <c r="N4748" s="497"/>
      <c r="O4748" s="497"/>
      <c r="P4748" s="497">
        <f t="shared" si="285"/>
        <v>438</v>
      </c>
      <c r="Q4748" s="497" t="b">
        <v>0</v>
      </c>
    </row>
    <row r="4749" spans="1:17" x14ac:dyDescent="0.35">
      <c r="A4749" s="497" t="b">
        <v>0</v>
      </c>
      <c r="B4749" s="497" t="s">
        <v>10673</v>
      </c>
      <c r="C4749" s="512">
        <v>74</v>
      </c>
      <c r="D4749" s="497">
        <f t="shared" si="282"/>
        <v>-41</v>
      </c>
      <c r="E4749" s="497">
        <f t="shared" si="283"/>
        <v>1</v>
      </c>
      <c r="F4749" s="497">
        <f t="shared" ca="1" si="284"/>
        <v>82</v>
      </c>
      <c r="G4749" s="497" t="s">
        <v>10061</v>
      </c>
      <c r="H4749" s="503"/>
      <c r="I4749" s="503"/>
      <c r="J4749" s="503"/>
      <c r="K4749" s="503"/>
      <c r="L4749" s="497"/>
      <c r="M4749" s="497"/>
      <c r="N4749" s="497"/>
      <c r="O4749" s="497"/>
      <c r="P4749" s="497">
        <f t="shared" si="285"/>
        <v>439</v>
      </c>
      <c r="Q4749" s="497" t="b">
        <v>0</v>
      </c>
    </row>
    <row r="4750" spans="1:17" x14ac:dyDescent="0.35">
      <c r="A4750" s="497" t="b">
        <v>0</v>
      </c>
      <c r="B4750" s="497" t="s">
        <v>10674</v>
      </c>
      <c r="C4750" s="512">
        <v>74</v>
      </c>
      <c r="D4750" s="497">
        <f t="shared" si="282"/>
        <v>-40</v>
      </c>
      <c r="E4750" s="497">
        <f t="shared" si="283"/>
        <v>2</v>
      </c>
      <c r="F4750" s="497">
        <f t="shared" ca="1" si="284"/>
        <v>82</v>
      </c>
      <c r="G4750" s="497" t="s">
        <v>10061</v>
      </c>
      <c r="H4750" s="503"/>
      <c r="I4750" s="503"/>
      <c r="J4750" s="503"/>
      <c r="K4750" s="503"/>
      <c r="L4750" s="497"/>
      <c r="M4750" s="497"/>
      <c r="N4750" s="497"/>
      <c r="O4750" s="497"/>
      <c r="P4750" s="497">
        <f t="shared" si="285"/>
        <v>440</v>
      </c>
      <c r="Q4750" s="497" t="b">
        <v>0</v>
      </c>
    </row>
    <row r="4751" spans="1:17" x14ac:dyDescent="0.35">
      <c r="A4751" s="497" t="b">
        <v>0</v>
      </c>
      <c r="B4751" s="497" t="s">
        <v>10675</v>
      </c>
      <c r="C4751" s="512">
        <v>74</v>
      </c>
      <c r="D4751" s="497">
        <f t="shared" si="282"/>
        <v>-39</v>
      </c>
      <c r="E4751" s="497">
        <f t="shared" si="283"/>
        <v>3</v>
      </c>
      <c r="F4751" s="497">
        <f t="shared" ca="1" si="284"/>
        <v>82</v>
      </c>
      <c r="G4751" s="497" t="s">
        <v>10061</v>
      </c>
      <c r="H4751" s="503"/>
      <c r="I4751" s="503"/>
      <c r="J4751" s="503"/>
      <c r="K4751" s="503"/>
      <c r="L4751" s="497"/>
      <c r="M4751" s="497"/>
      <c r="N4751" s="497"/>
      <c r="O4751" s="497"/>
      <c r="P4751" s="497">
        <f t="shared" si="285"/>
        <v>441</v>
      </c>
      <c r="Q4751" s="497" t="b">
        <v>0</v>
      </c>
    </row>
    <row r="4752" spans="1:17" x14ac:dyDescent="0.35">
      <c r="A4752" s="497" t="b">
        <v>0</v>
      </c>
      <c r="B4752" s="497" t="s">
        <v>10676</v>
      </c>
      <c r="C4752" s="512">
        <v>74</v>
      </c>
      <c r="D4752" s="497">
        <f t="shared" si="282"/>
        <v>-38</v>
      </c>
      <c r="E4752" s="497">
        <f t="shared" si="283"/>
        <v>4</v>
      </c>
      <c r="F4752" s="497">
        <f t="shared" ca="1" si="284"/>
        <v>82</v>
      </c>
      <c r="G4752" s="497" t="s">
        <v>10061</v>
      </c>
      <c r="H4752" s="503"/>
      <c r="I4752" s="503"/>
      <c r="J4752" s="503"/>
      <c r="K4752" s="503"/>
      <c r="L4752" s="497"/>
      <c r="M4752" s="497"/>
      <c r="N4752" s="497"/>
      <c r="O4752" s="497"/>
      <c r="P4752" s="497">
        <f t="shared" si="285"/>
        <v>442</v>
      </c>
      <c r="Q4752" s="497" t="b">
        <v>0</v>
      </c>
    </row>
    <row r="4753" spans="1:17" x14ac:dyDescent="0.35">
      <c r="A4753" s="497" t="b">
        <v>0</v>
      </c>
      <c r="B4753" s="497" t="s">
        <v>10677</v>
      </c>
      <c r="C4753" s="512">
        <v>74</v>
      </c>
      <c r="D4753" s="497">
        <f t="shared" si="282"/>
        <v>-37</v>
      </c>
      <c r="E4753" s="497">
        <f t="shared" si="283"/>
        <v>5</v>
      </c>
      <c r="F4753" s="497">
        <f t="shared" ca="1" si="284"/>
        <v>82</v>
      </c>
      <c r="G4753" s="497" t="s">
        <v>10061</v>
      </c>
      <c r="H4753" s="503"/>
      <c r="I4753" s="503"/>
      <c r="J4753" s="503"/>
      <c r="K4753" s="503"/>
      <c r="L4753" s="497"/>
      <c r="M4753" s="497"/>
      <c r="N4753" s="497"/>
      <c r="O4753" s="497"/>
      <c r="P4753" s="497">
        <f t="shared" si="285"/>
        <v>443</v>
      </c>
      <c r="Q4753" s="497" t="b">
        <v>0</v>
      </c>
    </row>
    <row r="4754" spans="1:17" x14ac:dyDescent="0.35">
      <c r="A4754" s="497" t="b">
        <v>0</v>
      </c>
      <c r="B4754" s="497" t="s">
        <v>10678</v>
      </c>
      <c r="C4754" s="512">
        <v>74</v>
      </c>
      <c r="D4754" s="497">
        <f t="shared" si="282"/>
        <v>-36</v>
      </c>
      <c r="E4754" s="497">
        <f t="shared" si="283"/>
        <v>6</v>
      </c>
      <c r="F4754" s="497">
        <f t="shared" ca="1" si="284"/>
        <v>82</v>
      </c>
      <c r="G4754" s="497" t="s">
        <v>10061</v>
      </c>
      <c r="H4754" s="503"/>
      <c r="I4754" s="503"/>
      <c r="J4754" s="503"/>
      <c r="K4754" s="503"/>
      <c r="L4754" s="497"/>
      <c r="M4754" s="497"/>
      <c r="N4754" s="497"/>
      <c r="O4754" s="497"/>
      <c r="P4754" s="497">
        <f t="shared" si="285"/>
        <v>444</v>
      </c>
      <c r="Q4754" s="497" t="b">
        <v>0</v>
      </c>
    </row>
    <row r="4755" spans="1:17" x14ac:dyDescent="0.35">
      <c r="A4755" s="497" t="b">
        <v>0</v>
      </c>
      <c r="B4755" s="497" t="s">
        <v>10679</v>
      </c>
      <c r="C4755" s="512">
        <v>75</v>
      </c>
      <c r="D4755" s="497">
        <f t="shared" si="282"/>
        <v>-35</v>
      </c>
      <c r="E4755" s="497">
        <f t="shared" si="283"/>
        <v>1</v>
      </c>
      <c r="F4755" s="497">
        <f t="shared" ca="1" si="284"/>
        <v>83</v>
      </c>
      <c r="G4755" s="497" t="s">
        <v>10063</v>
      </c>
      <c r="H4755" s="503"/>
      <c r="I4755" s="503"/>
      <c r="J4755" s="503"/>
      <c r="K4755" s="503"/>
      <c r="L4755" s="497"/>
      <c r="M4755" s="497"/>
      <c r="N4755" s="497"/>
      <c r="O4755" s="497"/>
      <c r="P4755" s="497">
        <f t="shared" si="285"/>
        <v>445</v>
      </c>
      <c r="Q4755" s="497" t="b">
        <v>0</v>
      </c>
    </row>
    <row r="4756" spans="1:17" x14ac:dyDescent="0.35">
      <c r="A4756" s="497" t="b">
        <v>0</v>
      </c>
      <c r="B4756" s="497" t="s">
        <v>10680</v>
      </c>
      <c r="C4756" s="512">
        <v>75</v>
      </c>
      <c r="D4756" s="497">
        <f t="shared" si="282"/>
        <v>-34</v>
      </c>
      <c r="E4756" s="497">
        <f t="shared" si="283"/>
        <v>2</v>
      </c>
      <c r="F4756" s="497">
        <f t="shared" ca="1" si="284"/>
        <v>83</v>
      </c>
      <c r="G4756" s="497" t="s">
        <v>10063</v>
      </c>
      <c r="H4756" s="503"/>
      <c r="I4756" s="503"/>
      <c r="J4756" s="503"/>
      <c r="K4756" s="503"/>
      <c r="L4756" s="497"/>
      <c r="M4756" s="497"/>
      <c r="N4756" s="497"/>
      <c r="O4756" s="497"/>
      <c r="P4756" s="497">
        <f t="shared" si="285"/>
        <v>446</v>
      </c>
      <c r="Q4756" s="497" t="b">
        <v>0</v>
      </c>
    </row>
    <row r="4757" spans="1:17" x14ac:dyDescent="0.35">
      <c r="A4757" s="497" t="b">
        <v>0</v>
      </c>
      <c r="B4757" s="497" t="s">
        <v>10681</v>
      </c>
      <c r="C4757" s="512">
        <v>75</v>
      </c>
      <c r="D4757" s="497">
        <f t="shared" si="282"/>
        <v>-33</v>
      </c>
      <c r="E4757" s="497">
        <f t="shared" si="283"/>
        <v>3</v>
      </c>
      <c r="F4757" s="497">
        <f t="shared" ca="1" si="284"/>
        <v>83</v>
      </c>
      <c r="G4757" s="497" t="s">
        <v>10063</v>
      </c>
      <c r="H4757" s="503"/>
      <c r="I4757" s="503"/>
      <c r="J4757" s="503"/>
      <c r="K4757" s="503"/>
      <c r="L4757" s="497"/>
      <c r="M4757" s="497"/>
      <c r="N4757" s="497"/>
      <c r="O4757" s="497"/>
      <c r="P4757" s="497">
        <f t="shared" si="285"/>
        <v>447</v>
      </c>
      <c r="Q4757" s="497" t="b">
        <v>0</v>
      </c>
    </row>
    <row r="4758" spans="1:17" x14ac:dyDescent="0.35">
      <c r="A4758" s="497" t="b">
        <v>0</v>
      </c>
      <c r="B4758" s="497" t="s">
        <v>10682</v>
      </c>
      <c r="C4758" s="512">
        <v>75</v>
      </c>
      <c r="D4758" s="497">
        <f t="shared" si="282"/>
        <v>-32</v>
      </c>
      <c r="E4758" s="497">
        <f t="shared" si="283"/>
        <v>4</v>
      </c>
      <c r="F4758" s="497">
        <f t="shared" ca="1" si="284"/>
        <v>83</v>
      </c>
      <c r="G4758" s="497" t="s">
        <v>10063</v>
      </c>
      <c r="H4758" s="503"/>
      <c r="I4758" s="503"/>
      <c r="J4758" s="503"/>
      <c r="K4758" s="503"/>
      <c r="L4758" s="497"/>
      <c r="M4758" s="497"/>
      <c r="N4758" s="497"/>
      <c r="O4758" s="497"/>
      <c r="P4758" s="497">
        <f t="shared" si="285"/>
        <v>448</v>
      </c>
      <c r="Q4758" s="497" t="b">
        <v>0</v>
      </c>
    </row>
    <row r="4759" spans="1:17" x14ac:dyDescent="0.35">
      <c r="A4759" s="497" t="b">
        <v>0</v>
      </c>
      <c r="B4759" s="497" t="s">
        <v>10683</v>
      </c>
      <c r="C4759" s="512">
        <v>75</v>
      </c>
      <c r="D4759" s="497">
        <f t="shared" ref="D4759:D4822" si="286">D4758+1</f>
        <v>-31</v>
      </c>
      <c r="E4759" s="497">
        <f t="shared" ref="E4759:E4822" si="287">COUNTIF(C4509:C4759,C4759)</f>
        <v>5</v>
      </c>
      <c r="F4759" s="497">
        <f t="shared" ref="F4759:F4822" ca="1" si="288">IF(C4759=1,9,IF(E4758=MAX(E4757:E4759),F4757+1,F4758))</f>
        <v>83</v>
      </c>
      <c r="G4759" s="497" t="s">
        <v>10063</v>
      </c>
      <c r="H4759" s="503"/>
      <c r="I4759" s="503"/>
      <c r="J4759" s="503"/>
      <c r="K4759" s="503"/>
      <c r="L4759" s="497"/>
      <c r="M4759" s="497"/>
      <c r="N4759" s="497"/>
      <c r="O4759" s="497"/>
      <c r="P4759" s="497">
        <f t="shared" ref="P4759:P4822" si="289">IF(NOT(_xlfn.ISFORMULA(I4759)),P4758+1,0)</f>
        <v>449</v>
      </c>
      <c r="Q4759" s="497" t="b">
        <v>0</v>
      </c>
    </row>
    <row r="4760" spans="1:17" x14ac:dyDescent="0.35">
      <c r="A4760" s="497" t="b">
        <v>0</v>
      </c>
      <c r="B4760" s="497" t="s">
        <v>10684</v>
      </c>
      <c r="C4760" s="512">
        <v>75</v>
      </c>
      <c r="D4760" s="497">
        <f t="shared" si="286"/>
        <v>-30</v>
      </c>
      <c r="E4760" s="497">
        <f t="shared" si="287"/>
        <v>6</v>
      </c>
      <c r="F4760" s="497">
        <f t="shared" ca="1" si="288"/>
        <v>83</v>
      </c>
      <c r="G4760" s="497" t="s">
        <v>10063</v>
      </c>
      <c r="H4760" s="503"/>
      <c r="I4760" s="503"/>
      <c r="J4760" s="503"/>
      <c r="K4760" s="503"/>
      <c r="L4760" s="497"/>
      <c r="M4760" s="497"/>
      <c r="N4760" s="497"/>
      <c r="O4760" s="497"/>
      <c r="P4760" s="497">
        <f t="shared" si="289"/>
        <v>450</v>
      </c>
      <c r="Q4760" s="497" t="b">
        <v>0</v>
      </c>
    </row>
    <row r="4761" spans="1:17" x14ac:dyDescent="0.35">
      <c r="A4761" s="497" t="b">
        <v>0</v>
      </c>
      <c r="B4761" s="497" t="s">
        <v>10685</v>
      </c>
      <c r="C4761" s="512">
        <v>76</v>
      </c>
      <c r="D4761" s="497">
        <f t="shared" si="286"/>
        <v>-29</v>
      </c>
      <c r="E4761" s="497">
        <f t="shared" si="287"/>
        <v>1</v>
      </c>
      <c r="F4761" s="497">
        <f t="shared" ca="1" si="288"/>
        <v>84</v>
      </c>
      <c r="G4761" s="497" t="s">
        <v>10065</v>
      </c>
      <c r="H4761" s="503"/>
      <c r="I4761" s="503"/>
      <c r="J4761" s="503"/>
      <c r="K4761" s="503"/>
      <c r="L4761" s="497"/>
      <c r="M4761" s="497"/>
      <c r="N4761" s="497"/>
      <c r="O4761" s="497"/>
      <c r="P4761" s="497">
        <f t="shared" si="289"/>
        <v>451</v>
      </c>
      <c r="Q4761" s="497" t="b">
        <v>0</v>
      </c>
    </row>
    <row r="4762" spans="1:17" x14ac:dyDescent="0.35">
      <c r="A4762" s="497" t="b">
        <v>0</v>
      </c>
      <c r="B4762" s="497" t="s">
        <v>10686</v>
      </c>
      <c r="C4762" s="512">
        <v>76</v>
      </c>
      <c r="D4762" s="497">
        <f t="shared" si="286"/>
        <v>-28</v>
      </c>
      <c r="E4762" s="497">
        <f t="shared" si="287"/>
        <v>2</v>
      </c>
      <c r="F4762" s="497">
        <f t="shared" ca="1" si="288"/>
        <v>84</v>
      </c>
      <c r="G4762" s="497" t="s">
        <v>10065</v>
      </c>
      <c r="H4762" s="503"/>
      <c r="I4762" s="503"/>
      <c r="J4762" s="503"/>
      <c r="K4762" s="503"/>
      <c r="L4762" s="497"/>
      <c r="M4762" s="497"/>
      <c r="N4762" s="497"/>
      <c r="O4762" s="497"/>
      <c r="P4762" s="497">
        <f t="shared" si="289"/>
        <v>452</v>
      </c>
      <c r="Q4762" s="497" t="b">
        <v>0</v>
      </c>
    </row>
    <row r="4763" spans="1:17" x14ac:dyDescent="0.35">
      <c r="A4763" s="497" t="b">
        <v>0</v>
      </c>
      <c r="B4763" s="497" t="s">
        <v>10687</v>
      </c>
      <c r="C4763" s="512">
        <v>76</v>
      </c>
      <c r="D4763" s="497">
        <f t="shared" si="286"/>
        <v>-27</v>
      </c>
      <c r="E4763" s="497">
        <f t="shared" si="287"/>
        <v>3</v>
      </c>
      <c r="F4763" s="497">
        <f t="shared" ca="1" si="288"/>
        <v>84</v>
      </c>
      <c r="G4763" s="497" t="s">
        <v>10065</v>
      </c>
      <c r="H4763" s="503"/>
      <c r="I4763" s="503"/>
      <c r="J4763" s="503"/>
      <c r="K4763" s="503"/>
      <c r="L4763" s="497"/>
      <c r="M4763" s="497"/>
      <c r="N4763" s="497"/>
      <c r="O4763" s="497"/>
      <c r="P4763" s="497">
        <f t="shared" si="289"/>
        <v>453</v>
      </c>
      <c r="Q4763" s="497" t="b">
        <v>0</v>
      </c>
    </row>
    <row r="4764" spans="1:17" x14ac:dyDescent="0.35">
      <c r="A4764" s="497" t="b">
        <v>0</v>
      </c>
      <c r="B4764" s="497" t="s">
        <v>10688</v>
      </c>
      <c r="C4764" s="512">
        <v>76</v>
      </c>
      <c r="D4764" s="497">
        <f t="shared" si="286"/>
        <v>-26</v>
      </c>
      <c r="E4764" s="497">
        <f t="shared" si="287"/>
        <v>4</v>
      </c>
      <c r="F4764" s="497">
        <f t="shared" ca="1" si="288"/>
        <v>84</v>
      </c>
      <c r="G4764" s="497" t="s">
        <v>10065</v>
      </c>
      <c r="H4764" s="503"/>
      <c r="I4764" s="503"/>
      <c r="J4764" s="503"/>
      <c r="K4764" s="503"/>
      <c r="L4764" s="497"/>
      <c r="M4764" s="497"/>
      <c r="N4764" s="497"/>
      <c r="O4764" s="497"/>
      <c r="P4764" s="497">
        <f t="shared" si="289"/>
        <v>454</v>
      </c>
      <c r="Q4764" s="497" t="b">
        <v>0</v>
      </c>
    </row>
    <row r="4765" spans="1:17" x14ac:dyDescent="0.35">
      <c r="A4765" s="497" t="b">
        <v>0</v>
      </c>
      <c r="B4765" s="497" t="s">
        <v>10689</v>
      </c>
      <c r="C4765" s="512">
        <v>76</v>
      </c>
      <c r="D4765" s="497">
        <f t="shared" si="286"/>
        <v>-25</v>
      </c>
      <c r="E4765" s="497">
        <f t="shared" si="287"/>
        <v>5</v>
      </c>
      <c r="F4765" s="497">
        <f t="shared" ca="1" si="288"/>
        <v>84</v>
      </c>
      <c r="G4765" s="497" t="s">
        <v>10065</v>
      </c>
      <c r="H4765" s="503"/>
      <c r="I4765" s="503"/>
      <c r="J4765" s="503"/>
      <c r="K4765" s="503"/>
      <c r="L4765" s="497"/>
      <c r="M4765" s="497"/>
      <c r="N4765" s="497"/>
      <c r="O4765" s="497"/>
      <c r="P4765" s="497">
        <f t="shared" si="289"/>
        <v>455</v>
      </c>
      <c r="Q4765" s="497" t="b">
        <v>0</v>
      </c>
    </row>
    <row r="4766" spans="1:17" x14ac:dyDescent="0.35">
      <c r="A4766" s="497" t="b">
        <v>0</v>
      </c>
      <c r="B4766" s="497" t="s">
        <v>10690</v>
      </c>
      <c r="C4766" s="512">
        <v>76</v>
      </c>
      <c r="D4766" s="497">
        <f t="shared" si="286"/>
        <v>-24</v>
      </c>
      <c r="E4766" s="497">
        <f t="shared" si="287"/>
        <v>6</v>
      </c>
      <c r="F4766" s="497">
        <f t="shared" ca="1" si="288"/>
        <v>84</v>
      </c>
      <c r="G4766" s="497" t="s">
        <v>10065</v>
      </c>
      <c r="H4766" s="503"/>
      <c r="I4766" s="503"/>
      <c r="J4766" s="503"/>
      <c r="K4766" s="503"/>
      <c r="L4766" s="497"/>
      <c r="M4766" s="497"/>
      <c r="N4766" s="497"/>
      <c r="O4766" s="497"/>
      <c r="P4766" s="497">
        <f t="shared" si="289"/>
        <v>456</v>
      </c>
      <c r="Q4766" s="497" t="b">
        <v>0</v>
      </c>
    </row>
    <row r="4767" spans="1:17" x14ac:dyDescent="0.35">
      <c r="A4767" s="497" t="b">
        <v>0</v>
      </c>
      <c r="B4767" s="497" t="s">
        <v>10691</v>
      </c>
      <c r="C4767" s="512">
        <v>77</v>
      </c>
      <c r="D4767" s="497">
        <f t="shared" si="286"/>
        <v>-23</v>
      </c>
      <c r="E4767" s="497">
        <f t="shared" si="287"/>
        <v>1</v>
      </c>
      <c r="F4767" s="497">
        <f t="shared" ca="1" si="288"/>
        <v>85</v>
      </c>
      <c r="G4767" s="497" t="s">
        <v>10067</v>
      </c>
      <c r="H4767" s="503"/>
      <c r="I4767" s="503"/>
      <c r="J4767" s="503"/>
      <c r="K4767" s="503"/>
      <c r="L4767" s="497"/>
      <c r="M4767" s="497"/>
      <c r="N4767" s="497"/>
      <c r="O4767" s="497"/>
      <c r="P4767" s="497">
        <f t="shared" si="289"/>
        <v>457</v>
      </c>
      <c r="Q4767" s="497" t="b">
        <v>0</v>
      </c>
    </row>
    <row r="4768" spans="1:17" x14ac:dyDescent="0.35">
      <c r="A4768" s="497" t="b">
        <v>0</v>
      </c>
      <c r="B4768" s="497" t="s">
        <v>10692</v>
      </c>
      <c r="C4768" s="512">
        <v>77</v>
      </c>
      <c r="D4768" s="497">
        <f t="shared" si="286"/>
        <v>-22</v>
      </c>
      <c r="E4768" s="497">
        <f t="shared" si="287"/>
        <v>2</v>
      </c>
      <c r="F4768" s="497">
        <f t="shared" ca="1" si="288"/>
        <v>85</v>
      </c>
      <c r="G4768" s="497" t="s">
        <v>10067</v>
      </c>
      <c r="H4768" s="503"/>
      <c r="I4768" s="503"/>
      <c r="J4768" s="503"/>
      <c r="K4768" s="503"/>
      <c r="L4768" s="497"/>
      <c r="M4768" s="497"/>
      <c r="N4768" s="497"/>
      <c r="O4768" s="497"/>
      <c r="P4768" s="497">
        <f t="shared" si="289"/>
        <v>458</v>
      </c>
      <c r="Q4768" s="497" t="b">
        <v>0</v>
      </c>
    </row>
    <row r="4769" spans="1:17" x14ac:dyDescent="0.35">
      <c r="A4769" s="497" t="b">
        <v>0</v>
      </c>
      <c r="B4769" s="497" t="s">
        <v>10693</v>
      </c>
      <c r="C4769" s="512">
        <v>77</v>
      </c>
      <c r="D4769" s="497">
        <f t="shared" si="286"/>
        <v>-21</v>
      </c>
      <c r="E4769" s="497">
        <f t="shared" si="287"/>
        <v>3</v>
      </c>
      <c r="F4769" s="497">
        <f t="shared" ca="1" si="288"/>
        <v>85</v>
      </c>
      <c r="G4769" s="497" t="s">
        <v>10067</v>
      </c>
      <c r="H4769" s="503"/>
      <c r="I4769" s="503"/>
      <c r="J4769" s="503"/>
      <c r="K4769" s="503"/>
      <c r="L4769" s="497"/>
      <c r="M4769" s="497"/>
      <c r="N4769" s="497"/>
      <c r="O4769" s="497"/>
      <c r="P4769" s="497">
        <f t="shared" si="289"/>
        <v>459</v>
      </c>
      <c r="Q4769" s="497" t="b">
        <v>0</v>
      </c>
    </row>
    <row r="4770" spans="1:17" x14ac:dyDescent="0.35">
      <c r="A4770" s="497" t="b">
        <v>0</v>
      </c>
      <c r="B4770" s="497" t="s">
        <v>10694</v>
      </c>
      <c r="C4770" s="512">
        <v>77</v>
      </c>
      <c r="D4770" s="497">
        <f t="shared" si="286"/>
        <v>-20</v>
      </c>
      <c r="E4770" s="497">
        <f t="shared" si="287"/>
        <v>4</v>
      </c>
      <c r="F4770" s="497">
        <f t="shared" ca="1" si="288"/>
        <v>85</v>
      </c>
      <c r="G4770" s="497" t="s">
        <v>10067</v>
      </c>
      <c r="H4770" s="503"/>
      <c r="I4770" s="503"/>
      <c r="J4770" s="503"/>
      <c r="K4770" s="503"/>
      <c r="L4770" s="497"/>
      <c r="M4770" s="497"/>
      <c r="N4770" s="497"/>
      <c r="O4770" s="497"/>
      <c r="P4770" s="497">
        <f t="shared" si="289"/>
        <v>460</v>
      </c>
      <c r="Q4770" s="497" t="b">
        <v>0</v>
      </c>
    </row>
    <row r="4771" spans="1:17" x14ac:dyDescent="0.35">
      <c r="A4771" s="497" t="b">
        <v>0</v>
      </c>
      <c r="B4771" s="497" t="s">
        <v>10695</v>
      </c>
      <c r="C4771" s="512">
        <v>77</v>
      </c>
      <c r="D4771" s="497">
        <f t="shared" si="286"/>
        <v>-19</v>
      </c>
      <c r="E4771" s="497">
        <f t="shared" si="287"/>
        <v>5</v>
      </c>
      <c r="F4771" s="497">
        <f t="shared" ca="1" si="288"/>
        <v>85</v>
      </c>
      <c r="G4771" s="497" t="s">
        <v>10067</v>
      </c>
      <c r="H4771" s="503"/>
      <c r="I4771" s="503"/>
      <c r="J4771" s="503"/>
      <c r="K4771" s="503"/>
      <c r="L4771" s="497"/>
      <c r="M4771" s="497"/>
      <c r="N4771" s="497"/>
      <c r="O4771" s="497"/>
      <c r="P4771" s="497">
        <f t="shared" si="289"/>
        <v>461</v>
      </c>
      <c r="Q4771" s="497" t="b">
        <v>0</v>
      </c>
    </row>
    <row r="4772" spans="1:17" x14ac:dyDescent="0.35">
      <c r="A4772" s="497" t="b">
        <v>0</v>
      </c>
      <c r="B4772" s="497" t="s">
        <v>10696</v>
      </c>
      <c r="C4772" s="512">
        <v>77</v>
      </c>
      <c r="D4772" s="497">
        <f t="shared" si="286"/>
        <v>-18</v>
      </c>
      <c r="E4772" s="497">
        <f t="shared" si="287"/>
        <v>6</v>
      </c>
      <c r="F4772" s="497">
        <f t="shared" ca="1" si="288"/>
        <v>85</v>
      </c>
      <c r="G4772" s="497" t="s">
        <v>10067</v>
      </c>
      <c r="H4772" s="503"/>
      <c r="I4772" s="503"/>
      <c r="J4772" s="503"/>
      <c r="K4772" s="503"/>
      <c r="L4772" s="497"/>
      <c r="M4772" s="497"/>
      <c r="N4772" s="497"/>
      <c r="O4772" s="497"/>
      <c r="P4772" s="497">
        <f t="shared" si="289"/>
        <v>462</v>
      </c>
      <c r="Q4772" s="497" t="b">
        <v>0</v>
      </c>
    </row>
    <row r="4773" spans="1:17" x14ac:dyDescent="0.35">
      <c r="A4773" s="497" t="b">
        <v>0</v>
      </c>
      <c r="B4773" s="497" t="s">
        <v>10697</v>
      </c>
      <c r="C4773" s="512">
        <v>78</v>
      </c>
      <c r="D4773" s="497">
        <f t="shared" si="286"/>
        <v>-17</v>
      </c>
      <c r="E4773" s="497">
        <f t="shared" si="287"/>
        <v>1</v>
      </c>
      <c r="F4773" s="497">
        <f t="shared" ca="1" si="288"/>
        <v>86</v>
      </c>
      <c r="G4773" s="497" t="s">
        <v>10069</v>
      </c>
      <c r="H4773" s="503"/>
      <c r="I4773" s="503"/>
      <c r="J4773" s="503"/>
      <c r="K4773" s="503"/>
      <c r="L4773" s="497"/>
      <c r="M4773" s="497"/>
      <c r="N4773" s="497"/>
      <c r="O4773" s="497"/>
      <c r="P4773" s="497">
        <f t="shared" si="289"/>
        <v>463</v>
      </c>
      <c r="Q4773" s="497" t="b">
        <v>0</v>
      </c>
    </row>
    <row r="4774" spans="1:17" x14ac:dyDescent="0.35">
      <c r="A4774" s="497" t="b">
        <v>0</v>
      </c>
      <c r="B4774" s="497" t="s">
        <v>10698</v>
      </c>
      <c r="C4774" s="512">
        <v>78</v>
      </c>
      <c r="D4774" s="497">
        <f t="shared" si="286"/>
        <v>-16</v>
      </c>
      <c r="E4774" s="497">
        <f t="shared" si="287"/>
        <v>2</v>
      </c>
      <c r="F4774" s="497">
        <f t="shared" ca="1" si="288"/>
        <v>86</v>
      </c>
      <c r="G4774" s="497" t="s">
        <v>10069</v>
      </c>
      <c r="H4774" s="503"/>
      <c r="I4774" s="503"/>
      <c r="J4774" s="503"/>
      <c r="K4774" s="503"/>
      <c r="L4774" s="497"/>
      <c r="M4774" s="497"/>
      <c r="N4774" s="497"/>
      <c r="O4774" s="497"/>
      <c r="P4774" s="497">
        <f t="shared" si="289"/>
        <v>464</v>
      </c>
      <c r="Q4774" s="497" t="b">
        <v>0</v>
      </c>
    </row>
    <row r="4775" spans="1:17" x14ac:dyDescent="0.35">
      <c r="A4775" s="497" t="b">
        <v>0</v>
      </c>
      <c r="B4775" s="497" t="s">
        <v>10699</v>
      </c>
      <c r="C4775" s="512">
        <v>78</v>
      </c>
      <c r="D4775" s="497">
        <f t="shared" si="286"/>
        <v>-15</v>
      </c>
      <c r="E4775" s="497">
        <f t="shared" si="287"/>
        <v>3</v>
      </c>
      <c r="F4775" s="497">
        <f t="shared" ca="1" si="288"/>
        <v>86</v>
      </c>
      <c r="G4775" s="497" t="s">
        <v>10069</v>
      </c>
      <c r="H4775" s="503"/>
      <c r="I4775" s="503"/>
      <c r="J4775" s="503"/>
      <c r="K4775" s="503"/>
      <c r="L4775" s="497"/>
      <c r="M4775" s="497"/>
      <c r="N4775" s="497"/>
      <c r="O4775" s="497"/>
      <c r="P4775" s="497">
        <f t="shared" si="289"/>
        <v>465</v>
      </c>
      <c r="Q4775" s="497" t="b">
        <v>0</v>
      </c>
    </row>
    <row r="4776" spans="1:17" x14ac:dyDescent="0.35">
      <c r="A4776" s="497" t="b">
        <v>0</v>
      </c>
      <c r="B4776" s="497" t="s">
        <v>10700</v>
      </c>
      <c r="C4776" s="512">
        <v>78</v>
      </c>
      <c r="D4776" s="497">
        <f t="shared" si="286"/>
        <v>-14</v>
      </c>
      <c r="E4776" s="497">
        <f t="shared" si="287"/>
        <v>4</v>
      </c>
      <c r="F4776" s="497">
        <f t="shared" ca="1" si="288"/>
        <v>86</v>
      </c>
      <c r="G4776" s="497" t="s">
        <v>10069</v>
      </c>
      <c r="H4776" s="503"/>
      <c r="I4776" s="503"/>
      <c r="J4776" s="503"/>
      <c r="K4776" s="503"/>
      <c r="L4776" s="497"/>
      <c r="M4776" s="497"/>
      <c r="N4776" s="497"/>
      <c r="O4776" s="497"/>
      <c r="P4776" s="497">
        <f t="shared" si="289"/>
        <v>466</v>
      </c>
      <c r="Q4776" s="497" t="b">
        <v>0</v>
      </c>
    </row>
    <row r="4777" spans="1:17" x14ac:dyDescent="0.35">
      <c r="A4777" s="497" t="b">
        <v>0</v>
      </c>
      <c r="B4777" s="497" t="s">
        <v>10701</v>
      </c>
      <c r="C4777" s="512">
        <v>78</v>
      </c>
      <c r="D4777" s="497">
        <f t="shared" si="286"/>
        <v>-13</v>
      </c>
      <c r="E4777" s="497">
        <f t="shared" si="287"/>
        <v>5</v>
      </c>
      <c r="F4777" s="497">
        <f t="shared" ca="1" si="288"/>
        <v>86</v>
      </c>
      <c r="G4777" s="497" t="s">
        <v>10069</v>
      </c>
      <c r="H4777" s="503"/>
      <c r="I4777" s="503"/>
      <c r="J4777" s="503"/>
      <c r="K4777" s="503"/>
      <c r="L4777" s="497"/>
      <c r="M4777" s="497"/>
      <c r="N4777" s="497"/>
      <c r="O4777" s="497"/>
      <c r="P4777" s="497">
        <f t="shared" si="289"/>
        <v>467</v>
      </c>
      <c r="Q4777" s="497" t="b">
        <v>0</v>
      </c>
    </row>
    <row r="4778" spans="1:17" x14ac:dyDescent="0.35">
      <c r="A4778" s="497" t="b">
        <v>0</v>
      </c>
      <c r="B4778" s="497" t="s">
        <v>10702</v>
      </c>
      <c r="C4778" s="512">
        <v>78</v>
      </c>
      <c r="D4778" s="497">
        <f t="shared" si="286"/>
        <v>-12</v>
      </c>
      <c r="E4778" s="497">
        <f t="shared" si="287"/>
        <v>6</v>
      </c>
      <c r="F4778" s="497">
        <f t="shared" ca="1" si="288"/>
        <v>86</v>
      </c>
      <c r="G4778" s="497" t="s">
        <v>10069</v>
      </c>
      <c r="H4778" s="503"/>
      <c r="I4778" s="503"/>
      <c r="J4778" s="503"/>
      <c r="K4778" s="503"/>
      <c r="L4778" s="497"/>
      <c r="M4778" s="497"/>
      <c r="N4778" s="497"/>
      <c r="O4778" s="497"/>
      <c r="P4778" s="497">
        <f t="shared" si="289"/>
        <v>468</v>
      </c>
      <c r="Q4778" s="497" t="b">
        <v>0</v>
      </c>
    </row>
    <row r="4779" spans="1:17" x14ac:dyDescent="0.35">
      <c r="A4779" s="497" t="b">
        <v>0</v>
      </c>
      <c r="B4779" s="497" t="s">
        <v>10703</v>
      </c>
      <c r="C4779" s="512">
        <v>79</v>
      </c>
      <c r="D4779" s="497">
        <f t="shared" si="286"/>
        <v>-11</v>
      </c>
      <c r="E4779" s="497">
        <f t="shared" si="287"/>
        <v>1</v>
      </c>
      <c r="F4779" s="497">
        <f t="shared" ca="1" si="288"/>
        <v>87</v>
      </c>
      <c r="G4779" s="497" t="s">
        <v>10071</v>
      </c>
      <c r="H4779" s="503"/>
      <c r="I4779" s="503"/>
      <c r="J4779" s="503"/>
      <c r="K4779" s="503"/>
      <c r="L4779" s="497"/>
      <c r="M4779" s="497"/>
      <c r="N4779" s="497"/>
      <c r="O4779" s="497"/>
      <c r="P4779" s="497">
        <f t="shared" si="289"/>
        <v>469</v>
      </c>
      <c r="Q4779" s="497" t="b">
        <v>0</v>
      </c>
    </row>
    <row r="4780" spans="1:17" x14ac:dyDescent="0.35">
      <c r="A4780" s="497" t="b">
        <v>0</v>
      </c>
      <c r="B4780" s="497" t="s">
        <v>10704</v>
      </c>
      <c r="C4780" s="512">
        <v>79</v>
      </c>
      <c r="D4780" s="497">
        <f t="shared" si="286"/>
        <v>-10</v>
      </c>
      <c r="E4780" s="497">
        <f t="shared" si="287"/>
        <v>2</v>
      </c>
      <c r="F4780" s="497">
        <f t="shared" ca="1" si="288"/>
        <v>87</v>
      </c>
      <c r="G4780" s="497" t="s">
        <v>10071</v>
      </c>
      <c r="H4780" s="503"/>
      <c r="I4780" s="503"/>
      <c r="J4780" s="503"/>
      <c r="K4780" s="503"/>
      <c r="L4780" s="497"/>
      <c r="M4780" s="497"/>
      <c r="N4780" s="497"/>
      <c r="O4780" s="497"/>
      <c r="P4780" s="497">
        <f t="shared" si="289"/>
        <v>470</v>
      </c>
      <c r="Q4780" s="497" t="b">
        <v>0</v>
      </c>
    </row>
    <row r="4781" spans="1:17" x14ac:dyDescent="0.35">
      <c r="A4781" s="497" t="b">
        <v>0</v>
      </c>
      <c r="B4781" s="497" t="s">
        <v>10705</v>
      </c>
      <c r="C4781" s="512">
        <v>79</v>
      </c>
      <c r="D4781" s="497">
        <f t="shared" si="286"/>
        <v>-9</v>
      </c>
      <c r="E4781" s="497">
        <f t="shared" si="287"/>
        <v>3</v>
      </c>
      <c r="F4781" s="497">
        <f t="shared" ca="1" si="288"/>
        <v>87</v>
      </c>
      <c r="G4781" s="497" t="s">
        <v>10071</v>
      </c>
      <c r="H4781" s="503"/>
      <c r="I4781" s="503"/>
      <c r="J4781" s="503"/>
      <c r="K4781" s="503"/>
      <c r="L4781" s="497"/>
      <c r="M4781" s="497"/>
      <c r="N4781" s="497"/>
      <c r="O4781" s="497"/>
      <c r="P4781" s="497">
        <f t="shared" si="289"/>
        <v>471</v>
      </c>
      <c r="Q4781" s="497" t="b">
        <v>0</v>
      </c>
    </row>
    <row r="4782" spans="1:17" x14ac:dyDescent="0.35">
      <c r="A4782" s="497" t="b">
        <v>0</v>
      </c>
      <c r="B4782" s="497" t="s">
        <v>10706</v>
      </c>
      <c r="C4782" s="512">
        <v>79</v>
      </c>
      <c r="D4782" s="497">
        <f t="shared" si="286"/>
        <v>-8</v>
      </c>
      <c r="E4782" s="497">
        <f t="shared" si="287"/>
        <v>4</v>
      </c>
      <c r="F4782" s="497">
        <f t="shared" ca="1" si="288"/>
        <v>87</v>
      </c>
      <c r="G4782" s="497" t="s">
        <v>10071</v>
      </c>
      <c r="H4782" s="503"/>
      <c r="I4782" s="503"/>
      <c r="J4782" s="503"/>
      <c r="K4782" s="503"/>
      <c r="L4782" s="497"/>
      <c r="M4782" s="497"/>
      <c r="N4782" s="497"/>
      <c r="O4782" s="497"/>
      <c r="P4782" s="497">
        <f t="shared" si="289"/>
        <v>472</v>
      </c>
      <c r="Q4782" s="497" t="b">
        <v>0</v>
      </c>
    </row>
    <row r="4783" spans="1:17" x14ac:dyDescent="0.35">
      <c r="A4783" s="497" t="b">
        <v>0</v>
      </c>
      <c r="B4783" s="497" t="s">
        <v>10707</v>
      </c>
      <c r="C4783" s="512">
        <v>79</v>
      </c>
      <c r="D4783" s="497">
        <f t="shared" si="286"/>
        <v>-7</v>
      </c>
      <c r="E4783" s="497">
        <f t="shared" si="287"/>
        <v>5</v>
      </c>
      <c r="F4783" s="497">
        <f t="shared" ca="1" si="288"/>
        <v>87</v>
      </c>
      <c r="G4783" s="497" t="s">
        <v>10071</v>
      </c>
      <c r="H4783" s="503"/>
      <c r="I4783" s="503"/>
      <c r="J4783" s="503"/>
      <c r="K4783" s="503"/>
      <c r="L4783" s="497"/>
      <c r="M4783" s="497"/>
      <c r="N4783" s="497"/>
      <c r="O4783" s="497"/>
      <c r="P4783" s="497">
        <f t="shared" si="289"/>
        <v>473</v>
      </c>
      <c r="Q4783" s="497" t="b">
        <v>0</v>
      </c>
    </row>
    <row r="4784" spans="1:17" x14ac:dyDescent="0.35">
      <c r="A4784" s="497" t="b">
        <v>0</v>
      </c>
      <c r="B4784" s="497" t="s">
        <v>10708</v>
      </c>
      <c r="C4784" s="512">
        <v>79</v>
      </c>
      <c r="D4784" s="497">
        <f t="shared" si="286"/>
        <v>-6</v>
      </c>
      <c r="E4784" s="497">
        <f t="shared" si="287"/>
        <v>6</v>
      </c>
      <c r="F4784" s="497">
        <f t="shared" ca="1" si="288"/>
        <v>87</v>
      </c>
      <c r="G4784" s="497" t="s">
        <v>10071</v>
      </c>
      <c r="H4784" s="503"/>
      <c r="I4784" s="503"/>
      <c r="J4784" s="503"/>
      <c r="K4784" s="503"/>
      <c r="L4784" s="497"/>
      <c r="M4784" s="497"/>
      <c r="N4784" s="497"/>
      <c r="O4784" s="497"/>
      <c r="P4784" s="497">
        <f t="shared" si="289"/>
        <v>474</v>
      </c>
      <c r="Q4784" s="497" t="b">
        <v>0</v>
      </c>
    </row>
    <row r="4785" spans="1:17" x14ac:dyDescent="0.35">
      <c r="A4785" s="497" t="b">
        <v>0</v>
      </c>
      <c r="B4785" s="497" t="s">
        <v>10709</v>
      </c>
      <c r="C4785" s="512">
        <v>80</v>
      </c>
      <c r="D4785" s="497">
        <f t="shared" si="286"/>
        <v>-5</v>
      </c>
      <c r="E4785" s="497">
        <f t="shared" si="287"/>
        <v>1</v>
      </c>
      <c r="F4785" s="497">
        <f t="shared" ca="1" si="288"/>
        <v>88</v>
      </c>
      <c r="G4785" s="497" t="s">
        <v>10073</v>
      </c>
      <c r="H4785" s="503"/>
      <c r="I4785" s="503"/>
      <c r="J4785" s="503"/>
      <c r="K4785" s="503"/>
      <c r="L4785" s="497"/>
      <c r="M4785" s="497"/>
      <c r="N4785" s="497"/>
      <c r="O4785" s="497"/>
      <c r="P4785" s="497">
        <f t="shared" si="289"/>
        <v>475</v>
      </c>
      <c r="Q4785" s="497" t="b">
        <v>0</v>
      </c>
    </row>
    <row r="4786" spans="1:17" x14ac:dyDescent="0.35">
      <c r="A4786" s="497" t="b">
        <v>0</v>
      </c>
      <c r="B4786" s="497" t="s">
        <v>10710</v>
      </c>
      <c r="C4786" s="512">
        <v>80</v>
      </c>
      <c r="D4786" s="497">
        <f t="shared" si="286"/>
        <v>-4</v>
      </c>
      <c r="E4786" s="497">
        <f t="shared" si="287"/>
        <v>2</v>
      </c>
      <c r="F4786" s="497">
        <f t="shared" ca="1" si="288"/>
        <v>88</v>
      </c>
      <c r="G4786" s="497" t="s">
        <v>10073</v>
      </c>
      <c r="H4786" s="503"/>
      <c r="I4786" s="503"/>
      <c r="J4786" s="503"/>
      <c r="K4786" s="503"/>
      <c r="L4786" s="497"/>
      <c r="M4786" s="497"/>
      <c r="N4786" s="497"/>
      <c r="O4786" s="497"/>
      <c r="P4786" s="497">
        <f t="shared" si="289"/>
        <v>476</v>
      </c>
      <c r="Q4786" s="497" t="b">
        <v>0</v>
      </c>
    </row>
    <row r="4787" spans="1:17" x14ac:dyDescent="0.35">
      <c r="A4787" s="497" t="b">
        <v>0</v>
      </c>
      <c r="B4787" s="497" t="s">
        <v>10711</v>
      </c>
      <c r="C4787" s="512">
        <v>80</v>
      </c>
      <c r="D4787" s="497">
        <f t="shared" si="286"/>
        <v>-3</v>
      </c>
      <c r="E4787" s="497">
        <f t="shared" si="287"/>
        <v>3</v>
      </c>
      <c r="F4787" s="497">
        <f t="shared" ca="1" si="288"/>
        <v>88</v>
      </c>
      <c r="G4787" s="497" t="s">
        <v>10073</v>
      </c>
      <c r="H4787" s="503"/>
      <c r="I4787" s="503"/>
      <c r="J4787" s="503"/>
      <c r="K4787" s="503"/>
      <c r="L4787" s="497"/>
      <c r="M4787" s="497"/>
      <c r="N4787" s="497"/>
      <c r="O4787" s="497"/>
      <c r="P4787" s="497">
        <f t="shared" si="289"/>
        <v>477</v>
      </c>
      <c r="Q4787" s="497" t="b">
        <v>0</v>
      </c>
    </row>
    <row r="4788" spans="1:17" x14ac:dyDescent="0.35">
      <c r="A4788" s="497" t="b">
        <v>0</v>
      </c>
      <c r="B4788" s="497" t="s">
        <v>10712</v>
      </c>
      <c r="C4788" s="512">
        <v>80</v>
      </c>
      <c r="D4788" s="497">
        <f t="shared" si="286"/>
        <v>-2</v>
      </c>
      <c r="E4788" s="497">
        <f t="shared" si="287"/>
        <v>4</v>
      </c>
      <c r="F4788" s="497">
        <f t="shared" ca="1" si="288"/>
        <v>88</v>
      </c>
      <c r="G4788" s="497" t="s">
        <v>10073</v>
      </c>
      <c r="H4788" s="503"/>
      <c r="I4788" s="503"/>
      <c r="J4788" s="503"/>
      <c r="K4788" s="503"/>
      <c r="L4788" s="497"/>
      <c r="M4788" s="497"/>
      <c r="N4788" s="497"/>
      <c r="O4788" s="497"/>
      <c r="P4788" s="497">
        <f t="shared" si="289"/>
        <v>478</v>
      </c>
      <c r="Q4788" s="497" t="b">
        <v>0</v>
      </c>
    </row>
    <row r="4789" spans="1:17" x14ac:dyDescent="0.35">
      <c r="A4789" s="497" t="b">
        <v>0</v>
      </c>
      <c r="B4789" s="497" t="s">
        <v>10713</v>
      </c>
      <c r="C4789" s="512">
        <v>80</v>
      </c>
      <c r="D4789" s="497">
        <f t="shared" si="286"/>
        <v>-1</v>
      </c>
      <c r="E4789" s="497">
        <f t="shared" si="287"/>
        <v>5</v>
      </c>
      <c r="F4789" s="497">
        <f t="shared" ca="1" si="288"/>
        <v>88</v>
      </c>
      <c r="G4789" s="497" t="s">
        <v>10073</v>
      </c>
      <c r="H4789" s="503"/>
      <c r="I4789" s="503"/>
      <c r="J4789" s="503"/>
      <c r="K4789" s="503"/>
      <c r="L4789" s="497"/>
      <c r="M4789" s="497"/>
      <c r="N4789" s="497"/>
      <c r="O4789" s="497"/>
      <c r="P4789" s="497">
        <f t="shared" si="289"/>
        <v>479</v>
      </c>
      <c r="Q4789" s="497" t="b">
        <v>0</v>
      </c>
    </row>
    <row r="4790" spans="1:17" x14ac:dyDescent="0.35">
      <c r="A4790" s="497" t="b">
        <v>0</v>
      </c>
      <c r="B4790" s="497" t="s">
        <v>10714</v>
      </c>
      <c r="C4790" s="512">
        <v>80</v>
      </c>
      <c r="D4790" s="497">
        <f t="shared" si="286"/>
        <v>0</v>
      </c>
      <c r="E4790" s="497">
        <f t="shared" si="287"/>
        <v>6</v>
      </c>
      <c r="F4790" s="497">
        <f t="shared" ca="1" si="288"/>
        <v>88</v>
      </c>
      <c r="G4790" s="497" t="s">
        <v>10073</v>
      </c>
      <c r="H4790" s="503"/>
      <c r="I4790" s="503"/>
      <c r="J4790" s="503"/>
      <c r="K4790" s="503"/>
      <c r="L4790" s="497"/>
      <c r="M4790" s="497"/>
      <c r="N4790" s="497"/>
      <c r="O4790" s="497"/>
      <c r="P4790" s="497">
        <f t="shared" si="289"/>
        <v>480</v>
      </c>
      <c r="Q4790" s="497" t="b">
        <v>0</v>
      </c>
    </row>
    <row r="4791" spans="1:17" x14ac:dyDescent="0.35">
      <c r="A4791" s="497" t="b">
        <v>0</v>
      </c>
      <c r="B4791" s="497" t="s">
        <v>10715</v>
      </c>
      <c r="C4791" s="512">
        <v>81</v>
      </c>
      <c r="D4791" s="497">
        <f t="shared" si="286"/>
        <v>1</v>
      </c>
      <c r="E4791" s="497">
        <f t="shared" si="287"/>
        <v>1</v>
      </c>
      <c r="F4791" s="497">
        <f t="shared" ca="1" si="288"/>
        <v>89</v>
      </c>
      <c r="G4791" s="497" t="s">
        <v>10075</v>
      </c>
      <c r="H4791" s="503"/>
      <c r="I4791" s="503"/>
      <c r="J4791" s="503"/>
      <c r="K4791" s="503"/>
      <c r="L4791" s="497"/>
      <c r="M4791" s="497"/>
      <c r="N4791" s="497"/>
      <c r="O4791" s="497"/>
      <c r="P4791" s="497">
        <f t="shared" si="289"/>
        <v>481</v>
      </c>
      <c r="Q4791" s="497" t="b">
        <v>0</v>
      </c>
    </row>
    <row r="4792" spans="1:17" x14ac:dyDescent="0.35">
      <c r="A4792" s="497" t="b">
        <v>0</v>
      </c>
      <c r="B4792" s="497" t="s">
        <v>10716</v>
      </c>
      <c r="C4792" s="512">
        <v>81</v>
      </c>
      <c r="D4792" s="497">
        <f t="shared" si="286"/>
        <v>2</v>
      </c>
      <c r="E4792" s="497">
        <f t="shared" si="287"/>
        <v>2</v>
      </c>
      <c r="F4792" s="497">
        <f t="shared" ca="1" si="288"/>
        <v>89</v>
      </c>
      <c r="G4792" s="497" t="s">
        <v>10075</v>
      </c>
      <c r="H4792" s="503"/>
      <c r="I4792" s="503"/>
      <c r="J4792" s="503"/>
      <c r="K4792" s="503"/>
      <c r="L4792" s="497"/>
      <c r="M4792" s="497"/>
      <c r="N4792" s="497"/>
      <c r="O4792" s="497"/>
      <c r="P4792" s="497">
        <f t="shared" si="289"/>
        <v>482</v>
      </c>
      <c r="Q4792" s="497" t="b">
        <v>0</v>
      </c>
    </row>
    <row r="4793" spans="1:17" x14ac:dyDescent="0.35">
      <c r="A4793" s="497" t="b">
        <v>0</v>
      </c>
      <c r="B4793" s="497" t="s">
        <v>10717</v>
      </c>
      <c r="C4793" s="512">
        <v>81</v>
      </c>
      <c r="D4793" s="497">
        <f t="shared" si="286"/>
        <v>3</v>
      </c>
      <c r="E4793" s="497">
        <f t="shared" si="287"/>
        <v>3</v>
      </c>
      <c r="F4793" s="497">
        <f t="shared" ca="1" si="288"/>
        <v>89</v>
      </c>
      <c r="G4793" s="497" t="s">
        <v>10075</v>
      </c>
      <c r="H4793" s="503"/>
      <c r="I4793" s="503"/>
      <c r="J4793" s="503"/>
      <c r="K4793" s="503"/>
      <c r="L4793" s="497"/>
      <c r="M4793" s="497"/>
      <c r="N4793" s="497"/>
      <c r="O4793" s="497"/>
      <c r="P4793" s="497">
        <f t="shared" si="289"/>
        <v>483</v>
      </c>
      <c r="Q4793" s="497" t="b">
        <v>0</v>
      </c>
    </row>
    <row r="4794" spans="1:17" x14ac:dyDescent="0.35">
      <c r="A4794" s="497" t="b">
        <v>0</v>
      </c>
      <c r="B4794" s="497" t="s">
        <v>10718</v>
      </c>
      <c r="C4794" s="512">
        <v>81</v>
      </c>
      <c r="D4794" s="497">
        <f t="shared" si="286"/>
        <v>4</v>
      </c>
      <c r="E4794" s="497">
        <f t="shared" si="287"/>
        <v>4</v>
      </c>
      <c r="F4794" s="497">
        <f t="shared" ca="1" si="288"/>
        <v>89</v>
      </c>
      <c r="G4794" s="497" t="s">
        <v>10075</v>
      </c>
      <c r="H4794" s="503"/>
      <c r="I4794" s="503"/>
      <c r="J4794" s="503"/>
      <c r="K4794" s="503"/>
      <c r="L4794" s="497"/>
      <c r="M4794" s="497"/>
      <c r="N4794" s="497"/>
      <c r="O4794" s="497"/>
      <c r="P4794" s="497">
        <f t="shared" si="289"/>
        <v>484</v>
      </c>
      <c r="Q4794" s="497" t="b">
        <v>0</v>
      </c>
    </row>
    <row r="4795" spans="1:17" x14ac:dyDescent="0.35">
      <c r="A4795" s="497" t="b">
        <v>0</v>
      </c>
      <c r="B4795" s="497" t="s">
        <v>10719</v>
      </c>
      <c r="C4795" s="512">
        <v>81</v>
      </c>
      <c r="D4795" s="497">
        <f t="shared" si="286"/>
        <v>5</v>
      </c>
      <c r="E4795" s="497">
        <f t="shared" si="287"/>
        <v>5</v>
      </c>
      <c r="F4795" s="497">
        <f t="shared" ca="1" si="288"/>
        <v>89</v>
      </c>
      <c r="G4795" s="497" t="s">
        <v>10075</v>
      </c>
      <c r="H4795" s="503"/>
      <c r="I4795" s="503"/>
      <c r="J4795" s="503"/>
      <c r="K4795" s="503"/>
      <c r="L4795" s="497"/>
      <c r="M4795" s="497"/>
      <c r="N4795" s="497"/>
      <c r="O4795" s="497"/>
      <c r="P4795" s="497">
        <f t="shared" si="289"/>
        <v>485</v>
      </c>
      <c r="Q4795" s="497" t="b">
        <v>0</v>
      </c>
    </row>
    <row r="4796" spans="1:17" x14ac:dyDescent="0.35">
      <c r="A4796" s="497" t="b">
        <v>0</v>
      </c>
      <c r="B4796" s="497" t="s">
        <v>10720</v>
      </c>
      <c r="C4796" s="512">
        <v>81</v>
      </c>
      <c r="D4796" s="497">
        <f t="shared" si="286"/>
        <v>6</v>
      </c>
      <c r="E4796" s="497">
        <f t="shared" si="287"/>
        <v>6</v>
      </c>
      <c r="F4796" s="497">
        <f t="shared" ca="1" si="288"/>
        <v>89</v>
      </c>
      <c r="G4796" s="497" t="s">
        <v>10075</v>
      </c>
      <c r="H4796" s="503"/>
      <c r="I4796" s="503"/>
      <c r="J4796" s="503"/>
      <c r="K4796" s="503"/>
      <c r="L4796" s="497"/>
      <c r="M4796" s="497"/>
      <c r="N4796" s="497"/>
      <c r="O4796" s="497"/>
      <c r="P4796" s="497">
        <f t="shared" si="289"/>
        <v>486</v>
      </c>
      <c r="Q4796" s="497" t="b">
        <v>0</v>
      </c>
    </row>
    <row r="4797" spans="1:17" x14ac:dyDescent="0.35">
      <c r="A4797" s="497" t="b">
        <v>0</v>
      </c>
      <c r="B4797" s="497" t="s">
        <v>10721</v>
      </c>
      <c r="C4797" s="512">
        <v>82</v>
      </c>
      <c r="D4797" s="497">
        <f t="shared" si="286"/>
        <v>7</v>
      </c>
      <c r="E4797" s="497">
        <f t="shared" si="287"/>
        <v>1</v>
      </c>
      <c r="F4797" s="497">
        <f t="shared" ca="1" si="288"/>
        <v>90</v>
      </c>
      <c r="G4797" s="497" t="s">
        <v>10077</v>
      </c>
      <c r="H4797" s="503"/>
      <c r="I4797" s="503"/>
      <c r="J4797" s="503"/>
      <c r="K4797" s="503"/>
      <c r="L4797" s="497"/>
      <c r="M4797" s="497"/>
      <c r="N4797" s="497"/>
      <c r="O4797" s="497"/>
      <c r="P4797" s="497">
        <f t="shared" si="289"/>
        <v>487</v>
      </c>
      <c r="Q4797" s="497" t="b">
        <v>0</v>
      </c>
    </row>
    <row r="4798" spans="1:17" x14ac:dyDescent="0.35">
      <c r="A4798" s="497" t="b">
        <v>0</v>
      </c>
      <c r="B4798" s="497" t="s">
        <v>10722</v>
      </c>
      <c r="C4798" s="512">
        <v>82</v>
      </c>
      <c r="D4798" s="497">
        <f t="shared" si="286"/>
        <v>8</v>
      </c>
      <c r="E4798" s="497">
        <f t="shared" si="287"/>
        <v>2</v>
      </c>
      <c r="F4798" s="497">
        <f t="shared" ca="1" si="288"/>
        <v>90</v>
      </c>
      <c r="G4798" s="497" t="s">
        <v>10077</v>
      </c>
      <c r="H4798" s="503"/>
      <c r="I4798" s="503"/>
      <c r="J4798" s="503"/>
      <c r="K4798" s="503"/>
      <c r="L4798" s="497"/>
      <c r="M4798" s="497"/>
      <c r="N4798" s="497"/>
      <c r="O4798" s="497"/>
      <c r="P4798" s="497">
        <f t="shared" si="289"/>
        <v>488</v>
      </c>
      <c r="Q4798" s="497" t="b">
        <v>0</v>
      </c>
    </row>
    <row r="4799" spans="1:17" x14ac:dyDescent="0.35">
      <c r="A4799" s="497" t="b">
        <v>0</v>
      </c>
      <c r="B4799" s="497" t="s">
        <v>10723</v>
      </c>
      <c r="C4799" s="512">
        <v>82</v>
      </c>
      <c r="D4799" s="497">
        <f t="shared" si="286"/>
        <v>9</v>
      </c>
      <c r="E4799" s="497">
        <f t="shared" si="287"/>
        <v>3</v>
      </c>
      <c r="F4799" s="497">
        <f t="shared" ca="1" si="288"/>
        <v>90</v>
      </c>
      <c r="G4799" s="497" t="s">
        <v>10077</v>
      </c>
      <c r="H4799" s="503"/>
      <c r="I4799" s="503"/>
      <c r="J4799" s="503"/>
      <c r="K4799" s="503"/>
      <c r="L4799" s="497"/>
      <c r="M4799" s="497"/>
      <c r="N4799" s="497"/>
      <c r="O4799" s="497"/>
      <c r="P4799" s="497">
        <f t="shared" si="289"/>
        <v>489</v>
      </c>
      <c r="Q4799" s="497" t="b">
        <v>0</v>
      </c>
    </row>
    <row r="4800" spans="1:17" x14ac:dyDescent="0.35">
      <c r="A4800" s="497" t="b">
        <v>0</v>
      </c>
      <c r="B4800" s="497" t="s">
        <v>10724</v>
      </c>
      <c r="C4800" s="512">
        <v>82</v>
      </c>
      <c r="D4800" s="497">
        <f t="shared" si="286"/>
        <v>10</v>
      </c>
      <c r="E4800" s="497">
        <f t="shared" si="287"/>
        <v>4</v>
      </c>
      <c r="F4800" s="497">
        <f t="shared" ca="1" si="288"/>
        <v>90</v>
      </c>
      <c r="G4800" s="497" t="s">
        <v>10077</v>
      </c>
      <c r="H4800" s="503"/>
      <c r="I4800" s="503"/>
      <c r="J4800" s="503"/>
      <c r="K4800" s="503"/>
      <c r="L4800" s="497"/>
      <c r="M4800" s="497"/>
      <c r="N4800" s="497"/>
      <c r="O4800" s="497"/>
      <c r="P4800" s="497">
        <f t="shared" si="289"/>
        <v>490</v>
      </c>
      <c r="Q4800" s="497" t="b">
        <v>0</v>
      </c>
    </row>
    <row r="4801" spans="1:17" x14ac:dyDescent="0.35">
      <c r="A4801" s="497" t="b">
        <v>0</v>
      </c>
      <c r="B4801" s="497" t="s">
        <v>10725</v>
      </c>
      <c r="C4801" s="512">
        <v>82</v>
      </c>
      <c r="D4801" s="497">
        <f t="shared" si="286"/>
        <v>11</v>
      </c>
      <c r="E4801" s="497">
        <f t="shared" si="287"/>
        <v>5</v>
      </c>
      <c r="F4801" s="497">
        <f t="shared" ca="1" si="288"/>
        <v>90</v>
      </c>
      <c r="G4801" s="497" t="s">
        <v>10077</v>
      </c>
      <c r="H4801" s="503"/>
      <c r="I4801" s="503"/>
      <c r="J4801" s="503"/>
      <c r="K4801" s="503"/>
      <c r="L4801" s="497"/>
      <c r="M4801" s="497"/>
      <c r="N4801" s="497"/>
      <c r="O4801" s="497"/>
      <c r="P4801" s="497">
        <f t="shared" si="289"/>
        <v>491</v>
      </c>
      <c r="Q4801" s="497" t="b">
        <v>0</v>
      </c>
    </row>
    <row r="4802" spans="1:17" x14ac:dyDescent="0.35">
      <c r="A4802" s="497" t="b">
        <v>0</v>
      </c>
      <c r="B4802" s="497" t="s">
        <v>10726</v>
      </c>
      <c r="C4802" s="512">
        <v>82</v>
      </c>
      <c r="D4802" s="497">
        <f t="shared" si="286"/>
        <v>12</v>
      </c>
      <c r="E4802" s="497">
        <f t="shared" si="287"/>
        <v>6</v>
      </c>
      <c r="F4802" s="497">
        <f t="shared" ca="1" si="288"/>
        <v>90</v>
      </c>
      <c r="G4802" s="497" t="s">
        <v>10077</v>
      </c>
      <c r="H4802" s="503"/>
      <c r="I4802" s="503"/>
      <c r="J4802" s="503"/>
      <c r="K4802" s="503"/>
      <c r="L4802" s="497"/>
      <c r="M4802" s="497"/>
      <c r="N4802" s="497"/>
      <c r="O4802" s="497"/>
      <c r="P4802" s="497">
        <f t="shared" si="289"/>
        <v>492</v>
      </c>
      <c r="Q4802" s="497" t="b">
        <v>0</v>
      </c>
    </row>
    <row r="4803" spans="1:17" x14ac:dyDescent="0.35">
      <c r="A4803" s="497" t="b">
        <v>0</v>
      </c>
      <c r="B4803" s="497" t="s">
        <v>10727</v>
      </c>
      <c r="C4803" s="512">
        <v>83</v>
      </c>
      <c r="D4803" s="497">
        <f t="shared" si="286"/>
        <v>13</v>
      </c>
      <c r="E4803" s="497">
        <f t="shared" si="287"/>
        <v>1</v>
      </c>
      <c r="F4803" s="497">
        <f t="shared" ca="1" si="288"/>
        <v>91</v>
      </c>
      <c r="G4803" s="497" t="s">
        <v>10079</v>
      </c>
      <c r="H4803" s="503"/>
      <c r="I4803" s="503"/>
      <c r="J4803" s="503"/>
      <c r="K4803" s="503"/>
      <c r="L4803" s="497"/>
      <c r="M4803" s="497"/>
      <c r="N4803" s="497"/>
      <c r="O4803" s="497"/>
      <c r="P4803" s="497">
        <f t="shared" si="289"/>
        <v>493</v>
      </c>
      <c r="Q4803" s="497" t="b">
        <v>0</v>
      </c>
    </row>
    <row r="4804" spans="1:17" x14ac:dyDescent="0.35">
      <c r="A4804" s="497" t="b">
        <v>0</v>
      </c>
      <c r="B4804" s="497" t="s">
        <v>10728</v>
      </c>
      <c r="C4804" s="512">
        <v>83</v>
      </c>
      <c r="D4804" s="497">
        <f t="shared" si="286"/>
        <v>14</v>
      </c>
      <c r="E4804" s="497">
        <f t="shared" si="287"/>
        <v>2</v>
      </c>
      <c r="F4804" s="497">
        <f t="shared" ca="1" si="288"/>
        <v>91</v>
      </c>
      <c r="G4804" s="497" t="s">
        <v>10079</v>
      </c>
      <c r="H4804" s="503"/>
      <c r="I4804" s="503"/>
      <c r="J4804" s="503"/>
      <c r="K4804" s="503"/>
      <c r="L4804" s="497"/>
      <c r="M4804" s="497"/>
      <c r="N4804" s="497"/>
      <c r="O4804" s="497"/>
      <c r="P4804" s="497">
        <f t="shared" si="289"/>
        <v>494</v>
      </c>
      <c r="Q4804" s="497" t="b">
        <v>0</v>
      </c>
    </row>
    <row r="4805" spans="1:17" x14ac:dyDescent="0.35">
      <c r="A4805" s="497" t="b">
        <v>0</v>
      </c>
      <c r="B4805" s="497" t="s">
        <v>10729</v>
      </c>
      <c r="C4805" s="512">
        <v>83</v>
      </c>
      <c r="D4805" s="497">
        <f t="shared" si="286"/>
        <v>15</v>
      </c>
      <c r="E4805" s="497">
        <f t="shared" si="287"/>
        <v>3</v>
      </c>
      <c r="F4805" s="497">
        <f t="shared" ca="1" si="288"/>
        <v>91</v>
      </c>
      <c r="G4805" s="497" t="s">
        <v>10079</v>
      </c>
      <c r="H4805" s="503"/>
      <c r="I4805" s="503"/>
      <c r="J4805" s="503"/>
      <c r="K4805" s="503"/>
      <c r="L4805" s="497"/>
      <c r="M4805" s="497"/>
      <c r="N4805" s="497"/>
      <c r="O4805" s="497"/>
      <c r="P4805" s="497">
        <f t="shared" si="289"/>
        <v>495</v>
      </c>
      <c r="Q4805" s="497" t="b">
        <v>0</v>
      </c>
    </row>
    <row r="4806" spans="1:17" x14ac:dyDescent="0.35">
      <c r="A4806" s="497" t="b">
        <v>0</v>
      </c>
      <c r="B4806" s="497" t="s">
        <v>10730</v>
      </c>
      <c r="C4806" s="512">
        <v>83</v>
      </c>
      <c r="D4806" s="497">
        <f t="shared" si="286"/>
        <v>16</v>
      </c>
      <c r="E4806" s="497">
        <f t="shared" si="287"/>
        <v>4</v>
      </c>
      <c r="F4806" s="497">
        <f t="shared" ca="1" si="288"/>
        <v>91</v>
      </c>
      <c r="G4806" s="497" t="s">
        <v>10079</v>
      </c>
      <c r="H4806" s="503"/>
      <c r="I4806" s="503"/>
      <c r="J4806" s="503"/>
      <c r="K4806" s="503"/>
      <c r="L4806" s="497"/>
      <c r="M4806" s="497"/>
      <c r="N4806" s="497"/>
      <c r="O4806" s="497"/>
      <c r="P4806" s="497">
        <f t="shared" si="289"/>
        <v>496</v>
      </c>
      <c r="Q4806" s="497" t="b">
        <v>0</v>
      </c>
    </row>
    <row r="4807" spans="1:17" x14ac:dyDescent="0.35">
      <c r="A4807" s="497" t="b">
        <v>0</v>
      </c>
      <c r="B4807" s="497" t="s">
        <v>10731</v>
      </c>
      <c r="C4807" s="512">
        <v>83</v>
      </c>
      <c r="D4807" s="497">
        <f t="shared" si="286"/>
        <v>17</v>
      </c>
      <c r="E4807" s="497">
        <f t="shared" si="287"/>
        <v>5</v>
      </c>
      <c r="F4807" s="497">
        <f t="shared" ca="1" si="288"/>
        <v>91</v>
      </c>
      <c r="G4807" s="497" t="s">
        <v>10079</v>
      </c>
      <c r="H4807" s="503"/>
      <c r="I4807" s="503"/>
      <c r="J4807" s="503"/>
      <c r="K4807" s="503"/>
      <c r="L4807" s="497"/>
      <c r="M4807" s="497"/>
      <c r="N4807" s="497"/>
      <c r="O4807" s="497"/>
      <c r="P4807" s="497">
        <f t="shared" si="289"/>
        <v>497</v>
      </c>
      <c r="Q4807" s="497" t="b">
        <v>0</v>
      </c>
    </row>
    <row r="4808" spans="1:17" x14ac:dyDescent="0.35">
      <c r="A4808" s="497" t="b">
        <v>0</v>
      </c>
      <c r="B4808" s="497" t="s">
        <v>10732</v>
      </c>
      <c r="C4808" s="512">
        <v>83</v>
      </c>
      <c r="D4808" s="497">
        <f t="shared" si="286"/>
        <v>18</v>
      </c>
      <c r="E4808" s="497">
        <f t="shared" si="287"/>
        <v>6</v>
      </c>
      <c r="F4808" s="497">
        <f t="shared" ca="1" si="288"/>
        <v>91</v>
      </c>
      <c r="G4808" s="497" t="s">
        <v>10079</v>
      </c>
      <c r="H4808" s="503"/>
      <c r="I4808" s="503"/>
      <c r="J4808" s="503"/>
      <c r="K4808" s="503"/>
      <c r="L4808" s="497"/>
      <c r="M4808" s="497"/>
      <c r="N4808" s="497"/>
      <c r="O4808" s="497"/>
      <c r="P4808" s="497">
        <f t="shared" si="289"/>
        <v>498</v>
      </c>
      <c r="Q4808" s="497" t="b">
        <v>0</v>
      </c>
    </row>
    <row r="4809" spans="1:17" x14ac:dyDescent="0.35">
      <c r="A4809" s="497" t="b">
        <v>0</v>
      </c>
      <c r="B4809" s="497" t="s">
        <v>10733</v>
      </c>
      <c r="C4809" s="512">
        <v>84</v>
      </c>
      <c r="D4809" s="497">
        <f t="shared" si="286"/>
        <v>19</v>
      </c>
      <c r="E4809" s="497">
        <f t="shared" si="287"/>
        <v>1</v>
      </c>
      <c r="F4809" s="497">
        <f t="shared" ca="1" si="288"/>
        <v>92</v>
      </c>
      <c r="G4809" s="497" t="s">
        <v>10081</v>
      </c>
      <c r="H4809" s="503"/>
      <c r="I4809" s="503"/>
      <c r="J4809" s="503"/>
      <c r="K4809" s="503"/>
      <c r="L4809" s="497"/>
      <c r="M4809" s="497"/>
      <c r="N4809" s="497"/>
      <c r="O4809" s="497"/>
      <c r="P4809" s="497">
        <f t="shared" si="289"/>
        <v>499</v>
      </c>
      <c r="Q4809" s="497" t="b">
        <v>0</v>
      </c>
    </row>
    <row r="4810" spans="1:17" x14ac:dyDescent="0.35">
      <c r="A4810" s="497" t="b">
        <v>0</v>
      </c>
      <c r="B4810" s="497" t="s">
        <v>10734</v>
      </c>
      <c r="C4810" s="512">
        <v>84</v>
      </c>
      <c r="D4810" s="497">
        <f t="shared" si="286"/>
        <v>20</v>
      </c>
      <c r="E4810" s="497">
        <f t="shared" si="287"/>
        <v>2</v>
      </c>
      <c r="F4810" s="497">
        <f t="shared" ca="1" si="288"/>
        <v>92</v>
      </c>
      <c r="G4810" s="497" t="s">
        <v>10081</v>
      </c>
      <c r="H4810" s="503"/>
      <c r="I4810" s="503"/>
      <c r="J4810" s="503"/>
      <c r="K4810" s="503"/>
      <c r="L4810" s="497"/>
      <c r="M4810" s="497"/>
      <c r="N4810" s="497"/>
      <c r="O4810" s="497"/>
      <c r="P4810" s="497">
        <f t="shared" si="289"/>
        <v>500</v>
      </c>
      <c r="Q4810" s="497" t="b">
        <v>0</v>
      </c>
    </row>
    <row r="4811" spans="1:17" x14ac:dyDescent="0.35">
      <c r="A4811" s="497" t="b">
        <v>0</v>
      </c>
      <c r="B4811" s="497" t="s">
        <v>10735</v>
      </c>
      <c r="C4811" s="512">
        <v>84</v>
      </c>
      <c r="D4811" s="497">
        <f t="shared" si="286"/>
        <v>21</v>
      </c>
      <c r="E4811" s="497">
        <f t="shared" si="287"/>
        <v>3</v>
      </c>
      <c r="F4811" s="497">
        <f t="shared" ca="1" si="288"/>
        <v>92</v>
      </c>
      <c r="G4811" s="497" t="s">
        <v>10081</v>
      </c>
      <c r="H4811" s="503"/>
      <c r="I4811" s="503"/>
      <c r="J4811" s="503"/>
      <c r="K4811" s="503"/>
      <c r="L4811" s="497"/>
      <c r="M4811" s="497"/>
      <c r="N4811" s="497"/>
      <c r="O4811" s="497"/>
      <c r="P4811" s="497">
        <f t="shared" si="289"/>
        <v>501</v>
      </c>
      <c r="Q4811" s="497" t="b">
        <v>0</v>
      </c>
    </row>
    <row r="4812" spans="1:17" x14ac:dyDescent="0.35">
      <c r="A4812" s="497" t="b">
        <v>0</v>
      </c>
      <c r="B4812" s="497" t="s">
        <v>10736</v>
      </c>
      <c r="C4812" s="512">
        <v>84</v>
      </c>
      <c r="D4812" s="497">
        <f t="shared" si="286"/>
        <v>22</v>
      </c>
      <c r="E4812" s="497">
        <f t="shared" si="287"/>
        <v>4</v>
      </c>
      <c r="F4812" s="497">
        <f t="shared" ca="1" si="288"/>
        <v>92</v>
      </c>
      <c r="G4812" s="497" t="s">
        <v>10081</v>
      </c>
      <c r="H4812" s="503"/>
      <c r="I4812" s="503"/>
      <c r="J4812" s="503"/>
      <c r="K4812" s="503"/>
      <c r="L4812" s="497"/>
      <c r="M4812" s="497"/>
      <c r="N4812" s="497"/>
      <c r="O4812" s="497"/>
      <c r="P4812" s="497">
        <f t="shared" si="289"/>
        <v>502</v>
      </c>
      <c r="Q4812" s="497" t="b">
        <v>0</v>
      </c>
    </row>
    <row r="4813" spans="1:17" x14ac:dyDescent="0.35">
      <c r="A4813" s="497" t="b">
        <v>0</v>
      </c>
      <c r="B4813" s="497" t="s">
        <v>10737</v>
      </c>
      <c r="C4813" s="512">
        <v>84</v>
      </c>
      <c r="D4813" s="497">
        <f t="shared" si="286"/>
        <v>23</v>
      </c>
      <c r="E4813" s="497">
        <f t="shared" si="287"/>
        <v>5</v>
      </c>
      <c r="F4813" s="497">
        <f t="shared" ca="1" si="288"/>
        <v>92</v>
      </c>
      <c r="G4813" s="497" t="s">
        <v>10081</v>
      </c>
      <c r="H4813" s="503"/>
      <c r="I4813" s="503"/>
      <c r="J4813" s="503"/>
      <c r="K4813" s="503"/>
      <c r="L4813" s="497"/>
      <c r="M4813" s="497"/>
      <c r="N4813" s="497"/>
      <c r="O4813" s="497"/>
      <c r="P4813" s="497">
        <f t="shared" si="289"/>
        <v>503</v>
      </c>
      <c r="Q4813" s="497" t="b">
        <v>0</v>
      </c>
    </row>
    <row r="4814" spans="1:17" x14ac:dyDescent="0.35">
      <c r="A4814" s="497" t="b">
        <v>0</v>
      </c>
      <c r="B4814" s="497" t="s">
        <v>10738</v>
      </c>
      <c r="C4814" s="512">
        <v>84</v>
      </c>
      <c r="D4814" s="497">
        <f t="shared" si="286"/>
        <v>24</v>
      </c>
      <c r="E4814" s="497">
        <f t="shared" si="287"/>
        <v>6</v>
      </c>
      <c r="F4814" s="497">
        <f t="shared" ca="1" si="288"/>
        <v>92</v>
      </c>
      <c r="G4814" s="497" t="s">
        <v>10081</v>
      </c>
      <c r="H4814" s="503"/>
      <c r="I4814" s="503"/>
      <c r="J4814" s="503"/>
      <c r="K4814" s="503"/>
      <c r="L4814" s="497"/>
      <c r="M4814" s="497"/>
      <c r="N4814" s="497"/>
      <c r="O4814" s="497"/>
      <c r="P4814" s="497">
        <f t="shared" si="289"/>
        <v>504</v>
      </c>
      <c r="Q4814" s="497" t="b">
        <v>0</v>
      </c>
    </row>
    <row r="4815" spans="1:17" x14ac:dyDescent="0.35">
      <c r="A4815" s="497" t="b">
        <v>0</v>
      </c>
      <c r="B4815" s="497" t="s">
        <v>10739</v>
      </c>
      <c r="C4815" s="512">
        <v>85</v>
      </c>
      <c r="D4815" s="497">
        <f t="shared" si="286"/>
        <v>25</v>
      </c>
      <c r="E4815" s="497">
        <f t="shared" si="287"/>
        <v>1</v>
      </c>
      <c r="F4815" s="497">
        <f t="shared" ca="1" si="288"/>
        <v>93</v>
      </c>
      <c r="G4815" s="497" t="s">
        <v>10083</v>
      </c>
      <c r="H4815" s="503"/>
      <c r="I4815" s="503"/>
      <c r="J4815" s="503"/>
      <c r="K4815" s="503"/>
      <c r="L4815" s="497"/>
      <c r="M4815" s="497"/>
      <c r="N4815" s="497"/>
      <c r="O4815" s="497"/>
      <c r="P4815" s="497">
        <f t="shared" si="289"/>
        <v>505</v>
      </c>
      <c r="Q4815" s="497" t="b">
        <v>0</v>
      </c>
    </row>
    <row r="4816" spans="1:17" x14ac:dyDescent="0.35">
      <c r="A4816" s="497" t="b">
        <v>0</v>
      </c>
      <c r="B4816" s="497" t="s">
        <v>10740</v>
      </c>
      <c r="C4816" s="512">
        <v>85</v>
      </c>
      <c r="D4816" s="497">
        <f t="shared" si="286"/>
        <v>26</v>
      </c>
      <c r="E4816" s="497">
        <f t="shared" si="287"/>
        <v>2</v>
      </c>
      <c r="F4816" s="497">
        <f t="shared" ca="1" si="288"/>
        <v>93</v>
      </c>
      <c r="G4816" s="497" t="s">
        <v>10083</v>
      </c>
      <c r="H4816" s="503"/>
      <c r="I4816" s="503"/>
      <c r="J4816" s="503"/>
      <c r="K4816" s="503"/>
      <c r="L4816" s="497"/>
      <c r="M4816" s="497"/>
      <c r="N4816" s="497"/>
      <c r="O4816" s="497"/>
      <c r="P4816" s="497">
        <f t="shared" si="289"/>
        <v>506</v>
      </c>
      <c r="Q4816" s="497" t="b">
        <v>0</v>
      </c>
    </row>
    <row r="4817" spans="1:17" x14ac:dyDescent="0.35">
      <c r="A4817" s="497" t="b">
        <v>0</v>
      </c>
      <c r="B4817" s="497" t="s">
        <v>10741</v>
      </c>
      <c r="C4817" s="512">
        <v>85</v>
      </c>
      <c r="D4817" s="497">
        <f t="shared" si="286"/>
        <v>27</v>
      </c>
      <c r="E4817" s="497">
        <f t="shared" si="287"/>
        <v>3</v>
      </c>
      <c r="F4817" s="497">
        <f t="shared" ca="1" si="288"/>
        <v>93</v>
      </c>
      <c r="G4817" s="497" t="s">
        <v>10083</v>
      </c>
      <c r="H4817" s="503"/>
      <c r="I4817" s="503"/>
      <c r="J4817" s="503"/>
      <c r="K4817" s="503"/>
      <c r="L4817" s="497"/>
      <c r="M4817" s="497"/>
      <c r="N4817" s="497"/>
      <c r="O4817" s="497"/>
      <c r="P4817" s="497">
        <f t="shared" si="289"/>
        <v>507</v>
      </c>
      <c r="Q4817" s="497" t="b">
        <v>0</v>
      </c>
    </row>
    <row r="4818" spans="1:17" x14ac:dyDescent="0.35">
      <c r="A4818" s="497" t="b">
        <v>0</v>
      </c>
      <c r="B4818" s="497" t="s">
        <v>10742</v>
      </c>
      <c r="C4818" s="512">
        <v>85</v>
      </c>
      <c r="D4818" s="497">
        <f t="shared" si="286"/>
        <v>28</v>
      </c>
      <c r="E4818" s="497">
        <f t="shared" si="287"/>
        <v>4</v>
      </c>
      <c r="F4818" s="497">
        <f t="shared" ca="1" si="288"/>
        <v>93</v>
      </c>
      <c r="G4818" s="497" t="s">
        <v>10083</v>
      </c>
      <c r="H4818" s="503"/>
      <c r="I4818" s="503"/>
      <c r="J4818" s="503"/>
      <c r="K4818" s="503"/>
      <c r="L4818" s="497"/>
      <c r="M4818" s="497"/>
      <c r="N4818" s="497"/>
      <c r="O4818" s="497"/>
      <c r="P4818" s="497">
        <f t="shared" si="289"/>
        <v>508</v>
      </c>
      <c r="Q4818" s="497" t="b">
        <v>0</v>
      </c>
    </row>
    <row r="4819" spans="1:17" x14ac:dyDescent="0.35">
      <c r="A4819" s="497" t="b">
        <v>0</v>
      </c>
      <c r="B4819" s="497" t="s">
        <v>10743</v>
      </c>
      <c r="C4819" s="512">
        <v>85</v>
      </c>
      <c r="D4819" s="497">
        <f t="shared" si="286"/>
        <v>29</v>
      </c>
      <c r="E4819" s="497">
        <f t="shared" si="287"/>
        <v>5</v>
      </c>
      <c r="F4819" s="497">
        <f t="shared" ca="1" si="288"/>
        <v>93</v>
      </c>
      <c r="G4819" s="497" t="s">
        <v>10083</v>
      </c>
      <c r="H4819" s="503"/>
      <c r="I4819" s="503"/>
      <c r="J4819" s="503"/>
      <c r="K4819" s="503"/>
      <c r="L4819" s="497"/>
      <c r="M4819" s="497"/>
      <c r="N4819" s="497"/>
      <c r="O4819" s="497"/>
      <c r="P4819" s="497">
        <f t="shared" si="289"/>
        <v>509</v>
      </c>
      <c r="Q4819" s="497" t="b">
        <v>0</v>
      </c>
    </row>
    <row r="4820" spans="1:17" x14ac:dyDescent="0.35">
      <c r="A4820" s="497" t="b">
        <v>0</v>
      </c>
      <c r="B4820" s="497" t="s">
        <v>10744</v>
      </c>
      <c r="C4820" s="512">
        <v>85</v>
      </c>
      <c r="D4820" s="497">
        <f t="shared" si="286"/>
        <v>30</v>
      </c>
      <c r="E4820" s="497">
        <f t="shared" si="287"/>
        <v>6</v>
      </c>
      <c r="F4820" s="497">
        <f t="shared" ca="1" si="288"/>
        <v>93</v>
      </c>
      <c r="G4820" s="497" t="s">
        <v>10083</v>
      </c>
      <c r="H4820" s="503"/>
      <c r="I4820" s="503"/>
      <c r="J4820" s="503"/>
      <c r="K4820" s="503"/>
      <c r="L4820" s="497"/>
      <c r="M4820" s="497"/>
      <c r="N4820" s="497"/>
      <c r="O4820" s="497"/>
      <c r="P4820" s="497">
        <f t="shared" si="289"/>
        <v>510</v>
      </c>
      <c r="Q4820" s="497" t="b">
        <v>0</v>
      </c>
    </row>
    <row r="4821" spans="1:17" x14ac:dyDescent="0.35">
      <c r="A4821" s="497" t="b">
        <v>0</v>
      </c>
      <c r="B4821" s="497" t="s">
        <v>10745</v>
      </c>
      <c r="C4821" s="512">
        <v>86</v>
      </c>
      <c r="D4821" s="497">
        <f t="shared" si="286"/>
        <v>31</v>
      </c>
      <c r="E4821" s="497">
        <f t="shared" si="287"/>
        <v>1</v>
      </c>
      <c r="F4821" s="497">
        <f t="shared" ca="1" si="288"/>
        <v>94</v>
      </c>
      <c r="G4821" s="497" t="s">
        <v>10085</v>
      </c>
      <c r="H4821" s="503"/>
      <c r="I4821" s="503"/>
      <c r="J4821" s="503"/>
      <c r="K4821" s="503"/>
      <c r="L4821" s="497"/>
      <c r="M4821" s="497"/>
      <c r="N4821" s="497"/>
      <c r="O4821" s="497"/>
      <c r="P4821" s="497">
        <f t="shared" si="289"/>
        <v>511</v>
      </c>
      <c r="Q4821" s="497" t="b">
        <v>0</v>
      </c>
    </row>
    <row r="4822" spans="1:17" x14ac:dyDescent="0.35">
      <c r="A4822" s="497" t="b">
        <v>0</v>
      </c>
      <c r="B4822" s="497" t="s">
        <v>10746</v>
      </c>
      <c r="C4822" s="512">
        <v>86</v>
      </c>
      <c r="D4822" s="497">
        <f t="shared" si="286"/>
        <v>32</v>
      </c>
      <c r="E4822" s="497">
        <f t="shared" si="287"/>
        <v>2</v>
      </c>
      <c r="F4822" s="497">
        <f t="shared" ca="1" si="288"/>
        <v>94</v>
      </c>
      <c r="G4822" s="497" t="s">
        <v>10085</v>
      </c>
      <c r="H4822" s="503"/>
      <c r="I4822" s="503"/>
      <c r="J4822" s="503"/>
      <c r="K4822" s="503"/>
      <c r="L4822" s="497"/>
      <c r="M4822" s="497"/>
      <c r="N4822" s="497"/>
      <c r="O4822" s="497"/>
      <c r="P4822" s="497">
        <f t="shared" si="289"/>
        <v>512</v>
      </c>
      <c r="Q4822" s="497" t="b">
        <v>0</v>
      </c>
    </row>
    <row r="4823" spans="1:17" x14ac:dyDescent="0.35">
      <c r="A4823" s="497" t="b">
        <v>0</v>
      </c>
      <c r="B4823" s="497" t="s">
        <v>10747</v>
      </c>
      <c r="C4823" s="512">
        <v>86</v>
      </c>
      <c r="D4823" s="497">
        <f t="shared" ref="D4823:D4886" si="290">D4822+1</f>
        <v>33</v>
      </c>
      <c r="E4823" s="497">
        <f t="shared" ref="E4823:E4886" si="291">COUNTIF(C4573:C4823,C4823)</f>
        <v>3</v>
      </c>
      <c r="F4823" s="497">
        <f t="shared" ref="F4823:F4886" ca="1" si="292">IF(C4823=1,9,IF(E4822=MAX(E4821:E4823),F4821+1,F4822))</f>
        <v>94</v>
      </c>
      <c r="G4823" s="497" t="s">
        <v>10085</v>
      </c>
      <c r="H4823" s="503"/>
      <c r="I4823" s="503"/>
      <c r="J4823" s="503"/>
      <c r="K4823" s="503"/>
      <c r="L4823" s="497"/>
      <c r="M4823" s="497"/>
      <c r="N4823" s="497"/>
      <c r="O4823" s="497"/>
      <c r="P4823" s="497">
        <f t="shared" ref="P4823:P4886" si="293">IF(NOT(_xlfn.ISFORMULA(I4823)),P4822+1,0)</f>
        <v>513</v>
      </c>
      <c r="Q4823" s="497" t="b">
        <v>0</v>
      </c>
    </row>
    <row r="4824" spans="1:17" x14ac:dyDescent="0.35">
      <c r="A4824" s="497" t="b">
        <v>0</v>
      </c>
      <c r="B4824" s="497" t="s">
        <v>10748</v>
      </c>
      <c r="C4824" s="512">
        <v>86</v>
      </c>
      <c r="D4824" s="497">
        <f t="shared" si="290"/>
        <v>34</v>
      </c>
      <c r="E4824" s="497">
        <f t="shared" si="291"/>
        <v>4</v>
      </c>
      <c r="F4824" s="497">
        <f t="shared" ca="1" si="292"/>
        <v>94</v>
      </c>
      <c r="G4824" s="497" t="s">
        <v>10085</v>
      </c>
      <c r="H4824" s="503"/>
      <c r="I4824" s="503"/>
      <c r="J4824" s="503"/>
      <c r="K4824" s="503"/>
      <c r="L4824" s="497"/>
      <c r="M4824" s="497"/>
      <c r="N4824" s="497"/>
      <c r="O4824" s="497"/>
      <c r="P4824" s="497">
        <f t="shared" si="293"/>
        <v>514</v>
      </c>
      <c r="Q4824" s="497" t="b">
        <v>0</v>
      </c>
    </row>
    <row r="4825" spans="1:17" x14ac:dyDescent="0.35">
      <c r="A4825" s="497" t="b">
        <v>0</v>
      </c>
      <c r="B4825" s="497" t="s">
        <v>10749</v>
      </c>
      <c r="C4825" s="512">
        <v>86</v>
      </c>
      <c r="D4825" s="497">
        <f t="shared" si="290"/>
        <v>35</v>
      </c>
      <c r="E4825" s="497">
        <f t="shared" si="291"/>
        <v>5</v>
      </c>
      <c r="F4825" s="497">
        <f t="shared" ca="1" si="292"/>
        <v>94</v>
      </c>
      <c r="G4825" s="497" t="s">
        <v>10085</v>
      </c>
      <c r="H4825" s="503"/>
      <c r="I4825" s="503"/>
      <c r="J4825" s="503"/>
      <c r="K4825" s="503"/>
      <c r="L4825" s="497"/>
      <c r="M4825" s="497"/>
      <c r="N4825" s="497"/>
      <c r="O4825" s="497"/>
      <c r="P4825" s="497">
        <f t="shared" si="293"/>
        <v>515</v>
      </c>
      <c r="Q4825" s="497" t="b">
        <v>0</v>
      </c>
    </row>
    <row r="4826" spans="1:17" x14ac:dyDescent="0.35">
      <c r="A4826" s="497" t="b">
        <v>0</v>
      </c>
      <c r="B4826" s="497" t="s">
        <v>10750</v>
      </c>
      <c r="C4826" s="512">
        <v>86</v>
      </c>
      <c r="D4826" s="497">
        <f t="shared" si="290"/>
        <v>36</v>
      </c>
      <c r="E4826" s="497">
        <f t="shared" si="291"/>
        <v>6</v>
      </c>
      <c r="F4826" s="497">
        <f t="shared" ca="1" si="292"/>
        <v>94</v>
      </c>
      <c r="G4826" s="497" t="s">
        <v>10085</v>
      </c>
      <c r="H4826" s="503"/>
      <c r="I4826" s="503"/>
      <c r="J4826" s="503"/>
      <c r="K4826" s="503"/>
      <c r="L4826" s="497"/>
      <c r="M4826" s="497"/>
      <c r="N4826" s="497"/>
      <c r="O4826" s="497"/>
      <c r="P4826" s="497">
        <f t="shared" si="293"/>
        <v>516</v>
      </c>
      <c r="Q4826" s="497" t="b">
        <v>0</v>
      </c>
    </row>
    <row r="4827" spans="1:17" x14ac:dyDescent="0.35">
      <c r="A4827" s="497" t="b">
        <v>0</v>
      </c>
      <c r="B4827" s="497" t="s">
        <v>10751</v>
      </c>
      <c r="C4827" s="512">
        <v>87</v>
      </c>
      <c r="D4827" s="497">
        <f t="shared" si="290"/>
        <v>37</v>
      </c>
      <c r="E4827" s="497">
        <f t="shared" si="291"/>
        <v>1</v>
      </c>
      <c r="F4827" s="497">
        <f t="shared" ca="1" si="292"/>
        <v>95</v>
      </c>
      <c r="G4827" s="497" t="s">
        <v>10087</v>
      </c>
      <c r="H4827" s="503"/>
      <c r="I4827" s="503"/>
      <c r="J4827" s="503"/>
      <c r="K4827" s="503"/>
      <c r="L4827" s="497"/>
      <c r="M4827" s="497"/>
      <c r="N4827" s="497"/>
      <c r="O4827" s="497"/>
      <c r="P4827" s="497">
        <f t="shared" si="293"/>
        <v>517</v>
      </c>
      <c r="Q4827" s="497" t="b">
        <v>0</v>
      </c>
    </row>
    <row r="4828" spans="1:17" x14ac:dyDescent="0.35">
      <c r="A4828" s="497" t="b">
        <v>0</v>
      </c>
      <c r="B4828" s="497" t="s">
        <v>10752</v>
      </c>
      <c r="C4828" s="512">
        <v>87</v>
      </c>
      <c r="D4828" s="497">
        <f t="shared" si="290"/>
        <v>38</v>
      </c>
      <c r="E4828" s="497">
        <f t="shared" si="291"/>
        <v>2</v>
      </c>
      <c r="F4828" s="497">
        <f t="shared" ca="1" si="292"/>
        <v>95</v>
      </c>
      <c r="G4828" s="497" t="s">
        <v>10087</v>
      </c>
      <c r="H4828" s="503"/>
      <c r="I4828" s="503"/>
      <c r="J4828" s="503"/>
      <c r="K4828" s="503"/>
      <c r="L4828" s="497"/>
      <c r="M4828" s="497"/>
      <c r="N4828" s="497"/>
      <c r="O4828" s="497"/>
      <c r="P4828" s="497">
        <f t="shared" si="293"/>
        <v>518</v>
      </c>
      <c r="Q4828" s="497" t="b">
        <v>0</v>
      </c>
    </row>
    <row r="4829" spans="1:17" x14ac:dyDescent="0.35">
      <c r="A4829" s="497" t="b">
        <v>0</v>
      </c>
      <c r="B4829" s="497" t="s">
        <v>10753</v>
      </c>
      <c r="C4829" s="512">
        <v>87</v>
      </c>
      <c r="D4829" s="497">
        <f t="shared" si="290"/>
        <v>39</v>
      </c>
      <c r="E4829" s="497">
        <f t="shared" si="291"/>
        <v>3</v>
      </c>
      <c r="F4829" s="497">
        <f t="shared" ca="1" si="292"/>
        <v>95</v>
      </c>
      <c r="G4829" s="497" t="s">
        <v>10087</v>
      </c>
      <c r="H4829" s="503"/>
      <c r="I4829" s="503"/>
      <c r="J4829" s="503"/>
      <c r="K4829" s="503"/>
      <c r="L4829" s="497"/>
      <c r="M4829" s="497"/>
      <c r="N4829" s="497"/>
      <c r="O4829" s="497"/>
      <c r="P4829" s="497">
        <f t="shared" si="293"/>
        <v>519</v>
      </c>
      <c r="Q4829" s="497" t="b">
        <v>0</v>
      </c>
    </row>
    <row r="4830" spans="1:17" x14ac:dyDescent="0.35">
      <c r="A4830" s="497" t="b">
        <v>0</v>
      </c>
      <c r="B4830" s="497" t="s">
        <v>10754</v>
      </c>
      <c r="C4830" s="512">
        <v>87</v>
      </c>
      <c r="D4830" s="497">
        <f t="shared" si="290"/>
        <v>40</v>
      </c>
      <c r="E4830" s="497">
        <f t="shared" si="291"/>
        <v>4</v>
      </c>
      <c r="F4830" s="497">
        <f t="shared" ca="1" si="292"/>
        <v>95</v>
      </c>
      <c r="G4830" s="497" t="s">
        <v>10087</v>
      </c>
      <c r="H4830" s="503"/>
      <c r="I4830" s="503"/>
      <c r="J4830" s="503"/>
      <c r="K4830" s="503"/>
      <c r="L4830" s="497"/>
      <c r="M4830" s="497"/>
      <c r="N4830" s="497"/>
      <c r="O4830" s="497"/>
      <c r="P4830" s="497">
        <f t="shared" si="293"/>
        <v>520</v>
      </c>
      <c r="Q4830" s="497" t="b">
        <v>0</v>
      </c>
    </row>
    <row r="4831" spans="1:17" x14ac:dyDescent="0.35">
      <c r="A4831" s="497" t="b">
        <v>0</v>
      </c>
      <c r="B4831" s="497" t="s">
        <v>10755</v>
      </c>
      <c r="C4831" s="512">
        <v>87</v>
      </c>
      <c r="D4831" s="497">
        <f t="shared" si="290"/>
        <v>41</v>
      </c>
      <c r="E4831" s="497">
        <f t="shared" si="291"/>
        <v>5</v>
      </c>
      <c r="F4831" s="497">
        <f t="shared" ca="1" si="292"/>
        <v>95</v>
      </c>
      <c r="G4831" s="497" t="s">
        <v>10087</v>
      </c>
      <c r="H4831" s="503"/>
      <c r="I4831" s="503"/>
      <c r="J4831" s="503"/>
      <c r="K4831" s="503"/>
      <c r="L4831" s="497"/>
      <c r="M4831" s="497"/>
      <c r="N4831" s="497"/>
      <c r="O4831" s="497"/>
      <c r="P4831" s="497">
        <f t="shared" si="293"/>
        <v>521</v>
      </c>
      <c r="Q4831" s="497" t="b">
        <v>0</v>
      </c>
    </row>
    <row r="4832" spans="1:17" x14ac:dyDescent="0.35">
      <c r="A4832" s="497" t="b">
        <v>0</v>
      </c>
      <c r="B4832" s="497" t="s">
        <v>10756</v>
      </c>
      <c r="C4832" s="512">
        <v>87</v>
      </c>
      <c r="D4832" s="497">
        <f t="shared" si="290"/>
        <v>42</v>
      </c>
      <c r="E4832" s="497">
        <f t="shared" si="291"/>
        <v>6</v>
      </c>
      <c r="F4832" s="497">
        <f t="shared" ca="1" si="292"/>
        <v>95</v>
      </c>
      <c r="G4832" s="497" t="s">
        <v>10087</v>
      </c>
      <c r="H4832" s="503"/>
      <c r="I4832" s="503"/>
      <c r="J4832" s="503"/>
      <c r="K4832" s="503"/>
      <c r="L4832" s="497"/>
      <c r="M4832" s="497"/>
      <c r="N4832" s="497"/>
      <c r="O4832" s="497"/>
      <c r="P4832" s="497">
        <f t="shared" si="293"/>
        <v>522</v>
      </c>
      <c r="Q4832" s="497" t="b">
        <v>0</v>
      </c>
    </row>
    <row r="4833" spans="1:17" x14ac:dyDescent="0.35">
      <c r="A4833" s="497" t="b">
        <v>0</v>
      </c>
      <c r="B4833" s="497" t="s">
        <v>10757</v>
      </c>
      <c r="C4833" s="512">
        <v>88</v>
      </c>
      <c r="D4833" s="497">
        <f t="shared" si="290"/>
        <v>43</v>
      </c>
      <c r="E4833" s="497">
        <f t="shared" si="291"/>
        <v>1</v>
      </c>
      <c r="F4833" s="497">
        <f t="shared" ca="1" si="292"/>
        <v>96</v>
      </c>
      <c r="G4833" s="497" t="s">
        <v>10089</v>
      </c>
      <c r="H4833" s="503"/>
      <c r="I4833" s="503"/>
      <c r="J4833" s="503"/>
      <c r="K4833" s="503"/>
      <c r="L4833" s="497"/>
      <c r="M4833" s="497"/>
      <c r="N4833" s="497"/>
      <c r="O4833" s="497"/>
      <c r="P4833" s="497">
        <f t="shared" si="293"/>
        <v>523</v>
      </c>
      <c r="Q4833" s="497" t="b">
        <v>0</v>
      </c>
    </row>
    <row r="4834" spans="1:17" x14ac:dyDescent="0.35">
      <c r="A4834" s="497" t="b">
        <v>0</v>
      </c>
      <c r="B4834" s="497" t="s">
        <v>10758</v>
      </c>
      <c r="C4834" s="512">
        <v>88</v>
      </c>
      <c r="D4834" s="497">
        <f t="shared" si="290"/>
        <v>44</v>
      </c>
      <c r="E4834" s="497">
        <f t="shared" si="291"/>
        <v>2</v>
      </c>
      <c r="F4834" s="497">
        <f t="shared" ca="1" si="292"/>
        <v>96</v>
      </c>
      <c r="G4834" s="497" t="s">
        <v>10089</v>
      </c>
      <c r="H4834" s="503"/>
      <c r="I4834" s="503"/>
      <c r="J4834" s="503"/>
      <c r="K4834" s="503"/>
      <c r="L4834" s="497"/>
      <c r="M4834" s="497"/>
      <c r="N4834" s="497"/>
      <c r="O4834" s="497"/>
      <c r="P4834" s="497">
        <f t="shared" si="293"/>
        <v>524</v>
      </c>
      <c r="Q4834" s="497" t="b">
        <v>0</v>
      </c>
    </row>
    <row r="4835" spans="1:17" x14ac:dyDescent="0.35">
      <c r="A4835" s="497" t="b">
        <v>0</v>
      </c>
      <c r="B4835" s="497" t="s">
        <v>10759</v>
      </c>
      <c r="C4835" s="512">
        <v>88</v>
      </c>
      <c r="D4835" s="497">
        <f t="shared" si="290"/>
        <v>45</v>
      </c>
      <c r="E4835" s="497">
        <f t="shared" si="291"/>
        <v>3</v>
      </c>
      <c r="F4835" s="497">
        <f t="shared" ca="1" si="292"/>
        <v>96</v>
      </c>
      <c r="G4835" s="497" t="s">
        <v>10089</v>
      </c>
      <c r="H4835" s="503"/>
      <c r="I4835" s="503"/>
      <c r="J4835" s="503"/>
      <c r="K4835" s="503"/>
      <c r="L4835" s="497"/>
      <c r="M4835" s="497"/>
      <c r="N4835" s="497"/>
      <c r="O4835" s="497"/>
      <c r="P4835" s="497">
        <f t="shared" si="293"/>
        <v>525</v>
      </c>
      <c r="Q4835" s="497" t="b">
        <v>0</v>
      </c>
    </row>
    <row r="4836" spans="1:17" x14ac:dyDescent="0.35">
      <c r="A4836" s="497" t="b">
        <v>0</v>
      </c>
      <c r="B4836" s="497" t="s">
        <v>10760</v>
      </c>
      <c r="C4836" s="512">
        <v>88</v>
      </c>
      <c r="D4836" s="497">
        <f t="shared" si="290"/>
        <v>46</v>
      </c>
      <c r="E4836" s="497">
        <f t="shared" si="291"/>
        <v>4</v>
      </c>
      <c r="F4836" s="497">
        <f t="shared" ca="1" si="292"/>
        <v>96</v>
      </c>
      <c r="G4836" s="497" t="s">
        <v>10089</v>
      </c>
      <c r="H4836" s="503"/>
      <c r="I4836" s="503"/>
      <c r="J4836" s="503"/>
      <c r="K4836" s="503"/>
      <c r="L4836" s="497"/>
      <c r="M4836" s="497"/>
      <c r="N4836" s="497"/>
      <c r="O4836" s="497"/>
      <c r="P4836" s="497">
        <f t="shared" si="293"/>
        <v>526</v>
      </c>
      <c r="Q4836" s="497" t="b">
        <v>0</v>
      </c>
    </row>
    <row r="4837" spans="1:17" x14ac:dyDescent="0.35">
      <c r="A4837" s="497" t="b">
        <v>0</v>
      </c>
      <c r="B4837" s="497" t="s">
        <v>10761</v>
      </c>
      <c r="C4837" s="512">
        <v>88</v>
      </c>
      <c r="D4837" s="497">
        <f t="shared" si="290"/>
        <v>47</v>
      </c>
      <c r="E4837" s="497">
        <f t="shared" si="291"/>
        <v>5</v>
      </c>
      <c r="F4837" s="497">
        <f t="shared" ca="1" si="292"/>
        <v>96</v>
      </c>
      <c r="G4837" s="497" t="s">
        <v>10089</v>
      </c>
      <c r="H4837" s="503"/>
      <c r="I4837" s="503"/>
      <c r="J4837" s="503"/>
      <c r="K4837" s="503"/>
      <c r="L4837" s="497"/>
      <c r="M4837" s="497"/>
      <c r="N4837" s="497"/>
      <c r="O4837" s="497"/>
      <c r="P4837" s="497">
        <f t="shared" si="293"/>
        <v>527</v>
      </c>
      <c r="Q4837" s="497" t="b">
        <v>0</v>
      </c>
    </row>
    <row r="4838" spans="1:17" x14ac:dyDescent="0.35">
      <c r="A4838" s="497" t="b">
        <v>0</v>
      </c>
      <c r="B4838" s="497" t="s">
        <v>10762</v>
      </c>
      <c r="C4838" s="512">
        <v>88</v>
      </c>
      <c r="D4838" s="497">
        <f t="shared" si="290"/>
        <v>48</v>
      </c>
      <c r="E4838" s="497">
        <f t="shared" si="291"/>
        <v>6</v>
      </c>
      <c r="F4838" s="497">
        <f t="shared" ca="1" si="292"/>
        <v>96</v>
      </c>
      <c r="G4838" s="497" t="s">
        <v>10089</v>
      </c>
      <c r="H4838" s="503"/>
      <c r="I4838" s="503"/>
      <c r="J4838" s="503"/>
      <c r="K4838" s="503"/>
      <c r="L4838" s="497"/>
      <c r="M4838" s="497"/>
      <c r="N4838" s="497"/>
      <c r="O4838" s="497"/>
      <c r="P4838" s="497">
        <f t="shared" si="293"/>
        <v>528</v>
      </c>
      <c r="Q4838" s="497" t="b">
        <v>0</v>
      </c>
    </row>
    <row r="4839" spans="1:17" x14ac:dyDescent="0.35">
      <c r="A4839" s="497" t="b">
        <v>0</v>
      </c>
      <c r="B4839" s="497" t="s">
        <v>10763</v>
      </c>
      <c r="C4839" s="512">
        <v>89</v>
      </c>
      <c r="D4839" s="497">
        <f t="shared" si="290"/>
        <v>49</v>
      </c>
      <c r="E4839" s="497">
        <f t="shared" si="291"/>
        <v>1</v>
      </c>
      <c r="F4839" s="497">
        <f t="shared" ca="1" si="292"/>
        <v>97</v>
      </c>
      <c r="G4839" s="497" t="s">
        <v>10091</v>
      </c>
      <c r="H4839" s="503"/>
      <c r="I4839" s="503"/>
      <c r="J4839" s="503"/>
      <c r="K4839" s="503"/>
      <c r="L4839" s="497"/>
      <c r="M4839" s="497"/>
      <c r="N4839" s="497"/>
      <c r="O4839" s="497"/>
      <c r="P4839" s="497">
        <f t="shared" si="293"/>
        <v>529</v>
      </c>
      <c r="Q4839" s="497" t="b">
        <v>0</v>
      </c>
    </row>
    <row r="4840" spans="1:17" x14ac:dyDescent="0.35">
      <c r="A4840" s="497" t="b">
        <v>0</v>
      </c>
      <c r="B4840" s="497" t="s">
        <v>10764</v>
      </c>
      <c r="C4840" s="512">
        <v>89</v>
      </c>
      <c r="D4840" s="497">
        <f t="shared" si="290"/>
        <v>50</v>
      </c>
      <c r="E4840" s="497">
        <f t="shared" si="291"/>
        <v>2</v>
      </c>
      <c r="F4840" s="497">
        <f t="shared" ca="1" si="292"/>
        <v>97</v>
      </c>
      <c r="G4840" s="497" t="s">
        <v>10091</v>
      </c>
      <c r="H4840" s="503"/>
      <c r="I4840" s="503"/>
      <c r="J4840" s="503"/>
      <c r="K4840" s="503"/>
      <c r="L4840" s="497"/>
      <c r="M4840" s="497"/>
      <c r="N4840" s="497"/>
      <c r="O4840" s="497"/>
      <c r="P4840" s="497">
        <f t="shared" si="293"/>
        <v>530</v>
      </c>
      <c r="Q4840" s="497" t="b">
        <v>0</v>
      </c>
    </row>
    <row r="4841" spans="1:17" x14ac:dyDescent="0.35">
      <c r="A4841" s="497" t="b">
        <v>0</v>
      </c>
      <c r="B4841" s="497" t="s">
        <v>10765</v>
      </c>
      <c r="C4841" s="512">
        <v>89</v>
      </c>
      <c r="D4841" s="497">
        <f t="shared" si="290"/>
        <v>51</v>
      </c>
      <c r="E4841" s="497">
        <f t="shared" si="291"/>
        <v>3</v>
      </c>
      <c r="F4841" s="497">
        <f t="shared" ca="1" si="292"/>
        <v>97</v>
      </c>
      <c r="G4841" s="497" t="s">
        <v>10091</v>
      </c>
      <c r="H4841" s="503"/>
      <c r="I4841" s="503"/>
      <c r="J4841" s="503"/>
      <c r="K4841" s="503"/>
      <c r="L4841" s="497"/>
      <c r="M4841" s="497"/>
      <c r="N4841" s="497"/>
      <c r="O4841" s="497"/>
      <c r="P4841" s="497">
        <f t="shared" si="293"/>
        <v>531</v>
      </c>
      <c r="Q4841" s="497" t="b">
        <v>0</v>
      </c>
    </row>
    <row r="4842" spans="1:17" x14ac:dyDescent="0.35">
      <c r="A4842" s="497" t="b">
        <v>0</v>
      </c>
      <c r="B4842" s="497" t="s">
        <v>10766</v>
      </c>
      <c r="C4842" s="512">
        <v>89</v>
      </c>
      <c r="D4842" s="497">
        <f t="shared" si="290"/>
        <v>52</v>
      </c>
      <c r="E4842" s="497">
        <f t="shared" si="291"/>
        <v>4</v>
      </c>
      <c r="F4842" s="497">
        <f t="shared" ca="1" si="292"/>
        <v>97</v>
      </c>
      <c r="G4842" s="497" t="s">
        <v>10091</v>
      </c>
      <c r="H4842" s="503"/>
      <c r="I4842" s="503"/>
      <c r="J4842" s="503"/>
      <c r="K4842" s="503"/>
      <c r="L4842" s="497"/>
      <c r="M4842" s="497"/>
      <c r="N4842" s="497"/>
      <c r="O4842" s="497"/>
      <c r="P4842" s="497">
        <f t="shared" si="293"/>
        <v>532</v>
      </c>
      <c r="Q4842" s="497" t="b">
        <v>0</v>
      </c>
    </row>
    <row r="4843" spans="1:17" x14ac:dyDescent="0.35">
      <c r="A4843" s="497" t="b">
        <v>0</v>
      </c>
      <c r="B4843" s="497" t="s">
        <v>10767</v>
      </c>
      <c r="C4843" s="512">
        <v>89</v>
      </c>
      <c r="D4843" s="497">
        <f t="shared" si="290"/>
        <v>53</v>
      </c>
      <c r="E4843" s="497">
        <f t="shared" si="291"/>
        <v>5</v>
      </c>
      <c r="F4843" s="497">
        <f t="shared" ca="1" si="292"/>
        <v>97</v>
      </c>
      <c r="G4843" s="497" t="s">
        <v>10091</v>
      </c>
      <c r="H4843" s="503"/>
      <c r="I4843" s="503"/>
      <c r="J4843" s="503"/>
      <c r="K4843" s="503"/>
      <c r="L4843" s="497"/>
      <c r="M4843" s="497"/>
      <c r="N4843" s="497"/>
      <c r="O4843" s="497"/>
      <c r="P4843" s="497">
        <f t="shared" si="293"/>
        <v>533</v>
      </c>
      <c r="Q4843" s="497" t="b">
        <v>0</v>
      </c>
    </row>
    <row r="4844" spans="1:17" x14ac:dyDescent="0.35">
      <c r="A4844" s="497" t="b">
        <v>0</v>
      </c>
      <c r="B4844" s="497" t="s">
        <v>10768</v>
      </c>
      <c r="C4844" s="512">
        <v>89</v>
      </c>
      <c r="D4844" s="497">
        <f t="shared" si="290"/>
        <v>54</v>
      </c>
      <c r="E4844" s="497">
        <f t="shared" si="291"/>
        <v>6</v>
      </c>
      <c r="F4844" s="497">
        <f t="shared" ca="1" si="292"/>
        <v>97</v>
      </c>
      <c r="G4844" s="497" t="s">
        <v>10091</v>
      </c>
      <c r="H4844" s="503"/>
      <c r="I4844" s="503"/>
      <c r="J4844" s="503"/>
      <c r="K4844" s="503"/>
      <c r="L4844" s="497"/>
      <c r="M4844" s="497"/>
      <c r="N4844" s="497"/>
      <c r="O4844" s="497"/>
      <c r="P4844" s="497">
        <f t="shared" si="293"/>
        <v>534</v>
      </c>
      <c r="Q4844" s="497" t="b">
        <v>0</v>
      </c>
    </row>
    <row r="4845" spans="1:17" x14ac:dyDescent="0.35">
      <c r="A4845" s="497" t="b">
        <v>0</v>
      </c>
      <c r="B4845" s="497" t="s">
        <v>10769</v>
      </c>
      <c r="C4845" s="512">
        <v>90</v>
      </c>
      <c r="D4845" s="497">
        <f t="shared" si="290"/>
        <v>55</v>
      </c>
      <c r="E4845" s="497">
        <f t="shared" si="291"/>
        <v>1</v>
      </c>
      <c r="F4845" s="497">
        <f t="shared" ca="1" si="292"/>
        <v>98</v>
      </c>
      <c r="G4845" s="497" t="s">
        <v>10093</v>
      </c>
      <c r="H4845" s="503"/>
      <c r="I4845" s="503"/>
      <c r="J4845" s="503"/>
      <c r="K4845" s="503"/>
      <c r="L4845" s="497"/>
      <c r="M4845" s="497"/>
      <c r="N4845" s="497"/>
      <c r="O4845" s="497"/>
      <c r="P4845" s="497">
        <f t="shared" si="293"/>
        <v>535</v>
      </c>
      <c r="Q4845" s="497" t="b">
        <v>0</v>
      </c>
    </row>
    <row r="4846" spans="1:17" x14ac:dyDescent="0.35">
      <c r="A4846" s="497" t="b">
        <v>0</v>
      </c>
      <c r="B4846" s="497" t="s">
        <v>10770</v>
      </c>
      <c r="C4846" s="512">
        <v>90</v>
      </c>
      <c r="D4846" s="497">
        <f t="shared" si="290"/>
        <v>56</v>
      </c>
      <c r="E4846" s="497">
        <f t="shared" si="291"/>
        <v>2</v>
      </c>
      <c r="F4846" s="497">
        <f t="shared" ca="1" si="292"/>
        <v>98</v>
      </c>
      <c r="G4846" s="497" t="s">
        <v>10093</v>
      </c>
      <c r="H4846" s="503"/>
      <c r="I4846" s="503"/>
      <c r="J4846" s="503"/>
      <c r="K4846" s="503"/>
      <c r="L4846" s="497"/>
      <c r="M4846" s="497"/>
      <c r="N4846" s="497"/>
      <c r="O4846" s="497"/>
      <c r="P4846" s="497">
        <f t="shared" si="293"/>
        <v>536</v>
      </c>
      <c r="Q4846" s="497" t="b">
        <v>0</v>
      </c>
    </row>
    <row r="4847" spans="1:17" x14ac:dyDescent="0.35">
      <c r="A4847" s="497" t="b">
        <v>0</v>
      </c>
      <c r="B4847" s="497" t="s">
        <v>10771</v>
      </c>
      <c r="C4847" s="512">
        <v>90</v>
      </c>
      <c r="D4847" s="497">
        <f t="shared" si="290"/>
        <v>57</v>
      </c>
      <c r="E4847" s="497">
        <f t="shared" si="291"/>
        <v>3</v>
      </c>
      <c r="F4847" s="497">
        <f t="shared" ca="1" si="292"/>
        <v>98</v>
      </c>
      <c r="G4847" s="497" t="s">
        <v>10093</v>
      </c>
      <c r="H4847" s="503"/>
      <c r="I4847" s="503"/>
      <c r="J4847" s="503"/>
      <c r="K4847" s="503"/>
      <c r="L4847" s="497"/>
      <c r="M4847" s="497"/>
      <c r="N4847" s="497"/>
      <c r="O4847" s="497"/>
      <c r="P4847" s="497">
        <f t="shared" si="293"/>
        <v>537</v>
      </c>
      <c r="Q4847" s="497" t="b">
        <v>0</v>
      </c>
    </row>
    <row r="4848" spans="1:17" x14ac:dyDescent="0.35">
      <c r="A4848" s="497" t="b">
        <v>0</v>
      </c>
      <c r="B4848" s="497" t="s">
        <v>10772</v>
      </c>
      <c r="C4848" s="512">
        <v>90</v>
      </c>
      <c r="D4848" s="497">
        <f t="shared" si="290"/>
        <v>58</v>
      </c>
      <c r="E4848" s="497">
        <f t="shared" si="291"/>
        <v>4</v>
      </c>
      <c r="F4848" s="497">
        <f t="shared" ca="1" si="292"/>
        <v>98</v>
      </c>
      <c r="G4848" s="497" t="s">
        <v>10093</v>
      </c>
      <c r="H4848" s="503"/>
      <c r="I4848" s="503"/>
      <c r="J4848" s="503"/>
      <c r="K4848" s="503"/>
      <c r="L4848" s="497"/>
      <c r="M4848" s="497"/>
      <c r="N4848" s="497"/>
      <c r="O4848" s="497"/>
      <c r="P4848" s="497">
        <f t="shared" si="293"/>
        <v>538</v>
      </c>
      <c r="Q4848" s="497" t="b">
        <v>0</v>
      </c>
    </row>
    <row r="4849" spans="1:17" x14ac:dyDescent="0.35">
      <c r="A4849" s="497" t="b">
        <v>0</v>
      </c>
      <c r="B4849" s="497" t="s">
        <v>10773</v>
      </c>
      <c r="C4849" s="512">
        <v>90</v>
      </c>
      <c r="D4849" s="497">
        <f t="shared" si="290"/>
        <v>59</v>
      </c>
      <c r="E4849" s="497">
        <f t="shared" si="291"/>
        <v>5</v>
      </c>
      <c r="F4849" s="497">
        <f t="shared" ca="1" si="292"/>
        <v>98</v>
      </c>
      <c r="G4849" s="497" t="s">
        <v>10093</v>
      </c>
      <c r="H4849" s="503"/>
      <c r="I4849" s="503"/>
      <c r="J4849" s="503"/>
      <c r="K4849" s="503"/>
      <c r="L4849" s="497"/>
      <c r="M4849" s="497"/>
      <c r="N4849" s="497"/>
      <c r="O4849" s="497"/>
      <c r="P4849" s="497">
        <f t="shared" si="293"/>
        <v>539</v>
      </c>
      <c r="Q4849" s="497" t="b">
        <v>0</v>
      </c>
    </row>
    <row r="4850" spans="1:17" x14ac:dyDescent="0.35">
      <c r="A4850" s="497" t="b">
        <v>0</v>
      </c>
      <c r="B4850" s="497" t="s">
        <v>10774</v>
      </c>
      <c r="C4850" s="512">
        <v>90</v>
      </c>
      <c r="D4850" s="497">
        <f t="shared" si="290"/>
        <v>60</v>
      </c>
      <c r="E4850" s="497">
        <f t="shared" si="291"/>
        <v>6</v>
      </c>
      <c r="F4850" s="497">
        <f t="shared" ca="1" si="292"/>
        <v>98</v>
      </c>
      <c r="G4850" s="497" t="s">
        <v>10093</v>
      </c>
      <c r="H4850" s="503"/>
      <c r="I4850" s="503"/>
      <c r="J4850" s="503"/>
      <c r="K4850" s="503"/>
      <c r="L4850" s="497"/>
      <c r="M4850" s="497"/>
      <c r="N4850" s="497"/>
      <c r="O4850" s="497"/>
      <c r="P4850" s="497">
        <f t="shared" si="293"/>
        <v>540</v>
      </c>
      <c r="Q4850" s="497" t="b">
        <v>0</v>
      </c>
    </row>
    <row r="4851" spans="1:17" x14ac:dyDescent="0.35">
      <c r="A4851" s="497" t="b">
        <v>0</v>
      </c>
      <c r="B4851" s="497" t="s">
        <v>10775</v>
      </c>
      <c r="C4851" s="512">
        <v>91</v>
      </c>
      <c r="D4851" s="497">
        <f t="shared" si="290"/>
        <v>61</v>
      </c>
      <c r="E4851" s="497">
        <f t="shared" si="291"/>
        <v>1</v>
      </c>
      <c r="F4851" s="497">
        <f t="shared" ca="1" si="292"/>
        <v>99</v>
      </c>
      <c r="G4851" s="497" t="s">
        <v>10095</v>
      </c>
      <c r="H4851" s="503"/>
      <c r="I4851" s="503"/>
      <c r="J4851" s="503"/>
      <c r="K4851" s="503"/>
      <c r="L4851" s="497"/>
      <c r="M4851" s="497"/>
      <c r="N4851" s="497"/>
      <c r="O4851" s="497"/>
      <c r="P4851" s="497">
        <f t="shared" si="293"/>
        <v>541</v>
      </c>
      <c r="Q4851" s="497" t="b">
        <v>0</v>
      </c>
    </row>
    <row r="4852" spans="1:17" x14ac:dyDescent="0.35">
      <c r="A4852" s="497" t="b">
        <v>0</v>
      </c>
      <c r="B4852" s="497" t="s">
        <v>10776</v>
      </c>
      <c r="C4852" s="512">
        <v>91</v>
      </c>
      <c r="D4852" s="497">
        <f t="shared" si="290"/>
        <v>62</v>
      </c>
      <c r="E4852" s="497">
        <f t="shared" si="291"/>
        <v>2</v>
      </c>
      <c r="F4852" s="497">
        <f t="shared" ca="1" si="292"/>
        <v>99</v>
      </c>
      <c r="G4852" s="497" t="s">
        <v>10095</v>
      </c>
      <c r="H4852" s="503"/>
      <c r="I4852" s="503"/>
      <c r="J4852" s="503"/>
      <c r="K4852" s="503"/>
      <c r="L4852" s="497"/>
      <c r="M4852" s="497"/>
      <c r="N4852" s="497"/>
      <c r="O4852" s="497"/>
      <c r="P4852" s="497">
        <f t="shared" si="293"/>
        <v>542</v>
      </c>
      <c r="Q4852" s="497" t="b">
        <v>0</v>
      </c>
    </row>
    <row r="4853" spans="1:17" x14ac:dyDescent="0.35">
      <c r="A4853" s="497" t="b">
        <v>0</v>
      </c>
      <c r="B4853" s="497" t="s">
        <v>10777</v>
      </c>
      <c r="C4853" s="512">
        <v>91</v>
      </c>
      <c r="D4853" s="497">
        <f t="shared" si="290"/>
        <v>63</v>
      </c>
      <c r="E4853" s="497">
        <f t="shared" si="291"/>
        <v>3</v>
      </c>
      <c r="F4853" s="497">
        <f t="shared" ca="1" si="292"/>
        <v>99</v>
      </c>
      <c r="G4853" s="497" t="s">
        <v>10095</v>
      </c>
      <c r="H4853" s="503"/>
      <c r="I4853" s="503"/>
      <c r="J4853" s="503"/>
      <c r="K4853" s="503"/>
      <c r="L4853" s="497"/>
      <c r="M4853" s="497"/>
      <c r="N4853" s="497"/>
      <c r="O4853" s="497"/>
      <c r="P4853" s="497">
        <f t="shared" si="293"/>
        <v>543</v>
      </c>
      <c r="Q4853" s="497" t="b">
        <v>0</v>
      </c>
    </row>
    <row r="4854" spans="1:17" x14ac:dyDescent="0.35">
      <c r="A4854" s="497" t="b">
        <v>0</v>
      </c>
      <c r="B4854" s="497" t="s">
        <v>10778</v>
      </c>
      <c r="C4854" s="512">
        <v>91</v>
      </c>
      <c r="D4854" s="497">
        <f t="shared" si="290"/>
        <v>64</v>
      </c>
      <c r="E4854" s="497">
        <f t="shared" si="291"/>
        <v>4</v>
      </c>
      <c r="F4854" s="497">
        <f t="shared" ca="1" si="292"/>
        <v>99</v>
      </c>
      <c r="G4854" s="497" t="s">
        <v>10095</v>
      </c>
      <c r="H4854" s="503"/>
      <c r="I4854" s="503"/>
      <c r="J4854" s="503"/>
      <c r="K4854" s="503"/>
      <c r="L4854" s="497"/>
      <c r="M4854" s="497"/>
      <c r="N4854" s="497"/>
      <c r="O4854" s="497"/>
      <c r="P4854" s="497">
        <f t="shared" si="293"/>
        <v>544</v>
      </c>
      <c r="Q4854" s="497" t="b">
        <v>0</v>
      </c>
    </row>
    <row r="4855" spans="1:17" x14ac:dyDescent="0.35">
      <c r="A4855" s="497" t="b">
        <v>0</v>
      </c>
      <c r="B4855" s="497" t="s">
        <v>10779</v>
      </c>
      <c r="C4855" s="512">
        <v>91</v>
      </c>
      <c r="D4855" s="497">
        <f t="shared" si="290"/>
        <v>65</v>
      </c>
      <c r="E4855" s="497">
        <f t="shared" si="291"/>
        <v>5</v>
      </c>
      <c r="F4855" s="497">
        <f t="shared" ca="1" si="292"/>
        <v>99</v>
      </c>
      <c r="G4855" s="497" t="s">
        <v>10095</v>
      </c>
      <c r="H4855" s="503"/>
      <c r="I4855" s="503"/>
      <c r="J4855" s="503"/>
      <c r="K4855" s="503"/>
      <c r="L4855" s="497"/>
      <c r="M4855" s="497"/>
      <c r="N4855" s="497"/>
      <c r="O4855" s="497"/>
      <c r="P4855" s="497">
        <f t="shared" si="293"/>
        <v>545</v>
      </c>
      <c r="Q4855" s="497" t="b">
        <v>0</v>
      </c>
    </row>
    <row r="4856" spans="1:17" x14ac:dyDescent="0.35">
      <c r="A4856" s="497" t="b">
        <v>0</v>
      </c>
      <c r="B4856" s="497" t="s">
        <v>10780</v>
      </c>
      <c r="C4856" s="512">
        <v>91</v>
      </c>
      <c r="D4856" s="497">
        <f t="shared" si="290"/>
        <v>66</v>
      </c>
      <c r="E4856" s="497">
        <f t="shared" si="291"/>
        <v>6</v>
      </c>
      <c r="F4856" s="497">
        <f t="shared" ca="1" si="292"/>
        <v>99</v>
      </c>
      <c r="G4856" s="497" t="s">
        <v>10095</v>
      </c>
      <c r="H4856" s="503"/>
      <c r="I4856" s="503"/>
      <c r="J4856" s="503"/>
      <c r="K4856" s="503"/>
      <c r="L4856" s="497"/>
      <c r="M4856" s="497"/>
      <c r="N4856" s="497"/>
      <c r="O4856" s="497"/>
      <c r="P4856" s="497">
        <f t="shared" si="293"/>
        <v>546</v>
      </c>
      <c r="Q4856" s="497" t="b">
        <v>0</v>
      </c>
    </row>
    <row r="4857" spans="1:17" x14ac:dyDescent="0.35">
      <c r="A4857" s="497" t="b">
        <v>0</v>
      </c>
      <c r="B4857" s="497" t="s">
        <v>10781</v>
      </c>
      <c r="C4857" s="512">
        <v>92</v>
      </c>
      <c r="D4857" s="497">
        <f t="shared" si="290"/>
        <v>67</v>
      </c>
      <c r="E4857" s="497">
        <f t="shared" si="291"/>
        <v>1</v>
      </c>
      <c r="F4857" s="497">
        <f t="shared" ca="1" si="292"/>
        <v>100</v>
      </c>
      <c r="G4857" s="497" t="s">
        <v>10097</v>
      </c>
      <c r="H4857" s="503"/>
      <c r="I4857" s="503"/>
      <c r="J4857" s="503"/>
      <c r="K4857" s="503"/>
      <c r="L4857" s="497"/>
      <c r="M4857" s="497"/>
      <c r="N4857" s="497"/>
      <c r="O4857" s="497"/>
      <c r="P4857" s="497">
        <f t="shared" si="293"/>
        <v>547</v>
      </c>
      <c r="Q4857" s="497" t="b">
        <v>0</v>
      </c>
    </row>
    <row r="4858" spans="1:17" x14ac:dyDescent="0.35">
      <c r="A4858" s="497" t="b">
        <v>0</v>
      </c>
      <c r="B4858" s="497" t="s">
        <v>10782</v>
      </c>
      <c r="C4858" s="512">
        <v>92</v>
      </c>
      <c r="D4858" s="497">
        <f t="shared" si="290"/>
        <v>68</v>
      </c>
      <c r="E4858" s="497">
        <f t="shared" si="291"/>
        <v>2</v>
      </c>
      <c r="F4858" s="497">
        <f t="shared" ca="1" si="292"/>
        <v>100</v>
      </c>
      <c r="G4858" s="497" t="s">
        <v>10097</v>
      </c>
      <c r="H4858" s="503"/>
      <c r="I4858" s="503"/>
      <c r="J4858" s="503"/>
      <c r="K4858" s="503"/>
      <c r="L4858" s="497"/>
      <c r="M4858" s="497"/>
      <c r="N4858" s="497"/>
      <c r="O4858" s="497"/>
      <c r="P4858" s="497">
        <f t="shared" si="293"/>
        <v>548</v>
      </c>
      <c r="Q4858" s="497" t="b">
        <v>0</v>
      </c>
    </row>
    <row r="4859" spans="1:17" x14ac:dyDescent="0.35">
      <c r="A4859" s="497" t="b">
        <v>0</v>
      </c>
      <c r="B4859" s="497" t="s">
        <v>10783</v>
      </c>
      <c r="C4859" s="512">
        <v>92</v>
      </c>
      <c r="D4859" s="497">
        <f t="shared" si="290"/>
        <v>69</v>
      </c>
      <c r="E4859" s="497">
        <f t="shared" si="291"/>
        <v>3</v>
      </c>
      <c r="F4859" s="497">
        <f t="shared" ca="1" si="292"/>
        <v>100</v>
      </c>
      <c r="G4859" s="497" t="s">
        <v>10097</v>
      </c>
      <c r="H4859" s="503"/>
      <c r="I4859" s="503"/>
      <c r="J4859" s="503"/>
      <c r="K4859" s="503"/>
      <c r="L4859" s="497"/>
      <c r="M4859" s="497"/>
      <c r="N4859" s="497"/>
      <c r="O4859" s="497"/>
      <c r="P4859" s="497">
        <f t="shared" si="293"/>
        <v>549</v>
      </c>
      <c r="Q4859" s="497" t="b">
        <v>0</v>
      </c>
    </row>
    <row r="4860" spans="1:17" x14ac:dyDescent="0.35">
      <c r="A4860" s="497" t="b">
        <v>0</v>
      </c>
      <c r="B4860" s="497" t="s">
        <v>10784</v>
      </c>
      <c r="C4860" s="512">
        <v>92</v>
      </c>
      <c r="D4860" s="497">
        <f t="shared" si="290"/>
        <v>70</v>
      </c>
      <c r="E4860" s="497">
        <f t="shared" si="291"/>
        <v>4</v>
      </c>
      <c r="F4860" s="497">
        <f t="shared" ca="1" si="292"/>
        <v>100</v>
      </c>
      <c r="G4860" s="497" t="s">
        <v>10097</v>
      </c>
      <c r="H4860" s="503"/>
      <c r="I4860" s="503"/>
      <c r="J4860" s="503"/>
      <c r="K4860" s="503"/>
      <c r="L4860" s="497"/>
      <c r="M4860" s="497"/>
      <c r="N4860" s="497"/>
      <c r="O4860" s="497"/>
      <c r="P4860" s="497">
        <f t="shared" si="293"/>
        <v>550</v>
      </c>
      <c r="Q4860" s="497" t="b">
        <v>0</v>
      </c>
    </row>
    <row r="4861" spans="1:17" x14ac:dyDescent="0.35">
      <c r="A4861" s="497" t="b">
        <v>0</v>
      </c>
      <c r="B4861" s="497" t="s">
        <v>10785</v>
      </c>
      <c r="C4861" s="512">
        <v>92</v>
      </c>
      <c r="D4861" s="497">
        <f t="shared" si="290"/>
        <v>71</v>
      </c>
      <c r="E4861" s="497">
        <f t="shared" si="291"/>
        <v>5</v>
      </c>
      <c r="F4861" s="497">
        <f t="shared" ca="1" si="292"/>
        <v>100</v>
      </c>
      <c r="G4861" s="497" t="s">
        <v>10097</v>
      </c>
      <c r="H4861" s="503"/>
      <c r="I4861" s="503"/>
      <c r="J4861" s="503"/>
      <c r="K4861" s="503"/>
      <c r="L4861" s="497"/>
      <c r="M4861" s="497"/>
      <c r="N4861" s="497"/>
      <c r="O4861" s="497"/>
      <c r="P4861" s="497">
        <f t="shared" si="293"/>
        <v>551</v>
      </c>
      <c r="Q4861" s="497" t="b">
        <v>0</v>
      </c>
    </row>
    <row r="4862" spans="1:17" x14ac:dyDescent="0.35">
      <c r="A4862" s="497" t="b">
        <v>0</v>
      </c>
      <c r="B4862" s="497" t="s">
        <v>10786</v>
      </c>
      <c r="C4862" s="512">
        <v>92</v>
      </c>
      <c r="D4862" s="497">
        <f t="shared" si="290"/>
        <v>72</v>
      </c>
      <c r="E4862" s="497">
        <f t="shared" si="291"/>
        <v>6</v>
      </c>
      <c r="F4862" s="497">
        <f t="shared" ca="1" si="292"/>
        <v>100</v>
      </c>
      <c r="G4862" s="497" t="s">
        <v>10097</v>
      </c>
      <c r="H4862" s="503"/>
      <c r="I4862" s="503"/>
      <c r="J4862" s="503"/>
      <c r="K4862" s="503"/>
      <c r="L4862" s="497"/>
      <c r="M4862" s="497"/>
      <c r="N4862" s="497"/>
      <c r="O4862" s="497"/>
      <c r="P4862" s="497">
        <f t="shared" si="293"/>
        <v>552</v>
      </c>
      <c r="Q4862" s="497" t="b">
        <v>0</v>
      </c>
    </row>
    <row r="4863" spans="1:17" x14ac:dyDescent="0.35">
      <c r="A4863" s="497" t="b">
        <v>0</v>
      </c>
      <c r="B4863" s="497" t="s">
        <v>10787</v>
      </c>
      <c r="C4863" s="512">
        <v>93</v>
      </c>
      <c r="D4863" s="497">
        <f t="shared" si="290"/>
        <v>73</v>
      </c>
      <c r="E4863" s="497">
        <f t="shared" si="291"/>
        <v>1</v>
      </c>
      <c r="F4863" s="497">
        <f t="shared" ca="1" si="292"/>
        <v>101</v>
      </c>
      <c r="G4863" s="497" t="s">
        <v>10099</v>
      </c>
      <c r="H4863" s="503"/>
      <c r="I4863" s="503"/>
      <c r="J4863" s="503"/>
      <c r="K4863" s="503"/>
      <c r="L4863" s="497"/>
      <c r="M4863" s="497"/>
      <c r="N4863" s="497"/>
      <c r="O4863" s="497"/>
      <c r="P4863" s="497">
        <f t="shared" si="293"/>
        <v>553</v>
      </c>
      <c r="Q4863" s="497" t="b">
        <v>0</v>
      </c>
    </row>
    <row r="4864" spans="1:17" x14ac:dyDescent="0.35">
      <c r="A4864" s="497" t="b">
        <v>0</v>
      </c>
      <c r="B4864" s="497" t="s">
        <v>10788</v>
      </c>
      <c r="C4864" s="512">
        <v>93</v>
      </c>
      <c r="D4864" s="497">
        <f t="shared" si="290"/>
        <v>74</v>
      </c>
      <c r="E4864" s="497">
        <f t="shared" si="291"/>
        <v>2</v>
      </c>
      <c r="F4864" s="497">
        <f t="shared" ca="1" si="292"/>
        <v>101</v>
      </c>
      <c r="G4864" s="497" t="s">
        <v>10099</v>
      </c>
      <c r="H4864" s="503"/>
      <c r="I4864" s="503"/>
      <c r="J4864" s="503"/>
      <c r="K4864" s="503"/>
      <c r="L4864" s="497"/>
      <c r="M4864" s="497"/>
      <c r="N4864" s="497"/>
      <c r="O4864" s="497"/>
      <c r="P4864" s="497">
        <f t="shared" si="293"/>
        <v>554</v>
      </c>
      <c r="Q4864" s="497" t="b">
        <v>0</v>
      </c>
    </row>
    <row r="4865" spans="1:17" x14ac:dyDescent="0.35">
      <c r="A4865" s="497" t="b">
        <v>0</v>
      </c>
      <c r="B4865" s="497" t="s">
        <v>10789</v>
      </c>
      <c r="C4865" s="512">
        <v>93</v>
      </c>
      <c r="D4865" s="497">
        <f t="shared" si="290"/>
        <v>75</v>
      </c>
      <c r="E4865" s="497">
        <f t="shared" si="291"/>
        <v>3</v>
      </c>
      <c r="F4865" s="497">
        <f t="shared" ca="1" si="292"/>
        <v>101</v>
      </c>
      <c r="G4865" s="497" t="s">
        <v>10099</v>
      </c>
      <c r="H4865" s="503"/>
      <c r="I4865" s="503"/>
      <c r="J4865" s="503"/>
      <c r="K4865" s="503"/>
      <c r="L4865" s="497"/>
      <c r="M4865" s="497"/>
      <c r="N4865" s="497"/>
      <c r="O4865" s="497"/>
      <c r="P4865" s="497">
        <f t="shared" si="293"/>
        <v>555</v>
      </c>
      <c r="Q4865" s="497" t="b">
        <v>0</v>
      </c>
    </row>
    <row r="4866" spans="1:17" x14ac:dyDescent="0.35">
      <c r="A4866" s="497" t="b">
        <v>0</v>
      </c>
      <c r="B4866" s="497" t="s">
        <v>10790</v>
      </c>
      <c r="C4866" s="512">
        <v>93</v>
      </c>
      <c r="D4866" s="497">
        <f t="shared" si="290"/>
        <v>76</v>
      </c>
      <c r="E4866" s="497">
        <f t="shared" si="291"/>
        <v>4</v>
      </c>
      <c r="F4866" s="497">
        <f t="shared" ca="1" si="292"/>
        <v>101</v>
      </c>
      <c r="G4866" s="497" t="s">
        <v>10099</v>
      </c>
      <c r="H4866" s="503"/>
      <c r="I4866" s="503"/>
      <c r="J4866" s="503"/>
      <c r="K4866" s="503"/>
      <c r="L4866" s="497"/>
      <c r="M4866" s="497"/>
      <c r="N4866" s="497"/>
      <c r="O4866" s="497"/>
      <c r="P4866" s="497">
        <f t="shared" si="293"/>
        <v>556</v>
      </c>
      <c r="Q4866" s="497" t="b">
        <v>0</v>
      </c>
    </row>
    <row r="4867" spans="1:17" x14ac:dyDescent="0.35">
      <c r="A4867" s="497" t="b">
        <v>0</v>
      </c>
      <c r="B4867" s="497" t="s">
        <v>10791</v>
      </c>
      <c r="C4867" s="512">
        <v>93</v>
      </c>
      <c r="D4867" s="497">
        <f t="shared" si="290"/>
        <v>77</v>
      </c>
      <c r="E4867" s="497">
        <f t="shared" si="291"/>
        <v>5</v>
      </c>
      <c r="F4867" s="497">
        <f t="shared" ca="1" si="292"/>
        <v>101</v>
      </c>
      <c r="G4867" s="497" t="s">
        <v>10099</v>
      </c>
      <c r="H4867" s="503"/>
      <c r="I4867" s="503"/>
      <c r="J4867" s="503"/>
      <c r="K4867" s="503"/>
      <c r="L4867" s="497"/>
      <c r="M4867" s="497"/>
      <c r="N4867" s="497"/>
      <c r="O4867" s="497"/>
      <c r="P4867" s="497">
        <f t="shared" si="293"/>
        <v>557</v>
      </c>
      <c r="Q4867" s="497" t="b">
        <v>0</v>
      </c>
    </row>
    <row r="4868" spans="1:17" x14ac:dyDescent="0.35">
      <c r="A4868" s="497" t="b">
        <v>0</v>
      </c>
      <c r="B4868" s="497" t="s">
        <v>10792</v>
      </c>
      <c r="C4868" s="512">
        <v>93</v>
      </c>
      <c r="D4868" s="497">
        <f t="shared" si="290"/>
        <v>78</v>
      </c>
      <c r="E4868" s="497">
        <f t="shared" si="291"/>
        <v>6</v>
      </c>
      <c r="F4868" s="497">
        <f t="shared" ca="1" si="292"/>
        <v>101</v>
      </c>
      <c r="G4868" s="497" t="s">
        <v>10099</v>
      </c>
      <c r="H4868" s="503"/>
      <c r="I4868" s="503"/>
      <c r="J4868" s="503"/>
      <c r="K4868" s="503"/>
      <c r="L4868" s="497"/>
      <c r="M4868" s="497"/>
      <c r="N4868" s="497"/>
      <c r="O4868" s="497"/>
      <c r="P4868" s="497">
        <f t="shared" si="293"/>
        <v>558</v>
      </c>
      <c r="Q4868" s="497" t="b">
        <v>0</v>
      </c>
    </row>
    <row r="4869" spans="1:17" x14ac:dyDescent="0.35">
      <c r="A4869" s="497" t="b">
        <v>0</v>
      </c>
      <c r="B4869" s="497" t="s">
        <v>10793</v>
      </c>
      <c r="C4869" s="512">
        <v>94</v>
      </c>
      <c r="D4869" s="497">
        <f t="shared" si="290"/>
        <v>79</v>
      </c>
      <c r="E4869" s="497">
        <f t="shared" si="291"/>
        <v>1</v>
      </c>
      <c r="F4869" s="497">
        <f t="shared" ca="1" si="292"/>
        <v>102</v>
      </c>
      <c r="G4869" s="497" t="s">
        <v>10101</v>
      </c>
      <c r="H4869" s="503"/>
      <c r="I4869" s="503"/>
      <c r="J4869" s="503"/>
      <c r="K4869" s="503"/>
      <c r="L4869" s="497"/>
      <c r="M4869" s="497"/>
      <c r="N4869" s="497"/>
      <c r="O4869" s="497"/>
      <c r="P4869" s="497">
        <f t="shared" si="293"/>
        <v>559</v>
      </c>
      <c r="Q4869" s="497" t="b">
        <v>0</v>
      </c>
    </row>
    <row r="4870" spans="1:17" x14ac:dyDescent="0.35">
      <c r="A4870" s="497" t="b">
        <v>0</v>
      </c>
      <c r="B4870" s="497" t="s">
        <v>10794</v>
      </c>
      <c r="C4870" s="512">
        <v>94</v>
      </c>
      <c r="D4870" s="497">
        <f t="shared" si="290"/>
        <v>80</v>
      </c>
      <c r="E4870" s="497">
        <f t="shared" si="291"/>
        <v>2</v>
      </c>
      <c r="F4870" s="497">
        <f t="shared" ca="1" si="292"/>
        <v>102</v>
      </c>
      <c r="G4870" s="497" t="s">
        <v>10101</v>
      </c>
      <c r="H4870" s="503"/>
      <c r="I4870" s="503"/>
      <c r="J4870" s="503"/>
      <c r="K4870" s="503"/>
      <c r="L4870" s="497"/>
      <c r="M4870" s="497"/>
      <c r="N4870" s="497"/>
      <c r="O4870" s="497"/>
      <c r="P4870" s="497">
        <f t="shared" si="293"/>
        <v>560</v>
      </c>
      <c r="Q4870" s="497" t="b">
        <v>0</v>
      </c>
    </row>
    <row r="4871" spans="1:17" x14ac:dyDescent="0.35">
      <c r="A4871" s="497" t="b">
        <v>0</v>
      </c>
      <c r="B4871" s="497" t="s">
        <v>10795</v>
      </c>
      <c r="C4871" s="512">
        <v>94</v>
      </c>
      <c r="D4871" s="497">
        <f t="shared" si="290"/>
        <v>81</v>
      </c>
      <c r="E4871" s="497">
        <f t="shared" si="291"/>
        <v>3</v>
      </c>
      <c r="F4871" s="497">
        <f t="shared" ca="1" si="292"/>
        <v>102</v>
      </c>
      <c r="G4871" s="497" t="s">
        <v>10101</v>
      </c>
      <c r="H4871" s="503"/>
      <c r="I4871" s="503"/>
      <c r="J4871" s="503"/>
      <c r="K4871" s="503"/>
      <c r="L4871" s="497"/>
      <c r="M4871" s="497"/>
      <c r="N4871" s="497"/>
      <c r="O4871" s="497"/>
      <c r="P4871" s="497">
        <f t="shared" si="293"/>
        <v>561</v>
      </c>
      <c r="Q4871" s="497" t="b">
        <v>0</v>
      </c>
    </row>
    <row r="4872" spans="1:17" x14ac:dyDescent="0.35">
      <c r="A4872" s="497" t="b">
        <v>0</v>
      </c>
      <c r="B4872" s="497" t="s">
        <v>10796</v>
      </c>
      <c r="C4872" s="512">
        <v>94</v>
      </c>
      <c r="D4872" s="497">
        <f t="shared" si="290"/>
        <v>82</v>
      </c>
      <c r="E4872" s="497">
        <f t="shared" si="291"/>
        <v>4</v>
      </c>
      <c r="F4872" s="497">
        <f t="shared" ca="1" si="292"/>
        <v>102</v>
      </c>
      <c r="G4872" s="497" t="s">
        <v>10101</v>
      </c>
      <c r="H4872" s="503"/>
      <c r="I4872" s="503"/>
      <c r="J4872" s="503"/>
      <c r="K4872" s="503"/>
      <c r="L4872" s="497"/>
      <c r="M4872" s="497"/>
      <c r="N4872" s="497"/>
      <c r="O4872" s="497"/>
      <c r="P4872" s="497">
        <f t="shared" si="293"/>
        <v>562</v>
      </c>
      <c r="Q4872" s="497" t="b">
        <v>0</v>
      </c>
    </row>
    <row r="4873" spans="1:17" x14ac:dyDescent="0.35">
      <c r="A4873" s="497" t="b">
        <v>0</v>
      </c>
      <c r="B4873" s="497" t="s">
        <v>10797</v>
      </c>
      <c r="C4873" s="512">
        <v>94</v>
      </c>
      <c r="D4873" s="497">
        <f t="shared" si="290"/>
        <v>83</v>
      </c>
      <c r="E4873" s="497">
        <f t="shared" si="291"/>
        <v>5</v>
      </c>
      <c r="F4873" s="497">
        <f t="shared" ca="1" si="292"/>
        <v>102</v>
      </c>
      <c r="G4873" s="497" t="s">
        <v>10101</v>
      </c>
      <c r="H4873" s="503"/>
      <c r="I4873" s="503"/>
      <c r="J4873" s="503"/>
      <c r="K4873" s="503"/>
      <c r="L4873" s="497"/>
      <c r="M4873" s="497"/>
      <c r="N4873" s="497"/>
      <c r="O4873" s="497"/>
      <c r="P4873" s="497">
        <f t="shared" si="293"/>
        <v>563</v>
      </c>
      <c r="Q4873" s="497" t="b">
        <v>0</v>
      </c>
    </row>
    <row r="4874" spans="1:17" x14ac:dyDescent="0.35">
      <c r="A4874" s="497" t="b">
        <v>0</v>
      </c>
      <c r="B4874" s="497" t="s">
        <v>10798</v>
      </c>
      <c r="C4874" s="512">
        <v>94</v>
      </c>
      <c r="D4874" s="497">
        <f t="shared" si="290"/>
        <v>84</v>
      </c>
      <c r="E4874" s="497">
        <f t="shared" si="291"/>
        <v>6</v>
      </c>
      <c r="F4874" s="497">
        <f t="shared" ca="1" si="292"/>
        <v>102</v>
      </c>
      <c r="G4874" s="497" t="s">
        <v>10101</v>
      </c>
      <c r="H4874" s="503"/>
      <c r="I4874" s="503"/>
      <c r="J4874" s="503"/>
      <c r="K4874" s="503"/>
      <c r="L4874" s="497"/>
      <c r="M4874" s="497"/>
      <c r="N4874" s="497"/>
      <c r="O4874" s="497"/>
      <c r="P4874" s="497">
        <f t="shared" si="293"/>
        <v>564</v>
      </c>
      <c r="Q4874" s="497" t="b">
        <v>0</v>
      </c>
    </row>
    <row r="4875" spans="1:17" x14ac:dyDescent="0.35">
      <c r="A4875" s="497" t="b">
        <v>0</v>
      </c>
      <c r="B4875" s="497" t="s">
        <v>10799</v>
      </c>
      <c r="C4875" s="512">
        <v>95</v>
      </c>
      <c r="D4875" s="497">
        <f t="shared" si="290"/>
        <v>85</v>
      </c>
      <c r="E4875" s="497">
        <f t="shared" si="291"/>
        <v>1</v>
      </c>
      <c r="F4875" s="497">
        <f t="shared" ca="1" si="292"/>
        <v>103</v>
      </c>
      <c r="G4875" s="497" t="s">
        <v>10103</v>
      </c>
      <c r="H4875" s="503"/>
      <c r="I4875" s="503"/>
      <c r="J4875" s="503"/>
      <c r="K4875" s="503"/>
      <c r="L4875" s="497"/>
      <c r="M4875" s="497"/>
      <c r="N4875" s="497"/>
      <c r="O4875" s="497"/>
      <c r="P4875" s="497">
        <f t="shared" si="293"/>
        <v>565</v>
      </c>
      <c r="Q4875" s="497" t="b">
        <v>0</v>
      </c>
    </row>
    <row r="4876" spans="1:17" x14ac:dyDescent="0.35">
      <c r="A4876" s="497" t="b">
        <v>0</v>
      </c>
      <c r="B4876" s="497" t="s">
        <v>10800</v>
      </c>
      <c r="C4876" s="512">
        <v>95</v>
      </c>
      <c r="D4876" s="497">
        <f t="shared" si="290"/>
        <v>86</v>
      </c>
      <c r="E4876" s="497">
        <f t="shared" si="291"/>
        <v>2</v>
      </c>
      <c r="F4876" s="497">
        <f t="shared" ca="1" si="292"/>
        <v>103</v>
      </c>
      <c r="G4876" s="497" t="s">
        <v>10103</v>
      </c>
      <c r="H4876" s="503"/>
      <c r="I4876" s="503"/>
      <c r="J4876" s="503"/>
      <c r="K4876" s="503"/>
      <c r="L4876" s="497"/>
      <c r="M4876" s="497"/>
      <c r="N4876" s="497"/>
      <c r="O4876" s="497"/>
      <c r="P4876" s="497">
        <f t="shared" si="293"/>
        <v>566</v>
      </c>
      <c r="Q4876" s="497" t="b">
        <v>0</v>
      </c>
    </row>
    <row r="4877" spans="1:17" x14ac:dyDescent="0.35">
      <c r="A4877" s="497" t="b">
        <v>0</v>
      </c>
      <c r="B4877" s="497" t="s">
        <v>10801</v>
      </c>
      <c r="C4877" s="512">
        <v>95</v>
      </c>
      <c r="D4877" s="497">
        <f t="shared" si="290"/>
        <v>87</v>
      </c>
      <c r="E4877" s="497">
        <f t="shared" si="291"/>
        <v>3</v>
      </c>
      <c r="F4877" s="497">
        <f t="shared" ca="1" si="292"/>
        <v>103</v>
      </c>
      <c r="G4877" s="497" t="s">
        <v>10103</v>
      </c>
      <c r="H4877" s="503"/>
      <c r="I4877" s="503"/>
      <c r="J4877" s="503"/>
      <c r="K4877" s="503"/>
      <c r="L4877" s="497"/>
      <c r="M4877" s="497"/>
      <c r="N4877" s="497"/>
      <c r="O4877" s="497"/>
      <c r="P4877" s="497">
        <f t="shared" si="293"/>
        <v>567</v>
      </c>
      <c r="Q4877" s="497" t="b">
        <v>0</v>
      </c>
    </row>
    <row r="4878" spans="1:17" x14ac:dyDescent="0.35">
      <c r="A4878" s="497" t="b">
        <v>0</v>
      </c>
      <c r="B4878" s="497" t="s">
        <v>10802</v>
      </c>
      <c r="C4878" s="512">
        <v>95</v>
      </c>
      <c r="D4878" s="497">
        <f t="shared" si="290"/>
        <v>88</v>
      </c>
      <c r="E4878" s="497">
        <f t="shared" si="291"/>
        <v>4</v>
      </c>
      <c r="F4878" s="497">
        <f t="shared" ca="1" si="292"/>
        <v>103</v>
      </c>
      <c r="G4878" s="497" t="s">
        <v>10103</v>
      </c>
      <c r="H4878" s="503"/>
      <c r="I4878" s="503"/>
      <c r="J4878" s="503"/>
      <c r="K4878" s="503"/>
      <c r="L4878" s="497"/>
      <c r="M4878" s="497"/>
      <c r="N4878" s="497"/>
      <c r="O4878" s="497"/>
      <c r="P4878" s="497">
        <f t="shared" si="293"/>
        <v>568</v>
      </c>
      <c r="Q4878" s="497" t="b">
        <v>0</v>
      </c>
    </row>
    <row r="4879" spans="1:17" x14ac:dyDescent="0.35">
      <c r="A4879" s="497" t="b">
        <v>0</v>
      </c>
      <c r="B4879" s="497" t="s">
        <v>10803</v>
      </c>
      <c r="C4879" s="512">
        <v>95</v>
      </c>
      <c r="D4879" s="497">
        <f t="shared" si="290"/>
        <v>89</v>
      </c>
      <c r="E4879" s="497">
        <f t="shared" si="291"/>
        <v>5</v>
      </c>
      <c r="F4879" s="497">
        <f t="shared" ca="1" si="292"/>
        <v>103</v>
      </c>
      <c r="G4879" s="497" t="s">
        <v>10103</v>
      </c>
      <c r="H4879" s="503"/>
      <c r="I4879" s="503"/>
      <c r="J4879" s="503"/>
      <c r="K4879" s="503"/>
      <c r="L4879" s="497"/>
      <c r="M4879" s="497"/>
      <c r="N4879" s="497"/>
      <c r="O4879" s="497"/>
      <c r="P4879" s="497">
        <f t="shared" si="293"/>
        <v>569</v>
      </c>
      <c r="Q4879" s="497" t="b">
        <v>0</v>
      </c>
    </row>
    <row r="4880" spans="1:17" x14ac:dyDescent="0.35">
      <c r="A4880" s="497" t="b">
        <v>0</v>
      </c>
      <c r="B4880" s="497" t="s">
        <v>10804</v>
      </c>
      <c r="C4880" s="512">
        <v>95</v>
      </c>
      <c r="D4880" s="497">
        <f t="shared" si="290"/>
        <v>90</v>
      </c>
      <c r="E4880" s="497">
        <f t="shared" si="291"/>
        <v>6</v>
      </c>
      <c r="F4880" s="497">
        <f t="shared" ca="1" si="292"/>
        <v>103</v>
      </c>
      <c r="G4880" s="497" t="s">
        <v>10103</v>
      </c>
      <c r="H4880" s="503"/>
      <c r="I4880" s="503"/>
      <c r="J4880" s="503"/>
      <c r="K4880" s="503"/>
      <c r="L4880" s="497"/>
      <c r="M4880" s="497"/>
      <c r="N4880" s="497"/>
      <c r="O4880" s="497"/>
      <c r="P4880" s="497">
        <f t="shared" si="293"/>
        <v>570</v>
      </c>
      <c r="Q4880" s="497" t="b">
        <v>0</v>
      </c>
    </row>
    <row r="4881" spans="1:17" x14ac:dyDescent="0.35">
      <c r="A4881" s="497" t="b">
        <v>0</v>
      </c>
      <c r="B4881" s="497" t="s">
        <v>10805</v>
      </c>
      <c r="C4881" s="512">
        <v>96</v>
      </c>
      <c r="D4881" s="497">
        <f t="shared" si="290"/>
        <v>91</v>
      </c>
      <c r="E4881" s="497">
        <f t="shared" si="291"/>
        <v>1</v>
      </c>
      <c r="F4881" s="497">
        <f t="shared" ca="1" si="292"/>
        <v>104</v>
      </c>
      <c r="G4881" s="497" t="s">
        <v>10105</v>
      </c>
      <c r="H4881" s="503"/>
      <c r="I4881" s="503"/>
      <c r="J4881" s="503"/>
      <c r="K4881" s="503"/>
      <c r="L4881" s="497"/>
      <c r="M4881" s="497"/>
      <c r="N4881" s="497"/>
      <c r="O4881" s="497"/>
      <c r="P4881" s="497">
        <f t="shared" si="293"/>
        <v>571</v>
      </c>
      <c r="Q4881" s="497" t="b">
        <v>0</v>
      </c>
    </row>
    <row r="4882" spans="1:17" x14ac:dyDescent="0.35">
      <c r="A4882" s="497" t="b">
        <v>0</v>
      </c>
      <c r="B4882" s="497" t="s">
        <v>10806</v>
      </c>
      <c r="C4882" s="512">
        <v>96</v>
      </c>
      <c r="D4882" s="497">
        <f t="shared" si="290"/>
        <v>92</v>
      </c>
      <c r="E4882" s="497">
        <f t="shared" si="291"/>
        <v>2</v>
      </c>
      <c r="F4882" s="497">
        <f t="shared" ca="1" si="292"/>
        <v>104</v>
      </c>
      <c r="G4882" s="497" t="s">
        <v>10105</v>
      </c>
      <c r="H4882" s="503"/>
      <c r="I4882" s="503"/>
      <c r="J4882" s="503"/>
      <c r="K4882" s="503"/>
      <c r="L4882" s="497"/>
      <c r="M4882" s="497"/>
      <c r="N4882" s="497"/>
      <c r="O4882" s="497"/>
      <c r="P4882" s="497">
        <f t="shared" si="293"/>
        <v>572</v>
      </c>
      <c r="Q4882" s="497" t="b">
        <v>0</v>
      </c>
    </row>
    <row r="4883" spans="1:17" x14ac:dyDescent="0.35">
      <c r="A4883" s="497" t="b">
        <v>0</v>
      </c>
      <c r="B4883" s="497" t="s">
        <v>10807</v>
      </c>
      <c r="C4883" s="512">
        <v>96</v>
      </c>
      <c r="D4883" s="497">
        <f t="shared" si="290"/>
        <v>93</v>
      </c>
      <c r="E4883" s="497">
        <f t="shared" si="291"/>
        <v>3</v>
      </c>
      <c r="F4883" s="497">
        <f t="shared" ca="1" si="292"/>
        <v>104</v>
      </c>
      <c r="G4883" s="497" t="s">
        <v>10105</v>
      </c>
      <c r="H4883" s="503"/>
      <c r="I4883" s="503"/>
      <c r="J4883" s="503"/>
      <c r="K4883" s="503"/>
      <c r="L4883" s="497"/>
      <c r="M4883" s="497"/>
      <c r="N4883" s="497"/>
      <c r="O4883" s="497"/>
      <c r="P4883" s="497">
        <f t="shared" si="293"/>
        <v>573</v>
      </c>
      <c r="Q4883" s="497" t="b">
        <v>0</v>
      </c>
    </row>
    <row r="4884" spans="1:17" x14ac:dyDescent="0.35">
      <c r="A4884" s="497" t="b">
        <v>0</v>
      </c>
      <c r="B4884" s="497" t="s">
        <v>10808</v>
      </c>
      <c r="C4884" s="512">
        <v>96</v>
      </c>
      <c r="D4884" s="497">
        <f t="shared" si="290"/>
        <v>94</v>
      </c>
      <c r="E4884" s="497">
        <f t="shared" si="291"/>
        <v>4</v>
      </c>
      <c r="F4884" s="497">
        <f t="shared" ca="1" si="292"/>
        <v>104</v>
      </c>
      <c r="G4884" s="497" t="s">
        <v>10105</v>
      </c>
      <c r="H4884" s="503"/>
      <c r="I4884" s="503"/>
      <c r="J4884" s="503"/>
      <c r="K4884" s="503"/>
      <c r="L4884" s="497"/>
      <c r="M4884" s="497"/>
      <c r="N4884" s="497"/>
      <c r="O4884" s="497"/>
      <c r="P4884" s="497">
        <f t="shared" si="293"/>
        <v>574</v>
      </c>
      <c r="Q4884" s="497" t="b">
        <v>0</v>
      </c>
    </row>
    <row r="4885" spans="1:17" x14ac:dyDescent="0.35">
      <c r="A4885" s="497" t="b">
        <v>0</v>
      </c>
      <c r="B4885" s="497" t="s">
        <v>10809</v>
      </c>
      <c r="C4885" s="512">
        <v>96</v>
      </c>
      <c r="D4885" s="497">
        <f t="shared" si="290"/>
        <v>95</v>
      </c>
      <c r="E4885" s="497">
        <f t="shared" si="291"/>
        <v>5</v>
      </c>
      <c r="F4885" s="497">
        <f t="shared" ca="1" si="292"/>
        <v>104</v>
      </c>
      <c r="G4885" s="497" t="s">
        <v>10105</v>
      </c>
      <c r="H4885" s="503"/>
      <c r="I4885" s="503"/>
      <c r="J4885" s="503"/>
      <c r="K4885" s="503"/>
      <c r="L4885" s="497"/>
      <c r="M4885" s="497"/>
      <c r="N4885" s="497"/>
      <c r="O4885" s="497"/>
      <c r="P4885" s="497">
        <f t="shared" si="293"/>
        <v>575</v>
      </c>
      <c r="Q4885" s="497" t="b">
        <v>0</v>
      </c>
    </row>
    <row r="4886" spans="1:17" x14ac:dyDescent="0.35">
      <c r="A4886" s="497" t="b">
        <v>0</v>
      </c>
      <c r="B4886" s="497" t="s">
        <v>10810</v>
      </c>
      <c r="C4886" s="512">
        <v>96</v>
      </c>
      <c r="D4886" s="497">
        <f t="shared" si="290"/>
        <v>96</v>
      </c>
      <c r="E4886" s="497">
        <f t="shared" si="291"/>
        <v>6</v>
      </c>
      <c r="F4886" s="497">
        <f t="shared" ca="1" si="292"/>
        <v>104</v>
      </c>
      <c r="G4886" s="497" t="s">
        <v>10105</v>
      </c>
      <c r="H4886" s="503"/>
      <c r="I4886" s="503"/>
      <c r="J4886" s="503"/>
      <c r="K4886" s="503"/>
      <c r="L4886" s="497"/>
      <c r="M4886" s="497"/>
      <c r="N4886" s="497"/>
      <c r="O4886" s="497"/>
      <c r="P4886" s="497">
        <f t="shared" si="293"/>
        <v>576</v>
      </c>
      <c r="Q4886" s="497" t="b">
        <v>0</v>
      </c>
    </row>
    <row r="4887" spans="1:17" x14ac:dyDescent="0.35">
      <c r="A4887" s="497" t="b">
        <v>0</v>
      </c>
      <c r="B4887" s="497" t="s">
        <v>10811</v>
      </c>
      <c r="C4887" s="512">
        <v>97</v>
      </c>
      <c r="D4887" s="497">
        <f t="shared" ref="D4887:D4950" si="294">D4886+1</f>
        <v>97</v>
      </c>
      <c r="E4887" s="497">
        <f t="shared" ref="E4887:E4950" si="295">COUNTIF(C4637:C4887,C4887)</f>
        <v>1</v>
      </c>
      <c r="F4887" s="497">
        <f t="shared" ref="F4887:F4950" ca="1" si="296">IF(C4887=1,9,IF(E4886=MAX(E4885:E4887),F4885+1,F4886))</f>
        <v>105</v>
      </c>
      <c r="G4887" s="497" t="s">
        <v>10107</v>
      </c>
      <c r="H4887" s="503"/>
      <c r="I4887" s="503"/>
      <c r="J4887" s="503"/>
      <c r="K4887" s="503"/>
      <c r="L4887" s="497"/>
      <c r="M4887" s="497"/>
      <c r="N4887" s="497"/>
      <c r="O4887" s="497"/>
      <c r="P4887" s="497">
        <f t="shared" ref="P4887:P4950" si="297">IF(NOT(_xlfn.ISFORMULA(I4887)),P4886+1,0)</f>
        <v>577</v>
      </c>
      <c r="Q4887" s="497" t="b">
        <v>0</v>
      </c>
    </row>
    <row r="4888" spans="1:17" x14ac:dyDescent="0.35">
      <c r="A4888" s="497" t="b">
        <v>0</v>
      </c>
      <c r="B4888" s="497" t="s">
        <v>10812</v>
      </c>
      <c r="C4888" s="512">
        <v>97</v>
      </c>
      <c r="D4888" s="497">
        <f t="shared" si="294"/>
        <v>98</v>
      </c>
      <c r="E4888" s="497">
        <f t="shared" si="295"/>
        <v>2</v>
      </c>
      <c r="F4888" s="497">
        <f t="shared" ca="1" si="296"/>
        <v>105</v>
      </c>
      <c r="G4888" s="497" t="s">
        <v>10107</v>
      </c>
      <c r="H4888" s="503"/>
      <c r="I4888" s="503"/>
      <c r="J4888" s="503"/>
      <c r="K4888" s="503"/>
      <c r="L4888" s="497"/>
      <c r="M4888" s="497"/>
      <c r="N4888" s="497"/>
      <c r="O4888" s="497"/>
      <c r="P4888" s="497">
        <f t="shared" si="297"/>
        <v>578</v>
      </c>
      <c r="Q4888" s="497" t="b">
        <v>0</v>
      </c>
    </row>
    <row r="4889" spans="1:17" x14ac:dyDescent="0.35">
      <c r="A4889" s="497" t="b">
        <v>0</v>
      </c>
      <c r="B4889" s="497" t="s">
        <v>10813</v>
      </c>
      <c r="C4889" s="512">
        <v>97</v>
      </c>
      <c r="D4889" s="497">
        <f t="shared" si="294"/>
        <v>99</v>
      </c>
      <c r="E4889" s="497">
        <f t="shared" si="295"/>
        <v>3</v>
      </c>
      <c r="F4889" s="497">
        <f t="shared" ca="1" si="296"/>
        <v>105</v>
      </c>
      <c r="G4889" s="497" t="s">
        <v>10107</v>
      </c>
      <c r="H4889" s="503"/>
      <c r="I4889" s="503"/>
      <c r="J4889" s="503"/>
      <c r="K4889" s="503"/>
      <c r="L4889" s="497"/>
      <c r="M4889" s="497"/>
      <c r="N4889" s="497"/>
      <c r="O4889" s="497"/>
      <c r="P4889" s="497">
        <f t="shared" si="297"/>
        <v>579</v>
      </c>
      <c r="Q4889" s="497" t="b">
        <v>0</v>
      </c>
    </row>
    <row r="4890" spans="1:17" x14ac:dyDescent="0.35">
      <c r="A4890" s="497" t="b">
        <v>0</v>
      </c>
      <c r="B4890" s="497" t="s">
        <v>10814</v>
      </c>
      <c r="C4890" s="512">
        <v>97</v>
      </c>
      <c r="D4890" s="497">
        <f t="shared" si="294"/>
        <v>100</v>
      </c>
      <c r="E4890" s="497">
        <f t="shared" si="295"/>
        <v>4</v>
      </c>
      <c r="F4890" s="497">
        <f t="shared" ca="1" si="296"/>
        <v>105</v>
      </c>
      <c r="G4890" s="497" t="s">
        <v>10107</v>
      </c>
      <c r="H4890" s="503"/>
      <c r="I4890" s="503"/>
      <c r="J4890" s="503"/>
      <c r="K4890" s="503"/>
      <c r="L4890" s="497"/>
      <c r="M4890" s="497"/>
      <c r="N4890" s="497"/>
      <c r="O4890" s="497"/>
      <c r="P4890" s="497">
        <f t="shared" si="297"/>
        <v>580</v>
      </c>
      <c r="Q4890" s="497" t="b">
        <v>0</v>
      </c>
    </row>
    <row r="4891" spans="1:17" x14ac:dyDescent="0.35">
      <c r="A4891" s="497" t="b">
        <v>0</v>
      </c>
      <c r="B4891" s="497" t="s">
        <v>10815</v>
      </c>
      <c r="C4891" s="512">
        <v>97</v>
      </c>
      <c r="D4891" s="497">
        <f t="shared" si="294"/>
        <v>101</v>
      </c>
      <c r="E4891" s="497">
        <f t="shared" si="295"/>
        <v>5</v>
      </c>
      <c r="F4891" s="497">
        <f t="shared" ca="1" si="296"/>
        <v>105</v>
      </c>
      <c r="G4891" s="497" t="s">
        <v>10107</v>
      </c>
      <c r="H4891" s="503"/>
      <c r="I4891" s="503"/>
      <c r="J4891" s="503"/>
      <c r="K4891" s="503"/>
      <c r="L4891" s="497"/>
      <c r="M4891" s="497"/>
      <c r="N4891" s="497"/>
      <c r="O4891" s="497"/>
      <c r="P4891" s="497">
        <f t="shared" si="297"/>
        <v>581</v>
      </c>
      <c r="Q4891" s="497" t="b">
        <v>0</v>
      </c>
    </row>
    <row r="4892" spans="1:17" x14ac:dyDescent="0.35">
      <c r="A4892" s="497" t="b">
        <v>0</v>
      </c>
      <c r="B4892" s="497" t="s">
        <v>10816</v>
      </c>
      <c r="C4892" s="512">
        <v>97</v>
      </c>
      <c r="D4892" s="497">
        <f t="shared" si="294"/>
        <v>102</v>
      </c>
      <c r="E4892" s="497">
        <f t="shared" si="295"/>
        <v>6</v>
      </c>
      <c r="F4892" s="497">
        <f t="shared" ca="1" si="296"/>
        <v>105</v>
      </c>
      <c r="G4892" s="497" t="s">
        <v>10107</v>
      </c>
      <c r="H4892" s="503"/>
      <c r="I4892" s="503"/>
      <c r="J4892" s="503"/>
      <c r="K4892" s="503"/>
      <c r="L4892" s="497"/>
      <c r="M4892" s="497"/>
      <c r="N4892" s="497"/>
      <c r="O4892" s="497"/>
      <c r="P4892" s="497">
        <f t="shared" si="297"/>
        <v>582</v>
      </c>
      <c r="Q4892" s="497" t="b">
        <v>0</v>
      </c>
    </row>
    <row r="4893" spans="1:17" x14ac:dyDescent="0.35">
      <c r="A4893" s="497" t="b">
        <v>0</v>
      </c>
      <c r="B4893" s="497" t="s">
        <v>10817</v>
      </c>
      <c r="C4893" s="512">
        <v>98</v>
      </c>
      <c r="D4893" s="497">
        <f t="shared" si="294"/>
        <v>103</v>
      </c>
      <c r="E4893" s="497">
        <f t="shared" si="295"/>
        <v>1</v>
      </c>
      <c r="F4893" s="497">
        <f t="shared" ca="1" si="296"/>
        <v>106</v>
      </c>
      <c r="G4893" s="497" t="s">
        <v>10109</v>
      </c>
      <c r="H4893" s="503"/>
      <c r="I4893" s="503"/>
      <c r="J4893" s="503"/>
      <c r="K4893" s="503"/>
      <c r="L4893" s="497"/>
      <c r="M4893" s="497"/>
      <c r="N4893" s="497"/>
      <c r="O4893" s="497"/>
      <c r="P4893" s="497">
        <f t="shared" si="297"/>
        <v>583</v>
      </c>
      <c r="Q4893" s="497" t="b">
        <v>0</v>
      </c>
    </row>
    <row r="4894" spans="1:17" x14ac:dyDescent="0.35">
      <c r="A4894" s="497" t="b">
        <v>0</v>
      </c>
      <c r="B4894" s="497" t="s">
        <v>10818</v>
      </c>
      <c r="C4894" s="512">
        <v>98</v>
      </c>
      <c r="D4894" s="497">
        <f t="shared" si="294"/>
        <v>104</v>
      </c>
      <c r="E4894" s="497">
        <f t="shared" si="295"/>
        <v>2</v>
      </c>
      <c r="F4894" s="497">
        <f t="shared" ca="1" si="296"/>
        <v>106</v>
      </c>
      <c r="G4894" s="497" t="s">
        <v>10109</v>
      </c>
      <c r="H4894" s="503"/>
      <c r="I4894" s="503"/>
      <c r="J4894" s="503"/>
      <c r="K4894" s="503"/>
      <c r="L4894" s="497"/>
      <c r="M4894" s="497"/>
      <c r="N4894" s="497"/>
      <c r="O4894" s="497"/>
      <c r="P4894" s="497">
        <f t="shared" si="297"/>
        <v>584</v>
      </c>
      <c r="Q4894" s="497" t="b">
        <v>0</v>
      </c>
    </row>
    <row r="4895" spans="1:17" x14ac:dyDescent="0.35">
      <c r="A4895" s="497" t="b">
        <v>0</v>
      </c>
      <c r="B4895" s="497" t="s">
        <v>10819</v>
      </c>
      <c r="C4895" s="512">
        <v>98</v>
      </c>
      <c r="D4895" s="497">
        <f t="shared" si="294"/>
        <v>105</v>
      </c>
      <c r="E4895" s="497">
        <f t="shared" si="295"/>
        <v>3</v>
      </c>
      <c r="F4895" s="497">
        <f t="shared" ca="1" si="296"/>
        <v>106</v>
      </c>
      <c r="G4895" s="497" t="s">
        <v>10109</v>
      </c>
      <c r="H4895" s="503"/>
      <c r="I4895" s="503"/>
      <c r="J4895" s="503"/>
      <c r="K4895" s="503"/>
      <c r="L4895" s="497"/>
      <c r="M4895" s="497"/>
      <c r="N4895" s="497"/>
      <c r="O4895" s="497"/>
      <c r="P4895" s="497">
        <f t="shared" si="297"/>
        <v>585</v>
      </c>
      <c r="Q4895" s="497" t="b">
        <v>0</v>
      </c>
    </row>
    <row r="4896" spans="1:17" x14ac:dyDescent="0.35">
      <c r="A4896" s="497" t="b">
        <v>0</v>
      </c>
      <c r="B4896" s="497" t="s">
        <v>10820</v>
      </c>
      <c r="C4896" s="512">
        <v>98</v>
      </c>
      <c r="D4896" s="497">
        <f t="shared" si="294"/>
        <v>106</v>
      </c>
      <c r="E4896" s="497">
        <f t="shared" si="295"/>
        <v>4</v>
      </c>
      <c r="F4896" s="497">
        <f t="shared" ca="1" si="296"/>
        <v>106</v>
      </c>
      <c r="G4896" s="497" t="s">
        <v>10109</v>
      </c>
      <c r="H4896" s="503"/>
      <c r="I4896" s="503"/>
      <c r="J4896" s="503"/>
      <c r="K4896" s="503"/>
      <c r="L4896" s="497"/>
      <c r="M4896" s="497"/>
      <c r="N4896" s="497"/>
      <c r="O4896" s="497"/>
      <c r="P4896" s="497">
        <f t="shared" si="297"/>
        <v>586</v>
      </c>
      <c r="Q4896" s="497" t="b">
        <v>0</v>
      </c>
    </row>
    <row r="4897" spans="1:17" x14ac:dyDescent="0.35">
      <c r="A4897" s="497" t="b">
        <v>0</v>
      </c>
      <c r="B4897" s="497" t="s">
        <v>10821</v>
      </c>
      <c r="C4897" s="512">
        <v>98</v>
      </c>
      <c r="D4897" s="497">
        <f t="shared" si="294"/>
        <v>107</v>
      </c>
      <c r="E4897" s="497">
        <f t="shared" si="295"/>
        <v>5</v>
      </c>
      <c r="F4897" s="497">
        <f t="shared" ca="1" si="296"/>
        <v>106</v>
      </c>
      <c r="G4897" s="497" t="s">
        <v>10109</v>
      </c>
      <c r="H4897" s="503"/>
      <c r="I4897" s="503"/>
      <c r="J4897" s="503"/>
      <c r="K4897" s="503"/>
      <c r="L4897" s="497"/>
      <c r="M4897" s="497"/>
      <c r="N4897" s="497"/>
      <c r="O4897" s="497"/>
      <c r="P4897" s="497">
        <f t="shared" si="297"/>
        <v>587</v>
      </c>
      <c r="Q4897" s="497" t="b">
        <v>0</v>
      </c>
    </row>
    <row r="4898" spans="1:17" x14ac:dyDescent="0.35">
      <c r="A4898" s="497" t="b">
        <v>0</v>
      </c>
      <c r="B4898" s="497" t="s">
        <v>10822</v>
      </c>
      <c r="C4898" s="512">
        <v>98</v>
      </c>
      <c r="D4898" s="497">
        <f t="shared" si="294"/>
        <v>108</v>
      </c>
      <c r="E4898" s="497">
        <f t="shared" si="295"/>
        <v>6</v>
      </c>
      <c r="F4898" s="497">
        <f t="shared" ca="1" si="296"/>
        <v>106</v>
      </c>
      <c r="G4898" s="497" t="s">
        <v>10109</v>
      </c>
      <c r="H4898" s="503"/>
      <c r="I4898" s="503"/>
      <c r="J4898" s="503"/>
      <c r="K4898" s="503"/>
      <c r="L4898" s="497"/>
      <c r="M4898" s="497"/>
      <c r="N4898" s="497"/>
      <c r="O4898" s="497"/>
      <c r="P4898" s="497">
        <f t="shared" si="297"/>
        <v>588</v>
      </c>
      <c r="Q4898" s="497" t="b">
        <v>0</v>
      </c>
    </row>
    <row r="4899" spans="1:17" x14ac:dyDescent="0.35">
      <c r="A4899" s="497" t="b">
        <v>0</v>
      </c>
      <c r="B4899" s="497" t="s">
        <v>10823</v>
      </c>
      <c r="C4899" s="512">
        <v>99</v>
      </c>
      <c r="D4899" s="497">
        <f t="shared" si="294"/>
        <v>109</v>
      </c>
      <c r="E4899" s="497">
        <f t="shared" si="295"/>
        <v>1</v>
      </c>
      <c r="F4899" s="497">
        <f t="shared" ca="1" si="296"/>
        <v>107</v>
      </c>
      <c r="G4899" s="497" t="s">
        <v>10111</v>
      </c>
      <c r="H4899" s="503"/>
      <c r="I4899" s="503"/>
      <c r="J4899" s="503"/>
      <c r="K4899" s="503"/>
      <c r="L4899" s="497"/>
      <c r="M4899" s="497"/>
      <c r="N4899" s="497"/>
      <c r="O4899" s="497"/>
      <c r="P4899" s="497">
        <f t="shared" si="297"/>
        <v>589</v>
      </c>
      <c r="Q4899" s="497" t="b">
        <v>0</v>
      </c>
    </row>
    <row r="4900" spans="1:17" x14ac:dyDescent="0.35">
      <c r="A4900" s="497" t="b">
        <v>0</v>
      </c>
      <c r="B4900" s="497" t="s">
        <v>10824</v>
      </c>
      <c r="C4900" s="512">
        <v>99</v>
      </c>
      <c r="D4900" s="497">
        <f t="shared" si="294"/>
        <v>110</v>
      </c>
      <c r="E4900" s="497">
        <f t="shared" si="295"/>
        <v>2</v>
      </c>
      <c r="F4900" s="497">
        <f t="shared" ca="1" si="296"/>
        <v>107</v>
      </c>
      <c r="G4900" s="497" t="s">
        <v>10111</v>
      </c>
      <c r="H4900" s="503"/>
      <c r="I4900" s="503"/>
      <c r="J4900" s="503"/>
      <c r="K4900" s="503"/>
      <c r="L4900" s="497"/>
      <c r="M4900" s="497"/>
      <c r="N4900" s="497"/>
      <c r="O4900" s="497"/>
      <c r="P4900" s="497">
        <f t="shared" si="297"/>
        <v>590</v>
      </c>
      <c r="Q4900" s="497" t="b">
        <v>0</v>
      </c>
    </row>
    <row r="4901" spans="1:17" x14ac:dyDescent="0.35">
      <c r="A4901" s="497" t="b">
        <v>0</v>
      </c>
      <c r="B4901" s="497" t="s">
        <v>10825</v>
      </c>
      <c r="C4901" s="512">
        <v>99</v>
      </c>
      <c r="D4901" s="497">
        <f t="shared" si="294"/>
        <v>111</v>
      </c>
      <c r="E4901" s="497">
        <f t="shared" si="295"/>
        <v>3</v>
      </c>
      <c r="F4901" s="497">
        <f t="shared" ca="1" si="296"/>
        <v>107</v>
      </c>
      <c r="G4901" s="497" t="s">
        <v>10111</v>
      </c>
      <c r="H4901" s="503"/>
      <c r="I4901" s="503"/>
      <c r="J4901" s="503"/>
      <c r="K4901" s="503"/>
      <c r="L4901" s="497"/>
      <c r="M4901" s="497"/>
      <c r="N4901" s="497"/>
      <c r="O4901" s="497"/>
      <c r="P4901" s="497">
        <f t="shared" si="297"/>
        <v>591</v>
      </c>
      <c r="Q4901" s="497" t="b">
        <v>0</v>
      </c>
    </row>
    <row r="4902" spans="1:17" x14ac:dyDescent="0.35">
      <c r="A4902" s="497" t="b">
        <v>0</v>
      </c>
      <c r="B4902" s="497" t="s">
        <v>10826</v>
      </c>
      <c r="C4902" s="512">
        <v>99</v>
      </c>
      <c r="D4902" s="497">
        <f t="shared" si="294"/>
        <v>112</v>
      </c>
      <c r="E4902" s="497">
        <f t="shared" si="295"/>
        <v>4</v>
      </c>
      <c r="F4902" s="497">
        <f t="shared" ca="1" si="296"/>
        <v>107</v>
      </c>
      <c r="G4902" s="497" t="s">
        <v>10111</v>
      </c>
      <c r="H4902" s="503"/>
      <c r="I4902" s="503"/>
      <c r="J4902" s="503"/>
      <c r="K4902" s="503"/>
      <c r="L4902" s="497"/>
      <c r="M4902" s="497"/>
      <c r="N4902" s="497"/>
      <c r="O4902" s="497"/>
      <c r="P4902" s="497">
        <f t="shared" si="297"/>
        <v>592</v>
      </c>
      <c r="Q4902" s="497" t="b">
        <v>0</v>
      </c>
    </row>
    <row r="4903" spans="1:17" x14ac:dyDescent="0.35">
      <c r="A4903" s="497" t="b">
        <v>0</v>
      </c>
      <c r="B4903" s="497" t="s">
        <v>10827</v>
      </c>
      <c r="C4903" s="512">
        <v>99</v>
      </c>
      <c r="D4903" s="497">
        <f t="shared" si="294"/>
        <v>113</v>
      </c>
      <c r="E4903" s="497">
        <f t="shared" si="295"/>
        <v>5</v>
      </c>
      <c r="F4903" s="497">
        <f t="shared" ca="1" si="296"/>
        <v>107</v>
      </c>
      <c r="G4903" s="497" t="s">
        <v>10111</v>
      </c>
      <c r="H4903" s="503"/>
      <c r="I4903" s="503"/>
      <c r="J4903" s="503"/>
      <c r="K4903" s="503"/>
      <c r="L4903" s="497"/>
      <c r="M4903" s="497"/>
      <c r="N4903" s="497"/>
      <c r="O4903" s="497"/>
      <c r="P4903" s="497">
        <f t="shared" si="297"/>
        <v>593</v>
      </c>
      <c r="Q4903" s="497" t="b">
        <v>0</v>
      </c>
    </row>
    <row r="4904" spans="1:17" x14ac:dyDescent="0.35">
      <c r="A4904" s="497" t="b">
        <v>0</v>
      </c>
      <c r="B4904" s="497" t="s">
        <v>10828</v>
      </c>
      <c r="C4904" s="512">
        <v>99</v>
      </c>
      <c r="D4904" s="497">
        <f t="shared" si="294"/>
        <v>114</v>
      </c>
      <c r="E4904" s="497">
        <f t="shared" si="295"/>
        <v>6</v>
      </c>
      <c r="F4904" s="497">
        <f t="shared" ca="1" si="296"/>
        <v>107</v>
      </c>
      <c r="G4904" s="497" t="s">
        <v>10111</v>
      </c>
      <c r="H4904" s="503"/>
      <c r="I4904" s="503"/>
      <c r="J4904" s="503"/>
      <c r="K4904" s="503"/>
      <c r="L4904" s="497"/>
      <c r="M4904" s="497"/>
      <c r="N4904" s="497"/>
      <c r="O4904" s="497"/>
      <c r="P4904" s="497">
        <f t="shared" si="297"/>
        <v>594</v>
      </c>
      <c r="Q4904" s="497" t="b">
        <v>0</v>
      </c>
    </row>
    <row r="4905" spans="1:17" x14ac:dyDescent="0.35">
      <c r="A4905" s="497" t="b">
        <v>0</v>
      </c>
      <c r="B4905" s="497" t="s">
        <v>10829</v>
      </c>
      <c r="C4905" s="512">
        <v>100</v>
      </c>
      <c r="D4905" s="497">
        <f t="shared" si="294"/>
        <v>115</v>
      </c>
      <c r="E4905" s="497">
        <f t="shared" si="295"/>
        <v>1</v>
      </c>
      <c r="F4905" s="497">
        <f t="shared" ca="1" si="296"/>
        <v>108</v>
      </c>
      <c r="G4905" s="497" t="s">
        <v>10113</v>
      </c>
      <c r="H4905" s="503"/>
      <c r="I4905" s="503"/>
      <c r="J4905" s="503"/>
      <c r="K4905" s="503"/>
      <c r="L4905" s="497"/>
      <c r="M4905" s="497"/>
      <c r="N4905" s="497"/>
      <c r="O4905" s="497"/>
      <c r="P4905" s="497">
        <f t="shared" si="297"/>
        <v>595</v>
      </c>
      <c r="Q4905" s="497" t="b">
        <v>0</v>
      </c>
    </row>
    <row r="4906" spans="1:17" x14ac:dyDescent="0.35">
      <c r="A4906" s="497" t="b">
        <v>0</v>
      </c>
      <c r="B4906" s="497" t="s">
        <v>10830</v>
      </c>
      <c r="C4906" s="512">
        <v>100</v>
      </c>
      <c r="D4906" s="497">
        <f t="shared" si="294"/>
        <v>116</v>
      </c>
      <c r="E4906" s="497">
        <f t="shared" si="295"/>
        <v>2</v>
      </c>
      <c r="F4906" s="497">
        <f t="shared" ca="1" si="296"/>
        <v>108</v>
      </c>
      <c r="G4906" s="497" t="s">
        <v>10113</v>
      </c>
      <c r="H4906" s="503"/>
      <c r="I4906" s="503"/>
      <c r="J4906" s="503"/>
      <c r="K4906" s="503"/>
      <c r="L4906" s="497"/>
      <c r="M4906" s="497"/>
      <c r="N4906" s="497"/>
      <c r="O4906" s="497"/>
      <c r="P4906" s="497">
        <f t="shared" si="297"/>
        <v>596</v>
      </c>
      <c r="Q4906" s="497" t="b">
        <v>0</v>
      </c>
    </row>
    <row r="4907" spans="1:17" x14ac:dyDescent="0.35">
      <c r="A4907" s="497" t="b">
        <v>0</v>
      </c>
      <c r="B4907" s="497" t="s">
        <v>10831</v>
      </c>
      <c r="C4907" s="512">
        <v>100</v>
      </c>
      <c r="D4907" s="497">
        <f t="shared" si="294"/>
        <v>117</v>
      </c>
      <c r="E4907" s="497">
        <f t="shared" si="295"/>
        <v>3</v>
      </c>
      <c r="F4907" s="497">
        <f t="shared" ca="1" si="296"/>
        <v>108</v>
      </c>
      <c r="G4907" s="497" t="s">
        <v>10113</v>
      </c>
      <c r="H4907" s="503"/>
      <c r="I4907" s="503"/>
      <c r="J4907" s="503"/>
      <c r="K4907" s="503"/>
      <c r="L4907" s="497"/>
      <c r="M4907" s="497"/>
      <c r="N4907" s="497"/>
      <c r="O4907" s="497"/>
      <c r="P4907" s="497">
        <f t="shared" si="297"/>
        <v>597</v>
      </c>
      <c r="Q4907" s="497" t="b">
        <v>0</v>
      </c>
    </row>
    <row r="4908" spans="1:17" x14ac:dyDescent="0.35">
      <c r="A4908" s="497" t="b">
        <v>0</v>
      </c>
      <c r="B4908" s="497" t="s">
        <v>10832</v>
      </c>
      <c r="C4908" s="512">
        <v>100</v>
      </c>
      <c r="D4908" s="497">
        <f t="shared" si="294"/>
        <v>118</v>
      </c>
      <c r="E4908" s="497">
        <f t="shared" si="295"/>
        <v>4</v>
      </c>
      <c r="F4908" s="497">
        <f t="shared" ca="1" si="296"/>
        <v>108</v>
      </c>
      <c r="G4908" s="497" t="s">
        <v>10113</v>
      </c>
      <c r="H4908" s="503"/>
      <c r="I4908" s="503"/>
      <c r="J4908" s="503"/>
      <c r="K4908" s="503"/>
      <c r="L4908" s="497"/>
      <c r="M4908" s="497"/>
      <c r="N4908" s="497"/>
      <c r="O4908" s="497"/>
      <c r="P4908" s="497">
        <f t="shared" si="297"/>
        <v>598</v>
      </c>
      <c r="Q4908" s="497" t="b">
        <v>0</v>
      </c>
    </row>
    <row r="4909" spans="1:17" x14ac:dyDescent="0.35">
      <c r="A4909" s="497" t="b">
        <v>0</v>
      </c>
      <c r="B4909" s="497" t="s">
        <v>10833</v>
      </c>
      <c r="C4909" s="512">
        <v>100</v>
      </c>
      <c r="D4909" s="497">
        <f t="shared" si="294"/>
        <v>119</v>
      </c>
      <c r="E4909" s="497">
        <f t="shared" si="295"/>
        <v>5</v>
      </c>
      <c r="F4909" s="497">
        <f t="shared" ca="1" si="296"/>
        <v>108</v>
      </c>
      <c r="G4909" s="497" t="s">
        <v>10113</v>
      </c>
      <c r="H4909" s="503"/>
      <c r="I4909" s="503"/>
      <c r="J4909" s="503"/>
      <c r="K4909" s="503"/>
      <c r="L4909" s="497"/>
      <c r="M4909" s="497"/>
      <c r="N4909" s="497"/>
      <c r="O4909" s="497"/>
      <c r="P4909" s="497">
        <f t="shared" si="297"/>
        <v>599</v>
      </c>
      <c r="Q4909" s="497" t="b">
        <v>0</v>
      </c>
    </row>
    <row r="4910" spans="1:17" x14ac:dyDescent="0.35">
      <c r="A4910" s="497" t="b">
        <v>0</v>
      </c>
      <c r="B4910" s="497" t="s">
        <v>10834</v>
      </c>
      <c r="C4910" s="512">
        <v>100</v>
      </c>
      <c r="D4910" s="497">
        <f t="shared" si="294"/>
        <v>120</v>
      </c>
      <c r="E4910" s="497">
        <f t="shared" si="295"/>
        <v>6</v>
      </c>
      <c r="F4910" s="497">
        <f t="shared" ca="1" si="296"/>
        <v>108</v>
      </c>
      <c r="G4910" s="497" t="s">
        <v>10113</v>
      </c>
      <c r="H4910" s="503"/>
      <c r="I4910" s="503"/>
      <c r="J4910" s="503"/>
      <c r="K4910" s="503"/>
      <c r="L4910" s="497"/>
      <c r="M4910" s="497"/>
      <c r="N4910" s="497"/>
      <c r="O4910" s="497"/>
      <c r="P4910" s="497">
        <f t="shared" si="297"/>
        <v>600</v>
      </c>
      <c r="Q4910" s="497" t="b">
        <v>0</v>
      </c>
    </row>
    <row r="4911" spans="1:17" x14ac:dyDescent="0.35">
      <c r="A4911" s="497" t="b">
        <v>0</v>
      </c>
      <c r="B4911" s="497" t="s">
        <v>10835</v>
      </c>
      <c r="C4911" s="512">
        <v>101</v>
      </c>
      <c r="D4911" s="497">
        <f t="shared" si="294"/>
        <v>121</v>
      </c>
      <c r="E4911" s="497">
        <f t="shared" si="295"/>
        <v>1</v>
      </c>
      <c r="F4911" s="497">
        <f t="shared" ca="1" si="296"/>
        <v>109</v>
      </c>
      <c r="G4911" s="497" t="s">
        <v>10115</v>
      </c>
      <c r="H4911" s="503"/>
      <c r="I4911" s="503"/>
      <c r="J4911" s="503"/>
      <c r="K4911" s="503"/>
      <c r="L4911" s="497"/>
      <c r="M4911" s="497"/>
      <c r="N4911" s="497"/>
      <c r="O4911" s="497"/>
      <c r="P4911" s="497">
        <f t="shared" si="297"/>
        <v>601</v>
      </c>
      <c r="Q4911" s="497" t="b">
        <v>0</v>
      </c>
    </row>
    <row r="4912" spans="1:17" x14ac:dyDescent="0.35">
      <c r="A4912" s="497" t="b">
        <v>0</v>
      </c>
      <c r="B4912" s="497" t="s">
        <v>10836</v>
      </c>
      <c r="C4912" s="512">
        <v>101</v>
      </c>
      <c r="D4912" s="497">
        <f t="shared" si="294"/>
        <v>122</v>
      </c>
      <c r="E4912" s="497">
        <f t="shared" si="295"/>
        <v>2</v>
      </c>
      <c r="F4912" s="497">
        <f t="shared" ca="1" si="296"/>
        <v>109</v>
      </c>
      <c r="G4912" s="497" t="s">
        <v>10115</v>
      </c>
      <c r="H4912" s="503"/>
      <c r="I4912" s="503"/>
      <c r="J4912" s="503"/>
      <c r="K4912" s="503"/>
      <c r="L4912" s="497"/>
      <c r="M4912" s="497"/>
      <c r="N4912" s="497"/>
      <c r="O4912" s="497"/>
      <c r="P4912" s="497">
        <f t="shared" si="297"/>
        <v>602</v>
      </c>
      <c r="Q4912" s="497" t="b">
        <v>0</v>
      </c>
    </row>
    <row r="4913" spans="1:17" x14ac:dyDescent="0.35">
      <c r="A4913" s="497" t="b">
        <v>0</v>
      </c>
      <c r="B4913" s="497" t="s">
        <v>10837</v>
      </c>
      <c r="C4913" s="512">
        <v>101</v>
      </c>
      <c r="D4913" s="497">
        <f t="shared" si="294"/>
        <v>123</v>
      </c>
      <c r="E4913" s="497">
        <f t="shared" si="295"/>
        <v>3</v>
      </c>
      <c r="F4913" s="497">
        <f t="shared" ca="1" si="296"/>
        <v>109</v>
      </c>
      <c r="G4913" s="497" t="s">
        <v>10115</v>
      </c>
      <c r="H4913" s="503"/>
      <c r="I4913" s="503"/>
      <c r="J4913" s="503"/>
      <c r="K4913" s="503"/>
      <c r="L4913" s="497"/>
      <c r="M4913" s="497"/>
      <c r="N4913" s="497"/>
      <c r="O4913" s="497"/>
      <c r="P4913" s="497">
        <f t="shared" si="297"/>
        <v>603</v>
      </c>
      <c r="Q4913" s="497" t="b">
        <v>0</v>
      </c>
    </row>
    <row r="4914" spans="1:17" x14ac:dyDescent="0.35">
      <c r="A4914" s="497" t="b">
        <v>0</v>
      </c>
      <c r="B4914" s="497" t="s">
        <v>10838</v>
      </c>
      <c r="C4914" s="512">
        <v>101</v>
      </c>
      <c r="D4914" s="497">
        <f t="shared" si="294"/>
        <v>124</v>
      </c>
      <c r="E4914" s="497">
        <f t="shared" si="295"/>
        <v>4</v>
      </c>
      <c r="F4914" s="497">
        <f t="shared" ca="1" si="296"/>
        <v>109</v>
      </c>
      <c r="G4914" s="497" t="s">
        <v>10115</v>
      </c>
      <c r="H4914" s="503"/>
      <c r="I4914" s="503"/>
      <c r="J4914" s="503"/>
      <c r="K4914" s="503"/>
      <c r="L4914" s="497"/>
      <c r="M4914" s="497"/>
      <c r="N4914" s="497"/>
      <c r="O4914" s="497"/>
      <c r="P4914" s="497">
        <f t="shared" si="297"/>
        <v>604</v>
      </c>
      <c r="Q4914" s="497" t="b">
        <v>0</v>
      </c>
    </row>
    <row r="4915" spans="1:17" x14ac:dyDescent="0.35">
      <c r="A4915" s="497" t="b">
        <v>0</v>
      </c>
      <c r="B4915" s="497" t="s">
        <v>10839</v>
      </c>
      <c r="C4915" s="512">
        <v>101</v>
      </c>
      <c r="D4915" s="497">
        <f t="shared" si="294"/>
        <v>125</v>
      </c>
      <c r="E4915" s="497">
        <f t="shared" si="295"/>
        <v>5</v>
      </c>
      <c r="F4915" s="497">
        <f t="shared" ca="1" si="296"/>
        <v>109</v>
      </c>
      <c r="G4915" s="497" t="s">
        <v>10115</v>
      </c>
      <c r="H4915" s="503"/>
      <c r="I4915" s="503"/>
      <c r="J4915" s="503"/>
      <c r="K4915" s="503"/>
      <c r="L4915" s="497"/>
      <c r="M4915" s="497"/>
      <c r="N4915" s="497"/>
      <c r="O4915" s="497"/>
      <c r="P4915" s="497">
        <f t="shared" si="297"/>
        <v>605</v>
      </c>
      <c r="Q4915" s="497" t="b">
        <v>0</v>
      </c>
    </row>
    <row r="4916" spans="1:17" x14ac:dyDescent="0.35">
      <c r="A4916" s="497" t="b">
        <v>0</v>
      </c>
      <c r="B4916" s="497" t="s">
        <v>10840</v>
      </c>
      <c r="C4916" s="512">
        <v>101</v>
      </c>
      <c r="D4916" s="497">
        <f t="shared" si="294"/>
        <v>126</v>
      </c>
      <c r="E4916" s="497">
        <f t="shared" si="295"/>
        <v>6</v>
      </c>
      <c r="F4916" s="497">
        <f t="shared" ca="1" si="296"/>
        <v>109</v>
      </c>
      <c r="G4916" s="497" t="s">
        <v>10115</v>
      </c>
      <c r="H4916" s="503"/>
      <c r="I4916" s="503"/>
      <c r="J4916" s="503"/>
      <c r="K4916" s="503"/>
      <c r="L4916" s="497"/>
      <c r="M4916" s="497"/>
      <c r="N4916" s="497"/>
      <c r="O4916" s="497"/>
      <c r="P4916" s="497">
        <f t="shared" si="297"/>
        <v>606</v>
      </c>
      <c r="Q4916" s="497" t="b">
        <v>0</v>
      </c>
    </row>
    <row r="4917" spans="1:17" x14ac:dyDescent="0.35">
      <c r="A4917" s="497" t="b">
        <v>0</v>
      </c>
      <c r="B4917" s="497" t="s">
        <v>10841</v>
      </c>
      <c r="C4917" s="512">
        <v>102</v>
      </c>
      <c r="D4917" s="497">
        <f t="shared" si="294"/>
        <v>127</v>
      </c>
      <c r="E4917" s="497">
        <f t="shared" si="295"/>
        <v>1</v>
      </c>
      <c r="F4917" s="497">
        <f t="shared" ca="1" si="296"/>
        <v>110</v>
      </c>
      <c r="G4917" s="497" t="s">
        <v>10117</v>
      </c>
      <c r="H4917" s="503"/>
      <c r="I4917" s="503"/>
      <c r="J4917" s="503"/>
      <c r="K4917" s="503"/>
      <c r="L4917" s="497"/>
      <c r="M4917" s="497"/>
      <c r="N4917" s="497"/>
      <c r="O4917" s="497"/>
      <c r="P4917" s="497">
        <f t="shared" si="297"/>
        <v>607</v>
      </c>
      <c r="Q4917" s="497" t="b">
        <v>0</v>
      </c>
    </row>
    <row r="4918" spans="1:17" x14ac:dyDescent="0.35">
      <c r="A4918" s="497" t="b">
        <v>0</v>
      </c>
      <c r="B4918" s="497" t="s">
        <v>10842</v>
      </c>
      <c r="C4918" s="512">
        <v>102</v>
      </c>
      <c r="D4918" s="497">
        <f t="shared" si="294"/>
        <v>128</v>
      </c>
      <c r="E4918" s="497">
        <f t="shared" si="295"/>
        <v>2</v>
      </c>
      <c r="F4918" s="497">
        <f t="shared" ca="1" si="296"/>
        <v>110</v>
      </c>
      <c r="G4918" s="497" t="s">
        <v>10117</v>
      </c>
      <c r="H4918" s="503"/>
      <c r="I4918" s="503"/>
      <c r="J4918" s="503"/>
      <c r="K4918" s="503"/>
      <c r="L4918" s="497"/>
      <c r="M4918" s="497"/>
      <c r="N4918" s="497"/>
      <c r="O4918" s="497"/>
      <c r="P4918" s="497">
        <f t="shared" si="297"/>
        <v>608</v>
      </c>
      <c r="Q4918" s="497" t="b">
        <v>0</v>
      </c>
    </row>
    <row r="4919" spans="1:17" x14ac:dyDescent="0.35">
      <c r="A4919" s="497" t="b">
        <v>0</v>
      </c>
      <c r="B4919" s="497" t="s">
        <v>10843</v>
      </c>
      <c r="C4919" s="512">
        <v>102</v>
      </c>
      <c r="D4919" s="497">
        <f t="shared" si="294"/>
        <v>129</v>
      </c>
      <c r="E4919" s="497">
        <f t="shared" si="295"/>
        <v>3</v>
      </c>
      <c r="F4919" s="497">
        <f t="shared" ca="1" si="296"/>
        <v>110</v>
      </c>
      <c r="G4919" s="497" t="s">
        <v>10117</v>
      </c>
      <c r="H4919" s="503"/>
      <c r="I4919" s="503"/>
      <c r="J4919" s="503"/>
      <c r="K4919" s="503"/>
      <c r="L4919" s="497"/>
      <c r="M4919" s="497"/>
      <c r="N4919" s="497"/>
      <c r="O4919" s="497"/>
      <c r="P4919" s="497">
        <f t="shared" si="297"/>
        <v>609</v>
      </c>
      <c r="Q4919" s="497" t="b">
        <v>0</v>
      </c>
    </row>
    <row r="4920" spans="1:17" x14ac:dyDescent="0.35">
      <c r="A4920" s="497" t="b">
        <v>0</v>
      </c>
      <c r="B4920" s="497" t="s">
        <v>10844</v>
      </c>
      <c r="C4920" s="512">
        <v>102</v>
      </c>
      <c r="D4920" s="497">
        <f t="shared" si="294"/>
        <v>130</v>
      </c>
      <c r="E4920" s="497">
        <f t="shared" si="295"/>
        <v>4</v>
      </c>
      <c r="F4920" s="497">
        <f t="shared" ca="1" si="296"/>
        <v>110</v>
      </c>
      <c r="G4920" s="497" t="s">
        <v>10117</v>
      </c>
      <c r="H4920" s="503"/>
      <c r="I4920" s="503"/>
      <c r="J4920" s="503"/>
      <c r="K4920" s="503"/>
      <c r="L4920" s="497"/>
      <c r="M4920" s="497"/>
      <c r="N4920" s="497"/>
      <c r="O4920" s="497"/>
      <c r="P4920" s="497">
        <f t="shared" si="297"/>
        <v>610</v>
      </c>
      <c r="Q4920" s="497" t="b">
        <v>0</v>
      </c>
    </row>
    <row r="4921" spans="1:17" x14ac:dyDescent="0.35">
      <c r="A4921" s="497" t="b">
        <v>0</v>
      </c>
      <c r="B4921" s="497" t="s">
        <v>10845</v>
      </c>
      <c r="C4921" s="512">
        <v>102</v>
      </c>
      <c r="D4921" s="497">
        <f t="shared" si="294"/>
        <v>131</v>
      </c>
      <c r="E4921" s="497">
        <f t="shared" si="295"/>
        <v>5</v>
      </c>
      <c r="F4921" s="497">
        <f t="shared" ca="1" si="296"/>
        <v>110</v>
      </c>
      <c r="G4921" s="497" t="s">
        <v>10117</v>
      </c>
      <c r="H4921" s="503"/>
      <c r="I4921" s="503"/>
      <c r="J4921" s="503"/>
      <c r="K4921" s="503"/>
      <c r="L4921" s="497"/>
      <c r="M4921" s="497"/>
      <c r="N4921" s="497"/>
      <c r="O4921" s="497"/>
      <c r="P4921" s="497">
        <f t="shared" si="297"/>
        <v>611</v>
      </c>
      <c r="Q4921" s="497" t="b">
        <v>0</v>
      </c>
    </row>
    <row r="4922" spans="1:17" x14ac:dyDescent="0.35">
      <c r="A4922" s="497" t="b">
        <v>0</v>
      </c>
      <c r="B4922" s="497" t="s">
        <v>10846</v>
      </c>
      <c r="C4922" s="512">
        <v>102</v>
      </c>
      <c r="D4922" s="497">
        <f t="shared" si="294"/>
        <v>132</v>
      </c>
      <c r="E4922" s="497">
        <f t="shared" si="295"/>
        <v>6</v>
      </c>
      <c r="F4922" s="497">
        <f t="shared" ca="1" si="296"/>
        <v>110</v>
      </c>
      <c r="G4922" s="497" t="s">
        <v>10117</v>
      </c>
      <c r="H4922" s="503"/>
      <c r="I4922" s="503"/>
      <c r="J4922" s="503"/>
      <c r="K4922" s="503"/>
      <c r="L4922" s="497"/>
      <c r="M4922" s="497"/>
      <c r="N4922" s="497"/>
      <c r="O4922" s="497"/>
      <c r="P4922" s="497">
        <f t="shared" si="297"/>
        <v>612</v>
      </c>
      <c r="Q4922" s="497" t="b">
        <v>0</v>
      </c>
    </row>
    <row r="4923" spans="1:17" x14ac:dyDescent="0.35">
      <c r="A4923" s="497" t="b">
        <v>0</v>
      </c>
      <c r="B4923" s="497" t="s">
        <v>10847</v>
      </c>
      <c r="C4923" s="512">
        <v>103</v>
      </c>
      <c r="D4923" s="497">
        <f t="shared" si="294"/>
        <v>133</v>
      </c>
      <c r="E4923" s="497">
        <f t="shared" si="295"/>
        <v>1</v>
      </c>
      <c r="F4923" s="497">
        <f t="shared" ca="1" si="296"/>
        <v>111</v>
      </c>
      <c r="G4923" s="497" t="s">
        <v>10119</v>
      </c>
      <c r="H4923" s="503"/>
      <c r="I4923" s="503"/>
      <c r="J4923" s="503"/>
      <c r="K4923" s="503"/>
      <c r="L4923" s="497"/>
      <c r="M4923" s="497"/>
      <c r="N4923" s="497"/>
      <c r="O4923" s="497"/>
      <c r="P4923" s="497">
        <f t="shared" si="297"/>
        <v>613</v>
      </c>
      <c r="Q4923" s="497" t="b">
        <v>0</v>
      </c>
    </row>
    <row r="4924" spans="1:17" x14ac:dyDescent="0.35">
      <c r="A4924" s="497" t="b">
        <v>0</v>
      </c>
      <c r="B4924" s="497" t="s">
        <v>10848</v>
      </c>
      <c r="C4924" s="512">
        <v>103</v>
      </c>
      <c r="D4924" s="497">
        <f t="shared" si="294"/>
        <v>134</v>
      </c>
      <c r="E4924" s="497">
        <f t="shared" si="295"/>
        <v>2</v>
      </c>
      <c r="F4924" s="497">
        <f t="shared" ca="1" si="296"/>
        <v>111</v>
      </c>
      <c r="G4924" s="497" t="s">
        <v>10119</v>
      </c>
      <c r="H4924" s="503"/>
      <c r="I4924" s="503"/>
      <c r="J4924" s="503"/>
      <c r="K4924" s="503"/>
      <c r="L4924" s="497"/>
      <c r="M4924" s="497"/>
      <c r="N4924" s="497"/>
      <c r="O4924" s="497"/>
      <c r="P4924" s="497">
        <f t="shared" si="297"/>
        <v>614</v>
      </c>
      <c r="Q4924" s="497" t="b">
        <v>0</v>
      </c>
    </row>
    <row r="4925" spans="1:17" x14ac:dyDescent="0.35">
      <c r="A4925" s="497" t="b">
        <v>0</v>
      </c>
      <c r="B4925" s="497" t="s">
        <v>10849</v>
      </c>
      <c r="C4925" s="512">
        <v>103</v>
      </c>
      <c r="D4925" s="497">
        <f t="shared" si="294"/>
        <v>135</v>
      </c>
      <c r="E4925" s="497">
        <f t="shared" si="295"/>
        <v>3</v>
      </c>
      <c r="F4925" s="497">
        <f t="shared" ca="1" si="296"/>
        <v>111</v>
      </c>
      <c r="G4925" s="497" t="s">
        <v>10119</v>
      </c>
      <c r="H4925" s="503"/>
      <c r="I4925" s="503"/>
      <c r="J4925" s="503"/>
      <c r="K4925" s="503"/>
      <c r="L4925" s="497"/>
      <c r="M4925" s="497"/>
      <c r="N4925" s="497"/>
      <c r="O4925" s="497"/>
      <c r="P4925" s="497">
        <f t="shared" si="297"/>
        <v>615</v>
      </c>
      <c r="Q4925" s="497" t="b">
        <v>0</v>
      </c>
    </row>
    <row r="4926" spans="1:17" x14ac:dyDescent="0.35">
      <c r="A4926" s="497" t="b">
        <v>0</v>
      </c>
      <c r="B4926" s="497" t="s">
        <v>10850</v>
      </c>
      <c r="C4926" s="512">
        <v>103</v>
      </c>
      <c r="D4926" s="497">
        <f t="shared" si="294"/>
        <v>136</v>
      </c>
      <c r="E4926" s="497">
        <f t="shared" si="295"/>
        <v>4</v>
      </c>
      <c r="F4926" s="497">
        <f t="shared" ca="1" si="296"/>
        <v>111</v>
      </c>
      <c r="G4926" s="497" t="s">
        <v>10119</v>
      </c>
      <c r="H4926" s="503"/>
      <c r="I4926" s="503"/>
      <c r="J4926" s="503"/>
      <c r="K4926" s="503"/>
      <c r="L4926" s="497"/>
      <c r="M4926" s="497"/>
      <c r="N4926" s="497"/>
      <c r="O4926" s="497"/>
      <c r="P4926" s="497">
        <f t="shared" si="297"/>
        <v>616</v>
      </c>
      <c r="Q4926" s="497" t="b">
        <v>0</v>
      </c>
    </row>
    <row r="4927" spans="1:17" x14ac:dyDescent="0.35">
      <c r="A4927" s="497" t="b">
        <v>0</v>
      </c>
      <c r="B4927" s="497" t="s">
        <v>10851</v>
      </c>
      <c r="C4927" s="512">
        <v>103</v>
      </c>
      <c r="D4927" s="497">
        <f t="shared" si="294"/>
        <v>137</v>
      </c>
      <c r="E4927" s="497">
        <f t="shared" si="295"/>
        <v>5</v>
      </c>
      <c r="F4927" s="497">
        <f t="shared" ca="1" si="296"/>
        <v>111</v>
      </c>
      <c r="G4927" s="497" t="s">
        <v>10119</v>
      </c>
      <c r="H4927" s="503"/>
      <c r="I4927" s="503"/>
      <c r="J4927" s="503"/>
      <c r="K4927" s="503"/>
      <c r="L4927" s="497"/>
      <c r="M4927" s="497"/>
      <c r="N4927" s="497"/>
      <c r="O4927" s="497"/>
      <c r="P4927" s="497">
        <f t="shared" si="297"/>
        <v>617</v>
      </c>
      <c r="Q4927" s="497" t="b">
        <v>0</v>
      </c>
    </row>
    <row r="4928" spans="1:17" x14ac:dyDescent="0.35">
      <c r="A4928" s="497" t="b">
        <v>0</v>
      </c>
      <c r="B4928" s="497" t="s">
        <v>10852</v>
      </c>
      <c r="C4928" s="512">
        <v>103</v>
      </c>
      <c r="D4928" s="497">
        <f t="shared" si="294"/>
        <v>138</v>
      </c>
      <c r="E4928" s="497">
        <f t="shared" si="295"/>
        <v>6</v>
      </c>
      <c r="F4928" s="497">
        <f t="shared" ca="1" si="296"/>
        <v>111</v>
      </c>
      <c r="G4928" s="497" t="s">
        <v>10119</v>
      </c>
      <c r="H4928" s="503"/>
      <c r="I4928" s="503"/>
      <c r="J4928" s="503"/>
      <c r="K4928" s="503"/>
      <c r="L4928" s="497"/>
      <c r="M4928" s="497"/>
      <c r="N4928" s="497"/>
      <c r="O4928" s="497"/>
      <c r="P4928" s="497">
        <f t="shared" si="297"/>
        <v>618</v>
      </c>
      <c r="Q4928" s="497" t="b">
        <v>0</v>
      </c>
    </row>
    <row r="4929" spans="1:17" x14ac:dyDescent="0.35">
      <c r="A4929" s="497" t="b">
        <v>0</v>
      </c>
      <c r="B4929" s="497" t="s">
        <v>10853</v>
      </c>
      <c r="C4929" s="512">
        <v>104</v>
      </c>
      <c r="D4929" s="497">
        <f t="shared" si="294"/>
        <v>139</v>
      </c>
      <c r="E4929" s="497">
        <f t="shared" si="295"/>
        <v>1</v>
      </c>
      <c r="F4929" s="497">
        <f t="shared" ca="1" si="296"/>
        <v>112</v>
      </c>
      <c r="G4929" s="497" t="s">
        <v>10121</v>
      </c>
      <c r="H4929" s="503"/>
      <c r="I4929" s="503"/>
      <c r="J4929" s="503"/>
      <c r="K4929" s="503"/>
      <c r="L4929" s="497"/>
      <c r="M4929" s="497"/>
      <c r="N4929" s="497"/>
      <c r="O4929" s="497"/>
      <c r="P4929" s="497">
        <f t="shared" si="297"/>
        <v>619</v>
      </c>
      <c r="Q4929" s="497" t="b">
        <v>0</v>
      </c>
    </row>
    <row r="4930" spans="1:17" x14ac:dyDescent="0.35">
      <c r="A4930" s="497" t="b">
        <v>0</v>
      </c>
      <c r="B4930" s="497" t="s">
        <v>10854</v>
      </c>
      <c r="C4930" s="512">
        <v>104</v>
      </c>
      <c r="D4930" s="497">
        <f t="shared" si="294"/>
        <v>140</v>
      </c>
      <c r="E4930" s="497">
        <f t="shared" si="295"/>
        <v>2</v>
      </c>
      <c r="F4930" s="497">
        <f t="shared" ca="1" si="296"/>
        <v>112</v>
      </c>
      <c r="G4930" s="497" t="s">
        <v>10121</v>
      </c>
      <c r="H4930" s="503"/>
      <c r="I4930" s="503"/>
      <c r="J4930" s="503"/>
      <c r="K4930" s="503"/>
      <c r="L4930" s="497"/>
      <c r="M4930" s="497"/>
      <c r="N4930" s="497"/>
      <c r="O4930" s="497"/>
      <c r="P4930" s="497">
        <f t="shared" si="297"/>
        <v>620</v>
      </c>
      <c r="Q4930" s="497" t="b">
        <v>0</v>
      </c>
    </row>
    <row r="4931" spans="1:17" x14ac:dyDescent="0.35">
      <c r="A4931" s="497" t="b">
        <v>0</v>
      </c>
      <c r="B4931" s="497" t="s">
        <v>10855</v>
      </c>
      <c r="C4931" s="512">
        <v>104</v>
      </c>
      <c r="D4931" s="497">
        <f t="shared" si="294"/>
        <v>141</v>
      </c>
      <c r="E4931" s="497">
        <f t="shared" si="295"/>
        <v>3</v>
      </c>
      <c r="F4931" s="497">
        <f t="shared" ca="1" si="296"/>
        <v>112</v>
      </c>
      <c r="G4931" s="497" t="s">
        <v>10121</v>
      </c>
      <c r="H4931" s="503"/>
      <c r="I4931" s="503"/>
      <c r="J4931" s="503"/>
      <c r="K4931" s="503"/>
      <c r="L4931" s="497"/>
      <c r="M4931" s="497"/>
      <c r="N4931" s="497"/>
      <c r="O4931" s="497"/>
      <c r="P4931" s="497">
        <f t="shared" si="297"/>
        <v>621</v>
      </c>
      <c r="Q4931" s="497" t="b">
        <v>0</v>
      </c>
    </row>
    <row r="4932" spans="1:17" x14ac:dyDescent="0.35">
      <c r="A4932" s="497" t="b">
        <v>0</v>
      </c>
      <c r="B4932" s="497" t="s">
        <v>10856</v>
      </c>
      <c r="C4932" s="512">
        <v>104</v>
      </c>
      <c r="D4932" s="497">
        <f t="shared" si="294"/>
        <v>142</v>
      </c>
      <c r="E4932" s="497">
        <f t="shared" si="295"/>
        <v>4</v>
      </c>
      <c r="F4932" s="497">
        <f t="shared" ca="1" si="296"/>
        <v>112</v>
      </c>
      <c r="G4932" s="497" t="s">
        <v>10121</v>
      </c>
      <c r="H4932" s="503"/>
      <c r="I4932" s="503"/>
      <c r="J4932" s="503"/>
      <c r="K4932" s="503"/>
      <c r="L4932" s="497"/>
      <c r="M4932" s="497"/>
      <c r="N4932" s="497"/>
      <c r="O4932" s="497"/>
      <c r="P4932" s="497">
        <f t="shared" si="297"/>
        <v>622</v>
      </c>
      <c r="Q4932" s="497" t="b">
        <v>0</v>
      </c>
    </row>
    <row r="4933" spans="1:17" x14ac:dyDescent="0.35">
      <c r="A4933" s="497" t="b">
        <v>0</v>
      </c>
      <c r="B4933" s="497" t="s">
        <v>10857</v>
      </c>
      <c r="C4933" s="512">
        <v>104</v>
      </c>
      <c r="D4933" s="497">
        <f t="shared" si="294"/>
        <v>143</v>
      </c>
      <c r="E4933" s="497">
        <f t="shared" si="295"/>
        <v>5</v>
      </c>
      <c r="F4933" s="497">
        <f t="shared" ca="1" si="296"/>
        <v>112</v>
      </c>
      <c r="G4933" s="497" t="s">
        <v>10121</v>
      </c>
      <c r="H4933" s="503"/>
      <c r="I4933" s="503"/>
      <c r="J4933" s="503"/>
      <c r="K4933" s="503"/>
      <c r="L4933" s="497"/>
      <c r="M4933" s="497"/>
      <c r="N4933" s="497"/>
      <c r="O4933" s="497"/>
      <c r="P4933" s="497">
        <f t="shared" si="297"/>
        <v>623</v>
      </c>
      <c r="Q4933" s="497" t="b">
        <v>0</v>
      </c>
    </row>
    <row r="4934" spans="1:17" x14ac:dyDescent="0.35">
      <c r="A4934" s="497" t="b">
        <v>0</v>
      </c>
      <c r="B4934" s="497" t="s">
        <v>10858</v>
      </c>
      <c r="C4934" s="512">
        <v>104</v>
      </c>
      <c r="D4934" s="497">
        <f t="shared" si="294"/>
        <v>144</v>
      </c>
      <c r="E4934" s="497">
        <f t="shared" si="295"/>
        <v>6</v>
      </c>
      <c r="F4934" s="497">
        <f t="shared" ca="1" si="296"/>
        <v>112</v>
      </c>
      <c r="G4934" s="497" t="s">
        <v>10121</v>
      </c>
      <c r="H4934" s="503"/>
      <c r="I4934" s="503"/>
      <c r="J4934" s="503"/>
      <c r="K4934" s="503"/>
      <c r="L4934" s="497"/>
      <c r="M4934" s="497"/>
      <c r="N4934" s="497"/>
      <c r="O4934" s="497"/>
      <c r="P4934" s="497">
        <f t="shared" si="297"/>
        <v>624</v>
      </c>
      <c r="Q4934" s="497" t="b">
        <v>0</v>
      </c>
    </row>
    <row r="4935" spans="1:17" x14ac:dyDescent="0.35">
      <c r="A4935" s="497" t="b">
        <v>0</v>
      </c>
      <c r="B4935" s="497" t="s">
        <v>10859</v>
      </c>
      <c r="C4935" s="512">
        <v>105</v>
      </c>
      <c r="D4935" s="497">
        <f t="shared" si="294"/>
        <v>145</v>
      </c>
      <c r="E4935" s="497">
        <f t="shared" si="295"/>
        <v>1</v>
      </c>
      <c r="F4935" s="497">
        <f t="shared" ca="1" si="296"/>
        <v>113</v>
      </c>
      <c r="G4935" s="497" t="s">
        <v>10123</v>
      </c>
      <c r="H4935" s="503"/>
      <c r="I4935" s="503"/>
      <c r="J4935" s="503"/>
      <c r="K4935" s="503"/>
      <c r="L4935" s="497"/>
      <c r="M4935" s="497"/>
      <c r="N4935" s="497"/>
      <c r="O4935" s="497"/>
      <c r="P4935" s="497">
        <f t="shared" si="297"/>
        <v>625</v>
      </c>
      <c r="Q4935" s="497" t="b">
        <v>0</v>
      </c>
    </row>
    <row r="4936" spans="1:17" x14ac:dyDescent="0.35">
      <c r="A4936" s="497" t="b">
        <v>0</v>
      </c>
      <c r="B4936" s="497" t="s">
        <v>10860</v>
      </c>
      <c r="C4936" s="512">
        <v>105</v>
      </c>
      <c r="D4936" s="497">
        <f t="shared" si="294"/>
        <v>146</v>
      </c>
      <c r="E4936" s="497">
        <f t="shared" si="295"/>
        <v>2</v>
      </c>
      <c r="F4936" s="497">
        <f t="shared" ca="1" si="296"/>
        <v>113</v>
      </c>
      <c r="G4936" s="497" t="s">
        <v>10123</v>
      </c>
      <c r="H4936" s="503"/>
      <c r="I4936" s="503"/>
      <c r="J4936" s="503"/>
      <c r="K4936" s="503"/>
      <c r="L4936" s="497"/>
      <c r="M4936" s="497"/>
      <c r="N4936" s="497"/>
      <c r="O4936" s="497"/>
      <c r="P4936" s="497">
        <f t="shared" si="297"/>
        <v>626</v>
      </c>
      <c r="Q4936" s="497" t="b">
        <v>0</v>
      </c>
    </row>
    <row r="4937" spans="1:17" x14ac:dyDescent="0.35">
      <c r="A4937" s="497" t="b">
        <v>0</v>
      </c>
      <c r="B4937" s="497" t="s">
        <v>10861</v>
      </c>
      <c r="C4937" s="512">
        <v>105</v>
      </c>
      <c r="D4937" s="497">
        <f t="shared" si="294"/>
        <v>147</v>
      </c>
      <c r="E4937" s="497">
        <f t="shared" si="295"/>
        <v>3</v>
      </c>
      <c r="F4937" s="497">
        <f t="shared" ca="1" si="296"/>
        <v>113</v>
      </c>
      <c r="G4937" s="497" t="s">
        <v>10123</v>
      </c>
      <c r="H4937" s="503"/>
      <c r="I4937" s="503"/>
      <c r="J4937" s="503"/>
      <c r="K4937" s="503"/>
      <c r="L4937" s="497"/>
      <c r="M4937" s="497"/>
      <c r="N4937" s="497"/>
      <c r="O4937" s="497"/>
      <c r="P4937" s="497">
        <f t="shared" si="297"/>
        <v>627</v>
      </c>
      <c r="Q4937" s="497" t="b">
        <v>0</v>
      </c>
    </row>
    <row r="4938" spans="1:17" x14ac:dyDescent="0.35">
      <c r="A4938" s="497" t="b">
        <v>0</v>
      </c>
      <c r="B4938" s="497" t="s">
        <v>10862</v>
      </c>
      <c r="C4938" s="512">
        <v>105</v>
      </c>
      <c r="D4938" s="497">
        <f t="shared" si="294"/>
        <v>148</v>
      </c>
      <c r="E4938" s="497">
        <f t="shared" si="295"/>
        <v>4</v>
      </c>
      <c r="F4938" s="497">
        <f t="shared" ca="1" si="296"/>
        <v>113</v>
      </c>
      <c r="G4938" s="497" t="s">
        <v>10123</v>
      </c>
      <c r="H4938" s="503"/>
      <c r="I4938" s="503"/>
      <c r="J4938" s="503"/>
      <c r="K4938" s="503"/>
      <c r="L4938" s="497"/>
      <c r="M4938" s="497"/>
      <c r="N4938" s="497"/>
      <c r="O4938" s="497"/>
      <c r="P4938" s="497">
        <f t="shared" si="297"/>
        <v>628</v>
      </c>
      <c r="Q4938" s="497" t="b">
        <v>0</v>
      </c>
    </row>
    <row r="4939" spans="1:17" x14ac:dyDescent="0.35">
      <c r="A4939" s="497" t="b">
        <v>0</v>
      </c>
      <c r="B4939" s="497" t="s">
        <v>10863</v>
      </c>
      <c r="C4939" s="512">
        <v>105</v>
      </c>
      <c r="D4939" s="497">
        <f t="shared" si="294"/>
        <v>149</v>
      </c>
      <c r="E4939" s="497">
        <f t="shared" si="295"/>
        <v>5</v>
      </c>
      <c r="F4939" s="497">
        <f t="shared" ca="1" si="296"/>
        <v>113</v>
      </c>
      <c r="G4939" s="497" t="s">
        <v>10123</v>
      </c>
      <c r="H4939" s="503"/>
      <c r="I4939" s="503"/>
      <c r="J4939" s="503"/>
      <c r="K4939" s="503"/>
      <c r="L4939" s="497"/>
      <c r="M4939" s="497"/>
      <c r="N4939" s="497"/>
      <c r="O4939" s="497"/>
      <c r="P4939" s="497">
        <f t="shared" si="297"/>
        <v>629</v>
      </c>
      <c r="Q4939" s="497" t="b">
        <v>0</v>
      </c>
    </row>
    <row r="4940" spans="1:17" x14ac:dyDescent="0.35">
      <c r="A4940" s="497" t="b">
        <v>0</v>
      </c>
      <c r="B4940" s="497" t="s">
        <v>10864</v>
      </c>
      <c r="C4940" s="512">
        <v>105</v>
      </c>
      <c r="D4940" s="497">
        <f t="shared" si="294"/>
        <v>150</v>
      </c>
      <c r="E4940" s="497">
        <f t="shared" si="295"/>
        <v>6</v>
      </c>
      <c r="F4940" s="497">
        <f t="shared" ca="1" si="296"/>
        <v>113</v>
      </c>
      <c r="G4940" s="497" t="s">
        <v>10123</v>
      </c>
      <c r="H4940" s="503"/>
      <c r="I4940" s="503"/>
      <c r="J4940" s="503"/>
      <c r="K4940" s="503"/>
      <c r="L4940" s="497"/>
      <c r="M4940" s="497"/>
      <c r="N4940" s="497"/>
      <c r="O4940" s="497"/>
      <c r="P4940" s="497">
        <f t="shared" si="297"/>
        <v>630</v>
      </c>
      <c r="Q4940" s="497" t="b">
        <v>0</v>
      </c>
    </row>
    <row r="4941" spans="1:17" x14ac:dyDescent="0.35">
      <c r="A4941" s="497" t="b">
        <v>0</v>
      </c>
      <c r="B4941" s="497" t="s">
        <v>10865</v>
      </c>
      <c r="C4941" s="512">
        <v>106</v>
      </c>
      <c r="D4941" s="497">
        <f t="shared" si="294"/>
        <v>151</v>
      </c>
      <c r="E4941" s="497">
        <f t="shared" si="295"/>
        <v>1</v>
      </c>
      <c r="F4941" s="497">
        <f t="shared" ca="1" si="296"/>
        <v>114</v>
      </c>
      <c r="G4941" s="497" t="s">
        <v>10125</v>
      </c>
      <c r="H4941" s="503"/>
      <c r="I4941" s="503"/>
      <c r="J4941" s="503"/>
      <c r="K4941" s="503"/>
      <c r="L4941" s="497"/>
      <c r="M4941" s="497"/>
      <c r="N4941" s="497"/>
      <c r="O4941" s="497"/>
      <c r="P4941" s="497">
        <f t="shared" si="297"/>
        <v>631</v>
      </c>
      <c r="Q4941" s="497" t="b">
        <v>0</v>
      </c>
    </row>
    <row r="4942" spans="1:17" x14ac:dyDescent="0.35">
      <c r="A4942" s="497" t="b">
        <v>0</v>
      </c>
      <c r="B4942" s="497" t="s">
        <v>10866</v>
      </c>
      <c r="C4942" s="512">
        <v>106</v>
      </c>
      <c r="D4942" s="497">
        <f t="shared" si="294"/>
        <v>152</v>
      </c>
      <c r="E4942" s="497">
        <f t="shared" si="295"/>
        <v>2</v>
      </c>
      <c r="F4942" s="497">
        <f t="shared" ca="1" si="296"/>
        <v>114</v>
      </c>
      <c r="G4942" s="497" t="s">
        <v>10125</v>
      </c>
      <c r="H4942" s="503"/>
      <c r="I4942" s="503"/>
      <c r="J4942" s="503"/>
      <c r="K4942" s="503"/>
      <c r="L4942" s="497"/>
      <c r="M4942" s="497"/>
      <c r="N4942" s="497"/>
      <c r="O4942" s="497"/>
      <c r="P4942" s="497">
        <f t="shared" si="297"/>
        <v>632</v>
      </c>
      <c r="Q4942" s="497" t="b">
        <v>0</v>
      </c>
    </row>
    <row r="4943" spans="1:17" x14ac:dyDescent="0.35">
      <c r="A4943" s="497" t="b">
        <v>0</v>
      </c>
      <c r="B4943" s="497" t="s">
        <v>10867</v>
      </c>
      <c r="C4943" s="512">
        <v>106</v>
      </c>
      <c r="D4943" s="497">
        <f t="shared" si="294"/>
        <v>153</v>
      </c>
      <c r="E4943" s="497">
        <f t="shared" si="295"/>
        <v>3</v>
      </c>
      <c r="F4943" s="497">
        <f t="shared" ca="1" si="296"/>
        <v>114</v>
      </c>
      <c r="G4943" s="497" t="s">
        <v>10125</v>
      </c>
      <c r="H4943" s="503"/>
      <c r="I4943" s="503"/>
      <c r="J4943" s="503"/>
      <c r="K4943" s="503"/>
      <c r="L4943" s="497"/>
      <c r="M4943" s="497"/>
      <c r="N4943" s="497"/>
      <c r="O4943" s="497"/>
      <c r="P4943" s="497">
        <f t="shared" si="297"/>
        <v>633</v>
      </c>
      <c r="Q4943" s="497" t="b">
        <v>0</v>
      </c>
    </row>
    <row r="4944" spans="1:17" x14ac:dyDescent="0.35">
      <c r="A4944" s="497" t="b">
        <v>0</v>
      </c>
      <c r="B4944" s="497" t="s">
        <v>10868</v>
      </c>
      <c r="C4944" s="512">
        <v>106</v>
      </c>
      <c r="D4944" s="497">
        <f t="shared" si="294"/>
        <v>154</v>
      </c>
      <c r="E4944" s="497">
        <f t="shared" si="295"/>
        <v>4</v>
      </c>
      <c r="F4944" s="497">
        <f t="shared" ca="1" si="296"/>
        <v>114</v>
      </c>
      <c r="G4944" s="497" t="s">
        <v>10125</v>
      </c>
      <c r="H4944" s="503"/>
      <c r="I4944" s="503"/>
      <c r="J4944" s="503"/>
      <c r="K4944" s="503"/>
      <c r="L4944" s="497"/>
      <c r="M4944" s="497"/>
      <c r="N4944" s="497"/>
      <c r="O4944" s="497"/>
      <c r="P4944" s="497">
        <f t="shared" si="297"/>
        <v>634</v>
      </c>
      <c r="Q4944" s="497" t="b">
        <v>0</v>
      </c>
    </row>
    <row r="4945" spans="1:17" x14ac:dyDescent="0.35">
      <c r="A4945" s="497" t="b">
        <v>0</v>
      </c>
      <c r="B4945" s="497" t="s">
        <v>10869</v>
      </c>
      <c r="C4945" s="512">
        <v>106</v>
      </c>
      <c r="D4945" s="497">
        <f t="shared" si="294"/>
        <v>155</v>
      </c>
      <c r="E4945" s="497">
        <f t="shared" si="295"/>
        <v>5</v>
      </c>
      <c r="F4945" s="497">
        <f t="shared" ca="1" si="296"/>
        <v>114</v>
      </c>
      <c r="G4945" s="497" t="s">
        <v>10125</v>
      </c>
      <c r="H4945" s="503"/>
      <c r="I4945" s="503"/>
      <c r="J4945" s="503"/>
      <c r="K4945" s="503"/>
      <c r="L4945" s="497"/>
      <c r="M4945" s="497"/>
      <c r="N4945" s="497"/>
      <c r="O4945" s="497"/>
      <c r="P4945" s="497">
        <f t="shared" si="297"/>
        <v>635</v>
      </c>
      <c r="Q4945" s="497" t="b">
        <v>0</v>
      </c>
    </row>
    <row r="4946" spans="1:17" x14ac:dyDescent="0.35">
      <c r="A4946" s="497" t="b">
        <v>0</v>
      </c>
      <c r="B4946" s="497" t="s">
        <v>10870</v>
      </c>
      <c r="C4946" s="512">
        <v>106</v>
      </c>
      <c r="D4946" s="497">
        <f t="shared" si="294"/>
        <v>156</v>
      </c>
      <c r="E4946" s="497">
        <f t="shared" si="295"/>
        <v>6</v>
      </c>
      <c r="F4946" s="497">
        <f t="shared" ca="1" si="296"/>
        <v>114</v>
      </c>
      <c r="G4946" s="497" t="s">
        <v>10125</v>
      </c>
      <c r="H4946" s="503"/>
      <c r="I4946" s="503"/>
      <c r="J4946" s="503"/>
      <c r="K4946" s="503"/>
      <c r="L4946" s="497"/>
      <c r="M4946" s="497"/>
      <c r="N4946" s="497"/>
      <c r="O4946" s="497"/>
      <c r="P4946" s="497">
        <f t="shared" si="297"/>
        <v>636</v>
      </c>
      <c r="Q4946" s="497" t="b">
        <v>0</v>
      </c>
    </row>
    <row r="4947" spans="1:17" x14ac:dyDescent="0.35">
      <c r="A4947" s="497" t="b">
        <v>0</v>
      </c>
      <c r="B4947" s="497" t="s">
        <v>10871</v>
      </c>
      <c r="C4947" s="512">
        <v>107</v>
      </c>
      <c r="D4947" s="497">
        <f t="shared" si="294"/>
        <v>157</v>
      </c>
      <c r="E4947" s="497">
        <f t="shared" si="295"/>
        <v>1</v>
      </c>
      <c r="F4947" s="497">
        <f t="shared" ca="1" si="296"/>
        <v>115</v>
      </c>
      <c r="G4947" s="497" t="s">
        <v>10127</v>
      </c>
      <c r="H4947" s="503"/>
      <c r="I4947" s="503"/>
      <c r="J4947" s="503"/>
      <c r="K4947" s="503"/>
      <c r="L4947" s="497"/>
      <c r="M4947" s="497"/>
      <c r="N4947" s="497"/>
      <c r="O4947" s="497"/>
      <c r="P4947" s="497">
        <f t="shared" si="297"/>
        <v>637</v>
      </c>
      <c r="Q4947" s="497" t="b">
        <v>0</v>
      </c>
    </row>
    <row r="4948" spans="1:17" x14ac:dyDescent="0.35">
      <c r="A4948" s="497" t="b">
        <v>0</v>
      </c>
      <c r="B4948" s="497" t="s">
        <v>10872</v>
      </c>
      <c r="C4948" s="512">
        <v>107</v>
      </c>
      <c r="D4948" s="497">
        <f t="shared" si="294"/>
        <v>158</v>
      </c>
      <c r="E4948" s="497">
        <f t="shared" si="295"/>
        <v>2</v>
      </c>
      <c r="F4948" s="497">
        <f t="shared" ca="1" si="296"/>
        <v>115</v>
      </c>
      <c r="G4948" s="497" t="s">
        <v>10127</v>
      </c>
      <c r="H4948" s="503"/>
      <c r="I4948" s="503"/>
      <c r="J4948" s="503"/>
      <c r="K4948" s="503"/>
      <c r="L4948" s="497"/>
      <c r="M4948" s="497"/>
      <c r="N4948" s="497"/>
      <c r="O4948" s="497"/>
      <c r="P4948" s="497">
        <f t="shared" si="297"/>
        <v>638</v>
      </c>
      <c r="Q4948" s="497" t="b">
        <v>0</v>
      </c>
    </row>
    <row r="4949" spans="1:17" x14ac:dyDescent="0.35">
      <c r="A4949" s="497" t="b">
        <v>0</v>
      </c>
      <c r="B4949" s="497" t="s">
        <v>10873</v>
      </c>
      <c r="C4949" s="512">
        <v>107</v>
      </c>
      <c r="D4949" s="497">
        <f t="shared" si="294"/>
        <v>159</v>
      </c>
      <c r="E4949" s="497">
        <f t="shared" si="295"/>
        <v>3</v>
      </c>
      <c r="F4949" s="497">
        <f t="shared" ca="1" si="296"/>
        <v>115</v>
      </c>
      <c r="G4949" s="497" t="s">
        <v>10127</v>
      </c>
      <c r="H4949" s="503"/>
      <c r="I4949" s="503"/>
      <c r="J4949" s="503"/>
      <c r="K4949" s="503"/>
      <c r="L4949" s="497"/>
      <c r="M4949" s="497"/>
      <c r="N4949" s="497"/>
      <c r="O4949" s="497"/>
      <c r="P4949" s="497">
        <f t="shared" si="297"/>
        <v>639</v>
      </c>
      <c r="Q4949" s="497" t="b">
        <v>0</v>
      </c>
    </row>
    <row r="4950" spans="1:17" x14ac:dyDescent="0.35">
      <c r="A4950" s="497" t="b">
        <v>0</v>
      </c>
      <c r="B4950" s="497" t="s">
        <v>10874</v>
      </c>
      <c r="C4950" s="512">
        <v>107</v>
      </c>
      <c r="D4950" s="497">
        <f t="shared" si="294"/>
        <v>160</v>
      </c>
      <c r="E4950" s="497">
        <f t="shared" si="295"/>
        <v>4</v>
      </c>
      <c r="F4950" s="497">
        <f t="shared" ca="1" si="296"/>
        <v>115</v>
      </c>
      <c r="G4950" s="497" t="s">
        <v>10127</v>
      </c>
      <c r="H4950" s="503"/>
      <c r="I4950" s="503"/>
      <c r="J4950" s="503"/>
      <c r="K4950" s="503"/>
      <c r="L4950" s="497"/>
      <c r="M4950" s="497"/>
      <c r="N4950" s="497"/>
      <c r="O4950" s="497"/>
      <c r="P4950" s="497">
        <f t="shared" si="297"/>
        <v>640</v>
      </c>
      <c r="Q4950" s="497" t="b">
        <v>0</v>
      </c>
    </row>
    <row r="4951" spans="1:17" x14ac:dyDescent="0.35">
      <c r="A4951" s="497" t="b">
        <v>0</v>
      </c>
      <c r="B4951" s="497" t="s">
        <v>10875</v>
      </c>
      <c r="C4951" s="512">
        <v>107</v>
      </c>
      <c r="D4951" s="497">
        <f t="shared" ref="D4951:D5014" si="298">D4950+1</f>
        <v>161</v>
      </c>
      <c r="E4951" s="497">
        <f t="shared" ref="E4951:E5014" si="299">COUNTIF(C4701:C4951,C4951)</f>
        <v>5</v>
      </c>
      <c r="F4951" s="497">
        <f t="shared" ref="F4951:F5014" ca="1" si="300">IF(C4951=1,9,IF(E4950=MAX(E4949:E4951),F4949+1,F4950))</f>
        <v>115</v>
      </c>
      <c r="G4951" s="497" t="s">
        <v>10127</v>
      </c>
      <c r="H4951" s="503"/>
      <c r="I4951" s="503"/>
      <c r="J4951" s="503"/>
      <c r="K4951" s="503"/>
      <c r="L4951" s="497"/>
      <c r="M4951" s="497"/>
      <c r="N4951" s="497"/>
      <c r="O4951" s="497"/>
      <c r="P4951" s="497">
        <f t="shared" ref="P4951:P5014" si="301">IF(NOT(_xlfn.ISFORMULA(I4951)),P4950+1,0)</f>
        <v>641</v>
      </c>
      <c r="Q4951" s="497" t="b">
        <v>0</v>
      </c>
    </row>
    <row r="4952" spans="1:17" x14ac:dyDescent="0.35">
      <c r="A4952" s="497" t="b">
        <v>0</v>
      </c>
      <c r="B4952" s="497" t="s">
        <v>10876</v>
      </c>
      <c r="C4952" s="512">
        <v>107</v>
      </c>
      <c r="D4952" s="497">
        <f t="shared" si="298"/>
        <v>162</v>
      </c>
      <c r="E4952" s="497">
        <f t="shared" si="299"/>
        <v>6</v>
      </c>
      <c r="F4952" s="497">
        <f t="shared" ca="1" si="300"/>
        <v>115</v>
      </c>
      <c r="G4952" s="497" t="s">
        <v>10127</v>
      </c>
      <c r="H4952" s="503"/>
      <c r="I4952" s="503"/>
      <c r="J4952" s="503"/>
      <c r="K4952" s="503"/>
      <c r="L4952" s="497"/>
      <c r="M4952" s="497"/>
      <c r="N4952" s="497"/>
      <c r="O4952" s="497"/>
      <c r="P4952" s="497">
        <f t="shared" si="301"/>
        <v>642</v>
      </c>
      <c r="Q4952" s="497" t="b">
        <v>0</v>
      </c>
    </row>
    <row r="4953" spans="1:17" x14ac:dyDescent="0.35">
      <c r="A4953" s="497" t="b">
        <v>0</v>
      </c>
      <c r="B4953" s="497" t="s">
        <v>10877</v>
      </c>
      <c r="C4953" s="512">
        <v>108</v>
      </c>
      <c r="D4953" s="497">
        <f t="shared" si="298"/>
        <v>163</v>
      </c>
      <c r="E4953" s="497">
        <f t="shared" si="299"/>
        <v>1</v>
      </c>
      <c r="F4953" s="497">
        <f t="shared" ca="1" si="300"/>
        <v>116</v>
      </c>
      <c r="G4953" s="497" t="s">
        <v>10129</v>
      </c>
      <c r="H4953" s="503"/>
      <c r="I4953" s="503"/>
      <c r="J4953" s="503"/>
      <c r="K4953" s="503"/>
      <c r="L4953" s="497"/>
      <c r="M4953" s="497"/>
      <c r="N4953" s="497"/>
      <c r="O4953" s="497"/>
      <c r="P4953" s="497">
        <f t="shared" si="301"/>
        <v>643</v>
      </c>
      <c r="Q4953" s="497" t="b">
        <v>0</v>
      </c>
    </row>
    <row r="4954" spans="1:17" x14ac:dyDescent="0.35">
      <c r="A4954" s="497" t="b">
        <v>0</v>
      </c>
      <c r="B4954" s="497" t="s">
        <v>10878</v>
      </c>
      <c r="C4954" s="512">
        <v>108</v>
      </c>
      <c r="D4954" s="497">
        <f t="shared" si="298"/>
        <v>164</v>
      </c>
      <c r="E4954" s="497">
        <f t="shared" si="299"/>
        <v>2</v>
      </c>
      <c r="F4954" s="497">
        <f t="shared" ca="1" si="300"/>
        <v>116</v>
      </c>
      <c r="G4954" s="497" t="s">
        <v>10129</v>
      </c>
      <c r="H4954" s="503"/>
      <c r="I4954" s="503"/>
      <c r="J4954" s="503"/>
      <c r="K4954" s="503"/>
      <c r="L4954" s="497"/>
      <c r="M4954" s="497"/>
      <c r="N4954" s="497"/>
      <c r="O4954" s="497"/>
      <c r="P4954" s="497">
        <f t="shared" si="301"/>
        <v>644</v>
      </c>
      <c r="Q4954" s="497" t="b">
        <v>0</v>
      </c>
    </row>
    <row r="4955" spans="1:17" x14ac:dyDescent="0.35">
      <c r="A4955" s="497" t="b">
        <v>0</v>
      </c>
      <c r="B4955" s="497" t="s">
        <v>10879</v>
      </c>
      <c r="C4955" s="512">
        <v>108</v>
      </c>
      <c r="D4955" s="497">
        <f t="shared" si="298"/>
        <v>165</v>
      </c>
      <c r="E4955" s="497">
        <f t="shared" si="299"/>
        <v>3</v>
      </c>
      <c r="F4955" s="497">
        <f t="shared" ca="1" si="300"/>
        <v>116</v>
      </c>
      <c r="G4955" s="497" t="s">
        <v>10129</v>
      </c>
      <c r="H4955" s="503"/>
      <c r="I4955" s="503"/>
      <c r="J4955" s="503"/>
      <c r="K4955" s="503"/>
      <c r="L4955" s="497"/>
      <c r="M4955" s="497"/>
      <c r="N4955" s="497"/>
      <c r="O4955" s="497"/>
      <c r="P4955" s="497">
        <f t="shared" si="301"/>
        <v>645</v>
      </c>
      <c r="Q4955" s="497" t="b">
        <v>0</v>
      </c>
    </row>
    <row r="4956" spans="1:17" x14ac:dyDescent="0.35">
      <c r="A4956" s="497" t="b">
        <v>0</v>
      </c>
      <c r="B4956" s="497" t="s">
        <v>10880</v>
      </c>
      <c r="C4956" s="512">
        <v>108</v>
      </c>
      <c r="D4956" s="497">
        <f t="shared" si="298"/>
        <v>166</v>
      </c>
      <c r="E4956" s="497">
        <f t="shared" si="299"/>
        <v>4</v>
      </c>
      <c r="F4956" s="497">
        <f t="shared" ca="1" si="300"/>
        <v>116</v>
      </c>
      <c r="G4956" s="497" t="s">
        <v>10129</v>
      </c>
      <c r="H4956" s="503"/>
      <c r="I4956" s="503"/>
      <c r="J4956" s="503"/>
      <c r="K4956" s="503"/>
      <c r="L4956" s="497"/>
      <c r="M4956" s="497"/>
      <c r="N4956" s="497"/>
      <c r="O4956" s="497"/>
      <c r="P4956" s="497">
        <f t="shared" si="301"/>
        <v>646</v>
      </c>
      <c r="Q4956" s="497" t="b">
        <v>0</v>
      </c>
    </row>
    <row r="4957" spans="1:17" x14ac:dyDescent="0.35">
      <c r="A4957" s="497" t="b">
        <v>0</v>
      </c>
      <c r="B4957" s="497" t="s">
        <v>10881</v>
      </c>
      <c r="C4957" s="512">
        <v>108</v>
      </c>
      <c r="D4957" s="497">
        <f t="shared" si="298"/>
        <v>167</v>
      </c>
      <c r="E4957" s="497">
        <f t="shared" si="299"/>
        <v>5</v>
      </c>
      <c r="F4957" s="497">
        <f t="shared" ca="1" si="300"/>
        <v>116</v>
      </c>
      <c r="G4957" s="497" t="s">
        <v>10129</v>
      </c>
      <c r="H4957" s="503"/>
      <c r="I4957" s="503"/>
      <c r="J4957" s="503"/>
      <c r="K4957" s="503"/>
      <c r="L4957" s="497"/>
      <c r="M4957" s="497"/>
      <c r="N4957" s="497"/>
      <c r="O4957" s="497"/>
      <c r="P4957" s="497">
        <f t="shared" si="301"/>
        <v>647</v>
      </c>
      <c r="Q4957" s="497" t="b">
        <v>0</v>
      </c>
    </row>
    <row r="4958" spans="1:17" x14ac:dyDescent="0.35">
      <c r="A4958" s="497" t="b">
        <v>0</v>
      </c>
      <c r="B4958" s="497" t="s">
        <v>10882</v>
      </c>
      <c r="C4958" s="512">
        <v>108</v>
      </c>
      <c r="D4958" s="497">
        <f t="shared" si="298"/>
        <v>168</v>
      </c>
      <c r="E4958" s="497">
        <f t="shared" si="299"/>
        <v>6</v>
      </c>
      <c r="F4958" s="497">
        <f t="shared" ca="1" si="300"/>
        <v>116</v>
      </c>
      <c r="G4958" s="497" t="s">
        <v>10129</v>
      </c>
      <c r="H4958" s="503"/>
      <c r="I4958" s="503"/>
      <c r="J4958" s="503"/>
      <c r="K4958" s="503"/>
      <c r="L4958" s="497"/>
      <c r="M4958" s="497"/>
      <c r="N4958" s="497"/>
      <c r="O4958" s="497"/>
      <c r="P4958" s="497">
        <f t="shared" si="301"/>
        <v>648</v>
      </c>
      <c r="Q4958" s="497" t="b">
        <v>0</v>
      </c>
    </row>
    <row r="4959" spans="1:17" x14ac:dyDescent="0.35">
      <c r="A4959" s="497" t="b">
        <v>0</v>
      </c>
      <c r="B4959" s="497" t="s">
        <v>10883</v>
      </c>
      <c r="C4959" s="512">
        <v>109</v>
      </c>
      <c r="D4959" s="497">
        <f t="shared" si="298"/>
        <v>169</v>
      </c>
      <c r="E4959" s="497">
        <f t="shared" si="299"/>
        <v>1</v>
      </c>
      <c r="F4959" s="497">
        <f t="shared" ca="1" si="300"/>
        <v>117</v>
      </c>
      <c r="G4959" s="497" t="s">
        <v>10131</v>
      </c>
      <c r="H4959" s="503"/>
      <c r="I4959" s="503"/>
      <c r="J4959" s="503"/>
      <c r="K4959" s="503"/>
      <c r="L4959" s="497"/>
      <c r="M4959" s="497"/>
      <c r="N4959" s="497"/>
      <c r="O4959" s="497"/>
      <c r="P4959" s="497">
        <f t="shared" si="301"/>
        <v>649</v>
      </c>
      <c r="Q4959" s="497" t="b">
        <v>0</v>
      </c>
    </row>
    <row r="4960" spans="1:17" x14ac:dyDescent="0.35">
      <c r="A4960" s="497" t="b">
        <v>0</v>
      </c>
      <c r="B4960" s="497" t="s">
        <v>10884</v>
      </c>
      <c r="C4960" s="512">
        <v>109</v>
      </c>
      <c r="D4960" s="497">
        <f t="shared" si="298"/>
        <v>170</v>
      </c>
      <c r="E4960" s="497">
        <f t="shared" si="299"/>
        <v>2</v>
      </c>
      <c r="F4960" s="497">
        <f t="shared" ca="1" si="300"/>
        <v>117</v>
      </c>
      <c r="G4960" s="497" t="s">
        <v>10131</v>
      </c>
      <c r="H4960" s="503"/>
      <c r="I4960" s="503"/>
      <c r="J4960" s="503"/>
      <c r="K4960" s="503"/>
      <c r="L4960" s="497"/>
      <c r="M4960" s="497"/>
      <c r="N4960" s="497"/>
      <c r="O4960" s="497"/>
      <c r="P4960" s="497">
        <f t="shared" si="301"/>
        <v>650</v>
      </c>
      <c r="Q4960" s="497" t="b">
        <v>0</v>
      </c>
    </row>
    <row r="4961" spans="1:17" x14ac:dyDescent="0.35">
      <c r="A4961" s="497" t="b">
        <v>0</v>
      </c>
      <c r="B4961" s="497" t="s">
        <v>10885</v>
      </c>
      <c r="C4961" s="512">
        <v>109</v>
      </c>
      <c r="D4961" s="497">
        <f t="shared" si="298"/>
        <v>171</v>
      </c>
      <c r="E4961" s="497">
        <f t="shared" si="299"/>
        <v>3</v>
      </c>
      <c r="F4961" s="497">
        <f t="shared" ca="1" si="300"/>
        <v>117</v>
      </c>
      <c r="G4961" s="497" t="s">
        <v>10131</v>
      </c>
      <c r="H4961" s="503"/>
      <c r="I4961" s="503"/>
      <c r="J4961" s="503"/>
      <c r="K4961" s="503"/>
      <c r="L4961" s="497"/>
      <c r="M4961" s="497"/>
      <c r="N4961" s="497"/>
      <c r="O4961" s="497"/>
      <c r="P4961" s="497">
        <f t="shared" si="301"/>
        <v>651</v>
      </c>
      <c r="Q4961" s="497" t="b">
        <v>0</v>
      </c>
    </row>
    <row r="4962" spans="1:17" x14ac:dyDescent="0.35">
      <c r="A4962" s="497" t="b">
        <v>0</v>
      </c>
      <c r="B4962" s="497" t="s">
        <v>10886</v>
      </c>
      <c r="C4962" s="512">
        <v>109</v>
      </c>
      <c r="D4962" s="497">
        <f t="shared" si="298"/>
        <v>172</v>
      </c>
      <c r="E4962" s="497">
        <f t="shared" si="299"/>
        <v>4</v>
      </c>
      <c r="F4962" s="497">
        <f t="shared" ca="1" si="300"/>
        <v>117</v>
      </c>
      <c r="G4962" s="497" t="s">
        <v>10131</v>
      </c>
      <c r="H4962" s="503"/>
      <c r="I4962" s="503"/>
      <c r="J4962" s="503"/>
      <c r="K4962" s="503"/>
      <c r="L4962" s="497"/>
      <c r="M4962" s="497"/>
      <c r="N4962" s="497"/>
      <c r="O4962" s="497"/>
      <c r="P4962" s="497">
        <f t="shared" si="301"/>
        <v>652</v>
      </c>
      <c r="Q4962" s="497" t="b">
        <v>0</v>
      </c>
    </row>
    <row r="4963" spans="1:17" x14ac:dyDescent="0.35">
      <c r="A4963" s="497" t="b">
        <v>0</v>
      </c>
      <c r="B4963" s="497" t="s">
        <v>10887</v>
      </c>
      <c r="C4963" s="512">
        <v>109</v>
      </c>
      <c r="D4963" s="497">
        <f t="shared" si="298"/>
        <v>173</v>
      </c>
      <c r="E4963" s="497">
        <f t="shared" si="299"/>
        <v>5</v>
      </c>
      <c r="F4963" s="497">
        <f t="shared" ca="1" si="300"/>
        <v>117</v>
      </c>
      <c r="G4963" s="497" t="s">
        <v>10131</v>
      </c>
      <c r="H4963" s="503"/>
      <c r="I4963" s="503"/>
      <c r="J4963" s="503"/>
      <c r="K4963" s="503"/>
      <c r="L4963" s="497"/>
      <c r="M4963" s="497"/>
      <c r="N4963" s="497"/>
      <c r="O4963" s="497"/>
      <c r="P4963" s="497">
        <f t="shared" si="301"/>
        <v>653</v>
      </c>
      <c r="Q4963" s="497" t="b">
        <v>0</v>
      </c>
    </row>
    <row r="4964" spans="1:17" x14ac:dyDescent="0.35">
      <c r="A4964" s="497" t="b">
        <v>0</v>
      </c>
      <c r="B4964" s="497" t="s">
        <v>10888</v>
      </c>
      <c r="C4964" s="512">
        <v>109</v>
      </c>
      <c r="D4964" s="497">
        <f t="shared" si="298"/>
        <v>174</v>
      </c>
      <c r="E4964" s="497">
        <f t="shared" si="299"/>
        <v>6</v>
      </c>
      <c r="F4964" s="497">
        <f t="shared" ca="1" si="300"/>
        <v>117</v>
      </c>
      <c r="G4964" s="497" t="s">
        <v>10131</v>
      </c>
      <c r="H4964" s="503"/>
      <c r="I4964" s="503"/>
      <c r="J4964" s="503"/>
      <c r="K4964" s="503"/>
      <c r="L4964" s="497"/>
      <c r="M4964" s="497"/>
      <c r="N4964" s="497"/>
      <c r="O4964" s="497"/>
      <c r="P4964" s="497">
        <f t="shared" si="301"/>
        <v>654</v>
      </c>
      <c r="Q4964" s="497" t="b">
        <v>0</v>
      </c>
    </row>
    <row r="4965" spans="1:17" x14ac:dyDescent="0.35">
      <c r="A4965" s="497" t="b">
        <v>0</v>
      </c>
      <c r="B4965" s="497" t="s">
        <v>10889</v>
      </c>
      <c r="C4965" s="512">
        <v>110</v>
      </c>
      <c r="D4965" s="497">
        <f t="shared" si="298"/>
        <v>175</v>
      </c>
      <c r="E4965" s="497">
        <f t="shared" si="299"/>
        <v>1</v>
      </c>
      <c r="F4965" s="497">
        <f t="shared" ca="1" si="300"/>
        <v>118</v>
      </c>
      <c r="G4965" s="497" t="s">
        <v>10133</v>
      </c>
      <c r="H4965" s="503"/>
      <c r="I4965" s="503"/>
      <c r="J4965" s="503"/>
      <c r="K4965" s="503"/>
      <c r="L4965" s="497"/>
      <c r="M4965" s="497"/>
      <c r="N4965" s="497"/>
      <c r="O4965" s="497"/>
      <c r="P4965" s="497">
        <f t="shared" si="301"/>
        <v>655</v>
      </c>
      <c r="Q4965" s="497" t="b">
        <v>0</v>
      </c>
    </row>
    <row r="4966" spans="1:17" x14ac:dyDescent="0.35">
      <c r="A4966" s="497" t="b">
        <v>0</v>
      </c>
      <c r="B4966" s="497" t="s">
        <v>10890</v>
      </c>
      <c r="C4966" s="512">
        <v>110</v>
      </c>
      <c r="D4966" s="497">
        <f t="shared" si="298"/>
        <v>176</v>
      </c>
      <c r="E4966" s="497">
        <f t="shared" si="299"/>
        <v>2</v>
      </c>
      <c r="F4966" s="497">
        <f t="shared" ca="1" si="300"/>
        <v>118</v>
      </c>
      <c r="G4966" s="497" t="s">
        <v>10133</v>
      </c>
      <c r="H4966" s="503"/>
      <c r="I4966" s="503"/>
      <c r="J4966" s="503"/>
      <c r="K4966" s="503"/>
      <c r="L4966" s="497"/>
      <c r="M4966" s="497"/>
      <c r="N4966" s="497"/>
      <c r="O4966" s="497"/>
      <c r="P4966" s="497">
        <f t="shared" si="301"/>
        <v>656</v>
      </c>
      <c r="Q4966" s="497" t="b">
        <v>0</v>
      </c>
    </row>
    <row r="4967" spans="1:17" x14ac:dyDescent="0.35">
      <c r="A4967" s="497" t="b">
        <v>0</v>
      </c>
      <c r="B4967" s="497" t="s">
        <v>10891</v>
      </c>
      <c r="C4967" s="512">
        <v>110</v>
      </c>
      <c r="D4967" s="497">
        <f t="shared" si="298"/>
        <v>177</v>
      </c>
      <c r="E4967" s="497">
        <f t="shared" si="299"/>
        <v>3</v>
      </c>
      <c r="F4967" s="497">
        <f t="shared" ca="1" si="300"/>
        <v>118</v>
      </c>
      <c r="G4967" s="497" t="s">
        <v>10133</v>
      </c>
      <c r="H4967" s="503"/>
      <c r="I4967" s="503"/>
      <c r="J4967" s="503"/>
      <c r="K4967" s="503"/>
      <c r="L4967" s="497"/>
      <c r="M4967" s="497"/>
      <c r="N4967" s="497"/>
      <c r="O4967" s="497"/>
      <c r="P4967" s="497">
        <f t="shared" si="301"/>
        <v>657</v>
      </c>
      <c r="Q4967" s="497" t="b">
        <v>0</v>
      </c>
    </row>
    <row r="4968" spans="1:17" x14ac:dyDescent="0.35">
      <c r="A4968" s="497" t="b">
        <v>0</v>
      </c>
      <c r="B4968" s="497" t="s">
        <v>10892</v>
      </c>
      <c r="C4968" s="512">
        <v>110</v>
      </c>
      <c r="D4968" s="497">
        <f t="shared" si="298"/>
        <v>178</v>
      </c>
      <c r="E4968" s="497">
        <f t="shared" si="299"/>
        <v>4</v>
      </c>
      <c r="F4968" s="497">
        <f t="shared" ca="1" si="300"/>
        <v>118</v>
      </c>
      <c r="G4968" s="497" t="s">
        <v>10133</v>
      </c>
      <c r="H4968" s="503"/>
      <c r="I4968" s="503"/>
      <c r="J4968" s="503"/>
      <c r="K4968" s="503"/>
      <c r="L4968" s="497"/>
      <c r="M4968" s="497"/>
      <c r="N4968" s="497"/>
      <c r="O4968" s="497"/>
      <c r="P4968" s="497">
        <f t="shared" si="301"/>
        <v>658</v>
      </c>
      <c r="Q4968" s="497" t="b">
        <v>0</v>
      </c>
    </row>
    <row r="4969" spans="1:17" x14ac:dyDescent="0.35">
      <c r="A4969" s="497" t="b">
        <v>0</v>
      </c>
      <c r="B4969" s="497" t="s">
        <v>10893</v>
      </c>
      <c r="C4969" s="512">
        <v>110</v>
      </c>
      <c r="D4969" s="497">
        <f t="shared" si="298"/>
        <v>179</v>
      </c>
      <c r="E4969" s="497">
        <f t="shared" si="299"/>
        <v>5</v>
      </c>
      <c r="F4969" s="497">
        <f t="shared" ca="1" si="300"/>
        <v>118</v>
      </c>
      <c r="G4969" s="497" t="s">
        <v>10133</v>
      </c>
      <c r="H4969" s="503"/>
      <c r="I4969" s="503"/>
      <c r="J4969" s="503"/>
      <c r="K4969" s="503"/>
      <c r="L4969" s="497"/>
      <c r="M4969" s="497"/>
      <c r="N4969" s="497"/>
      <c r="O4969" s="497"/>
      <c r="P4969" s="497">
        <f t="shared" si="301"/>
        <v>659</v>
      </c>
      <c r="Q4969" s="497" t="b">
        <v>0</v>
      </c>
    </row>
    <row r="4970" spans="1:17" x14ac:dyDescent="0.35">
      <c r="A4970" s="497" t="b">
        <v>0</v>
      </c>
      <c r="B4970" s="497" t="s">
        <v>10894</v>
      </c>
      <c r="C4970" s="512">
        <v>110</v>
      </c>
      <c r="D4970" s="497">
        <f t="shared" si="298"/>
        <v>180</v>
      </c>
      <c r="E4970" s="497">
        <f t="shared" si="299"/>
        <v>6</v>
      </c>
      <c r="F4970" s="497">
        <f t="shared" ca="1" si="300"/>
        <v>118</v>
      </c>
      <c r="G4970" s="497" t="s">
        <v>10133</v>
      </c>
      <c r="H4970" s="503"/>
      <c r="I4970" s="503"/>
      <c r="J4970" s="503"/>
      <c r="K4970" s="503"/>
      <c r="L4970" s="497"/>
      <c r="M4970" s="497"/>
      <c r="N4970" s="497"/>
      <c r="O4970" s="497"/>
      <c r="P4970" s="497">
        <f t="shared" si="301"/>
        <v>660</v>
      </c>
      <c r="Q4970" s="497" t="b">
        <v>0</v>
      </c>
    </row>
    <row r="4971" spans="1:17" x14ac:dyDescent="0.35">
      <c r="A4971" s="497" t="b">
        <v>0</v>
      </c>
      <c r="B4971" s="497" t="s">
        <v>10895</v>
      </c>
      <c r="C4971" s="512">
        <v>111</v>
      </c>
      <c r="D4971" s="497">
        <f t="shared" si="298"/>
        <v>181</v>
      </c>
      <c r="E4971" s="497">
        <f t="shared" si="299"/>
        <v>1</v>
      </c>
      <c r="F4971" s="497">
        <f t="shared" ca="1" si="300"/>
        <v>119</v>
      </c>
      <c r="G4971" s="497" t="s">
        <v>10135</v>
      </c>
      <c r="H4971" s="503"/>
      <c r="I4971" s="503"/>
      <c r="J4971" s="503"/>
      <c r="K4971" s="503"/>
      <c r="L4971" s="497"/>
      <c r="M4971" s="497"/>
      <c r="N4971" s="497"/>
      <c r="O4971" s="497"/>
      <c r="P4971" s="497">
        <f t="shared" si="301"/>
        <v>661</v>
      </c>
      <c r="Q4971" s="497" t="b">
        <v>0</v>
      </c>
    </row>
    <row r="4972" spans="1:17" x14ac:dyDescent="0.35">
      <c r="A4972" s="497" t="b">
        <v>0</v>
      </c>
      <c r="B4972" s="497" t="s">
        <v>10896</v>
      </c>
      <c r="C4972" s="512">
        <v>111</v>
      </c>
      <c r="D4972" s="497">
        <f t="shared" si="298"/>
        <v>182</v>
      </c>
      <c r="E4972" s="497">
        <f t="shared" si="299"/>
        <v>2</v>
      </c>
      <c r="F4972" s="497">
        <f t="shared" ca="1" si="300"/>
        <v>119</v>
      </c>
      <c r="G4972" s="497" t="s">
        <v>10135</v>
      </c>
      <c r="H4972" s="503"/>
      <c r="I4972" s="503"/>
      <c r="J4972" s="503"/>
      <c r="K4972" s="503"/>
      <c r="L4972" s="497"/>
      <c r="M4972" s="497"/>
      <c r="N4972" s="497"/>
      <c r="O4972" s="497"/>
      <c r="P4972" s="497">
        <f t="shared" si="301"/>
        <v>662</v>
      </c>
      <c r="Q4972" s="497" t="b">
        <v>0</v>
      </c>
    </row>
    <row r="4973" spans="1:17" x14ac:dyDescent="0.35">
      <c r="A4973" s="497" t="b">
        <v>0</v>
      </c>
      <c r="B4973" s="497" t="s">
        <v>10897</v>
      </c>
      <c r="C4973" s="512">
        <v>111</v>
      </c>
      <c r="D4973" s="497">
        <f t="shared" si="298"/>
        <v>183</v>
      </c>
      <c r="E4973" s="497">
        <f t="shared" si="299"/>
        <v>3</v>
      </c>
      <c r="F4973" s="497">
        <f t="shared" ca="1" si="300"/>
        <v>119</v>
      </c>
      <c r="G4973" s="497" t="s">
        <v>10135</v>
      </c>
      <c r="H4973" s="503"/>
      <c r="I4973" s="503"/>
      <c r="J4973" s="503"/>
      <c r="K4973" s="503"/>
      <c r="L4973" s="497"/>
      <c r="M4973" s="497"/>
      <c r="N4973" s="497"/>
      <c r="O4973" s="497"/>
      <c r="P4973" s="497">
        <f t="shared" si="301"/>
        <v>663</v>
      </c>
      <c r="Q4973" s="497" t="b">
        <v>0</v>
      </c>
    </row>
    <row r="4974" spans="1:17" x14ac:dyDescent="0.35">
      <c r="A4974" s="497" t="b">
        <v>0</v>
      </c>
      <c r="B4974" s="497" t="s">
        <v>10898</v>
      </c>
      <c r="C4974" s="512">
        <v>111</v>
      </c>
      <c r="D4974" s="497">
        <f t="shared" si="298"/>
        <v>184</v>
      </c>
      <c r="E4974" s="497">
        <f t="shared" si="299"/>
        <v>4</v>
      </c>
      <c r="F4974" s="497">
        <f t="shared" ca="1" si="300"/>
        <v>119</v>
      </c>
      <c r="G4974" s="497" t="s">
        <v>10135</v>
      </c>
      <c r="H4974" s="503"/>
      <c r="I4974" s="503"/>
      <c r="J4974" s="503"/>
      <c r="K4974" s="503"/>
      <c r="L4974" s="497"/>
      <c r="M4974" s="497"/>
      <c r="N4974" s="497"/>
      <c r="O4974" s="497"/>
      <c r="P4974" s="497">
        <f t="shared" si="301"/>
        <v>664</v>
      </c>
      <c r="Q4974" s="497" t="b">
        <v>0</v>
      </c>
    </row>
    <row r="4975" spans="1:17" x14ac:dyDescent="0.35">
      <c r="A4975" s="497" t="b">
        <v>0</v>
      </c>
      <c r="B4975" s="497" t="s">
        <v>10899</v>
      </c>
      <c r="C4975" s="512">
        <v>111</v>
      </c>
      <c r="D4975" s="497">
        <f t="shared" si="298"/>
        <v>185</v>
      </c>
      <c r="E4975" s="497">
        <f t="shared" si="299"/>
        <v>5</v>
      </c>
      <c r="F4975" s="497">
        <f t="shared" ca="1" si="300"/>
        <v>119</v>
      </c>
      <c r="G4975" s="497" t="s">
        <v>10135</v>
      </c>
      <c r="H4975" s="503"/>
      <c r="I4975" s="503"/>
      <c r="J4975" s="503"/>
      <c r="K4975" s="503"/>
      <c r="L4975" s="497"/>
      <c r="M4975" s="497"/>
      <c r="N4975" s="497"/>
      <c r="O4975" s="497"/>
      <c r="P4975" s="497">
        <f t="shared" si="301"/>
        <v>665</v>
      </c>
      <c r="Q4975" s="497" t="b">
        <v>0</v>
      </c>
    </row>
    <row r="4976" spans="1:17" x14ac:dyDescent="0.35">
      <c r="A4976" s="497" t="b">
        <v>0</v>
      </c>
      <c r="B4976" s="497" t="s">
        <v>10900</v>
      </c>
      <c r="C4976" s="512">
        <v>111</v>
      </c>
      <c r="D4976" s="497">
        <f t="shared" si="298"/>
        <v>186</v>
      </c>
      <c r="E4976" s="497">
        <f t="shared" si="299"/>
        <v>6</v>
      </c>
      <c r="F4976" s="497">
        <f t="shared" ca="1" si="300"/>
        <v>119</v>
      </c>
      <c r="G4976" s="497" t="s">
        <v>10135</v>
      </c>
      <c r="H4976" s="503"/>
      <c r="I4976" s="503"/>
      <c r="J4976" s="503"/>
      <c r="K4976" s="503"/>
      <c r="L4976" s="497"/>
      <c r="M4976" s="497"/>
      <c r="N4976" s="497"/>
      <c r="O4976" s="497"/>
      <c r="P4976" s="497">
        <f t="shared" si="301"/>
        <v>666</v>
      </c>
      <c r="Q4976" s="497" t="b">
        <v>0</v>
      </c>
    </row>
    <row r="4977" spans="1:17" x14ac:dyDescent="0.35">
      <c r="A4977" s="497" t="b">
        <v>0</v>
      </c>
      <c r="B4977" s="497" t="s">
        <v>10901</v>
      </c>
      <c r="C4977" s="512">
        <v>112</v>
      </c>
      <c r="D4977" s="497">
        <f t="shared" si="298"/>
        <v>187</v>
      </c>
      <c r="E4977" s="497">
        <f t="shared" si="299"/>
        <v>1</v>
      </c>
      <c r="F4977" s="497">
        <f t="shared" ca="1" si="300"/>
        <v>120</v>
      </c>
      <c r="G4977" s="497" t="s">
        <v>10137</v>
      </c>
      <c r="H4977" s="503"/>
      <c r="I4977" s="503"/>
      <c r="J4977" s="503"/>
      <c r="K4977" s="503"/>
      <c r="L4977" s="497"/>
      <c r="M4977" s="497"/>
      <c r="N4977" s="497"/>
      <c r="O4977" s="497"/>
      <c r="P4977" s="497">
        <f t="shared" si="301"/>
        <v>667</v>
      </c>
      <c r="Q4977" s="497" t="b">
        <v>0</v>
      </c>
    </row>
    <row r="4978" spans="1:17" x14ac:dyDescent="0.35">
      <c r="A4978" s="497" t="b">
        <v>0</v>
      </c>
      <c r="B4978" s="497" t="s">
        <v>10902</v>
      </c>
      <c r="C4978" s="512">
        <v>112</v>
      </c>
      <c r="D4978" s="497">
        <f t="shared" si="298"/>
        <v>188</v>
      </c>
      <c r="E4978" s="497">
        <f t="shared" si="299"/>
        <v>2</v>
      </c>
      <c r="F4978" s="497">
        <f t="shared" ca="1" si="300"/>
        <v>120</v>
      </c>
      <c r="G4978" s="497" t="s">
        <v>10137</v>
      </c>
      <c r="H4978" s="503"/>
      <c r="I4978" s="503"/>
      <c r="J4978" s="503"/>
      <c r="K4978" s="503"/>
      <c r="L4978" s="497"/>
      <c r="M4978" s="497"/>
      <c r="N4978" s="497"/>
      <c r="O4978" s="497"/>
      <c r="P4978" s="497">
        <f t="shared" si="301"/>
        <v>668</v>
      </c>
      <c r="Q4978" s="497" t="b">
        <v>0</v>
      </c>
    </row>
    <row r="4979" spans="1:17" x14ac:dyDescent="0.35">
      <c r="A4979" s="497" t="b">
        <v>0</v>
      </c>
      <c r="B4979" s="497" t="s">
        <v>10903</v>
      </c>
      <c r="C4979" s="512">
        <v>112</v>
      </c>
      <c r="D4979" s="497">
        <f t="shared" si="298"/>
        <v>189</v>
      </c>
      <c r="E4979" s="497">
        <f t="shared" si="299"/>
        <v>3</v>
      </c>
      <c r="F4979" s="497">
        <f t="shared" ca="1" si="300"/>
        <v>120</v>
      </c>
      <c r="G4979" s="497" t="s">
        <v>10137</v>
      </c>
      <c r="H4979" s="503"/>
      <c r="I4979" s="503"/>
      <c r="J4979" s="503"/>
      <c r="K4979" s="503"/>
      <c r="L4979" s="497"/>
      <c r="M4979" s="497"/>
      <c r="N4979" s="497"/>
      <c r="O4979" s="497"/>
      <c r="P4979" s="497">
        <f t="shared" si="301"/>
        <v>669</v>
      </c>
      <c r="Q4979" s="497" t="b">
        <v>0</v>
      </c>
    </row>
    <row r="4980" spans="1:17" x14ac:dyDescent="0.35">
      <c r="A4980" s="497" t="b">
        <v>0</v>
      </c>
      <c r="B4980" s="497" t="s">
        <v>10904</v>
      </c>
      <c r="C4980" s="512">
        <v>112</v>
      </c>
      <c r="D4980" s="497">
        <f t="shared" si="298"/>
        <v>190</v>
      </c>
      <c r="E4980" s="497">
        <f t="shared" si="299"/>
        <v>4</v>
      </c>
      <c r="F4980" s="497">
        <f t="shared" ca="1" si="300"/>
        <v>120</v>
      </c>
      <c r="G4980" s="497" t="s">
        <v>10137</v>
      </c>
      <c r="H4980" s="503"/>
      <c r="I4980" s="503"/>
      <c r="J4980" s="503"/>
      <c r="K4980" s="503"/>
      <c r="L4980" s="497"/>
      <c r="M4980" s="497"/>
      <c r="N4980" s="497"/>
      <c r="O4980" s="497"/>
      <c r="P4980" s="497">
        <f t="shared" si="301"/>
        <v>670</v>
      </c>
      <c r="Q4980" s="497" t="b">
        <v>0</v>
      </c>
    </row>
    <row r="4981" spans="1:17" x14ac:dyDescent="0.35">
      <c r="A4981" s="497" t="b">
        <v>0</v>
      </c>
      <c r="B4981" s="497" t="s">
        <v>10905</v>
      </c>
      <c r="C4981" s="512">
        <v>112</v>
      </c>
      <c r="D4981" s="497">
        <f t="shared" si="298"/>
        <v>191</v>
      </c>
      <c r="E4981" s="497">
        <f t="shared" si="299"/>
        <v>5</v>
      </c>
      <c r="F4981" s="497">
        <f t="shared" ca="1" si="300"/>
        <v>120</v>
      </c>
      <c r="G4981" s="497" t="s">
        <v>10137</v>
      </c>
      <c r="H4981" s="503"/>
      <c r="I4981" s="503"/>
      <c r="J4981" s="503"/>
      <c r="K4981" s="503"/>
      <c r="L4981" s="497"/>
      <c r="M4981" s="497"/>
      <c r="N4981" s="497"/>
      <c r="O4981" s="497"/>
      <c r="P4981" s="497">
        <f t="shared" si="301"/>
        <v>671</v>
      </c>
      <c r="Q4981" s="497" t="b">
        <v>0</v>
      </c>
    </row>
    <row r="4982" spans="1:17" x14ac:dyDescent="0.35">
      <c r="A4982" s="497" t="b">
        <v>0</v>
      </c>
      <c r="B4982" s="497" t="s">
        <v>10906</v>
      </c>
      <c r="C4982" s="512">
        <v>112</v>
      </c>
      <c r="D4982" s="497">
        <f t="shared" si="298"/>
        <v>192</v>
      </c>
      <c r="E4982" s="497">
        <f t="shared" si="299"/>
        <v>6</v>
      </c>
      <c r="F4982" s="497">
        <f t="shared" ca="1" si="300"/>
        <v>120</v>
      </c>
      <c r="G4982" s="497" t="s">
        <v>10137</v>
      </c>
      <c r="H4982" s="503"/>
      <c r="I4982" s="503"/>
      <c r="J4982" s="503"/>
      <c r="K4982" s="503"/>
      <c r="L4982" s="497"/>
      <c r="M4982" s="497"/>
      <c r="N4982" s="497"/>
      <c r="O4982" s="497"/>
      <c r="P4982" s="497">
        <f t="shared" si="301"/>
        <v>672</v>
      </c>
      <c r="Q4982" s="497" t="b">
        <v>0</v>
      </c>
    </row>
    <row r="4983" spans="1:17" x14ac:dyDescent="0.35">
      <c r="A4983" s="497" t="b">
        <v>0</v>
      </c>
      <c r="B4983" s="497" t="s">
        <v>10907</v>
      </c>
      <c r="C4983" s="512">
        <v>113</v>
      </c>
      <c r="D4983" s="497">
        <f t="shared" si="298"/>
        <v>193</v>
      </c>
      <c r="E4983" s="497">
        <f t="shared" si="299"/>
        <v>1</v>
      </c>
      <c r="F4983" s="497">
        <f t="shared" ca="1" si="300"/>
        <v>121</v>
      </c>
      <c r="G4983" s="497" t="s">
        <v>10139</v>
      </c>
      <c r="H4983" s="503"/>
      <c r="I4983" s="503"/>
      <c r="J4983" s="503"/>
      <c r="K4983" s="503"/>
      <c r="L4983" s="497"/>
      <c r="M4983" s="497"/>
      <c r="N4983" s="497"/>
      <c r="O4983" s="497"/>
      <c r="P4983" s="497">
        <f t="shared" si="301"/>
        <v>673</v>
      </c>
      <c r="Q4983" s="497" t="b">
        <v>0</v>
      </c>
    </row>
    <row r="4984" spans="1:17" x14ac:dyDescent="0.35">
      <c r="A4984" s="497" t="b">
        <v>0</v>
      </c>
      <c r="B4984" s="497" t="s">
        <v>10908</v>
      </c>
      <c r="C4984" s="512">
        <v>113</v>
      </c>
      <c r="D4984" s="497">
        <f t="shared" si="298"/>
        <v>194</v>
      </c>
      <c r="E4984" s="497">
        <f t="shared" si="299"/>
        <v>2</v>
      </c>
      <c r="F4984" s="497">
        <f t="shared" ca="1" si="300"/>
        <v>121</v>
      </c>
      <c r="G4984" s="497" t="s">
        <v>10139</v>
      </c>
      <c r="H4984" s="503"/>
      <c r="I4984" s="503"/>
      <c r="J4984" s="503"/>
      <c r="K4984" s="503"/>
      <c r="L4984" s="497"/>
      <c r="M4984" s="497"/>
      <c r="N4984" s="497"/>
      <c r="O4984" s="497"/>
      <c r="P4984" s="497">
        <f t="shared" si="301"/>
        <v>674</v>
      </c>
      <c r="Q4984" s="497" t="b">
        <v>0</v>
      </c>
    </row>
    <row r="4985" spans="1:17" x14ac:dyDescent="0.35">
      <c r="A4985" s="497" t="b">
        <v>0</v>
      </c>
      <c r="B4985" s="497" t="s">
        <v>10909</v>
      </c>
      <c r="C4985" s="512">
        <v>113</v>
      </c>
      <c r="D4985" s="497">
        <f t="shared" si="298"/>
        <v>195</v>
      </c>
      <c r="E4985" s="497">
        <f t="shared" si="299"/>
        <v>3</v>
      </c>
      <c r="F4985" s="497">
        <f t="shared" ca="1" si="300"/>
        <v>121</v>
      </c>
      <c r="G4985" s="497" t="s">
        <v>10139</v>
      </c>
      <c r="H4985" s="503"/>
      <c r="I4985" s="503"/>
      <c r="J4985" s="503"/>
      <c r="K4985" s="503"/>
      <c r="L4985" s="497"/>
      <c r="M4985" s="497"/>
      <c r="N4985" s="497"/>
      <c r="O4985" s="497"/>
      <c r="P4985" s="497">
        <f t="shared" si="301"/>
        <v>675</v>
      </c>
      <c r="Q4985" s="497" t="b">
        <v>0</v>
      </c>
    </row>
    <row r="4986" spans="1:17" x14ac:dyDescent="0.35">
      <c r="A4986" s="497" t="b">
        <v>0</v>
      </c>
      <c r="B4986" s="497" t="s">
        <v>10910</v>
      </c>
      <c r="C4986" s="512">
        <v>113</v>
      </c>
      <c r="D4986" s="497">
        <f t="shared" si="298"/>
        <v>196</v>
      </c>
      <c r="E4986" s="497">
        <f t="shared" si="299"/>
        <v>4</v>
      </c>
      <c r="F4986" s="497">
        <f t="shared" ca="1" si="300"/>
        <v>121</v>
      </c>
      <c r="G4986" s="497" t="s">
        <v>10139</v>
      </c>
      <c r="H4986" s="503"/>
      <c r="I4986" s="503"/>
      <c r="J4986" s="503"/>
      <c r="K4986" s="503"/>
      <c r="L4986" s="497"/>
      <c r="M4986" s="497"/>
      <c r="N4986" s="497"/>
      <c r="O4986" s="497"/>
      <c r="P4986" s="497">
        <f t="shared" si="301"/>
        <v>676</v>
      </c>
      <c r="Q4986" s="497" t="b">
        <v>0</v>
      </c>
    </row>
    <row r="4987" spans="1:17" x14ac:dyDescent="0.35">
      <c r="A4987" s="497" t="b">
        <v>0</v>
      </c>
      <c r="B4987" s="497" t="s">
        <v>10911</v>
      </c>
      <c r="C4987" s="512">
        <v>113</v>
      </c>
      <c r="D4987" s="497">
        <f t="shared" si="298"/>
        <v>197</v>
      </c>
      <c r="E4987" s="497">
        <f t="shared" si="299"/>
        <v>5</v>
      </c>
      <c r="F4987" s="497">
        <f t="shared" ca="1" si="300"/>
        <v>121</v>
      </c>
      <c r="G4987" s="497" t="s">
        <v>10139</v>
      </c>
      <c r="H4987" s="503"/>
      <c r="I4987" s="503"/>
      <c r="J4987" s="503"/>
      <c r="K4987" s="503"/>
      <c r="L4987" s="497"/>
      <c r="M4987" s="497"/>
      <c r="N4987" s="497"/>
      <c r="O4987" s="497"/>
      <c r="P4987" s="497">
        <f t="shared" si="301"/>
        <v>677</v>
      </c>
      <c r="Q4987" s="497" t="b">
        <v>0</v>
      </c>
    </row>
    <row r="4988" spans="1:17" x14ac:dyDescent="0.35">
      <c r="A4988" s="497" t="b">
        <v>0</v>
      </c>
      <c r="B4988" s="497" t="s">
        <v>10912</v>
      </c>
      <c r="C4988" s="512">
        <v>113</v>
      </c>
      <c r="D4988" s="497">
        <f t="shared" si="298"/>
        <v>198</v>
      </c>
      <c r="E4988" s="497">
        <f t="shared" si="299"/>
        <v>6</v>
      </c>
      <c r="F4988" s="497">
        <f t="shared" ca="1" si="300"/>
        <v>121</v>
      </c>
      <c r="G4988" s="497" t="s">
        <v>10139</v>
      </c>
      <c r="H4988" s="503"/>
      <c r="I4988" s="503"/>
      <c r="J4988" s="503"/>
      <c r="K4988" s="503"/>
      <c r="L4988" s="497"/>
      <c r="M4988" s="497"/>
      <c r="N4988" s="497"/>
      <c r="O4988" s="497"/>
      <c r="P4988" s="497">
        <f t="shared" si="301"/>
        <v>678</v>
      </c>
      <c r="Q4988" s="497" t="b">
        <v>0</v>
      </c>
    </row>
    <row r="4989" spans="1:17" x14ac:dyDescent="0.35">
      <c r="A4989" s="497" t="b">
        <v>0</v>
      </c>
      <c r="B4989" s="497" t="s">
        <v>10913</v>
      </c>
      <c r="C4989" s="512">
        <v>114</v>
      </c>
      <c r="D4989" s="497">
        <f t="shared" si="298"/>
        <v>199</v>
      </c>
      <c r="E4989" s="497">
        <f t="shared" si="299"/>
        <v>1</v>
      </c>
      <c r="F4989" s="497">
        <f t="shared" ca="1" si="300"/>
        <v>122</v>
      </c>
      <c r="G4989" s="497" t="s">
        <v>10141</v>
      </c>
      <c r="H4989" s="503"/>
      <c r="I4989" s="503"/>
      <c r="J4989" s="503"/>
      <c r="K4989" s="503"/>
      <c r="L4989" s="497"/>
      <c r="M4989" s="497"/>
      <c r="N4989" s="497"/>
      <c r="O4989" s="497"/>
      <c r="P4989" s="497">
        <f t="shared" si="301"/>
        <v>679</v>
      </c>
      <c r="Q4989" s="497" t="b">
        <v>0</v>
      </c>
    </row>
    <row r="4990" spans="1:17" x14ac:dyDescent="0.35">
      <c r="A4990" s="497" t="b">
        <v>0</v>
      </c>
      <c r="B4990" s="497" t="s">
        <v>10914</v>
      </c>
      <c r="C4990" s="512">
        <v>114</v>
      </c>
      <c r="D4990" s="497">
        <f t="shared" si="298"/>
        <v>200</v>
      </c>
      <c r="E4990" s="497">
        <f t="shared" si="299"/>
        <v>2</v>
      </c>
      <c r="F4990" s="497">
        <f t="shared" ca="1" si="300"/>
        <v>122</v>
      </c>
      <c r="G4990" s="497" t="s">
        <v>10141</v>
      </c>
      <c r="H4990" s="503"/>
      <c r="I4990" s="503"/>
      <c r="J4990" s="503"/>
      <c r="K4990" s="503"/>
      <c r="L4990" s="497"/>
      <c r="M4990" s="497"/>
      <c r="N4990" s="497"/>
      <c r="O4990" s="497"/>
      <c r="P4990" s="497">
        <f t="shared" si="301"/>
        <v>680</v>
      </c>
      <c r="Q4990" s="497" t="b">
        <v>0</v>
      </c>
    </row>
    <row r="4991" spans="1:17" x14ac:dyDescent="0.35">
      <c r="A4991" s="497" t="b">
        <v>0</v>
      </c>
      <c r="B4991" s="497" t="s">
        <v>10915</v>
      </c>
      <c r="C4991" s="512">
        <v>114</v>
      </c>
      <c r="D4991" s="497">
        <f t="shared" si="298"/>
        <v>201</v>
      </c>
      <c r="E4991" s="497">
        <f t="shared" si="299"/>
        <v>3</v>
      </c>
      <c r="F4991" s="497">
        <f t="shared" ca="1" si="300"/>
        <v>122</v>
      </c>
      <c r="G4991" s="497" t="s">
        <v>10141</v>
      </c>
      <c r="H4991" s="503"/>
      <c r="I4991" s="503"/>
      <c r="J4991" s="503"/>
      <c r="K4991" s="503"/>
      <c r="L4991" s="497"/>
      <c r="M4991" s="497"/>
      <c r="N4991" s="497"/>
      <c r="O4991" s="497"/>
      <c r="P4991" s="497">
        <f t="shared" si="301"/>
        <v>681</v>
      </c>
      <c r="Q4991" s="497" t="b">
        <v>0</v>
      </c>
    </row>
    <row r="4992" spans="1:17" x14ac:dyDescent="0.35">
      <c r="A4992" s="497" t="b">
        <v>0</v>
      </c>
      <c r="B4992" s="497" t="s">
        <v>10916</v>
      </c>
      <c r="C4992" s="512">
        <v>114</v>
      </c>
      <c r="D4992" s="497">
        <f t="shared" si="298"/>
        <v>202</v>
      </c>
      <c r="E4992" s="497">
        <f t="shared" si="299"/>
        <v>4</v>
      </c>
      <c r="F4992" s="497">
        <f t="shared" ca="1" si="300"/>
        <v>122</v>
      </c>
      <c r="G4992" s="497" t="s">
        <v>10141</v>
      </c>
      <c r="H4992" s="503"/>
      <c r="I4992" s="503"/>
      <c r="J4992" s="503"/>
      <c r="K4992" s="503"/>
      <c r="L4992" s="497"/>
      <c r="M4992" s="497"/>
      <c r="N4992" s="497"/>
      <c r="O4992" s="497"/>
      <c r="P4992" s="497">
        <f t="shared" si="301"/>
        <v>682</v>
      </c>
      <c r="Q4992" s="497" t="b">
        <v>0</v>
      </c>
    </row>
    <row r="4993" spans="1:17" x14ac:dyDescent="0.35">
      <c r="A4993" s="497" t="b">
        <v>0</v>
      </c>
      <c r="B4993" s="497" t="s">
        <v>10917</v>
      </c>
      <c r="C4993" s="512">
        <v>114</v>
      </c>
      <c r="D4993" s="497">
        <f t="shared" si="298"/>
        <v>203</v>
      </c>
      <c r="E4993" s="497">
        <f t="shared" si="299"/>
        <v>5</v>
      </c>
      <c r="F4993" s="497">
        <f t="shared" ca="1" si="300"/>
        <v>122</v>
      </c>
      <c r="G4993" s="497" t="s">
        <v>10141</v>
      </c>
      <c r="H4993" s="503"/>
      <c r="I4993" s="503"/>
      <c r="J4993" s="503"/>
      <c r="K4993" s="503"/>
      <c r="L4993" s="497"/>
      <c r="M4993" s="497"/>
      <c r="N4993" s="497"/>
      <c r="O4993" s="497"/>
      <c r="P4993" s="497">
        <f t="shared" si="301"/>
        <v>683</v>
      </c>
      <c r="Q4993" s="497" t="b">
        <v>0</v>
      </c>
    </row>
    <row r="4994" spans="1:17" x14ac:dyDescent="0.35">
      <c r="A4994" s="497" t="b">
        <v>0</v>
      </c>
      <c r="B4994" s="497" t="s">
        <v>10918</v>
      </c>
      <c r="C4994" s="512">
        <v>114</v>
      </c>
      <c r="D4994" s="497">
        <f t="shared" si="298"/>
        <v>204</v>
      </c>
      <c r="E4994" s="497">
        <f t="shared" si="299"/>
        <v>6</v>
      </c>
      <c r="F4994" s="497">
        <f t="shared" ca="1" si="300"/>
        <v>122</v>
      </c>
      <c r="G4994" s="497" t="s">
        <v>10141</v>
      </c>
      <c r="H4994" s="503"/>
      <c r="I4994" s="503"/>
      <c r="J4994" s="503"/>
      <c r="K4994" s="503"/>
      <c r="L4994" s="497"/>
      <c r="M4994" s="497"/>
      <c r="N4994" s="497"/>
      <c r="O4994" s="497"/>
      <c r="P4994" s="497">
        <f t="shared" si="301"/>
        <v>684</v>
      </c>
      <c r="Q4994" s="497" t="b">
        <v>0</v>
      </c>
    </row>
    <row r="4995" spans="1:17" x14ac:dyDescent="0.35">
      <c r="A4995" s="497" t="b">
        <v>0</v>
      </c>
      <c r="B4995" s="497" t="s">
        <v>10919</v>
      </c>
      <c r="C4995" s="512">
        <v>115</v>
      </c>
      <c r="D4995" s="497">
        <f t="shared" si="298"/>
        <v>205</v>
      </c>
      <c r="E4995" s="497">
        <f t="shared" si="299"/>
        <v>1</v>
      </c>
      <c r="F4995" s="497">
        <f t="shared" ca="1" si="300"/>
        <v>123</v>
      </c>
      <c r="G4995" s="497" t="s">
        <v>10143</v>
      </c>
      <c r="H4995" s="503"/>
      <c r="I4995" s="503"/>
      <c r="J4995" s="503"/>
      <c r="K4995" s="503"/>
      <c r="L4995" s="497"/>
      <c r="M4995" s="497"/>
      <c r="N4995" s="497"/>
      <c r="O4995" s="497"/>
      <c r="P4995" s="497">
        <f t="shared" si="301"/>
        <v>685</v>
      </c>
      <c r="Q4995" s="497" t="b">
        <v>0</v>
      </c>
    </row>
    <row r="4996" spans="1:17" x14ac:dyDescent="0.35">
      <c r="A4996" s="497" t="b">
        <v>0</v>
      </c>
      <c r="B4996" s="497" t="s">
        <v>10920</v>
      </c>
      <c r="C4996" s="512">
        <v>115</v>
      </c>
      <c r="D4996" s="497">
        <f t="shared" si="298"/>
        <v>206</v>
      </c>
      <c r="E4996" s="497">
        <f t="shared" si="299"/>
        <v>2</v>
      </c>
      <c r="F4996" s="497">
        <f t="shared" ca="1" si="300"/>
        <v>123</v>
      </c>
      <c r="G4996" s="497" t="s">
        <v>10143</v>
      </c>
      <c r="H4996" s="503"/>
      <c r="I4996" s="503"/>
      <c r="J4996" s="503"/>
      <c r="K4996" s="503"/>
      <c r="L4996" s="497"/>
      <c r="M4996" s="497"/>
      <c r="N4996" s="497"/>
      <c r="O4996" s="497"/>
      <c r="P4996" s="497">
        <f t="shared" si="301"/>
        <v>686</v>
      </c>
      <c r="Q4996" s="497" t="b">
        <v>0</v>
      </c>
    </row>
    <row r="4997" spans="1:17" x14ac:dyDescent="0.35">
      <c r="A4997" s="497" t="b">
        <v>0</v>
      </c>
      <c r="B4997" s="497" t="s">
        <v>10921</v>
      </c>
      <c r="C4997" s="512">
        <v>115</v>
      </c>
      <c r="D4997" s="497">
        <f t="shared" si="298"/>
        <v>207</v>
      </c>
      <c r="E4997" s="497">
        <f t="shared" si="299"/>
        <v>3</v>
      </c>
      <c r="F4997" s="497">
        <f t="shared" ca="1" si="300"/>
        <v>123</v>
      </c>
      <c r="G4997" s="497" t="s">
        <v>10143</v>
      </c>
      <c r="H4997" s="503"/>
      <c r="I4997" s="503"/>
      <c r="J4997" s="503"/>
      <c r="K4997" s="503"/>
      <c r="L4997" s="497"/>
      <c r="M4997" s="497"/>
      <c r="N4997" s="497"/>
      <c r="O4997" s="497"/>
      <c r="P4997" s="497">
        <f t="shared" si="301"/>
        <v>687</v>
      </c>
      <c r="Q4997" s="497" t="b">
        <v>0</v>
      </c>
    </row>
    <row r="4998" spans="1:17" x14ac:dyDescent="0.35">
      <c r="A4998" s="497" t="b">
        <v>0</v>
      </c>
      <c r="B4998" s="497" t="s">
        <v>10922</v>
      </c>
      <c r="C4998" s="512">
        <v>115</v>
      </c>
      <c r="D4998" s="497">
        <f t="shared" si="298"/>
        <v>208</v>
      </c>
      <c r="E4998" s="497">
        <f t="shared" si="299"/>
        <v>4</v>
      </c>
      <c r="F4998" s="497">
        <f t="shared" ca="1" si="300"/>
        <v>123</v>
      </c>
      <c r="G4998" s="497" t="s">
        <v>10143</v>
      </c>
      <c r="H4998" s="503"/>
      <c r="I4998" s="503"/>
      <c r="J4998" s="503"/>
      <c r="K4998" s="503"/>
      <c r="L4998" s="497"/>
      <c r="M4998" s="497"/>
      <c r="N4998" s="497"/>
      <c r="O4998" s="497"/>
      <c r="P4998" s="497">
        <f t="shared" si="301"/>
        <v>688</v>
      </c>
      <c r="Q4998" s="497" t="b">
        <v>0</v>
      </c>
    </row>
    <row r="4999" spans="1:17" x14ac:dyDescent="0.35">
      <c r="A4999" s="497" t="b">
        <v>0</v>
      </c>
      <c r="B4999" s="497" t="s">
        <v>10923</v>
      </c>
      <c r="C4999" s="512">
        <v>115</v>
      </c>
      <c r="D4999" s="497">
        <f t="shared" si="298"/>
        <v>209</v>
      </c>
      <c r="E4999" s="497">
        <f t="shared" si="299"/>
        <v>5</v>
      </c>
      <c r="F4999" s="497">
        <f t="shared" ca="1" si="300"/>
        <v>123</v>
      </c>
      <c r="G4999" s="497" t="s">
        <v>10143</v>
      </c>
      <c r="H4999" s="503"/>
      <c r="I4999" s="503"/>
      <c r="J4999" s="503"/>
      <c r="K4999" s="503"/>
      <c r="L4999" s="497"/>
      <c r="M4999" s="497"/>
      <c r="N4999" s="497"/>
      <c r="O4999" s="497"/>
      <c r="P4999" s="497">
        <f t="shared" si="301"/>
        <v>689</v>
      </c>
      <c r="Q4999" s="497" t="b">
        <v>0</v>
      </c>
    </row>
    <row r="5000" spans="1:17" x14ac:dyDescent="0.35">
      <c r="A5000" s="497" t="b">
        <v>0</v>
      </c>
      <c r="B5000" s="497" t="s">
        <v>10924</v>
      </c>
      <c r="C5000" s="512">
        <v>115</v>
      </c>
      <c r="D5000" s="497">
        <f t="shared" si="298"/>
        <v>210</v>
      </c>
      <c r="E5000" s="497">
        <f t="shared" si="299"/>
        <v>6</v>
      </c>
      <c r="F5000" s="497">
        <f t="shared" ca="1" si="300"/>
        <v>123</v>
      </c>
      <c r="G5000" s="497" t="s">
        <v>10143</v>
      </c>
      <c r="H5000" s="503"/>
      <c r="I5000" s="503"/>
      <c r="J5000" s="503"/>
      <c r="K5000" s="503"/>
      <c r="L5000" s="497"/>
      <c r="M5000" s="497"/>
      <c r="N5000" s="497"/>
      <c r="O5000" s="497"/>
      <c r="P5000" s="497">
        <f t="shared" si="301"/>
        <v>690</v>
      </c>
      <c r="Q5000" s="497" t="b">
        <v>0</v>
      </c>
    </row>
    <row r="5001" spans="1:17" x14ac:dyDescent="0.35">
      <c r="A5001" s="497" t="b">
        <v>0</v>
      </c>
      <c r="B5001" s="497" t="s">
        <v>10925</v>
      </c>
      <c r="C5001" s="512">
        <v>116</v>
      </c>
      <c r="D5001" s="497">
        <f t="shared" si="298"/>
        <v>211</v>
      </c>
      <c r="E5001" s="497">
        <f t="shared" si="299"/>
        <v>1</v>
      </c>
      <c r="F5001" s="497">
        <f t="shared" ca="1" si="300"/>
        <v>124</v>
      </c>
      <c r="G5001" s="497" t="s">
        <v>10145</v>
      </c>
      <c r="H5001" s="503"/>
      <c r="I5001" s="503"/>
      <c r="J5001" s="503"/>
      <c r="K5001" s="503"/>
      <c r="L5001" s="497"/>
      <c r="M5001" s="497"/>
      <c r="N5001" s="497"/>
      <c r="O5001" s="497"/>
      <c r="P5001" s="497">
        <f t="shared" si="301"/>
        <v>691</v>
      </c>
      <c r="Q5001" s="497" t="b">
        <v>0</v>
      </c>
    </row>
    <row r="5002" spans="1:17" x14ac:dyDescent="0.35">
      <c r="A5002" s="497" t="b">
        <v>0</v>
      </c>
      <c r="B5002" s="497" t="s">
        <v>10926</v>
      </c>
      <c r="C5002" s="512">
        <v>116</v>
      </c>
      <c r="D5002" s="497">
        <f t="shared" si="298"/>
        <v>212</v>
      </c>
      <c r="E5002" s="497">
        <f t="shared" si="299"/>
        <v>2</v>
      </c>
      <c r="F5002" s="497">
        <f t="shared" ca="1" si="300"/>
        <v>124</v>
      </c>
      <c r="G5002" s="497" t="s">
        <v>10145</v>
      </c>
      <c r="H5002" s="503"/>
      <c r="I5002" s="503"/>
      <c r="J5002" s="503"/>
      <c r="K5002" s="503"/>
      <c r="L5002" s="497"/>
      <c r="M5002" s="497"/>
      <c r="N5002" s="497"/>
      <c r="O5002" s="497"/>
      <c r="P5002" s="497">
        <f t="shared" si="301"/>
        <v>692</v>
      </c>
      <c r="Q5002" s="497" t="b">
        <v>0</v>
      </c>
    </row>
    <row r="5003" spans="1:17" x14ac:dyDescent="0.35">
      <c r="A5003" s="497" t="b">
        <v>0</v>
      </c>
      <c r="B5003" s="497" t="s">
        <v>10927</v>
      </c>
      <c r="C5003" s="512">
        <v>116</v>
      </c>
      <c r="D5003" s="497">
        <f t="shared" si="298"/>
        <v>213</v>
      </c>
      <c r="E5003" s="497">
        <f t="shared" si="299"/>
        <v>3</v>
      </c>
      <c r="F5003" s="497">
        <f t="shared" ca="1" si="300"/>
        <v>124</v>
      </c>
      <c r="G5003" s="497" t="s">
        <v>10145</v>
      </c>
      <c r="H5003" s="503"/>
      <c r="I5003" s="503"/>
      <c r="J5003" s="503"/>
      <c r="K5003" s="503"/>
      <c r="L5003" s="497"/>
      <c r="M5003" s="497"/>
      <c r="N5003" s="497"/>
      <c r="O5003" s="497"/>
      <c r="P5003" s="497">
        <f t="shared" si="301"/>
        <v>693</v>
      </c>
      <c r="Q5003" s="497" t="b">
        <v>0</v>
      </c>
    </row>
    <row r="5004" spans="1:17" x14ac:dyDescent="0.35">
      <c r="A5004" s="497" t="b">
        <v>0</v>
      </c>
      <c r="B5004" s="497" t="s">
        <v>10928</v>
      </c>
      <c r="C5004" s="512">
        <v>116</v>
      </c>
      <c r="D5004" s="497">
        <f t="shared" si="298"/>
        <v>214</v>
      </c>
      <c r="E5004" s="497">
        <f t="shared" si="299"/>
        <v>4</v>
      </c>
      <c r="F5004" s="497">
        <f t="shared" ca="1" si="300"/>
        <v>124</v>
      </c>
      <c r="G5004" s="497" t="s">
        <v>10145</v>
      </c>
      <c r="H5004" s="503"/>
      <c r="I5004" s="503"/>
      <c r="J5004" s="503"/>
      <c r="K5004" s="503"/>
      <c r="L5004" s="497"/>
      <c r="M5004" s="497"/>
      <c r="N5004" s="497"/>
      <c r="O5004" s="497"/>
      <c r="P5004" s="497">
        <f t="shared" si="301"/>
        <v>694</v>
      </c>
      <c r="Q5004" s="497" t="b">
        <v>0</v>
      </c>
    </row>
    <row r="5005" spans="1:17" x14ac:dyDescent="0.35">
      <c r="A5005" s="497" t="b">
        <v>0</v>
      </c>
      <c r="B5005" s="497" t="s">
        <v>10929</v>
      </c>
      <c r="C5005" s="512">
        <v>116</v>
      </c>
      <c r="D5005" s="497">
        <f t="shared" si="298"/>
        <v>215</v>
      </c>
      <c r="E5005" s="497">
        <f t="shared" si="299"/>
        <v>5</v>
      </c>
      <c r="F5005" s="497">
        <f t="shared" ca="1" si="300"/>
        <v>124</v>
      </c>
      <c r="G5005" s="497" t="s">
        <v>10145</v>
      </c>
      <c r="H5005" s="503"/>
      <c r="I5005" s="503"/>
      <c r="J5005" s="503"/>
      <c r="K5005" s="503"/>
      <c r="L5005" s="497"/>
      <c r="M5005" s="497"/>
      <c r="N5005" s="497"/>
      <c r="O5005" s="497"/>
      <c r="P5005" s="497">
        <f t="shared" si="301"/>
        <v>695</v>
      </c>
      <c r="Q5005" s="497" t="b">
        <v>0</v>
      </c>
    </row>
    <row r="5006" spans="1:17" x14ac:dyDescent="0.35">
      <c r="A5006" s="497" t="b">
        <v>0</v>
      </c>
      <c r="B5006" s="497" t="s">
        <v>10930</v>
      </c>
      <c r="C5006" s="512">
        <v>116</v>
      </c>
      <c r="D5006" s="497">
        <f t="shared" si="298"/>
        <v>216</v>
      </c>
      <c r="E5006" s="497">
        <f t="shared" si="299"/>
        <v>6</v>
      </c>
      <c r="F5006" s="497">
        <f t="shared" ca="1" si="300"/>
        <v>124</v>
      </c>
      <c r="G5006" s="497" t="s">
        <v>10145</v>
      </c>
      <c r="H5006" s="503"/>
      <c r="I5006" s="503"/>
      <c r="J5006" s="503"/>
      <c r="K5006" s="503"/>
      <c r="L5006" s="497"/>
      <c r="M5006" s="497"/>
      <c r="N5006" s="497"/>
      <c r="O5006" s="497"/>
      <c r="P5006" s="497">
        <f t="shared" si="301"/>
        <v>696</v>
      </c>
      <c r="Q5006" s="497" t="b">
        <v>0</v>
      </c>
    </row>
    <row r="5007" spans="1:17" x14ac:dyDescent="0.35">
      <c r="A5007" s="497" t="b">
        <v>0</v>
      </c>
      <c r="B5007" s="497" t="s">
        <v>10931</v>
      </c>
      <c r="C5007" s="512">
        <v>117</v>
      </c>
      <c r="D5007" s="497">
        <f t="shared" si="298"/>
        <v>217</v>
      </c>
      <c r="E5007" s="497">
        <f t="shared" si="299"/>
        <v>1</v>
      </c>
      <c r="F5007" s="497">
        <f t="shared" ca="1" si="300"/>
        <v>125</v>
      </c>
      <c r="G5007" s="497" t="s">
        <v>10147</v>
      </c>
      <c r="H5007" s="503"/>
      <c r="I5007" s="503"/>
      <c r="J5007" s="503"/>
      <c r="K5007" s="503"/>
      <c r="L5007" s="497"/>
      <c r="M5007" s="497"/>
      <c r="N5007" s="497"/>
      <c r="O5007" s="497"/>
      <c r="P5007" s="497">
        <f t="shared" si="301"/>
        <v>697</v>
      </c>
      <c r="Q5007" s="497" t="b">
        <v>0</v>
      </c>
    </row>
    <row r="5008" spans="1:17" x14ac:dyDescent="0.35">
      <c r="A5008" s="497" t="b">
        <v>0</v>
      </c>
      <c r="B5008" s="497" t="s">
        <v>10932</v>
      </c>
      <c r="C5008" s="512">
        <v>117</v>
      </c>
      <c r="D5008" s="497">
        <f t="shared" si="298"/>
        <v>218</v>
      </c>
      <c r="E5008" s="497">
        <f t="shared" si="299"/>
        <v>2</v>
      </c>
      <c r="F5008" s="497">
        <f t="shared" ca="1" si="300"/>
        <v>125</v>
      </c>
      <c r="G5008" s="497" t="s">
        <v>10147</v>
      </c>
      <c r="H5008" s="503"/>
      <c r="I5008" s="503"/>
      <c r="J5008" s="503"/>
      <c r="K5008" s="503"/>
      <c r="L5008" s="497"/>
      <c r="M5008" s="497"/>
      <c r="N5008" s="497"/>
      <c r="O5008" s="497"/>
      <c r="P5008" s="497">
        <f t="shared" si="301"/>
        <v>698</v>
      </c>
      <c r="Q5008" s="497" t="b">
        <v>0</v>
      </c>
    </row>
    <row r="5009" spans="1:17" x14ac:dyDescent="0.35">
      <c r="A5009" s="497" t="b">
        <v>0</v>
      </c>
      <c r="B5009" s="497" t="s">
        <v>10933</v>
      </c>
      <c r="C5009" s="512">
        <v>117</v>
      </c>
      <c r="D5009" s="497">
        <f t="shared" si="298"/>
        <v>219</v>
      </c>
      <c r="E5009" s="497">
        <f t="shared" si="299"/>
        <v>3</v>
      </c>
      <c r="F5009" s="497">
        <f t="shared" ca="1" si="300"/>
        <v>125</v>
      </c>
      <c r="G5009" s="497" t="s">
        <v>10147</v>
      </c>
      <c r="H5009" s="503"/>
      <c r="I5009" s="503"/>
      <c r="J5009" s="503"/>
      <c r="K5009" s="503"/>
      <c r="L5009" s="497"/>
      <c r="M5009" s="497"/>
      <c r="N5009" s="497"/>
      <c r="O5009" s="497"/>
      <c r="P5009" s="497">
        <f t="shared" si="301"/>
        <v>699</v>
      </c>
      <c r="Q5009" s="497" t="b">
        <v>0</v>
      </c>
    </row>
    <row r="5010" spans="1:17" x14ac:dyDescent="0.35">
      <c r="A5010" s="497" t="b">
        <v>0</v>
      </c>
      <c r="B5010" s="497" t="s">
        <v>10934</v>
      </c>
      <c r="C5010" s="512">
        <v>117</v>
      </c>
      <c r="D5010" s="497">
        <f t="shared" si="298"/>
        <v>220</v>
      </c>
      <c r="E5010" s="497">
        <f t="shared" si="299"/>
        <v>4</v>
      </c>
      <c r="F5010" s="497">
        <f t="shared" ca="1" si="300"/>
        <v>125</v>
      </c>
      <c r="G5010" s="497" t="s">
        <v>10147</v>
      </c>
      <c r="H5010" s="503"/>
      <c r="I5010" s="503"/>
      <c r="J5010" s="503"/>
      <c r="K5010" s="503"/>
      <c r="L5010" s="497"/>
      <c r="M5010" s="497"/>
      <c r="N5010" s="497"/>
      <c r="O5010" s="497"/>
      <c r="P5010" s="497">
        <f t="shared" si="301"/>
        <v>700</v>
      </c>
      <c r="Q5010" s="497" t="b">
        <v>0</v>
      </c>
    </row>
    <row r="5011" spans="1:17" x14ac:dyDescent="0.35">
      <c r="A5011" s="497" t="b">
        <v>0</v>
      </c>
      <c r="B5011" s="497" t="s">
        <v>10935</v>
      </c>
      <c r="C5011" s="512">
        <v>117</v>
      </c>
      <c r="D5011" s="497">
        <f t="shared" si="298"/>
        <v>221</v>
      </c>
      <c r="E5011" s="497">
        <f t="shared" si="299"/>
        <v>5</v>
      </c>
      <c r="F5011" s="497">
        <f t="shared" ca="1" si="300"/>
        <v>125</v>
      </c>
      <c r="G5011" s="497" t="s">
        <v>10147</v>
      </c>
      <c r="H5011" s="503"/>
      <c r="I5011" s="503"/>
      <c r="J5011" s="503"/>
      <c r="K5011" s="503"/>
      <c r="L5011" s="497"/>
      <c r="M5011" s="497"/>
      <c r="N5011" s="497"/>
      <c r="O5011" s="497"/>
      <c r="P5011" s="497">
        <f t="shared" si="301"/>
        <v>701</v>
      </c>
      <c r="Q5011" s="497" t="b">
        <v>0</v>
      </c>
    </row>
    <row r="5012" spans="1:17" x14ac:dyDescent="0.35">
      <c r="A5012" s="497" t="b">
        <v>0</v>
      </c>
      <c r="B5012" s="497" t="s">
        <v>10936</v>
      </c>
      <c r="C5012" s="512">
        <v>117</v>
      </c>
      <c r="D5012" s="497">
        <f t="shared" si="298"/>
        <v>222</v>
      </c>
      <c r="E5012" s="497">
        <f t="shared" si="299"/>
        <v>6</v>
      </c>
      <c r="F5012" s="497">
        <f t="shared" ca="1" si="300"/>
        <v>125</v>
      </c>
      <c r="G5012" s="497" t="s">
        <v>10147</v>
      </c>
      <c r="H5012" s="503"/>
      <c r="I5012" s="503"/>
      <c r="J5012" s="503"/>
      <c r="K5012" s="503"/>
      <c r="L5012" s="497"/>
      <c r="M5012" s="497"/>
      <c r="N5012" s="497"/>
      <c r="O5012" s="497"/>
      <c r="P5012" s="497">
        <f t="shared" si="301"/>
        <v>702</v>
      </c>
      <c r="Q5012" s="497" t="b">
        <v>0</v>
      </c>
    </row>
    <row r="5013" spans="1:17" x14ac:dyDescent="0.35">
      <c r="A5013" s="497" t="b">
        <v>0</v>
      </c>
      <c r="B5013" s="497" t="s">
        <v>10937</v>
      </c>
      <c r="C5013" s="512">
        <v>118</v>
      </c>
      <c r="D5013" s="497">
        <f t="shared" si="298"/>
        <v>223</v>
      </c>
      <c r="E5013" s="497">
        <f t="shared" si="299"/>
        <v>1</v>
      </c>
      <c r="F5013" s="497">
        <f t="shared" ca="1" si="300"/>
        <v>126</v>
      </c>
      <c r="G5013" s="497" t="s">
        <v>10149</v>
      </c>
      <c r="H5013" s="503"/>
      <c r="I5013" s="503"/>
      <c r="J5013" s="503"/>
      <c r="K5013" s="503"/>
      <c r="L5013" s="497"/>
      <c r="M5013" s="497"/>
      <c r="N5013" s="497"/>
      <c r="O5013" s="497"/>
      <c r="P5013" s="497">
        <f t="shared" si="301"/>
        <v>703</v>
      </c>
      <c r="Q5013" s="497" t="b">
        <v>0</v>
      </c>
    </row>
    <row r="5014" spans="1:17" x14ac:dyDescent="0.35">
      <c r="A5014" s="497" t="b">
        <v>0</v>
      </c>
      <c r="B5014" s="497" t="s">
        <v>10938</v>
      </c>
      <c r="C5014" s="512">
        <v>118</v>
      </c>
      <c r="D5014" s="497">
        <f t="shared" si="298"/>
        <v>224</v>
      </c>
      <c r="E5014" s="497">
        <f t="shared" si="299"/>
        <v>2</v>
      </c>
      <c r="F5014" s="497">
        <f t="shared" ca="1" si="300"/>
        <v>126</v>
      </c>
      <c r="G5014" s="497" t="s">
        <v>10149</v>
      </c>
      <c r="H5014" s="503"/>
      <c r="I5014" s="503"/>
      <c r="J5014" s="503"/>
      <c r="K5014" s="503"/>
      <c r="L5014" s="497"/>
      <c r="M5014" s="497"/>
      <c r="N5014" s="497"/>
      <c r="O5014" s="497"/>
      <c r="P5014" s="497">
        <f t="shared" si="301"/>
        <v>704</v>
      </c>
      <c r="Q5014" s="497" t="b">
        <v>0</v>
      </c>
    </row>
    <row r="5015" spans="1:17" x14ac:dyDescent="0.35">
      <c r="A5015" s="497" t="b">
        <v>0</v>
      </c>
      <c r="B5015" s="497" t="s">
        <v>10939</v>
      </c>
      <c r="C5015" s="512">
        <v>118</v>
      </c>
      <c r="D5015" s="497">
        <f t="shared" ref="D5015:D5078" si="302">D5014+1</f>
        <v>225</v>
      </c>
      <c r="E5015" s="497">
        <f t="shared" ref="E5015:E5078" si="303">COUNTIF(C4765:C5015,C5015)</f>
        <v>3</v>
      </c>
      <c r="F5015" s="497">
        <f t="shared" ref="F5015:F5078" ca="1" si="304">IF(C5015=1,9,IF(E5014=MAX(E5013:E5015),F5013+1,F5014))</f>
        <v>126</v>
      </c>
      <c r="G5015" s="497" t="s">
        <v>10149</v>
      </c>
      <c r="H5015" s="503"/>
      <c r="I5015" s="503"/>
      <c r="J5015" s="503"/>
      <c r="K5015" s="503"/>
      <c r="L5015" s="497"/>
      <c r="M5015" s="497"/>
      <c r="N5015" s="497"/>
      <c r="O5015" s="497"/>
      <c r="P5015" s="497">
        <f t="shared" ref="P5015:P5078" si="305">IF(NOT(_xlfn.ISFORMULA(I5015)),P5014+1,0)</f>
        <v>705</v>
      </c>
      <c r="Q5015" s="497" t="b">
        <v>0</v>
      </c>
    </row>
    <row r="5016" spans="1:17" x14ac:dyDescent="0.35">
      <c r="A5016" s="497" t="b">
        <v>0</v>
      </c>
      <c r="B5016" s="497" t="s">
        <v>10940</v>
      </c>
      <c r="C5016" s="512">
        <v>118</v>
      </c>
      <c r="D5016" s="497">
        <f t="shared" si="302"/>
        <v>226</v>
      </c>
      <c r="E5016" s="497">
        <f t="shared" si="303"/>
        <v>4</v>
      </c>
      <c r="F5016" s="497">
        <f t="shared" ca="1" si="304"/>
        <v>126</v>
      </c>
      <c r="G5016" s="497" t="s">
        <v>10149</v>
      </c>
      <c r="H5016" s="503"/>
      <c r="I5016" s="503"/>
      <c r="J5016" s="503"/>
      <c r="K5016" s="503"/>
      <c r="L5016" s="497"/>
      <c r="M5016" s="497"/>
      <c r="N5016" s="497"/>
      <c r="O5016" s="497"/>
      <c r="P5016" s="497">
        <f t="shared" si="305"/>
        <v>706</v>
      </c>
      <c r="Q5016" s="497" t="b">
        <v>0</v>
      </c>
    </row>
    <row r="5017" spans="1:17" x14ac:dyDescent="0.35">
      <c r="A5017" s="497" t="b">
        <v>0</v>
      </c>
      <c r="B5017" s="497" t="s">
        <v>10941</v>
      </c>
      <c r="C5017" s="512">
        <v>118</v>
      </c>
      <c r="D5017" s="497">
        <f t="shared" si="302"/>
        <v>227</v>
      </c>
      <c r="E5017" s="497">
        <f t="shared" si="303"/>
        <v>5</v>
      </c>
      <c r="F5017" s="497">
        <f t="shared" ca="1" si="304"/>
        <v>126</v>
      </c>
      <c r="G5017" s="497" t="s">
        <v>10149</v>
      </c>
      <c r="H5017" s="503"/>
      <c r="I5017" s="503"/>
      <c r="J5017" s="503"/>
      <c r="K5017" s="503"/>
      <c r="L5017" s="497"/>
      <c r="M5017" s="497"/>
      <c r="N5017" s="497"/>
      <c r="O5017" s="497"/>
      <c r="P5017" s="497">
        <f t="shared" si="305"/>
        <v>707</v>
      </c>
      <c r="Q5017" s="497" t="b">
        <v>0</v>
      </c>
    </row>
    <row r="5018" spans="1:17" x14ac:dyDescent="0.35">
      <c r="A5018" s="497" t="b">
        <v>0</v>
      </c>
      <c r="B5018" s="497" t="s">
        <v>10942</v>
      </c>
      <c r="C5018" s="512">
        <v>118</v>
      </c>
      <c r="D5018" s="497">
        <f t="shared" si="302"/>
        <v>228</v>
      </c>
      <c r="E5018" s="497">
        <f t="shared" si="303"/>
        <v>6</v>
      </c>
      <c r="F5018" s="497">
        <f t="shared" ca="1" si="304"/>
        <v>126</v>
      </c>
      <c r="G5018" s="497" t="s">
        <v>10149</v>
      </c>
      <c r="H5018" s="503"/>
      <c r="I5018" s="503"/>
      <c r="J5018" s="503"/>
      <c r="K5018" s="503"/>
      <c r="L5018" s="497"/>
      <c r="M5018" s="497"/>
      <c r="N5018" s="497"/>
      <c r="O5018" s="497"/>
      <c r="P5018" s="497">
        <f t="shared" si="305"/>
        <v>708</v>
      </c>
      <c r="Q5018" s="497" t="b">
        <v>0</v>
      </c>
    </row>
    <row r="5019" spans="1:17" x14ac:dyDescent="0.35">
      <c r="A5019" s="497" t="b">
        <v>0</v>
      </c>
      <c r="B5019" s="497" t="s">
        <v>10943</v>
      </c>
      <c r="C5019" s="512">
        <v>119</v>
      </c>
      <c r="D5019" s="497">
        <f t="shared" si="302"/>
        <v>229</v>
      </c>
      <c r="E5019" s="497">
        <f t="shared" si="303"/>
        <v>1</v>
      </c>
      <c r="F5019" s="497">
        <f t="shared" ca="1" si="304"/>
        <v>127</v>
      </c>
      <c r="G5019" s="497" t="s">
        <v>10151</v>
      </c>
      <c r="H5019" s="503"/>
      <c r="I5019" s="503"/>
      <c r="J5019" s="503"/>
      <c r="K5019" s="503"/>
      <c r="L5019" s="497"/>
      <c r="M5019" s="497"/>
      <c r="N5019" s="497"/>
      <c r="O5019" s="497"/>
      <c r="P5019" s="497">
        <f t="shared" si="305"/>
        <v>709</v>
      </c>
      <c r="Q5019" s="497" t="b">
        <v>0</v>
      </c>
    </row>
    <row r="5020" spans="1:17" x14ac:dyDescent="0.35">
      <c r="A5020" s="497" t="b">
        <v>0</v>
      </c>
      <c r="B5020" s="497" t="s">
        <v>10944</v>
      </c>
      <c r="C5020" s="512">
        <v>119</v>
      </c>
      <c r="D5020" s="497">
        <f t="shared" si="302"/>
        <v>230</v>
      </c>
      <c r="E5020" s="497">
        <f t="shared" si="303"/>
        <v>2</v>
      </c>
      <c r="F5020" s="497">
        <f t="shared" ca="1" si="304"/>
        <v>127</v>
      </c>
      <c r="G5020" s="497" t="s">
        <v>10151</v>
      </c>
      <c r="H5020" s="503"/>
      <c r="I5020" s="503"/>
      <c r="J5020" s="503"/>
      <c r="K5020" s="503"/>
      <c r="L5020" s="497"/>
      <c r="M5020" s="497"/>
      <c r="N5020" s="497"/>
      <c r="O5020" s="497"/>
      <c r="P5020" s="497">
        <f t="shared" si="305"/>
        <v>710</v>
      </c>
      <c r="Q5020" s="497" t="b">
        <v>0</v>
      </c>
    </row>
    <row r="5021" spans="1:17" x14ac:dyDescent="0.35">
      <c r="A5021" s="497" t="b">
        <v>0</v>
      </c>
      <c r="B5021" s="497" t="s">
        <v>10945</v>
      </c>
      <c r="C5021" s="512">
        <v>119</v>
      </c>
      <c r="D5021" s="497">
        <f t="shared" si="302"/>
        <v>231</v>
      </c>
      <c r="E5021" s="497">
        <f t="shared" si="303"/>
        <v>3</v>
      </c>
      <c r="F5021" s="497">
        <f t="shared" ca="1" si="304"/>
        <v>127</v>
      </c>
      <c r="G5021" s="497" t="s">
        <v>10151</v>
      </c>
      <c r="H5021" s="503"/>
      <c r="I5021" s="503"/>
      <c r="J5021" s="503"/>
      <c r="K5021" s="503"/>
      <c r="L5021" s="497"/>
      <c r="M5021" s="497"/>
      <c r="N5021" s="497"/>
      <c r="O5021" s="497"/>
      <c r="P5021" s="497">
        <f t="shared" si="305"/>
        <v>711</v>
      </c>
      <c r="Q5021" s="497" t="b">
        <v>0</v>
      </c>
    </row>
    <row r="5022" spans="1:17" x14ac:dyDescent="0.35">
      <c r="A5022" s="497" t="b">
        <v>0</v>
      </c>
      <c r="B5022" s="497" t="s">
        <v>10946</v>
      </c>
      <c r="C5022" s="512">
        <v>119</v>
      </c>
      <c r="D5022" s="497">
        <f t="shared" si="302"/>
        <v>232</v>
      </c>
      <c r="E5022" s="497">
        <f t="shared" si="303"/>
        <v>4</v>
      </c>
      <c r="F5022" s="497">
        <f t="shared" ca="1" si="304"/>
        <v>127</v>
      </c>
      <c r="G5022" s="497" t="s">
        <v>10151</v>
      </c>
      <c r="H5022" s="503"/>
      <c r="I5022" s="503"/>
      <c r="J5022" s="503"/>
      <c r="K5022" s="503"/>
      <c r="L5022" s="497"/>
      <c r="M5022" s="497"/>
      <c r="N5022" s="497"/>
      <c r="O5022" s="497"/>
      <c r="P5022" s="497">
        <f t="shared" si="305"/>
        <v>712</v>
      </c>
      <c r="Q5022" s="497" t="b">
        <v>0</v>
      </c>
    </row>
    <row r="5023" spans="1:17" x14ac:dyDescent="0.35">
      <c r="A5023" s="497" t="b">
        <v>0</v>
      </c>
      <c r="B5023" s="497" t="s">
        <v>10947</v>
      </c>
      <c r="C5023" s="512">
        <v>119</v>
      </c>
      <c r="D5023" s="497">
        <f t="shared" si="302"/>
        <v>233</v>
      </c>
      <c r="E5023" s="497">
        <f t="shared" si="303"/>
        <v>5</v>
      </c>
      <c r="F5023" s="497">
        <f t="shared" ca="1" si="304"/>
        <v>127</v>
      </c>
      <c r="G5023" s="497" t="s">
        <v>10151</v>
      </c>
      <c r="H5023" s="503"/>
      <c r="I5023" s="503"/>
      <c r="J5023" s="503"/>
      <c r="K5023" s="503"/>
      <c r="L5023" s="497"/>
      <c r="M5023" s="497"/>
      <c r="N5023" s="497"/>
      <c r="O5023" s="497"/>
      <c r="P5023" s="497">
        <f t="shared" si="305"/>
        <v>713</v>
      </c>
      <c r="Q5023" s="497" t="b">
        <v>0</v>
      </c>
    </row>
    <row r="5024" spans="1:17" x14ac:dyDescent="0.35">
      <c r="A5024" s="497" t="b">
        <v>0</v>
      </c>
      <c r="B5024" s="497" t="s">
        <v>10948</v>
      </c>
      <c r="C5024" s="512">
        <v>119</v>
      </c>
      <c r="D5024" s="497">
        <f t="shared" si="302"/>
        <v>234</v>
      </c>
      <c r="E5024" s="497">
        <f t="shared" si="303"/>
        <v>6</v>
      </c>
      <c r="F5024" s="497">
        <f t="shared" ca="1" si="304"/>
        <v>127</v>
      </c>
      <c r="G5024" s="497" t="s">
        <v>10151</v>
      </c>
      <c r="H5024" s="503"/>
      <c r="I5024" s="503"/>
      <c r="J5024" s="503"/>
      <c r="K5024" s="503"/>
      <c r="L5024" s="497"/>
      <c r="M5024" s="497"/>
      <c r="N5024" s="497"/>
      <c r="O5024" s="497"/>
      <c r="P5024" s="497">
        <f t="shared" si="305"/>
        <v>714</v>
      </c>
      <c r="Q5024" s="497" t="b">
        <v>0</v>
      </c>
    </row>
    <row r="5025" spans="1:17" x14ac:dyDescent="0.35">
      <c r="A5025" s="497" t="b">
        <v>0</v>
      </c>
      <c r="B5025" s="497" t="s">
        <v>10949</v>
      </c>
      <c r="C5025" s="512">
        <v>120</v>
      </c>
      <c r="D5025" s="497">
        <f t="shared" si="302"/>
        <v>235</v>
      </c>
      <c r="E5025" s="497">
        <f t="shared" si="303"/>
        <v>1</v>
      </c>
      <c r="F5025" s="497">
        <f t="shared" ca="1" si="304"/>
        <v>128</v>
      </c>
      <c r="G5025" s="497" t="s">
        <v>10153</v>
      </c>
      <c r="H5025" s="503"/>
      <c r="I5025" s="503"/>
      <c r="J5025" s="503"/>
      <c r="K5025" s="503"/>
      <c r="L5025" s="497"/>
      <c r="M5025" s="497"/>
      <c r="N5025" s="497"/>
      <c r="O5025" s="497"/>
      <c r="P5025" s="497">
        <f t="shared" si="305"/>
        <v>715</v>
      </c>
      <c r="Q5025" s="497" t="b">
        <v>0</v>
      </c>
    </row>
    <row r="5026" spans="1:17" x14ac:dyDescent="0.35">
      <c r="A5026" s="497" t="b">
        <v>0</v>
      </c>
      <c r="B5026" s="497" t="s">
        <v>10950</v>
      </c>
      <c r="C5026" s="512">
        <v>120</v>
      </c>
      <c r="D5026" s="497">
        <f t="shared" si="302"/>
        <v>236</v>
      </c>
      <c r="E5026" s="497">
        <f t="shared" si="303"/>
        <v>2</v>
      </c>
      <c r="F5026" s="497">
        <f t="shared" ca="1" si="304"/>
        <v>128</v>
      </c>
      <c r="G5026" s="497" t="s">
        <v>10153</v>
      </c>
      <c r="H5026" s="503"/>
      <c r="I5026" s="503"/>
      <c r="J5026" s="503"/>
      <c r="K5026" s="503"/>
      <c r="L5026" s="497"/>
      <c r="M5026" s="497"/>
      <c r="N5026" s="497"/>
      <c r="O5026" s="497"/>
      <c r="P5026" s="497">
        <f t="shared" si="305"/>
        <v>716</v>
      </c>
      <c r="Q5026" s="497" t="b">
        <v>0</v>
      </c>
    </row>
    <row r="5027" spans="1:17" x14ac:dyDescent="0.35">
      <c r="A5027" s="497" t="b">
        <v>0</v>
      </c>
      <c r="B5027" s="497" t="s">
        <v>10951</v>
      </c>
      <c r="C5027" s="512">
        <v>120</v>
      </c>
      <c r="D5027" s="497">
        <f t="shared" si="302"/>
        <v>237</v>
      </c>
      <c r="E5027" s="497">
        <f t="shared" si="303"/>
        <v>3</v>
      </c>
      <c r="F5027" s="497">
        <f t="shared" ca="1" si="304"/>
        <v>128</v>
      </c>
      <c r="G5027" s="497" t="s">
        <v>10153</v>
      </c>
      <c r="H5027" s="503"/>
      <c r="I5027" s="503"/>
      <c r="J5027" s="503"/>
      <c r="K5027" s="503"/>
      <c r="L5027" s="497"/>
      <c r="M5027" s="497"/>
      <c r="N5027" s="497"/>
      <c r="O5027" s="497"/>
      <c r="P5027" s="497">
        <f t="shared" si="305"/>
        <v>717</v>
      </c>
      <c r="Q5027" s="497" t="b">
        <v>0</v>
      </c>
    </row>
    <row r="5028" spans="1:17" x14ac:dyDescent="0.35">
      <c r="A5028" s="497" t="b">
        <v>0</v>
      </c>
      <c r="B5028" s="497" t="s">
        <v>10952</v>
      </c>
      <c r="C5028" s="512">
        <v>120</v>
      </c>
      <c r="D5028" s="497">
        <f t="shared" si="302"/>
        <v>238</v>
      </c>
      <c r="E5028" s="497">
        <f t="shared" si="303"/>
        <v>4</v>
      </c>
      <c r="F5028" s="497">
        <f t="shared" ca="1" si="304"/>
        <v>128</v>
      </c>
      <c r="G5028" s="497" t="s">
        <v>10153</v>
      </c>
      <c r="H5028" s="503"/>
      <c r="I5028" s="503"/>
      <c r="J5028" s="503"/>
      <c r="K5028" s="503"/>
      <c r="L5028" s="497"/>
      <c r="M5028" s="497"/>
      <c r="N5028" s="497"/>
      <c r="O5028" s="497"/>
      <c r="P5028" s="497">
        <f t="shared" si="305"/>
        <v>718</v>
      </c>
      <c r="Q5028" s="497" t="b">
        <v>0</v>
      </c>
    </row>
    <row r="5029" spans="1:17" x14ac:dyDescent="0.35">
      <c r="A5029" s="497" t="b">
        <v>0</v>
      </c>
      <c r="B5029" s="497" t="s">
        <v>10953</v>
      </c>
      <c r="C5029" s="512">
        <v>120</v>
      </c>
      <c r="D5029" s="497">
        <f t="shared" si="302"/>
        <v>239</v>
      </c>
      <c r="E5029" s="497">
        <f t="shared" si="303"/>
        <v>5</v>
      </c>
      <c r="F5029" s="497">
        <f t="shared" ca="1" si="304"/>
        <v>128</v>
      </c>
      <c r="G5029" s="497" t="s">
        <v>10153</v>
      </c>
      <c r="H5029" s="503"/>
      <c r="I5029" s="503"/>
      <c r="J5029" s="503"/>
      <c r="K5029" s="503"/>
      <c r="L5029" s="497"/>
      <c r="M5029" s="497"/>
      <c r="N5029" s="497"/>
      <c r="O5029" s="497"/>
      <c r="P5029" s="497">
        <f t="shared" si="305"/>
        <v>719</v>
      </c>
      <c r="Q5029" s="497" t="b">
        <v>0</v>
      </c>
    </row>
    <row r="5030" spans="1:17" x14ac:dyDescent="0.35">
      <c r="A5030" s="497" t="b">
        <v>0</v>
      </c>
      <c r="B5030" s="497" t="s">
        <v>10954</v>
      </c>
      <c r="C5030" s="512">
        <v>120</v>
      </c>
      <c r="D5030" s="497">
        <f t="shared" si="302"/>
        <v>240</v>
      </c>
      <c r="E5030" s="497">
        <f t="shared" si="303"/>
        <v>6</v>
      </c>
      <c r="F5030" s="497">
        <f t="shared" ca="1" si="304"/>
        <v>128</v>
      </c>
      <c r="G5030" s="497" t="s">
        <v>10153</v>
      </c>
      <c r="H5030" s="503"/>
      <c r="I5030" s="503"/>
      <c r="J5030" s="503"/>
      <c r="K5030" s="503"/>
      <c r="L5030" s="497"/>
      <c r="M5030" s="497"/>
      <c r="N5030" s="497"/>
      <c r="O5030" s="497"/>
      <c r="P5030" s="497">
        <f t="shared" si="305"/>
        <v>720</v>
      </c>
      <c r="Q5030" s="497" t="b">
        <v>0</v>
      </c>
    </row>
    <row r="5031" spans="1:17" x14ac:dyDescent="0.35">
      <c r="A5031" s="497" t="b">
        <v>0</v>
      </c>
      <c r="B5031" s="497" t="s">
        <v>10955</v>
      </c>
      <c r="C5031" s="512">
        <v>121</v>
      </c>
      <c r="D5031" s="497">
        <f t="shared" si="302"/>
        <v>241</v>
      </c>
      <c r="E5031" s="497">
        <f t="shared" si="303"/>
        <v>1</v>
      </c>
      <c r="F5031" s="497">
        <f t="shared" ca="1" si="304"/>
        <v>129</v>
      </c>
      <c r="G5031" s="497" t="s">
        <v>10155</v>
      </c>
      <c r="H5031" s="503"/>
      <c r="I5031" s="503"/>
      <c r="J5031" s="503"/>
      <c r="K5031" s="503"/>
      <c r="L5031" s="497"/>
      <c r="M5031" s="497"/>
      <c r="N5031" s="497"/>
      <c r="O5031" s="497"/>
      <c r="P5031" s="497">
        <f t="shared" si="305"/>
        <v>721</v>
      </c>
      <c r="Q5031" s="497" t="b">
        <v>0</v>
      </c>
    </row>
    <row r="5032" spans="1:17" x14ac:dyDescent="0.35">
      <c r="A5032" s="497" t="b">
        <v>0</v>
      </c>
      <c r="B5032" s="497" t="s">
        <v>10956</v>
      </c>
      <c r="C5032" s="512">
        <v>121</v>
      </c>
      <c r="D5032" s="497">
        <f t="shared" si="302"/>
        <v>242</v>
      </c>
      <c r="E5032" s="497">
        <f t="shared" si="303"/>
        <v>2</v>
      </c>
      <c r="F5032" s="497">
        <f t="shared" ca="1" si="304"/>
        <v>129</v>
      </c>
      <c r="G5032" s="497" t="s">
        <v>10155</v>
      </c>
      <c r="H5032" s="503"/>
      <c r="I5032" s="503"/>
      <c r="J5032" s="503"/>
      <c r="K5032" s="503"/>
      <c r="L5032" s="497"/>
      <c r="M5032" s="497"/>
      <c r="N5032" s="497"/>
      <c r="O5032" s="497"/>
      <c r="P5032" s="497">
        <f t="shared" si="305"/>
        <v>722</v>
      </c>
      <c r="Q5032" s="497" t="b">
        <v>0</v>
      </c>
    </row>
    <row r="5033" spans="1:17" x14ac:dyDescent="0.35">
      <c r="A5033" s="497" t="b">
        <v>0</v>
      </c>
      <c r="B5033" s="497" t="s">
        <v>10957</v>
      </c>
      <c r="C5033" s="512">
        <v>121</v>
      </c>
      <c r="D5033" s="497">
        <f t="shared" si="302"/>
        <v>243</v>
      </c>
      <c r="E5033" s="497">
        <f t="shared" si="303"/>
        <v>3</v>
      </c>
      <c r="F5033" s="497">
        <f t="shared" ca="1" si="304"/>
        <v>129</v>
      </c>
      <c r="G5033" s="497" t="s">
        <v>10155</v>
      </c>
      <c r="H5033" s="503"/>
      <c r="I5033" s="503"/>
      <c r="J5033" s="503"/>
      <c r="K5033" s="503"/>
      <c r="L5033" s="497"/>
      <c r="M5033" s="497"/>
      <c r="N5033" s="497"/>
      <c r="O5033" s="497"/>
      <c r="P5033" s="497">
        <f t="shared" si="305"/>
        <v>723</v>
      </c>
      <c r="Q5033" s="497" t="b">
        <v>0</v>
      </c>
    </row>
    <row r="5034" spans="1:17" x14ac:dyDescent="0.35">
      <c r="A5034" s="497" t="b">
        <v>0</v>
      </c>
      <c r="B5034" s="497" t="s">
        <v>10958</v>
      </c>
      <c r="C5034" s="512">
        <v>121</v>
      </c>
      <c r="D5034" s="497">
        <f t="shared" si="302"/>
        <v>244</v>
      </c>
      <c r="E5034" s="497">
        <f t="shared" si="303"/>
        <v>4</v>
      </c>
      <c r="F5034" s="497">
        <f t="shared" ca="1" si="304"/>
        <v>129</v>
      </c>
      <c r="G5034" s="497" t="s">
        <v>10155</v>
      </c>
      <c r="H5034" s="503"/>
      <c r="I5034" s="503"/>
      <c r="J5034" s="503"/>
      <c r="K5034" s="503"/>
      <c r="L5034" s="497"/>
      <c r="M5034" s="497"/>
      <c r="N5034" s="497"/>
      <c r="O5034" s="497"/>
      <c r="P5034" s="497">
        <f t="shared" si="305"/>
        <v>724</v>
      </c>
      <c r="Q5034" s="497" t="b">
        <v>0</v>
      </c>
    </row>
    <row r="5035" spans="1:17" x14ac:dyDescent="0.35">
      <c r="A5035" s="497" t="b">
        <v>0</v>
      </c>
      <c r="B5035" s="497" t="s">
        <v>10959</v>
      </c>
      <c r="C5035" s="512">
        <v>121</v>
      </c>
      <c r="D5035" s="497">
        <f t="shared" si="302"/>
        <v>245</v>
      </c>
      <c r="E5035" s="497">
        <f t="shared" si="303"/>
        <v>5</v>
      </c>
      <c r="F5035" s="497">
        <f t="shared" ca="1" si="304"/>
        <v>129</v>
      </c>
      <c r="G5035" s="497" t="s">
        <v>10155</v>
      </c>
      <c r="H5035" s="503"/>
      <c r="I5035" s="503"/>
      <c r="J5035" s="503"/>
      <c r="K5035" s="503"/>
      <c r="L5035" s="497"/>
      <c r="M5035" s="497"/>
      <c r="N5035" s="497"/>
      <c r="O5035" s="497"/>
      <c r="P5035" s="497">
        <f t="shared" si="305"/>
        <v>725</v>
      </c>
      <c r="Q5035" s="497" t="b">
        <v>0</v>
      </c>
    </row>
    <row r="5036" spans="1:17" x14ac:dyDescent="0.35">
      <c r="A5036" s="497" t="b">
        <v>0</v>
      </c>
      <c r="B5036" s="497" t="s">
        <v>10960</v>
      </c>
      <c r="C5036" s="512">
        <v>121</v>
      </c>
      <c r="D5036" s="497">
        <f t="shared" si="302"/>
        <v>246</v>
      </c>
      <c r="E5036" s="497">
        <f t="shared" si="303"/>
        <v>6</v>
      </c>
      <c r="F5036" s="497">
        <f t="shared" ca="1" si="304"/>
        <v>129</v>
      </c>
      <c r="G5036" s="497" t="s">
        <v>10155</v>
      </c>
      <c r="H5036" s="503"/>
      <c r="I5036" s="503"/>
      <c r="J5036" s="503"/>
      <c r="K5036" s="503"/>
      <c r="L5036" s="497"/>
      <c r="M5036" s="497"/>
      <c r="N5036" s="497"/>
      <c r="O5036" s="497"/>
      <c r="P5036" s="497">
        <f t="shared" si="305"/>
        <v>726</v>
      </c>
      <c r="Q5036" s="497" t="b">
        <v>0</v>
      </c>
    </row>
    <row r="5037" spans="1:17" x14ac:dyDescent="0.35">
      <c r="A5037" s="497" t="b">
        <v>0</v>
      </c>
      <c r="B5037" s="497" t="s">
        <v>10961</v>
      </c>
      <c r="C5037" s="512">
        <v>122</v>
      </c>
      <c r="D5037" s="497">
        <f t="shared" si="302"/>
        <v>247</v>
      </c>
      <c r="E5037" s="497">
        <f t="shared" si="303"/>
        <v>1</v>
      </c>
      <c r="F5037" s="497">
        <f t="shared" ca="1" si="304"/>
        <v>130</v>
      </c>
      <c r="G5037" s="497" t="s">
        <v>10157</v>
      </c>
      <c r="H5037" s="503"/>
      <c r="I5037" s="503"/>
      <c r="J5037" s="503"/>
      <c r="K5037" s="503"/>
      <c r="L5037" s="497"/>
      <c r="M5037" s="497"/>
      <c r="N5037" s="497"/>
      <c r="O5037" s="497"/>
      <c r="P5037" s="497">
        <f t="shared" si="305"/>
        <v>727</v>
      </c>
      <c r="Q5037" s="497" t="b">
        <v>0</v>
      </c>
    </row>
    <row r="5038" spans="1:17" x14ac:dyDescent="0.35">
      <c r="A5038" s="497" t="b">
        <v>0</v>
      </c>
      <c r="B5038" s="497" t="s">
        <v>10962</v>
      </c>
      <c r="C5038" s="512">
        <v>122</v>
      </c>
      <c r="D5038" s="497">
        <f t="shared" si="302"/>
        <v>248</v>
      </c>
      <c r="E5038" s="497">
        <f t="shared" si="303"/>
        <v>2</v>
      </c>
      <c r="F5038" s="497">
        <f t="shared" ca="1" si="304"/>
        <v>130</v>
      </c>
      <c r="G5038" s="497" t="s">
        <v>10157</v>
      </c>
      <c r="H5038" s="503"/>
      <c r="I5038" s="503"/>
      <c r="J5038" s="503"/>
      <c r="K5038" s="503"/>
      <c r="L5038" s="497"/>
      <c r="M5038" s="497"/>
      <c r="N5038" s="497"/>
      <c r="O5038" s="497"/>
      <c r="P5038" s="497">
        <f t="shared" si="305"/>
        <v>728</v>
      </c>
      <c r="Q5038" s="497" t="b">
        <v>0</v>
      </c>
    </row>
    <row r="5039" spans="1:17" x14ac:dyDescent="0.35">
      <c r="A5039" s="497" t="b">
        <v>0</v>
      </c>
      <c r="B5039" s="497" t="s">
        <v>10963</v>
      </c>
      <c r="C5039" s="512">
        <v>122</v>
      </c>
      <c r="D5039" s="497">
        <f t="shared" si="302"/>
        <v>249</v>
      </c>
      <c r="E5039" s="497">
        <f t="shared" si="303"/>
        <v>3</v>
      </c>
      <c r="F5039" s="497">
        <f t="shared" ca="1" si="304"/>
        <v>130</v>
      </c>
      <c r="G5039" s="497" t="s">
        <v>10157</v>
      </c>
      <c r="H5039" s="503"/>
      <c r="I5039" s="503"/>
      <c r="J5039" s="503"/>
      <c r="K5039" s="503"/>
      <c r="L5039" s="497"/>
      <c r="M5039" s="497"/>
      <c r="N5039" s="497"/>
      <c r="O5039" s="497"/>
      <c r="P5039" s="497">
        <f t="shared" si="305"/>
        <v>729</v>
      </c>
      <c r="Q5039" s="497" t="b">
        <v>0</v>
      </c>
    </row>
    <row r="5040" spans="1:17" x14ac:dyDescent="0.35">
      <c r="A5040" s="497" t="b">
        <v>0</v>
      </c>
      <c r="B5040" s="497" t="s">
        <v>10964</v>
      </c>
      <c r="C5040" s="512">
        <v>122</v>
      </c>
      <c r="D5040" s="497">
        <f t="shared" si="302"/>
        <v>250</v>
      </c>
      <c r="E5040" s="497">
        <f t="shared" si="303"/>
        <v>4</v>
      </c>
      <c r="F5040" s="497">
        <f t="shared" ca="1" si="304"/>
        <v>130</v>
      </c>
      <c r="G5040" s="497" t="s">
        <v>10157</v>
      </c>
      <c r="H5040" s="503"/>
      <c r="I5040" s="503"/>
      <c r="J5040" s="503"/>
      <c r="K5040" s="503"/>
      <c r="L5040" s="497"/>
      <c r="M5040" s="497"/>
      <c r="N5040" s="497"/>
      <c r="O5040" s="497"/>
      <c r="P5040" s="497">
        <f t="shared" si="305"/>
        <v>730</v>
      </c>
      <c r="Q5040" s="497" t="b">
        <v>0</v>
      </c>
    </row>
    <row r="5041" spans="1:17" x14ac:dyDescent="0.35">
      <c r="A5041" s="497" t="b">
        <v>0</v>
      </c>
      <c r="B5041" s="497" t="s">
        <v>10965</v>
      </c>
      <c r="C5041" s="512">
        <v>122</v>
      </c>
      <c r="D5041" s="497">
        <f t="shared" si="302"/>
        <v>251</v>
      </c>
      <c r="E5041" s="497">
        <f t="shared" si="303"/>
        <v>5</v>
      </c>
      <c r="F5041" s="497">
        <f t="shared" ca="1" si="304"/>
        <v>130</v>
      </c>
      <c r="G5041" s="497" t="s">
        <v>10157</v>
      </c>
      <c r="H5041" s="503"/>
      <c r="I5041" s="503"/>
      <c r="J5041" s="503"/>
      <c r="K5041" s="503"/>
      <c r="L5041" s="497"/>
      <c r="M5041" s="497"/>
      <c r="N5041" s="497"/>
      <c r="O5041" s="497"/>
      <c r="P5041" s="497">
        <f t="shared" si="305"/>
        <v>731</v>
      </c>
      <c r="Q5041" s="497" t="b">
        <v>0</v>
      </c>
    </row>
    <row r="5042" spans="1:17" x14ac:dyDescent="0.35">
      <c r="A5042" s="497" t="b">
        <v>0</v>
      </c>
      <c r="B5042" s="497" t="s">
        <v>10966</v>
      </c>
      <c r="C5042" s="512">
        <v>122</v>
      </c>
      <c r="D5042" s="497">
        <f t="shared" si="302"/>
        <v>252</v>
      </c>
      <c r="E5042" s="497">
        <f t="shared" si="303"/>
        <v>6</v>
      </c>
      <c r="F5042" s="497">
        <f t="shared" ca="1" si="304"/>
        <v>130</v>
      </c>
      <c r="G5042" s="497" t="s">
        <v>10157</v>
      </c>
      <c r="H5042" s="503"/>
      <c r="I5042" s="503"/>
      <c r="J5042" s="503"/>
      <c r="K5042" s="503"/>
      <c r="L5042" s="497"/>
      <c r="M5042" s="497"/>
      <c r="N5042" s="497"/>
      <c r="O5042" s="497"/>
      <c r="P5042" s="497">
        <f t="shared" si="305"/>
        <v>732</v>
      </c>
      <c r="Q5042" s="497" t="b">
        <v>0</v>
      </c>
    </row>
    <row r="5043" spans="1:17" x14ac:dyDescent="0.35">
      <c r="A5043" s="497" t="b">
        <v>0</v>
      </c>
      <c r="B5043" s="497" t="s">
        <v>10967</v>
      </c>
      <c r="C5043" s="512">
        <v>123</v>
      </c>
      <c r="D5043" s="497">
        <f t="shared" si="302"/>
        <v>253</v>
      </c>
      <c r="E5043" s="497">
        <f t="shared" si="303"/>
        <v>1</v>
      </c>
      <c r="F5043" s="497">
        <f t="shared" ca="1" si="304"/>
        <v>131</v>
      </c>
      <c r="G5043" s="497" t="s">
        <v>10159</v>
      </c>
      <c r="H5043" s="503"/>
      <c r="I5043" s="503"/>
      <c r="J5043" s="503"/>
      <c r="K5043" s="503"/>
      <c r="L5043" s="497"/>
      <c r="M5043" s="497"/>
      <c r="N5043" s="497"/>
      <c r="O5043" s="497"/>
      <c r="P5043" s="497">
        <f t="shared" si="305"/>
        <v>733</v>
      </c>
      <c r="Q5043" s="497" t="b">
        <v>0</v>
      </c>
    </row>
    <row r="5044" spans="1:17" x14ac:dyDescent="0.35">
      <c r="A5044" s="497" t="b">
        <v>0</v>
      </c>
      <c r="B5044" s="497" t="s">
        <v>10968</v>
      </c>
      <c r="C5044" s="512">
        <v>123</v>
      </c>
      <c r="D5044" s="497">
        <f t="shared" si="302"/>
        <v>254</v>
      </c>
      <c r="E5044" s="497">
        <f t="shared" si="303"/>
        <v>2</v>
      </c>
      <c r="F5044" s="497">
        <f t="shared" ca="1" si="304"/>
        <v>131</v>
      </c>
      <c r="G5044" s="497" t="s">
        <v>10159</v>
      </c>
      <c r="H5044" s="503"/>
      <c r="I5044" s="503"/>
      <c r="J5044" s="503"/>
      <c r="K5044" s="503"/>
      <c r="L5044" s="497"/>
      <c r="M5044" s="497"/>
      <c r="N5044" s="497"/>
      <c r="O5044" s="497"/>
      <c r="P5044" s="497">
        <f t="shared" si="305"/>
        <v>734</v>
      </c>
      <c r="Q5044" s="497" t="b">
        <v>0</v>
      </c>
    </row>
    <row r="5045" spans="1:17" x14ac:dyDescent="0.35">
      <c r="A5045" s="497" t="b">
        <v>0</v>
      </c>
      <c r="B5045" s="497" t="s">
        <v>10969</v>
      </c>
      <c r="C5045" s="512">
        <v>123</v>
      </c>
      <c r="D5045" s="497">
        <f t="shared" si="302"/>
        <v>255</v>
      </c>
      <c r="E5045" s="497">
        <f t="shared" si="303"/>
        <v>3</v>
      </c>
      <c r="F5045" s="497">
        <f t="shared" ca="1" si="304"/>
        <v>131</v>
      </c>
      <c r="G5045" s="497" t="s">
        <v>10159</v>
      </c>
      <c r="H5045" s="503"/>
      <c r="I5045" s="503"/>
      <c r="J5045" s="503"/>
      <c r="K5045" s="503"/>
      <c r="L5045" s="497"/>
      <c r="M5045" s="497"/>
      <c r="N5045" s="497"/>
      <c r="O5045" s="497"/>
      <c r="P5045" s="497">
        <f t="shared" si="305"/>
        <v>735</v>
      </c>
      <c r="Q5045" s="497" t="b">
        <v>0</v>
      </c>
    </row>
    <row r="5046" spans="1:17" x14ac:dyDescent="0.35">
      <c r="A5046" s="497" t="b">
        <v>0</v>
      </c>
      <c r="B5046" s="497" t="s">
        <v>10970</v>
      </c>
      <c r="C5046" s="512">
        <v>123</v>
      </c>
      <c r="D5046" s="497">
        <f t="shared" si="302"/>
        <v>256</v>
      </c>
      <c r="E5046" s="497">
        <f t="shared" si="303"/>
        <v>4</v>
      </c>
      <c r="F5046" s="497">
        <f t="shared" ca="1" si="304"/>
        <v>131</v>
      </c>
      <c r="G5046" s="497" t="s">
        <v>10159</v>
      </c>
      <c r="H5046" s="503"/>
      <c r="I5046" s="503"/>
      <c r="J5046" s="503"/>
      <c r="K5046" s="503"/>
      <c r="L5046" s="497"/>
      <c r="M5046" s="497"/>
      <c r="N5046" s="497"/>
      <c r="O5046" s="497"/>
      <c r="P5046" s="497">
        <f t="shared" si="305"/>
        <v>736</v>
      </c>
      <c r="Q5046" s="497" t="b">
        <v>0</v>
      </c>
    </row>
    <row r="5047" spans="1:17" x14ac:dyDescent="0.35">
      <c r="A5047" s="497" t="b">
        <v>0</v>
      </c>
      <c r="B5047" s="497" t="s">
        <v>10971</v>
      </c>
      <c r="C5047" s="512">
        <v>123</v>
      </c>
      <c r="D5047" s="497">
        <f t="shared" si="302"/>
        <v>257</v>
      </c>
      <c r="E5047" s="497">
        <f t="shared" si="303"/>
        <v>5</v>
      </c>
      <c r="F5047" s="497">
        <f t="shared" ca="1" si="304"/>
        <v>131</v>
      </c>
      <c r="G5047" s="497" t="s">
        <v>10159</v>
      </c>
      <c r="H5047" s="503"/>
      <c r="I5047" s="503"/>
      <c r="J5047" s="503"/>
      <c r="K5047" s="503"/>
      <c r="L5047" s="497"/>
      <c r="M5047" s="497"/>
      <c r="N5047" s="497"/>
      <c r="O5047" s="497"/>
      <c r="P5047" s="497">
        <f t="shared" si="305"/>
        <v>737</v>
      </c>
      <c r="Q5047" s="497" t="b">
        <v>0</v>
      </c>
    </row>
    <row r="5048" spans="1:17" x14ac:dyDescent="0.35">
      <c r="A5048" s="497" t="b">
        <v>0</v>
      </c>
      <c r="B5048" s="497" t="s">
        <v>10972</v>
      </c>
      <c r="C5048" s="512">
        <v>123</v>
      </c>
      <c r="D5048" s="497">
        <f t="shared" si="302"/>
        <v>258</v>
      </c>
      <c r="E5048" s="497">
        <f t="shared" si="303"/>
        <v>6</v>
      </c>
      <c r="F5048" s="497">
        <f t="shared" ca="1" si="304"/>
        <v>131</v>
      </c>
      <c r="G5048" s="497" t="s">
        <v>10159</v>
      </c>
      <c r="H5048" s="503"/>
      <c r="I5048" s="503"/>
      <c r="J5048" s="503"/>
      <c r="K5048" s="503"/>
      <c r="L5048" s="497"/>
      <c r="M5048" s="497"/>
      <c r="N5048" s="497"/>
      <c r="O5048" s="497"/>
      <c r="P5048" s="497">
        <f t="shared" si="305"/>
        <v>738</v>
      </c>
      <c r="Q5048" s="497" t="b">
        <v>0</v>
      </c>
    </row>
    <row r="5049" spans="1:17" x14ac:dyDescent="0.35">
      <c r="A5049" s="497" t="b">
        <v>0</v>
      </c>
      <c r="B5049" s="497" t="s">
        <v>10973</v>
      </c>
      <c r="C5049" s="512">
        <v>124</v>
      </c>
      <c r="D5049" s="497">
        <f t="shared" si="302"/>
        <v>259</v>
      </c>
      <c r="E5049" s="497">
        <f t="shared" si="303"/>
        <v>1</v>
      </c>
      <c r="F5049" s="497">
        <f t="shared" ca="1" si="304"/>
        <v>132</v>
      </c>
      <c r="G5049" s="497" t="s">
        <v>10161</v>
      </c>
      <c r="H5049" s="503"/>
      <c r="I5049" s="503"/>
      <c r="J5049" s="503"/>
      <c r="K5049" s="503"/>
      <c r="L5049" s="497"/>
      <c r="M5049" s="497"/>
      <c r="N5049" s="497"/>
      <c r="O5049" s="497"/>
      <c r="P5049" s="497">
        <f t="shared" si="305"/>
        <v>739</v>
      </c>
      <c r="Q5049" s="497" t="b">
        <v>0</v>
      </c>
    </row>
    <row r="5050" spans="1:17" x14ac:dyDescent="0.35">
      <c r="A5050" s="497" t="b">
        <v>0</v>
      </c>
      <c r="B5050" s="497" t="s">
        <v>10974</v>
      </c>
      <c r="C5050" s="512">
        <v>124</v>
      </c>
      <c r="D5050" s="497">
        <f t="shared" si="302"/>
        <v>260</v>
      </c>
      <c r="E5050" s="497">
        <f t="shared" si="303"/>
        <v>2</v>
      </c>
      <c r="F5050" s="497">
        <f t="shared" ca="1" si="304"/>
        <v>132</v>
      </c>
      <c r="G5050" s="497" t="s">
        <v>10161</v>
      </c>
      <c r="H5050" s="503"/>
      <c r="I5050" s="503"/>
      <c r="J5050" s="503"/>
      <c r="K5050" s="503"/>
      <c r="L5050" s="497"/>
      <c r="M5050" s="497"/>
      <c r="N5050" s="497"/>
      <c r="O5050" s="497"/>
      <c r="P5050" s="497">
        <f t="shared" si="305"/>
        <v>740</v>
      </c>
      <c r="Q5050" s="497" t="b">
        <v>0</v>
      </c>
    </row>
    <row r="5051" spans="1:17" x14ac:dyDescent="0.35">
      <c r="A5051" s="497" t="b">
        <v>0</v>
      </c>
      <c r="B5051" s="497" t="s">
        <v>10975</v>
      </c>
      <c r="C5051" s="512">
        <v>124</v>
      </c>
      <c r="D5051" s="497">
        <f t="shared" si="302"/>
        <v>261</v>
      </c>
      <c r="E5051" s="497">
        <f t="shared" si="303"/>
        <v>3</v>
      </c>
      <c r="F5051" s="497">
        <f t="shared" ca="1" si="304"/>
        <v>132</v>
      </c>
      <c r="G5051" s="497" t="s">
        <v>10161</v>
      </c>
      <c r="H5051" s="503"/>
      <c r="I5051" s="503"/>
      <c r="J5051" s="503"/>
      <c r="K5051" s="503"/>
      <c r="L5051" s="497"/>
      <c r="M5051" s="497"/>
      <c r="N5051" s="497"/>
      <c r="O5051" s="497"/>
      <c r="P5051" s="497">
        <f t="shared" si="305"/>
        <v>741</v>
      </c>
      <c r="Q5051" s="497" t="b">
        <v>0</v>
      </c>
    </row>
    <row r="5052" spans="1:17" x14ac:dyDescent="0.35">
      <c r="A5052" s="497" t="b">
        <v>0</v>
      </c>
      <c r="B5052" s="497" t="s">
        <v>10976</v>
      </c>
      <c r="C5052" s="512">
        <v>124</v>
      </c>
      <c r="D5052" s="497">
        <f t="shared" si="302"/>
        <v>262</v>
      </c>
      <c r="E5052" s="497">
        <f t="shared" si="303"/>
        <v>4</v>
      </c>
      <c r="F5052" s="497">
        <f t="shared" ca="1" si="304"/>
        <v>132</v>
      </c>
      <c r="G5052" s="497" t="s">
        <v>10161</v>
      </c>
      <c r="H5052" s="503"/>
      <c r="I5052" s="503"/>
      <c r="J5052" s="503"/>
      <c r="K5052" s="503"/>
      <c r="L5052" s="497"/>
      <c r="M5052" s="497"/>
      <c r="N5052" s="497"/>
      <c r="O5052" s="497"/>
      <c r="P5052" s="497">
        <f t="shared" si="305"/>
        <v>742</v>
      </c>
      <c r="Q5052" s="497" t="b">
        <v>0</v>
      </c>
    </row>
    <row r="5053" spans="1:17" x14ac:dyDescent="0.35">
      <c r="A5053" s="497" t="b">
        <v>0</v>
      </c>
      <c r="B5053" s="497" t="s">
        <v>10977</v>
      </c>
      <c r="C5053" s="512">
        <v>124</v>
      </c>
      <c r="D5053" s="497">
        <f t="shared" si="302"/>
        <v>263</v>
      </c>
      <c r="E5053" s="497">
        <f t="shared" si="303"/>
        <v>5</v>
      </c>
      <c r="F5053" s="497">
        <f t="shared" ca="1" si="304"/>
        <v>132</v>
      </c>
      <c r="G5053" s="497" t="s">
        <v>10161</v>
      </c>
      <c r="H5053" s="503"/>
      <c r="I5053" s="503"/>
      <c r="J5053" s="503"/>
      <c r="K5053" s="503"/>
      <c r="L5053" s="497"/>
      <c r="M5053" s="497"/>
      <c r="N5053" s="497"/>
      <c r="O5053" s="497"/>
      <c r="P5053" s="497">
        <f t="shared" si="305"/>
        <v>743</v>
      </c>
      <c r="Q5053" s="497" t="b">
        <v>0</v>
      </c>
    </row>
    <row r="5054" spans="1:17" x14ac:dyDescent="0.35">
      <c r="A5054" s="497" t="b">
        <v>0</v>
      </c>
      <c r="B5054" s="497" t="s">
        <v>10978</v>
      </c>
      <c r="C5054" s="512">
        <v>124</v>
      </c>
      <c r="D5054" s="497">
        <f t="shared" si="302"/>
        <v>264</v>
      </c>
      <c r="E5054" s="497">
        <f t="shared" si="303"/>
        <v>6</v>
      </c>
      <c r="F5054" s="497">
        <f t="shared" ca="1" si="304"/>
        <v>132</v>
      </c>
      <c r="G5054" s="497" t="s">
        <v>10161</v>
      </c>
      <c r="H5054" s="503"/>
      <c r="I5054" s="503"/>
      <c r="J5054" s="503"/>
      <c r="K5054" s="503"/>
      <c r="L5054" s="497"/>
      <c r="M5054" s="497"/>
      <c r="N5054" s="497"/>
      <c r="O5054" s="497"/>
      <c r="P5054" s="497">
        <f t="shared" si="305"/>
        <v>744</v>
      </c>
      <c r="Q5054" s="497" t="b">
        <v>0</v>
      </c>
    </row>
    <row r="5055" spans="1:17" x14ac:dyDescent="0.35">
      <c r="A5055" s="497" t="b">
        <v>0</v>
      </c>
      <c r="B5055" s="497" t="s">
        <v>10979</v>
      </c>
      <c r="C5055" s="512">
        <v>125</v>
      </c>
      <c r="D5055" s="497">
        <f t="shared" si="302"/>
        <v>265</v>
      </c>
      <c r="E5055" s="497">
        <f t="shared" si="303"/>
        <v>1</v>
      </c>
      <c r="F5055" s="497">
        <f t="shared" ca="1" si="304"/>
        <v>133</v>
      </c>
      <c r="G5055" s="497" t="s">
        <v>10163</v>
      </c>
      <c r="H5055" s="503"/>
      <c r="I5055" s="503"/>
      <c r="J5055" s="503"/>
      <c r="K5055" s="503"/>
      <c r="L5055" s="497"/>
      <c r="M5055" s="497"/>
      <c r="N5055" s="497"/>
      <c r="O5055" s="497"/>
      <c r="P5055" s="497">
        <f t="shared" si="305"/>
        <v>745</v>
      </c>
      <c r="Q5055" s="497" t="b">
        <v>0</v>
      </c>
    </row>
    <row r="5056" spans="1:17" x14ac:dyDescent="0.35">
      <c r="A5056" s="497" t="b">
        <v>0</v>
      </c>
      <c r="B5056" s="497" t="s">
        <v>10980</v>
      </c>
      <c r="C5056" s="512">
        <v>125</v>
      </c>
      <c r="D5056" s="497">
        <f t="shared" si="302"/>
        <v>266</v>
      </c>
      <c r="E5056" s="497">
        <f t="shared" si="303"/>
        <v>2</v>
      </c>
      <c r="F5056" s="497">
        <f t="shared" ca="1" si="304"/>
        <v>133</v>
      </c>
      <c r="G5056" s="497" t="s">
        <v>10163</v>
      </c>
      <c r="H5056" s="503"/>
      <c r="I5056" s="503"/>
      <c r="J5056" s="503"/>
      <c r="K5056" s="503"/>
      <c r="L5056" s="497"/>
      <c r="M5056" s="497"/>
      <c r="N5056" s="497"/>
      <c r="O5056" s="497"/>
      <c r="P5056" s="497">
        <f t="shared" si="305"/>
        <v>746</v>
      </c>
      <c r="Q5056" s="497" t="b">
        <v>0</v>
      </c>
    </row>
    <row r="5057" spans="1:17" x14ac:dyDescent="0.35">
      <c r="A5057" s="497" t="b">
        <v>0</v>
      </c>
      <c r="B5057" s="497" t="s">
        <v>10981</v>
      </c>
      <c r="C5057" s="512">
        <v>125</v>
      </c>
      <c r="D5057" s="497">
        <f t="shared" si="302"/>
        <v>267</v>
      </c>
      <c r="E5057" s="497">
        <f t="shared" si="303"/>
        <v>3</v>
      </c>
      <c r="F5057" s="497">
        <f t="shared" ca="1" si="304"/>
        <v>133</v>
      </c>
      <c r="G5057" s="497" t="s">
        <v>10163</v>
      </c>
      <c r="H5057" s="503"/>
      <c r="I5057" s="503"/>
      <c r="J5057" s="503"/>
      <c r="K5057" s="503"/>
      <c r="L5057" s="497"/>
      <c r="M5057" s="497"/>
      <c r="N5057" s="497"/>
      <c r="O5057" s="497"/>
      <c r="P5057" s="497">
        <f t="shared" si="305"/>
        <v>747</v>
      </c>
      <c r="Q5057" s="497" t="b">
        <v>0</v>
      </c>
    </row>
    <row r="5058" spans="1:17" x14ac:dyDescent="0.35">
      <c r="A5058" s="497" t="b">
        <v>0</v>
      </c>
      <c r="B5058" s="497" t="s">
        <v>10982</v>
      </c>
      <c r="C5058" s="512">
        <v>125</v>
      </c>
      <c r="D5058" s="497">
        <f t="shared" si="302"/>
        <v>268</v>
      </c>
      <c r="E5058" s="497">
        <f t="shared" si="303"/>
        <v>4</v>
      </c>
      <c r="F5058" s="497">
        <f t="shared" ca="1" si="304"/>
        <v>133</v>
      </c>
      <c r="G5058" s="497" t="s">
        <v>10163</v>
      </c>
      <c r="H5058" s="503"/>
      <c r="I5058" s="503"/>
      <c r="J5058" s="503"/>
      <c r="K5058" s="503"/>
      <c r="L5058" s="497"/>
      <c r="M5058" s="497"/>
      <c r="N5058" s="497"/>
      <c r="O5058" s="497"/>
      <c r="P5058" s="497">
        <f t="shared" si="305"/>
        <v>748</v>
      </c>
      <c r="Q5058" s="497" t="b">
        <v>0</v>
      </c>
    </row>
    <row r="5059" spans="1:17" x14ac:dyDescent="0.35">
      <c r="A5059" s="497" t="b">
        <v>0</v>
      </c>
      <c r="B5059" s="497" t="s">
        <v>10983</v>
      </c>
      <c r="C5059" s="512">
        <v>125</v>
      </c>
      <c r="D5059" s="497">
        <f t="shared" si="302"/>
        <v>269</v>
      </c>
      <c r="E5059" s="497">
        <f t="shared" si="303"/>
        <v>5</v>
      </c>
      <c r="F5059" s="497">
        <f t="shared" ca="1" si="304"/>
        <v>133</v>
      </c>
      <c r="G5059" s="497" t="s">
        <v>10163</v>
      </c>
      <c r="H5059" s="503"/>
      <c r="I5059" s="503"/>
      <c r="J5059" s="503"/>
      <c r="K5059" s="503"/>
      <c r="L5059" s="497"/>
      <c r="M5059" s="497"/>
      <c r="N5059" s="497"/>
      <c r="O5059" s="497"/>
      <c r="P5059" s="497">
        <f t="shared" si="305"/>
        <v>749</v>
      </c>
      <c r="Q5059" s="497" t="b">
        <v>0</v>
      </c>
    </row>
    <row r="5060" spans="1:17" x14ac:dyDescent="0.35">
      <c r="A5060" s="497" t="b">
        <v>0</v>
      </c>
      <c r="B5060" s="497" t="s">
        <v>10984</v>
      </c>
      <c r="C5060" s="512">
        <v>125</v>
      </c>
      <c r="D5060" s="497">
        <f t="shared" si="302"/>
        <v>270</v>
      </c>
      <c r="E5060" s="497">
        <f t="shared" si="303"/>
        <v>6</v>
      </c>
      <c r="F5060" s="497">
        <f t="shared" ca="1" si="304"/>
        <v>133</v>
      </c>
      <c r="G5060" s="497" t="s">
        <v>10163</v>
      </c>
      <c r="H5060" s="503"/>
      <c r="I5060" s="503"/>
      <c r="J5060" s="503"/>
      <c r="K5060" s="503"/>
      <c r="L5060" s="497"/>
      <c r="M5060" s="497"/>
      <c r="N5060" s="497"/>
      <c r="O5060" s="497"/>
      <c r="P5060" s="497">
        <f t="shared" si="305"/>
        <v>750</v>
      </c>
      <c r="Q5060" s="497" t="b">
        <v>0</v>
      </c>
    </row>
    <row r="5061" spans="1:17" x14ac:dyDescent="0.35">
      <c r="A5061" s="497" t="b">
        <v>0</v>
      </c>
      <c r="B5061" s="497" t="s">
        <v>10985</v>
      </c>
      <c r="C5061" s="512">
        <v>126</v>
      </c>
      <c r="D5061" s="497">
        <f t="shared" si="302"/>
        <v>271</v>
      </c>
      <c r="E5061" s="497">
        <f t="shared" si="303"/>
        <v>1</v>
      </c>
      <c r="F5061" s="497">
        <f t="shared" ca="1" si="304"/>
        <v>134</v>
      </c>
      <c r="G5061" s="497" t="s">
        <v>10165</v>
      </c>
      <c r="H5061" s="503"/>
      <c r="I5061" s="503"/>
      <c r="J5061" s="503"/>
      <c r="K5061" s="503"/>
      <c r="L5061" s="497"/>
      <c r="M5061" s="497"/>
      <c r="N5061" s="497"/>
      <c r="O5061" s="497"/>
      <c r="P5061" s="497">
        <f t="shared" si="305"/>
        <v>751</v>
      </c>
      <c r="Q5061" s="497" t="b">
        <v>0</v>
      </c>
    </row>
    <row r="5062" spans="1:17" x14ac:dyDescent="0.35">
      <c r="A5062" s="497" t="b">
        <v>0</v>
      </c>
      <c r="B5062" s="497" t="s">
        <v>10986</v>
      </c>
      <c r="C5062" s="512">
        <v>126</v>
      </c>
      <c r="D5062" s="497">
        <f t="shared" si="302"/>
        <v>272</v>
      </c>
      <c r="E5062" s="497">
        <f t="shared" si="303"/>
        <v>2</v>
      </c>
      <c r="F5062" s="497">
        <f t="shared" ca="1" si="304"/>
        <v>134</v>
      </c>
      <c r="G5062" s="497" t="s">
        <v>10165</v>
      </c>
      <c r="H5062" s="503"/>
      <c r="I5062" s="503"/>
      <c r="J5062" s="503"/>
      <c r="K5062" s="503"/>
      <c r="L5062" s="497"/>
      <c r="M5062" s="497"/>
      <c r="N5062" s="497"/>
      <c r="O5062" s="497"/>
      <c r="P5062" s="497">
        <f t="shared" si="305"/>
        <v>752</v>
      </c>
      <c r="Q5062" s="497" t="b">
        <v>0</v>
      </c>
    </row>
    <row r="5063" spans="1:17" x14ac:dyDescent="0.35">
      <c r="A5063" s="497" t="b">
        <v>0</v>
      </c>
      <c r="B5063" s="497" t="s">
        <v>10987</v>
      </c>
      <c r="C5063" s="512">
        <v>126</v>
      </c>
      <c r="D5063" s="497">
        <f t="shared" si="302"/>
        <v>273</v>
      </c>
      <c r="E5063" s="497">
        <f t="shared" si="303"/>
        <v>3</v>
      </c>
      <c r="F5063" s="497">
        <f t="shared" ca="1" si="304"/>
        <v>134</v>
      </c>
      <c r="G5063" s="497" t="s">
        <v>10165</v>
      </c>
      <c r="H5063" s="503"/>
      <c r="I5063" s="503"/>
      <c r="J5063" s="503"/>
      <c r="K5063" s="503"/>
      <c r="L5063" s="497"/>
      <c r="M5063" s="497"/>
      <c r="N5063" s="497"/>
      <c r="O5063" s="497"/>
      <c r="P5063" s="497">
        <f t="shared" si="305"/>
        <v>753</v>
      </c>
      <c r="Q5063" s="497" t="b">
        <v>0</v>
      </c>
    </row>
    <row r="5064" spans="1:17" x14ac:dyDescent="0.35">
      <c r="A5064" s="497" t="b">
        <v>0</v>
      </c>
      <c r="B5064" s="497" t="s">
        <v>10988</v>
      </c>
      <c r="C5064" s="512">
        <v>126</v>
      </c>
      <c r="D5064" s="497">
        <f t="shared" si="302"/>
        <v>274</v>
      </c>
      <c r="E5064" s="497">
        <f t="shared" si="303"/>
        <v>4</v>
      </c>
      <c r="F5064" s="497">
        <f t="shared" ca="1" si="304"/>
        <v>134</v>
      </c>
      <c r="G5064" s="497" t="s">
        <v>10165</v>
      </c>
      <c r="H5064" s="503"/>
      <c r="I5064" s="503"/>
      <c r="J5064" s="503"/>
      <c r="K5064" s="503"/>
      <c r="L5064" s="497"/>
      <c r="M5064" s="497"/>
      <c r="N5064" s="497"/>
      <c r="O5064" s="497"/>
      <c r="P5064" s="497">
        <f t="shared" si="305"/>
        <v>754</v>
      </c>
      <c r="Q5064" s="497" t="b">
        <v>0</v>
      </c>
    </row>
    <row r="5065" spans="1:17" x14ac:dyDescent="0.35">
      <c r="A5065" s="497" t="b">
        <v>0</v>
      </c>
      <c r="B5065" s="497" t="s">
        <v>10989</v>
      </c>
      <c r="C5065" s="512">
        <v>126</v>
      </c>
      <c r="D5065" s="497">
        <f t="shared" si="302"/>
        <v>275</v>
      </c>
      <c r="E5065" s="497">
        <f t="shared" si="303"/>
        <v>5</v>
      </c>
      <c r="F5065" s="497">
        <f t="shared" ca="1" si="304"/>
        <v>134</v>
      </c>
      <c r="G5065" s="497" t="s">
        <v>10165</v>
      </c>
      <c r="H5065" s="503"/>
      <c r="I5065" s="503"/>
      <c r="J5065" s="503"/>
      <c r="K5065" s="503"/>
      <c r="L5065" s="497"/>
      <c r="M5065" s="497"/>
      <c r="N5065" s="497"/>
      <c r="O5065" s="497"/>
      <c r="P5065" s="497">
        <f t="shared" si="305"/>
        <v>755</v>
      </c>
      <c r="Q5065" s="497" t="b">
        <v>0</v>
      </c>
    </row>
    <row r="5066" spans="1:17" x14ac:dyDescent="0.35">
      <c r="A5066" s="497" t="b">
        <v>0</v>
      </c>
      <c r="B5066" s="497" t="s">
        <v>10990</v>
      </c>
      <c r="C5066" s="512">
        <v>126</v>
      </c>
      <c r="D5066" s="497">
        <f t="shared" si="302"/>
        <v>276</v>
      </c>
      <c r="E5066" s="497">
        <f t="shared" si="303"/>
        <v>6</v>
      </c>
      <c r="F5066" s="497">
        <f t="shared" ca="1" si="304"/>
        <v>134</v>
      </c>
      <c r="G5066" s="497" t="s">
        <v>10165</v>
      </c>
      <c r="H5066" s="503"/>
      <c r="I5066" s="503"/>
      <c r="J5066" s="503"/>
      <c r="K5066" s="503"/>
      <c r="L5066" s="497"/>
      <c r="M5066" s="497"/>
      <c r="N5066" s="497"/>
      <c r="O5066" s="497"/>
      <c r="P5066" s="497">
        <f t="shared" si="305"/>
        <v>756</v>
      </c>
      <c r="Q5066" s="497" t="b">
        <v>0</v>
      </c>
    </row>
    <row r="5067" spans="1:17" x14ac:dyDescent="0.35">
      <c r="A5067" s="497" t="b">
        <v>0</v>
      </c>
      <c r="B5067" s="497" t="s">
        <v>10991</v>
      </c>
      <c r="C5067" s="512">
        <v>127</v>
      </c>
      <c r="D5067" s="497">
        <f t="shared" si="302"/>
        <v>277</v>
      </c>
      <c r="E5067" s="497">
        <f t="shared" si="303"/>
        <v>1</v>
      </c>
      <c r="F5067" s="497">
        <f t="shared" ca="1" si="304"/>
        <v>135</v>
      </c>
      <c r="G5067" s="497" t="s">
        <v>10167</v>
      </c>
      <c r="H5067" s="503"/>
      <c r="I5067" s="503"/>
      <c r="J5067" s="503"/>
      <c r="K5067" s="503"/>
      <c r="L5067" s="497"/>
      <c r="M5067" s="497"/>
      <c r="N5067" s="497"/>
      <c r="O5067" s="497"/>
      <c r="P5067" s="497">
        <f t="shared" si="305"/>
        <v>757</v>
      </c>
      <c r="Q5067" s="497" t="b">
        <v>0</v>
      </c>
    </row>
    <row r="5068" spans="1:17" x14ac:dyDescent="0.35">
      <c r="A5068" s="497" t="b">
        <v>0</v>
      </c>
      <c r="B5068" s="497" t="s">
        <v>10992</v>
      </c>
      <c r="C5068" s="512">
        <v>127</v>
      </c>
      <c r="D5068" s="497">
        <f t="shared" si="302"/>
        <v>278</v>
      </c>
      <c r="E5068" s="497">
        <f t="shared" si="303"/>
        <v>2</v>
      </c>
      <c r="F5068" s="497">
        <f t="shared" ca="1" si="304"/>
        <v>135</v>
      </c>
      <c r="G5068" s="497" t="s">
        <v>10167</v>
      </c>
      <c r="H5068" s="503"/>
      <c r="I5068" s="503"/>
      <c r="J5068" s="503"/>
      <c r="K5068" s="503"/>
      <c r="L5068" s="497"/>
      <c r="M5068" s="497"/>
      <c r="N5068" s="497"/>
      <c r="O5068" s="497"/>
      <c r="P5068" s="497">
        <f t="shared" si="305"/>
        <v>758</v>
      </c>
      <c r="Q5068" s="497" t="b">
        <v>0</v>
      </c>
    </row>
    <row r="5069" spans="1:17" x14ac:dyDescent="0.35">
      <c r="A5069" s="497" t="b">
        <v>0</v>
      </c>
      <c r="B5069" s="497" t="s">
        <v>10993</v>
      </c>
      <c r="C5069" s="512">
        <v>127</v>
      </c>
      <c r="D5069" s="497">
        <f t="shared" si="302"/>
        <v>279</v>
      </c>
      <c r="E5069" s="497">
        <f t="shared" si="303"/>
        <v>3</v>
      </c>
      <c r="F5069" s="497">
        <f t="shared" ca="1" si="304"/>
        <v>135</v>
      </c>
      <c r="G5069" s="497" t="s">
        <v>10167</v>
      </c>
      <c r="H5069" s="503"/>
      <c r="I5069" s="503"/>
      <c r="J5069" s="503"/>
      <c r="K5069" s="503"/>
      <c r="L5069" s="497"/>
      <c r="M5069" s="497"/>
      <c r="N5069" s="497"/>
      <c r="O5069" s="497"/>
      <c r="P5069" s="497">
        <f t="shared" si="305"/>
        <v>759</v>
      </c>
      <c r="Q5069" s="497" t="b">
        <v>0</v>
      </c>
    </row>
    <row r="5070" spans="1:17" x14ac:dyDescent="0.35">
      <c r="A5070" s="497" t="b">
        <v>0</v>
      </c>
      <c r="B5070" s="497" t="s">
        <v>10994</v>
      </c>
      <c r="C5070" s="512">
        <v>127</v>
      </c>
      <c r="D5070" s="497">
        <f t="shared" si="302"/>
        <v>280</v>
      </c>
      <c r="E5070" s="497">
        <f t="shared" si="303"/>
        <v>4</v>
      </c>
      <c r="F5070" s="497">
        <f t="shared" ca="1" si="304"/>
        <v>135</v>
      </c>
      <c r="G5070" s="497" t="s">
        <v>10167</v>
      </c>
      <c r="H5070" s="503"/>
      <c r="I5070" s="503"/>
      <c r="J5070" s="503"/>
      <c r="K5070" s="503"/>
      <c r="L5070" s="497"/>
      <c r="M5070" s="497"/>
      <c r="N5070" s="497"/>
      <c r="O5070" s="497"/>
      <c r="P5070" s="497">
        <f t="shared" si="305"/>
        <v>760</v>
      </c>
      <c r="Q5070" s="497" t="b">
        <v>0</v>
      </c>
    </row>
    <row r="5071" spans="1:17" x14ac:dyDescent="0.35">
      <c r="A5071" s="497" t="b">
        <v>0</v>
      </c>
      <c r="B5071" s="497" t="s">
        <v>10995</v>
      </c>
      <c r="C5071" s="512">
        <v>127</v>
      </c>
      <c r="D5071" s="497">
        <f t="shared" si="302"/>
        <v>281</v>
      </c>
      <c r="E5071" s="497">
        <f t="shared" si="303"/>
        <v>5</v>
      </c>
      <c r="F5071" s="497">
        <f t="shared" ca="1" si="304"/>
        <v>135</v>
      </c>
      <c r="G5071" s="497" t="s">
        <v>10167</v>
      </c>
      <c r="H5071" s="503"/>
      <c r="I5071" s="503"/>
      <c r="J5071" s="503"/>
      <c r="K5071" s="503"/>
      <c r="L5071" s="497"/>
      <c r="M5071" s="497"/>
      <c r="N5071" s="497"/>
      <c r="O5071" s="497"/>
      <c r="P5071" s="497">
        <f t="shared" si="305"/>
        <v>761</v>
      </c>
      <c r="Q5071" s="497" t="b">
        <v>0</v>
      </c>
    </row>
    <row r="5072" spans="1:17" x14ac:dyDescent="0.35">
      <c r="A5072" s="497" t="b">
        <v>0</v>
      </c>
      <c r="B5072" s="497" t="s">
        <v>10996</v>
      </c>
      <c r="C5072" s="512">
        <v>127</v>
      </c>
      <c r="D5072" s="497">
        <f t="shared" si="302"/>
        <v>282</v>
      </c>
      <c r="E5072" s="497">
        <f t="shared" si="303"/>
        <v>6</v>
      </c>
      <c r="F5072" s="497">
        <f t="shared" ca="1" si="304"/>
        <v>135</v>
      </c>
      <c r="G5072" s="497" t="s">
        <v>10167</v>
      </c>
      <c r="H5072" s="503"/>
      <c r="I5072" s="503"/>
      <c r="J5072" s="503"/>
      <c r="K5072" s="503"/>
      <c r="L5072" s="497"/>
      <c r="M5072" s="497"/>
      <c r="N5072" s="497"/>
      <c r="O5072" s="497"/>
      <c r="P5072" s="497">
        <f t="shared" si="305"/>
        <v>762</v>
      </c>
      <c r="Q5072" s="497" t="b">
        <v>0</v>
      </c>
    </row>
    <row r="5073" spans="1:17" x14ac:dyDescent="0.35">
      <c r="A5073" s="497" t="b">
        <v>0</v>
      </c>
      <c r="B5073" s="497" t="s">
        <v>10997</v>
      </c>
      <c r="C5073" s="512">
        <v>128</v>
      </c>
      <c r="D5073" s="497">
        <f t="shared" si="302"/>
        <v>283</v>
      </c>
      <c r="E5073" s="497">
        <f t="shared" si="303"/>
        <v>1</v>
      </c>
      <c r="F5073" s="497">
        <f t="shared" ca="1" si="304"/>
        <v>136</v>
      </c>
      <c r="G5073" s="497" t="s">
        <v>10169</v>
      </c>
      <c r="H5073" s="503"/>
      <c r="I5073" s="503"/>
      <c r="J5073" s="503"/>
      <c r="K5073" s="503"/>
      <c r="L5073" s="497"/>
      <c r="M5073" s="497"/>
      <c r="N5073" s="497"/>
      <c r="O5073" s="497"/>
      <c r="P5073" s="497">
        <f t="shared" si="305"/>
        <v>763</v>
      </c>
      <c r="Q5073" s="497" t="b">
        <v>0</v>
      </c>
    </row>
    <row r="5074" spans="1:17" x14ac:dyDescent="0.35">
      <c r="A5074" s="497" t="b">
        <v>0</v>
      </c>
      <c r="B5074" s="497" t="s">
        <v>10998</v>
      </c>
      <c r="C5074" s="512">
        <v>128</v>
      </c>
      <c r="D5074" s="497">
        <f t="shared" si="302"/>
        <v>284</v>
      </c>
      <c r="E5074" s="497">
        <f t="shared" si="303"/>
        <v>2</v>
      </c>
      <c r="F5074" s="497">
        <f t="shared" ca="1" si="304"/>
        <v>136</v>
      </c>
      <c r="G5074" s="497" t="s">
        <v>10169</v>
      </c>
      <c r="H5074" s="503"/>
      <c r="I5074" s="503"/>
      <c r="J5074" s="503"/>
      <c r="K5074" s="503"/>
      <c r="L5074" s="497"/>
      <c r="M5074" s="497"/>
      <c r="N5074" s="497"/>
      <c r="O5074" s="497"/>
      <c r="P5074" s="497">
        <f t="shared" si="305"/>
        <v>764</v>
      </c>
      <c r="Q5074" s="497" t="b">
        <v>0</v>
      </c>
    </row>
    <row r="5075" spans="1:17" x14ac:dyDescent="0.35">
      <c r="A5075" s="497" t="b">
        <v>0</v>
      </c>
      <c r="B5075" s="497" t="s">
        <v>10999</v>
      </c>
      <c r="C5075" s="512">
        <v>128</v>
      </c>
      <c r="D5075" s="497">
        <f t="shared" si="302"/>
        <v>285</v>
      </c>
      <c r="E5075" s="497">
        <f t="shared" si="303"/>
        <v>3</v>
      </c>
      <c r="F5075" s="497">
        <f t="shared" ca="1" si="304"/>
        <v>136</v>
      </c>
      <c r="G5075" s="497" t="s">
        <v>10169</v>
      </c>
      <c r="H5075" s="503"/>
      <c r="I5075" s="503"/>
      <c r="J5075" s="503"/>
      <c r="K5075" s="503"/>
      <c r="L5075" s="497"/>
      <c r="M5075" s="497"/>
      <c r="N5075" s="497"/>
      <c r="O5075" s="497"/>
      <c r="P5075" s="497">
        <f t="shared" si="305"/>
        <v>765</v>
      </c>
      <c r="Q5075" s="497" t="b">
        <v>0</v>
      </c>
    </row>
    <row r="5076" spans="1:17" x14ac:dyDescent="0.35">
      <c r="A5076" s="497" t="b">
        <v>0</v>
      </c>
      <c r="B5076" s="497" t="s">
        <v>11000</v>
      </c>
      <c r="C5076" s="512">
        <v>128</v>
      </c>
      <c r="D5076" s="497">
        <f t="shared" si="302"/>
        <v>286</v>
      </c>
      <c r="E5076" s="497">
        <f t="shared" si="303"/>
        <v>4</v>
      </c>
      <c r="F5076" s="497">
        <f t="shared" ca="1" si="304"/>
        <v>136</v>
      </c>
      <c r="G5076" s="497" t="s">
        <v>10169</v>
      </c>
      <c r="H5076" s="503"/>
      <c r="I5076" s="503"/>
      <c r="J5076" s="503"/>
      <c r="K5076" s="503"/>
      <c r="L5076" s="497"/>
      <c r="M5076" s="497"/>
      <c r="N5076" s="497"/>
      <c r="O5076" s="497"/>
      <c r="P5076" s="497">
        <f t="shared" si="305"/>
        <v>766</v>
      </c>
      <c r="Q5076" s="497" t="b">
        <v>0</v>
      </c>
    </row>
    <row r="5077" spans="1:17" x14ac:dyDescent="0.35">
      <c r="A5077" s="497" t="b">
        <v>0</v>
      </c>
      <c r="B5077" s="497" t="s">
        <v>11001</v>
      </c>
      <c r="C5077" s="512">
        <v>128</v>
      </c>
      <c r="D5077" s="497">
        <f t="shared" si="302"/>
        <v>287</v>
      </c>
      <c r="E5077" s="497">
        <f t="shared" si="303"/>
        <v>5</v>
      </c>
      <c r="F5077" s="497">
        <f t="shared" ca="1" si="304"/>
        <v>136</v>
      </c>
      <c r="G5077" s="497" t="s">
        <v>10169</v>
      </c>
      <c r="H5077" s="503"/>
      <c r="I5077" s="503"/>
      <c r="J5077" s="503"/>
      <c r="K5077" s="503"/>
      <c r="L5077" s="497"/>
      <c r="M5077" s="497"/>
      <c r="N5077" s="497"/>
      <c r="O5077" s="497"/>
      <c r="P5077" s="497">
        <f t="shared" si="305"/>
        <v>767</v>
      </c>
      <c r="Q5077" s="497" t="b">
        <v>0</v>
      </c>
    </row>
    <row r="5078" spans="1:17" x14ac:dyDescent="0.35">
      <c r="A5078" s="497" t="b">
        <v>0</v>
      </c>
      <c r="B5078" s="497" t="s">
        <v>11002</v>
      </c>
      <c r="C5078" s="512">
        <v>128</v>
      </c>
      <c r="D5078" s="497">
        <f t="shared" si="302"/>
        <v>288</v>
      </c>
      <c r="E5078" s="497">
        <f t="shared" si="303"/>
        <v>6</v>
      </c>
      <c r="F5078" s="497">
        <f t="shared" ca="1" si="304"/>
        <v>136</v>
      </c>
      <c r="G5078" s="497" t="s">
        <v>10169</v>
      </c>
      <c r="H5078" s="503"/>
      <c r="I5078" s="503"/>
      <c r="J5078" s="503"/>
      <c r="K5078" s="503"/>
      <c r="L5078" s="497"/>
      <c r="M5078" s="497"/>
      <c r="N5078" s="497"/>
      <c r="O5078" s="497"/>
      <c r="P5078" s="497">
        <f t="shared" si="305"/>
        <v>768</v>
      </c>
      <c r="Q5078" s="497" t="b">
        <v>0</v>
      </c>
    </row>
    <row r="5079" spans="1:17" x14ac:dyDescent="0.35">
      <c r="A5079" s="497" t="b">
        <v>0</v>
      </c>
      <c r="B5079" s="497" t="s">
        <v>11003</v>
      </c>
      <c r="C5079" s="512">
        <v>129</v>
      </c>
      <c r="D5079" s="497">
        <f t="shared" ref="D5079:D5142" si="306">D5078+1</f>
        <v>289</v>
      </c>
      <c r="E5079" s="497">
        <f t="shared" ref="E5079:E5142" si="307">COUNTIF(C4829:C5079,C5079)</f>
        <v>1</v>
      </c>
      <c r="F5079" s="497">
        <f t="shared" ref="F5079:F5142" ca="1" si="308">IF(C5079=1,9,IF(E5078=MAX(E5077:E5079),F5077+1,F5078))</f>
        <v>137</v>
      </c>
      <c r="G5079" s="497" t="s">
        <v>10171</v>
      </c>
      <c r="H5079" s="503"/>
      <c r="I5079" s="503"/>
      <c r="J5079" s="503"/>
      <c r="K5079" s="503"/>
      <c r="L5079" s="497"/>
      <c r="M5079" s="497"/>
      <c r="N5079" s="497"/>
      <c r="O5079" s="497"/>
      <c r="P5079" s="497">
        <f t="shared" ref="P5079:P5142" si="309">IF(NOT(_xlfn.ISFORMULA(I5079)),P5078+1,0)</f>
        <v>769</v>
      </c>
      <c r="Q5079" s="497" t="b">
        <v>0</v>
      </c>
    </row>
    <row r="5080" spans="1:17" x14ac:dyDescent="0.35">
      <c r="A5080" s="497" t="b">
        <v>0</v>
      </c>
      <c r="B5080" s="497" t="s">
        <v>11004</v>
      </c>
      <c r="C5080" s="512">
        <v>129</v>
      </c>
      <c r="D5080" s="497">
        <f t="shared" si="306"/>
        <v>290</v>
      </c>
      <c r="E5080" s="497">
        <f t="shared" si="307"/>
        <v>2</v>
      </c>
      <c r="F5080" s="497">
        <f t="shared" ca="1" si="308"/>
        <v>137</v>
      </c>
      <c r="G5080" s="497" t="s">
        <v>10171</v>
      </c>
      <c r="H5080" s="503"/>
      <c r="I5080" s="503"/>
      <c r="J5080" s="503"/>
      <c r="K5080" s="503"/>
      <c r="L5080" s="497"/>
      <c r="M5080" s="497"/>
      <c r="N5080" s="497"/>
      <c r="O5080" s="497"/>
      <c r="P5080" s="497">
        <f t="shared" si="309"/>
        <v>770</v>
      </c>
      <c r="Q5080" s="497" t="b">
        <v>0</v>
      </c>
    </row>
    <row r="5081" spans="1:17" x14ac:dyDescent="0.35">
      <c r="A5081" s="497" t="b">
        <v>0</v>
      </c>
      <c r="B5081" s="497" t="s">
        <v>11005</v>
      </c>
      <c r="C5081" s="512">
        <v>129</v>
      </c>
      <c r="D5081" s="497">
        <f t="shared" si="306"/>
        <v>291</v>
      </c>
      <c r="E5081" s="497">
        <f t="shared" si="307"/>
        <v>3</v>
      </c>
      <c r="F5081" s="497">
        <f t="shared" ca="1" si="308"/>
        <v>137</v>
      </c>
      <c r="G5081" s="497" t="s">
        <v>10171</v>
      </c>
      <c r="H5081" s="503"/>
      <c r="I5081" s="503"/>
      <c r="J5081" s="503"/>
      <c r="K5081" s="503"/>
      <c r="L5081" s="497"/>
      <c r="M5081" s="497"/>
      <c r="N5081" s="497"/>
      <c r="O5081" s="497"/>
      <c r="P5081" s="497">
        <f t="shared" si="309"/>
        <v>771</v>
      </c>
      <c r="Q5081" s="497" t="b">
        <v>0</v>
      </c>
    </row>
    <row r="5082" spans="1:17" x14ac:dyDescent="0.35">
      <c r="A5082" s="497" t="b">
        <v>0</v>
      </c>
      <c r="B5082" s="497" t="s">
        <v>11006</v>
      </c>
      <c r="C5082" s="512">
        <v>129</v>
      </c>
      <c r="D5082" s="497">
        <f t="shared" si="306"/>
        <v>292</v>
      </c>
      <c r="E5082" s="497">
        <f t="shared" si="307"/>
        <v>4</v>
      </c>
      <c r="F5082" s="497">
        <f t="shared" ca="1" si="308"/>
        <v>137</v>
      </c>
      <c r="G5082" s="497" t="s">
        <v>10171</v>
      </c>
      <c r="H5082" s="503"/>
      <c r="I5082" s="503"/>
      <c r="J5082" s="503"/>
      <c r="K5082" s="503"/>
      <c r="L5082" s="497"/>
      <c r="M5082" s="497"/>
      <c r="N5082" s="497"/>
      <c r="O5082" s="497"/>
      <c r="P5082" s="497">
        <f t="shared" si="309"/>
        <v>772</v>
      </c>
      <c r="Q5082" s="497" t="b">
        <v>0</v>
      </c>
    </row>
    <row r="5083" spans="1:17" x14ac:dyDescent="0.35">
      <c r="A5083" s="497" t="b">
        <v>0</v>
      </c>
      <c r="B5083" s="497" t="s">
        <v>11007</v>
      </c>
      <c r="C5083" s="512">
        <v>129</v>
      </c>
      <c r="D5083" s="497">
        <f t="shared" si="306"/>
        <v>293</v>
      </c>
      <c r="E5083" s="497">
        <f t="shared" si="307"/>
        <v>5</v>
      </c>
      <c r="F5083" s="497">
        <f t="shared" ca="1" si="308"/>
        <v>137</v>
      </c>
      <c r="G5083" s="497" t="s">
        <v>10171</v>
      </c>
      <c r="H5083" s="503"/>
      <c r="I5083" s="503"/>
      <c r="J5083" s="503"/>
      <c r="K5083" s="503"/>
      <c r="L5083" s="497"/>
      <c r="M5083" s="497"/>
      <c r="N5083" s="497"/>
      <c r="O5083" s="497"/>
      <c r="P5083" s="497">
        <f t="shared" si="309"/>
        <v>773</v>
      </c>
      <c r="Q5083" s="497" t="b">
        <v>0</v>
      </c>
    </row>
    <row r="5084" spans="1:17" x14ac:dyDescent="0.35">
      <c r="A5084" s="497" t="b">
        <v>0</v>
      </c>
      <c r="B5084" s="497" t="s">
        <v>11008</v>
      </c>
      <c r="C5084" s="512">
        <v>129</v>
      </c>
      <c r="D5084" s="497">
        <f t="shared" si="306"/>
        <v>294</v>
      </c>
      <c r="E5084" s="497">
        <f t="shared" si="307"/>
        <v>6</v>
      </c>
      <c r="F5084" s="497">
        <f t="shared" ca="1" si="308"/>
        <v>137</v>
      </c>
      <c r="G5084" s="497" t="s">
        <v>10171</v>
      </c>
      <c r="H5084" s="503"/>
      <c r="I5084" s="503"/>
      <c r="J5084" s="503"/>
      <c r="K5084" s="503"/>
      <c r="L5084" s="497"/>
      <c r="M5084" s="497"/>
      <c r="N5084" s="497"/>
      <c r="O5084" s="497"/>
      <c r="P5084" s="497">
        <f t="shared" si="309"/>
        <v>774</v>
      </c>
      <c r="Q5084" s="497" t="b">
        <v>0</v>
      </c>
    </row>
    <row r="5085" spans="1:17" x14ac:dyDescent="0.35">
      <c r="A5085" s="497" t="b">
        <v>0</v>
      </c>
      <c r="B5085" s="497" t="s">
        <v>11009</v>
      </c>
      <c r="C5085" s="512">
        <v>130</v>
      </c>
      <c r="D5085" s="497">
        <f t="shared" si="306"/>
        <v>295</v>
      </c>
      <c r="E5085" s="497">
        <f t="shared" si="307"/>
        <v>1</v>
      </c>
      <c r="F5085" s="497">
        <f t="shared" ca="1" si="308"/>
        <v>138</v>
      </c>
      <c r="G5085" s="497" t="s">
        <v>10173</v>
      </c>
      <c r="H5085" s="503"/>
      <c r="I5085" s="503"/>
      <c r="J5085" s="503"/>
      <c r="K5085" s="503"/>
      <c r="L5085" s="497"/>
      <c r="M5085" s="497"/>
      <c r="N5085" s="497"/>
      <c r="O5085" s="497"/>
      <c r="P5085" s="497">
        <f t="shared" si="309"/>
        <v>775</v>
      </c>
      <c r="Q5085" s="497" t="b">
        <v>0</v>
      </c>
    </row>
    <row r="5086" spans="1:17" x14ac:dyDescent="0.35">
      <c r="A5086" s="497" t="b">
        <v>0</v>
      </c>
      <c r="B5086" s="497" t="s">
        <v>11010</v>
      </c>
      <c r="C5086" s="512">
        <v>130</v>
      </c>
      <c r="D5086" s="497">
        <f t="shared" si="306"/>
        <v>296</v>
      </c>
      <c r="E5086" s="497">
        <f t="shared" si="307"/>
        <v>2</v>
      </c>
      <c r="F5086" s="497">
        <f t="shared" ca="1" si="308"/>
        <v>138</v>
      </c>
      <c r="G5086" s="497" t="s">
        <v>10173</v>
      </c>
      <c r="H5086" s="503"/>
      <c r="I5086" s="503"/>
      <c r="J5086" s="503"/>
      <c r="K5086" s="503"/>
      <c r="L5086" s="497"/>
      <c r="M5086" s="497"/>
      <c r="N5086" s="497"/>
      <c r="O5086" s="497"/>
      <c r="P5086" s="497">
        <f t="shared" si="309"/>
        <v>776</v>
      </c>
      <c r="Q5086" s="497" t="b">
        <v>0</v>
      </c>
    </row>
    <row r="5087" spans="1:17" x14ac:dyDescent="0.35">
      <c r="A5087" s="497" t="b">
        <v>0</v>
      </c>
      <c r="B5087" s="497" t="s">
        <v>11011</v>
      </c>
      <c r="C5087" s="512">
        <v>130</v>
      </c>
      <c r="D5087" s="497">
        <f t="shared" si="306"/>
        <v>297</v>
      </c>
      <c r="E5087" s="497">
        <f t="shared" si="307"/>
        <v>3</v>
      </c>
      <c r="F5087" s="497">
        <f t="shared" ca="1" si="308"/>
        <v>138</v>
      </c>
      <c r="G5087" s="497" t="s">
        <v>10173</v>
      </c>
      <c r="H5087" s="503"/>
      <c r="I5087" s="503"/>
      <c r="J5087" s="503"/>
      <c r="K5087" s="503"/>
      <c r="L5087" s="497"/>
      <c r="M5087" s="497"/>
      <c r="N5087" s="497"/>
      <c r="O5087" s="497"/>
      <c r="P5087" s="497">
        <f t="shared" si="309"/>
        <v>777</v>
      </c>
      <c r="Q5087" s="497" t="b">
        <v>0</v>
      </c>
    </row>
    <row r="5088" spans="1:17" x14ac:dyDescent="0.35">
      <c r="A5088" s="497" t="b">
        <v>0</v>
      </c>
      <c r="B5088" s="497" t="s">
        <v>11012</v>
      </c>
      <c r="C5088" s="512">
        <v>130</v>
      </c>
      <c r="D5088" s="497">
        <f t="shared" si="306"/>
        <v>298</v>
      </c>
      <c r="E5088" s="497">
        <f t="shared" si="307"/>
        <v>4</v>
      </c>
      <c r="F5088" s="497">
        <f t="shared" ca="1" si="308"/>
        <v>138</v>
      </c>
      <c r="G5088" s="497" t="s">
        <v>10173</v>
      </c>
      <c r="H5088" s="503"/>
      <c r="I5088" s="503"/>
      <c r="J5088" s="503"/>
      <c r="K5088" s="503"/>
      <c r="L5088" s="497"/>
      <c r="M5088" s="497"/>
      <c r="N5088" s="497"/>
      <c r="O5088" s="497"/>
      <c r="P5088" s="497">
        <f t="shared" si="309"/>
        <v>778</v>
      </c>
      <c r="Q5088" s="497" t="b">
        <v>0</v>
      </c>
    </row>
    <row r="5089" spans="1:17" x14ac:dyDescent="0.35">
      <c r="A5089" s="497" t="b">
        <v>0</v>
      </c>
      <c r="B5089" s="497" t="s">
        <v>11013</v>
      </c>
      <c r="C5089" s="512">
        <v>130</v>
      </c>
      <c r="D5089" s="497">
        <f t="shared" si="306"/>
        <v>299</v>
      </c>
      <c r="E5089" s="497">
        <f t="shared" si="307"/>
        <v>5</v>
      </c>
      <c r="F5089" s="497">
        <f t="shared" ca="1" si="308"/>
        <v>138</v>
      </c>
      <c r="G5089" s="497" t="s">
        <v>10173</v>
      </c>
      <c r="H5089" s="503"/>
      <c r="I5089" s="503"/>
      <c r="J5089" s="503"/>
      <c r="K5089" s="503"/>
      <c r="L5089" s="497"/>
      <c r="M5089" s="497"/>
      <c r="N5089" s="497"/>
      <c r="O5089" s="497"/>
      <c r="P5089" s="497">
        <f t="shared" si="309"/>
        <v>779</v>
      </c>
      <c r="Q5089" s="497" t="b">
        <v>0</v>
      </c>
    </row>
    <row r="5090" spans="1:17" x14ac:dyDescent="0.35">
      <c r="A5090" s="497" t="b">
        <v>0</v>
      </c>
      <c r="B5090" s="497" t="s">
        <v>11014</v>
      </c>
      <c r="C5090" s="512">
        <v>130</v>
      </c>
      <c r="D5090" s="497">
        <f t="shared" si="306"/>
        <v>300</v>
      </c>
      <c r="E5090" s="497">
        <f t="shared" si="307"/>
        <v>6</v>
      </c>
      <c r="F5090" s="497">
        <f t="shared" ca="1" si="308"/>
        <v>138</v>
      </c>
      <c r="G5090" s="497" t="s">
        <v>10173</v>
      </c>
      <c r="H5090" s="503"/>
      <c r="I5090" s="503"/>
      <c r="J5090" s="503"/>
      <c r="K5090" s="503"/>
      <c r="L5090" s="497"/>
      <c r="M5090" s="497"/>
      <c r="N5090" s="497"/>
      <c r="O5090" s="497"/>
      <c r="P5090" s="497">
        <f t="shared" si="309"/>
        <v>780</v>
      </c>
      <c r="Q5090" s="497" t="b">
        <v>0</v>
      </c>
    </row>
    <row r="5091" spans="1:17" x14ac:dyDescent="0.35">
      <c r="A5091" s="497" t="b">
        <v>0</v>
      </c>
      <c r="B5091" s="497" t="s">
        <v>11015</v>
      </c>
      <c r="C5091" s="512">
        <v>131</v>
      </c>
      <c r="D5091" s="497">
        <f t="shared" si="306"/>
        <v>301</v>
      </c>
      <c r="E5091" s="497">
        <f t="shared" si="307"/>
        <v>1</v>
      </c>
      <c r="F5091" s="497">
        <f t="shared" ca="1" si="308"/>
        <v>139</v>
      </c>
      <c r="G5091" s="497" t="s">
        <v>10175</v>
      </c>
      <c r="H5091" s="503"/>
      <c r="I5091" s="503"/>
      <c r="J5091" s="503"/>
      <c r="K5091" s="503"/>
      <c r="L5091" s="497"/>
      <c r="M5091" s="497"/>
      <c r="N5091" s="497"/>
      <c r="O5091" s="497"/>
      <c r="P5091" s="497">
        <f t="shared" si="309"/>
        <v>781</v>
      </c>
      <c r="Q5091" s="497" t="b">
        <v>0</v>
      </c>
    </row>
    <row r="5092" spans="1:17" x14ac:dyDescent="0.35">
      <c r="A5092" s="497" t="b">
        <v>0</v>
      </c>
      <c r="B5092" s="497" t="s">
        <v>11016</v>
      </c>
      <c r="C5092" s="512">
        <v>131</v>
      </c>
      <c r="D5092" s="497">
        <f t="shared" si="306"/>
        <v>302</v>
      </c>
      <c r="E5092" s="497">
        <f t="shared" si="307"/>
        <v>2</v>
      </c>
      <c r="F5092" s="497">
        <f t="shared" ca="1" si="308"/>
        <v>139</v>
      </c>
      <c r="G5092" s="497" t="s">
        <v>10175</v>
      </c>
      <c r="H5092" s="503"/>
      <c r="I5092" s="503"/>
      <c r="J5092" s="503"/>
      <c r="K5092" s="503"/>
      <c r="L5092" s="497"/>
      <c r="M5092" s="497"/>
      <c r="N5092" s="497"/>
      <c r="O5092" s="497"/>
      <c r="P5092" s="497">
        <f t="shared" si="309"/>
        <v>782</v>
      </c>
      <c r="Q5092" s="497" t="b">
        <v>0</v>
      </c>
    </row>
    <row r="5093" spans="1:17" x14ac:dyDescent="0.35">
      <c r="A5093" s="497" t="b">
        <v>0</v>
      </c>
      <c r="B5093" s="497" t="s">
        <v>11017</v>
      </c>
      <c r="C5093" s="512">
        <v>131</v>
      </c>
      <c r="D5093" s="497">
        <f t="shared" si="306"/>
        <v>303</v>
      </c>
      <c r="E5093" s="497">
        <f t="shared" si="307"/>
        <v>3</v>
      </c>
      <c r="F5093" s="497">
        <f t="shared" ca="1" si="308"/>
        <v>139</v>
      </c>
      <c r="G5093" s="497" t="s">
        <v>10175</v>
      </c>
      <c r="H5093" s="503"/>
      <c r="I5093" s="503"/>
      <c r="J5093" s="503"/>
      <c r="K5093" s="503"/>
      <c r="L5093" s="497"/>
      <c r="M5093" s="497"/>
      <c r="N5093" s="497"/>
      <c r="O5093" s="497"/>
      <c r="P5093" s="497">
        <f t="shared" si="309"/>
        <v>783</v>
      </c>
      <c r="Q5093" s="497" t="b">
        <v>0</v>
      </c>
    </row>
    <row r="5094" spans="1:17" x14ac:dyDescent="0.35">
      <c r="A5094" s="497" t="b">
        <v>0</v>
      </c>
      <c r="B5094" s="497" t="s">
        <v>11018</v>
      </c>
      <c r="C5094" s="512">
        <v>131</v>
      </c>
      <c r="D5094" s="497">
        <f t="shared" si="306"/>
        <v>304</v>
      </c>
      <c r="E5094" s="497">
        <f t="shared" si="307"/>
        <v>4</v>
      </c>
      <c r="F5094" s="497">
        <f t="shared" ca="1" si="308"/>
        <v>139</v>
      </c>
      <c r="G5094" s="497" t="s">
        <v>10175</v>
      </c>
      <c r="H5094" s="503"/>
      <c r="I5094" s="503"/>
      <c r="J5094" s="503"/>
      <c r="K5094" s="503"/>
      <c r="L5094" s="497"/>
      <c r="M5094" s="497"/>
      <c r="N5094" s="497"/>
      <c r="O5094" s="497"/>
      <c r="P5094" s="497">
        <f t="shared" si="309"/>
        <v>784</v>
      </c>
      <c r="Q5094" s="497" t="b">
        <v>0</v>
      </c>
    </row>
    <row r="5095" spans="1:17" x14ac:dyDescent="0.35">
      <c r="A5095" s="497" t="b">
        <v>0</v>
      </c>
      <c r="B5095" s="497" t="s">
        <v>11019</v>
      </c>
      <c r="C5095" s="512">
        <v>131</v>
      </c>
      <c r="D5095" s="497">
        <f t="shared" si="306"/>
        <v>305</v>
      </c>
      <c r="E5095" s="497">
        <f t="shared" si="307"/>
        <v>5</v>
      </c>
      <c r="F5095" s="497">
        <f t="shared" ca="1" si="308"/>
        <v>139</v>
      </c>
      <c r="G5095" s="497" t="s">
        <v>10175</v>
      </c>
      <c r="H5095" s="503"/>
      <c r="I5095" s="503"/>
      <c r="J5095" s="503"/>
      <c r="K5095" s="503"/>
      <c r="L5095" s="497"/>
      <c r="M5095" s="497"/>
      <c r="N5095" s="497"/>
      <c r="O5095" s="497"/>
      <c r="P5095" s="497">
        <f t="shared" si="309"/>
        <v>785</v>
      </c>
      <c r="Q5095" s="497" t="b">
        <v>0</v>
      </c>
    </row>
    <row r="5096" spans="1:17" x14ac:dyDescent="0.35">
      <c r="A5096" s="497" t="b">
        <v>0</v>
      </c>
      <c r="B5096" s="497" t="s">
        <v>11020</v>
      </c>
      <c r="C5096" s="512">
        <v>131</v>
      </c>
      <c r="D5096" s="497">
        <f t="shared" si="306"/>
        <v>306</v>
      </c>
      <c r="E5096" s="497">
        <f t="shared" si="307"/>
        <v>6</v>
      </c>
      <c r="F5096" s="497">
        <f t="shared" ca="1" si="308"/>
        <v>139</v>
      </c>
      <c r="G5096" s="497" t="s">
        <v>10175</v>
      </c>
      <c r="H5096" s="503"/>
      <c r="I5096" s="503"/>
      <c r="J5096" s="503"/>
      <c r="K5096" s="503"/>
      <c r="L5096" s="497"/>
      <c r="M5096" s="497"/>
      <c r="N5096" s="497"/>
      <c r="O5096" s="497"/>
      <c r="P5096" s="497">
        <f t="shared" si="309"/>
        <v>786</v>
      </c>
      <c r="Q5096" s="497" t="b">
        <v>0</v>
      </c>
    </row>
    <row r="5097" spans="1:17" x14ac:dyDescent="0.35">
      <c r="A5097" s="497" t="b">
        <v>0</v>
      </c>
      <c r="B5097" s="497" t="s">
        <v>11021</v>
      </c>
      <c r="C5097" s="512">
        <v>132</v>
      </c>
      <c r="D5097" s="497">
        <f t="shared" si="306"/>
        <v>307</v>
      </c>
      <c r="E5097" s="497">
        <f t="shared" si="307"/>
        <v>1</v>
      </c>
      <c r="F5097" s="497">
        <f t="shared" ca="1" si="308"/>
        <v>140</v>
      </c>
      <c r="G5097" s="497" t="s">
        <v>10177</v>
      </c>
      <c r="H5097" s="503"/>
      <c r="I5097" s="503"/>
      <c r="J5097" s="503"/>
      <c r="K5097" s="503"/>
      <c r="L5097" s="497"/>
      <c r="M5097" s="497"/>
      <c r="N5097" s="497"/>
      <c r="O5097" s="497"/>
      <c r="P5097" s="497">
        <f t="shared" si="309"/>
        <v>787</v>
      </c>
      <c r="Q5097" s="497" t="b">
        <v>0</v>
      </c>
    </row>
    <row r="5098" spans="1:17" x14ac:dyDescent="0.35">
      <c r="A5098" s="497" t="b">
        <v>0</v>
      </c>
      <c r="B5098" s="497" t="s">
        <v>11022</v>
      </c>
      <c r="C5098" s="512">
        <v>132</v>
      </c>
      <c r="D5098" s="497">
        <f t="shared" si="306"/>
        <v>308</v>
      </c>
      <c r="E5098" s="497">
        <f t="shared" si="307"/>
        <v>2</v>
      </c>
      <c r="F5098" s="497">
        <f t="shared" ca="1" si="308"/>
        <v>140</v>
      </c>
      <c r="G5098" s="497" t="s">
        <v>10177</v>
      </c>
      <c r="H5098" s="503"/>
      <c r="I5098" s="503"/>
      <c r="J5098" s="503"/>
      <c r="K5098" s="503"/>
      <c r="L5098" s="497"/>
      <c r="M5098" s="497"/>
      <c r="N5098" s="497"/>
      <c r="O5098" s="497"/>
      <c r="P5098" s="497">
        <f t="shared" si="309"/>
        <v>788</v>
      </c>
      <c r="Q5098" s="497" t="b">
        <v>0</v>
      </c>
    </row>
    <row r="5099" spans="1:17" x14ac:dyDescent="0.35">
      <c r="A5099" s="497" t="b">
        <v>0</v>
      </c>
      <c r="B5099" s="497" t="s">
        <v>11023</v>
      </c>
      <c r="C5099" s="512">
        <v>132</v>
      </c>
      <c r="D5099" s="497">
        <f t="shared" si="306"/>
        <v>309</v>
      </c>
      <c r="E5099" s="497">
        <f t="shared" si="307"/>
        <v>3</v>
      </c>
      <c r="F5099" s="497">
        <f t="shared" ca="1" si="308"/>
        <v>140</v>
      </c>
      <c r="G5099" s="497" t="s">
        <v>10177</v>
      </c>
      <c r="H5099" s="503"/>
      <c r="I5099" s="503"/>
      <c r="J5099" s="503"/>
      <c r="K5099" s="503"/>
      <c r="L5099" s="497"/>
      <c r="M5099" s="497"/>
      <c r="N5099" s="497"/>
      <c r="O5099" s="497"/>
      <c r="P5099" s="497">
        <f t="shared" si="309"/>
        <v>789</v>
      </c>
      <c r="Q5099" s="497" t="b">
        <v>0</v>
      </c>
    </row>
    <row r="5100" spans="1:17" x14ac:dyDescent="0.35">
      <c r="A5100" s="497" t="b">
        <v>0</v>
      </c>
      <c r="B5100" s="497" t="s">
        <v>11024</v>
      </c>
      <c r="C5100" s="512">
        <v>132</v>
      </c>
      <c r="D5100" s="497">
        <f t="shared" si="306"/>
        <v>310</v>
      </c>
      <c r="E5100" s="497">
        <f t="shared" si="307"/>
        <v>4</v>
      </c>
      <c r="F5100" s="497">
        <f t="shared" ca="1" si="308"/>
        <v>140</v>
      </c>
      <c r="G5100" s="497" t="s">
        <v>10177</v>
      </c>
      <c r="H5100" s="503"/>
      <c r="I5100" s="503"/>
      <c r="J5100" s="503"/>
      <c r="K5100" s="503"/>
      <c r="L5100" s="497"/>
      <c r="M5100" s="497"/>
      <c r="N5100" s="497"/>
      <c r="O5100" s="497"/>
      <c r="P5100" s="497">
        <f t="shared" si="309"/>
        <v>790</v>
      </c>
      <c r="Q5100" s="497" t="b">
        <v>0</v>
      </c>
    </row>
    <row r="5101" spans="1:17" x14ac:dyDescent="0.35">
      <c r="A5101" s="497" t="b">
        <v>0</v>
      </c>
      <c r="B5101" s="497" t="s">
        <v>11025</v>
      </c>
      <c r="C5101" s="512">
        <v>132</v>
      </c>
      <c r="D5101" s="497">
        <f t="shared" si="306"/>
        <v>311</v>
      </c>
      <c r="E5101" s="497">
        <f t="shared" si="307"/>
        <v>5</v>
      </c>
      <c r="F5101" s="497">
        <f t="shared" ca="1" si="308"/>
        <v>140</v>
      </c>
      <c r="G5101" s="497" t="s">
        <v>10177</v>
      </c>
      <c r="H5101" s="503"/>
      <c r="I5101" s="503"/>
      <c r="J5101" s="503"/>
      <c r="K5101" s="503"/>
      <c r="L5101" s="497"/>
      <c r="M5101" s="497"/>
      <c r="N5101" s="497"/>
      <c r="O5101" s="497"/>
      <c r="P5101" s="497">
        <f t="shared" si="309"/>
        <v>791</v>
      </c>
      <c r="Q5101" s="497" t="b">
        <v>0</v>
      </c>
    </row>
    <row r="5102" spans="1:17" x14ac:dyDescent="0.35">
      <c r="A5102" s="497" t="b">
        <v>0</v>
      </c>
      <c r="B5102" s="497" t="s">
        <v>11026</v>
      </c>
      <c r="C5102" s="512">
        <v>132</v>
      </c>
      <c r="D5102" s="497">
        <f t="shared" si="306"/>
        <v>312</v>
      </c>
      <c r="E5102" s="497">
        <f t="shared" si="307"/>
        <v>6</v>
      </c>
      <c r="F5102" s="497">
        <f t="shared" ca="1" si="308"/>
        <v>140</v>
      </c>
      <c r="G5102" s="497" t="s">
        <v>10177</v>
      </c>
      <c r="H5102" s="503"/>
      <c r="I5102" s="503"/>
      <c r="J5102" s="503"/>
      <c r="K5102" s="503"/>
      <c r="L5102" s="497"/>
      <c r="M5102" s="497"/>
      <c r="N5102" s="497"/>
      <c r="O5102" s="497"/>
      <c r="P5102" s="497">
        <f t="shared" si="309"/>
        <v>792</v>
      </c>
      <c r="Q5102" s="497" t="b">
        <v>0</v>
      </c>
    </row>
    <row r="5103" spans="1:17" x14ac:dyDescent="0.35">
      <c r="A5103" s="497" t="b">
        <v>0</v>
      </c>
      <c r="B5103" s="497" t="s">
        <v>11027</v>
      </c>
      <c r="C5103" s="512">
        <v>133</v>
      </c>
      <c r="D5103" s="497">
        <f t="shared" si="306"/>
        <v>313</v>
      </c>
      <c r="E5103" s="497">
        <f t="shared" si="307"/>
        <v>1</v>
      </c>
      <c r="F5103" s="497">
        <f t="shared" ca="1" si="308"/>
        <v>141</v>
      </c>
      <c r="G5103" s="497" t="s">
        <v>10179</v>
      </c>
      <c r="H5103" s="503"/>
      <c r="I5103" s="503"/>
      <c r="J5103" s="503"/>
      <c r="K5103" s="503"/>
      <c r="L5103" s="497"/>
      <c r="M5103" s="497"/>
      <c r="N5103" s="497"/>
      <c r="O5103" s="497"/>
      <c r="P5103" s="497">
        <f t="shared" si="309"/>
        <v>793</v>
      </c>
      <c r="Q5103" s="497" t="b">
        <v>0</v>
      </c>
    </row>
    <row r="5104" spans="1:17" x14ac:dyDescent="0.35">
      <c r="A5104" s="497" t="b">
        <v>0</v>
      </c>
      <c r="B5104" s="497" t="s">
        <v>11028</v>
      </c>
      <c r="C5104" s="512">
        <v>133</v>
      </c>
      <c r="D5104" s="497">
        <f t="shared" si="306"/>
        <v>314</v>
      </c>
      <c r="E5104" s="497">
        <f t="shared" si="307"/>
        <v>2</v>
      </c>
      <c r="F5104" s="497">
        <f t="shared" ca="1" si="308"/>
        <v>141</v>
      </c>
      <c r="G5104" s="497" t="s">
        <v>10179</v>
      </c>
      <c r="H5104" s="503"/>
      <c r="I5104" s="503"/>
      <c r="J5104" s="503"/>
      <c r="K5104" s="503"/>
      <c r="L5104" s="497"/>
      <c r="M5104" s="497"/>
      <c r="N5104" s="497"/>
      <c r="O5104" s="497"/>
      <c r="P5104" s="497">
        <f t="shared" si="309"/>
        <v>794</v>
      </c>
      <c r="Q5104" s="497" t="b">
        <v>0</v>
      </c>
    </row>
    <row r="5105" spans="1:17" x14ac:dyDescent="0.35">
      <c r="A5105" s="497" t="b">
        <v>0</v>
      </c>
      <c r="B5105" s="497" t="s">
        <v>11029</v>
      </c>
      <c r="C5105" s="512">
        <v>133</v>
      </c>
      <c r="D5105" s="497">
        <f t="shared" si="306"/>
        <v>315</v>
      </c>
      <c r="E5105" s="497">
        <f t="shared" si="307"/>
        <v>3</v>
      </c>
      <c r="F5105" s="497">
        <f t="shared" ca="1" si="308"/>
        <v>141</v>
      </c>
      <c r="G5105" s="497" t="s">
        <v>10179</v>
      </c>
      <c r="H5105" s="503"/>
      <c r="I5105" s="503"/>
      <c r="J5105" s="503"/>
      <c r="K5105" s="503"/>
      <c r="L5105" s="497"/>
      <c r="M5105" s="497"/>
      <c r="N5105" s="497"/>
      <c r="O5105" s="497"/>
      <c r="P5105" s="497">
        <f t="shared" si="309"/>
        <v>795</v>
      </c>
      <c r="Q5105" s="497" t="b">
        <v>0</v>
      </c>
    </row>
    <row r="5106" spans="1:17" x14ac:dyDescent="0.35">
      <c r="A5106" s="497" t="b">
        <v>0</v>
      </c>
      <c r="B5106" s="497" t="s">
        <v>11030</v>
      </c>
      <c r="C5106" s="512">
        <v>133</v>
      </c>
      <c r="D5106" s="497">
        <f t="shared" si="306"/>
        <v>316</v>
      </c>
      <c r="E5106" s="497">
        <f t="shared" si="307"/>
        <v>4</v>
      </c>
      <c r="F5106" s="497">
        <f t="shared" ca="1" si="308"/>
        <v>141</v>
      </c>
      <c r="G5106" s="497" t="s">
        <v>10179</v>
      </c>
      <c r="H5106" s="503"/>
      <c r="I5106" s="503"/>
      <c r="J5106" s="503"/>
      <c r="K5106" s="503"/>
      <c r="L5106" s="497"/>
      <c r="M5106" s="497"/>
      <c r="N5106" s="497"/>
      <c r="O5106" s="497"/>
      <c r="P5106" s="497">
        <f t="shared" si="309"/>
        <v>796</v>
      </c>
      <c r="Q5106" s="497" t="b">
        <v>0</v>
      </c>
    </row>
    <row r="5107" spans="1:17" x14ac:dyDescent="0.35">
      <c r="A5107" s="497" t="b">
        <v>0</v>
      </c>
      <c r="B5107" s="497" t="s">
        <v>11031</v>
      </c>
      <c r="C5107" s="512">
        <v>133</v>
      </c>
      <c r="D5107" s="497">
        <f t="shared" si="306"/>
        <v>317</v>
      </c>
      <c r="E5107" s="497">
        <f t="shared" si="307"/>
        <v>5</v>
      </c>
      <c r="F5107" s="497">
        <f t="shared" ca="1" si="308"/>
        <v>141</v>
      </c>
      <c r="G5107" s="497" t="s">
        <v>10179</v>
      </c>
      <c r="H5107" s="503"/>
      <c r="I5107" s="503"/>
      <c r="J5107" s="503"/>
      <c r="K5107" s="503"/>
      <c r="L5107" s="497"/>
      <c r="M5107" s="497"/>
      <c r="N5107" s="497"/>
      <c r="O5107" s="497"/>
      <c r="P5107" s="497">
        <f t="shared" si="309"/>
        <v>797</v>
      </c>
      <c r="Q5107" s="497" t="b">
        <v>0</v>
      </c>
    </row>
    <row r="5108" spans="1:17" x14ac:dyDescent="0.35">
      <c r="A5108" s="497" t="b">
        <v>0</v>
      </c>
      <c r="B5108" s="497" t="s">
        <v>11032</v>
      </c>
      <c r="C5108" s="512">
        <v>133</v>
      </c>
      <c r="D5108" s="497">
        <f t="shared" si="306"/>
        <v>318</v>
      </c>
      <c r="E5108" s="497">
        <f t="shared" si="307"/>
        <v>6</v>
      </c>
      <c r="F5108" s="497">
        <f t="shared" ca="1" si="308"/>
        <v>141</v>
      </c>
      <c r="G5108" s="497" t="s">
        <v>10179</v>
      </c>
      <c r="H5108" s="503"/>
      <c r="I5108" s="503"/>
      <c r="J5108" s="503"/>
      <c r="K5108" s="503"/>
      <c r="L5108" s="497"/>
      <c r="M5108" s="497"/>
      <c r="N5108" s="497"/>
      <c r="O5108" s="497"/>
      <c r="P5108" s="497">
        <f t="shared" si="309"/>
        <v>798</v>
      </c>
      <c r="Q5108" s="497" t="b">
        <v>0</v>
      </c>
    </row>
    <row r="5109" spans="1:17" x14ac:dyDescent="0.35">
      <c r="A5109" s="497" t="b">
        <v>0</v>
      </c>
      <c r="B5109" s="497" t="s">
        <v>11033</v>
      </c>
      <c r="C5109" s="512">
        <v>134</v>
      </c>
      <c r="D5109" s="497">
        <f t="shared" si="306"/>
        <v>319</v>
      </c>
      <c r="E5109" s="497">
        <f t="shared" si="307"/>
        <v>1</v>
      </c>
      <c r="F5109" s="497">
        <f t="shared" ca="1" si="308"/>
        <v>142</v>
      </c>
      <c r="G5109" s="497" t="s">
        <v>10181</v>
      </c>
      <c r="H5109" s="503"/>
      <c r="I5109" s="503"/>
      <c r="J5109" s="503"/>
      <c r="K5109" s="503"/>
      <c r="L5109" s="497"/>
      <c r="M5109" s="497"/>
      <c r="N5109" s="497"/>
      <c r="O5109" s="497"/>
      <c r="P5109" s="497">
        <f t="shared" si="309"/>
        <v>799</v>
      </c>
      <c r="Q5109" s="497" t="b">
        <v>0</v>
      </c>
    </row>
    <row r="5110" spans="1:17" x14ac:dyDescent="0.35">
      <c r="A5110" s="497" t="b">
        <v>0</v>
      </c>
      <c r="B5110" s="497" t="s">
        <v>11034</v>
      </c>
      <c r="C5110" s="512">
        <v>134</v>
      </c>
      <c r="D5110" s="497">
        <f t="shared" si="306"/>
        <v>320</v>
      </c>
      <c r="E5110" s="497">
        <f t="shared" si="307"/>
        <v>2</v>
      </c>
      <c r="F5110" s="497">
        <f t="shared" ca="1" si="308"/>
        <v>142</v>
      </c>
      <c r="G5110" s="497" t="s">
        <v>10181</v>
      </c>
      <c r="H5110" s="503"/>
      <c r="I5110" s="503"/>
      <c r="J5110" s="503"/>
      <c r="K5110" s="503"/>
      <c r="L5110" s="497"/>
      <c r="M5110" s="497"/>
      <c r="N5110" s="497"/>
      <c r="O5110" s="497"/>
      <c r="P5110" s="497">
        <f t="shared" si="309"/>
        <v>800</v>
      </c>
      <c r="Q5110" s="497" t="b">
        <v>0</v>
      </c>
    </row>
    <row r="5111" spans="1:17" x14ac:dyDescent="0.35">
      <c r="A5111" s="497" t="b">
        <v>0</v>
      </c>
      <c r="B5111" s="497" t="s">
        <v>11035</v>
      </c>
      <c r="C5111" s="512">
        <v>134</v>
      </c>
      <c r="D5111" s="497">
        <f t="shared" si="306"/>
        <v>321</v>
      </c>
      <c r="E5111" s="497">
        <f t="shared" si="307"/>
        <v>3</v>
      </c>
      <c r="F5111" s="497">
        <f t="shared" ca="1" si="308"/>
        <v>142</v>
      </c>
      <c r="G5111" s="497" t="s">
        <v>10181</v>
      </c>
      <c r="H5111" s="503"/>
      <c r="I5111" s="503"/>
      <c r="J5111" s="503"/>
      <c r="K5111" s="503"/>
      <c r="L5111" s="497"/>
      <c r="M5111" s="497"/>
      <c r="N5111" s="497"/>
      <c r="O5111" s="497"/>
      <c r="P5111" s="497">
        <f t="shared" si="309"/>
        <v>801</v>
      </c>
      <c r="Q5111" s="497" t="b">
        <v>0</v>
      </c>
    </row>
    <row r="5112" spans="1:17" x14ac:dyDescent="0.35">
      <c r="A5112" s="497" t="b">
        <v>0</v>
      </c>
      <c r="B5112" s="497" t="s">
        <v>11036</v>
      </c>
      <c r="C5112" s="512">
        <v>134</v>
      </c>
      <c r="D5112" s="497">
        <f t="shared" si="306"/>
        <v>322</v>
      </c>
      <c r="E5112" s="497">
        <f t="shared" si="307"/>
        <v>4</v>
      </c>
      <c r="F5112" s="497">
        <f t="shared" ca="1" si="308"/>
        <v>142</v>
      </c>
      <c r="G5112" s="497" t="s">
        <v>10181</v>
      </c>
      <c r="H5112" s="503"/>
      <c r="I5112" s="503"/>
      <c r="J5112" s="503"/>
      <c r="K5112" s="503"/>
      <c r="L5112" s="497"/>
      <c r="M5112" s="497"/>
      <c r="N5112" s="497"/>
      <c r="O5112" s="497"/>
      <c r="P5112" s="497">
        <f t="shared" si="309"/>
        <v>802</v>
      </c>
      <c r="Q5112" s="497" t="b">
        <v>0</v>
      </c>
    </row>
    <row r="5113" spans="1:17" x14ac:dyDescent="0.35">
      <c r="A5113" s="497" t="b">
        <v>0</v>
      </c>
      <c r="B5113" s="497" t="s">
        <v>11037</v>
      </c>
      <c r="C5113" s="512">
        <v>134</v>
      </c>
      <c r="D5113" s="497">
        <f t="shared" si="306"/>
        <v>323</v>
      </c>
      <c r="E5113" s="497">
        <f t="shared" si="307"/>
        <v>5</v>
      </c>
      <c r="F5113" s="497">
        <f t="shared" ca="1" si="308"/>
        <v>142</v>
      </c>
      <c r="G5113" s="497" t="s">
        <v>10181</v>
      </c>
      <c r="H5113" s="503"/>
      <c r="I5113" s="503"/>
      <c r="J5113" s="503"/>
      <c r="K5113" s="503"/>
      <c r="L5113" s="497"/>
      <c r="M5113" s="497"/>
      <c r="N5113" s="497"/>
      <c r="O5113" s="497"/>
      <c r="P5113" s="497">
        <f t="shared" si="309"/>
        <v>803</v>
      </c>
      <c r="Q5113" s="497" t="b">
        <v>0</v>
      </c>
    </row>
    <row r="5114" spans="1:17" x14ac:dyDescent="0.35">
      <c r="A5114" s="497" t="b">
        <v>0</v>
      </c>
      <c r="B5114" s="497" t="s">
        <v>11038</v>
      </c>
      <c r="C5114" s="512">
        <v>134</v>
      </c>
      <c r="D5114" s="497">
        <f t="shared" si="306"/>
        <v>324</v>
      </c>
      <c r="E5114" s="497">
        <f t="shared" si="307"/>
        <v>6</v>
      </c>
      <c r="F5114" s="497">
        <f t="shared" ca="1" si="308"/>
        <v>142</v>
      </c>
      <c r="G5114" s="497" t="s">
        <v>10181</v>
      </c>
      <c r="H5114" s="503"/>
      <c r="I5114" s="503"/>
      <c r="J5114" s="503"/>
      <c r="K5114" s="503"/>
      <c r="L5114" s="497"/>
      <c r="M5114" s="497"/>
      <c r="N5114" s="497"/>
      <c r="O5114" s="497"/>
      <c r="P5114" s="497">
        <f t="shared" si="309"/>
        <v>804</v>
      </c>
      <c r="Q5114" s="497" t="b">
        <v>0</v>
      </c>
    </row>
    <row r="5115" spans="1:17" x14ac:dyDescent="0.35">
      <c r="A5115" s="497" t="b">
        <v>0</v>
      </c>
      <c r="B5115" s="497" t="s">
        <v>11039</v>
      </c>
      <c r="C5115" s="512">
        <v>135</v>
      </c>
      <c r="D5115" s="497">
        <f t="shared" si="306"/>
        <v>325</v>
      </c>
      <c r="E5115" s="497">
        <f t="shared" si="307"/>
        <v>1</v>
      </c>
      <c r="F5115" s="497">
        <f t="shared" ca="1" si="308"/>
        <v>143</v>
      </c>
      <c r="G5115" s="497" t="s">
        <v>10183</v>
      </c>
      <c r="H5115" s="503"/>
      <c r="I5115" s="503"/>
      <c r="J5115" s="503"/>
      <c r="K5115" s="503"/>
      <c r="L5115" s="497"/>
      <c r="M5115" s="497"/>
      <c r="N5115" s="497"/>
      <c r="O5115" s="497"/>
      <c r="P5115" s="497">
        <f t="shared" si="309"/>
        <v>805</v>
      </c>
      <c r="Q5115" s="497" t="b">
        <v>0</v>
      </c>
    </row>
    <row r="5116" spans="1:17" x14ac:dyDescent="0.35">
      <c r="A5116" s="497" t="b">
        <v>0</v>
      </c>
      <c r="B5116" s="497" t="s">
        <v>11040</v>
      </c>
      <c r="C5116" s="512">
        <v>135</v>
      </c>
      <c r="D5116" s="497">
        <f t="shared" si="306"/>
        <v>326</v>
      </c>
      <c r="E5116" s="497">
        <f t="shared" si="307"/>
        <v>2</v>
      </c>
      <c r="F5116" s="497">
        <f t="shared" ca="1" si="308"/>
        <v>143</v>
      </c>
      <c r="G5116" s="497" t="s">
        <v>10183</v>
      </c>
      <c r="H5116" s="503"/>
      <c r="I5116" s="503"/>
      <c r="J5116" s="503"/>
      <c r="K5116" s="503"/>
      <c r="L5116" s="497"/>
      <c r="M5116" s="497"/>
      <c r="N5116" s="497"/>
      <c r="O5116" s="497"/>
      <c r="P5116" s="497">
        <f t="shared" si="309"/>
        <v>806</v>
      </c>
      <c r="Q5116" s="497" t="b">
        <v>0</v>
      </c>
    </row>
    <row r="5117" spans="1:17" x14ac:dyDescent="0.35">
      <c r="A5117" s="497" t="b">
        <v>0</v>
      </c>
      <c r="B5117" s="497" t="s">
        <v>11041</v>
      </c>
      <c r="C5117" s="512">
        <v>135</v>
      </c>
      <c r="D5117" s="497">
        <f t="shared" si="306"/>
        <v>327</v>
      </c>
      <c r="E5117" s="497">
        <f t="shared" si="307"/>
        <v>3</v>
      </c>
      <c r="F5117" s="497">
        <f t="shared" ca="1" si="308"/>
        <v>143</v>
      </c>
      <c r="G5117" s="497" t="s">
        <v>10183</v>
      </c>
      <c r="H5117" s="503"/>
      <c r="I5117" s="503"/>
      <c r="J5117" s="503"/>
      <c r="K5117" s="503"/>
      <c r="L5117" s="497"/>
      <c r="M5117" s="497"/>
      <c r="N5117" s="497"/>
      <c r="O5117" s="497"/>
      <c r="P5117" s="497">
        <f t="shared" si="309"/>
        <v>807</v>
      </c>
      <c r="Q5117" s="497" t="b">
        <v>0</v>
      </c>
    </row>
    <row r="5118" spans="1:17" x14ac:dyDescent="0.35">
      <c r="A5118" s="497" t="b">
        <v>0</v>
      </c>
      <c r="B5118" s="497" t="s">
        <v>11042</v>
      </c>
      <c r="C5118" s="512">
        <v>135</v>
      </c>
      <c r="D5118" s="497">
        <f t="shared" si="306"/>
        <v>328</v>
      </c>
      <c r="E5118" s="497">
        <f t="shared" si="307"/>
        <v>4</v>
      </c>
      <c r="F5118" s="497">
        <f t="shared" ca="1" si="308"/>
        <v>143</v>
      </c>
      <c r="G5118" s="497" t="s">
        <v>10183</v>
      </c>
      <c r="H5118" s="503"/>
      <c r="I5118" s="503"/>
      <c r="J5118" s="503"/>
      <c r="K5118" s="503"/>
      <c r="L5118" s="497"/>
      <c r="M5118" s="497"/>
      <c r="N5118" s="497"/>
      <c r="O5118" s="497"/>
      <c r="P5118" s="497">
        <f t="shared" si="309"/>
        <v>808</v>
      </c>
      <c r="Q5118" s="497" t="b">
        <v>0</v>
      </c>
    </row>
    <row r="5119" spans="1:17" x14ac:dyDescent="0.35">
      <c r="A5119" s="497" t="b">
        <v>0</v>
      </c>
      <c r="B5119" s="497" t="s">
        <v>11043</v>
      </c>
      <c r="C5119" s="512">
        <v>135</v>
      </c>
      <c r="D5119" s="497">
        <f t="shared" si="306"/>
        <v>329</v>
      </c>
      <c r="E5119" s="497">
        <f t="shared" si="307"/>
        <v>5</v>
      </c>
      <c r="F5119" s="497">
        <f t="shared" ca="1" si="308"/>
        <v>143</v>
      </c>
      <c r="G5119" s="497" t="s">
        <v>10183</v>
      </c>
      <c r="H5119" s="503"/>
      <c r="I5119" s="503"/>
      <c r="J5119" s="503"/>
      <c r="K5119" s="503"/>
      <c r="L5119" s="497"/>
      <c r="M5119" s="497"/>
      <c r="N5119" s="497"/>
      <c r="O5119" s="497"/>
      <c r="P5119" s="497">
        <f t="shared" si="309"/>
        <v>809</v>
      </c>
      <c r="Q5119" s="497" t="b">
        <v>0</v>
      </c>
    </row>
    <row r="5120" spans="1:17" x14ac:dyDescent="0.35">
      <c r="A5120" s="497" t="b">
        <v>0</v>
      </c>
      <c r="B5120" s="497" t="s">
        <v>11044</v>
      </c>
      <c r="C5120" s="512">
        <v>135</v>
      </c>
      <c r="D5120" s="497">
        <f t="shared" si="306"/>
        <v>330</v>
      </c>
      <c r="E5120" s="497">
        <f t="shared" si="307"/>
        <v>6</v>
      </c>
      <c r="F5120" s="497">
        <f t="shared" ca="1" si="308"/>
        <v>143</v>
      </c>
      <c r="G5120" s="497" t="s">
        <v>10183</v>
      </c>
      <c r="H5120" s="503"/>
      <c r="I5120" s="503"/>
      <c r="J5120" s="503"/>
      <c r="K5120" s="503"/>
      <c r="L5120" s="497"/>
      <c r="M5120" s="497"/>
      <c r="N5120" s="497"/>
      <c r="O5120" s="497"/>
      <c r="P5120" s="497">
        <f t="shared" si="309"/>
        <v>810</v>
      </c>
      <c r="Q5120" s="497" t="b">
        <v>0</v>
      </c>
    </row>
    <row r="5121" spans="1:17" x14ac:dyDescent="0.35">
      <c r="A5121" s="497" t="b">
        <v>0</v>
      </c>
      <c r="B5121" s="497" t="s">
        <v>11045</v>
      </c>
      <c r="C5121" s="512">
        <v>136</v>
      </c>
      <c r="D5121" s="497">
        <f t="shared" si="306"/>
        <v>331</v>
      </c>
      <c r="E5121" s="497">
        <f t="shared" si="307"/>
        <v>1</v>
      </c>
      <c r="F5121" s="497">
        <f t="shared" ca="1" si="308"/>
        <v>144</v>
      </c>
      <c r="G5121" s="497" t="s">
        <v>10185</v>
      </c>
      <c r="H5121" s="503"/>
      <c r="I5121" s="503"/>
      <c r="J5121" s="503"/>
      <c r="K5121" s="503"/>
      <c r="L5121" s="497"/>
      <c r="M5121" s="497"/>
      <c r="N5121" s="497"/>
      <c r="O5121" s="497"/>
      <c r="P5121" s="497">
        <f t="shared" si="309"/>
        <v>811</v>
      </c>
      <c r="Q5121" s="497" t="b">
        <v>0</v>
      </c>
    </row>
    <row r="5122" spans="1:17" x14ac:dyDescent="0.35">
      <c r="A5122" s="497" t="b">
        <v>0</v>
      </c>
      <c r="B5122" s="497" t="s">
        <v>11046</v>
      </c>
      <c r="C5122" s="512">
        <v>136</v>
      </c>
      <c r="D5122" s="497">
        <f t="shared" si="306"/>
        <v>332</v>
      </c>
      <c r="E5122" s="497">
        <f t="shared" si="307"/>
        <v>2</v>
      </c>
      <c r="F5122" s="497">
        <f t="shared" ca="1" si="308"/>
        <v>144</v>
      </c>
      <c r="G5122" s="497" t="s">
        <v>10185</v>
      </c>
      <c r="H5122" s="503"/>
      <c r="I5122" s="503"/>
      <c r="J5122" s="503"/>
      <c r="K5122" s="503"/>
      <c r="L5122" s="497"/>
      <c r="M5122" s="497"/>
      <c r="N5122" s="497"/>
      <c r="O5122" s="497"/>
      <c r="P5122" s="497">
        <f t="shared" si="309"/>
        <v>812</v>
      </c>
      <c r="Q5122" s="497" t="b">
        <v>0</v>
      </c>
    </row>
    <row r="5123" spans="1:17" x14ac:dyDescent="0.35">
      <c r="A5123" s="497" t="b">
        <v>0</v>
      </c>
      <c r="B5123" s="497" t="s">
        <v>11047</v>
      </c>
      <c r="C5123" s="512">
        <v>136</v>
      </c>
      <c r="D5123" s="497">
        <f t="shared" si="306"/>
        <v>333</v>
      </c>
      <c r="E5123" s="497">
        <f t="shared" si="307"/>
        <v>3</v>
      </c>
      <c r="F5123" s="497">
        <f t="shared" ca="1" si="308"/>
        <v>144</v>
      </c>
      <c r="G5123" s="497" t="s">
        <v>10185</v>
      </c>
      <c r="H5123" s="503"/>
      <c r="I5123" s="503"/>
      <c r="J5123" s="503"/>
      <c r="K5123" s="503"/>
      <c r="L5123" s="497"/>
      <c r="M5123" s="497"/>
      <c r="N5123" s="497"/>
      <c r="O5123" s="497"/>
      <c r="P5123" s="497">
        <f t="shared" si="309"/>
        <v>813</v>
      </c>
      <c r="Q5123" s="497" t="b">
        <v>0</v>
      </c>
    </row>
    <row r="5124" spans="1:17" x14ac:dyDescent="0.35">
      <c r="A5124" s="497" t="b">
        <v>0</v>
      </c>
      <c r="B5124" s="497" t="s">
        <v>11048</v>
      </c>
      <c r="C5124" s="512">
        <v>136</v>
      </c>
      <c r="D5124" s="497">
        <f t="shared" si="306"/>
        <v>334</v>
      </c>
      <c r="E5124" s="497">
        <f t="shared" si="307"/>
        <v>4</v>
      </c>
      <c r="F5124" s="497">
        <f t="shared" ca="1" si="308"/>
        <v>144</v>
      </c>
      <c r="G5124" s="497" t="s">
        <v>10185</v>
      </c>
      <c r="H5124" s="503"/>
      <c r="I5124" s="503"/>
      <c r="J5124" s="503"/>
      <c r="K5124" s="503"/>
      <c r="L5124" s="497"/>
      <c r="M5124" s="497"/>
      <c r="N5124" s="497"/>
      <c r="O5124" s="497"/>
      <c r="P5124" s="497">
        <f t="shared" si="309"/>
        <v>814</v>
      </c>
      <c r="Q5124" s="497" t="b">
        <v>0</v>
      </c>
    </row>
    <row r="5125" spans="1:17" x14ac:dyDescent="0.35">
      <c r="A5125" s="497" t="b">
        <v>0</v>
      </c>
      <c r="B5125" s="497" t="s">
        <v>11049</v>
      </c>
      <c r="C5125" s="512">
        <v>136</v>
      </c>
      <c r="D5125" s="497">
        <f t="shared" si="306"/>
        <v>335</v>
      </c>
      <c r="E5125" s="497">
        <f t="shared" si="307"/>
        <v>5</v>
      </c>
      <c r="F5125" s="497">
        <f t="shared" ca="1" si="308"/>
        <v>144</v>
      </c>
      <c r="G5125" s="497" t="s">
        <v>10185</v>
      </c>
      <c r="H5125" s="503"/>
      <c r="I5125" s="503"/>
      <c r="J5125" s="503"/>
      <c r="K5125" s="503"/>
      <c r="L5125" s="497"/>
      <c r="M5125" s="497"/>
      <c r="N5125" s="497"/>
      <c r="O5125" s="497"/>
      <c r="P5125" s="497">
        <f t="shared" si="309"/>
        <v>815</v>
      </c>
      <c r="Q5125" s="497" t="b">
        <v>0</v>
      </c>
    </row>
    <row r="5126" spans="1:17" x14ac:dyDescent="0.35">
      <c r="A5126" s="497" t="b">
        <v>0</v>
      </c>
      <c r="B5126" s="497" t="s">
        <v>11050</v>
      </c>
      <c r="C5126" s="512">
        <v>136</v>
      </c>
      <c r="D5126" s="497">
        <f t="shared" si="306"/>
        <v>336</v>
      </c>
      <c r="E5126" s="497">
        <f t="shared" si="307"/>
        <v>6</v>
      </c>
      <c r="F5126" s="497">
        <f t="shared" ca="1" si="308"/>
        <v>144</v>
      </c>
      <c r="G5126" s="497" t="s">
        <v>10185</v>
      </c>
      <c r="H5126" s="503"/>
      <c r="I5126" s="503"/>
      <c r="J5126" s="503"/>
      <c r="K5126" s="503"/>
      <c r="L5126" s="497"/>
      <c r="M5126" s="497"/>
      <c r="N5126" s="497"/>
      <c r="O5126" s="497"/>
      <c r="P5126" s="497">
        <f t="shared" si="309"/>
        <v>816</v>
      </c>
      <c r="Q5126" s="497" t="b">
        <v>0</v>
      </c>
    </row>
    <row r="5127" spans="1:17" x14ac:dyDescent="0.35">
      <c r="A5127" s="497" t="b">
        <v>0</v>
      </c>
      <c r="B5127" s="497" t="s">
        <v>11051</v>
      </c>
      <c r="C5127" s="512">
        <v>137</v>
      </c>
      <c r="D5127" s="497">
        <f t="shared" si="306"/>
        <v>337</v>
      </c>
      <c r="E5127" s="497">
        <f t="shared" si="307"/>
        <v>1</v>
      </c>
      <c r="F5127" s="497">
        <f t="shared" ca="1" si="308"/>
        <v>145</v>
      </c>
      <c r="G5127" s="497" t="s">
        <v>10187</v>
      </c>
      <c r="H5127" s="503"/>
      <c r="I5127" s="503"/>
      <c r="J5127" s="503"/>
      <c r="K5127" s="503"/>
      <c r="L5127" s="497"/>
      <c r="M5127" s="497"/>
      <c r="N5127" s="497"/>
      <c r="O5127" s="497"/>
      <c r="P5127" s="497">
        <f t="shared" si="309"/>
        <v>817</v>
      </c>
      <c r="Q5127" s="497" t="b">
        <v>0</v>
      </c>
    </row>
    <row r="5128" spans="1:17" x14ac:dyDescent="0.35">
      <c r="A5128" s="497" t="b">
        <v>0</v>
      </c>
      <c r="B5128" s="497" t="s">
        <v>11052</v>
      </c>
      <c r="C5128" s="512">
        <v>137</v>
      </c>
      <c r="D5128" s="497">
        <f t="shared" si="306"/>
        <v>338</v>
      </c>
      <c r="E5128" s="497">
        <f t="shared" si="307"/>
        <v>2</v>
      </c>
      <c r="F5128" s="497">
        <f t="shared" ca="1" si="308"/>
        <v>145</v>
      </c>
      <c r="G5128" s="497" t="s">
        <v>10187</v>
      </c>
      <c r="H5128" s="503"/>
      <c r="I5128" s="503"/>
      <c r="J5128" s="503"/>
      <c r="K5128" s="503"/>
      <c r="L5128" s="497"/>
      <c r="M5128" s="497"/>
      <c r="N5128" s="497"/>
      <c r="O5128" s="497"/>
      <c r="P5128" s="497">
        <f t="shared" si="309"/>
        <v>818</v>
      </c>
      <c r="Q5128" s="497" t="b">
        <v>0</v>
      </c>
    </row>
    <row r="5129" spans="1:17" x14ac:dyDescent="0.35">
      <c r="A5129" s="497" t="b">
        <v>0</v>
      </c>
      <c r="B5129" s="497" t="s">
        <v>11053</v>
      </c>
      <c r="C5129" s="512">
        <v>137</v>
      </c>
      <c r="D5129" s="497">
        <f t="shared" si="306"/>
        <v>339</v>
      </c>
      <c r="E5129" s="497">
        <f t="shared" si="307"/>
        <v>3</v>
      </c>
      <c r="F5129" s="497">
        <f t="shared" ca="1" si="308"/>
        <v>145</v>
      </c>
      <c r="G5129" s="497" t="s">
        <v>10187</v>
      </c>
      <c r="H5129" s="503"/>
      <c r="I5129" s="503"/>
      <c r="J5129" s="503"/>
      <c r="K5129" s="503"/>
      <c r="L5129" s="497"/>
      <c r="M5129" s="497"/>
      <c r="N5129" s="497"/>
      <c r="O5129" s="497"/>
      <c r="P5129" s="497">
        <f t="shared" si="309"/>
        <v>819</v>
      </c>
      <c r="Q5129" s="497" t="b">
        <v>0</v>
      </c>
    </row>
    <row r="5130" spans="1:17" x14ac:dyDescent="0.35">
      <c r="A5130" s="497" t="b">
        <v>0</v>
      </c>
      <c r="B5130" s="497" t="s">
        <v>11054</v>
      </c>
      <c r="C5130" s="512">
        <v>137</v>
      </c>
      <c r="D5130" s="497">
        <f t="shared" si="306"/>
        <v>340</v>
      </c>
      <c r="E5130" s="497">
        <f t="shared" si="307"/>
        <v>4</v>
      </c>
      <c r="F5130" s="497">
        <f t="shared" ca="1" si="308"/>
        <v>145</v>
      </c>
      <c r="G5130" s="497" t="s">
        <v>10187</v>
      </c>
      <c r="H5130" s="503"/>
      <c r="I5130" s="503"/>
      <c r="J5130" s="503"/>
      <c r="K5130" s="503"/>
      <c r="L5130" s="497"/>
      <c r="M5130" s="497"/>
      <c r="N5130" s="497"/>
      <c r="O5130" s="497"/>
      <c r="P5130" s="497">
        <f t="shared" si="309"/>
        <v>820</v>
      </c>
      <c r="Q5130" s="497" t="b">
        <v>0</v>
      </c>
    </row>
    <row r="5131" spans="1:17" x14ac:dyDescent="0.35">
      <c r="A5131" s="497" t="b">
        <v>0</v>
      </c>
      <c r="B5131" s="497" t="s">
        <v>11055</v>
      </c>
      <c r="C5131" s="512">
        <v>137</v>
      </c>
      <c r="D5131" s="497">
        <f t="shared" si="306"/>
        <v>341</v>
      </c>
      <c r="E5131" s="497">
        <f t="shared" si="307"/>
        <v>5</v>
      </c>
      <c r="F5131" s="497">
        <f t="shared" ca="1" si="308"/>
        <v>145</v>
      </c>
      <c r="G5131" s="497" t="s">
        <v>10187</v>
      </c>
      <c r="H5131" s="503"/>
      <c r="I5131" s="503"/>
      <c r="J5131" s="503"/>
      <c r="K5131" s="503"/>
      <c r="L5131" s="497"/>
      <c r="M5131" s="497"/>
      <c r="N5131" s="497"/>
      <c r="O5131" s="497"/>
      <c r="P5131" s="497">
        <f t="shared" si="309"/>
        <v>821</v>
      </c>
      <c r="Q5131" s="497" t="b">
        <v>0</v>
      </c>
    </row>
    <row r="5132" spans="1:17" x14ac:dyDescent="0.35">
      <c r="A5132" s="497" t="b">
        <v>0</v>
      </c>
      <c r="B5132" s="497" t="s">
        <v>11056</v>
      </c>
      <c r="C5132" s="512">
        <v>137</v>
      </c>
      <c r="D5132" s="497">
        <f t="shared" si="306"/>
        <v>342</v>
      </c>
      <c r="E5132" s="497">
        <f t="shared" si="307"/>
        <v>6</v>
      </c>
      <c r="F5132" s="497">
        <f t="shared" ca="1" si="308"/>
        <v>145</v>
      </c>
      <c r="G5132" s="497" t="s">
        <v>10187</v>
      </c>
      <c r="H5132" s="503"/>
      <c r="I5132" s="503"/>
      <c r="J5132" s="503"/>
      <c r="K5132" s="503"/>
      <c r="L5132" s="497"/>
      <c r="M5132" s="497"/>
      <c r="N5132" s="497"/>
      <c r="O5132" s="497"/>
      <c r="P5132" s="497">
        <f t="shared" si="309"/>
        <v>822</v>
      </c>
      <c r="Q5132" s="497" t="b">
        <v>0</v>
      </c>
    </row>
    <row r="5133" spans="1:17" x14ac:dyDescent="0.35">
      <c r="A5133" s="497" t="b">
        <v>0</v>
      </c>
      <c r="B5133" s="497" t="s">
        <v>11057</v>
      </c>
      <c r="C5133" s="512">
        <v>138</v>
      </c>
      <c r="D5133" s="497">
        <f t="shared" si="306"/>
        <v>343</v>
      </c>
      <c r="E5133" s="497">
        <f t="shared" si="307"/>
        <v>1</v>
      </c>
      <c r="F5133" s="497">
        <f t="shared" ca="1" si="308"/>
        <v>146</v>
      </c>
      <c r="G5133" s="497" t="s">
        <v>10189</v>
      </c>
      <c r="H5133" s="503"/>
      <c r="I5133" s="503"/>
      <c r="J5133" s="503"/>
      <c r="K5133" s="503"/>
      <c r="L5133" s="497"/>
      <c r="M5133" s="497"/>
      <c r="N5133" s="497"/>
      <c r="O5133" s="497"/>
      <c r="P5133" s="497">
        <f t="shared" si="309"/>
        <v>823</v>
      </c>
      <c r="Q5133" s="497" t="b">
        <v>0</v>
      </c>
    </row>
    <row r="5134" spans="1:17" x14ac:dyDescent="0.35">
      <c r="A5134" s="497" t="b">
        <v>0</v>
      </c>
      <c r="B5134" s="497" t="s">
        <v>11058</v>
      </c>
      <c r="C5134" s="512">
        <v>138</v>
      </c>
      <c r="D5134" s="497">
        <f t="shared" si="306"/>
        <v>344</v>
      </c>
      <c r="E5134" s="497">
        <f t="shared" si="307"/>
        <v>2</v>
      </c>
      <c r="F5134" s="497">
        <f t="shared" ca="1" si="308"/>
        <v>146</v>
      </c>
      <c r="G5134" s="497" t="s">
        <v>10189</v>
      </c>
      <c r="H5134" s="503"/>
      <c r="I5134" s="503"/>
      <c r="J5134" s="503"/>
      <c r="K5134" s="503"/>
      <c r="L5134" s="497"/>
      <c r="M5134" s="497"/>
      <c r="N5134" s="497"/>
      <c r="O5134" s="497"/>
      <c r="P5134" s="497">
        <f t="shared" si="309"/>
        <v>824</v>
      </c>
      <c r="Q5134" s="497" t="b">
        <v>0</v>
      </c>
    </row>
    <row r="5135" spans="1:17" x14ac:dyDescent="0.35">
      <c r="A5135" s="497" t="b">
        <v>0</v>
      </c>
      <c r="B5135" s="497" t="s">
        <v>11059</v>
      </c>
      <c r="C5135" s="512">
        <v>138</v>
      </c>
      <c r="D5135" s="497">
        <f t="shared" si="306"/>
        <v>345</v>
      </c>
      <c r="E5135" s="497">
        <f t="shared" si="307"/>
        <v>3</v>
      </c>
      <c r="F5135" s="497">
        <f t="shared" ca="1" si="308"/>
        <v>146</v>
      </c>
      <c r="G5135" s="497" t="s">
        <v>10189</v>
      </c>
      <c r="H5135" s="503"/>
      <c r="I5135" s="503"/>
      <c r="J5135" s="503"/>
      <c r="K5135" s="503"/>
      <c r="L5135" s="497"/>
      <c r="M5135" s="497"/>
      <c r="N5135" s="497"/>
      <c r="O5135" s="497"/>
      <c r="P5135" s="497">
        <f t="shared" si="309"/>
        <v>825</v>
      </c>
      <c r="Q5135" s="497" t="b">
        <v>0</v>
      </c>
    </row>
    <row r="5136" spans="1:17" x14ac:dyDescent="0.35">
      <c r="A5136" s="497" t="b">
        <v>0</v>
      </c>
      <c r="B5136" s="497" t="s">
        <v>11060</v>
      </c>
      <c r="C5136" s="512">
        <v>138</v>
      </c>
      <c r="D5136" s="497">
        <f t="shared" si="306"/>
        <v>346</v>
      </c>
      <c r="E5136" s="497">
        <f t="shared" si="307"/>
        <v>4</v>
      </c>
      <c r="F5136" s="497">
        <f t="shared" ca="1" si="308"/>
        <v>146</v>
      </c>
      <c r="G5136" s="497" t="s">
        <v>10189</v>
      </c>
      <c r="H5136" s="503"/>
      <c r="I5136" s="503"/>
      <c r="J5136" s="503"/>
      <c r="K5136" s="503"/>
      <c r="L5136" s="497"/>
      <c r="M5136" s="497"/>
      <c r="N5136" s="497"/>
      <c r="O5136" s="497"/>
      <c r="P5136" s="497">
        <f t="shared" si="309"/>
        <v>826</v>
      </c>
      <c r="Q5136" s="497" t="b">
        <v>0</v>
      </c>
    </row>
    <row r="5137" spans="1:17" x14ac:dyDescent="0.35">
      <c r="A5137" s="497" t="b">
        <v>0</v>
      </c>
      <c r="B5137" s="497" t="s">
        <v>11061</v>
      </c>
      <c r="C5137" s="512">
        <v>138</v>
      </c>
      <c r="D5137" s="497">
        <f t="shared" si="306"/>
        <v>347</v>
      </c>
      <c r="E5137" s="497">
        <f t="shared" si="307"/>
        <v>5</v>
      </c>
      <c r="F5137" s="497">
        <f t="shared" ca="1" si="308"/>
        <v>146</v>
      </c>
      <c r="G5137" s="497" t="s">
        <v>10189</v>
      </c>
      <c r="H5137" s="503"/>
      <c r="I5137" s="503"/>
      <c r="J5137" s="503"/>
      <c r="K5137" s="503"/>
      <c r="L5137" s="497"/>
      <c r="M5137" s="497"/>
      <c r="N5137" s="497"/>
      <c r="O5137" s="497"/>
      <c r="P5137" s="497">
        <f t="shared" si="309"/>
        <v>827</v>
      </c>
      <c r="Q5137" s="497" t="b">
        <v>0</v>
      </c>
    </row>
    <row r="5138" spans="1:17" x14ac:dyDescent="0.35">
      <c r="A5138" s="497" t="b">
        <v>0</v>
      </c>
      <c r="B5138" s="497" t="s">
        <v>11062</v>
      </c>
      <c r="C5138" s="512">
        <v>138</v>
      </c>
      <c r="D5138" s="497">
        <f t="shared" si="306"/>
        <v>348</v>
      </c>
      <c r="E5138" s="497">
        <f t="shared" si="307"/>
        <v>6</v>
      </c>
      <c r="F5138" s="497">
        <f t="shared" ca="1" si="308"/>
        <v>146</v>
      </c>
      <c r="G5138" s="497" t="s">
        <v>10189</v>
      </c>
      <c r="H5138" s="503"/>
      <c r="I5138" s="503"/>
      <c r="J5138" s="503"/>
      <c r="K5138" s="503"/>
      <c r="L5138" s="497"/>
      <c r="M5138" s="497"/>
      <c r="N5138" s="497"/>
      <c r="O5138" s="497"/>
      <c r="P5138" s="497">
        <f t="shared" si="309"/>
        <v>828</v>
      </c>
      <c r="Q5138" s="497" t="b">
        <v>0</v>
      </c>
    </row>
    <row r="5139" spans="1:17" x14ac:dyDescent="0.35">
      <c r="A5139" s="497" t="b">
        <v>0</v>
      </c>
      <c r="B5139" s="497" t="s">
        <v>11063</v>
      </c>
      <c r="C5139" s="512">
        <v>139</v>
      </c>
      <c r="D5139" s="497">
        <f t="shared" si="306"/>
        <v>349</v>
      </c>
      <c r="E5139" s="497">
        <f t="shared" si="307"/>
        <v>1</v>
      </c>
      <c r="F5139" s="497">
        <f t="shared" ca="1" si="308"/>
        <v>147</v>
      </c>
      <c r="G5139" s="497" t="s">
        <v>10191</v>
      </c>
      <c r="H5139" s="503"/>
      <c r="I5139" s="503"/>
      <c r="J5139" s="503"/>
      <c r="K5139" s="503"/>
      <c r="L5139" s="497"/>
      <c r="M5139" s="497"/>
      <c r="N5139" s="497"/>
      <c r="O5139" s="497"/>
      <c r="P5139" s="497">
        <f t="shared" si="309"/>
        <v>829</v>
      </c>
      <c r="Q5139" s="497" t="b">
        <v>0</v>
      </c>
    </row>
    <row r="5140" spans="1:17" x14ac:dyDescent="0.35">
      <c r="A5140" s="497" t="b">
        <v>0</v>
      </c>
      <c r="B5140" s="497" t="s">
        <v>11064</v>
      </c>
      <c r="C5140" s="512">
        <v>139</v>
      </c>
      <c r="D5140" s="497">
        <f t="shared" si="306"/>
        <v>350</v>
      </c>
      <c r="E5140" s="497">
        <f t="shared" si="307"/>
        <v>2</v>
      </c>
      <c r="F5140" s="497">
        <f t="shared" ca="1" si="308"/>
        <v>147</v>
      </c>
      <c r="G5140" s="497" t="s">
        <v>10191</v>
      </c>
      <c r="H5140" s="503"/>
      <c r="I5140" s="503"/>
      <c r="J5140" s="503"/>
      <c r="K5140" s="503"/>
      <c r="L5140" s="497"/>
      <c r="M5140" s="497"/>
      <c r="N5140" s="497"/>
      <c r="O5140" s="497"/>
      <c r="P5140" s="497">
        <f t="shared" si="309"/>
        <v>830</v>
      </c>
      <c r="Q5140" s="497" t="b">
        <v>0</v>
      </c>
    </row>
    <row r="5141" spans="1:17" x14ac:dyDescent="0.35">
      <c r="A5141" s="497" t="b">
        <v>0</v>
      </c>
      <c r="B5141" s="497" t="s">
        <v>11065</v>
      </c>
      <c r="C5141" s="512">
        <v>139</v>
      </c>
      <c r="D5141" s="497">
        <f t="shared" si="306"/>
        <v>351</v>
      </c>
      <c r="E5141" s="497">
        <f t="shared" si="307"/>
        <v>3</v>
      </c>
      <c r="F5141" s="497">
        <f t="shared" ca="1" si="308"/>
        <v>147</v>
      </c>
      <c r="G5141" s="497" t="s">
        <v>10191</v>
      </c>
      <c r="H5141" s="503"/>
      <c r="I5141" s="503"/>
      <c r="J5141" s="503"/>
      <c r="K5141" s="503"/>
      <c r="L5141" s="497"/>
      <c r="M5141" s="497"/>
      <c r="N5141" s="497"/>
      <c r="O5141" s="497"/>
      <c r="P5141" s="497">
        <f t="shared" si="309"/>
        <v>831</v>
      </c>
      <c r="Q5141" s="497" t="b">
        <v>0</v>
      </c>
    </row>
    <row r="5142" spans="1:17" x14ac:dyDescent="0.35">
      <c r="A5142" s="497" t="b">
        <v>0</v>
      </c>
      <c r="B5142" s="497" t="s">
        <v>11066</v>
      </c>
      <c r="C5142" s="512">
        <v>139</v>
      </c>
      <c r="D5142" s="497">
        <f t="shared" si="306"/>
        <v>352</v>
      </c>
      <c r="E5142" s="497">
        <f t="shared" si="307"/>
        <v>4</v>
      </c>
      <c r="F5142" s="497">
        <f t="shared" ca="1" si="308"/>
        <v>147</v>
      </c>
      <c r="G5142" s="497" t="s">
        <v>10191</v>
      </c>
      <c r="H5142" s="503"/>
      <c r="I5142" s="503"/>
      <c r="J5142" s="503"/>
      <c r="K5142" s="503"/>
      <c r="L5142" s="497"/>
      <c r="M5142" s="497"/>
      <c r="N5142" s="497"/>
      <c r="O5142" s="497"/>
      <c r="P5142" s="497">
        <f t="shared" si="309"/>
        <v>832</v>
      </c>
      <c r="Q5142" s="497" t="b">
        <v>0</v>
      </c>
    </row>
    <row r="5143" spans="1:17" x14ac:dyDescent="0.35">
      <c r="A5143" s="497" t="b">
        <v>0</v>
      </c>
      <c r="B5143" s="497" t="s">
        <v>11067</v>
      </c>
      <c r="C5143" s="512">
        <v>139</v>
      </c>
      <c r="D5143" s="497">
        <f t="shared" ref="D5143:D5206" si="310">D5142+1</f>
        <v>353</v>
      </c>
      <c r="E5143" s="497">
        <f t="shared" ref="E5143:E5206" si="311">COUNTIF(C4893:C5143,C5143)</f>
        <v>5</v>
      </c>
      <c r="F5143" s="497">
        <f t="shared" ref="F5143:F5206" ca="1" si="312">IF(C5143=1,9,IF(E5142=MAX(E5141:E5143),F5141+1,F5142))</f>
        <v>147</v>
      </c>
      <c r="G5143" s="497" t="s">
        <v>10191</v>
      </c>
      <c r="H5143" s="503"/>
      <c r="I5143" s="503"/>
      <c r="J5143" s="503"/>
      <c r="K5143" s="503"/>
      <c r="L5143" s="497"/>
      <c r="M5143" s="497"/>
      <c r="N5143" s="497"/>
      <c r="O5143" s="497"/>
      <c r="P5143" s="497">
        <f t="shared" ref="P5143:P5206" si="313">IF(NOT(_xlfn.ISFORMULA(I5143)),P5142+1,0)</f>
        <v>833</v>
      </c>
      <c r="Q5143" s="497" t="b">
        <v>0</v>
      </c>
    </row>
    <row r="5144" spans="1:17" x14ac:dyDescent="0.35">
      <c r="A5144" s="497" t="b">
        <v>0</v>
      </c>
      <c r="B5144" s="497" t="s">
        <v>11068</v>
      </c>
      <c r="C5144" s="512">
        <v>139</v>
      </c>
      <c r="D5144" s="497">
        <f t="shared" si="310"/>
        <v>354</v>
      </c>
      <c r="E5144" s="497">
        <f t="shared" si="311"/>
        <v>6</v>
      </c>
      <c r="F5144" s="497">
        <f t="shared" ca="1" si="312"/>
        <v>147</v>
      </c>
      <c r="G5144" s="497" t="s">
        <v>10191</v>
      </c>
      <c r="H5144" s="503"/>
      <c r="I5144" s="503"/>
      <c r="J5144" s="503"/>
      <c r="K5144" s="503"/>
      <c r="L5144" s="497"/>
      <c r="M5144" s="497"/>
      <c r="N5144" s="497"/>
      <c r="O5144" s="497"/>
      <c r="P5144" s="497">
        <f t="shared" si="313"/>
        <v>834</v>
      </c>
      <c r="Q5144" s="497" t="b">
        <v>0</v>
      </c>
    </row>
    <row r="5145" spans="1:17" x14ac:dyDescent="0.35">
      <c r="A5145" s="497" t="b">
        <v>0</v>
      </c>
      <c r="B5145" s="497" t="s">
        <v>11069</v>
      </c>
      <c r="C5145" s="512">
        <v>140</v>
      </c>
      <c r="D5145" s="497">
        <f t="shared" si="310"/>
        <v>355</v>
      </c>
      <c r="E5145" s="497">
        <f t="shared" si="311"/>
        <v>1</v>
      </c>
      <c r="F5145" s="497">
        <f t="shared" ca="1" si="312"/>
        <v>148</v>
      </c>
      <c r="G5145" s="497" t="s">
        <v>10193</v>
      </c>
      <c r="H5145" s="503"/>
      <c r="I5145" s="503"/>
      <c r="J5145" s="503"/>
      <c r="K5145" s="503"/>
      <c r="L5145" s="497"/>
      <c r="M5145" s="497"/>
      <c r="N5145" s="497"/>
      <c r="O5145" s="497"/>
      <c r="P5145" s="497">
        <f t="shared" si="313"/>
        <v>835</v>
      </c>
      <c r="Q5145" s="497" t="b">
        <v>0</v>
      </c>
    </row>
    <row r="5146" spans="1:17" x14ac:dyDescent="0.35">
      <c r="A5146" s="497" t="b">
        <v>0</v>
      </c>
      <c r="B5146" s="497" t="s">
        <v>11070</v>
      </c>
      <c r="C5146" s="512">
        <v>140</v>
      </c>
      <c r="D5146" s="497">
        <f t="shared" si="310"/>
        <v>356</v>
      </c>
      <c r="E5146" s="497">
        <f t="shared" si="311"/>
        <v>2</v>
      </c>
      <c r="F5146" s="497">
        <f t="shared" ca="1" si="312"/>
        <v>148</v>
      </c>
      <c r="G5146" s="497" t="s">
        <v>10193</v>
      </c>
      <c r="H5146" s="503"/>
      <c r="I5146" s="503"/>
      <c r="J5146" s="503"/>
      <c r="K5146" s="503"/>
      <c r="L5146" s="497"/>
      <c r="M5146" s="497"/>
      <c r="N5146" s="497"/>
      <c r="O5146" s="497"/>
      <c r="P5146" s="497">
        <f t="shared" si="313"/>
        <v>836</v>
      </c>
      <c r="Q5146" s="497" t="b">
        <v>0</v>
      </c>
    </row>
    <row r="5147" spans="1:17" x14ac:dyDescent="0.35">
      <c r="A5147" s="497" t="b">
        <v>0</v>
      </c>
      <c r="B5147" s="497" t="s">
        <v>11071</v>
      </c>
      <c r="C5147" s="512">
        <v>140</v>
      </c>
      <c r="D5147" s="497">
        <f t="shared" si="310"/>
        <v>357</v>
      </c>
      <c r="E5147" s="497">
        <f t="shared" si="311"/>
        <v>3</v>
      </c>
      <c r="F5147" s="497">
        <f t="shared" ca="1" si="312"/>
        <v>148</v>
      </c>
      <c r="G5147" s="497" t="s">
        <v>10193</v>
      </c>
      <c r="H5147" s="503"/>
      <c r="I5147" s="503"/>
      <c r="J5147" s="503"/>
      <c r="K5147" s="503"/>
      <c r="L5147" s="497"/>
      <c r="M5147" s="497"/>
      <c r="N5147" s="497"/>
      <c r="O5147" s="497"/>
      <c r="P5147" s="497">
        <f t="shared" si="313"/>
        <v>837</v>
      </c>
      <c r="Q5147" s="497" t="b">
        <v>0</v>
      </c>
    </row>
    <row r="5148" spans="1:17" x14ac:dyDescent="0.35">
      <c r="A5148" s="497" t="b">
        <v>0</v>
      </c>
      <c r="B5148" s="497" t="s">
        <v>11072</v>
      </c>
      <c r="C5148" s="512">
        <v>140</v>
      </c>
      <c r="D5148" s="497">
        <f t="shared" si="310"/>
        <v>358</v>
      </c>
      <c r="E5148" s="497">
        <f t="shared" si="311"/>
        <v>4</v>
      </c>
      <c r="F5148" s="497">
        <f t="shared" ca="1" si="312"/>
        <v>148</v>
      </c>
      <c r="G5148" s="497" t="s">
        <v>10193</v>
      </c>
      <c r="H5148" s="503"/>
      <c r="I5148" s="503"/>
      <c r="J5148" s="503"/>
      <c r="K5148" s="503"/>
      <c r="L5148" s="497"/>
      <c r="M5148" s="497"/>
      <c r="N5148" s="497"/>
      <c r="O5148" s="497"/>
      <c r="P5148" s="497">
        <f t="shared" si="313"/>
        <v>838</v>
      </c>
      <c r="Q5148" s="497" t="b">
        <v>0</v>
      </c>
    </row>
    <row r="5149" spans="1:17" x14ac:dyDescent="0.35">
      <c r="A5149" s="497" t="b">
        <v>0</v>
      </c>
      <c r="B5149" s="497" t="s">
        <v>11073</v>
      </c>
      <c r="C5149" s="512">
        <v>140</v>
      </c>
      <c r="D5149" s="497">
        <f t="shared" si="310"/>
        <v>359</v>
      </c>
      <c r="E5149" s="497">
        <f t="shared" si="311"/>
        <v>5</v>
      </c>
      <c r="F5149" s="497">
        <f t="shared" ca="1" si="312"/>
        <v>148</v>
      </c>
      <c r="G5149" s="497" t="s">
        <v>10193</v>
      </c>
      <c r="H5149" s="503"/>
      <c r="I5149" s="503"/>
      <c r="J5149" s="503"/>
      <c r="K5149" s="503"/>
      <c r="L5149" s="497"/>
      <c r="M5149" s="497"/>
      <c r="N5149" s="497"/>
      <c r="O5149" s="497"/>
      <c r="P5149" s="497">
        <f t="shared" si="313"/>
        <v>839</v>
      </c>
      <c r="Q5149" s="497" t="b">
        <v>0</v>
      </c>
    </row>
    <row r="5150" spans="1:17" x14ac:dyDescent="0.35">
      <c r="A5150" s="497" t="b">
        <v>0</v>
      </c>
      <c r="B5150" s="497" t="s">
        <v>11074</v>
      </c>
      <c r="C5150" s="512">
        <v>140</v>
      </c>
      <c r="D5150" s="497">
        <f t="shared" si="310"/>
        <v>360</v>
      </c>
      <c r="E5150" s="497">
        <f t="shared" si="311"/>
        <v>6</v>
      </c>
      <c r="F5150" s="497">
        <f t="shared" ca="1" si="312"/>
        <v>148</v>
      </c>
      <c r="G5150" s="497" t="s">
        <v>10193</v>
      </c>
      <c r="H5150" s="503"/>
      <c r="I5150" s="503"/>
      <c r="J5150" s="503"/>
      <c r="K5150" s="503"/>
      <c r="L5150" s="497"/>
      <c r="M5150" s="497"/>
      <c r="N5150" s="497"/>
      <c r="O5150" s="497"/>
      <c r="P5150" s="497">
        <f t="shared" si="313"/>
        <v>840</v>
      </c>
      <c r="Q5150" s="497" t="b">
        <v>0</v>
      </c>
    </row>
    <row r="5151" spans="1:17" x14ac:dyDescent="0.35">
      <c r="A5151" s="497" t="b">
        <v>0</v>
      </c>
      <c r="B5151" s="497" t="s">
        <v>11075</v>
      </c>
      <c r="C5151" s="512">
        <v>141</v>
      </c>
      <c r="D5151" s="497">
        <f t="shared" si="310"/>
        <v>361</v>
      </c>
      <c r="E5151" s="497">
        <f t="shared" si="311"/>
        <v>1</v>
      </c>
      <c r="F5151" s="497">
        <f t="shared" ca="1" si="312"/>
        <v>149</v>
      </c>
      <c r="G5151" s="497" t="s">
        <v>10195</v>
      </c>
      <c r="H5151" s="503"/>
      <c r="I5151" s="503"/>
      <c r="J5151" s="503"/>
      <c r="K5151" s="503"/>
      <c r="L5151" s="497"/>
      <c r="M5151" s="497"/>
      <c r="N5151" s="497"/>
      <c r="O5151" s="497"/>
      <c r="P5151" s="497">
        <f t="shared" si="313"/>
        <v>841</v>
      </c>
      <c r="Q5151" s="497" t="b">
        <v>0</v>
      </c>
    </row>
    <row r="5152" spans="1:17" x14ac:dyDescent="0.35">
      <c r="A5152" s="497" t="b">
        <v>0</v>
      </c>
      <c r="B5152" s="497" t="s">
        <v>11076</v>
      </c>
      <c r="C5152" s="512">
        <v>141</v>
      </c>
      <c r="D5152" s="497">
        <f t="shared" si="310"/>
        <v>362</v>
      </c>
      <c r="E5152" s="497">
        <f t="shared" si="311"/>
        <v>2</v>
      </c>
      <c r="F5152" s="497">
        <f t="shared" ca="1" si="312"/>
        <v>149</v>
      </c>
      <c r="G5152" s="497" t="s">
        <v>10195</v>
      </c>
      <c r="H5152" s="503"/>
      <c r="I5152" s="503"/>
      <c r="J5152" s="503"/>
      <c r="K5152" s="503"/>
      <c r="L5152" s="497"/>
      <c r="M5152" s="497"/>
      <c r="N5152" s="497"/>
      <c r="O5152" s="497"/>
      <c r="P5152" s="497">
        <f t="shared" si="313"/>
        <v>842</v>
      </c>
      <c r="Q5152" s="497" t="b">
        <v>0</v>
      </c>
    </row>
    <row r="5153" spans="1:17" x14ac:dyDescent="0.35">
      <c r="A5153" s="497" t="b">
        <v>0</v>
      </c>
      <c r="B5153" s="497" t="s">
        <v>11077</v>
      </c>
      <c r="C5153" s="512">
        <v>141</v>
      </c>
      <c r="D5153" s="497">
        <f t="shared" si="310"/>
        <v>363</v>
      </c>
      <c r="E5153" s="497">
        <f t="shared" si="311"/>
        <v>3</v>
      </c>
      <c r="F5153" s="497">
        <f t="shared" ca="1" si="312"/>
        <v>149</v>
      </c>
      <c r="G5153" s="497" t="s">
        <v>10195</v>
      </c>
      <c r="H5153" s="503"/>
      <c r="I5153" s="503"/>
      <c r="J5153" s="503"/>
      <c r="K5153" s="503"/>
      <c r="L5153" s="497"/>
      <c r="M5153" s="497"/>
      <c r="N5153" s="497"/>
      <c r="O5153" s="497"/>
      <c r="P5153" s="497">
        <f t="shared" si="313"/>
        <v>843</v>
      </c>
      <c r="Q5153" s="497" t="b">
        <v>0</v>
      </c>
    </row>
    <row r="5154" spans="1:17" x14ac:dyDescent="0.35">
      <c r="A5154" s="497" t="b">
        <v>0</v>
      </c>
      <c r="B5154" s="497" t="s">
        <v>11078</v>
      </c>
      <c r="C5154" s="512">
        <v>141</v>
      </c>
      <c r="D5154" s="497">
        <f t="shared" si="310"/>
        <v>364</v>
      </c>
      <c r="E5154" s="497">
        <f t="shared" si="311"/>
        <v>4</v>
      </c>
      <c r="F5154" s="497">
        <f t="shared" ca="1" si="312"/>
        <v>149</v>
      </c>
      <c r="G5154" s="497" t="s">
        <v>10195</v>
      </c>
      <c r="H5154" s="503"/>
      <c r="I5154" s="503"/>
      <c r="J5154" s="503"/>
      <c r="K5154" s="503"/>
      <c r="L5154" s="497"/>
      <c r="M5154" s="497"/>
      <c r="N5154" s="497"/>
      <c r="O5154" s="497"/>
      <c r="P5154" s="497">
        <f t="shared" si="313"/>
        <v>844</v>
      </c>
      <c r="Q5154" s="497" t="b">
        <v>0</v>
      </c>
    </row>
    <row r="5155" spans="1:17" x14ac:dyDescent="0.35">
      <c r="A5155" s="497" t="b">
        <v>0</v>
      </c>
      <c r="B5155" s="497" t="s">
        <v>11079</v>
      </c>
      <c r="C5155" s="512">
        <v>141</v>
      </c>
      <c r="D5155" s="497">
        <f t="shared" si="310"/>
        <v>365</v>
      </c>
      <c r="E5155" s="497">
        <f t="shared" si="311"/>
        <v>5</v>
      </c>
      <c r="F5155" s="497">
        <f t="shared" ca="1" si="312"/>
        <v>149</v>
      </c>
      <c r="G5155" s="497" t="s">
        <v>10195</v>
      </c>
      <c r="H5155" s="503"/>
      <c r="I5155" s="503"/>
      <c r="J5155" s="503"/>
      <c r="K5155" s="503"/>
      <c r="L5155" s="497"/>
      <c r="M5155" s="497"/>
      <c r="N5155" s="497"/>
      <c r="O5155" s="497"/>
      <c r="P5155" s="497">
        <f t="shared" si="313"/>
        <v>845</v>
      </c>
      <c r="Q5155" s="497" t="b">
        <v>0</v>
      </c>
    </row>
    <row r="5156" spans="1:17" x14ac:dyDescent="0.35">
      <c r="A5156" s="497" t="b">
        <v>0</v>
      </c>
      <c r="B5156" s="497" t="s">
        <v>11080</v>
      </c>
      <c r="C5156" s="512">
        <v>141</v>
      </c>
      <c r="D5156" s="497">
        <f t="shared" si="310"/>
        <v>366</v>
      </c>
      <c r="E5156" s="497">
        <f t="shared" si="311"/>
        <v>6</v>
      </c>
      <c r="F5156" s="497">
        <f t="shared" ca="1" si="312"/>
        <v>149</v>
      </c>
      <c r="G5156" s="497" t="s">
        <v>10195</v>
      </c>
      <c r="H5156" s="503"/>
      <c r="I5156" s="503"/>
      <c r="J5156" s="503"/>
      <c r="K5156" s="503"/>
      <c r="L5156" s="497"/>
      <c r="M5156" s="497"/>
      <c r="N5156" s="497"/>
      <c r="O5156" s="497"/>
      <c r="P5156" s="497">
        <f t="shared" si="313"/>
        <v>846</v>
      </c>
      <c r="Q5156" s="497" t="b">
        <v>0</v>
      </c>
    </row>
    <row r="5157" spans="1:17" x14ac:dyDescent="0.35">
      <c r="A5157" s="497" t="b">
        <v>0</v>
      </c>
      <c r="B5157" s="497" t="s">
        <v>11081</v>
      </c>
      <c r="C5157" s="512">
        <v>142</v>
      </c>
      <c r="D5157" s="497">
        <f t="shared" si="310"/>
        <v>367</v>
      </c>
      <c r="E5157" s="497">
        <f t="shared" si="311"/>
        <v>1</v>
      </c>
      <c r="F5157" s="497">
        <f t="shared" ca="1" si="312"/>
        <v>150</v>
      </c>
      <c r="G5157" s="497" t="s">
        <v>10197</v>
      </c>
      <c r="H5157" s="503"/>
      <c r="I5157" s="503"/>
      <c r="J5157" s="503"/>
      <c r="K5157" s="503"/>
      <c r="L5157" s="497"/>
      <c r="M5157" s="497"/>
      <c r="N5157" s="497"/>
      <c r="O5157" s="497"/>
      <c r="P5157" s="497">
        <f t="shared" si="313"/>
        <v>847</v>
      </c>
      <c r="Q5157" s="497" t="b">
        <v>0</v>
      </c>
    </row>
    <row r="5158" spans="1:17" x14ac:dyDescent="0.35">
      <c r="A5158" s="497" t="b">
        <v>0</v>
      </c>
      <c r="B5158" s="497" t="s">
        <v>11082</v>
      </c>
      <c r="C5158" s="512">
        <v>142</v>
      </c>
      <c r="D5158" s="497">
        <f t="shared" si="310"/>
        <v>368</v>
      </c>
      <c r="E5158" s="497">
        <f t="shared" si="311"/>
        <v>2</v>
      </c>
      <c r="F5158" s="497">
        <f t="shared" ca="1" si="312"/>
        <v>150</v>
      </c>
      <c r="G5158" s="497" t="s">
        <v>10197</v>
      </c>
      <c r="H5158" s="503"/>
      <c r="I5158" s="503"/>
      <c r="J5158" s="503"/>
      <c r="K5158" s="503"/>
      <c r="L5158" s="497"/>
      <c r="M5158" s="497"/>
      <c r="N5158" s="497"/>
      <c r="O5158" s="497"/>
      <c r="P5158" s="497">
        <f t="shared" si="313"/>
        <v>848</v>
      </c>
      <c r="Q5158" s="497" t="b">
        <v>0</v>
      </c>
    </row>
    <row r="5159" spans="1:17" x14ac:dyDescent="0.35">
      <c r="A5159" s="497" t="b">
        <v>0</v>
      </c>
      <c r="B5159" s="497" t="s">
        <v>11083</v>
      </c>
      <c r="C5159" s="512">
        <v>142</v>
      </c>
      <c r="D5159" s="497">
        <f t="shared" si="310"/>
        <v>369</v>
      </c>
      <c r="E5159" s="497">
        <f t="shared" si="311"/>
        <v>3</v>
      </c>
      <c r="F5159" s="497">
        <f t="shared" ca="1" si="312"/>
        <v>150</v>
      </c>
      <c r="G5159" s="497" t="s">
        <v>10197</v>
      </c>
      <c r="H5159" s="503"/>
      <c r="I5159" s="503"/>
      <c r="J5159" s="503"/>
      <c r="K5159" s="503"/>
      <c r="L5159" s="497"/>
      <c r="M5159" s="497"/>
      <c r="N5159" s="497"/>
      <c r="O5159" s="497"/>
      <c r="P5159" s="497">
        <f t="shared" si="313"/>
        <v>849</v>
      </c>
      <c r="Q5159" s="497" t="b">
        <v>0</v>
      </c>
    </row>
    <row r="5160" spans="1:17" x14ac:dyDescent="0.35">
      <c r="A5160" s="497" t="b">
        <v>0</v>
      </c>
      <c r="B5160" s="497" t="s">
        <v>11084</v>
      </c>
      <c r="C5160" s="512">
        <v>142</v>
      </c>
      <c r="D5160" s="497">
        <f t="shared" si="310"/>
        <v>370</v>
      </c>
      <c r="E5160" s="497">
        <f t="shared" si="311"/>
        <v>4</v>
      </c>
      <c r="F5160" s="497">
        <f t="shared" ca="1" si="312"/>
        <v>150</v>
      </c>
      <c r="G5160" s="497" t="s">
        <v>10197</v>
      </c>
      <c r="H5160" s="503"/>
      <c r="I5160" s="503"/>
      <c r="J5160" s="503"/>
      <c r="K5160" s="503"/>
      <c r="L5160" s="497"/>
      <c r="M5160" s="497"/>
      <c r="N5160" s="497"/>
      <c r="O5160" s="497"/>
      <c r="P5160" s="497">
        <f t="shared" si="313"/>
        <v>850</v>
      </c>
      <c r="Q5160" s="497" t="b">
        <v>0</v>
      </c>
    </row>
    <row r="5161" spans="1:17" x14ac:dyDescent="0.35">
      <c r="A5161" s="497" t="b">
        <v>0</v>
      </c>
      <c r="B5161" s="497" t="s">
        <v>11085</v>
      </c>
      <c r="C5161" s="512">
        <v>142</v>
      </c>
      <c r="D5161" s="497">
        <f t="shared" si="310"/>
        <v>371</v>
      </c>
      <c r="E5161" s="497">
        <f t="shared" si="311"/>
        <v>5</v>
      </c>
      <c r="F5161" s="497">
        <f t="shared" ca="1" si="312"/>
        <v>150</v>
      </c>
      <c r="G5161" s="497" t="s">
        <v>10197</v>
      </c>
      <c r="H5161" s="503"/>
      <c r="I5161" s="503"/>
      <c r="J5161" s="503"/>
      <c r="K5161" s="503"/>
      <c r="L5161" s="497"/>
      <c r="M5161" s="497"/>
      <c r="N5161" s="497"/>
      <c r="O5161" s="497"/>
      <c r="P5161" s="497">
        <f t="shared" si="313"/>
        <v>851</v>
      </c>
      <c r="Q5161" s="497" t="b">
        <v>0</v>
      </c>
    </row>
    <row r="5162" spans="1:17" x14ac:dyDescent="0.35">
      <c r="A5162" s="497" t="b">
        <v>0</v>
      </c>
      <c r="B5162" s="497" t="s">
        <v>11086</v>
      </c>
      <c r="C5162" s="512">
        <v>142</v>
      </c>
      <c r="D5162" s="497">
        <f t="shared" si="310"/>
        <v>372</v>
      </c>
      <c r="E5162" s="497">
        <f t="shared" si="311"/>
        <v>6</v>
      </c>
      <c r="F5162" s="497">
        <f t="shared" ca="1" si="312"/>
        <v>150</v>
      </c>
      <c r="G5162" s="497" t="s">
        <v>10197</v>
      </c>
      <c r="H5162" s="503"/>
      <c r="I5162" s="503"/>
      <c r="J5162" s="503"/>
      <c r="K5162" s="503"/>
      <c r="L5162" s="497"/>
      <c r="M5162" s="497"/>
      <c r="N5162" s="497"/>
      <c r="O5162" s="497"/>
      <c r="P5162" s="497">
        <f t="shared" si="313"/>
        <v>852</v>
      </c>
      <c r="Q5162" s="497" t="b">
        <v>0</v>
      </c>
    </row>
    <row r="5163" spans="1:17" x14ac:dyDescent="0.35">
      <c r="A5163" s="497" t="b">
        <v>0</v>
      </c>
      <c r="B5163" s="497" t="s">
        <v>11087</v>
      </c>
      <c r="C5163" s="512">
        <v>143</v>
      </c>
      <c r="D5163" s="497">
        <f t="shared" si="310"/>
        <v>373</v>
      </c>
      <c r="E5163" s="497">
        <f t="shared" si="311"/>
        <v>1</v>
      </c>
      <c r="F5163" s="497">
        <f t="shared" ca="1" si="312"/>
        <v>151</v>
      </c>
      <c r="G5163" s="497" t="s">
        <v>10199</v>
      </c>
      <c r="H5163" s="503"/>
      <c r="I5163" s="503"/>
      <c r="J5163" s="503"/>
      <c r="K5163" s="503"/>
      <c r="L5163" s="497"/>
      <c r="M5163" s="497"/>
      <c r="N5163" s="497"/>
      <c r="O5163" s="497"/>
      <c r="P5163" s="497">
        <f t="shared" si="313"/>
        <v>853</v>
      </c>
      <c r="Q5163" s="497" t="b">
        <v>0</v>
      </c>
    </row>
    <row r="5164" spans="1:17" x14ac:dyDescent="0.35">
      <c r="A5164" s="497" t="b">
        <v>0</v>
      </c>
      <c r="B5164" s="497" t="s">
        <v>11088</v>
      </c>
      <c r="C5164" s="512">
        <v>143</v>
      </c>
      <c r="D5164" s="497">
        <f t="shared" si="310"/>
        <v>374</v>
      </c>
      <c r="E5164" s="497">
        <f t="shared" si="311"/>
        <v>2</v>
      </c>
      <c r="F5164" s="497">
        <f t="shared" ca="1" si="312"/>
        <v>151</v>
      </c>
      <c r="G5164" s="497" t="s">
        <v>10199</v>
      </c>
      <c r="H5164" s="503"/>
      <c r="I5164" s="503"/>
      <c r="J5164" s="503"/>
      <c r="K5164" s="503"/>
      <c r="L5164" s="497"/>
      <c r="M5164" s="497"/>
      <c r="N5164" s="497"/>
      <c r="O5164" s="497"/>
      <c r="P5164" s="497">
        <f t="shared" si="313"/>
        <v>854</v>
      </c>
      <c r="Q5164" s="497" t="b">
        <v>0</v>
      </c>
    </row>
    <row r="5165" spans="1:17" x14ac:dyDescent="0.35">
      <c r="A5165" s="497" t="b">
        <v>0</v>
      </c>
      <c r="B5165" s="497" t="s">
        <v>11089</v>
      </c>
      <c r="C5165" s="512">
        <v>143</v>
      </c>
      <c r="D5165" s="497">
        <f t="shared" si="310"/>
        <v>375</v>
      </c>
      <c r="E5165" s="497">
        <f t="shared" si="311"/>
        <v>3</v>
      </c>
      <c r="F5165" s="497">
        <f t="shared" ca="1" si="312"/>
        <v>151</v>
      </c>
      <c r="G5165" s="497" t="s">
        <v>10199</v>
      </c>
      <c r="H5165" s="503"/>
      <c r="I5165" s="503"/>
      <c r="J5165" s="503"/>
      <c r="K5165" s="503"/>
      <c r="L5165" s="497"/>
      <c r="M5165" s="497"/>
      <c r="N5165" s="497"/>
      <c r="O5165" s="497"/>
      <c r="P5165" s="497">
        <f t="shared" si="313"/>
        <v>855</v>
      </c>
      <c r="Q5165" s="497" t="b">
        <v>0</v>
      </c>
    </row>
    <row r="5166" spans="1:17" x14ac:dyDescent="0.35">
      <c r="A5166" s="497" t="b">
        <v>0</v>
      </c>
      <c r="B5166" s="497" t="s">
        <v>11090</v>
      </c>
      <c r="C5166" s="512">
        <v>143</v>
      </c>
      <c r="D5166" s="497">
        <f t="shared" si="310"/>
        <v>376</v>
      </c>
      <c r="E5166" s="497">
        <f t="shared" si="311"/>
        <v>4</v>
      </c>
      <c r="F5166" s="497">
        <f t="shared" ca="1" si="312"/>
        <v>151</v>
      </c>
      <c r="G5166" s="497" t="s">
        <v>10199</v>
      </c>
      <c r="H5166" s="503"/>
      <c r="I5166" s="503"/>
      <c r="J5166" s="503"/>
      <c r="K5166" s="503"/>
      <c r="L5166" s="497"/>
      <c r="M5166" s="497"/>
      <c r="N5166" s="497"/>
      <c r="O5166" s="497"/>
      <c r="P5166" s="497">
        <f t="shared" si="313"/>
        <v>856</v>
      </c>
      <c r="Q5166" s="497" t="b">
        <v>0</v>
      </c>
    </row>
    <row r="5167" spans="1:17" x14ac:dyDescent="0.35">
      <c r="A5167" s="497" t="b">
        <v>0</v>
      </c>
      <c r="B5167" s="497" t="s">
        <v>11091</v>
      </c>
      <c r="C5167" s="512">
        <v>143</v>
      </c>
      <c r="D5167" s="497">
        <f t="shared" si="310"/>
        <v>377</v>
      </c>
      <c r="E5167" s="497">
        <f t="shared" si="311"/>
        <v>5</v>
      </c>
      <c r="F5167" s="497">
        <f t="shared" ca="1" si="312"/>
        <v>151</v>
      </c>
      <c r="G5167" s="497" t="s">
        <v>10199</v>
      </c>
      <c r="H5167" s="503"/>
      <c r="I5167" s="503"/>
      <c r="J5167" s="503"/>
      <c r="K5167" s="503"/>
      <c r="L5167" s="497"/>
      <c r="M5167" s="497"/>
      <c r="N5167" s="497"/>
      <c r="O5167" s="497"/>
      <c r="P5167" s="497">
        <f t="shared" si="313"/>
        <v>857</v>
      </c>
      <c r="Q5167" s="497" t="b">
        <v>0</v>
      </c>
    </row>
    <row r="5168" spans="1:17" x14ac:dyDescent="0.35">
      <c r="A5168" s="497" t="b">
        <v>0</v>
      </c>
      <c r="B5168" s="497" t="s">
        <v>11092</v>
      </c>
      <c r="C5168" s="512">
        <v>143</v>
      </c>
      <c r="D5168" s="497">
        <f t="shared" si="310"/>
        <v>378</v>
      </c>
      <c r="E5168" s="497">
        <f t="shared" si="311"/>
        <v>6</v>
      </c>
      <c r="F5168" s="497">
        <f t="shared" ca="1" si="312"/>
        <v>151</v>
      </c>
      <c r="G5168" s="497" t="s">
        <v>10199</v>
      </c>
      <c r="H5168" s="503"/>
      <c r="I5168" s="503"/>
      <c r="J5168" s="503"/>
      <c r="K5168" s="503"/>
      <c r="L5168" s="497"/>
      <c r="M5168" s="497"/>
      <c r="N5168" s="497"/>
      <c r="O5168" s="497"/>
      <c r="P5168" s="497">
        <f t="shared" si="313"/>
        <v>858</v>
      </c>
      <c r="Q5168" s="497" t="b">
        <v>0</v>
      </c>
    </row>
    <row r="5169" spans="1:17" x14ac:dyDescent="0.35">
      <c r="A5169" s="497" t="b">
        <v>0</v>
      </c>
      <c r="B5169" s="497" t="s">
        <v>11093</v>
      </c>
      <c r="C5169" s="512">
        <v>144</v>
      </c>
      <c r="D5169" s="497">
        <f t="shared" si="310"/>
        <v>379</v>
      </c>
      <c r="E5169" s="497">
        <f t="shared" si="311"/>
        <v>1</v>
      </c>
      <c r="F5169" s="497">
        <f t="shared" ca="1" si="312"/>
        <v>152</v>
      </c>
      <c r="G5169" s="497" t="s">
        <v>10201</v>
      </c>
      <c r="H5169" s="503"/>
      <c r="I5169" s="503"/>
      <c r="J5169" s="503"/>
      <c r="K5169" s="503"/>
      <c r="L5169" s="497"/>
      <c r="M5169" s="497"/>
      <c r="N5169" s="497"/>
      <c r="O5169" s="497"/>
      <c r="P5169" s="497">
        <f t="shared" si="313"/>
        <v>859</v>
      </c>
      <c r="Q5169" s="497" t="b">
        <v>0</v>
      </c>
    </row>
    <row r="5170" spans="1:17" x14ac:dyDescent="0.35">
      <c r="A5170" s="497" t="b">
        <v>0</v>
      </c>
      <c r="B5170" s="497" t="s">
        <v>11094</v>
      </c>
      <c r="C5170" s="512">
        <v>144</v>
      </c>
      <c r="D5170" s="497">
        <f t="shared" si="310"/>
        <v>380</v>
      </c>
      <c r="E5170" s="497">
        <f t="shared" si="311"/>
        <v>2</v>
      </c>
      <c r="F5170" s="497">
        <f t="shared" ca="1" si="312"/>
        <v>152</v>
      </c>
      <c r="G5170" s="497" t="s">
        <v>10201</v>
      </c>
      <c r="H5170" s="503"/>
      <c r="I5170" s="503"/>
      <c r="J5170" s="503"/>
      <c r="K5170" s="503"/>
      <c r="L5170" s="497"/>
      <c r="M5170" s="497"/>
      <c r="N5170" s="497"/>
      <c r="O5170" s="497"/>
      <c r="P5170" s="497">
        <f t="shared" si="313"/>
        <v>860</v>
      </c>
      <c r="Q5170" s="497" t="b">
        <v>0</v>
      </c>
    </row>
    <row r="5171" spans="1:17" x14ac:dyDescent="0.35">
      <c r="A5171" s="497" t="b">
        <v>0</v>
      </c>
      <c r="B5171" s="497" t="s">
        <v>11095</v>
      </c>
      <c r="C5171" s="512">
        <v>144</v>
      </c>
      <c r="D5171" s="497">
        <f t="shared" si="310"/>
        <v>381</v>
      </c>
      <c r="E5171" s="497">
        <f t="shared" si="311"/>
        <v>3</v>
      </c>
      <c r="F5171" s="497">
        <f t="shared" ca="1" si="312"/>
        <v>152</v>
      </c>
      <c r="G5171" s="497" t="s">
        <v>10201</v>
      </c>
      <c r="H5171" s="503"/>
      <c r="I5171" s="503"/>
      <c r="J5171" s="503"/>
      <c r="K5171" s="503"/>
      <c r="L5171" s="497"/>
      <c r="M5171" s="497"/>
      <c r="N5171" s="497"/>
      <c r="O5171" s="497"/>
      <c r="P5171" s="497">
        <f t="shared" si="313"/>
        <v>861</v>
      </c>
      <c r="Q5171" s="497" t="b">
        <v>0</v>
      </c>
    </row>
    <row r="5172" spans="1:17" x14ac:dyDescent="0.35">
      <c r="A5172" s="497" t="b">
        <v>0</v>
      </c>
      <c r="B5172" s="497" t="s">
        <v>11096</v>
      </c>
      <c r="C5172" s="512">
        <v>144</v>
      </c>
      <c r="D5172" s="497">
        <f t="shared" si="310"/>
        <v>382</v>
      </c>
      <c r="E5172" s="497">
        <f t="shared" si="311"/>
        <v>4</v>
      </c>
      <c r="F5172" s="497">
        <f t="shared" ca="1" si="312"/>
        <v>152</v>
      </c>
      <c r="G5172" s="497" t="s">
        <v>10201</v>
      </c>
      <c r="H5172" s="503"/>
      <c r="I5172" s="503"/>
      <c r="J5172" s="503"/>
      <c r="K5172" s="503"/>
      <c r="L5172" s="497"/>
      <c r="M5172" s="497"/>
      <c r="N5172" s="497"/>
      <c r="O5172" s="497"/>
      <c r="P5172" s="497">
        <f t="shared" si="313"/>
        <v>862</v>
      </c>
      <c r="Q5172" s="497" t="b">
        <v>0</v>
      </c>
    </row>
    <row r="5173" spans="1:17" x14ac:dyDescent="0.35">
      <c r="A5173" s="497" t="b">
        <v>0</v>
      </c>
      <c r="B5173" s="497" t="s">
        <v>11097</v>
      </c>
      <c r="C5173" s="512">
        <v>144</v>
      </c>
      <c r="D5173" s="497">
        <f t="shared" si="310"/>
        <v>383</v>
      </c>
      <c r="E5173" s="497">
        <f t="shared" si="311"/>
        <v>5</v>
      </c>
      <c r="F5173" s="497">
        <f t="shared" ca="1" si="312"/>
        <v>152</v>
      </c>
      <c r="G5173" s="497" t="s">
        <v>10201</v>
      </c>
      <c r="H5173" s="503"/>
      <c r="I5173" s="503"/>
      <c r="J5173" s="503"/>
      <c r="K5173" s="503"/>
      <c r="L5173" s="497"/>
      <c r="M5173" s="497"/>
      <c r="N5173" s="497"/>
      <c r="O5173" s="497"/>
      <c r="P5173" s="497">
        <f t="shared" si="313"/>
        <v>863</v>
      </c>
      <c r="Q5173" s="497" t="b">
        <v>0</v>
      </c>
    </row>
    <row r="5174" spans="1:17" x14ac:dyDescent="0.35">
      <c r="A5174" s="497" t="b">
        <v>0</v>
      </c>
      <c r="B5174" s="497" t="s">
        <v>11098</v>
      </c>
      <c r="C5174" s="512">
        <v>144</v>
      </c>
      <c r="D5174" s="497">
        <f t="shared" si="310"/>
        <v>384</v>
      </c>
      <c r="E5174" s="497">
        <f t="shared" si="311"/>
        <v>6</v>
      </c>
      <c r="F5174" s="497">
        <f t="shared" ca="1" si="312"/>
        <v>152</v>
      </c>
      <c r="G5174" s="497" t="s">
        <v>10201</v>
      </c>
      <c r="H5174" s="503"/>
      <c r="I5174" s="503"/>
      <c r="J5174" s="503"/>
      <c r="K5174" s="503"/>
      <c r="L5174" s="497"/>
      <c r="M5174" s="497"/>
      <c r="N5174" s="497"/>
      <c r="O5174" s="497"/>
      <c r="P5174" s="497">
        <f t="shared" si="313"/>
        <v>864</v>
      </c>
      <c r="Q5174" s="497" t="b">
        <v>0</v>
      </c>
    </row>
    <row r="5175" spans="1:17" x14ac:dyDescent="0.35">
      <c r="A5175" s="497" t="b">
        <v>0</v>
      </c>
      <c r="B5175" s="497" t="s">
        <v>11099</v>
      </c>
      <c r="C5175" s="512">
        <v>145</v>
      </c>
      <c r="D5175" s="497">
        <f t="shared" si="310"/>
        <v>385</v>
      </c>
      <c r="E5175" s="497">
        <f t="shared" si="311"/>
        <v>1</v>
      </c>
      <c r="F5175" s="497">
        <f t="shared" ca="1" si="312"/>
        <v>153</v>
      </c>
      <c r="G5175" s="497" t="s">
        <v>10203</v>
      </c>
      <c r="H5175" s="503"/>
      <c r="I5175" s="503"/>
      <c r="J5175" s="503"/>
      <c r="K5175" s="503"/>
      <c r="L5175" s="497"/>
      <c r="M5175" s="497"/>
      <c r="N5175" s="497"/>
      <c r="O5175" s="497"/>
      <c r="P5175" s="497">
        <f t="shared" si="313"/>
        <v>865</v>
      </c>
      <c r="Q5175" s="497" t="b">
        <v>0</v>
      </c>
    </row>
    <row r="5176" spans="1:17" x14ac:dyDescent="0.35">
      <c r="A5176" s="497" t="b">
        <v>0</v>
      </c>
      <c r="B5176" s="497" t="s">
        <v>11100</v>
      </c>
      <c r="C5176" s="512">
        <v>145</v>
      </c>
      <c r="D5176" s="497">
        <f t="shared" si="310"/>
        <v>386</v>
      </c>
      <c r="E5176" s="497">
        <f t="shared" si="311"/>
        <v>2</v>
      </c>
      <c r="F5176" s="497">
        <f t="shared" ca="1" si="312"/>
        <v>153</v>
      </c>
      <c r="G5176" s="497" t="s">
        <v>10203</v>
      </c>
      <c r="H5176" s="503"/>
      <c r="I5176" s="503"/>
      <c r="J5176" s="503"/>
      <c r="K5176" s="503"/>
      <c r="L5176" s="497"/>
      <c r="M5176" s="497"/>
      <c r="N5176" s="497"/>
      <c r="O5176" s="497"/>
      <c r="P5176" s="497">
        <f t="shared" si="313"/>
        <v>866</v>
      </c>
      <c r="Q5176" s="497" t="b">
        <v>0</v>
      </c>
    </row>
    <row r="5177" spans="1:17" x14ac:dyDescent="0.35">
      <c r="A5177" s="497" t="b">
        <v>0</v>
      </c>
      <c r="B5177" s="497" t="s">
        <v>11101</v>
      </c>
      <c r="C5177" s="512">
        <v>145</v>
      </c>
      <c r="D5177" s="497">
        <f t="shared" si="310"/>
        <v>387</v>
      </c>
      <c r="E5177" s="497">
        <f t="shared" si="311"/>
        <v>3</v>
      </c>
      <c r="F5177" s="497">
        <f t="shared" ca="1" si="312"/>
        <v>153</v>
      </c>
      <c r="G5177" s="497" t="s">
        <v>10203</v>
      </c>
      <c r="H5177" s="503"/>
      <c r="I5177" s="503"/>
      <c r="J5177" s="503"/>
      <c r="K5177" s="503"/>
      <c r="L5177" s="497"/>
      <c r="M5177" s="497"/>
      <c r="N5177" s="497"/>
      <c r="O5177" s="497"/>
      <c r="P5177" s="497">
        <f t="shared" si="313"/>
        <v>867</v>
      </c>
      <c r="Q5177" s="497" t="b">
        <v>0</v>
      </c>
    </row>
    <row r="5178" spans="1:17" x14ac:dyDescent="0.35">
      <c r="A5178" s="497" t="b">
        <v>0</v>
      </c>
      <c r="B5178" s="497" t="s">
        <v>11102</v>
      </c>
      <c r="C5178" s="512">
        <v>145</v>
      </c>
      <c r="D5178" s="497">
        <f t="shared" si="310"/>
        <v>388</v>
      </c>
      <c r="E5178" s="497">
        <f t="shared" si="311"/>
        <v>4</v>
      </c>
      <c r="F5178" s="497">
        <f t="shared" ca="1" si="312"/>
        <v>153</v>
      </c>
      <c r="G5178" s="497" t="s">
        <v>10203</v>
      </c>
      <c r="H5178" s="503"/>
      <c r="I5178" s="503"/>
      <c r="J5178" s="503"/>
      <c r="K5178" s="503"/>
      <c r="L5178" s="497"/>
      <c r="M5178" s="497"/>
      <c r="N5178" s="497"/>
      <c r="O5178" s="497"/>
      <c r="P5178" s="497">
        <f t="shared" si="313"/>
        <v>868</v>
      </c>
      <c r="Q5178" s="497" t="b">
        <v>0</v>
      </c>
    </row>
    <row r="5179" spans="1:17" x14ac:dyDescent="0.35">
      <c r="A5179" s="497" t="b">
        <v>0</v>
      </c>
      <c r="B5179" s="497" t="s">
        <v>11103</v>
      </c>
      <c r="C5179" s="512">
        <v>145</v>
      </c>
      <c r="D5179" s="497">
        <f t="shared" si="310"/>
        <v>389</v>
      </c>
      <c r="E5179" s="497">
        <f t="shared" si="311"/>
        <v>5</v>
      </c>
      <c r="F5179" s="497">
        <f t="shared" ca="1" si="312"/>
        <v>153</v>
      </c>
      <c r="G5179" s="497" t="s">
        <v>10203</v>
      </c>
      <c r="H5179" s="503"/>
      <c r="I5179" s="503"/>
      <c r="J5179" s="503"/>
      <c r="K5179" s="503"/>
      <c r="L5179" s="497"/>
      <c r="M5179" s="497"/>
      <c r="N5179" s="497"/>
      <c r="O5179" s="497"/>
      <c r="P5179" s="497">
        <f t="shared" si="313"/>
        <v>869</v>
      </c>
      <c r="Q5179" s="497" t="b">
        <v>0</v>
      </c>
    </row>
    <row r="5180" spans="1:17" x14ac:dyDescent="0.35">
      <c r="A5180" s="497" t="b">
        <v>0</v>
      </c>
      <c r="B5180" s="497" t="s">
        <v>11104</v>
      </c>
      <c r="C5180" s="512">
        <v>145</v>
      </c>
      <c r="D5180" s="497">
        <f t="shared" si="310"/>
        <v>390</v>
      </c>
      <c r="E5180" s="497">
        <f t="shared" si="311"/>
        <v>6</v>
      </c>
      <c r="F5180" s="497">
        <f t="shared" ca="1" si="312"/>
        <v>153</v>
      </c>
      <c r="G5180" s="497" t="s">
        <v>10203</v>
      </c>
      <c r="H5180" s="503"/>
      <c r="I5180" s="503"/>
      <c r="J5180" s="503"/>
      <c r="K5180" s="503"/>
      <c r="L5180" s="497"/>
      <c r="M5180" s="497"/>
      <c r="N5180" s="497"/>
      <c r="O5180" s="497"/>
      <c r="P5180" s="497">
        <f t="shared" si="313"/>
        <v>870</v>
      </c>
      <c r="Q5180" s="497" t="b">
        <v>0</v>
      </c>
    </row>
    <row r="5181" spans="1:17" x14ac:dyDescent="0.35">
      <c r="A5181" s="497" t="b">
        <v>0</v>
      </c>
      <c r="B5181" s="497" t="s">
        <v>11105</v>
      </c>
      <c r="C5181" s="512">
        <v>146</v>
      </c>
      <c r="D5181" s="497">
        <f t="shared" si="310"/>
        <v>391</v>
      </c>
      <c r="E5181" s="497">
        <f t="shared" si="311"/>
        <v>1</v>
      </c>
      <c r="F5181" s="497">
        <f t="shared" ca="1" si="312"/>
        <v>154</v>
      </c>
      <c r="G5181" s="497" t="s">
        <v>10205</v>
      </c>
      <c r="H5181" s="503"/>
      <c r="I5181" s="503"/>
      <c r="J5181" s="503"/>
      <c r="K5181" s="503"/>
      <c r="L5181" s="497"/>
      <c r="M5181" s="497"/>
      <c r="N5181" s="497"/>
      <c r="O5181" s="497"/>
      <c r="P5181" s="497">
        <f t="shared" si="313"/>
        <v>871</v>
      </c>
      <c r="Q5181" s="497" t="b">
        <v>0</v>
      </c>
    </row>
    <row r="5182" spans="1:17" x14ac:dyDescent="0.35">
      <c r="A5182" s="497" t="b">
        <v>0</v>
      </c>
      <c r="B5182" s="497" t="s">
        <v>11106</v>
      </c>
      <c r="C5182" s="512">
        <v>146</v>
      </c>
      <c r="D5182" s="497">
        <f t="shared" si="310"/>
        <v>392</v>
      </c>
      <c r="E5182" s="497">
        <f t="shared" si="311"/>
        <v>2</v>
      </c>
      <c r="F5182" s="497">
        <f t="shared" ca="1" si="312"/>
        <v>154</v>
      </c>
      <c r="G5182" s="497" t="s">
        <v>10205</v>
      </c>
      <c r="H5182" s="503"/>
      <c r="I5182" s="503"/>
      <c r="J5182" s="503"/>
      <c r="K5182" s="503"/>
      <c r="L5182" s="497"/>
      <c r="M5182" s="497"/>
      <c r="N5182" s="497"/>
      <c r="O5182" s="497"/>
      <c r="P5182" s="497">
        <f t="shared" si="313"/>
        <v>872</v>
      </c>
      <c r="Q5182" s="497" t="b">
        <v>0</v>
      </c>
    </row>
    <row r="5183" spans="1:17" x14ac:dyDescent="0.35">
      <c r="A5183" s="497" t="b">
        <v>0</v>
      </c>
      <c r="B5183" s="497" t="s">
        <v>11107</v>
      </c>
      <c r="C5183" s="512">
        <v>146</v>
      </c>
      <c r="D5183" s="497">
        <f t="shared" si="310"/>
        <v>393</v>
      </c>
      <c r="E5183" s="497">
        <f t="shared" si="311"/>
        <v>3</v>
      </c>
      <c r="F5183" s="497">
        <f t="shared" ca="1" si="312"/>
        <v>154</v>
      </c>
      <c r="G5183" s="497" t="s">
        <v>10205</v>
      </c>
      <c r="H5183" s="503"/>
      <c r="I5183" s="503"/>
      <c r="J5183" s="503"/>
      <c r="K5183" s="503"/>
      <c r="L5183" s="497"/>
      <c r="M5183" s="497"/>
      <c r="N5183" s="497"/>
      <c r="O5183" s="497"/>
      <c r="P5183" s="497">
        <f t="shared" si="313"/>
        <v>873</v>
      </c>
      <c r="Q5183" s="497" t="b">
        <v>0</v>
      </c>
    </row>
    <row r="5184" spans="1:17" x14ac:dyDescent="0.35">
      <c r="A5184" s="497" t="b">
        <v>0</v>
      </c>
      <c r="B5184" s="497" t="s">
        <v>11108</v>
      </c>
      <c r="C5184" s="512">
        <v>146</v>
      </c>
      <c r="D5184" s="497">
        <f t="shared" si="310"/>
        <v>394</v>
      </c>
      <c r="E5184" s="497">
        <f t="shared" si="311"/>
        <v>4</v>
      </c>
      <c r="F5184" s="497">
        <f t="shared" ca="1" si="312"/>
        <v>154</v>
      </c>
      <c r="G5184" s="497" t="s">
        <v>10205</v>
      </c>
      <c r="H5184" s="503"/>
      <c r="I5184" s="503"/>
      <c r="J5184" s="503"/>
      <c r="K5184" s="503"/>
      <c r="L5184" s="497"/>
      <c r="M5184" s="497"/>
      <c r="N5184" s="497"/>
      <c r="O5184" s="497"/>
      <c r="P5184" s="497">
        <f t="shared" si="313"/>
        <v>874</v>
      </c>
      <c r="Q5184" s="497" t="b">
        <v>0</v>
      </c>
    </row>
    <row r="5185" spans="1:17" x14ac:dyDescent="0.35">
      <c r="A5185" s="497" t="b">
        <v>0</v>
      </c>
      <c r="B5185" s="497" t="s">
        <v>11109</v>
      </c>
      <c r="C5185" s="512">
        <v>146</v>
      </c>
      <c r="D5185" s="497">
        <f t="shared" si="310"/>
        <v>395</v>
      </c>
      <c r="E5185" s="497">
        <f t="shared" si="311"/>
        <v>5</v>
      </c>
      <c r="F5185" s="497">
        <f t="shared" ca="1" si="312"/>
        <v>154</v>
      </c>
      <c r="G5185" s="497" t="s">
        <v>10205</v>
      </c>
      <c r="H5185" s="503"/>
      <c r="I5185" s="503"/>
      <c r="J5185" s="503"/>
      <c r="K5185" s="503"/>
      <c r="L5185" s="497"/>
      <c r="M5185" s="497"/>
      <c r="N5185" s="497"/>
      <c r="O5185" s="497"/>
      <c r="P5185" s="497">
        <f t="shared" si="313"/>
        <v>875</v>
      </c>
      <c r="Q5185" s="497" t="b">
        <v>0</v>
      </c>
    </row>
    <row r="5186" spans="1:17" x14ac:dyDescent="0.35">
      <c r="A5186" s="497" t="b">
        <v>0</v>
      </c>
      <c r="B5186" s="497" t="s">
        <v>11110</v>
      </c>
      <c r="C5186" s="512">
        <v>146</v>
      </c>
      <c r="D5186" s="497">
        <f t="shared" si="310"/>
        <v>396</v>
      </c>
      <c r="E5186" s="497">
        <f t="shared" si="311"/>
        <v>6</v>
      </c>
      <c r="F5186" s="497">
        <f t="shared" ca="1" si="312"/>
        <v>154</v>
      </c>
      <c r="G5186" s="497" t="s">
        <v>10205</v>
      </c>
      <c r="H5186" s="503"/>
      <c r="I5186" s="503"/>
      <c r="J5186" s="503"/>
      <c r="K5186" s="503"/>
      <c r="L5186" s="497"/>
      <c r="M5186" s="497"/>
      <c r="N5186" s="497"/>
      <c r="O5186" s="497"/>
      <c r="P5186" s="497">
        <f t="shared" si="313"/>
        <v>876</v>
      </c>
      <c r="Q5186" s="497" t="b">
        <v>0</v>
      </c>
    </row>
    <row r="5187" spans="1:17" x14ac:dyDescent="0.35">
      <c r="A5187" s="497" t="b">
        <v>0</v>
      </c>
      <c r="B5187" s="497" t="s">
        <v>11111</v>
      </c>
      <c r="C5187" s="512">
        <v>147</v>
      </c>
      <c r="D5187" s="497">
        <f t="shared" si="310"/>
        <v>397</v>
      </c>
      <c r="E5187" s="497">
        <f t="shared" si="311"/>
        <v>1</v>
      </c>
      <c r="F5187" s="497">
        <f t="shared" ca="1" si="312"/>
        <v>155</v>
      </c>
      <c r="G5187" s="497" t="s">
        <v>10207</v>
      </c>
      <c r="H5187" s="503"/>
      <c r="I5187" s="503"/>
      <c r="J5187" s="503"/>
      <c r="K5187" s="503"/>
      <c r="L5187" s="497"/>
      <c r="M5187" s="497"/>
      <c r="N5187" s="497"/>
      <c r="O5187" s="497"/>
      <c r="P5187" s="497">
        <f t="shared" si="313"/>
        <v>877</v>
      </c>
      <c r="Q5187" s="497" t="b">
        <v>0</v>
      </c>
    </row>
    <row r="5188" spans="1:17" x14ac:dyDescent="0.35">
      <c r="A5188" s="497" t="b">
        <v>0</v>
      </c>
      <c r="B5188" s="497" t="s">
        <v>11112</v>
      </c>
      <c r="C5188" s="512">
        <v>147</v>
      </c>
      <c r="D5188" s="497">
        <f t="shared" si="310"/>
        <v>398</v>
      </c>
      <c r="E5188" s="497">
        <f t="shared" si="311"/>
        <v>2</v>
      </c>
      <c r="F5188" s="497">
        <f t="shared" ca="1" si="312"/>
        <v>155</v>
      </c>
      <c r="G5188" s="497" t="s">
        <v>10207</v>
      </c>
      <c r="H5188" s="503"/>
      <c r="I5188" s="503"/>
      <c r="J5188" s="503"/>
      <c r="K5188" s="503"/>
      <c r="L5188" s="497"/>
      <c r="M5188" s="497"/>
      <c r="N5188" s="497"/>
      <c r="O5188" s="497"/>
      <c r="P5188" s="497">
        <f t="shared" si="313"/>
        <v>878</v>
      </c>
      <c r="Q5188" s="497" t="b">
        <v>0</v>
      </c>
    </row>
    <row r="5189" spans="1:17" x14ac:dyDescent="0.35">
      <c r="A5189" s="497" t="b">
        <v>0</v>
      </c>
      <c r="B5189" s="497" t="s">
        <v>11113</v>
      </c>
      <c r="C5189" s="512">
        <v>147</v>
      </c>
      <c r="D5189" s="497">
        <f t="shared" si="310"/>
        <v>399</v>
      </c>
      <c r="E5189" s="497">
        <f t="shared" si="311"/>
        <v>3</v>
      </c>
      <c r="F5189" s="497">
        <f t="shared" ca="1" si="312"/>
        <v>155</v>
      </c>
      <c r="G5189" s="497" t="s">
        <v>10207</v>
      </c>
      <c r="H5189" s="503"/>
      <c r="I5189" s="503"/>
      <c r="J5189" s="503"/>
      <c r="K5189" s="503"/>
      <c r="L5189" s="497"/>
      <c r="M5189" s="497"/>
      <c r="N5189" s="497"/>
      <c r="O5189" s="497"/>
      <c r="P5189" s="497">
        <f t="shared" si="313"/>
        <v>879</v>
      </c>
      <c r="Q5189" s="497" t="b">
        <v>0</v>
      </c>
    </row>
    <row r="5190" spans="1:17" x14ac:dyDescent="0.35">
      <c r="A5190" s="497" t="b">
        <v>0</v>
      </c>
      <c r="B5190" s="497" t="s">
        <v>11114</v>
      </c>
      <c r="C5190" s="512">
        <v>147</v>
      </c>
      <c r="D5190" s="497">
        <f t="shared" si="310"/>
        <v>400</v>
      </c>
      <c r="E5190" s="497">
        <f t="shared" si="311"/>
        <v>4</v>
      </c>
      <c r="F5190" s="497">
        <f t="shared" ca="1" si="312"/>
        <v>155</v>
      </c>
      <c r="G5190" s="497" t="s">
        <v>10207</v>
      </c>
      <c r="H5190" s="503"/>
      <c r="I5190" s="503"/>
      <c r="J5190" s="503"/>
      <c r="K5190" s="503"/>
      <c r="L5190" s="497"/>
      <c r="M5190" s="497"/>
      <c r="N5190" s="497"/>
      <c r="O5190" s="497"/>
      <c r="P5190" s="497">
        <f t="shared" si="313"/>
        <v>880</v>
      </c>
      <c r="Q5190" s="497" t="b">
        <v>0</v>
      </c>
    </row>
    <row r="5191" spans="1:17" x14ac:dyDescent="0.35">
      <c r="A5191" s="497" t="b">
        <v>0</v>
      </c>
      <c r="B5191" s="497" t="s">
        <v>11115</v>
      </c>
      <c r="C5191" s="512">
        <v>147</v>
      </c>
      <c r="D5191" s="497">
        <f t="shared" si="310"/>
        <v>401</v>
      </c>
      <c r="E5191" s="497">
        <f t="shared" si="311"/>
        <v>5</v>
      </c>
      <c r="F5191" s="497">
        <f t="shared" ca="1" si="312"/>
        <v>155</v>
      </c>
      <c r="G5191" s="497" t="s">
        <v>10207</v>
      </c>
      <c r="H5191" s="503"/>
      <c r="I5191" s="503"/>
      <c r="J5191" s="503"/>
      <c r="K5191" s="503"/>
      <c r="L5191" s="497"/>
      <c r="M5191" s="497"/>
      <c r="N5191" s="497"/>
      <c r="O5191" s="497"/>
      <c r="P5191" s="497">
        <f t="shared" si="313"/>
        <v>881</v>
      </c>
      <c r="Q5191" s="497" t="b">
        <v>0</v>
      </c>
    </row>
    <row r="5192" spans="1:17" x14ac:dyDescent="0.35">
      <c r="A5192" s="497" t="b">
        <v>0</v>
      </c>
      <c r="B5192" s="497" t="s">
        <v>11116</v>
      </c>
      <c r="C5192" s="512">
        <v>147</v>
      </c>
      <c r="D5192" s="497">
        <f t="shared" si="310"/>
        <v>402</v>
      </c>
      <c r="E5192" s="497">
        <f t="shared" si="311"/>
        <v>6</v>
      </c>
      <c r="F5192" s="497">
        <f t="shared" ca="1" si="312"/>
        <v>155</v>
      </c>
      <c r="G5192" s="497" t="s">
        <v>10207</v>
      </c>
      <c r="H5192" s="503"/>
      <c r="I5192" s="503"/>
      <c r="J5192" s="503"/>
      <c r="K5192" s="503"/>
      <c r="L5192" s="497"/>
      <c r="M5192" s="497"/>
      <c r="N5192" s="497"/>
      <c r="O5192" s="497"/>
      <c r="P5192" s="497">
        <f t="shared" si="313"/>
        <v>882</v>
      </c>
      <c r="Q5192" s="497" t="b">
        <v>0</v>
      </c>
    </row>
    <row r="5193" spans="1:17" x14ac:dyDescent="0.35">
      <c r="A5193" s="497" t="b">
        <v>0</v>
      </c>
      <c r="B5193" s="497" t="s">
        <v>11117</v>
      </c>
      <c r="C5193" s="512">
        <v>148</v>
      </c>
      <c r="D5193" s="497">
        <f t="shared" si="310"/>
        <v>403</v>
      </c>
      <c r="E5193" s="497">
        <f t="shared" si="311"/>
        <v>1</v>
      </c>
      <c r="F5193" s="497">
        <f t="shared" ca="1" si="312"/>
        <v>156</v>
      </c>
      <c r="G5193" s="497" t="s">
        <v>10209</v>
      </c>
      <c r="H5193" s="503"/>
      <c r="I5193" s="503"/>
      <c r="J5193" s="503"/>
      <c r="K5193" s="503"/>
      <c r="L5193" s="497"/>
      <c r="M5193" s="497"/>
      <c r="N5193" s="497"/>
      <c r="O5193" s="497"/>
      <c r="P5193" s="497">
        <f t="shared" si="313"/>
        <v>883</v>
      </c>
      <c r="Q5193" s="497" t="b">
        <v>0</v>
      </c>
    </row>
    <row r="5194" spans="1:17" x14ac:dyDescent="0.35">
      <c r="A5194" s="497" t="b">
        <v>0</v>
      </c>
      <c r="B5194" s="497" t="s">
        <v>11118</v>
      </c>
      <c r="C5194" s="512">
        <v>148</v>
      </c>
      <c r="D5194" s="497">
        <f t="shared" si="310"/>
        <v>404</v>
      </c>
      <c r="E5194" s="497">
        <f t="shared" si="311"/>
        <v>2</v>
      </c>
      <c r="F5194" s="497">
        <f t="shared" ca="1" si="312"/>
        <v>156</v>
      </c>
      <c r="G5194" s="497" t="s">
        <v>10209</v>
      </c>
      <c r="H5194" s="503"/>
      <c r="I5194" s="503"/>
      <c r="J5194" s="503"/>
      <c r="K5194" s="503"/>
      <c r="L5194" s="497"/>
      <c r="M5194" s="497"/>
      <c r="N5194" s="497"/>
      <c r="O5194" s="497"/>
      <c r="P5194" s="497">
        <f t="shared" si="313"/>
        <v>884</v>
      </c>
      <c r="Q5194" s="497" t="b">
        <v>0</v>
      </c>
    </row>
    <row r="5195" spans="1:17" x14ac:dyDescent="0.35">
      <c r="A5195" s="497" t="b">
        <v>0</v>
      </c>
      <c r="B5195" s="497" t="s">
        <v>11119</v>
      </c>
      <c r="C5195" s="512">
        <v>148</v>
      </c>
      <c r="D5195" s="497">
        <f t="shared" si="310"/>
        <v>405</v>
      </c>
      <c r="E5195" s="497">
        <f t="shared" si="311"/>
        <v>3</v>
      </c>
      <c r="F5195" s="497">
        <f t="shared" ca="1" si="312"/>
        <v>156</v>
      </c>
      <c r="G5195" s="497" t="s">
        <v>10209</v>
      </c>
      <c r="H5195" s="503"/>
      <c r="I5195" s="503"/>
      <c r="J5195" s="503"/>
      <c r="K5195" s="503"/>
      <c r="L5195" s="497"/>
      <c r="M5195" s="497"/>
      <c r="N5195" s="497"/>
      <c r="O5195" s="497"/>
      <c r="P5195" s="497">
        <f t="shared" si="313"/>
        <v>885</v>
      </c>
      <c r="Q5195" s="497" t="b">
        <v>0</v>
      </c>
    </row>
    <row r="5196" spans="1:17" x14ac:dyDescent="0.35">
      <c r="A5196" s="497" t="b">
        <v>0</v>
      </c>
      <c r="B5196" s="497" t="s">
        <v>11120</v>
      </c>
      <c r="C5196" s="512">
        <v>148</v>
      </c>
      <c r="D5196" s="497">
        <f t="shared" si="310"/>
        <v>406</v>
      </c>
      <c r="E5196" s="497">
        <f t="shared" si="311"/>
        <v>4</v>
      </c>
      <c r="F5196" s="497">
        <f t="shared" ca="1" si="312"/>
        <v>156</v>
      </c>
      <c r="G5196" s="497" t="s">
        <v>10209</v>
      </c>
      <c r="H5196" s="503"/>
      <c r="I5196" s="503"/>
      <c r="J5196" s="503"/>
      <c r="K5196" s="503"/>
      <c r="L5196" s="497"/>
      <c r="M5196" s="497"/>
      <c r="N5196" s="497"/>
      <c r="O5196" s="497"/>
      <c r="P5196" s="497">
        <f t="shared" si="313"/>
        <v>886</v>
      </c>
      <c r="Q5196" s="497" t="b">
        <v>0</v>
      </c>
    </row>
    <row r="5197" spans="1:17" x14ac:dyDescent="0.35">
      <c r="A5197" s="497" t="b">
        <v>0</v>
      </c>
      <c r="B5197" s="497" t="s">
        <v>11121</v>
      </c>
      <c r="C5197" s="512">
        <v>148</v>
      </c>
      <c r="D5197" s="497">
        <f t="shared" si="310"/>
        <v>407</v>
      </c>
      <c r="E5197" s="497">
        <f t="shared" si="311"/>
        <v>5</v>
      </c>
      <c r="F5197" s="497">
        <f t="shared" ca="1" si="312"/>
        <v>156</v>
      </c>
      <c r="G5197" s="497" t="s">
        <v>10209</v>
      </c>
      <c r="H5197" s="503"/>
      <c r="I5197" s="503"/>
      <c r="J5197" s="503"/>
      <c r="K5197" s="503"/>
      <c r="L5197" s="497"/>
      <c r="M5197" s="497"/>
      <c r="N5197" s="497"/>
      <c r="O5197" s="497"/>
      <c r="P5197" s="497">
        <f t="shared" si="313"/>
        <v>887</v>
      </c>
      <c r="Q5197" s="497" t="b">
        <v>0</v>
      </c>
    </row>
    <row r="5198" spans="1:17" x14ac:dyDescent="0.35">
      <c r="A5198" s="497" t="b">
        <v>0</v>
      </c>
      <c r="B5198" s="497" t="s">
        <v>11122</v>
      </c>
      <c r="C5198" s="512">
        <v>148</v>
      </c>
      <c r="D5198" s="497">
        <f t="shared" si="310"/>
        <v>408</v>
      </c>
      <c r="E5198" s="497">
        <f t="shared" si="311"/>
        <v>6</v>
      </c>
      <c r="F5198" s="497">
        <f t="shared" ca="1" si="312"/>
        <v>156</v>
      </c>
      <c r="G5198" s="497" t="s">
        <v>10209</v>
      </c>
      <c r="H5198" s="503"/>
      <c r="I5198" s="503"/>
      <c r="J5198" s="503"/>
      <c r="K5198" s="503"/>
      <c r="L5198" s="497"/>
      <c r="M5198" s="497"/>
      <c r="N5198" s="497"/>
      <c r="O5198" s="497"/>
      <c r="P5198" s="497">
        <f t="shared" si="313"/>
        <v>888</v>
      </c>
      <c r="Q5198" s="497" t="b">
        <v>0</v>
      </c>
    </row>
    <row r="5199" spans="1:17" x14ac:dyDescent="0.35">
      <c r="A5199" s="497" t="b">
        <v>0</v>
      </c>
      <c r="B5199" s="497" t="s">
        <v>11123</v>
      </c>
      <c r="C5199" s="512">
        <v>149</v>
      </c>
      <c r="D5199" s="497">
        <f t="shared" si="310"/>
        <v>409</v>
      </c>
      <c r="E5199" s="497">
        <f t="shared" si="311"/>
        <v>1</v>
      </c>
      <c r="F5199" s="497">
        <f t="shared" ca="1" si="312"/>
        <v>157</v>
      </c>
      <c r="G5199" s="497" t="s">
        <v>10211</v>
      </c>
      <c r="H5199" s="503"/>
      <c r="I5199" s="503"/>
      <c r="J5199" s="503"/>
      <c r="K5199" s="503"/>
      <c r="L5199" s="497"/>
      <c r="M5199" s="497"/>
      <c r="N5199" s="497"/>
      <c r="O5199" s="497"/>
      <c r="P5199" s="497">
        <f t="shared" si="313"/>
        <v>889</v>
      </c>
      <c r="Q5199" s="497" t="b">
        <v>0</v>
      </c>
    </row>
    <row r="5200" spans="1:17" x14ac:dyDescent="0.35">
      <c r="A5200" s="497" t="b">
        <v>0</v>
      </c>
      <c r="B5200" s="497" t="s">
        <v>11124</v>
      </c>
      <c r="C5200" s="512">
        <v>149</v>
      </c>
      <c r="D5200" s="497">
        <f t="shared" si="310"/>
        <v>410</v>
      </c>
      <c r="E5200" s="497">
        <f t="shared" si="311"/>
        <v>2</v>
      </c>
      <c r="F5200" s="497">
        <f t="shared" ca="1" si="312"/>
        <v>157</v>
      </c>
      <c r="G5200" s="497" t="s">
        <v>10211</v>
      </c>
      <c r="H5200" s="503"/>
      <c r="I5200" s="503"/>
      <c r="J5200" s="503"/>
      <c r="K5200" s="503"/>
      <c r="L5200" s="497"/>
      <c r="M5200" s="497"/>
      <c r="N5200" s="497"/>
      <c r="O5200" s="497"/>
      <c r="P5200" s="497">
        <f t="shared" si="313"/>
        <v>890</v>
      </c>
      <c r="Q5200" s="497" t="b">
        <v>0</v>
      </c>
    </row>
    <row r="5201" spans="1:17" x14ac:dyDescent="0.35">
      <c r="A5201" s="497" t="b">
        <v>0</v>
      </c>
      <c r="B5201" s="497" t="s">
        <v>11125</v>
      </c>
      <c r="C5201" s="512">
        <v>149</v>
      </c>
      <c r="D5201" s="497">
        <f t="shared" si="310"/>
        <v>411</v>
      </c>
      <c r="E5201" s="497">
        <f t="shared" si="311"/>
        <v>3</v>
      </c>
      <c r="F5201" s="497">
        <f t="shared" ca="1" si="312"/>
        <v>157</v>
      </c>
      <c r="G5201" s="497" t="s">
        <v>10211</v>
      </c>
      <c r="H5201" s="503"/>
      <c r="I5201" s="503"/>
      <c r="J5201" s="503"/>
      <c r="K5201" s="503"/>
      <c r="L5201" s="497"/>
      <c r="M5201" s="497"/>
      <c r="N5201" s="497"/>
      <c r="O5201" s="497"/>
      <c r="P5201" s="497">
        <f t="shared" si="313"/>
        <v>891</v>
      </c>
      <c r="Q5201" s="497" t="b">
        <v>0</v>
      </c>
    </row>
    <row r="5202" spans="1:17" x14ac:dyDescent="0.35">
      <c r="A5202" s="497" t="b">
        <v>0</v>
      </c>
      <c r="B5202" s="497" t="s">
        <v>11126</v>
      </c>
      <c r="C5202" s="512">
        <v>149</v>
      </c>
      <c r="D5202" s="497">
        <f t="shared" si="310"/>
        <v>412</v>
      </c>
      <c r="E5202" s="497">
        <f t="shared" si="311"/>
        <v>4</v>
      </c>
      <c r="F5202" s="497">
        <f t="shared" ca="1" si="312"/>
        <v>157</v>
      </c>
      <c r="G5202" s="497" t="s">
        <v>10211</v>
      </c>
      <c r="H5202" s="503"/>
      <c r="I5202" s="503"/>
      <c r="J5202" s="503"/>
      <c r="K5202" s="503"/>
      <c r="L5202" s="497"/>
      <c r="M5202" s="497"/>
      <c r="N5202" s="497"/>
      <c r="O5202" s="497"/>
      <c r="P5202" s="497">
        <f t="shared" si="313"/>
        <v>892</v>
      </c>
      <c r="Q5202" s="497" t="b">
        <v>0</v>
      </c>
    </row>
    <row r="5203" spans="1:17" x14ac:dyDescent="0.35">
      <c r="A5203" s="497" t="b">
        <v>0</v>
      </c>
      <c r="B5203" s="497" t="s">
        <v>11127</v>
      </c>
      <c r="C5203" s="512">
        <v>149</v>
      </c>
      <c r="D5203" s="497">
        <f t="shared" si="310"/>
        <v>413</v>
      </c>
      <c r="E5203" s="497">
        <f t="shared" si="311"/>
        <v>5</v>
      </c>
      <c r="F5203" s="497">
        <f t="shared" ca="1" si="312"/>
        <v>157</v>
      </c>
      <c r="G5203" s="497" t="s">
        <v>10211</v>
      </c>
      <c r="H5203" s="503"/>
      <c r="I5203" s="503"/>
      <c r="J5203" s="503"/>
      <c r="K5203" s="503"/>
      <c r="L5203" s="497"/>
      <c r="M5203" s="497"/>
      <c r="N5203" s="497"/>
      <c r="O5203" s="497"/>
      <c r="P5203" s="497">
        <f t="shared" si="313"/>
        <v>893</v>
      </c>
      <c r="Q5203" s="497" t="b">
        <v>0</v>
      </c>
    </row>
    <row r="5204" spans="1:17" x14ac:dyDescent="0.35">
      <c r="A5204" s="497" t="b">
        <v>0</v>
      </c>
      <c r="B5204" s="497" t="s">
        <v>11128</v>
      </c>
      <c r="C5204" s="512">
        <v>149</v>
      </c>
      <c r="D5204" s="497">
        <f t="shared" si="310"/>
        <v>414</v>
      </c>
      <c r="E5204" s="497">
        <f t="shared" si="311"/>
        <v>6</v>
      </c>
      <c r="F5204" s="497">
        <f t="shared" ca="1" si="312"/>
        <v>157</v>
      </c>
      <c r="G5204" s="497" t="s">
        <v>10211</v>
      </c>
      <c r="H5204" s="503"/>
      <c r="I5204" s="503"/>
      <c r="J5204" s="503"/>
      <c r="K5204" s="503"/>
      <c r="L5204" s="497"/>
      <c r="M5204" s="497"/>
      <c r="N5204" s="497"/>
      <c r="O5204" s="497"/>
      <c r="P5204" s="497">
        <f t="shared" si="313"/>
        <v>894</v>
      </c>
      <c r="Q5204" s="497" t="b">
        <v>0</v>
      </c>
    </row>
    <row r="5205" spans="1:17" x14ac:dyDescent="0.35">
      <c r="A5205" s="497" t="b">
        <v>0</v>
      </c>
      <c r="B5205" s="497" t="s">
        <v>11129</v>
      </c>
      <c r="C5205" s="512">
        <v>150</v>
      </c>
      <c r="D5205" s="497">
        <f t="shared" si="310"/>
        <v>415</v>
      </c>
      <c r="E5205" s="497">
        <f t="shared" si="311"/>
        <v>1</v>
      </c>
      <c r="F5205" s="497">
        <f t="shared" ca="1" si="312"/>
        <v>158</v>
      </c>
      <c r="G5205" s="497" t="s">
        <v>10213</v>
      </c>
      <c r="H5205" s="503"/>
      <c r="I5205" s="503"/>
      <c r="J5205" s="503"/>
      <c r="K5205" s="503"/>
      <c r="L5205" s="497"/>
      <c r="M5205" s="497"/>
      <c r="N5205" s="497"/>
      <c r="O5205" s="497"/>
      <c r="P5205" s="497">
        <f t="shared" si="313"/>
        <v>895</v>
      </c>
      <c r="Q5205" s="497" t="b">
        <v>0</v>
      </c>
    </row>
    <row r="5206" spans="1:17" x14ac:dyDescent="0.35">
      <c r="A5206" s="497" t="b">
        <v>0</v>
      </c>
      <c r="B5206" s="497" t="s">
        <v>11130</v>
      </c>
      <c r="C5206" s="512">
        <v>150</v>
      </c>
      <c r="D5206" s="497">
        <f t="shared" si="310"/>
        <v>416</v>
      </c>
      <c r="E5206" s="497">
        <f t="shared" si="311"/>
        <v>2</v>
      </c>
      <c r="F5206" s="497">
        <f t="shared" ca="1" si="312"/>
        <v>158</v>
      </c>
      <c r="G5206" s="497" t="s">
        <v>10213</v>
      </c>
      <c r="H5206" s="503"/>
      <c r="I5206" s="503"/>
      <c r="J5206" s="503"/>
      <c r="K5206" s="503"/>
      <c r="L5206" s="497"/>
      <c r="M5206" s="497"/>
      <c r="N5206" s="497"/>
      <c r="O5206" s="497"/>
      <c r="P5206" s="497">
        <f t="shared" si="313"/>
        <v>896</v>
      </c>
      <c r="Q5206" s="497" t="b">
        <v>0</v>
      </c>
    </row>
    <row r="5207" spans="1:17" x14ac:dyDescent="0.35">
      <c r="A5207" s="497" t="b">
        <v>0</v>
      </c>
      <c r="B5207" s="497" t="s">
        <v>11131</v>
      </c>
      <c r="C5207" s="512">
        <v>150</v>
      </c>
      <c r="D5207" s="497">
        <f t="shared" ref="D5207:D5270" si="314">D5206+1</f>
        <v>417</v>
      </c>
      <c r="E5207" s="497">
        <f t="shared" ref="E5207:E5270" si="315">COUNTIF(C4957:C5207,C5207)</f>
        <v>3</v>
      </c>
      <c r="F5207" s="497">
        <f t="shared" ref="F5207:F5270" ca="1" si="316">IF(C5207=1,9,IF(E5206=MAX(E5205:E5207),F5205+1,F5206))</f>
        <v>158</v>
      </c>
      <c r="G5207" s="497" t="s">
        <v>10213</v>
      </c>
      <c r="H5207" s="503"/>
      <c r="I5207" s="503"/>
      <c r="J5207" s="503"/>
      <c r="K5207" s="503"/>
      <c r="L5207" s="497"/>
      <c r="M5207" s="497"/>
      <c r="N5207" s="497"/>
      <c r="O5207" s="497"/>
      <c r="P5207" s="497">
        <f t="shared" ref="P5207:P5270" si="317">IF(NOT(_xlfn.ISFORMULA(I5207)),P5206+1,0)</f>
        <v>897</v>
      </c>
      <c r="Q5207" s="497" t="b">
        <v>0</v>
      </c>
    </row>
    <row r="5208" spans="1:17" x14ac:dyDescent="0.35">
      <c r="A5208" s="497" t="b">
        <v>0</v>
      </c>
      <c r="B5208" s="497" t="s">
        <v>11132</v>
      </c>
      <c r="C5208" s="512">
        <v>150</v>
      </c>
      <c r="D5208" s="497">
        <f t="shared" si="314"/>
        <v>418</v>
      </c>
      <c r="E5208" s="497">
        <f t="shared" si="315"/>
        <v>4</v>
      </c>
      <c r="F5208" s="497">
        <f t="shared" ca="1" si="316"/>
        <v>158</v>
      </c>
      <c r="G5208" s="497" t="s">
        <v>10213</v>
      </c>
      <c r="H5208" s="503"/>
      <c r="I5208" s="503"/>
      <c r="J5208" s="503"/>
      <c r="K5208" s="503"/>
      <c r="L5208" s="497"/>
      <c r="M5208" s="497"/>
      <c r="N5208" s="497"/>
      <c r="O5208" s="497"/>
      <c r="P5208" s="497">
        <f t="shared" si="317"/>
        <v>898</v>
      </c>
      <c r="Q5208" s="497" t="b">
        <v>0</v>
      </c>
    </row>
    <row r="5209" spans="1:17" x14ac:dyDescent="0.35">
      <c r="A5209" s="497" t="b">
        <v>0</v>
      </c>
      <c r="B5209" s="497" t="s">
        <v>11133</v>
      </c>
      <c r="C5209" s="512">
        <v>150</v>
      </c>
      <c r="D5209" s="497">
        <f t="shared" si="314"/>
        <v>419</v>
      </c>
      <c r="E5209" s="497">
        <f t="shared" si="315"/>
        <v>5</v>
      </c>
      <c r="F5209" s="497">
        <f t="shared" ca="1" si="316"/>
        <v>158</v>
      </c>
      <c r="G5209" s="497" t="s">
        <v>10213</v>
      </c>
      <c r="H5209" s="503"/>
      <c r="I5209" s="503"/>
      <c r="J5209" s="503"/>
      <c r="K5209" s="503"/>
      <c r="L5209" s="497"/>
      <c r="M5209" s="497"/>
      <c r="N5209" s="497"/>
      <c r="O5209" s="497"/>
      <c r="P5209" s="497">
        <f t="shared" si="317"/>
        <v>899</v>
      </c>
      <c r="Q5209" s="497" t="b">
        <v>0</v>
      </c>
    </row>
    <row r="5210" spans="1:17" x14ac:dyDescent="0.35">
      <c r="A5210" s="497" t="b">
        <v>0</v>
      </c>
      <c r="B5210" s="497" t="s">
        <v>11134</v>
      </c>
      <c r="C5210" s="512">
        <v>150</v>
      </c>
      <c r="D5210" s="497">
        <f t="shared" si="314"/>
        <v>420</v>
      </c>
      <c r="E5210" s="497">
        <f t="shared" si="315"/>
        <v>6</v>
      </c>
      <c r="F5210" s="497">
        <f t="shared" ca="1" si="316"/>
        <v>158</v>
      </c>
      <c r="G5210" s="497" t="s">
        <v>10213</v>
      </c>
      <c r="H5210" s="503"/>
      <c r="I5210" s="503"/>
      <c r="J5210" s="503"/>
      <c r="K5210" s="503"/>
      <c r="L5210" s="497"/>
      <c r="M5210" s="497"/>
      <c r="N5210" s="497"/>
      <c r="O5210" s="497"/>
      <c r="P5210" s="497">
        <f t="shared" si="317"/>
        <v>900</v>
      </c>
      <c r="Q5210" s="497" t="b">
        <v>0</v>
      </c>
    </row>
    <row r="5211" spans="1:17" x14ac:dyDescent="0.35">
      <c r="A5211" s="497" t="b">
        <v>0</v>
      </c>
      <c r="B5211" s="497" t="s">
        <v>11135</v>
      </c>
      <c r="C5211" s="512">
        <v>151</v>
      </c>
      <c r="D5211" s="497">
        <f t="shared" si="314"/>
        <v>421</v>
      </c>
      <c r="E5211" s="497">
        <f t="shared" si="315"/>
        <v>1</v>
      </c>
      <c r="F5211" s="497">
        <f t="shared" ca="1" si="316"/>
        <v>159</v>
      </c>
      <c r="G5211" s="497" t="s">
        <v>10215</v>
      </c>
      <c r="H5211" s="503"/>
      <c r="I5211" s="503"/>
      <c r="J5211" s="503"/>
      <c r="K5211" s="503"/>
      <c r="L5211" s="497"/>
      <c r="M5211" s="497"/>
      <c r="N5211" s="497"/>
      <c r="O5211" s="497"/>
      <c r="P5211" s="497">
        <f t="shared" si="317"/>
        <v>901</v>
      </c>
      <c r="Q5211" s="497" t="b">
        <v>0</v>
      </c>
    </row>
    <row r="5212" spans="1:17" x14ac:dyDescent="0.35">
      <c r="A5212" s="497" t="b">
        <v>0</v>
      </c>
      <c r="B5212" s="497" t="s">
        <v>11136</v>
      </c>
      <c r="C5212" s="512">
        <v>151</v>
      </c>
      <c r="D5212" s="497">
        <f t="shared" si="314"/>
        <v>422</v>
      </c>
      <c r="E5212" s="497">
        <f t="shared" si="315"/>
        <v>2</v>
      </c>
      <c r="F5212" s="497">
        <f t="shared" ca="1" si="316"/>
        <v>159</v>
      </c>
      <c r="G5212" s="497" t="s">
        <v>10215</v>
      </c>
      <c r="H5212" s="503"/>
      <c r="I5212" s="503"/>
      <c r="J5212" s="503"/>
      <c r="K5212" s="503"/>
      <c r="L5212" s="497"/>
      <c r="M5212" s="497"/>
      <c r="N5212" s="497"/>
      <c r="O5212" s="497"/>
      <c r="P5212" s="497">
        <f t="shared" si="317"/>
        <v>902</v>
      </c>
      <c r="Q5212" s="497" t="b">
        <v>0</v>
      </c>
    </row>
    <row r="5213" spans="1:17" x14ac:dyDescent="0.35">
      <c r="A5213" s="497" t="b">
        <v>0</v>
      </c>
      <c r="B5213" s="497" t="s">
        <v>11137</v>
      </c>
      <c r="C5213" s="512">
        <v>151</v>
      </c>
      <c r="D5213" s="497">
        <f t="shared" si="314"/>
        <v>423</v>
      </c>
      <c r="E5213" s="497">
        <f t="shared" si="315"/>
        <v>3</v>
      </c>
      <c r="F5213" s="497">
        <f t="shared" ca="1" si="316"/>
        <v>159</v>
      </c>
      <c r="G5213" s="497" t="s">
        <v>10215</v>
      </c>
      <c r="H5213" s="503"/>
      <c r="I5213" s="503"/>
      <c r="J5213" s="503"/>
      <c r="K5213" s="503"/>
      <c r="L5213" s="497"/>
      <c r="M5213" s="497"/>
      <c r="N5213" s="497"/>
      <c r="O5213" s="497"/>
      <c r="P5213" s="497">
        <f t="shared" si="317"/>
        <v>903</v>
      </c>
      <c r="Q5213" s="497" t="b">
        <v>0</v>
      </c>
    </row>
    <row r="5214" spans="1:17" x14ac:dyDescent="0.35">
      <c r="A5214" s="497" t="b">
        <v>0</v>
      </c>
      <c r="B5214" s="497" t="s">
        <v>11138</v>
      </c>
      <c r="C5214" s="512">
        <v>151</v>
      </c>
      <c r="D5214" s="497">
        <f t="shared" si="314"/>
        <v>424</v>
      </c>
      <c r="E5214" s="497">
        <f t="shared" si="315"/>
        <v>4</v>
      </c>
      <c r="F5214" s="497">
        <f t="shared" ca="1" si="316"/>
        <v>159</v>
      </c>
      <c r="G5214" s="497" t="s">
        <v>10215</v>
      </c>
      <c r="H5214" s="503"/>
      <c r="I5214" s="503"/>
      <c r="J5214" s="503"/>
      <c r="K5214" s="503"/>
      <c r="L5214" s="497"/>
      <c r="M5214" s="497"/>
      <c r="N5214" s="497"/>
      <c r="O5214" s="497"/>
      <c r="P5214" s="497">
        <f t="shared" si="317"/>
        <v>904</v>
      </c>
      <c r="Q5214" s="497" t="b">
        <v>0</v>
      </c>
    </row>
    <row r="5215" spans="1:17" x14ac:dyDescent="0.35">
      <c r="A5215" s="497" t="b">
        <v>0</v>
      </c>
      <c r="B5215" s="497" t="s">
        <v>11139</v>
      </c>
      <c r="C5215" s="512">
        <v>151</v>
      </c>
      <c r="D5215" s="497">
        <f t="shared" si="314"/>
        <v>425</v>
      </c>
      <c r="E5215" s="497">
        <f t="shared" si="315"/>
        <v>5</v>
      </c>
      <c r="F5215" s="497">
        <f t="shared" ca="1" si="316"/>
        <v>159</v>
      </c>
      <c r="G5215" s="497" t="s">
        <v>10215</v>
      </c>
      <c r="H5215" s="503"/>
      <c r="I5215" s="503"/>
      <c r="J5215" s="503"/>
      <c r="K5215" s="503"/>
      <c r="L5215" s="497"/>
      <c r="M5215" s="497"/>
      <c r="N5215" s="497"/>
      <c r="O5215" s="497"/>
      <c r="P5215" s="497">
        <f t="shared" si="317"/>
        <v>905</v>
      </c>
      <c r="Q5215" s="497" t="b">
        <v>0</v>
      </c>
    </row>
    <row r="5216" spans="1:17" x14ac:dyDescent="0.35">
      <c r="A5216" s="497" t="b">
        <v>0</v>
      </c>
      <c r="B5216" s="497" t="s">
        <v>11140</v>
      </c>
      <c r="C5216" s="512">
        <v>151</v>
      </c>
      <c r="D5216" s="497">
        <f t="shared" si="314"/>
        <v>426</v>
      </c>
      <c r="E5216" s="497">
        <f t="shared" si="315"/>
        <v>6</v>
      </c>
      <c r="F5216" s="497">
        <f t="shared" ca="1" si="316"/>
        <v>159</v>
      </c>
      <c r="G5216" s="497" t="s">
        <v>10215</v>
      </c>
      <c r="H5216" s="503"/>
      <c r="I5216" s="503"/>
      <c r="J5216" s="503"/>
      <c r="K5216" s="503"/>
      <c r="L5216" s="497"/>
      <c r="M5216" s="497"/>
      <c r="N5216" s="497"/>
      <c r="O5216" s="497"/>
      <c r="P5216" s="497">
        <f t="shared" si="317"/>
        <v>906</v>
      </c>
      <c r="Q5216" s="497" t="b">
        <v>0</v>
      </c>
    </row>
    <row r="5217" spans="1:17" x14ac:dyDescent="0.35">
      <c r="A5217" s="497" t="b">
        <v>0</v>
      </c>
      <c r="B5217" s="497" t="s">
        <v>11141</v>
      </c>
      <c r="C5217" s="512">
        <v>152</v>
      </c>
      <c r="D5217" s="497">
        <f t="shared" si="314"/>
        <v>427</v>
      </c>
      <c r="E5217" s="497">
        <f t="shared" si="315"/>
        <v>1</v>
      </c>
      <c r="F5217" s="497">
        <f t="shared" ca="1" si="316"/>
        <v>160</v>
      </c>
      <c r="G5217" s="497" t="s">
        <v>10217</v>
      </c>
      <c r="H5217" s="503"/>
      <c r="I5217" s="503"/>
      <c r="J5217" s="503"/>
      <c r="K5217" s="503"/>
      <c r="L5217" s="497"/>
      <c r="M5217" s="497"/>
      <c r="N5217" s="497"/>
      <c r="O5217" s="497"/>
      <c r="P5217" s="497">
        <f t="shared" si="317"/>
        <v>907</v>
      </c>
      <c r="Q5217" s="497" t="b">
        <v>0</v>
      </c>
    </row>
    <row r="5218" spans="1:17" x14ac:dyDescent="0.35">
      <c r="A5218" s="497" t="b">
        <v>0</v>
      </c>
      <c r="B5218" s="497" t="s">
        <v>11142</v>
      </c>
      <c r="C5218" s="512">
        <v>152</v>
      </c>
      <c r="D5218" s="497">
        <f t="shared" si="314"/>
        <v>428</v>
      </c>
      <c r="E5218" s="497">
        <f t="shared" si="315"/>
        <v>2</v>
      </c>
      <c r="F5218" s="497">
        <f t="shared" ca="1" si="316"/>
        <v>160</v>
      </c>
      <c r="G5218" s="497" t="s">
        <v>10217</v>
      </c>
      <c r="H5218" s="503"/>
      <c r="I5218" s="503"/>
      <c r="J5218" s="503"/>
      <c r="K5218" s="503"/>
      <c r="L5218" s="497"/>
      <c r="M5218" s="497"/>
      <c r="N5218" s="497"/>
      <c r="O5218" s="497"/>
      <c r="P5218" s="497">
        <f t="shared" si="317"/>
        <v>908</v>
      </c>
      <c r="Q5218" s="497" t="b">
        <v>0</v>
      </c>
    </row>
    <row r="5219" spans="1:17" x14ac:dyDescent="0.35">
      <c r="A5219" s="497" t="b">
        <v>0</v>
      </c>
      <c r="B5219" s="497" t="s">
        <v>11143</v>
      </c>
      <c r="C5219" s="512">
        <v>152</v>
      </c>
      <c r="D5219" s="497">
        <f t="shared" si="314"/>
        <v>429</v>
      </c>
      <c r="E5219" s="497">
        <f t="shared" si="315"/>
        <v>3</v>
      </c>
      <c r="F5219" s="497">
        <f t="shared" ca="1" si="316"/>
        <v>160</v>
      </c>
      <c r="G5219" s="497" t="s">
        <v>10217</v>
      </c>
      <c r="H5219" s="503"/>
      <c r="I5219" s="503"/>
      <c r="J5219" s="503"/>
      <c r="K5219" s="503"/>
      <c r="L5219" s="497"/>
      <c r="M5219" s="497"/>
      <c r="N5219" s="497"/>
      <c r="O5219" s="497"/>
      <c r="P5219" s="497">
        <f t="shared" si="317"/>
        <v>909</v>
      </c>
      <c r="Q5219" s="497" t="b">
        <v>0</v>
      </c>
    </row>
    <row r="5220" spans="1:17" x14ac:dyDescent="0.35">
      <c r="A5220" s="497" t="b">
        <v>0</v>
      </c>
      <c r="B5220" s="497" t="s">
        <v>11144</v>
      </c>
      <c r="C5220" s="512">
        <v>152</v>
      </c>
      <c r="D5220" s="497">
        <f t="shared" si="314"/>
        <v>430</v>
      </c>
      <c r="E5220" s="497">
        <f t="shared" si="315"/>
        <v>4</v>
      </c>
      <c r="F5220" s="497">
        <f t="shared" ca="1" si="316"/>
        <v>160</v>
      </c>
      <c r="G5220" s="497" t="s">
        <v>10217</v>
      </c>
      <c r="H5220" s="503"/>
      <c r="I5220" s="503"/>
      <c r="J5220" s="503"/>
      <c r="K5220" s="503"/>
      <c r="L5220" s="497"/>
      <c r="M5220" s="497"/>
      <c r="N5220" s="497"/>
      <c r="O5220" s="497"/>
      <c r="P5220" s="497">
        <f t="shared" si="317"/>
        <v>910</v>
      </c>
      <c r="Q5220" s="497" t="b">
        <v>0</v>
      </c>
    </row>
    <row r="5221" spans="1:17" x14ac:dyDescent="0.35">
      <c r="A5221" s="497" t="b">
        <v>0</v>
      </c>
      <c r="B5221" s="497" t="s">
        <v>11145</v>
      </c>
      <c r="C5221" s="512">
        <v>152</v>
      </c>
      <c r="D5221" s="497">
        <f t="shared" si="314"/>
        <v>431</v>
      </c>
      <c r="E5221" s="497">
        <f t="shared" si="315"/>
        <v>5</v>
      </c>
      <c r="F5221" s="497">
        <f t="shared" ca="1" si="316"/>
        <v>160</v>
      </c>
      <c r="G5221" s="497" t="s">
        <v>10217</v>
      </c>
      <c r="H5221" s="503"/>
      <c r="I5221" s="503"/>
      <c r="J5221" s="503"/>
      <c r="K5221" s="503"/>
      <c r="L5221" s="497"/>
      <c r="M5221" s="497"/>
      <c r="N5221" s="497"/>
      <c r="O5221" s="497"/>
      <c r="P5221" s="497">
        <f t="shared" si="317"/>
        <v>911</v>
      </c>
      <c r="Q5221" s="497" t="b">
        <v>0</v>
      </c>
    </row>
    <row r="5222" spans="1:17" x14ac:dyDescent="0.35">
      <c r="A5222" s="497" t="b">
        <v>0</v>
      </c>
      <c r="B5222" s="497" t="s">
        <v>11146</v>
      </c>
      <c r="C5222" s="512">
        <v>152</v>
      </c>
      <c r="D5222" s="497">
        <f t="shared" si="314"/>
        <v>432</v>
      </c>
      <c r="E5222" s="497">
        <f t="shared" si="315"/>
        <v>6</v>
      </c>
      <c r="F5222" s="497">
        <f t="shared" ca="1" si="316"/>
        <v>160</v>
      </c>
      <c r="G5222" s="497" t="s">
        <v>10217</v>
      </c>
      <c r="H5222" s="503"/>
      <c r="I5222" s="503"/>
      <c r="J5222" s="503"/>
      <c r="K5222" s="503"/>
      <c r="L5222" s="497"/>
      <c r="M5222" s="497"/>
      <c r="N5222" s="497"/>
      <c r="O5222" s="497"/>
      <c r="P5222" s="497">
        <f t="shared" si="317"/>
        <v>912</v>
      </c>
      <c r="Q5222" s="497" t="b">
        <v>0</v>
      </c>
    </row>
    <row r="5223" spans="1:17" x14ac:dyDescent="0.35">
      <c r="A5223" s="497" t="b">
        <v>0</v>
      </c>
      <c r="B5223" s="497" t="s">
        <v>11147</v>
      </c>
      <c r="C5223" s="512">
        <v>153</v>
      </c>
      <c r="D5223" s="497">
        <f t="shared" si="314"/>
        <v>433</v>
      </c>
      <c r="E5223" s="497">
        <f t="shared" si="315"/>
        <v>1</v>
      </c>
      <c r="F5223" s="497">
        <f t="shared" ca="1" si="316"/>
        <v>161</v>
      </c>
      <c r="G5223" s="497" t="s">
        <v>10219</v>
      </c>
      <c r="H5223" s="503"/>
      <c r="I5223" s="503"/>
      <c r="J5223" s="503"/>
      <c r="K5223" s="503"/>
      <c r="L5223" s="497"/>
      <c r="M5223" s="497"/>
      <c r="N5223" s="497"/>
      <c r="O5223" s="497"/>
      <c r="P5223" s="497">
        <f t="shared" si="317"/>
        <v>913</v>
      </c>
      <c r="Q5223" s="497" t="b">
        <v>0</v>
      </c>
    </row>
    <row r="5224" spans="1:17" x14ac:dyDescent="0.35">
      <c r="A5224" s="497" t="b">
        <v>0</v>
      </c>
      <c r="B5224" s="497" t="s">
        <v>11148</v>
      </c>
      <c r="C5224" s="512">
        <v>153</v>
      </c>
      <c r="D5224" s="497">
        <f t="shared" si="314"/>
        <v>434</v>
      </c>
      <c r="E5224" s="497">
        <f t="shared" si="315"/>
        <v>2</v>
      </c>
      <c r="F5224" s="497">
        <f t="shared" ca="1" si="316"/>
        <v>161</v>
      </c>
      <c r="G5224" s="497" t="s">
        <v>10219</v>
      </c>
      <c r="H5224" s="503"/>
      <c r="I5224" s="503"/>
      <c r="J5224" s="503"/>
      <c r="K5224" s="503"/>
      <c r="L5224" s="497"/>
      <c r="M5224" s="497"/>
      <c r="N5224" s="497"/>
      <c r="O5224" s="497"/>
      <c r="P5224" s="497">
        <f t="shared" si="317"/>
        <v>914</v>
      </c>
      <c r="Q5224" s="497" t="b">
        <v>0</v>
      </c>
    </row>
    <row r="5225" spans="1:17" x14ac:dyDescent="0.35">
      <c r="A5225" s="497" t="b">
        <v>0</v>
      </c>
      <c r="B5225" s="497" t="s">
        <v>11149</v>
      </c>
      <c r="C5225" s="512">
        <v>153</v>
      </c>
      <c r="D5225" s="497">
        <f t="shared" si="314"/>
        <v>435</v>
      </c>
      <c r="E5225" s="497">
        <f t="shared" si="315"/>
        <v>3</v>
      </c>
      <c r="F5225" s="497">
        <f t="shared" ca="1" si="316"/>
        <v>161</v>
      </c>
      <c r="G5225" s="497" t="s">
        <v>10219</v>
      </c>
      <c r="H5225" s="503"/>
      <c r="I5225" s="503"/>
      <c r="J5225" s="503"/>
      <c r="K5225" s="503"/>
      <c r="L5225" s="497"/>
      <c r="M5225" s="497"/>
      <c r="N5225" s="497"/>
      <c r="O5225" s="497"/>
      <c r="P5225" s="497">
        <f t="shared" si="317"/>
        <v>915</v>
      </c>
      <c r="Q5225" s="497" t="b">
        <v>0</v>
      </c>
    </row>
    <row r="5226" spans="1:17" x14ac:dyDescent="0.35">
      <c r="A5226" s="497" t="b">
        <v>0</v>
      </c>
      <c r="B5226" s="497" t="s">
        <v>11150</v>
      </c>
      <c r="C5226" s="512">
        <v>153</v>
      </c>
      <c r="D5226" s="497">
        <f t="shared" si="314"/>
        <v>436</v>
      </c>
      <c r="E5226" s="497">
        <f t="shared" si="315"/>
        <v>4</v>
      </c>
      <c r="F5226" s="497">
        <f t="shared" ca="1" si="316"/>
        <v>161</v>
      </c>
      <c r="G5226" s="497" t="s">
        <v>10219</v>
      </c>
      <c r="H5226" s="503"/>
      <c r="I5226" s="503"/>
      <c r="J5226" s="503"/>
      <c r="K5226" s="503"/>
      <c r="L5226" s="497"/>
      <c r="M5226" s="497"/>
      <c r="N5226" s="497"/>
      <c r="O5226" s="497"/>
      <c r="P5226" s="497">
        <f t="shared" si="317"/>
        <v>916</v>
      </c>
      <c r="Q5226" s="497" t="b">
        <v>0</v>
      </c>
    </row>
    <row r="5227" spans="1:17" x14ac:dyDescent="0.35">
      <c r="A5227" s="497" t="b">
        <v>0</v>
      </c>
      <c r="B5227" s="497" t="s">
        <v>11151</v>
      </c>
      <c r="C5227" s="512">
        <v>153</v>
      </c>
      <c r="D5227" s="497">
        <f t="shared" si="314"/>
        <v>437</v>
      </c>
      <c r="E5227" s="497">
        <f t="shared" si="315"/>
        <v>5</v>
      </c>
      <c r="F5227" s="497">
        <f t="shared" ca="1" si="316"/>
        <v>161</v>
      </c>
      <c r="G5227" s="497" t="s">
        <v>10219</v>
      </c>
      <c r="H5227" s="503"/>
      <c r="I5227" s="503"/>
      <c r="J5227" s="503"/>
      <c r="K5227" s="503"/>
      <c r="L5227" s="497"/>
      <c r="M5227" s="497"/>
      <c r="N5227" s="497"/>
      <c r="O5227" s="497"/>
      <c r="P5227" s="497">
        <f t="shared" si="317"/>
        <v>917</v>
      </c>
      <c r="Q5227" s="497" t="b">
        <v>0</v>
      </c>
    </row>
    <row r="5228" spans="1:17" x14ac:dyDescent="0.35">
      <c r="A5228" s="497" t="b">
        <v>0</v>
      </c>
      <c r="B5228" s="497" t="s">
        <v>11152</v>
      </c>
      <c r="C5228" s="512">
        <v>153</v>
      </c>
      <c r="D5228" s="497">
        <f t="shared" si="314"/>
        <v>438</v>
      </c>
      <c r="E5228" s="497">
        <f t="shared" si="315"/>
        <v>6</v>
      </c>
      <c r="F5228" s="497">
        <f t="shared" ca="1" si="316"/>
        <v>161</v>
      </c>
      <c r="G5228" s="497" t="s">
        <v>10219</v>
      </c>
      <c r="H5228" s="503"/>
      <c r="I5228" s="503"/>
      <c r="J5228" s="503"/>
      <c r="K5228" s="503"/>
      <c r="L5228" s="497"/>
      <c r="M5228" s="497"/>
      <c r="N5228" s="497"/>
      <c r="O5228" s="497"/>
      <c r="P5228" s="497">
        <f t="shared" si="317"/>
        <v>918</v>
      </c>
      <c r="Q5228" s="497" t="b">
        <v>0</v>
      </c>
    </row>
    <row r="5229" spans="1:17" x14ac:dyDescent="0.35">
      <c r="A5229" s="497" t="b">
        <v>0</v>
      </c>
      <c r="B5229" s="497" t="s">
        <v>11153</v>
      </c>
      <c r="C5229" s="512">
        <v>154</v>
      </c>
      <c r="D5229" s="497">
        <f t="shared" si="314"/>
        <v>439</v>
      </c>
      <c r="E5229" s="497">
        <f t="shared" si="315"/>
        <v>1</v>
      </c>
      <c r="F5229" s="497">
        <f t="shared" ca="1" si="316"/>
        <v>162</v>
      </c>
      <c r="G5229" s="497" t="s">
        <v>10221</v>
      </c>
      <c r="H5229" s="503"/>
      <c r="I5229" s="503"/>
      <c r="J5229" s="503"/>
      <c r="K5229" s="503"/>
      <c r="L5229" s="497"/>
      <c r="M5229" s="497"/>
      <c r="N5229" s="497"/>
      <c r="O5229" s="497"/>
      <c r="P5229" s="497">
        <f t="shared" si="317"/>
        <v>919</v>
      </c>
      <c r="Q5229" s="497" t="b">
        <v>0</v>
      </c>
    </row>
    <row r="5230" spans="1:17" x14ac:dyDescent="0.35">
      <c r="A5230" s="497" t="b">
        <v>0</v>
      </c>
      <c r="B5230" s="497" t="s">
        <v>11154</v>
      </c>
      <c r="C5230" s="512">
        <v>154</v>
      </c>
      <c r="D5230" s="497">
        <f t="shared" si="314"/>
        <v>440</v>
      </c>
      <c r="E5230" s="497">
        <f t="shared" si="315"/>
        <v>2</v>
      </c>
      <c r="F5230" s="497">
        <f t="shared" ca="1" si="316"/>
        <v>162</v>
      </c>
      <c r="G5230" s="497" t="s">
        <v>10221</v>
      </c>
      <c r="H5230" s="503"/>
      <c r="I5230" s="503"/>
      <c r="J5230" s="503"/>
      <c r="K5230" s="503"/>
      <c r="L5230" s="497"/>
      <c r="M5230" s="497"/>
      <c r="N5230" s="497"/>
      <c r="O5230" s="497"/>
      <c r="P5230" s="497">
        <f t="shared" si="317"/>
        <v>920</v>
      </c>
      <c r="Q5230" s="497" t="b">
        <v>0</v>
      </c>
    </row>
    <row r="5231" spans="1:17" x14ac:dyDescent="0.35">
      <c r="A5231" s="497" t="b">
        <v>0</v>
      </c>
      <c r="B5231" s="497" t="s">
        <v>11155</v>
      </c>
      <c r="C5231" s="512">
        <v>154</v>
      </c>
      <c r="D5231" s="497">
        <f t="shared" si="314"/>
        <v>441</v>
      </c>
      <c r="E5231" s="497">
        <f t="shared" si="315"/>
        <v>3</v>
      </c>
      <c r="F5231" s="497">
        <f t="shared" ca="1" si="316"/>
        <v>162</v>
      </c>
      <c r="G5231" s="497" t="s">
        <v>10221</v>
      </c>
      <c r="H5231" s="503"/>
      <c r="I5231" s="503"/>
      <c r="J5231" s="503"/>
      <c r="K5231" s="503"/>
      <c r="L5231" s="497"/>
      <c r="M5231" s="497"/>
      <c r="N5231" s="497"/>
      <c r="O5231" s="497"/>
      <c r="P5231" s="497">
        <f t="shared" si="317"/>
        <v>921</v>
      </c>
      <c r="Q5231" s="497" t="b">
        <v>0</v>
      </c>
    </row>
    <row r="5232" spans="1:17" x14ac:dyDescent="0.35">
      <c r="A5232" s="497" t="b">
        <v>0</v>
      </c>
      <c r="B5232" s="497" t="s">
        <v>11156</v>
      </c>
      <c r="C5232" s="512">
        <v>154</v>
      </c>
      <c r="D5232" s="497">
        <f t="shared" si="314"/>
        <v>442</v>
      </c>
      <c r="E5232" s="497">
        <f t="shared" si="315"/>
        <v>4</v>
      </c>
      <c r="F5232" s="497">
        <f t="shared" ca="1" si="316"/>
        <v>162</v>
      </c>
      <c r="G5232" s="497" t="s">
        <v>10221</v>
      </c>
      <c r="H5232" s="503"/>
      <c r="I5232" s="503"/>
      <c r="J5232" s="503"/>
      <c r="K5232" s="503"/>
      <c r="L5232" s="497"/>
      <c r="M5232" s="497"/>
      <c r="N5232" s="497"/>
      <c r="O5232" s="497"/>
      <c r="P5232" s="497">
        <f t="shared" si="317"/>
        <v>922</v>
      </c>
      <c r="Q5232" s="497" t="b">
        <v>0</v>
      </c>
    </row>
    <row r="5233" spans="1:17" x14ac:dyDescent="0.35">
      <c r="A5233" s="497" t="b">
        <v>0</v>
      </c>
      <c r="B5233" s="497" t="s">
        <v>11157</v>
      </c>
      <c r="C5233" s="512">
        <v>154</v>
      </c>
      <c r="D5233" s="497">
        <f t="shared" si="314"/>
        <v>443</v>
      </c>
      <c r="E5233" s="497">
        <f t="shared" si="315"/>
        <v>5</v>
      </c>
      <c r="F5233" s="497">
        <f t="shared" ca="1" si="316"/>
        <v>162</v>
      </c>
      <c r="G5233" s="497" t="s">
        <v>10221</v>
      </c>
      <c r="H5233" s="503"/>
      <c r="I5233" s="503"/>
      <c r="J5233" s="503"/>
      <c r="K5233" s="503"/>
      <c r="L5233" s="497"/>
      <c r="M5233" s="497"/>
      <c r="N5233" s="497"/>
      <c r="O5233" s="497"/>
      <c r="P5233" s="497">
        <f t="shared" si="317"/>
        <v>923</v>
      </c>
      <c r="Q5233" s="497" t="b">
        <v>0</v>
      </c>
    </row>
    <row r="5234" spans="1:17" x14ac:dyDescent="0.35">
      <c r="A5234" s="497" t="b">
        <v>0</v>
      </c>
      <c r="B5234" s="497" t="s">
        <v>11158</v>
      </c>
      <c r="C5234" s="512">
        <v>154</v>
      </c>
      <c r="D5234" s="497">
        <f t="shared" si="314"/>
        <v>444</v>
      </c>
      <c r="E5234" s="497">
        <f t="shared" si="315"/>
        <v>6</v>
      </c>
      <c r="F5234" s="497">
        <f t="shared" ca="1" si="316"/>
        <v>162</v>
      </c>
      <c r="G5234" s="497" t="s">
        <v>10221</v>
      </c>
      <c r="H5234" s="503"/>
      <c r="I5234" s="503"/>
      <c r="J5234" s="503"/>
      <c r="K5234" s="503"/>
      <c r="L5234" s="497"/>
      <c r="M5234" s="497"/>
      <c r="N5234" s="497"/>
      <c r="O5234" s="497"/>
      <c r="P5234" s="497">
        <f t="shared" si="317"/>
        <v>924</v>
      </c>
      <c r="Q5234" s="497" t="b">
        <v>0</v>
      </c>
    </row>
    <row r="5235" spans="1:17" x14ac:dyDescent="0.35">
      <c r="A5235" s="497" t="b">
        <v>0</v>
      </c>
      <c r="B5235" s="497" t="s">
        <v>11159</v>
      </c>
      <c r="C5235" s="512">
        <v>155</v>
      </c>
      <c r="D5235" s="497">
        <f t="shared" si="314"/>
        <v>445</v>
      </c>
      <c r="E5235" s="497">
        <f t="shared" si="315"/>
        <v>1</v>
      </c>
      <c r="F5235" s="497">
        <f t="shared" ca="1" si="316"/>
        <v>163</v>
      </c>
      <c r="G5235" s="497" t="s">
        <v>10223</v>
      </c>
      <c r="H5235" s="503"/>
      <c r="I5235" s="503"/>
      <c r="J5235" s="503"/>
      <c r="K5235" s="503"/>
      <c r="L5235" s="497"/>
      <c r="M5235" s="497"/>
      <c r="N5235" s="497"/>
      <c r="O5235" s="497"/>
      <c r="P5235" s="497">
        <f t="shared" si="317"/>
        <v>925</v>
      </c>
      <c r="Q5235" s="497" t="b">
        <v>0</v>
      </c>
    </row>
    <row r="5236" spans="1:17" x14ac:dyDescent="0.35">
      <c r="A5236" s="497" t="b">
        <v>0</v>
      </c>
      <c r="B5236" s="497" t="s">
        <v>11160</v>
      </c>
      <c r="C5236" s="512">
        <v>155</v>
      </c>
      <c r="D5236" s="497">
        <f t="shared" si="314"/>
        <v>446</v>
      </c>
      <c r="E5236" s="497">
        <f t="shared" si="315"/>
        <v>2</v>
      </c>
      <c r="F5236" s="497">
        <f t="shared" ca="1" si="316"/>
        <v>163</v>
      </c>
      <c r="G5236" s="497" t="s">
        <v>10223</v>
      </c>
      <c r="H5236" s="503"/>
      <c r="I5236" s="503"/>
      <c r="J5236" s="503"/>
      <c r="K5236" s="503"/>
      <c r="L5236" s="497"/>
      <c r="M5236" s="497"/>
      <c r="N5236" s="497"/>
      <c r="O5236" s="497"/>
      <c r="P5236" s="497">
        <f t="shared" si="317"/>
        <v>926</v>
      </c>
      <c r="Q5236" s="497" t="b">
        <v>0</v>
      </c>
    </row>
    <row r="5237" spans="1:17" x14ac:dyDescent="0.35">
      <c r="A5237" s="497" t="b">
        <v>0</v>
      </c>
      <c r="B5237" s="497" t="s">
        <v>11161</v>
      </c>
      <c r="C5237" s="512">
        <v>155</v>
      </c>
      <c r="D5237" s="497">
        <f t="shared" si="314"/>
        <v>447</v>
      </c>
      <c r="E5237" s="497">
        <f t="shared" si="315"/>
        <v>3</v>
      </c>
      <c r="F5237" s="497">
        <f t="shared" ca="1" si="316"/>
        <v>163</v>
      </c>
      <c r="G5237" s="497" t="s">
        <v>10223</v>
      </c>
      <c r="H5237" s="503"/>
      <c r="I5237" s="503"/>
      <c r="J5237" s="503"/>
      <c r="K5237" s="503"/>
      <c r="L5237" s="497"/>
      <c r="M5237" s="497"/>
      <c r="N5237" s="497"/>
      <c r="O5237" s="497"/>
      <c r="P5237" s="497">
        <f t="shared" si="317"/>
        <v>927</v>
      </c>
      <c r="Q5237" s="497" t="b">
        <v>0</v>
      </c>
    </row>
    <row r="5238" spans="1:17" x14ac:dyDescent="0.35">
      <c r="A5238" s="497" t="b">
        <v>0</v>
      </c>
      <c r="B5238" s="497" t="s">
        <v>11162</v>
      </c>
      <c r="C5238" s="512">
        <v>155</v>
      </c>
      <c r="D5238" s="497">
        <f t="shared" si="314"/>
        <v>448</v>
      </c>
      <c r="E5238" s="497">
        <f t="shared" si="315"/>
        <v>4</v>
      </c>
      <c r="F5238" s="497">
        <f t="shared" ca="1" si="316"/>
        <v>163</v>
      </c>
      <c r="G5238" s="497" t="s">
        <v>10223</v>
      </c>
      <c r="H5238" s="503"/>
      <c r="I5238" s="503"/>
      <c r="J5238" s="503"/>
      <c r="K5238" s="503"/>
      <c r="L5238" s="497"/>
      <c r="M5238" s="497"/>
      <c r="N5238" s="497"/>
      <c r="O5238" s="497"/>
      <c r="P5238" s="497">
        <f t="shared" si="317"/>
        <v>928</v>
      </c>
      <c r="Q5238" s="497" t="b">
        <v>0</v>
      </c>
    </row>
    <row r="5239" spans="1:17" x14ac:dyDescent="0.35">
      <c r="A5239" s="497" t="b">
        <v>0</v>
      </c>
      <c r="B5239" s="497" t="s">
        <v>11163</v>
      </c>
      <c r="C5239" s="512">
        <v>155</v>
      </c>
      <c r="D5239" s="497">
        <f t="shared" si="314"/>
        <v>449</v>
      </c>
      <c r="E5239" s="497">
        <f t="shared" si="315"/>
        <v>5</v>
      </c>
      <c r="F5239" s="497">
        <f t="shared" ca="1" si="316"/>
        <v>163</v>
      </c>
      <c r="G5239" s="497" t="s">
        <v>10223</v>
      </c>
      <c r="H5239" s="503"/>
      <c r="I5239" s="503"/>
      <c r="J5239" s="503"/>
      <c r="K5239" s="503"/>
      <c r="L5239" s="497"/>
      <c r="M5239" s="497"/>
      <c r="N5239" s="497"/>
      <c r="O5239" s="497"/>
      <c r="P5239" s="497">
        <f t="shared" si="317"/>
        <v>929</v>
      </c>
      <c r="Q5239" s="497" t="b">
        <v>0</v>
      </c>
    </row>
    <row r="5240" spans="1:17" x14ac:dyDescent="0.35">
      <c r="A5240" s="497" t="b">
        <v>0</v>
      </c>
      <c r="B5240" s="497" t="s">
        <v>11164</v>
      </c>
      <c r="C5240" s="512">
        <v>155</v>
      </c>
      <c r="D5240" s="497">
        <f t="shared" si="314"/>
        <v>450</v>
      </c>
      <c r="E5240" s="497">
        <f t="shared" si="315"/>
        <v>6</v>
      </c>
      <c r="F5240" s="497">
        <f t="shared" ca="1" si="316"/>
        <v>163</v>
      </c>
      <c r="G5240" s="497" t="s">
        <v>10223</v>
      </c>
      <c r="H5240" s="503"/>
      <c r="I5240" s="503"/>
      <c r="J5240" s="503"/>
      <c r="K5240" s="503"/>
      <c r="L5240" s="497"/>
      <c r="M5240" s="497"/>
      <c r="N5240" s="497"/>
      <c r="O5240" s="497"/>
      <c r="P5240" s="497">
        <f t="shared" si="317"/>
        <v>930</v>
      </c>
      <c r="Q5240" s="497" t="b">
        <v>0</v>
      </c>
    </row>
    <row r="5241" spans="1:17" x14ac:dyDescent="0.35">
      <c r="A5241" s="497" t="b">
        <v>0</v>
      </c>
      <c r="B5241" s="497" t="s">
        <v>11165</v>
      </c>
      <c r="C5241" s="512">
        <v>156</v>
      </c>
      <c r="D5241" s="497">
        <f t="shared" si="314"/>
        <v>451</v>
      </c>
      <c r="E5241" s="497">
        <f t="shared" si="315"/>
        <v>1</v>
      </c>
      <c r="F5241" s="497">
        <f t="shared" ca="1" si="316"/>
        <v>164</v>
      </c>
      <c r="G5241" s="497" t="s">
        <v>10225</v>
      </c>
      <c r="H5241" s="503"/>
      <c r="I5241" s="503"/>
      <c r="J5241" s="503"/>
      <c r="K5241" s="503"/>
      <c r="L5241" s="497"/>
      <c r="M5241" s="497"/>
      <c r="N5241" s="497"/>
      <c r="O5241" s="497"/>
      <c r="P5241" s="497">
        <f t="shared" si="317"/>
        <v>931</v>
      </c>
      <c r="Q5241" s="497" t="b">
        <v>0</v>
      </c>
    </row>
    <row r="5242" spans="1:17" x14ac:dyDescent="0.35">
      <c r="A5242" s="497" t="b">
        <v>0</v>
      </c>
      <c r="B5242" s="497" t="s">
        <v>11166</v>
      </c>
      <c r="C5242" s="512">
        <v>156</v>
      </c>
      <c r="D5242" s="497">
        <f t="shared" si="314"/>
        <v>452</v>
      </c>
      <c r="E5242" s="497">
        <f t="shared" si="315"/>
        <v>2</v>
      </c>
      <c r="F5242" s="497">
        <f t="shared" ca="1" si="316"/>
        <v>164</v>
      </c>
      <c r="G5242" s="497" t="s">
        <v>10225</v>
      </c>
      <c r="H5242" s="503"/>
      <c r="I5242" s="503"/>
      <c r="J5242" s="503"/>
      <c r="K5242" s="503"/>
      <c r="L5242" s="497"/>
      <c r="M5242" s="497"/>
      <c r="N5242" s="497"/>
      <c r="O5242" s="497"/>
      <c r="P5242" s="497">
        <f t="shared" si="317"/>
        <v>932</v>
      </c>
      <c r="Q5242" s="497" t="b">
        <v>0</v>
      </c>
    </row>
    <row r="5243" spans="1:17" x14ac:dyDescent="0.35">
      <c r="A5243" s="497" t="b">
        <v>0</v>
      </c>
      <c r="B5243" s="497" t="s">
        <v>11167</v>
      </c>
      <c r="C5243" s="512">
        <v>156</v>
      </c>
      <c r="D5243" s="497">
        <f t="shared" si="314"/>
        <v>453</v>
      </c>
      <c r="E5243" s="497">
        <f t="shared" si="315"/>
        <v>3</v>
      </c>
      <c r="F5243" s="497">
        <f t="shared" ca="1" si="316"/>
        <v>164</v>
      </c>
      <c r="G5243" s="497" t="s">
        <v>10225</v>
      </c>
      <c r="H5243" s="503"/>
      <c r="I5243" s="503"/>
      <c r="J5243" s="503"/>
      <c r="K5243" s="503"/>
      <c r="L5243" s="497"/>
      <c r="M5243" s="497"/>
      <c r="N5243" s="497"/>
      <c r="O5243" s="497"/>
      <c r="P5243" s="497">
        <f t="shared" si="317"/>
        <v>933</v>
      </c>
      <c r="Q5243" s="497" t="b">
        <v>0</v>
      </c>
    </row>
    <row r="5244" spans="1:17" x14ac:dyDescent="0.35">
      <c r="A5244" s="497" t="b">
        <v>0</v>
      </c>
      <c r="B5244" s="497" t="s">
        <v>11168</v>
      </c>
      <c r="C5244" s="512">
        <v>156</v>
      </c>
      <c r="D5244" s="497">
        <f t="shared" si="314"/>
        <v>454</v>
      </c>
      <c r="E5244" s="497">
        <f t="shared" si="315"/>
        <v>4</v>
      </c>
      <c r="F5244" s="497">
        <f t="shared" ca="1" si="316"/>
        <v>164</v>
      </c>
      <c r="G5244" s="497" t="s">
        <v>10225</v>
      </c>
      <c r="H5244" s="503"/>
      <c r="I5244" s="503"/>
      <c r="J5244" s="503"/>
      <c r="K5244" s="503"/>
      <c r="L5244" s="497"/>
      <c r="M5244" s="497"/>
      <c r="N5244" s="497"/>
      <c r="O5244" s="497"/>
      <c r="P5244" s="497">
        <f t="shared" si="317"/>
        <v>934</v>
      </c>
      <c r="Q5244" s="497" t="b">
        <v>0</v>
      </c>
    </row>
    <row r="5245" spans="1:17" x14ac:dyDescent="0.35">
      <c r="A5245" s="497" t="b">
        <v>0</v>
      </c>
      <c r="B5245" s="497" t="s">
        <v>11169</v>
      </c>
      <c r="C5245" s="512">
        <v>156</v>
      </c>
      <c r="D5245" s="497">
        <f t="shared" si="314"/>
        <v>455</v>
      </c>
      <c r="E5245" s="497">
        <f t="shared" si="315"/>
        <v>5</v>
      </c>
      <c r="F5245" s="497">
        <f t="shared" ca="1" si="316"/>
        <v>164</v>
      </c>
      <c r="G5245" s="497" t="s">
        <v>10225</v>
      </c>
      <c r="H5245" s="503"/>
      <c r="I5245" s="503"/>
      <c r="J5245" s="503"/>
      <c r="K5245" s="503"/>
      <c r="L5245" s="497"/>
      <c r="M5245" s="497"/>
      <c r="N5245" s="497"/>
      <c r="O5245" s="497"/>
      <c r="P5245" s="497">
        <f t="shared" si="317"/>
        <v>935</v>
      </c>
      <c r="Q5245" s="497" t="b">
        <v>0</v>
      </c>
    </row>
    <row r="5246" spans="1:17" x14ac:dyDescent="0.35">
      <c r="A5246" s="497" t="b">
        <v>0</v>
      </c>
      <c r="B5246" s="497" t="s">
        <v>11170</v>
      </c>
      <c r="C5246" s="512">
        <v>156</v>
      </c>
      <c r="D5246" s="497">
        <f t="shared" si="314"/>
        <v>456</v>
      </c>
      <c r="E5246" s="497">
        <f t="shared" si="315"/>
        <v>6</v>
      </c>
      <c r="F5246" s="497">
        <f t="shared" ca="1" si="316"/>
        <v>164</v>
      </c>
      <c r="G5246" s="497" t="s">
        <v>10225</v>
      </c>
      <c r="H5246" s="503"/>
      <c r="I5246" s="503"/>
      <c r="J5246" s="503"/>
      <c r="K5246" s="503"/>
      <c r="L5246" s="497"/>
      <c r="M5246" s="497"/>
      <c r="N5246" s="497"/>
      <c r="O5246" s="497"/>
      <c r="P5246" s="497">
        <f t="shared" si="317"/>
        <v>936</v>
      </c>
      <c r="Q5246" s="497" t="b">
        <v>0</v>
      </c>
    </row>
    <row r="5247" spans="1:17" x14ac:dyDescent="0.35">
      <c r="A5247" s="497" t="b">
        <v>0</v>
      </c>
      <c r="B5247" s="497" t="s">
        <v>11171</v>
      </c>
      <c r="C5247" s="512">
        <v>157</v>
      </c>
      <c r="D5247" s="497">
        <f t="shared" si="314"/>
        <v>457</v>
      </c>
      <c r="E5247" s="497">
        <f t="shared" si="315"/>
        <v>1</v>
      </c>
      <c r="F5247" s="497">
        <f t="shared" ca="1" si="316"/>
        <v>165</v>
      </c>
      <c r="G5247" s="497" t="s">
        <v>10227</v>
      </c>
      <c r="H5247" s="503"/>
      <c r="I5247" s="503"/>
      <c r="J5247" s="503"/>
      <c r="K5247" s="503"/>
      <c r="L5247" s="497"/>
      <c r="M5247" s="497"/>
      <c r="N5247" s="497"/>
      <c r="O5247" s="497"/>
      <c r="P5247" s="497">
        <f t="shared" si="317"/>
        <v>937</v>
      </c>
      <c r="Q5247" s="497" t="b">
        <v>0</v>
      </c>
    </row>
    <row r="5248" spans="1:17" x14ac:dyDescent="0.35">
      <c r="A5248" s="497" t="b">
        <v>0</v>
      </c>
      <c r="B5248" s="497" t="s">
        <v>11172</v>
      </c>
      <c r="C5248" s="512">
        <v>157</v>
      </c>
      <c r="D5248" s="497">
        <f t="shared" si="314"/>
        <v>458</v>
      </c>
      <c r="E5248" s="497">
        <f t="shared" si="315"/>
        <v>2</v>
      </c>
      <c r="F5248" s="497">
        <f t="shared" ca="1" si="316"/>
        <v>165</v>
      </c>
      <c r="G5248" s="497" t="s">
        <v>10227</v>
      </c>
      <c r="H5248" s="503"/>
      <c r="I5248" s="503"/>
      <c r="J5248" s="503"/>
      <c r="K5248" s="503"/>
      <c r="L5248" s="497"/>
      <c r="M5248" s="497"/>
      <c r="N5248" s="497"/>
      <c r="O5248" s="497"/>
      <c r="P5248" s="497">
        <f t="shared" si="317"/>
        <v>938</v>
      </c>
      <c r="Q5248" s="497" t="b">
        <v>0</v>
      </c>
    </row>
    <row r="5249" spans="1:17" x14ac:dyDescent="0.35">
      <c r="A5249" s="497" t="b">
        <v>0</v>
      </c>
      <c r="B5249" s="497" t="s">
        <v>11173</v>
      </c>
      <c r="C5249" s="512">
        <v>157</v>
      </c>
      <c r="D5249" s="497">
        <f t="shared" si="314"/>
        <v>459</v>
      </c>
      <c r="E5249" s="497">
        <f t="shared" si="315"/>
        <v>3</v>
      </c>
      <c r="F5249" s="497">
        <f t="shared" ca="1" si="316"/>
        <v>165</v>
      </c>
      <c r="G5249" s="497" t="s">
        <v>10227</v>
      </c>
      <c r="H5249" s="503"/>
      <c r="I5249" s="503"/>
      <c r="J5249" s="503"/>
      <c r="K5249" s="503"/>
      <c r="L5249" s="497"/>
      <c r="M5249" s="497"/>
      <c r="N5249" s="497"/>
      <c r="O5249" s="497"/>
      <c r="P5249" s="497">
        <f t="shared" si="317"/>
        <v>939</v>
      </c>
      <c r="Q5249" s="497" t="b">
        <v>0</v>
      </c>
    </row>
    <row r="5250" spans="1:17" x14ac:dyDescent="0.35">
      <c r="A5250" s="497" t="b">
        <v>0</v>
      </c>
      <c r="B5250" s="497" t="s">
        <v>11174</v>
      </c>
      <c r="C5250" s="512">
        <v>157</v>
      </c>
      <c r="D5250" s="497">
        <f t="shared" si="314"/>
        <v>460</v>
      </c>
      <c r="E5250" s="497">
        <f t="shared" si="315"/>
        <v>4</v>
      </c>
      <c r="F5250" s="497">
        <f t="shared" ca="1" si="316"/>
        <v>165</v>
      </c>
      <c r="G5250" s="497" t="s">
        <v>10227</v>
      </c>
      <c r="H5250" s="503"/>
      <c r="I5250" s="503"/>
      <c r="J5250" s="503"/>
      <c r="K5250" s="503"/>
      <c r="L5250" s="497"/>
      <c r="M5250" s="497"/>
      <c r="N5250" s="497"/>
      <c r="O5250" s="497"/>
      <c r="P5250" s="497">
        <f t="shared" si="317"/>
        <v>940</v>
      </c>
      <c r="Q5250" s="497" t="b">
        <v>0</v>
      </c>
    </row>
    <row r="5251" spans="1:17" x14ac:dyDescent="0.35">
      <c r="A5251" s="497" t="b">
        <v>0</v>
      </c>
      <c r="B5251" s="497" t="s">
        <v>11175</v>
      </c>
      <c r="C5251" s="512">
        <v>157</v>
      </c>
      <c r="D5251" s="497">
        <f t="shared" si="314"/>
        <v>461</v>
      </c>
      <c r="E5251" s="497">
        <f t="shared" si="315"/>
        <v>5</v>
      </c>
      <c r="F5251" s="497">
        <f t="shared" ca="1" si="316"/>
        <v>165</v>
      </c>
      <c r="G5251" s="497" t="s">
        <v>10227</v>
      </c>
      <c r="H5251" s="503"/>
      <c r="I5251" s="503"/>
      <c r="J5251" s="503"/>
      <c r="K5251" s="503"/>
      <c r="L5251" s="497"/>
      <c r="M5251" s="497"/>
      <c r="N5251" s="497"/>
      <c r="O5251" s="497"/>
      <c r="P5251" s="497">
        <f t="shared" si="317"/>
        <v>941</v>
      </c>
      <c r="Q5251" s="497" t="b">
        <v>0</v>
      </c>
    </row>
    <row r="5252" spans="1:17" x14ac:dyDescent="0.35">
      <c r="A5252" s="497" t="b">
        <v>0</v>
      </c>
      <c r="B5252" s="497" t="s">
        <v>11176</v>
      </c>
      <c r="C5252" s="512">
        <v>157</v>
      </c>
      <c r="D5252" s="497">
        <f t="shared" si="314"/>
        <v>462</v>
      </c>
      <c r="E5252" s="497">
        <f t="shared" si="315"/>
        <v>6</v>
      </c>
      <c r="F5252" s="497">
        <f t="shared" ca="1" si="316"/>
        <v>165</v>
      </c>
      <c r="G5252" s="497" t="s">
        <v>10227</v>
      </c>
      <c r="H5252" s="503"/>
      <c r="I5252" s="503"/>
      <c r="J5252" s="503"/>
      <c r="K5252" s="503"/>
      <c r="L5252" s="497"/>
      <c r="M5252" s="497"/>
      <c r="N5252" s="497"/>
      <c r="O5252" s="497"/>
      <c r="P5252" s="497">
        <f t="shared" si="317"/>
        <v>942</v>
      </c>
      <c r="Q5252" s="497" t="b">
        <v>0</v>
      </c>
    </row>
    <row r="5253" spans="1:17" x14ac:dyDescent="0.35">
      <c r="A5253" s="497" t="b">
        <v>0</v>
      </c>
      <c r="B5253" s="497" t="s">
        <v>11177</v>
      </c>
      <c r="C5253" s="512">
        <v>158</v>
      </c>
      <c r="D5253" s="497">
        <f t="shared" si="314"/>
        <v>463</v>
      </c>
      <c r="E5253" s="497">
        <f t="shared" si="315"/>
        <v>1</v>
      </c>
      <c r="F5253" s="497">
        <f t="shared" ca="1" si="316"/>
        <v>166</v>
      </c>
      <c r="G5253" s="497" t="s">
        <v>10229</v>
      </c>
      <c r="H5253" s="503"/>
      <c r="I5253" s="503"/>
      <c r="J5253" s="503"/>
      <c r="K5253" s="503"/>
      <c r="L5253" s="497"/>
      <c r="M5253" s="497"/>
      <c r="N5253" s="497"/>
      <c r="O5253" s="497"/>
      <c r="P5253" s="497">
        <f t="shared" si="317"/>
        <v>943</v>
      </c>
      <c r="Q5253" s="497" t="b">
        <v>0</v>
      </c>
    </row>
    <row r="5254" spans="1:17" x14ac:dyDescent="0.35">
      <c r="A5254" s="497" t="b">
        <v>0</v>
      </c>
      <c r="B5254" s="497" t="s">
        <v>11178</v>
      </c>
      <c r="C5254" s="512">
        <v>158</v>
      </c>
      <c r="D5254" s="497">
        <f t="shared" si="314"/>
        <v>464</v>
      </c>
      <c r="E5254" s="497">
        <f t="shared" si="315"/>
        <v>2</v>
      </c>
      <c r="F5254" s="497">
        <f t="shared" ca="1" si="316"/>
        <v>166</v>
      </c>
      <c r="G5254" s="497" t="s">
        <v>10229</v>
      </c>
      <c r="H5254" s="503"/>
      <c r="I5254" s="503"/>
      <c r="J5254" s="503"/>
      <c r="K5254" s="503"/>
      <c r="L5254" s="497"/>
      <c r="M5254" s="497"/>
      <c r="N5254" s="497"/>
      <c r="O5254" s="497"/>
      <c r="P5254" s="497">
        <f t="shared" si="317"/>
        <v>944</v>
      </c>
      <c r="Q5254" s="497" t="b">
        <v>0</v>
      </c>
    </row>
    <row r="5255" spans="1:17" x14ac:dyDescent="0.35">
      <c r="A5255" s="497" t="b">
        <v>0</v>
      </c>
      <c r="B5255" s="497" t="s">
        <v>11179</v>
      </c>
      <c r="C5255" s="512">
        <v>158</v>
      </c>
      <c r="D5255" s="497">
        <f t="shared" si="314"/>
        <v>465</v>
      </c>
      <c r="E5255" s="497">
        <f t="shared" si="315"/>
        <v>3</v>
      </c>
      <c r="F5255" s="497">
        <f t="shared" ca="1" si="316"/>
        <v>166</v>
      </c>
      <c r="G5255" s="497" t="s">
        <v>10229</v>
      </c>
      <c r="H5255" s="503"/>
      <c r="I5255" s="503"/>
      <c r="J5255" s="503"/>
      <c r="K5255" s="503"/>
      <c r="L5255" s="497"/>
      <c r="M5255" s="497"/>
      <c r="N5255" s="497"/>
      <c r="O5255" s="497"/>
      <c r="P5255" s="497">
        <f t="shared" si="317"/>
        <v>945</v>
      </c>
      <c r="Q5255" s="497" t="b">
        <v>0</v>
      </c>
    </row>
    <row r="5256" spans="1:17" x14ac:dyDescent="0.35">
      <c r="A5256" s="497" t="b">
        <v>0</v>
      </c>
      <c r="B5256" s="497" t="s">
        <v>11180</v>
      </c>
      <c r="C5256" s="512">
        <v>158</v>
      </c>
      <c r="D5256" s="497">
        <f t="shared" si="314"/>
        <v>466</v>
      </c>
      <c r="E5256" s="497">
        <f t="shared" si="315"/>
        <v>4</v>
      </c>
      <c r="F5256" s="497">
        <f t="shared" ca="1" si="316"/>
        <v>166</v>
      </c>
      <c r="G5256" s="497" t="s">
        <v>10229</v>
      </c>
      <c r="H5256" s="503"/>
      <c r="I5256" s="503"/>
      <c r="J5256" s="503"/>
      <c r="K5256" s="503"/>
      <c r="L5256" s="497"/>
      <c r="M5256" s="497"/>
      <c r="N5256" s="497"/>
      <c r="O5256" s="497"/>
      <c r="P5256" s="497">
        <f t="shared" si="317"/>
        <v>946</v>
      </c>
      <c r="Q5256" s="497" t="b">
        <v>0</v>
      </c>
    </row>
    <row r="5257" spans="1:17" x14ac:dyDescent="0.35">
      <c r="A5257" s="497" t="b">
        <v>0</v>
      </c>
      <c r="B5257" s="497" t="s">
        <v>11181</v>
      </c>
      <c r="C5257" s="512">
        <v>158</v>
      </c>
      <c r="D5257" s="497">
        <f t="shared" si="314"/>
        <v>467</v>
      </c>
      <c r="E5257" s="497">
        <f t="shared" si="315"/>
        <v>5</v>
      </c>
      <c r="F5257" s="497">
        <f t="shared" ca="1" si="316"/>
        <v>166</v>
      </c>
      <c r="G5257" s="497" t="s">
        <v>10229</v>
      </c>
      <c r="H5257" s="503"/>
      <c r="I5257" s="503"/>
      <c r="J5257" s="503"/>
      <c r="K5257" s="503"/>
      <c r="L5257" s="497"/>
      <c r="M5257" s="497"/>
      <c r="N5257" s="497"/>
      <c r="O5257" s="497"/>
      <c r="P5257" s="497">
        <f t="shared" si="317"/>
        <v>947</v>
      </c>
      <c r="Q5257" s="497" t="b">
        <v>0</v>
      </c>
    </row>
    <row r="5258" spans="1:17" x14ac:dyDescent="0.35">
      <c r="A5258" s="497" t="b">
        <v>0</v>
      </c>
      <c r="B5258" s="497" t="s">
        <v>11182</v>
      </c>
      <c r="C5258" s="512">
        <v>158</v>
      </c>
      <c r="D5258" s="497">
        <f t="shared" si="314"/>
        <v>468</v>
      </c>
      <c r="E5258" s="497">
        <f t="shared" si="315"/>
        <v>6</v>
      </c>
      <c r="F5258" s="497">
        <f t="shared" ca="1" si="316"/>
        <v>166</v>
      </c>
      <c r="G5258" s="497" t="s">
        <v>10229</v>
      </c>
      <c r="H5258" s="503"/>
      <c r="I5258" s="503"/>
      <c r="J5258" s="503"/>
      <c r="K5258" s="503"/>
      <c r="L5258" s="497"/>
      <c r="M5258" s="497"/>
      <c r="N5258" s="497"/>
      <c r="O5258" s="497"/>
      <c r="P5258" s="497">
        <f t="shared" si="317"/>
        <v>948</v>
      </c>
      <c r="Q5258" s="497" t="b">
        <v>0</v>
      </c>
    </row>
    <row r="5259" spans="1:17" x14ac:dyDescent="0.35">
      <c r="A5259" s="497" t="b">
        <v>0</v>
      </c>
      <c r="B5259" s="497" t="s">
        <v>11183</v>
      </c>
      <c r="C5259" s="512">
        <v>159</v>
      </c>
      <c r="D5259" s="497">
        <f t="shared" si="314"/>
        <v>469</v>
      </c>
      <c r="E5259" s="497">
        <f t="shared" si="315"/>
        <v>1</v>
      </c>
      <c r="F5259" s="497">
        <f t="shared" ca="1" si="316"/>
        <v>167</v>
      </c>
      <c r="G5259" s="497" t="s">
        <v>10231</v>
      </c>
      <c r="H5259" s="503"/>
      <c r="I5259" s="503"/>
      <c r="J5259" s="503"/>
      <c r="K5259" s="503"/>
      <c r="L5259" s="497"/>
      <c r="M5259" s="497"/>
      <c r="N5259" s="497"/>
      <c r="O5259" s="497"/>
      <c r="P5259" s="497">
        <f t="shared" si="317"/>
        <v>949</v>
      </c>
      <c r="Q5259" s="497" t="b">
        <v>0</v>
      </c>
    </row>
    <row r="5260" spans="1:17" x14ac:dyDescent="0.35">
      <c r="A5260" s="497" t="b">
        <v>0</v>
      </c>
      <c r="B5260" s="497" t="s">
        <v>11184</v>
      </c>
      <c r="C5260" s="512">
        <v>159</v>
      </c>
      <c r="D5260" s="497">
        <f t="shared" si="314"/>
        <v>470</v>
      </c>
      <c r="E5260" s="497">
        <f t="shared" si="315"/>
        <v>2</v>
      </c>
      <c r="F5260" s="497">
        <f t="shared" ca="1" si="316"/>
        <v>167</v>
      </c>
      <c r="G5260" s="497" t="s">
        <v>10231</v>
      </c>
      <c r="H5260" s="503"/>
      <c r="I5260" s="503"/>
      <c r="J5260" s="503"/>
      <c r="K5260" s="503"/>
      <c r="L5260" s="497"/>
      <c r="M5260" s="497"/>
      <c r="N5260" s="497"/>
      <c r="O5260" s="497"/>
      <c r="P5260" s="497">
        <f t="shared" si="317"/>
        <v>950</v>
      </c>
      <c r="Q5260" s="497" t="b">
        <v>0</v>
      </c>
    </row>
    <row r="5261" spans="1:17" x14ac:dyDescent="0.35">
      <c r="A5261" s="497" t="b">
        <v>0</v>
      </c>
      <c r="B5261" s="497" t="s">
        <v>11185</v>
      </c>
      <c r="C5261" s="512">
        <v>159</v>
      </c>
      <c r="D5261" s="497">
        <f t="shared" si="314"/>
        <v>471</v>
      </c>
      <c r="E5261" s="497">
        <f t="shared" si="315"/>
        <v>3</v>
      </c>
      <c r="F5261" s="497">
        <f t="shared" ca="1" si="316"/>
        <v>167</v>
      </c>
      <c r="G5261" s="497" t="s">
        <v>10231</v>
      </c>
      <c r="H5261" s="503"/>
      <c r="I5261" s="503"/>
      <c r="J5261" s="503"/>
      <c r="K5261" s="503"/>
      <c r="L5261" s="497"/>
      <c r="M5261" s="497"/>
      <c r="N5261" s="497"/>
      <c r="O5261" s="497"/>
      <c r="P5261" s="497">
        <f t="shared" si="317"/>
        <v>951</v>
      </c>
      <c r="Q5261" s="497" t="b">
        <v>0</v>
      </c>
    </row>
    <row r="5262" spans="1:17" x14ac:dyDescent="0.35">
      <c r="A5262" s="497" t="b">
        <v>0</v>
      </c>
      <c r="B5262" s="497" t="s">
        <v>11186</v>
      </c>
      <c r="C5262" s="512">
        <v>159</v>
      </c>
      <c r="D5262" s="497">
        <f t="shared" si="314"/>
        <v>472</v>
      </c>
      <c r="E5262" s="497">
        <f t="shared" si="315"/>
        <v>4</v>
      </c>
      <c r="F5262" s="497">
        <f t="shared" ca="1" si="316"/>
        <v>167</v>
      </c>
      <c r="G5262" s="497" t="s">
        <v>10231</v>
      </c>
      <c r="H5262" s="503"/>
      <c r="I5262" s="503"/>
      <c r="J5262" s="503"/>
      <c r="K5262" s="503"/>
      <c r="L5262" s="497"/>
      <c r="M5262" s="497"/>
      <c r="N5262" s="497"/>
      <c r="O5262" s="497"/>
      <c r="P5262" s="497">
        <f t="shared" si="317"/>
        <v>952</v>
      </c>
      <c r="Q5262" s="497" t="b">
        <v>0</v>
      </c>
    </row>
    <row r="5263" spans="1:17" x14ac:dyDescent="0.35">
      <c r="A5263" s="497" t="b">
        <v>0</v>
      </c>
      <c r="B5263" s="497" t="s">
        <v>11187</v>
      </c>
      <c r="C5263" s="512">
        <v>159</v>
      </c>
      <c r="D5263" s="497">
        <f t="shared" si="314"/>
        <v>473</v>
      </c>
      <c r="E5263" s="497">
        <f t="shared" si="315"/>
        <v>5</v>
      </c>
      <c r="F5263" s="497">
        <f t="shared" ca="1" si="316"/>
        <v>167</v>
      </c>
      <c r="G5263" s="497" t="s">
        <v>10231</v>
      </c>
      <c r="H5263" s="503"/>
      <c r="I5263" s="503"/>
      <c r="J5263" s="503"/>
      <c r="K5263" s="503"/>
      <c r="L5263" s="497"/>
      <c r="M5263" s="497"/>
      <c r="N5263" s="497"/>
      <c r="O5263" s="497"/>
      <c r="P5263" s="497">
        <f t="shared" si="317"/>
        <v>953</v>
      </c>
      <c r="Q5263" s="497" t="b">
        <v>0</v>
      </c>
    </row>
    <row r="5264" spans="1:17" x14ac:dyDescent="0.35">
      <c r="A5264" s="497" t="b">
        <v>0</v>
      </c>
      <c r="B5264" s="497" t="s">
        <v>11188</v>
      </c>
      <c r="C5264" s="512">
        <v>159</v>
      </c>
      <c r="D5264" s="497">
        <f t="shared" si="314"/>
        <v>474</v>
      </c>
      <c r="E5264" s="497">
        <f t="shared" si="315"/>
        <v>6</v>
      </c>
      <c r="F5264" s="497">
        <f t="shared" ca="1" si="316"/>
        <v>167</v>
      </c>
      <c r="G5264" s="497" t="s">
        <v>10231</v>
      </c>
      <c r="H5264" s="503"/>
      <c r="I5264" s="503"/>
      <c r="J5264" s="503"/>
      <c r="K5264" s="503"/>
      <c r="L5264" s="497"/>
      <c r="M5264" s="497"/>
      <c r="N5264" s="497"/>
      <c r="O5264" s="497"/>
      <c r="P5264" s="497">
        <f t="shared" si="317"/>
        <v>954</v>
      </c>
      <c r="Q5264" s="497" t="b">
        <v>0</v>
      </c>
    </row>
    <row r="5265" spans="1:17" x14ac:dyDescent="0.35">
      <c r="A5265" s="497" t="b">
        <v>0</v>
      </c>
      <c r="B5265" s="497" t="s">
        <v>11189</v>
      </c>
      <c r="C5265" s="512">
        <v>160</v>
      </c>
      <c r="D5265" s="497">
        <f t="shared" si="314"/>
        <v>475</v>
      </c>
      <c r="E5265" s="497">
        <f t="shared" si="315"/>
        <v>1</v>
      </c>
      <c r="F5265" s="497">
        <f t="shared" ca="1" si="316"/>
        <v>168</v>
      </c>
      <c r="G5265" s="497" t="s">
        <v>10233</v>
      </c>
      <c r="H5265" s="503"/>
      <c r="I5265" s="503"/>
      <c r="J5265" s="503"/>
      <c r="K5265" s="503"/>
      <c r="L5265" s="497"/>
      <c r="M5265" s="497"/>
      <c r="N5265" s="497"/>
      <c r="O5265" s="497"/>
      <c r="P5265" s="497">
        <f t="shared" si="317"/>
        <v>955</v>
      </c>
      <c r="Q5265" s="497" t="b">
        <v>0</v>
      </c>
    </row>
    <row r="5266" spans="1:17" x14ac:dyDescent="0.35">
      <c r="A5266" s="497" t="b">
        <v>0</v>
      </c>
      <c r="B5266" s="497" t="s">
        <v>11190</v>
      </c>
      <c r="C5266" s="512">
        <v>160</v>
      </c>
      <c r="D5266" s="497">
        <f t="shared" si="314"/>
        <v>476</v>
      </c>
      <c r="E5266" s="497">
        <f t="shared" si="315"/>
        <v>2</v>
      </c>
      <c r="F5266" s="497">
        <f t="shared" ca="1" si="316"/>
        <v>168</v>
      </c>
      <c r="G5266" s="497" t="s">
        <v>10233</v>
      </c>
      <c r="H5266" s="503"/>
      <c r="I5266" s="503"/>
      <c r="J5266" s="503"/>
      <c r="K5266" s="503"/>
      <c r="L5266" s="497"/>
      <c r="M5266" s="497"/>
      <c r="N5266" s="497"/>
      <c r="O5266" s="497"/>
      <c r="P5266" s="497">
        <f t="shared" si="317"/>
        <v>956</v>
      </c>
      <c r="Q5266" s="497" t="b">
        <v>0</v>
      </c>
    </row>
    <row r="5267" spans="1:17" x14ac:dyDescent="0.35">
      <c r="A5267" s="497" t="b">
        <v>0</v>
      </c>
      <c r="B5267" s="497" t="s">
        <v>11191</v>
      </c>
      <c r="C5267" s="512">
        <v>160</v>
      </c>
      <c r="D5267" s="497">
        <f t="shared" si="314"/>
        <v>477</v>
      </c>
      <c r="E5267" s="497">
        <f t="shared" si="315"/>
        <v>3</v>
      </c>
      <c r="F5267" s="497">
        <f t="shared" ca="1" si="316"/>
        <v>168</v>
      </c>
      <c r="G5267" s="497" t="s">
        <v>10233</v>
      </c>
      <c r="H5267" s="503"/>
      <c r="I5267" s="503"/>
      <c r="J5267" s="503"/>
      <c r="K5267" s="503"/>
      <c r="L5267" s="497"/>
      <c r="M5267" s="497"/>
      <c r="N5267" s="497"/>
      <c r="O5267" s="497"/>
      <c r="P5267" s="497">
        <f t="shared" si="317"/>
        <v>957</v>
      </c>
      <c r="Q5267" s="497" t="b">
        <v>0</v>
      </c>
    </row>
    <row r="5268" spans="1:17" x14ac:dyDescent="0.35">
      <c r="A5268" s="497" t="b">
        <v>0</v>
      </c>
      <c r="B5268" s="497" t="s">
        <v>11192</v>
      </c>
      <c r="C5268" s="512">
        <v>160</v>
      </c>
      <c r="D5268" s="497">
        <f t="shared" si="314"/>
        <v>478</v>
      </c>
      <c r="E5268" s="497">
        <f t="shared" si="315"/>
        <v>4</v>
      </c>
      <c r="F5268" s="497">
        <f t="shared" ca="1" si="316"/>
        <v>168</v>
      </c>
      <c r="G5268" s="497" t="s">
        <v>10233</v>
      </c>
      <c r="H5268" s="503"/>
      <c r="I5268" s="503"/>
      <c r="J5268" s="503"/>
      <c r="K5268" s="503"/>
      <c r="L5268" s="497"/>
      <c r="M5268" s="497"/>
      <c r="N5268" s="497"/>
      <c r="O5268" s="497"/>
      <c r="P5268" s="497">
        <f t="shared" si="317"/>
        <v>958</v>
      </c>
      <c r="Q5268" s="497" t="b">
        <v>0</v>
      </c>
    </row>
    <row r="5269" spans="1:17" x14ac:dyDescent="0.35">
      <c r="A5269" s="497" t="b">
        <v>0</v>
      </c>
      <c r="B5269" s="497" t="s">
        <v>11193</v>
      </c>
      <c r="C5269" s="512">
        <v>160</v>
      </c>
      <c r="D5269" s="497">
        <f t="shared" si="314"/>
        <v>479</v>
      </c>
      <c r="E5269" s="497">
        <f t="shared" si="315"/>
        <v>5</v>
      </c>
      <c r="F5269" s="497">
        <f t="shared" ca="1" si="316"/>
        <v>168</v>
      </c>
      <c r="G5269" s="497" t="s">
        <v>10233</v>
      </c>
      <c r="H5269" s="503"/>
      <c r="I5269" s="503"/>
      <c r="J5269" s="503"/>
      <c r="K5269" s="503"/>
      <c r="L5269" s="497"/>
      <c r="M5269" s="497"/>
      <c r="N5269" s="497"/>
      <c r="O5269" s="497"/>
      <c r="P5269" s="497">
        <f t="shared" si="317"/>
        <v>959</v>
      </c>
      <c r="Q5269" s="497" t="b">
        <v>0</v>
      </c>
    </row>
    <row r="5270" spans="1:17" x14ac:dyDescent="0.35">
      <c r="A5270" s="497" t="b">
        <v>0</v>
      </c>
      <c r="B5270" s="497" t="s">
        <v>11194</v>
      </c>
      <c r="C5270" s="512">
        <v>160</v>
      </c>
      <c r="D5270" s="497">
        <f t="shared" si="314"/>
        <v>480</v>
      </c>
      <c r="E5270" s="497">
        <f t="shared" si="315"/>
        <v>6</v>
      </c>
      <c r="F5270" s="497">
        <f t="shared" ca="1" si="316"/>
        <v>168</v>
      </c>
      <c r="G5270" s="497" t="s">
        <v>10233</v>
      </c>
      <c r="H5270" s="503"/>
      <c r="I5270" s="503"/>
      <c r="J5270" s="503"/>
      <c r="K5270" s="503"/>
      <c r="L5270" s="497"/>
      <c r="M5270" s="497"/>
      <c r="N5270" s="497"/>
      <c r="O5270" s="497"/>
      <c r="P5270" s="497">
        <f t="shared" si="317"/>
        <v>960</v>
      </c>
      <c r="Q5270" s="497" t="b">
        <v>0</v>
      </c>
    </row>
    <row r="5271" spans="1:17" x14ac:dyDescent="0.35">
      <c r="A5271" s="497" t="b">
        <f t="shared" ref="A5271:A5334" ca="1" si="318">IF(OR(AND(J5271&lt;&gt;"", J5271&lt;&gt;0), AND(K5271&lt;&gt;"",K5271&lt;&gt;0)),TRUE,FALSE)</f>
        <v>1</v>
      </c>
      <c r="B5271" s="510" t="str">
        <f ca="1">IF(COUNTA(G$4308:G5270)=1,"",OFFSET(B5271,-COUNTA(G$4308:G5270)+1,0))</f>
        <v>a1b3p0000095S7SAAU</v>
      </c>
      <c r="C5271" s="512">
        <f ca="1">IF(COUNTA(G$4308:G5270)=1,"",OFFSET(C5271,-COUNTA(G$4308:G5270)+1,0))</f>
        <v>1</v>
      </c>
      <c r="D5271" s="497">
        <f t="shared" ref="D5271:D5334" si="319">D5270+1</f>
        <v>481</v>
      </c>
      <c r="E5271" s="497">
        <f t="shared" ref="E5271:E5334" ca="1" si="320">COUNTIF(C5021:C5271,C5271)</f>
        <v>1</v>
      </c>
      <c r="F5271" s="497">
        <f t="shared" ref="F5271:F5334" ca="1" si="321">IF(C5271=1,9,IF(E5270=MAX(E5269:E5271),F5269+1,F5270))</f>
        <v>9</v>
      </c>
      <c r="G5271" s="497"/>
      <c r="H5271" s="503" t="str">
        <f t="shared" ref="H5271:H5334" ca="1" si="322">CHOOSE(E5271,IFERROR(IF(INDIRECT("'WPTM - Section F'!K"&amp;F5271)=0,"",INDIRECT("'WPTM - Section F'!K"&amp;$F5271)),""),IFERROR(IF(INDIRECT("'WPTM - Section F'!O"&amp;F5271)=0,"",INDIRECT("'WPTM - Section F'!O"&amp;$F5271)),""),IFERROR(IF(INDIRECT("'WPTM - Section F'!S"&amp;F5271)=0,"",INDIRECT("'WPTM - Section F'!S"&amp;$F5271)),""),IFERROR(IF(INDIRECT("'WPTM - Section F'!W"&amp;F5271)=0,"",INDIRECT("'WPTM - Section F'!W"&amp;$F5271)),""),IFERROR(IF(INDIRECT("'WPTM - Section F'!AA"&amp;F5271)=0,"",INDIRECT("'WPTM - Section F'!AA"&amp;$F5271)),""),IFERROR(IF(INDIRECT("'WPTM - Section F'!AE"&amp;F5271)=0,"",INDIRECT("'WPTM - Section F'!AE"&amp;$F5271)),""),IFERROR(IF(INDIRECT("'WPTM - Section F'!AI"&amp;F5271)=0,"",INDIRECT("'WPTM - Section F'!AI"&amp;$F5271)),""),IFERROR(IF(INDIRECT("'WPTM - Section F'!AM"&amp;F5271)=0,"",INDIRECT("'WPTM - Section F'!AM"&amp;$F5271)),""),)</f>
        <v>MSPT rating:
(0) Not Started: No progress against the milestone is  reported by the PR
(1) Started: by 2022 the implementation of the NRL remodeling contract will be continued. The PR presents evidence of the progress of works with technical reports being documented, expecting to have a progress of the work according to pre-defined criteria in the contract.
(2) Advanced: The PR will present evidence of 50% progress of the LNR relocation and improvement work, according to pre-defined criteria and according to the quarterly report of the supervising company.
(3) Completed: The PR will present evidence of 100% progress of the remodeling work and equipment relocation with the reception of the work verifying that they have complied with all the requirements established in the contract and in the stipulated time. Note: The work will be considered completed upon delivery of a contract compliance document evidencing satisfactory receipt of the work and establishing the technical warranty period.</v>
      </c>
      <c r="I5271" s="503" t="str">
        <f t="shared" ref="I5271:I5334" ca="1" si="323">CHOOSE(E5271,IFERROR(IF(INDIRECT("'WPTM - Section F'!J"&amp;F5271)=0,"",INDIRECT("'WPTM - Section F'!J"&amp;$F5271)),""),IFERROR(IF(INDIRECT("'WPTM - Section F'!N"&amp;F5271)=0,"",INDIRECT("'WPTM - Section F'!N"&amp;$F5271)),""),IFERROR(IF(INDIRECT("'WPTM - Section F'!R"&amp;F5271)=0,"",INDIRECT("'WPTM - Section F'!R"&amp;$F5271)),""),IFERROR(IF(INDIRECT("'WPTM - Section F'!V"&amp;F5271)=0,"",INDIRECT("'WPTM - Section F'!V"&amp;$F5271)),""),IFERROR(IF(INDIRECT("'WPTM - Section F'!Z"&amp;F5271)=0,"",INDIRECT("'WPTM - Section F'!Z"&amp;$F5271)),""),IFERROR(IF(INDIRECT("'WPTM - Section F'!AD"&amp;F5271)=0,"",INDIRECT("'WPTM - Section F'!AD"&amp;$F5271)),""),IFERROR(IF(INDIRECT("'WPTM - Section F'!AH"&amp;F5271)=0,"",INDIRECT("'WPTM - Section F'!AH"&amp;$F5271)),""),IFERROR(IF(INDIRECT("'WPTM - Section F'!AL"&amp;F5271)=0,"",INDIRECT("'WPTM - Section F'!AL"&amp;$F5271)),""),)</f>
        <v xml:space="preserve"> RNL building remodeled </v>
      </c>
      <c r="J5271" s="503" t="str">
        <f t="shared" ref="J5271:J5334" ca="1" si="324">CHOOSE(E5271,IFERROR(IF(INDIRECT("'WPTM - Section F'!H"&amp;F5271)=0,"",INDIRECT("'WPTM - Section F'!H"&amp;$F5271)),""),IFERROR(IF(INDIRECT("'WPTM - Section F'!L"&amp;F5271)=0,"",INDIRECT("'WPTM - Section F'!L"&amp;$F5271)),""),IFERROR(IF(INDIRECT("'WPTM - Section F'!P"&amp;F5271)=0,"",INDIRECT("'WPTM - Section F'!P"&amp;$F5271)),""),IFERROR(IF(INDIRECT("'WPTM - Section F'!T"&amp;F5271)=0,"",INDIRECT("'WPTM - Section F'!T"&amp;$F5271)),""),IFERROR(IF(INDIRECT("'WPTM - Section F'!X"&amp;F5271)=0,"",INDIRECT("'WPTM - Section F'!X"&amp;$F5271)),""),IFERROR(IF(INDIRECT("'WPTM - Section F'!AB"&amp;F5271)=0,"",INDIRECT("'WPTM - Section F'!AB"&amp;$F5271)),""),IFERROR(IF(INDIRECT("'WPTM - Section F'!AF"&amp;F5271)=0,"",INDIRECT("'WPTM - Section F'!AF"&amp;$F5271)),""),IFERROR(IF(INDIRECT("'WPTM - Section F'!AJ"&amp;F5271)=0,"",INDIRECT("'WPTM - Section F'!AJ"&amp;$F5271)),""),)</f>
        <v xml:space="preserve"> Edificio LNR Remodelado</v>
      </c>
      <c r="K5271" s="503" t="str">
        <f t="shared" ref="K5271:K5334" ca="1" si="325">CHOOSE(E5271,IFERROR(IF(INDIRECT("'WPTM - Section F'!I"&amp;F5271)=0,"",INDIRECT("'WPTM - Section F'!I"&amp;$F5271)),""),IFERROR(IF(INDIRECT("'WPTM - Section F'!M"&amp;F5271)=0,"",INDIRECT("'WPTM - Section F'!M"&amp;$F5271)),""),IFERROR(IF(INDIRECT("'WPTM - Section F'!Q"&amp;F5271)=0,"",INDIRECT("'WPTM - Section F'!Q"&amp;$F5271)),""),IFERROR(IF(INDIRECT("'WPTM - Section F'!U"&amp;F5271)=0,"",INDIRECT("'WPTM - Section F'!U"&amp;$F5271)),""),IFERROR(IF(INDIRECT("'WPTM - Section F'!Y"&amp;F5271)=0,"",INDIRECT("'WPTM - Section F'!Y"&amp;$F5271)),""),IFERROR(IF(INDIRECT("'WPTM - Section F'!AC"&amp;F5271)=0,"",INDIRECT("'WPTM - Section F'!AC"&amp;$F5271)),""),IFERROR(IF(INDIRECT("'WPTM - Section F'!AG"&amp;F5271)=0,"",INDIRECT("'WPTM - Section F'!AG"&amp;$F5271)),""),IFERROR(IF(INDIRECT("'WPTM - Section F'!AK"&amp;F5271)=0,"",INDIRECT("'WPTM - Section F'!AK"&amp;$F5271)),""),)</f>
        <v>Calificación de las MSPT:
(0) No Iniciado: EL RP no presenta ninguna evidencia de progreso del hito. 
(1)  Iniciado: para el año 2022 se dará continuidad a la implementación del contrato de remodelación del LNR. El PR presenta evidencia de los avances de obras con reportes técnicos documentándose, esperando tener un avance de la obra según criterios pre-definidos en el contrato.
(2) Avanzado: El PR presentará evidencia del avance de 50%  de la obra de reubicación y mejora del LNR, según criterios pre-definidos y de acuerdo al reporte trimestral de la empresa supervisora.
(3) Completado:  El PR presentará evidencia de 100% en el avance de la obra de  remodelación y del traslado de equipos con la recepción de la obra verificando que han cumplido con todos los requerimientos establecidos en el contrato y en el tiempo estipulado. Nota: La obra se dará por concluida mediante la entrega de un documento de cumplimiento del contrato donde se evidencie la recepción de la obra a satisfacción y se establezca el periodo de garantía técnica.</v>
      </c>
      <c r="L5271" s="497"/>
      <c r="M5271" s="497"/>
      <c r="N5271" s="497"/>
      <c r="O5271" s="497"/>
      <c r="P5271" s="497">
        <f t="shared" ref="P5271:P5334" si="326">IF(NOT(_xlfn.ISFORMULA(I5271)),P5270+1,0)</f>
        <v>0</v>
      </c>
      <c r="Q5271" s="497"/>
    </row>
    <row r="5272" spans="1:17" x14ac:dyDescent="0.35">
      <c r="A5272" s="497" t="b">
        <f t="shared" ca="1" si="318"/>
        <v>0</v>
      </c>
      <c r="B5272" s="510" t="str">
        <f ca="1">IF(COUNTA(G$4308:G5271)=1,"",OFFSET(B5272,-COUNTA(G$4308:G5271)+1,0))</f>
        <v>a1b3p0000095SA2AAM</v>
      </c>
      <c r="C5272" s="512">
        <f ca="1">IF(COUNTA(G$4308:G5271)=1,"",OFFSET(C5272,-COUNTA(G$4308:G5271)+1,0))</f>
        <v>1</v>
      </c>
      <c r="D5272" s="497">
        <f t="shared" si="319"/>
        <v>482</v>
      </c>
      <c r="E5272" s="497">
        <f t="shared" ca="1" si="320"/>
        <v>2</v>
      </c>
      <c r="F5272" s="497">
        <f t="shared" ca="1" si="321"/>
        <v>9</v>
      </c>
      <c r="G5272" s="497"/>
      <c r="H5272" s="503" t="str">
        <f t="shared" ca="1" si="322"/>
        <v/>
      </c>
      <c r="I5272" s="503" t="str">
        <f t="shared" ca="1" si="323"/>
        <v/>
      </c>
      <c r="J5272" s="503" t="str">
        <f t="shared" ca="1" si="324"/>
        <v/>
      </c>
      <c r="K5272" s="503" t="str">
        <f t="shared" ca="1" si="325"/>
        <v/>
      </c>
      <c r="L5272" s="497"/>
      <c r="M5272" s="497"/>
      <c r="N5272" s="497"/>
      <c r="O5272" s="497"/>
      <c r="P5272" s="497">
        <f t="shared" si="326"/>
        <v>0</v>
      </c>
      <c r="Q5272" s="497"/>
    </row>
    <row r="5273" spans="1:17" x14ac:dyDescent="0.35">
      <c r="A5273" s="497" t="b">
        <f t="shared" ca="1" si="318"/>
        <v>0</v>
      </c>
      <c r="B5273" s="510" t="str">
        <f ca="1">IF(COUNTA(G$4308:G5272)=1,"",OFFSET(B5273,-COUNTA(G$4308:G5272)+1,0))</f>
        <v>a1b3p0000095SCcAAM</v>
      </c>
      <c r="C5273" s="512">
        <f ca="1">IF(COUNTA(G$4308:G5272)=1,"",OFFSET(C5273,-COUNTA(G$4308:G5272)+1,0))</f>
        <v>1</v>
      </c>
      <c r="D5273" s="497">
        <f t="shared" si="319"/>
        <v>483</v>
      </c>
      <c r="E5273" s="497">
        <f t="shared" ca="1" si="320"/>
        <v>3</v>
      </c>
      <c r="F5273" s="497">
        <f t="shared" ca="1" si="321"/>
        <v>9</v>
      </c>
      <c r="G5273" s="497"/>
      <c r="H5273" s="503" t="str">
        <f t="shared" ca="1" si="322"/>
        <v/>
      </c>
      <c r="I5273" s="503" t="str">
        <f t="shared" ca="1" si="323"/>
        <v/>
      </c>
      <c r="J5273" s="503" t="str">
        <f t="shared" ca="1" si="324"/>
        <v/>
      </c>
      <c r="K5273" s="503" t="str">
        <f t="shared" ca="1" si="325"/>
        <v/>
      </c>
      <c r="L5273" s="497"/>
      <c r="M5273" s="497"/>
      <c r="N5273" s="497"/>
      <c r="O5273" s="497"/>
      <c r="P5273" s="497">
        <f t="shared" si="326"/>
        <v>0</v>
      </c>
      <c r="Q5273" s="497"/>
    </row>
    <row r="5274" spans="1:17" x14ac:dyDescent="0.35">
      <c r="A5274" s="497" t="b">
        <f t="shared" ca="1" si="318"/>
        <v>0</v>
      </c>
      <c r="B5274" s="510" t="str">
        <f ca="1">IF(COUNTA(G$4308:G5273)=1,"",OFFSET(B5274,-COUNTA(G$4308:G5273)+1,0))</f>
        <v>a1b3p0000095SFCAA2</v>
      </c>
      <c r="C5274" s="512">
        <f ca="1">IF(COUNTA(G$4308:G5273)=1,"",OFFSET(C5274,-COUNTA(G$4308:G5273)+1,0))</f>
        <v>1</v>
      </c>
      <c r="D5274" s="497">
        <f t="shared" si="319"/>
        <v>484</v>
      </c>
      <c r="E5274" s="497">
        <f t="shared" ca="1" si="320"/>
        <v>4</v>
      </c>
      <c r="F5274" s="497">
        <f t="shared" ca="1" si="321"/>
        <v>9</v>
      </c>
      <c r="G5274" s="497"/>
      <c r="H5274" s="503" t="str">
        <f t="shared" ca="1" si="322"/>
        <v/>
      </c>
      <c r="I5274" s="503" t="str">
        <f t="shared" ca="1" si="323"/>
        <v/>
      </c>
      <c r="J5274" s="503" t="str">
        <f t="shared" ca="1" si="324"/>
        <v/>
      </c>
      <c r="K5274" s="503" t="str">
        <f t="shared" ca="1" si="325"/>
        <v/>
      </c>
      <c r="L5274" s="497"/>
      <c r="M5274" s="497"/>
      <c r="N5274" s="497"/>
      <c r="O5274" s="497"/>
      <c r="P5274" s="497">
        <f t="shared" si="326"/>
        <v>0</v>
      </c>
      <c r="Q5274" s="497"/>
    </row>
    <row r="5275" spans="1:17" x14ac:dyDescent="0.35">
      <c r="A5275" s="497" t="b">
        <f t="shared" ca="1" si="318"/>
        <v>0</v>
      </c>
      <c r="B5275" s="510" t="str">
        <f ca="1">IF(COUNTA(G$4308:G5274)=1,"",OFFSET(B5275,-COUNTA(G$4308:G5274)+1,0))</f>
        <v>a1b3p0000095SHmAAM</v>
      </c>
      <c r="C5275" s="512">
        <f ca="1">IF(COUNTA(G$4308:G5274)=1,"",OFFSET(C5275,-COUNTA(G$4308:G5274)+1,0))</f>
        <v>1</v>
      </c>
      <c r="D5275" s="497">
        <f t="shared" si="319"/>
        <v>485</v>
      </c>
      <c r="E5275" s="497">
        <f t="shared" ca="1" si="320"/>
        <v>5</v>
      </c>
      <c r="F5275" s="497">
        <f t="shared" ca="1" si="321"/>
        <v>9</v>
      </c>
      <c r="G5275" s="497"/>
      <c r="H5275" s="503" t="str">
        <f t="shared" ca="1" si="322"/>
        <v/>
      </c>
      <c r="I5275" s="503" t="str">
        <f t="shared" ca="1" si="323"/>
        <v/>
      </c>
      <c r="J5275" s="503" t="str">
        <f t="shared" ca="1" si="324"/>
        <v/>
      </c>
      <c r="K5275" s="503" t="str">
        <f t="shared" ca="1" si="325"/>
        <v/>
      </c>
      <c r="L5275" s="497"/>
      <c r="M5275" s="497"/>
      <c r="N5275" s="497"/>
      <c r="O5275" s="497"/>
      <c r="P5275" s="497">
        <f t="shared" si="326"/>
        <v>0</v>
      </c>
      <c r="Q5275" s="497"/>
    </row>
    <row r="5276" spans="1:17" x14ac:dyDescent="0.35">
      <c r="A5276" s="497" t="b">
        <f t="shared" ca="1" si="318"/>
        <v>0</v>
      </c>
      <c r="B5276" s="510" t="str">
        <f ca="1">IF(COUNTA(G$4308:G5275)=1,"",OFFSET(B5276,-COUNTA(G$4308:G5275)+1,0))</f>
        <v>a1b3p0000095SKMAA2</v>
      </c>
      <c r="C5276" s="512">
        <f ca="1">IF(COUNTA(G$4308:G5275)=1,"",OFFSET(C5276,-COUNTA(G$4308:G5275)+1,0))</f>
        <v>1</v>
      </c>
      <c r="D5276" s="497">
        <f t="shared" si="319"/>
        <v>486</v>
      </c>
      <c r="E5276" s="497">
        <f t="shared" ca="1" si="320"/>
        <v>6</v>
      </c>
      <c r="F5276" s="497">
        <f t="shared" ca="1" si="321"/>
        <v>9</v>
      </c>
      <c r="G5276" s="497"/>
      <c r="H5276" s="503" t="str">
        <f t="shared" ca="1" si="322"/>
        <v/>
      </c>
      <c r="I5276" s="503" t="str">
        <f t="shared" ca="1" si="323"/>
        <v/>
      </c>
      <c r="J5276" s="503" t="str">
        <f t="shared" ca="1" si="324"/>
        <v/>
      </c>
      <c r="K5276" s="503" t="str">
        <f t="shared" ca="1" si="325"/>
        <v/>
      </c>
      <c r="L5276" s="497"/>
      <c r="M5276" s="497"/>
      <c r="N5276" s="497"/>
      <c r="O5276" s="497"/>
      <c r="P5276" s="497">
        <f t="shared" si="326"/>
        <v>0</v>
      </c>
      <c r="Q5276" s="497"/>
    </row>
    <row r="5277" spans="1:17" x14ac:dyDescent="0.35">
      <c r="A5277" s="497" t="b">
        <f t="shared" ca="1" si="318"/>
        <v>1</v>
      </c>
      <c r="B5277" s="510" t="str">
        <f ca="1">IF(COUNTA(G$4308:G5276)=1,"",OFFSET(B5277,-COUNTA(G$4308:G5276)+1,0))</f>
        <v>a1b3p0000095S7TAAU</v>
      </c>
      <c r="C5277" s="512">
        <f ca="1">IF(COUNTA(G$4308:G5276)=1,"",OFFSET(C5277,-COUNTA(G$4308:G5276)+1,0))</f>
        <v>2</v>
      </c>
      <c r="D5277" s="497">
        <f t="shared" si="319"/>
        <v>487</v>
      </c>
      <c r="E5277" s="497">
        <f t="shared" ca="1" si="320"/>
        <v>1</v>
      </c>
      <c r="F5277" s="497">
        <f t="shared" ca="1" si="321"/>
        <v>10</v>
      </c>
      <c r="G5277" s="497"/>
      <c r="H5277" s="503" t="str">
        <f t="shared" ca="1" si="322"/>
        <v xml:space="preserve">MSPT Rating:
(0) Not initiated: PR presents no evidence of milestone progress.
(1) Initiated: The PR presents evidence that the definition of technical specifications and bidding bases for complex and minor equipment has been completed.
(2) Advanced: The PR presents evidence that the request for purchase of complex and minor equipment has been prepared and approved, also presents evidence that the calls for bids/procurement of equipment and evaluation of bids/procurement of equipment have been carried out.
(3) Completed: The PR submits evidence of award and signature of equipment contracts. </v>
      </c>
      <c r="I5277" s="503" t="str">
        <f t="shared" ca="1" si="323"/>
        <v>Administrative processes for the equipment of the National Reference Laboratory (NRL) completed</v>
      </c>
      <c r="J5277" s="503" t="str">
        <f t="shared" ca="1" si="324"/>
        <v xml:space="preserve">Procesos administrativos para el equipamiento del Laboratorio Nacional de Referencia (LNR) competos </v>
      </c>
      <c r="K5277" s="503" t="str">
        <f t="shared" ca="1" si="325"/>
        <v xml:space="preserve">Calificación de las MSPT:
(0)  No iniciado: El RP no presenta ninguna evidencia de progreso del hito
(1) Iniciado: EL RP presenta evidencias de que se ha completado la definición de especificaciones técnicas y bases de licitación de equipos complejos y menores.
(2)Avanzado: El RP presenta evidencia de que se ha realizado la solicitud de compra  de equipos complejos y menores elaborada y de que se encuentra aprobada, tambien presenta evidencia de que las convocatorias de licitaciones/adquisiciones de equipamiento  y evaluación de licitaciones/adquisiciones de equipo fueron realizadas
(3) Completado: El RP presenta evidencai de la adjudicación y firma de contratos de equipamiento </v>
      </c>
      <c r="L5277" s="497"/>
      <c r="M5277" s="497"/>
      <c r="N5277" s="497"/>
      <c r="O5277" s="497"/>
      <c r="P5277" s="497">
        <f t="shared" si="326"/>
        <v>0</v>
      </c>
      <c r="Q5277" s="497"/>
    </row>
    <row r="5278" spans="1:17" x14ac:dyDescent="0.35">
      <c r="A5278" s="497" t="b">
        <f t="shared" ca="1" si="318"/>
        <v>1</v>
      </c>
      <c r="B5278" s="510" t="str">
        <f ca="1">IF(COUNTA(G$4308:G5277)=1,"",OFFSET(B5278,-COUNTA(G$4308:G5277)+1,0))</f>
        <v>a1b3p0000095SA3AAM</v>
      </c>
      <c r="C5278" s="512">
        <f ca="1">IF(COUNTA(G$4308:G5277)=1,"",OFFSET(C5278,-COUNTA(G$4308:G5277)+1,0))</f>
        <v>2</v>
      </c>
      <c r="D5278" s="497">
        <f t="shared" si="319"/>
        <v>488</v>
      </c>
      <c r="E5278" s="497">
        <f t="shared" ca="1" si="320"/>
        <v>2</v>
      </c>
      <c r="F5278" s="497">
        <f t="shared" ca="1" si="321"/>
        <v>10</v>
      </c>
      <c r="G5278" s="497"/>
      <c r="H5278" s="503" t="str">
        <f t="shared" ca="1" si="322"/>
        <v>MSPT Rating:
(0) Not initiated: PR presents no evidence of milestone progress.
(1) Initiated: The PR presents evidence of receipt of at least part of the laboratory equipment and its installation in the corresponding areas initiated and documented.
(2) Advanced: The PR presents evidence of receipt of all laboratory equipment and its installation in the corresponding areas initiated and documented.
(3) Completed: The PR presents evidence of satisfactory contract fulfillment demonstrating that each of the equipment is installed in the new building in the respective work areas, and its operation is guaranteed.</v>
      </c>
      <c r="I5278" s="503" t="str">
        <f t="shared" ca="1" si="323"/>
        <v xml:space="preserve"> new equipment at the National Reference Laboratory (NRL) Installed</v>
      </c>
      <c r="J5278" s="503" t="str">
        <f t="shared" ca="1" si="324"/>
        <v xml:space="preserve"> Equipos nuevos del Laboratorio Nacional de Referencia (LNR) instalados</v>
      </c>
      <c r="K5278" s="503" t="str">
        <f t="shared" ca="1" si="325"/>
        <v>Calificación de las MSPT:
(0) No inciado: El RP no presenta ninguna evidencia de progreso del hito
(1)  Iniciado: EL  RP presenta evidencia de la recepción de al menos una parte de  los equipos de laboratorios y su instalación en las áreas correspondientes iniciada y documentada.
(2) Avanzado: EL  RP presenta evidencia de la recepción de la totalidad pervista de  los equipos de laboratorios y su instalación en las áreas correspondientes iniciada y documentada.
(3)  Completado: El RP presenta evidencia de cumplimiento de contrato a satisfacción demostrando que estan instalados cada uno de los equipos en el nuevo edificio en las respectivas áreas de trabajo, y su funcionamiento está garantizado.</v>
      </c>
      <c r="L5278" s="497"/>
      <c r="M5278" s="497"/>
      <c r="N5278" s="497"/>
      <c r="O5278" s="497"/>
      <c r="P5278" s="497">
        <f t="shared" si="326"/>
        <v>0</v>
      </c>
      <c r="Q5278" s="497"/>
    </row>
    <row r="5279" spans="1:17" x14ac:dyDescent="0.35">
      <c r="A5279" s="497" t="b">
        <f t="shared" ca="1" si="318"/>
        <v>0</v>
      </c>
      <c r="B5279" s="510" t="str">
        <f ca="1">IF(COUNTA(G$4308:G5278)=1,"",OFFSET(B5279,-COUNTA(G$4308:G5278)+1,0))</f>
        <v>a1b3p0000095SCdAAM</v>
      </c>
      <c r="C5279" s="512">
        <f ca="1">IF(COUNTA(G$4308:G5278)=1,"",OFFSET(C5279,-COUNTA(G$4308:G5278)+1,0))</f>
        <v>2</v>
      </c>
      <c r="D5279" s="497">
        <f t="shared" si="319"/>
        <v>489</v>
      </c>
      <c r="E5279" s="497">
        <f t="shared" ca="1" si="320"/>
        <v>3</v>
      </c>
      <c r="F5279" s="497">
        <f t="shared" ca="1" si="321"/>
        <v>10</v>
      </c>
      <c r="G5279" s="497"/>
      <c r="H5279" s="503" t="str">
        <f t="shared" ca="1" si="322"/>
        <v/>
      </c>
      <c r="I5279" s="503" t="str">
        <f t="shared" ca="1" si="323"/>
        <v/>
      </c>
      <c r="J5279" s="503" t="str">
        <f t="shared" ca="1" si="324"/>
        <v/>
      </c>
      <c r="K5279" s="503" t="str">
        <f t="shared" ca="1" si="325"/>
        <v/>
      </c>
      <c r="L5279" s="497"/>
      <c r="M5279" s="497"/>
      <c r="N5279" s="497"/>
      <c r="O5279" s="497"/>
      <c r="P5279" s="497">
        <f t="shared" si="326"/>
        <v>0</v>
      </c>
      <c r="Q5279" s="497"/>
    </row>
    <row r="5280" spans="1:17" x14ac:dyDescent="0.35">
      <c r="A5280" s="497" t="b">
        <f t="shared" ca="1" si="318"/>
        <v>0</v>
      </c>
      <c r="B5280" s="510" t="str">
        <f ca="1">IF(COUNTA(G$4308:G5279)=1,"",OFFSET(B5280,-COUNTA(G$4308:G5279)+1,0))</f>
        <v>a1b3p0000095SFDAA2</v>
      </c>
      <c r="C5280" s="512">
        <f ca="1">IF(COUNTA(G$4308:G5279)=1,"",OFFSET(C5280,-COUNTA(G$4308:G5279)+1,0))</f>
        <v>2</v>
      </c>
      <c r="D5280" s="497">
        <f t="shared" si="319"/>
        <v>490</v>
      </c>
      <c r="E5280" s="497">
        <f t="shared" ca="1" si="320"/>
        <v>4</v>
      </c>
      <c r="F5280" s="497">
        <f t="shared" ca="1" si="321"/>
        <v>10</v>
      </c>
      <c r="G5280" s="497"/>
      <c r="H5280" s="503" t="str">
        <f t="shared" ca="1" si="322"/>
        <v/>
      </c>
      <c r="I5280" s="503" t="str">
        <f t="shared" ca="1" si="323"/>
        <v/>
      </c>
      <c r="J5280" s="503" t="str">
        <f t="shared" ca="1" si="324"/>
        <v/>
      </c>
      <c r="K5280" s="503" t="str">
        <f t="shared" ca="1" si="325"/>
        <v/>
      </c>
      <c r="L5280" s="497"/>
      <c r="M5280" s="497"/>
      <c r="N5280" s="497"/>
      <c r="O5280" s="497"/>
      <c r="P5280" s="497">
        <f t="shared" si="326"/>
        <v>0</v>
      </c>
      <c r="Q5280" s="497"/>
    </row>
    <row r="5281" spans="1:17" x14ac:dyDescent="0.35">
      <c r="A5281" s="497" t="b">
        <f t="shared" ca="1" si="318"/>
        <v>0</v>
      </c>
      <c r="B5281" s="510" t="str">
        <f ca="1">IF(COUNTA(G$4308:G5280)=1,"",OFFSET(B5281,-COUNTA(G$4308:G5280)+1,0))</f>
        <v>a1b3p0000095SHnAAM</v>
      </c>
      <c r="C5281" s="512">
        <f ca="1">IF(COUNTA(G$4308:G5280)=1,"",OFFSET(C5281,-COUNTA(G$4308:G5280)+1,0))</f>
        <v>2</v>
      </c>
      <c r="D5281" s="497">
        <f t="shared" si="319"/>
        <v>491</v>
      </c>
      <c r="E5281" s="497">
        <f t="shared" ca="1" si="320"/>
        <v>5</v>
      </c>
      <c r="F5281" s="497">
        <f t="shared" ca="1" si="321"/>
        <v>10</v>
      </c>
      <c r="G5281" s="497"/>
      <c r="H5281" s="503" t="str">
        <f t="shared" ca="1" si="322"/>
        <v/>
      </c>
      <c r="I5281" s="503" t="str">
        <f t="shared" ca="1" si="323"/>
        <v/>
      </c>
      <c r="J5281" s="503" t="str">
        <f t="shared" ca="1" si="324"/>
        <v/>
      </c>
      <c r="K5281" s="503" t="str">
        <f t="shared" ca="1" si="325"/>
        <v/>
      </c>
      <c r="L5281" s="497"/>
      <c r="M5281" s="497"/>
      <c r="N5281" s="497"/>
      <c r="O5281" s="497"/>
      <c r="P5281" s="497">
        <f t="shared" si="326"/>
        <v>0</v>
      </c>
      <c r="Q5281" s="497"/>
    </row>
    <row r="5282" spans="1:17" x14ac:dyDescent="0.35">
      <c r="A5282" s="497" t="b">
        <f t="shared" ca="1" si="318"/>
        <v>0</v>
      </c>
      <c r="B5282" s="510" t="str">
        <f ca="1">IF(COUNTA(G$4308:G5281)=1,"",OFFSET(B5282,-COUNTA(G$4308:G5281)+1,0))</f>
        <v>a1b3p0000095SKNAA2</v>
      </c>
      <c r="C5282" s="512">
        <f ca="1">IF(COUNTA(G$4308:G5281)=1,"",OFFSET(C5282,-COUNTA(G$4308:G5281)+1,0))</f>
        <v>2</v>
      </c>
      <c r="D5282" s="497">
        <f t="shared" si="319"/>
        <v>492</v>
      </c>
      <c r="E5282" s="497">
        <f t="shared" ca="1" si="320"/>
        <v>6</v>
      </c>
      <c r="F5282" s="497">
        <f t="shared" ca="1" si="321"/>
        <v>10</v>
      </c>
      <c r="G5282" s="497"/>
      <c r="H5282" s="503" t="str">
        <f t="shared" ca="1" si="322"/>
        <v/>
      </c>
      <c r="I5282" s="503" t="str">
        <f t="shared" ca="1" si="323"/>
        <v/>
      </c>
      <c r="J5282" s="503" t="str">
        <f t="shared" ca="1" si="324"/>
        <v/>
      </c>
      <c r="K5282" s="503" t="str">
        <f t="shared" ca="1" si="325"/>
        <v/>
      </c>
      <c r="L5282" s="497"/>
      <c r="M5282" s="497"/>
      <c r="N5282" s="497"/>
      <c r="O5282" s="497"/>
      <c r="P5282" s="497">
        <f t="shared" si="326"/>
        <v>0</v>
      </c>
      <c r="Q5282" s="497"/>
    </row>
    <row r="5283" spans="1:17" x14ac:dyDescent="0.35">
      <c r="A5283" s="497" t="b">
        <f t="shared" ca="1" si="318"/>
        <v>0</v>
      </c>
      <c r="B5283" s="510" t="str">
        <f ca="1">IF(COUNTA(G$4308:G5282)=1,"",OFFSET(B5283,-COUNTA(G$4308:G5282)+1,0))</f>
        <v>a1b3p0000095S7UAAU</v>
      </c>
      <c r="C5283" s="512">
        <f ca="1">IF(COUNTA(G$4308:G5282)=1,"",OFFSET(C5283,-COUNTA(G$4308:G5282)+1,0))</f>
        <v>3</v>
      </c>
      <c r="D5283" s="497">
        <f t="shared" si="319"/>
        <v>493</v>
      </c>
      <c r="E5283" s="497">
        <f t="shared" ca="1" si="320"/>
        <v>1</v>
      </c>
      <c r="F5283" s="497">
        <f t="shared" ca="1" si="321"/>
        <v>11</v>
      </c>
      <c r="G5283" s="497"/>
      <c r="H5283" s="503" t="str">
        <f t="shared" ca="1" si="322"/>
        <v/>
      </c>
      <c r="I5283" s="503" t="str">
        <f t="shared" ca="1" si="323"/>
        <v/>
      </c>
      <c r="J5283" s="503" t="str">
        <f t="shared" ca="1" si="324"/>
        <v/>
      </c>
      <c r="K5283" s="503" t="str">
        <f t="shared" ca="1" si="325"/>
        <v/>
      </c>
      <c r="L5283" s="497"/>
      <c r="M5283" s="497"/>
      <c r="N5283" s="497"/>
      <c r="O5283" s="497"/>
      <c r="P5283" s="497">
        <f t="shared" si="326"/>
        <v>0</v>
      </c>
      <c r="Q5283" s="497"/>
    </row>
    <row r="5284" spans="1:17" x14ac:dyDescent="0.35">
      <c r="A5284" s="497" t="b">
        <f t="shared" ca="1" si="318"/>
        <v>0</v>
      </c>
      <c r="B5284" s="510" t="str">
        <f ca="1">IF(COUNTA(G$4308:G5283)=1,"",OFFSET(B5284,-COUNTA(G$4308:G5283)+1,0))</f>
        <v>a1b3p0000095SA4AAM</v>
      </c>
      <c r="C5284" s="512">
        <f ca="1">IF(COUNTA(G$4308:G5283)=1,"",OFFSET(C5284,-COUNTA(G$4308:G5283)+1,0))</f>
        <v>3</v>
      </c>
      <c r="D5284" s="497">
        <f t="shared" si="319"/>
        <v>494</v>
      </c>
      <c r="E5284" s="497">
        <f t="shared" ca="1" si="320"/>
        <v>2</v>
      </c>
      <c r="F5284" s="497">
        <f t="shared" ca="1" si="321"/>
        <v>11</v>
      </c>
      <c r="G5284" s="497"/>
      <c r="H5284" s="503" t="str">
        <f t="shared" ca="1" si="322"/>
        <v/>
      </c>
      <c r="I5284" s="503" t="str">
        <f t="shared" ca="1" si="323"/>
        <v/>
      </c>
      <c r="J5284" s="503" t="str">
        <f t="shared" ca="1" si="324"/>
        <v/>
      </c>
      <c r="K5284" s="503" t="str">
        <f t="shared" ca="1" si="325"/>
        <v/>
      </c>
      <c r="L5284" s="497"/>
      <c r="M5284" s="497"/>
      <c r="N5284" s="497"/>
      <c r="O5284" s="497"/>
      <c r="P5284" s="497">
        <f t="shared" si="326"/>
        <v>0</v>
      </c>
      <c r="Q5284" s="497"/>
    </row>
    <row r="5285" spans="1:17" x14ac:dyDescent="0.35">
      <c r="A5285" s="497" t="b">
        <f t="shared" ca="1" si="318"/>
        <v>0</v>
      </c>
      <c r="B5285" s="510" t="str">
        <f ca="1">IF(COUNTA(G$4308:G5284)=1,"",OFFSET(B5285,-COUNTA(G$4308:G5284)+1,0))</f>
        <v>a1b3p0000095SCeAAM</v>
      </c>
      <c r="C5285" s="512">
        <f ca="1">IF(COUNTA(G$4308:G5284)=1,"",OFFSET(C5285,-COUNTA(G$4308:G5284)+1,0))</f>
        <v>3</v>
      </c>
      <c r="D5285" s="497">
        <f t="shared" si="319"/>
        <v>495</v>
      </c>
      <c r="E5285" s="497">
        <f t="shared" ca="1" si="320"/>
        <v>3</v>
      </c>
      <c r="F5285" s="497">
        <f t="shared" ca="1" si="321"/>
        <v>11</v>
      </c>
      <c r="G5285" s="497"/>
      <c r="H5285" s="503" t="str">
        <f t="shared" ca="1" si="322"/>
        <v/>
      </c>
      <c r="I5285" s="503" t="str">
        <f t="shared" ca="1" si="323"/>
        <v/>
      </c>
      <c r="J5285" s="503" t="str">
        <f t="shared" ca="1" si="324"/>
        <v/>
      </c>
      <c r="K5285" s="503" t="str">
        <f t="shared" ca="1" si="325"/>
        <v/>
      </c>
      <c r="L5285" s="497"/>
      <c r="M5285" s="497"/>
      <c r="N5285" s="497"/>
      <c r="O5285" s="497"/>
      <c r="P5285" s="497">
        <f t="shared" si="326"/>
        <v>0</v>
      </c>
      <c r="Q5285" s="497"/>
    </row>
    <row r="5286" spans="1:17" x14ac:dyDescent="0.35">
      <c r="A5286" s="497" t="b">
        <f t="shared" ca="1" si="318"/>
        <v>0</v>
      </c>
      <c r="B5286" s="510" t="str">
        <f ca="1">IF(COUNTA(G$4308:G5285)=1,"",OFFSET(B5286,-COUNTA(G$4308:G5285)+1,0))</f>
        <v>a1b3p0000095SFEAA2</v>
      </c>
      <c r="C5286" s="512">
        <f ca="1">IF(COUNTA(G$4308:G5285)=1,"",OFFSET(C5286,-COUNTA(G$4308:G5285)+1,0))</f>
        <v>3</v>
      </c>
      <c r="D5286" s="497">
        <f t="shared" si="319"/>
        <v>496</v>
      </c>
      <c r="E5286" s="497">
        <f t="shared" ca="1" si="320"/>
        <v>4</v>
      </c>
      <c r="F5286" s="497">
        <f t="shared" ca="1" si="321"/>
        <v>11</v>
      </c>
      <c r="G5286" s="497"/>
      <c r="H5286" s="503" t="str">
        <f t="shared" ca="1" si="322"/>
        <v/>
      </c>
      <c r="I5286" s="503" t="str">
        <f t="shared" ca="1" si="323"/>
        <v/>
      </c>
      <c r="J5286" s="503" t="str">
        <f t="shared" ca="1" si="324"/>
        <v/>
      </c>
      <c r="K5286" s="503" t="str">
        <f t="shared" ca="1" si="325"/>
        <v/>
      </c>
      <c r="L5286" s="497"/>
      <c r="M5286" s="497"/>
      <c r="N5286" s="497"/>
      <c r="O5286" s="497"/>
      <c r="P5286" s="497">
        <f t="shared" si="326"/>
        <v>0</v>
      </c>
      <c r="Q5286" s="497"/>
    </row>
    <row r="5287" spans="1:17" x14ac:dyDescent="0.35">
      <c r="A5287" s="497" t="b">
        <f t="shared" ca="1" si="318"/>
        <v>0</v>
      </c>
      <c r="B5287" s="510" t="str">
        <f ca="1">IF(COUNTA(G$4308:G5286)=1,"",OFFSET(B5287,-COUNTA(G$4308:G5286)+1,0))</f>
        <v>a1b3p0000095SHoAAM</v>
      </c>
      <c r="C5287" s="512">
        <f ca="1">IF(COUNTA(G$4308:G5286)=1,"",OFFSET(C5287,-COUNTA(G$4308:G5286)+1,0))</f>
        <v>3</v>
      </c>
      <c r="D5287" s="497">
        <f t="shared" si="319"/>
        <v>497</v>
      </c>
      <c r="E5287" s="497">
        <f t="shared" ca="1" si="320"/>
        <v>5</v>
      </c>
      <c r="F5287" s="497">
        <f t="shared" ca="1" si="321"/>
        <v>11</v>
      </c>
      <c r="G5287" s="497"/>
      <c r="H5287" s="503" t="str">
        <f t="shared" ca="1" si="322"/>
        <v/>
      </c>
      <c r="I5287" s="503" t="str">
        <f t="shared" ca="1" si="323"/>
        <v/>
      </c>
      <c r="J5287" s="503" t="str">
        <f t="shared" ca="1" si="324"/>
        <v/>
      </c>
      <c r="K5287" s="503" t="str">
        <f t="shared" ca="1" si="325"/>
        <v/>
      </c>
      <c r="L5287" s="497"/>
      <c r="M5287" s="497"/>
      <c r="N5287" s="497"/>
      <c r="O5287" s="497"/>
      <c r="P5287" s="497">
        <f t="shared" si="326"/>
        <v>0</v>
      </c>
      <c r="Q5287" s="497"/>
    </row>
    <row r="5288" spans="1:17" x14ac:dyDescent="0.35">
      <c r="A5288" s="497" t="b">
        <f t="shared" ca="1" si="318"/>
        <v>0</v>
      </c>
      <c r="B5288" s="510" t="str">
        <f ca="1">IF(COUNTA(G$4308:G5287)=1,"",OFFSET(B5288,-COUNTA(G$4308:G5287)+1,0))</f>
        <v>a1b3p0000095SKOAA2</v>
      </c>
      <c r="C5288" s="512">
        <f ca="1">IF(COUNTA(G$4308:G5287)=1,"",OFFSET(C5288,-COUNTA(G$4308:G5287)+1,0))</f>
        <v>3</v>
      </c>
      <c r="D5288" s="497">
        <f t="shared" si="319"/>
        <v>498</v>
      </c>
      <c r="E5288" s="497">
        <f t="shared" ca="1" si="320"/>
        <v>6</v>
      </c>
      <c r="F5288" s="497">
        <f t="shared" ca="1" si="321"/>
        <v>11</v>
      </c>
      <c r="G5288" s="497"/>
      <c r="H5288" s="503" t="str">
        <f t="shared" ca="1" si="322"/>
        <v/>
      </c>
      <c r="I5288" s="503" t="str">
        <f t="shared" ca="1" si="323"/>
        <v/>
      </c>
      <c r="J5288" s="503" t="str">
        <f t="shared" ca="1" si="324"/>
        <v/>
      </c>
      <c r="K5288" s="503" t="str">
        <f t="shared" ca="1" si="325"/>
        <v/>
      </c>
      <c r="L5288" s="497"/>
      <c r="M5288" s="497"/>
      <c r="N5288" s="497"/>
      <c r="O5288" s="497"/>
      <c r="P5288" s="497">
        <f t="shared" si="326"/>
        <v>0</v>
      </c>
      <c r="Q5288" s="497"/>
    </row>
    <row r="5289" spans="1:17" x14ac:dyDescent="0.35">
      <c r="A5289" s="497" t="b">
        <f t="shared" ca="1" si="318"/>
        <v>0</v>
      </c>
      <c r="B5289" s="510" t="str">
        <f ca="1">IF(COUNTA(G$4308:G5288)=1,"",OFFSET(B5289,-COUNTA(G$4308:G5288)+1,0))</f>
        <v>a1b3p0000095S7VAAU</v>
      </c>
      <c r="C5289" s="512">
        <f ca="1">IF(COUNTA(G$4308:G5288)=1,"",OFFSET(C5289,-COUNTA(G$4308:G5288)+1,0))</f>
        <v>4</v>
      </c>
      <c r="D5289" s="497">
        <f t="shared" si="319"/>
        <v>499</v>
      </c>
      <c r="E5289" s="497">
        <f t="shared" ca="1" si="320"/>
        <v>1</v>
      </c>
      <c r="F5289" s="497">
        <f t="shared" ca="1" si="321"/>
        <v>12</v>
      </c>
      <c r="G5289" s="497"/>
      <c r="H5289" s="503" t="str">
        <f t="shared" ca="1" si="322"/>
        <v/>
      </c>
      <c r="I5289" s="503" t="str">
        <f t="shared" ca="1" si="323"/>
        <v/>
      </c>
      <c r="J5289" s="503" t="str">
        <f t="shared" ca="1" si="324"/>
        <v/>
      </c>
      <c r="K5289" s="503" t="str">
        <f t="shared" ca="1" si="325"/>
        <v/>
      </c>
      <c r="L5289" s="497"/>
      <c r="M5289" s="497"/>
      <c r="N5289" s="497"/>
      <c r="O5289" s="497"/>
      <c r="P5289" s="497">
        <f t="shared" si="326"/>
        <v>0</v>
      </c>
      <c r="Q5289" s="497"/>
    </row>
    <row r="5290" spans="1:17" x14ac:dyDescent="0.35">
      <c r="A5290" s="497" t="b">
        <f t="shared" ca="1" si="318"/>
        <v>0</v>
      </c>
      <c r="B5290" s="510" t="str">
        <f ca="1">IF(COUNTA(G$4308:G5289)=1,"",OFFSET(B5290,-COUNTA(G$4308:G5289)+1,0))</f>
        <v>a1b3p0000095SA5AAM</v>
      </c>
      <c r="C5290" s="512">
        <f ca="1">IF(COUNTA(G$4308:G5289)=1,"",OFFSET(C5290,-COUNTA(G$4308:G5289)+1,0))</f>
        <v>4</v>
      </c>
      <c r="D5290" s="497">
        <f t="shared" si="319"/>
        <v>500</v>
      </c>
      <c r="E5290" s="497">
        <f t="shared" ca="1" si="320"/>
        <v>2</v>
      </c>
      <c r="F5290" s="497">
        <f t="shared" ca="1" si="321"/>
        <v>12</v>
      </c>
      <c r="G5290" s="497"/>
      <c r="H5290" s="503" t="str">
        <f t="shared" ca="1" si="322"/>
        <v/>
      </c>
      <c r="I5290" s="503" t="str">
        <f t="shared" ca="1" si="323"/>
        <v/>
      </c>
      <c r="J5290" s="503" t="str">
        <f t="shared" ca="1" si="324"/>
        <v/>
      </c>
      <c r="K5290" s="503" t="str">
        <f t="shared" ca="1" si="325"/>
        <v/>
      </c>
      <c r="L5290" s="497"/>
      <c r="M5290" s="497"/>
      <c r="N5290" s="497"/>
      <c r="O5290" s="497"/>
      <c r="P5290" s="497">
        <f t="shared" si="326"/>
        <v>0</v>
      </c>
      <c r="Q5290" s="497"/>
    </row>
    <row r="5291" spans="1:17" x14ac:dyDescent="0.35">
      <c r="A5291" s="497" t="b">
        <f t="shared" ca="1" si="318"/>
        <v>0</v>
      </c>
      <c r="B5291" s="510" t="str">
        <f ca="1">IF(COUNTA(G$4308:G5290)=1,"",OFFSET(B5291,-COUNTA(G$4308:G5290)+1,0))</f>
        <v>a1b3p0000095SCfAAM</v>
      </c>
      <c r="C5291" s="512">
        <f ca="1">IF(COUNTA(G$4308:G5290)=1,"",OFFSET(C5291,-COUNTA(G$4308:G5290)+1,0))</f>
        <v>4</v>
      </c>
      <c r="D5291" s="497">
        <f t="shared" si="319"/>
        <v>501</v>
      </c>
      <c r="E5291" s="497">
        <f t="shared" ca="1" si="320"/>
        <v>3</v>
      </c>
      <c r="F5291" s="497">
        <f t="shared" ca="1" si="321"/>
        <v>12</v>
      </c>
      <c r="G5291" s="497"/>
      <c r="H5291" s="503" t="str">
        <f t="shared" ca="1" si="322"/>
        <v/>
      </c>
      <c r="I5291" s="503" t="str">
        <f t="shared" ca="1" si="323"/>
        <v/>
      </c>
      <c r="J5291" s="503" t="str">
        <f t="shared" ca="1" si="324"/>
        <v/>
      </c>
      <c r="K5291" s="503" t="str">
        <f t="shared" ca="1" si="325"/>
        <v/>
      </c>
      <c r="L5291" s="497"/>
      <c r="M5291" s="497"/>
      <c r="N5291" s="497"/>
      <c r="O5291" s="497"/>
      <c r="P5291" s="497">
        <f t="shared" si="326"/>
        <v>0</v>
      </c>
      <c r="Q5291" s="497"/>
    </row>
    <row r="5292" spans="1:17" x14ac:dyDescent="0.35">
      <c r="A5292" s="497" t="b">
        <f t="shared" ca="1" si="318"/>
        <v>0</v>
      </c>
      <c r="B5292" s="510" t="str">
        <f ca="1">IF(COUNTA(G$4308:G5291)=1,"",OFFSET(B5292,-COUNTA(G$4308:G5291)+1,0))</f>
        <v>a1b3p0000095SFFAA2</v>
      </c>
      <c r="C5292" s="512">
        <f ca="1">IF(COUNTA(G$4308:G5291)=1,"",OFFSET(C5292,-COUNTA(G$4308:G5291)+1,0))</f>
        <v>4</v>
      </c>
      <c r="D5292" s="497">
        <f t="shared" si="319"/>
        <v>502</v>
      </c>
      <c r="E5292" s="497">
        <f t="shared" ca="1" si="320"/>
        <v>4</v>
      </c>
      <c r="F5292" s="497">
        <f t="shared" ca="1" si="321"/>
        <v>12</v>
      </c>
      <c r="G5292" s="497"/>
      <c r="H5292" s="503" t="str">
        <f t="shared" ca="1" si="322"/>
        <v/>
      </c>
      <c r="I5292" s="503" t="str">
        <f t="shared" ca="1" si="323"/>
        <v/>
      </c>
      <c r="J5292" s="503" t="str">
        <f t="shared" ca="1" si="324"/>
        <v/>
      </c>
      <c r="K5292" s="503" t="str">
        <f t="shared" ca="1" si="325"/>
        <v/>
      </c>
      <c r="L5292" s="497"/>
      <c r="M5292" s="497"/>
      <c r="N5292" s="497"/>
      <c r="O5292" s="497"/>
      <c r="P5292" s="497">
        <f t="shared" si="326"/>
        <v>0</v>
      </c>
      <c r="Q5292" s="497"/>
    </row>
    <row r="5293" spans="1:17" x14ac:dyDescent="0.35">
      <c r="A5293" s="497" t="b">
        <f t="shared" ca="1" si="318"/>
        <v>0</v>
      </c>
      <c r="B5293" s="510" t="str">
        <f ca="1">IF(COUNTA(G$4308:G5292)=1,"",OFFSET(B5293,-COUNTA(G$4308:G5292)+1,0))</f>
        <v>a1b3p0000095SHpAAM</v>
      </c>
      <c r="C5293" s="512">
        <f ca="1">IF(COUNTA(G$4308:G5292)=1,"",OFFSET(C5293,-COUNTA(G$4308:G5292)+1,0))</f>
        <v>4</v>
      </c>
      <c r="D5293" s="497">
        <f t="shared" si="319"/>
        <v>503</v>
      </c>
      <c r="E5293" s="497">
        <f t="shared" ca="1" si="320"/>
        <v>5</v>
      </c>
      <c r="F5293" s="497">
        <f t="shared" ca="1" si="321"/>
        <v>12</v>
      </c>
      <c r="G5293" s="497"/>
      <c r="H5293" s="503" t="str">
        <f t="shared" ca="1" si="322"/>
        <v/>
      </c>
      <c r="I5293" s="503" t="str">
        <f t="shared" ca="1" si="323"/>
        <v/>
      </c>
      <c r="J5293" s="503" t="str">
        <f t="shared" ca="1" si="324"/>
        <v/>
      </c>
      <c r="K5293" s="503" t="str">
        <f t="shared" ca="1" si="325"/>
        <v/>
      </c>
      <c r="L5293" s="497"/>
      <c r="M5293" s="497"/>
      <c r="N5293" s="497"/>
      <c r="O5293" s="497"/>
      <c r="P5293" s="497">
        <f t="shared" si="326"/>
        <v>0</v>
      </c>
      <c r="Q5293" s="497"/>
    </row>
    <row r="5294" spans="1:17" x14ac:dyDescent="0.35">
      <c r="A5294" s="497" t="b">
        <f t="shared" ca="1" si="318"/>
        <v>0</v>
      </c>
      <c r="B5294" s="510" t="str">
        <f ca="1">IF(COUNTA(G$4308:G5293)=1,"",OFFSET(B5294,-COUNTA(G$4308:G5293)+1,0))</f>
        <v>a1b3p0000095SKPAA2</v>
      </c>
      <c r="C5294" s="512">
        <f ca="1">IF(COUNTA(G$4308:G5293)=1,"",OFFSET(C5294,-COUNTA(G$4308:G5293)+1,0))</f>
        <v>4</v>
      </c>
      <c r="D5294" s="497">
        <f t="shared" si="319"/>
        <v>504</v>
      </c>
      <c r="E5294" s="497">
        <f t="shared" ca="1" si="320"/>
        <v>6</v>
      </c>
      <c r="F5294" s="497">
        <f t="shared" ca="1" si="321"/>
        <v>12</v>
      </c>
      <c r="G5294" s="497"/>
      <c r="H5294" s="503" t="str">
        <f t="shared" ca="1" si="322"/>
        <v/>
      </c>
      <c r="I5294" s="503" t="str">
        <f t="shared" ca="1" si="323"/>
        <v/>
      </c>
      <c r="J5294" s="503" t="str">
        <f t="shared" ca="1" si="324"/>
        <v/>
      </c>
      <c r="K5294" s="503" t="str">
        <f t="shared" ca="1" si="325"/>
        <v/>
      </c>
      <c r="L5294" s="497"/>
      <c r="M5294" s="497"/>
      <c r="N5294" s="497"/>
      <c r="O5294" s="497"/>
      <c r="P5294" s="497">
        <f t="shared" si="326"/>
        <v>0</v>
      </c>
      <c r="Q5294" s="497"/>
    </row>
    <row r="5295" spans="1:17" x14ac:dyDescent="0.35">
      <c r="A5295" s="497" t="b">
        <f t="shared" ca="1" si="318"/>
        <v>0</v>
      </c>
      <c r="B5295" s="510" t="str">
        <f ca="1">IF(COUNTA(G$4308:G5294)=1,"",OFFSET(B5295,-COUNTA(G$4308:G5294)+1,0))</f>
        <v>a1b3p0000095S7WAAU</v>
      </c>
      <c r="C5295" s="512">
        <f ca="1">IF(COUNTA(G$4308:G5294)=1,"",OFFSET(C5295,-COUNTA(G$4308:G5294)+1,0))</f>
        <v>5</v>
      </c>
      <c r="D5295" s="497">
        <f t="shared" si="319"/>
        <v>505</v>
      </c>
      <c r="E5295" s="497">
        <f t="shared" ca="1" si="320"/>
        <v>1</v>
      </c>
      <c r="F5295" s="497">
        <f t="shared" ca="1" si="321"/>
        <v>13</v>
      </c>
      <c r="G5295" s="497"/>
      <c r="H5295" s="503" t="str">
        <f t="shared" ca="1" si="322"/>
        <v/>
      </c>
      <c r="I5295" s="503" t="str">
        <f t="shared" ca="1" si="323"/>
        <v/>
      </c>
      <c r="J5295" s="503" t="str">
        <f t="shared" ca="1" si="324"/>
        <v/>
      </c>
      <c r="K5295" s="503" t="str">
        <f t="shared" ca="1" si="325"/>
        <v/>
      </c>
      <c r="L5295" s="497"/>
      <c r="M5295" s="497"/>
      <c r="N5295" s="497"/>
      <c r="O5295" s="497"/>
      <c r="P5295" s="497">
        <f t="shared" si="326"/>
        <v>0</v>
      </c>
      <c r="Q5295" s="497"/>
    </row>
    <row r="5296" spans="1:17" x14ac:dyDescent="0.35">
      <c r="A5296" s="497" t="b">
        <f t="shared" ca="1" si="318"/>
        <v>0</v>
      </c>
      <c r="B5296" s="510" t="str">
        <f ca="1">IF(COUNTA(G$4308:G5295)=1,"",OFFSET(B5296,-COUNTA(G$4308:G5295)+1,0))</f>
        <v>a1b3p0000095SA6AAM</v>
      </c>
      <c r="C5296" s="512">
        <f ca="1">IF(COUNTA(G$4308:G5295)=1,"",OFFSET(C5296,-COUNTA(G$4308:G5295)+1,0))</f>
        <v>5</v>
      </c>
      <c r="D5296" s="497">
        <f t="shared" si="319"/>
        <v>506</v>
      </c>
      <c r="E5296" s="497">
        <f t="shared" ca="1" si="320"/>
        <v>2</v>
      </c>
      <c r="F5296" s="497">
        <f t="shared" ca="1" si="321"/>
        <v>13</v>
      </c>
      <c r="G5296" s="497"/>
      <c r="H5296" s="503" t="str">
        <f t="shared" ca="1" si="322"/>
        <v/>
      </c>
      <c r="I5296" s="503" t="str">
        <f t="shared" ca="1" si="323"/>
        <v/>
      </c>
      <c r="J5296" s="503" t="str">
        <f t="shared" ca="1" si="324"/>
        <v/>
      </c>
      <c r="K5296" s="503" t="str">
        <f t="shared" ca="1" si="325"/>
        <v/>
      </c>
      <c r="L5296" s="497"/>
      <c r="M5296" s="497"/>
      <c r="N5296" s="497"/>
      <c r="O5296" s="497"/>
      <c r="P5296" s="497">
        <f t="shared" si="326"/>
        <v>0</v>
      </c>
      <c r="Q5296" s="497"/>
    </row>
    <row r="5297" spans="1:17" x14ac:dyDescent="0.35">
      <c r="A5297" s="497" t="b">
        <f t="shared" ca="1" si="318"/>
        <v>0</v>
      </c>
      <c r="B5297" s="510" t="str">
        <f ca="1">IF(COUNTA(G$4308:G5296)=1,"",OFFSET(B5297,-COUNTA(G$4308:G5296)+1,0))</f>
        <v>a1b3p0000095SCgAAM</v>
      </c>
      <c r="C5297" s="512">
        <f ca="1">IF(COUNTA(G$4308:G5296)=1,"",OFFSET(C5297,-COUNTA(G$4308:G5296)+1,0))</f>
        <v>5</v>
      </c>
      <c r="D5297" s="497">
        <f t="shared" si="319"/>
        <v>507</v>
      </c>
      <c r="E5297" s="497">
        <f t="shared" ca="1" si="320"/>
        <v>3</v>
      </c>
      <c r="F5297" s="497">
        <f t="shared" ca="1" si="321"/>
        <v>13</v>
      </c>
      <c r="G5297" s="497"/>
      <c r="H5297" s="503" t="str">
        <f t="shared" ca="1" si="322"/>
        <v/>
      </c>
      <c r="I5297" s="503" t="str">
        <f t="shared" ca="1" si="323"/>
        <v/>
      </c>
      <c r="J5297" s="503" t="str">
        <f t="shared" ca="1" si="324"/>
        <v/>
      </c>
      <c r="K5297" s="503" t="str">
        <f t="shared" ca="1" si="325"/>
        <v/>
      </c>
      <c r="L5297" s="497"/>
      <c r="M5297" s="497"/>
      <c r="N5297" s="497"/>
      <c r="O5297" s="497"/>
      <c r="P5297" s="497">
        <f t="shared" si="326"/>
        <v>0</v>
      </c>
      <c r="Q5297" s="497"/>
    </row>
    <row r="5298" spans="1:17" x14ac:dyDescent="0.35">
      <c r="A5298" s="497" t="b">
        <f t="shared" ca="1" si="318"/>
        <v>0</v>
      </c>
      <c r="B5298" s="510" t="str">
        <f ca="1">IF(COUNTA(G$4308:G5297)=1,"",OFFSET(B5298,-COUNTA(G$4308:G5297)+1,0))</f>
        <v>a1b3p0000095SFGAA2</v>
      </c>
      <c r="C5298" s="512">
        <f ca="1">IF(COUNTA(G$4308:G5297)=1,"",OFFSET(C5298,-COUNTA(G$4308:G5297)+1,0))</f>
        <v>5</v>
      </c>
      <c r="D5298" s="497">
        <f t="shared" si="319"/>
        <v>508</v>
      </c>
      <c r="E5298" s="497">
        <f t="shared" ca="1" si="320"/>
        <v>4</v>
      </c>
      <c r="F5298" s="497">
        <f t="shared" ca="1" si="321"/>
        <v>13</v>
      </c>
      <c r="G5298" s="497"/>
      <c r="H5298" s="503" t="str">
        <f t="shared" ca="1" si="322"/>
        <v/>
      </c>
      <c r="I5298" s="503" t="str">
        <f t="shared" ca="1" si="323"/>
        <v/>
      </c>
      <c r="J5298" s="503" t="str">
        <f t="shared" ca="1" si="324"/>
        <v/>
      </c>
      <c r="K5298" s="503" t="str">
        <f t="shared" ca="1" si="325"/>
        <v/>
      </c>
      <c r="L5298" s="497"/>
      <c r="M5298" s="497"/>
      <c r="N5298" s="497"/>
      <c r="O5298" s="497"/>
      <c r="P5298" s="497">
        <f t="shared" si="326"/>
        <v>0</v>
      </c>
      <c r="Q5298" s="497"/>
    </row>
    <row r="5299" spans="1:17" x14ac:dyDescent="0.35">
      <c r="A5299" s="497" t="b">
        <f t="shared" ca="1" si="318"/>
        <v>0</v>
      </c>
      <c r="B5299" s="510" t="str">
        <f ca="1">IF(COUNTA(G$4308:G5298)=1,"",OFFSET(B5299,-COUNTA(G$4308:G5298)+1,0))</f>
        <v>a1b3p0000095SHqAAM</v>
      </c>
      <c r="C5299" s="512">
        <f ca="1">IF(COUNTA(G$4308:G5298)=1,"",OFFSET(C5299,-COUNTA(G$4308:G5298)+1,0))</f>
        <v>5</v>
      </c>
      <c r="D5299" s="497">
        <f t="shared" si="319"/>
        <v>509</v>
      </c>
      <c r="E5299" s="497">
        <f t="shared" ca="1" si="320"/>
        <v>5</v>
      </c>
      <c r="F5299" s="497">
        <f t="shared" ca="1" si="321"/>
        <v>13</v>
      </c>
      <c r="G5299" s="497"/>
      <c r="H5299" s="503" t="str">
        <f t="shared" ca="1" si="322"/>
        <v/>
      </c>
      <c r="I5299" s="503" t="str">
        <f t="shared" ca="1" si="323"/>
        <v/>
      </c>
      <c r="J5299" s="503" t="str">
        <f t="shared" ca="1" si="324"/>
        <v/>
      </c>
      <c r="K5299" s="503" t="str">
        <f t="shared" ca="1" si="325"/>
        <v/>
      </c>
      <c r="L5299" s="497"/>
      <c r="M5299" s="497"/>
      <c r="N5299" s="497"/>
      <c r="O5299" s="497"/>
      <c r="P5299" s="497">
        <f t="shared" si="326"/>
        <v>0</v>
      </c>
      <c r="Q5299" s="497"/>
    </row>
    <row r="5300" spans="1:17" x14ac:dyDescent="0.35">
      <c r="A5300" s="497" t="b">
        <f t="shared" ca="1" si="318"/>
        <v>0</v>
      </c>
      <c r="B5300" s="510" t="str">
        <f ca="1">IF(COUNTA(G$4308:G5299)=1,"",OFFSET(B5300,-COUNTA(G$4308:G5299)+1,0))</f>
        <v>a1b3p0000095SKQAA2</v>
      </c>
      <c r="C5300" s="512">
        <f ca="1">IF(COUNTA(G$4308:G5299)=1,"",OFFSET(C5300,-COUNTA(G$4308:G5299)+1,0))</f>
        <v>5</v>
      </c>
      <c r="D5300" s="497">
        <f t="shared" si="319"/>
        <v>510</v>
      </c>
      <c r="E5300" s="497">
        <f t="shared" ca="1" si="320"/>
        <v>6</v>
      </c>
      <c r="F5300" s="497">
        <f t="shared" ca="1" si="321"/>
        <v>13</v>
      </c>
      <c r="G5300" s="497"/>
      <c r="H5300" s="503" t="str">
        <f t="shared" ca="1" si="322"/>
        <v/>
      </c>
      <c r="I5300" s="503" t="str">
        <f t="shared" ca="1" si="323"/>
        <v/>
      </c>
      <c r="J5300" s="503" t="str">
        <f t="shared" ca="1" si="324"/>
        <v/>
      </c>
      <c r="K5300" s="503" t="str">
        <f t="shared" ca="1" si="325"/>
        <v/>
      </c>
      <c r="L5300" s="497"/>
      <c r="M5300" s="497"/>
      <c r="N5300" s="497"/>
      <c r="O5300" s="497"/>
      <c r="P5300" s="497">
        <f t="shared" si="326"/>
        <v>0</v>
      </c>
      <c r="Q5300" s="497"/>
    </row>
    <row r="5301" spans="1:17" x14ac:dyDescent="0.35">
      <c r="A5301" s="497" t="b">
        <f t="shared" ca="1" si="318"/>
        <v>0</v>
      </c>
      <c r="B5301" s="510" t="str">
        <f ca="1">IF(COUNTA(G$4308:G5300)=1,"",OFFSET(B5301,-COUNTA(G$4308:G5300)+1,0))</f>
        <v>a1b3p0000095S7XAAU</v>
      </c>
      <c r="C5301" s="512">
        <f ca="1">IF(COUNTA(G$4308:G5300)=1,"",OFFSET(C5301,-COUNTA(G$4308:G5300)+1,0))</f>
        <v>6</v>
      </c>
      <c r="D5301" s="497">
        <f t="shared" si="319"/>
        <v>511</v>
      </c>
      <c r="E5301" s="497">
        <f t="shared" ca="1" si="320"/>
        <v>1</v>
      </c>
      <c r="F5301" s="497">
        <f t="shared" ca="1" si="321"/>
        <v>14</v>
      </c>
      <c r="G5301" s="497"/>
      <c r="H5301" s="503" t="str">
        <f t="shared" ca="1" si="322"/>
        <v/>
      </c>
      <c r="I5301" s="503" t="str">
        <f t="shared" ca="1" si="323"/>
        <v/>
      </c>
      <c r="J5301" s="503" t="str">
        <f t="shared" ca="1" si="324"/>
        <v/>
      </c>
      <c r="K5301" s="503" t="str">
        <f t="shared" ca="1" si="325"/>
        <v/>
      </c>
      <c r="L5301" s="497"/>
      <c r="M5301" s="497"/>
      <c r="N5301" s="497"/>
      <c r="O5301" s="497"/>
      <c r="P5301" s="497">
        <f t="shared" si="326"/>
        <v>0</v>
      </c>
      <c r="Q5301" s="497"/>
    </row>
    <row r="5302" spans="1:17" x14ac:dyDescent="0.35">
      <c r="A5302" s="497" t="b">
        <f t="shared" ca="1" si="318"/>
        <v>0</v>
      </c>
      <c r="B5302" s="510" t="str">
        <f ca="1">IF(COUNTA(G$4308:G5301)=1,"",OFFSET(B5302,-COUNTA(G$4308:G5301)+1,0))</f>
        <v>a1b3p0000095SA7AAM</v>
      </c>
      <c r="C5302" s="512">
        <f ca="1">IF(COUNTA(G$4308:G5301)=1,"",OFFSET(C5302,-COUNTA(G$4308:G5301)+1,0))</f>
        <v>6</v>
      </c>
      <c r="D5302" s="497">
        <f t="shared" si="319"/>
        <v>512</v>
      </c>
      <c r="E5302" s="497">
        <f t="shared" ca="1" si="320"/>
        <v>2</v>
      </c>
      <c r="F5302" s="497">
        <f t="shared" ca="1" si="321"/>
        <v>14</v>
      </c>
      <c r="G5302" s="497"/>
      <c r="H5302" s="503" t="str">
        <f t="shared" ca="1" si="322"/>
        <v/>
      </c>
      <c r="I5302" s="503" t="str">
        <f t="shared" ca="1" si="323"/>
        <v/>
      </c>
      <c r="J5302" s="503" t="str">
        <f t="shared" ca="1" si="324"/>
        <v/>
      </c>
      <c r="K5302" s="503" t="str">
        <f t="shared" ca="1" si="325"/>
        <v/>
      </c>
      <c r="L5302" s="497"/>
      <c r="M5302" s="497"/>
      <c r="N5302" s="497"/>
      <c r="O5302" s="497"/>
      <c r="P5302" s="497">
        <f t="shared" si="326"/>
        <v>0</v>
      </c>
      <c r="Q5302" s="497"/>
    </row>
    <row r="5303" spans="1:17" x14ac:dyDescent="0.35">
      <c r="A5303" s="497" t="b">
        <f t="shared" ca="1" si="318"/>
        <v>0</v>
      </c>
      <c r="B5303" s="510" t="str">
        <f ca="1">IF(COUNTA(G$4308:G5302)=1,"",OFFSET(B5303,-COUNTA(G$4308:G5302)+1,0))</f>
        <v>a1b3p0000095SChAAM</v>
      </c>
      <c r="C5303" s="512">
        <f ca="1">IF(COUNTA(G$4308:G5302)=1,"",OFFSET(C5303,-COUNTA(G$4308:G5302)+1,0))</f>
        <v>6</v>
      </c>
      <c r="D5303" s="497">
        <f t="shared" si="319"/>
        <v>513</v>
      </c>
      <c r="E5303" s="497">
        <f t="shared" ca="1" si="320"/>
        <v>3</v>
      </c>
      <c r="F5303" s="497">
        <f t="shared" ca="1" si="321"/>
        <v>14</v>
      </c>
      <c r="G5303" s="497"/>
      <c r="H5303" s="503" t="str">
        <f t="shared" ca="1" si="322"/>
        <v/>
      </c>
      <c r="I5303" s="503" t="str">
        <f t="shared" ca="1" si="323"/>
        <v/>
      </c>
      <c r="J5303" s="503" t="str">
        <f t="shared" ca="1" si="324"/>
        <v/>
      </c>
      <c r="K5303" s="503" t="str">
        <f t="shared" ca="1" si="325"/>
        <v/>
      </c>
      <c r="L5303" s="497"/>
      <c r="M5303" s="497"/>
      <c r="N5303" s="497"/>
      <c r="O5303" s="497"/>
      <c r="P5303" s="497">
        <f t="shared" si="326"/>
        <v>0</v>
      </c>
      <c r="Q5303" s="497"/>
    </row>
    <row r="5304" spans="1:17" x14ac:dyDescent="0.35">
      <c r="A5304" s="497" t="b">
        <f t="shared" ca="1" si="318"/>
        <v>0</v>
      </c>
      <c r="B5304" s="510" t="str">
        <f ca="1">IF(COUNTA(G$4308:G5303)=1,"",OFFSET(B5304,-COUNTA(G$4308:G5303)+1,0))</f>
        <v>a1b3p0000095SFHAA2</v>
      </c>
      <c r="C5304" s="512">
        <f ca="1">IF(COUNTA(G$4308:G5303)=1,"",OFFSET(C5304,-COUNTA(G$4308:G5303)+1,0))</f>
        <v>6</v>
      </c>
      <c r="D5304" s="497">
        <f t="shared" si="319"/>
        <v>514</v>
      </c>
      <c r="E5304" s="497">
        <f t="shared" ca="1" si="320"/>
        <v>4</v>
      </c>
      <c r="F5304" s="497">
        <f t="shared" ca="1" si="321"/>
        <v>14</v>
      </c>
      <c r="G5304" s="497"/>
      <c r="H5304" s="503" t="str">
        <f t="shared" ca="1" si="322"/>
        <v/>
      </c>
      <c r="I5304" s="503" t="str">
        <f t="shared" ca="1" si="323"/>
        <v/>
      </c>
      <c r="J5304" s="503" t="str">
        <f t="shared" ca="1" si="324"/>
        <v/>
      </c>
      <c r="K5304" s="503" t="str">
        <f t="shared" ca="1" si="325"/>
        <v/>
      </c>
      <c r="L5304" s="497"/>
      <c r="M5304" s="497"/>
      <c r="N5304" s="497"/>
      <c r="O5304" s="497"/>
      <c r="P5304" s="497">
        <f t="shared" si="326"/>
        <v>0</v>
      </c>
      <c r="Q5304" s="497"/>
    </row>
    <row r="5305" spans="1:17" x14ac:dyDescent="0.35">
      <c r="A5305" s="497" t="b">
        <f t="shared" ca="1" si="318"/>
        <v>0</v>
      </c>
      <c r="B5305" s="510" t="str">
        <f ca="1">IF(COUNTA(G$4308:G5304)=1,"",OFFSET(B5305,-COUNTA(G$4308:G5304)+1,0))</f>
        <v>a1b3p0000095SHrAAM</v>
      </c>
      <c r="C5305" s="512">
        <f ca="1">IF(COUNTA(G$4308:G5304)=1,"",OFFSET(C5305,-COUNTA(G$4308:G5304)+1,0))</f>
        <v>6</v>
      </c>
      <c r="D5305" s="497">
        <f t="shared" si="319"/>
        <v>515</v>
      </c>
      <c r="E5305" s="497">
        <f t="shared" ca="1" si="320"/>
        <v>5</v>
      </c>
      <c r="F5305" s="497">
        <f t="shared" ca="1" si="321"/>
        <v>14</v>
      </c>
      <c r="G5305" s="497"/>
      <c r="H5305" s="503" t="str">
        <f t="shared" ca="1" si="322"/>
        <v/>
      </c>
      <c r="I5305" s="503" t="str">
        <f t="shared" ca="1" si="323"/>
        <v/>
      </c>
      <c r="J5305" s="503" t="str">
        <f t="shared" ca="1" si="324"/>
        <v/>
      </c>
      <c r="K5305" s="503" t="str">
        <f t="shared" ca="1" si="325"/>
        <v/>
      </c>
      <c r="L5305" s="497"/>
      <c r="M5305" s="497"/>
      <c r="N5305" s="497"/>
      <c r="O5305" s="497"/>
      <c r="P5305" s="497">
        <f t="shared" si="326"/>
        <v>0</v>
      </c>
      <c r="Q5305" s="497"/>
    </row>
    <row r="5306" spans="1:17" x14ac:dyDescent="0.35">
      <c r="A5306" s="497" t="b">
        <f t="shared" ca="1" si="318"/>
        <v>0</v>
      </c>
      <c r="B5306" s="510" t="str">
        <f ca="1">IF(COUNTA(G$4308:G5305)=1,"",OFFSET(B5306,-COUNTA(G$4308:G5305)+1,0))</f>
        <v>a1b3p0000095SKRAA2</v>
      </c>
      <c r="C5306" s="512">
        <f ca="1">IF(COUNTA(G$4308:G5305)=1,"",OFFSET(C5306,-COUNTA(G$4308:G5305)+1,0))</f>
        <v>6</v>
      </c>
      <c r="D5306" s="497">
        <f t="shared" si="319"/>
        <v>516</v>
      </c>
      <c r="E5306" s="497">
        <f t="shared" ca="1" si="320"/>
        <v>6</v>
      </c>
      <c r="F5306" s="497">
        <f t="shared" ca="1" si="321"/>
        <v>14</v>
      </c>
      <c r="G5306" s="497"/>
      <c r="H5306" s="503" t="str">
        <f t="shared" ca="1" si="322"/>
        <v/>
      </c>
      <c r="I5306" s="503" t="str">
        <f t="shared" ca="1" si="323"/>
        <v/>
      </c>
      <c r="J5306" s="503" t="str">
        <f t="shared" ca="1" si="324"/>
        <v/>
      </c>
      <c r="K5306" s="503" t="str">
        <f t="shared" ca="1" si="325"/>
        <v/>
      </c>
      <c r="L5306" s="497"/>
      <c r="M5306" s="497"/>
      <c r="N5306" s="497"/>
      <c r="O5306" s="497"/>
      <c r="P5306" s="497">
        <f t="shared" si="326"/>
        <v>0</v>
      </c>
      <c r="Q5306" s="497"/>
    </row>
    <row r="5307" spans="1:17" x14ac:dyDescent="0.35">
      <c r="A5307" s="497" t="b">
        <f t="shared" ca="1" si="318"/>
        <v>0</v>
      </c>
      <c r="B5307" s="510" t="str">
        <f ca="1">IF(COUNTA(G$4308:G5306)=1,"",OFFSET(B5307,-COUNTA(G$4308:G5306)+1,0))</f>
        <v>a1b3p0000095S7YAAU</v>
      </c>
      <c r="C5307" s="512">
        <f ca="1">IF(COUNTA(G$4308:G5306)=1,"",OFFSET(C5307,-COUNTA(G$4308:G5306)+1,0))</f>
        <v>7</v>
      </c>
      <c r="D5307" s="497">
        <f t="shared" si="319"/>
        <v>517</v>
      </c>
      <c r="E5307" s="497">
        <f t="shared" ca="1" si="320"/>
        <v>1</v>
      </c>
      <c r="F5307" s="497">
        <f t="shared" ca="1" si="321"/>
        <v>15</v>
      </c>
      <c r="G5307" s="497"/>
      <c r="H5307" s="503" t="str">
        <f t="shared" ca="1" si="322"/>
        <v/>
      </c>
      <c r="I5307" s="503" t="str">
        <f t="shared" ca="1" si="323"/>
        <v/>
      </c>
      <c r="J5307" s="503" t="str">
        <f t="shared" ca="1" si="324"/>
        <v/>
      </c>
      <c r="K5307" s="503" t="str">
        <f t="shared" ca="1" si="325"/>
        <v/>
      </c>
      <c r="L5307" s="497"/>
      <c r="M5307" s="497"/>
      <c r="N5307" s="497"/>
      <c r="O5307" s="497"/>
      <c r="P5307" s="497">
        <f t="shared" si="326"/>
        <v>0</v>
      </c>
      <c r="Q5307" s="497"/>
    </row>
    <row r="5308" spans="1:17" x14ac:dyDescent="0.35">
      <c r="A5308" s="497" t="b">
        <f t="shared" ca="1" si="318"/>
        <v>0</v>
      </c>
      <c r="B5308" s="510" t="str">
        <f ca="1">IF(COUNTA(G$4308:G5307)=1,"",OFFSET(B5308,-COUNTA(G$4308:G5307)+1,0))</f>
        <v>a1b3p0000095SA8AAM</v>
      </c>
      <c r="C5308" s="512">
        <f ca="1">IF(COUNTA(G$4308:G5307)=1,"",OFFSET(C5308,-COUNTA(G$4308:G5307)+1,0))</f>
        <v>7</v>
      </c>
      <c r="D5308" s="497">
        <f t="shared" si="319"/>
        <v>518</v>
      </c>
      <c r="E5308" s="497">
        <f t="shared" ca="1" si="320"/>
        <v>2</v>
      </c>
      <c r="F5308" s="497">
        <f t="shared" ca="1" si="321"/>
        <v>15</v>
      </c>
      <c r="G5308" s="497"/>
      <c r="H5308" s="503" t="str">
        <f t="shared" ca="1" si="322"/>
        <v/>
      </c>
      <c r="I5308" s="503" t="str">
        <f t="shared" ca="1" si="323"/>
        <v/>
      </c>
      <c r="J5308" s="503" t="str">
        <f t="shared" ca="1" si="324"/>
        <v/>
      </c>
      <c r="K5308" s="503" t="str">
        <f t="shared" ca="1" si="325"/>
        <v/>
      </c>
      <c r="L5308" s="497"/>
      <c r="M5308" s="497"/>
      <c r="N5308" s="497"/>
      <c r="O5308" s="497"/>
      <c r="P5308" s="497">
        <f t="shared" si="326"/>
        <v>0</v>
      </c>
      <c r="Q5308" s="497"/>
    </row>
    <row r="5309" spans="1:17" x14ac:dyDescent="0.35">
      <c r="A5309" s="497" t="b">
        <f t="shared" ca="1" si="318"/>
        <v>0</v>
      </c>
      <c r="B5309" s="510" t="str">
        <f ca="1">IF(COUNTA(G$4308:G5308)=1,"",OFFSET(B5309,-COUNTA(G$4308:G5308)+1,0))</f>
        <v>a1b3p0000095SCiAAM</v>
      </c>
      <c r="C5309" s="512">
        <f ca="1">IF(COUNTA(G$4308:G5308)=1,"",OFFSET(C5309,-COUNTA(G$4308:G5308)+1,0))</f>
        <v>7</v>
      </c>
      <c r="D5309" s="497">
        <f t="shared" si="319"/>
        <v>519</v>
      </c>
      <c r="E5309" s="497">
        <f t="shared" ca="1" si="320"/>
        <v>3</v>
      </c>
      <c r="F5309" s="497">
        <f t="shared" ca="1" si="321"/>
        <v>15</v>
      </c>
      <c r="G5309" s="497"/>
      <c r="H5309" s="503" t="str">
        <f t="shared" ca="1" si="322"/>
        <v/>
      </c>
      <c r="I5309" s="503" t="str">
        <f t="shared" ca="1" si="323"/>
        <v/>
      </c>
      <c r="J5309" s="503" t="str">
        <f t="shared" ca="1" si="324"/>
        <v/>
      </c>
      <c r="K5309" s="503" t="str">
        <f t="shared" ca="1" si="325"/>
        <v/>
      </c>
      <c r="L5309" s="497"/>
      <c r="M5309" s="497"/>
      <c r="N5309" s="497"/>
      <c r="O5309" s="497"/>
      <c r="P5309" s="497">
        <f t="shared" si="326"/>
        <v>0</v>
      </c>
      <c r="Q5309" s="497"/>
    </row>
    <row r="5310" spans="1:17" x14ac:dyDescent="0.35">
      <c r="A5310" s="497" t="b">
        <f t="shared" ca="1" si="318"/>
        <v>0</v>
      </c>
      <c r="B5310" s="510" t="str">
        <f ca="1">IF(COUNTA(G$4308:G5309)=1,"",OFFSET(B5310,-COUNTA(G$4308:G5309)+1,0))</f>
        <v>a1b3p0000095SFIAA2</v>
      </c>
      <c r="C5310" s="512">
        <f ca="1">IF(COUNTA(G$4308:G5309)=1,"",OFFSET(C5310,-COUNTA(G$4308:G5309)+1,0))</f>
        <v>7</v>
      </c>
      <c r="D5310" s="497">
        <f t="shared" si="319"/>
        <v>520</v>
      </c>
      <c r="E5310" s="497">
        <f t="shared" ca="1" si="320"/>
        <v>4</v>
      </c>
      <c r="F5310" s="497">
        <f t="shared" ca="1" si="321"/>
        <v>15</v>
      </c>
      <c r="G5310" s="497"/>
      <c r="H5310" s="503" t="str">
        <f t="shared" ca="1" si="322"/>
        <v/>
      </c>
      <c r="I5310" s="503" t="str">
        <f t="shared" ca="1" si="323"/>
        <v/>
      </c>
      <c r="J5310" s="503" t="str">
        <f t="shared" ca="1" si="324"/>
        <v/>
      </c>
      <c r="K5310" s="503" t="str">
        <f t="shared" ca="1" si="325"/>
        <v/>
      </c>
      <c r="L5310" s="497"/>
      <c r="M5310" s="497"/>
      <c r="N5310" s="497"/>
      <c r="O5310" s="497"/>
      <c r="P5310" s="497">
        <f t="shared" si="326"/>
        <v>0</v>
      </c>
      <c r="Q5310" s="497"/>
    </row>
    <row r="5311" spans="1:17" x14ac:dyDescent="0.35">
      <c r="A5311" s="497" t="b">
        <f t="shared" ca="1" si="318"/>
        <v>0</v>
      </c>
      <c r="B5311" s="510" t="str">
        <f ca="1">IF(COUNTA(G$4308:G5310)=1,"",OFFSET(B5311,-COUNTA(G$4308:G5310)+1,0))</f>
        <v>a1b3p0000095SHsAAM</v>
      </c>
      <c r="C5311" s="512">
        <f ca="1">IF(COUNTA(G$4308:G5310)=1,"",OFFSET(C5311,-COUNTA(G$4308:G5310)+1,0))</f>
        <v>7</v>
      </c>
      <c r="D5311" s="497">
        <f t="shared" si="319"/>
        <v>521</v>
      </c>
      <c r="E5311" s="497">
        <f t="shared" ca="1" si="320"/>
        <v>5</v>
      </c>
      <c r="F5311" s="497">
        <f t="shared" ca="1" si="321"/>
        <v>15</v>
      </c>
      <c r="G5311" s="497"/>
      <c r="H5311" s="503" t="str">
        <f t="shared" ca="1" si="322"/>
        <v/>
      </c>
      <c r="I5311" s="503" t="str">
        <f t="shared" ca="1" si="323"/>
        <v/>
      </c>
      <c r="J5311" s="503" t="str">
        <f t="shared" ca="1" si="324"/>
        <v/>
      </c>
      <c r="K5311" s="503" t="str">
        <f t="shared" ca="1" si="325"/>
        <v/>
      </c>
      <c r="L5311" s="497"/>
      <c r="M5311" s="497"/>
      <c r="N5311" s="497"/>
      <c r="O5311" s="497"/>
      <c r="P5311" s="497">
        <f t="shared" si="326"/>
        <v>0</v>
      </c>
      <c r="Q5311" s="497"/>
    </row>
    <row r="5312" spans="1:17" x14ac:dyDescent="0.35">
      <c r="A5312" s="497" t="b">
        <f t="shared" ca="1" si="318"/>
        <v>0</v>
      </c>
      <c r="B5312" s="510" t="str">
        <f ca="1">IF(COUNTA(G$4308:G5311)=1,"",OFFSET(B5312,-COUNTA(G$4308:G5311)+1,0))</f>
        <v>a1b3p0000095SKSAA2</v>
      </c>
      <c r="C5312" s="512">
        <f ca="1">IF(COUNTA(G$4308:G5311)=1,"",OFFSET(C5312,-COUNTA(G$4308:G5311)+1,0))</f>
        <v>7</v>
      </c>
      <c r="D5312" s="497">
        <f t="shared" si="319"/>
        <v>522</v>
      </c>
      <c r="E5312" s="497">
        <f t="shared" ca="1" si="320"/>
        <v>6</v>
      </c>
      <c r="F5312" s="497">
        <f t="shared" ca="1" si="321"/>
        <v>15</v>
      </c>
      <c r="G5312" s="497"/>
      <c r="H5312" s="503" t="str">
        <f t="shared" ca="1" si="322"/>
        <v/>
      </c>
      <c r="I5312" s="503" t="str">
        <f t="shared" ca="1" si="323"/>
        <v/>
      </c>
      <c r="J5312" s="503" t="str">
        <f t="shared" ca="1" si="324"/>
        <v/>
      </c>
      <c r="K5312" s="503" t="str">
        <f t="shared" ca="1" si="325"/>
        <v/>
      </c>
      <c r="L5312" s="497"/>
      <c r="M5312" s="497"/>
      <c r="N5312" s="497"/>
      <c r="O5312" s="497"/>
      <c r="P5312" s="497">
        <f t="shared" si="326"/>
        <v>0</v>
      </c>
      <c r="Q5312" s="497"/>
    </row>
    <row r="5313" spans="1:17" x14ac:dyDescent="0.35">
      <c r="A5313" s="497" t="b">
        <f t="shared" ca="1" si="318"/>
        <v>0</v>
      </c>
      <c r="B5313" s="510" t="str">
        <f ca="1">IF(COUNTA(G$4308:G5312)=1,"",OFFSET(B5313,-COUNTA(G$4308:G5312)+1,0))</f>
        <v>a1b3p0000095S7ZAAU</v>
      </c>
      <c r="C5313" s="512">
        <f ca="1">IF(COUNTA(G$4308:G5312)=1,"",OFFSET(C5313,-COUNTA(G$4308:G5312)+1,0))</f>
        <v>8</v>
      </c>
      <c r="D5313" s="497">
        <f t="shared" si="319"/>
        <v>523</v>
      </c>
      <c r="E5313" s="497">
        <f t="shared" ca="1" si="320"/>
        <v>1</v>
      </c>
      <c r="F5313" s="497">
        <f t="shared" ca="1" si="321"/>
        <v>16</v>
      </c>
      <c r="G5313" s="497"/>
      <c r="H5313" s="503" t="str">
        <f t="shared" ca="1" si="322"/>
        <v/>
      </c>
      <c r="I5313" s="503" t="str">
        <f t="shared" ca="1" si="323"/>
        <v/>
      </c>
      <c r="J5313" s="503" t="str">
        <f t="shared" ca="1" si="324"/>
        <v/>
      </c>
      <c r="K5313" s="503" t="str">
        <f t="shared" ca="1" si="325"/>
        <v/>
      </c>
      <c r="L5313" s="497"/>
      <c r="M5313" s="497"/>
      <c r="N5313" s="497"/>
      <c r="O5313" s="497"/>
      <c r="P5313" s="497">
        <f t="shared" si="326"/>
        <v>0</v>
      </c>
      <c r="Q5313" s="497"/>
    </row>
    <row r="5314" spans="1:17" x14ac:dyDescent="0.35">
      <c r="A5314" s="497" t="b">
        <f t="shared" ca="1" si="318"/>
        <v>0</v>
      </c>
      <c r="B5314" s="510" t="str">
        <f ca="1">IF(COUNTA(G$4308:G5313)=1,"",OFFSET(B5314,-COUNTA(G$4308:G5313)+1,0))</f>
        <v>a1b3p0000095SA9AAM</v>
      </c>
      <c r="C5314" s="512">
        <f ca="1">IF(COUNTA(G$4308:G5313)=1,"",OFFSET(C5314,-COUNTA(G$4308:G5313)+1,0))</f>
        <v>8</v>
      </c>
      <c r="D5314" s="497">
        <f t="shared" si="319"/>
        <v>524</v>
      </c>
      <c r="E5314" s="497">
        <f t="shared" ca="1" si="320"/>
        <v>2</v>
      </c>
      <c r="F5314" s="497">
        <f t="shared" ca="1" si="321"/>
        <v>16</v>
      </c>
      <c r="G5314" s="497"/>
      <c r="H5314" s="503" t="str">
        <f t="shared" ca="1" si="322"/>
        <v/>
      </c>
      <c r="I5314" s="503" t="str">
        <f t="shared" ca="1" si="323"/>
        <v/>
      </c>
      <c r="J5314" s="503" t="str">
        <f t="shared" ca="1" si="324"/>
        <v/>
      </c>
      <c r="K5314" s="503" t="str">
        <f t="shared" ca="1" si="325"/>
        <v/>
      </c>
      <c r="L5314" s="497"/>
      <c r="M5314" s="497"/>
      <c r="N5314" s="497"/>
      <c r="O5314" s="497"/>
      <c r="P5314" s="497">
        <f t="shared" si="326"/>
        <v>0</v>
      </c>
      <c r="Q5314" s="497"/>
    </row>
    <row r="5315" spans="1:17" x14ac:dyDescent="0.35">
      <c r="A5315" s="497" t="b">
        <f t="shared" ca="1" si="318"/>
        <v>0</v>
      </c>
      <c r="B5315" s="510" t="str">
        <f ca="1">IF(COUNTA(G$4308:G5314)=1,"",OFFSET(B5315,-COUNTA(G$4308:G5314)+1,0))</f>
        <v>a1b3p0000095SCjAAM</v>
      </c>
      <c r="C5315" s="512">
        <f ca="1">IF(COUNTA(G$4308:G5314)=1,"",OFFSET(C5315,-COUNTA(G$4308:G5314)+1,0))</f>
        <v>8</v>
      </c>
      <c r="D5315" s="497">
        <f t="shared" si="319"/>
        <v>525</v>
      </c>
      <c r="E5315" s="497">
        <f t="shared" ca="1" si="320"/>
        <v>3</v>
      </c>
      <c r="F5315" s="497">
        <f t="shared" ca="1" si="321"/>
        <v>16</v>
      </c>
      <c r="G5315" s="497"/>
      <c r="H5315" s="503" t="str">
        <f t="shared" ca="1" si="322"/>
        <v/>
      </c>
      <c r="I5315" s="503" t="str">
        <f t="shared" ca="1" si="323"/>
        <v/>
      </c>
      <c r="J5315" s="503" t="str">
        <f t="shared" ca="1" si="324"/>
        <v/>
      </c>
      <c r="K5315" s="503" t="str">
        <f t="shared" ca="1" si="325"/>
        <v/>
      </c>
      <c r="L5315" s="497"/>
      <c r="M5315" s="497"/>
      <c r="N5315" s="497"/>
      <c r="O5315" s="497"/>
      <c r="P5315" s="497">
        <f t="shared" si="326"/>
        <v>0</v>
      </c>
      <c r="Q5315" s="497"/>
    </row>
    <row r="5316" spans="1:17" x14ac:dyDescent="0.35">
      <c r="A5316" s="497" t="b">
        <f t="shared" ca="1" si="318"/>
        <v>0</v>
      </c>
      <c r="B5316" s="510" t="str">
        <f ca="1">IF(COUNTA(G$4308:G5315)=1,"",OFFSET(B5316,-COUNTA(G$4308:G5315)+1,0))</f>
        <v>a1b3p0000095SFJAA2</v>
      </c>
      <c r="C5316" s="512">
        <f ca="1">IF(COUNTA(G$4308:G5315)=1,"",OFFSET(C5316,-COUNTA(G$4308:G5315)+1,0))</f>
        <v>8</v>
      </c>
      <c r="D5316" s="497">
        <f t="shared" si="319"/>
        <v>526</v>
      </c>
      <c r="E5316" s="497">
        <f t="shared" ca="1" si="320"/>
        <v>4</v>
      </c>
      <c r="F5316" s="497">
        <f t="shared" ca="1" si="321"/>
        <v>16</v>
      </c>
      <c r="G5316" s="497"/>
      <c r="H5316" s="503" t="str">
        <f t="shared" ca="1" si="322"/>
        <v/>
      </c>
      <c r="I5316" s="503" t="str">
        <f t="shared" ca="1" si="323"/>
        <v/>
      </c>
      <c r="J5316" s="503" t="str">
        <f t="shared" ca="1" si="324"/>
        <v/>
      </c>
      <c r="K5316" s="503" t="str">
        <f t="shared" ca="1" si="325"/>
        <v/>
      </c>
      <c r="L5316" s="497"/>
      <c r="M5316" s="497"/>
      <c r="N5316" s="497"/>
      <c r="O5316" s="497"/>
      <c r="P5316" s="497">
        <f t="shared" si="326"/>
        <v>0</v>
      </c>
      <c r="Q5316" s="497"/>
    </row>
    <row r="5317" spans="1:17" x14ac:dyDescent="0.35">
      <c r="A5317" s="497" t="b">
        <f t="shared" ca="1" si="318"/>
        <v>0</v>
      </c>
      <c r="B5317" s="510" t="str">
        <f ca="1">IF(COUNTA(G$4308:G5316)=1,"",OFFSET(B5317,-COUNTA(G$4308:G5316)+1,0))</f>
        <v>a1b3p0000095SHtAAM</v>
      </c>
      <c r="C5317" s="512">
        <f ca="1">IF(COUNTA(G$4308:G5316)=1,"",OFFSET(C5317,-COUNTA(G$4308:G5316)+1,0))</f>
        <v>8</v>
      </c>
      <c r="D5317" s="497">
        <f t="shared" si="319"/>
        <v>527</v>
      </c>
      <c r="E5317" s="497">
        <f t="shared" ca="1" si="320"/>
        <v>5</v>
      </c>
      <c r="F5317" s="497">
        <f t="shared" ca="1" si="321"/>
        <v>16</v>
      </c>
      <c r="G5317" s="497"/>
      <c r="H5317" s="503" t="str">
        <f t="shared" ca="1" si="322"/>
        <v/>
      </c>
      <c r="I5317" s="503" t="str">
        <f t="shared" ca="1" si="323"/>
        <v/>
      </c>
      <c r="J5317" s="503" t="str">
        <f t="shared" ca="1" si="324"/>
        <v/>
      </c>
      <c r="K5317" s="503" t="str">
        <f t="shared" ca="1" si="325"/>
        <v/>
      </c>
      <c r="L5317" s="497"/>
      <c r="M5317" s="497"/>
      <c r="N5317" s="497"/>
      <c r="O5317" s="497"/>
      <c r="P5317" s="497">
        <f t="shared" si="326"/>
        <v>0</v>
      </c>
      <c r="Q5317" s="497"/>
    </row>
    <row r="5318" spans="1:17" x14ac:dyDescent="0.35">
      <c r="A5318" s="497" t="b">
        <f t="shared" ca="1" si="318"/>
        <v>0</v>
      </c>
      <c r="B5318" s="510" t="str">
        <f ca="1">IF(COUNTA(G$4308:G5317)=1,"",OFFSET(B5318,-COUNTA(G$4308:G5317)+1,0))</f>
        <v>a1b3p0000095SKTAA2</v>
      </c>
      <c r="C5318" s="512">
        <f ca="1">IF(COUNTA(G$4308:G5317)=1,"",OFFSET(C5318,-COUNTA(G$4308:G5317)+1,0))</f>
        <v>8</v>
      </c>
      <c r="D5318" s="497">
        <f t="shared" si="319"/>
        <v>528</v>
      </c>
      <c r="E5318" s="497">
        <f t="shared" ca="1" si="320"/>
        <v>6</v>
      </c>
      <c r="F5318" s="497">
        <f t="shared" ca="1" si="321"/>
        <v>16</v>
      </c>
      <c r="G5318" s="497"/>
      <c r="H5318" s="503" t="str">
        <f t="shared" ca="1" si="322"/>
        <v/>
      </c>
      <c r="I5318" s="503" t="str">
        <f t="shared" ca="1" si="323"/>
        <v/>
      </c>
      <c r="J5318" s="503" t="str">
        <f t="shared" ca="1" si="324"/>
        <v/>
      </c>
      <c r="K5318" s="503" t="str">
        <f t="shared" ca="1" si="325"/>
        <v/>
      </c>
      <c r="L5318" s="497"/>
      <c r="M5318" s="497"/>
      <c r="N5318" s="497"/>
      <c r="O5318" s="497"/>
      <c r="P5318" s="497">
        <f t="shared" si="326"/>
        <v>0</v>
      </c>
      <c r="Q5318" s="497"/>
    </row>
    <row r="5319" spans="1:17" x14ac:dyDescent="0.35">
      <c r="A5319" s="497" t="b">
        <f t="shared" ca="1" si="318"/>
        <v>0</v>
      </c>
      <c r="B5319" s="510" t="str">
        <f ca="1">IF(COUNTA(G$4308:G5318)=1,"",OFFSET(B5319,-COUNTA(G$4308:G5318)+1,0))</f>
        <v>a1b3p0000095S7aAAE</v>
      </c>
      <c r="C5319" s="512">
        <f ca="1">IF(COUNTA(G$4308:G5318)=1,"",OFFSET(C5319,-COUNTA(G$4308:G5318)+1,0))</f>
        <v>9</v>
      </c>
      <c r="D5319" s="497">
        <f t="shared" si="319"/>
        <v>529</v>
      </c>
      <c r="E5319" s="497">
        <f t="shared" ca="1" si="320"/>
        <v>1</v>
      </c>
      <c r="F5319" s="497">
        <f t="shared" ca="1" si="321"/>
        <v>17</v>
      </c>
      <c r="G5319" s="497"/>
      <c r="H5319" s="503" t="str">
        <f t="shared" ca="1" si="322"/>
        <v/>
      </c>
      <c r="I5319" s="503" t="str">
        <f t="shared" ca="1" si="323"/>
        <v/>
      </c>
      <c r="J5319" s="503" t="str">
        <f t="shared" ca="1" si="324"/>
        <v/>
      </c>
      <c r="K5319" s="503" t="str">
        <f t="shared" ca="1" si="325"/>
        <v/>
      </c>
      <c r="L5319" s="497"/>
      <c r="M5319" s="497"/>
      <c r="N5319" s="497"/>
      <c r="O5319" s="497"/>
      <c r="P5319" s="497">
        <f t="shared" si="326"/>
        <v>0</v>
      </c>
      <c r="Q5319" s="497"/>
    </row>
    <row r="5320" spans="1:17" x14ac:dyDescent="0.35">
      <c r="A5320" s="497" t="b">
        <f t="shared" ca="1" si="318"/>
        <v>0</v>
      </c>
      <c r="B5320" s="510" t="str">
        <f ca="1">IF(COUNTA(G$4308:G5319)=1,"",OFFSET(B5320,-COUNTA(G$4308:G5319)+1,0))</f>
        <v>a1b3p0000095SAAAA2</v>
      </c>
      <c r="C5320" s="512">
        <f ca="1">IF(COUNTA(G$4308:G5319)=1,"",OFFSET(C5320,-COUNTA(G$4308:G5319)+1,0))</f>
        <v>9</v>
      </c>
      <c r="D5320" s="497">
        <f t="shared" si="319"/>
        <v>530</v>
      </c>
      <c r="E5320" s="497">
        <f t="shared" ca="1" si="320"/>
        <v>2</v>
      </c>
      <c r="F5320" s="497">
        <f t="shared" ca="1" si="321"/>
        <v>17</v>
      </c>
      <c r="G5320" s="497"/>
      <c r="H5320" s="503" t="str">
        <f t="shared" ca="1" si="322"/>
        <v/>
      </c>
      <c r="I5320" s="503" t="str">
        <f t="shared" ca="1" si="323"/>
        <v/>
      </c>
      <c r="J5320" s="503" t="str">
        <f t="shared" ca="1" si="324"/>
        <v/>
      </c>
      <c r="K5320" s="503" t="str">
        <f t="shared" ca="1" si="325"/>
        <v/>
      </c>
      <c r="L5320" s="497"/>
      <c r="M5320" s="497"/>
      <c r="N5320" s="497"/>
      <c r="O5320" s="497"/>
      <c r="P5320" s="497">
        <f t="shared" si="326"/>
        <v>0</v>
      </c>
      <c r="Q5320" s="497"/>
    </row>
    <row r="5321" spans="1:17" x14ac:dyDescent="0.35">
      <c r="A5321" s="497" t="b">
        <f t="shared" ca="1" si="318"/>
        <v>0</v>
      </c>
      <c r="B5321" s="510" t="str">
        <f ca="1">IF(COUNTA(G$4308:G5320)=1,"",OFFSET(B5321,-COUNTA(G$4308:G5320)+1,0))</f>
        <v>a1b3p0000095SCkAAM</v>
      </c>
      <c r="C5321" s="512">
        <f ca="1">IF(COUNTA(G$4308:G5320)=1,"",OFFSET(C5321,-COUNTA(G$4308:G5320)+1,0))</f>
        <v>9</v>
      </c>
      <c r="D5321" s="497">
        <f t="shared" si="319"/>
        <v>531</v>
      </c>
      <c r="E5321" s="497">
        <f t="shared" ca="1" si="320"/>
        <v>3</v>
      </c>
      <c r="F5321" s="497">
        <f t="shared" ca="1" si="321"/>
        <v>17</v>
      </c>
      <c r="G5321" s="497"/>
      <c r="H5321" s="503" t="str">
        <f t="shared" ca="1" si="322"/>
        <v/>
      </c>
      <c r="I5321" s="503" t="str">
        <f t="shared" ca="1" si="323"/>
        <v/>
      </c>
      <c r="J5321" s="503" t="str">
        <f t="shared" ca="1" si="324"/>
        <v/>
      </c>
      <c r="K5321" s="503" t="str">
        <f t="shared" ca="1" si="325"/>
        <v/>
      </c>
      <c r="L5321" s="497"/>
      <c r="M5321" s="497"/>
      <c r="N5321" s="497"/>
      <c r="O5321" s="497"/>
      <c r="P5321" s="497">
        <f t="shared" si="326"/>
        <v>0</v>
      </c>
      <c r="Q5321" s="497"/>
    </row>
    <row r="5322" spans="1:17" x14ac:dyDescent="0.35">
      <c r="A5322" s="497" t="b">
        <f t="shared" ca="1" si="318"/>
        <v>0</v>
      </c>
      <c r="B5322" s="510" t="str">
        <f ca="1">IF(COUNTA(G$4308:G5321)=1,"",OFFSET(B5322,-COUNTA(G$4308:G5321)+1,0))</f>
        <v>a1b3p0000095SFKAA2</v>
      </c>
      <c r="C5322" s="512">
        <f ca="1">IF(COUNTA(G$4308:G5321)=1,"",OFFSET(C5322,-COUNTA(G$4308:G5321)+1,0))</f>
        <v>9</v>
      </c>
      <c r="D5322" s="497">
        <f t="shared" si="319"/>
        <v>532</v>
      </c>
      <c r="E5322" s="497">
        <f t="shared" ca="1" si="320"/>
        <v>4</v>
      </c>
      <c r="F5322" s="497">
        <f t="shared" ca="1" si="321"/>
        <v>17</v>
      </c>
      <c r="G5322" s="497"/>
      <c r="H5322" s="503" t="str">
        <f t="shared" ca="1" si="322"/>
        <v/>
      </c>
      <c r="I5322" s="503" t="str">
        <f t="shared" ca="1" si="323"/>
        <v/>
      </c>
      <c r="J5322" s="503" t="str">
        <f t="shared" ca="1" si="324"/>
        <v/>
      </c>
      <c r="K5322" s="503" t="str">
        <f t="shared" ca="1" si="325"/>
        <v/>
      </c>
      <c r="L5322" s="497"/>
      <c r="M5322" s="497"/>
      <c r="N5322" s="497"/>
      <c r="O5322" s="497"/>
      <c r="P5322" s="497">
        <f t="shared" si="326"/>
        <v>0</v>
      </c>
      <c r="Q5322" s="497"/>
    </row>
    <row r="5323" spans="1:17" x14ac:dyDescent="0.35">
      <c r="A5323" s="497" t="b">
        <f t="shared" ca="1" si="318"/>
        <v>0</v>
      </c>
      <c r="B5323" s="510" t="str">
        <f ca="1">IF(COUNTA(G$4308:G5322)=1,"",OFFSET(B5323,-COUNTA(G$4308:G5322)+1,0))</f>
        <v>a1b3p0000095SHuAAM</v>
      </c>
      <c r="C5323" s="512">
        <f ca="1">IF(COUNTA(G$4308:G5322)=1,"",OFFSET(C5323,-COUNTA(G$4308:G5322)+1,0))</f>
        <v>9</v>
      </c>
      <c r="D5323" s="497">
        <f t="shared" si="319"/>
        <v>533</v>
      </c>
      <c r="E5323" s="497">
        <f t="shared" ca="1" si="320"/>
        <v>5</v>
      </c>
      <c r="F5323" s="497">
        <f t="shared" ca="1" si="321"/>
        <v>17</v>
      </c>
      <c r="G5323" s="497"/>
      <c r="H5323" s="503" t="str">
        <f t="shared" ca="1" si="322"/>
        <v/>
      </c>
      <c r="I5323" s="503" t="str">
        <f t="shared" ca="1" si="323"/>
        <v/>
      </c>
      <c r="J5323" s="503" t="str">
        <f t="shared" ca="1" si="324"/>
        <v/>
      </c>
      <c r="K5323" s="503" t="str">
        <f t="shared" ca="1" si="325"/>
        <v/>
      </c>
      <c r="L5323" s="497"/>
      <c r="M5323" s="497"/>
      <c r="N5323" s="497"/>
      <c r="O5323" s="497"/>
      <c r="P5323" s="497">
        <f t="shared" si="326"/>
        <v>0</v>
      </c>
      <c r="Q5323" s="497"/>
    </row>
    <row r="5324" spans="1:17" x14ac:dyDescent="0.35">
      <c r="A5324" s="497" t="b">
        <f t="shared" ca="1" si="318"/>
        <v>0</v>
      </c>
      <c r="B5324" s="510" t="str">
        <f ca="1">IF(COUNTA(G$4308:G5323)=1,"",OFFSET(B5324,-COUNTA(G$4308:G5323)+1,0))</f>
        <v>a1b3p0000095SKUAA2</v>
      </c>
      <c r="C5324" s="512">
        <f ca="1">IF(COUNTA(G$4308:G5323)=1,"",OFFSET(C5324,-COUNTA(G$4308:G5323)+1,0))</f>
        <v>9</v>
      </c>
      <c r="D5324" s="497">
        <f t="shared" si="319"/>
        <v>534</v>
      </c>
      <c r="E5324" s="497">
        <f t="shared" ca="1" si="320"/>
        <v>6</v>
      </c>
      <c r="F5324" s="497">
        <f t="shared" ca="1" si="321"/>
        <v>17</v>
      </c>
      <c r="G5324" s="497"/>
      <c r="H5324" s="503" t="str">
        <f t="shared" ca="1" si="322"/>
        <v/>
      </c>
      <c r="I5324" s="503" t="str">
        <f t="shared" ca="1" si="323"/>
        <v/>
      </c>
      <c r="J5324" s="503" t="str">
        <f t="shared" ca="1" si="324"/>
        <v/>
      </c>
      <c r="K5324" s="503" t="str">
        <f t="shared" ca="1" si="325"/>
        <v/>
      </c>
      <c r="L5324" s="497"/>
      <c r="M5324" s="497"/>
      <c r="N5324" s="497"/>
      <c r="O5324" s="497"/>
      <c r="P5324" s="497">
        <f t="shared" si="326"/>
        <v>0</v>
      </c>
      <c r="Q5324" s="497"/>
    </row>
    <row r="5325" spans="1:17" x14ac:dyDescent="0.35">
      <c r="A5325" s="497" t="b">
        <f t="shared" ca="1" si="318"/>
        <v>0</v>
      </c>
      <c r="B5325" s="510" t="str">
        <f ca="1">IF(COUNTA(G$4308:G5324)=1,"",OFFSET(B5325,-COUNTA(G$4308:G5324)+1,0))</f>
        <v>a1b3p0000095S7bAAE</v>
      </c>
      <c r="C5325" s="512">
        <f ca="1">IF(COUNTA(G$4308:G5324)=1,"",OFFSET(C5325,-COUNTA(G$4308:G5324)+1,0))</f>
        <v>10</v>
      </c>
      <c r="D5325" s="497">
        <f t="shared" si="319"/>
        <v>535</v>
      </c>
      <c r="E5325" s="497">
        <f t="shared" ca="1" si="320"/>
        <v>1</v>
      </c>
      <c r="F5325" s="497">
        <f t="shared" ca="1" si="321"/>
        <v>18</v>
      </c>
      <c r="G5325" s="497"/>
      <c r="H5325" s="503" t="str">
        <f t="shared" ca="1" si="322"/>
        <v/>
      </c>
      <c r="I5325" s="503" t="str">
        <f t="shared" ca="1" si="323"/>
        <v/>
      </c>
      <c r="J5325" s="503" t="str">
        <f t="shared" ca="1" si="324"/>
        <v/>
      </c>
      <c r="K5325" s="503" t="str">
        <f t="shared" ca="1" si="325"/>
        <v/>
      </c>
      <c r="L5325" s="497"/>
      <c r="M5325" s="497"/>
      <c r="N5325" s="497"/>
      <c r="O5325" s="497"/>
      <c r="P5325" s="497">
        <f t="shared" si="326"/>
        <v>0</v>
      </c>
      <c r="Q5325" s="497"/>
    </row>
    <row r="5326" spans="1:17" x14ac:dyDescent="0.35">
      <c r="A5326" s="497" t="b">
        <f t="shared" ca="1" si="318"/>
        <v>0</v>
      </c>
      <c r="B5326" s="510" t="str">
        <f ca="1">IF(COUNTA(G$4308:G5325)=1,"",OFFSET(B5326,-COUNTA(G$4308:G5325)+1,0))</f>
        <v>a1b3p0000095SABAA2</v>
      </c>
      <c r="C5326" s="512">
        <f ca="1">IF(COUNTA(G$4308:G5325)=1,"",OFFSET(C5326,-COUNTA(G$4308:G5325)+1,0))</f>
        <v>10</v>
      </c>
      <c r="D5326" s="497">
        <f t="shared" si="319"/>
        <v>536</v>
      </c>
      <c r="E5326" s="497">
        <f t="shared" ca="1" si="320"/>
        <v>2</v>
      </c>
      <c r="F5326" s="497">
        <f t="shared" ca="1" si="321"/>
        <v>18</v>
      </c>
      <c r="G5326" s="497"/>
      <c r="H5326" s="503" t="str">
        <f t="shared" ca="1" si="322"/>
        <v/>
      </c>
      <c r="I5326" s="503" t="str">
        <f t="shared" ca="1" si="323"/>
        <v/>
      </c>
      <c r="J5326" s="503" t="str">
        <f t="shared" ca="1" si="324"/>
        <v/>
      </c>
      <c r="K5326" s="503" t="str">
        <f t="shared" ca="1" si="325"/>
        <v/>
      </c>
      <c r="L5326" s="497"/>
      <c r="M5326" s="497"/>
      <c r="N5326" s="497"/>
      <c r="O5326" s="497"/>
      <c r="P5326" s="497">
        <f t="shared" si="326"/>
        <v>0</v>
      </c>
      <c r="Q5326" s="497"/>
    </row>
    <row r="5327" spans="1:17" x14ac:dyDescent="0.35">
      <c r="A5327" s="497" t="b">
        <f t="shared" ca="1" si="318"/>
        <v>0</v>
      </c>
      <c r="B5327" s="510" t="str">
        <f ca="1">IF(COUNTA(G$4308:G5326)=1,"",OFFSET(B5327,-COUNTA(G$4308:G5326)+1,0))</f>
        <v>a1b3p0000095SClAAM</v>
      </c>
      <c r="C5327" s="512">
        <f ca="1">IF(COUNTA(G$4308:G5326)=1,"",OFFSET(C5327,-COUNTA(G$4308:G5326)+1,0))</f>
        <v>10</v>
      </c>
      <c r="D5327" s="497">
        <f t="shared" si="319"/>
        <v>537</v>
      </c>
      <c r="E5327" s="497">
        <f t="shared" ca="1" si="320"/>
        <v>3</v>
      </c>
      <c r="F5327" s="497">
        <f t="shared" ca="1" si="321"/>
        <v>18</v>
      </c>
      <c r="G5327" s="497"/>
      <c r="H5327" s="503" t="str">
        <f t="shared" ca="1" si="322"/>
        <v/>
      </c>
      <c r="I5327" s="503" t="str">
        <f t="shared" ca="1" si="323"/>
        <v/>
      </c>
      <c r="J5327" s="503" t="str">
        <f t="shared" ca="1" si="324"/>
        <v/>
      </c>
      <c r="K5327" s="503" t="str">
        <f t="shared" ca="1" si="325"/>
        <v/>
      </c>
      <c r="L5327" s="497"/>
      <c r="M5327" s="497"/>
      <c r="N5327" s="497"/>
      <c r="O5327" s="497"/>
      <c r="P5327" s="497">
        <f t="shared" si="326"/>
        <v>0</v>
      </c>
      <c r="Q5327" s="497"/>
    </row>
    <row r="5328" spans="1:17" x14ac:dyDescent="0.35">
      <c r="A5328" s="497" t="b">
        <f t="shared" ca="1" si="318"/>
        <v>0</v>
      </c>
      <c r="B5328" s="510" t="str">
        <f ca="1">IF(COUNTA(G$4308:G5327)=1,"",OFFSET(B5328,-COUNTA(G$4308:G5327)+1,0))</f>
        <v>a1b3p0000095SFLAA2</v>
      </c>
      <c r="C5328" s="512">
        <f ca="1">IF(COUNTA(G$4308:G5327)=1,"",OFFSET(C5328,-COUNTA(G$4308:G5327)+1,0))</f>
        <v>10</v>
      </c>
      <c r="D5328" s="497">
        <f t="shared" si="319"/>
        <v>538</v>
      </c>
      <c r="E5328" s="497">
        <f t="shared" ca="1" si="320"/>
        <v>4</v>
      </c>
      <c r="F5328" s="497">
        <f t="shared" ca="1" si="321"/>
        <v>18</v>
      </c>
      <c r="G5328" s="497"/>
      <c r="H5328" s="503" t="str">
        <f t="shared" ca="1" si="322"/>
        <v/>
      </c>
      <c r="I5328" s="503" t="str">
        <f t="shared" ca="1" si="323"/>
        <v/>
      </c>
      <c r="J5328" s="503" t="str">
        <f t="shared" ca="1" si="324"/>
        <v/>
      </c>
      <c r="K5328" s="503" t="str">
        <f t="shared" ca="1" si="325"/>
        <v/>
      </c>
      <c r="L5328" s="497"/>
      <c r="M5328" s="497"/>
      <c r="N5328" s="497"/>
      <c r="O5328" s="497"/>
      <c r="P5328" s="497">
        <f t="shared" si="326"/>
        <v>0</v>
      </c>
      <c r="Q5328" s="497"/>
    </row>
    <row r="5329" spans="1:17" x14ac:dyDescent="0.35">
      <c r="A5329" s="497" t="b">
        <f t="shared" ca="1" si="318"/>
        <v>0</v>
      </c>
      <c r="B5329" s="510" t="str">
        <f ca="1">IF(COUNTA(G$4308:G5328)=1,"",OFFSET(B5329,-COUNTA(G$4308:G5328)+1,0))</f>
        <v>a1b3p0000095SHvAAM</v>
      </c>
      <c r="C5329" s="512">
        <f ca="1">IF(COUNTA(G$4308:G5328)=1,"",OFFSET(C5329,-COUNTA(G$4308:G5328)+1,0))</f>
        <v>10</v>
      </c>
      <c r="D5329" s="497">
        <f t="shared" si="319"/>
        <v>539</v>
      </c>
      <c r="E5329" s="497">
        <f t="shared" ca="1" si="320"/>
        <v>5</v>
      </c>
      <c r="F5329" s="497">
        <f t="shared" ca="1" si="321"/>
        <v>18</v>
      </c>
      <c r="G5329" s="497"/>
      <c r="H5329" s="503" t="str">
        <f t="shared" ca="1" si="322"/>
        <v/>
      </c>
      <c r="I5329" s="503" t="str">
        <f t="shared" ca="1" si="323"/>
        <v/>
      </c>
      <c r="J5329" s="503" t="str">
        <f t="shared" ca="1" si="324"/>
        <v/>
      </c>
      <c r="K5329" s="503" t="str">
        <f t="shared" ca="1" si="325"/>
        <v/>
      </c>
      <c r="L5329" s="497"/>
      <c r="M5329" s="497"/>
      <c r="N5329" s="497"/>
      <c r="O5329" s="497"/>
      <c r="P5329" s="497">
        <f t="shared" si="326"/>
        <v>0</v>
      </c>
      <c r="Q5329" s="497"/>
    </row>
    <row r="5330" spans="1:17" x14ac:dyDescent="0.35">
      <c r="A5330" s="497" t="b">
        <f t="shared" ca="1" si="318"/>
        <v>0</v>
      </c>
      <c r="B5330" s="510" t="str">
        <f ca="1">IF(COUNTA(G$4308:G5329)=1,"",OFFSET(B5330,-COUNTA(G$4308:G5329)+1,0))</f>
        <v>a1b3p0000095SKVAA2</v>
      </c>
      <c r="C5330" s="512">
        <f ca="1">IF(COUNTA(G$4308:G5329)=1,"",OFFSET(C5330,-COUNTA(G$4308:G5329)+1,0))</f>
        <v>10</v>
      </c>
      <c r="D5330" s="497">
        <f t="shared" si="319"/>
        <v>540</v>
      </c>
      <c r="E5330" s="497">
        <f t="shared" ca="1" si="320"/>
        <v>6</v>
      </c>
      <c r="F5330" s="497">
        <f t="shared" ca="1" si="321"/>
        <v>18</v>
      </c>
      <c r="G5330" s="497"/>
      <c r="H5330" s="503" t="str">
        <f t="shared" ca="1" si="322"/>
        <v/>
      </c>
      <c r="I5330" s="503" t="str">
        <f t="shared" ca="1" si="323"/>
        <v/>
      </c>
      <c r="J5330" s="503" t="str">
        <f t="shared" ca="1" si="324"/>
        <v/>
      </c>
      <c r="K5330" s="503" t="str">
        <f t="shared" ca="1" si="325"/>
        <v/>
      </c>
      <c r="L5330" s="497"/>
      <c r="M5330" s="497"/>
      <c r="N5330" s="497"/>
      <c r="O5330" s="497"/>
      <c r="P5330" s="497">
        <f t="shared" si="326"/>
        <v>0</v>
      </c>
      <c r="Q5330" s="497"/>
    </row>
    <row r="5331" spans="1:17" x14ac:dyDescent="0.35">
      <c r="A5331" s="497" t="b">
        <f t="shared" ca="1" si="318"/>
        <v>0</v>
      </c>
      <c r="B5331" s="510" t="str">
        <f ca="1">IF(COUNTA(G$4308:G5330)=1,"",OFFSET(B5331,-COUNTA(G$4308:G5330)+1,0))</f>
        <v>a1b3p0000095S7cAAE</v>
      </c>
      <c r="C5331" s="512">
        <f ca="1">IF(COUNTA(G$4308:G5330)=1,"",OFFSET(C5331,-COUNTA(G$4308:G5330)+1,0))</f>
        <v>11</v>
      </c>
      <c r="D5331" s="497">
        <f t="shared" si="319"/>
        <v>541</v>
      </c>
      <c r="E5331" s="497">
        <f t="shared" ca="1" si="320"/>
        <v>1</v>
      </c>
      <c r="F5331" s="497">
        <f t="shared" ca="1" si="321"/>
        <v>19</v>
      </c>
      <c r="G5331" s="497"/>
      <c r="H5331" s="503" t="str">
        <f t="shared" ca="1" si="322"/>
        <v/>
      </c>
      <c r="I5331" s="503" t="str">
        <f t="shared" ca="1" si="323"/>
        <v/>
      </c>
      <c r="J5331" s="503" t="str">
        <f t="shared" ca="1" si="324"/>
        <v/>
      </c>
      <c r="K5331" s="503" t="str">
        <f t="shared" ca="1" si="325"/>
        <v/>
      </c>
      <c r="L5331" s="497"/>
      <c r="M5331" s="497"/>
      <c r="N5331" s="497"/>
      <c r="O5331" s="497"/>
      <c r="P5331" s="497">
        <f t="shared" si="326"/>
        <v>0</v>
      </c>
      <c r="Q5331" s="497"/>
    </row>
    <row r="5332" spans="1:17" x14ac:dyDescent="0.35">
      <c r="A5332" s="497" t="b">
        <f t="shared" ca="1" si="318"/>
        <v>0</v>
      </c>
      <c r="B5332" s="510" t="str">
        <f ca="1">IF(COUNTA(G$4308:G5331)=1,"",OFFSET(B5332,-COUNTA(G$4308:G5331)+1,0))</f>
        <v>a1b3p0000095SACAA2</v>
      </c>
      <c r="C5332" s="512">
        <f ca="1">IF(COUNTA(G$4308:G5331)=1,"",OFFSET(C5332,-COUNTA(G$4308:G5331)+1,0))</f>
        <v>11</v>
      </c>
      <c r="D5332" s="497">
        <f t="shared" si="319"/>
        <v>542</v>
      </c>
      <c r="E5332" s="497">
        <f t="shared" ca="1" si="320"/>
        <v>2</v>
      </c>
      <c r="F5332" s="497">
        <f t="shared" ca="1" si="321"/>
        <v>19</v>
      </c>
      <c r="G5332" s="497"/>
      <c r="H5332" s="503" t="str">
        <f t="shared" ca="1" si="322"/>
        <v/>
      </c>
      <c r="I5332" s="503" t="str">
        <f t="shared" ca="1" si="323"/>
        <v/>
      </c>
      <c r="J5332" s="503" t="str">
        <f t="shared" ca="1" si="324"/>
        <v/>
      </c>
      <c r="K5332" s="503" t="str">
        <f t="shared" ca="1" si="325"/>
        <v/>
      </c>
      <c r="L5332" s="497"/>
      <c r="M5332" s="497"/>
      <c r="N5332" s="497"/>
      <c r="O5332" s="497"/>
      <c r="P5332" s="497">
        <f t="shared" si="326"/>
        <v>0</v>
      </c>
      <c r="Q5332" s="497"/>
    </row>
    <row r="5333" spans="1:17" x14ac:dyDescent="0.35">
      <c r="A5333" s="497" t="b">
        <f t="shared" ca="1" si="318"/>
        <v>0</v>
      </c>
      <c r="B5333" s="510" t="str">
        <f ca="1">IF(COUNTA(G$4308:G5332)=1,"",OFFSET(B5333,-COUNTA(G$4308:G5332)+1,0))</f>
        <v>a1b3p0000095SCmAAM</v>
      </c>
      <c r="C5333" s="512">
        <f ca="1">IF(COUNTA(G$4308:G5332)=1,"",OFFSET(C5333,-COUNTA(G$4308:G5332)+1,0))</f>
        <v>11</v>
      </c>
      <c r="D5333" s="497">
        <f t="shared" si="319"/>
        <v>543</v>
      </c>
      <c r="E5333" s="497">
        <f t="shared" ca="1" si="320"/>
        <v>3</v>
      </c>
      <c r="F5333" s="497">
        <f t="shared" ca="1" si="321"/>
        <v>19</v>
      </c>
      <c r="G5333" s="497"/>
      <c r="H5333" s="503" t="str">
        <f t="shared" ca="1" si="322"/>
        <v/>
      </c>
      <c r="I5333" s="503" t="str">
        <f t="shared" ca="1" si="323"/>
        <v/>
      </c>
      <c r="J5333" s="503" t="str">
        <f t="shared" ca="1" si="324"/>
        <v/>
      </c>
      <c r="K5333" s="503" t="str">
        <f t="shared" ca="1" si="325"/>
        <v/>
      </c>
      <c r="L5333" s="497"/>
      <c r="M5333" s="497"/>
      <c r="N5333" s="497"/>
      <c r="O5333" s="497"/>
      <c r="P5333" s="497">
        <f t="shared" si="326"/>
        <v>0</v>
      </c>
      <c r="Q5333" s="497"/>
    </row>
    <row r="5334" spans="1:17" x14ac:dyDescent="0.35">
      <c r="A5334" s="497" t="b">
        <f t="shared" ca="1" si="318"/>
        <v>0</v>
      </c>
      <c r="B5334" s="510" t="str">
        <f ca="1">IF(COUNTA(G$4308:G5333)=1,"",OFFSET(B5334,-COUNTA(G$4308:G5333)+1,0))</f>
        <v>a1b3p0000095SFMAA2</v>
      </c>
      <c r="C5334" s="512">
        <f ca="1">IF(COUNTA(G$4308:G5333)=1,"",OFFSET(C5334,-COUNTA(G$4308:G5333)+1,0))</f>
        <v>11</v>
      </c>
      <c r="D5334" s="497">
        <f t="shared" si="319"/>
        <v>544</v>
      </c>
      <c r="E5334" s="497">
        <f t="shared" ca="1" si="320"/>
        <v>4</v>
      </c>
      <c r="F5334" s="497">
        <f t="shared" ca="1" si="321"/>
        <v>19</v>
      </c>
      <c r="G5334" s="497"/>
      <c r="H5334" s="503" t="str">
        <f t="shared" ca="1" si="322"/>
        <v/>
      </c>
      <c r="I5334" s="503" t="str">
        <f t="shared" ca="1" si="323"/>
        <v/>
      </c>
      <c r="J5334" s="503" t="str">
        <f t="shared" ca="1" si="324"/>
        <v/>
      </c>
      <c r="K5334" s="503" t="str">
        <f t="shared" ca="1" si="325"/>
        <v/>
      </c>
      <c r="L5334" s="497"/>
      <c r="M5334" s="497"/>
      <c r="N5334" s="497"/>
      <c r="O5334" s="497"/>
      <c r="P5334" s="497">
        <f t="shared" si="326"/>
        <v>0</v>
      </c>
      <c r="Q5334" s="497"/>
    </row>
    <row r="5335" spans="1:17" x14ac:dyDescent="0.35">
      <c r="A5335" s="497" t="b">
        <f t="shared" ref="A5335:A5398" ca="1" si="327">IF(OR(AND(J5335&lt;&gt;"", J5335&lt;&gt;0), AND(K5335&lt;&gt;"",K5335&lt;&gt;0)),TRUE,FALSE)</f>
        <v>0</v>
      </c>
      <c r="B5335" s="510" t="str">
        <f ca="1">IF(COUNTA(G$4308:G5334)=1,"",OFFSET(B5335,-COUNTA(G$4308:G5334)+1,0))</f>
        <v>a1b3p0000095SHwAAM</v>
      </c>
      <c r="C5335" s="512">
        <f ca="1">IF(COUNTA(G$4308:G5334)=1,"",OFFSET(C5335,-COUNTA(G$4308:G5334)+1,0))</f>
        <v>11</v>
      </c>
      <c r="D5335" s="497">
        <f t="shared" ref="D5335:D5398" si="328">D5334+1</f>
        <v>545</v>
      </c>
      <c r="E5335" s="497">
        <f t="shared" ref="E5335:E5398" ca="1" si="329">COUNTIF(C5085:C5335,C5335)</f>
        <v>5</v>
      </c>
      <c r="F5335" s="497">
        <f t="shared" ref="F5335:F5398" ca="1" si="330">IF(C5335=1,9,IF(E5334=MAX(E5333:E5335),F5333+1,F5334))</f>
        <v>19</v>
      </c>
      <c r="G5335" s="497"/>
      <c r="H5335" s="503" t="str">
        <f t="shared" ref="H5335:H5398" ca="1" si="331">CHOOSE(E5335,IFERROR(IF(INDIRECT("'WPTM - Section F'!K"&amp;F5335)=0,"",INDIRECT("'WPTM - Section F'!K"&amp;$F5335)),""),IFERROR(IF(INDIRECT("'WPTM - Section F'!O"&amp;F5335)=0,"",INDIRECT("'WPTM - Section F'!O"&amp;$F5335)),""),IFERROR(IF(INDIRECT("'WPTM - Section F'!S"&amp;F5335)=0,"",INDIRECT("'WPTM - Section F'!S"&amp;$F5335)),""),IFERROR(IF(INDIRECT("'WPTM - Section F'!W"&amp;F5335)=0,"",INDIRECT("'WPTM - Section F'!W"&amp;$F5335)),""),IFERROR(IF(INDIRECT("'WPTM - Section F'!AA"&amp;F5335)=0,"",INDIRECT("'WPTM - Section F'!AA"&amp;$F5335)),""),IFERROR(IF(INDIRECT("'WPTM - Section F'!AE"&amp;F5335)=0,"",INDIRECT("'WPTM - Section F'!AE"&amp;$F5335)),""),IFERROR(IF(INDIRECT("'WPTM - Section F'!AI"&amp;F5335)=0,"",INDIRECT("'WPTM - Section F'!AI"&amp;$F5335)),""),IFERROR(IF(INDIRECT("'WPTM - Section F'!AM"&amp;F5335)=0,"",INDIRECT("'WPTM - Section F'!AM"&amp;$F5335)),""),)</f>
        <v/>
      </c>
      <c r="I5335" s="503" t="str">
        <f t="shared" ref="I5335:I5398" ca="1" si="332">CHOOSE(E5335,IFERROR(IF(INDIRECT("'WPTM - Section F'!J"&amp;F5335)=0,"",INDIRECT("'WPTM - Section F'!J"&amp;$F5335)),""),IFERROR(IF(INDIRECT("'WPTM - Section F'!N"&amp;F5335)=0,"",INDIRECT("'WPTM - Section F'!N"&amp;$F5335)),""),IFERROR(IF(INDIRECT("'WPTM - Section F'!R"&amp;F5335)=0,"",INDIRECT("'WPTM - Section F'!R"&amp;$F5335)),""),IFERROR(IF(INDIRECT("'WPTM - Section F'!V"&amp;F5335)=0,"",INDIRECT("'WPTM - Section F'!V"&amp;$F5335)),""),IFERROR(IF(INDIRECT("'WPTM - Section F'!Z"&amp;F5335)=0,"",INDIRECT("'WPTM - Section F'!Z"&amp;$F5335)),""),IFERROR(IF(INDIRECT("'WPTM - Section F'!AD"&amp;F5335)=0,"",INDIRECT("'WPTM - Section F'!AD"&amp;$F5335)),""),IFERROR(IF(INDIRECT("'WPTM - Section F'!AH"&amp;F5335)=0,"",INDIRECT("'WPTM - Section F'!AH"&amp;$F5335)),""),IFERROR(IF(INDIRECT("'WPTM - Section F'!AL"&amp;F5335)=0,"",INDIRECT("'WPTM - Section F'!AL"&amp;$F5335)),""),)</f>
        <v/>
      </c>
      <c r="J5335" s="503" t="str">
        <f t="shared" ref="J5335:J5398" ca="1" si="333">CHOOSE(E5335,IFERROR(IF(INDIRECT("'WPTM - Section F'!H"&amp;F5335)=0,"",INDIRECT("'WPTM - Section F'!H"&amp;$F5335)),""),IFERROR(IF(INDIRECT("'WPTM - Section F'!L"&amp;F5335)=0,"",INDIRECT("'WPTM - Section F'!L"&amp;$F5335)),""),IFERROR(IF(INDIRECT("'WPTM - Section F'!P"&amp;F5335)=0,"",INDIRECT("'WPTM - Section F'!P"&amp;$F5335)),""),IFERROR(IF(INDIRECT("'WPTM - Section F'!T"&amp;F5335)=0,"",INDIRECT("'WPTM - Section F'!T"&amp;$F5335)),""),IFERROR(IF(INDIRECT("'WPTM - Section F'!X"&amp;F5335)=0,"",INDIRECT("'WPTM - Section F'!X"&amp;$F5335)),""),IFERROR(IF(INDIRECT("'WPTM - Section F'!AB"&amp;F5335)=0,"",INDIRECT("'WPTM - Section F'!AB"&amp;$F5335)),""),IFERROR(IF(INDIRECT("'WPTM - Section F'!AF"&amp;F5335)=0,"",INDIRECT("'WPTM - Section F'!AF"&amp;$F5335)),""),IFERROR(IF(INDIRECT("'WPTM - Section F'!AJ"&amp;F5335)=0,"",INDIRECT("'WPTM - Section F'!AJ"&amp;$F5335)),""),)</f>
        <v/>
      </c>
      <c r="K5335" s="503" t="str">
        <f t="shared" ref="K5335:K5398" ca="1" si="334">CHOOSE(E5335,IFERROR(IF(INDIRECT("'WPTM - Section F'!I"&amp;F5335)=0,"",INDIRECT("'WPTM - Section F'!I"&amp;$F5335)),""),IFERROR(IF(INDIRECT("'WPTM - Section F'!M"&amp;F5335)=0,"",INDIRECT("'WPTM - Section F'!M"&amp;$F5335)),""),IFERROR(IF(INDIRECT("'WPTM - Section F'!Q"&amp;F5335)=0,"",INDIRECT("'WPTM - Section F'!Q"&amp;$F5335)),""),IFERROR(IF(INDIRECT("'WPTM - Section F'!U"&amp;F5335)=0,"",INDIRECT("'WPTM - Section F'!U"&amp;$F5335)),""),IFERROR(IF(INDIRECT("'WPTM - Section F'!Y"&amp;F5335)=0,"",INDIRECT("'WPTM - Section F'!Y"&amp;$F5335)),""),IFERROR(IF(INDIRECT("'WPTM - Section F'!AC"&amp;F5335)=0,"",INDIRECT("'WPTM - Section F'!AC"&amp;$F5335)),""),IFERROR(IF(INDIRECT("'WPTM - Section F'!AG"&amp;F5335)=0,"",INDIRECT("'WPTM - Section F'!AG"&amp;$F5335)),""),IFERROR(IF(INDIRECT("'WPTM - Section F'!AK"&amp;F5335)=0,"",INDIRECT("'WPTM - Section F'!AK"&amp;$F5335)),""),)</f>
        <v/>
      </c>
      <c r="L5335" s="497"/>
      <c r="M5335" s="497"/>
      <c r="N5335" s="497"/>
      <c r="O5335" s="497"/>
      <c r="P5335" s="497">
        <f t="shared" ref="P5335:P5398" si="335">IF(NOT(_xlfn.ISFORMULA(I5335)),P5334+1,0)</f>
        <v>0</v>
      </c>
      <c r="Q5335" s="497"/>
    </row>
    <row r="5336" spans="1:17" x14ac:dyDescent="0.35">
      <c r="A5336" s="497" t="b">
        <f t="shared" ca="1" si="327"/>
        <v>0</v>
      </c>
      <c r="B5336" s="510" t="str">
        <f ca="1">IF(COUNTA(G$4308:G5335)=1,"",OFFSET(B5336,-COUNTA(G$4308:G5335)+1,0))</f>
        <v>a1b3p0000095SKWAA2</v>
      </c>
      <c r="C5336" s="512">
        <f ca="1">IF(COUNTA(G$4308:G5335)=1,"",OFFSET(C5336,-COUNTA(G$4308:G5335)+1,0))</f>
        <v>11</v>
      </c>
      <c r="D5336" s="497">
        <f t="shared" si="328"/>
        <v>546</v>
      </c>
      <c r="E5336" s="497">
        <f t="shared" ca="1" si="329"/>
        <v>6</v>
      </c>
      <c r="F5336" s="497">
        <f t="shared" ca="1" si="330"/>
        <v>19</v>
      </c>
      <c r="G5336" s="497"/>
      <c r="H5336" s="503" t="str">
        <f t="shared" ca="1" si="331"/>
        <v/>
      </c>
      <c r="I5336" s="503" t="str">
        <f t="shared" ca="1" si="332"/>
        <v/>
      </c>
      <c r="J5336" s="503" t="str">
        <f t="shared" ca="1" si="333"/>
        <v/>
      </c>
      <c r="K5336" s="503" t="str">
        <f t="shared" ca="1" si="334"/>
        <v/>
      </c>
      <c r="L5336" s="497"/>
      <c r="M5336" s="497"/>
      <c r="N5336" s="497"/>
      <c r="O5336" s="497"/>
      <c r="P5336" s="497">
        <f t="shared" si="335"/>
        <v>0</v>
      </c>
      <c r="Q5336" s="497"/>
    </row>
    <row r="5337" spans="1:17" x14ac:dyDescent="0.35">
      <c r="A5337" s="497" t="b">
        <f t="shared" ca="1" si="327"/>
        <v>0</v>
      </c>
      <c r="B5337" s="510" t="str">
        <f ca="1">IF(COUNTA(G$4308:G5336)=1,"",OFFSET(B5337,-COUNTA(G$4308:G5336)+1,0))</f>
        <v>a1b3p0000095S7dAAE</v>
      </c>
      <c r="C5337" s="512">
        <f ca="1">IF(COUNTA(G$4308:G5336)=1,"",OFFSET(C5337,-COUNTA(G$4308:G5336)+1,0))</f>
        <v>12</v>
      </c>
      <c r="D5337" s="497">
        <f t="shared" si="328"/>
        <v>547</v>
      </c>
      <c r="E5337" s="497">
        <f t="shared" ca="1" si="329"/>
        <v>1</v>
      </c>
      <c r="F5337" s="497">
        <f t="shared" ca="1" si="330"/>
        <v>20</v>
      </c>
      <c r="G5337" s="497"/>
      <c r="H5337" s="503" t="str">
        <f t="shared" ca="1" si="331"/>
        <v/>
      </c>
      <c r="I5337" s="503" t="str">
        <f t="shared" ca="1" si="332"/>
        <v/>
      </c>
      <c r="J5337" s="503" t="str">
        <f t="shared" ca="1" si="333"/>
        <v/>
      </c>
      <c r="K5337" s="503" t="str">
        <f t="shared" ca="1" si="334"/>
        <v/>
      </c>
      <c r="L5337" s="497"/>
      <c r="M5337" s="497"/>
      <c r="N5337" s="497"/>
      <c r="O5337" s="497"/>
      <c r="P5337" s="497">
        <f t="shared" si="335"/>
        <v>0</v>
      </c>
      <c r="Q5337" s="497"/>
    </row>
    <row r="5338" spans="1:17" x14ac:dyDescent="0.35">
      <c r="A5338" s="497" t="b">
        <f t="shared" ca="1" si="327"/>
        <v>0</v>
      </c>
      <c r="B5338" s="510" t="str">
        <f ca="1">IF(COUNTA(G$4308:G5337)=1,"",OFFSET(B5338,-COUNTA(G$4308:G5337)+1,0))</f>
        <v>a1b3p0000095SADAA2</v>
      </c>
      <c r="C5338" s="512">
        <f ca="1">IF(COUNTA(G$4308:G5337)=1,"",OFFSET(C5338,-COUNTA(G$4308:G5337)+1,0))</f>
        <v>12</v>
      </c>
      <c r="D5338" s="497">
        <f t="shared" si="328"/>
        <v>548</v>
      </c>
      <c r="E5338" s="497">
        <f t="shared" ca="1" si="329"/>
        <v>2</v>
      </c>
      <c r="F5338" s="497">
        <f t="shared" ca="1" si="330"/>
        <v>20</v>
      </c>
      <c r="G5338" s="497"/>
      <c r="H5338" s="503" t="str">
        <f t="shared" ca="1" si="331"/>
        <v/>
      </c>
      <c r="I5338" s="503" t="str">
        <f t="shared" ca="1" si="332"/>
        <v/>
      </c>
      <c r="J5338" s="503" t="str">
        <f t="shared" ca="1" si="333"/>
        <v/>
      </c>
      <c r="K5338" s="503" t="str">
        <f t="shared" ca="1" si="334"/>
        <v/>
      </c>
      <c r="L5338" s="497"/>
      <c r="M5338" s="497"/>
      <c r="N5338" s="497"/>
      <c r="O5338" s="497"/>
      <c r="P5338" s="497">
        <f t="shared" si="335"/>
        <v>0</v>
      </c>
      <c r="Q5338" s="497"/>
    </row>
    <row r="5339" spans="1:17" x14ac:dyDescent="0.35">
      <c r="A5339" s="497" t="b">
        <f t="shared" ca="1" si="327"/>
        <v>0</v>
      </c>
      <c r="B5339" s="510" t="str">
        <f ca="1">IF(COUNTA(G$4308:G5338)=1,"",OFFSET(B5339,-COUNTA(G$4308:G5338)+1,0))</f>
        <v>a1b3p0000095SCnAAM</v>
      </c>
      <c r="C5339" s="512">
        <f ca="1">IF(COUNTA(G$4308:G5338)=1,"",OFFSET(C5339,-COUNTA(G$4308:G5338)+1,0))</f>
        <v>12</v>
      </c>
      <c r="D5339" s="497">
        <f t="shared" si="328"/>
        <v>549</v>
      </c>
      <c r="E5339" s="497">
        <f t="shared" ca="1" si="329"/>
        <v>3</v>
      </c>
      <c r="F5339" s="497">
        <f t="shared" ca="1" si="330"/>
        <v>20</v>
      </c>
      <c r="G5339" s="497"/>
      <c r="H5339" s="503" t="str">
        <f t="shared" ca="1" si="331"/>
        <v/>
      </c>
      <c r="I5339" s="503" t="str">
        <f t="shared" ca="1" si="332"/>
        <v/>
      </c>
      <c r="J5339" s="503" t="str">
        <f t="shared" ca="1" si="333"/>
        <v/>
      </c>
      <c r="K5339" s="503" t="str">
        <f t="shared" ca="1" si="334"/>
        <v/>
      </c>
      <c r="L5339" s="497"/>
      <c r="M5339" s="497"/>
      <c r="N5339" s="497"/>
      <c r="O5339" s="497"/>
      <c r="P5339" s="497">
        <f t="shared" si="335"/>
        <v>0</v>
      </c>
      <c r="Q5339" s="497"/>
    </row>
    <row r="5340" spans="1:17" x14ac:dyDescent="0.35">
      <c r="A5340" s="497" t="b">
        <f t="shared" ca="1" si="327"/>
        <v>0</v>
      </c>
      <c r="B5340" s="510" t="str">
        <f ca="1">IF(COUNTA(G$4308:G5339)=1,"",OFFSET(B5340,-COUNTA(G$4308:G5339)+1,0))</f>
        <v>a1b3p0000095SFNAA2</v>
      </c>
      <c r="C5340" s="512">
        <f ca="1">IF(COUNTA(G$4308:G5339)=1,"",OFFSET(C5340,-COUNTA(G$4308:G5339)+1,0))</f>
        <v>12</v>
      </c>
      <c r="D5340" s="497">
        <f t="shared" si="328"/>
        <v>550</v>
      </c>
      <c r="E5340" s="497">
        <f t="shared" ca="1" si="329"/>
        <v>4</v>
      </c>
      <c r="F5340" s="497">
        <f t="shared" ca="1" si="330"/>
        <v>20</v>
      </c>
      <c r="G5340" s="497"/>
      <c r="H5340" s="503" t="str">
        <f t="shared" ca="1" si="331"/>
        <v/>
      </c>
      <c r="I5340" s="503" t="str">
        <f t="shared" ca="1" si="332"/>
        <v/>
      </c>
      <c r="J5340" s="503" t="str">
        <f t="shared" ca="1" si="333"/>
        <v/>
      </c>
      <c r="K5340" s="503" t="str">
        <f t="shared" ca="1" si="334"/>
        <v/>
      </c>
      <c r="L5340" s="497"/>
      <c r="M5340" s="497"/>
      <c r="N5340" s="497"/>
      <c r="O5340" s="497"/>
      <c r="P5340" s="497">
        <f t="shared" si="335"/>
        <v>0</v>
      </c>
      <c r="Q5340" s="497"/>
    </row>
    <row r="5341" spans="1:17" x14ac:dyDescent="0.35">
      <c r="A5341" s="497" t="b">
        <f t="shared" ca="1" si="327"/>
        <v>0</v>
      </c>
      <c r="B5341" s="510" t="str">
        <f ca="1">IF(COUNTA(G$4308:G5340)=1,"",OFFSET(B5341,-COUNTA(G$4308:G5340)+1,0))</f>
        <v>a1b3p0000095SHxAAM</v>
      </c>
      <c r="C5341" s="512">
        <f ca="1">IF(COUNTA(G$4308:G5340)=1,"",OFFSET(C5341,-COUNTA(G$4308:G5340)+1,0))</f>
        <v>12</v>
      </c>
      <c r="D5341" s="497">
        <f t="shared" si="328"/>
        <v>551</v>
      </c>
      <c r="E5341" s="497">
        <f t="shared" ca="1" si="329"/>
        <v>5</v>
      </c>
      <c r="F5341" s="497">
        <f t="shared" ca="1" si="330"/>
        <v>20</v>
      </c>
      <c r="G5341" s="497"/>
      <c r="H5341" s="503" t="str">
        <f t="shared" ca="1" si="331"/>
        <v/>
      </c>
      <c r="I5341" s="503" t="str">
        <f t="shared" ca="1" si="332"/>
        <v/>
      </c>
      <c r="J5341" s="503" t="str">
        <f t="shared" ca="1" si="333"/>
        <v/>
      </c>
      <c r="K5341" s="503" t="str">
        <f t="shared" ca="1" si="334"/>
        <v/>
      </c>
      <c r="L5341" s="497"/>
      <c r="M5341" s="497"/>
      <c r="N5341" s="497"/>
      <c r="O5341" s="497"/>
      <c r="P5341" s="497">
        <f t="shared" si="335"/>
        <v>0</v>
      </c>
      <c r="Q5341" s="497"/>
    </row>
    <row r="5342" spans="1:17" x14ac:dyDescent="0.35">
      <c r="A5342" s="497" t="b">
        <f t="shared" ca="1" si="327"/>
        <v>0</v>
      </c>
      <c r="B5342" s="510" t="str">
        <f ca="1">IF(COUNTA(G$4308:G5341)=1,"",OFFSET(B5342,-COUNTA(G$4308:G5341)+1,0))</f>
        <v>a1b3p0000095SKXAA2</v>
      </c>
      <c r="C5342" s="512">
        <f ca="1">IF(COUNTA(G$4308:G5341)=1,"",OFFSET(C5342,-COUNTA(G$4308:G5341)+1,0))</f>
        <v>12</v>
      </c>
      <c r="D5342" s="497">
        <f t="shared" si="328"/>
        <v>552</v>
      </c>
      <c r="E5342" s="497">
        <f t="shared" ca="1" si="329"/>
        <v>6</v>
      </c>
      <c r="F5342" s="497">
        <f t="shared" ca="1" si="330"/>
        <v>20</v>
      </c>
      <c r="G5342" s="497"/>
      <c r="H5342" s="503" t="str">
        <f t="shared" ca="1" si="331"/>
        <v/>
      </c>
      <c r="I5342" s="503" t="str">
        <f t="shared" ca="1" si="332"/>
        <v/>
      </c>
      <c r="J5342" s="503" t="str">
        <f t="shared" ca="1" si="333"/>
        <v/>
      </c>
      <c r="K5342" s="503" t="str">
        <f t="shared" ca="1" si="334"/>
        <v/>
      </c>
      <c r="L5342" s="497"/>
      <c r="M5342" s="497"/>
      <c r="N5342" s="497"/>
      <c r="O5342" s="497"/>
      <c r="P5342" s="497">
        <f t="shared" si="335"/>
        <v>0</v>
      </c>
      <c r="Q5342" s="497"/>
    </row>
    <row r="5343" spans="1:17" x14ac:dyDescent="0.35">
      <c r="A5343" s="497" t="b">
        <f t="shared" ca="1" si="327"/>
        <v>0</v>
      </c>
      <c r="B5343" s="510" t="str">
        <f ca="1">IF(COUNTA(G$4308:G5342)=1,"",OFFSET(B5343,-COUNTA(G$4308:G5342)+1,0))</f>
        <v>a1b3p0000095S7eAAE</v>
      </c>
      <c r="C5343" s="512">
        <f ca="1">IF(COUNTA(G$4308:G5342)=1,"",OFFSET(C5343,-COUNTA(G$4308:G5342)+1,0))</f>
        <v>13</v>
      </c>
      <c r="D5343" s="497">
        <f t="shared" si="328"/>
        <v>553</v>
      </c>
      <c r="E5343" s="497">
        <f t="shared" ca="1" si="329"/>
        <v>1</v>
      </c>
      <c r="F5343" s="497">
        <f t="shared" ca="1" si="330"/>
        <v>21</v>
      </c>
      <c r="G5343" s="497"/>
      <c r="H5343" s="503" t="str">
        <f t="shared" ca="1" si="331"/>
        <v/>
      </c>
      <c r="I5343" s="503" t="str">
        <f t="shared" ca="1" si="332"/>
        <v/>
      </c>
      <c r="J5343" s="503" t="str">
        <f t="shared" ca="1" si="333"/>
        <v/>
      </c>
      <c r="K5343" s="503" t="str">
        <f t="shared" ca="1" si="334"/>
        <v/>
      </c>
      <c r="L5343" s="497"/>
      <c r="M5343" s="497"/>
      <c r="N5343" s="497"/>
      <c r="O5343" s="497"/>
      <c r="P5343" s="497">
        <f t="shared" si="335"/>
        <v>0</v>
      </c>
      <c r="Q5343" s="497"/>
    </row>
    <row r="5344" spans="1:17" x14ac:dyDescent="0.35">
      <c r="A5344" s="497" t="b">
        <f t="shared" ca="1" si="327"/>
        <v>0</v>
      </c>
      <c r="B5344" s="510" t="str">
        <f ca="1">IF(COUNTA(G$4308:G5343)=1,"",OFFSET(B5344,-COUNTA(G$4308:G5343)+1,0))</f>
        <v>a1b3p0000095SAEAA2</v>
      </c>
      <c r="C5344" s="512">
        <f ca="1">IF(COUNTA(G$4308:G5343)=1,"",OFFSET(C5344,-COUNTA(G$4308:G5343)+1,0))</f>
        <v>13</v>
      </c>
      <c r="D5344" s="497">
        <f t="shared" si="328"/>
        <v>554</v>
      </c>
      <c r="E5344" s="497">
        <f t="shared" ca="1" si="329"/>
        <v>2</v>
      </c>
      <c r="F5344" s="497">
        <f t="shared" ca="1" si="330"/>
        <v>21</v>
      </c>
      <c r="G5344" s="497"/>
      <c r="H5344" s="503" t="str">
        <f t="shared" ca="1" si="331"/>
        <v/>
      </c>
      <c r="I5344" s="503" t="str">
        <f t="shared" ca="1" si="332"/>
        <v/>
      </c>
      <c r="J5344" s="503" t="str">
        <f t="shared" ca="1" si="333"/>
        <v/>
      </c>
      <c r="K5344" s="503" t="str">
        <f t="shared" ca="1" si="334"/>
        <v/>
      </c>
      <c r="L5344" s="497"/>
      <c r="M5344" s="497"/>
      <c r="N5344" s="497"/>
      <c r="O5344" s="497"/>
      <c r="P5344" s="497">
        <f t="shared" si="335"/>
        <v>0</v>
      </c>
      <c r="Q5344" s="497"/>
    </row>
    <row r="5345" spans="1:17" x14ac:dyDescent="0.35">
      <c r="A5345" s="497" t="b">
        <f t="shared" ca="1" si="327"/>
        <v>0</v>
      </c>
      <c r="B5345" s="510" t="str">
        <f ca="1">IF(COUNTA(G$4308:G5344)=1,"",OFFSET(B5345,-COUNTA(G$4308:G5344)+1,0))</f>
        <v>a1b3p0000095SCoAAM</v>
      </c>
      <c r="C5345" s="512">
        <f ca="1">IF(COUNTA(G$4308:G5344)=1,"",OFFSET(C5345,-COUNTA(G$4308:G5344)+1,0))</f>
        <v>13</v>
      </c>
      <c r="D5345" s="497">
        <f t="shared" si="328"/>
        <v>555</v>
      </c>
      <c r="E5345" s="497">
        <f t="shared" ca="1" si="329"/>
        <v>3</v>
      </c>
      <c r="F5345" s="497">
        <f t="shared" ca="1" si="330"/>
        <v>21</v>
      </c>
      <c r="G5345" s="497"/>
      <c r="H5345" s="503" t="str">
        <f t="shared" ca="1" si="331"/>
        <v/>
      </c>
      <c r="I5345" s="503" t="str">
        <f t="shared" ca="1" si="332"/>
        <v/>
      </c>
      <c r="J5345" s="503" t="str">
        <f t="shared" ca="1" si="333"/>
        <v/>
      </c>
      <c r="K5345" s="503" t="str">
        <f t="shared" ca="1" si="334"/>
        <v/>
      </c>
      <c r="L5345" s="497"/>
      <c r="M5345" s="497"/>
      <c r="N5345" s="497"/>
      <c r="O5345" s="497"/>
      <c r="P5345" s="497">
        <f t="shared" si="335"/>
        <v>0</v>
      </c>
      <c r="Q5345" s="497"/>
    </row>
    <row r="5346" spans="1:17" x14ac:dyDescent="0.35">
      <c r="A5346" s="497" t="b">
        <f t="shared" ca="1" si="327"/>
        <v>0</v>
      </c>
      <c r="B5346" s="510" t="str">
        <f ca="1">IF(COUNTA(G$4308:G5345)=1,"",OFFSET(B5346,-COUNTA(G$4308:G5345)+1,0))</f>
        <v>a1b3p0000095SFOAA2</v>
      </c>
      <c r="C5346" s="512">
        <f ca="1">IF(COUNTA(G$4308:G5345)=1,"",OFFSET(C5346,-COUNTA(G$4308:G5345)+1,0))</f>
        <v>13</v>
      </c>
      <c r="D5346" s="497">
        <f t="shared" si="328"/>
        <v>556</v>
      </c>
      <c r="E5346" s="497">
        <f t="shared" ca="1" si="329"/>
        <v>4</v>
      </c>
      <c r="F5346" s="497">
        <f t="shared" ca="1" si="330"/>
        <v>21</v>
      </c>
      <c r="G5346" s="497"/>
      <c r="H5346" s="503" t="str">
        <f t="shared" ca="1" si="331"/>
        <v/>
      </c>
      <c r="I5346" s="503" t="str">
        <f t="shared" ca="1" si="332"/>
        <v/>
      </c>
      <c r="J5346" s="503" t="str">
        <f t="shared" ca="1" si="333"/>
        <v/>
      </c>
      <c r="K5346" s="503" t="str">
        <f t="shared" ca="1" si="334"/>
        <v/>
      </c>
      <c r="L5346" s="497"/>
      <c r="M5346" s="497"/>
      <c r="N5346" s="497"/>
      <c r="O5346" s="497"/>
      <c r="P5346" s="497">
        <f t="shared" si="335"/>
        <v>0</v>
      </c>
      <c r="Q5346" s="497"/>
    </row>
    <row r="5347" spans="1:17" x14ac:dyDescent="0.35">
      <c r="A5347" s="497" t="b">
        <f t="shared" ca="1" si="327"/>
        <v>0</v>
      </c>
      <c r="B5347" s="510" t="str">
        <f ca="1">IF(COUNTA(G$4308:G5346)=1,"",OFFSET(B5347,-COUNTA(G$4308:G5346)+1,0))</f>
        <v>a1b3p0000095SHyAAM</v>
      </c>
      <c r="C5347" s="512">
        <f ca="1">IF(COUNTA(G$4308:G5346)=1,"",OFFSET(C5347,-COUNTA(G$4308:G5346)+1,0))</f>
        <v>13</v>
      </c>
      <c r="D5347" s="497">
        <f t="shared" si="328"/>
        <v>557</v>
      </c>
      <c r="E5347" s="497">
        <f t="shared" ca="1" si="329"/>
        <v>5</v>
      </c>
      <c r="F5347" s="497">
        <f t="shared" ca="1" si="330"/>
        <v>21</v>
      </c>
      <c r="G5347" s="497"/>
      <c r="H5347" s="503" t="str">
        <f t="shared" ca="1" si="331"/>
        <v/>
      </c>
      <c r="I5347" s="503" t="str">
        <f t="shared" ca="1" si="332"/>
        <v/>
      </c>
      <c r="J5347" s="503" t="str">
        <f t="shared" ca="1" si="333"/>
        <v/>
      </c>
      <c r="K5347" s="503" t="str">
        <f t="shared" ca="1" si="334"/>
        <v/>
      </c>
      <c r="L5347" s="497"/>
      <c r="M5347" s="497"/>
      <c r="N5347" s="497"/>
      <c r="O5347" s="497"/>
      <c r="P5347" s="497">
        <f t="shared" si="335"/>
        <v>0</v>
      </c>
      <c r="Q5347" s="497"/>
    </row>
    <row r="5348" spans="1:17" x14ac:dyDescent="0.35">
      <c r="A5348" s="497" t="b">
        <f t="shared" ca="1" si="327"/>
        <v>0</v>
      </c>
      <c r="B5348" s="510" t="str">
        <f ca="1">IF(COUNTA(G$4308:G5347)=1,"",OFFSET(B5348,-COUNTA(G$4308:G5347)+1,0))</f>
        <v>a1b3p0000095SKYAA2</v>
      </c>
      <c r="C5348" s="512">
        <f ca="1">IF(COUNTA(G$4308:G5347)=1,"",OFFSET(C5348,-COUNTA(G$4308:G5347)+1,0))</f>
        <v>13</v>
      </c>
      <c r="D5348" s="497">
        <f t="shared" si="328"/>
        <v>558</v>
      </c>
      <c r="E5348" s="497">
        <f t="shared" ca="1" si="329"/>
        <v>6</v>
      </c>
      <c r="F5348" s="497">
        <f t="shared" ca="1" si="330"/>
        <v>21</v>
      </c>
      <c r="G5348" s="497"/>
      <c r="H5348" s="503" t="str">
        <f t="shared" ca="1" si="331"/>
        <v/>
      </c>
      <c r="I5348" s="503" t="str">
        <f t="shared" ca="1" si="332"/>
        <v/>
      </c>
      <c r="J5348" s="503" t="str">
        <f t="shared" ca="1" si="333"/>
        <v/>
      </c>
      <c r="K5348" s="503" t="str">
        <f t="shared" ca="1" si="334"/>
        <v/>
      </c>
      <c r="L5348" s="497"/>
      <c r="M5348" s="497"/>
      <c r="N5348" s="497"/>
      <c r="O5348" s="497"/>
      <c r="P5348" s="497">
        <f t="shared" si="335"/>
        <v>0</v>
      </c>
      <c r="Q5348" s="497"/>
    </row>
    <row r="5349" spans="1:17" x14ac:dyDescent="0.35">
      <c r="A5349" s="497" t="b">
        <f t="shared" ca="1" si="327"/>
        <v>0</v>
      </c>
      <c r="B5349" s="510" t="str">
        <f ca="1">IF(COUNTA(G$4308:G5348)=1,"",OFFSET(B5349,-COUNTA(G$4308:G5348)+1,0))</f>
        <v>a1b3p0000095S7fAAE</v>
      </c>
      <c r="C5349" s="512">
        <f ca="1">IF(COUNTA(G$4308:G5348)=1,"",OFFSET(C5349,-COUNTA(G$4308:G5348)+1,0))</f>
        <v>14</v>
      </c>
      <c r="D5349" s="497">
        <f t="shared" si="328"/>
        <v>559</v>
      </c>
      <c r="E5349" s="497">
        <f t="shared" ca="1" si="329"/>
        <v>1</v>
      </c>
      <c r="F5349" s="497">
        <f t="shared" ca="1" si="330"/>
        <v>22</v>
      </c>
      <c r="G5349" s="497"/>
      <c r="H5349" s="503" t="str">
        <f t="shared" ca="1" si="331"/>
        <v/>
      </c>
      <c r="I5349" s="503" t="str">
        <f t="shared" ca="1" si="332"/>
        <v/>
      </c>
      <c r="J5349" s="503" t="str">
        <f t="shared" ca="1" si="333"/>
        <v/>
      </c>
      <c r="K5349" s="503" t="str">
        <f t="shared" ca="1" si="334"/>
        <v/>
      </c>
      <c r="L5349" s="497"/>
      <c r="M5349" s="497"/>
      <c r="N5349" s="497"/>
      <c r="O5349" s="497"/>
      <c r="P5349" s="497">
        <f t="shared" si="335"/>
        <v>0</v>
      </c>
      <c r="Q5349" s="497"/>
    </row>
    <row r="5350" spans="1:17" x14ac:dyDescent="0.35">
      <c r="A5350" s="497" t="b">
        <f t="shared" ca="1" si="327"/>
        <v>0</v>
      </c>
      <c r="B5350" s="510" t="str">
        <f ca="1">IF(COUNTA(G$4308:G5349)=1,"",OFFSET(B5350,-COUNTA(G$4308:G5349)+1,0))</f>
        <v>a1b3p0000095SAFAA2</v>
      </c>
      <c r="C5350" s="512">
        <f ca="1">IF(COUNTA(G$4308:G5349)=1,"",OFFSET(C5350,-COUNTA(G$4308:G5349)+1,0))</f>
        <v>14</v>
      </c>
      <c r="D5350" s="497">
        <f t="shared" si="328"/>
        <v>560</v>
      </c>
      <c r="E5350" s="497">
        <f t="shared" ca="1" si="329"/>
        <v>2</v>
      </c>
      <c r="F5350" s="497">
        <f t="shared" ca="1" si="330"/>
        <v>22</v>
      </c>
      <c r="G5350" s="497"/>
      <c r="H5350" s="503" t="str">
        <f t="shared" ca="1" si="331"/>
        <v/>
      </c>
      <c r="I5350" s="503" t="str">
        <f t="shared" ca="1" si="332"/>
        <v/>
      </c>
      <c r="J5350" s="503" t="str">
        <f t="shared" ca="1" si="333"/>
        <v/>
      </c>
      <c r="K5350" s="503" t="str">
        <f t="shared" ca="1" si="334"/>
        <v/>
      </c>
      <c r="L5350" s="497"/>
      <c r="M5350" s="497"/>
      <c r="N5350" s="497"/>
      <c r="O5350" s="497"/>
      <c r="P5350" s="497">
        <f t="shared" si="335"/>
        <v>0</v>
      </c>
      <c r="Q5350" s="497"/>
    </row>
    <row r="5351" spans="1:17" x14ac:dyDescent="0.35">
      <c r="A5351" s="497" t="b">
        <f t="shared" ca="1" si="327"/>
        <v>0</v>
      </c>
      <c r="B5351" s="510" t="str">
        <f ca="1">IF(COUNTA(G$4308:G5350)=1,"",OFFSET(B5351,-COUNTA(G$4308:G5350)+1,0))</f>
        <v>a1b3p0000095SCpAAM</v>
      </c>
      <c r="C5351" s="512">
        <f ca="1">IF(COUNTA(G$4308:G5350)=1,"",OFFSET(C5351,-COUNTA(G$4308:G5350)+1,0))</f>
        <v>14</v>
      </c>
      <c r="D5351" s="497">
        <f t="shared" si="328"/>
        <v>561</v>
      </c>
      <c r="E5351" s="497">
        <f t="shared" ca="1" si="329"/>
        <v>3</v>
      </c>
      <c r="F5351" s="497">
        <f t="shared" ca="1" si="330"/>
        <v>22</v>
      </c>
      <c r="G5351" s="497"/>
      <c r="H5351" s="503" t="str">
        <f t="shared" ca="1" si="331"/>
        <v/>
      </c>
      <c r="I5351" s="503" t="str">
        <f t="shared" ca="1" si="332"/>
        <v/>
      </c>
      <c r="J5351" s="503" t="str">
        <f t="shared" ca="1" si="333"/>
        <v/>
      </c>
      <c r="K5351" s="503" t="str">
        <f t="shared" ca="1" si="334"/>
        <v/>
      </c>
      <c r="L5351" s="497"/>
      <c r="M5351" s="497"/>
      <c r="N5351" s="497"/>
      <c r="O5351" s="497"/>
      <c r="P5351" s="497">
        <f t="shared" si="335"/>
        <v>0</v>
      </c>
      <c r="Q5351" s="497"/>
    </row>
    <row r="5352" spans="1:17" x14ac:dyDescent="0.35">
      <c r="A5352" s="497" t="b">
        <f t="shared" ca="1" si="327"/>
        <v>0</v>
      </c>
      <c r="B5352" s="510" t="str">
        <f ca="1">IF(COUNTA(G$4308:G5351)=1,"",OFFSET(B5352,-COUNTA(G$4308:G5351)+1,0))</f>
        <v>a1b3p0000095SFPAA2</v>
      </c>
      <c r="C5352" s="512">
        <f ca="1">IF(COUNTA(G$4308:G5351)=1,"",OFFSET(C5352,-COUNTA(G$4308:G5351)+1,0))</f>
        <v>14</v>
      </c>
      <c r="D5352" s="497">
        <f t="shared" si="328"/>
        <v>562</v>
      </c>
      <c r="E5352" s="497">
        <f t="shared" ca="1" si="329"/>
        <v>4</v>
      </c>
      <c r="F5352" s="497">
        <f t="shared" ca="1" si="330"/>
        <v>22</v>
      </c>
      <c r="G5352" s="497"/>
      <c r="H5352" s="503" t="str">
        <f t="shared" ca="1" si="331"/>
        <v/>
      </c>
      <c r="I5352" s="503" t="str">
        <f t="shared" ca="1" si="332"/>
        <v/>
      </c>
      <c r="J5352" s="503" t="str">
        <f t="shared" ca="1" si="333"/>
        <v/>
      </c>
      <c r="K5352" s="503" t="str">
        <f t="shared" ca="1" si="334"/>
        <v/>
      </c>
      <c r="L5352" s="497"/>
      <c r="M5352" s="497"/>
      <c r="N5352" s="497"/>
      <c r="O5352" s="497"/>
      <c r="P5352" s="497">
        <f t="shared" si="335"/>
        <v>0</v>
      </c>
      <c r="Q5352" s="497"/>
    </row>
    <row r="5353" spans="1:17" x14ac:dyDescent="0.35">
      <c r="A5353" s="497" t="b">
        <f t="shared" ca="1" si="327"/>
        <v>0</v>
      </c>
      <c r="B5353" s="510" t="str">
        <f ca="1">IF(COUNTA(G$4308:G5352)=1,"",OFFSET(B5353,-COUNTA(G$4308:G5352)+1,0))</f>
        <v>a1b3p0000095SHzAAM</v>
      </c>
      <c r="C5353" s="512">
        <f ca="1">IF(COUNTA(G$4308:G5352)=1,"",OFFSET(C5353,-COUNTA(G$4308:G5352)+1,0))</f>
        <v>14</v>
      </c>
      <c r="D5353" s="497">
        <f t="shared" si="328"/>
        <v>563</v>
      </c>
      <c r="E5353" s="497">
        <f t="shared" ca="1" si="329"/>
        <v>5</v>
      </c>
      <c r="F5353" s="497">
        <f t="shared" ca="1" si="330"/>
        <v>22</v>
      </c>
      <c r="G5353" s="497"/>
      <c r="H5353" s="503" t="str">
        <f t="shared" ca="1" si="331"/>
        <v/>
      </c>
      <c r="I5353" s="503" t="str">
        <f t="shared" ca="1" si="332"/>
        <v/>
      </c>
      <c r="J5353" s="503" t="str">
        <f t="shared" ca="1" si="333"/>
        <v/>
      </c>
      <c r="K5353" s="503" t="str">
        <f t="shared" ca="1" si="334"/>
        <v/>
      </c>
      <c r="L5353" s="497"/>
      <c r="M5353" s="497"/>
      <c r="N5353" s="497"/>
      <c r="O5353" s="497"/>
      <c r="P5353" s="497">
        <f t="shared" si="335"/>
        <v>0</v>
      </c>
      <c r="Q5353" s="497"/>
    </row>
    <row r="5354" spans="1:17" x14ac:dyDescent="0.35">
      <c r="A5354" s="497" t="b">
        <f t="shared" ca="1" si="327"/>
        <v>0</v>
      </c>
      <c r="B5354" s="510" t="str">
        <f ca="1">IF(COUNTA(G$4308:G5353)=1,"",OFFSET(B5354,-COUNTA(G$4308:G5353)+1,0))</f>
        <v>a1b3p0000095SKZAA2</v>
      </c>
      <c r="C5354" s="512">
        <f ca="1">IF(COUNTA(G$4308:G5353)=1,"",OFFSET(C5354,-COUNTA(G$4308:G5353)+1,0))</f>
        <v>14</v>
      </c>
      <c r="D5354" s="497">
        <f t="shared" si="328"/>
        <v>564</v>
      </c>
      <c r="E5354" s="497">
        <f t="shared" ca="1" si="329"/>
        <v>6</v>
      </c>
      <c r="F5354" s="497">
        <f t="shared" ca="1" si="330"/>
        <v>22</v>
      </c>
      <c r="G5354" s="497"/>
      <c r="H5354" s="503" t="str">
        <f t="shared" ca="1" si="331"/>
        <v/>
      </c>
      <c r="I5354" s="503" t="str">
        <f t="shared" ca="1" si="332"/>
        <v/>
      </c>
      <c r="J5354" s="503" t="str">
        <f t="shared" ca="1" si="333"/>
        <v/>
      </c>
      <c r="K5354" s="503" t="str">
        <f t="shared" ca="1" si="334"/>
        <v/>
      </c>
      <c r="L5354" s="497"/>
      <c r="M5354" s="497"/>
      <c r="N5354" s="497"/>
      <c r="O5354" s="497"/>
      <c r="P5354" s="497">
        <f t="shared" si="335"/>
        <v>0</v>
      </c>
      <c r="Q5354" s="497"/>
    </row>
    <row r="5355" spans="1:17" x14ac:dyDescent="0.35">
      <c r="A5355" s="497" t="b">
        <f t="shared" ca="1" si="327"/>
        <v>0</v>
      </c>
      <c r="B5355" s="510" t="str">
        <f ca="1">IF(COUNTA(G$4308:G5354)=1,"",OFFSET(B5355,-COUNTA(G$4308:G5354)+1,0))</f>
        <v>a1b3p0000095S7gAAE</v>
      </c>
      <c r="C5355" s="512">
        <f ca="1">IF(COUNTA(G$4308:G5354)=1,"",OFFSET(C5355,-COUNTA(G$4308:G5354)+1,0))</f>
        <v>15</v>
      </c>
      <c r="D5355" s="497">
        <f t="shared" si="328"/>
        <v>565</v>
      </c>
      <c r="E5355" s="497">
        <f t="shared" ca="1" si="329"/>
        <v>1</v>
      </c>
      <c r="F5355" s="497">
        <f t="shared" ca="1" si="330"/>
        <v>23</v>
      </c>
      <c r="G5355" s="497"/>
      <c r="H5355" s="503" t="str">
        <f t="shared" ca="1" si="331"/>
        <v/>
      </c>
      <c r="I5355" s="503" t="str">
        <f t="shared" ca="1" si="332"/>
        <v/>
      </c>
      <c r="J5355" s="503" t="str">
        <f t="shared" ca="1" si="333"/>
        <v/>
      </c>
      <c r="K5355" s="503" t="str">
        <f t="shared" ca="1" si="334"/>
        <v/>
      </c>
      <c r="L5355" s="497"/>
      <c r="M5355" s="497"/>
      <c r="N5355" s="497"/>
      <c r="O5355" s="497"/>
      <c r="P5355" s="497">
        <f t="shared" si="335"/>
        <v>0</v>
      </c>
      <c r="Q5355" s="497"/>
    </row>
    <row r="5356" spans="1:17" x14ac:dyDescent="0.35">
      <c r="A5356" s="497" t="b">
        <f t="shared" ca="1" si="327"/>
        <v>0</v>
      </c>
      <c r="B5356" s="510" t="str">
        <f ca="1">IF(COUNTA(G$4308:G5355)=1,"",OFFSET(B5356,-COUNTA(G$4308:G5355)+1,0))</f>
        <v>a1b3p0000095SAGAA2</v>
      </c>
      <c r="C5356" s="512">
        <f ca="1">IF(COUNTA(G$4308:G5355)=1,"",OFFSET(C5356,-COUNTA(G$4308:G5355)+1,0))</f>
        <v>15</v>
      </c>
      <c r="D5356" s="497">
        <f t="shared" si="328"/>
        <v>566</v>
      </c>
      <c r="E5356" s="497">
        <f t="shared" ca="1" si="329"/>
        <v>2</v>
      </c>
      <c r="F5356" s="497">
        <f t="shared" ca="1" si="330"/>
        <v>23</v>
      </c>
      <c r="G5356" s="497"/>
      <c r="H5356" s="503" t="str">
        <f t="shared" ca="1" si="331"/>
        <v/>
      </c>
      <c r="I5356" s="503" t="str">
        <f t="shared" ca="1" si="332"/>
        <v/>
      </c>
      <c r="J5356" s="503" t="str">
        <f t="shared" ca="1" si="333"/>
        <v/>
      </c>
      <c r="K5356" s="503" t="str">
        <f t="shared" ca="1" si="334"/>
        <v/>
      </c>
      <c r="L5356" s="497"/>
      <c r="M5356" s="497"/>
      <c r="N5356" s="497"/>
      <c r="O5356" s="497"/>
      <c r="P5356" s="497">
        <f t="shared" si="335"/>
        <v>0</v>
      </c>
      <c r="Q5356" s="497"/>
    </row>
    <row r="5357" spans="1:17" x14ac:dyDescent="0.35">
      <c r="A5357" s="497" t="b">
        <f t="shared" ca="1" si="327"/>
        <v>0</v>
      </c>
      <c r="B5357" s="510" t="str">
        <f ca="1">IF(COUNTA(G$4308:G5356)=1,"",OFFSET(B5357,-COUNTA(G$4308:G5356)+1,0))</f>
        <v>a1b3p0000095SCqAAM</v>
      </c>
      <c r="C5357" s="512">
        <f ca="1">IF(COUNTA(G$4308:G5356)=1,"",OFFSET(C5357,-COUNTA(G$4308:G5356)+1,0))</f>
        <v>15</v>
      </c>
      <c r="D5357" s="497">
        <f t="shared" si="328"/>
        <v>567</v>
      </c>
      <c r="E5357" s="497">
        <f t="shared" ca="1" si="329"/>
        <v>3</v>
      </c>
      <c r="F5357" s="497">
        <f t="shared" ca="1" si="330"/>
        <v>23</v>
      </c>
      <c r="G5357" s="497"/>
      <c r="H5357" s="503" t="str">
        <f t="shared" ca="1" si="331"/>
        <v/>
      </c>
      <c r="I5357" s="503" t="str">
        <f t="shared" ca="1" si="332"/>
        <v/>
      </c>
      <c r="J5357" s="503" t="str">
        <f t="shared" ca="1" si="333"/>
        <v/>
      </c>
      <c r="K5357" s="503" t="str">
        <f t="shared" ca="1" si="334"/>
        <v/>
      </c>
      <c r="L5357" s="497"/>
      <c r="M5357" s="497"/>
      <c r="N5357" s="497"/>
      <c r="O5357" s="497"/>
      <c r="P5357" s="497">
        <f t="shared" si="335"/>
        <v>0</v>
      </c>
      <c r="Q5357" s="497"/>
    </row>
    <row r="5358" spans="1:17" x14ac:dyDescent="0.35">
      <c r="A5358" s="497" t="b">
        <f t="shared" ca="1" si="327"/>
        <v>0</v>
      </c>
      <c r="B5358" s="510" t="str">
        <f ca="1">IF(COUNTA(G$4308:G5357)=1,"",OFFSET(B5358,-COUNTA(G$4308:G5357)+1,0))</f>
        <v>a1b3p0000095SFQAA2</v>
      </c>
      <c r="C5358" s="512">
        <f ca="1">IF(COUNTA(G$4308:G5357)=1,"",OFFSET(C5358,-COUNTA(G$4308:G5357)+1,0))</f>
        <v>15</v>
      </c>
      <c r="D5358" s="497">
        <f t="shared" si="328"/>
        <v>568</v>
      </c>
      <c r="E5358" s="497">
        <f t="shared" ca="1" si="329"/>
        <v>4</v>
      </c>
      <c r="F5358" s="497">
        <f t="shared" ca="1" si="330"/>
        <v>23</v>
      </c>
      <c r="G5358" s="497"/>
      <c r="H5358" s="503" t="str">
        <f t="shared" ca="1" si="331"/>
        <v/>
      </c>
      <c r="I5358" s="503" t="str">
        <f t="shared" ca="1" si="332"/>
        <v/>
      </c>
      <c r="J5358" s="503" t="str">
        <f t="shared" ca="1" si="333"/>
        <v/>
      </c>
      <c r="K5358" s="503" t="str">
        <f t="shared" ca="1" si="334"/>
        <v/>
      </c>
      <c r="L5358" s="497"/>
      <c r="M5358" s="497"/>
      <c r="N5358" s="497"/>
      <c r="O5358" s="497"/>
      <c r="P5358" s="497">
        <f t="shared" si="335"/>
        <v>0</v>
      </c>
      <c r="Q5358" s="497"/>
    </row>
    <row r="5359" spans="1:17" x14ac:dyDescent="0.35">
      <c r="A5359" s="497" t="b">
        <f t="shared" ca="1" si="327"/>
        <v>0</v>
      </c>
      <c r="B5359" s="510" t="str">
        <f ca="1">IF(COUNTA(G$4308:G5358)=1,"",OFFSET(B5359,-COUNTA(G$4308:G5358)+1,0))</f>
        <v>a1b3p0000095SI0AAM</v>
      </c>
      <c r="C5359" s="512">
        <f ca="1">IF(COUNTA(G$4308:G5358)=1,"",OFFSET(C5359,-COUNTA(G$4308:G5358)+1,0))</f>
        <v>15</v>
      </c>
      <c r="D5359" s="497">
        <f t="shared" si="328"/>
        <v>569</v>
      </c>
      <c r="E5359" s="497">
        <f t="shared" ca="1" si="329"/>
        <v>5</v>
      </c>
      <c r="F5359" s="497">
        <f t="shared" ca="1" si="330"/>
        <v>23</v>
      </c>
      <c r="G5359" s="497"/>
      <c r="H5359" s="503" t="str">
        <f t="shared" ca="1" si="331"/>
        <v/>
      </c>
      <c r="I5359" s="503" t="str">
        <f t="shared" ca="1" si="332"/>
        <v/>
      </c>
      <c r="J5359" s="503" t="str">
        <f t="shared" ca="1" si="333"/>
        <v/>
      </c>
      <c r="K5359" s="503" t="str">
        <f t="shared" ca="1" si="334"/>
        <v/>
      </c>
      <c r="L5359" s="497"/>
      <c r="M5359" s="497"/>
      <c r="N5359" s="497"/>
      <c r="O5359" s="497"/>
      <c r="P5359" s="497">
        <f t="shared" si="335"/>
        <v>0</v>
      </c>
      <c r="Q5359" s="497"/>
    </row>
    <row r="5360" spans="1:17" x14ac:dyDescent="0.35">
      <c r="A5360" s="497" t="b">
        <f t="shared" ca="1" si="327"/>
        <v>0</v>
      </c>
      <c r="B5360" s="510" t="str">
        <f ca="1">IF(COUNTA(G$4308:G5359)=1,"",OFFSET(B5360,-COUNTA(G$4308:G5359)+1,0))</f>
        <v>a1b3p0000095SKaAAM</v>
      </c>
      <c r="C5360" s="512">
        <f ca="1">IF(COUNTA(G$4308:G5359)=1,"",OFFSET(C5360,-COUNTA(G$4308:G5359)+1,0))</f>
        <v>15</v>
      </c>
      <c r="D5360" s="497">
        <f t="shared" si="328"/>
        <v>570</v>
      </c>
      <c r="E5360" s="497">
        <f t="shared" ca="1" si="329"/>
        <v>6</v>
      </c>
      <c r="F5360" s="497">
        <f t="shared" ca="1" si="330"/>
        <v>23</v>
      </c>
      <c r="G5360" s="497"/>
      <c r="H5360" s="503" t="str">
        <f t="shared" ca="1" si="331"/>
        <v/>
      </c>
      <c r="I5360" s="503" t="str">
        <f t="shared" ca="1" si="332"/>
        <v/>
      </c>
      <c r="J5360" s="503" t="str">
        <f t="shared" ca="1" si="333"/>
        <v/>
      </c>
      <c r="K5360" s="503" t="str">
        <f t="shared" ca="1" si="334"/>
        <v/>
      </c>
      <c r="L5360" s="497"/>
      <c r="M5360" s="497"/>
      <c r="N5360" s="497"/>
      <c r="O5360" s="497"/>
      <c r="P5360" s="497">
        <f t="shared" si="335"/>
        <v>0</v>
      </c>
      <c r="Q5360" s="497"/>
    </row>
    <row r="5361" spans="1:17" x14ac:dyDescent="0.35">
      <c r="A5361" s="497" t="b">
        <f t="shared" ca="1" si="327"/>
        <v>0</v>
      </c>
      <c r="B5361" s="510" t="str">
        <f ca="1">IF(COUNTA(G$4308:G5360)=1,"",OFFSET(B5361,-COUNTA(G$4308:G5360)+1,0))</f>
        <v>a1b3p0000095S7hAAE</v>
      </c>
      <c r="C5361" s="512">
        <f ca="1">IF(COUNTA(G$4308:G5360)=1,"",OFFSET(C5361,-COUNTA(G$4308:G5360)+1,0))</f>
        <v>16</v>
      </c>
      <c r="D5361" s="497">
        <f t="shared" si="328"/>
        <v>571</v>
      </c>
      <c r="E5361" s="497">
        <f t="shared" ca="1" si="329"/>
        <v>1</v>
      </c>
      <c r="F5361" s="497">
        <f t="shared" ca="1" si="330"/>
        <v>24</v>
      </c>
      <c r="G5361" s="497"/>
      <c r="H5361" s="503" t="str">
        <f t="shared" ca="1" si="331"/>
        <v/>
      </c>
      <c r="I5361" s="503" t="str">
        <f t="shared" ca="1" si="332"/>
        <v/>
      </c>
      <c r="J5361" s="503" t="str">
        <f t="shared" ca="1" si="333"/>
        <v/>
      </c>
      <c r="K5361" s="503" t="str">
        <f t="shared" ca="1" si="334"/>
        <v/>
      </c>
      <c r="L5361" s="497"/>
      <c r="M5361" s="497"/>
      <c r="N5361" s="497"/>
      <c r="O5361" s="497"/>
      <c r="P5361" s="497">
        <f t="shared" si="335"/>
        <v>0</v>
      </c>
      <c r="Q5361" s="497"/>
    </row>
    <row r="5362" spans="1:17" x14ac:dyDescent="0.35">
      <c r="A5362" s="497" t="b">
        <f t="shared" ca="1" si="327"/>
        <v>0</v>
      </c>
      <c r="B5362" s="510" t="str">
        <f ca="1">IF(COUNTA(G$4308:G5361)=1,"",OFFSET(B5362,-COUNTA(G$4308:G5361)+1,0))</f>
        <v>a1b3p0000095SAHAA2</v>
      </c>
      <c r="C5362" s="512">
        <f ca="1">IF(COUNTA(G$4308:G5361)=1,"",OFFSET(C5362,-COUNTA(G$4308:G5361)+1,0))</f>
        <v>16</v>
      </c>
      <c r="D5362" s="497">
        <f t="shared" si="328"/>
        <v>572</v>
      </c>
      <c r="E5362" s="497">
        <f t="shared" ca="1" si="329"/>
        <v>2</v>
      </c>
      <c r="F5362" s="497">
        <f t="shared" ca="1" si="330"/>
        <v>24</v>
      </c>
      <c r="G5362" s="497"/>
      <c r="H5362" s="503" t="str">
        <f t="shared" ca="1" si="331"/>
        <v/>
      </c>
      <c r="I5362" s="503" t="str">
        <f t="shared" ca="1" si="332"/>
        <v/>
      </c>
      <c r="J5362" s="503" t="str">
        <f t="shared" ca="1" si="333"/>
        <v/>
      </c>
      <c r="K5362" s="503" t="str">
        <f t="shared" ca="1" si="334"/>
        <v/>
      </c>
      <c r="L5362" s="497"/>
      <c r="M5362" s="497"/>
      <c r="N5362" s="497"/>
      <c r="O5362" s="497"/>
      <c r="P5362" s="497">
        <f t="shared" si="335"/>
        <v>0</v>
      </c>
      <c r="Q5362" s="497"/>
    </row>
    <row r="5363" spans="1:17" x14ac:dyDescent="0.35">
      <c r="A5363" s="497" t="b">
        <f t="shared" ca="1" si="327"/>
        <v>0</v>
      </c>
      <c r="B5363" s="510" t="str">
        <f ca="1">IF(COUNTA(G$4308:G5362)=1,"",OFFSET(B5363,-COUNTA(G$4308:G5362)+1,0))</f>
        <v>a1b3p0000095SCrAAM</v>
      </c>
      <c r="C5363" s="512">
        <f ca="1">IF(COUNTA(G$4308:G5362)=1,"",OFFSET(C5363,-COUNTA(G$4308:G5362)+1,0))</f>
        <v>16</v>
      </c>
      <c r="D5363" s="497">
        <f t="shared" si="328"/>
        <v>573</v>
      </c>
      <c r="E5363" s="497">
        <f t="shared" ca="1" si="329"/>
        <v>3</v>
      </c>
      <c r="F5363" s="497">
        <f t="shared" ca="1" si="330"/>
        <v>24</v>
      </c>
      <c r="G5363" s="497"/>
      <c r="H5363" s="503" t="str">
        <f t="shared" ca="1" si="331"/>
        <v/>
      </c>
      <c r="I5363" s="503" t="str">
        <f t="shared" ca="1" si="332"/>
        <v/>
      </c>
      <c r="J5363" s="503" t="str">
        <f t="shared" ca="1" si="333"/>
        <v/>
      </c>
      <c r="K5363" s="503" t="str">
        <f t="shared" ca="1" si="334"/>
        <v/>
      </c>
      <c r="L5363" s="497"/>
      <c r="M5363" s="497"/>
      <c r="N5363" s="497"/>
      <c r="O5363" s="497"/>
      <c r="P5363" s="497">
        <f t="shared" si="335"/>
        <v>0</v>
      </c>
      <c r="Q5363" s="497"/>
    </row>
    <row r="5364" spans="1:17" x14ac:dyDescent="0.35">
      <c r="A5364" s="497" t="b">
        <f t="shared" ca="1" si="327"/>
        <v>0</v>
      </c>
      <c r="B5364" s="510" t="str">
        <f ca="1">IF(COUNTA(G$4308:G5363)=1,"",OFFSET(B5364,-COUNTA(G$4308:G5363)+1,0))</f>
        <v>a1b3p0000095SFRAA2</v>
      </c>
      <c r="C5364" s="512">
        <f ca="1">IF(COUNTA(G$4308:G5363)=1,"",OFFSET(C5364,-COUNTA(G$4308:G5363)+1,0))</f>
        <v>16</v>
      </c>
      <c r="D5364" s="497">
        <f t="shared" si="328"/>
        <v>574</v>
      </c>
      <c r="E5364" s="497">
        <f t="shared" ca="1" si="329"/>
        <v>4</v>
      </c>
      <c r="F5364" s="497">
        <f t="shared" ca="1" si="330"/>
        <v>24</v>
      </c>
      <c r="G5364" s="497"/>
      <c r="H5364" s="503" t="str">
        <f t="shared" ca="1" si="331"/>
        <v/>
      </c>
      <c r="I5364" s="503" t="str">
        <f t="shared" ca="1" si="332"/>
        <v/>
      </c>
      <c r="J5364" s="503" t="str">
        <f t="shared" ca="1" si="333"/>
        <v/>
      </c>
      <c r="K5364" s="503" t="str">
        <f t="shared" ca="1" si="334"/>
        <v/>
      </c>
      <c r="L5364" s="497"/>
      <c r="M5364" s="497"/>
      <c r="N5364" s="497"/>
      <c r="O5364" s="497"/>
      <c r="P5364" s="497">
        <f t="shared" si="335"/>
        <v>0</v>
      </c>
      <c r="Q5364" s="497"/>
    </row>
    <row r="5365" spans="1:17" x14ac:dyDescent="0.35">
      <c r="A5365" s="497" t="b">
        <f t="shared" ca="1" si="327"/>
        <v>0</v>
      </c>
      <c r="B5365" s="510" t="str">
        <f ca="1">IF(COUNTA(G$4308:G5364)=1,"",OFFSET(B5365,-COUNTA(G$4308:G5364)+1,0))</f>
        <v>a1b3p0000095SI1AAM</v>
      </c>
      <c r="C5365" s="512">
        <f ca="1">IF(COUNTA(G$4308:G5364)=1,"",OFFSET(C5365,-COUNTA(G$4308:G5364)+1,0))</f>
        <v>16</v>
      </c>
      <c r="D5365" s="497">
        <f t="shared" si="328"/>
        <v>575</v>
      </c>
      <c r="E5365" s="497">
        <f t="shared" ca="1" si="329"/>
        <v>5</v>
      </c>
      <c r="F5365" s="497">
        <f t="shared" ca="1" si="330"/>
        <v>24</v>
      </c>
      <c r="G5365" s="497"/>
      <c r="H5365" s="503" t="str">
        <f t="shared" ca="1" si="331"/>
        <v/>
      </c>
      <c r="I5365" s="503" t="str">
        <f t="shared" ca="1" si="332"/>
        <v/>
      </c>
      <c r="J5365" s="503" t="str">
        <f t="shared" ca="1" si="333"/>
        <v/>
      </c>
      <c r="K5365" s="503" t="str">
        <f t="shared" ca="1" si="334"/>
        <v/>
      </c>
      <c r="L5365" s="497"/>
      <c r="M5365" s="497"/>
      <c r="N5365" s="497"/>
      <c r="O5365" s="497"/>
      <c r="P5365" s="497">
        <f t="shared" si="335"/>
        <v>0</v>
      </c>
      <c r="Q5365" s="497"/>
    </row>
    <row r="5366" spans="1:17" x14ac:dyDescent="0.35">
      <c r="A5366" s="497" t="b">
        <f t="shared" ca="1" si="327"/>
        <v>0</v>
      </c>
      <c r="B5366" s="510" t="str">
        <f ca="1">IF(COUNTA(G$4308:G5365)=1,"",OFFSET(B5366,-COUNTA(G$4308:G5365)+1,0))</f>
        <v>a1b3p0000095SKbAAM</v>
      </c>
      <c r="C5366" s="512">
        <f ca="1">IF(COUNTA(G$4308:G5365)=1,"",OFFSET(C5366,-COUNTA(G$4308:G5365)+1,0))</f>
        <v>16</v>
      </c>
      <c r="D5366" s="497">
        <f t="shared" si="328"/>
        <v>576</v>
      </c>
      <c r="E5366" s="497">
        <f t="shared" ca="1" si="329"/>
        <v>6</v>
      </c>
      <c r="F5366" s="497">
        <f t="shared" ca="1" si="330"/>
        <v>24</v>
      </c>
      <c r="G5366" s="497"/>
      <c r="H5366" s="503" t="str">
        <f t="shared" ca="1" si="331"/>
        <v/>
      </c>
      <c r="I5366" s="503" t="str">
        <f t="shared" ca="1" si="332"/>
        <v/>
      </c>
      <c r="J5366" s="503" t="str">
        <f t="shared" ca="1" si="333"/>
        <v/>
      </c>
      <c r="K5366" s="503" t="str">
        <f t="shared" ca="1" si="334"/>
        <v/>
      </c>
      <c r="L5366" s="497"/>
      <c r="M5366" s="497"/>
      <c r="N5366" s="497"/>
      <c r="O5366" s="497"/>
      <c r="P5366" s="497">
        <f t="shared" si="335"/>
        <v>0</v>
      </c>
      <c r="Q5366" s="497"/>
    </row>
    <row r="5367" spans="1:17" x14ac:dyDescent="0.35">
      <c r="A5367" s="497" t="b">
        <f t="shared" ca="1" si="327"/>
        <v>0</v>
      </c>
      <c r="B5367" s="510" t="str">
        <f ca="1">IF(COUNTA(G$4308:G5366)=1,"",OFFSET(B5367,-COUNTA(G$4308:G5366)+1,0))</f>
        <v>a1b3p0000095S7iAAE</v>
      </c>
      <c r="C5367" s="512">
        <f ca="1">IF(COUNTA(G$4308:G5366)=1,"",OFFSET(C5367,-COUNTA(G$4308:G5366)+1,0))</f>
        <v>17</v>
      </c>
      <c r="D5367" s="497">
        <f t="shared" si="328"/>
        <v>577</v>
      </c>
      <c r="E5367" s="497">
        <f t="shared" ca="1" si="329"/>
        <v>1</v>
      </c>
      <c r="F5367" s="497">
        <f t="shared" ca="1" si="330"/>
        <v>25</v>
      </c>
      <c r="G5367" s="497"/>
      <c r="H5367" s="503" t="str">
        <f t="shared" ca="1" si="331"/>
        <v/>
      </c>
      <c r="I5367" s="503" t="str">
        <f t="shared" ca="1" si="332"/>
        <v/>
      </c>
      <c r="J5367" s="503" t="str">
        <f t="shared" ca="1" si="333"/>
        <v/>
      </c>
      <c r="K5367" s="503" t="str">
        <f t="shared" ca="1" si="334"/>
        <v/>
      </c>
      <c r="L5367" s="497"/>
      <c r="M5367" s="497"/>
      <c r="N5367" s="497"/>
      <c r="O5367" s="497"/>
      <c r="P5367" s="497">
        <f t="shared" si="335"/>
        <v>0</v>
      </c>
      <c r="Q5367" s="497"/>
    </row>
    <row r="5368" spans="1:17" x14ac:dyDescent="0.35">
      <c r="A5368" s="497" t="b">
        <f t="shared" ca="1" si="327"/>
        <v>0</v>
      </c>
      <c r="B5368" s="510" t="str">
        <f ca="1">IF(COUNTA(G$4308:G5367)=1,"",OFFSET(B5368,-COUNTA(G$4308:G5367)+1,0))</f>
        <v>a1b3p0000095SAIAA2</v>
      </c>
      <c r="C5368" s="512">
        <f ca="1">IF(COUNTA(G$4308:G5367)=1,"",OFFSET(C5368,-COUNTA(G$4308:G5367)+1,0))</f>
        <v>17</v>
      </c>
      <c r="D5368" s="497">
        <f t="shared" si="328"/>
        <v>578</v>
      </c>
      <c r="E5368" s="497">
        <f t="shared" ca="1" si="329"/>
        <v>2</v>
      </c>
      <c r="F5368" s="497">
        <f t="shared" ca="1" si="330"/>
        <v>25</v>
      </c>
      <c r="G5368" s="497"/>
      <c r="H5368" s="503" t="str">
        <f t="shared" ca="1" si="331"/>
        <v/>
      </c>
      <c r="I5368" s="503" t="str">
        <f t="shared" ca="1" si="332"/>
        <v/>
      </c>
      <c r="J5368" s="503" t="str">
        <f t="shared" ca="1" si="333"/>
        <v/>
      </c>
      <c r="K5368" s="503" t="str">
        <f t="shared" ca="1" si="334"/>
        <v/>
      </c>
      <c r="L5368" s="497"/>
      <c r="M5368" s="497"/>
      <c r="N5368" s="497"/>
      <c r="O5368" s="497"/>
      <c r="P5368" s="497">
        <f t="shared" si="335"/>
        <v>0</v>
      </c>
      <c r="Q5368" s="497"/>
    </row>
    <row r="5369" spans="1:17" x14ac:dyDescent="0.35">
      <c r="A5369" s="497" t="b">
        <f t="shared" ca="1" si="327"/>
        <v>0</v>
      </c>
      <c r="B5369" s="510" t="str">
        <f ca="1">IF(COUNTA(G$4308:G5368)=1,"",OFFSET(B5369,-COUNTA(G$4308:G5368)+1,0))</f>
        <v>a1b3p0000095SCsAAM</v>
      </c>
      <c r="C5369" s="512">
        <f ca="1">IF(COUNTA(G$4308:G5368)=1,"",OFFSET(C5369,-COUNTA(G$4308:G5368)+1,0))</f>
        <v>17</v>
      </c>
      <c r="D5369" s="497">
        <f t="shared" si="328"/>
        <v>579</v>
      </c>
      <c r="E5369" s="497">
        <f t="shared" ca="1" si="329"/>
        <v>3</v>
      </c>
      <c r="F5369" s="497">
        <f t="shared" ca="1" si="330"/>
        <v>25</v>
      </c>
      <c r="G5369" s="497"/>
      <c r="H5369" s="503" t="str">
        <f t="shared" ca="1" si="331"/>
        <v/>
      </c>
      <c r="I5369" s="503" t="str">
        <f t="shared" ca="1" si="332"/>
        <v/>
      </c>
      <c r="J5369" s="503" t="str">
        <f t="shared" ca="1" si="333"/>
        <v/>
      </c>
      <c r="K5369" s="503" t="str">
        <f t="shared" ca="1" si="334"/>
        <v/>
      </c>
      <c r="L5369" s="497"/>
      <c r="M5369" s="497"/>
      <c r="N5369" s="497"/>
      <c r="O5369" s="497"/>
      <c r="P5369" s="497">
        <f t="shared" si="335"/>
        <v>0</v>
      </c>
      <c r="Q5369" s="497"/>
    </row>
    <row r="5370" spans="1:17" x14ac:dyDescent="0.35">
      <c r="A5370" s="497" t="b">
        <f t="shared" ca="1" si="327"/>
        <v>0</v>
      </c>
      <c r="B5370" s="510" t="str">
        <f ca="1">IF(COUNTA(G$4308:G5369)=1,"",OFFSET(B5370,-COUNTA(G$4308:G5369)+1,0))</f>
        <v>a1b3p0000095SFSAA2</v>
      </c>
      <c r="C5370" s="512">
        <f ca="1">IF(COUNTA(G$4308:G5369)=1,"",OFFSET(C5370,-COUNTA(G$4308:G5369)+1,0))</f>
        <v>17</v>
      </c>
      <c r="D5370" s="497">
        <f t="shared" si="328"/>
        <v>580</v>
      </c>
      <c r="E5370" s="497">
        <f t="shared" ca="1" si="329"/>
        <v>4</v>
      </c>
      <c r="F5370" s="497">
        <f t="shared" ca="1" si="330"/>
        <v>25</v>
      </c>
      <c r="G5370" s="497"/>
      <c r="H5370" s="503" t="str">
        <f t="shared" ca="1" si="331"/>
        <v/>
      </c>
      <c r="I5370" s="503" t="str">
        <f t="shared" ca="1" si="332"/>
        <v/>
      </c>
      <c r="J5370" s="503" t="str">
        <f t="shared" ca="1" si="333"/>
        <v/>
      </c>
      <c r="K5370" s="503" t="str">
        <f t="shared" ca="1" si="334"/>
        <v/>
      </c>
      <c r="L5370" s="497"/>
      <c r="M5370" s="497"/>
      <c r="N5370" s="497"/>
      <c r="O5370" s="497"/>
      <c r="P5370" s="497">
        <f t="shared" si="335"/>
        <v>0</v>
      </c>
      <c r="Q5370" s="497"/>
    </row>
    <row r="5371" spans="1:17" x14ac:dyDescent="0.35">
      <c r="A5371" s="497" t="b">
        <f t="shared" ca="1" si="327"/>
        <v>0</v>
      </c>
      <c r="B5371" s="510" t="str">
        <f ca="1">IF(COUNTA(G$4308:G5370)=1,"",OFFSET(B5371,-COUNTA(G$4308:G5370)+1,0))</f>
        <v>a1b3p0000095SI2AAM</v>
      </c>
      <c r="C5371" s="512">
        <f ca="1">IF(COUNTA(G$4308:G5370)=1,"",OFFSET(C5371,-COUNTA(G$4308:G5370)+1,0))</f>
        <v>17</v>
      </c>
      <c r="D5371" s="497">
        <f t="shared" si="328"/>
        <v>581</v>
      </c>
      <c r="E5371" s="497">
        <f t="shared" ca="1" si="329"/>
        <v>5</v>
      </c>
      <c r="F5371" s="497">
        <f t="shared" ca="1" si="330"/>
        <v>25</v>
      </c>
      <c r="G5371" s="497"/>
      <c r="H5371" s="503" t="str">
        <f t="shared" ca="1" si="331"/>
        <v/>
      </c>
      <c r="I5371" s="503" t="str">
        <f t="shared" ca="1" si="332"/>
        <v/>
      </c>
      <c r="J5371" s="503" t="str">
        <f t="shared" ca="1" si="333"/>
        <v/>
      </c>
      <c r="K5371" s="503" t="str">
        <f t="shared" ca="1" si="334"/>
        <v/>
      </c>
      <c r="L5371" s="497"/>
      <c r="M5371" s="497"/>
      <c r="N5371" s="497"/>
      <c r="O5371" s="497"/>
      <c r="P5371" s="497">
        <f t="shared" si="335"/>
        <v>0</v>
      </c>
      <c r="Q5371" s="497"/>
    </row>
    <row r="5372" spans="1:17" x14ac:dyDescent="0.35">
      <c r="A5372" s="497" t="b">
        <f t="shared" ca="1" si="327"/>
        <v>0</v>
      </c>
      <c r="B5372" s="510" t="str">
        <f ca="1">IF(COUNTA(G$4308:G5371)=1,"",OFFSET(B5372,-COUNTA(G$4308:G5371)+1,0))</f>
        <v>a1b3p0000095SKcAAM</v>
      </c>
      <c r="C5372" s="512">
        <f ca="1">IF(COUNTA(G$4308:G5371)=1,"",OFFSET(C5372,-COUNTA(G$4308:G5371)+1,0))</f>
        <v>17</v>
      </c>
      <c r="D5372" s="497">
        <f t="shared" si="328"/>
        <v>582</v>
      </c>
      <c r="E5372" s="497">
        <f t="shared" ca="1" si="329"/>
        <v>6</v>
      </c>
      <c r="F5372" s="497">
        <f t="shared" ca="1" si="330"/>
        <v>25</v>
      </c>
      <c r="G5372" s="497"/>
      <c r="H5372" s="503" t="str">
        <f t="shared" ca="1" si="331"/>
        <v/>
      </c>
      <c r="I5372" s="503" t="str">
        <f t="shared" ca="1" si="332"/>
        <v/>
      </c>
      <c r="J5372" s="503" t="str">
        <f t="shared" ca="1" si="333"/>
        <v/>
      </c>
      <c r="K5372" s="503" t="str">
        <f t="shared" ca="1" si="334"/>
        <v/>
      </c>
      <c r="L5372" s="497"/>
      <c r="M5372" s="497"/>
      <c r="N5372" s="497"/>
      <c r="O5372" s="497"/>
      <c r="P5372" s="497">
        <f t="shared" si="335"/>
        <v>0</v>
      </c>
      <c r="Q5372" s="497"/>
    </row>
    <row r="5373" spans="1:17" x14ac:dyDescent="0.35">
      <c r="A5373" s="497" t="b">
        <f t="shared" ca="1" si="327"/>
        <v>0</v>
      </c>
      <c r="B5373" s="510" t="str">
        <f ca="1">IF(COUNTA(G$4308:G5372)=1,"",OFFSET(B5373,-COUNTA(G$4308:G5372)+1,0))</f>
        <v>a1b3p0000095S7jAAE</v>
      </c>
      <c r="C5373" s="512">
        <f ca="1">IF(COUNTA(G$4308:G5372)=1,"",OFFSET(C5373,-COUNTA(G$4308:G5372)+1,0))</f>
        <v>18</v>
      </c>
      <c r="D5373" s="497">
        <f t="shared" si="328"/>
        <v>583</v>
      </c>
      <c r="E5373" s="497">
        <f t="shared" ca="1" si="329"/>
        <v>1</v>
      </c>
      <c r="F5373" s="497">
        <f t="shared" ca="1" si="330"/>
        <v>26</v>
      </c>
      <c r="G5373" s="497"/>
      <c r="H5373" s="503" t="str">
        <f t="shared" ca="1" si="331"/>
        <v/>
      </c>
      <c r="I5373" s="503" t="str">
        <f t="shared" ca="1" si="332"/>
        <v/>
      </c>
      <c r="J5373" s="503" t="str">
        <f t="shared" ca="1" si="333"/>
        <v/>
      </c>
      <c r="K5373" s="503" t="str">
        <f t="shared" ca="1" si="334"/>
        <v/>
      </c>
      <c r="L5373" s="497"/>
      <c r="M5373" s="497"/>
      <c r="N5373" s="497"/>
      <c r="O5373" s="497"/>
      <c r="P5373" s="497">
        <f t="shared" si="335"/>
        <v>0</v>
      </c>
      <c r="Q5373" s="497"/>
    </row>
    <row r="5374" spans="1:17" x14ac:dyDescent="0.35">
      <c r="A5374" s="497" t="b">
        <f t="shared" ca="1" si="327"/>
        <v>0</v>
      </c>
      <c r="B5374" s="510" t="str">
        <f ca="1">IF(COUNTA(G$4308:G5373)=1,"",OFFSET(B5374,-COUNTA(G$4308:G5373)+1,0))</f>
        <v>a1b3p0000095SAJAA2</v>
      </c>
      <c r="C5374" s="512">
        <f ca="1">IF(COUNTA(G$4308:G5373)=1,"",OFFSET(C5374,-COUNTA(G$4308:G5373)+1,0))</f>
        <v>18</v>
      </c>
      <c r="D5374" s="497">
        <f t="shared" si="328"/>
        <v>584</v>
      </c>
      <c r="E5374" s="497">
        <f t="shared" ca="1" si="329"/>
        <v>2</v>
      </c>
      <c r="F5374" s="497">
        <f t="shared" ca="1" si="330"/>
        <v>26</v>
      </c>
      <c r="G5374" s="497"/>
      <c r="H5374" s="503" t="str">
        <f t="shared" ca="1" si="331"/>
        <v/>
      </c>
      <c r="I5374" s="503" t="str">
        <f t="shared" ca="1" si="332"/>
        <v/>
      </c>
      <c r="J5374" s="503" t="str">
        <f t="shared" ca="1" si="333"/>
        <v/>
      </c>
      <c r="K5374" s="503" t="str">
        <f t="shared" ca="1" si="334"/>
        <v/>
      </c>
      <c r="L5374" s="497"/>
      <c r="M5374" s="497"/>
      <c r="N5374" s="497"/>
      <c r="O5374" s="497"/>
      <c r="P5374" s="497">
        <f t="shared" si="335"/>
        <v>0</v>
      </c>
      <c r="Q5374" s="497"/>
    </row>
    <row r="5375" spans="1:17" x14ac:dyDescent="0.35">
      <c r="A5375" s="497" t="b">
        <f t="shared" ca="1" si="327"/>
        <v>0</v>
      </c>
      <c r="B5375" s="510" t="str">
        <f ca="1">IF(COUNTA(G$4308:G5374)=1,"",OFFSET(B5375,-COUNTA(G$4308:G5374)+1,0))</f>
        <v>a1b3p0000095SCtAAM</v>
      </c>
      <c r="C5375" s="512">
        <f ca="1">IF(COUNTA(G$4308:G5374)=1,"",OFFSET(C5375,-COUNTA(G$4308:G5374)+1,0))</f>
        <v>18</v>
      </c>
      <c r="D5375" s="497">
        <f t="shared" si="328"/>
        <v>585</v>
      </c>
      <c r="E5375" s="497">
        <f t="shared" ca="1" si="329"/>
        <v>3</v>
      </c>
      <c r="F5375" s="497">
        <f t="shared" ca="1" si="330"/>
        <v>26</v>
      </c>
      <c r="G5375" s="497"/>
      <c r="H5375" s="503" t="str">
        <f t="shared" ca="1" si="331"/>
        <v/>
      </c>
      <c r="I5375" s="503" t="str">
        <f t="shared" ca="1" si="332"/>
        <v/>
      </c>
      <c r="J5375" s="503" t="str">
        <f t="shared" ca="1" si="333"/>
        <v/>
      </c>
      <c r="K5375" s="503" t="str">
        <f t="shared" ca="1" si="334"/>
        <v/>
      </c>
      <c r="L5375" s="497"/>
      <c r="M5375" s="497"/>
      <c r="N5375" s="497"/>
      <c r="O5375" s="497"/>
      <c r="P5375" s="497">
        <f t="shared" si="335"/>
        <v>0</v>
      </c>
      <c r="Q5375" s="497"/>
    </row>
    <row r="5376" spans="1:17" x14ac:dyDescent="0.35">
      <c r="A5376" s="497" t="b">
        <f t="shared" ca="1" si="327"/>
        <v>0</v>
      </c>
      <c r="B5376" s="510" t="str">
        <f ca="1">IF(COUNTA(G$4308:G5375)=1,"",OFFSET(B5376,-COUNTA(G$4308:G5375)+1,0))</f>
        <v>a1b3p0000095SFTAA2</v>
      </c>
      <c r="C5376" s="512">
        <f ca="1">IF(COUNTA(G$4308:G5375)=1,"",OFFSET(C5376,-COUNTA(G$4308:G5375)+1,0))</f>
        <v>18</v>
      </c>
      <c r="D5376" s="497">
        <f t="shared" si="328"/>
        <v>586</v>
      </c>
      <c r="E5376" s="497">
        <f t="shared" ca="1" si="329"/>
        <v>4</v>
      </c>
      <c r="F5376" s="497">
        <f t="shared" ca="1" si="330"/>
        <v>26</v>
      </c>
      <c r="G5376" s="497"/>
      <c r="H5376" s="503" t="str">
        <f t="shared" ca="1" si="331"/>
        <v/>
      </c>
      <c r="I5376" s="503" t="str">
        <f t="shared" ca="1" si="332"/>
        <v/>
      </c>
      <c r="J5376" s="503" t="str">
        <f t="shared" ca="1" si="333"/>
        <v/>
      </c>
      <c r="K5376" s="503" t="str">
        <f t="shared" ca="1" si="334"/>
        <v/>
      </c>
      <c r="L5376" s="497"/>
      <c r="M5376" s="497"/>
      <c r="N5376" s="497"/>
      <c r="O5376" s="497"/>
      <c r="P5376" s="497">
        <f t="shared" si="335"/>
        <v>0</v>
      </c>
      <c r="Q5376" s="497"/>
    </row>
    <row r="5377" spans="1:17" x14ac:dyDescent="0.35">
      <c r="A5377" s="497" t="b">
        <f t="shared" ca="1" si="327"/>
        <v>0</v>
      </c>
      <c r="B5377" s="510" t="str">
        <f ca="1">IF(COUNTA(G$4308:G5376)=1,"",OFFSET(B5377,-COUNTA(G$4308:G5376)+1,0))</f>
        <v>a1b3p0000095SI3AAM</v>
      </c>
      <c r="C5377" s="512">
        <f ca="1">IF(COUNTA(G$4308:G5376)=1,"",OFFSET(C5377,-COUNTA(G$4308:G5376)+1,0))</f>
        <v>18</v>
      </c>
      <c r="D5377" s="497">
        <f t="shared" si="328"/>
        <v>587</v>
      </c>
      <c r="E5377" s="497">
        <f t="shared" ca="1" si="329"/>
        <v>5</v>
      </c>
      <c r="F5377" s="497">
        <f t="shared" ca="1" si="330"/>
        <v>26</v>
      </c>
      <c r="G5377" s="497"/>
      <c r="H5377" s="503" t="str">
        <f t="shared" ca="1" si="331"/>
        <v/>
      </c>
      <c r="I5377" s="503" t="str">
        <f t="shared" ca="1" si="332"/>
        <v/>
      </c>
      <c r="J5377" s="503" t="str">
        <f t="shared" ca="1" si="333"/>
        <v/>
      </c>
      <c r="K5377" s="503" t="str">
        <f t="shared" ca="1" si="334"/>
        <v/>
      </c>
      <c r="L5377" s="497"/>
      <c r="M5377" s="497"/>
      <c r="N5377" s="497"/>
      <c r="O5377" s="497"/>
      <c r="P5377" s="497">
        <f t="shared" si="335"/>
        <v>0</v>
      </c>
      <c r="Q5377" s="497"/>
    </row>
    <row r="5378" spans="1:17" x14ac:dyDescent="0.35">
      <c r="A5378" s="497" t="b">
        <f t="shared" ca="1" si="327"/>
        <v>0</v>
      </c>
      <c r="B5378" s="510" t="str">
        <f ca="1">IF(COUNTA(G$4308:G5377)=1,"",OFFSET(B5378,-COUNTA(G$4308:G5377)+1,0))</f>
        <v>a1b3p0000095SKdAAM</v>
      </c>
      <c r="C5378" s="512">
        <f ca="1">IF(COUNTA(G$4308:G5377)=1,"",OFFSET(C5378,-COUNTA(G$4308:G5377)+1,0))</f>
        <v>18</v>
      </c>
      <c r="D5378" s="497">
        <f t="shared" si="328"/>
        <v>588</v>
      </c>
      <c r="E5378" s="497">
        <f t="shared" ca="1" si="329"/>
        <v>6</v>
      </c>
      <c r="F5378" s="497">
        <f t="shared" ca="1" si="330"/>
        <v>26</v>
      </c>
      <c r="G5378" s="497"/>
      <c r="H5378" s="503" t="str">
        <f t="shared" ca="1" si="331"/>
        <v/>
      </c>
      <c r="I5378" s="503" t="str">
        <f t="shared" ca="1" si="332"/>
        <v/>
      </c>
      <c r="J5378" s="503" t="str">
        <f t="shared" ca="1" si="333"/>
        <v/>
      </c>
      <c r="K5378" s="503" t="str">
        <f t="shared" ca="1" si="334"/>
        <v/>
      </c>
      <c r="L5378" s="497"/>
      <c r="M5378" s="497"/>
      <c r="N5378" s="497"/>
      <c r="O5378" s="497"/>
      <c r="P5378" s="497">
        <f t="shared" si="335"/>
        <v>0</v>
      </c>
      <c r="Q5378" s="497"/>
    </row>
    <row r="5379" spans="1:17" x14ac:dyDescent="0.35">
      <c r="A5379" s="497" t="b">
        <f t="shared" ca="1" si="327"/>
        <v>0</v>
      </c>
      <c r="B5379" s="510" t="str">
        <f ca="1">IF(COUNTA(G$4308:G5378)=1,"",OFFSET(B5379,-COUNTA(G$4308:G5378)+1,0))</f>
        <v>a1b3p0000095S7kAAE</v>
      </c>
      <c r="C5379" s="512">
        <f ca="1">IF(COUNTA(G$4308:G5378)=1,"",OFFSET(C5379,-COUNTA(G$4308:G5378)+1,0))</f>
        <v>19</v>
      </c>
      <c r="D5379" s="497">
        <f t="shared" si="328"/>
        <v>589</v>
      </c>
      <c r="E5379" s="497">
        <f t="shared" ca="1" si="329"/>
        <v>1</v>
      </c>
      <c r="F5379" s="497">
        <f t="shared" ca="1" si="330"/>
        <v>27</v>
      </c>
      <c r="G5379" s="497"/>
      <c r="H5379" s="503" t="str">
        <f t="shared" ca="1" si="331"/>
        <v/>
      </c>
      <c r="I5379" s="503" t="str">
        <f t="shared" ca="1" si="332"/>
        <v/>
      </c>
      <c r="J5379" s="503" t="str">
        <f t="shared" ca="1" si="333"/>
        <v/>
      </c>
      <c r="K5379" s="503" t="str">
        <f t="shared" ca="1" si="334"/>
        <v/>
      </c>
      <c r="L5379" s="497"/>
      <c r="M5379" s="497"/>
      <c r="N5379" s="497"/>
      <c r="O5379" s="497"/>
      <c r="P5379" s="497">
        <f t="shared" si="335"/>
        <v>0</v>
      </c>
      <c r="Q5379" s="497"/>
    </row>
    <row r="5380" spans="1:17" x14ac:dyDescent="0.35">
      <c r="A5380" s="497" t="b">
        <f t="shared" ca="1" si="327"/>
        <v>0</v>
      </c>
      <c r="B5380" s="510" t="str">
        <f ca="1">IF(COUNTA(G$4308:G5379)=1,"",OFFSET(B5380,-COUNTA(G$4308:G5379)+1,0))</f>
        <v>a1b3p0000095SAKAA2</v>
      </c>
      <c r="C5380" s="512">
        <f ca="1">IF(COUNTA(G$4308:G5379)=1,"",OFFSET(C5380,-COUNTA(G$4308:G5379)+1,0))</f>
        <v>19</v>
      </c>
      <c r="D5380" s="497">
        <f t="shared" si="328"/>
        <v>590</v>
      </c>
      <c r="E5380" s="497">
        <f t="shared" ca="1" si="329"/>
        <v>2</v>
      </c>
      <c r="F5380" s="497">
        <f t="shared" ca="1" si="330"/>
        <v>27</v>
      </c>
      <c r="G5380" s="497"/>
      <c r="H5380" s="503" t="str">
        <f t="shared" ca="1" si="331"/>
        <v/>
      </c>
      <c r="I5380" s="503" t="str">
        <f t="shared" ca="1" si="332"/>
        <v/>
      </c>
      <c r="J5380" s="503" t="str">
        <f t="shared" ca="1" si="333"/>
        <v/>
      </c>
      <c r="K5380" s="503" t="str">
        <f t="shared" ca="1" si="334"/>
        <v/>
      </c>
      <c r="L5380" s="497"/>
      <c r="M5380" s="497"/>
      <c r="N5380" s="497"/>
      <c r="O5380" s="497"/>
      <c r="P5380" s="497">
        <f t="shared" si="335"/>
        <v>0</v>
      </c>
      <c r="Q5380" s="497"/>
    </row>
    <row r="5381" spans="1:17" x14ac:dyDescent="0.35">
      <c r="A5381" s="497" t="b">
        <f t="shared" ca="1" si="327"/>
        <v>0</v>
      </c>
      <c r="B5381" s="510" t="str">
        <f ca="1">IF(COUNTA(G$4308:G5380)=1,"",OFFSET(B5381,-COUNTA(G$4308:G5380)+1,0))</f>
        <v>a1b3p0000095SCuAAM</v>
      </c>
      <c r="C5381" s="512">
        <f ca="1">IF(COUNTA(G$4308:G5380)=1,"",OFFSET(C5381,-COUNTA(G$4308:G5380)+1,0))</f>
        <v>19</v>
      </c>
      <c r="D5381" s="497">
        <f t="shared" si="328"/>
        <v>591</v>
      </c>
      <c r="E5381" s="497">
        <f t="shared" ca="1" si="329"/>
        <v>3</v>
      </c>
      <c r="F5381" s="497">
        <f t="shared" ca="1" si="330"/>
        <v>27</v>
      </c>
      <c r="G5381" s="497"/>
      <c r="H5381" s="503" t="str">
        <f t="shared" ca="1" si="331"/>
        <v/>
      </c>
      <c r="I5381" s="503" t="str">
        <f t="shared" ca="1" si="332"/>
        <v/>
      </c>
      <c r="J5381" s="503" t="str">
        <f t="shared" ca="1" si="333"/>
        <v/>
      </c>
      <c r="K5381" s="503" t="str">
        <f t="shared" ca="1" si="334"/>
        <v/>
      </c>
      <c r="L5381" s="497"/>
      <c r="M5381" s="497"/>
      <c r="N5381" s="497"/>
      <c r="O5381" s="497"/>
      <c r="P5381" s="497">
        <f t="shared" si="335"/>
        <v>0</v>
      </c>
      <c r="Q5381" s="497"/>
    </row>
    <row r="5382" spans="1:17" x14ac:dyDescent="0.35">
      <c r="A5382" s="497" t="b">
        <f t="shared" ca="1" si="327"/>
        <v>0</v>
      </c>
      <c r="B5382" s="510" t="str">
        <f ca="1">IF(COUNTA(G$4308:G5381)=1,"",OFFSET(B5382,-COUNTA(G$4308:G5381)+1,0))</f>
        <v>a1b3p0000095SFUAA2</v>
      </c>
      <c r="C5382" s="512">
        <f ca="1">IF(COUNTA(G$4308:G5381)=1,"",OFFSET(C5382,-COUNTA(G$4308:G5381)+1,0))</f>
        <v>19</v>
      </c>
      <c r="D5382" s="497">
        <f t="shared" si="328"/>
        <v>592</v>
      </c>
      <c r="E5382" s="497">
        <f t="shared" ca="1" si="329"/>
        <v>4</v>
      </c>
      <c r="F5382" s="497">
        <f t="shared" ca="1" si="330"/>
        <v>27</v>
      </c>
      <c r="G5382" s="497"/>
      <c r="H5382" s="503" t="str">
        <f t="shared" ca="1" si="331"/>
        <v/>
      </c>
      <c r="I5382" s="503" t="str">
        <f t="shared" ca="1" si="332"/>
        <v/>
      </c>
      <c r="J5382" s="503" t="str">
        <f t="shared" ca="1" si="333"/>
        <v/>
      </c>
      <c r="K5382" s="503" t="str">
        <f t="shared" ca="1" si="334"/>
        <v/>
      </c>
      <c r="L5382" s="497"/>
      <c r="M5382" s="497"/>
      <c r="N5382" s="497"/>
      <c r="O5382" s="497"/>
      <c r="P5382" s="497">
        <f t="shared" si="335"/>
        <v>0</v>
      </c>
      <c r="Q5382" s="497"/>
    </row>
    <row r="5383" spans="1:17" x14ac:dyDescent="0.35">
      <c r="A5383" s="497" t="b">
        <f t="shared" ca="1" si="327"/>
        <v>0</v>
      </c>
      <c r="B5383" s="510" t="str">
        <f ca="1">IF(COUNTA(G$4308:G5382)=1,"",OFFSET(B5383,-COUNTA(G$4308:G5382)+1,0))</f>
        <v>a1b3p0000095SI4AAM</v>
      </c>
      <c r="C5383" s="512">
        <f ca="1">IF(COUNTA(G$4308:G5382)=1,"",OFFSET(C5383,-COUNTA(G$4308:G5382)+1,0))</f>
        <v>19</v>
      </c>
      <c r="D5383" s="497">
        <f t="shared" si="328"/>
        <v>593</v>
      </c>
      <c r="E5383" s="497">
        <f t="shared" ca="1" si="329"/>
        <v>5</v>
      </c>
      <c r="F5383" s="497">
        <f t="shared" ca="1" si="330"/>
        <v>27</v>
      </c>
      <c r="G5383" s="497"/>
      <c r="H5383" s="503" t="str">
        <f t="shared" ca="1" si="331"/>
        <v/>
      </c>
      <c r="I5383" s="503" t="str">
        <f t="shared" ca="1" si="332"/>
        <v/>
      </c>
      <c r="J5383" s="503" t="str">
        <f t="shared" ca="1" si="333"/>
        <v/>
      </c>
      <c r="K5383" s="503" t="str">
        <f t="shared" ca="1" si="334"/>
        <v/>
      </c>
      <c r="L5383" s="497"/>
      <c r="M5383" s="497"/>
      <c r="N5383" s="497"/>
      <c r="O5383" s="497"/>
      <c r="P5383" s="497">
        <f t="shared" si="335"/>
        <v>0</v>
      </c>
      <c r="Q5383" s="497"/>
    </row>
    <row r="5384" spans="1:17" x14ac:dyDescent="0.35">
      <c r="A5384" s="497" t="b">
        <f t="shared" ca="1" si="327"/>
        <v>0</v>
      </c>
      <c r="B5384" s="510" t="str">
        <f ca="1">IF(COUNTA(G$4308:G5383)=1,"",OFFSET(B5384,-COUNTA(G$4308:G5383)+1,0))</f>
        <v>a1b3p0000095SKeAAM</v>
      </c>
      <c r="C5384" s="512">
        <f ca="1">IF(COUNTA(G$4308:G5383)=1,"",OFFSET(C5384,-COUNTA(G$4308:G5383)+1,0))</f>
        <v>19</v>
      </c>
      <c r="D5384" s="497">
        <f t="shared" si="328"/>
        <v>594</v>
      </c>
      <c r="E5384" s="497">
        <f t="shared" ca="1" si="329"/>
        <v>6</v>
      </c>
      <c r="F5384" s="497">
        <f t="shared" ca="1" si="330"/>
        <v>27</v>
      </c>
      <c r="G5384" s="497"/>
      <c r="H5384" s="503" t="str">
        <f t="shared" ca="1" si="331"/>
        <v/>
      </c>
      <c r="I5384" s="503" t="str">
        <f t="shared" ca="1" si="332"/>
        <v/>
      </c>
      <c r="J5384" s="503" t="str">
        <f t="shared" ca="1" si="333"/>
        <v/>
      </c>
      <c r="K5384" s="503" t="str">
        <f t="shared" ca="1" si="334"/>
        <v/>
      </c>
      <c r="L5384" s="497"/>
      <c r="M5384" s="497"/>
      <c r="N5384" s="497"/>
      <c r="O5384" s="497"/>
      <c r="P5384" s="497">
        <f t="shared" si="335"/>
        <v>0</v>
      </c>
      <c r="Q5384" s="497"/>
    </row>
    <row r="5385" spans="1:17" x14ac:dyDescent="0.35">
      <c r="A5385" s="497" t="b">
        <f t="shared" ca="1" si="327"/>
        <v>0</v>
      </c>
      <c r="B5385" s="510" t="str">
        <f ca="1">IF(COUNTA(G$4308:G5384)=1,"",OFFSET(B5385,-COUNTA(G$4308:G5384)+1,0))</f>
        <v>a1b3p0000095S7lAAE</v>
      </c>
      <c r="C5385" s="512">
        <f ca="1">IF(COUNTA(G$4308:G5384)=1,"",OFFSET(C5385,-COUNTA(G$4308:G5384)+1,0))</f>
        <v>20</v>
      </c>
      <c r="D5385" s="497">
        <f t="shared" si="328"/>
        <v>595</v>
      </c>
      <c r="E5385" s="497">
        <f t="shared" ca="1" si="329"/>
        <v>1</v>
      </c>
      <c r="F5385" s="497">
        <f t="shared" ca="1" si="330"/>
        <v>28</v>
      </c>
      <c r="G5385" s="497"/>
      <c r="H5385" s="503" t="str">
        <f t="shared" ca="1" si="331"/>
        <v/>
      </c>
      <c r="I5385" s="503" t="str">
        <f t="shared" ca="1" si="332"/>
        <v/>
      </c>
      <c r="J5385" s="503" t="str">
        <f t="shared" ca="1" si="333"/>
        <v/>
      </c>
      <c r="K5385" s="503" t="str">
        <f t="shared" ca="1" si="334"/>
        <v/>
      </c>
      <c r="L5385" s="497"/>
      <c r="M5385" s="497"/>
      <c r="N5385" s="497"/>
      <c r="O5385" s="497"/>
      <c r="P5385" s="497">
        <f t="shared" si="335"/>
        <v>0</v>
      </c>
      <c r="Q5385" s="497"/>
    </row>
    <row r="5386" spans="1:17" x14ac:dyDescent="0.35">
      <c r="A5386" s="497" t="b">
        <f t="shared" ca="1" si="327"/>
        <v>0</v>
      </c>
      <c r="B5386" s="510" t="str">
        <f ca="1">IF(COUNTA(G$4308:G5385)=1,"",OFFSET(B5386,-COUNTA(G$4308:G5385)+1,0))</f>
        <v>a1b3p0000095SALAA2</v>
      </c>
      <c r="C5386" s="512">
        <f ca="1">IF(COUNTA(G$4308:G5385)=1,"",OFFSET(C5386,-COUNTA(G$4308:G5385)+1,0))</f>
        <v>20</v>
      </c>
      <c r="D5386" s="497">
        <f t="shared" si="328"/>
        <v>596</v>
      </c>
      <c r="E5386" s="497">
        <f t="shared" ca="1" si="329"/>
        <v>2</v>
      </c>
      <c r="F5386" s="497">
        <f t="shared" ca="1" si="330"/>
        <v>28</v>
      </c>
      <c r="G5386" s="497"/>
      <c r="H5386" s="503" t="str">
        <f t="shared" ca="1" si="331"/>
        <v/>
      </c>
      <c r="I5386" s="503" t="str">
        <f t="shared" ca="1" si="332"/>
        <v/>
      </c>
      <c r="J5386" s="503" t="str">
        <f t="shared" ca="1" si="333"/>
        <v/>
      </c>
      <c r="K5386" s="503" t="str">
        <f t="shared" ca="1" si="334"/>
        <v/>
      </c>
      <c r="L5386" s="497"/>
      <c r="M5386" s="497"/>
      <c r="N5386" s="497"/>
      <c r="O5386" s="497"/>
      <c r="P5386" s="497">
        <f t="shared" si="335"/>
        <v>0</v>
      </c>
      <c r="Q5386" s="497"/>
    </row>
    <row r="5387" spans="1:17" x14ac:dyDescent="0.35">
      <c r="A5387" s="497" t="b">
        <f t="shared" ca="1" si="327"/>
        <v>0</v>
      </c>
      <c r="B5387" s="510" t="str">
        <f ca="1">IF(COUNTA(G$4308:G5386)=1,"",OFFSET(B5387,-COUNTA(G$4308:G5386)+1,0))</f>
        <v>a1b3p0000095SCvAAM</v>
      </c>
      <c r="C5387" s="512">
        <f ca="1">IF(COUNTA(G$4308:G5386)=1,"",OFFSET(C5387,-COUNTA(G$4308:G5386)+1,0))</f>
        <v>20</v>
      </c>
      <c r="D5387" s="497">
        <f t="shared" si="328"/>
        <v>597</v>
      </c>
      <c r="E5387" s="497">
        <f t="shared" ca="1" si="329"/>
        <v>3</v>
      </c>
      <c r="F5387" s="497">
        <f t="shared" ca="1" si="330"/>
        <v>28</v>
      </c>
      <c r="G5387" s="497"/>
      <c r="H5387" s="503" t="str">
        <f t="shared" ca="1" si="331"/>
        <v/>
      </c>
      <c r="I5387" s="503" t="str">
        <f t="shared" ca="1" si="332"/>
        <v/>
      </c>
      <c r="J5387" s="503" t="str">
        <f t="shared" ca="1" si="333"/>
        <v/>
      </c>
      <c r="K5387" s="503" t="str">
        <f t="shared" ca="1" si="334"/>
        <v/>
      </c>
      <c r="L5387" s="497"/>
      <c r="M5387" s="497"/>
      <c r="N5387" s="497"/>
      <c r="O5387" s="497"/>
      <c r="P5387" s="497">
        <f t="shared" si="335"/>
        <v>0</v>
      </c>
      <c r="Q5387" s="497"/>
    </row>
    <row r="5388" spans="1:17" x14ac:dyDescent="0.35">
      <c r="A5388" s="497" t="b">
        <f t="shared" ca="1" si="327"/>
        <v>0</v>
      </c>
      <c r="B5388" s="510" t="str">
        <f ca="1">IF(COUNTA(G$4308:G5387)=1,"",OFFSET(B5388,-COUNTA(G$4308:G5387)+1,0))</f>
        <v>a1b3p0000095SFVAA2</v>
      </c>
      <c r="C5388" s="512">
        <f ca="1">IF(COUNTA(G$4308:G5387)=1,"",OFFSET(C5388,-COUNTA(G$4308:G5387)+1,0))</f>
        <v>20</v>
      </c>
      <c r="D5388" s="497">
        <f t="shared" si="328"/>
        <v>598</v>
      </c>
      <c r="E5388" s="497">
        <f t="shared" ca="1" si="329"/>
        <v>4</v>
      </c>
      <c r="F5388" s="497">
        <f t="shared" ca="1" si="330"/>
        <v>28</v>
      </c>
      <c r="G5388" s="497"/>
      <c r="H5388" s="503" t="str">
        <f t="shared" ca="1" si="331"/>
        <v/>
      </c>
      <c r="I5388" s="503" t="str">
        <f t="shared" ca="1" si="332"/>
        <v/>
      </c>
      <c r="J5388" s="503" t="str">
        <f t="shared" ca="1" si="333"/>
        <v/>
      </c>
      <c r="K5388" s="503" t="str">
        <f t="shared" ca="1" si="334"/>
        <v/>
      </c>
      <c r="L5388" s="497"/>
      <c r="M5388" s="497"/>
      <c r="N5388" s="497"/>
      <c r="O5388" s="497"/>
      <c r="P5388" s="497">
        <f t="shared" si="335"/>
        <v>0</v>
      </c>
      <c r="Q5388" s="497"/>
    </row>
    <row r="5389" spans="1:17" x14ac:dyDescent="0.35">
      <c r="A5389" s="497" t="b">
        <f t="shared" ca="1" si="327"/>
        <v>0</v>
      </c>
      <c r="B5389" s="510" t="str">
        <f ca="1">IF(COUNTA(G$4308:G5388)=1,"",OFFSET(B5389,-COUNTA(G$4308:G5388)+1,0))</f>
        <v>a1b3p0000095SI5AAM</v>
      </c>
      <c r="C5389" s="512">
        <f ca="1">IF(COUNTA(G$4308:G5388)=1,"",OFFSET(C5389,-COUNTA(G$4308:G5388)+1,0))</f>
        <v>20</v>
      </c>
      <c r="D5389" s="497">
        <f t="shared" si="328"/>
        <v>599</v>
      </c>
      <c r="E5389" s="497">
        <f t="shared" ca="1" si="329"/>
        <v>5</v>
      </c>
      <c r="F5389" s="497">
        <f t="shared" ca="1" si="330"/>
        <v>28</v>
      </c>
      <c r="G5389" s="497"/>
      <c r="H5389" s="503" t="str">
        <f t="shared" ca="1" si="331"/>
        <v/>
      </c>
      <c r="I5389" s="503" t="str">
        <f t="shared" ca="1" si="332"/>
        <v/>
      </c>
      <c r="J5389" s="503" t="str">
        <f t="shared" ca="1" si="333"/>
        <v/>
      </c>
      <c r="K5389" s="503" t="str">
        <f t="shared" ca="1" si="334"/>
        <v/>
      </c>
      <c r="L5389" s="497"/>
      <c r="M5389" s="497"/>
      <c r="N5389" s="497"/>
      <c r="O5389" s="497"/>
      <c r="P5389" s="497">
        <f t="shared" si="335"/>
        <v>0</v>
      </c>
      <c r="Q5389" s="497"/>
    </row>
    <row r="5390" spans="1:17" x14ac:dyDescent="0.35">
      <c r="A5390" s="497" t="b">
        <f t="shared" ca="1" si="327"/>
        <v>0</v>
      </c>
      <c r="B5390" s="510" t="str">
        <f ca="1">IF(COUNTA(G$4308:G5389)=1,"",OFFSET(B5390,-COUNTA(G$4308:G5389)+1,0))</f>
        <v>a1b3p0000095SKfAAM</v>
      </c>
      <c r="C5390" s="512">
        <f ca="1">IF(COUNTA(G$4308:G5389)=1,"",OFFSET(C5390,-COUNTA(G$4308:G5389)+1,0))</f>
        <v>20</v>
      </c>
      <c r="D5390" s="497">
        <f t="shared" si="328"/>
        <v>600</v>
      </c>
      <c r="E5390" s="497">
        <f t="shared" ca="1" si="329"/>
        <v>6</v>
      </c>
      <c r="F5390" s="497">
        <f t="shared" ca="1" si="330"/>
        <v>28</v>
      </c>
      <c r="G5390" s="497"/>
      <c r="H5390" s="503" t="str">
        <f t="shared" ca="1" si="331"/>
        <v/>
      </c>
      <c r="I5390" s="503" t="str">
        <f t="shared" ca="1" si="332"/>
        <v/>
      </c>
      <c r="J5390" s="503" t="str">
        <f t="shared" ca="1" si="333"/>
        <v/>
      </c>
      <c r="K5390" s="503" t="str">
        <f t="shared" ca="1" si="334"/>
        <v/>
      </c>
      <c r="L5390" s="497"/>
      <c r="M5390" s="497"/>
      <c r="N5390" s="497"/>
      <c r="O5390" s="497"/>
      <c r="P5390" s="497">
        <f t="shared" si="335"/>
        <v>0</v>
      </c>
      <c r="Q5390" s="497"/>
    </row>
    <row r="5391" spans="1:17" x14ac:dyDescent="0.35">
      <c r="A5391" s="497" t="b">
        <f t="shared" ca="1" si="327"/>
        <v>0</v>
      </c>
      <c r="B5391" s="510" t="str">
        <f ca="1">IF(COUNTA(G$4308:G5390)=1,"",OFFSET(B5391,-COUNTA(G$4308:G5390)+1,0))</f>
        <v>a1b3p0000095S7mAAE</v>
      </c>
      <c r="C5391" s="512">
        <f ca="1">IF(COUNTA(G$4308:G5390)=1,"",OFFSET(C5391,-COUNTA(G$4308:G5390)+1,0))</f>
        <v>21</v>
      </c>
      <c r="D5391" s="497">
        <f t="shared" si="328"/>
        <v>601</v>
      </c>
      <c r="E5391" s="497">
        <f t="shared" ca="1" si="329"/>
        <v>1</v>
      </c>
      <c r="F5391" s="497">
        <f t="shared" ca="1" si="330"/>
        <v>29</v>
      </c>
      <c r="G5391" s="497"/>
      <c r="H5391" s="503" t="str">
        <f t="shared" ca="1" si="331"/>
        <v/>
      </c>
      <c r="I5391" s="503" t="str">
        <f t="shared" ca="1" si="332"/>
        <v/>
      </c>
      <c r="J5391" s="503" t="str">
        <f t="shared" ca="1" si="333"/>
        <v/>
      </c>
      <c r="K5391" s="503" t="str">
        <f t="shared" ca="1" si="334"/>
        <v/>
      </c>
      <c r="L5391" s="497"/>
      <c r="M5391" s="497"/>
      <c r="N5391" s="497"/>
      <c r="O5391" s="497"/>
      <c r="P5391" s="497">
        <f t="shared" si="335"/>
        <v>0</v>
      </c>
      <c r="Q5391" s="497"/>
    </row>
    <row r="5392" spans="1:17" x14ac:dyDescent="0.35">
      <c r="A5392" s="497" t="b">
        <f t="shared" ca="1" si="327"/>
        <v>0</v>
      </c>
      <c r="B5392" s="510" t="str">
        <f ca="1">IF(COUNTA(G$4308:G5391)=1,"",OFFSET(B5392,-COUNTA(G$4308:G5391)+1,0))</f>
        <v>a1b3p0000095SAMAA2</v>
      </c>
      <c r="C5392" s="512">
        <f ca="1">IF(COUNTA(G$4308:G5391)=1,"",OFFSET(C5392,-COUNTA(G$4308:G5391)+1,0))</f>
        <v>21</v>
      </c>
      <c r="D5392" s="497">
        <f t="shared" si="328"/>
        <v>602</v>
      </c>
      <c r="E5392" s="497">
        <f t="shared" ca="1" si="329"/>
        <v>2</v>
      </c>
      <c r="F5392" s="497">
        <f t="shared" ca="1" si="330"/>
        <v>29</v>
      </c>
      <c r="G5392" s="497"/>
      <c r="H5392" s="503" t="str">
        <f t="shared" ca="1" si="331"/>
        <v/>
      </c>
      <c r="I5392" s="503" t="str">
        <f t="shared" ca="1" si="332"/>
        <v/>
      </c>
      <c r="J5392" s="503" t="str">
        <f t="shared" ca="1" si="333"/>
        <v/>
      </c>
      <c r="K5392" s="503" t="str">
        <f t="shared" ca="1" si="334"/>
        <v/>
      </c>
      <c r="L5392" s="497"/>
      <c r="M5392" s="497"/>
      <c r="N5392" s="497"/>
      <c r="O5392" s="497"/>
      <c r="P5392" s="497">
        <f t="shared" si="335"/>
        <v>0</v>
      </c>
      <c r="Q5392" s="497"/>
    </row>
    <row r="5393" spans="1:17" x14ac:dyDescent="0.35">
      <c r="A5393" s="497" t="b">
        <f t="shared" ca="1" si="327"/>
        <v>0</v>
      </c>
      <c r="B5393" s="510" t="str">
        <f ca="1">IF(COUNTA(G$4308:G5392)=1,"",OFFSET(B5393,-COUNTA(G$4308:G5392)+1,0))</f>
        <v>a1b3p0000095SCwAAM</v>
      </c>
      <c r="C5393" s="512">
        <f ca="1">IF(COUNTA(G$4308:G5392)=1,"",OFFSET(C5393,-COUNTA(G$4308:G5392)+1,0))</f>
        <v>21</v>
      </c>
      <c r="D5393" s="497">
        <f t="shared" si="328"/>
        <v>603</v>
      </c>
      <c r="E5393" s="497">
        <f t="shared" ca="1" si="329"/>
        <v>3</v>
      </c>
      <c r="F5393" s="497">
        <f t="shared" ca="1" si="330"/>
        <v>29</v>
      </c>
      <c r="G5393" s="497"/>
      <c r="H5393" s="503" t="str">
        <f t="shared" ca="1" si="331"/>
        <v/>
      </c>
      <c r="I5393" s="503" t="str">
        <f t="shared" ca="1" si="332"/>
        <v/>
      </c>
      <c r="J5393" s="503" t="str">
        <f t="shared" ca="1" si="333"/>
        <v/>
      </c>
      <c r="K5393" s="503" t="str">
        <f t="shared" ca="1" si="334"/>
        <v/>
      </c>
      <c r="L5393" s="497"/>
      <c r="M5393" s="497"/>
      <c r="N5393" s="497"/>
      <c r="O5393" s="497"/>
      <c r="P5393" s="497">
        <f t="shared" si="335"/>
        <v>0</v>
      </c>
      <c r="Q5393" s="497"/>
    </row>
    <row r="5394" spans="1:17" x14ac:dyDescent="0.35">
      <c r="A5394" s="497" t="b">
        <f t="shared" ca="1" si="327"/>
        <v>0</v>
      </c>
      <c r="B5394" s="510" t="str">
        <f ca="1">IF(COUNTA(G$4308:G5393)=1,"",OFFSET(B5394,-COUNTA(G$4308:G5393)+1,0))</f>
        <v>a1b3p0000095SFWAA2</v>
      </c>
      <c r="C5394" s="512">
        <f ca="1">IF(COUNTA(G$4308:G5393)=1,"",OFFSET(C5394,-COUNTA(G$4308:G5393)+1,0))</f>
        <v>21</v>
      </c>
      <c r="D5394" s="497">
        <f t="shared" si="328"/>
        <v>604</v>
      </c>
      <c r="E5394" s="497">
        <f t="shared" ca="1" si="329"/>
        <v>4</v>
      </c>
      <c r="F5394" s="497">
        <f t="shared" ca="1" si="330"/>
        <v>29</v>
      </c>
      <c r="G5394" s="497"/>
      <c r="H5394" s="503" t="str">
        <f t="shared" ca="1" si="331"/>
        <v/>
      </c>
      <c r="I5394" s="503" t="str">
        <f t="shared" ca="1" si="332"/>
        <v/>
      </c>
      <c r="J5394" s="503" t="str">
        <f t="shared" ca="1" si="333"/>
        <v/>
      </c>
      <c r="K5394" s="503" t="str">
        <f t="shared" ca="1" si="334"/>
        <v/>
      </c>
      <c r="L5394" s="497"/>
      <c r="M5394" s="497"/>
      <c r="N5394" s="497"/>
      <c r="O5394" s="497"/>
      <c r="P5394" s="497">
        <f t="shared" si="335"/>
        <v>0</v>
      </c>
      <c r="Q5394" s="497"/>
    </row>
    <row r="5395" spans="1:17" x14ac:dyDescent="0.35">
      <c r="A5395" s="497" t="b">
        <f t="shared" ca="1" si="327"/>
        <v>0</v>
      </c>
      <c r="B5395" s="510" t="str">
        <f ca="1">IF(COUNTA(G$4308:G5394)=1,"",OFFSET(B5395,-COUNTA(G$4308:G5394)+1,0))</f>
        <v>a1b3p0000095SI6AAM</v>
      </c>
      <c r="C5395" s="512">
        <f ca="1">IF(COUNTA(G$4308:G5394)=1,"",OFFSET(C5395,-COUNTA(G$4308:G5394)+1,0))</f>
        <v>21</v>
      </c>
      <c r="D5395" s="497">
        <f t="shared" si="328"/>
        <v>605</v>
      </c>
      <c r="E5395" s="497">
        <f t="shared" ca="1" si="329"/>
        <v>5</v>
      </c>
      <c r="F5395" s="497">
        <f t="shared" ca="1" si="330"/>
        <v>29</v>
      </c>
      <c r="G5395" s="497"/>
      <c r="H5395" s="503" t="str">
        <f t="shared" ca="1" si="331"/>
        <v/>
      </c>
      <c r="I5395" s="503" t="str">
        <f t="shared" ca="1" si="332"/>
        <v/>
      </c>
      <c r="J5395" s="503" t="str">
        <f t="shared" ca="1" si="333"/>
        <v/>
      </c>
      <c r="K5395" s="503" t="str">
        <f t="shared" ca="1" si="334"/>
        <v/>
      </c>
      <c r="L5395" s="497"/>
      <c r="M5395" s="497"/>
      <c r="N5395" s="497"/>
      <c r="O5395" s="497"/>
      <c r="P5395" s="497">
        <f t="shared" si="335"/>
        <v>0</v>
      </c>
      <c r="Q5395" s="497"/>
    </row>
    <row r="5396" spans="1:17" x14ac:dyDescent="0.35">
      <c r="A5396" s="497" t="b">
        <f t="shared" ca="1" si="327"/>
        <v>0</v>
      </c>
      <c r="B5396" s="510" t="str">
        <f ca="1">IF(COUNTA(G$4308:G5395)=1,"",OFFSET(B5396,-COUNTA(G$4308:G5395)+1,0))</f>
        <v>a1b3p0000095SKgAAM</v>
      </c>
      <c r="C5396" s="512">
        <f ca="1">IF(COUNTA(G$4308:G5395)=1,"",OFFSET(C5396,-COUNTA(G$4308:G5395)+1,0))</f>
        <v>21</v>
      </c>
      <c r="D5396" s="497">
        <f t="shared" si="328"/>
        <v>606</v>
      </c>
      <c r="E5396" s="497">
        <f t="shared" ca="1" si="329"/>
        <v>6</v>
      </c>
      <c r="F5396" s="497">
        <f t="shared" ca="1" si="330"/>
        <v>29</v>
      </c>
      <c r="G5396" s="497"/>
      <c r="H5396" s="503" t="str">
        <f t="shared" ca="1" si="331"/>
        <v/>
      </c>
      <c r="I5396" s="503" t="str">
        <f t="shared" ca="1" si="332"/>
        <v/>
      </c>
      <c r="J5396" s="503" t="str">
        <f t="shared" ca="1" si="333"/>
        <v/>
      </c>
      <c r="K5396" s="503" t="str">
        <f t="shared" ca="1" si="334"/>
        <v/>
      </c>
      <c r="L5396" s="497"/>
      <c r="M5396" s="497"/>
      <c r="N5396" s="497"/>
      <c r="O5396" s="497"/>
      <c r="P5396" s="497">
        <f t="shared" si="335"/>
        <v>0</v>
      </c>
      <c r="Q5396" s="497"/>
    </row>
    <row r="5397" spans="1:17" x14ac:dyDescent="0.35">
      <c r="A5397" s="497" t="b">
        <f t="shared" ca="1" si="327"/>
        <v>0</v>
      </c>
      <c r="B5397" s="510" t="str">
        <f ca="1">IF(COUNTA(G$4308:G5396)=1,"",OFFSET(B5397,-COUNTA(G$4308:G5396)+1,0))</f>
        <v>a1b3p0000095S7nAAE</v>
      </c>
      <c r="C5397" s="512">
        <f ca="1">IF(COUNTA(G$4308:G5396)=1,"",OFFSET(C5397,-COUNTA(G$4308:G5396)+1,0))</f>
        <v>22</v>
      </c>
      <c r="D5397" s="497">
        <f t="shared" si="328"/>
        <v>607</v>
      </c>
      <c r="E5397" s="497">
        <f t="shared" ca="1" si="329"/>
        <v>1</v>
      </c>
      <c r="F5397" s="497">
        <f t="shared" ca="1" si="330"/>
        <v>30</v>
      </c>
      <c r="G5397" s="497"/>
      <c r="H5397" s="503" t="str">
        <f t="shared" ca="1" si="331"/>
        <v/>
      </c>
      <c r="I5397" s="503" t="str">
        <f t="shared" ca="1" si="332"/>
        <v/>
      </c>
      <c r="J5397" s="503" t="str">
        <f t="shared" ca="1" si="333"/>
        <v/>
      </c>
      <c r="K5397" s="503" t="str">
        <f t="shared" ca="1" si="334"/>
        <v/>
      </c>
      <c r="L5397" s="497"/>
      <c r="M5397" s="497"/>
      <c r="N5397" s="497"/>
      <c r="O5397" s="497"/>
      <c r="P5397" s="497">
        <f t="shared" si="335"/>
        <v>0</v>
      </c>
      <c r="Q5397" s="497"/>
    </row>
    <row r="5398" spans="1:17" x14ac:dyDescent="0.35">
      <c r="A5398" s="497" t="b">
        <f t="shared" ca="1" si="327"/>
        <v>0</v>
      </c>
      <c r="B5398" s="510" t="str">
        <f ca="1">IF(COUNTA(G$4308:G5397)=1,"",OFFSET(B5398,-COUNTA(G$4308:G5397)+1,0))</f>
        <v>a1b3p0000095SANAA2</v>
      </c>
      <c r="C5398" s="512">
        <f ca="1">IF(COUNTA(G$4308:G5397)=1,"",OFFSET(C5398,-COUNTA(G$4308:G5397)+1,0))</f>
        <v>22</v>
      </c>
      <c r="D5398" s="497">
        <f t="shared" si="328"/>
        <v>608</v>
      </c>
      <c r="E5398" s="497">
        <f t="shared" ca="1" si="329"/>
        <v>2</v>
      </c>
      <c r="F5398" s="497">
        <f t="shared" ca="1" si="330"/>
        <v>30</v>
      </c>
      <c r="G5398" s="497"/>
      <c r="H5398" s="503" t="str">
        <f t="shared" ca="1" si="331"/>
        <v/>
      </c>
      <c r="I5398" s="503" t="str">
        <f t="shared" ca="1" si="332"/>
        <v/>
      </c>
      <c r="J5398" s="503" t="str">
        <f t="shared" ca="1" si="333"/>
        <v/>
      </c>
      <c r="K5398" s="503" t="str">
        <f t="shared" ca="1" si="334"/>
        <v/>
      </c>
      <c r="L5398" s="497"/>
      <c r="M5398" s="497"/>
      <c r="N5398" s="497"/>
      <c r="O5398" s="497"/>
      <c r="P5398" s="497">
        <f t="shared" si="335"/>
        <v>0</v>
      </c>
      <c r="Q5398" s="497"/>
    </row>
    <row r="5399" spans="1:17" x14ac:dyDescent="0.35">
      <c r="A5399" s="497" t="b">
        <f t="shared" ref="A5399:A5462" ca="1" si="336">IF(OR(AND(J5399&lt;&gt;"", J5399&lt;&gt;0), AND(K5399&lt;&gt;"",K5399&lt;&gt;0)),TRUE,FALSE)</f>
        <v>0</v>
      </c>
      <c r="B5399" s="510" t="str">
        <f ca="1">IF(COUNTA(G$4308:G5398)=1,"",OFFSET(B5399,-COUNTA(G$4308:G5398)+1,0))</f>
        <v>a1b3p0000095SCxAAM</v>
      </c>
      <c r="C5399" s="512">
        <f ca="1">IF(COUNTA(G$4308:G5398)=1,"",OFFSET(C5399,-COUNTA(G$4308:G5398)+1,0))</f>
        <v>22</v>
      </c>
      <c r="D5399" s="497">
        <f t="shared" ref="D5399:D5462" si="337">D5398+1</f>
        <v>609</v>
      </c>
      <c r="E5399" s="497">
        <f t="shared" ref="E5399:E5462" ca="1" si="338">COUNTIF(C5149:C5399,C5399)</f>
        <v>3</v>
      </c>
      <c r="F5399" s="497">
        <f t="shared" ref="F5399:F5462" ca="1" si="339">IF(C5399=1,9,IF(E5398=MAX(E5397:E5399),F5397+1,F5398))</f>
        <v>30</v>
      </c>
      <c r="G5399" s="497"/>
      <c r="H5399" s="503" t="str">
        <f t="shared" ref="H5399:H5462" ca="1" si="340">CHOOSE(E5399,IFERROR(IF(INDIRECT("'WPTM - Section F'!K"&amp;F5399)=0,"",INDIRECT("'WPTM - Section F'!K"&amp;$F5399)),""),IFERROR(IF(INDIRECT("'WPTM - Section F'!O"&amp;F5399)=0,"",INDIRECT("'WPTM - Section F'!O"&amp;$F5399)),""),IFERROR(IF(INDIRECT("'WPTM - Section F'!S"&amp;F5399)=0,"",INDIRECT("'WPTM - Section F'!S"&amp;$F5399)),""),IFERROR(IF(INDIRECT("'WPTM - Section F'!W"&amp;F5399)=0,"",INDIRECT("'WPTM - Section F'!W"&amp;$F5399)),""),IFERROR(IF(INDIRECT("'WPTM - Section F'!AA"&amp;F5399)=0,"",INDIRECT("'WPTM - Section F'!AA"&amp;$F5399)),""),IFERROR(IF(INDIRECT("'WPTM - Section F'!AE"&amp;F5399)=0,"",INDIRECT("'WPTM - Section F'!AE"&amp;$F5399)),""),IFERROR(IF(INDIRECT("'WPTM - Section F'!AI"&amp;F5399)=0,"",INDIRECT("'WPTM - Section F'!AI"&amp;$F5399)),""),IFERROR(IF(INDIRECT("'WPTM - Section F'!AM"&amp;F5399)=0,"",INDIRECT("'WPTM - Section F'!AM"&amp;$F5399)),""),)</f>
        <v/>
      </c>
      <c r="I5399" s="503" t="str">
        <f t="shared" ref="I5399:I5462" ca="1" si="341">CHOOSE(E5399,IFERROR(IF(INDIRECT("'WPTM - Section F'!J"&amp;F5399)=0,"",INDIRECT("'WPTM - Section F'!J"&amp;$F5399)),""),IFERROR(IF(INDIRECT("'WPTM - Section F'!N"&amp;F5399)=0,"",INDIRECT("'WPTM - Section F'!N"&amp;$F5399)),""),IFERROR(IF(INDIRECT("'WPTM - Section F'!R"&amp;F5399)=0,"",INDIRECT("'WPTM - Section F'!R"&amp;$F5399)),""),IFERROR(IF(INDIRECT("'WPTM - Section F'!V"&amp;F5399)=0,"",INDIRECT("'WPTM - Section F'!V"&amp;$F5399)),""),IFERROR(IF(INDIRECT("'WPTM - Section F'!Z"&amp;F5399)=0,"",INDIRECT("'WPTM - Section F'!Z"&amp;$F5399)),""),IFERROR(IF(INDIRECT("'WPTM - Section F'!AD"&amp;F5399)=0,"",INDIRECT("'WPTM - Section F'!AD"&amp;$F5399)),""),IFERROR(IF(INDIRECT("'WPTM - Section F'!AH"&amp;F5399)=0,"",INDIRECT("'WPTM - Section F'!AH"&amp;$F5399)),""),IFERROR(IF(INDIRECT("'WPTM - Section F'!AL"&amp;F5399)=0,"",INDIRECT("'WPTM - Section F'!AL"&amp;$F5399)),""),)</f>
        <v/>
      </c>
      <c r="J5399" s="503" t="str">
        <f t="shared" ref="J5399:J5462" ca="1" si="342">CHOOSE(E5399,IFERROR(IF(INDIRECT("'WPTM - Section F'!H"&amp;F5399)=0,"",INDIRECT("'WPTM - Section F'!H"&amp;$F5399)),""),IFERROR(IF(INDIRECT("'WPTM - Section F'!L"&amp;F5399)=0,"",INDIRECT("'WPTM - Section F'!L"&amp;$F5399)),""),IFERROR(IF(INDIRECT("'WPTM - Section F'!P"&amp;F5399)=0,"",INDIRECT("'WPTM - Section F'!P"&amp;$F5399)),""),IFERROR(IF(INDIRECT("'WPTM - Section F'!T"&amp;F5399)=0,"",INDIRECT("'WPTM - Section F'!T"&amp;$F5399)),""),IFERROR(IF(INDIRECT("'WPTM - Section F'!X"&amp;F5399)=0,"",INDIRECT("'WPTM - Section F'!X"&amp;$F5399)),""),IFERROR(IF(INDIRECT("'WPTM - Section F'!AB"&amp;F5399)=0,"",INDIRECT("'WPTM - Section F'!AB"&amp;$F5399)),""),IFERROR(IF(INDIRECT("'WPTM - Section F'!AF"&amp;F5399)=0,"",INDIRECT("'WPTM - Section F'!AF"&amp;$F5399)),""),IFERROR(IF(INDIRECT("'WPTM - Section F'!AJ"&amp;F5399)=0,"",INDIRECT("'WPTM - Section F'!AJ"&amp;$F5399)),""),)</f>
        <v/>
      </c>
      <c r="K5399" s="503" t="str">
        <f t="shared" ref="K5399:K5462" ca="1" si="343">CHOOSE(E5399,IFERROR(IF(INDIRECT("'WPTM - Section F'!I"&amp;F5399)=0,"",INDIRECT("'WPTM - Section F'!I"&amp;$F5399)),""),IFERROR(IF(INDIRECT("'WPTM - Section F'!M"&amp;F5399)=0,"",INDIRECT("'WPTM - Section F'!M"&amp;$F5399)),""),IFERROR(IF(INDIRECT("'WPTM - Section F'!Q"&amp;F5399)=0,"",INDIRECT("'WPTM - Section F'!Q"&amp;$F5399)),""),IFERROR(IF(INDIRECT("'WPTM - Section F'!U"&amp;F5399)=0,"",INDIRECT("'WPTM - Section F'!U"&amp;$F5399)),""),IFERROR(IF(INDIRECT("'WPTM - Section F'!Y"&amp;F5399)=0,"",INDIRECT("'WPTM - Section F'!Y"&amp;$F5399)),""),IFERROR(IF(INDIRECT("'WPTM - Section F'!AC"&amp;F5399)=0,"",INDIRECT("'WPTM - Section F'!AC"&amp;$F5399)),""),IFERROR(IF(INDIRECT("'WPTM - Section F'!AG"&amp;F5399)=0,"",INDIRECT("'WPTM - Section F'!AG"&amp;$F5399)),""),IFERROR(IF(INDIRECT("'WPTM - Section F'!AK"&amp;F5399)=0,"",INDIRECT("'WPTM - Section F'!AK"&amp;$F5399)),""),)</f>
        <v/>
      </c>
      <c r="L5399" s="497"/>
      <c r="M5399" s="497"/>
      <c r="N5399" s="497"/>
      <c r="O5399" s="497"/>
      <c r="P5399" s="497">
        <f t="shared" ref="P5399:P5462" si="344">IF(NOT(_xlfn.ISFORMULA(I5399)),P5398+1,0)</f>
        <v>0</v>
      </c>
      <c r="Q5399" s="497"/>
    </row>
    <row r="5400" spans="1:17" x14ac:dyDescent="0.35">
      <c r="A5400" s="497" t="b">
        <f t="shared" ca="1" si="336"/>
        <v>0</v>
      </c>
      <c r="B5400" s="510" t="str">
        <f ca="1">IF(COUNTA(G$4308:G5399)=1,"",OFFSET(B5400,-COUNTA(G$4308:G5399)+1,0))</f>
        <v>a1b3p0000095SFXAA2</v>
      </c>
      <c r="C5400" s="512">
        <f ca="1">IF(COUNTA(G$4308:G5399)=1,"",OFFSET(C5400,-COUNTA(G$4308:G5399)+1,0))</f>
        <v>22</v>
      </c>
      <c r="D5400" s="497">
        <f t="shared" si="337"/>
        <v>610</v>
      </c>
      <c r="E5400" s="497">
        <f t="shared" ca="1" si="338"/>
        <v>4</v>
      </c>
      <c r="F5400" s="497">
        <f t="shared" ca="1" si="339"/>
        <v>30</v>
      </c>
      <c r="G5400" s="497"/>
      <c r="H5400" s="503" t="str">
        <f t="shared" ca="1" si="340"/>
        <v/>
      </c>
      <c r="I5400" s="503" t="str">
        <f t="shared" ca="1" si="341"/>
        <v/>
      </c>
      <c r="J5400" s="503" t="str">
        <f t="shared" ca="1" si="342"/>
        <v/>
      </c>
      <c r="K5400" s="503" t="str">
        <f t="shared" ca="1" si="343"/>
        <v/>
      </c>
      <c r="L5400" s="497"/>
      <c r="M5400" s="497"/>
      <c r="N5400" s="497"/>
      <c r="O5400" s="497"/>
      <c r="P5400" s="497">
        <f t="shared" si="344"/>
        <v>0</v>
      </c>
      <c r="Q5400" s="497"/>
    </row>
    <row r="5401" spans="1:17" x14ac:dyDescent="0.35">
      <c r="A5401" s="497" t="b">
        <f t="shared" ca="1" si="336"/>
        <v>0</v>
      </c>
      <c r="B5401" s="510" t="str">
        <f ca="1">IF(COUNTA(G$4308:G5400)=1,"",OFFSET(B5401,-COUNTA(G$4308:G5400)+1,0))</f>
        <v>a1b3p0000095SI7AAM</v>
      </c>
      <c r="C5401" s="512">
        <f ca="1">IF(COUNTA(G$4308:G5400)=1,"",OFFSET(C5401,-COUNTA(G$4308:G5400)+1,0))</f>
        <v>22</v>
      </c>
      <c r="D5401" s="497">
        <f t="shared" si="337"/>
        <v>611</v>
      </c>
      <c r="E5401" s="497">
        <f t="shared" ca="1" si="338"/>
        <v>5</v>
      </c>
      <c r="F5401" s="497">
        <f t="shared" ca="1" si="339"/>
        <v>30</v>
      </c>
      <c r="G5401" s="497"/>
      <c r="H5401" s="503" t="str">
        <f t="shared" ca="1" si="340"/>
        <v/>
      </c>
      <c r="I5401" s="503" t="str">
        <f t="shared" ca="1" si="341"/>
        <v/>
      </c>
      <c r="J5401" s="503" t="str">
        <f t="shared" ca="1" si="342"/>
        <v/>
      </c>
      <c r="K5401" s="503" t="str">
        <f t="shared" ca="1" si="343"/>
        <v/>
      </c>
      <c r="L5401" s="497"/>
      <c r="M5401" s="497"/>
      <c r="N5401" s="497"/>
      <c r="O5401" s="497"/>
      <c r="P5401" s="497">
        <f t="shared" si="344"/>
        <v>0</v>
      </c>
      <c r="Q5401" s="497"/>
    </row>
    <row r="5402" spans="1:17" x14ac:dyDescent="0.35">
      <c r="A5402" s="497" t="b">
        <f t="shared" ca="1" si="336"/>
        <v>0</v>
      </c>
      <c r="B5402" s="510" t="str">
        <f ca="1">IF(COUNTA(G$4308:G5401)=1,"",OFFSET(B5402,-COUNTA(G$4308:G5401)+1,0))</f>
        <v>a1b3p0000095SKhAAM</v>
      </c>
      <c r="C5402" s="512">
        <f ca="1">IF(COUNTA(G$4308:G5401)=1,"",OFFSET(C5402,-COUNTA(G$4308:G5401)+1,0))</f>
        <v>22</v>
      </c>
      <c r="D5402" s="497">
        <f t="shared" si="337"/>
        <v>612</v>
      </c>
      <c r="E5402" s="497">
        <f t="shared" ca="1" si="338"/>
        <v>6</v>
      </c>
      <c r="F5402" s="497">
        <f t="shared" ca="1" si="339"/>
        <v>30</v>
      </c>
      <c r="G5402" s="497"/>
      <c r="H5402" s="503" t="str">
        <f t="shared" ca="1" si="340"/>
        <v/>
      </c>
      <c r="I5402" s="503" t="str">
        <f t="shared" ca="1" si="341"/>
        <v/>
      </c>
      <c r="J5402" s="503" t="str">
        <f t="shared" ca="1" si="342"/>
        <v/>
      </c>
      <c r="K5402" s="503" t="str">
        <f t="shared" ca="1" si="343"/>
        <v/>
      </c>
      <c r="L5402" s="497"/>
      <c r="M5402" s="497"/>
      <c r="N5402" s="497"/>
      <c r="O5402" s="497"/>
      <c r="P5402" s="497">
        <f t="shared" si="344"/>
        <v>0</v>
      </c>
      <c r="Q5402" s="497"/>
    </row>
    <row r="5403" spans="1:17" x14ac:dyDescent="0.35">
      <c r="A5403" s="497" t="b">
        <f t="shared" ca="1" si="336"/>
        <v>0</v>
      </c>
      <c r="B5403" s="510" t="str">
        <f ca="1">IF(COUNTA(G$4308:G5402)=1,"",OFFSET(B5403,-COUNTA(G$4308:G5402)+1,0))</f>
        <v>a1b3p0000095S7oAAE</v>
      </c>
      <c r="C5403" s="512">
        <f ca="1">IF(COUNTA(G$4308:G5402)=1,"",OFFSET(C5403,-COUNTA(G$4308:G5402)+1,0))</f>
        <v>23</v>
      </c>
      <c r="D5403" s="497">
        <f t="shared" si="337"/>
        <v>613</v>
      </c>
      <c r="E5403" s="497">
        <f t="shared" ca="1" si="338"/>
        <v>1</v>
      </c>
      <c r="F5403" s="497">
        <f t="shared" ca="1" si="339"/>
        <v>31</v>
      </c>
      <c r="G5403" s="497"/>
      <c r="H5403" s="503" t="str">
        <f t="shared" ca="1" si="340"/>
        <v/>
      </c>
      <c r="I5403" s="503" t="str">
        <f t="shared" ca="1" si="341"/>
        <v/>
      </c>
      <c r="J5403" s="503" t="str">
        <f t="shared" ca="1" si="342"/>
        <v/>
      </c>
      <c r="K5403" s="503" t="str">
        <f t="shared" ca="1" si="343"/>
        <v/>
      </c>
      <c r="L5403" s="497"/>
      <c r="M5403" s="497"/>
      <c r="N5403" s="497"/>
      <c r="O5403" s="497"/>
      <c r="P5403" s="497">
        <f t="shared" si="344"/>
        <v>0</v>
      </c>
      <c r="Q5403" s="497"/>
    </row>
    <row r="5404" spans="1:17" x14ac:dyDescent="0.35">
      <c r="A5404" s="497" t="b">
        <f t="shared" ca="1" si="336"/>
        <v>0</v>
      </c>
      <c r="B5404" s="510" t="str">
        <f ca="1">IF(COUNTA(G$4308:G5403)=1,"",OFFSET(B5404,-COUNTA(G$4308:G5403)+1,0))</f>
        <v>a1b3p0000095SAOAA2</v>
      </c>
      <c r="C5404" s="512">
        <f ca="1">IF(COUNTA(G$4308:G5403)=1,"",OFFSET(C5404,-COUNTA(G$4308:G5403)+1,0))</f>
        <v>23</v>
      </c>
      <c r="D5404" s="497">
        <f t="shared" si="337"/>
        <v>614</v>
      </c>
      <c r="E5404" s="497">
        <f t="shared" ca="1" si="338"/>
        <v>2</v>
      </c>
      <c r="F5404" s="497">
        <f t="shared" ca="1" si="339"/>
        <v>31</v>
      </c>
      <c r="G5404" s="497"/>
      <c r="H5404" s="503" t="str">
        <f t="shared" ca="1" si="340"/>
        <v/>
      </c>
      <c r="I5404" s="503" t="str">
        <f t="shared" ca="1" si="341"/>
        <v/>
      </c>
      <c r="J5404" s="503" t="str">
        <f t="shared" ca="1" si="342"/>
        <v/>
      </c>
      <c r="K5404" s="503" t="str">
        <f t="shared" ca="1" si="343"/>
        <v/>
      </c>
      <c r="L5404" s="497"/>
      <c r="M5404" s="497"/>
      <c r="N5404" s="497"/>
      <c r="O5404" s="497"/>
      <c r="P5404" s="497">
        <f t="shared" si="344"/>
        <v>0</v>
      </c>
      <c r="Q5404" s="497"/>
    </row>
    <row r="5405" spans="1:17" x14ac:dyDescent="0.35">
      <c r="A5405" s="497" t="b">
        <f t="shared" ca="1" si="336"/>
        <v>0</v>
      </c>
      <c r="B5405" s="510" t="str">
        <f ca="1">IF(COUNTA(G$4308:G5404)=1,"",OFFSET(B5405,-COUNTA(G$4308:G5404)+1,0))</f>
        <v>a1b3p0000095SCyAAM</v>
      </c>
      <c r="C5405" s="512">
        <f ca="1">IF(COUNTA(G$4308:G5404)=1,"",OFFSET(C5405,-COUNTA(G$4308:G5404)+1,0))</f>
        <v>23</v>
      </c>
      <c r="D5405" s="497">
        <f t="shared" si="337"/>
        <v>615</v>
      </c>
      <c r="E5405" s="497">
        <f t="shared" ca="1" si="338"/>
        <v>3</v>
      </c>
      <c r="F5405" s="497">
        <f t="shared" ca="1" si="339"/>
        <v>31</v>
      </c>
      <c r="G5405" s="497"/>
      <c r="H5405" s="503" t="str">
        <f t="shared" ca="1" si="340"/>
        <v/>
      </c>
      <c r="I5405" s="503" t="str">
        <f t="shared" ca="1" si="341"/>
        <v/>
      </c>
      <c r="J5405" s="503" t="str">
        <f t="shared" ca="1" si="342"/>
        <v/>
      </c>
      <c r="K5405" s="503" t="str">
        <f t="shared" ca="1" si="343"/>
        <v/>
      </c>
      <c r="L5405" s="497"/>
      <c r="M5405" s="497"/>
      <c r="N5405" s="497"/>
      <c r="O5405" s="497"/>
      <c r="P5405" s="497">
        <f t="shared" si="344"/>
        <v>0</v>
      </c>
      <c r="Q5405" s="497"/>
    </row>
    <row r="5406" spans="1:17" x14ac:dyDescent="0.35">
      <c r="A5406" s="497" t="b">
        <f t="shared" ca="1" si="336"/>
        <v>0</v>
      </c>
      <c r="B5406" s="510" t="str">
        <f ca="1">IF(COUNTA(G$4308:G5405)=1,"",OFFSET(B5406,-COUNTA(G$4308:G5405)+1,0))</f>
        <v>a1b3p0000095SFYAA2</v>
      </c>
      <c r="C5406" s="512">
        <f ca="1">IF(COUNTA(G$4308:G5405)=1,"",OFFSET(C5406,-COUNTA(G$4308:G5405)+1,0))</f>
        <v>23</v>
      </c>
      <c r="D5406" s="497">
        <f t="shared" si="337"/>
        <v>616</v>
      </c>
      <c r="E5406" s="497">
        <f t="shared" ca="1" si="338"/>
        <v>4</v>
      </c>
      <c r="F5406" s="497">
        <f t="shared" ca="1" si="339"/>
        <v>31</v>
      </c>
      <c r="G5406" s="497"/>
      <c r="H5406" s="503" t="str">
        <f t="shared" ca="1" si="340"/>
        <v/>
      </c>
      <c r="I5406" s="503" t="str">
        <f t="shared" ca="1" si="341"/>
        <v/>
      </c>
      <c r="J5406" s="503" t="str">
        <f t="shared" ca="1" si="342"/>
        <v/>
      </c>
      <c r="K5406" s="503" t="str">
        <f t="shared" ca="1" si="343"/>
        <v/>
      </c>
      <c r="L5406" s="497"/>
      <c r="M5406" s="497"/>
      <c r="N5406" s="497"/>
      <c r="O5406" s="497"/>
      <c r="P5406" s="497">
        <f t="shared" si="344"/>
        <v>0</v>
      </c>
      <c r="Q5406" s="497"/>
    </row>
    <row r="5407" spans="1:17" x14ac:dyDescent="0.35">
      <c r="A5407" s="497" t="b">
        <f t="shared" ca="1" si="336"/>
        <v>0</v>
      </c>
      <c r="B5407" s="510" t="str">
        <f ca="1">IF(COUNTA(G$4308:G5406)=1,"",OFFSET(B5407,-COUNTA(G$4308:G5406)+1,0))</f>
        <v>a1b3p0000095SI8AAM</v>
      </c>
      <c r="C5407" s="512">
        <f ca="1">IF(COUNTA(G$4308:G5406)=1,"",OFFSET(C5407,-COUNTA(G$4308:G5406)+1,0))</f>
        <v>23</v>
      </c>
      <c r="D5407" s="497">
        <f t="shared" si="337"/>
        <v>617</v>
      </c>
      <c r="E5407" s="497">
        <f t="shared" ca="1" si="338"/>
        <v>5</v>
      </c>
      <c r="F5407" s="497">
        <f t="shared" ca="1" si="339"/>
        <v>31</v>
      </c>
      <c r="G5407" s="497"/>
      <c r="H5407" s="503" t="str">
        <f t="shared" ca="1" si="340"/>
        <v/>
      </c>
      <c r="I5407" s="503" t="str">
        <f t="shared" ca="1" si="341"/>
        <v/>
      </c>
      <c r="J5407" s="503" t="str">
        <f t="shared" ca="1" si="342"/>
        <v/>
      </c>
      <c r="K5407" s="503" t="str">
        <f t="shared" ca="1" si="343"/>
        <v/>
      </c>
      <c r="L5407" s="497"/>
      <c r="M5407" s="497"/>
      <c r="N5407" s="497"/>
      <c r="O5407" s="497"/>
      <c r="P5407" s="497">
        <f t="shared" si="344"/>
        <v>0</v>
      </c>
      <c r="Q5407" s="497"/>
    </row>
    <row r="5408" spans="1:17" x14ac:dyDescent="0.35">
      <c r="A5408" s="497" t="b">
        <f t="shared" ca="1" si="336"/>
        <v>0</v>
      </c>
      <c r="B5408" s="510" t="str">
        <f ca="1">IF(COUNTA(G$4308:G5407)=1,"",OFFSET(B5408,-COUNTA(G$4308:G5407)+1,0))</f>
        <v>a1b3p0000095SKiAAM</v>
      </c>
      <c r="C5408" s="512">
        <f ca="1">IF(COUNTA(G$4308:G5407)=1,"",OFFSET(C5408,-COUNTA(G$4308:G5407)+1,0))</f>
        <v>23</v>
      </c>
      <c r="D5408" s="497">
        <f t="shared" si="337"/>
        <v>618</v>
      </c>
      <c r="E5408" s="497">
        <f t="shared" ca="1" si="338"/>
        <v>6</v>
      </c>
      <c r="F5408" s="497">
        <f t="shared" ca="1" si="339"/>
        <v>31</v>
      </c>
      <c r="G5408" s="497"/>
      <c r="H5408" s="503" t="str">
        <f t="shared" ca="1" si="340"/>
        <v/>
      </c>
      <c r="I5408" s="503" t="str">
        <f t="shared" ca="1" si="341"/>
        <v/>
      </c>
      <c r="J5408" s="503" t="str">
        <f t="shared" ca="1" si="342"/>
        <v/>
      </c>
      <c r="K5408" s="503" t="str">
        <f t="shared" ca="1" si="343"/>
        <v/>
      </c>
      <c r="L5408" s="497"/>
      <c r="M5408" s="497"/>
      <c r="N5408" s="497"/>
      <c r="O5408" s="497"/>
      <c r="P5408" s="497">
        <f t="shared" si="344"/>
        <v>0</v>
      </c>
      <c r="Q5408" s="497"/>
    </row>
    <row r="5409" spans="1:17" x14ac:dyDescent="0.35">
      <c r="A5409" s="497" t="b">
        <f t="shared" ca="1" si="336"/>
        <v>0</v>
      </c>
      <c r="B5409" s="510" t="str">
        <f ca="1">IF(COUNTA(G$4308:G5408)=1,"",OFFSET(B5409,-COUNTA(G$4308:G5408)+1,0))</f>
        <v>a1b3p0000095S7pAAE</v>
      </c>
      <c r="C5409" s="512">
        <f ca="1">IF(COUNTA(G$4308:G5408)=1,"",OFFSET(C5409,-COUNTA(G$4308:G5408)+1,0))</f>
        <v>24</v>
      </c>
      <c r="D5409" s="497">
        <f t="shared" si="337"/>
        <v>619</v>
      </c>
      <c r="E5409" s="497">
        <f t="shared" ca="1" si="338"/>
        <v>1</v>
      </c>
      <c r="F5409" s="497">
        <f t="shared" ca="1" si="339"/>
        <v>32</v>
      </c>
      <c r="G5409" s="497"/>
      <c r="H5409" s="503" t="str">
        <f t="shared" ca="1" si="340"/>
        <v/>
      </c>
      <c r="I5409" s="503" t="str">
        <f t="shared" ca="1" si="341"/>
        <v/>
      </c>
      <c r="J5409" s="503" t="str">
        <f t="shared" ca="1" si="342"/>
        <v/>
      </c>
      <c r="K5409" s="503" t="str">
        <f t="shared" ca="1" si="343"/>
        <v/>
      </c>
      <c r="L5409" s="497"/>
      <c r="M5409" s="497"/>
      <c r="N5409" s="497"/>
      <c r="O5409" s="497"/>
      <c r="P5409" s="497">
        <f t="shared" si="344"/>
        <v>0</v>
      </c>
      <c r="Q5409" s="497"/>
    </row>
    <row r="5410" spans="1:17" x14ac:dyDescent="0.35">
      <c r="A5410" s="497" t="b">
        <f t="shared" ca="1" si="336"/>
        <v>0</v>
      </c>
      <c r="B5410" s="510" t="str">
        <f ca="1">IF(COUNTA(G$4308:G5409)=1,"",OFFSET(B5410,-COUNTA(G$4308:G5409)+1,0))</f>
        <v>a1b3p0000095SAPAA2</v>
      </c>
      <c r="C5410" s="512">
        <f ca="1">IF(COUNTA(G$4308:G5409)=1,"",OFFSET(C5410,-COUNTA(G$4308:G5409)+1,0))</f>
        <v>24</v>
      </c>
      <c r="D5410" s="497">
        <f t="shared" si="337"/>
        <v>620</v>
      </c>
      <c r="E5410" s="497">
        <f t="shared" ca="1" si="338"/>
        <v>2</v>
      </c>
      <c r="F5410" s="497">
        <f t="shared" ca="1" si="339"/>
        <v>32</v>
      </c>
      <c r="G5410" s="497"/>
      <c r="H5410" s="503" t="str">
        <f t="shared" ca="1" si="340"/>
        <v/>
      </c>
      <c r="I5410" s="503" t="str">
        <f t="shared" ca="1" si="341"/>
        <v/>
      </c>
      <c r="J5410" s="503" t="str">
        <f t="shared" ca="1" si="342"/>
        <v/>
      </c>
      <c r="K5410" s="503" t="str">
        <f t="shared" ca="1" si="343"/>
        <v/>
      </c>
      <c r="L5410" s="497"/>
      <c r="M5410" s="497"/>
      <c r="N5410" s="497"/>
      <c r="O5410" s="497"/>
      <c r="P5410" s="497">
        <f t="shared" si="344"/>
        <v>0</v>
      </c>
      <c r="Q5410" s="497"/>
    </row>
    <row r="5411" spans="1:17" x14ac:dyDescent="0.35">
      <c r="A5411" s="497" t="b">
        <f t="shared" ca="1" si="336"/>
        <v>0</v>
      </c>
      <c r="B5411" s="510" t="str">
        <f ca="1">IF(COUNTA(G$4308:G5410)=1,"",OFFSET(B5411,-COUNTA(G$4308:G5410)+1,0))</f>
        <v>a1b3p0000095SCzAAM</v>
      </c>
      <c r="C5411" s="512">
        <f ca="1">IF(COUNTA(G$4308:G5410)=1,"",OFFSET(C5411,-COUNTA(G$4308:G5410)+1,0))</f>
        <v>24</v>
      </c>
      <c r="D5411" s="497">
        <f t="shared" si="337"/>
        <v>621</v>
      </c>
      <c r="E5411" s="497">
        <f t="shared" ca="1" si="338"/>
        <v>3</v>
      </c>
      <c r="F5411" s="497">
        <f t="shared" ca="1" si="339"/>
        <v>32</v>
      </c>
      <c r="G5411" s="497"/>
      <c r="H5411" s="503" t="str">
        <f t="shared" ca="1" si="340"/>
        <v/>
      </c>
      <c r="I5411" s="503" t="str">
        <f t="shared" ca="1" si="341"/>
        <v/>
      </c>
      <c r="J5411" s="503" t="str">
        <f t="shared" ca="1" si="342"/>
        <v/>
      </c>
      <c r="K5411" s="503" t="str">
        <f t="shared" ca="1" si="343"/>
        <v/>
      </c>
      <c r="L5411" s="497"/>
      <c r="M5411" s="497"/>
      <c r="N5411" s="497"/>
      <c r="O5411" s="497"/>
      <c r="P5411" s="497">
        <f t="shared" si="344"/>
        <v>0</v>
      </c>
      <c r="Q5411" s="497"/>
    </row>
    <row r="5412" spans="1:17" x14ac:dyDescent="0.35">
      <c r="A5412" s="497" t="b">
        <f t="shared" ca="1" si="336"/>
        <v>0</v>
      </c>
      <c r="B5412" s="510" t="str">
        <f ca="1">IF(COUNTA(G$4308:G5411)=1,"",OFFSET(B5412,-COUNTA(G$4308:G5411)+1,0))</f>
        <v>a1b3p0000095SFZAA2</v>
      </c>
      <c r="C5412" s="512">
        <f ca="1">IF(COUNTA(G$4308:G5411)=1,"",OFFSET(C5412,-COUNTA(G$4308:G5411)+1,0))</f>
        <v>24</v>
      </c>
      <c r="D5412" s="497">
        <f t="shared" si="337"/>
        <v>622</v>
      </c>
      <c r="E5412" s="497">
        <f t="shared" ca="1" si="338"/>
        <v>4</v>
      </c>
      <c r="F5412" s="497">
        <f t="shared" ca="1" si="339"/>
        <v>32</v>
      </c>
      <c r="G5412" s="497"/>
      <c r="H5412" s="503" t="str">
        <f t="shared" ca="1" si="340"/>
        <v/>
      </c>
      <c r="I5412" s="503" t="str">
        <f t="shared" ca="1" si="341"/>
        <v/>
      </c>
      <c r="J5412" s="503" t="str">
        <f t="shared" ca="1" si="342"/>
        <v/>
      </c>
      <c r="K5412" s="503" t="str">
        <f t="shared" ca="1" si="343"/>
        <v/>
      </c>
      <c r="L5412" s="497"/>
      <c r="M5412" s="497"/>
      <c r="N5412" s="497"/>
      <c r="O5412" s="497"/>
      <c r="P5412" s="497">
        <f t="shared" si="344"/>
        <v>0</v>
      </c>
      <c r="Q5412" s="497"/>
    </row>
    <row r="5413" spans="1:17" x14ac:dyDescent="0.35">
      <c r="A5413" s="497" t="b">
        <f t="shared" ca="1" si="336"/>
        <v>0</v>
      </c>
      <c r="B5413" s="510" t="str">
        <f ca="1">IF(COUNTA(G$4308:G5412)=1,"",OFFSET(B5413,-COUNTA(G$4308:G5412)+1,0))</f>
        <v>a1b3p0000095SI9AAM</v>
      </c>
      <c r="C5413" s="512">
        <f ca="1">IF(COUNTA(G$4308:G5412)=1,"",OFFSET(C5413,-COUNTA(G$4308:G5412)+1,0))</f>
        <v>24</v>
      </c>
      <c r="D5413" s="497">
        <f t="shared" si="337"/>
        <v>623</v>
      </c>
      <c r="E5413" s="497">
        <f t="shared" ca="1" si="338"/>
        <v>5</v>
      </c>
      <c r="F5413" s="497">
        <f t="shared" ca="1" si="339"/>
        <v>32</v>
      </c>
      <c r="G5413" s="497"/>
      <c r="H5413" s="503" t="str">
        <f t="shared" ca="1" si="340"/>
        <v/>
      </c>
      <c r="I5413" s="503" t="str">
        <f t="shared" ca="1" si="341"/>
        <v/>
      </c>
      <c r="J5413" s="503" t="str">
        <f t="shared" ca="1" si="342"/>
        <v/>
      </c>
      <c r="K5413" s="503" t="str">
        <f t="shared" ca="1" si="343"/>
        <v/>
      </c>
      <c r="L5413" s="497"/>
      <c r="M5413" s="497"/>
      <c r="N5413" s="497"/>
      <c r="O5413" s="497"/>
      <c r="P5413" s="497">
        <f t="shared" si="344"/>
        <v>0</v>
      </c>
      <c r="Q5413" s="497"/>
    </row>
    <row r="5414" spans="1:17" x14ac:dyDescent="0.35">
      <c r="A5414" s="497" t="b">
        <f t="shared" ca="1" si="336"/>
        <v>0</v>
      </c>
      <c r="B5414" s="510" t="str">
        <f ca="1">IF(COUNTA(G$4308:G5413)=1,"",OFFSET(B5414,-COUNTA(G$4308:G5413)+1,0))</f>
        <v>a1b3p0000095SKjAAM</v>
      </c>
      <c r="C5414" s="512">
        <f ca="1">IF(COUNTA(G$4308:G5413)=1,"",OFFSET(C5414,-COUNTA(G$4308:G5413)+1,0))</f>
        <v>24</v>
      </c>
      <c r="D5414" s="497">
        <f t="shared" si="337"/>
        <v>624</v>
      </c>
      <c r="E5414" s="497">
        <f t="shared" ca="1" si="338"/>
        <v>6</v>
      </c>
      <c r="F5414" s="497">
        <f t="shared" ca="1" si="339"/>
        <v>32</v>
      </c>
      <c r="G5414" s="497"/>
      <c r="H5414" s="503" t="str">
        <f t="shared" ca="1" si="340"/>
        <v/>
      </c>
      <c r="I5414" s="503" t="str">
        <f t="shared" ca="1" si="341"/>
        <v/>
      </c>
      <c r="J5414" s="503" t="str">
        <f t="shared" ca="1" si="342"/>
        <v/>
      </c>
      <c r="K5414" s="503" t="str">
        <f t="shared" ca="1" si="343"/>
        <v/>
      </c>
      <c r="L5414" s="497"/>
      <c r="M5414" s="497"/>
      <c r="N5414" s="497"/>
      <c r="O5414" s="497"/>
      <c r="P5414" s="497">
        <f t="shared" si="344"/>
        <v>0</v>
      </c>
      <c r="Q5414" s="497"/>
    </row>
    <row r="5415" spans="1:17" x14ac:dyDescent="0.35">
      <c r="A5415" s="497" t="b">
        <f t="shared" ca="1" si="336"/>
        <v>0</v>
      </c>
      <c r="B5415" s="510" t="str">
        <f ca="1">IF(COUNTA(G$4308:G5414)=1,"",OFFSET(B5415,-COUNTA(G$4308:G5414)+1,0))</f>
        <v>a1b3p0000095S7qAAE</v>
      </c>
      <c r="C5415" s="512">
        <f ca="1">IF(COUNTA(G$4308:G5414)=1,"",OFFSET(C5415,-COUNTA(G$4308:G5414)+1,0))</f>
        <v>25</v>
      </c>
      <c r="D5415" s="497">
        <f t="shared" si="337"/>
        <v>625</v>
      </c>
      <c r="E5415" s="497">
        <f t="shared" ca="1" si="338"/>
        <v>1</v>
      </c>
      <c r="F5415" s="497">
        <f t="shared" ca="1" si="339"/>
        <v>33</v>
      </c>
      <c r="G5415" s="497"/>
      <c r="H5415" s="503" t="str">
        <f t="shared" ca="1" si="340"/>
        <v/>
      </c>
      <c r="I5415" s="503" t="str">
        <f t="shared" ca="1" si="341"/>
        <v/>
      </c>
      <c r="J5415" s="503" t="str">
        <f t="shared" ca="1" si="342"/>
        <v/>
      </c>
      <c r="K5415" s="503" t="str">
        <f t="shared" ca="1" si="343"/>
        <v/>
      </c>
      <c r="L5415" s="497"/>
      <c r="M5415" s="497"/>
      <c r="N5415" s="497"/>
      <c r="O5415" s="497"/>
      <c r="P5415" s="497">
        <f t="shared" si="344"/>
        <v>0</v>
      </c>
      <c r="Q5415" s="497"/>
    </row>
    <row r="5416" spans="1:17" x14ac:dyDescent="0.35">
      <c r="A5416" s="497" t="b">
        <f t="shared" ca="1" si="336"/>
        <v>0</v>
      </c>
      <c r="B5416" s="510" t="str">
        <f ca="1">IF(COUNTA(G$4308:G5415)=1,"",OFFSET(B5416,-COUNTA(G$4308:G5415)+1,0))</f>
        <v>a1b3p0000095SAQAA2</v>
      </c>
      <c r="C5416" s="512">
        <f ca="1">IF(COUNTA(G$4308:G5415)=1,"",OFFSET(C5416,-COUNTA(G$4308:G5415)+1,0))</f>
        <v>25</v>
      </c>
      <c r="D5416" s="497">
        <f t="shared" si="337"/>
        <v>626</v>
      </c>
      <c r="E5416" s="497">
        <f t="shared" ca="1" si="338"/>
        <v>2</v>
      </c>
      <c r="F5416" s="497">
        <f t="shared" ca="1" si="339"/>
        <v>33</v>
      </c>
      <c r="G5416" s="497"/>
      <c r="H5416" s="503" t="str">
        <f t="shared" ca="1" si="340"/>
        <v/>
      </c>
      <c r="I5416" s="503" t="str">
        <f t="shared" ca="1" si="341"/>
        <v/>
      </c>
      <c r="J5416" s="503" t="str">
        <f t="shared" ca="1" si="342"/>
        <v/>
      </c>
      <c r="K5416" s="503" t="str">
        <f t="shared" ca="1" si="343"/>
        <v/>
      </c>
      <c r="L5416" s="497"/>
      <c r="M5416" s="497"/>
      <c r="N5416" s="497"/>
      <c r="O5416" s="497"/>
      <c r="P5416" s="497">
        <f t="shared" si="344"/>
        <v>0</v>
      </c>
      <c r="Q5416" s="497"/>
    </row>
    <row r="5417" spans="1:17" x14ac:dyDescent="0.35">
      <c r="A5417" s="497" t="b">
        <f t="shared" ca="1" si="336"/>
        <v>0</v>
      </c>
      <c r="B5417" s="510" t="str">
        <f ca="1">IF(COUNTA(G$4308:G5416)=1,"",OFFSET(B5417,-COUNTA(G$4308:G5416)+1,0))</f>
        <v>a1b3p0000095SD0AAM</v>
      </c>
      <c r="C5417" s="512">
        <f ca="1">IF(COUNTA(G$4308:G5416)=1,"",OFFSET(C5417,-COUNTA(G$4308:G5416)+1,0))</f>
        <v>25</v>
      </c>
      <c r="D5417" s="497">
        <f t="shared" si="337"/>
        <v>627</v>
      </c>
      <c r="E5417" s="497">
        <f t="shared" ca="1" si="338"/>
        <v>3</v>
      </c>
      <c r="F5417" s="497">
        <f t="shared" ca="1" si="339"/>
        <v>33</v>
      </c>
      <c r="G5417" s="497"/>
      <c r="H5417" s="503" t="str">
        <f t="shared" ca="1" si="340"/>
        <v/>
      </c>
      <c r="I5417" s="503" t="str">
        <f t="shared" ca="1" si="341"/>
        <v/>
      </c>
      <c r="J5417" s="503" t="str">
        <f t="shared" ca="1" si="342"/>
        <v/>
      </c>
      <c r="K5417" s="503" t="str">
        <f t="shared" ca="1" si="343"/>
        <v/>
      </c>
      <c r="L5417" s="497"/>
      <c r="M5417" s="497"/>
      <c r="N5417" s="497"/>
      <c r="O5417" s="497"/>
      <c r="P5417" s="497">
        <f t="shared" si="344"/>
        <v>0</v>
      </c>
      <c r="Q5417" s="497"/>
    </row>
    <row r="5418" spans="1:17" x14ac:dyDescent="0.35">
      <c r="A5418" s="497" t="b">
        <f t="shared" ca="1" si="336"/>
        <v>0</v>
      </c>
      <c r="B5418" s="510" t="str">
        <f ca="1">IF(COUNTA(G$4308:G5417)=1,"",OFFSET(B5418,-COUNTA(G$4308:G5417)+1,0))</f>
        <v>a1b3p0000095SFaAAM</v>
      </c>
      <c r="C5418" s="512">
        <f ca="1">IF(COUNTA(G$4308:G5417)=1,"",OFFSET(C5418,-COUNTA(G$4308:G5417)+1,0))</f>
        <v>25</v>
      </c>
      <c r="D5418" s="497">
        <f t="shared" si="337"/>
        <v>628</v>
      </c>
      <c r="E5418" s="497">
        <f t="shared" ca="1" si="338"/>
        <v>4</v>
      </c>
      <c r="F5418" s="497">
        <f t="shared" ca="1" si="339"/>
        <v>33</v>
      </c>
      <c r="G5418" s="497"/>
      <c r="H5418" s="503" t="str">
        <f t="shared" ca="1" si="340"/>
        <v/>
      </c>
      <c r="I5418" s="503" t="str">
        <f t="shared" ca="1" si="341"/>
        <v/>
      </c>
      <c r="J5418" s="503" t="str">
        <f t="shared" ca="1" si="342"/>
        <v/>
      </c>
      <c r="K5418" s="503" t="str">
        <f t="shared" ca="1" si="343"/>
        <v/>
      </c>
      <c r="L5418" s="497"/>
      <c r="M5418" s="497"/>
      <c r="N5418" s="497"/>
      <c r="O5418" s="497"/>
      <c r="P5418" s="497">
        <f t="shared" si="344"/>
        <v>0</v>
      </c>
      <c r="Q5418" s="497"/>
    </row>
    <row r="5419" spans="1:17" x14ac:dyDescent="0.35">
      <c r="A5419" s="497" t="b">
        <f t="shared" ca="1" si="336"/>
        <v>0</v>
      </c>
      <c r="B5419" s="510" t="str">
        <f ca="1">IF(COUNTA(G$4308:G5418)=1,"",OFFSET(B5419,-COUNTA(G$4308:G5418)+1,0))</f>
        <v>a1b3p0000095SIAAA2</v>
      </c>
      <c r="C5419" s="512">
        <f ca="1">IF(COUNTA(G$4308:G5418)=1,"",OFFSET(C5419,-COUNTA(G$4308:G5418)+1,0))</f>
        <v>25</v>
      </c>
      <c r="D5419" s="497">
        <f t="shared" si="337"/>
        <v>629</v>
      </c>
      <c r="E5419" s="497">
        <f t="shared" ca="1" si="338"/>
        <v>5</v>
      </c>
      <c r="F5419" s="497">
        <f t="shared" ca="1" si="339"/>
        <v>33</v>
      </c>
      <c r="G5419" s="497"/>
      <c r="H5419" s="503" t="str">
        <f t="shared" ca="1" si="340"/>
        <v/>
      </c>
      <c r="I5419" s="503" t="str">
        <f t="shared" ca="1" si="341"/>
        <v/>
      </c>
      <c r="J5419" s="503" t="str">
        <f t="shared" ca="1" si="342"/>
        <v/>
      </c>
      <c r="K5419" s="503" t="str">
        <f t="shared" ca="1" si="343"/>
        <v/>
      </c>
      <c r="L5419" s="497"/>
      <c r="M5419" s="497"/>
      <c r="N5419" s="497"/>
      <c r="O5419" s="497"/>
      <c r="P5419" s="497">
        <f t="shared" si="344"/>
        <v>0</v>
      </c>
      <c r="Q5419" s="497"/>
    </row>
    <row r="5420" spans="1:17" x14ac:dyDescent="0.35">
      <c r="A5420" s="497" t="b">
        <f t="shared" ca="1" si="336"/>
        <v>0</v>
      </c>
      <c r="B5420" s="510" t="str">
        <f ca="1">IF(COUNTA(G$4308:G5419)=1,"",OFFSET(B5420,-COUNTA(G$4308:G5419)+1,0))</f>
        <v>a1b3p0000095SKkAAM</v>
      </c>
      <c r="C5420" s="512">
        <f ca="1">IF(COUNTA(G$4308:G5419)=1,"",OFFSET(C5420,-COUNTA(G$4308:G5419)+1,0))</f>
        <v>25</v>
      </c>
      <c r="D5420" s="497">
        <f t="shared" si="337"/>
        <v>630</v>
      </c>
      <c r="E5420" s="497">
        <f t="shared" ca="1" si="338"/>
        <v>6</v>
      </c>
      <c r="F5420" s="497">
        <f t="shared" ca="1" si="339"/>
        <v>33</v>
      </c>
      <c r="G5420" s="497"/>
      <c r="H5420" s="503" t="str">
        <f t="shared" ca="1" si="340"/>
        <v/>
      </c>
      <c r="I5420" s="503" t="str">
        <f t="shared" ca="1" si="341"/>
        <v/>
      </c>
      <c r="J5420" s="503" t="str">
        <f t="shared" ca="1" si="342"/>
        <v/>
      </c>
      <c r="K5420" s="503" t="str">
        <f t="shared" ca="1" si="343"/>
        <v/>
      </c>
      <c r="L5420" s="497"/>
      <c r="M5420" s="497"/>
      <c r="N5420" s="497"/>
      <c r="O5420" s="497"/>
      <c r="P5420" s="497">
        <f t="shared" si="344"/>
        <v>0</v>
      </c>
      <c r="Q5420" s="497"/>
    </row>
    <row r="5421" spans="1:17" x14ac:dyDescent="0.35">
      <c r="A5421" s="497" t="b">
        <f t="shared" ca="1" si="336"/>
        <v>0</v>
      </c>
      <c r="B5421" s="510" t="str">
        <f ca="1">IF(COUNTA(G$4308:G5420)=1,"",OFFSET(B5421,-COUNTA(G$4308:G5420)+1,0))</f>
        <v>a1b3p0000095S7rAAE</v>
      </c>
      <c r="C5421" s="512">
        <f ca="1">IF(COUNTA(G$4308:G5420)=1,"",OFFSET(C5421,-COUNTA(G$4308:G5420)+1,0))</f>
        <v>26</v>
      </c>
      <c r="D5421" s="497">
        <f t="shared" si="337"/>
        <v>631</v>
      </c>
      <c r="E5421" s="497">
        <f t="shared" ca="1" si="338"/>
        <v>1</v>
      </c>
      <c r="F5421" s="497">
        <f t="shared" ca="1" si="339"/>
        <v>34</v>
      </c>
      <c r="G5421" s="497"/>
      <c r="H5421" s="503" t="str">
        <f t="shared" ca="1" si="340"/>
        <v/>
      </c>
      <c r="I5421" s="503" t="str">
        <f t="shared" ca="1" si="341"/>
        <v/>
      </c>
      <c r="J5421" s="503" t="str">
        <f t="shared" ca="1" si="342"/>
        <v/>
      </c>
      <c r="K5421" s="503" t="str">
        <f t="shared" ca="1" si="343"/>
        <v/>
      </c>
      <c r="L5421" s="497"/>
      <c r="M5421" s="497"/>
      <c r="N5421" s="497"/>
      <c r="O5421" s="497"/>
      <c r="P5421" s="497">
        <f t="shared" si="344"/>
        <v>0</v>
      </c>
      <c r="Q5421" s="497"/>
    </row>
    <row r="5422" spans="1:17" x14ac:dyDescent="0.35">
      <c r="A5422" s="497" t="b">
        <f t="shared" ca="1" si="336"/>
        <v>0</v>
      </c>
      <c r="B5422" s="510" t="str">
        <f ca="1">IF(COUNTA(G$4308:G5421)=1,"",OFFSET(B5422,-COUNTA(G$4308:G5421)+1,0))</f>
        <v>a1b3p0000095SARAA2</v>
      </c>
      <c r="C5422" s="512">
        <f ca="1">IF(COUNTA(G$4308:G5421)=1,"",OFFSET(C5422,-COUNTA(G$4308:G5421)+1,0))</f>
        <v>26</v>
      </c>
      <c r="D5422" s="497">
        <f t="shared" si="337"/>
        <v>632</v>
      </c>
      <c r="E5422" s="497">
        <f t="shared" ca="1" si="338"/>
        <v>2</v>
      </c>
      <c r="F5422" s="497">
        <f t="shared" ca="1" si="339"/>
        <v>34</v>
      </c>
      <c r="G5422" s="497"/>
      <c r="H5422" s="503" t="str">
        <f t="shared" ca="1" si="340"/>
        <v/>
      </c>
      <c r="I5422" s="503" t="str">
        <f t="shared" ca="1" si="341"/>
        <v/>
      </c>
      <c r="J5422" s="503" t="str">
        <f t="shared" ca="1" si="342"/>
        <v/>
      </c>
      <c r="K5422" s="503" t="str">
        <f t="shared" ca="1" si="343"/>
        <v/>
      </c>
      <c r="L5422" s="497"/>
      <c r="M5422" s="497"/>
      <c r="N5422" s="497"/>
      <c r="O5422" s="497"/>
      <c r="P5422" s="497">
        <f t="shared" si="344"/>
        <v>0</v>
      </c>
      <c r="Q5422" s="497"/>
    </row>
    <row r="5423" spans="1:17" x14ac:dyDescent="0.35">
      <c r="A5423" s="497" t="b">
        <f t="shared" ca="1" si="336"/>
        <v>0</v>
      </c>
      <c r="B5423" s="510" t="str">
        <f ca="1">IF(COUNTA(G$4308:G5422)=1,"",OFFSET(B5423,-COUNTA(G$4308:G5422)+1,0))</f>
        <v>a1b3p0000095SD1AAM</v>
      </c>
      <c r="C5423" s="512">
        <f ca="1">IF(COUNTA(G$4308:G5422)=1,"",OFFSET(C5423,-COUNTA(G$4308:G5422)+1,0))</f>
        <v>26</v>
      </c>
      <c r="D5423" s="497">
        <f t="shared" si="337"/>
        <v>633</v>
      </c>
      <c r="E5423" s="497">
        <f t="shared" ca="1" si="338"/>
        <v>3</v>
      </c>
      <c r="F5423" s="497">
        <f t="shared" ca="1" si="339"/>
        <v>34</v>
      </c>
      <c r="G5423" s="497"/>
      <c r="H5423" s="503" t="str">
        <f t="shared" ca="1" si="340"/>
        <v/>
      </c>
      <c r="I5423" s="503" t="str">
        <f t="shared" ca="1" si="341"/>
        <v/>
      </c>
      <c r="J5423" s="503" t="str">
        <f t="shared" ca="1" si="342"/>
        <v/>
      </c>
      <c r="K5423" s="503" t="str">
        <f t="shared" ca="1" si="343"/>
        <v/>
      </c>
      <c r="L5423" s="497"/>
      <c r="M5423" s="497"/>
      <c r="N5423" s="497"/>
      <c r="O5423" s="497"/>
      <c r="P5423" s="497">
        <f t="shared" si="344"/>
        <v>0</v>
      </c>
      <c r="Q5423" s="497"/>
    </row>
    <row r="5424" spans="1:17" x14ac:dyDescent="0.35">
      <c r="A5424" s="497" t="b">
        <f t="shared" ca="1" si="336"/>
        <v>0</v>
      </c>
      <c r="B5424" s="510" t="str">
        <f ca="1">IF(COUNTA(G$4308:G5423)=1,"",OFFSET(B5424,-COUNTA(G$4308:G5423)+1,0))</f>
        <v>a1b3p0000095SFbAAM</v>
      </c>
      <c r="C5424" s="512">
        <f ca="1">IF(COUNTA(G$4308:G5423)=1,"",OFFSET(C5424,-COUNTA(G$4308:G5423)+1,0))</f>
        <v>26</v>
      </c>
      <c r="D5424" s="497">
        <f t="shared" si="337"/>
        <v>634</v>
      </c>
      <c r="E5424" s="497">
        <f t="shared" ca="1" si="338"/>
        <v>4</v>
      </c>
      <c r="F5424" s="497">
        <f t="shared" ca="1" si="339"/>
        <v>34</v>
      </c>
      <c r="G5424" s="497"/>
      <c r="H5424" s="503" t="str">
        <f t="shared" ca="1" si="340"/>
        <v/>
      </c>
      <c r="I5424" s="503" t="str">
        <f t="shared" ca="1" si="341"/>
        <v/>
      </c>
      <c r="J5424" s="503" t="str">
        <f t="shared" ca="1" si="342"/>
        <v/>
      </c>
      <c r="K5424" s="503" t="str">
        <f t="shared" ca="1" si="343"/>
        <v/>
      </c>
      <c r="L5424" s="497"/>
      <c r="M5424" s="497"/>
      <c r="N5424" s="497"/>
      <c r="O5424" s="497"/>
      <c r="P5424" s="497">
        <f t="shared" si="344"/>
        <v>0</v>
      </c>
      <c r="Q5424" s="497"/>
    </row>
    <row r="5425" spans="1:17" x14ac:dyDescent="0.35">
      <c r="A5425" s="497" t="b">
        <f t="shared" ca="1" si="336"/>
        <v>0</v>
      </c>
      <c r="B5425" s="510" t="str">
        <f ca="1">IF(COUNTA(G$4308:G5424)=1,"",OFFSET(B5425,-COUNTA(G$4308:G5424)+1,0))</f>
        <v>a1b3p0000095SIBAA2</v>
      </c>
      <c r="C5425" s="512">
        <f ca="1">IF(COUNTA(G$4308:G5424)=1,"",OFFSET(C5425,-COUNTA(G$4308:G5424)+1,0))</f>
        <v>26</v>
      </c>
      <c r="D5425" s="497">
        <f t="shared" si="337"/>
        <v>635</v>
      </c>
      <c r="E5425" s="497">
        <f t="shared" ca="1" si="338"/>
        <v>5</v>
      </c>
      <c r="F5425" s="497">
        <f t="shared" ca="1" si="339"/>
        <v>34</v>
      </c>
      <c r="G5425" s="497"/>
      <c r="H5425" s="503" t="str">
        <f t="shared" ca="1" si="340"/>
        <v/>
      </c>
      <c r="I5425" s="503" t="str">
        <f t="shared" ca="1" si="341"/>
        <v/>
      </c>
      <c r="J5425" s="503" t="str">
        <f t="shared" ca="1" si="342"/>
        <v/>
      </c>
      <c r="K5425" s="503" t="str">
        <f t="shared" ca="1" si="343"/>
        <v/>
      </c>
      <c r="L5425" s="497"/>
      <c r="M5425" s="497"/>
      <c r="N5425" s="497"/>
      <c r="O5425" s="497"/>
      <c r="P5425" s="497">
        <f t="shared" si="344"/>
        <v>0</v>
      </c>
      <c r="Q5425" s="497"/>
    </row>
    <row r="5426" spans="1:17" x14ac:dyDescent="0.35">
      <c r="A5426" s="497" t="b">
        <f t="shared" ca="1" si="336"/>
        <v>0</v>
      </c>
      <c r="B5426" s="510" t="str">
        <f ca="1">IF(COUNTA(G$4308:G5425)=1,"",OFFSET(B5426,-COUNTA(G$4308:G5425)+1,0))</f>
        <v>a1b3p0000095SKlAAM</v>
      </c>
      <c r="C5426" s="512">
        <f ca="1">IF(COUNTA(G$4308:G5425)=1,"",OFFSET(C5426,-COUNTA(G$4308:G5425)+1,0))</f>
        <v>26</v>
      </c>
      <c r="D5426" s="497">
        <f t="shared" si="337"/>
        <v>636</v>
      </c>
      <c r="E5426" s="497">
        <f t="shared" ca="1" si="338"/>
        <v>6</v>
      </c>
      <c r="F5426" s="497">
        <f t="shared" ca="1" si="339"/>
        <v>34</v>
      </c>
      <c r="G5426" s="497"/>
      <c r="H5426" s="503" t="str">
        <f t="shared" ca="1" si="340"/>
        <v/>
      </c>
      <c r="I5426" s="503" t="str">
        <f t="shared" ca="1" si="341"/>
        <v/>
      </c>
      <c r="J5426" s="503" t="str">
        <f t="shared" ca="1" si="342"/>
        <v/>
      </c>
      <c r="K5426" s="503" t="str">
        <f t="shared" ca="1" si="343"/>
        <v/>
      </c>
      <c r="L5426" s="497"/>
      <c r="M5426" s="497"/>
      <c r="N5426" s="497"/>
      <c r="O5426" s="497"/>
      <c r="P5426" s="497">
        <f t="shared" si="344"/>
        <v>0</v>
      </c>
      <c r="Q5426" s="497"/>
    </row>
    <row r="5427" spans="1:17" x14ac:dyDescent="0.35">
      <c r="A5427" s="497" t="b">
        <f t="shared" ca="1" si="336"/>
        <v>0</v>
      </c>
      <c r="B5427" s="510" t="str">
        <f ca="1">IF(COUNTA(G$4308:G5426)=1,"",OFFSET(B5427,-COUNTA(G$4308:G5426)+1,0))</f>
        <v>a1b3p0000095S7sAAE</v>
      </c>
      <c r="C5427" s="512">
        <f ca="1">IF(COUNTA(G$4308:G5426)=1,"",OFFSET(C5427,-COUNTA(G$4308:G5426)+1,0))</f>
        <v>27</v>
      </c>
      <c r="D5427" s="497">
        <f t="shared" si="337"/>
        <v>637</v>
      </c>
      <c r="E5427" s="497">
        <f t="shared" ca="1" si="338"/>
        <v>1</v>
      </c>
      <c r="F5427" s="497">
        <f t="shared" ca="1" si="339"/>
        <v>35</v>
      </c>
      <c r="G5427" s="497"/>
      <c r="H5427" s="503" t="str">
        <f t="shared" ca="1" si="340"/>
        <v/>
      </c>
      <c r="I5427" s="503" t="str">
        <f t="shared" ca="1" si="341"/>
        <v/>
      </c>
      <c r="J5427" s="503" t="str">
        <f t="shared" ca="1" si="342"/>
        <v/>
      </c>
      <c r="K5427" s="503" t="str">
        <f t="shared" ca="1" si="343"/>
        <v/>
      </c>
      <c r="L5427" s="497"/>
      <c r="M5427" s="497"/>
      <c r="N5427" s="497"/>
      <c r="O5427" s="497"/>
      <c r="P5427" s="497">
        <f t="shared" si="344"/>
        <v>0</v>
      </c>
      <c r="Q5427" s="497"/>
    </row>
    <row r="5428" spans="1:17" x14ac:dyDescent="0.35">
      <c r="A5428" s="497" t="b">
        <f t="shared" ca="1" si="336"/>
        <v>0</v>
      </c>
      <c r="B5428" s="510" t="str">
        <f ca="1">IF(COUNTA(G$4308:G5427)=1,"",OFFSET(B5428,-COUNTA(G$4308:G5427)+1,0))</f>
        <v>a1b3p0000095SASAA2</v>
      </c>
      <c r="C5428" s="512">
        <f ca="1">IF(COUNTA(G$4308:G5427)=1,"",OFFSET(C5428,-COUNTA(G$4308:G5427)+1,0))</f>
        <v>27</v>
      </c>
      <c r="D5428" s="497">
        <f t="shared" si="337"/>
        <v>638</v>
      </c>
      <c r="E5428" s="497">
        <f t="shared" ca="1" si="338"/>
        <v>2</v>
      </c>
      <c r="F5428" s="497">
        <f t="shared" ca="1" si="339"/>
        <v>35</v>
      </c>
      <c r="G5428" s="497"/>
      <c r="H5428" s="503" t="str">
        <f t="shared" ca="1" si="340"/>
        <v/>
      </c>
      <c r="I5428" s="503" t="str">
        <f t="shared" ca="1" si="341"/>
        <v/>
      </c>
      <c r="J5428" s="503" t="str">
        <f t="shared" ca="1" si="342"/>
        <v/>
      </c>
      <c r="K5428" s="503" t="str">
        <f t="shared" ca="1" si="343"/>
        <v/>
      </c>
      <c r="L5428" s="497"/>
      <c r="M5428" s="497"/>
      <c r="N5428" s="497"/>
      <c r="O5428" s="497"/>
      <c r="P5428" s="497">
        <f t="shared" si="344"/>
        <v>0</v>
      </c>
      <c r="Q5428" s="497"/>
    </row>
    <row r="5429" spans="1:17" x14ac:dyDescent="0.35">
      <c r="A5429" s="497" t="b">
        <f t="shared" ca="1" si="336"/>
        <v>0</v>
      </c>
      <c r="B5429" s="510" t="str">
        <f ca="1">IF(COUNTA(G$4308:G5428)=1,"",OFFSET(B5429,-COUNTA(G$4308:G5428)+1,0))</f>
        <v>a1b3p0000095SD2AAM</v>
      </c>
      <c r="C5429" s="512">
        <f ca="1">IF(COUNTA(G$4308:G5428)=1,"",OFFSET(C5429,-COUNTA(G$4308:G5428)+1,0))</f>
        <v>27</v>
      </c>
      <c r="D5429" s="497">
        <f t="shared" si="337"/>
        <v>639</v>
      </c>
      <c r="E5429" s="497">
        <f t="shared" ca="1" si="338"/>
        <v>3</v>
      </c>
      <c r="F5429" s="497">
        <f t="shared" ca="1" si="339"/>
        <v>35</v>
      </c>
      <c r="G5429" s="497"/>
      <c r="H5429" s="503" t="str">
        <f t="shared" ca="1" si="340"/>
        <v/>
      </c>
      <c r="I5429" s="503" t="str">
        <f t="shared" ca="1" si="341"/>
        <v/>
      </c>
      <c r="J5429" s="503" t="str">
        <f t="shared" ca="1" si="342"/>
        <v/>
      </c>
      <c r="K5429" s="503" t="str">
        <f t="shared" ca="1" si="343"/>
        <v/>
      </c>
      <c r="L5429" s="497"/>
      <c r="M5429" s="497"/>
      <c r="N5429" s="497"/>
      <c r="O5429" s="497"/>
      <c r="P5429" s="497">
        <f t="shared" si="344"/>
        <v>0</v>
      </c>
      <c r="Q5429" s="497"/>
    </row>
    <row r="5430" spans="1:17" x14ac:dyDescent="0.35">
      <c r="A5430" s="497" t="b">
        <f t="shared" ca="1" si="336"/>
        <v>0</v>
      </c>
      <c r="B5430" s="510" t="str">
        <f ca="1">IF(COUNTA(G$4308:G5429)=1,"",OFFSET(B5430,-COUNTA(G$4308:G5429)+1,0))</f>
        <v>a1b3p0000095SFcAAM</v>
      </c>
      <c r="C5430" s="512">
        <f ca="1">IF(COUNTA(G$4308:G5429)=1,"",OFFSET(C5430,-COUNTA(G$4308:G5429)+1,0))</f>
        <v>27</v>
      </c>
      <c r="D5430" s="497">
        <f t="shared" si="337"/>
        <v>640</v>
      </c>
      <c r="E5430" s="497">
        <f t="shared" ca="1" si="338"/>
        <v>4</v>
      </c>
      <c r="F5430" s="497">
        <f t="shared" ca="1" si="339"/>
        <v>35</v>
      </c>
      <c r="G5430" s="497"/>
      <c r="H5430" s="503" t="str">
        <f t="shared" ca="1" si="340"/>
        <v/>
      </c>
      <c r="I5430" s="503" t="str">
        <f t="shared" ca="1" si="341"/>
        <v/>
      </c>
      <c r="J5430" s="503" t="str">
        <f t="shared" ca="1" si="342"/>
        <v/>
      </c>
      <c r="K5430" s="503" t="str">
        <f t="shared" ca="1" si="343"/>
        <v/>
      </c>
      <c r="L5430" s="497"/>
      <c r="M5430" s="497"/>
      <c r="N5430" s="497"/>
      <c r="O5430" s="497"/>
      <c r="P5430" s="497">
        <f t="shared" si="344"/>
        <v>0</v>
      </c>
      <c r="Q5430" s="497"/>
    </row>
    <row r="5431" spans="1:17" x14ac:dyDescent="0.35">
      <c r="A5431" s="497" t="b">
        <f t="shared" ca="1" si="336"/>
        <v>0</v>
      </c>
      <c r="B5431" s="510" t="str">
        <f ca="1">IF(COUNTA(G$4308:G5430)=1,"",OFFSET(B5431,-COUNTA(G$4308:G5430)+1,0))</f>
        <v>a1b3p0000095SICAA2</v>
      </c>
      <c r="C5431" s="512">
        <f ca="1">IF(COUNTA(G$4308:G5430)=1,"",OFFSET(C5431,-COUNTA(G$4308:G5430)+1,0))</f>
        <v>27</v>
      </c>
      <c r="D5431" s="497">
        <f t="shared" si="337"/>
        <v>641</v>
      </c>
      <c r="E5431" s="497">
        <f t="shared" ca="1" si="338"/>
        <v>5</v>
      </c>
      <c r="F5431" s="497">
        <f t="shared" ca="1" si="339"/>
        <v>35</v>
      </c>
      <c r="G5431" s="497"/>
      <c r="H5431" s="503" t="str">
        <f t="shared" ca="1" si="340"/>
        <v/>
      </c>
      <c r="I5431" s="503" t="str">
        <f t="shared" ca="1" si="341"/>
        <v/>
      </c>
      <c r="J5431" s="503" t="str">
        <f t="shared" ca="1" si="342"/>
        <v/>
      </c>
      <c r="K5431" s="503" t="str">
        <f t="shared" ca="1" si="343"/>
        <v/>
      </c>
      <c r="L5431" s="497"/>
      <c r="M5431" s="497"/>
      <c r="N5431" s="497"/>
      <c r="O5431" s="497"/>
      <c r="P5431" s="497">
        <f t="shared" si="344"/>
        <v>0</v>
      </c>
      <c r="Q5431" s="497"/>
    </row>
    <row r="5432" spans="1:17" x14ac:dyDescent="0.35">
      <c r="A5432" s="497" t="b">
        <f t="shared" ca="1" si="336"/>
        <v>0</v>
      </c>
      <c r="B5432" s="510" t="str">
        <f ca="1">IF(COUNTA(G$4308:G5431)=1,"",OFFSET(B5432,-COUNTA(G$4308:G5431)+1,0))</f>
        <v>a1b3p0000095SKmAAM</v>
      </c>
      <c r="C5432" s="512">
        <f ca="1">IF(COUNTA(G$4308:G5431)=1,"",OFFSET(C5432,-COUNTA(G$4308:G5431)+1,0))</f>
        <v>27</v>
      </c>
      <c r="D5432" s="497">
        <f t="shared" si="337"/>
        <v>642</v>
      </c>
      <c r="E5432" s="497">
        <f t="shared" ca="1" si="338"/>
        <v>6</v>
      </c>
      <c r="F5432" s="497">
        <f t="shared" ca="1" si="339"/>
        <v>35</v>
      </c>
      <c r="G5432" s="497"/>
      <c r="H5432" s="503" t="str">
        <f t="shared" ca="1" si="340"/>
        <v/>
      </c>
      <c r="I5432" s="503" t="str">
        <f t="shared" ca="1" si="341"/>
        <v/>
      </c>
      <c r="J5432" s="503" t="str">
        <f t="shared" ca="1" si="342"/>
        <v/>
      </c>
      <c r="K5432" s="503" t="str">
        <f t="shared" ca="1" si="343"/>
        <v/>
      </c>
      <c r="L5432" s="497"/>
      <c r="M5432" s="497"/>
      <c r="N5432" s="497"/>
      <c r="O5432" s="497"/>
      <c r="P5432" s="497">
        <f t="shared" si="344"/>
        <v>0</v>
      </c>
      <c r="Q5432" s="497"/>
    </row>
    <row r="5433" spans="1:17" x14ac:dyDescent="0.35">
      <c r="A5433" s="497" t="b">
        <f t="shared" ca="1" si="336"/>
        <v>0</v>
      </c>
      <c r="B5433" s="510" t="str">
        <f ca="1">IF(COUNTA(G$4308:G5432)=1,"",OFFSET(B5433,-COUNTA(G$4308:G5432)+1,0))</f>
        <v>a1b3p0000095S7tAAE</v>
      </c>
      <c r="C5433" s="512">
        <f ca="1">IF(COUNTA(G$4308:G5432)=1,"",OFFSET(C5433,-COUNTA(G$4308:G5432)+1,0))</f>
        <v>28</v>
      </c>
      <c r="D5433" s="497">
        <f t="shared" si="337"/>
        <v>643</v>
      </c>
      <c r="E5433" s="497">
        <f t="shared" ca="1" si="338"/>
        <v>1</v>
      </c>
      <c r="F5433" s="497">
        <f t="shared" ca="1" si="339"/>
        <v>36</v>
      </c>
      <c r="G5433" s="497"/>
      <c r="H5433" s="503" t="str">
        <f t="shared" ca="1" si="340"/>
        <v/>
      </c>
      <c r="I5433" s="503" t="str">
        <f t="shared" ca="1" si="341"/>
        <v/>
      </c>
      <c r="J5433" s="503" t="str">
        <f t="shared" ca="1" si="342"/>
        <v/>
      </c>
      <c r="K5433" s="503" t="str">
        <f t="shared" ca="1" si="343"/>
        <v/>
      </c>
      <c r="L5433" s="497"/>
      <c r="M5433" s="497"/>
      <c r="N5433" s="497"/>
      <c r="O5433" s="497"/>
      <c r="P5433" s="497">
        <f t="shared" si="344"/>
        <v>0</v>
      </c>
      <c r="Q5433" s="497"/>
    </row>
    <row r="5434" spans="1:17" x14ac:dyDescent="0.35">
      <c r="A5434" s="497" t="b">
        <f t="shared" ca="1" si="336"/>
        <v>0</v>
      </c>
      <c r="B5434" s="510" t="str">
        <f ca="1">IF(COUNTA(G$4308:G5433)=1,"",OFFSET(B5434,-COUNTA(G$4308:G5433)+1,0))</f>
        <v>a1b3p0000095SATAA2</v>
      </c>
      <c r="C5434" s="512">
        <f ca="1">IF(COUNTA(G$4308:G5433)=1,"",OFFSET(C5434,-COUNTA(G$4308:G5433)+1,0))</f>
        <v>28</v>
      </c>
      <c r="D5434" s="497">
        <f t="shared" si="337"/>
        <v>644</v>
      </c>
      <c r="E5434" s="497">
        <f t="shared" ca="1" si="338"/>
        <v>2</v>
      </c>
      <c r="F5434" s="497">
        <f t="shared" ca="1" si="339"/>
        <v>36</v>
      </c>
      <c r="G5434" s="497"/>
      <c r="H5434" s="503" t="str">
        <f t="shared" ca="1" si="340"/>
        <v/>
      </c>
      <c r="I5434" s="503" t="str">
        <f t="shared" ca="1" si="341"/>
        <v/>
      </c>
      <c r="J5434" s="503" t="str">
        <f t="shared" ca="1" si="342"/>
        <v/>
      </c>
      <c r="K5434" s="503" t="str">
        <f t="shared" ca="1" si="343"/>
        <v/>
      </c>
      <c r="L5434" s="497"/>
      <c r="M5434" s="497"/>
      <c r="N5434" s="497"/>
      <c r="O5434" s="497"/>
      <c r="P5434" s="497">
        <f t="shared" si="344"/>
        <v>0</v>
      </c>
      <c r="Q5434" s="497"/>
    </row>
    <row r="5435" spans="1:17" x14ac:dyDescent="0.35">
      <c r="A5435" s="497" t="b">
        <f t="shared" ca="1" si="336"/>
        <v>0</v>
      </c>
      <c r="B5435" s="510" t="str">
        <f ca="1">IF(COUNTA(G$4308:G5434)=1,"",OFFSET(B5435,-COUNTA(G$4308:G5434)+1,0))</f>
        <v>a1b3p0000095SD3AAM</v>
      </c>
      <c r="C5435" s="512">
        <f ca="1">IF(COUNTA(G$4308:G5434)=1,"",OFFSET(C5435,-COUNTA(G$4308:G5434)+1,0))</f>
        <v>28</v>
      </c>
      <c r="D5435" s="497">
        <f t="shared" si="337"/>
        <v>645</v>
      </c>
      <c r="E5435" s="497">
        <f t="shared" ca="1" si="338"/>
        <v>3</v>
      </c>
      <c r="F5435" s="497">
        <f t="shared" ca="1" si="339"/>
        <v>36</v>
      </c>
      <c r="G5435" s="497"/>
      <c r="H5435" s="503" t="str">
        <f t="shared" ca="1" si="340"/>
        <v/>
      </c>
      <c r="I5435" s="503" t="str">
        <f t="shared" ca="1" si="341"/>
        <v/>
      </c>
      <c r="J5435" s="503" t="str">
        <f t="shared" ca="1" si="342"/>
        <v/>
      </c>
      <c r="K5435" s="503" t="str">
        <f t="shared" ca="1" si="343"/>
        <v/>
      </c>
      <c r="L5435" s="497"/>
      <c r="M5435" s="497"/>
      <c r="N5435" s="497"/>
      <c r="O5435" s="497"/>
      <c r="P5435" s="497">
        <f t="shared" si="344"/>
        <v>0</v>
      </c>
      <c r="Q5435" s="497"/>
    </row>
    <row r="5436" spans="1:17" x14ac:dyDescent="0.35">
      <c r="A5436" s="497" t="b">
        <f t="shared" ca="1" si="336"/>
        <v>0</v>
      </c>
      <c r="B5436" s="510" t="str">
        <f ca="1">IF(COUNTA(G$4308:G5435)=1,"",OFFSET(B5436,-COUNTA(G$4308:G5435)+1,0))</f>
        <v>a1b3p0000095SFdAAM</v>
      </c>
      <c r="C5436" s="512">
        <f ca="1">IF(COUNTA(G$4308:G5435)=1,"",OFFSET(C5436,-COUNTA(G$4308:G5435)+1,0))</f>
        <v>28</v>
      </c>
      <c r="D5436" s="497">
        <f t="shared" si="337"/>
        <v>646</v>
      </c>
      <c r="E5436" s="497">
        <f t="shared" ca="1" si="338"/>
        <v>4</v>
      </c>
      <c r="F5436" s="497">
        <f t="shared" ca="1" si="339"/>
        <v>36</v>
      </c>
      <c r="G5436" s="497"/>
      <c r="H5436" s="503" t="str">
        <f t="shared" ca="1" si="340"/>
        <v/>
      </c>
      <c r="I5436" s="503" t="str">
        <f t="shared" ca="1" si="341"/>
        <v/>
      </c>
      <c r="J5436" s="503" t="str">
        <f t="shared" ca="1" si="342"/>
        <v/>
      </c>
      <c r="K5436" s="503" t="str">
        <f t="shared" ca="1" si="343"/>
        <v/>
      </c>
      <c r="L5436" s="497"/>
      <c r="M5436" s="497"/>
      <c r="N5436" s="497"/>
      <c r="O5436" s="497"/>
      <c r="P5436" s="497">
        <f t="shared" si="344"/>
        <v>0</v>
      </c>
      <c r="Q5436" s="497"/>
    </row>
    <row r="5437" spans="1:17" x14ac:dyDescent="0.35">
      <c r="A5437" s="497" t="b">
        <f t="shared" ca="1" si="336"/>
        <v>0</v>
      </c>
      <c r="B5437" s="510" t="str">
        <f ca="1">IF(COUNTA(G$4308:G5436)=1,"",OFFSET(B5437,-COUNTA(G$4308:G5436)+1,0))</f>
        <v>a1b3p0000095SIDAA2</v>
      </c>
      <c r="C5437" s="512">
        <f ca="1">IF(COUNTA(G$4308:G5436)=1,"",OFFSET(C5437,-COUNTA(G$4308:G5436)+1,0))</f>
        <v>28</v>
      </c>
      <c r="D5437" s="497">
        <f t="shared" si="337"/>
        <v>647</v>
      </c>
      <c r="E5437" s="497">
        <f t="shared" ca="1" si="338"/>
        <v>5</v>
      </c>
      <c r="F5437" s="497">
        <f t="shared" ca="1" si="339"/>
        <v>36</v>
      </c>
      <c r="G5437" s="497"/>
      <c r="H5437" s="503" t="str">
        <f t="shared" ca="1" si="340"/>
        <v/>
      </c>
      <c r="I5437" s="503" t="str">
        <f t="shared" ca="1" si="341"/>
        <v/>
      </c>
      <c r="J5437" s="503" t="str">
        <f t="shared" ca="1" si="342"/>
        <v/>
      </c>
      <c r="K5437" s="503" t="str">
        <f t="shared" ca="1" si="343"/>
        <v/>
      </c>
      <c r="L5437" s="497"/>
      <c r="M5437" s="497"/>
      <c r="N5437" s="497"/>
      <c r="O5437" s="497"/>
      <c r="P5437" s="497">
        <f t="shared" si="344"/>
        <v>0</v>
      </c>
      <c r="Q5437" s="497"/>
    </row>
    <row r="5438" spans="1:17" x14ac:dyDescent="0.35">
      <c r="A5438" s="497" t="b">
        <f t="shared" ca="1" si="336"/>
        <v>0</v>
      </c>
      <c r="B5438" s="510" t="str">
        <f ca="1">IF(COUNTA(G$4308:G5437)=1,"",OFFSET(B5438,-COUNTA(G$4308:G5437)+1,0))</f>
        <v>a1b3p0000095SKnAAM</v>
      </c>
      <c r="C5438" s="512">
        <f ca="1">IF(COUNTA(G$4308:G5437)=1,"",OFFSET(C5438,-COUNTA(G$4308:G5437)+1,0))</f>
        <v>28</v>
      </c>
      <c r="D5438" s="497">
        <f t="shared" si="337"/>
        <v>648</v>
      </c>
      <c r="E5438" s="497">
        <f t="shared" ca="1" si="338"/>
        <v>6</v>
      </c>
      <c r="F5438" s="497">
        <f t="shared" ca="1" si="339"/>
        <v>36</v>
      </c>
      <c r="G5438" s="497"/>
      <c r="H5438" s="503" t="str">
        <f t="shared" ca="1" si="340"/>
        <v/>
      </c>
      <c r="I5438" s="503" t="str">
        <f t="shared" ca="1" si="341"/>
        <v/>
      </c>
      <c r="J5438" s="503" t="str">
        <f t="shared" ca="1" si="342"/>
        <v/>
      </c>
      <c r="K5438" s="503" t="str">
        <f t="shared" ca="1" si="343"/>
        <v/>
      </c>
      <c r="L5438" s="497"/>
      <c r="M5438" s="497"/>
      <c r="N5438" s="497"/>
      <c r="O5438" s="497"/>
      <c r="P5438" s="497">
        <f t="shared" si="344"/>
        <v>0</v>
      </c>
      <c r="Q5438" s="497"/>
    </row>
    <row r="5439" spans="1:17" x14ac:dyDescent="0.35">
      <c r="A5439" s="497" t="b">
        <f t="shared" ca="1" si="336"/>
        <v>0</v>
      </c>
      <c r="B5439" s="510" t="str">
        <f ca="1">IF(COUNTA(G$4308:G5438)=1,"",OFFSET(B5439,-COUNTA(G$4308:G5438)+1,0))</f>
        <v>a1b3p0000095S7uAAE</v>
      </c>
      <c r="C5439" s="512">
        <f ca="1">IF(COUNTA(G$4308:G5438)=1,"",OFFSET(C5439,-COUNTA(G$4308:G5438)+1,0))</f>
        <v>29</v>
      </c>
      <c r="D5439" s="497">
        <f t="shared" si="337"/>
        <v>649</v>
      </c>
      <c r="E5439" s="497">
        <f t="shared" ca="1" si="338"/>
        <v>1</v>
      </c>
      <c r="F5439" s="497">
        <f t="shared" ca="1" si="339"/>
        <v>37</v>
      </c>
      <c r="G5439" s="497"/>
      <c r="H5439" s="503" t="str">
        <f t="shared" ca="1" si="340"/>
        <v/>
      </c>
      <c r="I5439" s="503" t="str">
        <f t="shared" ca="1" si="341"/>
        <v/>
      </c>
      <c r="J5439" s="503" t="str">
        <f t="shared" ca="1" si="342"/>
        <v/>
      </c>
      <c r="K5439" s="503" t="str">
        <f t="shared" ca="1" si="343"/>
        <v/>
      </c>
      <c r="L5439" s="497"/>
      <c r="M5439" s="497"/>
      <c r="N5439" s="497"/>
      <c r="O5439" s="497"/>
      <c r="P5439" s="497">
        <f t="shared" si="344"/>
        <v>0</v>
      </c>
      <c r="Q5439" s="497"/>
    </row>
    <row r="5440" spans="1:17" x14ac:dyDescent="0.35">
      <c r="A5440" s="497" t="b">
        <f t="shared" ca="1" si="336"/>
        <v>0</v>
      </c>
      <c r="B5440" s="510" t="str">
        <f ca="1">IF(COUNTA(G$4308:G5439)=1,"",OFFSET(B5440,-COUNTA(G$4308:G5439)+1,0))</f>
        <v>a1b3p0000095SAUAA2</v>
      </c>
      <c r="C5440" s="512">
        <f ca="1">IF(COUNTA(G$4308:G5439)=1,"",OFFSET(C5440,-COUNTA(G$4308:G5439)+1,0))</f>
        <v>29</v>
      </c>
      <c r="D5440" s="497">
        <f t="shared" si="337"/>
        <v>650</v>
      </c>
      <c r="E5440" s="497">
        <f t="shared" ca="1" si="338"/>
        <v>2</v>
      </c>
      <c r="F5440" s="497">
        <f t="shared" ca="1" si="339"/>
        <v>37</v>
      </c>
      <c r="G5440" s="497"/>
      <c r="H5440" s="503" t="str">
        <f t="shared" ca="1" si="340"/>
        <v/>
      </c>
      <c r="I5440" s="503" t="str">
        <f t="shared" ca="1" si="341"/>
        <v/>
      </c>
      <c r="J5440" s="503" t="str">
        <f t="shared" ca="1" si="342"/>
        <v/>
      </c>
      <c r="K5440" s="503" t="str">
        <f t="shared" ca="1" si="343"/>
        <v/>
      </c>
      <c r="L5440" s="497"/>
      <c r="M5440" s="497"/>
      <c r="N5440" s="497"/>
      <c r="O5440" s="497"/>
      <c r="P5440" s="497">
        <f t="shared" si="344"/>
        <v>0</v>
      </c>
      <c r="Q5440" s="497"/>
    </row>
    <row r="5441" spans="1:17" x14ac:dyDescent="0.35">
      <c r="A5441" s="497" t="b">
        <f t="shared" ca="1" si="336"/>
        <v>0</v>
      </c>
      <c r="B5441" s="510" t="str">
        <f ca="1">IF(COUNTA(G$4308:G5440)=1,"",OFFSET(B5441,-COUNTA(G$4308:G5440)+1,0))</f>
        <v>a1b3p0000095SD4AAM</v>
      </c>
      <c r="C5441" s="512">
        <f ca="1">IF(COUNTA(G$4308:G5440)=1,"",OFFSET(C5441,-COUNTA(G$4308:G5440)+1,0))</f>
        <v>29</v>
      </c>
      <c r="D5441" s="497">
        <f t="shared" si="337"/>
        <v>651</v>
      </c>
      <c r="E5441" s="497">
        <f t="shared" ca="1" si="338"/>
        <v>3</v>
      </c>
      <c r="F5441" s="497">
        <f t="shared" ca="1" si="339"/>
        <v>37</v>
      </c>
      <c r="G5441" s="497"/>
      <c r="H5441" s="503" t="str">
        <f t="shared" ca="1" si="340"/>
        <v/>
      </c>
      <c r="I5441" s="503" t="str">
        <f t="shared" ca="1" si="341"/>
        <v/>
      </c>
      <c r="J5441" s="503" t="str">
        <f t="shared" ca="1" si="342"/>
        <v/>
      </c>
      <c r="K5441" s="503" t="str">
        <f t="shared" ca="1" si="343"/>
        <v/>
      </c>
      <c r="L5441" s="497"/>
      <c r="M5441" s="497"/>
      <c r="N5441" s="497"/>
      <c r="O5441" s="497"/>
      <c r="P5441" s="497">
        <f t="shared" si="344"/>
        <v>0</v>
      </c>
      <c r="Q5441" s="497"/>
    </row>
    <row r="5442" spans="1:17" x14ac:dyDescent="0.35">
      <c r="A5442" s="497" t="b">
        <f t="shared" ca="1" si="336"/>
        <v>0</v>
      </c>
      <c r="B5442" s="510" t="str">
        <f ca="1">IF(COUNTA(G$4308:G5441)=1,"",OFFSET(B5442,-COUNTA(G$4308:G5441)+1,0))</f>
        <v>a1b3p0000095SFeAAM</v>
      </c>
      <c r="C5442" s="512">
        <f ca="1">IF(COUNTA(G$4308:G5441)=1,"",OFFSET(C5442,-COUNTA(G$4308:G5441)+1,0))</f>
        <v>29</v>
      </c>
      <c r="D5442" s="497">
        <f t="shared" si="337"/>
        <v>652</v>
      </c>
      <c r="E5442" s="497">
        <f t="shared" ca="1" si="338"/>
        <v>4</v>
      </c>
      <c r="F5442" s="497">
        <f t="shared" ca="1" si="339"/>
        <v>37</v>
      </c>
      <c r="G5442" s="497"/>
      <c r="H5442" s="503" t="str">
        <f t="shared" ca="1" si="340"/>
        <v/>
      </c>
      <c r="I5442" s="503" t="str">
        <f t="shared" ca="1" si="341"/>
        <v/>
      </c>
      <c r="J5442" s="503" t="str">
        <f t="shared" ca="1" si="342"/>
        <v/>
      </c>
      <c r="K5442" s="503" t="str">
        <f t="shared" ca="1" si="343"/>
        <v/>
      </c>
      <c r="L5442" s="497"/>
      <c r="M5442" s="497"/>
      <c r="N5442" s="497"/>
      <c r="O5442" s="497"/>
      <c r="P5442" s="497">
        <f t="shared" si="344"/>
        <v>0</v>
      </c>
      <c r="Q5442" s="497"/>
    </row>
    <row r="5443" spans="1:17" x14ac:dyDescent="0.35">
      <c r="A5443" s="497" t="b">
        <f t="shared" ca="1" si="336"/>
        <v>0</v>
      </c>
      <c r="B5443" s="510" t="str">
        <f ca="1">IF(COUNTA(G$4308:G5442)=1,"",OFFSET(B5443,-COUNTA(G$4308:G5442)+1,0))</f>
        <v>a1b3p0000095SIEAA2</v>
      </c>
      <c r="C5443" s="512">
        <f ca="1">IF(COUNTA(G$4308:G5442)=1,"",OFFSET(C5443,-COUNTA(G$4308:G5442)+1,0))</f>
        <v>29</v>
      </c>
      <c r="D5443" s="497">
        <f t="shared" si="337"/>
        <v>653</v>
      </c>
      <c r="E5443" s="497">
        <f t="shared" ca="1" si="338"/>
        <v>5</v>
      </c>
      <c r="F5443" s="497">
        <f t="shared" ca="1" si="339"/>
        <v>37</v>
      </c>
      <c r="G5443" s="497"/>
      <c r="H5443" s="503" t="str">
        <f t="shared" ca="1" si="340"/>
        <v/>
      </c>
      <c r="I5443" s="503" t="str">
        <f t="shared" ca="1" si="341"/>
        <v/>
      </c>
      <c r="J5443" s="503" t="str">
        <f t="shared" ca="1" si="342"/>
        <v/>
      </c>
      <c r="K5443" s="503" t="str">
        <f t="shared" ca="1" si="343"/>
        <v/>
      </c>
      <c r="L5443" s="497"/>
      <c r="M5443" s="497"/>
      <c r="N5443" s="497"/>
      <c r="O5443" s="497"/>
      <c r="P5443" s="497">
        <f t="shared" si="344"/>
        <v>0</v>
      </c>
      <c r="Q5443" s="497"/>
    </row>
    <row r="5444" spans="1:17" x14ac:dyDescent="0.35">
      <c r="A5444" s="497" t="b">
        <f t="shared" ca="1" si="336"/>
        <v>0</v>
      </c>
      <c r="B5444" s="510" t="str">
        <f ca="1">IF(COUNTA(G$4308:G5443)=1,"",OFFSET(B5444,-COUNTA(G$4308:G5443)+1,0))</f>
        <v>a1b3p0000095SKoAAM</v>
      </c>
      <c r="C5444" s="512">
        <f ca="1">IF(COUNTA(G$4308:G5443)=1,"",OFFSET(C5444,-COUNTA(G$4308:G5443)+1,0))</f>
        <v>29</v>
      </c>
      <c r="D5444" s="497">
        <f t="shared" si="337"/>
        <v>654</v>
      </c>
      <c r="E5444" s="497">
        <f t="shared" ca="1" si="338"/>
        <v>6</v>
      </c>
      <c r="F5444" s="497">
        <f t="shared" ca="1" si="339"/>
        <v>37</v>
      </c>
      <c r="G5444" s="497"/>
      <c r="H5444" s="503" t="str">
        <f t="shared" ca="1" si="340"/>
        <v/>
      </c>
      <c r="I5444" s="503" t="str">
        <f t="shared" ca="1" si="341"/>
        <v/>
      </c>
      <c r="J5444" s="503" t="str">
        <f t="shared" ca="1" si="342"/>
        <v/>
      </c>
      <c r="K5444" s="503" t="str">
        <f t="shared" ca="1" si="343"/>
        <v/>
      </c>
      <c r="L5444" s="497"/>
      <c r="M5444" s="497"/>
      <c r="N5444" s="497"/>
      <c r="O5444" s="497"/>
      <c r="P5444" s="497">
        <f t="shared" si="344"/>
        <v>0</v>
      </c>
      <c r="Q5444" s="497"/>
    </row>
    <row r="5445" spans="1:17" x14ac:dyDescent="0.35">
      <c r="A5445" s="497" t="b">
        <f t="shared" ca="1" si="336"/>
        <v>0</v>
      </c>
      <c r="B5445" s="510" t="str">
        <f ca="1">IF(COUNTA(G$4308:G5444)=1,"",OFFSET(B5445,-COUNTA(G$4308:G5444)+1,0))</f>
        <v>a1b3p0000095S7vAAE</v>
      </c>
      <c r="C5445" s="512">
        <f ca="1">IF(COUNTA(G$4308:G5444)=1,"",OFFSET(C5445,-COUNTA(G$4308:G5444)+1,0))</f>
        <v>30</v>
      </c>
      <c r="D5445" s="497">
        <f t="shared" si="337"/>
        <v>655</v>
      </c>
      <c r="E5445" s="497">
        <f t="shared" ca="1" si="338"/>
        <v>1</v>
      </c>
      <c r="F5445" s="497">
        <f t="shared" ca="1" si="339"/>
        <v>38</v>
      </c>
      <c r="G5445" s="497"/>
      <c r="H5445" s="503" t="str">
        <f t="shared" ca="1" si="340"/>
        <v/>
      </c>
      <c r="I5445" s="503" t="str">
        <f t="shared" ca="1" si="341"/>
        <v/>
      </c>
      <c r="J5445" s="503" t="str">
        <f t="shared" ca="1" si="342"/>
        <v/>
      </c>
      <c r="K5445" s="503" t="str">
        <f t="shared" ca="1" si="343"/>
        <v/>
      </c>
      <c r="L5445" s="497"/>
      <c r="M5445" s="497"/>
      <c r="N5445" s="497"/>
      <c r="O5445" s="497"/>
      <c r="P5445" s="497">
        <f t="shared" si="344"/>
        <v>0</v>
      </c>
      <c r="Q5445" s="497"/>
    </row>
    <row r="5446" spans="1:17" x14ac:dyDescent="0.35">
      <c r="A5446" s="497" t="b">
        <f t="shared" ca="1" si="336"/>
        <v>0</v>
      </c>
      <c r="B5446" s="510" t="str">
        <f ca="1">IF(COUNTA(G$4308:G5445)=1,"",OFFSET(B5446,-COUNTA(G$4308:G5445)+1,0))</f>
        <v>a1b3p0000095SAVAA2</v>
      </c>
      <c r="C5446" s="512">
        <f ca="1">IF(COUNTA(G$4308:G5445)=1,"",OFFSET(C5446,-COUNTA(G$4308:G5445)+1,0))</f>
        <v>30</v>
      </c>
      <c r="D5446" s="497">
        <f t="shared" si="337"/>
        <v>656</v>
      </c>
      <c r="E5446" s="497">
        <f t="shared" ca="1" si="338"/>
        <v>2</v>
      </c>
      <c r="F5446" s="497">
        <f t="shared" ca="1" si="339"/>
        <v>38</v>
      </c>
      <c r="G5446" s="497"/>
      <c r="H5446" s="503" t="str">
        <f t="shared" ca="1" si="340"/>
        <v/>
      </c>
      <c r="I5446" s="503" t="str">
        <f t="shared" ca="1" si="341"/>
        <v/>
      </c>
      <c r="J5446" s="503" t="str">
        <f t="shared" ca="1" si="342"/>
        <v/>
      </c>
      <c r="K5446" s="503" t="str">
        <f t="shared" ca="1" si="343"/>
        <v/>
      </c>
      <c r="L5446" s="497"/>
      <c r="M5446" s="497"/>
      <c r="N5446" s="497"/>
      <c r="O5446" s="497"/>
      <c r="P5446" s="497">
        <f t="shared" si="344"/>
        <v>0</v>
      </c>
      <c r="Q5446" s="497"/>
    </row>
    <row r="5447" spans="1:17" x14ac:dyDescent="0.35">
      <c r="A5447" s="497" t="b">
        <f t="shared" ca="1" si="336"/>
        <v>0</v>
      </c>
      <c r="B5447" s="510" t="str">
        <f ca="1">IF(COUNTA(G$4308:G5446)=1,"",OFFSET(B5447,-COUNTA(G$4308:G5446)+1,0))</f>
        <v>a1b3p0000095SD5AAM</v>
      </c>
      <c r="C5447" s="512">
        <f ca="1">IF(COUNTA(G$4308:G5446)=1,"",OFFSET(C5447,-COUNTA(G$4308:G5446)+1,0))</f>
        <v>30</v>
      </c>
      <c r="D5447" s="497">
        <f t="shared" si="337"/>
        <v>657</v>
      </c>
      <c r="E5447" s="497">
        <f t="shared" ca="1" si="338"/>
        <v>3</v>
      </c>
      <c r="F5447" s="497">
        <f t="shared" ca="1" si="339"/>
        <v>38</v>
      </c>
      <c r="G5447" s="497"/>
      <c r="H5447" s="503" t="str">
        <f t="shared" ca="1" si="340"/>
        <v/>
      </c>
      <c r="I5447" s="503" t="str">
        <f t="shared" ca="1" si="341"/>
        <v/>
      </c>
      <c r="J5447" s="503" t="str">
        <f t="shared" ca="1" si="342"/>
        <v/>
      </c>
      <c r="K5447" s="503" t="str">
        <f t="shared" ca="1" si="343"/>
        <v/>
      </c>
      <c r="L5447" s="497"/>
      <c r="M5447" s="497"/>
      <c r="N5447" s="497"/>
      <c r="O5447" s="497"/>
      <c r="P5447" s="497">
        <f t="shared" si="344"/>
        <v>0</v>
      </c>
      <c r="Q5447" s="497"/>
    </row>
    <row r="5448" spans="1:17" x14ac:dyDescent="0.35">
      <c r="A5448" s="497" t="b">
        <f t="shared" ca="1" si="336"/>
        <v>0</v>
      </c>
      <c r="B5448" s="510" t="str">
        <f ca="1">IF(COUNTA(G$4308:G5447)=1,"",OFFSET(B5448,-COUNTA(G$4308:G5447)+1,0))</f>
        <v>a1b3p0000095SFfAAM</v>
      </c>
      <c r="C5448" s="512">
        <f ca="1">IF(COUNTA(G$4308:G5447)=1,"",OFFSET(C5448,-COUNTA(G$4308:G5447)+1,0))</f>
        <v>30</v>
      </c>
      <c r="D5448" s="497">
        <f t="shared" si="337"/>
        <v>658</v>
      </c>
      <c r="E5448" s="497">
        <f t="shared" ca="1" si="338"/>
        <v>4</v>
      </c>
      <c r="F5448" s="497">
        <f t="shared" ca="1" si="339"/>
        <v>38</v>
      </c>
      <c r="G5448" s="497"/>
      <c r="H5448" s="503" t="str">
        <f t="shared" ca="1" si="340"/>
        <v/>
      </c>
      <c r="I5448" s="503" t="str">
        <f t="shared" ca="1" si="341"/>
        <v/>
      </c>
      <c r="J5448" s="503" t="str">
        <f t="shared" ca="1" si="342"/>
        <v/>
      </c>
      <c r="K5448" s="503" t="str">
        <f t="shared" ca="1" si="343"/>
        <v/>
      </c>
      <c r="L5448" s="497"/>
      <c r="M5448" s="497"/>
      <c r="N5448" s="497"/>
      <c r="O5448" s="497"/>
      <c r="P5448" s="497">
        <f t="shared" si="344"/>
        <v>0</v>
      </c>
      <c r="Q5448" s="497"/>
    </row>
    <row r="5449" spans="1:17" x14ac:dyDescent="0.35">
      <c r="A5449" s="497" t="b">
        <f t="shared" ca="1" si="336"/>
        <v>0</v>
      </c>
      <c r="B5449" s="510" t="str">
        <f ca="1">IF(COUNTA(G$4308:G5448)=1,"",OFFSET(B5449,-COUNTA(G$4308:G5448)+1,0))</f>
        <v>a1b3p0000095SIFAA2</v>
      </c>
      <c r="C5449" s="512">
        <f ca="1">IF(COUNTA(G$4308:G5448)=1,"",OFFSET(C5449,-COUNTA(G$4308:G5448)+1,0))</f>
        <v>30</v>
      </c>
      <c r="D5449" s="497">
        <f t="shared" si="337"/>
        <v>659</v>
      </c>
      <c r="E5449" s="497">
        <f t="shared" ca="1" si="338"/>
        <v>5</v>
      </c>
      <c r="F5449" s="497">
        <f t="shared" ca="1" si="339"/>
        <v>38</v>
      </c>
      <c r="G5449" s="497"/>
      <c r="H5449" s="503" t="str">
        <f t="shared" ca="1" si="340"/>
        <v/>
      </c>
      <c r="I5449" s="503" t="str">
        <f t="shared" ca="1" si="341"/>
        <v/>
      </c>
      <c r="J5449" s="503" t="str">
        <f t="shared" ca="1" si="342"/>
        <v/>
      </c>
      <c r="K5449" s="503" t="str">
        <f t="shared" ca="1" si="343"/>
        <v/>
      </c>
      <c r="L5449" s="497"/>
      <c r="M5449" s="497"/>
      <c r="N5449" s="497"/>
      <c r="O5449" s="497"/>
      <c r="P5449" s="497">
        <f t="shared" si="344"/>
        <v>0</v>
      </c>
      <c r="Q5449" s="497"/>
    </row>
    <row r="5450" spans="1:17" x14ac:dyDescent="0.35">
      <c r="A5450" s="497" t="b">
        <f t="shared" ca="1" si="336"/>
        <v>0</v>
      </c>
      <c r="B5450" s="510" t="str">
        <f ca="1">IF(COUNTA(G$4308:G5449)=1,"",OFFSET(B5450,-COUNTA(G$4308:G5449)+1,0))</f>
        <v>a1b3p0000095SKpAAM</v>
      </c>
      <c r="C5450" s="512">
        <f ca="1">IF(COUNTA(G$4308:G5449)=1,"",OFFSET(C5450,-COUNTA(G$4308:G5449)+1,0))</f>
        <v>30</v>
      </c>
      <c r="D5450" s="497">
        <f t="shared" si="337"/>
        <v>660</v>
      </c>
      <c r="E5450" s="497">
        <f t="shared" ca="1" si="338"/>
        <v>6</v>
      </c>
      <c r="F5450" s="497">
        <f t="shared" ca="1" si="339"/>
        <v>38</v>
      </c>
      <c r="G5450" s="497"/>
      <c r="H5450" s="503" t="str">
        <f t="shared" ca="1" si="340"/>
        <v/>
      </c>
      <c r="I5450" s="503" t="str">
        <f t="shared" ca="1" si="341"/>
        <v/>
      </c>
      <c r="J5450" s="503" t="str">
        <f t="shared" ca="1" si="342"/>
        <v/>
      </c>
      <c r="K5450" s="503" t="str">
        <f t="shared" ca="1" si="343"/>
        <v/>
      </c>
      <c r="L5450" s="497"/>
      <c r="M5450" s="497"/>
      <c r="N5450" s="497"/>
      <c r="O5450" s="497"/>
      <c r="P5450" s="497">
        <f t="shared" si="344"/>
        <v>0</v>
      </c>
      <c r="Q5450" s="497"/>
    </row>
    <row r="5451" spans="1:17" x14ac:dyDescent="0.35">
      <c r="A5451" s="497" t="b">
        <f t="shared" ca="1" si="336"/>
        <v>0</v>
      </c>
      <c r="B5451" s="510" t="str">
        <f ca="1">IF(COUNTA(G$4308:G5450)=1,"",OFFSET(B5451,-COUNTA(G$4308:G5450)+1,0))</f>
        <v>a1b3p0000095S7wAAE</v>
      </c>
      <c r="C5451" s="512">
        <f ca="1">IF(COUNTA(G$4308:G5450)=1,"",OFFSET(C5451,-COUNTA(G$4308:G5450)+1,0))</f>
        <v>31</v>
      </c>
      <c r="D5451" s="497">
        <f t="shared" si="337"/>
        <v>661</v>
      </c>
      <c r="E5451" s="497">
        <f t="shared" ca="1" si="338"/>
        <v>1</v>
      </c>
      <c r="F5451" s="497">
        <f t="shared" ca="1" si="339"/>
        <v>39</v>
      </c>
      <c r="G5451" s="497"/>
      <c r="H5451" s="503" t="str">
        <f t="shared" ca="1" si="340"/>
        <v/>
      </c>
      <c r="I5451" s="503" t="str">
        <f t="shared" ca="1" si="341"/>
        <v/>
      </c>
      <c r="J5451" s="503" t="str">
        <f t="shared" ca="1" si="342"/>
        <v/>
      </c>
      <c r="K5451" s="503" t="str">
        <f t="shared" ca="1" si="343"/>
        <v/>
      </c>
      <c r="L5451" s="497"/>
      <c r="M5451" s="497"/>
      <c r="N5451" s="497"/>
      <c r="O5451" s="497"/>
      <c r="P5451" s="497">
        <f t="shared" si="344"/>
        <v>0</v>
      </c>
      <c r="Q5451" s="497"/>
    </row>
    <row r="5452" spans="1:17" x14ac:dyDescent="0.35">
      <c r="A5452" s="497" t="b">
        <f t="shared" ca="1" si="336"/>
        <v>0</v>
      </c>
      <c r="B5452" s="510" t="str">
        <f ca="1">IF(COUNTA(G$4308:G5451)=1,"",OFFSET(B5452,-COUNTA(G$4308:G5451)+1,0))</f>
        <v>a1b3p0000095SAWAA2</v>
      </c>
      <c r="C5452" s="512">
        <f ca="1">IF(COUNTA(G$4308:G5451)=1,"",OFFSET(C5452,-COUNTA(G$4308:G5451)+1,0))</f>
        <v>31</v>
      </c>
      <c r="D5452" s="497">
        <f t="shared" si="337"/>
        <v>662</v>
      </c>
      <c r="E5452" s="497">
        <f t="shared" ca="1" si="338"/>
        <v>2</v>
      </c>
      <c r="F5452" s="497">
        <f t="shared" ca="1" si="339"/>
        <v>39</v>
      </c>
      <c r="G5452" s="497"/>
      <c r="H5452" s="503" t="str">
        <f t="shared" ca="1" si="340"/>
        <v/>
      </c>
      <c r="I5452" s="503" t="str">
        <f t="shared" ca="1" si="341"/>
        <v/>
      </c>
      <c r="J5452" s="503" t="str">
        <f t="shared" ca="1" si="342"/>
        <v/>
      </c>
      <c r="K5452" s="503" t="str">
        <f t="shared" ca="1" si="343"/>
        <v/>
      </c>
      <c r="L5452" s="497"/>
      <c r="M5452" s="497"/>
      <c r="N5452" s="497"/>
      <c r="O5452" s="497"/>
      <c r="P5452" s="497">
        <f t="shared" si="344"/>
        <v>0</v>
      </c>
      <c r="Q5452" s="497"/>
    </row>
    <row r="5453" spans="1:17" x14ac:dyDescent="0.35">
      <c r="A5453" s="497" t="b">
        <f t="shared" ca="1" si="336"/>
        <v>0</v>
      </c>
      <c r="B5453" s="510" t="str">
        <f ca="1">IF(COUNTA(G$4308:G5452)=1,"",OFFSET(B5453,-COUNTA(G$4308:G5452)+1,0))</f>
        <v>a1b3p0000095SD6AAM</v>
      </c>
      <c r="C5453" s="512">
        <f ca="1">IF(COUNTA(G$4308:G5452)=1,"",OFFSET(C5453,-COUNTA(G$4308:G5452)+1,0))</f>
        <v>31</v>
      </c>
      <c r="D5453" s="497">
        <f t="shared" si="337"/>
        <v>663</v>
      </c>
      <c r="E5453" s="497">
        <f t="shared" ca="1" si="338"/>
        <v>3</v>
      </c>
      <c r="F5453" s="497">
        <f t="shared" ca="1" si="339"/>
        <v>39</v>
      </c>
      <c r="G5453" s="497"/>
      <c r="H5453" s="503" t="str">
        <f t="shared" ca="1" si="340"/>
        <v/>
      </c>
      <c r="I5453" s="503" t="str">
        <f t="shared" ca="1" si="341"/>
        <v/>
      </c>
      <c r="J5453" s="503" t="str">
        <f t="shared" ca="1" si="342"/>
        <v/>
      </c>
      <c r="K5453" s="503" t="str">
        <f t="shared" ca="1" si="343"/>
        <v/>
      </c>
      <c r="L5453" s="497"/>
      <c r="M5453" s="497"/>
      <c r="N5453" s="497"/>
      <c r="O5453" s="497"/>
      <c r="P5453" s="497">
        <f t="shared" si="344"/>
        <v>0</v>
      </c>
      <c r="Q5453" s="497"/>
    </row>
    <row r="5454" spans="1:17" x14ac:dyDescent="0.35">
      <c r="A5454" s="497" t="b">
        <f t="shared" ca="1" si="336"/>
        <v>0</v>
      </c>
      <c r="B5454" s="510" t="str">
        <f ca="1">IF(COUNTA(G$4308:G5453)=1,"",OFFSET(B5454,-COUNTA(G$4308:G5453)+1,0))</f>
        <v>a1b3p0000095SFgAAM</v>
      </c>
      <c r="C5454" s="512">
        <f ca="1">IF(COUNTA(G$4308:G5453)=1,"",OFFSET(C5454,-COUNTA(G$4308:G5453)+1,0))</f>
        <v>31</v>
      </c>
      <c r="D5454" s="497">
        <f t="shared" si="337"/>
        <v>664</v>
      </c>
      <c r="E5454" s="497">
        <f t="shared" ca="1" si="338"/>
        <v>4</v>
      </c>
      <c r="F5454" s="497">
        <f t="shared" ca="1" si="339"/>
        <v>39</v>
      </c>
      <c r="G5454" s="497"/>
      <c r="H5454" s="503" t="str">
        <f t="shared" ca="1" si="340"/>
        <v/>
      </c>
      <c r="I5454" s="503" t="str">
        <f t="shared" ca="1" si="341"/>
        <v/>
      </c>
      <c r="J5454" s="503" t="str">
        <f t="shared" ca="1" si="342"/>
        <v/>
      </c>
      <c r="K5454" s="503" t="str">
        <f t="shared" ca="1" si="343"/>
        <v/>
      </c>
      <c r="L5454" s="497"/>
      <c r="M5454" s="497"/>
      <c r="N5454" s="497"/>
      <c r="O5454" s="497"/>
      <c r="P5454" s="497">
        <f t="shared" si="344"/>
        <v>0</v>
      </c>
      <c r="Q5454" s="497"/>
    </row>
    <row r="5455" spans="1:17" x14ac:dyDescent="0.35">
      <c r="A5455" s="497" t="b">
        <f t="shared" ca="1" si="336"/>
        <v>0</v>
      </c>
      <c r="B5455" s="510" t="str">
        <f ca="1">IF(COUNTA(G$4308:G5454)=1,"",OFFSET(B5455,-COUNTA(G$4308:G5454)+1,0))</f>
        <v>a1b3p0000095SIGAA2</v>
      </c>
      <c r="C5455" s="512">
        <f ca="1">IF(COUNTA(G$4308:G5454)=1,"",OFFSET(C5455,-COUNTA(G$4308:G5454)+1,0))</f>
        <v>31</v>
      </c>
      <c r="D5455" s="497">
        <f t="shared" si="337"/>
        <v>665</v>
      </c>
      <c r="E5455" s="497">
        <f t="shared" ca="1" si="338"/>
        <v>5</v>
      </c>
      <c r="F5455" s="497">
        <f t="shared" ca="1" si="339"/>
        <v>39</v>
      </c>
      <c r="G5455" s="497"/>
      <c r="H5455" s="503" t="str">
        <f t="shared" ca="1" si="340"/>
        <v/>
      </c>
      <c r="I5455" s="503" t="str">
        <f t="shared" ca="1" si="341"/>
        <v/>
      </c>
      <c r="J5455" s="503" t="str">
        <f t="shared" ca="1" si="342"/>
        <v/>
      </c>
      <c r="K5455" s="503" t="str">
        <f t="shared" ca="1" si="343"/>
        <v/>
      </c>
      <c r="L5455" s="497"/>
      <c r="M5455" s="497"/>
      <c r="N5455" s="497"/>
      <c r="O5455" s="497"/>
      <c r="P5455" s="497">
        <f t="shared" si="344"/>
        <v>0</v>
      </c>
      <c r="Q5455" s="497"/>
    </row>
    <row r="5456" spans="1:17" x14ac:dyDescent="0.35">
      <c r="A5456" s="497" t="b">
        <f t="shared" ca="1" si="336"/>
        <v>0</v>
      </c>
      <c r="B5456" s="510" t="str">
        <f ca="1">IF(COUNTA(G$4308:G5455)=1,"",OFFSET(B5456,-COUNTA(G$4308:G5455)+1,0))</f>
        <v>a1b3p0000095SKqAAM</v>
      </c>
      <c r="C5456" s="512">
        <f ca="1">IF(COUNTA(G$4308:G5455)=1,"",OFFSET(C5456,-COUNTA(G$4308:G5455)+1,0))</f>
        <v>31</v>
      </c>
      <c r="D5456" s="497">
        <f t="shared" si="337"/>
        <v>666</v>
      </c>
      <c r="E5456" s="497">
        <f t="shared" ca="1" si="338"/>
        <v>6</v>
      </c>
      <c r="F5456" s="497">
        <f t="shared" ca="1" si="339"/>
        <v>39</v>
      </c>
      <c r="G5456" s="497"/>
      <c r="H5456" s="503" t="str">
        <f t="shared" ca="1" si="340"/>
        <v/>
      </c>
      <c r="I5456" s="503" t="str">
        <f t="shared" ca="1" si="341"/>
        <v/>
      </c>
      <c r="J5456" s="503" t="str">
        <f t="shared" ca="1" si="342"/>
        <v/>
      </c>
      <c r="K5456" s="503" t="str">
        <f t="shared" ca="1" si="343"/>
        <v/>
      </c>
      <c r="L5456" s="497"/>
      <c r="M5456" s="497"/>
      <c r="N5456" s="497"/>
      <c r="O5456" s="497"/>
      <c r="P5456" s="497">
        <f t="shared" si="344"/>
        <v>0</v>
      </c>
      <c r="Q5456" s="497"/>
    </row>
    <row r="5457" spans="1:17" x14ac:dyDescent="0.35">
      <c r="A5457" s="497" t="b">
        <f t="shared" ca="1" si="336"/>
        <v>0</v>
      </c>
      <c r="B5457" s="510" t="str">
        <f ca="1">IF(COUNTA(G$4308:G5456)=1,"",OFFSET(B5457,-COUNTA(G$4308:G5456)+1,0))</f>
        <v>a1b3p0000095S7xAAE</v>
      </c>
      <c r="C5457" s="512">
        <f ca="1">IF(COUNTA(G$4308:G5456)=1,"",OFFSET(C5457,-COUNTA(G$4308:G5456)+1,0))</f>
        <v>32</v>
      </c>
      <c r="D5457" s="497">
        <f t="shared" si="337"/>
        <v>667</v>
      </c>
      <c r="E5457" s="497">
        <f t="shared" ca="1" si="338"/>
        <v>1</v>
      </c>
      <c r="F5457" s="497">
        <f t="shared" ca="1" si="339"/>
        <v>40</v>
      </c>
      <c r="G5457" s="497"/>
      <c r="H5457" s="503" t="str">
        <f t="shared" ca="1" si="340"/>
        <v/>
      </c>
      <c r="I5457" s="503" t="str">
        <f t="shared" ca="1" si="341"/>
        <v/>
      </c>
      <c r="J5457" s="503" t="str">
        <f t="shared" ca="1" si="342"/>
        <v/>
      </c>
      <c r="K5457" s="503" t="str">
        <f t="shared" ca="1" si="343"/>
        <v/>
      </c>
      <c r="L5457" s="497"/>
      <c r="M5457" s="497"/>
      <c r="N5457" s="497"/>
      <c r="O5457" s="497"/>
      <c r="P5457" s="497">
        <f t="shared" si="344"/>
        <v>0</v>
      </c>
      <c r="Q5457" s="497"/>
    </row>
    <row r="5458" spans="1:17" x14ac:dyDescent="0.35">
      <c r="A5458" s="497" t="b">
        <f t="shared" ca="1" si="336"/>
        <v>0</v>
      </c>
      <c r="B5458" s="510" t="str">
        <f ca="1">IF(COUNTA(G$4308:G5457)=1,"",OFFSET(B5458,-COUNTA(G$4308:G5457)+1,0))</f>
        <v>a1b3p0000095SAXAA2</v>
      </c>
      <c r="C5458" s="512">
        <f ca="1">IF(COUNTA(G$4308:G5457)=1,"",OFFSET(C5458,-COUNTA(G$4308:G5457)+1,0))</f>
        <v>32</v>
      </c>
      <c r="D5458" s="497">
        <f t="shared" si="337"/>
        <v>668</v>
      </c>
      <c r="E5458" s="497">
        <f t="shared" ca="1" si="338"/>
        <v>2</v>
      </c>
      <c r="F5458" s="497">
        <f t="shared" ca="1" si="339"/>
        <v>40</v>
      </c>
      <c r="G5458" s="497"/>
      <c r="H5458" s="503" t="str">
        <f t="shared" ca="1" si="340"/>
        <v/>
      </c>
      <c r="I5458" s="503" t="str">
        <f t="shared" ca="1" si="341"/>
        <v/>
      </c>
      <c r="J5458" s="503" t="str">
        <f t="shared" ca="1" si="342"/>
        <v/>
      </c>
      <c r="K5458" s="503" t="str">
        <f t="shared" ca="1" si="343"/>
        <v/>
      </c>
      <c r="L5458" s="497"/>
      <c r="M5458" s="497"/>
      <c r="N5458" s="497"/>
      <c r="O5458" s="497"/>
      <c r="P5458" s="497">
        <f t="shared" si="344"/>
        <v>0</v>
      </c>
      <c r="Q5458" s="497"/>
    </row>
    <row r="5459" spans="1:17" x14ac:dyDescent="0.35">
      <c r="A5459" s="497" t="b">
        <f t="shared" ca="1" si="336"/>
        <v>0</v>
      </c>
      <c r="B5459" s="510" t="str">
        <f ca="1">IF(COUNTA(G$4308:G5458)=1,"",OFFSET(B5459,-COUNTA(G$4308:G5458)+1,0))</f>
        <v>a1b3p0000095SD7AAM</v>
      </c>
      <c r="C5459" s="512">
        <f ca="1">IF(COUNTA(G$4308:G5458)=1,"",OFFSET(C5459,-COUNTA(G$4308:G5458)+1,0))</f>
        <v>32</v>
      </c>
      <c r="D5459" s="497">
        <f t="shared" si="337"/>
        <v>669</v>
      </c>
      <c r="E5459" s="497">
        <f t="shared" ca="1" si="338"/>
        <v>3</v>
      </c>
      <c r="F5459" s="497">
        <f t="shared" ca="1" si="339"/>
        <v>40</v>
      </c>
      <c r="G5459" s="497"/>
      <c r="H5459" s="503" t="str">
        <f t="shared" ca="1" si="340"/>
        <v/>
      </c>
      <c r="I5459" s="503" t="str">
        <f t="shared" ca="1" si="341"/>
        <v/>
      </c>
      <c r="J5459" s="503" t="str">
        <f t="shared" ca="1" si="342"/>
        <v/>
      </c>
      <c r="K5459" s="503" t="str">
        <f t="shared" ca="1" si="343"/>
        <v/>
      </c>
      <c r="L5459" s="497"/>
      <c r="M5459" s="497"/>
      <c r="N5459" s="497"/>
      <c r="O5459" s="497"/>
      <c r="P5459" s="497">
        <f t="shared" si="344"/>
        <v>0</v>
      </c>
      <c r="Q5459" s="497"/>
    </row>
    <row r="5460" spans="1:17" x14ac:dyDescent="0.35">
      <c r="A5460" s="497" t="b">
        <f t="shared" ca="1" si="336"/>
        <v>0</v>
      </c>
      <c r="B5460" s="510" t="str">
        <f ca="1">IF(COUNTA(G$4308:G5459)=1,"",OFFSET(B5460,-COUNTA(G$4308:G5459)+1,0))</f>
        <v>a1b3p0000095SFhAAM</v>
      </c>
      <c r="C5460" s="512">
        <f ca="1">IF(COUNTA(G$4308:G5459)=1,"",OFFSET(C5460,-COUNTA(G$4308:G5459)+1,0))</f>
        <v>32</v>
      </c>
      <c r="D5460" s="497">
        <f t="shared" si="337"/>
        <v>670</v>
      </c>
      <c r="E5460" s="497">
        <f t="shared" ca="1" si="338"/>
        <v>4</v>
      </c>
      <c r="F5460" s="497">
        <f t="shared" ca="1" si="339"/>
        <v>40</v>
      </c>
      <c r="G5460" s="497"/>
      <c r="H5460" s="503" t="str">
        <f t="shared" ca="1" si="340"/>
        <v/>
      </c>
      <c r="I5460" s="503" t="str">
        <f t="shared" ca="1" si="341"/>
        <v/>
      </c>
      <c r="J5460" s="503" t="str">
        <f t="shared" ca="1" si="342"/>
        <v/>
      </c>
      <c r="K5460" s="503" t="str">
        <f t="shared" ca="1" si="343"/>
        <v/>
      </c>
      <c r="L5460" s="497"/>
      <c r="M5460" s="497"/>
      <c r="N5460" s="497"/>
      <c r="O5460" s="497"/>
      <c r="P5460" s="497">
        <f t="shared" si="344"/>
        <v>0</v>
      </c>
      <c r="Q5460" s="497"/>
    </row>
    <row r="5461" spans="1:17" x14ac:dyDescent="0.35">
      <c r="A5461" s="497" t="b">
        <f t="shared" ca="1" si="336"/>
        <v>0</v>
      </c>
      <c r="B5461" s="510" t="str">
        <f ca="1">IF(COUNTA(G$4308:G5460)=1,"",OFFSET(B5461,-COUNTA(G$4308:G5460)+1,0))</f>
        <v>a1b3p0000095SIHAA2</v>
      </c>
      <c r="C5461" s="512">
        <f ca="1">IF(COUNTA(G$4308:G5460)=1,"",OFFSET(C5461,-COUNTA(G$4308:G5460)+1,0))</f>
        <v>32</v>
      </c>
      <c r="D5461" s="497">
        <f t="shared" si="337"/>
        <v>671</v>
      </c>
      <c r="E5461" s="497">
        <f t="shared" ca="1" si="338"/>
        <v>5</v>
      </c>
      <c r="F5461" s="497">
        <f t="shared" ca="1" si="339"/>
        <v>40</v>
      </c>
      <c r="G5461" s="497"/>
      <c r="H5461" s="503" t="str">
        <f t="shared" ca="1" si="340"/>
        <v/>
      </c>
      <c r="I5461" s="503" t="str">
        <f t="shared" ca="1" si="341"/>
        <v/>
      </c>
      <c r="J5461" s="503" t="str">
        <f t="shared" ca="1" si="342"/>
        <v/>
      </c>
      <c r="K5461" s="503" t="str">
        <f t="shared" ca="1" si="343"/>
        <v/>
      </c>
      <c r="L5461" s="497"/>
      <c r="M5461" s="497"/>
      <c r="N5461" s="497"/>
      <c r="O5461" s="497"/>
      <c r="P5461" s="497">
        <f t="shared" si="344"/>
        <v>0</v>
      </c>
      <c r="Q5461" s="497"/>
    </row>
    <row r="5462" spans="1:17" x14ac:dyDescent="0.35">
      <c r="A5462" s="497" t="b">
        <f t="shared" ca="1" si="336"/>
        <v>0</v>
      </c>
      <c r="B5462" s="510" t="str">
        <f ca="1">IF(COUNTA(G$4308:G5461)=1,"",OFFSET(B5462,-COUNTA(G$4308:G5461)+1,0))</f>
        <v>a1b3p0000095SKrAAM</v>
      </c>
      <c r="C5462" s="512">
        <f ca="1">IF(COUNTA(G$4308:G5461)=1,"",OFFSET(C5462,-COUNTA(G$4308:G5461)+1,0))</f>
        <v>32</v>
      </c>
      <c r="D5462" s="497">
        <f t="shared" si="337"/>
        <v>672</v>
      </c>
      <c r="E5462" s="497">
        <f t="shared" ca="1" si="338"/>
        <v>6</v>
      </c>
      <c r="F5462" s="497">
        <f t="shared" ca="1" si="339"/>
        <v>40</v>
      </c>
      <c r="G5462" s="497"/>
      <c r="H5462" s="503" t="str">
        <f t="shared" ca="1" si="340"/>
        <v/>
      </c>
      <c r="I5462" s="503" t="str">
        <f t="shared" ca="1" si="341"/>
        <v/>
      </c>
      <c r="J5462" s="503" t="str">
        <f t="shared" ca="1" si="342"/>
        <v/>
      </c>
      <c r="K5462" s="503" t="str">
        <f t="shared" ca="1" si="343"/>
        <v/>
      </c>
      <c r="L5462" s="497"/>
      <c r="M5462" s="497"/>
      <c r="N5462" s="497"/>
      <c r="O5462" s="497"/>
      <c r="P5462" s="497">
        <f t="shared" si="344"/>
        <v>0</v>
      </c>
      <c r="Q5462" s="497"/>
    </row>
    <row r="5463" spans="1:17" x14ac:dyDescent="0.35">
      <c r="A5463" s="497" t="b">
        <f t="shared" ref="A5463:A5526" ca="1" si="345">IF(OR(AND(J5463&lt;&gt;"", J5463&lt;&gt;0), AND(K5463&lt;&gt;"",K5463&lt;&gt;0)),TRUE,FALSE)</f>
        <v>0</v>
      </c>
      <c r="B5463" s="510" t="str">
        <f ca="1">IF(COUNTA(G$4308:G5462)=1,"",OFFSET(B5463,-COUNTA(G$4308:G5462)+1,0))</f>
        <v>a1b3p0000095S7yAAE</v>
      </c>
      <c r="C5463" s="512">
        <f ca="1">IF(COUNTA(G$4308:G5462)=1,"",OFFSET(C5463,-COUNTA(G$4308:G5462)+1,0))</f>
        <v>33</v>
      </c>
      <c r="D5463" s="497">
        <f t="shared" ref="D5463:D5526" si="346">D5462+1</f>
        <v>673</v>
      </c>
      <c r="E5463" s="497">
        <f t="shared" ref="E5463:E5526" ca="1" si="347">COUNTIF(C5213:C5463,C5463)</f>
        <v>1</v>
      </c>
      <c r="F5463" s="497">
        <f t="shared" ref="F5463:F5526" ca="1" si="348">IF(C5463=1,9,IF(E5462=MAX(E5461:E5463),F5461+1,F5462))</f>
        <v>41</v>
      </c>
      <c r="G5463" s="497"/>
      <c r="H5463" s="503" t="str">
        <f t="shared" ref="H5463:H5526" ca="1" si="349">CHOOSE(E5463,IFERROR(IF(INDIRECT("'WPTM - Section F'!K"&amp;F5463)=0,"",INDIRECT("'WPTM - Section F'!K"&amp;$F5463)),""),IFERROR(IF(INDIRECT("'WPTM - Section F'!O"&amp;F5463)=0,"",INDIRECT("'WPTM - Section F'!O"&amp;$F5463)),""),IFERROR(IF(INDIRECT("'WPTM - Section F'!S"&amp;F5463)=0,"",INDIRECT("'WPTM - Section F'!S"&amp;$F5463)),""),IFERROR(IF(INDIRECT("'WPTM - Section F'!W"&amp;F5463)=0,"",INDIRECT("'WPTM - Section F'!W"&amp;$F5463)),""),IFERROR(IF(INDIRECT("'WPTM - Section F'!AA"&amp;F5463)=0,"",INDIRECT("'WPTM - Section F'!AA"&amp;$F5463)),""),IFERROR(IF(INDIRECT("'WPTM - Section F'!AE"&amp;F5463)=0,"",INDIRECT("'WPTM - Section F'!AE"&amp;$F5463)),""),IFERROR(IF(INDIRECT("'WPTM - Section F'!AI"&amp;F5463)=0,"",INDIRECT("'WPTM - Section F'!AI"&amp;$F5463)),""),IFERROR(IF(INDIRECT("'WPTM - Section F'!AM"&amp;F5463)=0,"",INDIRECT("'WPTM - Section F'!AM"&amp;$F5463)),""),)</f>
        <v/>
      </c>
      <c r="I5463" s="503" t="str">
        <f t="shared" ref="I5463:I5526" ca="1" si="350">CHOOSE(E5463,IFERROR(IF(INDIRECT("'WPTM - Section F'!J"&amp;F5463)=0,"",INDIRECT("'WPTM - Section F'!J"&amp;$F5463)),""),IFERROR(IF(INDIRECT("'WPTM - Section F'!N"&amp;F5463)=0,"",INDIRECT("'WPTM - Section F'!N"&amp;$F5463)),""),IFERROR(IF(INDIRECT("'WPTM - Section F'!R"&amp;F5463)=0,"",INDIRECT("'WPTM - Section F'!R"&amp;$F5463)),""),IFERROR(IF(INDIRECT("'WPTM - Section F'!V"&amp;F5463)=0,"",INDIRECT("'WPTM - Section F'!V"&amp;$F5463)),""),IFERROR(IF(INDIRECT("'WPTM - Section F'!Z"&amp;F5463)=0,"",INDIRECT("'WPTM - Section F'!Z"&amp;$F5463)),""),IFERROR(IF(INDIRECT("'WPTM - Section F'!AD"&amp;F5463)=0,"",INDIRECT("'WPTM - Section F'!AD"&amp;$F5463)),""),IFERROR(IF(INDIRECT("'WPTM - Section F'!AH"&amp;F5463)=0,"",INDIRECT("'WPTM - Section F'!AH"&amp;$F5463)),""),IFERROR(IF(INDIRECT("'WPTM - Section F'!AL"&amp;F5463)=0,"",INDIRECT("'WPTM - Section F'!AL"&amp;$F5463)),""),)</f>
        <v/>
      </c>
      <c r="J5463" s="503" t="str">
        <f t="shared" ref="J5463:J5526" ca="1" si="351">CHOOSE(E5463,IFERROR(IF(INDIRECT("'WPTM - Section F'!H"&amp;F5463)=0,"",INDIRECT("'WPTM - Section F'!H"&amp;$F5463)),""),IFERROR(IF(INDIRECT("'WPTM - Section F'!L"&amp;F5463)=0,"",INDIRECT("'WPTM - Section F'!L"&amp;$F5463)),""),IFERROR(IF(INDIRECT("'WPTM - Section F'!P"&amp;F5463)=0,"",INDIRECT("'WPTM - Section F'!P"&amp;$F5463)),""),IFERROR(IF(INDIRECT("'WPTM - Section F'!T"&amp;F5463)=0,"",INDIRECT("'WPTM - Section F'!T"&amp;$F5463)),""),IFERROR(IF(INDIRECT("'WPTM - Section F'!X"&amp;F5463)=0,"",INDIRECT("'WPTM - Section F'!X"&amp;$F5463)),""),IFERROR(IF(INDIRECT("'WPTM - Section F'!AB"&amp;F5463)=0,"",INDIRECT("'WPTM - Section F'!AB"&amp;$F5463)),""),IFERROR(IF(INDIRECT("'WPTM - Section F'!AF"&amp;F5463)=0,"",INDIRECT("'WPTM - Section F'!AF"&amp;$F5463)),""),IFERROR(IF(INDIRECT("'WPTM - Section F'!AJ"&amp;F5463)=0,"",INDIRECT("'WPTM - Section F'!AJ"&amp;$F5463)),""),)</f>
        <v/>
      </c>
      <c r="K5463" s="503" t="str">
        <f t="shared" ref="K5463:K5526" ca="1" si="352">CHOOSE(E5463,IFERROR(IF(INDIRECT("'WPTM - Section F'!I"&amp;F5463)=0,"",INDIRECT("'WPTM - Section F'!I"&amp;$F5463)),""),IFERROR(IF(INDIRECT("'WPTM - Section F'!M"&amp;F5463)=0,"",INDIRECT("'WPTM - Section F'!M"&amp;$F5463)),""),IFERROR(IF(INDIRECT("'WPTM - Section F'!Q"&amp;F5463)=0,"",INDIRECT("'WPTM - Section F'!Q"&amp;$F5463)),""),IFERROR(IF(INDIRECT("'WPTM - Section F'!U"&amp;F5463)=0,"",INDIRECT("'WPTM - Section F'!U"&amp;$F5463)),""),IFERROR(IF(INDIRECT("'WPTM - Section F'!Y"&amp;F5463)=0,"",INDIRECT("'WPTM - Section F'!Y"&amp;$F5463)),""),IFERROR(IF(INDIRECT("'WPTM - Section F'!AC"&amp;F5463)=0,"",INDIRECT("'WPTM - Section F'!AC"&amp;$F5463)),""),IFERROR(IF(INDIRECT("'WPTM - Section F'!AG"&amp;F5463)=0,"",INDIRECT("'WPTM - Section F'!AG"&amp;$F5463)),""),IFERROR(IF(INDIRECT("'WPTM - Section F'!AK"&amp;F5463)=0,"",INDIRECT("'WPTM - Section F'!AK"&amp;$F5463)),""),)</f>
        <v/>
      </c>
      <c r="L5463" s="497"/>
      <c r="M5463" s="497"/>
      <c r="N5463" s="497"/>
      <c r="O5463" s="497"/>
      <c r="P5463" s="497">
        <f t="shared" ref="P5463:P5526" si="353">IF(NOT(_xlfn.ISFORMULA(I5463)),P5462+1,0)</f>
        <v>0</v>
      </c>
      <c r="Q5463" s="497"/>
    </row>
    <row r="5464" spans="1:17" x14ac:dyDescent="0.35">
      <c r="A5464" s="497" t="b">
        <f t="shared" ca="1" si="345"/>
        <v>0</v>
      </c>
      <c r="B5464" s="510" t="str">
        <f ca="1">IF(COUNTA(G$4308:G5463)=1,"",OFFSET(B5464,-COUNTA(G$4308:G5463)+1,0))</f>
        <v>a1b3p0000095SAYAA2</v>
      </c>
      <c r="C5464" s="512">
        <f ca="1">IF(COUNTA(G$4308:G5463)=1,"",OFFSET(C5464,-COUNTA(G$4308:G5463)+1,0))</f>
        <v>33</v>
      </c>
      <c r="D5464" s="497">
        <f t="shared" si="346"/>
        <v>674</v>
      </c>
      <c r="E5464" s="497">
        <f t="shared" ca="1" si="347"/>
        <v>2</v>
      </c>
      <c r="F5464" s="497">
        <f t="shared" ca="1" si="348"/>
        <v>41</v>
      </c>
      <c r="G5464" s="497"/>
      <c r="H5464" s="503" t="str">
        <f t="shared" ca="1" si="349"/>
        <v/>
      </c>
      <c r="I5464" s="503" t="str">
        <f t="shared" ca="1" si="350"/>
        <v/>
      </c>
      <c r="J5464" s="503" t="str">
        <f t="shared" ca="1" si="351"/>
        <v/>
      </c>
      <c r="K5464" s="503" t="str">
        <f t="shared" ca="1" si="352"/>
        <v/>
      </c>
      <c r="L5464" s="497"/>
      <c r="M5464" s="497"/>
      <c r="N5464" s="497"/>
      <c r="O5464" s="497"/>
      <c r="P5464" s="497">
        <f t="shared" si="353"/>
        <v>0</v>
      </c>
      <c r="Q5464" s="497"/>
    </row>
    <row r="5465" spans="1:17" x14ac:dyDescent="0.35">
      <c r="A5465" s="497" t="b">
        <f t="shared" ca="1" si="345"/>
        <v>0</v>
      </c>
      <c r="B5465" s="510" t="str">
        <f ca="1">IF(COUNTA(G$4308:G5464)=1,"",OFFSET(B5465,-COUNTA(G$4308:G5464)+1,0))</f>
        <v>a1b3p0000095SD8AAM</v>
      </c>
      <c r="C5465" s="512">
        <f ca="1">IF(COUNTA(G$4308:G5464)=1,"",OFFSET(C5465,-COUNTA(G$4308:G5464)+1,0))</f>
        <v>33</v>
      </c>
      <c r="D5465" s="497">
        <f t="shared" si="346"/>
        <v>675</v>
      </c>
      <c r="E5465" s="497">
        <f t="shared" ca="1" si="347"/>
        <v>3</v>
      </c>
      <c r="F5465" s="497">
        <f t="shared" ca="1" si="348"/>
        <v>41</v>
      </c>
      <c r="G5465" s="497"/>
      <c r="H5465" s="503" t="str">
        <f t="shared" ca="1" si="349"/>
        <v/>
      </c>
      <c r="I5465" s="503" t="str">
        <f t="shared" ca="1" si="350"/>
        <v/>
      </c>
      <c r="J5465" s="503" t="str">
        <f t="shared" ca="1" si="351"/>
        <v/>
      </c>
      <c r="K5465" s="503" t="str">
        <f t="shared" ca="1" si="352"/>
        <v/>
      </c>
      <c r="L5465" s="497"/>
      <c r="M5465" s="497"/>
      <c r="N5465" s="497"/>
      <c r="O5465" s="497"/>
      <c r="P5465" s="497">
        <f t="shared" si="353"/>
        <v>0</v>
      </c>
      <c r="Q5465" s="497"/>
    </row>
    <row r="5466" spans="1:17" x14ac:dyDescent="0.35">
      <c r="A5466" s="497" t="b">
        <f t="shared" ca="1" si="345"/>
        <v>0</v>
      </c>
      <c r="B5466" s="510" t="str">
        <f ca="1">IF(COUNTA(G$4308:G5465)=1,"",OFFSET(B5466,-COUNTA(G$4308:G5465)+1,0))</f>
        <v>a1b3p0000095SFiAAM</v>
      </c>
      <c r="C5466" s="512">
        <f ca="1">IF(COUNTA(G$4308:G5465)=1,"",OFFSET(C5466,-COUNTA(G$4308:G5465)+1,0))</f>
        <v>33</v>
      </c>
      <c r="D5466" s="497">
        <f t="shared" si="346"/>
        <v>676</v>
      </c>
      <c r="E5466" s="497">
        <f t="shared" ca="1" si="347"/>
        <v>4</v>
      </c>
      <c r="F5466" s="497">
        <f t="shared" ca="1" si="348"/>
        <v>41</v>
      </c>
      <c r="G5466" s="497"/>
      <c r="H5466" s="503" t="str">
        <f t="shared" ca="1" si="349"/>
        <v/>
      </c>
      <c r="I5466" s="503" t="str">
        <f t="shared" ca="1" si="350"/>
        <v/>
      </c>
      <c r="J5466" s="503" t="str">
        <f t="shared" ca="1" si="351"/>
        <v/>
      </c>
      <c r="K5466" s="503" t="str">
        <f t="shared" ca="1" si="352"/>
        <v/>
      </c>
      <c r="L5466" s="497"/>
      <c r="M5466" s="497"/>
      <c r="N5466" s="497"/>
      <c r="O5466" s="497"/>
      <c r="P5466" s="497">
        <f t="shared" si="353"/>
        <v>0</v>
      </c>
      <c r="Q5466" s="497"/>
    </row>
    <row r="5467" spans="1:17" x14ac:dyDescent="0.35">
      <c r="A5467" s="497" t="b">
        <f t="shared" ca="1" si="345"/>
        <v>0</v>
      </c>
      <c r="B5467" s="510" t="str">
        <f ca="1">IF(COUNTA(G$4308:G5466)=1,"",OFFSET(B5467,-COUNTA(G$4308:G5466)+1,0))</f>
        <v>a1b3p0000095SIIAA2</v>
      </c>
      <c r="C5467" s="512">
        <f ca="1">IF(COUNTA(G$4308:G5466)=1,"",OFFSET(C5467,-COUNTA(G$4308:G5466)+1,0))</f>
        <v>33</v>
      </c>
      <c r="D5467" s="497">
        <f t="shared" si="346"/>
        <v>677</v>
      </c>
      <c r="E5467" s="497">
        <f t="shared" ca="1" si="347"/>
        <v>5</v>
      </c>
      <c r="F5467" s="497">
        <f t="shared" ca="1" si="348"/>
        <v>41</v>
      </c>
      <c r="G5467" s="497"/>
      <c r="H5467" s="503" t="str">
        <f t="shared" ca="1" si="349"/>
        <v/>
      </c>
      <c r="I5467" s="503" t="str">
        <f t="shared" ca="1" si="350"/>
        <v/>
      </c>
      <c r="J5467" s="503" t="str">
        <f t="shared" ca="1" si="351"/>
        <v/>
      </c>
      <c r="K5467" s="503" t="str">
        <f t="shared" ca="1" si="352"/>
        <v/>
      </c>
      <c r="L5467" s="497"/>
      <c r="M5467" s="497"/>
      <c r="N5467" s="497"/>
      <c r="O5467" s="497"/>
      <c r="P5467" s="497">
        <f t="shared" si="353"/>
        <v>0</v>
      </c>
      <c r="Q5467" s="497"/>
    </row>
    <row r="5468" spans="1:17" x14ac:dyDescent="0.35">
      <c r="A5468" s="497" t="b">
        <f t="shared" ca="1" si="345"/>
        <v>0</v>
      </c>
      <c r="B5468" s="510" t="str">
        <f ca="1">IF(COUNTA(G$4308:G5467)=1,"",OFFSET(B5468,-COUNTA(G$4308:G5467)+1,0))</f>
        <v>a1b3p0000095SKsAAM</v>
      </c>
      <c r="C5468" s="512">
        <f ca="1">IF(COUNTA(G$4308:G5467)=1,"",OFFSET(C5468,-COUNTA(G$4308:G5467)+1,0))</f>
        <v>33</v>
      </c>
      <c r="D5468" s="497">
        <f t="shared" si="346"/>
        <v>678</v>
      </c>
      <c r="E5468" s="497">
        <f t="shared" ca="1" si="347"/>
        <v>6</v>
      </c>
      <c r="F5468" s="497">
        <f t="shared" ca="1" si="348"/>
        <v>41</v>
      </c>
      <c r="G5468" s="497"/>
      <c r="H5468" s="503" t="str">
        <f t="shared" ca="1" si="349"/>
        <v/>
      </c>
      <c r="I5468" s="503" t="str">
        <f t="shared" ca="1" si="350"/>
        <v/>
      </c>
      <c r="J5468" s="503" t="str">
        <f t="shared" ca="1" si="351"/>
        <v/>
      </c>
      <c r="K5468" s="503" t="str">
        <f t="shared" ca="1" si="352"/>
        <v/>
      </c>
      <c r="L5468" s="497"/>
      <c r="M5468" s="497"/>
      <c r="N5468" s="497"/>
      <c r="O5468" s="497"/>
      <c r="P5468" s="497">
        <f t="shared" si="353"/>
        <v>0</v>
      </c>
      <c r="Q5468" s="497"/>
    </row>
    <row r="5469" spans="1:17" x14ac:dyDescent="0.35">
      <c r="A5469" s="497" t="b">
        <f t="shared" ca="1" si="345"/>
        <v>0</v>
      </c>
      <c r="B5469" s="510" t="str">
        <f ca="1">IF(COUNTA(G$4308:G5468)=1,"",OFFSET(B5469,-COUNTA(G$4308:G5468)+1,0))</f>
        <v>a1b3p0000095S7zAAE</v>
      </c>
      <c r="C5469" s="512">
        <f ca="1">IF(COUNTA(G$4308:G5468)=1,"",OFFSET(C5469,-COUNTA(G$4308:G5468)+1,0))</f>
        <v>34</v>
      </c>
      <c r="D5469" s="497">
        <f t="shared" si="346"/>
        <v>679</v>
      </c>
      <c r="E5469" s="497">
        <f t="shared" ca="1" si="347"/>
        <v>1</v>
      </c>
      <c r="F5469" s="497">
        <f t="shared" ca="1" si="348"/>
        <v>42</v>
      </c>
      <c r="G5469" s="497"/>
      <c r="H5469" s="503" t="str">
        <f t="shared" ca="1" si="349"/>
        <v/>
      </c>
      <c r="I5469" s="503" t="str">
        <f t="shared" ca="1" si="350"/>
        <v/>
      </c>
      <c r="J5469" s="503" t="str">
        <f t="shared" ca="1" si="351"/>
        <v/>
      </c>
      <c r="K5469" s="503" t="str">
        <f t="shared" ca="1" si="352"/>
        <v/>
      </c>
      <c r="L5469" s="497"/>
      <c r="M5469" s="497"/>
      <c r="N5469" s="497"/>
      <c r="O5469" s="497"/>
      <c r="P5469" s="497">
        <f t="shared" si="353"/>
        <v>0</v>
      </c>
      <c r="Q5469" s="497"/>
    </row>
    <row r="5470" spans="1:17" x14ac:dyDescent="0.35">
      <c r="A5470" s="497" t="b">
        <f t="shared" ca="1" si="345"/>
        <v>0</v>
      </c>
      <c r="B5470" s="510" t="str">
        <f ca="1">IF(COUNTA(G$4308:G5469)=1,"",OFFSET(B5470,-COUNTA(G$4308:G5469)+1,0))</f>
        <v>a1b3p0000095SAZAA2</v>
      </c>
      <c r="C5470" s="512">
        <f ca="1">IF(COUNTA(G$4308:G5469)=1,"",OFFSET(C5470,-COUNTA(G$4308:G5469)+1,0))</f>
        <v>34</v>
      </c>
      <c r="D5470" s="497">
        <f t="shared" si="346"/>
        <v>680</v>
      </c>
      <c r="E5470" s="497">
        <f t="shared" ca="1" si="347"/>
        <v>2</v>
      </c>
      <c r="F5470" s="497">
        <f t="shared" ca="1" si="348"/>
        <v>42</v>
      </c>
      <c r="G5470" s="497"/>
      <c r="H5470" s="503" t="str">
        <f t="shared" ca="1" si="349"/>
        <v/>
      </c>
      <c r="I5470" s="503" t="str">
        <f t="shared" ca="1" si="350"/>
        <v/>
      </c>
      <c r="J5470" s="503" t="str">
        <f t="shared" ca="1" si="351"/>
        <v/>
      </c>
      <c r="K5470" s="503" t="str">
        <f t="shared" ca="1" si="352"/>
        <v/>
      </c>
      <c r="L5470" s="497"/>
      <c r="M5470" s="497"/>
      <c r="N5470" s="497"/>
      <c r="O5470" s="497"/>
      <c r="P5470" s="497">
        <f t="shared" si="353"/>
        <v>0</v>
      </c>
      <c r="Q5470" s="497"/>
    </row>
    <row r="5471" spans="1:17" x14ac:dyDescent="0.35">
      <c r="A5471" s="497" t="b">
        <f t="shared" ca="1" si="345"/>
        <v>0</v>
      </c>
      <c r="B5471" s="510" t="str">
        <f ca="1">IF(COUNTA(G$4308:G5470)=1,"",OFFSET(B5471,-COUNTA(G$4308:G5470)+1,0))</f>
        <v>a1b3p0000095SD9AAM</v>
      </c>
      <c r="C5471" s="512">
        <f ca="1">IF(COUNTA(G$4308:G5470)=1,"",OFFSET(C5471,-COUNTA(G$4308:G5470)+1,0))</f>
        <v>34</v>
      </c>
      <c r="D5471" s="497">
        <f t="shared" si="346"/>
        <v>681</v>
      </c>
      <c r="E5471" s="497">
        <f t="shared" ca="1" si="347"/>
        <v>3</v>
      </c>
      <c r="F5471" s="497">
        <f t="shared" ca="1" si="348"/>
        <v>42</v>
      </c>
      <c r="G5471" s="497"/>
      <c r="H5471" s="503" t="str">
        <f t="shared" ca="1" si="349"/>
        <v/>
      </c>
      <c r="I5471" s="503" t="str">
        <f t="shared" ca="1" si="350"/>
        <v/>
      </c>
      <c r="J5471" s="503" t="str">
        <f t="shared" ca="1" si="351"/>
        <v/>
      </c>
      <c r="K5471" s="503" t="str">
        <f t="shared" ca="1" si="352"/>
        <v/>
      </c>
      <c r="L5471" s="497"/>
      <c r="M5471" s="497"/>
      <c r="N5471" s="497"/>
      <c r="O5471" s="497"/>
      <c r="P5471" s="497">
        <f t="shared" si="353"/>
        <v>0</v>
      </c>
      <c r="Q5471" s="497"/>
    </row>
    <row r="5472" spans="1:17" x14ac:dyDescent="0.35">
      <c r="A5472" s="497" t="b">
        <f t="shared" ca="1" si="345"/>
        <v>0</v>
      </c>
      <c r="B5472" s="510" t="str">
        <f ca="1">IF(COUNTA(G$4308:G5471)=1,"",OFFSET(B5472,-COUNTA(G$4308:G5471)+1,0))</f>
        <v>a1b3p0000095SFjAAM</v>
      </c>
      <c r="C5472" s="512">
        <f ca="1">IF(COUNTA(G$4308:G5471)=1,"",OFFSET(C5472,-COUNTA(G$4308:G5471)+1,0))</f>
        <v>34</v>
      </c>
      <c r="D5472" s="497">
        <f t="shared" si="346"/>
        <v>682</v>
      </c>
      <c r="E5472" s="497">
        <f t="shared" ca="1" si="347"/>
        <v>4</v>
      </c>
      <c r="F5472" s="497">
        <f t="shared" ca="1" si="348"/>
        <v>42</v>
      </c>
      <c r="G5472" s="497"/>
      <c r="H5472" s="503" t="str">
        <f t="shared" ca="1" si="349"/>
        <v/>
      </c>
      <c r="I5472" s="503" t="str">
        <f t="shared" ca="1" si="350"/>
        <v/>
      </c>
      <c r="J5472" s="503" t="str">
        <f t="shared" ca="1" si="351"/>
        <v/>
      </c>
      <c r="K5472" s="503" t="str">
        <f t="shared" ca="1" si="352"/>
        <v/>
      </c>
      <c r="L5472" s="497"/>
      <c r="M5472" s="497"/>
      <c r="N5472" s="497"/>
      <c r="O5472" s="497"/>
      <c r="P5472" s="497">
        <f t="shared" si="353"/>
        <v>0</v>
      </c>
      <c r="Q5472" s="497"/>
    </row>
    <row r="5473" spans="1:17" x14ac:dyDescent="0.35">
      <c r="A5473" s="497" t="b">
        <f t="shared" ca="1" si="345"/>
        <v>0</v>
      </c>
      <c r="B5473" s="510" t="str">
        <f ca="1">IF(COUNTA(G$4308:G5472)=1,"",OFFSET(B5473,-COUNTA(G$4308:G5472)+1,0))</f>
        <v>a1b3p0000095SIJAA2</v>
      </c>
      <c r="C5473" s="512">
        <f ca="1">IF(COUNTA(G$4308:G5472)=1,"",OFFSET(C5473,-COUNTA(G$4308:G5472)+1,0))</f>
        <v>34</v>
      </c>
      <c r="D5473" s="497">
        <f t="shared" si="346"/>
        <v>683</v>
      </c>
      <c r="E5473" s="497">
        <f t="shared" ca="1" si="347"/>
        <v>5</v>
      </c>
      <c r="F5473" s="497">
        <f t="shared" ca="1" si="348"/>
        <v>42</v>
      </c>
      <c r="G5473" s="497"/>
      <c r="H5473" s="503" t="str">
        <f t="shared" ca="1" si="349"/>
        <v/>
      </c>
      <c r="I5473" s="503" t="str">
        <f t="shared" ca="1" si="350"/>
        <v/>
      </c>
      <c r="J5473" s="503" t="str">
        <f t="shared" ca="1" si="351"/>
        <v/>
      </c>
      <c r="K5473" s="503" t="str">
        <f t="shared" ca="1" si="352"/>
        <v/>
      </c>
      <c r="L5473" s="497"/>
      <c r="M5473" s="497"/>
      <c r="N5473" s="497"/>
      <c r="O5473" s="497"/>
      <c r="P5473" s="497">
        <f t="shared" si="353"/>
        <v>0</v>
      </c>
      <c r="Q5473" s="497"/>
    </row>
    <row r="5474" spans="1:17" x14ac:dyDescent="0.35">
      <c r="A5474" s="497" t="b">
        <f t="shared" ca="1" si="345"/>
        <v>0</v>
      </c>
      <c r="B5474" s="510" t="str">
        <f ca="1">IF(COUNTA(G$4308:G5473)=1,"",OFFSET(B5474,-COUNTA(G$4308:G5473)+1,0))</f>
        <v>a1b3p0000095SKtAAM</v>
      </c>
      <c r="C5474" s="512">
        <f ca="1">IF(COUNTA(G$4308:G5473)=1,"",OFFSET(C5474,-COUNTA(G$4308:G5473)+1,0))</f>
        <v>34</v>
      </c>
      <c r="D5474" s="497">
        <f t="shared" si="346"/>
        <v>684</v>
      </c>
      <c r="E5474" s="497">
        <f t="shared" ca="1" si="347"/>
        <v>6</v>
      </c>
      <c r="F5474" s="497">
        <f t="shared" ca="1" si="348"/>
        <v>42</v>
      </c>
      <c r="G5474" s="497"/>
      <c r="H5474" s="503" t="str">
        <f t="shared" ca="1" si="349"/>
        <v/>
      </c>
      <c r="I5474" s="503" t="str">
        <f t="shared" ca="1" si="350"/>
        <v/>
      </c>
      <c r="J5474" s="503" t="str">
        <f t="shared" ca="1" si="351"/>
        <v/>
      </c>
      <c r="K5474" s="503" t="str">
        <f t="shared" ca="1" si="352"/>
        <v/>
      </c>
      <c r="L5474" s="497"/>
      <c r="M5474" s="497"/>
      <c r="N5474" s="497"/>
      <c r="O5474" s="497"/>
      <c r="P5474" s="497">
        <f t="shared" si="353"/>
        <v>0</v>
      </c>
      <c r="Q5474" s="497"/>
    </row>
    <row r="5475" spans="1:17" x14ac:dyDescent="0.35">
      <c r="A5475" s="497" t="b">
        <f t="shared" ca="1" si="345"/>
        <v>0</v>
      </c>
      <c r="B5475" s="510" t="str">
        <f ca="1">IF(COUNTA(G$4308:G5474)=1,"",OFFSET(B5475,-COUNTA(G$4308:G5474)+1,0))</f>
        <v>a1b3p0000095S80AAE</v>
      </c>
      <c r="C5475" s="512">
        <f ca="1">IF(COUNTA(G$4308:G5474)=1,"",OFFSET(C5475,-COUNTA(G$4308:G5474)+1,0))</f>
        <v>35</v>
      </c>
      <c r="D5475" s="497">
        <f t="shared" si="346"/>
        <v>685</v>
      </c>
      <c r="E5475" s="497">
        <f t="shared" ca="1" si="347"/>
        <v>1</v>
      </c>
      <c r="F5475" s="497">
        <f t="shared" ca="1" si="348"/>
        <v>43</v>
      </c>
      <c r="G5475" s="497"/>
      <c r="H5475" s="503" t="str">
        <f t="shared" ca="1" si="349"/>
        <v/>
      </c>
      <c r="I5475" s="503" t="str">
        <f t="shared" ca="1" si="350"/>
        <v/>
      </c>
      <c r="J5475" s="503" t="str">
        <f t="shared" ca="1" si="351"/>
        <v/>
      </c>
      <c r="K5475" s="503" t="str">
        <f t="shared" ca="1" si="352"/>
        <v/>
      </c>
      <c r="L5475" s="497"/>
      <c r="M5475" s="497"/>
      <c r="N5475" s="497"/>
      <c r="O5475" s="497"/>
      <c r="P5475" s="497">
        <f t="shared" si="353"/>
        <v>0</v>
      </c>
      <c r="Q5475" s="497"/>
    </row>
    <row r="5476" spans="1:17" x14ac:dyDescent="0.35">
      <c r="A5476" s="497" t="b">
        <f t="shared" ca="1" si="345"/>
        <v>0</v>
      </c>
      <c r="B5476" s="510" t="str">
        <f ca="1">IF(COUNTA(G$4308:G5475)=1,"",OFFSET(B5476,-COUNTA(G$4308:G5475)+1,0))</f>
        <v>a1b3p0000095SAaAAM</v>
      </c>
      <c r="C5476" s="512">
        <f ca="1">IF(COUNTA(G$4308:G5475)=1,"",OFFSET(C5476,-COUNTA(G$4308:G5475)+1,0))</f>
        <v>35</v>
      </c>
      <c r="D5476" s="497">
        <f t="shared" si="346"/>
        <v>686</v>
      </c>
      <c r="E5476" s="497">
        <f t="shared" ca="1" si="347"/>
        <v>2</v>
      </c>
      <c r="F5476" s="497">
        <f t="shared" ca="1" si="348"/>
        <v>43</v>
      </c>
      <c r="G5476" s="497"/>
      <c r="H5476" s="503" t="str">
        <f t="shared" ca="1" si="349"/>
        <v/>
      </c>
      <c r="I5476" s="503" t="str">
        <f t="shared" ca="1" si="350"/>
        <v/>
      </c>
      <c r="J5476" s="503" t="str">
        <f t="shared" ca="1" si="351"/>
        <v/>
      </c>
      <c r="K5476" s="503" t="str">
        <f t="shared" ca="1" si="352"/>
        <v/>
      </c>
      <c r="L5476" s="497"/>
      <c r="M5476" s="497"/>
      <c r="N5476" s="497"/>
      <c r="O5476" s="497"/>
      <c r="P5476" s="497">
        <f t="shared" si="353"/>
        <v>0</v>
      </c>
      <c r="Q5476" s="497"/>
    </row>
    <row r="5477" spans="1:17" x14ac:dyDescent="0.35">
      <c r="A5477" s="497" t="b">
        <f t="shared" ca="1" si="345"/>
        <v>0</v>
      </c>
      <c r="B5477" s="510" t="str">
        <f ca="1">IF(COUNTA(G$4308:G5476)=1,"",OFFSET(B5477,-COUNTA(G$4308:G5476)+1,0))</f>
        <v>a1b3p0000095SDAAA2</v>
      </c>
      <c r="C5477" s="512">
        <f ca="1">IF(COUNTA(G$4308:G5476)=1,"",OFFSET(C5477,-COUNTA(G$4308:G5476)+1,0))</f>
        <v>35</v>
      </c>
      <c r="D5477" s="497">
        <f t="shared" si="346"/>
        <v>687</v>
      </c>
      <c r="E5477" s="497">
        <f t="shared" ca="1" si="347"/>
        <v>3</v>
      </c>
      <c r="F5477" s="497">
        <f t="shared" ca="1" si="348"/>
        <v>43</v>
      </c>
      <c r="G5477" s="497"/>
      <c r="H5477" s="503" t="str">
        <f t="shared" ca="1" si="349"/>
        <v/>
      </c>
      <c r="I5477" s="503" t="str">
        <f t="shared" ca="1" si="350"/>
        <v/>
      </c>
      <c r="J5477" s="503" t="str">
        <f t="shared" ca="1" si="351"/>
        <v/>
      </c>
      <c r="K5477" s="503" t="str">
        <f t="shared" ca="1" si="352"/>
        <v/>
      </c>
      <c r="L5477" s="497"/>
      <c r="M5477" s="497"/>
      <c r="N5477" s="497"/>
      <c r="O5477" s="497"/>
      <c r="P5477" s="497">
        <f t="shared" si="353"/>
        <v>0</v>
      </c>
      <c r="Q5477" s="497"/>
    </row>
    <row r="5478" spans="1:17" x14ac:dyDescent="0.35">
      <c r="A5478" s="497" t="b">
        <f t="shared" ca="1" si="345"/>
        <v>0</v>
      </c>
      <c r="B5478" s="510" t="str">
        <f ca="1">IF(COUNTA(G$4308:G5477)=1,"",OFFSET(B5478,-COUNTA(G$4308:G5477)+1,0))</f>
        <v>a1b3p0000095SFkAAM</v>
      </c>
      <c r="C5478" s="512">
        <f ca="1">IF(COUNTA(G$4308:G5477)=1,"",OFFSET(C5478,-COUNTA(G$4308:G5477)+1,0))</f>
        <v>35</v>
      </c>
      <c r="D5478" s="497">
        <f t="shared" si="346"/>
        <v>688</v>
      </c>
      <c r="E5478" s="497">
        <f t="shared" ca="1" si="347"/>
        <v>4</v>
      </c>
      <c r="F5478" s="497">
        <f t="shared" ca="1" si="348"/>
        <v>43</v>
      </c>
      <c r="G5478" s="497"/>
      <c r="H5478" s="503" t="str">
        <f t="shared" ca="1" si="349"/>
        <v/>
      </c>
      <c r="I5478" s="503" t="str">
        <f t="shared" ca="1" si="350"/>
        <v/>
      </c>
      <c r="J5478" s="503" t="str">
        <f t="shared" ca="1" si="351"/>
        <v/>
      </c>
      <c r="K5478" s="503" t="str">
        <f t="shared" ca="1" si="352"/>
        <v/>
      </c>
      <c r="L5478" s="497"/>
      <c r="M5478" s="497"/>
      <c r="N5478" s="497"/>
      <c r="O5478" s="497"/>
      <c r="P5478" s="497">
        <f t="shared" si="353"/>
        <v>0</v>
      </c>
      <c r="Q5478" s="497"/>
    </row>
    <row r="5479" spans="1:17" x14ac:dyDescent="0.35">
      <c r="A5479" s="497" t="b">
        <f t="shared" ca="1" si="345"/>
        <v>0</v>
      </c>
      <c r="B5479" s="510" t="str">
        <f ca="1">IF(COUNTA(G$4308:G5478)=1,"",OFFSET(B5479,-COUNTA(G$4308:G5478)+1,0))</f>
        <v>a1b3p0000095SIKAA2</v>
      </c>
      <c r="C5479" s="512">
        <f ca="1">IF(COUNTA(G$4308:G5478)=1,"",OFFSET(C5479,-COUNTA(G$4308:G5478)+1,0))</f>
        <v>35</v>
      </c>
      <c r="D5479" s="497">
        <f t="shared" si="346"/>
        <v>689</v>
      </c>
      <c r="E5479" s="497">
        <f t="shared" ca="1" si="347"/>
        <v>5</v>
      </c>
      <c r="F5479" s="497">
        <f t="shared" ca="1" si="348"/>
        <v>43</v>
      </c>
      <c r="G5479" s="497"/>
      <c r="H5479" s="503" t="str">
        <f t="shared" ca="1" si="349"/>
        <v/>
      </c>
      <c r="I5479" s="503" t="str">
        <f t="shared" ca="1" si="350"/>
        <v/>
      </c>
      <c r="J5479" s="503" t="str">
        <f t="shared" ca="1" si="351"/>
        <v/>
      </c>
      <c r="K5479" s="503" t="str">
        <f t="shared" ca="1" si="352"/>
        <v/>
      </c>
      <c r="L5479" s="497"/>
      <c r="M5479" s="497"/>
      <c r="N5479" s="497"/>
      <c r="O5479" s="497"/>
      <c r="P5479" s="497">
        <f t="shared" si="353"/>
        <v>0</v>
      </c>
      <c r="Q5479" s="497"/>
    </row>
    <row r="5480" spans="1:17" x14ac:dyDescent="0.35">
      <c r="A5480" s="497" t="b">
        <f t="shared" ca="1" si="345"/>
        <v>0</v>
      </c>
      <c r="B5480" s="510" t="str">
        <f ca="1">IF(COUNTA(G$4308:G5479)=1,"",OFFSET(B5480,-COUNTA(G$4308:G5479)+1,0))</f>
        <v>a1b3p0000095SKuAAM</v>
      </c>
      <c r="C5480" s="512">
        <f ca="1">IF(COUNTA(G$4308:G5479)=1,"",OFFSET(C5480,-COUNTA(G$4308:G5479)+1,0))</f>
        <v>35</v>
      </c>
      <c r="D5480" s="497">
        <f t="shared" si="346"/>
        <v>690</v>
      </c>
      <c r="E5480" s="497">
        <f t="shared" ca="1" si="347"/>
        <v>6</v>
      </c>
      <c r="F5480" s="497">
        <f t="shared" ca="1" si="348"/>
        <v>43</v>
      </c>
      <c r="G5480" s="497"/>
      <c r="H5480" s="503" t="str">
        <f t="shared" ca="1" si="349"/>
        <v/>
      </c>
      <c r="I5480" s="503" t="str">
        <f t="shared" ca="1" si="350"/>
        <v/>
      </c>
      <c r="J5480" s="503" t="str">
        <f t="shared" ca="1" si="351"/>
        <v/>
      </c>
      <c r="K5480" s="503" t="str">
        <f t="shared" ca="1" si="352"/>
        <v/>
      </c>
      <c r="L5480" s="497"/>
      <c r="M5480" s="497"/>
      <c r="N5480" s="497"/>
      <c r="O5480" s="497"/>
      <c r="P5480" s="497">
        <f t="shared" si="353"/>
        <v>0</v>
      </c>
      <c r="Q5480" s="497"/>
    </row>
    <row r="5481" spans="1:17" x14ac:dyDescent="0.35">
      <c r="A5481" s="497" t="b">
        <f t="shared" ca="1" si="345"/>
        <v>0</v>
      </c>
      <c r="B5481" s="510" t="str">
        <f ca="1">IF(COUNTA(G$4308:G5480)=1,"",OFFSET(B5481,-COUNTA(G$4308:G5480)+1,0))</f>
        <v>a1b3p0000095S81AAE</v>
      </c>
      <c r="C5481" s="512">
        <f ca="1">IF(COUNTA(G$4308:G5480)=1,"",OFFSET(C5481,-COUNTA(G$4308:G5480)+1,0))</f>
        <v>36</v>
      </c>
      <c r="D5481" s="497">
        <f t="shared" si="346"/>
        <v>691</v>
      </c>
      <c r="E5481" s="497">
        <f t="shared" ca="1" si="347"/>
        <v>1</v>
      </c>
      <c r="F5481" s="497">
        <f t="shared" ca="1" si="348"/>
        <v>44</v>
      </c>
      <c r="G5481" s="497"/>
      <c r="H5481" s="503" t="str">
        <f t="shared" ca="1" si="349"/>
        <v/>
      </c>
      <c r="I5481" s="503" t="str">
        <f t="shared" ca="1" si="350"/>
        <v/>
      </c>
      <c r="J5481" s="503" t="str">
        <f t="shared" ca="1" si="351"/>
        <v/>
      </c>
      <c r="K5481" s="503" t="str">
        <f t="shared" ca="1" si="352"/>
        <v/>
      </c>
      <c r="L5481" s="497"/>
      <c r="M5481" s="497"/>
      <c r="N5481" s="497"/>
      <c r="O5481" s="497"/>
      <c r="P5481" s="497">
        <f t="shared" si="353"/>
        <v>0</v>
      </c>
      <c r="Q5481" s="497"/>
    </row>
    <row r="5482" spans="1:17" x14ac:dyDescent="0.35">
      <c r="A5482" s="497" t="b">
        <f t="shared" ca="1" si="345"/>
        <v>0</v>
      </c>
      <c r="B5482" s="510" t="str">
        <f ca="1">IF(COUNTA(G$4308:G5481)=1,"",OFFSET(B5482,-COUNTA(G$4308:G5481)+1,0))</f>
        <v>a1b3p0000095SAbAAM</v>
      </c>
      <c r="C5482" s="512">
        <f ca="1">IF(COUNTA(G$4308:G5481)=1,"",OFFSET(C5482,-COUNTA(G$4308:G5481)+1,0))</f>
        <v>36</v>
      </c>
      <c r="D5482" s="497">
        <f t="shared" si="346"/>
        <v>692</v>
      </c>
      <c r="E5482" s="497">
        <f t="shared" ca="1" si="347"/>
        <v>2</v>
      </c>
      <c r="F5482" s="497">
        <f t="shared" ca="1" si="348"/>
        <v>44</v>
      </c>
      <c r="G5482" s="497"/>
      <c r="H5482" s="503" t="str">
        <f t="shared" ca="1" si="349"/>
        <v/>
      </c>
      <c r="I5482" s="503" t="str">
        <f t="shared" ca="1" si="350"/>
        <v/>
      </c>
      <c r="J5482" s="503" t="str">
        <f t="shared" ca="1" si="351"/>
        <v/>
      </c>
      <c r="K5482" s="503" t="str">
        <f t="shared" ca="1" si="352"/>
        <v/>
      </c>
      <c r="L5482" s="497"/>
      <c r="M5482" s="497"/>
      <c r="N5482" s="497"/>
      <c r="O5482" s="497"/>
      <c r="P5482" s="497">
        <f t="shared" si="353"/>
        <v>0</v>
      </c>
      <c r="Q5482" s="497"/>
    </row>
    <row r="5483" spans="1:17" x14ac:dyDescent="0.35">
      <c r="A5483" s="497" t="b">
        <f t="shared" ca="1" si="345"/>
        <v>0</v>
      </c>
      <c r="B5483" s="510" t="str">
        <f ca="1">IF(COUNTA(G$4308:G5482)=1,"",OFFSET(B5483,-COUNTA(G$4308:G5482)+1,0))</f>
        <v>a1b3p0000095SDBAA2</v>
      </c>
      <c r="C5483" s="512">
        <f ca="1">IF(COUNTA(G$4308:G5482)=1,"",OFFSET(C5483,-COUNTA(G$4308:G5482)+1,0))</f>
        <v>36</v>
      </c>
      <c r="D5483" s="497">
        <f t="shared" si="346"/>
        <v>693</v>
      </c>
      <c r="E5483" s="497">
        <f t="shared" ca="1" si="347"/>
        <v>3</v>
      </c>
      <c r="F5483" s="497">
        <f t="shared" ca="1" si="348"/>
        <v>44</v>
      </c>
      <c r="G5483" s="497"/>
      <c r="H5483" s="503" t="str">
        <f t="shared" ca="1" si="349"/>
        <v/>
      </c>
      <c r="I5483" s="503" t="str">
        <f t="shared" ca="1" si="350"/>
        <v/>
      </c>
      <c r="J5483" s="503" t="str">
        <f t="shared" ca="1" si="351"/>
        <v/>
      </c>
      <c r="K5483" s="503" t="str">
        <f t="shared" ca="1" si="352"/>
        <v/>
      </c>
      <c r="L5483" s="497"/>
      <c r="M5483" s="497"/>
      <c r="N5483" s="497"/>
      <c r="O5483" s="497"/>
      <c r="P5483" s="497">
        <f t="shared" si="353"/>
        <v>0</v>
      </c>
      <c r="Q5483" s="497"/>
    </row>
    <row r="5484" spans="1:17" x14ac:dyDescent="0.35">
      <c r="A5484" s="497" t="b">
        <f t="shared" ca="1" si="345"/>
        <v>0</v>
      </c>
      <c r="B5484" s="510" t="str">
        <f ca="1">IF(COUNTA(G$4308:G5483)=1,"",OFFSET(B5484,-COUNTA(G$4308:G5483)+1,0))</f>
        <v>a1b3p0000095SFlAAM</v>
      </c>
      <c r="C5484" s="512">
        <f ca="1">IF(COUNTA(G$4308:G5483)=1,"",OFFSET(C5484,-COUNTA(G$4308:G5483)+1,0))</f>
        <v>36</v>
      </c>
      <c r="D5484" s="497">
        <f t="shared" si="346"/>
        <v>694</v>
      </c>
      <c r="E5484" s="497">
        <f t="shared" ca="1" si="347"/>
        <v>4</v>
      </c>
      <c r="F5484" s="497">
        <f t="shared" ca="1" si="348"/>
        <v>44</v>
      </c>
      <c r="G5484" s="497"/>
      <c r="H5484" s="503" t="str">
        <f t="shared" ca="1" si="349"/>
        <v/>
      </c>
      <c r="I5484" s="503" t="str">
        <f t="shared" ca="1" si="350"/>
        <v/>
      </c>
      <c r="J5484" s="503" t="str">
        <f t="shared" ca="1" si="351"/>
        <v/>
      </c>
      <c r="K5484" s="503" t="str">
        <f t="shared" ca="1" si="352"/>
        <v/>
      </c>
      <c r="L5484" s="497"/>
      <c r="M5484" s="497"/>
      <c r="N5484" s="497"/>
      <c r="O5484" s="497"/>
      <c r="P5484" s="497">
        <f t="shared" si="353"/>
        <v>0</v>
      </c>
      <c r="Q5484" s="497"/>
    </row>
    <row r="5485" spans="1:17" x14ac:dyDescent="0.35">
      <c r="A5485" s="497" t="b">
        <f t="shared" ca="1" si="345"/>
        <v>0</v>
      </c>
      <c r="B5485" s="510" t="str">
        <f ca="1">IF(COUNTA(G$4308:G5484)=1,"",OFFSET(B5485,-COUNTA(G$4308:G5484)+1,0))</f>
        <v>a1b3p0000095SILAA2</v>
      </c>
      <c r="C5485" s="512">
        <f ca="1">IF(COUNTA(G$4308:G5484)=1,"",OFFSET(C5485,-COUNTA(G$4308:G5484)+1,0))</f>
        <v>36</v>
      </c>
      <c r="D5485" s="497">
        <f t="shared" si="346"/>
        <v>695</v>
      </c>
      <c r="E5485" s="497">
        <f t="shared" ca="1" si="347"/>
        <v>5</v>
      </c>
      <c r="F5485" s="497">
        <f t="shared" ca="1" si="348"/>
        <v>44</v>
      </c>
      <c r="G5485" s="497"/>
      <c r="H5485" s="503" t="str">
        <f t="shared" ca="1" si="349"/>
        <v/>
      </c>
      <c r="I5485" s="503" t="str">
        <f t="shared" ca="1" si="350"/>
        <v/>
      </c>
      <c r="J5485" s="503" t="str">
        <f t="shared" ca="1" si="351"/>
        <v/>
      </c>
      <c r="K5485" s="503" t="str">
        <f t="shared" ca="1" si="352"/>
        <v/>
      </c>
      <c r="L5485" s="497"/>
      <c r="M5485" s="497"/>
      <c r="N5485" s="497"/>
      <c r="O5485" s="497"/>
      <c r="P5485" s="497">
        <f t="shared" si="353"/>
        <v>0</v>
      </c>
      <c r="Q5485" s="497"/>
    </row>
    <row r="5486" spans="1:17" x14ac:dyDescent="0.35">
      <c r="A5486" s="497" t="b">
        <f t="shared" ca="1" si="345"/>
        <v>0</v>
      </c>
      <c r="B5486" s="510" t="str">
        <f ca="1">IF(COUNTA(G$4308:G5485)=1,"",OFFSET(B5486,-COUNTA(G$4308:G5485)+1,0))</f>
        <v>a1b3p0000095SKvAAM</v>
      </c>
      <c r="C5486" s="512">
        <f ca="1">IF(COUNTA(G$4308:G5485)=1,"",OFFSET(C5486,-COUNTA(G$4308:G5485)+1,0))</f>
        <v>36</v>
      </c>
      <c r="D5486" s="497">
        <f t="shared" si="346"/>
        <v>696</v>
      </c>
      <c r="E5486" s="497">
        <f t="shared" ca="1" si="347"/>
        <v>6</v>
      </c>
      <c r="F5486" s="497">
        <f t="shared" ca="1" si="348"/>
        <v>44</v>
      </c>
      <c r="G5486" s="497"/>
      <c r="H5486" s="503" t="str">
        <f t="shared" ca="1" si="349"/>
        <v/>
      </c>
      <c r="I5486" s="503" t="str">
        <f t="shared" ca="1" si="350"/>
        <v/>
      </c>
      <c r="J5486" s="503" t="str">
        <f t="shared" ca="1" si="351"/>
        <v/>
      </c>
      <c r="K5486" s="503" t="str">
        <f t="shared" ca="1" si="352"/>
        <v/>
      </c>
      <c r="L5486" s="497"/>
      <c r="M5486" s="497"/>
      <c r="N5486" s="497"/>
      <c r="O5486" s="497"/>
      <c r="P5486" s="497">
        <f t="shared" si="353"/>
        <v>0</v>
      </c>
      <c r="Q5486" s="497"/>
    </row>
    <row r="5487" spans="1:17" x14ac:dyDescent="0.35">
      <c r="A5487" s="497" t="b">
        <f t="shared" ca="1" si="345"/>
        <v>0</v>
      </c>
      <c r="B5487" s="510" t="str">
        <f ca="1">IF(COUNTA(G$4308:G5486)=1,"",OFFSET(B5487,-COUNTA(G$4308:G5486)+1,0))</f>
        <v>a1b3p0000095S82AAE</v>
      </c>
      <c r="C5487" s="512">
        <f ca="1">IF(COUNTA(G$4308:G5486)=1,"",OFFSET(C5487,-COUNTA(G$4308:G5486)+1,0))</f>
        <v>37</v>
      </c>
      <c r="D5487" s="497">
        <f t="shared" si="346"/>
        <v>697</v>
      </c>
      <c r="E5487" s="497">
        <f t="shared" ca="1" si="347"/>
        <v>1</v>
      </c>
      <c r="F5487" s="497">
        <f t="shared" ca="1" si="348"/>
        <v>45</v>
      </c>
      <c r="G5487" s="497"/>
      <c r="H5487" s="503" t="str">
        <f t="shared" ca="1" si="349"/>
        <v/>
      </c>
      <c r="I5487" s="503" t="str">
        <f t="shared" ca="1" si="350"/>
        <v/>
      </c>
      <c r="J5487" s="503" t="str">
        <f t="shared" ca="1" si="351"/>
        <v/>
      </c>
      <c r="K5487" s="503" t="str">
        <f t="shared" ca="1" si="352"/>
        <v/>
      </c>
      <c r="L5487" s="497"/>
      <c r="M5487" s="497"/>
      <c r="N5487" s="497"/>
      <c r="O5487" s="497"/>
      <c r="P5487" s="497">
        <f t="shared" si="353"/>
        <v>0</v>
      </c>
      <c r="Q5487" s="497"/>
    </row>
    <row r="5488" spans="1:17" x14ac:dyDescent="0.35">
      <c r="A5488" s="497" t="b">
        <f t="shared" ca="1" si="345"/>
        <v>0</v>
      </c>
      <c r="B5488" s="510" t="str">
        <f ca="1">IF(COUNTA(G$4308:G5487)=1,"",OFFSET(B5488,-COUNTA(G$4308:G5487)+1,0))</f>
        <v>a1b3p0000095SAcAAM</v>
      </c>
      <c r="C5488" s="512">
        <f ca="1">IF(COUNTA(G$4308:G5487)=1,"",OFFSET(C5488,-COUNTA(G$4308:G5487)+1,0))</f>
        <v>37</v>
      </c>
      <c r="D5488" s="497">
        <f t="shared" si="346"/>
        <v>698</v>
      </c>
      <c r="E5488" s="497">
        <f t="shared" ca="1" si="347"/>
        <v>2</v>
      </c>
      <c r="F5488" s="497">
        <f t="shared" ca="1" si="348"/>
        <v>45</v>
      </c>
      <c r="G5488" s="497"/>
      <c r="H5488" s="503" t="str">
        <f t="shared" ca="1" si="349"/>
        <v/>
      </c>
      <c r="I5488" s="503" t="str">
        <f t="shared" ca="1" si="350"/>
        <v/>
      </c>
      <c r="J5488" s="503" t="str">
        <f t="shared" ca="1" si="351"/>
        <v/>
      </c>
      <c r="K5488" s="503" t="str">
        <f t="shared" ca="1" si="352"/>
        <v/>
      </c>
      <c r="L5488" s="497"/>
      <c r="M5488" s="497"/>
      <c r="N5488" s="497"/>
      <c r="O5488" s="497"/>
      <c r="P5488" s="497">
        <f t="shared" si="353"/>
        <v>0</v>
      </c>
      <c r="Q5488" s="497"/>
    </row>
    <row r="5489" spans="1:17" x14ac:dyDescent="0.35">
      <c r="A5489" s="497" t="b">
        <f t="shared" ca="1" si="345"/>
        <v>0</v>
      </c>
      <c r="B5489" s="510" t="str">
        <f ca="1">IF(COUNTA(G$4308:G5488)=1,"",OFFSET(B5489,-COUNTA(G$4308:G5488)+1,0))</f>
        <v>a1b3p0000095SDCAA2</v>
      </c>
      <c r="C5489" s="512">
        <f ca="1">IF(COUNTA(G$4308:G5488)=1,"",OFFSET(C5489,-COUNTA(G$4308:G5488)+1,0))</f>
        <v>37</v>
      </c>
      <c r="D5489" s="497">
        <f t="shared" si="346"/>
        <v>699</v>
      </c>
      <c r="E5489" s="497">
        <f t="shared" ca="1" si="347"/>
        <v>3</v>
      </c>
      <c r="F5489" s="497">
        <f t="shared" ca="1" si="348"/>
        <v>45</v>
      </c>
      <c r="G5489" s="497"/>
      <c r="H5489" s="503" t="str">
        <f t="shared" ca="1" si="349"/>
        <v/>
      </c>
      <c r="I5489" s="503" t="str">
        <f t="shared" ca="1" si="350"/>
        <v/>
      </c>
      <c r="J5489" s="503" t="str">
        <f t="shared" ca="1" si="351"/>
        <v/>
      </c>
      <c r="K5489" s="503" t="str">
        <f t="shared" ca="1" si="352"/>
        <v/>
      </c>
      <c r="L5489" s="497"/>
      <c r="M5489" s="497"/>
      <c r="N5489" s="497"/>
      <c r="O5489" s="497"/>
      <c r="P5489" s="497">
        <f t="shared" si="353"/>
        <v>0</v>
      </c>
      <c r="Q5489" s="497"/>
    </row>
    <row r="5490" spans="1:17" x14ac:dyDescent="0.35">
      <c r="A5490" s="497" t="b">
        <f t="shared" ca="1" si="345"/>
        <v>0</v>
      </c>
      <c r="B5490" s="510" t="str">
        <f ca="1">IF(COUNTA(G$4308:G5489)=1,"",OFFSET(B5490,-COUNTA(G$4308:G5489)+1,0))</f>
        <v>a1b3p0000095SFmAAM</v>
      </c>
      <c r="C5490" s="512">
        <f ca="1">IF(COUNTA(G$4308:G5489)=1,"",OFFSET(C5490,-COUNTA(G$4308:G5489)+1,0))</f>
        <v>37</v>
      </c>
      <c r="D5490" s="497">
        <f t="shared" si="346"/>
        <v>700</v>
      </c>
      <c r="E5490" s="497">
        <f t="shared" ca="1" si="347"/>
        <v>4</v>
      </c>
      <c r="F5490" s="497">
        <f t="shared" ca="1" si="348"/>
        <v>45</v>
      </c>
      <c r="G5490" s="497"/>
      <c r="H5490" s="503" t="str">
        <f t="shared" ca="1" si="349"/>
        <v/>
      </c>
      <c r="I5490" s="503" t="str">
        <f t="shared" ca="1" si="350"/>
        <v/>
      </c>
      <c r="J5490" s="503" t="str">
        <f t="shared" ca="1" si="351"/>
        <v/>
      </c>
      <c r="K5490" s="503" t="str">
        <f t="shared" ca="1" si="352"/>
        <v/>
      </c>
      <c r="L5490" s="497"/>
      <c r="M5490" s="497"/>
      <c r="N5490" s="497"/>
      <c r="O5490" s="497"/>
      <c r="P5490" s="497">
        <f t="shared" si="353"/>
        <v>0</v>
      </c>
      <c r="Q5490" s="497"/>
    </row>
    <row r="5491" spans="1:17" x14ac:dyDescent="0.35">
      <c r="A5491" s="497" t="b">
        <f t="shared" ca="1" si="345"/>
        <v>0</v>
      </c>
      <c r="B5491" s="510" t="str">
        <f ca="1">IF(COUNTA(G$4308:G5490)=1,"",OFFSET(B5491,-COUNTA(G$4308:G5490)+1,0))</f>
        <v>a1b3p0000095SIMAA2</v>
      </c>
      <c r="C5491" s="512">
        <f ca="1">IF(COUNTA(G$4308:G5490)=1,"",OFFSET(C5491,-COUNTA(G$4308:G5490)+1,0))</f>
        <v>37</v>
      </c>
      <c r="D5491" s="497">
        <f t="shared" si="346"/>
        <v>701</v>
      </c>
      <c r="E5491" s="497">
        <f t="shared" ca="1" si="347"/>
        <v>5</v>
      </c>
      <c r="F5491" s="497">
        <f t="shared" ca="1" si="348"/>
        <v>45</v>
      </c>
      <c r="G5491" s="497"/>
      <c r="H5491" s="503" t="str">
        <f t="shared" ca="1" si="349"/>
        <v/>
      </c>
      <c r="I5491" s="503" t="str">
        <f t="shared" ca="1" si="350"/>
        <v/>
      </c>
      <c r="J5491" s="503" t="str">
        <f t="shared" ca="1" si="351"/>
        <v/>
      </c>
      <c r="K5491" s="503" t="str">
        <f t="shared" ca="1" si="352"/>
        <v/>
      </c>
      <c r="L5491" s="497"/>
      <c r="M5491" s="497"/>
      <c r="N5491" s="497"/>
      <c r="O5491" s="497"/>
      <c r="P5491" s="497">
        <f t="shared" si="353"/>
        <v>0</v>
      </c>
      <c r="Q5491" s="497"/>
    </row>
    <row r="5492" spans="1:17" x14ac:dyDescent="0.35">
      <c r="A5492" s="497" t="b">
        <f t="shared" ca="1" si="345"/>
        <v>0</v>
      </c>
      <c r="B5492" s="510" t="str">
        <f ca="1">IF(COUNTA(G$4308:G5491)=1,"",OFFSET(B5492,-COUNTA(G$4308:G5491)+1,0))</f>
        <v>a1b3p0000095SKwAAM</v>
      </c>
      <c r="C5492" s="512">
        <f ca="1">IF(COUNTA(G$4308:G5491)=1,"",OFFSET(C5492,-COUNTA(G$4308:G5491)+1,0))</f>
        <v>37</v>
      </c>
      <c r="D5492" s="497">
        <f t="shared" si="346"/>
        <v>702</v>
      </c>
      <c r="E5492" s="497">
        <f t="shared" ca="1" si="347"/>
        <v>6</v>
      </c>
      <c r="F5492" s="497">
        <f t="shared" ca="1" si="348"/>
        <v>45</v>
      </c>
      <c r="G5492" s="497"/>
      <c r="H5492" s="503" t="str">
        <f t="shared" ca="1" si="349"/>
        <v/>
      </c>
      <c r="I5492" s="503" t="str">
        <f t="shared" ca="1" si="350"/>
        <v/>
      </c>
      <c r="J5492" s="503" t="str">
        <f t="shared" ca="1" si="351"/>
        <v/>
      </c>
      <c r="K5492" s="503" t="str">
        <f t="shared" ca="1" si="352"/>
        <v/>
      </c>
      <c r="L5492" s="497"/>
      <c r="M5492" s="497"/>
      <c r="N5492" s="497"/>
      <c r="O5492" s="497"/>
      <c r="P5492" s="497">
        <f t="shared" si="353"/>
        <v>0</v>
      </c>
      <c r="Q5492" s="497"/>
    </row>
    <row r="5493" spans="1:17" x14ac:dyDescent="0.35">
      <c r="A5493" s="497" t="b">
        <f t="shared" ca="1" si="345"/>
        <v>0</v>
      </c>
      <c r="B5493" s="510" t="str">
        <f ca="1">IF(COUNTA(G$4308:G5492)=1,"",OFFSET(B5493,-COUNTA(G$4308:G5492)+1,0))</f>
        <v>a1b3p0000095S83AAE</v>
      </c>
      <c r="C5493" s="512">
        <f ca="1">IF(COUNTA(G$4308:G5492)=1,"",OFFSET(C5493,-COUNTA(G$4308:G5492)+1,0))</f>
        <v>38</v>
      </c>
      <c r="D5493" s="497">
        <f t="shared" si="346"/>
        <v>703</v>
      </c>
      <c r="E5493" s="497">
        <f t="shared" ca="1" si="347"/>
        <v>1</v>
      </c>
      <c r="F5493" s="497">
        <f t="shared" ca="1" si="348"/>
        <v>46</v>
      </c>
      <c r="G5493" s="497"/>
      <c r="H5493" s="503" t="str">
        <f t="shared" ca="1" si="349"/>
        <v/>
      </c>
      <c r="I5493" s="503" t="str">
        <f t="shared" ca="1" si="350"/>
        <v/>
      </c>
      <c r="J5493" s="503" t="str">
        <f t="shared" ca="1" si="351"/>
        <v/>
      </c>
      <c r="K5493" s="503" t="str">
        <f t="shared" ca="1" si="352"/>
        <v/>
      </c>
      <c r="L5493" s="497"/>
      <c r="M5493" s="497"/>
      <c r="N5493" s="497"/>
      <c r="O5493" s="497"/>
      <c r="P5493" s="497">
        <f t="shared" si="353"/>
        <v>0</v>
      </c>
      <c r="Q5493" s="497"/>
    </row>
    <row r="5494" spans="1:17" x14ac:dyDescent="0.35">
      <c r="A5494" s="497" t="b">
        <f t="shared" ca="1" si="345"/>
        <v>0</v>
      </c>
      <c r="B5494" s="510" t="str">
        <f ca="1">IF(COUNTA(G$4308:G5493)=1,"",OFFSET(B5494,-COUNTA(G$4308:G5493)+1,0))</f>
        <v>a1b3p0000095SAdAAM</v>
      </c>
      <c r="C5494" s="512">
        <f ca="1">IF(COUNTA(G$4308:G5493)=1,"",OFFSET(C5494,-COUNTA(G$4308:G5493)+1,0))</f>
        <v>38</v>
      </c>
      <c r="D5494" s="497">
        <f t="shared" si="346"/>
        <v>704</v>
      </c>
      <c r="E5494" s="497">
        <f t="shared" ca="1" si="347"/>
        <v>2</v>
      </c>
      <c r="F5494" s="497">
        <f t="shared" ca="1" si="348"/>
        <v>46</v>
      </c>
      <c r="G5494" s="497"/>
      <c r="H5494" s="503" t="str">
        <f t="shared" ca="1" si="349"/>
        <v/>
      </c>
      <c r="I5494" s="503" t="str">
        <f t="shared" ca="1" si="350"/>
        <v/>
      </c>
      <c r="J5494" s="503" t="str">
        <f t="shared" ca="1" si="351"/>
        <v/>
      </c>
      <c r="K5494" s="503" t="str">
        <f t="shared" ca="1" si="352"/>
        <v/>
      </c>
      <c r="L5494" s="497"/>
      <c r="M5494" s="497"/>
      <c r="N5494" s="497"/>
      <c r="O5494" s="497"/>
      <c r="P5494" s="497">
        <f t="shared" si="353"/>
        <v>0</v>
      </c>
      <c r="Q5494" s="497"/>
    </row>
    <row r="5495" spans="1:17" x14ac:dyDescent="0.35">
      <c r="A5495" s="497" t="b">
        <f t="shared" ca="1" si="345"/>
        <v>0</v>
      </c>
      <c r="B5495" s="510" t="str">
        <f ca="1">IF(COUNTA(G$4308:G5494)=1,"",OFFSET(B5495,-COUNTA(G$4308:G5494)+1,0))</f>
        <v>a1b3p0000095SDDAA2</v>
      </c>
      <c r="C5495" s="512">
        <f ca="1">IF(COUNTA(G$4308:G5494)=1,"",OFFSET(C5495,-COUNTA(G$4308:G5494)+1,0))</f>
        <v>38</v>
      </c>
      <c r="D5495" s="497">
        <f t="shared" si="346"/>
        <v>705</v>
      </c>
      <c r="E5495" s="497">
        <f t="shared" ca="1" si="347"/>
        <v>3</v>
      </c>
      <c r="F5495" s="497">
        <f t="shared" ca="1" si="348"/>
        <v>46</v>
      </c>
      <c r="G5495" s="497"/>
      <c r="H5495" s="503" t="str">
        <f t="shared" ca="1" si="349"/>
        <v/>
      </c>
      <c r="I5495" s="503" t="str">
        <f t="shared" ca="1" si="350"/>
        <v/>
      </c>
      <c r="J5495" s="503" t="str">
        <f t="shared" ca="1" si="351"/>
        <v/>
      </c>
      <c r="K5495" s="503" t="str">
        <f t="shared" ca="1" si="352"/>
        <v/>
      </c>
      <c r="L5495" s="497"/>
      <c r="M5495" s="497"/>
      <c r="N5495" s="497"/>
      <c r="O5495" s="497"/>
      <c r="P5495" s="497">
        <f t="shared" si="353"/>
        <v>0</v>
      </c>
      <c r="Q5495" s="497"/>
    </row>
    <row r="5496" spans="1:17" x14ac:dyDescent="0.35">
      <c r="A5496" s="497" t="b">
        <f t="shared" ca="1" si="345"/>
        <v>0</v>
      </c>
      <c r="B5496" s="510" t="str">
        <f ca="1">IF(COUNTA(G$4308:G5495)=1,"",OFFSET(B5496,-COUNTA(G$4308:G5495)+1,0))</f>
        <v>a1b3p0000095SFnAAM</v>
      </c>
      <c r="C5496" s="512">
        <f ca="1">IF(COUNTA(G$4308:G5495)=1,"",OFFSET(C5496,-COUNTA(G$4308:G5495)+1,0))</f>
        <v>38</v>
      </c>
      <c r="D5496" s="497">
        <f t="shared" si="346"/>
        <v>706</v>
      </c>
      <c r="E5496" s="497">
        <f t="shared" ca="1" si="347"/>
        <v>4</v>
      </c>
      <c r="F5496" s="497">
        <f t="shared" ca="1" si="348"/>
        <v>46</v>
      </c>
      <c r="G5496" s="497"/>
      <c r="H5496" s="503" t="str">
        <f t="shared" ca="1" si="349"/>
        <v/>
      </c>
      <c r="I5496" s="503" t="str">
        <f t="shared" ca="1" si="350"/>
        <v/>
      </c>
      <c r="J5496" s="503" t="str">
        <f t="shared" ca="1" si="351"/>
        <v/>
      </c>
      <c r="K5496" s="503" t="str">
        <f t="shared" ca="1" si="352"/>
        <v/>
      </c>
      <c r="L5496" s="497"/>
      <c r="M5496" s="497"/>
      <c r="N5496" s="497"/>
      <c r="O5496" s="497"/>
      <c r="P5496" s="497">
        <f t="shared" si="353"/>
        <v>0</v>
      </c>
      <c r="Q5496" s="497"/>
    </row>
    <row r="5497" spans="1:17" x14ac:dyDescent="0.35">
      <c r="A5497" s="497" t="b">
        <f t="shared" ca="1" si="345"/>
        <v>0</v>
      </c>
      <c r="B5497" s="510" t="str">
        <f ca="1">IF(COUNTA(G$4308:G5496)=1,"",OFFSET(B5497,-COUNTA(G$4308:G5496)+1,0))</f>
        <v>a1b3p0000095SINAA2</v>
      </c>
      <c r="C5497" s="512">
        <f ca="1">IF(COUNTA(G$4308:G5496)=1,"",OFFSET(C5497,-COUNTA(G$4308:G5496)+1,0))</f>
        <v>38</v>
      </c>
      <c r="D5497" s="497">
        <f t="shared" si="346"/>
        <v>707</v>
      </c>
      <c r="E5497" s="497">
        <f t="shared" ca="1" si="347"/>
        <v>5</v>
      </c>
      <c r="F5497" s="497">
        <f t="shared" ca="1" si="348"/>
        <v>46</v>
      </c>
      <c r="G5497" s="497"/>
      <c r="H5497" s="503" t="str">
        <f t="shared" ca="1" si="349"/>
        <v/>
      </c>
      <c r="I5497" s="503" t="str">
        <f t="shared" ca="1" si="350"/>
        <v/>
      </c>
      <c r="J5497" s="503" t="str">
        <f t="shared" ca="1" si="351"/>
        <v/>
      </c>
      <c r="K5497" s="503" t="str">
        <f t="shared" ca="1" si="352"/>
        <v/>
      </c>
      <c r="L5497" s="497"/>
      <c r="M5497" s="497"/>
      <c r="N5497" s="497"/>
      <c r="O5497" s="497"/>
      <c r="P5497" s="497">
        <f t="shared" si="353"/>
        <v>0</v>
      </c>
      <c r="Q5497" s="497"/>
    </row>
    <row r="5498" spans="1:17" x14ac:dyDescent="0.35">
      <c r="A5498" s="497" t="b">
        <f t="shared" ca="1" si="345"/>
        <v>0</v>
      </c>
      <c r="B5498" s="510" t="str">
        <f ca="1">IF(COUNTA(G$4308:G5497)=1,"",OFFSET(B5498,-COUNTA(G$4308:G5497)+1,0))</f>
        <v>a1b3p0000095SKxAAM</v>
      </c>
      <c r="C5498" s="512">
        <f ca="1">IF(COUNTA(G$4308:G5497)=1,"",OFFSET(C5498,-COUNTA(G$4308:G5497)+1,0))</f>
        <v>38</v>
      </c>
      <c r="D5498" s="497">
        <f t="shared" si="346"/>
        <v>708</v>
      </c>
      <c r="E5498" s="497">
        <f t="shared" ca="1" si="347"/>
        <v>6</v>
      </c>
      <c r="F5498" s="497">
        <f t="shared" ca="1" si="348"/>
        <v>46</v>
      </c>
      <c r="G5498" s="497"/>
      <c r="H5498" s="503" t="str">
        <f t="shared" ca="1" si="349"/>
        <v/>
      </c>
      <c r="I5498" s="503" t="str">
        <f t="shared" ca="1" si="350"/>
        <v/>
      </c>
      <c r="J5498" s="503" t="str">
        <f t="shared" ca="1" si="351"/>
        <v/>
      </c>
      <c r="K5498" s="503" t="str">
        <f t="shared" ca="1" si="352"/>
        <v/>
      </c>
      <c r="L5498" s="497"/>
      <c r="M5498" s="497"/>
      <c r="N5498" s="497"/>
      <c r="O5498" s="497"/>
      <c r="P5498" s="497">
        <f t="shared" si="353"/>
        <v>0</v>
      </c>
      <c r="Q5498" s="497"/>
    </row>
    <row r="5499" spans="1:17" x14ac:dyDescent="0.35">
      <c r="A5499" s="497" t="b">
        <f t="shared" ca="1" si="345"/>
        <v>0</v>
      </c>
      <c r="B5499" s="510" t="str">
        <f ca="1">IF(COUNTA(G$4308:G5498)=1,"",OFFSET(B5499,-COUNTA(G$4308:G5498)+1,0))</f>
        <v>a1b3p0000095S84AAE</v>
      </c>
      <c r="C5499" s="512">
        <f ca="1">IF(COUNTA(G$4308:G5498)=1,"",OFFSET(C5499,-COUNTA(G$4308:G5498)+1,0))</f>
        <v>39</v>
      </c>
      <c r="D5499" s="497">
        <f t="shared" si="346"/>
        <v>709</v>
      </c>
      <c r="E5499" s="497">
        <f t="shared" ca="1" si="347"/>
        <v>1</v>
      </c>
      <c r="F5499" s="497">
        <f t="shared" ca="1" si="348"/>
        <v>47</v>
      </c>
      <c r="G5499" s="497"/>
      <c r="H5499" s="503" t="str">
        <f t="shared" ca="1" si="349"/>
        <v/>
      </c>
      <c r="I5499" s="503" t="str">
        <f t="shared" ca="1" si="350"/>
        <v/>
      </c>
      <c r="J5499" s="503" t="str">
        <f t="shared" ca="1" si="351"/>
        <v/>
      </c>
      <c r="K5499" s="503" t="str">
        <f t="shared" ca="1" si="352"/>
        <v/>
      </c>
      <c r="L5499" s="497"/>
      <c r="M5499" s="497"/>
      <c r="N5499" s="497"/>
      <c r="O5499" s="497"/>
      <c r="P5499" s="497">
        <f t="shared" si="353"/>
        <v>0</v>
      </c>
      <c r="Q5499" s="497"/>
    </row>
    <row r="5500" spans="1:17" x14ac:dyDescent="0.35">
      <c r="A5500" s="497" t="b">
        <f t="shared" ca="1" si="345"/>
        <v>0</v>
      </c>
      <c r="B5500" s="510" t="str">
        <f ca="1">IF(COUNTA(G$4308:G5499)=1,"",OFFSET(B5500,-COUNTA(G$4308:G5499)+1,0))</f>
        <v>a1b3p0000095SAeAAM</v>
      </c>
      <c r="C5500" s="512">
        <f ca="1">IF(COUNTA(G$4308:G5499)=1,"",OFFSET(C5500,-COUNTA(G$4308:G5499)+1,0))</f>
        <v>39</v>
      </c>
      <c r="D5500" s="497">
        <f t="shared" si="346"/>
        <v>710</v>
      </c>
      <c r="E5500" s="497">
        <f t="shared" ca="1" si="347"/>
        <v>2</v>
      </c>
      <c r="F5500" s="497">
        <f t="shared" ca="1" si="348"/>
        <v>47</v>
      </c>
      <c r="G5500" s="497"/>
      <c r="H5500" s="503" t="str">
        <f t="shared" ca="1" si="349"/>
        <v/>
      </c>
      <c r="I5500" s="503" t="str">
        <f t="shared" ca="1" si="350"/>
        <v/>
      </c>
      <c r="J5500" s="503" t="str">
        <f t="shared" ca="1" si="351"/>
        <v/>
      </c>
      <c r="K5500" s="503" t="str">
        <f t="shared" ca="1" si="352"/>
        <v/>
      </c>
      <c r="L5500" s="497"/>
      <c r="M5500" s="497"/>
      <c r="N5500" s="497"/>
      <c r="O5500" s="497"/>
      <c r="P5500" s="497">
        <f t="shared" si="353"/>
        <v>0</v>
      </c>
      <c r="Q5500" s="497"/>
    </row>
    <row r="5501" spans="1:17" x14ac:dyDescent="0.35">
      <c r="A5501" s="497" t="b">
        <f t="shared" ca="1" si="345"/>
        <v>0</v>
      </c>
      <c r="B5501" s="510" t="str">
        <f ca="1">IF(COUNTA(G$4308:G5500)=1,"",OFFSET(B5501,-COUNTA(G$4308:G5500)+1,0))</f>
        <v>a1b3p0000095SDEAA2</v>
      </c>
      <c r="C5501" s="512">
        <f ca="1">IF(COUNTA(G$4308:G5500)=1,"",OFFSET(C5501,-COUNTA(G$4308:G5500)+1,0))</f>
        <v>39</v>
      </c>
      <c r="D5501" s="497">
        <f t="shared" si="346"/>
        <v>711</v>
      </c>
      <c r="E5501" s="497">
        <f t="shared" ca="1" si="347"/>
        <v>3</v>
      </c>
      <c r="F5501" s="497">
        <f t="shared" ca="1" si="348"/>
        <v>47</v>
      </c>
      <c r="G5501" s="497"/>
      <c r="H5501" s="503" t="str">
        <f t="shared" ca="1" si="349"/>
        <v/>
      </c>
      <c r="I5501" s="503" t="str">
        <f t="shared" ca="1" si="350"/>
        <v/>
      </c>
      <c r="J5501" s="503" t="str">
        <f t="shared" ca="1" si="351"/>
        <v/>
      </c>
      <c r="K5501" s="503" t="str">
        <f t="shared" ca="1" si="352"/>
        <v/>
      </c>
      <c r="L5501" s="497"/>
      <c r="M5501" s="497"/>
      <c r="N5501" s="497"/>
      <c r="O5501" s="497"/>
      <c r="P5501" s="497">
        <f t="shared" si="353"/>
        <v>0</v>
      </c>
      <c r="Q5501" s="497"/>
    </row>
    <row r="5502" spans="1:17" x14ac:dyDescent="0.35">
      <c r="A5502" s="497" t="b">
        <f t="shared" ca="1" si="345"/>
        <v>0</v>
      </c>
      <c r="B5502" s="510" t="str">
        <f ca="1">IF(COUNTA(G$4308:G5501)=1,"",OFFSET(B5502,-COUNTA(G$4308:G5501)+1,0))</f>
        <v>a1b3p0000095SFoAAM</v>
      </c>
      <c r="C5502" s="512">
        <f ca="1">IF(COUNTA(G$4308:G5501)=1,"",OFFSET(C5502,-COUNTA(G$4308:G5501)+1,0))</f>
        <v>39</v>
      </c>
      <c r="D5502" s="497">
        <f t="shared" si="346"/>
        <v>712</v>
      </c>
      <c r="E5502" s="497">
        <f t="shared" ca="1" si="347"/>
        <v>4</v>
      </c>
      <c r="F5502" s="497">
        <f t="shared" ca="1" si="348"/>
        <v>47</v>
      </c>
      <c r="G5502" s="497"/>
      <c r="H5502" s="503" t="str">
        <f t="shared" ca="1" si="349"/>
        <v/>
      </c>
      <c r="I5502" s="503" t="str">
        <f t="shared" ca="1" si="350"/>
        <v/>
      </c>
      <c r="J5502" s="503" t="str">
        <f t="shared" ca="1" si="351"/>
        <v/>
      </c>
      <c r="K5502" s="503" t="str">
        <f t="shared" ca="1" si="352"/>
        <v/>
      </c>
      <c r="L5502" s="497"/>
      <c r="M5502" s="497"/>
      <c r="N5502" s="497"/>
      <c r="O5502" s="497"/>
      <c r="P5502" s="497">
        <f t="shared" si="353"/>
        <v>0</v>
      </c>
      <c r="Q5502" s="497"/>
    </row>
    <row r="5503" spans="1:17" x14ac:dyDescent="0.35">
      <c r="A5503" s="497" t="b">
        <f t="shared" ca="1" si="345"/>
        <v>0</v>
      </c>
      <c r="B5503" s="510" t="str">
        <f ca="1">IF(COUNTA(G$4308:G5502)=1,"",OFFSET(B5503,-COUNTA(G$4308:G5502)+1,0))</f>
        <v>a1b3p0000095SIOAA2</v>
      </c>
      <c r="C5503" s="512">
        <f ca="1">IF(COUNTA(G$4308:G5502)=1,"",OFFSET(C5503,-COUNTA(G$4308:G5502)+1,0))</f>
        <v>39</v>
      </c>
      <c r="D5503" s="497">
        <f t="shared" si="346"/>
        <v>713</v>
      </c>
      <c r="E5503" s="497">
        <f t="shared" ca="1" si="347"/>
        <v>5</v>
      </c>
      <c r="F5503" s="497">
        <f t="shared" ca="1" si="348"/>
        <v>47</v>
      </c>
      <c r="G5503" s="497"/>
      <c r="H5503" s="503" t="str">
        <f t="shared" ca="1" si="349"/>
        <v/>
      </c>
      <c r="I5503" s="503" t="str">
        <f t="shared" ca="1" si="350"/>
        <v/>
      </c>
      <c r="J5503" s="503" t="str">
        <f t="shared" ca="1" si="351"/>
        <v/>
      </c>
      <c r="K5503" s="503" t="str">
        <f t="shared" ca="1" si="352"/>
        <v/>
      </c>
      <c r="L5503" s="497"/>
      <c r="M5503" s="497"/>
      <c r="N5503" s="497"/>
      <c r="O5503" s="497"/>
      <c r="P5503" s="497">
        <f t="shared" si="353"/>
        <v>0</v>
      </c>
      <c r="Q5503" s="497"/>
    </row>
    <row r="5504" spans="1:17" x14ac:dyDescent="0.35">
      <c r="A5504" s="497" t="b">
        <f t="shared" ca="1" si="345"/>
        <v>0</v>
      </c>
      <c r="B5504" s="510" t="str">
        <f ca="1">IF(COUNTA(G$4308:G5503)=1,"",OFFSET(B5504,-COUNTA(G$4308:G5503)+1,0))</f>
        <v>a1b3p0000095SKyAAM</v>
      </c>
      <c r="C5504" s="512">
        <f ca="1">IF(COUNTA(G$4308:G5503)=1,"",OFFSET(C5504,-COUNTA(G$4308:G5503)+1,0))</f>
        <v>39</v>
      </c>
      <c r="D5504" s="497">
        <f t="shared" si="346"/>
        <v>714</v>
      </c>
      <c r="E5504" s="497">
        <f t="shared" ca="1" si="347"/>
        <v>6</v>
      </c>
      <c r="F5504" s="497">
        <f t="shared" ca="1" si="348"/>
        <v>47</v>
      </c>
      <c r="G5504" s="497"/>
      <c r="H5504" s="503" t="str">
        <f t="shared" ca="1" si="349"/>
        <v/>
      </c>
      <c r="I5504" s="503" t="str">
        <f t="shared" ca="1" si="350"/>
        <v/>
      </c>
      <c r="J5504" s="503" t="str">
        <f t="shared" ca="1" si="351"/>
        <v/>
      </c>
      <c r="K5504" s="503" t="str">
        <f t="shared" ca="1" si="352"/>
        <v/>
      </c>
      <c r="L5504" s="497"/>
      <c r="M5504" s="497"/>
      <c r="N5504" s="497"/>
      <c r="O5504" s="497"/>
      <c r="P5504" s="497">
        <f t="shared" si="353"/>
        <v>0</v>
      </c>
      <c r="Q5504" s="497"/>
    </row>
    <row r="5505" spans="1:17" x14ac:dyDescent="0.35">
      <c r="A5505" s="497" t="b">
        <f t="shared" ca="1" si="345"/>
        <v>0</v>
      </c>
      <c r="B5505" s="510" t="str">
        <f ca="1">IF(COUNTA(G$4308:G5504)=1,"",OFFSET(B5505,-COUNTA(G$4308:G5504)+1,0))</f>
        <v>a1b3p0000095S85AAE</v>
      </c>
      <c r="C5505" s="512">
        <f ca="1">IF(COUNTA(G$4308:G5504)=1,"",OFFSET(C5505,-COUNTA(G$4308:G5504)+1,0))</f>
        <v>40</v>
      </c>
      <c r="D5505" s="497">
        <f t="shared" si="346"/>
        <v>715</v>
      </c>
      <c r="E5505" s="497">
        <f t="shared" ca="1" si="347"/>
        <v>1</v>
      </c>
      <c r="F5505" s="497">
        <f t="shared" ca="1" si="348"/>
        <v>48</v>
      </c>
      <c r="G5505" s="497"/>
      <c r="H5505" s="503" t="str">
        <f t="shared" ca="1" si="349"/>
        <v/>
      </c>
      <c r="I5505" s="503" t="str">
        <f t="shared" ca="1" si="350"/>
        <v/>
      </c>
      <c r="J5505" s="503" t="str">
        <f t="shared" ca="1" si="351"/>
        <v/>
      </c>
      <c r="K5505" s="503" t="str">
        <f t="shared" ca="1" si="352"/>
        <v/>
      </c>
      <c r="L5505" s="497"/>
      <c r="M5505" s="497"/>
      <c r="N5505" s="497"/>
      <c r="O5505" s="497"/>
      <c r="P5505" s="497">
        <f t="shared" si="353"/>
        <v>0</v>
      </c>
      <c r="Q5505" s="497"/>
    </row>
    <row r="5506" spans="1:17" x14ac:dyDescent="0.35">
      <c r="A5506" s="497" t="b">
        <f t="shared" ca="1" si="345"/>
        <v>0</v>
      </c>
      <c r="B5506" s="510" t="str">
        <f ca="1">IF(COUNTA(G$4308:G5505)=1,"",OFFSET(B5506,-COUNTA(G$4308:G5505)+1,0))</f>
        <v>a1b3p0000095SAfAAM</v>
      </c>
      <c r="C5506" s="512">
        <f ca="1">IF(COUNTA(G$4308:G5505)=1,"",OFFSET(C5506,-COUNTA(G$4308:G5505)+1,0))</f>
        <v>40</v>
      </c>
      <c r="D5506" s="497">
        <f t="shared" si="346"/>
        <v>716</v>
      </c>
      <c r="E5506" s="497">
        <f t="shared" ca="1" si="347"/>
        <v>2</v>
      </c>
      <c r="F5506" s="497">
        <f t="shared" ca="1" si="348"/>
        <v>48</v>
      </c>
      <c r="G5506" s="497"/>
      <c r="H5506" s="503" t="str">
        <f t="shared" ca="1" si="349"/>
        <v/>
      </c>
      <c r="I5506" s="503" t="str">
        <f t="shared" ca="1" si="350"/>
        <v/>
      </c>
      <c r="J5506" s="503" t="str">
        <f t="shared" ca="1" si="351"/>
        <v/>
      </c>
      <c r="K5506" s="503" t="str">
        <f t="shared" ca="1" si="352"/>
        <v/>
      </c>
      <c r="L5506" s="497"/>
      <c r="M5506" s="497"/>
      <c r="N5506" s="497"/>
      <c r="O5506" s="497"/>
      <c r="P5506" s="497">
        <f t="shared" si="353"/>
        <v>0</v>
      </c>
      <c r="Q5506" s="497"/>
    </row>
    <row r="5507" spans="1:17" x14ac:dyDescent="0.35">
      <c r="A5507" s="497" t="b">
        <f t="shared" ca="1" si="345"/>
        <v>0</v>
      </c>
      <c r="B5507" s="510" t="str">
        <f ca="1">IF(COUNTA(G$4308:G5506)=1,"",OFFSET(B5507,-COUNTA(G$4308:G5506)+1,0))</f>
        <v>a1b3p0000095SDFAA2</v>
      </c>
      <c r="C5507" s="512">
        <f ca="1">IF(COUNTA(G$4308:G5506)=1,"",OFFSET(C5507,-COUNTA(G$4308:G5506)+1,0))</f>
        <v>40</v>
      </c>
      <c r="D5507" s="497">
        <f t="shared" si="346"/>
        <v>717</v>
      </c>
      <c r="E5507" s="497">
        <f t="shared" ca="1" si="347"/>
        <v>3</v>
      </c>
      <c r="F5507" s="497">
        <f t="shared" ca="1" si="348"/>
        <v>48</v>
      </c>
      <c r="G5507" s="497"/>
      <c r="H5507" s="503" t="str">
        <f t="shared" ca="1" si="349"/>
        <v/>
      </c>
      <c r="I5507" s="503" t="str">
        <f t="shared" ca="1" si="350"/>
        <v/>
      </c>
      <c r="J5507" s="503" t="str">
        <f t="shared" ca="1" si="351"/>
        <v/>
      </c>
      <c r="K5507" s="503" t="str">
        <f t="shared" ca="1" si="352"/>
        <v/>
      </c>
      <c r="L5507" s="497"/>
      <c r="M5507" s="497"/>
      <c r="N5507" s="497"/>
      <c r="O5507" s="497"/>
      <c r="P5507" s="497">
        <f t="shared" si="353"/>
        <v>0</v>
      </c>
      <c r="Q5507" s="497"/>
    </row>
    <row r="5508" spans="1:17" x14ac:dyDescent="0.35">
      <c r="A5508" s="497" t="b">
        <f t="shared" ca="1" si="345"/>
        <v>0</v>
      </c>
      <c r="B5508" s="510" t="str">
        <f ca="1">IF(COUNTA(G$4308:G5507)=1,"",OFFSET(B5508,-COUNTA(G$4308:G5507)+1,0))</f>
        <v>a1b3p0000095SFpAAM</v>
      </c>
      <c r="C5508" s="512">
        <f ca="1">IF(COUNTA(G$4308:G5507)=1,"",OFFSET(C5508,-COUNTA(G$4308:G5507)+1,0))</f>
        <v>40</v>
      </c>
      <c r="D5508" s="497">
        <f t="shared" si="346"/>
        <v>718</v>
      </c>
      <c r="E5508" s="497">
        <f t="shared" ca="1" si="347"/>
        <v>4</v>
      </c>
      <c r="F5508" s="497">
        <f t="shared" ca="1" si="348"/>
        <v>48</v>
      </c>
      <c r="G5508" s="497"/>
      <c r="H5508" s="503" t="str">
        <f t="shared" ca="1" si="349"/>
        <v/>
      </c>
      <c r="I5508" s="503" t="str">
        <f t="shared" ca="1" si="350"/>
        <v/>
      </c>
      <c r="J5508" s="503" t="str">
        <f t="shared" ca="1" si="351"/>
        <v/>
      </c>
      <c r="K5508" s="503" t="str">
        <f t="shared" ca="1" si="352"/>
        <v/>
      </c>
      <c r="L5508" s="497"/>
      <c r="M5508" s="497"/>
      <c r="N5508" s="497"/>
      <c r="O5508" s="497"/>
      <c r="P5508" s="497">
        <f t="shared" si="353"/>
        <v>0</v>
      </c>
      <c r="Q5508" s="497"/>
    </row>
    <row r="5509" spans="1:17" x14ac:dyDescent="0.35">
      <c r="A5509" s="497" t="b">
        <f t="shared" ca="1" si="345"/>
        <v>0</v>
      </c>
      <c r="B5509" s="510" t="str">
        <f ca="1">IF(COUNTA(G$4308:G5508)=1,"",OFFSET(B5509,-COUNTA(G$4308:G5508)+1,0))</f>
        <v>a1b3p0000095SIPAA2</v>
      </c>
      <c r="C5509" s="512">
        <f ca="1">IF(COUNTA(G$4308:G5508)=1,"",OFFSET(C5509,-COUNTA(G$4308:G5508)+1,0))</f>
        <v>40</v>
      </c>
      <c r="D5509" s="497">
        <f t="shared" si="346"/>
        <v>719</v>
      </c>
      <c r="E5509" s="497">
        <f t="shared" ca="1" si="347"/>
        <v>5</v>
      </c>
      <c r="F5509" s="497">
        <f t="shared" ca="1" si="348"/>
        <v>48</v>
      </c>
      <c r="G5509" s="497"/>
      <c r="H5509" s="503" t="str">
        <f t="shared" ca="1" si="349"/>
        <v/>
      </c>
      <c r="I5509" s="503" t="str">
        <f t="shared" ca="1" si="350"/>
        <v/>
      </c>
      <c r="J5509" s="503" t="str">
        <f t="shared" ca="1" si="351"/>
        <v/>
      </c>
      <c r="K5509" s="503" t="str">
        <f t="shared" ca="1" si="352"/>
        <v/>
      </c>
      <c r="L5509" s="497"/>
      <c r="M5509" s="497"/>
      <c r="N5509" s="497"/>
      <c r="O5509" s="497"/>
      <c r="P5509" s="497">
        <f t="shared" si="353"/>
        <v>0</v>
      </c>
      <c r="Q5509" s="497"/>
    </row>
    <row r="5510" spans="1:17" x14ac:dyDescent="0.35">
      <c r="A5510" s="497" t="b">
        <f t="shared" ca="1" si="345"/>
        <v>0</v>
      </c>
      <c r="B5510" s="510" t="str">
        <f ca="1">IF(COUNTA(G$4308:G5509)=1,"",OFFSET(B5510,-COUNTA(G$4308:G5509)+1,0))</f>
        <v>a1b3p0000095SKzAAM</v>
      </c>
      <c r="C5510" s="512">
        <f ca="1">IF(COUNTA(G$4308:G5509)=1,"",OFFSET(C5510,-COUNTA(G$4308:G5509)+1,0))</f>
        <v>40</v>
      </c>
      <c r="D5510" s="497">
        <f t="shared" si="346"/>
        <v>720</v>
      </c>
      <c r="E5510" s="497">
        <f t="shared" ca="1" si="347"/>
        <v>6</v>
      </c>
      <c r="F5510" s="497">
        <f t="shared" ca="1" si="348"/>
        <v>48</v>
      </c>
      <c r="G5510" s="497"/>
      <c r="H5510" s="503" t="str">
        <f t="shared" ca="1" si="349"/>
        <v/>
      </c>
      <c r="I5510" s="503" t="str">
        <f t="shared" ca="1" si="350"/>
        <v/>
      </c>
      <c r="J5510" s="503" t="str">
        <f t="shared" ca="1" si="351"/>
        <v/>
      </c>
      <c r="K5510" s="503" t="str">
        <f t="shared" ca="1" si="352"/>
        <v/>
      </c>
      <c r="L5510" s="497"/>
      <c r="M5510" s="497"/>
      <c r="N5510" s="497"/>
      <c r="O5510" s="497"/>
      <c r="P5510" s="497">
        <f t="shared" si="353"/>
        <v>0</v>
      </c>
      <c r="Q5510" s="497"/>
    </row>
    <row r="5511" spans="1:17" x14ac:dyDescent="0.35">
      <c r="A5511" s="497" t="b">
        <f t="shared" ca="1" si="345"/>
        <v>0</v>
      </c>
      <c r="B5511" s="510" t="str">
        <f ca="1">IF(COUNTA(G$4308:G5510)=1,"",OFFSET(B5511,-COUNTA(G$4308:G5510)+1,0))</f>
        <v>a1b3p0000095S86AAE</v>
      </c>
      <c r="C5511" s="512">
        <f ca="1">IF(COUNTA(G$4308:G5510)=1,"",OFFSET(C5511,-COUNTA(G$4308:G5510)+1,0))</f>
        <v>41</v>
      </c>
      <c r="D5511" s="497">
        <f t="shared" si="346"/>
        <v>721</v>
      </c>
      <c r="E5511" s="497">
        <f t="shared" ca="1" si="347"/>
        <v>1</v>
      </c>
      <c r="F5511" s="497">
        <f t="shared" ca="1" si="348"/>
        <v>49</v>
      </c>
      <c r="G5511" s="497"/>
      <c r="H5511" s="503" t="str">
        <f t="shared" ca="1" si="349"/>
        <v/>
      </c>
      <c r="I5511" s="503" t="str">
        <f t="shared" ca="1" si="350"/>
        <v/>
      </c>
      <c r="J5511" s="503" t="str">
        <f t="shared" ca="1" si="351"/>
        <v/>
      </c>
      <c r="K5511" s="503" t="str">
        <f t="shared" ca="1" si="352"/>
        <v/>
      </c>
      <c r="L5511" s="497"/>
      <c r="M5511" s="497"/>
      <c r="N5511" s="497"/>
      <c r="O5511" s="497"/>
      <c r="P5511" s="497">
        <f t="shared" si="353"/>
        <v>0</v>
      </c>
      <c r="Q5511" s="497"/>
    </row>
    <row r="5512" spans="1:17" x14ac:dyDescent="0.35">
      <c r="A5512" s="497" t="b">
        <f t="shared" ca="1" si="345"/>
        <v>0</v>
      </c>
      <c r="B5512" s="510" t="str">
        <f ca="1">IF(COUNTA(G$4308:G5511)=1,"",OFFSET(B5512,-COUNTA(G$4308:G5511)+1,0))</f>
        <v>a1b3p0000095SAgAAM</v>
      </c>
      <c r="C5512" s="512">
        <f ca="1">IF(COUNTA(G$4308:G5511)=1,"",OFFSET(C5512,-COUNTA(G$4308:G5511)+1,0))</f>
        <v>41</v>
      </c>
      <c r="D5512" s="497">
        <f t="shared" si="346"/>
        <v>722</v>
      </c>
      <c r="E5512" s="497">
        <f t="shared" ca="1" si="347"/>
        <v>2</v>
      </c>
      <c r="F5512" s="497">
        <f t="shared" ca="1" si="348"/>
        <v>49</v>
      </c>
      <c r="G5512" s="497"/>
      <c r="H5512" s="503" t="str">
        <f t="shared" ca="1" si="349"/>
        <v/>
      </c>
      <c r="I5512" s="503" t="str">
        <f t="shared" ca="1" si="350"/>
        <v/>
      </c>
      <c r="J5512" s="503" t="str">
        <f t="shared" ca="1" si="351"/>
        <v/>
      </c>
      <c r="K5512" s="503" t="str">
        <f t="shared" ca="1" si="352"/>
        <v/>
      </c>
      <c r="L5512" s="497"/>
      <c r="M5512" s="497"/>
      <c r="N5512" s="497"/>
      <c r="O5512" s="497"/>
      <c r="P5512" s="497">
        <f t="shared" si="353"/>
        <v>0</v>
      </c>
      <c r="Q5512" s="497"/>
    </row>
    <row r="5513" spans="1:17" x14ac:dyDescent="0.35">
      <c r="A5513" s="497" t="b">
        <f t="shared" ca="1" si="345"/>
        <v>0</v>
      </c>
      <c r="B5513" s="510" t="str">
        <f ca="1">IF(COUNTA(G$4308:G5512)=1,"",OFFSET(B5513,-COUNTA(G$4308:G5512)+1,0))</f>
        <v>a1b3p0000095SDGAA2</v>
      </c>
      <c r="C5513" s="512">
        <f ca="1">IF(COUNTA(G$4308:G5512)=1,"",OFFSET(C5513,-COUNTA(G$4308:G5512)+1,0))</f>
        <v>41</v>
      </c>
      <c r="D5513" s="497">
        <f t="shared" si="346"/>
        <v>723</v>
      </c>
      <c r="E5513" s="497">
        <f t="shared" ca="1" si="347"/>
        <v>3</v>
      </c>
      <c r="F5513" s="497">
        <f t="shared" ca="1" si="348"/>
        <v>49</v>
      </c>
      <c r="G5513" s="497"/>
      <c r="H5513" s="503" t="str">
        <f t="shared" ca="1" si="349"/>
        <v/>
      </c>
      <c r="I5513" s="503" t="str">
        <f t="shared" ca="1" si="350"/>
        <v/>
      </c>
      <c r="J5513" s="503" t="str">
        <f t="shared" ca="1" si="351"/>
        <v/>
      </c>
      <c r="K5513" s="503" t="str">
        <f t="shared" ca="1" si="352"/>
        <v/>
      </c>
      <c r="L5513" s="497"/>
      <c r="M5513" s="497"/>
      <c r="N5513" s="497"/>
      <c r="O5513" s="497"/>
      <c r="P5513" s="497">
        <f t="shared" si="353"/>
        <v>0</v>
      </c>
      <c r="Q5513" s="497"/>
    </row>
    <row r="5514" spans="1:17" x14ac:dyDescent="0.35">
      <c r="A5514" s="497" t="b">
        <f t="shared" ca="1" si="345"/>
        <v>0</v>
      </c>
      <c r="B5514" s="510" t="str">
        <f ca="1">IF(COUNTA(G$4308:G5513)=1,"",OFFSET(B5514,-COUNTA(G$4308:G5513)+1,0))</f>
        <v>a1b3p0000095SFqAAM</v>
      </c>
      <c r="C5514" s="512">
        <f ca="1">IF(COUNTA(G$4308:G5513)=1,"",OFFSET(C5514,-COUNTA(G$4308:G5513)+1,0))</f>
        <v>41</v>
      </c>
      <c r="D5514" s="497">
        <f t="shared" si="346"/>
        <v>724</v>
      </c>
      <c r="E5514" s="497">
        <f t="shared" ca="1" si="347"/>
        <v>4</v>
      </c>
      <c r="F5514" s="497">
        <f t="shared" ca="1" si="348"/>
        <v>49</v>
      </c>
      <c r="G5514" s="497"/>
      <c r="H5514" s="503" t="str">
        <f t="shared" ca="1" si="349"/>
        <v/>
      </c>
      <c r="I5514" s="503" t="str">
        <f t="shared" ca="1" si="350"/>
        <v/>
      </c>
      <c r="J5514" s="503" t="str">
        <f t="shared" ca="1" si="351"/>
        <v/>
      </c>
      <c r="K5514" s="503" t="str">
        <f t="shared" ca="1" si="352"/>
        <v/>
      </c>
      <c r="L5514" s="497"/>
      <c r="M5514" s="497"/>
      <c r="N5514" s="497"/>
      <c r="O5514" s="497"/>
      <c r="P5514" s="497">
        <f t="shared" si="353"/>
        <v>0</v>
      </c>
      <c r="Q5514" s="497"/>
    </row>
    <row r="5515" spans="1:17" x14ac:dyDescent="0.35">
      <c r="A5515" s="497" t="b">
        <f t="shared" ca="1" si="345"/>
        <v>0</v>
      </c>
      <c r="B5515" s="510" t="str">
        <f ca="1">IF(COUNTA(G$4308:G5514)=1,"",OFFSET(B5515,-COUNTA(G$4308:G5514)+1,0))</f>
        <v>a1b3p0000095SIQAA2</v>
      </c>
      <c r="C5515" s="512">
        <f ca="1">IF(COUNTA(G$4308:G5514)=1,"",OFFSET(C5515,-COUNTA(G$4308:G5514)+1,0))</f>
        <v>41</v>
      </c>
      <c r="D5515" s="497">
        <f t="shared" si="346"/>
        <v>725</v>
      </c>
      <c r="E5515" s="497">
        <f t="shared" ca="1" si="347"/>
        <v>5</v>
      </c>
      <c r="F5515" s="497">
        <f t="shared" ca="1" si="348"/>
        <v>49</v>
      </c>
      <c r="G5515" s="497"/>
      <c r="H5515" s="503" t="str">
        <f t="shared" ca="1" si="349"/>
        <v/>
      </c>
      <c r="I5515" s="503" t="str">
        <f t="shared" ca="1" si="350"/>
        <v/>
      </c>
      <c r="J5515" s="503" t="str">
        <f t="shared" ca="1" si="351"/>
        <v/>
      </c>
      <c r="K5515" s="503" t="str">
        <f t="shared" ca="1" si="352"/>
        <v/>
      </c>
      <c r="L5515" s="497"/>
      <c r="M5515" s="497"/>
      <c r="N5515" s="497"/>
      <c r="O5515" s="497"/>
      <c r="P5515" s="497">
        <f t="shared" si="353"/>
        <v>0</v>
      </c>
      <c r="Q5515" s="497"/>
    </row>
    <row r="5516" spans="1:17" x14ac:dyDescent="0.35">
      <c r="A5516" s="497" t="b">
        <f t="shared" ca="1" si="345"/>
        <v>0</v>
      </c>
      <c r="B5516" s="510" t="str">
        <f ca="1">IF(COUNTA(G$4308:G5515)=1,"",OFFSET(B5516,-COUNTA(G$4308:G5515)+1,0))</f>
        <v>a1b3p0000095SL0AAM</v>
      </c>
      <c r="C5516" s="512">
        <f ca="1">IF(COUNTA(G$4308:G5515)=1,"",OFFSET(C5516,-COUNTA(G$4308:G5515)+1,0))</f>
        <v>41</v>
      </c>
      <c r="D5516" s="497">
        <f t="shared" si="346"/>
        <v>726</v>
      </c>
      <c r="E5516" s="497">
        <f t="shared" ca="1" si="347"/>
        <v>6</v>
      </c>
      <c r="F5516" s="497">
        <f t="shared" ca="1" si="348"/>
        <v>49</v>
      </c>
      <c r="G5516" s="497"/>
      <c r="H5516" s="503" t="str">
        <f t="shared" ca="1" si="349"/>
        <v/>
      </c>
      <c r="I5516" s="503" t="str">
        <f t="shared" ca="1" si="350"/>
        <v/>
      </c>
      <c r="J5516" s="503" t="str">
        <f t="shared" ca="1" si="351"/>
        <v/>
      </c>
      <c r="K5516" s="503" t="str">
        <f t="shared" ca="1" si="352"/>
        <v/>
      </c>
      <c r="L5516" s="497"/>
      <c r="M5516" s="497"/>
      <c r="N5516" s="497"/>
      <c r="O5516" s="497"/>
      <c r="P5516" s="497">
        <f t="shared" si="353"/>
        <v>0</v>
      </c>
      <c r="Q5516" s="497"/>
    </row>
    <row r="5517" spans="1:17" x14ac:dyDescent="0.35">
      <c r="A5517" s="497" t="b">
        <f t="shared" ca="1" si="345"/>
        <v>0</v>
      </c>
      <c r="B5517" s="510" t="str">
        <f ca="1">IF(COUNTA(G$4308:G5516)=1,"",OFFSET(B5517,-COUNTA(G$4308:G5516)+1,0))</f>
        <v>a1b3p0000095S87AAE</v>
      </c>
      <c r="C5517" s="512">
        <f ca="1">IF(COUNTA(G$4308:G5516)=1,"",OFFSET(C5517,-COUNTA(G$4308:G5516)+1,0))</f>
        <v>42</v>
      </c>
      <c r="D5517" s="497">
        <f t="shared" si="346"/>
        <v>727</v>
      </c>
      <c r="E5517" s="497">
        <f t="shared" ca="1" si="347"/>
        <v>1</v>
      </c>
      <c r="F5517" s="497">
        <f t="shared" ca="1" si="348"/>
        <v>50</v>
      </c>
      <c r="G5517" s="497"/>
      <c r="H5517" s="503" t="str">
        <f t="shared" ca="1" si="349"/>
        <v/>
      </c>
      <c r="I5517" s="503" t="str">
        <f t="shared" ca="1" si="350"/>
        <v/>
      </c>
      <c r="J5517" s="503" t="str">
        <f t="shared" ca="1" si="351"/>
        <v/>
      </c>
      <c r="K5517" s="503" t="str">
        <f t="shared" ca="1" si="352"/>
        <v/>
      </c>
      <c r="L5517" s="497"/>
      <c r="M5517" s="497"/>
      <c r="N5517" s="497"/>
      <c r="O5517" s="497"/>
      <c r="P5517" s="497">
        <f t="shared" si="353"/>
        <v>0</v>
      </c>
      <c r="Q5517" s="497"/>
    </row>
    <row r="5518" spans="1:17" x14ac:dyDescent="0.35">
      <c r="A5518" s="497" t="b">
        <f t="shared" ca="1" si="345"/>
        <v>0</v>
      </c>
      <c r="B5518" s="510" t="str">
        <f ca="1">IF(COUNTA(G$4308:G5517)=1,"",OFFSET(B5518,-COUNTA(G$4308:G5517)+1,0))</f>
        <v>a1b3p0000095SAhAAM</v>
      </c>
      <c r="C5518" s="512">
        <f ca="1">IF(COUNTA(G$4308:G5517)=1,"",OFFSET(C5518,-COUNTA(G$4308:G5517)+1,0))</f>
        <v>42</v>
      </c>
      <c r="D5518" s="497">
        <f t="shared" si="346"/>
        <v>728</v>
      </c>
      <c r="E5518" s="497">
        <f t="shared" ca="1" si="347"/>
        <v>2</v>
      </c>
      <c r="F5518" s="497">
        <f t="shared" ca="1" si="348"/>
        <v>50</v>
      </c>
      <c r="G5518" s="497"/>
      <c r="H5518" s="503" t="str">
        <f t="shared" ca="1" si="349"/>
        <v/>
      </c>
      <c r="I5518" s="503" t="str">
        <f t="shared" ca="1" si="350"/>
        <v/>
      </c>
      <c r="J5518" s="503" t="str">
        <f t="shared" ca="1" si="351"/>
        <v/>
      </c>
      <c r="K5518" s="503" t="str">
        <f t="shared" ca="1" si="352"/>
        <v/>
      </c>
      <c r="L5518" s="497"/>
      <c r="M5518" s="497"/>
      <c r="N5518" s="497"/>
      <c r="O5518" s="497"/>
      <c r="P5518" s="497">
        <f t="shared" si="353"/>
        <v>0</v>
      </c>
      <c r="Q5518" s="497"/>
    </row>
    <row r="5519" spans="1:17" x14ac:dyDescent="0.35">
      <c r="A5519" s="497" t="b">
        <f t="shared" ca="1" si="345"/>
        <v>0</v>
      </c>
      <c r="B5519" s="510" t="str">
        <f ca="1">IF(COUNTA(G$4308:G5518)=1,"",OFFSET(B5519,-COUNTA(G$4308:G5518)+1,0))</f>
        <v>a1b3p0000095SDHAA2</v>
      </c>
      <c r="C5519" s="512">
        <f ca="1">IF(COUNTA(G$4308:G5518)=1,"",OFFSET(C5519,-COUNTA(G$4308:G5518)+1,0))</f>
        <v>42</v>
      </c>
      <c r="D5519" s="497">
        <f t="shared" si="346"/>
        <v>729</v>
      </c>
      <c r="E5519" s="497">
        <f t="shared" ca="1" si="347"/>
        <v>3</v>
      </c>
      <c r="F5519" s="497">
        <f t="shared" ca="1" si="348"/>
        <v>50</v>
      </c>
      <c r="G5519" s="497"/>
      <c r="H5519" s="503" t="str">
        <f t="shared" ca="1" si="349"/>
        <v/>
      </c>
      <c r="I5519" s="503" t="str">
        <f t="shared" ca="1" si="350"/>
        <v/>
      </c>
      <c r="J5519" s="503" t="str">
        <f t="shared" ca="1" si="351"/>
        <v/>
      </c>
      <c r="K5519" s="503" t="str">
        <f t="shared" ca="1" si="352"/>
        <v/>
      </c>
      <c r="L5519" s="497"/>
      <c r="M5519" s="497"/>
      <c r="N5519" s="497"/>
      <c r="O5519" s="497"/>
      <c r="P5519" s="497">
        <f t="shared" si="353"/>
        <v>0</v>
      </c>
      <c r="Q5519" s="497"/>
    </row>
    <row r="5520" spans="1:17" x14ac:dyDescent="0.35">
      <c r="A5520" s="497" t="b">
        <f t="shared" ca="1" si="345"/>
        <v>0</v>
      </c>
      <c r="B5520" s="510" t="str">
        <f ca="1">IF(COUNTA(G$4308:G5519)=1,"",OFFSET(B5520,-COUNTA(G$4308:G5519)+1,0))</f>
        <v>a1b3p0000095SFrAAM</v>
      </c>
      <c r="C5520" s="512">
        <f ca="1">IF(COUNTA(G$4308:G5519)=1,"",OFFSET(C5520,-COUNTA(G$4308:G5519)+1,0))</f>
        <v>42</v>
      </c>
      <c r="D5520" s="497">
        <f t="shared" si="346"/>
        <v>730</v>
      </c>
      <c r="E5520" s="497">
        <f t="shared" ca="1" si="347"/>
        <v>4</v>
      </c>
      <c r="F5520" s="497">
        <f t="shared" ca="1" si="348"/>
        <v>50</v>
      </c>
      <c r="G5520" s="497"/>
      <c r="H5520" s="503" t="str">
        <f t="shared" ca="1" si="349"/>
        <v/>
      </c>
      <c r="I5520" s="503" t="str">
        <f t="shared" ca="1" si="350"/>
        <v/>
      </c>
      <c r="J5520" s="503" t="str">
        <f t="shared" ca="1" si="351"/>
        <v/>
      </c>
      <c r="K5520" s="503" t="str">
        <f t="shared" ca="1" si="352"/>
        <v/>
      </c>
      <c r="L5520" s="497"/>
      <c r="M5520" s="497"/>
      <c r="N5520" s="497"/>
      <c r="O5520" s="497"/>
      <c r="P5520" s="497">
        <f t="shared" si="353"/>
        <v>0</v>
      </c>
      <c r="Q5520" s="497"/>
    </row>
    <row r="5521" spans="1:17" x14ac:dyDescent="0.35">
      <c r="A5521" s="497" t="b">
        <f t="shared" ca="1" si="345"/>
        <v>0</v>
      </c>
      <c r="B5521" s="510" t="str">
        <f ca="1">IF(COUNTA(G$4308:G5520)=1,"",OFFSET(B5521,-COUNTA(G$4308:G5520)+1,0))</f>
        <v>a1b3p0000095SIRAA2</v>
      </c>
      <c r="C5521" s="512">
        <f ca="1">IF(COUNTA(G$4308:G5520)=1,"",OFFSET(C5521,-COUNTA(G$4308:G5520)+1,0))</f>
        <v>42</v>
      </c>
      <c r="D5521" s="497">
        <f t="shared" si="346"/>
        <v>731</v>
      </c>
      <c r="E5521" s="497">
        <f t="shared" ca="1" si="347"/>
        <v>5</v>
      </c>
      <c r="F5521" s="497">
        <f t="shared" ca="1" si="348"/>
        <v>50</v>
      </c>
      <c r="G5521" s="497"/>
      <c r="H5521" s="503" t="str">
        <f t="shared" ca="1" si="349"/>
        <v/>
      </c>
      <c r="I5521" s="503" t="str">
        <f t="shared" ca="1" si="350"/>
        <v/>
      </c>
      <c r="J5521" s="503" t="str">
        <f t="shared" ca="1" si="351"/>
        <v/>
      </c>
      <c r="K5521" s="503" t="str">
        <f t="shared" ca="1" si="352"/>
        <v/>
      </c>
      <c r="L5521" s="497"/>
      <c r="M5521" s="497"/>
      <c r="N5521" s="497"/>
      <c r="O5521" s="497"/>
      <c r="P5521" s="497">
        <f t="shared" si="353"/>
        <v>0</v>
      </c>
      <c r="Q5521" s="497"/>
    </row>
    <row r="5522" spans="1:17" x14ac:dyDescent="0.35">
      <c r="A5522" s="497" t="b">
        <f t="shared" ca="1" si="345"/>
        <v>0</v>
      </c>
      <c r="B5522" s="510" t="str">
        <f ca="1">IF(COUNTA(G$4308:G5521)=1,"",OFFSET(B5522,-COUNTA(G$4308:G5521)+1,0))</f>
        <v>a1b3p0000095SL1AAM</v>
      </c>
      <c r="C5522" s="512">
        <f ca="1">IF(COUNTA(G$4308:G5521)=1,"",OFFSET(C5522,-COUNTA(G$4308:G5521)+1,0))</f>
        <v>42</v>
      </c>
      <c r="D5522" s="497">
        <f t="shared" si="346"/>
        <v>732</v>
      </c>
      <c r="E5522" s="497">
        <f t="shared" ca="1" si="347"/>
        <v>6</v>
      </c>
      <c r="F5522" s="497">
        <f t="shared" ca="1" si="348"/>
        <v>50</v>
      </c>
      <c r="G5522" s="497"/>
      <c r="H5522" s="503" t="str">
        <f t="shared" ca="1" si="349"/>
        <v/>
      </c>
      <c r="I5522" s="503" t="str">
        <f t="shared" ca="1" si="350"/>
        <v/>
      </c>
      <c r="J5522" s="503" t="str">
        <f t="shared" ca="1" si="351"/>
        <v/>
      </c>
      <c r="K5522" s="503" t="str">
        <f t="shared" ca="1" si="352"/>
        <v/>
      </c>
      <c r="L5522" s="497"/>
      <c r="M5522" s="497"/>
      <c r="N5522" s="497"/>
      <c r="O5522" s="497"/>
      <c r="P5522" s="497">
        <f t="shared" si="353"/>
        <v>0</v>
      </c>
      <c r="Q5522" s="497"/>
    </row>
    <row r="5523" spans="1:17" x14ac:dyDescent="0.35">
      <c r="A5523" s="497" t="b">
        <f t="shared" ca="1" si="345"/>
        <v>0</v>
      </c>
      <c r="B5523" s="510" t="str">
        <f ca="1">IF(COUNTA(G$4308:G5522)=1,"",OFFSET(B5523,-COUNTA(G$4308:G5522)+1,0))</f>
        <v>a1b3p0000095S88AAE</v>
      </c>
      <c r="C5523" s="512">
        <f ca="1">IF(COUNTA(G$4308:G5522)=1,"",OFFSET(C5523,-COUNTA(G$4308:G5522)+1,0))</f>
        <v>43</v>
      </c>
      <c r="D5523" s="497">
        <f t="shared" si="346"/>
        <v>733</v>
      </c>
      <c r="E5523" s="497">
        <f t="shared" ca="1" si="347"/>
        <v>1</v>
      </c>
      <c r="F5523" s="497">
        <f t="shared" ca="1" si="348"/>
        <v>51</v>
      </c>
      <c r="G5523" s="497"/>
      <c r="H5523" s="503" t="str">
        <f t="shared" ca="1" si="349"/>
        <v/>
      </c>
      <c r="I5523" s="503" t="str">
        <f t="shared" ca="1" si="350"/>
        <v/>
      </c>
      <c r="J5523" s="503" t="str">
        <f t="shared" ca="1" si="351"/>
        <v/>
      </c>
      <c r="K5523" s="503" t="str">
        <f t="shared" ca="1" si="352"/>
        <v/>
      </c>
      <c r="L5523" s="497"/>
      <c r="M5523" s="497"/>
      <c r="N5523" s="497"/>
      <c r="O5523" s="497"/>
      <c r="P5523" s="497">
        <f t="shared" si="353"/>
        <v>0</v>
      </c>
      <c r="Q5523" s="497"/>
    </row>
    <row r="5524" spans="1:17" x14ac:dyDescent="0.35">
      <c r="A5524" s="497" t="b">
        <f t="shared" ca="1" si="345"/>
        <v>0</v>
      </c>
      <c r="B5524" s="510" t="str">
        <f ca="1">IF(COUNTA(G$4308:G5523)=1,"",OFFSET(B5524,-COUNTA(G$4308:G5523)+1,0))</f>
        <v>a1b3p0000095SAiAAM</v>
      </c>
      <c r="C5524" s="512">
        <f ca="1">IF(COUNTA(G$4308:G5523)=1,"",OFFSET(C5524,-COUNTA(G$4308:G5523)+1,0))</f>
        <v>43</v>
      </c>
      <c r="D5524" s="497">
        <f t="shared" si="346"/>
        <v>734</v>
      </c>
      <c r="E5524" s="497">
        <f t="shared" ca="1" si="347"/>
        <v>2</v>
      </c>
      <c r="F5524" s="497">
        <f t="shared" ca="1" si="348"/>
        <v>51</v>
      </c>
      <c r="G5524" s="497"/>
      <c r="H5524" s="503" t="str">
        <f t="shared" ca="1" si="349"/>
        <v/>
      </c>
      <c r="I5524" s="503" t="str">
        <f t="shared" ca="1" si="350"/>
        <v/>
      </c>
      <c r="J5524" s="503" t="str">
        <f t="shared" ca="1" si="351"/>
        <v/>
      </c>
      <c r="K5524" s="503" t="str">
        <f t="shared" ca="1" si="352"/>
        <v/>
      </c>
      <c r="L5524" s="497"/>
      <c r="M5524" s="497"/>
      <c r="N5524" s="497"/>
      <c r="O5524" s="497"/>
      <c r="P5524" s="497">
        <f t="shared" si="353"/>
        <v>0</v>
      </c>
      <c r="Q5524" s="497"/>
    </row>
    <row r="5525" spans="1:17" x14ac:dyDescent="0.35">
      <c r="A5525" s="497" t="b">
        <f t="shared" ca="1" si="345"/>
        <v>0</v>
      </c>
      <c r="B5525" s="510" t="str">
        <f ca="1">IF(COUNTA(G$4308:G5524)=1,"",OFFSET(B5525,-COUNTA(G$4308:G5524)+1,0))</f>
        <v>a1b3p0000095SDIAA2</v>
      </c>
      <c r="C5525" s="512">
        <f ca="1">IF(COUNTA(G$4308:G5524)=1,"",OFFSET(C5525,-COUNTA(G$4308:G5524)+1,0))</f>
        <v>43</v>
      </c>
      <c r="D5525" s="497">
        <f t="shared" si="346"/>
        <v>735</v>
      </c>
      <c r="E5525" s="497">
        <f t="shared" ca="1" si="347"/>
        <v>3</v>
      </c>
      <c r="F5525" s="497">
        <f t="shared" ca="1" si="348"/>
        <v>51</v>
      </c>
      <c r="G5525" s="497"/>
      <c r="H5525" s="503" t="str">
        <f t="shared" ca="1" si="349"/>
        <v/>
      </c>
      <c r="I5525" s="503" t="str">
        <f t="shared" ca="1" si="350"/>
        <v/>
      </c>
      <c r="J5525" s="503" t="str">
        <f t="shared" ca="1" si="351"/>
        <v/>
      </c>
      <c r="K5525" s="503" t="str">
        <f t="shared" ca="1" si="352"/>
        <v/>
      </c>
      <c r="L5525" s="497"/>
      <c r="M5525" s="497"/>
      <c r="N5525" s="497"/>
      <c r="O5525" s="497"/>
      <c r="P5525" s="497">
        <f t="shared" si="353"/>
        <v>0</v>
      </c>
      <c r="Q5525" s="497"/>
    </row>
    <row r="5526" spans="1:17" x14ac:dyDescent="0.35">
      <c r="A5526" s="497" t="b">
        <f t="shared" ca="1" si="345"/>
        <v>0</v>
      </c>
      <c r="B5526" s="510" t="str">
        <f ca="1">IF(COUNTA(G$4308:G5525)=1,"",OFFSET(B5526,-COUNTA(G$4308:G5525)+1,0))</f>
        <v>a1b3p0000095SFsAAM</v>
      </c>
      <c r="C5526" s="512">
        <f ca="1">IF(COUNTA(G$4308:G5525)=1,"",OFFSET(C5526,-COUNTA(G$4308:G5525)+1,0))</f>
        <v>43</v>
      </c>
      <c r="D5526" s="497">
        <f t="shared" si="346"/>
        <v>736</v>
      </c>
      <c r="E5526" s="497">
        <f t="shared" ca="1" si="347"/>
        <v>4</v>
      </c>
      <c r="F5526" s="497">
        <f t="shared" ca="1" si="348"/>
        <v>51</v>
      </c>
      <c r="G5526" s="497"/>
      <c r="H5526" s="503" t="str">
        <f t="shared" ca="1" si="349"/>
        <v/>
      </c>
      <c r="I5526" s="503" t="str">
        <f t="shared" ca="1" si="350"/>
        <v/>
      </c>
      <c r="J5526" s="503" t="str">
        <f t="shared" ca="1" si="351"/>
        <v/>
      </c>
      <c r="K5526" s="503" t="str">
        <f t="shared" ca="1" si="352"/>
        <v/>
      </c>
      <c r="L5526" s="497"/>
      <c r="M5526" s="497"/>
      <c r="N5526" s="497"/>
      <c r="O5526" s="497"/>
      <c r="P5526" s="497">
        <f t="shared" si="353"/>
        <v>0</v>
      </c>
      <c r="Q5526" s="497"/>
    </row>
    <row r="5527" spans="1:17" x14ac:dyDescent="0.35">
      <c r="A5527" s="497" t="b">
        <f t="shared" ref="A5527:A5590" ca="1" si="354">IF(OR(AND(J5527&lt;&gt;"", J5527&lt;&gt;0), AND(K5527&lt;&gt;"",K5527&lt;&gt;0)),TRUE,FALSE)</f>
        <v>0</v>
      </c>
      <c r="B5527" s="510" t="str">
        <f ca="1">IF(COUNTA(G$4308:G5526)=1,"",OFFSET(B5527,-COUNTA(G$4308:G5526)+1,0))</f>
        <v>a1b3p0000095SISAA2</v>
      </c>
      <c r="C5527" s="512">
        <f ca="1">IF(COUNTA(G$4308:G5526)=1,"",OFFSET(C5527,-COUNTA(G$4308:G5526)+1,0))</f>
        <v>43</v>
      </c>
      <c r="D5527" s="497">
        <f t="shared" ref="D5527:D5590" si="355">D5526+1</f>
        <v>737</v>
      </c>
      <c r="E5527" s="497">
        <f t="shared" ref="E5527:E5590" ca="1" si="356">COUNTIF(C5277:C5527,C5527)</f>
        <v>5</v>
      </c>
      <c r="F5527" s="497">
        <f t="shared" ref="F5527:F5590" ca="1" si="357">IF(C5527=1,9,IF(E5526=MAX(E5525:E5527),F5525+1,F5526))</f>
        <v>51</v>
      </c>
      <c r="G5527" s="497"/>
      <c r="H5527" s="503" t="str">
        <f t="shared" ref="H5527:H5590" ca="1" si="358">CHOOSE(E5527,IFERROR(IF(INDIRECT("'WPTM - Section F'!K"&amp;F5527)=0,"",INDIRECT("'WPTM - Section F'!K"&amp;$F5527)),""),IFERROR(IF(INDIRECT("'WPTM - Section F'!O"&amp;F5527)=0,"",INDIRECT("'WPTM - Section F'!O"&amp;$F5527)),""),IFERROR(IF(INDIRECT("'WPTM - Section F'!S"&amp;F5527)=0,"",INDIRECT("'WPTM - Section F'!S"&amp;$F5527)),""),IFERROR(IF(INDIRECT("'WPTM - Section F'!W"&amp;F5527)=0,"",INDIRECT("'WPTM - Section F'!W"&amp;$F5527)),""),IFERROR(IF(INDIRECT("'WPTM - Section F'!AA"&amp;F5527)=0,"",INDIRECT("'WPTM - Section F'!AA"&amp;$F5527)),""),IFERROR(IF(INDIRECT("'WPTM - Section F'!AE"&amp;F5527)=0,"",INDIRECT("'WPTM - Section F'!AE"&amp;$F5527)),""),IFERROR(IF(INDIRECT("'WPTM - Section F'!AI"&amp;F5527)=0,"",INDIRECT("'WPTM - Section F'!AI"&amp;$F5527)),""),IFERROR(IF(INDIRECT("'WPTM - Section F'!AM"&amp;F5527)=0,"",INDIRECT("'WPTM - Section F'!AM"&amp;$F5527)),""),)</f>
        <v/>
      </c>
      <c r="I5527" s="503" t="str">
        <f t="shared" ref="I5527:I5590" ca="1" si="359">CHOOSE(E5527,IFERROR(IF(INDIRECT("'WPTM - Section F'!J"&amp;F5527)=0,"",INDIRECT("'WPTM - Section F'!J"&amp;$F5527)),""),IFERROR(IF(INDIRECT("'WPTM - Section F'!N"&amp;F5527)=0,"",INDIRECT("'WPTM - Section F'!N"&amp;$F5527)),""),IFERROR(IF(INDIRECT("'WPTM - Section F'!R"&amp;F5527)=0,"",INDIRECT("'WPTM - Section F'!R"&amp;$F5527)),""),IFERROR(IF(INDIRECT("'WPTM - Section F'!V"&amp;F5527)=0,"",INDIRECT("'WPTM - Section F'!V"&amp;$F5527)),""),IFERROR(IF(INDIRECT("'WPTM - Section F'!Z"&amp;F5527)=0,"",INDIRECT("'WPTM - Section F'!Z"&amp;$F5527)),""),IFERROR(IF(INDIRECT("'WPTM - Section F'!AD"&amp;F5527)=0,"",INDIRECT("'WPTM - Section F'!AD"&amp;$F5527)),""),IFERROR(IF(INDIRECT("'WPTM - Section F'!AH"&amp;F5527)=0,"",INDIRECT("'WPTM - Section F'!AH"&amp;$F5527)),""),IFERROR(IF(INDIRECT("'WPTM - Section F'!AL"&amp;F5527)=0,"",INDIRECT("'WPTM - Section F'!AL"&amp;$F5527)),""),)</f>
        <v/>
      </c>
      <c r="J5527" s="503" t="str">
        <f t="shared" ref="J5527:J5590" ca="1" si="360">CHOOSE(E5527,IFERROR(IF(INDIRECT("'WPTM - Section F'!H"&amp;F5527)=0,"",INDIRECT("'WPTM - Section F'!H"&amp;$F5527)),""),IFERROR(IF(INDIRECT("'WPTM - Section F'!L"&amp;F5527)=0,"",INDIRECT("'WPTM - Section F'!L"&amp;$F5527)),""),IFERROR(IF(INDIRECT("'WPTM - Section F'!P"&amp;F5527)=0,"",INDIRECT("'WPTM - Section F'!P"&amp;$F5527)),""),IFERROR(IF(INDIRECT("'WPTM - Section F'!T"&amp;F5527)=0,"",INDIRECT("'WPTM - Section F'!T"&amp;$F5527)),""),IFERROR(IF(INDIRECT("'WPTM - Section F'!X"&amp;F5527)=0,"",INDIRECT("'WPTM - Section F'!X"&amp;$F5527)),""),IFERROR(IF(INDIRECT("'WPTM - Section F'!AB"&amp;F5527)=0,"",INDIRECT("'WPTM - Section F'!AB"&amp;$F5527)),""),IFERROR(IF(INDIRECT("'WPTM - Section F'!AF"&amp;F5527)=0,"",INDIRECT("'WPTM - Section F'!AF"&amp;$F5527)),""),IFERROR(IF(INDIRECT("'WPTM - Section F'!AJ"&amp;F5527)=0,"",INDIRECT("'WPTM - Section F'!AJ"&amp;$F5527)),""),)</f>
        <v/>
      </c>
      <c r="K5527" s="503" t="str">
        <f t="shared" ref="K5527:K5590" ca="1" si="361">CHOOSE(E5527,IFERROR(IF(INDIRECT("'WPTM - Section F'!I"&amp;F5527)=0,"",INDIRECT("'WPTM - Section F'!I"&amp;$F5527)),""),IFERROR(IF(INDIRECT("'WPTM - Section F'!M"&amp;F5527)=0,"",INDIRECT("'WPTM - Section F'!M"&amp;$F5527)),""),IFERROR(IF(INDIRECT("'WPTM - Section F'!Q"&amp;F5527)=0,"",INDIRECT("'WPTM - Section F'!Q"&amp;$F5527)),""),IFERROR(IF(INDIRECT("'WPTM - Section F'!U"&amp;F5527)=0,"",INDIRECT("'WPTM - Section F'!U"&amp;$F5527)),""),IFERROR(IF(INDIRECT("'WPTM - Section F'!Y"&amp;F5527)=0,"",INDIRECT("'WPTM - Section F'!Y"&amp;$F5527)),""),IFERROR(IF(INDIRECT("'WPTM - Section F'!AC"&amp;F5527)=0,"",INDIRECT("'WPTM - Section F'!AC"&amp;$F5527)),""),IFERROR(IF(INDIRECT("'WPTM - Section F'!AG"&amp;F5527)=0,"",INDIRECT("'WPTM - Section F'!AG"&amp;$F5527)),""),IFERROR(IF(INDIRECT("'WPTM - Section F'!AK"&amp;F5527)=0,"",INDIRECT("'WPTM - Section F'!AK"&amp;$F5527)),""),)</f>
        <v/>
      </c>
      <c r="L5527" s="497"/>
      <c r="M5527" s="497"/>
      <c r="N5527" s="497"/>
      <c r="O5527" s="497"/>
      <c r="P5527" s="497">
        <f t="shared" ref="P5527:P5590" si="362">IF(NOT(_xlfn.ISFORMULA(I5527)),P5526+1,0)</f>
        <v>0</v>
      </c>
      <c r="Q5527" s="497"/>
    </row>
    <row r="5528" spans="1:17" x14ac:dyDescent="0.35">
      <c r="A5528" s="497" t="b">
        <f t="shared" ca="1" si="354"/>
        <v>0</v>
      </c>
      <c r="B5528" s="510" t="str">
        <f ca="1">IF(COUNTA(G$4308:G5527)=1,"",OFFSET(B5528,-COUNTA(G$4308:G5527)+1,0))</f>
        <v>a1b3p0000095SL2AAM</v>
      </c>
      <c r="C5528" s="512">
        <f ca="1">IF(COUNTA(G$4308:G5527)=1,"",OFFSET(C5528,-COUNTA(G$4308:G5527)+1,0))</f>
        <v>43</v>
      </c>
      <c r="D5528" s="497">
        <f t="shared" si="355"/>
        <v>738</v>
      </c>
      <c r="E5528" s="497">
        <f t="shared" ca="1" si="356"/>
        <v>6</v>
      </c>
      <c r="F5528" s="497">
        <f t="shared" ca="1" si="357"/>
        <v>51</v>
      </c>
      <c r="G5528" s="497"/>
      <c r="H5528" s="503" t="str">
        <f t="shared" ca="1" si="358"/>
        <v/>
      </c>
      <c r="I5528" s="503" t="str">
        <f t="shared" ca="1" si="359"/>
        <v/>
      </c>
      <c r="J5528" s="503" t="str">
        <f t="shared" ca="1" si="360"/>
        <v/>
      </c>
      <c r="K5528" s="503" t="str">
        <f t="shared" ca="1" si="361"/>
        <v/>
      </c>
      <c r="L5528" s="497"/>
      <c r="M5528" s="497"/>
      <c r="N5528" s="497"/>
      <c r="O5528" s="497"/>
      <c r="P5528" s="497">
        <f t="shared" si="362"/>
        <v>0</v>
      </c>
      <c r="Q5528" s="497"/>
    </row>
    <row r="5529" spans="1:17" x14ac:dyDescent="0.35">
      <c r="A5529" s="497" t="b">
        <f t="shared" ca="1" si="354"/>
        <v>0</v>
      </c>
      <c r="B5529" s="510" t="str">
        <f ca="1">IF(COUNTA(G$4308:G5528)=1,"",OFFSET(B5529,-COUNTA(G$4308:G5528)+1,0))</f>
        <v>a1b3p0000095S89AAE</v>
      </c>
      <c r="C5529" s="512">
        <f ca="1">IF(COUNTA(G$4308:G5528)=1,"",OFFSET(C5529,-COUNTA(G$4308:G5528)+1,0))</f>
        <v>44</v>
      </c>
      <c r="D5529" s="497">
        <f t="shared" si="355"/>
        <v>739</v>
      </c>
      <c r="E5529" s="497">
        <f t="shared" ca="1" si="356"/>
        <v>1</v>
      </c>
      <c r="F5529" s="497">
        <f t="shared" ca="1" si="357"/>
        <v>52</v>
      </c>
      <c r="G5529" s="497"/>
      <c r="H5529" s="503" t="str">
        <f t="shared" ca="1" si="358"/>
        <v/>
      </c>
      <c r="I5529" s="503" t="str">
        <f t="shared" ca="1" si="359"/>
        <v/>
      </c>
      <c r="J5529" s="503" t="str">
        <f t="shared" ca="1" si="360"/>
        <v/>
      </c>
      <c r="K5529" s="503" t="str">
        <f t="shared" ca="1" si="361"/>
        <v/>
      </c>
      <c r="L5529" s="497"/>
      <c r="M5529" s="497"/>
      <c r="N5529" s="497"/>
      <c r="O5529" s="497"/>
      <c r="P5529" s="497">
        <f t="shared" si="362"/>
        <v>0</v>
      </c>
      <c r="Q5529" s="497"/>
    </row>
    <row r="5530" spans="1:17" x14ac:dyDescent="0.35">
      <c r="A5530" s="497" t="b">
        <f t="shared" ca="1" si="354"/>
        <v>0</v>
      </c>
      <c r="B5530" s="510" t="str">
        <f ca="1">IF(COUNTA(G$4308:G5529)=1,"",OFFSET(B5530,-COUNTA(G$4308:G5529)+1,0))</f>
        <v>a1b3p0000095SAjAAM</v>
      </c>
      <c r="C5530" s="512">
        <f ca="1">IF(COUNTA(G$4308:G5529)=1,"",OFFSET(C5530,-COUNTA(G$4308:G5529)+1,0))</f>
        <v>44</v>
      </c>
      <c r="D5530" s="497">
        <f t="shared" si="355"/>
        <v>740</v>
      </c>
      <c r="E5530" s="497">
        <f t="shared" ca="1" si="356"/>
        <v>2</v>
      </c>
      <c r="F5530" s="497">
        <f t="shared" ca="1" si="357"/>
        <v>52</v>
      </c>
      <c r="G5530" s="497"/>
      <c r="H5530" s="503" t="str">
        <f t="shared" ca="1" si="358"/>
        <v/>
      </c>
      <c r="I5530" s="503" t="str">
        <f t="shared" ca="1" si="359"/>
        <v/>
      </c>
      <c r="J5530" s="503" t="str">
        <f t="shared" ca="1" si="360"/>
        <v/>
      </c>
      <c r="K5530" s="503" t="str">
        <f t="shared" ca="1" si="361"/>
        <v/>
      </c>
      <c r="L5530" s="497"/>
      <c r="M5530" s="497"/>
      <c r="N5530" s="497"/>
      <c r="O5530" s="497"/>
      <c r="P5530" s="497">
        <f t="shared" si="362"/>
        <v>0</v>
      </c>
      <c r="Q5530" s="497"/>
    </row>
    <row r="5531" spans="1:17" x14ac:dyDescent="0.35">
      <c r="A5531" s="497" t="b">
        <f t="shared" ca="1" si="354"/>
        <v>0</v>
      </c>
      <c r="B5531" s="510" t="str">
        <f ca="1">IF(COUNTA(G$4308:G5530)=1,"",OFFSET(B5531,-COUNTA(G$4308:G5530)+1,0))</f>
        <v>a1b3p0000095SDJAA2</v>
      </c>
      <c r="C5531" s="512">
        <f ca="1">IF(COUNTA(G$4308:G5530)=1,"",OFFSET(C5531,-COUNTA(G$4308:G5530)+1,0))</f>
        <v>44</v>
      </c>
      <c r="D5531" s="497">
        <f t="shared" si="355"/>
        <v>741</v>
      </c>
      <c r="E5531" s="497">
        <f t="shared" ca="1" si="356"/>
        <v>3</v>
      </c>
      <c r="F5531" s="497">
        <f t="shared" ca="1" si="357"/>
        <v>52</v>
      </c>
      <c r="G5531" s="497"/>
      <c r="H5531" s="503" t="str">
        <f t="shared" ca="1" si="358"/>
        <v/>
      </c>
      <c r="I5531" s="503" t="str">
        <f t="shared" ca="1" si="359"/>
        <v/>
      </c>
      <c r="J5531" s="503" t="str">
        <f t="shared" ca="1" si="360"/>
        <v/>
      </c>
      <c r="K5531" s="503" t="str">
        <f t="shared" ca="1" si="361"/>
        <v/>
      </c>
      <c r="L5531" s="497"/>
      <c r="M5531" s="497"/>
      <c r="N5531" s="497"/>
      <c r="O5531" s="497"/>
      <c r="P5531" s="497">
        <f t="shared" si="362"/>
        <v>0</v>
      </c>
      <c r="Q5531" s="497"/>
    </row>
    <row r="5532" spans="1:17" x14ac:dyDescent="0.35">
      <c r="A5532" s="497" t="b">
        <f t="shared" ca="1" si="354"/>
        <v>0</v>
      </c>
      <c r="B5532" s="510" t="str">
        <f ca="1">IF(COUNTA(G$4308:G5531)=1,"",OFFSET(B5532,-COUNTA(G$4308:G5531)+1,0))</f>
        <v>a1b3p0000095SFtAAM</v>
      </c>
      <c r="C5532" s="512">
        <f ca="1">IF(COUNTA(G$4308:G5531)=1,"",OFFSET(C5532,-COUNTA(G$4308:G5531)+1,0))</f>
        <v>44</v>
      </c>
      <c r="D5532" s="497">
        <f t="shared" si="355"/>
        <v>742</v>
      </c>
      <c r="E5532" s="497">
        <f t="shared" ca="1" si="356"/>
        <v>4</v>
      </c>
      <c r="F5532" s="497">
        <f t="shared" ca="1" si="357"/>
        <v>52</v>
      </c>
      <c r="G5532" s="497"/>
      <c r="H5532" s="503" t="str">
        <f t="shared" ca="1" si="358"/>
        <v/>
      </c>
      <c r="I5532" s="503" t="str">
        <f t="shared" ca="1" si="359"/>
        <v/>
      </c>
      <c r="J5532" s="503" t="str">
        <f t="shared" ca="1" si="360"/>
        <v/>
      </c>
      <c r="K5532" s="503" t="str">
        <f t="shared" ca="1" si="361"/>
        <v/>
      </c>
      <c r="L5532" s="497"/>
      <c r="M5532" s="497"/>
      <c r="N5532" s="497"/>
      <c r="O5532" s="497"/>
      <c r="P5532" s="497">
        <f t="shared" si="362"/>
        <v>0</v>
      </c>
      <c r="Q5532" s="497"/>
    </row>
    <row r="5533" spans="1:17" x14ac:dyDescent="0.35">
      <c r="A5533" s="497" t="b">
        <f t="shared" ca="1" si="354"/>
        <v>0</v>
      </c>
      <c r="B5533" s="510" t="str">
        <f ca="1">IF(COUNTA(G$4308:G5532)=1,"",OFFSET(B5533,-COUNTA(G$4308:G5532)+1,0))</f>
        <v>a1b3p0000095SITAA2</v>
      </c>
      <c r="C5533" s="512">
        <f ca="1">IF(COUNTA(G$4308:G5532)=1,"",OFFSET(C5533,-COUNTA(G$4308:G5532)+1,0))</f>
        <v>44</v>
      </c>
      <c r="D5533" s="497">
        <f t="shared" si="355"/>
        <v>743</v>
      </c>
      <c r="E5533" s="497">
        <f t="shared" ca="1" si="356"/>
        <v>5</v>
      </c>
      <c r="F5533" s="497">
        <f t="shared" ca="1" si="357"/>
        <v>52</v>
      </c>
      <c r="G5533" s="497"/>
      <c r="H5533" s="503" t="str">
        <f t="shared" ca="1" si="358"/>
        <v/>
      </c>
      <c r="I5533" s="503" t="str">
        <f t="shared" ca="1" si="359"/>
        <v/>
      </c>
      <c r="J5533" s="503" t="str">
        <f t="shared" ca="1" si="360"/>
        <v/>
      </c>
      <c r="K5533" s="503" t="str">
        <f t="shared" ca="1" si="361"/>
        <v/>
      </c>
      <c r="L5533" s="497"/>
      <c r="M5533" s="497"/>
      <c r="N5533" s="497"/>
      <c r="O5533" s="497"/>
      <c r="P5533" s="497">
        <f t="shared" si="362"/>
        <v>0</v>
      </c>
      <c r="Q5533" s="497"/>
    </row>
    <row r="5534" spans="1:17" x14ac:dyDescent="0.35">
      <c r="A5534" s="497" t="b">
        <f t="shared" ca="1" si="354"/>
        <v>0</v>
      </c>
      <c r="B5534" s="510" t="str">
        <f ca="1">IF(COUNTA(G$4308:G5533)=1,"",OFFSET(B5534,-COUNTA(G$4308:G5533)+1,0))</f>
        <v>a1b3p0000095SL3AAM</v>
      </c>
      <c r="C5534" s="512">
        <f ca="1">IF(COUNTA(G$4308:G5533)=1,"",OFFSET(C5534,-COUNTA(G$4308:G5533)+1,0))</f>
        <v>44</v>
      </c>
      <c r="D5534" s="497">
        <f t="shared" si="355"/>
        <v>744</v>
      </c>
      <c r="E5534" s="497">
        <f t="shared" ca="1" si="356"/>
        <v>6</v>
      </c>
      <c r="F5534" s="497">
        <f t="shared" ca="1" si="357"/>
        <v>52</v>
      </c>
      <c r="G5534" s="497"/>
      <c r="H5534" s="503" t="str">
        <f t="shared" ca="1" si="358"/>
        <v/>
      </c>
      <c r="I5534" s="503" t="str">
        <f t="shared" ca="1" si="359"/>
        <v/>
      </c>
      <c r="J5534" s="503" t="str">
        <f t="shared" ca="1" si="360"/>
        <v/>
      </c>
      <c r="K5534" s="503" t="str">
        <f t="shared" ca="1" si="361"/>
        <v/>
      </c>
      <c r="L5534" s="497"/>
      <c r="M5534" s="497"/>
      <c r="N5534" s="497"/>
      <c r="O5534" s="497"/>
      <c r="P5534" s="497">
        <f t="shared" si="362"/>
        <v>0</v>
      </c>
      <c r="Q5534" s="497"/>
    </row>
    <row r="5535" spans="1:17" x14ac:dyDescent="0.35">
      <c r="A5535" s="497" t="b">
        <f t="shared" ca="1" si="354"/>
        <v>0</v>
      </c>
      <c r="B5535" s="510" t="str">
        <f ca="1">IF(COUNTA(G$4308:G5534)=1,"",OFFSET(B5535,-COUNTA(G$4308:G5534)+1,0))</f>
        <v>a1b3p0000095S8AAAU</v>
      </c>
      <c r="C5535" s="512">
        <f ca="1">IF(COUNTA(G$4308:G5534)=1,"",OFFSET(C5535,-COUNTA(G$4308:G5534)+1,0))</f>
        <v>45</v>
      </c>
      <c r="D5535" s="497">
        <f t="shared" si="355"/>
        <v>745</v>
      </c>
      <c r="E5535" s="497">
        <f t="shared" ca="1" si="356"/>
        <v>1</v>
      </c>
      <c r="F5535" s="497">
        <f t="shared" ca="1" si="357"/>
        <v>53</v>
      </c>
      <c r="G5535" s="497"/>
      <c r="H5535" s="503" t="str">
        <f t="shared" ca="1" si="358"/>
        <v/>
      </c>
      <c r="I5535" s="503" t="str">
        <f t="shared" ca="1" si="359"/>
        <v/>
      </c>
      <c r="J5535" s="503" t="str">
        <f t="shared" ca="1" si="360"/>
        <v/>
      </c>
      <c r="K5535" s="503" t="str">
        <f t="shared" ca="1" si="361"/>
        <v/>
      </c>
      <c r="L5535" s="497"/>
      <c r="M5535" s="497"/>
      <c r="N5535" s="497"/>
      <c r="O5535" s="497"/>
      <c r="P5535" s="497">
        <f t="shared" si="362"/>
        <v>0</v>
      </c>
      <c r="Q5535" s="497"/>
    </row>
    <row r="5536" spans="1:17" x14ac:dyDescent="0.35">
      <c r="A5536" s="497" t="b">
        <f t="shared" ca="1" si="354"/>
        <v>0</v>
      </c>
      <c r="B5536" s="510" t="str">
        <f ca="1">IF(COUNTA(G$4308:G5535)=1,"",OFFSET(B5536,-COUNTA(G$4308:G5535)+1,0))</f>
        <v>a1b3p0000095SAkAAM</v>
      </c>
      <c r="C5536" s="512">
        <f ca="1">IF(COUNTA(G$4308:G5535)=1,"",OFFSET(C5536,-COUNTA(G$4308:G5535)+1,0))</f>
        <v>45</v>
      </c>
      <c r="D5536" s="497">
        <f t="shared" si="355"/>
        <v>746</v>
      </c>
      <c r="E5536" s="497">
        <f t="shared" ca="1" si="356"/>
        <v>2</v>
      </c>
      <c r="F5536" s="497">
        <f t="shared" ca="1" si="357"/>
        <v>53</v>
      </c>
      <c r="G5536" s="497"/>
      <c r="H5536" s="503" t="str">
        <f t="shared" ca="1" si="358"/>
        <v/>
      </c>
      <c r="I5536" s="503" t="str">
        <f t="shared" ca="1" si="359"/>
        <v/>
      </c>
      <c r="J5536" s="503" t="str">
        <f t="shared" ca="1" si="360"/>
        <v/>
      </c>
      <c r="K5536" s="503" t="str">
        <f t="shared" ca="1" si="361"/>
        <v/>
      </c>
      <c r="L5536" s="497"/>
      <c r="M5536" s="497"/>
      <c r="N5536" s="497"/>
      <c r="O5536" s="497"/>
      <c r="P5536" s="497">
        <f t="shared" si="362"/>
        <v>0</v>
      </c>
      <c r="Q5536" s="497"/>
    </row>
    <row r="5537" spans="1:17" x14ac:dyDescent="0.35">
      <c r="A5537" s="497" t="b">
        <f t="shared" ca="1" si="354"/>
        <v>0</v>
      </c>
      <c r="B5537" s="510" t="str">
        <f ca="1">IF(COUNTA(G$4308:G5536)=1,"",OFFSET(B5537,-COUNTA(G$4308:G5536)+1,0))</f>
        <v>a1b3p0000095SDKAA2</v>
      </c>
      <c r="C5537" s="512">
        <f ca="1">IF(COUNTA(G$4308:G5536)=1,"",OFFSET(C5537,-COUNTA(G$4308:G5536)+1,0))</f>
        <v>45</v>
      </c>
      <c r="D5537" s="497">
        <f t="shared" si="355"/>
        <v>747</v>
      </c>
      <c r="E5537" s="497">
        <f t="shared" ca="1" si="356"/>
        <v>3</v>
      </c>
      <c r="F5537" s="497">
        <f t="shared" ca="1" si="357"/>
        <v>53</v>
      </c>
      <c r="G5537" s="497"/>
      <c r="H5537" s="503" t="str">
        <f t="shared" ca="1" si="358"/>
        <v/>
      </c>
      <c r="I5537" s="503" t="str">
        <f t="shared" ca="1" si="359"/>
        <v/>
      </c>
      <c r="J5537" s="503" t="str">
        <f t="shared" ca="1" si="360"/>
        <v/>
      </c>
      <c r="K5537" s="503" t="str">
        <f t="shared" ca="1" si="361"/>
        <v/>
      </c>
      <c r="L5537" s="497"/>
      <c r="M5537" s="497"/>
      <c r="N5537" s="497"/>
      <c r="O5537" s="497"/>
      <c r="P5537" s="497">
        <f t="shared" si="362"/>
        <v>0</v>
      </c>
      <c r="Q5537" s="497"/>
    </row>
    <row r="5538" spans="1:17" x14ac:dyDescent="0.35">
      <c r="A5538" s="497" t="b">
        <f t="shared" ca="1" si="354"/>
        <v>0</v>
      </c>
      <c r="B5538" s="510" t="str">
        <f ca="1">IF(COUNTA(G$4308:G5537)=1,"",OFFSET(B5538,-COUNTA(G$4308:G5537)+1,0))</f>
        <v>a1b3p0000095SFuAAM</v>
      </c>
      <c r="C5538" s="512">
        <f ca="1">IF(COUNTA(G$4308:G5537)=1,"",OFFSET(C5538,-COUNTA(G$4308:G5537)+1,0))</f>
        <v>45</v>
      </c>
      <c r="D5538" s="497">
        <f t="shared" si="355"/>
        <v>748</v>
      </c>
      <c r="E5538" s="497">
        <f t="shared" ca="1" si="356"/>
        <v>4</v>
      </c>
      <c r="F5538" s="497">
        <f t="shared" ca="1" si="357"/>
        <v>53</v>
      </c>
      <c r="G5538" s="497"/>
      <c r="H5538" s="503" t="str">
        <f t="shared" ca="1" si="358"/>
        <v/>
      </c>
      <c r="I5538" s="503" t="str">
        <f t="shared" ca="1" si="359"/>
        <v/>
      </c>
      <c r="J5538" s="503" t="str">
        <f t="shared" ca="1" si="360"/>
        <v/>
      </c>
      <c r="K5538" s="503" t="str">
        <f t="shared" ca="1" si="361"/>
        <v/>
      </c>
      <c r="L5538" s="497"/>
      <c r="M5538" s="497"/>
      <c r="N5538" s="497"/>
      <c r="O5538" s="497"/>
      <c r="P5538" s="497">
        <f t="shared" si="362"/>
        <v>0</v>
      </c>
      <c r="Q5538" s="497"/>
    </row>
    <row r="5539" spans="1:17" x14ac:dyDescent="0.35">
      <c r="A5539" s="497" t="b">
        <f t="shared" ca="1" si="354"/>
        <v>0</v>
      </c>
      <c r="B5539" s="510" t="str">
        <f ca="1">IF(COUNTA(G$4308:G5538)=1,"",OFFSET(B5539,-COUNTA(G$4308:G5538)+1,0))</f>
        <v>a1b3p0000095SIUAA2</v>
      </c>
      <c r="C5539" s="512">
        <f ca="1">IF(COUNTA(G$4308:G5538)=1,"",OFFSET(C5539,-COUNTA(G$4308:G5538)+1,0))</f>
        <v>45</v>
      </c>
      <c r="D5539" s="497">
        <f t="shared" si="355"/>
        <v>749</v>
      </c>
      <c r="E5539" s="497">
        <f t="shared" ca="1" si="356"/>
        <v>5</v>
      </c>
      <c r="F5539" s="497">
        <f t="shared" ca="1" si="357"/>
        <v>53</v>
      </c>
      <c r="G5539" s="497"/>
      <c r="H5539" s="503" t="str">
        <f t="shared" ca="1" si="358"/>
        <v/>
      </c>
      <c r="I5539" s="503" t="str">
        <f t="shared" ca="1" si="359"/>
        <v/>
      </c>
      <c r="J5539" s="503" t="str">
        <f t="shared" ca="1" si="360"/>
        <v/>
      </c>
      <c r="K5539" s="503" t="str">
        <f t="shared" ca="1" si="361"/>
        <v/>
      </c>
      <c r="L5539" s="497"/>
      <c r="M5539" s="497"/>
      <c r="N5539" s="497"/>
      <c r="O5539" s="497"/>
      <c r="P5539" s="497">
        <f t="shared" si="362"/>
        <v>0</v>
      </c>
      <c r="Q5539" s="497"/>
    </row>
    <row r="5540" spans="1:17" x14ac:dyDescent="0.35">
      <c r="A5540" s="497" t="b">
        <f t="shared" ca="1" si="354"/>
        <v>0</v>
      </c>
      <c r="B5540" s="510" t="str">
        <f ca="1">IF(COUNTA(G$4308:G5539)=1,"",OFFSET(B5540,-COUNTA(G$4308:G5539)+1,0))</f>
        <v>a1b3p0000095SL4AAM</v>
      </c>
      <c r="C5540" s="512">
        <f ca="1">IF(COUNTA(G$4308:G5539)=1,"",OFFSET(C5540,-COUNTA(G$4308:G5539)+1,0))</f>
        <v>45</v>
      </c>
      <c r="D5540" s="497">
        <f t="shared" si="355"/>
        <v>750</v>
      </c>
      <c r="E5540" s="497">
        <f t="shared" ca="1" si="356"/>
        <v>6</v>
      </c>
      <c r="F5540" s="497">
        <f t="shared" ca="1" si="357"/>
        <v>53</v>
      </c>
      <c r="G5540" s="497"/>
      <c r="H5540" s="503" t="str">
        <f t="shared" ca="1" si="358"/>
        <v/>
      </c>
      <c r="I5540" s="503" t="str">
        <f t="shared" ca="1" si="359"/>
        <v/>
      </c>
      <c r="J5540" s="503" t="str">
        <f t="shared" ca="1" si="360"/>
        <v/>
      </c>
      <c r="K5540" s="503" t="str">
        <f t="shared" ca="1" si="361"/>
        <v/>
      </c>
      <c r="L5540" s="497"/>
      <c r="M5540" s="497"/>
      <c r="N5540" s="497"/>
      <c r="O5540" s="497"/>
      <c r="P5540" s="497">
        <f t="shared" si="362"/>
        <v>0</v>
      </c>
      <c r="Q5540" s="497"/>
    </row>
    <row r="5541" spans="1:17" x14ac:dyDescent="0.35">
      <c r="A5541" s="497" t="b">
        <f t="shared" ca="1" si="354"/>
        <v>0</v>
      </c>
      <c r="B5541" s="510" t="str">
        <f ca="1">IF(COUNTA(G$4308:G5540)=1,"",OFFSET(B5541,-COUNTA(G$4308:G5540)+1,0))</f>
        <v>a1b3p0000095S8BAAU</v>
      </c>
      <c r="C5541" s="512">
        <f ca="1">IF(COUNTA(G$4308:G5540)=1,"",OFFSET(C5541,-COUNTA(G$4308:G5540)+1,0))</f>
        <v>46</v>
      </c>
      <c r="D5541" s="497">
        <f t="shared" si="355"/>
        <v>751</v>
      </c>
      <c r="E5541" s="497">
        <f t="shared" ca="1" si="356"/>
        <v>1</v>
      </c>
      <c r="F5541" s="497">
        <f t="shared" ca="1" si="357"/>
        <v>54</v>
      </c>
      <c r="G5541" s="497"/>
      <c r="H5541" s="503" t="str">
        <f t="shared" ca="1" si="358"/>
        <v/>
      </c>
      <c r="I5541" s="503" t="str">
        <f t="shared" ca="1" si="359"/>
        <v/>
      </c>
      <c r="J5541" s="503" t="str">
        <f t="shared" ca="1" si="360"/>
        <v/>
      </c>
      <c r="K5541" s="503" t="str">
        <f t="shared" ca="1" si="361"/>
        <v/>
      </c>
      <c r="L5541" s="497"/>
      <c r="M5541" s="497"/>
      <c r="N5541" s="497"/>
      <c r="O5541" s="497"/>
      <c r="P5541" s="497">
        <f t="shared" si="362"/>
        <v>0</v>
      </c>
      <c r="Q5541" s="497"/>
    </row>
    <row r="5542" spans="1:17" x14ac:dyDescent="0.35">
      <c r="A5542" s="497" t="b">
        <f t="shared" ca="1" si="354"/>
        <v>0</v>
      </c>
      <c r="B5542" s="510" t="str">
        <f ca="1">IF(COUNTA(G$4308:G5541)=1,"",OFFSET(B5542,-COUNTA(G$4308:G5541)+1,0))</f>
        <v>a1b3p0000095SAlAAM</v>
      </c>
      <c r="C5542" s="512">
        <f ca="1">IF(COUNTA(G$4308:G5541)=1,"",OFFSET(C5542,-COUNTA(G$4308:G5541)+1,0))</f>
        <v>46</v>
      </c>
      <c r="D5542" s="497">
        <f t="shared" si="355"/>
        <v>752</v>
      </c>
      <c r="E5542" s="497">
        <f t="shared" ca="1" si="356"/>
        <v>2</v>
      </c>
      <c r="F5542" s="497">
        <f t="shared" ca="1" si="357"/>
        <v>54</v>
      </c>
      <c r="G5542" s="497"/>
      <c r="H5542" s="503" t="str">
        <f t="shared" ca="1" si="358"/>
        <v/>
      </c>
      <c r="I5542" s="503" t="str">
        <f t="shared" ca="1" si="359"/>
        <v/>
      </c>
      <c r="J5542" s="503" t="str">
        <f t="shared" ca="1" si="360"/>
        <v/>
      </c>
      <c r="K5542" s="503" t="str">
        <f t="shared" ca="1" si="361"/>
        <v/>
      </c>
      <c r="L5542" s="497"/>
      <c r="M5542" s="497"/>
      <c r="N5542" s="497"/>
      <c r="O5542" s="497"/>
      <c r="P5542" s="497">
        <f t="shared" si="362"/>
        <v>0</v>
      </c>
      <c r="Q5542" s="497"/>
    </row>
    <row r="5543" spans="1:17" x14ac:dyDescent="0.35">
      <c r="A5543" s="497" t="b">
        <f t="shared" ca="1" si="354"/>
        <v>0</v>
      </c>
      <c r="B5543" s="510" t="str">
        <f ca="1">IF(COUNTA(G$4308:G5542)=1,"",OFFSET(B5543,-COUNTA(G$4308:G5542)+1,0))</f>
        <v>a1b3p0000095SDLAA2</v>
      </c>
      <c r="C5543" s="512">
        <f ca="1">IF(COUNTA(G$4308:G5542)=1,"",OFFSET(C5543,-COUNTA(G$4308:G5542)+1,0))</f>
        <v>46</v>
      </c>
      <c r="D5543" s="497">
        <f t="shared" si="355"/>
        <v>753</v>
      </c>
      <c r="E5543" s="497">
        <f t="shared" ca="1" si="356"/>
        <v>3</v>
      </c>
      <c r="F5543" s="497">
        <f t="shared" ca="1" si="357"/>
        <v>54</v>
      </c>
      <c r="G5543" s="497"/>
      <c r="H5543" s="503" t="str">
        <f t="shared" ca="1" si="358"/>
        <v/>
      </c>
      <c r="I5543" s="503" t="str">
        <f t="shared" ca="1" si="359"/>
        <v/>
      </c>
      <c r="J5543" s="503" t="str">
        <f t="shared" ca="1" si="360"/>
        <v/>
      </c>
      <c r="K5543" s="503" t="str">
        <f t="shared" ca="1" si="361"/>
        <v/>
      </c>
      <c r="L5543" s="497"/>
      <c r="M5543" s="497"/>
      <c r="N5543" s="497"/>
      <c r="O5543" s="497"/>
      <c r="P5543" s="497">
        <f t="shared" si="362"/>
        <v>0</v>
      </c>
      <c r="Q5543" s="497"/>
    </row>
    <row r="5544" spans="1:17" x14ac:dyDescent="0.35">
      <c r="A5544" s="497" t="b">
        <f t="shared" ca="1" si="354"/>
        <v>0</v>
      </c>
      <c r="B5544" s="510" t="str">
        <f ca="1">IF(COUNTA(G$4308:G5543)=1,"",OFFSET(B5544,-COUNTA(G$4308:G5543)+1,0))</f>
        <v>a1b3p0000095SFvAAM</v>
      </c>
      <c r="C5544" s="512">
        <f ca="1">IF(COUNTA(G$4308:G5543)=1,"",OFFSET(C5544,-COUNTA(G$4308:G5543)+1,0))</f>
        <v>46</v>
      </c>
      <c r="D5544" s="497">
        <f t="shared" si="355"/>
        <v>754</v>
      </c>
      <c r="E5544" s="497">
        <f t="shared" ca="1" si="356"/>
        <v>4</v>
      </c>
      <c r="F5544" s="497">
        <f t="shared" ca="1" si="357"/>
        <v>54</v>
      </c>
      <c r="G5544" s="497"/>
      <c r="H5544" s="503" t="str">
        <f t="shared" ca="1" si="358"/>
        <v/>
      </c>
      <c r="I5544" s="503" t="str">
        <f t="shared" ca="1" si="359"/>
        <v/>
      </c>
      <c r="J5544" s="503" t="str">
        <f t="shared" ca="1" si="360"/>
        <v/>
      </c>
      <c r="K5544" s="503" t="str">
        <f t="shared" ca="1" si="361"/>
        <v/>
      </c>
      <c r="L5544" s="497"/>
      <c r="M5544" s="497"/>
      <c r="N5544" s="497"/>
      <c r="O5544" s="497"/>
      <c r="P5544" s="497">
        <f t="shared" si="362"/>
        <v>0</v>
      </c>
      <c r="Q5544" s="497"/>
    </row>
    <row r="5545" spans="1:17" x14ac:dyDescent="0.35">
      <c r="A5545" s="497" t="b">
        <f t="shared" ca="1" si="354"/>
        <v>0</v>
      </c>
      <c r="B5545" s="510" t="str">
        <f ca="1">IF(COUNTA(G$4308:G5544)=1,"",OFFSET(B5545,-COUNTA(G$4308:G5544)+1,0))</f>
        <v>a1b3p0000095SIVAA2</v>
      </c>
      <c r="C5545" s="512">
        <f ca="1">IF(COUNTA(G$4308:G5544)=1,"",OFFSET(C5545,-COUNTA(G$4308:G5544)+1,0))</f>
        <v>46</v>
      </c>
      <c r="D5545" s="497">
        <f t="shared" si="355"/>
        <v>755</v>
      </c>
      <c r="E5545" s="497">
        <f t="shared" ca="1" si="356"/>
        <v>5</v>
      </c>
      <c r="F5545" s="497">
        <f t="shared" ca="1" si="357"/>
        <v>54</v>
      </c>
      <c r="G5545" s="497"/>
      <c r="H5545" s="503" t="str">
        <f t="shared" ca="1" si="358"/>
        <v/>
      </c>
      <c r="I5545" s="503" t="str">
        <f t="shared" ca="1" si="359"/>
        <v/>
      </c>
      <c r="J5545" s="503" t="str">
        <f t="shared" ca="1" si="360"/>
        <v/>
      </c>
      <c r="K5545" s="503" t="str">
        <f t="shared" ca="1" si="361"/>
        <v/>
      </c>
      <c r="L5545" s="497"/>
      <c r="M5545" s="497"/>
      <c r="N5545" s="497"/>
      <c r="O5545" s="497"/>
      <c r="P5545" s="497">
        <f t="shared" si="362"/>
        <v>0</v>
      </c>
      <c r="Q5545" s="497"/>
    </row>
    <row r="5546" spans="1:17" x14ac:dyDescent="0.35">
      <c r="A5546" s="497" t="b">
        <f t="shared" ca="1" si="354"/>
        <v>0</v>
      </c>
      <c r="B5546" s="510" t="str">
        <f ca="1">IF(COUNTA(G$4308:G5545)=1,"",OFFSET(B5546,-COUNTA(G$4308:G5545)+1,0))</f>
        <v>a1b3p0000095SL5AAM</v>
      </c>
      <c r="C5546" s="512">
        <f ca="1">IF(COUNTA(G$4308:G5545)=1,"",OFFSET(C5546,-COUNTA(G$4308:G5545)+1,0))</f>
        <v>46</v>
      </c>
      <c r="D5546" s="497">
        <f t="shared" si="355"/>
        <v>756</v>
      </c>
      <c r="E5546" s="497">
        <f t="shared" ca="1" si="356"/>
        <v>6</v>
      </c>
      <c r="F5546" s="497">
        <f t="shared" ca="1" si="357"/>
        <v>54</v>
      </c>
      <c r="G5546" s="497"/>
      <c r="H5546" s="503" t="str">
        <f t="shared" ca="1" si="358"/>
        <v/>
      </c>
      <c r="I5546" s="503" t="str">
        <f t="shared" ca="1" si="359"/>
        <v/>
      </c>
      <c r="J5546" s="503" t="str">
        <f t="shared" ca="1" si="360"/>
        <v/>
      </c>
      <c r="K5546" s="503" t="str">
        <f t="shared" ca="1" si="361"/>
        <v/>
      </c>
      <c r="L5546" s="497"/>
      <c r="M5546" s="497"/>
      <c r="N5546" s="497"/>
      <c r="O5546" s="497"/>
      <c r="P5546" s="497">
        <f t="shared" si="362"/>
        <v>0</v>
      </c>
      <c r="Q5546" s="497"/>
    </row>
    <row r="5547" spans="1:17" x14ac:dyDescent="0.35">
      <c r="A5547" s="497" t="b">
        <f t="shared" ca="1" si="354"/>
        <v>0</v>
      </c>
      <c r="B5547" s="510" t="str">
        <f ca="1">IF(COUNTA(G$4308:G5546)=1,"",OFFSET(B5547,-COUNTA(G$4308:G5546)+1,0))</f>
        <v>a1b3p0000095S8CAAU</v>
      </c>
      <c r="C5547" s="512">
        <f ca="1">IF(COUNTA(G$4308:G5546)=1,"",OFFSET(C5547,-COUNTA(G$4308:G5546)+1,0))</f>
        <v>47</v>
      </c>
      <c r="D5547" s="497">
        <f t="shared" si="355"/>
        <v>757</v>
      </c>
      <c r="E5547" s="497">
        <f t="shared" ca="1" si="356"/>
        <v>1</v>
      </c>
      <c r="F5547" s="497">
        <f t="shared" ca="1" si="357"/>
        <v>55</v>
      </c>
      <c r="G5547" s="497"/>
      <c r="H5547" s="503" t="str">
        <f t="shared" ca="1" si="358"/>
        <v/>
      </c>
      <c r="I5547" s="503" t="str">
        <f t="shared" ca="1" si="359"/>
        <v/>
      </c>
      <c r="J5547" s="503" t="str">
        <f t="shared" ca="1" si="360"/>
        <v/>
      </c>
      <c r="K5547" s="503" t="str">
        <f t="shared" ca="1" si="361"/>
        <v/>
      </c>
      <c r="L5547" s="497"/>
      <c r="M5547" s="497"/>
      <c r="N5547" s="497"/>
      <c r="O5547" s="497"/>
      <c r="P5547" s="497">
        <f t="shared" si="362"/>
        <v>0</v>
      </c>
      <c r="Q5547" s="497"/>
    </row>
    <row r="5548" spans="1:17" x14ac:dyDescent="0.35">
      <c r="A5548" s="497" t="b">
        <f t="shared" ca="1" si="354"/>
        <v>0</v>
      </c>
      <c r="B5548" s="510" t="str">
        <f ca="1">IF(COUNTA(G$4308:G5547)=1,"",OFFSET(B5548,-COUNTA(G$4308:G5547)+1,0))</f>
        <v>a1b3p0000095SAmAAM</v>
      </c>
      <c r="C5548" s="512">
        <f ca="1">IF(COUNTA(G$4308:G5547)=1,"",OFFSET(C5548,-COUNTA(G$4308:G5547)+1,0))</f>
        <v>47</v>
      </c>
      <c r="D5548" s="497">
        <f t="shared" si="355"/>
        <v>758</v>
      </c>
      <c r="E5548" s="497">
        <f t="shared" ca="1" si="356"/>
        <v>2</v>
      </c>
      <c r="F5548" s="497">
        <f t="shared" ca="1" si="357"/>
        <v>55</v>
      </c>
      <c r="G5548" s="497"/>
      <c r="H5548" s="503" t="str">
        <f t="shared" ca="1" si="358"/>
        <v/>
      </c>
      <c r="I5548" s="503" t="str">
        <f t="shared" ca="1" si="359"/>
        <v/>
      </c>
      <c r="J5548" s="503" t="str">
        <f t="shared" ca="1" si="360"/>
        <v/>
      </c>
      <c r="K5548" s="503" t="str">
        <f t="shared" ca="1" si="361"/>
        <v/>
      </c>
      <c r="L5548" s="497"/>
      <c r="M5548" s="497"/>
      <c r="N5548" s="497"/>
      <c r="O5548" s="497"/>
      <c r="P5548" s="497">
        <f t="shared" si="362"/>
        <v>0</v>
      </c>
      <c r="Q5548" s="497"/>
    </row>
    <row r="5549" spans="1:17" x14ac:dyDescent="0.35">
      <c r="A5549" s="497" t="b">
        <f t="shared" ca="1" si="354"/>
        <v>0</v>
      </c>
      <c r="B5549" s="510" t="str">
        <f ca="1">IF(COUNTA(G$4308:G5548)=1,"",OFFSET(B5549,-COUNTA(G$4308:G5548)+1,0))</f>
        <v>a1b3p0000095SDMAA2</v>
      </c>
      <c r="C5549" s="512">
        <f ca="1">IF(COUNTA(G$4308:G5548)=1,"",OFFSET(C5549,-COUNTA(G$4308:G5548)+1,0))</f>
        <v>47</v>
      </c>
      <c r="D5549" s="497">
        <f t="shared" si="355"/>
        <v>759</v>
      </c>
      <c r="E5549" s="497">
        <f t="shared" ca="1" si="356"/>
        <v>3</v>
      </c>
      <c r="F5549" s="497">
        <f t="shared" ca="1" si="357"/>
        <v>55</v>
      </c>
      <c r="G5549" s="497"/>
      <c r="H5549" s="503" t="str">
        <f t="shared" ca="1" si="358"/>
        <v/>
      </c>
      <c r="I5549" s="503" t="str">
        <f t="shared" ca="1" si="359"/>
        <v/>
      </c>
      <c r="J5549" s="503" t="str">
        <f t="shared" ca="1" si="360"/>
        <v/>
      </c>
      <c r="K5549" s="503" t="str">
        <f t="shared" ca="1" si="361"/>
        <v/>
      </c>
      <c r="L5549" s="497"/>
      <c r="M5549" s="497"/>
      <c r="N5549" s="497"/>
      <c r="O5549" s="497"/>
      <c r="P5549" s="497">
        <f t="shared" si="362"/>
        <v>0</v>
      </c>
      <c r="Q5549" s="497"/>
    </row>
    <row r="5550" spans="1:17" x14ac:dyDescent="0.35">
      <c r="A5550" s="497" t="b">
        <f t="shared" ca="1" si="354"/>
        <v>0</v>
      </c>
      <c r="B5550" s="510" t="str">
        <f ca="1">IF(COUNTA(G$4308:G5549)=1,"",OFFSET(B5550,-COUNTA(G$4308:G5549)+1,0))</f>
        <v>a1b3p0000095SFwAAM</v>
      </c>
      <c r="C5550" s="512">
        <f ca="1">IF(COUNTA(G$4308:G5549)=1,"",OFFSET(C5550,-COUNTA(G$4308:G5549)+1,0))</f>
        <v>47</v>
      </c>
      <c r="D5550" s="497">
        <f t="shared" si="355"/>
        <v>760</v>
      </c>
      <c r="E5550" s="497">
        <f t="shared" ca="1" si="356"/>
        <v>4</v>
      </c>
      <c r="F5550" s="497">
        <f t="shared" ca="1" si="357"/>
        <v>55</v>
      </c>
      <c r="G5550" s="497"/>
      <c r="H5550" s="503" t="str">
        <f t="shared" ca="1" si="358"/>
        <v/>
      </c>
      <c r="I5550" s="503" t="str">
        <f t="shared" ca="1" si="359"/>
        <v/>
      </c>
      <c r="J5550" s="503" t="str">
        <f t="shared" ca="1" si="360"/>
        <v/>
      </c>
      <c r="K5550" s="503" t="str">
        <f t="shared" ca="1" si="361"/>
        <v/>
      </c>
      <c r="L5550" s="497"/>
      <c r="M5550" s="497"/>
      <c r="N5550" s="497"/>
      <c r="O5550" s="497"/>
      <c r="P5550" s="497">
        <f t="shared" si="362"/>
        <v>0</v>
      </c>
      <c r="Q5550" s="497"/>
    </row>
    <row r="5551" spans="1:17" x14ac:dyDescent="0.35">
      <c r="A5551" s="497" t="b">
        <f t="shared" ca="1" si="354"/>
        <v>0</v>
      </c>
      <c r="B5551" s="510" t="str">
        <f ca="1">IF(COUNTA(G$4308:G5550)=1,"",OFFSET(B5551,-COUNTA(G$4308:G5550)+1,0))</f>
        <v>a1b3p0000095SIWAA2</v>
      </c>
      <c r="C5551" s="512">
        <f ca="1">IF(COUNTA(G$4308:G5550)=1,"",OFFSET(C5551,-COUNTA(G$4308:G5550)+1,0))</f>
        <v>47</v>
      </c>
      <c r="D5551" s="497">
        <f t="shared" si="355"/>
        <v>761</v>
      </c>
      <c r="E5551" s="497">
        <f t="shared" ca="1" si="356"/>
        <v>5</v>
      </c>
      <c r="F5551" s="497">
        <f t="shared" ca="1" si="357"/>
        <v>55</v>
      </c>
      <c r="G5551" s="497"/>
      <c r="H5551" s="503" t="str">
        <f t="shared" ca="1" si="358"/>
        <v/>
      </c>
      <c r="I5551" s="503" t="str">
        <f t="shared" ca="1" si="359"/>
        <v/>
      </c>
      <c r="J5551" s="503" t="str">
        <f t="shared" ca="1" si="360"/>
        <v/>
      </c>
      <c r="K5551" s="503" t="str">
        <f t="shared" ca="1" si="361"/>
        <v/>
      </c>
      <c r="L5551" s="497"/>
      <c r="M5551" s="497"/>
      <c r="N5551" s="497"/>
      <c r="O5551" s="497"/>
      <c r="P5551" s="497">
        <f t="shared" si="362"/>
        <v>0</v>
      </c>
      <c r="Q5551" s="497"/>
    </row>
    <row r="5552" spans="1:17" x14ac:dyDescent="0.35">
      <c r="A5552" s="497" t="b">
        <f t="shared" ca="1" si="354"/>
        <v>0</v>
      </c>
      <c r="B5552" s="510" t="str">
        <f ca="1">IF(COUNTA(G$4308:G5551)=1,"",OFFSET(B5552,-COUNTA(G$4308:G5551)+1,0))</f>
        <v>a1b3p0000095SL6AAM</v>
      </c>
      <c r="C5552" s="512">
        <f ca="1">IF(COUNTA(G$4308:G5551)=1,"",OFFSET(C5552,-COUNTA(G$4308:G5551)+1,0))</f>
        <v>47</v>
      </c>
      <c r="D5552" s="497">
        <f t="shared" si="355"/>
        <v>762</v>
      </c>
      <c r="E5552" s="497">
        <f t="shared" ca="1" si="356"/>
        <v>6</v>
      </c>
      <c r="F5552" s="497">
        <f t="shared" ca="1" si="357"/>
        <v>55</v>
      </c>
      <c r="G5552" s="497"/>
      <c r="H5552" s="503" t="str">
        <f t="shared" ca="1" si="358"/>
        <v/>
      </c>
      <c r="I5552" s="503" t="str">
        <f t="shared" ca="1" si="359"/>
        <v/>
      </c>
      <c r="J5552" s="503" t="str">
        <f t="shared" ca="1" si="360"/>
        <v/>
      </c>
      <c r="K5552" s="503" t="str">
        <f t="shared" ca="1" si="361"/>
        <v/>
      </c>
      <c r="L5552" s="497"/>
      <c r="M5552" s="497"/>
      <c r="N5552" s="497"/>
      <c r="O5552" s="497"/>
      <c r="P5552" s="497">
        <f t="shared" si="362"/>
        <v>0</v>
      </c>
      <c r="Q5552" s="497"/>
    </row>
    <row r="5553" spans="1:17" x14ac:dyDescent="0.35">
      <c r="A5553" s="497" t="b">
        <f t="shared" ca="1" si="354"/>
        <v>0</v>
      </c>
      <c r="B5553" s="510" t="str">
        <f ca="1">IF(COUNTA(G$4308:G5552)=1,"",OFFSET(B5553,-COUNTA(G$4308:G5552)+1,0))</f>
        <v>a1b3p0000095S8DAAU</v>
      </c>
      <c r="C5553" s="512">
        <f ca="1">IF(COUNTA(G$4308:G5552)=1,"",OFFSET(C5553,-COUNTA(G$4308:G5552)+1,0))</f>
        <v>48</v>
      </c>
      <c r="D5553" s="497">
        <f t="shared" si="355"/>
        <v>763</v>
      </c>
      <c r="E5553" s="497">
        <f t="shared" ca="1" si="356"/>
        <v>1</v>
      </c>
      <c r="F5553" s="497">
        <f t="shared" ca="1" si="357"/>
        <v>56</v>
      </c>
      <c r="G5553" s="497"/>
      <c r="H5553" s="503" t="str">
        <f t="shared" ca="1" si="358"/>
        <v/>
      </c>
      <c r="I5553" s="503" t="str">
        <f t="shared" ca="1" si="359"/>
        <v/>
      </c>
      <c r="J5553" s="503" t="str">
        <f t="shared" ca="1" si="360"/>
        <v/>
      </c>
      <c r="K5553" s="503" t="str">
        <f t="shared" ca="1" si="361"/>
        <v/>
      </c>
      <c r="L5553" s="497"/>
      <c r="M5553" s="497"/>
      <c r="N5553" s="497"/>
      <c r="O5553" s="497"/>
      <c r="P5553" s="497">
        <f t="shared" si="362"/>
        <v>0</v>
      </c>
      <c r="Q5553" s="497"/>
    </row>
    <row r="5554" spans="1:17" x14ac:dyDescent="0.35">
      <c r="A5554" s="497" t="b">
        <f t="shared" ca="1" si="354"/>
        <v>0</v>
      </c>
      <c r="B5554" s="510" t="str">
        <f ca="1">IF(COUNTA(G$4308:G5553)=1,"",OFFSET(B5554,-COUNTA(G$4308:G5553)+1,0))</f>
        <v>a1b3p0000095SAnAAM</v>
      </c>
      <c r="C5554" s="512">
        <f ca="1">IF(COUNTA(G$4308:G5553)=1,"",OFFSET(C5554,-COUNTA(G$4308:G5553)+1,0))</f>
        <v>48</v>
      </c>
      <c r="D5554" s="497">
        <f t="shared" si="355"/>
        <v>764</v>
      </c>
      <c r="E5554" s="497">
        <f t="shared" ca="1" si="356"/>
        <v>2</v>
      </c>
      <c r="F5554" s="497">
        <f t="shared" ca="1" si="357"/>
        <v>56</v>
      </c>
      <c r="G5554" s="497"/>
      <c r="H5554" s="503" t="str">
        <f t="shared" ca="1" si="358"/>
        <v/>
      </c>
      <c r="I5554" s="503" t="str">
        <f t="shared" ca="1" si="359"/>
        <v/>
      </c>
      <c r="J5554" s="503" t="str">
        <f t="shared" ca="1" si="360"/>
        <v/>
      </c>
      <c r="K5554" s="503" t="str">
        <f t="shared" ca="1" si="361"/>
        <v/>
      </c>
      <c r="L5554" s="497"/>
      <c r="M5554" s="497"/>
      <c r="N5554" s="497"/>
      <c r="O5554" s="497"/>
      <c r="P5554" s="497">
        <f t="shared" si="362"/>
        <v>0</v>
      </c>
      <c r="Q5554" s="497"/>
    </row>
    <row r="5555" spans="1:17" x14ac:dyDescent="0.35">
      <c r="A5555" s="497" t="b">
        <f t="shared" ca="1" si="354"/>
        <v>0</v>
      </c>
      <c r="B5555" s="510" t="str">
        <f ca="1">IF(COUNTA(G$4308:G5554)=1,"",OFFSET(B5555,-COUNTA(G$4308:G5554)+1,0))</f>
        <v>a1b3p0000095SDNAA2</v>
      </c>
      <c r="C5555" s="512">
        <f ca="1">IF(COUNTA(G$4308:G5554)=1,"",OFFSET(C5555,-COUNTA(G$4308:G5554)+1,0))</f>
        <v>48</v>
      </c>
      <c r="D5555" s="497">
        <f t="shared" si="355"/>
        <v>765</v>
      </c>
      <c r="E5555" s="497">
        <f t="shared" ca="1" si="356"/>
        <v>3</v>
      </c>
      <c r="F5555" s="497">
        <f t="shared" ca="1" si="357"/>
        <v>56</v>
      </c>
      <c r="G5555" s="497"/>
      <c r="H5555" s="503" t="str">
        <f t="shared" ca="1" si="358"/>
        <v/>
      </c>
      <c r="I5555" s="503" t="str">
        <f t="shared" ca="1" si="359"/>
        <v/>
      </c>
      <c r="J5555" s="503" t="str">
        <f t="shared" ca="1" si="360"/>
        <v/>
      </c>
      <c r="K5555" s="503" t="str">
        <f t="shared" ca="1" si="361"/>
        <v/>
      </c>
      <c r="L5555" s="497"/>
      <c r="M5555" s="497"/>
      <c r="N5555" s="497"/>
      <c r="O5555" s="497"/>
      <c r="P5555" s="497">
        <f t="shared" si="362"/>
        <v>0</v>
      </c>
      <c r="Q5555" s="497"/>
    </row>
    <row r="5556" spans="1:17" x14ac:dyDescent="0.35">
      <c r="A5556" s="497" t="b">
        <f t="shared" ca="1" si="354"/>
        <v>0</v>
      </c>
      <c r="B5556" s="510" t="str">
        <f ca="1">IF(COUNTA(G$4308:G5555)=1,"",OFFSET(B5556,-COUNTA(G$4308:G5555)+1,0))</f>
        <v>a1b3p0000095SFxAAM</v>
      </c>
      <c r="C5556" s="512">
        <f ca="1">IF(COUNTA(G$4308:G5555)=1,"",OFFSET(C5556,-COUNTA(G$4308:G5555)+1,0))</f>
        <v>48</v>
      </c>
      <c r="D5556" s="497">
        <f t="shared" si="355"/>
        <v>766</v>
      </c>
      <c r="E5556" s="497">
        <f t="shared" ca="1" si="356"/>
        <v>4</v>
      </c>
      <c r="F5556" s="497">
        <f t="shared" ca="1" si="357"/>
        <v>56</v>
      </c>
      <c r="G5556" s="497"/>
      <c r="H5556" s="503" t="str">
        <f t="shared" ca="1" si="358"/>
        <v/>
      </c>
      <c r="I5556" s="503" t="str">
        <f t="shared" ca="1" si="359"/>
        <v/>
      </c>
      <c r="J5556" s="503" t="str">
        <f t="shared" ca="1" si="360"/>
        <v/>
      </c>
      <c r="K5556" s="503" t="str">
        <f t="shared" ca="1" si="361"/>
        <v/>
      </c>
      <c r="L5556" s="497"/>
      <c r="M5556" s="497"/>
      <c r="N5556" s="497"/>
      <c r="O5556" s="497"/>
      <c r="P5556" s="497">
        <f t="shared" si="362"/>
        <v>0</v>
      </c>
      <c r="Q5556" s="497"/>
    </row>
    <row r="5557" spans="1:17" x14ac:dyDescent="0.35">
      <c r="A5557" s="497" t="b">
        <f t="shared" ca="1" si="354"/>
        <v>0</v>
      </c>
      <c r="B5557" s="510" t="str">
        <f ca="1">IF(COUNTA(G$4308:G5556)=1,"",OFFSET(B5557,-COUNTA(G$4308:G5556)+1,0))</f>
        <v>a1b3p0000095SIXAA2</v>
      </c>
      <c r="C5557" s="512">
        <f ca="1">IF(COUNTA(G$4308:G5556)=1,"",OFFSET(C5557,-COUNTA(G$4308:G5556)+1,0))</f>
        <v>48</v>
      </c>
      <c r="D5557" s="497">
        <f t="shared" si="355"/>
        <v>767</v>
      </c>
      <c r="E5557" s="497">
        <f t="shared" ca="1" si="356"/>
        <v>5</v>
      </c>
      <c r="F5557" s="497">
        <f t="shared" ca="1" si="357"/>
        <v>56</v>
      </c>
      <c r="G5557" s="497"/>
      <c r="H5557" s="503" t="str">
        <f t="shared" ca="1" si="358"/>
        <v/>
      </c>
      <c r="I5557" s="503" t="str">
        <f t="shared" ca="1" si="359"/>
        <v/>
      </c>
      <c r="J5557" s="503" t="str">
        <f t="shared" ca="1" si="360"/>
        <v/>
      </c>
      <c r="K5557" s="503" t="str">
        <f t="shared" ca="1" si="361"/>
        <v/>
      </c>
      <c r="L5557" s="497"/>
      <c r="M5557" s="497"/>
      <c r="N5557" s="497"/>
      <c r="O5557" s="497"/>
      <c r="P5557" s="497">
        <f t="shared" si="362"/>
        <v>0</v>
      </c>
      <c r="Q5557" s="497"/>
    </row>
    <row r="5558" spans="1:17" x14ac:dyDescent="0.35">
      <c r="A5558" s="497" t="b">
        <f t="shared" ca="1" si="354"/>
        <v>0</v>
      </c>
      <c r="B5558" s="510" t="str">
        <f ca="1">IF(COUNTA(G$4308:G5557)=1,"",OFFSET(B5558,-COUNTA(G$4308:G5557)+1,0))</f>
        <v>a1b3p0000095SL7AAM</v>
      </c>
      <c r="C5558" s="512">
        <f ca="1">IF(COUNTA(G$4308:G5557)=1,"",OFFSET(C5558,-COUNTA(G$4308:G5557)+1,0))</f>
        <v>48</v>
      </c>
      <c r="D5558" s="497">
        <f t="shared" si="355"/>
        <v>768</v>
      </c>
      <c r="E5558" s="497">
        <f t="shared" ca="1" si="356"/>
        <v>6</v>
      </c>
      <c r="F5558" s="497">
        <f t="shared" ca="1" si="357"/>
        <v>56</v>
      </c>
      <c r="G5558" s="497"/>
      <c r="H5558" s="503" t="str">
        <f t="shared" ca="1" si="358"/>
        <v/>
      </c>
      <c r="I5558" s="503" t="str">
        <f t="shared" ca="1" si="359"/>
        <v/>
      </c>
      <c r="J5558" s="503" t="str">
        <f t="shared" ca="1" si="360"/>
        <v/>
      </c>
      <c r="K5558" s="503" t="str">
        <f t="shared" ca="1" si="361"/>
        <v/>
      </c>
      <c r="L5558" s="497"/>
      <c r="M5558" s="497"/>
      <c r="N5558" s="497"/>
      <c r="O5558" s="497"/>
      <c r="P5558" s="497">
        <f t="shared" si="362"/>
        <v>0</v>
      </c>
      <c r="Q5558" s="497"/>
    </row>
    <row r="5559" spans="1:17" x14ac:dyDescent="0.35">
      <c r="A5559" s="497" t="b">
        <f t="shared" ca="1" si="354"/>
        <v>0</v>
      </c>
      <c r="B5559" s="510" t="str">
        <f ca="1">IF(COUNTA(G$4308:G5558)=1,"",OFFSET(B5559,-COUNTA(G$4308:G5558)+1,0))</f>
        <v>a1b3p0000095S8EAAU</v>
      </c>
      <c r="C5559" s="512">
        <f ca="1">IF(COUNTA(G$4308:G5558)=1,"",OFFSET(C5559,-COUNTA(G$4308:G5558)+1,0))</f>
        <v>49</v>
      </c>
      <c r="D5559" s="497">
        <f t="shared" si="355"/>
        <v>769</v>
      </c>
      <c r="E5559" s="497">
        <f t="shared" ca="1" si="356"/>
        <v>1</v>
      </c>
      <c r="F5559" s="497">
        <f t="shared" ca="1" si="357"/>
        <v>57</v>
      </c>
      <c r="G5559" s="497"/>
      <c r="H5559" s="503" t="str">
        <f t="shared" ca="1" si="358"/>
        <v/>
      </c>
      <c r="I5559" s="503" t="str">
        <f t="shared" ca="1" si="359"/>
        <v/>
      </c>
      <c r="J5559" s="503" t="str">
        <f t="shared" ca="1" si="360"/>
        <v/>
      </c>
      <c r="K5559" s="503" t="str">
        <f t="shared" ca="1" si="361"/>
        <v/>
      </c>
      <c r="L5559" s="497"/>
      <c r="M5559" s="497"/>
      <c r="N5559" s="497"/>
      <c r="O5559" s="497"/>
      <c r="P5559" s="497">
        <f t="shared" si="362"/>
        <v>0</v>
      </c>
      <c r="Q5559" s="497"/>
    </row>
    <row r="5560" spans="1:17" x14ac:dyDescent="0.35">
      <c r="A5560" s="497" t="b">
        <f t="shared" ca="1" si="354"/>
        <v>0</v>
      </c>
      <c r="B5560" s="510" t="str">
        <f ca="1">IF(COUNTA(G$4308:G5559)=1,"",OFFSET(B5560,-COUNTA(G$4308:G5559)+1,0))</f>
        <v>a1b3p0000095SAoAAM</v>
      </c>
      <c r="C5560" s="512">
        <f ca="1">IF(COUNTA(G$4308:G5559)=1,"",OFFSET(C5560,-COUNTA(G$4308:G5559)+1,0))</f>
        <v>49</v>
      </c>
      <c r="D5560" s="497">
        <f t="shared" si="355"/>
        <v>770</v>
      </c>
      <c r="E5560" s="497">
        <f t="shared" ca="1" si="356"/>
        <v>2</v>
      </c>
      <c r="F5560" s="497">
        <f t="shared" ca="1" si="357"/>
        <v>57</v>
      </c>
      <c r="G5560" s="497"/>
      <c r="H5560" s="503" t="str">
        <f t="shared" ca="1" si="358"/>
        <v/>
      </c>
      <c r="I5560" s="503" t="str">
        <f t="shared" ca="1" si="359"/>
        <v/>
      </c>
      <c r="J5560" s="503" t="str">
        <f t="shared" ca="1" si="360"/>
        <v/>
      </c>
      <c r="K5560" s="503" t="str">
        <f t="shared" ca="1" si="361"/>
        <v/>
      </c>
      <c r="L5560" s="497"/>
      <c r="M5560" s="497"/>
      <c r="N5560" s="497"/>
      <c r="O5560" s="497"/>
      <c r="P5560" s="497">
        <f t="shared" si="362"/>
        <v>0</v>
      </c>
      <c r="Q5560" s="497"/>
    </row>
    <row r="5561" spans="1:17" x14ac:dyDescent="0.35">
      <c r="A5561" s="497" t="b">
        <f t="shared" ca="1" si="354"/>
        <v>0</v>
      </c>
      <c r="B5561" s="510" t="str">
        <f ca="1">IF(COUNTA(G$4308:G5560)=1,"",OFFSET(B5561,-COUNTA(G$4308:G5560)+1,0))</f>
        <v>a1b3p0000095SDOAA2</v>
      </c>
      <c r="C5561" s="512">
        <f ca="1">IF(COUNTA(G$4308:G5560)=1,"",OFFSET(C5561,-COUNTA(G$4308:G5560)+1,0))</f>
        <v>49</v>
      </c>
      <c r="D5561" s="497">
        <f t="shared" si="355"/>
        <v>771</v>
      </c>
      <c r="E5561" s="497">
        <f t="shared" ca="1" si="356"/>
        <v>3</v>
      </c>
      <c r="F5561" s="497">
        <f t="shared" ca="1" si="357"/>
        <v>57</v>
      </c>
      <c r="G5561" s="497"/>
      <c r="H5561" s="503" t="str">
        <f t="shared" ca="1" si="358"/>
        <v/>
      </c>
      <c r="I5561" s="503" t="str">
        <f t="shared" ca="1" si="359"/>
        <v/>
      </c>
      <c r="J5561" s="503" t="str">
        <f t="shared" ca="1" si="360"/>
        <v/>
      </c>
      <c r="K5561" s="503" t="str">
        <f t="shared" ca="1" si="361"/>
        <v/>
      </c>
      <c r="L5561" s="497"/>
      <c r="M5561" s="497"/>
      <c r="N5561" s="497"/>
      <c r="O5561" s="497"/>
      <c r="P5561" s="497">
        <f t="shared" si="362"/>
        <v>0</v>
      </c>
      <c r="Q5561" s="497"/>
    </row>
    <row r="5562" spans="1:17" x14ac:dyDescent="0.35">
      <c r="A5562" s="497" t="b">
        <f t="shared" ca="1" si="354"/>
        <v>0</v>
      </c>
      <c r="B5562" s="510" t="str">
        <f ca="1">IF(COUNTA(G$4308:G5561)=1,"",OFFSET(B5562,-COUNTA(G$4308:G5561)+1,0))</f>
        <v>a1b3p0000095SFyAAM</v>
      </c>
      <c r="C5562" s="512">
        <f ca="1">IF(COUNTA(G$4308:G5561)=1,"",OFFSET(C5562,-COUNTA(G$4308:G5561)+1,0))</f>
        <v>49</v>
      </c>
      <c r="D5562" s="497">
        <f t="shared" si="355"/>
        <v>772</v>
      </c>
      <c r="E5562" s="497">
        <f t="shared" ca="1" si="356"/>
        <v>4</v>
      </c>
      <c r="F5562" s="497">
        <f t="shared" ca="1" si="357"/>
        <v>57</v>
      </c>
      <c r="G5562" s="497"/>
      <c r="H5562" s="503" t="str">
        <f t="shared" ca="1" si="358"/>
        <v/>
      </c>
      <c r="I5562" s="503" t="str">
        <f t="shared" ca="1" si="359"/>
        <v/>
      </c>
      <c r="J5562" s="503" t="str">
        <f t="shared" ca="1" si="360"/>
        <v/>
      </c>
      <c r="K5562" s="503" t="str">
        <f t="shared" ca="1" si="361"/>
        <v/>
      </c>
      <c r="L5562" s="497"/>
      <c r="M5562" s="497"/>
      <c r="N5562" s="497"/>
      <c r="O5562" s="497"/>
      <c r="P5562" s="497">
        <f t="shared" si="362"/>
        <v>0</v>
      </c>
      <c r="Q5562" s="497"/>
    </row>
    <row r="5563" spans="1:17" x14ac:dyDescent="0.35">
      <c r="A5563" s="497" t="b">
        <f t="shared" ca="1" si="354"/>
        <v>0</v>
      </c>
      <c r="B5563" s="510" t="str">
        <f ca="1">IF(COUNTA(G$4308:G5562)=1,"",OFFSET(B5563,-COUNTA(G$4308:G5562)+1,0))</f>
        <v>a1b3p0000095SIYAA2</v>
      </c>
      <c r="C5563" s="512">
        <f ca="1">IF(COUNTA(G$4308:G5562)=1,"",OFFSET(C5563,-COUNTA(G$4308:G5562)+1,0))</f>
        <v>49</v>
      </c>
      <c r="D5563" s="497">
        <f t="shared" si="355"/>
        <v>773</v>
      </c>
      <c r="E5563" s="497">
        <f t="shared" ca="1" si="356"/>
        <v>5</v>
      </c>
      <c r="F5563" s="497">
        <f t="shared" ca="1" si="357"/>
        <v>57</v>
      </c>
      <c r="G5563" s="497"/>
      <c r="H5563" s="503" t="str">
        <f t="shared" ca="1" si="358"/>
        <v/>
      </c>
      <c r="I5563" s="503" t="str">
        <f t="shared" ca="1" si="359"/>
        <v/>
      </c>
      <c r="J5563" s="503" t="str">
        <f t="shared" ca="1" si="360"/>
        <v/>
      </c>
      <c r="K5563" s="503" t="str">
        <f t="shared" ca="1" si="361"/>
        <v/>
      </c>
      <c r="L5563" s="497"/>
      <c r="M5563" s="497"/>
      <c r="N5563" s="497"/>
      <c r="O5563" s="497"/>
      <c r="P5563" s="497">
        <f t="shared" si="362"/>
        <v>0</v>
      </c>
      <c r="Q5563" s="497"/>
    </row>
    <row r="5564" spans="1:17" x14ac:dyDescent="0.35">
      <c r="A5564" s="497" t="b">
        <f t="shared" ca="1" si="354"/>
        <v>0</v>
      </c>
      <c r="B5564" s="510" t="str">
        <f ca="1">IF(COUNTA(G$4308:G5563)=1,"",OFFSET(B5564,-COUNTA(G$4308:G5563)+1,0))</f>
        <v>a1b3p0000095SL8AAM</v>
      </c>
      <c r="C5564" s="512">
        <f ca="1">IF(COUNTA(G$4308:G5563)=1,"",OFFSET(C5564,-COUNTA(G$4308:G5563)+1,0))</f>
        <v>49</v>
      </c>
      <c r="D5564" s="497">
        <f t="shared" si="355"/>
        <v>774</v>
      </c>
      <c r="E5564" s="497">
        <f t="shared" ca="1" si="356"/>
        <v>6</v>
      </c>
      <c r="F5564" s="497">
        <f t="shared" ca="1" si="357"/>
        <v>57</v>
      </c>
      <c r="G5564" s="497"/>
      <c r="H5564" s="503" t="str">
        <f t="shared" ca="1" si="358"/>
        <v/>
      </c>
      <c r="I5564" s="503" t="str">
        <f t="shared" ca="1" si="359"/>
        <v/>
      </c>
      <c r="J5564" s="503" t="str">
        <f t="shared" ca="1" si="360"/>
        <v/>
      </c>
      <c r="K5564" s="503" t="str">
        <f t="shared" ca="1" si="361"/>
        <v/>
      </c>
      <c r="L5564" s="497"/>
      <c r="M5564" s="497"/>
      <c r="N5564" s="497"/>
      <c r="O5564" s="497"/>
      <c r="P5564" s="497">
        <f t="shared" si="362"/>
        <v>0</v>
      </c>
      <c r="Q5564" s="497"/>
    </row>
    <row r="5565" spans="1:17" x14ac:dyDescent="0.35">
      <c r="A5565" s="497" t="b">
        <f t="shared" ca="1" si="354"/>
        <v>0</v>
      </c>
      <c r="B5565" s="510" t="str">
        <f ca="1">IF(COUNTA(G$4308:G5564)=1,"",OFFSET(B5565,-COUNTA(G$4308:G5564)+1,0))</f>
        <v>a1b3p0000095S8FAAU</v>
      </c>
      <c r="C5565" s="512">
        <f ca="1">IF(COUNTA(G$4308:G5564)=1,"",OFFSET(C5565,-COUNTA(G$4308:G5564)+1,0))</f>
        <v>50</v>
      </c>
      <c r="D5565" s="497">
        <f t="shared" si="355"/>
        <v>775</v>
      </c>
      <c r="E5565" s="497">
        <f t="shared" ca="1" si="356"/>
        <v>1</v>
      </c>
      <c r="F5565" s="497">
        <f t="shared" ca="1" si="357"/>
        <v>58</v>
      </c>
      <c r="G5565" s="497"/>
      <c r="H5565" s="503" t="str">
        <f t="shared" ca="1" si="358"/>
        <v/>
      </c>
      <c r="I5565" s="503" t="str">
        <f t="shared" ca="1" si="359"/>
        <v/>
      </c>
      <c r="J5565" s="503" t="str">
        <f t="shared" ca="1" si="360"/>
        <v/>
      </c>
      <c r="K5565" s="503" t="str">
        <f t="shared" ca="1" si="361"/>
        <v/>
      </c>
      <c r="L5565" s="497"/>
      <c r="M5565" s="497"/>
      <c r="N5565" s="497"/>
      <c r="O5565" s="497"/>
      <c r="P5565" s="497">
        <f t="shared" si="362"/>
        <v>0</v>
      </c>
      <c r="Q5565" s="497"/>
    </row>
    <row r="5566" spans="1:17" x14ac:dyDescent="0.35">
      <c r="A5566" s="497" t="b">
        <f t="shared" ca="1" si="354"/>
        <v>0</v>
      </c>
      <c r="B5566" s="510" t="str">
        <f ca="1">IF(COUNTA(G$4308:G5565)=1,"",OFFSET(B5566,-COUNTA(G$4308:G5565)+1,0))</f>
        <v>a1b3p0000095SApAAM</v>
      </c>
      <c r="C5566" s="512">
        <f ca="1">IF(COUNTA(G$4308:G5565)=1,"",OFFSET(C5566,-COUNTA(G$4308:G5565)+1,0))</f>
        <v>50</v>
      </c>
      <c r="D5566" s="497">
        <f t="shared" si="355"/>
        <v>776</v>
      </c>
      <c r="E5566" s="497">
        <f t="shared" ca="1" si="356"/>
        <v>2</v>
      </c>
      <c r="F5566" s="497">
        <f t="shared" ca="1" si="357"/>
        <v>58</v>
      </c>
      <c r="G5566" s="497"/>
      <c r="H5566" s="503" t="str">
        <f t="shared" ca="1" si="358"/>
        <v/>
      </c>
      <c r="I5566" s="503" t="str">
        <f t="shared" ca="1" si="359"/>
        <v/>
      </c>
      <c r="J5566" s="503" t="str">
        <f t="shared" ca="1" si="360"/>
        <v/>
      </c>
      <c r="K5566" s="503" t="str">
        <f t="shared" ca="1" si="361"/>
        <v/>
      </c>
      <c r="L5566" s="497"/>
      <c r="M5566" s="497"/>
      <c r="N5566" s="497"/>
      <c r="O5566" s="497"/>
      <c r="P5566" s="497">
        <f t="shared" si="362"/>
        <v>0</v>
      </c>
      <c r="Q5566" s="497"/>
    </row>
    <row r="5567" spans="1:17" x14ac:dyDescent="0.35">
      <c r="A5567" s="497" t="b">
        <f t="shared" ca="1" si="354"/>
        <v>0</v>
      </c>
      <c r="B5567" s="510" t="str">
        <f ca="1">IF(COUNTA(G$4308:G5566)=1,"",OFFSET(B5567,-COUNTA(G$4308:G5566)+1,0))</f>
        <v>a1b3p0000095SDPAA2</v>
      </c>
      <c r="C5567" s="512">
        <f ca="1">IF(COUNTA(G$4308:G5566)=1,"",OFFSET(C5567,-COUNTA(G$4308:G5566)+1,0))</f>
        <v>50</v>
      </c>
      <c r="D5567" s="497">
        <f t="shared" si="355"/>
        <v>777</v>
      </c>
      <c r="E5567" s="497">
        <f t="shared" ca="1" si="356"/>
        <v>3</v>
      </c>
      <c r="F5567" s="497">
        <f t="shared" ca="1" si="357"/>
        <v>58</v>
      </c>
      <c r="G5567" s="497"/>
      <c r="H5567" s="503" t="str">
        <f t="shared" ca="1" si="358"/>
        <v/>
      </c>
      <c r="I5567" s="503" t="str">
        <f t="shared" ca="1" si="359"/>
        <v/>
      </c>
      <c r="J5567" s="503" t="str">
        <f t="shared" ca="1" si="360"/>
        <v/>
      </c>
      <c r="K5567" s="503" t="str">
        <f t="shared" ca="1" si="361"/>
        <v/>
      </c>
      <c r="L5567" s="497"/>
      <c r="M5567" s="497"/>
      <c r="N5567" s="497"/>
      <c r="O5567" s="497"/>
      <c r="P5567" s="497">
        <f t="shared" si="362"/>
        <v>0</v>
      </c>
      <c r="Q5567" s="497"/>
    </row>
    <row r="5568" spans="1:17" x14ac:dyDescent="0.35">
      <c r="A5568" s="497" t="b">
        <f t="shared" ca="1" si="354"/>
        <v>0</v>
      </c>
      <c r="B5568" s="510" t="str">
        <f ca="1">IF(COUNTA(G$4308:G5567)=1,"",OFFSET(B5568,-COUNTA(G$4308:G5567)+1,0))</f>
        <v>a1b3p0000095SFzAAM</v>
      </c>
      <c r="C5568" s="512">
        <f ca="1">IF(COUNTA(G$4308:G5567)=1,"",OFFSET(C5568,-COUNTA(G$4308:G5567)+1,0))</f>
        <v>50</v>
      </c>
      <c r="D5568" s="497">
        <f t="shared" si="355"/>
        <v>778</v>
      </c>
      <c r="E5568" s="497">
        <f t="shared" ca="1" si="356"/>
        <v>4</v>
      </c>
      <c r="F5568" s="497">
        <f t="shared" ca="1" si="357"/>
        <v>58</v>
      </c>
      <c r="G5568" s="497"/>
      <c r="H5568" s="503" t="str">
        <f t="shared" ca="1" si="358"/>
        <v/>
      </c>
      <c r="I5568" s="503" t="str">
        <f t="shared" ca="1" si="359"/>
        <v/>
      </c>
      <c r="J5568" s="503" t="str">
        <f t="shared" ca="1" si="360"/>
        <v/>
      </c>
      <c r="K5568" s="503" t="str">
        <f t="shared" ca="1" si="361"/>
        <v/>
      </c>
      <c r="L5568" s="497"/>
      <c r="M5568" s="497"/>
      <c r="N5568" s="497"/>
      <c r="O5568" s="497"/>
      <c r="P5568" s="497">
        <f t="shared" si="362"/>
        <v>0</v>
      </c>
      <c r="Q5568" s="497"/>
    </row>
    <row r="5569" spans="1:17" x14ac:dyDescent="0.35">
      <c r="A5569" s="497" t="b">
        <f t="shared" ca="1" si="354"/>
        <v>0</v>
      </c>
      <c r="B5569" s="510" t="str">
        <f ca="1">IF(COUNTA(G$4308:G5568)=1,"",OFFSET(B5569,-COUNTA(G$4308:G5568)+1,0))</f>
        <v>a1b3p0000095SIZAA2</v>
      </c>
      <c r="C5569" s="512">
        <f ca="1">IF(COUNTA(G$4308:G5568)=1,"",OFFSET(C5569,-COUNTA(G$4308:G5568)+1,0))</f>
        <v>50</v>
      </c>
      <c r="D5569" s="497">
        <f t="shared" si="355"/>
        <v>779</v>
      </c>
      <c r="E5569" s="497">
        <f t="shared" ca="1" si="356"/>
        <v>5</v>
      </c>
      <c r="F5569" s="497">
        <f t="shared" ca="1" si="357"/>
        <v>58</v>
      </c>
      <c r="G5569" s="497"/>
      <c r="H5569" s="503" t="str">
        <f t="shared" ca="1" si="358"/>
        <v/>
      </c>
      <c r="I5569" s="503" t="str">
        <f t="shared" ca="1" si="359"/>
        <v/>
      </c>
      <c r="J5569" s="503" t="str">
        <f t="shared" ca="1" si="360"/>
        <v/>
      </c>
      <c r="K5569" s="503" t="str">
        <f t="shared" ca="1" si="361"/>
        <v/>
      </c>
      <c r="L5569" s="497"/>
      <c r="M5569" s="497"/>
      <c r="N5569" s="497"/>
      <c r="O5569" s="497"/>
      <c r="P5569" s="497">
        <f t="shared" si="362"/>
        <v>0</v>
      </c>
      <c r="Q5569" s="497"/>
    </row>
    <row r="5570" spans="1:17" x14ac:dyDescent="0.35">
      <c r="A5570" s="497" t="b">
        <f t="shared" ca="1" si="354"/>
        <v>0</v>
      </c>
      <c r="B5570" s="510" t="str">
        <f ca="1">IF(COUNTA(G$4308:G5569)=1,"",OFFSET(B5570,-COUNTA(G$4308:G5569)+1,0))</f>
        <v>a1b3p0000095SL9AAM</v>
      </c>
      <c r="C5570" s="512">
        <f ca="1">IF(COUNTA(G$4308:G5569)=1,"",OFFSET(C5570,-COUNTA(G$4308:G5569)+1,0))</f>
        <v>50</v>
      </c>
      <c r="D5570" s="497">
        <f t="shared" si="355"/>
        <v>780</v>
      </c>
      <c r="E5570" s="497">
        <f t="shared" ca="1" si="356"/>
        <v>6</v>
      </c>
      <c r="F5570" s="497">
        <f t="shared" ca="1" si="357"/>
        <v>58</v>
      </c>
      <c r="G5570" s="497"/>
      <c r="H5570" s="503" t="str">
        <f t="shared" ca="1" si="358"/>
        <v/>
      </c>
      <c r="I5570" s="503" t="str">
        <f t="shared" ca="1" si="359"/>
        <v/>
      </c>
      <c r="J5570" s="503" t="str">
        <f t="shared" ca="1" si="360"/>
        <v/>
      </c>
      <c r="K5570" s="503" t="str">
        <f t="shared" ca="1" si="361"/>
        <v/>
      </c>
      <c r="L5570" s="497"/>
      <c r="M5570" s="497"/>
      <c r="N5570" s="497"/>
      <c r="O5570" s="497"/>
      <c r="P5570" s="497">
        <f t="shared" si="362"/>
        <v>0</v>
      </c>
      <c r="Q5570" s="497"/>
    </row>
    <row r="5571" spans="1:17" x14ac:dyDescent="0.35">
      <c r="A5571" s="497" t="b">
        <f t="shared" ca="1" si="354"/>
        <v>0</v>
      </c>
      <c r="B5571" s="510" t="str">
        <f ca="1">IF(COUNTA(G$4308:G5570)=1,"",OFFSET(B5571,-COUNTA(G$4308:G5570)+1,0))</f>
        <v>a1b3p0000095S8GAAU</v>
      </c>
      <c r="C5571" s="512">
        <f ca="1">IF(COUNTA(G$4308:G5570)=1,"",OFFSET(C5571,-COUNTA(G$4308:G5570)+1,0))</f>
        <v>51</v>
      </c>
      <c r="D5571" s="497">
        <f t="shared" si="355"/>
        <v>781</v>
      </c>
      <c r="E5571" s="497">
        <f t="shared" ca="1" si="356"/>
        <v>1</v>
      </c>
      <c r="F5571" s="497">
        <f t="shared" ca="1" si="357"/>
        <v>59</v>
      </c>
      <c r="G5571" s="497"/>
      <c r="H5571" s="503" t="str">
        <f t="shared" ca="1" si="358"/>
        <v/>
      </c>
      <c r="I5571" s="503" t="str">
        <f t="shared" ca="1" si="359"/>
        <v/>
      </c>
      <c r="J5571" s="503" t="str">
        <f t="shared" ca="1" si="360"/>
        <v/>
      </c>
      <c r="K5571" s="503" t="str">
        <f t="shared" ca="1" si="361"/>
        <v/>
      </c>
      <c r="L5571" s="497"/>
      <c r="M5571" s="497"/>
      <c r="N5571" s="497"/>
      <c r="O5571" s="497"/>
      <c r="P5571" s="497">
        <f t="shared" si="362"/>
        <v>0</v>
      </c>
      <c r="Q5571" s="497"/>
    </row>
    <row r="5572" spans="1:17" x14ac:dyDescent="0.35">
      <c r="A5572" s="497" t="b">
        <f t="shared" ca="1" si="354"/>
        <v>0</v>
      </c>
      <c r="B5572" s="510" t="str">
        <f ca="1">IF(COUNTA(G$4308:G5571)=1,"",OFFSET(B5572,-COUNTA(G$4308:G5571)+1,0))</f>
        <v>a1b3p0000095SAqAAM</v>
      </c>
      <c r="C5572" s="512">
        <f ca="1">IF(COUNTA(G$4308:G5571)=1,"",OFFSET(C5572,-COUNTA(G$4308:G5571)+1,0))</f>
        <v>51</v>
      </c>
      <c r="D5572" s="497">
        <f t="shared" si="355"/>
        <v>782</v>
      </c>
      <c r="E5572" s="497">
        <f t="shared" ca="1" si="356"/>
        <v>2</v>
      </c>
      <c r="F5572" s="497">
        <f t="shared" ca="1" si="357"/>
        <v>59</v>
      </c>
      <c r="G5572" s="497"/>
      <c r="H5572" s="503" t="str">
        <f t="shared" ca="1" si="358"/>
        <v/>
      </c>
      <c r="I5572" s="503" t="str">
        <f t="shared" ca="1" si="359"/>
        <v/>
      </c>
      <c r="J5572" s="503" t="str">
        <f t="shared" ca="1" si="360"/>
        <v/>
      </c>
      <c r="K5572" s="503" t="str">
        <f t="shared" ca="1" si="361"/>
        <v/>
      </c>
      <c r="L5572" s="497"/>
      <c r="M5572" s="497"/>
      <c r="N5572" s="497"/>
      <c r="O5572" s="497"/>
      <c r="P5572" s="497">
        <f t="shared" si="362"/>
        <v>0</v>
      </c>
      <c r="Q5572" s="497"/>
    </row>
    <row r="5573" spans="1:17" x14ac:dyDescent="0.35">
      <c r="A5573" s="497" t="b">
        <f t="shared" ca="1" si="354"/>
        <v>0</v>
      </c>
      <c r="B5573" s="510" t="str">
        <f ca="1">IF(COUNTA(G$4308:G5572)=1,"",OFFSET(B5573,-COUNTA(G$4308:G5572)+1,0))</f>
        <v>a1b3p0000095SDQAA2</v>
      </c>
      <c r="C5573" s="512">
        <f ca="1">IF(COUNTA(G$4308:G5572)=1,"",OFFSET(C5573,-COUNTA(G$4308:G5572)+1,0))</f>
        <v>51</v>
      </c>
      <c r="D5573" s="497">
        <f t="shared" si="355"/>
        <v>783</v>
      </c>
      <c r="E5573" s="497">
        <f t="shared" ca="1" si="356"/>
        <v>3</v>
      </c>
      <c r="F5573" s="497">
        <f t="shared" ca="1" si="357"/>
        <v>59</v>
      </c>
      <c r="G5573" s="497"/>
      <c r="H5573" s="503" t="str">
        <f t="shared" ca="1" si="358"/>
        <v/>
      </c>
      <c r="I5573" s="503" t="str">
        <f t="shared" ca="1" si="359"/>
        <v/>
      </c>
      <c r="J5573" s="503" t="str">
        <f t="shared" ca="1" si="360"/>
        <v/>
      </c>
      <c r="K5573" s="503" t="str">
        <f t="shared" ca="1" si="361"/>
        <v/>
      </c>
      <c r="L5573" s="497"/>
      <c r="M5573" s="497"/>
      <c r="N5573" s="497"/>
      <c r="O5573" s="497"/>
      <c r="P5573" s="497">
        <f t="shared" si="362"/>
        <v>0</v>
      </c>
      <c r="Q5573" s="497"/>
    </row>
    <row r="5574" spans="1:17" x14ac:dyDescent="0.35">
      <c r="A5574" s="497" t="b">
        <f t="shared" ca="1" si="354"/>
        <v>0</v>
      </c>
      <c r="B5574" s="510" t="str">
        <f ca="1">IF(COUNTA(G$4308:G5573)=1,"",OFFSET(B5574,-COUNTA(G$4308:G5573)+1,0))</f>
        <v>a1b3p0000095SG0AAM</v>
      </c>
      <c r="C5574" s="512">
        <f ca="1">IF(COUNTA(G$4308:G5573)=1,"",OFFSET(C5574,-COUNTA(G$4308:G5573)+1,0))</f>
        <v>51</v>
      </c>
      <c r="D5574" s="497">
        <f t="shared" si="355"/>
        <v>784</v>
      </c>
      <c r="E5574" s="497">
        <f t="shared" ca="1" si="356"/>
        <v>4</v>
      </c>
      <c r="F5574" s="497">
        <f t="shared" ca="1" si="357"/>
        <v>59</v>
      </c>
      <c r="G5574" s="497"/>
      <c r="H5574" s="503" t="str">
        <f t="shared" ca="1" si="358"/>
        <v/>
      </c>
      <c r="I5574" s="503" t="str">
        <f t="shared" ca="1" si="359"/>
        <v/>
      </c>
      <c r="J5574" s="503" t="str">
        <f t="shared" ca="1" si="360"/>
        <v/>
      </c>
      <c r="K5574" s="503" t="str">
        <f t="shared" ca="1" si="361"/>
        <v/>
      </c>
      <c r="L5574" s="497"/>
      <c r="M5574" s="497"/>
      <c r="N5574" s="497"/>
      <c r="O5574" s="497"/>
      <c r="P5574" s="497">
        <f t="shared" si="362"/>
        <v>0</v>
      </c>
      <c r="Q5574" s="497"/>
    </row>
    <row r="5575" spans="1:17" x14ac:dyDescent="0.35">
      <c r="A5575" s="497" t="b">
        <f t="shared" ca="1" si="354"/>
        <v>0</v>
      </c>
      <c r="B5575" s="510" t="str">
        <f ca="1">IF(COUNTA(G$4308:G5574)=1,"",OFFSET(B5575,-COUNTA(G$4308:G5574)+1,0))</f>
        <v>a1b3p0000095SIaAAM</v>
      </c>
      <c r="C5575" s="512">
        <f ca="1">IF(COUNTA(G$4308:G5574)=1,"",OFFSET(C5575,-COUNTA(G$4308:G5574)+1,0))</f>
        <v>51</v>
      </c>
      <c r="D5575" s="497">
        <f t="shared" si="355"/>
        <v>785</v>
      </c>
      <c r="E5575" s="497">
        <f t="shared" ca="1" si="356"/>
        <v>5</v>
      </c>
      <c r="F5575" s="497">
        <f t="shared" ca="1" si="357"/>
        <v>59</v>
      </c>
      <c r="G5575" s="497"/>
      <c r="H5575" s="503" t="str">
        <f t="shared" ca="1" si="358"/>
        <v/>
      </c>
      <c r="I5575" s="503" t="str">
        <f t="shared" ca="1" si="359"/>
        <v/>
      </c>
      <c r="J5575" s="503" t="str">
        <f t="shared" ca="1" si="360"/>
        <v/>
      </c>
      <c r="K5575" s="503" t="str">
        <f t="shared" ca="1" si="361"/>
        <v/>
      </c>
      <c r="L5575" s="497"/>
      <c r="M5575" s="497"/>
      <c r="N5575" s="497"/>
      <c r="O5575" s="497"/>
      <c r="P5575" s="497">
        <f t="shared" si="362"/>
        <v>0</v>
      </c>
      <c r="Q5575" s="497"/>
    </row>
    <row r="5576" spans="1:17" x14ac:dyDescent="0.35">
      <c r="A5576" s="497" t="b">
        <f t="shared" ca="1" si="354"/>
        <v>0</v>
      </c>
      <c r="B5576" s="510" t="str">
        <f ca="1">IF(COUNTA(G$4308:G5575)=1,"",OFFSET(B5576,-COUNTA(G$4308:G5575)+1,0))</f>
        <v>a1b3p0000095SLAAA2</v>
      </c>
      <c r="C5576" s="512">
        <f ca="1">IF(COUNTA(G$4308:G5575)=1,"",OFFSET(C5576,-COUNTA(G$4308:G5575)+1,0))</f>
        <v>51</v>
      </c>
      <c r="D5576" s="497">
        <f t="shared" si="355"/>
        <v>786</v>
      </c>
      <c r="E5576" s="497">
        <f t="shared" ca="1" si="356"/>
        <v>6</v>
      </c>
      <c r="F5576" s="497">
        <f t="shared" ca="1" si="357"/>
        <v>59</v>
      </c>
      <c r="G5576" s="497"/>
      <c r="H5576" s="503" t="str">
        <f t="shared" ca="1" si="358"/>
        <v/>
      </c>
      <c r="I5576" s="503" t="str">
        <f t="shared" ca="1" si="359"/>
        <v/>
      </c>
      <c r="J5576" s="503" t="str">
        <f t="shared" ca="1" si="360"/>
        <v/>
      </c>
      <c r="K5576" s="503" t="str">
        <f t="shared" ca="1" si="361"/>
        <v/>
      </c>
      <c r="L5576" s="497"/>
      <c r="M5576" s="497"/>
      <c r="N5576" s="497"/>
      <c r="O5576" s="497"/>
      <c r="P5576" s="497">
        <f t="shared" si="362"/>
        <v>0</v>
      </c>
      <c r="Q5576" s="497"/>
    </row>
    <row r="5577" spans="1:17" x14ac:dyDescent="0.35">
      <c r="A5577" s="497" t="b">
        <f t="shared" ca="1" si="354"/>
        <v>0</v>
      </c>
      <c r="B5577" s="510" t="str">
        <f ca="1">IF(COUNTA(G$4308:G5576)=1,"",OFFSET(B5577,-COUNTA(G$4308:G5576)+1,0))</f>
        <v>a1b3p0000095S8HAAU</v>
      </c>
      <c r="C5577" s="512">
        <f ca="1">IF(COUNTA(G$4308:G5576)=1,"",OFFSET(C5577,-COUNTA(G$4308:G5576)+1,0))</f>
        <v>52</v>
      </c>
      <c r="D5577" s="497">
        <f t="shared" si="355"/>
        <v>787</v>
      </c>
      <c r="E5577" s="497">
        <f t="shared" ca="1" si="356"/>
        <v>1</v>
      </c>
      <c r="F5577" s="497">
        <f t="shared" ca="1" si="357"/>
        <v>60</v>
      </c>
      <c r="G5577" s="497"/>
      <c r="H5577" s="503" t="str">
        <f t="shared" ca="1" si="358"/>
        <v/>
      </c>
      <c r="I5577" s="503" t="str">
        <f t="shared" ca="1" si="359"/>
        <v/>
      </c>
      <c r="J5577" s="503" t="str">
        <f t="shared" ca="1" si="360"/>
        <v/>
      </c>
      <c r="K5577" s="503" t="str">
        <f t="shared" ca="1" si="361"/>
        <v/>
      </c>
      <c r="L5577" s="497"/>
      <c r="M5577" s="497"/>
      <c r="N5577" s="497"/>
      <c r="O5577" s="497"/>
      <c r="P5577" s="497">
        <f t="shared" si="362"/>
        <v>0</v>
      </c>
      <c r="Q5577" s="497"/>
    </row>
    <row r="5578" spans="1:17" x14ac:dyDescent="0.35">
      <c r="A5578" s="497" t="b">
        <f t="shared" ca="1" si="354"/>
        <v>0</v>
      </c>
      <c r="B5578" s="510" t="str">
        <f ca="1">IF(COUNTA(G$4308:G5577)=1,"",OFFSET(B5578,-COUNTA(G$4308:G5577)+1,0))</f>
        <v>a1b3p0000095SArAAM</v>
      </c>
      <c r="C5578" s="512">
        <f ca="1">IF(COUNTA(G$4308:G5577)=1,"",OFFSET(C5578,-COUNTA(G$4308:G5577)+1,0))</f>
        <v>52</v>
      </c>
      <c r="D5578" s="497">
        <f t="shared" si="355"/>
        <v>788</v>
      </c>
      <c r="E5578" s="497">
        <f t="shared" ca="1" si="356"/>
        <v>2</v>
      </c>
      <c r="F5578" s="497">
        <f t="shared" ca="1" si="357"/>
        <v>60</v>
      </c>
      <c r="G5578" s="497"/>
      <c r="H5578" s="503" t="str">
        <f t="shared" ca="1" si="358"/>
        <v/>
      </c>
      <c r="I5578" s="503" t="str">
        <f t="shared" ca="1" si="359"/>
        <v/>
      </c>
      <c r="J5578" s="503" t="str">
        <f t="shared" ca="1" si="360"/>
        <v/>
      </c>
      <c r="K5578" s="503" t="str">
        <f t="shared" ca="1" si="361"/>
        <v/>
      </c>
      <c r="L5578" s="497"/>
      <c r="M5578" s="497"/>
      <c r="N5578" s="497"/>
      <c r="O5578" s="497"/>
      <c r="P5578" s="497">
        <f t="shared" si="362"/>
        <v>0</v>
      </c>
      <c r="Q5578" s="497"/>
    </row>
    <row r="5579" spans="1:17" x14ac:dyDescent="0.35">
      <c r="A5579" s="497" t="b">
        <f t="shared" ca="1" si="354"/>
        <v>0</v>
      </c>
      <c r="B5579" s="510" t="str">
        <f ca="1">IF(COUNTA(G$4308:G5578)=1,"",OFFSET(B5579,-COUNTA(G$4308:G5578)+1,0))</f>
        <v>a1b3p0000095SDRAA2</v>
      </c>
      <c r="C5579" s="512">
        <f ca="1">IF(COUNTA(G$4308:G5578)=1,"",OFFSET(C5579,-COUNTA(G$4308:G5578)+1,0))</f>
        <v>52</v>
      </c>
      <c r="D5579" s="497">
        <f t="shared" si="355"/>
        <v>789</v>
      </c>
      <c r="E5579" s="497">
        <f t="shared" ca="1" si="356"/>
        <v>3</v>
      </c>
      <c r="F5579" s="497">
        <f t="shared" ca="1" si="357"/>
        <v>60</v>
      </c>
      <c r="G5579" s="497"/>
      <c r="H5579" s="503" t="str">
        <f t="shared" ca="1" si="358"/>
        <v/>
      </c>
      <c r="I5579" s="503" t="str">
        <f t="shared" ca="1" si="359"/>
        <v/>
      </c>
      <c r="J5579" s="503" t="str">
        <f t="shared" ca="1" si="360"/>
        <v/>
      </c>
      <c r="K5579" s="503" t="str">
        <f t="shared" ca="1" si="361"/>
        <v/>
      </c>
      <c r="L5579" s="497"/>
      <c r="M5579" s="497"/>
      <c r="N5579" s="497"/>
      <c r="O5579" s="497"/>
      <c r="P5579" s="497">
        <f t="shared" si="362"/>
        <v>0</v>
      </c>
      <c r="Q5579" s="497"/>
    </row>
    <row r="5580" spans="1:17" x14ac:dyDescent="0.35">
      <c r="A5580" s="497" t="b">
        <f t="shared" ca="1" si="354"/>
        <v>0</v>
      </c>
      <c r="B5580" s="510" t="str">
        <f ca="1">IF(COUNTA(G$4308:G5579)=1,"",OFFSET(B5580,-COUNTA(G$4308:G5579)+1,0))</f>
        <v>a1b3p0000095SG1AAM</v>
      </c>
      <c r="C5580" s="512">
        <f ca="1">IF(COUNTA(G$4308:G5579)=1,"",OFFSET(C5580,-COUNTA(G$4308:G5579)+1,0))</f>
        <v>52</v>
      </c>
      <c r="D5580" s="497">
        <f t="shared" si="355"/>
        <v>790</v>
      </c>
      <c r="E5580" s="497">
        <f t="shared" ca="1" si="356"/>
        <v>4</v>
      </c>
      <c r="F5580" s="497">
        <f t="shared" ca="1" si="357"/>
        <v>60</v>
      </c>
      <c r="G5580" s="497"/>
      <c r="H5580" s="503" t="str">
        <f t="shared" ca="1" si="358"/>
        <v/>
      </c>
      <c r="I5580" s="503" t="str">
        <f t="shared" ca="1" si="359"/>
        <v/>
      </c>
      <c r="J5580" s="503" t="str">
        <f t="shared" ca="1" si="360"/>
        <v/>
      </c>
      <c r="K5580" s="503" t="str">
        <f t="shared" ca="1" si="361"/>
        <v/>
      </c>
      <c r="L5580" s="497"/>
      <c r="M5580" s="497"/>
      <c r="N5580" s="497"/>
      <c r="O5580" s="497"/>
      <c r="P5580" s="497">
        <f t="shared" si="362"/>
        <v>0</v>
      </c>
      <c r="Q5580" s="497"/>
    </row>
    <row r="5581" spans="1:17" x14ac:dyDescent="0.35">
      <c r="A5581" s="497" t="b">
        <f t="shared" ca="1" si="354"/>
        <v>0</v>
      </c>
      <c r="B5581" s="510" t="str">
        <f ca="1">IF(COUNTA(G$4308:G5580)=1,"",OFFSET(B5581,-COUNTA(G$4308:G5580)+1,0))</f>
        <v>a1b3p0000095SIbAAM</v>
      </c>
      <c r="C5581" s="512">
        <f ca="1">IF(COUNTA(G$4308:G5580)=1,"",OFFSET(C5581,-COUNTA(G$4308:G5580)+1,0))</f>
        <v>52</v>
      </c>
      <c r="D5581" s="497">
        <f t="shared" si="355"/>
        <v>791</v>
      </c>
      <c r="E5581" s="497">
        <f t="shared" ca="1" si="356"/>
        <v>5</v>
      </c>
      <c r="F5581" s="497">
        <f t="shared" ca="1" si="357"/>
        <v>60</v>
      </c>
      <c r="G5581" s="497"/>
      <c r="H5581" s="503" t="str">
        <f t="shared" ca="1" si="358"/>
        <v/>
      </c>
      <c r="I5581" s="503" t="str">
        <f t="shared" ca="1" si="359"/>
        <v/>
      </c>
      <c r="J5581" s="503" t="str">
        <f t="shared" ca="1" si="360"/>
        <v/>
      </c>
      <c r="K5581" s="503" t="str">
        <f t="shared" ca="1" si="361"/>
        <v/>
      </c>
      <c r="L5581" s="497"/>
      <c r="M5581" s="497"/>
      <c r="N5581" s="497"/>
      <c r="O5581" s="497"/>
      <c r="P5581" s="497">
        <f t="shared" si="362"/>
        <v>0</v>
      </c>
      <c r="Q5581" s="497"/>
    </row>
    <row r="5582" spans="1:17" x14ac:dyDescent="0.35">
      <c r="A5582" s="497" t="b">
        <f t="shared" ca="1" si="354"/>
        <v>0</v>
      </c>
      <c r="B5582" s="510" t="str">
        <f ca="1">IF(COUNTA(G$4308:G5581)=1,"",OFFSET(B5582,-COUNTA(G$4308:G5581)+1,0))</f>
        <v>a1b3p0000095SLBAA2</v>
      </c>
      <c r="C5582" s="512">
        <f ca="1">IF(COUNTA(G$4308:G5581)=1,"",OFFSET(C5582,-COUNTA(G$4308:G5581)+1,0))</f>
        <v>52</v>
      </c>
      <c r="D5582" s="497">
        <f t="shared" si="355"/>
        <v>792</v>
      </c>
      <c r="E5582" s="497">
        <f t="shared" ca="1" si="356"/>
        <v>6</v>
      </c>
      <c r="F5582" s="497">
        <f t="shared" ca="1" si="357"/>
        <v>60</v>
      </c>
      <c r="G5582" s="497"/>
      <c r="H5582" s="503" t="str">
        <f t="shared" ca="1" si="358"/>
        <v/>
      </c>
      <c r="I5582" s="503" t="str">
        <f t="shared" ca="1" si="359"/>
        <v/>
      </c>
      <c r="J5582" s="503" t="str">
        <f t="shared" ca="1" si="360"/>
        <v/>
      </c>
      <c r="K5582" s="503" t="str">
        <f t="shared" ca="1" si="361"/>
        <v/>
      </c>
      <c r="L5582" s="497"/>
      <c r="M5582" s="497"/>
      <c r="N5582" s="497"/>
      <c r="O5582" s="497"/>
      <c r="P5582" s="497">
        <f t="shared" si="362"/>
        <v>0</v>
      </c>
      <c r="Q5582" s="497"/>
    </row>
    <row r="5583" spans="1:17" x14ac:dyDescent="0.35">
      <c r="A5583" s="497" t="b">
        <f t="shared" ca="1" si="354"/>
        <v>0</v>
      </c>
      <c r="B5583" s="510" t="str">
        <f ca="1">IF(COUNTA(G$4308:G5582)=1,"",OFFSET(B5583,-COUNTA(G$4308:G5582)+1,0))</f>
        <v>a1b3p0000095S8IAAU</v>
      </c>
      <c r="C5583" s="512">
        <f ca="1">IF(COUNTA(G$4308:G5582)=1,"",OFFSET(C5583,-COUNTA(G$4308:G5582)+1,0))</f>
        <v>53</v>
      </c>
      <c r="D5583" s="497">
        <f t="shared" si="355"/>
        <v>793</v>
      </c>
      <c r="E5583" s="497">
        <f t="shared" ca="1" si="356"/>
        <v>1</v>
      </c>
      <c r="F5583" s="497">
        <f t="shared" ca="1" si="357"/>
        <v>61</v>
      </c>
      <c r="G5583" s="497"/>
      <c r="H5583" s="503" t="str">
        <f t="shared" ca="1" si="358"/>
        <v/>
      </c>
      <c r="I5583" s="503" t="str">
        <f t="shared" ca="1" si="359"/>
        <v/>
      </c>
      <c r="J5583" s="503" t="str">
        <f t="shared" ca="1" si="360"/>
        <v/>
      </c>
      <c r="K5583" s="503" t="str">
        <f t="shared" ca="1" si="361"/>
        <v/>
      </c>
      <c r="L5583" s="497"/>
      <c r="M5583" s="497"/>
      <c r="N5583" s="497"/>
      <c r="O5583" s="497"/>
      <c r="P5583" s="497">
        <f t="shared" si="362"/>
        <v>0</v>
      </c>
      <c r="Q5583" s="497"/>
    </row>
    <row r="5584" spans="1:17" x14ac:dyDescent="0.35">
      <c r="A5584" s="497" t="b">
        <f t="shared" ca="1" si="354"/>
        <v>0</v>
      </c>
      <c r="B5584" s="510" t="str">
        <f ca="1">IF(COUNTA(G$4308:G5583)=1,"",OFFSET(B5584,-COUNTA(G$4308:G5583)+1,0))</f>
        <v>a1b3p0000095SAsAAM</v>
      </c>
      <c r="C5584" s="512">
        <f ca="1">IF(COUNTA(G$4308:G5583)=1,"",OFFSET(C5584,-COUNTA(G$4308:G5583)+1,0))</f>
        <v>53</v>
      </c>
      <c r="D5584" s="497">
        <f t="shared" si="355"/>
        <v>794</v>
      </c>
      <c r="E5584" s="497">
        <f t="shared" ca="1" si="356"/>
        <v>2</v>
      </c>
      <c r="F5584" s="497">
        <f t="shared" ca="1" si="357"/>
        <v>61</v>
      </c>
      <c r="G5584" s="497"/>
      <c r="H5584" s="503" t="str">
        <f t="shared" ca="1" si="358"/>
        <v/>
      </c>
      <c r="I5584" s="503" t="str">
        <f t="shared" ca="1" si="359"/>
        <v/>
      </c>
      <c r="J5584" s="503" t="str">
        <f t="shared" ca="1" si="360"/>
        <v/>
      </c>
      <c r="K5584" s="503" t="str">
        <f t="shared" ca="1" si="361"/>
        <v/>
      </c>
      <c r="L5584" s="497"/>
      <c r="M5584" s="497"/>
      <c r="N5584" s="497"/>
      <c r="O5584" s="497"/>
      <c r="P5584" s="497">
        <f t="shared" si="362"/>
        <v>0</v>
      </c>
      <c r="Q5584" s="497"/>
    </row>
    <row r="5585" spans="1:17" x14ac:dyDescent="0.35">
      <c r="A5585" s="497" t="b">
        <f t="shared" ca="1" si="354"/>
        <v>0</v>
      </c>
      <c r="B5585" s="510" t="str">
        <f ca="1">IF(COUNTA(G$4308:G5584)=1,"",OFFSET(B5585,-COUNTA(G$4308:G5584)+1,0))</f>
        <v>a1b3p0000095SDSAA2</v>
      </c>
      <c r="C5585" s="512">
        <f ca="1">IF(COUNTA(G$4308:G5584)=1,"",OFFSET(C5585,-COUNTA(G$4308:G5584)+1,0))</f>
        <v>53</v>
      </c>
      <c r="D5585" s="497">
        <f t="shared" si="355"/>
        <v>795</v>
      </c>
      <c r="E5585" s="497">
        <f t="shared" ca="1" si="356"/>
        <v>3</v>
      </c>
      <c r="F5585" s="497">
        <f t="shared" ca="1" si="357"/>
        <v>61</v>
      </c>
      <c r="G5585" s="497"/>
      <c r="H5585" s="503" t="str">
        <f t="shared" ca="1" si="358"/>
        <v/>
      </c>
      <c r="I5585" s="503" t="str">
        <f t="shared" ca="1" si="359"/>
        <v/>
      </c>
      <c r="J5585" s="503" t="str">
        <f t="shared" ca="1" si="360"/>
        <v/>
      </c>
      <c r="K5585" s="503" t="str">
        <f t="shared" ca="1" si="361"/>
        <v/>
      </c>
      <c r="L5585" s="497"/>
      <c r="M5585" s="497"/>
      <c r="N5585" s="497"/>
      <c r="O5585" s="497"/>
      <c r="P5585" s="497">
        <f t="shared" si="362"/>
        <v>0</v>
      </c>
      <c r="Q5585" s="497"/>
    </row>
    <row r="5586" spans="1:17" x14ac:dyDescent="0.35">
      <c r="A5586" s="497" t="b">
        <f t="shared" ca="1" si="354"/>
        <v>0</v>
      </c>
      <c r="B5586" s="510" t="str">
        <f ca="1">IF(COUNTA(G$4308:G5585)=1,"",OFFSET(B5586,-COUNTA(G$4308:G5585)+1,0))</f>
        <v>a1b3p0000095SG2AAM</v>
      </c>
      <c r="C5586" s="512">
        <f ca="1">IF(COUNTA(G$4308:G5585)=1,"",OFFSET(C5586,-COUNTA(G$4308:G5585)+1,0))</f>
        <v>53</v>
      </c>
      <c r="D5586" s="497">
        <f t="shared" si="355"/>
        <v>796</v>
      </c>
      <c r="E5586" s="497">
        <f t="shared" ca="1" si="356"/>
        <v>4</v>
      </c>
      <c r="F5586" s="497">
        <f t="shared" ca="1" si="357"/>
        <v>61</v>
      </c>
      <c r="G5586" s="497"/>
      <c r="H5586" s="503" t="str">
        <f t="shared" ca="1" si="358"/>
        <v/>
      </c>
      <c r="I5586" s="503" t="str">
        <f t="shared" ca="1" si="359"/>
        <v/>
      </c>
      <c r="J5586" s="503" t="str">
        <f t="shared" ca="1" si="360"/>
        <v/>
      </c>
      <c r="K5586" s="503" t="str">
        <f t="shared" ca="1" si="361"/>
        <v/>
      </c>
      <c r="L5586" s="497"/>
      <c r="M5586" s="497"/>
      <c r="N5586" s="497"/>
      <c r="O5586" s="497"/>
      <c r="P5586" s="497">
        <f t="shared" si="362"/>
        <v>0</v>
      </c>
      <c r="Q5586" s="497"/>
    </row>
    <row r="5587" spans="1:17" x14ac:dyDescent="0.35">
      <c r="A5587" s="497" t="b">
        <f t="shared" ca="1" si="354"/>
        <v>0</v>
      </c>
      <c r="B5587" s="510" t="str">
        <f ca="1">IF(COUNTA(G$4308:G5586)=1,"",OFFSET(B5587,-COUNTA(G$4308:G5586)+1,0))</f>
        <v>a1b3p0000095SIcAAM</v>
      </c>
      <c r="C5587" s="512">
        <f ca="1">IF(COUNTA(G$4308:G5586)=1,"",OFFSET(C5587,-COUNTA(G$4308:G5586)+1,0))</f>
        <v>53</v>
      </c>
      <c r="D5587" s="497">
        <f t="shared" si="355"/>
        <v>797</v>
      </c>
      <c r="E5587" s="497">
        <f t="shared" ca="1" si="356"/>
        <v>5</v>
      </c>
      <c r="F5587" s="497">
        <f t="shared" ca="1" si="357"/>
        <v>61</v>
      </c>
      <c r="G5587" s="497"/>
      <c r="H5587" s="503" t="str">
        <f t="shared" ca="1" si="358"/>
        <v/>
      </c>
      <c r="I5587" s="503" t="str">
        <f t="shared" ca="1" si="359"/>
        <v/>
      </c>
      <c r="J5587" s="503" t="str">
        <f t="shared" ca="1" si="360"/>
        <v/>
      </c>
      <c r="K5587" s="503" t="str">
        <f t="shared" ca="1" si="361"/>
        <v/>
      </c>
      <c r="L5587" s="497"/>
      <c r="M5587" s="497"/>
      <c r="N5587" s="497"/>
      <c r="O5587" s="497"/>
      <c r="P5587" s="497">
        <f t="shared" si="362"/>
        <v>0</v>
      </c>
      <c r="Q5587" s="497"/>
    </row>
    <row r="5588" spans="1:17" x14ac:dyDescent="0.35">
      <c r="A5588" s="497" t="b">
        <f t="shared" ca="1" si="354"/>
        <v>0</v>
      </c>
      <c r="B5588" s="510" t="str">
        <f ca="1">IF(COUNTA(G$4308:G5587)=1,"",OFFSET(B5588,-COUNTA(G$4308:G5587)+1,0))</f>
        <v>a1b3p0000095SLCAA2</v>
      </c>
      <c r="C5588" s="512">
        <f ca="1">IF(COUNTA(G$4308:G5587)=1,"",OFFSET(C5588,-COUNTA(G$4308:G5587)+1,0))</f>
        <v>53</v>
      </c>
      <c r="D5588" s="497">
        <f t="shared" si="355"/>
        <v>798</v>
      </c>
      <c r="E5588" s="497">
        <f t="shared" ca="1" si="356"/>
        <v>6</v>
      </c>
      <c r="F5588" s="497">
        <f t="shared" ca="1" si="357"/>
        <v>61</v>
      </c>
      <c r="G5588" s="497"/>
      <c r="H5588" s="503" t="str">
        <f t="shared" ca="1" si="358"/>
        <v/>
      </c>
      <c r="I5588" s="503" t="str">
        <f t="shared" ca="1" si="359"/>
        <v/>
      </c>
      <c r="J5588" s="503" t="str">
        <f t="shared" ca="1" si="360"/>
        <v/>
      </c>
      <c r="K5588" s="503" t="str">
        <f t="shared" ca="1" si="361"/>
        <v/>
      </c>
      <c r="L5588" s="497"/>
      <c r="M5588" s="497"/>
      <c r="N5588" s="497"/>
      <c r="O5588" s="497"/>
      <c r="P5588" s="497">
        <f t="shared" si="362"/>
        <v>0</v>
      </c>
      <c r="Q5588" s="497"/>
    </row>
    <row r="5589" spans="1:17" x14ac:dyDescent="0.35">
      <c r="A5589" s="497" t="b">
        <f t="shared" ca="1" si="354"/>
        <v>0</v>
      </c>
      <c r="B5589" s="510" t="str">
        <f ca="1">IF(COUNTA(G$4308:G5588)=1,"",OFFSET(B5589,-COUNTA(G$4308:G5588)+1,0))</f>
        <v>a1b3p0000095S8JAAU</v>
      </c>
      <c r="C5589" s="512">
        <f ca="1">IF(COUNTA(G$4308:G5588)=1,"",OFFSET(C5589,-COUNTA(G$4308:G5588)+1,0))</f>
        <v>54</v>
      </c>
      <c r="D5589" s="497">
        <f t="shared" si="355"/>
        <v>799</v>
      </c>
      <c r="E5589" s="497">
        <f t="shared" ca="1" si="356"/>
        <v>1</v>
      </c>
      <c r="F5589" s="497">
        <f t="shared" ca="1" si="357"/>
        <v>62</v>
      </c>
      <c r="G5589" s="497"/>
      <c r="H5589" s="503" t="str">
        <f t="shared" ca="1" si="358"/>
        <v/>
      </c>
      <c r="I5589" s="503" t="str">
        <f t="shared" ca="1" si="359"/>
        <v/>
      </c>
      <c r="J5589" s="503" t="str">
        <f t="shared" ca="1" si="360"/>
        <v/>
      </c>
      <c r="K5589" s="503" t="str">
        <f t="shared" ca="1" si="361"/>
        <v/>
      </c>
      <c r="L5589" s="497"/>
      <c r="M5589" s="497"/>
      <c r="N5589" s="497"/>
      <c r="O5589" s="497"/>
      <c r="P5589" s="497">
        <f t="shared" si="362"/>
        <v>0</v>
      </c>
      <c r="Q5589" s="497"/>
    </row>
    <row r="5590" spans="1:17" x14ac:dyDescent="0.35">
      <c r="A5590" s="497" t="b">
        <f t="shared" ca="1" si="354"/>
        <v>0</v>
      </c>
      <c r="B5590" s="510" t="str">
        <f ca="1">IF(COUNTA(G$4308:G5589)=1,"",OFFSET(B5590,-COUNTA(G$4308:G5589)+1,0))</f>
        <v>a1b3p0000095SAtAAM</v>
      </c>
      <c r="C5590" s="512">
        <f ca="1">IF(COUNTA(G$4308:G5589)=1,"",OFFSET(C5590,-COUNTA(G$4308:G5589)+1,0))</f>
        <v>54</v>
      </c>
      <c r="D5590" s="497">
        <f t="shared" si="355"/>
        <v>800</v>
      </c>
      <c r="E5590" s="497">
        <f t="shared" ca="1" si="356"/>
        <v>2</v>
      </c>
      <c r="F5590" s="497">
        <f t="shared" ca="1" si="357"/>
        <v>62</v>
      </c>
      <c r="G5590" s="497"/>
      <c r="H5590" s="503" t="str">
        <f t="shared" ca="1" si="358"/>
        <v/>
      </c>
      <c r="I5590" s="503" t="str">
        <f t="shared" ca="1" si="359"/>
        <v/>
      </c>
      <c r="J5590" s="503" t="str">
        <f t="shared" ca="1" si="360"/>
        <v/>
      </c>
      <c r="K5590" s="503" t="str">
        <f t="shared" ca="1" si="361"/>
        <v/>
      </c>
      <c r="L5590" s="497"/>
      <c r="M5590" s="497"/>
      <c r="N5590" s="497"/>
      <c r="O5590" s="497"/>
      <c r="P5590" s="497">
        <f t="shared" si="362"/>
        <v>0</v>
      </c>
      <c r="Q5590" s="497"/>
    </row>
    <row r="5591" spans="1:17" x14ac:dyDescent="0.35">
      <c r="A5591" s="497" t="b">
        <f t="shared" ref="A5591:A5654" ca="1" si="363">IF(OR(AND(J5591&lt;&gt;"", J5591&lt;&gt;0), AND(K5591&lt;&gt;"",K5591&lt;&gt;0)),TRUE,FALSE)</f>
        <v>0</v>
      </c>
      <c r="B5591" s="510" t="str">
        <f ca="1">IF(COUNTA(G$4308:G5590)=1,"",OFFSET(B5591,-COUNTA(G$4308:G5590)+1,0))</f>
        <v>a1b3p0000095SDTAA2</v>
      </c>
      <c r="C5591" s="512">
        <f ca="1">IF(COUNTA(G$4308:G5590)=1,"",OFFSET(C5591,-COUNTA(G$4308:G5590)+1,0))</f>
        <v>54</v>
      </c>
      <c r="D5591" s="497">
        <f t="shared" ref="D5591:D5654" si="364">D5590+1</f>
        <v>801</v>
      </c>
      <c r="E5591" s="497">
        <f t="shared" ref="E5591:E5654" ca="1" si="365">COUNTIF(C5341:C5591,C5591)</f>
        <v>3</v>
      </c>
      <c r="F5591" s="497">
        <f t="shared" ref="F5591:F5654" ca="1" si="366">IF(C5591=1,9,IF(E5590=MAX(E5589:E5591),F5589+1,F5590))</f>
        <v>62</v>
      </c>
      <c r="G5591" s="497"/>
      <c r="H5591" s="503" t="str">
        <f t="shared" ref="H5591:H5654" ca="1" si="367">CHOOSE(E5591,IFERROR(IF(INDIRECT("'WPTM - Section F'!K"&amp;F5591)=0,"",INDIRECT("'WPTM - Section F'!K"&amp;$F5591)),""),IFERROR(IF(INDIRECT("'WPTM - Section F'!O"&amp;F5591)=0,"",INDIRECT("'WPTM - Section F'!O"&amp;$F5591)),""),IFERROR(IF(INDIRECT("'WPTM - Section F'!S"&amp;F5591)=0,"",INDIRECT("'WPTM - Section F'!S"&amp;$F5591)),""),IFERROR(IF(INDIRECT("'WPTM - Section F'!W"&amp;F5591)=0,"",INDIRECT("'WPTM - Section F'!W"&amp;$F5591)),""),IFERROR(IF(INDIRECT("'WPTM - Section F'!AA"&amp;F5591)=0,"",INDIRECT("'WPTM - Section F'!AA"&amp;$F5591)),""),IFERROR(IF(INDIRECT("'WPTM - Section F'!AE"&amp;F5591)=0,"",INDIRECT("'WPTM - Section F'!AE"&amp;$F5591)),""),IFERROR(IF(INDIRECT("'WPTM - Section F'!AI"&amp;F5591)=0,"",INDIRECT("'WPTM - Section F'!AI"&amp;$F5591)),""),IFERROR(IF(INDIRECT("'WPTM - Section F'!AM"&amp;F5591)=0,"",INDIRECT("'WPTM - Section F'!AM"&amp;$F5591)),""),)</f>
        <v/>
      </c>
      <c r="I5591" s="503" t="str">
        <f t="shared" ref="I5591:I5654" ca="1" si="368">CHOOSE(E5591,IFERROR(IF(INDIRECT("'WPTM - Section F'!J"&amp;F5591)=0,"",INDIRECT("'WPTM - Section F'!J"&amp;$F5591)),""),IFERROR(IF(INDIRECT("'WPTM - Section F'!N"&amp;F5591)=0,"",INDIRECT("'WPTM - Section F'!N"&amp;$F5591)),""),IFERROR(IF(INDIRECT("'WPTM - Section F'!R"&amp;F5591)=0,"",INDIRECT("'WPTM - Section F'!R"&amp;$F5591)),""),IFERROR(IF(INDIRECT("'WPTM - Section F'!V"&amp;F5591)=0,"",INDIRECT("'WPTM - Section F'!V"&amp;$F5591)),""),IFERROR(IF(INDIRECT("'WPTM - Section F'!Z"&amp;F5591)=0,"",INDIRECT("'WPTM - Section F'!Z"&amp;$F5591)),""),IFERROR(IF(INDIRECT("'WPTM - Section F'!AD"&amp;F5591)=0,"",INDIRECT("'WPTM - Section F'!AD"&amp;$F5591)),""),IFERROR(IF(INDIRECT("'WPTM - Section F'!AH"&amp;F5591)=0,"",INDIRECT("'WPTM - Section F'!AH"&amp;$F5591)),""),IFERROR(IF(INDIRECT("'WPTM - Section F'!AL"&amp;F5591)=0,"",INDIRECT("'WPTM - Section F'!AL"&amp;$F5591)),""),)</f>
        <v/>
      </c>
      <c r="J5591" s="503" t="str">
        <f t="shared" ref="J5591:J5654" ca="1" si="369">CHOOSE(E5591,IFERROR(IF(INDIRECT("'WPTM - Section F'!H"&amp;F5591)=0,"",INDIRECT("'WPTM - Section F'!H"&amp;$F5591)),""),IFERROR(IF(INDIRECT("'WPTM - Section F'!L"&amp;F5591)=0,"",INDIRECT("'WPTM - Section F'!L"&amp;$F5591)),""),IFERROR(IF(INDIRECT("'WPTM - Section F'!P"&amp;F5591)=0,"",INDIRECT("'WPTM - Section F'!P"&amp;$F5591)),""),IFERROR(IF(INDIRECT("'WPTM - Section F'!T"&amp;F5591)=0,"",INDIRECT("'WPTM - Section F'!T"&amp;$F5591)),""),IFERROR(IF(INDIRECT("'WPTM - Section F'!X"&amp;F5591)=0,"",INDIRECT("'WPTM - Section F'!X"&amp;$F5591)),""),IFERROR(IF(INDIRECT("'WPTM - Section F'!AB"&amp;F5591)=0,"",INDIRECT("'WPTM - Section F'!AB"&amp;$F5591)),""),IFERROR(IF(INDIRECT("'WPTM - Section F'!AF"&amp;F5591)=0,"",INDIRECT("'WPTM - Section F'!AF"&amp;$F5591)),""),IFERROR(IF(INDIRECT("'WPTM - Section F'!AJ"&amp;F5591)=0,"",INDIRECT("'WPTM - Section F'!AJ"&amp;$F5591)),""),)</f>
        <v/>
      </c>
      <c r="K5591" s="503" t="str">
        <f t="shared" ref="K5591:K5654" ca="1" si="370">CHOOSE(E5591,IFERROR(IF(INDIRECT("'WPTM - Section F'!I"&amp;F5591)=0,"",INDIRECT("'WPTM - Section F'!I"&amp;$F5591)),""),IFERROR(IF(INDIRECT("'WPTM - Section F'!M"&amp;F5591)=0,"",INDIRECT("'WPTM - Section F'!M"&amp;$F5591)),""),IFERROR(IF(INDIRECT("'WPTM - Section F'!Q"&amp;F5591)=0,"",INDIRECT("'WPTM - Section F'!Q"&amp;$F5591)),""),IFERROR(IF(INDIRECT("'WPTM - Section F'!U"&amp;F5591)=0,"",INDIRECT("'WPTM - Section F'!U"&amp;$F5591)),""),IFERROR(IF(INDIRECT("'WPTM - Section F'!Y"&amp;F5591)=0,"",INDIRECT("'WPTM - Section F'!Y"&amp;$F5591)),""),IFERROR(IF(INDIRECT("'WPTM - Section F'!AC"&amp;F5591)=0,"",INDIRECT("'WPTM - Section F'!AC"&amp;$F5591)),""),IFERROR(IF(INDIRECT("'WPTM - Section F'!AG"&amp;F5591)=0,"",INDIRECT("'WPTM - Section F'!AG"&amp;$F5591)),""),IFERROR(IF(INDIRECT("'WPTM - Section F'!AK"&amp;F5591)=0,"",INDIRECT("'WPTM - Section F'!AK"&amp;$F5591)),""),)</f>
        <v/>
      </c>
      <c r="L5591" s="497"/>
      <c r="M5591" s="497"/>
      <c r="N5591" s="497"/>
      <c r="O5591" s="497"/>
      <c r="P5591" s="497">
        <f t="shared" ref="P5591:P5654" si="371">IF(NOT(_xlfn.ISFORMULA(I5591)),P5590+1,0)</f>
        <v>0</v>
      </c>
      <c r="Q5591" s="497"/>
    </row>
    <row r="5592" spans="1:17" x14ac:dyDescent="0.35">
      <c r="A5592" s="497" t="b">
        <f t="shared" ca="1" si="363"/>
        <v>0</v>
      </c>
      <c r="B5592" s="510" t="str">
        <f ca="1">IF(COUNTA(G$4308:G5591)=1,"",OFFSET(B5592,-COUNTA(G$4308:G5591)+1,0))</f>
        <v>a1b3p0000095SG3AAM</v>
      </c>
      <c r="C5592" s="512">
        <f ca="1">IF(COUNTA(G$4308:G5591)=1,"",OFFSET(C5592,-COUNTA(G$4308:G5591)+1,0))</f>
        <v>54</v>
      </c>
      <c r="D5592" s="497">
        <f t="shared" si="364"/>
        <v>802</v>
      </c>
      <c r="E5592" s="497">
        <f t="shared" ca="1" si="365"/>
        <v>4</v>
      </c>
      <c r="F5592" s="497">
        <f t="shared" ca="1" si="366"/>
        <v>62</v>
      </c>
      <c r="G5592" s="497"/>
      <c r="H5592" s="503" t="str">
        <f t="shared" ca="1" si="367"/>
        <v/>
      </c>
      <c r="I5592" s="503" t="str">
        <f t="shared" ca="1" si="368"/>
        <v/>
      </c>
      <c r="J5592" s="503" t="str">
        <f t="shared" ca="1" si="369"/>
        <v/>
      </c>
      <c r="K5592" s="503" t="str">
        <f t="shared" ca="1" si="370"/>
        <v/>
      </c>
      <c r="L5592" s="497"/>
      <c r="M5592" s="497"/>
      <c r="N5592" s="497"/>
      <c r="O5592" s="497"/>
      <c r="P5592" s="497">
        <f t="shared" si="371"/>
        <v>0</v>
      </c>
      <c r="Q5592" s="497"/>
    </row>
    <row r="5593" spans="1:17" x14ac:dyDescent="0.35">
      <c r="A5593" s="497" t="b">
        <f t="shared" ca="1" si="363"/>
        <v>0</v>
      </c>
      <c r="B5593" s="510" t="str">
        <f ca="1">IF(COUNTA(G$4308:G5592)=1,"",OFFSET(B5593,-COUNTA(G$4308:G5592)+1,0))</f>
        <v>a1b3p0000095SIdAAM</v>
      </c>
      <c r="C5593" s="512">
        <f ca="1">IF(COUNTA(G$4308:G5592)=1,"",OFFSET(C5593,-COUNTA(G$4308:G5592)+1,0))</f>
        <v>54</v>
      </c>
      <c r="D5593" s="497">
        <f t="shared" si="364"/>
        <v>803</v>
      </c>
      <c r="E5593" s="497">
        <f t="shared" ca="1" si="365"/>
        <v>5</v>
      </c>
      <c r="F5593" s="497">
        <f t="shared" ca="1" si="366"/>
        <v>62</v>
      </c>
      <c r="G5593" s="497"/>
      <c r="H5593" s="503" t="str">
        <f t="shared" ca="1" si="367"/>
        <v/>
      </c>
      <c r="I5593" s="503" t="str">
        <f t="shared" ca="1" si="368"/>
        <v/>
      </c>
      <c r="J5593" s="503" t="str">
        <f t="shared" ca="1" si="369"/>
        <v/>
      </c>
      <c r="K5593" s="503" t="str">
        <f t="shared" ca="1" si="370"/>
        <v/>
      </c>
      <c r="L5593" s="497"/>
      <c r="M5593" s="497"/>
      <c r="N5593" s="497"/>
      <c r="O5593" s="497"/>
      <c r="P5593" s="497">
        <f t="shared" si="371"/>
        <v>0</v>
      </c>
      <c r="Q5593" s="497"/>
    </row>
    <row r="5594" spans="1:17" x14ac:dyDescent="0.35">
      <c r="A5594" s="497" t="b">
        <f t="shared" ca="1" si="363"/>
        <v>0</v>
      </c>
      <c r="B5594" s="510" t="str">
        <f ca="1">IF(COUNTA(G$4308:G5593)=1,"",OFFSET(B5594,-COUNTA(G$4308:G5593)+1,0))</f>
        <v>a1b3p0000095SLDAA2</v>
      </c>
      <c r="C5594" s="512">
        <f ca="1">IF(COUNTA(G$4308:G5593)=1,"",OFFSET(C5594,-COUNTA(G$4308:G5593)+1,0))</f>
        <v>54</v>
      </c>
      <c r="D5594" s="497">
        <f t="shared" si="364"/>
        <v>804</v>
      </c>
      <c r="E5594" s="497">
        <f t="shared" ca="1" si="365"/>
        <v>6</v>
      </c>
      <c r="F5594" s="497">
        <f t="shared" ca="1" si="366"/>
        <v>62</v>
      </c>
      <c r="G5594" s="497"/>
      <c r="H5594" s="503" t="str">
        <f t="shared" ca="1" si="367"/>
        <v/>
      </c>
      <c r="I5594" s="503" t="str">
        <f t="shared" ca="1" si="368"/>
        <v/>
      </c>
      <c r="J5594" s="503" t="str">
        <f t="shared" ca="1" si="369"/>
        <v/>
      </c>
      <c r="K5594" s="503" t="str">
        <f t="shared" ca="1" si="370"/>
        <v/>
      </c>
      <c r="L5594" s="497"/>
      <c r="M5594" s="497"/>
      <c r="N5594" s="497"/>
      <c r="O5594" s="497"/>
      <c r="P5594" s="497">
        <f t="shared" si="371"/>
        <v>0</v>
      </c>
      <c r="Q5594" s="497"/>
    </row>
    <row r="5595" spans="1:17" x14ac:dyDescent="0.35">
      <c r="A5595" s="497" t="b">
        <f t="shared" ca="1" si="363"/>
        <v>0</v>
      </c>
      <c r="B5595" s="510" t="str">
        <f ca="1">IF(COUNTA(G$4308:G5594)=1,"",OFFSET(B5595,-COUNTA(G$4308:G5594)+1,0))</f>
        <v>a1b3p0000095S8KAAU</v>
      </c>
      <c r="C5595" s="512">
        <f ca="1">IF(COUNTA(G$4308:G5594)=1,"",OFFSET(C5595,-COUNTA(G$4308:G5594)+1,0))</f>
        <v>55</v>
      </c>
      <c r="D5595" s="497">
        <f t="shared" si="364"/>
        <v>805</v>
      </c>
      <c r="E5595" s="497">
        <f t="shared" ca="1" si="365"/>
        <v>1</v>
      </c>
      <c r="F5595" s="497">
        <f t="shared" ca="1" si="366"/>
        <v>63</v>
      </c>
      <c r="G5595" s="497"/>
      <c r="H5595" s="503" t="str">
        <f t="shared" ca="1" si="367"/>
        <v/>
      </c>
      <c r="I5595" s="503" t="str">
        <f t="shared" ca="1" si="368"/>
        <v/>
      </c>
      <c r="J5595" s="503" t="str">
        <f t="shared" ca="1" si="369"/>
        <v/>
      </c>
      <c r="K5595" s="503" t="str">
        <f t="shared" ca="1" si="370"/>
        <v/>
      </c>
      <c r="L5595" s="497"/>
      <c r="M5595" s="497"/>
      <c r="N5595" s="497"/>
      <c r="O5595" s="497"/>
      <c r="P5595" s="497">
        <f t="shared" si="371"/>
        <v>0</v>
      </c>
      <c r="Q5595" s="497"/>
    </row>
    <row r="5596" spans="1:17" x14ac:dyDescent="0.35">
      <c r="A5596" s="497" t="b">
        <f t="shared" ca="1" si="363"/>
        <v>0</v>
      </c>
      <c r="B5596" s="510" t="str">
        <f ca="1">IF(COUNTA(G$4308:G5595)=1,"",OFFSET(B5596,-COUNTA(G$4308:G5595)+1,0))</f>
        <v>a1b3p0000095SAuAAM</v>
      </c>
      <c r="C5596" s="512">
        <f ca="1">IF(COUNTA(G$4308:G5595)=1,"",OFFSET(C5596,-COUNTA(G$4308:G5595)+1,0))</f>
        <v>55</v>
      </c>
      <c r="D5596" s="497">
        <f t="shared" si="364"/>
        <v>806</v>
      </c>
      <c r="E5596" s="497">
        <f t="shared" ca="1" si="365"/>
        <v>2</v>
      </c>
      <c r="F5596" s="497">
        <f t="shared" ca="1" si="366"/>
        <v>63</v>
      </c>
      <c r="G5596" s="497"/>
      <c r="H5596" s="503" t="str">
        <f t="shared" ca="1" si="367"/>
        <v/>
      </c>
      <c r="I5596" s="503" t="str">
        <f t="shared" ca="1" si="368"/>
        <v/>
      </c>
      <c r="J5596" s="503" t="str">
        <f t="shared" ca="1" si="369"/>
        <v/>
      </c>
      <c r="K5596" s="503" t="str">
        <f t="shared" ca="1" si="370"/>
        <v/>
      </c>
      <c r="L5596" s="497"/>
      <c r="M5596" s="497"/>
      <c r="N5596" s="497"/>
      <c r="O5596" s="497"/>
      <c r="P5596" s="497">
        <f t="shared" si="371"/>
        <v>0</v>
      </c>
      <c r="Q5596" s="497"/>
    </row>
    <row r="5597" spans="1:17" x14ac:dyDescent="0.35">
      <c r="A5597" s="497" t="b">
        <f t="shared" ca="1" si="363"/>
        <v>0</v>
      </c>
      <c r="B5597" s="510" t="str">
        <f ca="1">IF(COUNTA(G$4308:G5596)=1,"",OFFSET(B5597,-COUNTA(G$4308:G5596)+1,0))</f>
        <v>a1b3p0000095SDUAA2</v>
      </c>
      <c r="C5597" s="512">
        <f ca="1">IF(COUNTA(G$4308:G5596)=1,"",OFFSET(C5597,-COUNTA(G$4308:G5596)+1,0))</f>
        <v>55</v>
      </c>
      <c r="D5597" s="497">
        <f t="shared" si="364"/>
        <v>807</v>
      </c>
      <c r="E5597" s="497">
        <f t="shared" ca="1" si="365"/>
        <v>3</v>
      </c>
      <c r="F5597" s="497">
        <f t="shared" ca="1" si="366"/>
        <v>63</v>
      </c>
      <c r="G5597" s="497"/>
      <c r="H5597" s="503" t="str">
        <f t="shared" ca="1" si="367"/>
        <v/>
      </c>
      <c r="I5597" s="503" t="str">
        <f t="shared" ca="1" si="368"/>
        <v/>
      </c>
      <c r="J5597" s="503" t="str">
        <f t="shared" ca="1" si="369"/>
        <v/>
      </c>
      <c r="K5597" s="503" t="str">
        <f t="shared" ca="1" si="370"/>
        <v/>
      </c>
      <c r="L5597" s="497"/>
      <c r="M5597" s="497"/>
      <c r="N5597" s="497"/>
      <c r="O5597" s="497"/>
      <c r="P5597" s="497">
        <f t="shared" si="371"/>
        <v>0</v>
      </c>
      <c r="Q5597" s="497"/>
    </row>
    <row r="5598" spans="1:17" x14ac:dyDescent="0.35">
      <c r="A5598" s="497" t="b">
        <f t="shared" ca="1" si="363"/>
        <v>0</v>
      </c>
      <c r="B5598" s="510" t="str">
        <f ca="1">IF(COUNTA(G$4308:G5597)=1,"",OFFSET(B5598,-COUNTA(G$4308:G5597)+1,0))</f>
        <v>a1b3p0000095SG4AAM</v>
      </c>
      <c r="C5598" s="512">
        <f ca="1">IF(COUNTA(G$4308:G5597)=1,"",OFFSET(C5598,-COUNTA(G$4308:G5597)+1,0))</f>
        <v>55</v>
      </c>
      <c r="D5598" s="497">
        <f t="shared" si="364"/>
        <v>808</v>
      </c>
      <c r="E5598" s="497">
        <f t="shared" ca="1" si="365"/>
        <v>4</v>
      </c>
      <c r="F5598" s="497">
        <f t="shared" ca="1" si="366"/>
        <v>63</v>
      </c>
      <c r="G5598" s="497"/>
      <c r="H5598" s="503" t="str">
        <f t="shared" ca="1" si="367"/>
        <v/>
      </c>
      <c r="I5598" s="503" t="str">
        <f t="shared" ca="1" si="368"/>
        <v/>
      </c>
      <c r="J5598" s="503" t="str">
        <f t="shared" ca="1" si="369"/>
        <v/>
      </c>
      <c r="K5598" s="503" t="str">
        <f t="shared" ca="1" si="370"/>
        <v/>
      </c>
      <c r="L5598" s="497"/>
      <c r="M5598" s="497"/>
      <c r="N5598" s="497"/>
      <c r="O5598" s="497"/>
      <c r="P5598" s="497">
        <f t="shared" si="371"/>
        <v>0</v>
      </c>
      <c r="Q5598" s="497"/>
    </row>
    <row r="5599" spans="1:17" x14ac:dyDescent="0.35">
      <c r="A5599" s="497" t="b">
        <f t="shared" ca="1" si="363"/>
        <v>0</v>
      </c>
      <c r="B5599" s="510" t="str">
        <f ca="1">IF(COUNTA(G$4308:G5598)=1,"",OFFSET(B5599,-COUNTA(G$4308:G5598)+1,0))</f>
        <v>a1b3p0000095SIeAAM</v>
      </c>
      <c r="C5599" s="512">
        <f ca="1">IF(COUNTA(G$4308:G5598)=1,"",OFFSET(C5599,-COUNTA(G$4308:G5598)+1,0))</f>
        <v>55</v>
      </c>
      <c r="D5599" s="497">
        <f t="shared" si="364"/>
        <v>809</v>
      </c>
      <c r="E5599" s="497">
        <f t="shared" ca="1" si="365"/>
        <v>5</v>
      </c>
      <c r="F5599" s="497">
        <f t="shared" ca="1" si="366"/>
        <v>63</v>
      </c>
      <c r="G5599" s="497"/>
      <c r="H5599" s="503" t="str">
        <f t="shared" ca="1" si="367"/>
        <v/>
      </c>
      <c r="I5599" s="503" t="str">
        <f t="shared" ca="1" si="368"/>
        <v/>
      </c>
      <c r="J5599" s="503" t="str">
        <f t="shared" ca="1" si="369"/>
        <v/>
      </c>
      <c r="K5599" s="503" t="str">
        <f t="shared" ca="1" si="370"/>
        <v/>
      </c>
      <c r="L5599" s="497"/>
      <c r="M5599" s="497"/>
      <c r="N5599" s="497"/>
      <c r="O5599" s="497"/>
      <c r="P5599" s="497">
        <f t="shared" si="371"/>
        <v>0</v>
      </c>
      <c r="Q5599" s="497"/>
    </row>
    <row r="5600" spans="1:17" x14ac:dyDescent="0.35">
      <c r="A5600" s="497" t="b">
        <f t="shared" ca="1" si="363"/>
        <v>0</v>
      </c>
      <c r="B5600" s="510" t="str">
        <f ca="1">IF(COUNTA(G$4308:G5599)=1,"",OFFSET(B5600,-COUNTA(G$4308:G5599)+1,0))</f>
        <v>a1b3p0000095SLEAA2</v>
      </c>
      <c r="C5600" s="512">
        <f ca="1">IF(COUNTA(G$4308:G5599)=1,"",OFFSET(C5600,-COUNTA(G$4308:G5599)+1,0))</f>
        <v>55</v>
      </c>
      <c r="D5600" s="497">
        <f t="shared" si="364"/>
        <v>810</v>
      </c>
      <c r="E5600" s="497">
        <f t="shared" ca="1" si="365"/>
        <v>6</v>
      </c>
      <c r="F5600" s="497">
        <f t="shared" ca="1" si="366"/>
        <v>63</v>
      </c>
      <c r="G5600" s="497"/>
      <c r="H5600" s="503" t="str">
        <f t="shared" ca="1" si="367"/>
        <v/>
      </c>
      <c r="I5600" s="503" t="str">
        <f t="shared" ca="1" si="368"/>
        <v/>
      </c>
      <c r="J5600" s="503" t="str">
        <f t="shared" ca="1" si="369"/>
        <v/>
      </c>
      <c r="K5600" s="503" t="str">
        <f t="shared" ca="1" si="370"/>
        <v/>
      </c>
      <c r="L5600" s="497"/>
      <c r="M5600" s="497"/>
      <c r="N5600" s="497"/>
      <c r="O5600" s="497"/>
      <c r="P5600" s="497">
        <f t="shared" si="371"/>
        <v>0</v>
      </c>
      <c r="Q5600" s="497"/>
    </row>
    <row r="5601" spans="1:17" x14ac:dyDescent="0.35">
      <c r="A5601" s="497" t="b">
        <f t="shared" ca="1" si="363"/>
        <v>0</v>
      </c>
      <c r="B5601" s="510" t="str">
        <f ca="1">IF(COUNTA(G$4308:G5600)=1,"",OFFSET(B5601,-COUNTA(G$4308:G5600)+1,0))</f>
        <v>a1b3p0000095S8LAAU</v>
      </c>
      <c r="C5601" s="512">
        <f ca="1">IF(COUNTA(G$4308:G5600)=1,"",OFFSET(C5601,-COUNTA(G$4308:G5600)+1,0))</f>
        <v>56</v>
      </c>
      <c r="D5601" s="497">
        <f t="shared" si="364"/>
        <v>811</v>
      </c>
      <c r="E5601" s="497">
        <f t="shared" ca="1" si="365"/>
        <v>1</v>
      </c>
      <c r="F5601" s="497">
        <f t="shared" ca="1" si="366"/>
        <v>64</v>
      </c>
      <c r="G5601" s="497"/>
      <c r="H5601" s="503" t="str">
        <f t="shared" ca="1" si="367"/>
        <v/>
      </c>
      <c r="I5601" s="503" t="str">
        <f t="shared" ca="1" si="368"/>
        <v/>
      </c>
      <c r="J5601" s="503" t="str">
        <f t="shared" ca="1" si="369"/>
        <v/>
      </c>
      <c r="K5601" s="503" t="str">
        <f t="shared" ca="1" si="370"/>
        <v/>
      </c>
      <c r="L5601" s="497"/>
      <c r="M5601" s="497"/>
      <c r="N5601" s="497"/>
      <c r="O5601" s="497"/>
      <c r="P5601" s="497">
        <f t="shared" si="371"/>
        <v>0</v>
      </c>
      <c r="Q5601" s="497"/>
    </row>
    <row r="5602" spans="1:17" x14ac:dyDescent="0.35">
      <c r="A5602" s="497" t="b">
        <f t="shared" ca="1" si="363"/>
        <v>0</v>
      </c>
      <c r="B5602" s="510" t="str">
        <f ca="1">IF(COUNTA(G$4308:G5601)=1,"",OFFSET(B5602,-COUNTA(G$4308:G5601)+1,0))</f>
        <v>a1b3p0000095SAvAAM</v>
      </c>
      <c r="C5602" s="512">
        <f ca="1">IF(COUNTA(G$4308:G5601)=1,"",OFFSET(C5602,-COUNTA(G$4308:G5601)+1,0))</f>
        <v>56</v>
      </c>
      <c r="D5602" s="497">
        <f t="shared" si="364"/>
        <v>812</v>
      </c>
      <c r="E5602" s="497">
        <f t="shared" ca="1" si="365"/>
        <v>2</v>
      </c>
      <c r="F5602" s="497">
        <f t="shared" ca="1" si="366"/>
        <v>64</v>
      </c>
      <c r="G5602" s="497"/>
      <c r="H5602" s="503" t="str">
        <f t="shared" ca="1" si="367"/>
        <v/>
      </c>
      <c r="I5602" s="503" t="str">
        <f t="shared" ca="1" si="368"/>
        <v/>
      </c>
      <c r="J5602" s="503" t="str">
        <f t="shared" ca="1" si="369"/>
        <v/>
      </c>
      <c r="K5602" s="503" t="str">
        <f t="shared" ca="1" si="370"/>
        <v/>
      </c>
      <c r="L5602" s="497"/>
      <c r="M5602" s="497"/>
      <c r="N5602" s="497"/>
      <c r="O5602" s="497"/>
      <c r="P5602" s="497">
        <f t="shared" si="371"/>
        <v>0</v>
      </c>
      <c r="Q5602" s="497"/>
    </row>
    <row r="5603" spans="1:17" x14ac:dyDescent="0.35">
      <c r="A5603" s="497" t="b">
        <f t="shared" ca="1" si="363"/>
        <v>0</v>
      </c>
      <c r="B5603" s="510" t="str">
        <f ca="1">IF(COUNTA(G$4308:G5602)=1,"",OFFSET(B5603,-COUNTA(G$4308:G5602)+1,0))</f>
        <v>a1b3p0000095SDVAA2</v>
      </c>
      <c r="C5603" s="512">
        <f ca="1">IF(COUNTA(G$4308:G5602)=1,"",OFFSET(C5603,-COUNTA(G$4308:G5602)+1,0))</f>
        <v>56</v>
      </c>
      <c r="D5603" s="497">
        <f t="shared" si="364"/>
        <v>813</v>
      </c>
      <c r="E5603" s="497">
        <f t="shared" ca="1" si="365"/>
        <v>3</v>
      </c>
      <c r="F5603" s="497">
        <f t="shared" ca="1" si="366"/>
        <v>64</v>
      </c>
      <c r="G5603" s="497"/>
      <c r="H5603" s="503" t="str">
        <f t="shared" ca="1" si="367"/>
        <v/>
      </c>
      <c r="I5603" s="503" t="str">
        <f t="shared" ca="1" si="368"/>
        <v/>
      </c>
      <c r="J5603" s="503" t="str">
        <f t="shared" ca="1" si="369"/>
        <v/>
      </c>
      <c r="K5603" s="503" t="str">
        <f t="shared" ca="1" si="370"/>
        <v/>
      </c>
      <c r="L5603" s="497"/>
      <c r="M5603" s="497"/>
      <c r="N5603" s="497"/>
      <c r="O5603" s="497"/>
      <c r="P5603" s="497">
        <f t="shared" si="371"/>
        <v>0</v>
      </c>
      <c r="Q5603" s="497"/>
    </row>
    <row r="5604" spans="1:17" x14ac:dyDescent="0.35">
      <c r="A5604" s="497" t="b">
        <f t="shared" ca="1" si="363"/>
        <v>0</v>
      </c>
      <c r="B5604" s="510" t="str">
        <f ca="1">IF(COUNTA(G$4308:G5603)=1,"",OFFSET(B5604,-COUNTA(G$4308:G5603)+1,0))</f>
        <v>a1b3p0000095SG5AAM</v>
      </c>
      <c r="C5604" s="512">
        <f ca="1">IF(COUNTA(G$4308:G5603)=1,"",OFFSET(C5604,-COUNTA(G$4308:G5603)+1,0))</f>
        <v>56</v>
      </c>
      <c r="D5604" s="497">
        <f t="shared" si="364"/>
        <v>814</v>
      </c>
      <c r="E5604" s="497">
        <f t="shared" ca="1" si="365"/>
        <v>4</v>
      </c>
      <c r="F5604" s="497">
        <f t="shared" ca="1" si="366"/>
        <v>64</v>
      </c>
      <c r="G5604" s="497"/>
      <c r="H5604" s="503" t="str">
        <f t="shared" ca="1" si="367"/>
        <v/>
      </c>
      <c r="I5604" s="503" t="str">
        <f t="shared" ca="1" si="368"/>
        <v/>
      </c>
      <c r="J5604" s="503" t="str">
        <f t="shared" ca="1" si="369"/>
        <v/>
      </c>
      <c r="K5604" s="503" t="str">
        <f t="shared" ca="1" si="370"/>
        <v/>
      </c>
      <c r="L5604" s="497"/>
      <c r="M5604" s="497"/>
      <c r="N5604" s="497"/>
      <c r="O5604" s="497"/>
      <c r="P5604" s="497">
        <f t="shared" si="371"/>
        <v>0</v>
      </c>
      <c r="Q5604" s="497"/>
    </row>
    <row r="5605" spans="1:17" x14ac:dyDescent="0.35">
      <c r="A5605" s="497" t="b">
        <f t="shared" ca="1" si="363"/>
        <v>0</v>
      </c>
      <c r="B5605" s="510" t="str">
        <f ca="1">IF(COUNTA(G$4308:G5604)=1,"",OFFSET(B5605,-COUNTA(G$4308:G5604)+1,0))</f>
        <v>a1b3p0000095SIfAAM</v>
      </c>
      <c r="C5605" s="512">
        <f ca="1">IF(COUNTA(G$4308:G5604)=1,"",OFFSET(C5605,-COUNTA(G$4308:G5604)+1,0))</f>
        <v>56</v>
      </c>
      <c r="D5605" s="497">
        <f t="shared" si="364"/>
        <v>815</v>
      </c>
      <c r="E5605" s="497">
        <f t="shared" ca="1" si="365"/>
        <v>5</v>
      </c>
      <c r="F5605" s="497">
        <f t="shared" ca="1" si="366"/>
        <v>64</v>
      </c>
      <c r="G5605" s="497"/>
      <c r="H5605" s="503" t="str">
        <f t="shared" ca="1" si="367"/>
        <v/>
      </c>
      <c r="I5605" s="503" t="str">
        <f t="shared" ca="1" si="368"/>
        <v/>
      </c>
      <c r="J5605" s="503" t="str">
        <f t="shared" ca="1" si="369"/>
        <v/>
      </c>
      <c r="K5605" s="503" t="str">
        <f t="shared" ca="1" si="370"/>
        <v/>
      </c>
      <c r="L5605" s="497"/>
      <c r="M5605" s="497"/>
      <c r="N5605" s="497"/>
      <c r="O5605" s="497"/>
      <c r="P5605" s="497">
        <f t="shared" si="371"/>
        <v>0</v>
      </c>
      <c r="Q5605" s="497"/>
    </row>
    <row r="5606" spans="1:17" x14ac:dyDescent="0.35">
      <c r="A5606" s="497" t="b">
        <f t="shared" ca="1" si="363"/>
        <v>0</v>
      </c>
      <c r="B5606" s="510" t="str">
        <f ca="1">IF(COUNTA(G$4308:G5605)=1,"",OFFSET(B5606,-COUNTA(G$4308:G5605)+1,0))</f>
        <v>a1b3p0000095SLFAA2</v>
      </c>
      <c r="C5606" s="512">
        <f ca="1">IF(COUNTA(G$4308:G5605)=1,"",OFFSET(C5606,-COUNTA(G$4308:G5605)+1,0))</f>
        <v>56</v>
      </c>
      <c r="D5606" s="497">
        <f t="shared" si="364"/>
        <v>816</v>
      </c>
      <c r="E5606" s="497">
        <f t="shared" ca="1" si="365"/>
        <v>6</v>
      </c>
      <c r="F5606" s="497">
        <f t="shared" ca="1" si="366"/>
        <v>64</v>
      </c>
      <c r="G5606" s="497"/>
      <c r="H5606" s="503" t="str">
        <f t="shared" ca="1" si="367"/>
        <v/>
      </c>
      <c r="I5606" s="503" t="str">
        <f t="shared" ca="1" si="368"/>
        <v/>
      </c>
      <c r="J5606" s="503" t="str">
        <f t="shared" ca="1" si="369"/>
        <v/>
      </c>
      <c r="K5606" s="503" t="str">
        <f t="shared" ca="1" si="370"/>
        <v/>
      </c>
      <c r="L5606" s="497"/>
      <c r="M5606" s="497"/>
      <c r="N5606" s="497"/>
      <c r="O5606" s="497"/>
      <c r="P5606" s="497">
        <f t="shared" si="371"/>
        <v>0</v>
      </c>
      <c r="Q5606" s="497"/>
    </row>
    <row r="5607" spans="1:17" x14ac:dyDescent="0.35">
      <c r="A5607" s="497" t="b">
        <f t="shared" ca="1" si="363"/>
        <v>0</v>
      </c>
      <c r="B5607" s="510" t="str">
        <f ca="1">IF(COUNTA(G$4308:G5606)=1,"",OFFSET(B5607,-COUNTA(G$4308:G5606)+1,0))</f>
        <v>a1b3p0000095S8MAAU</v>
      </c>
      <c r="C5607" s="512">
        <f ca="1">IF(COUNTA(G$4308:G5606)=1,"",OFFSET(C5607,-COUNTA(G$4308:G5606)+1,0))</f>
        <v>57</v>
      </c>
      <c r="D5607" s="497">
        <f t="shared" si="364"/>
        <v>817</v>
      </c>
      <c r="E5607" s="497">
        <f t="shared" ca="1" si="365"/>
        <v>1</v>
      </c>
      <c r="F5607" s="497">
        <f t="shared" ca="1" si="366"/>
        <v>65</v>
      </c>
      <c r="G5607" s="497"/>
      <c r="H5607" s="503" t="str">
        <f t="shared" ca="1" si="367"/>
        <v/>
      </c>
      <c r="I5607" s="503" t="str">
        <f t="shared" ca="1" si="368"/>
        <v/>
      </c>
      <c r="J5607" s="503" t="str">
        <f t="shared" ca="1" si="369"/>
        <v/>
      </c>
      <c r="K5607" s="503" t="str">
        <f t="shared" ca="1" si="370"/>
        <v/>
      </c>
      <c r="L5607" s="497"/>
      <c r="M5607" s="497"/>
      <c r="N5607" s="497"/>
      <c r="O5607" s="497"/>
      <c r="P5607" s="497">
        <f t="shared" si="371"/>
        <v>0</v>
      </c>
      <c r="Q5607" s="497"/>
    </row>
    <row r="5608" spans="1:17" x14ac:dyDescent="0.35">
      <c r="A5608" s="497" t="b">
        <f t="shared" ca="1" si="363"/>
        <v>0</v>
      </c>
      <c r="B5608" s="510" t="str">
        <f ca="1">IF(COUNTA(G$4308:G5607)=1,"",OFFSET(B5608,-COUNTA(G$4308:G5607)+1,0))</f>
        <v>a1b3p0000095SAwAAM</v>
      </c>
      <c r="C5608" s="512">
        <f ca="1">IF(COUNTA(G$4308:G5607)=1,"",OFFSET(C5608,-COUNTA(G$4308:G5607)+1,0))</f>
        <v>57</v>
      </c>
      <c r="D5608" s="497">
        <f t="shared" si="364"/>
        <v>818</v>
      </c>
      <c r="E5608" s="497">
        <f t="shared" ca="1" si="365"/>
        <v>2</v>
      </c>
      <c r="F5608" s="497">
        <f t="shared" ca="1" si="366"/>
        <v>65</v>
      </c>
      <c r="G5608" s="497"/>
      <c r="H5608" s="503" t="str">
        <f t="shared" ca="1" si="367"/>
        <v/>
      </c>
      <c r="I5608" s="503" t="str">
        <f t="shared" ca="1" si="368"/>
        <v/>
      </c>
      <c r="J5608" s="503" t="str">
        <f t="shared" ca="1" si="369"/>
        <v/>
      </c>
      <c r="K5608" s="503" t="str">
        <f t="shared" ca="1" si="370"/>
        <v/>
      </c>
      <c r="L5608" s="497"/>
      <c r="M5608" s="497"/>
      <c r="N5608" s="497"/>
      <c r="O5608" s="497"/>
      <c r="P5608" s="497">
        <f t="shared" si="371"/>
        <v>0</v>
      </c>
      <c r="Q5608" s="497"/>
    </row>
    <row r="5609" spans="1:17" x14ac:dyDescent="0.35">
      <c r="A5609" s="497" t="b">
        <f t="shared" ca="1" si="363"/>
        <v>0</v>
      </c>
      <c r="B5609" s="510" t="str">
        <f ca="1">IF(COUNTA(G$4308:G5608)=1,"",OFFSET(B5609,-COUNTA(G$4308:G5608)+1,0))</f>
        <v>a1b3p0000095SDWAA2</v>
      </c>
      <c r="C5609" s="512">
        <f ca="1">IF(COUNTA(G$4308:G5608)=1,"",OFFSET(C5609,-COUNTA(G$4308:G5608)+1,0))</f>
        <v>57</v>
      </c>
      <c r="D5609" s="497">
        <f t="shared" si="364"/>
        <v>819</v>
      </c>
      <c r="E5609" s="497">
        <f t="shared" ca="1" si="365"/>
        <v>3</v>
      </c>
      <c r="F5609" s="497">
        <f t="shared" ca="1" si="366"/>
        <v>65</v>
      </c>
      <c r="G5609" s="497"/>
      <c r="H5609" s="503" t="str">
        <f t="shared" ca="1" si="367"/>
        <v/>
      </c>
      <c r="I5609" s="503" t="str">
        <f t="shared" ca="1" si="368"/>
        <v/>
      </c>
      <c r="J5609" s="503" t="str">
        <f t="shared" ca="1" si="369"/>
        <v/>
      </c>
      <c r="K5609" s="503" t="str">
        <f t="shared" ca="1" si="370"/>
        <v/>
      </c>
      <c r="L5609" s="497"/>
      <c r="M5609" s="497"/>
      <c r="N5609" s="497"/>
      <c r="O5609" s="497"/>
      <c r="P5609" s="497">
        <f t="shared" si="371"/>
        <v>0</v>
      </c>
      <c r="Q5609" s="497"/>
    </row>
    <row r="5610" spans="1:17" x14ac:dyDescent="0.35">
      <c r="A5610" s="497" t="b">
        <f t="shared" ca="1" si="363"/>
        <v>0</v>
      </c>
      <c r="B5610" s="510" t="str">
        <f ca="1">IF(COUNTA(G$4308:G5609)=1,"",OFFSET(B5610,-COUNTA(G$4308:G5609)+1,0))</f>
        <v>a1b3p0000095SG6AAM</v>
      </c>
      <c r="C5610" s="512">
        <f ca="1">IF(COUNTA(G$4308:G5609)=1,"",OFFSET(C5610,-COUNTA(G$4308:G5609)+1,0))</f>
        <v>57</v>
      </c>
      <c r="D5610" s="497">
        <f t="shared" si="364"/>
        <v>820</v>
      </c>
      <c r="E5610" s="497">
        <f t="shared" ca="1" si="365"/>
        <v>4</v>
      </c>
      <c r="F5610" s="497">
        <f t="shared" ca="1" si="366"/>
        <v>65</v>
      </c>
      <c r="G5610" s="497"/>
      <c r="H5610" s="503" t="str">
        <f t="shared" ca="1" si="367"/>
        <v/>
      </c>
      <c r="I5610" s="503" t="str">
        <f t="shared" ca="1" si="368"/>
        <v/>
      </c>
      <c r="J5610" s="503" t="str">
        <f t="shared" ca="1" si="369"/>
        <v/>
      </c>
      <c r="K5610" s="503" t="str">
        <f t="shared" ca="1" si="370"/>
        <v/>
      </c>
      <c r="L5610" s="497"/>
      <c r="M5610" s="497"/>
      <c r="N5610" s="497"/>
      <c r="O5610" s="497"/>
      <c r="P5610" s="497">
        <f t="shared" si="371"/>
        <v>0</v>
      </c>
      <c r="Q5610" s="497"/>
    </row>
    <row r="5611" spans="1:17" x14ac:dyDescent="0.35">
      <c r="A5611" s="497" t="b">
        <f t="shared" ca="1" si="363"/>
        <v>0</v>
      </c>
      <c r="B5611" s="510" t="str">
        <f ca="1">IF(COUNTA(G$4308:G5610)=1,"",OFFSET(B5611,-COUNTA(G$4308:G5610)+1,0))</f>
        <v>a1b3p0000095SIgAAM</v>
      </c>
      <c r="C5611" s="512">
        <f ca="1">IF(COUNTA(G$4308:G5610)=1,"",OFFSET(C5611,-COUNTA(G$4308:G5610)+1,0))</f>
        <v>57</v>
      </c>
      <c r="D5611" s="497">
        <f t="shared" si="364"/>
        <v>821</v>
      </c>
      <c r="E5611" s="497">
        <f t="shared" ca="1" si="365"/>
        <v>5</v>
      </c>
      <c r="F5611" s="497">
        <f t="shared" ca="1" si="366"/>
        <v>65</v>
      </c>
      <c r="G5611" s="497"/>
      <c r="H5611" s="503" t="str">
        <f t="shared" ca="1" si="367"/>
        <v/>
      </c>
      <c r="I5611" s="503" t="str">
        <f t="shared" ca="1" si="368"/>
        <v/>
      </c>
      <c r="J5611" s="503" t="str">
        <f t="shared" ca="1" si="369"/>
        <v/>
      </c>
      <c r="K5611" s="503" t="str">
        <f t="shared" ca="1" si="370"/>
        <v/>
      </c>
      <c r="L5611" s="497"/>
      <c r="M5611" s="497"/>
      <c r="N5611" s="497"/>
      <c r="O5611" s="497"/>
      <c r="P5611" s="497">
        <f t="shared" si="371"/>
        <v>0</v>
      </c>
      <c r="Q5611" s="497"/>
    </row>
    <row r="5612" spans="1:17" x14ac:dyDescent="0.35">
      <c r="A5612" s="497" t="b">
        <f t="shared" ca="1" si="363"/>
        <v>0</v>
      </c>
      <c r="B5612" s="510" t="str">
        <f ca="1">IF(COUNTA(G$4308:G5611)=1,"",OFFSET(B5612,-COUNTA(G$4308:G5611)+1,0))</f>
        <v>a1b3p0000095SLGAA2</v>
      </c>
      <c r="C5612" s="512">
        <f ca="1">IF(COUNTA(G$4308:G5611)=1,"",OFFSET(C5612,-COUNTA(G$4308:G5611)+1,0))</f>
        <v>57</v>
      </c>
      <c r="D5612" s="497">
        <f t="shared" si="364"/>
        <v>822</v>
      </c>
      <c r="E5612" s="497">
        <f t="shared" ca="1" si="365"/>
        <v>6</v>
      </c>
      <c r="F5612" s="497">
        <f t="shared" ca="1" si="366"/>
        <v>65</v>
      </c>
      <c r="G5612" s="497"/>
      <c r="H5612" s="503" t="str">
        <f t="shared" ca="1" si="367"/>
        <v/>
      </c>
      <c r="I5612" s="503" t="str">
        <f t="shared" ca="1" si="368"/>
        <v/>
      </c>
      <c r="J5612" s="503" t="str">
        <f t="shared" ca="1" si="369"/>
        <v/>
      </c>
      <c r="K5612" s="503" t="str">
        <f t="shared" ca="1" si="370"/>
        <v/>
      </c>
      <c r="L5612" s="497"/>
      <c r="M5612" s="497"/>
      <c r="N5612" s="497"/>
      <c r="O5612" s="497"/>
      <c r="P5612" s="497">
        <f t="shared" si="371"/>
        <v>0</v>
      </c>
      <c r="Q5612" s="497"/>
    </row>
    <row r="5613" spans="1:17" x14ac:dyDescent="0.35">
      <c r="A5613" s="497" t="b">
        <f t="shared" ca="1" si="363"/>
        <v>0</v>
      </c>
      <c r="B5613" s="510" t="str">
        <f ca="1">IF(COUNTA(G$4308:G5612)=1,"",OFFSET(B5613,-COUNTA(G$4308:G5612)+1,0))</f>
        <v>a1b3p0000095S8NAAU</v>
      </c>
      <c r="C5613" s="512">
        <f ca="1">IF(COUNTA(G$4308:G5612)=1,"",OFFSET(C5613,-COUNTA(G$4308:G5612)+1,0))</f>
        <v>58</v>
      </c>
      <c r="D5613" s="497">
        <f t="shared" si="364"/>
        <v>823</v>
      </c>
      <c r="E5613" s="497">
        <f t="shared" ca="1" si="365"/>
        <v>1</v>
      </c>
      <c r="F5613" s="497">
        <f t="shared" ca="1" si="366"/>
        <v>66</v>
      </c>
      <c r="G5613" s="497"/>
      <c r="H5613" s="503" t="str">
        <f t="shared" ca="1" si="367"/>
        <v/>
      </c>
      <c r="I5613" s="503" t="str">
        <f t="shared" ca="1" si="368"/>
        <v/>
      </c>
      <c r="J5613" s="503" t="str">
        <f t="shared" ca="1" si="369"/>
        <v/>
      </c>
      <c r="K5613" s="503" t="str">
        <f t="shared" ca="1" si="370"/>
        <v/>
      </c>
      <c r="L5613" s="497"/>
      <c r="M5613" s="497"/>
      <c r="N5613" s="497"/>
      <c r="O5613" s="497"/>
      <c r="P5613" s="497">
        <f t="shared" si="371"/>
        <v>0</v>
      </c>
      <c r="Q5613" s="497"/>
    </row>
    <row r="5614" spans="1:17" x14ac:dyDescent="0.35">
      <c r="A5614" s="497" t="b">
        <f t="shared" ca="1" si="363"/>
        <v>0</v>
      </c>
      <c r="B5614" s="510" t="str">
        <f ca="1">IF(COUNTA(G$4308:G5613)=1,"",OFFSET(B5614,-COUNTA(G$4308:G5613)+1,0))</f>
        <v>a1b3p0000095SAxAAM</v>
      </c>
      <c r="C5614" s="512">
        <f ca="1">IF(COUNTA(G$4308:G5613)=1,"",OFFSET(C5614,-COUNTA(G$4308:G5613)+1,0))</f>
        <v>58</v>
      </c>
      <c r="D5614" s="497">
        <f t="shared" si="364"/>
        <v>824</v>
      </c>
      <c r="E5614" s="497">
        <f t="shared" ca="1" si="365"/>
        <v>2</v>
      </c>
      <c r="F5614" s="497">
        <f t="shared" ca="1" si="366"/>
        <v>66</v>
      </c>
      <c r="G5614" s="497"/>
      <c r="H5614" s="503" t="str">
        <f t="shared" ca="1" si="367"/>
        <v/>
      </c>
      <c r="I5614" s="503" t="str">
        <f t="shared" ca="1" si="368"/>
        <v/>
      </c>
      <c r="J5614" s="503" t="str">
        <f t="shared" ca="1" si="369"/>
        <v/>
      </c>
      <c r="K5614" s="503" t="str">
        <f t="shared" ca="1" si="370"/>
        <v/>
      </c>
      <c r="L5614" s="497"/>
      <c r="M5614" s="497"/>
      <c r="N5614" s="497"/>
      <c r="O5614" s="497"/>
      <c r="P5614" s="497">
        <f t="shared" si="371"/>
        <v>0</v>
      </c>
      <c r="Q5614" s="497"/>
    </row>
    <row r="5615" spans="1:17" x14ac:dyDescent="0.35">
      <c r="A5615" s="497" t="b">
        <f t="shared" ca="1" si="363"/>
        <v>0</v>
      </c>
      <c r="B5615" s="510" t="str">
        <f ca="1">IF(COUNTA(G$4308:G5614)=1,"",OFFSET(B5615,-COUNTA(G$4308:G5614)+1,0))</f>
        <v>a1b3p0000095SDXAA2</v>
      </c>
      <c r="C5615" s="512">
        <f ca="1">IF(COUNTA(G$4308:G5614)=1,"",OFFSET(C5615,-COUNTA(G$4308:G5614)+1,0))</f>
        <v>58</v>
      </c>
      <c r="D5615" s="497">
        <f t="shared" si="364"/>
        <v>825</v>
      </c>
      <c r="E5615" s="497">
        <f t="shared" ca="1" si="365"/>
        <v>3</v>
      </c>
      <c r="F5615" s="497">
        <f t="shared" ca="1" si="366"/>
        <v>66</v>
      </c>
      <c r="G5615" s="497"/>
      <c r="H5615" s="503" t="str">
        <f t="shared" ca="1" si="367"/>
        <v/>
      </c>
      <c r="I5615" s="503" t="str">
        <f t="shared" ca="1" si="368"/>
        <v/>
      </c>
      <c r="J5615" s="503" t="str">
        <f t="shared" ca="1" si="369"/>
        <v/>
      </c>
      <c r="K5615" s="503" t="str">
        <f t="shared" ca="1" si="370"/>
        <v/>
      </c>
      <c r="L5615" s="497"/>
      <c r="M5615" s="497"/>
      <c r="N5615" s="497"/>
      <c r="O5615" s="497"/>
      <c r="P5615" s="497">
        <f t="shared" si="371"/>
        <v>0</v>
      </c>
      <c r="Q5615" s="497"/>
    </row>
    <row r="5616" spans="1:17" x14ac:dyDescent="0.35">
      <c r="A5616" s="497" t="b">
        <f t="shared" ca="1" si="363"/>
        <v>0</v>
      </c>
      <c r="B5616" s="510" t="str">
        <f ca="1">IF(COUNTA(G$4308:G5615)=1,"",OFFSET(B5616,-COUNTA(G$4308:G5615)+1,0))</f>
        <v>a1b3p0000095SG7AAM</v>
      </c>
      <c r="C5616" s="512">
        <f ca="1">IF(COUNTA(G$4308:G5615)=1,"",OFFSET(C5616,-COUNTA(G$4308:G5615)+1,0))</f>
        <v>58</v>
      </c>
      <c r="D5616" s="497">
        <f t="shared" si="364"/>
        <v>826</v>
      </c>
      <c r="E5616" s="497">
        <f t="shared" ca="1" si="365"/>
        <v>4</v>
      </c>
      <c r="F5616" s="497">
        <f t="shared" ca="1" si="366"/>
        <v>66</v>
      </c>
      <c r="G5616" s="497"/>
      <c r="H5616" s="503" t="str">
        <f t="shared" ca="1" si="367"/>
        <v/>
      </c>
      <c r="I5616" s="503" t="str">
        <f t="shared" ca="1" si="368"/>
        <v/>
      </c>
      <c r="J5616" s="503" t="str">
        <f t="shared" ca="1" si="369"/>
        <v/>
      </c>
      <c r="K5616" s="503" t="str">
        <f t="shared" ca="1" si="370"/>
        <v/>
      </c>
      <c r="L5616" s="497"/>
      <c r="M5616" s="497"/>
      <c r="N5616" s="497"/>
      <c r="O5616" s="497"/>
      <c r="P5616" s="497">
        <f t="shared" si="371"/>
        <v>0</v>
      </c>
      <c r="Q5616" s="497"/>
    </row>
    <row r="5617" spans="1:17" x14ac:dyDescent="0.35">
      <c r="A5617" s="497" t="b">
        <f t="shared" ca="1" si="363"/>
        <v>0</v>
      </c>
      <c r="B5617" s="510" t="str">
        <f ca="1">IF(COUNTA(G$4308:G5616)=1,"",OFFSET(B5617,-COUNTA(G$4308:G5616)+1,0))</f>
        <v>a1b3p0000095SIhAAM</v>
      </c>
      <c r="C5617" s="512">
        <f ca="1">IF(COUNTA(G$4308:G5616)=1,"",OFFSET(C5617,-COUNTA(G$4308:G5616)+1,0))</f>
        <v>58</v>
      </c>
      <c r="D5617" s="497">
        <f t="shared" si="364"/>
        <v>827</v>
      </c>
      <c r="E5617" s="497">
        <f t="shared" ca="1" si="365"/>
        <v>5</v>
      </c>
      <c r="F5617" s="497">
        <f t="shared" ca="1" si="366"/>
        <v>66</v>
      </c>
      <c r="G5617" s="497"/>
      <c r="H5617" s="503" t="str">
        <f t="shared" ca="1" si="367"/>
        <v/>
      </c>
      <c r="I5617" s="503" t="str">
        <f t="shared" ca="1" si="368"/>
        <v/>
      </c>
      <c r="J5617" s="503" t="str">
        <f t="shared" ca="1" si="369"/>
        <v/>
      </c>
      <c r="K5617" s="503" t="str">
        <f t="shared" ca="1" si="370"/>
        <v/>
      </c>
      <c r="L5617" s="497"/>
      <c r="M5617" s="497"/>
      <c r="N5617" s="497"/>
      <c r="O5617" s="497"/>
      <c r="P5617" s="497">
        <f t="shared" si="371"/>
        <v>0</v>
      </c>
      <c r="Q5617" s="497"/>
    </row>
    <row r="5618" spans="1:17" x14ac:dyDescent="0.35">
      <c r="A5618" s="497" t="b">
        <f t="shared" ca="1" si="363"/>
        <v>0</v>
      </c>
      <c r="B5618" s="510" t="str">
        <f ca="1">IF(COUNTA(G$4308:G5617)=1,"",OFFSET(B5618,-COUNTA(G$4308:G5617)+1,0))</f>
        <v>a1b3p0000095SLHAA2</v>
      </c>
      <c r="C5618" s="512">
        <f ca="1">IF(COUNTA(G$4308:G5617)=1,"",OFFSET(C5618,-COUNTA(G$4308:G5617)+1,0))</f>
        <v>58</v>
      </c>
      <c r="D5618" s="497">
        <f t="shared" si="364"/>
        <v>828</v>
      </c>
      <c r="E5618" s="497">
        <f t="shared" ca="1" si="365"/>
        <v>6</v>
      </c>
      <c r="F5618" s="497">
        <f t="shared" ca="1" si="366"/>
        <v>66</v>
      </c>
      <c r="G5618" s="497"/>
      <c r="H5618" s="503" t="str">
        <f t="shared" ca="1" si="367"/>
        <v/>
      </c>
      <c r="I5618" s="503" t="str">
        <f t="shared" ca="1" si="368"/>
        <v/>
      </c>
      <c r="J5618" s="503" t="str">
        <f t="shared" ca="1" si="369"/>
        <v/>
      </c>
      <c r="K5618" s="503" t="str">
        <f t="shared" ca="1" si="370"/>
        <v/>
      </c>
      <c r="L5618" s="497"/>
      <c r="M5618" s="497"/>
      <c r="N5618" s="497"/>
      <c r="O5618" s="497"/>
      <c r="P5618" s="497">
        <f t="shared" si="371"/>
        <v>0</v>
      </c>
      <c r="Q5618" s="497"/>
    </row>
    <row r="5619" spans="1:17" x14ac:dyDescent="0.35">
      <c r="A5619" s="497" t="b">
        <f t="shared" ca="1" si="363"/>
        <v>0</v>
      </c>
      <c r="B5619" s="510" t="str">
        <f ca="1">IF(COUNTA(G$4308:G5618)=1,"",OFFSET(B5619,-COUNTA(G$4308:G5618)+1,0))</f>
        <v>a1b3p0000095S8OAAU</v>
      </c>
      <c r="C5619" s="512">
        <f ca="1">IF(COUNTA(G$4308:G5618)=1,"",OFFSET(C5619,-COUNTA(G$4308:G5618)+1,0))</f>
        <v>59</v>
      </c>
      <c r="D5619" s="497">
        <f t="shared" si="364"/>
        <v>829</v>
      </c>
      <c r="E5619" s="497">
        <f t="shared" ca="1" si="365"/>
        <v>1</v>
      </c>
      <c r="F5619" s="497">
        <f t="shared" ca="1" si="366"/>
        <v>67</v>
      </c>
      <c r="G5619" s="497"/>
      <c r="H5619" s="503" t="str">
        <f t="shared" ca="1" si="367"/>
        <v/>
      </c>
      <c r="I5619" s="503" t="str">
        <f t="shared" ca="1" si="368"/>
        <v/>
      </c>
      <c r="J5619" s="503" t="str">
        <f t="shared" ca="1" si="369"/>
        <v/>
      </c>
      <c r="K5619" s="503" t="str">
        <f t="shared" ca="1" si="370"/>
        <v/>
      </c>
      <c r="L5619" s="497"/>
      <c r="M5619" s="497"/>
      <c r="N5619" s="497"/>
      <c r="O5619" s="497"/>
      <c r="P5619" s="497">
        <f t="shared" si="371"/>
        <v>0</v>
      </c>
      <c r="Q5619" s="497"/>
    </row>
    <row r="5620" spans="1:17" x14ac:dyDescent="0.35">
      <c r="A5620" s="497" t="b">
        <f t="shared" ca="1" si="363"/>
        <v>0</v>
      </c>
      <c r="B5620" s="510" t="str">
        <f ca="1">IF(COUNTA(G$4308:G5619)=1,"",OFFSET(B5620,-COUNTA(G$4308:G5619)+1,0))</f>
        <v>a1b3p0000095SAyAAM</v>
      </c>
      <c r="C5620" s="512">
        <f ca="1">IF(COUNTA(G$4308:G5619)=1,"",OFFSET(C5620,-COUNTA(G$4308:G5619)+1,0))</f>
        <v>59</v>
      </c>
      <c r="D5620" s="497">
        <f t="shared" si="364"/>
        <v>830</v>
      </c>
      <c r="E5620" s="497">
        <f t="shared" ca="1" si="365"/>
        <v>2</v>
      </c>
      <c r="F5620" s="497">
        <f t="shared" ca="1" si="366"/>
        <v>67</v>
      </c>
      <c r="G5620" s="497"/>
      <c r="H5620" s="503" t="str">
        <f t="shared" ca="1" si="367"/>
        <v/>
      </c>
      <c r="I5620" s="503" t="str">
        <f t="shared" ca="1" si="368"/>
        <v/>
      </c>
      <c r="J5620" s="503" t="str">
        <f t="shared" ca="1" si="369"/>
        <v/>
      </c>
      <c r="K5620" s="503" t="str">
        <f t="shared" ca="1" si="370"/>
        <v/>
      </c>
      <c r="L5620" s="497"/>
      <c r="M5620" s="497"/>
      <c r="N5620" s="497"/>
      <c r="O5620" s="497"/>
      <c r="P5620" s="497">
        <f t="shared" si="371"/>
        <v>0</v>
      </c>
      <c r="Q5620" s="497"/>
    </row>
    <row r="5621" spans="1:17" x14ac:dyDescent="0.35">
      <c r="A5621" s="497" t="b">
        <f t="shared" ca="1" si="363"/>
        <v>0</v>
      </c>
      <c r="B5621" s="510" t="str">
        <f ca="1">IF(COUNTA(G$4308:G5620)=1,"",OFFSET(B5621,-COUNTA(G$4308:G5620)+1,0))</f>
        <v>a1b3p0000095SDYAA2</v>
      </c>
      <c r="C5621" s="512">
        <f ca="1">IF(COUNTA(G$4308:G5620)=1,"",OFFSET(C5621,-COUNTA(G$4308:G5620)+1,0))</f>
        <v>59</v>
      </c>
      <c r="D5621" s="497">
        <f t="shared" si="364"/>
        <v>831</v>
      </c>
      <c r="E5621" s="497">
        <f t="shared" ca="1" si="365"/>
        <v>3</v>
      </c>
      <c r="F5621" s="497">
        <f t="shared" ca="1" si="366"/>
        <v>67</v>
      </c>
      <c r="G5621" s="497"/>
      <c r="H5621" s="503" t="str">
        <f t="shared" ca="1" si="367"/>
        <v/>
      </c>
      <c r="I5621" s="503" t="str">
        <f t="shared" ca="1" si="368"/>
        <v/>
      </c>
      <c r="J5621" s="503" t="str">
        <f t="shared" ca="1" si="369"/>
        <v/>
      </c>
      <c r="K5621" s="503" t="str">
        <f t="shared" ca="1" si="370"/>
        <v/>
      </c>
      <c r="L5621" s="497"/>
      <c r="M5621" s="497"/>
      <c r="N5621" s="497"/>
      <c r="O5621" s="497"/>
      <c r="P5621" s="497">
        <f t="shared" si="371"/>
        <v>0</v>
      </c>
      <c r="Q5621" s="497"/>
    </row>
    <row r="5622" spans="1:17" x14ac:dyDescent="0.35">
      <c r="A5622" s="497" t="b">
        <f t="shared" ca="1" si="363"/>
        <v>0</v>
      </c>
      <c r="B5622" s="510" t="str">
        <f ca="1">IF(COUNTA(G$4308:G5621)=1,"",OFFSET(B5622,-COUNTA(G$4308:G5621)+1,0))</f>
        <v>a1b3p0000095SG8AAM</v>
      </c>
      <c r="C5622" s="512">
        <f ca="1">IF(COUNTA(G$4308:G5621)=1,"",OFFSET(C5622,-COUNTA(G$4308:G5621)+1,0))</f>
        <v>59</v>
      </c>
      <c r="D5622" s="497">
        <f t="shared" si="364"/>
        <v>832</v>
      </c>
      <c r="E5622" s="497">
        <f t="shared" ca="1" si="365"/>
        <v>4</v>
      </c>
      <c r="F5622" s="497">
        <f t="shared" ca="1" si="366"/>
        <v>67</v>
      </c>
      <c r="G5622" s="497"/>
      <c r="H5622" s="503" t="str">
        <f t="shared" ca="1" si="367"/>
        <v/>
      </c>
      <c r="I5622" s="503" t="str">
        <f t="shared" ca="1" si="368"/>
        <v/>
      </c>
      <c r="J5622" s="503" t="str">
        <f t="shared" ca="1" si="369"/>
        <v/>
      </c>
      <c r="K5622" s="503" t="str">
        <f t="shared" ca="1" si="370"/>
        <v/>
      </c>
      <c r="L5622" s="497"/>
      <c r="M5622" s="497"/>
      <c r="N5622" s="497"/>
      <c r="O5622" s="497"/>
      <c r="P5622" s="497">
        <f t="shared" si="371"/>
        <v>0</v>
      </c>
      <c r="Q5622" s="497"/>
    </row>
    <row r="5623" spans="1:17" x14ac:dyDescent="0.35">
      <c r="A5623" s="497" t="b">
        <f t="shared" ca="1" si="363"/>
        <v>0</v>
      </c>
      <c r="B5623" s="510" t="str">
        <f ca="1">IF(COUNTA(G$4308:G5622)=1,"",OFFSET(B5623,-COUNTA(G$4308:G5622)+1,0))</f>
        <v>a1b3p0000095SIiAAM</v>
      </c>
      <c r="C5623" s="512">
        <f ca="1">IF(COUNTA(G$4308:G5622)=1,"",OFFSET(C5623,-COUNTA(G$4308:G5622)+1,0))</f>
        <v>59</v>
      </c>
      <c r="D5623" s="497">
        <f t="shared" si="364"/>
        <v>833</v>
      </c>
      <c r="E5623" s="497">
        <f t="shared" ca="1" si="365"/>
        <v>5</v>
      </c>
      <c r="F5623" s="497">
        <f t="shared" ca="1" si="366"/>
        <v>67</v>
      </c>
      <c r="G5623" s="497"/>
      <c r="H5623" s="503" t="str">
        <f t="shared" ca="1" si="367"/>
        <v/>
      </c>
      <c r="I5623" s="503" t="str">
        <f t="shared" ca="1" si="368"/>
        <v/>
      </c>
      <c r="J5623" s="503" t="str">
        <f t="shared" ca="1" si="369"/>
        <v/>
      </c>
      <c r="K5623" s="503" t="str">
        <f t="shared" ca="1" si="370"/>
        <v/>
      </c>
      <c r="L5623" s="497"/>
      <c r="M5623" s="497"/>
      <c r="N5623" s="497"/>
      <c r="O5623" s="497"/>
      <c r="P5623" s="497">
        <f t="shared" si="371"/>
        <v>0</v>
      </c>
      <c r="Q5623" s="497"/>
    </row>
    <row r="5624" spans="1:17" x14ac:dyDescent="0.35">
      <c r="A5624" s="497" t="b">
        <f t="shared" ca="1" si="363"/>
        <v>0</v>
      </c>
      <c r="B5624" s="510" t="str">
        <f ca="1">IF(COUNTA(G$4308:G5623)=1,"",OFFSET(B5624,-COUNTA(G$4308:G5623)+1,0))</f>
        <v>a1b3p0000095SLIAA2</v>
      </c>
      <c r="C5624" s="512">
        <f ca="1">IF(COUNTA(G$4308:G5623)=1,"",OFFSET(C5624,-COUNTA(G$4308:G5623)+1,0))</f>
        <v>59</v>
      </c>
      <c r="D5624" s="497">
        <f t="shared" si="364"/>
        <v>834</v>
      </c>
      <c r="E5624" s="497">
        <f t="shared" ca="1" si="365"/>
        <v>6</v>
      </c>
      <c r="F5624" s="497">
        <f t="shared" ca="1" si="366"/>
        <v>67</v>
      </c>
      <c r="G5624" s="497"/>
      <c r="H5624" s="503" t="str">
        <f t="shared" ca="1" si="367"/>
        <v/>
      </c>
      <c r="I5624" s="503" t="str">
        <f t="shared" ca="1" si="368"/>
        <v/>
      </c>
      <c r="J5624" s="503" t="str">
        <f t="shared" ca="1" si="369"/>
        <v/>
      </c>
      <c r="K5624" s="503" t="str">
        <f t="shared" ca="1" si="370"/>
        <v/>
      </c>
      <c r="L5624" s="497"/>
      <c r="M5624" s="497"/>
      <c r="N5624" s="497"/>
      <c r="O5624" s="497"/>
      <c r="P5624" s="497">
        <f t="shared" si="371"/>
        <v>0</v>
      </c>
      <c r="Q5624" s="497"/>
    </row>
    <row r="5625" spans="1:17" x14ac:dyDescent="0.35">
      <c r="A5625" s="497" t="b">
        <f t="shared" ca="1" si="363"/>
        <v>0</v>
      </c>
      <c r="B5625" s="510" t="str">
        <f ca="1">IF(COUNTA(G$4308:G5624)=1,"",OFFSET(B5625,-COUNTA(G$4308:G5624)+1,0))</f>
        <v>a1b3p0000095S8PAAU</v>
      </c>
      <c r="C5625" s="512">
        <f ca="1">IF(COUNTA(G$4308:G5624)=1,"",OFFSET(C5625,-COUNTA(G$4308:G5624)+1,0))</f>
        <v>60</v>
      </c>
      <c r="D5625" s="497">
        <f t="shared" si="364"/>
        <v>835</v>
      </c>
      <c r="E5625" s="497">
        <f t="shared" ca="1" si="365"/>
        <v>1</v>
      </c>
      <c r="F5625" s="497">
        <f t="shared" ca="1" si="366"/>
        <v>68</v>
      </c>
      <c r="G5625" s="497"/>
      <c r="H5625" s="503" t="str">
        <f t="shared" ca="1" si="367"/>
        <v/>
      </c>
      <c r="I5625" s="503" t="str">
        <f t="shared" ca="1" si="368"/>
        <v/>
      </c>
      <c r="J5625" s="503" t="str">
        <f t="shared" ca="1" si="369"/>
        <v/>
      </c>
      <c r="K5625" s="503" t="str">
        <f t="shared" ca="1" si="370"/>
        <v/>
      </c>
      <c r="L5625" s="497"/>
      <c r="M5625" s="497"/>
      <c r="N5625" s="497"/>
      <c r="O5625" s="497"/>
      <c r="P5625" s="497">
        <f t="shared" si="371"/>
        <v>0</v>
      </c>
      <c r="Q5625" s="497"/>
    </row>
    <row r="5626" spans="1:17" x14ac:dyDescent="0.35">
      <c r="A5626" s="497" t="b">
        <f t="shared" ca="1" si="363"/>
        <v>0</v>
      </c>
      <c r="B5626" s="510" t="str">
        <f ca="1">IF(COUNTA(G$4308:G5625)=1,"",OFFSET(B5626,-COUNTA(G$4308:G5625)+1,0))</f>
        <v>a1b3p0000095SAzAAM</v>
      </c>
      <c r="C5626" s="512">
        <f ca="1">IF(COUNTA(G$4308:G5625)=1,"",OFFSET(C5626,-COUNTA(G$4308:G5625)+1,0))</f>
        <v>60</v>
      </c>
      <c r="D5626" s="497">
        <f t="shared" si="364"/>
        <v>836</v>
      </c>
      <c r="E5626" s="497">
        <f t="shared" ca="1" si="365"/>
        <v>2</v>
      </c>
      <c r="F5626" s="497">
        <f t="shared" ca="1" si="366"/>
        <v>68</v>
      </c>
      <c r="G5626" s="497"/>
      <c r="H5626" s="503" t="str">
        <f t="shared" ca="1" si="367"/>
        <v/>
      </c>
      <c r="I5626" s="503" t="str">
        <f t="shared" ca="1" si="368"/>
        <v/>
      </c>
      <c r="J5626" s="503" t="str">
        <f t="shared" ca="1" si="369"/>
        <v/>
      </c>
      <c r="K5626" s="503" t="str">
        <f t="shared" ca="1" si="370"/>
        <v/>
      </c>
      <c r="L5626" s="497"/>
      <c r="M5626" s="497"/>
      <c r="N5626" s="497"/>
      <c r="O5626" s="497"/>
      <c r="P5626" s="497">
        <f t="shared" si="371"/>
        <v>0</v>
      </c>
      <c r="Q5626" s="497"/>
    </row>
    <row r="5627" spans="1:17" x14ac:dyDescent="0.35">
      <c r="A5627" s="497" t="b">
        <f t="shared" ca="1" si="363"/>
        <v>0</v>
      </c>
      <c r="B5627" s="510" t="str">
        <f ca="1">IF(COUNTA(G$4308:G5626)=1,"",OFFSET(B5627,-COUNTA(G$4308:G5626)+1,0))</f>
        <v>a1b3p0000095SDZAA2</v>
      </c>
      <c r="C5627" s="512">
        <f ca="1">IF(COUNTA(G$4308:G5626)=1,"",OFFSET(C5627,-COUNTA(G$4308:G5626)+1,0))</f>
        <v>60</v>
      </c>
      <c r="D5627" s="497">
        <f t="shared" si="364"/>
        <v>837</v>
      </c>
      <c r="E5627" s="497">
        <f t="shared" ca="1" si="365"/>
        <v>3</v>
      </c>
      <c r="F5627" s="497">
        <f t="shared" ca="1" si="366"/>
        <v>68</v>
      </c>
      <c r="G5627" s="497"/>
      <c r="H5627" s="503" t="str">
        <f t="shared" ca="1" si="367"/>
        <v/>
      </c>
      <c r="I5627" s="503" t="str">
        <f t="shared" ca="1" si="368"/>
        <v/>
      </c>
      <c r="J5627" s="503" t="str">
        <f t="shared" ca="1" si="369"/>
        <v/>
      </c>
      <c r="K5627" s="503" t="str">
        <f t="shared" ca="1" si="370"/>
        <v/>
      </c>
      <c r="L5627" s="497"/>
      <c r="M5627" s="497"/>
      <c r="N5627" s="497"/>
      <c r="O5627" s="497"/>
      <c r="P5627" s="497">
        <f t="shared" si="371"/>
        <v>0</v>
      </c>
      <c r="Q5627" s="497"/>
    </row>
    <row r="5628" spans="1:17" x14ac:dyDescent="0.35">
      <c r="A5628" s="497" t="b">
        <f t="shared" ca="1" si="363"/>
        <v>0</v>
      </c>
      <c r="B5628" s="510" t="str">
        <f ca="1">IF(COUNTA(G$4308:G5627)=1,"",OFFSET(B5628,-COUNTA(G$4308:G5627)+1,0))</f>
        <v>a1b3p0000095SG9AAM</v>
      </c>
      <c r="C5628" s="512">
        <f ca="1">IF(COUNTA(G$4308:G5627)=1,"",OFFSET(C5628,-COUNTA(G$4308:G5627)+1,0))</f>
        <v>60</v>
      </c>
      <c r="D5628" s="497">
        <f t="shared" si="364"/>
        <v>838</v>
      </c>
      <c r="E5628" s="497">
        <f t="shared" ca="1" si="365"/>
        <v>4</v>
      </c>
      <c r="F5628" s="497">
        <f t="shared" ca="1" si="366"/>
        <v>68</v>
      </c>
      <c r="G5628" s="497"/>
      <c r="H5628" s="503" t="str">
        <f t="shared" ca="1" si="367"/>
        <v/>
      </c>
      <c r="I5628" s="503" t="str">
        <f t="shared" ca="1" si="368"/>
        <v/>
      </c>
      <c r="J5628" s="503" t="str">
        <f t="shared" ca="1" si="369"/>
        <v/>
      </c>
      <c r="K5628" s="503" t="str">
        <f t="shared" ca="1" si="370"/>
        <v/>
      </c>
      <c r="L5628" s="497"/>
      <c r="M5628" s="497"/>
      <c r="N5628" s="497"/>
      <c r="O5628" s="497"/>
      <c r="P5628" s="497">
        <f t="shared" si="371"/>
        <v>0</v>
      </c>
      <c r="Q5628" s="497"/>
    </row>
    <row r="5629" spans="1:17" x14ac:dyDescent="0.35">
      <c r="A5629" s="497" t="b">
        <f t="shared" ca="1" si="363"/>
        <v>0</v>
      </c>
      <c r="B5629" s="510" t="str">
        <f ca="1">IF(COUNTA(G$4308:G5628)=1,"",OFFSET(B5629,-COUNTA(G$4308:G5628)+1,0))</f>
        <v>a1b3p0000095SIjAAM</v>
      </c>
      <c r="C5629" s="512">
        <f ca="1">IF(COUNTA(G$4308:G5628)=1,"",OFFSET(C5629,-COUNTA(G$4308:G5628)+1,0))</f>
        <v>60</v>
      </c>
      <c r="D5629" s="497">
        <f t="shared" si="364"/>
        <v>839</v>
      </c>
      <c r="E5629" s="497">
        <f t="shared" ca="1" si="365"/>
        <v>5</v>
      </c>
      <c r="F5629" s="497">
        <f t="shared" ca="1" si="366"/>
        <v>68</v>
      </c>
      <c r="G5629" s="497"/>
      <c r="H5629" s="503" t="str">
        <f t="shared" ca="1" si="367"/>
        <v/>
      </c>
      <c r="I5629" s="503" t="str">
        <f t="shared" ca="1" si="368"/>
        <v/>
      </c>
      <c r="J5629" s="503" t="str">
        <f t="shared" ca="1" si="369"/>
        <v/>
      </c>
      <c r="K5629" s="503" t="str">
        <f t="shared" ca="1" si="370"/>
        <v/>
      </c>
      <c r="L5629" s="497"/>
      <c r="M5629" s="497"/>
      <c r="N5629" s="497"/>
      <c r="O5629" s="497"/>
      <c r="P5629" s="497">
        <f t="shared" si="371"/>
        <v>0</v>
      </c>
      <c r="Q5629" s="497"/>
    </row>
    <row r="5630" spans="1:17" x14ac:dyDescent="0.35">
      <c r="A5630" s="497" t="b">
        <f t="shared" ca="1" si="363"/>
        <v>0</v>
      </c>
      <c r="B5630" s="510" t="str">
        <f ca="1">IF(COUNTA(G$4308:G5629)=1,"",OFFSET(B5630,-COUNTA(G$4308:G5629)+1,0))</f>
        <v>a1b3p0000095SLJAA2</v>
      </c>
      <c r="C5630" s="512">
        <f ca="1">IF(COUNTA(G$4308:G5629)=1,"",OFFSET(C5630,-COUNTA(G$4308:G5629)+1,0))</f>
        <v>60</v>
      </c>
      <c r="D5630" s="497">
        <f t="shared" si="364"/>
        <v>840</v>
      </c>
      <c r="E5630" s="497">
        <f t="shared" ca="1" si="365"/>
        <v>6</v>
      </c>
      <c r="F5630" s="497">
        <f t="shared" ca="1" si="366"/>
        <v>68</v>
      </c>
      <c r="G5630" s="497"/>
      <c r="H5630" s="503" t="str">
        <f t="shared" ca="1" si="367"/>
        <v/>
      </c>
      <c r="I5630" s="503" t="str">
        <f t="shared" ca="1" si="368"/>
        <v/>
      </c>
      <c r="J5630" s="503" t="str">
        <f t="shared" ca="1" si="369"/>
        <v/>
      </c>
      <c r="K5630" s="503" t="str">
        <f t="shared" ca="1" si="370"/>
        <v/>
      </c>
      <c r="L5630" s="497"/>
      <c r="M5630" s="497"/>
      <c r="N5630" s="497"/>
      <c r="O5630" s="497"/>
      <c r="P5630" s="497">
        <f t="shared" si="371"/>
        <v>0</v>
      </c>
      <c r="Q5630" s="497"/>
    </row>
    <row r="5631" spans="1:17" x14ac:dyDescent="0.35">
      <c r="A5631" s="497" t="b">
        <f t="shared" ca="1" si="363"/>
        <v>0</v>
      </c>
      <c r="B5631" s="510" t="str">
        <f ca="1">IF(COUNTA(G$4308:G5630)=1,"",OFFSET(B5631,-COUNTA(G$4308:G5630)+1,0))</f>
        <v>a1b3p0000095S8QAAU</v>
      </c>
      <c r="C5631" s="512">
        <f ca="1">IF(COUNTA(G$4308:G5630)=1,"",OFFSET(C5631,-COUNTA(G$4308:G5630)+1,0))</f>
        <v>61</v>
      </c>
      <c r="D5631" s="497">
        <f t="shared" si="364"/>
        <v>841</v>
      </c>
      <c r="E5631" s="497">
        <f t="shared" ca="1" si="365"/>
        <v>1</v>
      </c>
      <c r="F5631" s="497">
        <f t="shared" ca="1" si="366"/>
        <v>69</v>
      </c>
      <c r="G5631" s="497"/>
      <c r="H5631" s="503" t="str">
        <f t="shared" ca="1" si="367"/>
        <v/>
      </c>
      <c r="I5631" s="503" t="str">
        <f t="shared" ca="1" si="368"/>
        <v/>
      </c>
      <c r="J5631" s="503" t="str">
        <f t="shared" ca="1" si="369"/>
        <v/>
      </c>
      <c r="K5631" s="503" t="str">
        <f t="shared" ca="1" si="370"/>
        <v/>
      </c>
      <c r="L5631" s="497"/>
      <c r="M5631" s="497"/>
      <c r="N5631" s="497"/>
      <c r="O5631" s="497"/>
      <c r="P5631" s="497">
        <f t="shared" si="371"/>
        <v>0</v>
      </c>
      <c r="Q5631" s="497"/>
    </row>
    <row r="5632" spans="1:17" x14ac:dyDescent="0.35">
      <c r="A5632" s="497" t="b">
        <f t="shared" ca="1" si="363"/>
        <v>0</v>
      </c>
      <c r="B5632" s="510" t="str">
        <f ca="1">IF(COUNTA(G$4308:G5631)=1,"",OFFSET(B5632,-COUNTA(G$4308:G5631)+1,0))</f>
        <v>a1b3p0000095SB0AAM</v>
      </c>
      <c r="C5632" s="512">
        <f ca="1">IF(COUNTA(G$4308:G5631)=1,"",OFFSET(C5632,-COUNTA(G$4308:G5631)+1,0))</f>
        <v>61</v>
      </c>
      <c r="D5632" s="497">
        <f t="shared" si="364"/>
        <v>842</v>
      </c>
      <c r="E5632" s="497">
        <f t="shared" ca="1" si="365"/>
        <v>2</v>
      </c>
      <c r="F5632" s="497">
        <f t="shared" ca="1" si="366"/>
        <v>69</v>
      </c>
      <c r="G5632" s="497"/>
      <c r="H5632" s="503" t="str">
        <f t="shared" ca="1" si="367"/>
        <v/>
      </c>
      <c r="I5632" s="503" t="str">
        <f t="shared" ca="1" si="368"/>
        <v/>
      </c>
      <c r="J5632" s="503" t="str">
        <f t="shared" ca="1" si="369"/>
        <v/>
      </c>
      <c r="K5632" s="503" t="str">
        <f t="shared" ca="1" si="370"/>
        <v/>
      </c>
      <c r="L5632" s="497"/>
      <c r="M5632" s="497"/>
      <c r="N5632" s="497"/>
      <c r="O5632" s="497"/>
      <c r="P5632" s="497">
        <f t="shared" si="371"/>
        <v>0</v>
      </c>
      <c r="Q5632" s="497"/>
    </row>
    <row r="5633" spans="1:17" x14ac:dyDescent="0.35">
      <c r="A5633" s="497" t="b">
        <f t="shared" ca="1" si="363"/>
        <v>0</v>
      </c>
      <c r="B5633" s="510" t="str">
        <f ca="1">IF(COUNTA(G$4308:G5632)=1,"",OFFSET(B5633,-COUNTA(G$4308:G5632)+1,0))</f>
        <v>a1b3p0000095SDaAAM</v>
      </c>
      <c r="C5633" s="512">
        <f ca="1">IF(COUNTA(G$4308:G5632)=1,"",OFFSET(C5633,-COUNTA(G$4308:G5632)+1,0))</f>
        <v>61</v>
      </c>
      <c r="D5633" s="497">
        <f t="shared" si="364"/>
        <v>843</v>
      </c>
      <c r="E5633" s="497">
        <f t="shared" ca="1" si="365"/>
        <v>3</v>
      </c>
      <c r="F5633" s="497">
        <f t="shared" ca="1" si="366"/>
        <v>69</v>
      </c>
      <c r="G5633" s="497"/>
      <c r="H5633" s="503" t="str">
        <f t="shared" ca="1" si="367"/>
        <v/>
      </c>
      <c r="I5633" s="503" t="str">
        <f t="shared" ca="1" si="368"/>
        <v/>
      </c>
      <c r="J5633" s="503" t="str">
        <f t="shared" ca="1" si="369"/>
        <v/>
      </c>
      <c r="K5633" s="503" t="str">
        <f t="shared" ca="1" si="370"/>
        <v/>
      </c>
      <c r="L5633" s="497"/>
      <c r="M5633" s="497"/>
      <c r="N5633" s="497"/>
      <c r="O5633" s="497"/>
      <c r="P5633" s="497">
        <f t="shared" si="371"/>
        <v>0</v>
      </c>
      <c r="Q5633" s="497"/>
    </row>
    <row r="5634" spans="1:17" x14ac:dyDescent="0.35">
      <c r="A5634" s="497" t="b">
        <f t="shared" ca="1" si="363"/>
        <v>0</v>
      </c>
      <c r="B5634" s="510" t="str">
        <f ca="1">IF(COUNTA(G$4308:G5633)=1,"",OFFSET(B5634,-COUNTA(G$4308:G5633)+1,0))</f>
        <v>a1b3p0000095SGAAA2</v>
      </c>
      <c r="C5634" s="512">
        <f ca="1">IF(COUNTA(G$4308:G5633)=1,"",OFFSET(C5634,-COUNTA(G$4308:G5633)+1,0))</f>
        <v>61</v>
      </c>
      <c r="D5634" s="497">
        <f t="shared" si="364"/>
        <v>844</v>
      </c>
      <c r="E5634" s="497">
        <f t="shared" ca="1" si="365"/>
        <v>4</v>
      </c>
      <c r="F5634" s="497">
        <f t="shared" ca="1" si="366"/>
        <v>69</v>
      </c>
      <c r="G5634" s="497"/>
      <c r="H5634" s="503" t="str">
        <f t="shared" ca="1" si="367"/>
        <v/>
      </c>
      <c r="I5634" s="503" t="str">
        <f t="shared" ca="1" si="368"/>
        <v/>
      </c>
      <c r="J5634" s="503" t="str">
        <f t="shared" ca="1" si="369"/>
        <v/>
      </c>
      <c r="K5634" s="503" t="str">
        <f t="shared" ca="1" si="370"/>
        <v/>
      </c>
      <c r="L5634" s="497"/>
      <c r="M5634" s="497"/>
      <c r="N5634" s="497"/>
      <c r="O5634" s="497"/>
      <c r="P5634" s="497">
        <f t="shared" si="371"/>
        <v>0</v>
      </c>
      <c r="Q5634" s="497"/>
    </row>
    <row r="5635" spans="1:17" x14ac:dyDescent="0.35">
      <c r="A5635" s="497" t="b">
        <f t="shared" ca="1" si="363"/>
        <v>0</v>
      </c>
      <c r="B5635" s="510" t="str">
        <f ca="1">IF(COUNTA(G$4308:G5634)=1,"",OFFSET(B5635,-COUNTA(G$4308:G5634)+1,0))</f>
        <v>a1b3p0000095SIkAAM</v>
      </c>
      <c r="C5635" s="512">
        <f ca="1">IF(COUNTA(G$4308:G5634)=1,"",OFFSET(C5635,-COUNTA(G$4308:G5634)+1,0))</f>
        <v>61</v>
      </c>
      <c r="D5635" s="497">
        <f t="shared" si="364"/>
        <v>845</v>
      </c>
      <c r="E5635" s="497">
        <f t="shared" ca="1" si="365"/>
        <v>5</v>
      </c>
      <c r="F5635" s="497">
        <f t="shared" ca="1" si="366"/>
        <v>69</v>
      </c>
      <c r="G5635" s="497"/>
      <c r="H5635" s="503" t="str">
        <f t="shared" ca="1" si="367"/>
        <v/>
      </c>
      <c r="I5635" s="503" t="str">
        <f t="shared" ca="1" si="368"/>
        <v/>
      </c>
      <c r="J5635" s="503" t="str">
        <f t="shared" ca="1" si="369"/>
        <v/>
      </c>
      <c r="K5635" s="503" t="str">
        <f t="shared" ca="1" si="370"/>
        <v/>
      </c>
      <c r="L5635" s="497"/>
      <c r="M5635" s="497"/>
      <c r="N5635" s="497"/>
      <c r="O5635" s="497"/>
      <c r="P5635" s="497">
        <f t="shared" si="371"/>
        <v>0</v>
      </c>
      <c r="Q5635" s="497"/>
    </row>
    <row r="5636" spans="1:17" x14ac:dyDescent="0.35">
      <c r="A5636" s="497" t="b">
        <f t="shared" ca="1" si="363"/>
        <v>0</v>
      </c>
      <c r="B5636" s="510" t="str">
        <f ca="1">IF(COUNTA(G$4308:G5635)=1,"",OFFSET(B5636,-COUNTA(G$4308:G5635)+1,0))</f>
        <v>a1b3p0000095SLKAA2</v>
      </c>
      <c r="C5636" s="512">
        <f ca="1">IF(COUNTA(G$4308:G5635)=1,"",OFFSET(C5636,-COUNTA(G$4308:G5635)+1,0))</f>
        <v>61</v>
      </c>
      <c r="D5636" s="497">
        <f t="shared" si="364"/>
        <v>846</v>
      </c>
      <c r="E5636" s="497">
        <f t="shared" ca="1" si="365"/>
        <v>6</v>
      </c>
      <c r="F5636" s="497">
        <f t="shared" ca="1" si="366"/>
        <v>69</v>
      </c>
      <c r="G5636" s="497"/>
      <c r="H5636" s="503" t="str">
        <f t="shared" ca="1" si="367"/>
        <v/>
      </c>
      <c r="I5636" s="503" t="str">
        <f t="shared" ca="1" si="368"/>
        <v/>
      </c>
      <c r="J5636" s="503" t="str">
        <f t="shared" ca="1" si="369"/>
        <v/>
      </c>
      <c r="K5636" s="503" t="str">
        <f t="shared" ca="1" si="370"/>
        <v/>
      </c>
      <c r="L5636" s="497"/>
      <c r="M5636" s="497"/>
      <c r="N5636" s="497"/>
      <c r="O5636" s="497"/>
      <c r="P5636" s="497">
        <f t="shared" si="371"/>
        <v>0</v>
      </c>
      <c r="Q5636" s="497"/>
    </row>
    <row r="5637" spans="1:17" x14ac:dyDescent="0.35">
      <c r="A5637" s="497" t="b">
        <f t="shared" ca="1" si="363"/>
        <v>0</v>
      </c>
      <c r="B5637" s="510" t="str">
        <f ca="1">IF(COUNTA(G$4308:G5636)=1,"",OFFSET(B5637,-COUNTA(G$4308:G5636)+1,0))</f>
        <v>a1b3p0000095S8RAAU</v>
      </c>
      <c r="C5637" s="512">
        <f ca="1">IF(COUNTA(G$4308:G5636)=1,"",OFFSET(C5637,-COUNTA(G$4308:G5636)+1,0))</f>
        <v>62</v>
      </c>
      <c r="D5637" s="497">
        <f t="shared" si="364"/>
        <v>847</v>
      </c>
      <c r="E5637" s="497">
        <f t="shared" ca="1" si="365"/>
        <v>1</v>
      </c>
      <c r="F5637" s="497">
        <f t="shared" ca="1" si="366"/>
        <v>70</v>
      </c>
      <c r="G5637" s="497"/>
      <c r="H5637" s="503" t="str">
        <f t="shared" ca="1" si="367"/>
        <v/>
      </c>
      <c r="I5637" s="503" t="str">
        <f t="shared" ca="1" si="368"/>
        <v/>
      </c>
      <c r="J5637" s="503" t="str">
        <f t="shared" ca="1" si="369"/>
        <v/>
      </c>
      <c r="K5637" s="503" t="str">
        <f t="shared" ca="1" si="370"/>
        <v/>
      </c>
      <c r="L5637" s="497"/>
      <c r="M5637" s="497"/>
      <c r="N5637" s="497"/>
      <c r="O5637" s="497"/>
      <c r="P5637" s="497">
        <f t="shared" si="371"/>
        <v>0</v>
      </c>
      <c r="Q5637" s="497"/>
    </row>
    <row r="5638" spans="1:17" x14ac:dyDescent="0.35">
      <c r="A5638" s="497" t="b">
        <f t="shared" ca="1" si="363"/>
        <v>0</v>
      </c>
      <c r="B5638" s="510" t="str">
        <f ca="1">IF(COUNTA(G$4308:G5637)=1,"",OFFSET(B5638,-COUNTA(G$4308:G5637)+1,0))</f>
        <v>a1b3p0000095SB1AAM</v>
      </c>
      <c r="C5638" s="512">
        <f ca="1">IF(COUNTA(G$4308:G5637)=1,"",OFFSET(C5638,-COUNTA(G$4308:G5637)+1,0))</f>
        <v>62</v>
      </c>
      <c r="D5638" s="497">
        <f t="shared" si="364"/>
        <v>848</v>
      </c>
      <c r="E5638" s="497">
        <f t="shared" ca="1" si="365"/>
        <v>2</v>
      </c>
      <c r="F5638" s="497">
        <f t="shared" ca="1" si="366"/>
        <v>70</v>
      </c>
      <c r="G5638" s="497"/>
      <c r="H5638" s="503" t="str">
        <f t="shared" ca="1" si="367"/>
        <v/>
      </c>
      <c r="I5638" s="503" t="str">
        <f t="shared" ca="1" si="368"/>
        <v/>
      </c>
      <c r="J5638" s="503" t="str">
        <f t="shared" ca="1" si="369"/>
        <v/>
      </c>
      <c r="K5638" s="503" t="str">
        <f t="shared" ca="1" si="370"/>
        <v/>
      </c>
      <c r="L5638" s="497"/>
      <c r="M5638" s="497"/>
      <c r="N5638" s="497"/>
      <c r="O5638" s="497"/>
      <c r="P5638" s="497">
        <f t="shared" si="371"/>
        <v>0</v>
      </c>
      <c r="Q5638" s="497"/>
    </row>
    <row r="5639" spans="1:17" x14ac:dyDescent="0.35">
      <c r="A5639" s="497" t="b">
        <f t="shared" ca="1" si="363"/>
        <v>0</v>
      </c>
      <c r="B5639" s="510" t="str">
        <f ca="1">IF(COUNTA(G$4308:G5638)=1,"",OFFSET(B5639,-COUNTA(G$4308:G5638)+1,0))</f>
        <v>a1b3p0000095SDbAAM</v>
      </c>
      <c r="C5639" s="512">
        <f ca="1">IF(COUNTA(G$4308:G5638)=1,"",OFFSET(C5639,-COUNTA(G$4308:G5638)+1,0))</f>
        <v>62</v>
      </c>
      <c r="D5639" s="497">
        <f t="shared" si="364"/>
        <v>849</v>
      </c>
      <c r="E5639" s="497">
        <f t="shared" ca="1" si="365"/>
        <v>3</v>
      </c>
      <c r="F5639" s="497">
        <f t="shared" ca="1" si="366"/>
        <v>70</v>
      </c>
      <c r="G5639" s="497"/>
      <c r="H5639" s="503" t="str">
        <f t="shared" ca="1" si="367"/>
        <v/>
      </c>
      <c r="I5639" s="503" t="str">
        <f t="shared" ca="1" si="368"/>
        <v/>
      </c>
      <c r="J5639" s="503" t="str">
        <f t="shared" ca="1" si="369"/>
        <v/>
      </c>
      <c r="K5639" s="503" t="str">
        <f t="shared" ca="1" si="370"/>
        <v/>
      </c>
      <c r="L5639" s="497"/>
      <c r="M5639" s="497"/>
      <c r="N5639" s="497"/>
      <c r="O5639" s="497"/>
      <c r="P5639" s="497">
        <f t="shared" si="371"/>
        <v>0</v>
      </c>
      <c r="Q5639" s="497"/>
    </row>
    <row r="5640" spans="1:17" x14ac:dyDescent="0.35">
      <c r="A5640" s="497" t="b">
        <f t="shared" ca="1" si="363"/>
        <v>0</v>
      </c>
      <c r="B5640" s="510" t="str">
        <f ca="1">IF(COUNTA(G$4308:G5639)=1,"",OFFSET(B5640,-COUNTA(G$4308:G5639)+1,0))</f>
        <v>a1b3p0000095SGBAA2</v>
      </c>
      <c r="C5640" s="512">
        <f ca="1">IF(COUNTA(G$4308:G5639)=1,"",OFFSET(C5640,-COUNTA(G$4308:G5639)+1,0))</f>
        <v>62</v>
      </c>
      <c r="D5640" s="497">
        <f t="shared" si="364"/>
        <v>850</v>
      </c>
      <c r="E5640" s="497">
        <f t="shared" ca="1" si="365"/>
        <v>4</v>
      </c>
      <c r="F5640" s="497">
        <f t="shared" ca="1" si="366"/>
        <v>70</v>
      </c>
      <c r="G5640" s="497"/>
      <c r="H5640" s="503" t="str">
        <f t="shared" ca="1" si="367"/>
        <v/>
      </c>
      <c r="I5640" s="503" t="str">
        <f t="shared" ca="1" si="368"/>
        <v/>
      </c>
      <c r="J5640" s="503" t="str">
        <f t="shared" ca="1" si="369"/>
        <v/>
      </c>
      <c r="K5640" s="503" t="str">
        <f t="shared" ca="1" si="370"/>
        <v/>
      </c>
      <c r="L5640" s="497"/>
      <c r="M5640" s="497"/>
      <c r="N5640" s="497"/>
      <c r="O5640" s="497"/>
      <c r="P5640" s="497">
        <f t="shared" si="371"/>
        <v>0</v>
      </c>
      <c r="Q5640" s="497"/>
    </row>
    <row r="5641" spans="1:17" x14ac:dyDescent="0.35">
      <c r="A5641" s="497" t="b">
        <f t="shared" ca="1" si="363"/>
        <v>0</v>
      </c>
      <c r="B5641" s="510" t="str">
        <f ca="1">IF(COUNTA(G$4308:G5640)=1,"",OFFSET(B5641,-COUNTA(G$4308:G5640)+1,0))</f>
        <v>a1b3p0000095SIlAAM</v>
      </c>
      <c r="C5641" s="512">
        <f ca="1">IF(COUNTA(G$4308:G5640)=1,"",OFFSET(C5641,-COUNTA(G$4308:G5640)+1,0))</f>
        <v>62</v>
      </c>
      <c r="D5641" s="497">
        <f t="shared" si="364"/>
        <v>851</v>
      </c>
      <c r="E5641" s="497">
        <f t="shared" ca="1" si="365"/>
        <v>5</v>
      </c>
      <c r="F5641" s="497">
        <f t="shared" ca="1" si="366"/>
        <v>70</v>
      </c>
      <c r="G5641" s="497"/>
      <c r="H5641" s="503" t="str">
        <f t="shared" ca="1" si="367"/>
        <v/>
      </c>
      <c r="I5641" s="503" t="str">
        <f t="shared" ca="1" si="368"/>
        <v/>
      </c>
      <c r="J5641" s="503" t="str">
        <f t="shared" ca="1" si="369"/>
        <v/>
      </c>
      <c r="K5641" s="503" t="str">
        <f t="shared" ca="1" si="370"/>
        <v/>
      </c>
      <c r="L5641" s="497"/>
      <c r="M5641" s="497"/>
      <c r="N5641" s="497"/>
      <c r="O5641" s="497"/>
      <c r="P5641" s="497">
        <f t="shared" si="371"/>
        <v>0</v>
      </c>
      <c r="Q5641" s="497"/>
    </row>
    <row r="5642" spans="1:17" x14ac:dyDescent="0.35">
      <c r="A5642" s="497" t="b">
        <f t="shared" ca="1" si="363"/>
        <v>0</v>
      </c>
      <c r="B5642" s="510" t="str">
        <f ca="1">IF(COUNTA(G$4308:G5641)=1,"",OFFSET(B5642,-COUNTA(G$4308:G5641)+1,0))</f>
        <v>a1b3p0000095SLLAA2</v>
      </c>
      <c r="C5642" s="512">
        <f ca="1">IF(COUNTA(G$4308:G5641)=1,"",OFFSET(C5642,-COUNTA(G$4308:G5641)+1,0))</f>
        <v>62</v>
      </c>
      <c r="D5642" s="497">
        <f t="shared" si="364"/>
        <v>852</v>
      </c>
      <c r="E5642" s="497">
        <f t="shared" ca="1" si="365"/>
        <v>6</v>
      </c>
      <c r="F5642" s="497">
        <f t="shared" ca="1" si="366"/>
        <v>70</v>
      </c>
      <c r="G5642" s="497"/>
      <c r="H5642" s="503" t="str">
        <f t="shared" ca="1" si="367"/>
        <v/>
      </c>
      <c r="I5642" s="503" t="str">
        <f t="shared" ca="1" si="368"/>
        <v/>
      </c>
      <c r="J5642" s="503" t="str">
        <f t="shared" ca="1" si="369"/>
        <v/>
      </c>
      <c r="K5642" s="503" t="str">
        <f t="shared" ca="1" si="370"/>
        <v/>
      </c>
      <c r="L5642" s="497"/>
      <c r="M5642" s="497"/>
      <c r="N5642" s="497"/>
      <c r="O5642" s="497"/>
      <c r="P5642" s="497">
        <f t="shared" si="371"/>
        <v>0</v>
      </c>
      <c r="Q5642" s="497"/>
    </row>
    <row r="5643" spans="1:17" x14ac:dyDescent="0.35">
      <c r="A5643" s="497" t="b">
        <f t="shared" ca="1" si="363"/>
        <v>0</v>
      </c>
      <c r="B5643" s="510" t="str">
        <f ca="1">IF(COUNTA(G$4308:G5642)=1,"",OFFSET(B5643,-COUNTA(G$4308:G5642)+1,0))</f>
        <v>a1b3p0000095S8SAAU</v>
      </c>
      <c r="C5643" s="512">
        <f ca="1">IF(COUNTA(G$4308:G5642)=1,"",OFFSET(C5643,-COUNTA(G$4308:G5642)+1,0))</f>
        <v>63</v>
      </c>
      <c r="D5643" s="497">
        <f t="shared" si="364"/>
        <v>853</v>
      </c>
      <c r="E5643" s="497">
        <f t="shared" ca="1" si="365"/>
        <v>1</v>
      </c>
      <c r="F5643" s="497">
        <f t="shared" ca="1" si="366"/>
        <v>71</v>
      </c>
      <c r="G5643" s="497"/>
      <c r="H5643" s="503" t="str">
        <f t="shared" ca="1" si="367"/>
        <v/>
      </c>
      <c r="I5643" s="503" t="str">
        <f t="shared" ca="1" si="368"/>
        <v/>
      </c>
      <c r="J5643" s="503" t="str">
        <f t="shared" ca="1" si="369"/>
        <v/>
      </c>
      <c r="K5643" s="503" t="str">
        <f t="shared" ca="1" si="370"/>
        <v/>
      </c>
      <c r="L5643" s="497"/>
      <c r="M5643" s="497"/>
      <c r="N5643" s="497"/>
      <c r="O5643" s="497"/>
      <c r="P5643" s="497">
        <f t="shared" si="371"/>
        <v>0</v>
      </c>
      <c r="Q5643" s="497"/>
    </row>
    <row r="5644" spans="1:17" x14ac:dyDescent="0.35">
      <c r="A5644" s="497" t="b">
        <f t="shared" ca="1" si="363"/>
        <v>0</v>
      </c>
      <c r="B5644" s="510" t="str">
        <f ca="1">IF(COUNTA(G$4308:G5643)=1,"",OFFSET(B5644,-COUNTA(G$4308:G5643)+1,0))</f>
        <v>a1b3p0000095SB2AAM</v>
      </c>
      <c r="C5644" s="512">
        <f ca="1">IF(COUNTA(G$4308:G5643)=1,"",OFFSET(C5644,-COUNTA(G$4308:G5643)+1,0))</f>
        <v>63</v>
      </c>
      <c r="D5644" s="497">
        <f t="shared" si="364"/>
        <v>854</v>
      </c>
      <c r="E5644" s="497">
        <f t="shared" ca="1" si="365"/>
        <v>2</v>
      </c>
      <c r="F5644" s="497">
        <f t="shared" ca="1" si="366"/>
        <v>71</v>
      </c>
      <c r="G5644" s="497"/>
      <c r="H5644" s="503" t="str">
        <f t="shared" ca="1" si="367"/>
        <v/>
      </c>
      <c r="I5644" s="503" t="str">
        <f t="shared" ca="1" si="368"/>
        <v/>
      </c>
      <c r="J5644" s="503" t="str">
        <f t="shared" ca="1" si="369"/>
        <v/>
      </c>
      <c r="K5644" s="503" t="str">
        <f t="shared" ca="1" si="370"/>
        <v/>
      </c>
      <c r="L5644" s="497"/>
      <c r="M5644" s="497"/>
      <c r="N5644" s="497"/>
      <c r="O5644" s="497"/>
      <c r="P5644" s="497">
        <f t="shared" si="371"/>
        <v>0</v>
      </c>
      <c r="Q5644" s="497"/>
    </row>
    <row r="5645" spans="1:17" x14ac:dyDescent="0.35">
      <c r="A5645" s="497" t="b">
        <f t="shared" ca="1" si="363"/>
        <v>0</v>
      </c>
      <c r="B5645" s="510" t="str">
        <f ca="1">IF(COUNTA(G$4308:G5644)=1,"",OFFSET(B5645,-COUNTA(G$4308:G5644)+1,0))</f>
        <v>a1b3p0000095SDcAAM</v>
      </c>
      <c r="C5645" s="512">
        <f ca="1">IF(COUNTA(G$4308:G5644)=1,"",OFFSET(C5645,-COUNTA(G$4308:G5644)+1,0))</f>
        <v>63</v>
      </c>
      <c r="D5645" s="497">
        <f t="shared" si="364"/>
        <v>855</v>
      </c>
      <c r="E5645" s="497">
        <f t="shared" ca="1" si="365"/>
        <v>3</v>
      </c>
      <c r="F5645" s="497">
        <f t="shared" ca="1" si="366"/>
        <v>71</v>
      </c>
      <c r="G5645" s="497"/>
      <c r="H5645" s="503" t="str">
        <f t="shared" ca="1" si="367"/>
        <v/>
      </c>
      <c r="I5645" s="503" t="str">
        <f t="shared" ca="1" si="368"/>
        <v/>
      </c>
      <c r="J5645" s="503" t="str">
        <f t="shared" ca="1" si="369"/>
        <v/>
      </c>
      <c r="K5645" s="503" t="str">
        <f t="shared" ca="1" si="370"/>
        <v/>
      </c>
      <c r="L5645" s="497"/>
      <c r="M5645" s="497"/>
      <c r="N5645" s="497"/>
      <c r="O5645" s="497"/>
      <c r="P5645" s="497">
        <f t="shared" si="371"/>
        <v>0</v>
      </c>
      <c r="Q5645" s="497"/>
    </row>
    <row r="5646" spans="1:17" x14ac:dyDescent="0.35">
      <c r="A5646" s="497" t="b">
        <f t="shared" ca="1" si="363"/>
        <v>0</v>
      </c>
      <c r="B5646" s="510" t="str">
        <f ca="1">IF(COUNTA(G$4308:G5645)=1,"",OFFSET(B5646,-COUNTA(G$4308:G5645)+1,0))</f>
        <v>a1b3p0000095SGCAA2</v>
      </c>
      <c r="C5646" s="512">
        <f ca="1">IF(COUNTA(G$4308:G5645)=1,"",OFFSET(C5646,-COUNTA(G$4308:G5645)+1,0))</f>
        <v>63</v>
      </c>
      <c r="D5646" s="497">
        <f t="shared" si="364"/>
        <v>856</v>
      </c>
      <c r="E5646" s="497">
        <f t="shared" ca="1" si="365"/>
        <v>4</v>
      </c>
      <c r="F5646" s="497">
        <f t="shared" ca="1" si="366"/>
        <v>71</v>
      </c>
      <c r="G5646" s="497"/>
      <c r="H5646" s="503" t="str">
        <f t="shared" ca="1" si="367"/>
        <v/>
      </c>
      <c r="I5646" s="503" t="str">
        <f t="shared" ca="1" si="368"/>
        <v/>
      </c>
      <c r="J5646" s="503" t="str">
        <f t="shared" ca="1" si="369"/>
        <v/>
      </c>
      <c r="K5646" s="503" t="str">
        <f t="shared" ca="1" si="370"/>
        <v/>
      </c>
      <c r="L5646" s="497"/>
      <c r="M5646" s="497"/>
      <c r="N5646" s="497"/>
      <c r="O5646" s="497"/>
      <c r="P5646" s="497">
        <f t="shared" si="371"/>
        <v>0</v>
      </c>
      <c r="Q5646" s="497"/>
    </row>
    <row r="5647" spans="1:17" x14ac:dyDescent="0.35">
      <c r="A5647" s="497" t="b">
        <f t="shared" ca="1" si="363"/>
        <v>0</v>
      </c>
      <c r="B5647" s="510" t="str">
        <f ca="1">IF(COUNTA(G$4308:G5646)=1,"",OFFSET(B5647,-COUNTA(G$4308:G5646)+1,0))</f>
        <v>a1b3p0000095SImAAM</v>
      </c>
      <c r="C5647" s="512">
        <f ca="1">IF(COUNTA(G$4308:G5646)=1,"",OFFSET(C5647,-COUNTA(G$4308:G5646)+1,0))</f>
        <v>63</v>
      </c>
      <c r="D5647" s="497">
        <f t="shared" si="364"/>
        <v>857</v>
      </c>
      <c r="E5647" s="497">
        <f t="shared" ca="1" si="365"/>
        <v>5</v>
      </c>
      <c r="F5647" s="497">
        <f t="shared" ca="1" si="366"/>
        <v>71</v>
      </c>
      <c r="G5647" s="497"/>
      <c r="H5647" s="503" t="str">
        <f t="shared" ca="1" si="367"/>
        <v/>
      </c>
      <c r="I5647" s="503" t="str">
        <f t="shared" ca="1" si="368"/>
        <v/>
      </c>
      <c r="J5647" s="503" t="str">
        <f t="shared" ca="1" si="369"/>
        <v/>
      </c>
      <c r="K5647" s="503" t="str">
        <f t="shared" ca="1" si="370"/>
        <v/>
      </c>
      <c r="L5647" s="497"/>
      <c r="M5647" s="497"/>
      <c r="N5647" s="497"/>
      <c r="O5647" s="497"/>
      <c r="P5647" s="497">
        <f t="shared" si="371"/>
        <v>0</v>
      </c>
      <c r="Q5647" s="497"/>
    </row>
    <row r="5648" spans="1:17" x14ac:dyDescent="0.35">
      <c r="A5648" s="497" t="b">
        <f t="shared" ca="1" si="363"/>
        <v>0</v>
      </c>
      <c r="B5648" s="510" t="str">
        <f ca="1">IF(COUNTA(G$4308:G5647)=1,"",OFFSET(B5648,-COUNTA(G$4308:G5647)+1,0))</f>
        <v>a1b3p0000095SLMAA2</v>
      </c>
      <c r="C5648" s="512">
        <f ca="1">IF(COUNTA(G$4308:G5647)=1,"",OFFSET(C5648,-COUNTA(G$4308:G5647)+1,0))</f>
        <v>63</v>
      </c>
      <c r="D5648" s="497">
        <f t="shared" si="364"/>
        <v>858</v>
      </c>
      <c r="E5648" s="497">
        <f t="shared" ca="1" si="365"/>
        <v>6</v>
      </c>
      <c r="F5648" s="497">
        <f t="shared" ca="1" si="366"/>
        <v>71</v>
      </c>
      <c r="G5648" s="497"/>
      <c r="H5648" s="503" t="str">
        <f t="shared" ca="1" si="367"/>
        <v/>
      </c>
      <c r="I5648" s="503" t="str">
        <f t="shared" ca="1" si="368"/>
        <v/>
      </c>
      <c r="J5648" s="503" t="str">
        <f t="shared" ca="1" si="369"/>
        <v/>
      </c>
      <c r="K5648" s="503" t="str">
        <f t="shared" ca="1" si="370"/>
        <v/>
      </c>
      <c r="L5648" s="497"/>
      <c r="M5648" s="497"/>
      <c r="N5648" s="497"/>
      <c r="O5648" s="497"/>
      <c r="P5648" s="497">
        <f t="shared" si="371"/>
        <v>0</v>
      </c>
      <c r="Q5648" s="497"/>
    </row>
    <row r="5649" spans="1:17" x14ac:dyDescent="0.35">
      <c r="A5649" s="497" t="b">
        <f t="shared" ca="1" si="363"/>
        <v>0</v>
      </c>
      <c r="B5649" s="510" t="str">
        <f ca="1">IF(COUNTA(G$4308:G5648)=1,"",OFFSET(B5649,-COUNTA(G$4308:G5648)+1,0))</f>
        <v>a1b3p0000095S8TAAU</v>
      </c>
      <c r="C5649" s="512">
        <f ca="1">IF(COUNTA(G$4308:G5648)=1,"",OFFSET(C5649,-COUNTA(G$4308:G5648)+1,0))</f>
        <v>64</v>
      </c>
      <c r="D5649" s="497">
        <f t="shared" si="364"/>
        <v>859</v>
      </c>
      <c r="E5649" s="497">
        <f t="shared" ca="1" si="365"/>
        <v>1</v>
      </c>
      <c r="F5649" s="497">
        <f t="shared" ca="1" si="366"/>
        <v>72</v>
      </c>
      <c r="G5649" s="497"/>
      <c r="H5649" s="503" t="str">
        <f t="shared" ca="1" si="367"/>
        <v/>
      </c>
      <c r="I5649" s="503" t="str">
        <f t="shared" ca="1" si="368"/>
        <v/>
      </c>
      <c r="J5649" s="503" t="str">
        <f t="shared" ca="1" si="369"/>
        <v/>
      </c>
      <c r="K5649" s="503" t="str">
        <f t="shared" ca="1" si="370"/>
        <v/>
      </c>
      <c r="L5649" s="497"/>
      <c r="M5649" s="497"/>
      <c r="N5649" s="497"/>
      <c r="O5649" s="497"/>
      <c r="P5649" s="497">
        <f t="shared" si="371"/>
        <v>0</v>
      </c>
      <c r="Q5649" s="497"/>
    </row>
    <row r="5650" spans="1:17" x14ac:dyDescent="0.35">
      <c r="A5650" s="497" t="b">
        <f t="shared" ca="1" si="363"/>
        <v>0</v>
      </c>
      <c r="B5650" s="510" t="str">
        <f ca="1">IF(COUNTA(G$4308:G5649)=1,"",OFFSET(B5650,-COUNTA(G$4308:G5649)+1,0))</f>
        <v>a1b3p0000095SB3AAM</v>
      </c>
      <c r="C5650" s="512">
        <f ca="1">IF(COUNTA(G$4308:G5649)=1,"",OFFSET(C5650,-COUNTA(G$4308:G5649)+1,0))</f>
        <v>64</v>
      </c>
      <c r="D5650" s="497">
        <f t="shared" si="364"/>
        <v>860</v>
      </c>
      <c r="E5650" s="497">
        <f t="shared" ca="1" si="365"/>
        <v>2</v>
      </c>
      <c r="F5650" s="497">
        <f t="shared" ca="1" si="366"/>
        <v>72</v>
      </c>
      <c r="G5650" s="497"/>
      <c r="H5650" s="503" t="str">
        <f t="shared" ca="1" si="367"/>
        <v/>
      </c>
      <c r="I5650" s="503" t="str">
        <f t="shared" ca="1" si="368"/>
        <v/>
      </c>
      <c r="J5650" s="503" t="str">
        <f t="shared" ca="1" si="369"/>
        <v/>
      </c>
      <c r="K5650" s="503" t="str">
        <f t="shared" ca="1" si="370"/>
        <v/>
      </c>
      <c r="L5650" s="497"/>
      <c r="M5650" s="497"/>
      <c r="N5650" s="497"/>
      <c r="O5650" s="497"/>
      <c r="P5650" s="497">
        <f t="shared" si="371"/>
        <v>0</v>
      </c>
      <c r="Q5650" s="497"/>
    </row>
    <row r="5651" spans="1:17" x14ac:dyDescent="0.35">
      <c r="A5651" s="497" t="b">
        <f t="shared" ca="1" si="363"/>
        <v>0</v>
      </c>
      <c r="B5651" s="510" t="str">
        <f ca="1">IF(COUNTA(G$4308:G5650)=1,"",OFFSET(B5651,-COUNTA(G$4308:G5650)+1,0))</f>
        <v>a1b3p0000095SDdAAM</v>
      </c>
      <c r="C5651" s="512">
        <f ca="1">IF(COUNTA(G$4308:G5650)=1,"",OFFSET(C5651,-COUNTA(G$4308:G5650)+1,0))</f>
        <v>64</v>
      </c>
      <c r="D5651" s="497">
        <f t="shared" si="364"/>
        <v>861</v>
      </c>
      <c r="E5651" s="497">
        <f t="shared" ca="1" si="365"/>
        <v>3</v>
      </c>
      <c r="F5651" s="497">
        <f t="shared" ca="1" si="366"/>
        <v>72</v>
      </c>
      <c r="G5651" s="497"/>
      <c r="H5651" s="503" t="str">
        <f t="shared" ca="1" si="367"/>
        <v/>
      </c>
      <c r="I5651" s="503" t="str">
        <f t="shared" ca="1" si="368"/>
        <v/>
      </c>
      <c r="J5651" s="503" t="str">
        <f t="shared" ca="1" si="369"/>
        <v/>
      </c>
      <c r="K5651" s="503" t="str">
        <f t="shared" ca="1" si="370"/>
        <v/>
      </c>
      <c r="L5651" s="497"/>
      <c r="M5651" s="497"/>
      <c r="N5651" s="497"/>
      <c r="O5651" s="497"/>
      <c r="P5651" s="497">
        <f t="shared" si="371"/>
        <v>0</v>
      </c>
      <c r="Q5651" s="497"/>
    </row>
    <row r="5652" spans="1:17" x14ac:dyDescent="0.35">
      <c r="A5652" s="497" t="b">
        <f t="shared" ca="1" si="363"/>
        <v>0</v>
      </c>
      <c r="B5652" s="510" t="str">
        <f ca="1">IF(COUNTA(G$4308:G5651)=1,"",OFFSET(B5652,-COUNTA(G$4308:G5651)+1,0))</f>
        <v>a1b3p0000095SGDAA2</v>
      </c>
      <c r="C5652" s="512">
        <f ca="1">IF(COUNTA(G$4308:G5651)=1,"",OFFSET(C5652,-COUNTA(G$4308:G5651)+1,0))</f>
        <v>64</v>
      </c>
      <c r="D5652" s="497">
        <f t="shared" si="364"/>
        <v>862</v>
      </c>
      <c r="E5652" s="497">
        <f t="shared" ca="1" si="365"/>
        <v>4</v>
      </c>
      <c r="F5652" s="497">
        <f t="shared" ca="1" si="366"/>
        <v>72</v>
      </c>
      <c r="G5652" s="497"/>
      <c r="H5652" s="503" t="str">
        <f t="shared" ca="1" si="367"/>
        <v/>
      </c>
      <c r="I5652" s="503" t="str">
        <f t="shared" ca="1" si="368"/>
        <v/>
      </c>
      <c r="J5652" s="503" t="str">
        <f t="shared" ca="1" si="369"/>
        <v/>
      </c>
      <c r="K5652" s="503" t="str">
        <f t="shared" ca="1" si="370"/>
        <v/>
      </c>
      <c r="L5652" s="497"/>
      <c r="M5652" s="497"/>
      <c r="N5652" s="497"/>
      <c r="O5652" s="497"/>
      <c r="P5652" s="497">
        <f t="shared" si="371"/>
        <v>0</v>
      </c>
      <c r="Q5652" s="497"/>
    </row>
    <row r="5653" spans="1:17" x14ac:dyDescent="0.35">
      <c r="A5653" s="497" t="b">
        <f t="shared" ca="1" si="363"/>
        <v>0</v>
      </c>
      <c r="B5653" s="510" t="str">
        <f ca="1">IF(COUNTA(G$4308:G5652)=1,"",OFFSET(B5653,-COUNTA(G$4308:G5652)+1,0))</f>
        <v>a1b3p0000095SInAAM</v>
      </c>
      <c r="C5653" s="512">
        <f ca="1">IF(COUNTA(G$4308:G5652)=1,"",OFFSET(C5653,-COUNTA(G$4308:G5652)+1,0))</f>
        <v>64</v>
      </c>
      <c r="D5653" s="497">
        <f t="shared" si="364"/>
        <v>863</v>
      </c>
      <c r="E5653" s="497">
        <f t="shared" ca="1" si="365"/>
        <v>5</v>
      </c>
      <c r="F5653" s="497">
        <f t="shared" ca="1" si="366"/>
        <v>72</v>
      </c>
      <c r="G5653" s="497"/>
      <c r="H5653" s="503" t="str">
        <f t="shared" ca="1" si="367"/>
        <v/>
      </c>
      <c r="I5653" s="503" t="str">
        <f t="shared" ca="1" si="368"/>
        <v/>
      </c>
      <c r="J5653" s="503" t="str">
        <f t="shared" ca="1" si="369"/>
        <v/>
      </c>
      <c r="K5653" s="503" t="str">
        <f t="shared" ca="1" si="370"/>
        <v/>
      </c>
      <c r="L5653" s="497"/>
      <c r="M5653" s="497"/>
      <c r="N5653" s="497"/>
      <c r="O5653" s="497"/>
      <c r="P5653" s="497">
        <f t="shared" si="371"/>
        <v>0</v>
      </c>
      <c r="Q5653" s="497"/>
    </row>
    <row r="5654" spans="1:17" x14ac:dyDescent="0.35">
      <c r="A5654" s="497" t="b">
        <f t="shared" ca="1" si="363"/>
        <v>0</v>
      </c>
      <c r="B5654" s="510" t="str">
        <f ca="1">IF(COUNTA(G$4308:G5653)=1,"",OFFSET(B5654,-COUNTA(G$4308:G5653)+1,0))</f>
        <v>a1b3p0000095SLNAA2</v>
      </c>
      <c r="C5654" s="512">
        <f ca="1">IF(COUNTA(G$4308:G5653)=1,"",OFFSET(C5654,-COUNTA(G$4308:G5653)+1,0))</f>
        <v>64</v>
      </c>
      <c r="D5654" s="497">
        <f t="shared" si="364"/>
        <v>864</v>
      </c>
      <c r="E5654" s="497">
        <f t="shared" ca="1" si="365"/>
        <v>6</v>
      </c>
      <c r="F5654" s="497">
        <f t="shared" ca="1" si="366"/>
        <v>72</v>
      </c>
      <c r="G5654" s="497"/>
      <c r="H5654" s="503" t="str">
        <f t="shared" ca="1" si="367"/>
        <v/>
      </c>
      <c r="I5654" s="503" t="str">
        <f t="shared" ca="1" si="368"/>
        <v/>
      </c>
      <c r="J5654" s="503" t="str">
        <f t="shared" ca="1" si="369"/>
        <v/>
      </c>
      <c r="K5654" s="503" t="str">
        <f t="shared" ca="1" si="370"/>
        <v/>
      </c>
      <c r="L5654" s="497"/>
      <c r="M5654" s="497"/>
      <c r="N5654" s="497"/>
      <c r="O5654" s="497"/>
      <c r="P5654" s="497">
        <f t="shared" si="371"/>
        <v>0</v>
      </c>
      <c r="Q5654" s="497"/>
    </row>
    <row r="5655" spans="1:17" x14ac:dyDescent="0.35">
      <c r="A5655" s="497" t="b">
        <f t="shared" ref="A5655:A5718" ca="1" si="372">IF(OR(AND(J5655&lt;&gt;"", J5655&lt;&gt;0), AND(K5655&lt;&gt;"",K5655&lt;&gt;0)),TRUE,FALSE)</f>
        <v>0</v>
      </c>
      <c r="B5655" s="510" t="str">
        <f ca="1">IF(COUNTA(G$4308:G5654)=1,"",OFFSET(B5655,-COUNTA(G$4308:G5654)+1,0))</f>
        <v>a1b3p0000095S8UAAU</v>
      </c>
      <c r="C5655" s="512">
        <f ca="1">IF(COUNTA(G$4308:G5654)=1,"",OFFSET(C5655,-COUNTA(G$4308:G5654)+1,0))</f>
        <v>65</v>
      </c>
      <c r="D5655" s="497">
        <f t="shared" ref="D5655:D5718" si="373">D5654+1</f>
        <v>865</v>
      </c>
      <c r="E5655" s="497">
        <f t="shared" ref="E5655:E5718" ca="1" si="374">COUNTIF(C5405:C5655,C5655)</f>
        <v>1</v>
      </c>
      <c r="F5655" s="497">
        <f t="shared" ref="F5655:F5718" ca="1" si="375">IF(C5655=1,9,IF(E5654=MAX(E5653:E5655),F5653+1,F5654))</f>
        <v>73</v>
      </c>
      <c r="G5655" s="497"/>
      <c r="H5655" s="503" t="str">
        <f t="shared" ref="H5655:H5718" ca="1" si="376">CHOOSE(E5655,IFERROR(IF(INDIRECT("'WPTM - Section F'!K"&amp;F5655)=0,"",INDIRECT("'WPTM - Section F'!K"&amp;$F5655)),""),IFERROR(IF(INDIRECT("'WPTM - Section F'!O"&amp;F5655)=0,"",INDIRECT("'WPTM - Section F'!O"&amp;$F5655)),""),IFERROR(IF(INDIRECT("'WPTM - Section F'!S"&amp;F5655)=0,"",INDIRECT("'WPTM - Section F'!S"&amp;$F5655)),""),IFERROR(IF(INDIRECT("'WPTM - Section F'!W"&amp;F5655)=0,"",INDIRECT("'WPTM - Section F'!W"&amp;$F5655)),""),IFERROR(IF(INDIRECT("'WPTM - Section F'!AA"&amp;F5655)=0,"",INDIRECT("'WPTM - Section F'!AA"&amp;$F5655)),""),IFERROR(IF(INDIRECT("'WPTM - Section F'!AE"&amp;F5655)=0,"",INDIRECT("'WPTM - Section F'!AE"&amp;$F5655)),""),IFERROR(IF(INDIRECT("'WPTM - Section F'!AI"&amp;F5655)=0,"",INDIRECT("'WPTM - Section F'!AI"&amp;$F5655)),""),IFERROR(IF(INDIRECT("'WPTM - Section F'!AM"&amp;F5655)=0,"",INDIRECT("'WPTM - Section F'!AM"&amp;$F5655)),""),)</f>
        <v/>
      </c>
      <c r="I5655" s="503" t="str">
        <f t="shared" ref="I5655:I5718" ca="1" si="377">CHOOSE(E5655,IFERROR(IF(INDIRECT("'WPTM - Section F'!J"&amp;F5655)=0,"",INDIRECT("'WPTM - Section F'!J"&amp;$F5655)),""),IFERROR(IF(INDIRECT("'WPTM - Section F'!N"&amp;F5655)=0,"",INDIRECT("'WPTM - Section F'!N"&amp;$F5655)),""),IFERROR(IF(INDIRECT("'WPTM - Section F'!R"&amp;F5655)=0,"",INDIRECT("'WPTM - Section F'!R"&amp;$F5655)),""),IFERROR(IF(INDIRECT("'WPTM - Section F'!V"&amp;F5655)=0,"",INDIRECT("'WPTM - Section F'!V"&amp;$F5655)),""),IFERROR(IF(INDIRECT("'WPTM - Section F'!Z"&amp;F5655)=0,"",INDIRECT("'WPTM - Section F'!Z"&amp;$F5655)),""),IFERROR(IF(INDIRECT("'WPTM - Section F'!AD"&amp;F5655)=0,"",INDIRECT("'WPTM - Section F'!AD"&amp;$F5655)),""),IFERROR(IF(INDIRECT("'WPTM - Section F'!AH"&amp;F5655)=0,"",INDIRECT("'WPTM - Section F'!AH"&amp;$F5655)),""),IFERROR(IF(INDIRECT("'WPTM - Section F'!AL"&amp;F5655)=0,"",INDIRECT("'WPTM - Section F'!AL"&amp;$F5655)),""),)</f>
        <v/>
      </c>
      <c r="J5655" s="503" t="str">
        <f t="shared" ref="J5655:J5718" ca="1" si="378">CHOOSE(E5655,IFERROR(IF(INDIRECT("'WPTM - Section F'!H"&amp;F5655)=0,"",INDIRECT("'WPTM - Section F'!H"&amp;$F5655)),""),IFERROR(IF(INDIRECT("'WPTM - Section F'!L"&amp;F5655)=0,"",INDIRECT("'WPTM - Section F'!L"&amp;$F5655)),""),IFERROR(IF(INDIRECT("'WPTM - Section F'!P"&amp;F5655)=0,"",INDIRECT("'WPTM - Section F'!P"&amp;$F5655)),""),IFERROR(IF(INDIRECT("'WPTM - Section F'!T"&amp;F5655)=0,"",INDIRECT("'WPTM - Section F'!T"&amp;$F5655)),""),IFERROR(IF(INDIRECT("'WPTM - Section F'!X"&amp;F5655)=0,"",INDIRECT("'WPTM - Section F'!X"&amp;$F5655)),""),IFERROR(IF(INDIRECT("'WPTM - Section F'!AB"&amp;F5655)=0,"",INDIRECT("'WPTM - Section F'!AB"&amp;$F5655)),""),IFERROR(IF(INDIRECT("'WPTM - Section F'!AF"&amp;F5655)=0,"",INDIRECT("'WPTM - Section F'!AF"&amp;$F5655)),""),IFERROR(IF(INDIRECT("'WPTM - Section F'!AJ"&amp;F5655)=0,"",INDIRECT("'WPTM - Section F'!AJ"&amp;$F5655)),""),)</f>
        <v/>
      </c>
      <c r="K5655" s="503" t="str">
        <f t="shared" ref="K5655:K5718" ca="1" si="379">CHOOSE(E5655,IFERROR(IF(INDIRECT("'WPTM - Section F'!I"&amp;F5655)=0,"",INDIRECT("'WPTM - Section F'!I"&amp;$F5655)),""),IFERROR(IF(INDIRECT("'WPTM - Section F'!M"&amp;F5655)=0,"",INDIRECT("'WPTM - Section F'!M"&amp;$F5655)),""),IFERROR(IF(INDIRECT("'WPTM - Section F'!Q"&amp;F5655)=0,"",INDIRECT("'WPTM - Section F'!Q"&amp;$F5655)),""),IFERROR(IF(INDIRECT("'WPTM - Section F'!U"&amp;F5655)=0,"",INDIRECT("'WPTM - Section F'!U"&amp;$F5655)),""),IFERROR(IF(INDIRECT("'WPTM - Section F'!Y"&amp;F5655)=0,"",INDIRECT("'WPTM - Section F'!Y"&amp;$F5655)),""),IFERROR(IF(INDIRECT("'WPTM - Section F'!AC"&amp;F5655)=0,"",INDIRECT("'WPTM - Section F'!AC"&amp;$F5655)),""),IFERROR(IF(INDIRECT("'WPTM - Section F'!AG"&amp;F5655)=0,"",INDIRECT("'WPTM - Section F'!AG"&amp;$F5655)),""),IFERROR(IF(INDIRECT("'WPTM - Section F'!AK"&amp;F5655)=0,"",INDIRECT("'WPTM - Section F'!AK"&amp;$F5655)),""),)</f>
        <v/>
      </c>
      <c r="L5655" s="497"/>
      <c r="M5655" s="497"/>
      <c r="N5655" s="497"/>
      <c r="O5655" s="497"/>
      <c r="P5655" s="497">
        <f t="shared" ref="P5655:P5718" si="380">IF(NOT(_xlfn.ISFORMULA(I5655)),P5654+1,0)</f>
        <v>0</v>
      </c>
      <c r="Q5655" s="497"/>
    </row>
    <row r="5656" spans="1:17" x14ac:dyDescent="0.35">
      <c r="A5656" s="497" t="b">
        <f t="shared" ca="1" si="372"/>
        <v>0</v>
      </c>
      <c r="B5656" s="510" t="str">
        <f ca="1">IF(COUNTA(G$4308:G5655)=1,"",OFFSET(B5656,-COUNTA(G$4308:G5655)+1,0))</f>
        <v>a1b3p0000095SB4AAM</v>
      </c>
      <c r="C5656" s="512">
        <f ca="1">IF(COUNTA(G$4308:G5655)=1,"",OFFSET(C5656,-COUNTA(G$4308:G5655)+1,0))</f>
        <v>65</v>
      </c>
      <c r="D5656" s="497">
        <f t="shared" si="373"/>
        <v>866</v>
      </c>
      <c r="E5656" s="497">
        <f t="shared" ca="1" si="374"/>
        <v>2</v>
      </c>
      <c r="F5656" s="497">
        <f t="shared" ca="1" si="375"/>
        <v>73</v>
      </c>
      <c r="G5656" s="497"/>
      <c r="H5656" s="503" t="str">
        <f t="shared" ca="1" si="376"/>
        <v/>
      </c>
      <c r="I5656" s="503" t="str">
        <f t="shared" ca="1" si="377"/>
        <v/>
      </c>
      <c r="J5656" s="503" t="str">
        <f t="shared" ca="1" si="378"/>
        <v/>
      </c>
      <c r="K5656" s="503" t="str">
        <f t="shared" ca="1" si="379"/>
        <v/>
      </c>
      <c r="L5656" s="497"/>
      <c r="M5656" s="497"/>
      <c r="N5656" s="497"/>
      <c r="O5656" s="497"/>
      <c r="P5656" s="497">
        <f t="shared" si="380"/>
        <v>0</v>
      </c>
      <c r="Q5656" s="497"/>
    </row>
    <row r="5657" spans="1:17" x14ac:dyDescent="0.35">
      <c r="A5657" s="497" t="b">
        <f t="shared" ca="1" si="372"/>
        <v>0</v>
      </c>
      <c r="B5657" s="510" t="str">
        <f ca="1">IF(COUNTA(G$4308:G5656)=1,"",OFFSET(B5657,-COUNTA(G$4308:G5656)+1,0))</f>
        <v>a1b3p0000095SDeAAM</v>
      </c>
      <c r="C5657" s="512">
        <f ca="1">IF(COUNTA(G$4308:G5656)=1,"",OFFSET(C5657,-COUNTA(G$4308:G5656)+1,0))</f>
        <v>65</v>
      </c>
      <c r="D5657" s="497">
        <f t="shared" si="373"/>
        <v>867</v>
      </c>
      <c r="E5657" s="497">
        <f t="shared" ca="1" si="374"/>
        <v>3</v>
      </c>
      <c r="F5657" s="497">
        <f t="shared" ca="1" si="375"/>
        <v>73</v>
      </c>
      <c r="G5657" s="497"/>
      <c r="H5657" s="503" t="str">
        <f t="shared" ca="1" si="376"/>
        <v/>
      </c>
      <c r="I5657" s="503" t="str">
        <f t="shared" ca="1" si="377"/>
        <v/>
      </c>
      <c r="J5657" s="503" t="str">
        <f t="shared" ca="1" si="378"/>
        <v/>
      </c>
      <c r="K5657" s="503" t="str">
        <f t="shared" ca="1" si="379"/>
        <v/>
      </c>
      <c r="L5657" s="497"/>
      <c r="M5657" s="497"/>
      <c r="N5657" s="497"/>
      <c r="O5657" s="497"/>
      <c r="P5657" s="497">
        <f t="shared" si="380"/>
        <v>0</v>
      </c>
      <c r="Q5657" s="497"/>
    </row>
    <row r="5658" spans="1:17" x14ac:dyDescent="0.35">
      <c r="A5658" s="497" t="b">
        <f t="shared" ca="1" si="372"/>
        <v>0</v>
      </c>
      <c r="B5658" s="510" t="str">
        <f ca="1">IF(COUNTA(G$4308:G5657)=1,"",OFFSET(B5658,-COUNTA(G$4308:G5657)+1,0))</f>
        <v>a1b3p0000095SGEAA2</v>
      </c>
      <c r="C5658" s="512">
        <f ca="1">IF(COUNTA(G$4308:G5657)=1,"",OFFSET(C5658,-COUNTA(G$4308:G5657)+1,0))</f>
        <v>65</v>
      </c>
      <c r="D5658" s="497">
        <f t="shared" si="373"/>
        <v>868</v>
      </c>
      <c r="E5658" s="497">
        <f t="shared" ca="1" si="374"/>
        <v>4</v>
      </c>
      <c r="F5658" s="497">
        <f t="shared" ca="1" si="375"/>
        <v>73</v>
      </c>
      <c r="G5658" s="497"/>
      <c r="H5658" s="503" t="str">
        <f t="shared" ca="1" si="376"/>
        <v/>
      </c>
      <c r="I5658" s="503" t="str">
        <f t="shared" ca="1" si="377"/>
        <v/>
      </c>
      <c r="J5658" s="503" t="str">
        <f t="shared" ca="1" si="378"/>
        <v/>
      </c>
      <c r="K5658" s="503" t="str">
        <f t="shared" ca="1" si="379"/>
        <v/>
      </c>
      <c r="L5658" s="497"/>
      <c r="M5658" s="497"/>
      <c r="N5658" s="497"/>
      <c r="O5658" s="497"/>
      <c r="P5658" s="497">
        <f t="shared" si="380"/>
        <v>0</v>
      </c>
      <c r="Q5658" s="497"/>
    </row>
    <row r="5659" spans="1:17" x14ac:dyDescent="0.35">
      <c r="A5659" s="497" t="b">
        <f t="shared" ca="1" si="372"/>
        <v>0</v>
      </c>
      <c r="B5659" s="510" t="str">
        <f ca="1">IF(COUNTA(G$4308:G5658)=1,"",OFFSET(B5659,-COUNTA(G$4308:G5658)+1,0))</f>
        <v>a1b3p0000095SIoAAM</v>
      </c>
      <c r="C5659" s="512">
        <f ca="1">IF(COUNTA(G$4308:G5658)=1,"",OFFSET(C5659,-COUNTA(G$4308:G5658)+1,0))</f>
        <v>65</v>
      </c>
      <c r="D5659" s="497">
        <f t="shared" si="373"/>
        <v>869</v>
      </c>
      <c r="E5659" s="497">
        <f t="shared" ca="1" si="374"/>
        <v>5</v>
      </c>
      <c r="F5659" s="497">
        <f t="shared" ca="1" si="375"/>
        <v>73</v>
      </c>
      <c r="G5659" s="497"/>
      <c r="H5659" s="503" t="str">
        <f t="shared" ca="1" si="376"/>
        <v/>
      </c>
      <c r="I5659" s="503" t="str">
        <f t="shared" ca="1" si="377"/>
        <v/>
      </c>
      <c r="J5659" s="503" t="str">
        <f t="shared" ca="1" si="378"/>
        <v/>
      </c>
      <c r="K5659" s="503" t="str">
        <f t="shared" ca="1" si="379"/>
        <v/>
      </c>
      <c r="L5659" s="497"/>
      <c r="M5659" s="497"/>
      <c r="N5659" s="497"/>
      <c r="O5659" s="497"/>
      <c r="P5659" s="497">
        <f t="shared" si="380"/>
        <v>0</v>
      </c>
      <c r="Q5659" s="497"/>
    </row>
    <row r="5660" spans="1:17" x14ac:dyDescent="0.35">
      <c r="A5660" s="497" t="b">
        <f t="shared" ca="1" si="372"/>
        <v>0</v>
      </c>
      <c r="B5660" s="510" t="str">
        <f ca="1">IF(COUNTA(G$4308:G5659)=1,"",OFFSET(B5660,-COUNTA(G$4308:G5659)+1,0))</f>
        <v>a1b3p0000095SLOAA2</v>
      </c>
      <c r="C5660" s="512">
        <f ca="1">IF(COUNTA(G$4308:G5659)=1,"",OFFSET(C5660,-COUNTA(G$4308:G5659)+1,0))</f>
        <v>65</v>
      </c>
      <c r="D5660" s="497">
        <f t="shared" si="373"/>
        <v>870</v>
      </c>
      <c r="E5660" s="497">
        <f t="shared" ca="1" si="374"/>
        <v>6</v>
      </c>
      <c r="F5660" s="497">
        <f t="shared" ca="1" si="375"/>
        <v>73</v>
      </c>
      <c r="G5660" s="497"/>
      <c r="H5660" s="503" t="str">
        <f t="shared" ca="1" si="376"/>
        <v/>
      </c>
      <c r="I5660" s="503" t="str">
        <f t="shared" ca="1" si="377"/>
        <v/>
      </c>
      <c r="J5660" s="503" t="str">
        <f t="shared" ca="1" si="378"/>
        <v/>
      </c>
      <c r="K5660" s="503" t="str">
        <f t="shared" ca="1" si="379"/>
        <v/>
      </c>
      <c r="L5660" s="497"/>
      <c r="M5660" s="497"/>
      <c r="N5660" s="497"/>
      <c r="O5660" s="497"/>
      <c r="P5660" s="497">
        <f t="shared" si="380"/>
        <v>0</v>
      </c>
      <c r="Q5660" s="497"/>
    </row>
    <row r="5661" spans="1:17" x14ac:dyDescent="0.35">
      <c r="A5661" s="497" t="b">
        <f t="shared" ca="1" si="372"/>
        <v>0</v>
      </c>
      <c r="B5661" s="510" t="str">
        <f ca="1">IF(COUNTA(G$4308:G5660)=1,"",OFFSET(B5661,-COUNTA(G$4308:G5660)+1,0))</f>
        <v>a1b3p0000095S8VAAU</v>
      </c>
      <c r="C5661" s="512">
        <f ca="1">IF(COUNTA(G$4308:G5660)=1,"",OFFSET(C5661,-COUNTA(G$4308:G5660)+1,0))</f>
        <v>66</v>
      </c>
      <c r="D5661" s="497">
        <f t="shared" si="373"/>
        <v>871</v>
      </c>
      <c r="E5661" s="497">
        <f t="shared" ca="1" si="374"/>
        <v>1</v>
      </c>
      <c r="F5661" s="497">
        <f t="shared" ca="1" si="375"/>
        <v>74</v>
      </c>
      <c r="G5661" s="497"/>
      <c r="H5661" s="503" t="str">
        <f t="shared" ca="1" si="376"/>
        <v/>
      </c>
      <c r="I5661" s="503" t="str">
        <f t="shared" ca="1" si="377"/>
        <v/>
      </c>
      <c r="J5661" s="503" t="str">
        <f t="shared" ca="1" si="378"/>
        <v/>
      </c>
      <c r="K5661" s="503" t="str">
        <f t="shared" ca="1" si="379"/>
        <v/>
      </c>
      <c r="L5661" s="497"/>
      <c r="M5661" s="497"/>
      <c r="N5661" s="497"/>
      <c r="O5661" s="497"/>
      <c r="P5661" s="497">
        <f t="shared" si="380"/>
        <v>0</v>
      </c>
      <c r="Q5661" s="497"/>
    </row>
    <row r="5662" spans="1:17" x14ac:dyDescent="0.35">
      <c r="A5662" s="497" t="b">
        <f t="shared" ca="1" si="372"/>
        <v>0</v>
      </c>
      <c r="B5662" s="510" t="str">
        <f ca="1">IF(COUNTA(G$4308:G5661)=1,"",OFFSET(B5662,-COUNTA(G$4308:G5661)+1,0))</f>
        <v>a1b3p0000095SB5AAM</v>
      </c>
      <c r="C5662" s="512">
        <f ca="1">IF(COUNTA(G$4308:G5661)=1,"",OFFSET(C5662,-COUNTA(G$4308:G5661)+1,0))</f>
        <v>66</v>
      </c>
      <c r="D5662" s="497">
        <f t="shared" si="373"/>
        <v>872</v>
      </c>
      <c r="E5662" s="497">
        <f t="shared" ca="1" si="374"/>
        <v>2</v>
      </c>
      <c r="F5662" s="497">
        <f t="shared" ca="1" si="375"/>
        <v>74</v>
      </c>
      <c r="G5662" s="497"/>
      <c r="H5662" s="503" t="str">
        <f t="shared" ca="1" si="376"/>
        <v/>
      </c>
      <c r="I5662" s="503" t="str">
        <f t="shared" ca="1" si="377"/>
        <v/>
      </c>
      <c r="J5662" s="503" t="str">
        <f t="shared" ca="1" si="378"/>
        <v/>
      </c>
      <c r="K5662" s="503" t="str">
        <f t="shared" ca="1" si="379"/>
        <v/>
      </c>
      <c r="L5662" s="497"/>
      <c r="M5662" s="497"/>
      <c r="N5662" s="497"/>
      <c r="O5662" s="497"/>
      <c r="P5662" s="497">
        <f t="shared" si="380"/>
        <v>0</v>
      </c>
      <c r="Q5662" s="497"/>
    </row>
    <row r="5663" spans="1:17" x14ac:dyDescent="0.35">
      <c r="A5663" s="497" t="b">
        <f t="shared" ca="1" si="372"/>
        <v>0</v>
      </c>
      <c r="B5663" s="510" t="str">
        <f ca="1">IF(COUNTA(G$4308:G5662)=1,"",OFFSET(B5663,-COUNTA(G$4308:G5662)+1,0))</f>
        <v>a1b3p0000095SDfAAM</v>
      </c>
      <c r="C5663" s="512">
        <f ca="1">IF(COUNTA(G$4308:G5662)=1,"",OFFSET(C5663,-COUNTA(G$4308:G5662)+1,0))</f>
        <v>66</v>
      </c>
      <c r="D5663" s="497">
        <f t="shared" si="373"/>
        <v>873</v>
      </c>
      <c r="E5663" s="497">
        <f t="shared" ca="1" si="374"/>
        <v>3</v>
      </c>
      <c r="F5663" s="497">
        <f t="shared" ca="1" si="375"/>
        <v>74</v>
      </c>
      <c r="G5663" s="497"/>
      <c r="H5663" s="503" t="str">
        <f t="shared" ca="1" si="376"/>
        <v/>
      </c>
      <c r="I5663" s="503" t="str">
        <f t="shared" ca="1" si="377"/>
        <v/>
      </c>
      <c r="J5663" s="503" t="str">
        <f t="shared" ca="1" si="378"/>
        <v/>
      </c>
      <c r="K5663" s="503" t="str">
        <f t="shared" ca="1" si="379"/>
        <v/>
      </c>
      <c r="L5663" s="497"/>
      <c r="M5663" s="497"/>
      <c r="N5663" s="497"/>
      <c r="O5663" s="497"/>
      <c r="P5663" s="497">
        <f t="shared" si="380"/>
        <v>0</v>
      </c>
      <c r="Q5663" s="497"/>
    </row>
    <row r="5664" spans="1:17" x14ac:dyDescent="0.35">
      <c r="A5664" s="497" t="b">
        <f t="shared" ca="1" si="372"/>
        <v>0</v>
      </c>
      <c r="B5664" s="510" t="str">
        <f ca="1">IF(COUNTA(G$4308:G5663)=1,"",OFFSET(B5664,-COUNTA(G$4308:G5663)+1,0))</f>
        <v>a1b3p0000095SGFAA2</v>
      </c>
      <c r="C5664" s="512">
        <f ca="1">IF(COUNTA(G$4308:G5663)=1,"",OFFSET(C5664,-COUNTA(G$4308:G5663)+1,0))</f>
        <v>66</v>
      </c>
      <c r="D5664" s="497">
        <f t="shared" si="373"/>
        <v>874</v>
      </c>
      <c r="E5664" s="497">
        <f t="shared" ca="1" si="374"/>
        <v>4</v>
      </c>
      <c r="F5664" s="497">
        <f t="shared" ca="1" si="375"/>
        <v>74</v>
      </c>
      <c r="G5664" s="497"/>
      <c r="H5664" s="503" t="str">
        <f t="shared" ca="1" si="376"/>
        <v/>
      </c>
      <c r="I5664" s="503" t="str">
        <f t="shared" ca="1" si="377"/>
        <v/>
      </c>
      <c r="J5664" s="503" t="str">
        <f t="shared" ca="1" si="378"/>
        <v/>
      </c>
      <c r="K5664" s="503" t="str">
        <f t="shared" ca="1" si="379"/>
        <v/>
      </c>
      <c r="L5664" s="497"/>
      <c r="M5664" s="497"/>
      <c r="N5664" s="497"/>
      <c r="O5664" s="497"/>
      <c r="P5664" s="497">
        <f t="shared" si="380"/>
        <v>0</v>
      </c>
      <c r="Q5664" s="497"/>
    </row>
    <row r="5665" spans="1:17" x14ac:dyDescent="0.35">
      <c r="A5665" s="497" t="b">
        <f t="shared" ca="1" si="372"/>
        <v>0</v>
      </c>
      <c r="B5665" s="510" t="str">
        <f ca="1">IF(COUNTA(G$4308:G5664)=1,"",OFFSET(B5665,-COUNTA(G$4308:G5664)+1,0))</f>
        <v>a1b3p0000095SIpAAM</v>
      </c>
      <c r="C5665" s="512">
        <f ca="1">IF(COUNTA(G$4308:G5664)=1,"",OFFSET(C5665,-COUNTA(G$4308:G5664)+1,0))</f>
        <v>66</v>
      </c>
      <c r="D5665" s="497">
        <f t="shared" si="373"/>
        <v>875</v>
      </c>
      <c r="E5665" s="497">
        <f t="shared" ca="1" si="374"/>
        <v>5</v>
      </c>
      <c r="F5665" s="497">
        <f t="shared" ca="1" si="375"/>
        <v>74</v>
      </c>
      <c r="G5665" s="497"/>
      <c r="H5665" s="503" t="str">
        <f t="shared" ca="1" si="376"/>
        <v/>
      </c>
      <c r="I5665" s="503" t="str">
        <f t="shared" ca="1" si="377"/>
        <v/>
      </c>
      <c r="J5665" s="503" t="str">
        <f t="shared" ca="1" si="378"/>
        <v/>
      </c>
      <c r="K5665" s="503" t="str">
        <f t="shared" ca="1" si="379"/>
        <v/>
      </c>
      <c r="L5665" s="497"/>
      <c r="M5665" s="497"/>
      <c r="N5665" s="497"/>
      <c r="O5665" s="497"/>
      <c r="P5665" s="497">
        <f t="shared" si="380"/>
        <v>0</v>
      </c>
      <c r="Q5665" s="497"/>
    </row>
    <row r="5666" spans="1:17" x14ac:dyDescent="0.35">
      <c r="A5666" s="497" t="b">
        <f t="shared" ca="1" si="372"/>
        <v>0</v>
      </c>
      <c r="B5666" s="510" t="str">
        <f ca="1">IF(COUNTA(G$4308:G5665)=1,"",OFFSET(B5666,-COUNTA(G$4308:G5665)+1,0))</f>
        <v>a1b3p0000095SLPAA2</v>
      </c>
      <c r="C5666" s="512">
        <f ca="1">IF(COUNTA(G$4308:G5665)=1,"",OFFSET(C5666,-COUNTA(G$4308:G5665)+1,0))</f>
        <v>66</v>
      </c>
      <c r="D5666" s="497">
        <f t="shared" si="373"/>
        <v>876</v>
      </c>
      <c r="E5666" s="497">
        <f t="shared" ca="1" si="374"/>
        <v>6</v>
      </c>
      <c r="F5666" s="497">
        <f t="shared" ca="1" si="375"/>
        <v>74</v>
      </c>
      <c r="G5666" s="497"/>
      <c r="H5666" s="503" t="str">
        <f t="shared" ca="1" si="376"/>
        <v/>
      </c>
      <c r="I5666" s="503" t="str">
        <f t="shared" ca="1" si="377"/>
        <v/>
      </c>
      <c r="J5666" s="503" t="str">
        <f t="shared" ca="1" si="378"/>
        <v/>
      </c>
      <c r="K5666" s="503" t="str">
        <f t="shared" ca="1" si="379"/>
        <v/>
      </c>
      <c r="L5666" s="497"/>
      <c r="M5666" s="497"/>
      <c r="N5666" s="497"/>
      <c r="O5666" s="497"/>
      <c r="P5666" s="497">
        <f t="shared" si="380"/>
        <v>0</v>
      </c>
      <c r="Q5666" s="497"/>
    </row>
    <row r="5667" spans="1:17" x14ac:dyDescent="0.35">
      <c r="A5667" s="497" t="b">
        <f t="shared" ca="1" si="372"/>
        <v>0</v>
      </c>
      <c r="B5667" s="510" t="str">
        <f ca="1">IF(COUNTA(G$4308:G5666)=1,"",OFFSET(B5667,-COUNTA(G$4308:G5666)+1,0))</f>
        <v>a1b3p0000095S8WAAU</v>
      </c>
      <c r="C5667" s="512">
        <f ca="1">IF(COUNTA(G$4308:G5666)=1,"",OFFSET(C5667,-COUNTA(G$4308:G5666)+1,0))</f>
        <v>67</v>
      </c>
      <c r="D5667" s="497">
        <f t="shared" si="373"/>
        <v>877</v>
      </c>
      <c r="E5667" s="497">
        <f t="shared" ca="1" si="374"/>
        <v>1</v>
      </c>
      <c r="F5667" s="497">
        <f t="shared" ca="1" si="375"/>
        <v>75</v>
      </c>
      <c r="G5667" s="497"/>
      <c r="H5667" s="503" t="str">
        <f t="shared" ca="1" si="376"/>
        <v/>
      </c>
      <c r="I5667" s="503" t="str">
        <f t="shared" ca="1" si="377"/>
        <v/>
      </c>
      <c r="J5667" s="503" t="str">
        <f t="shared" ca="1" si="378"/>
        <v/>
      </c>
      <c r="K5667" s="503" t="str">
        <f t="shared" ca="1" si="379"/>
        <v/>
      </c>
      <c r="L5667" s="497"/>
      <c r="M5667" s="497"/>
      <c r="N5667" s="497"/>
      <c r="O5667" s="497"/>
      <c r="P5667" s="497">
        <f t="shared" si="380"/>
        <v>0</v>
      </c>
      <c r="Q5667" s="497"/>
    </row>
    <row r="5668" spans="1:17" x14ac:dyDescent="0.35">
      <c r="A5668" s="497" t="b">
        <f t="shared" ca="1" si="372"/>
        <v>0</v>
      </c>
      <c r="B5668" s="510" t="str">
        <f ca="1">IF(COUNTA(G$4308:G5667)=1,"",OFFSET(B5668,-COUNTA(G$4308:G5667)+1,0))</f>
        <v>a1b3p0000095SB6AAM</v>
      </c>
      <c r="C5668" s="512">
        <f ca="1">IF(COUNTA(G$4308:G5667)=1,"",OFFSET(C5668,-COUNTA(G$4308:G5667)+1,0))</f>
        <v>67</v>
      </c>
      <c r="D5668" s="497">
        <f t="shared" si="373"/>
        <v>878</v>
      </c>
      <c r="E5668" s="497">
        <f t="shared" ca="1" si="374"/>
        <v>2</v>
      </c>
      <c r="F5668" s="497">
        <f t="shared" ca="1" si="375"/>
        <v>75</v>
      </c>
      <c r="G5668" s="497"/>
      <c r="H5668" s="503" t="str">
        <f t="shared" ca="1" si="376"/>
        <v/>
      </c>
      <c r="I5668" s="503" t="str">
        <f t="shared" ca="1" si="377"/>
        <v/>
      </c>
      <c r="J5668" s="503" t="str">
        <f t="shared" ca="1" si="378"/>
        <v/>
      </c>
      <c r="K5668" s="503" t="str">
        <f t="shared" ca="1" si="379"/>
        <v/>
      </c>
      <c r="L5668" s="497"/>
      <c r="M5668" s="497"/>
      <c r="N5668" s="497"/>
      <c r="O5668" s="497"/>
      <c r="P5668" s="497">
        <f t="shared" si="380"/>
        <v>0</v>
      </c>
      <c r="Q5668" s="497"/>
    </row>
    <row r="5669" spans="1:17" x14ac:dyDescent="0.35">
      <c r="A5669" s="497" t="b">
        <f t="shared" ca="1" si="372"/>
        <v>0</v>
      </c>
      <c r="B5669" s="510" t="str">
        <f ca="1">IF(COUNTA(G$4308:G5668)=1,"",OFFSET(B5669,-COUNTA(G$4308:G5668)+1,0))</f>
        <v>a1b3p0000095SDgAAM</v>
      </c>
      <c r="C5669" s="512">
        <f ca="1">IF(COUNTA(G$4308:G5668)=1,"",OFFSET(C5669,-COUNTA(G$4308:G5668)+1,0))</f>
        <v>67</v>
      </c>
      <c r="D5669" s="497">
        <f t="shared" si="373"/>
        <v>879</v>
      </c>
      <c r="E5669" s="497">
        <f t="shared" ca="1" si="374"/>
        <v>3</v>
      </c>
      <c r="F5669" s="497">
        <f t="shared" ca="1" si="375"/>
        <v>75</v>
      </c>
      <c r="G5669" s="497"/>
      <c r="H5669" s="503" t="str">
        <f t="shared" ca="1" si="376"/>
        <v/>
      </c>
      <c r="I5669" s="503" t="str">
        <f t="shared" ca="1" si="377"/>
        <v/>
      </c>
      <c r="J5669" s="503" t="str">
        <f t="shared" ca="1" si="378"/>
        <v/>
      </c>
      <c r="K5669" s="503" t="str">
        <f t="shared" ca="1" si="379"/>
        <v/>
      </c>
      <c r="L5669" s="497"/>
      <c r="M5669" s="497"/>
      <c r="N5669" s="497"/>
      <c r="O5669" s="497"/>
      <c r="P5669" s="497">
        <f t="shared" si="380"/>
        <v>0</v>
      </c>
      <c r="Q5669" s="497"/>
    </row>
    <row r="5670" spans="1:17" x14ac:dyDescent="0.35">
      <c r="A5670" s="497" t="b">
        <f t="shared" ca="1" si="372"/>
        <v>0</v>
      </c>
      <c r="B5670" s="510" t="str">
        <f ca="1">IF(COUNTA(G$4308:G5669)=1,"",OFFSET(B5670,-COUNTA(G$4308:G5669)+1,0))</f>
        <v>a1b3p0000095SGGAA2</v>
      </c>
      <c r="C5670" s="512">
        <f ca="1">IF(COUNTA(G$4308:G5669)=1,"",OFFSET(C5670,-COUNTA(G$4308:G5669)+1,0))</f>
        <v>67</v>
      </c>
      <c r="D5670" s="497">
        <f t="shared" si="373"/>
        <v>880</v>
      </c>
      <c r="E5670" s="497">
        <f t="shared" ca="1" si="374"/>
        <v>4</v>
      </c>
      <c r="F5670" s="497">
        <f t="shared" ca="1" si="375"/>
        <v>75</v>
      </c>
      <c r="G5670" s="497"/>
      <c r="H5670" s="503" t="str">
        <f t="shared" ca="1" si="376"/>
        <v/>
      </c>
      <c r="I5670" s="503" t="str">
        <f t="shared" ca="1" si="377"/>
        <v/>
      </c>
      <c r="J5670" s="503" t="str">
        <f t="shared" ca="1" si="378"/>
        <v/>
      </c>
      <c r="K5670" s="503" t="str">
        <f t="shared" ca="1" si="379"/>
        <v/>
      </c>
      <c r="L5670" s="497"/>
      <c r="M5670" s="497"/>
      <c r="N5670" s="497"/>
      <c r="O5670" s="497"/>
      <c r="P5670" s="497">
        <f t="shared" si="380"/>
        <v>0</v>
      </c>
      <c r="Q5670" s="497"/>
    </row>
    <row r="5671" spans="1:17" x14ac:dyDescent="0.35">
      <c r="A5671" s="497" t="b">
        <f t="shared" ca="1" si="372"/>
        <v>0</v>
      </c>
      <c r="B5671" s="510" t="str">
        <f ca="1">IF(COUNTA(G$4308:G5670)=1,"",OFFSET(B5671,-COUNTA(G$4308:G5670)+1,0))</f>
        <v>a1b3p0000095SIqAAM</v>
      </c>
      <c r="C5671" s="512">
        <f ca="1">IF(COUNTA(G$4308:G5670)=1,"",OFFSET(C5671,-COUNTA(G$4308:G5670)+1,0))</f>
        <v>67</v>
      </c>
      <c r="D5671" s="497">
        <f t="shared" si="373"/>
        <v>881</v>
      </c>
      <c r="E5671" s="497">
        <f t="shared" ca="1" si="374"/>
        <v>5</v>
      </c>
      <c r="F5671" s="497">
        <f t="shared" ca="1" si="375"/>
        <v>75</v>
      </c>
      <c r="G5671" s="497"/>
      <c r="H5671" s="503" t="str">
        <f t="shared" ca="1" si="376"/>
        <v/>
      </c>
      <c r="I5671" s="503" t="str">
        <f t="shared" ca="1" si="377"/>
        <v/>
      </c>
      <c r="J5671" s="503" t="str">
        <f t="shared" ca="1" si="378"/>
        <v/>
      </c>
      <c r="K5671" s="503" t="str">
        <f t="shared" ca="1" si="379"/>
        <v/>
      </c>
      <c r="L5671" s="497"/>
      <c r="M5671" s="497"/>
      <c r="N5671" s="497"/>
      <c r="O5671" s="497"/>
      <c r="P5671" s="497">
        <f t="shared" si="380"/>
        <v>0</v>
      </c>
      <c r="Q5671" s="497"/>
    </row>
    <row r="5672" spans="1:17" x14ac:dyDescent="0.35">
      <c r="A5672" s="497" t="b">
        <f t="shared" ca="1" si="372"/>
        <v>0</v>
      </c>
      <c r="B5672" s="510" t="str">
        <f ca="1">IF(COUNTA(G$4308:G5671)=1,"",OFFSET(B5672,-COUNTA(G$4308:G5671)+1,0))</f>
        <v>a1b3p0000095SLQAA2</v>
      </c>
      <c r="C5672" s="512">
        <f ca="1">IF(COUNTA(G$4308:G5671)=1,"",OFFSET(C5672,-COUNTA(G$4308:G5671)+1,0))</f>
        <v>67</v>
      </c>
      <c r="D5672" s="497">
        <f t="shared" si="373"/>
        <v>882</v>
      </c>
      <c r="E5672" s="497">
        <f t="shared" ca="1" si="374"/>
        <v>6</v>
      </c>
      <c r="F5672" s="497">
        <f t="shared" ca="1" si="375"/>
        <v>75</v>
      </c>
      <c r="G5672" s="497"/>
      <c r="H5672" s="503" t="str">
        <f t="shared" ca="1" si="376"/>
        <v/>
      </c>
      <c r="I5672" s="503" t="str">
        <f t="shared" ca="1" si="377"/>
        <v/>
      </c>
      <c r="J5672" s="503" t="str">
        <f t="shared" ca="1" si="378"/>
        <v/>
      </c>
      <c r="K5672" s="503" t="str">
        <f t="shared" ca="1" si="379"/>
        <v/>
      </c>
      <c r="L5672" s="497"/>
      <c r="M5672" s="497"/>
      <c r="N5672" s="497"/>
      <c r="O5672" s="497"/>
      <c r="P5672" s="497">
        <f t="shared" si="380"/>
        <v>0</v>
      </c>
      <c r="Q5672" s="497"/>
    </row>
    <row r="5673" spans="1:17" x14ac:dyDescent="0.35">
      <c r="A5673" s="497" t="b">
        <f t="shared" ca="1" si="372"/>
        <v>0</v>
      </c>
      <c r="B5673" s="510" t="str">
        <f ca="1">IF(COUNTA(G$4308:G5672)=1,"",OFFSET(B5673,-COUNTA(G$4308:G5672)+1,0))</f>
        <v>a1b3p0000095S8XAAU</v>
      </c>
      <c r="C5673" s="512">
        <f ca="1">IF(COUNTA(G$4308:G5672)=1,"",OFFSET(C5673,-COUNTA(G$4308:G5672)+1,0))</f>
        <v>68</v>
      </c>
      <c r="D5673" s="497">
        <f t="shared" si="373"/>
        <v>883</v>
      </c>
      <c r="E5673" s="497">
        <f t="shared" ca="1" si="374"/>
        <v>1</v>
      </c>
      <c r="F5673" s="497">
        <f t="shared" ca="1" si="375"/>
        <v>76</v>
      </c>
      <c r="G5673" s="497"/>
      <c r="H5673" s="503" t="str">
        <f t="shared" ca="1" si="376"/>
        <v/>
      </c>
      <c r="I5673" s="503" t="str">
        <f t="shared" ca="1" si="377"/>
        <v/>
      </c>
      <c r="J5673" s="503" t="str">
        <f t="shared" ca="1" si="378"/>
        <v/>
      </c>
      <c r="K5673" s="503" t="str">
        <f t="shared" ca="1" si="379"/>
        <v/>
      </c>
      <c r="L5673" s="497"/>
      <c r="M5673" s="497"/>
      <c r="N5673" s="497"/>
      <c r="O5673" s="497"/>
      <c r="P5673" s="497">
        <f t="shared" si="380"/>
        <v>0</v>
      </c>
      <c r="Q5673" s="497"/>
    </row>
    <row r="5674" spans="1:17" x14ac:dyDescent="0.35">
      <c r="A5674" s="497" t="b">
        <f t="shared" ca="1" si="372"/>
        <v>0</v>
      </c>
      <c r="B5674" s="510" t="str">
        <f ca="1">IF(COUNTA(G$4308:G5673)=1,"",OFFSET(B5674,-COUNTA(G$4308:G5673)+1,0))</f>
        <v>a1b3p0000095SB7AAM</v>
      </c>
      <c r="C5674" s="512">
        <f ca="1">IF(COUNTA(G$4308:G5673)=1,"",OFFSET(C5674,-COUNTA(G$4308:G5673)+1,0))</f>
        <v>68</v>
      </c>
      <c r="D5674" s="497">
        <f t="shared" si="373"/>
        <v>884</v>
      </c>
      <c r="E5674" s="497">
        <f t="shared" ca="1" si="374"/>
        <v>2</v>
      </c>
      <c r="F5674" s="497">
        <f t="shared" ca="1" si="375"/>
        <v>76</v>
      </c>
      <c r="G5674" s="497"/>
      <c r="H5674" s="503" t="str">
        <f t="shared" ca="1" si="376"/>
        <v/>
      </c>
      <c r="I5674" s="503" t="str">
        <f t="shared" ca="1" si="377"/>
        <v/>
      </c>
      <c r="J5674" s="503" t="str">
        <f t="shared" ca="1" si="378"/>
        <v/>
      </c>
      <c r="K5674" s="503" t="str">
        <f t="shared" ca="1" si="379"/>
        <v/>
      </c>
      <c r="L5674" s="497"/>
      <c r="M5674" s="497"/>
      <c r="N5674" s="497"/>
      <c r="O5674" s="497"/>
      <c r="P5674" s="497">
        <f t="shared" si="380"/>
        <v>0</v>
      </c>
      <c r="Q5674" s="497"/>
    </row>
    <row r="5675" spans="1:17" x14ac:dyDescent="0.35">
      <c r="A5675" s="497" t="b">
        <f t="shared" ca="1" si="372"/>
        <v>0</v>
      </c>
      <c r="B5675" s="510" t="str">
        <f ca="1">IF(COUNTA(G$4308:G5674)=1,"",OFFSET(B5675,-COUNTA(G$4308:G5674)+1,0))</f>
        <v>a1b3p0000095SDhAAM</v>
      </c>
      <c r="C5675" s="512">
        <f ca="1">IF(COUNTA(G$4308:G5674)=1,"",OFFSET(C5675,-COUNTA(G$4308:G5674)+1,0))</f>
        <v>68</v>
      </c>
      <c r="D5675" s="497">
        <f t="shared" si="373"/>
        <v>885</v>
      </c>
      <c r="E5675" s="497">
        <f t="shared" ca="1" si="374"/>
        <v>3</v>
      </c>
      <c r="F5675" s="497">
        <f t="shared" ca="1" si="375"/>
        <v>76</v>
      </c>
      <c r="G5675" s="497"/>
      <c r="H5675" s="503" t="str">
        <f t="shared" ca="1" si="376"/>
        <v/>
      </c>
      <c r="I5675" s="503" t="str">
        <f t="shared" ca="1" si="377"/>
        <v/>
      </c>
      <c r="J5675" s="503" t="str">
        <f t="shared" ca="1" si="378"/>
        <v/>
      </c>
      <c r="K5675" s="503" t="str">
        <f t="shared" ca="1" si="379"/>
        <v/>
      </c>
      <c r="L5675" s="497"/>
      <c r="M5675" s="497"/>
      <c r="N5675" s="497"/>
      <c r="O5675" s="497"/>
      <c r="P5675" s="497">
        <f t="shared" si="380"/>
        <v>0</v>
      </c>
      <c r="Q5675" s="497"/>
    </row>
    <row r="5676" spans="1:17" x14ac:dyDescent="0.35">
      <c r="A5676" s="497" t="b">
        <f t="shared" ca="1" si="372"/>
        <v>0</v>
      </c>
      <c r="B5676" s="510" t="str">
        <f ca="1">IF(COUNTA(G$4308:G5675)=1,"",OFFSET(B5676,-COUNTA(G$4308:G5675)+1,0))</f>
        <v>a1b3p0000095SGHAA2</v>
      </c>
      <c r="C5676" s="512">
        <f ca="1">IF(COUNTA(G$4308:G5675)=1,"",OFFSET(C5676,-COUNTA(G$4308:G5675)+1,0))</f>
        <v>68</v>
      </c>
      <c r="D5676" s="497">
        <f t="shared" si="373"/>
        <v>886</v>
      </c>
      <c r="E5676" s="497">
        <f t="shared" ca="1" si="374"/>
        <v>4</v>
      </c>
      <c r="F5676" s="497">
        <f t="shared" ca="1" si="375"/>
        <v>76</v>
      </c>
      <c r="G5676" s="497"/>
      <c r="H5676" s="503" t="str">
        <f t="shared" ca="1" si="376"/>
        <v/>
      </c>
      <c r="I5676" s="503" t="str">
        <f t="shared" ca="1" si="377"/>
        <v/>
      </c>
      <c r="J5676" s="503" t="str">
        <f t="shared" ca="1" si="378"/>
        <v/>
      </c>
      <c r="K5676" s="503" t="str">
        <f t="shared" ca="1" si="379"/>
        <v/>
      </c>
      <c r="L5676" s="497"/>
      <c r="M5676" s="497"/>
      <c r="N5676" s="497"/>
      <c r="O5676" s="497"/>
      <c r="P5676" s="497">
        <f t="shared" si="380"/>
        <v>0</v>
      </c>
      <c r="Q5676" s="497"/>
    </row>
    <row r="5677" spans="1:17" x14ac:dyDescent="0.35">
      <c r="A5677" s="497" t="b">
        <f t="shared" ca="1" si="372"/>
        <v>0</v>
      </c>
      <c r="B5677" s="510" t="str">
        <f ca="1">IF(COUNTA(G$4308:G5676)=1,"",OFFSET(B5677,-COUNTA(G$4308:G5676)+1,0))</f>
        <v>a1b3p0000095SIrAAM</v>
      </c>
      <c r="C5677" s="512">
        <f ca="1">IF(COUNTA(G$4308:G5676)=1,"",OFFSET(C5677,-COUNTA(G$4308:G5676)+1,0))</f>
        <v>68</v>
      </c>
      <c r="D5677" s="497">
        <f t="shared" si="373"/>
        <v>887</v>
      </c>
      <c r="E5677" s="497">
        <f t="shared" ca="1" si="374"/>
        <v>5</v>
      </c>
      <c r="F5677" s="497">
        <f t="shared" ca="1" si="375"/>
        <v>76</v>
      </c>
      <c r="G5677" s="497"/>
      <c r="H5677" s="503" t="str">
        <f t="shared" ca="1" si="376"/>
        <v/>
      </c>
      <c r="I5677" s="503" t="str">
        <f t="shared" ca="1" si="377"/>
        <v/>
      </c>
      <c r="J5677" s="503" t="str">
        <f t="shared" ca="1" si="378"/>
        <v/>
      </c>
      <c r="K5677" s="503" t="str">
        <f t="shared" ca="1" si="379"/>
        <v/>
      </c>
      <c r="L5677" s="497"/>
      <c r="M5677" s="497"/>
      <c r="N5677" s="497"/>
      <c r="O5677" s="497"/>
      <c r="P5677" s="497">
        <f t="shared" si="380"/>
        <v>0</v>
      </c>
      <c r="Q5677" s="497"/>
    </row>
    <row r="5678" spans="1:17" x14ac:dyDescent="0.35">
      <c r="A5678" s="497" t="b">
        <f t="shared" ca="1" si="372"/>
        <v>0</v>
      </c>
      <c r="B5678" s="510" t="str">
        <f ca="1">IF(COUNTA(G$4308:G5677)=1,"",OFFSET(B5678,-COUNTA(G$4308:G5677)+1,0))</f>
        <v>a1b3p0000095SLRAA2</v>
      </c>
      <c r="C5678" s="512">
        <f ca="1">IF(COUNTA(G$4308:G5677)=1,"",OFFSET(C5678,-COUNTA(G$4308:G5677)+1,0))</f>
        <v>68</v>
      </c>
      <c r="D5678" s="497">
        <f t="shared" si="373"/>
        <v>888</v>
      </c>
      <c r="E5678" s="497">
        <f t="shared" ca="1" si="374"/>
        <v>6</v>
      </c>
      <c r="F5678" s="497">
        <f t="shared" ca="1" si="375"/>
        <v>76</v>
      </c>
      <c r="G5678" s="497"/>
      <c r="H5678" s="503" t="str">
        <f t="shared" ca="1" si="376"/>
        <v/>
      </c>
      <c r="I5678" s="503" t="str">
        <f t="shared" ca="1" si="377"/>
        <v/>
      </c>
      <c r="J5678" s="503" t="str">
        <f t="shared" ca="1" si="378"/>
        <v/>
      </c>
      <c r="K5678" s="503" t="str">
        <f t="shared" ca="1" si="379"/>
        <v/>
      </c>
      <c r="L5678" s="497"/>
      <c r="M5678" s="497"/>
      <c r="N5678" s="497"/>
      <c r="O5678" s="497"/>
      <c r="P5678" s="497">
        <f t="shared" si="380"/>
        <v>0</v>
      </c>
      <c r="Q5678" s="497"/>
    </row>
    <row r="5679" spans="1:17" x14ac:dyDescent="0.35">
      <c r="A5679" s="497" t="b">
        <f t="shared" ca="1" si="372"/>
        <v>0</v>
      </c>
      <c r="B5679" s="510" t="str">
        <f ca="1">IF(COUNTA(G$4308:G5678)=1,"",OFFSET(B5679,-COUNTA(G$4308:G5678)+1,0))</f>
        <v>a1b3p0000095S8YAAU</v>
      </c>
      <c r="C5679" s="512">
        <f ca="1">IF(COUNTA(G$4308:G5678)=1,"",OFFSET(C5679,-COUNTA(G$4308:G5678)+1,0))</f>
        <v>69</v>
      </c>
      <c r="D5679" s="497">
        <f t="shared" si="373"/>
        <v>889</v>
      </c>
      <c r="E5679" s="497">
        <f t="shared" ca="1" si="374"/>
        <v>1</v>
      </c>
      <c r="F5679" s="497">
        <f t="shared" ca="1" si="375"/>
        <v>77</v>
      </c>
      <c r="G5679" s="497"/>
      <c r="H5679" s="503" t="str">
        <f t="shared" ca="1" si="376"/>
        <v/>
      </c>
      <c r="I5679" s="503" t="str">
        <f t="shared" ca="1" si="377"/>
        <v/>
      </c>
      <c r="J5679" s="503" t="str">
        <f t="shared" ca="1" si="378"/>
        <v/>
      </c>
      <c r="K5679" s="503" t="str">
        <f t="shared" ca="1" si="379"/>
        <v/>
      </c>
      <c r="L5679" s="497"/>
      <c r="M5679" s="497"/>
      <c r="N5679" s="497"/>
      <c r="O5679" s="497"/>
      <c r="P5679" s="497">
        <f t="shared" si="380"/>
        <v>0</v>
      </c>
      <c r="Q5679" s="497"/>
    </row>
    <row r="5680" spans="1:17" x14ac:dyDescent="0.35">
      <c r="A5680" s="497" t="b">
        <f t="shared" ca="1" si="372"/>
        <v>0</v>
      </c>
      <c r="B5680" s="510" t="str">
        <f ca="1">IF(COUNTA(G$4308:G5679)=1,"",OFFSET(B5680,-COUNTA(G$4308:G5679)+1,0))</f>
        <v>a1b3p0000095SB8AAM</v>
      </c>
      <c r="C5680" s="512">
        <f ca="1">IF(COUNTA(G$4308:G5679)=1,"",OFFSET(C5680,-COUNTA(G$4308:G5679)+1,0))</f>
        <v>69</v>
      </c>
      <c r="D5680" s="497">
        <f t="shared" si="373"/>
        <v>890</v>
      </c>
      <c r="E5680" s="497">
        <f t="shared" ca="1" si="374"/>
        <v>2</v>
      </c>
      <c r="F5680" s="497">
        <f t="shared" ca="1" si="375"/>
        <v>77</v>
      </c>
      <c r="G5680" s="497"/>
      <c r="H5680" s="503" t="str">
        <f t="shared" ca="1" si="376"/>
        <v/>
      </c>
      <c r="I5680" s="503" t="str">
        <f t="shared" ca="1" si="377"/>
        <v/>
      </c>
      <c r="J5680" s="503" t="str">
        <f t="shared" ca="1" si="378"/>
        <v/>
      </c>
      <c r="K5680" s="503" t="str">
        <f t="shared" ca="1" si="379"/>
        <v/>
      </c>
      <c r="L5680" s="497"/>
      <c r="M5680" s="497"/>
      <c r="N5680" s="497"/>
      <c r="O5680" s="497"/>
      <c r="P5680" s="497">
        <f t="shared" si="380"/>
        <v>0</v>
      </c>
      <c r="Q5680" s="497"/>
    </row>
    <row r="5681" spans="1:17" x14ac:dyDescent="0.35">
      <c r="A5681" s="497" t="b">
        <f t="shared" ca="1" si="372"/>
        <v>0</v>
      </c>
      <c r="B5681" s="510" t="str">
        <f ca="1">IF(COUNTA(G$4308:G5680)=1,"",OFFSET(B5681,-COUNTA(G$4308:G5680)+1,0))</f>
        <v>a1b3p0000095SDiAAM</v>
      </c>
      <c r="C5681" s="512">
        <f ca="1">IF(COUNTA(G$4308:G5680)=1,"",OFFSET(C5681,-COUNTA(G$4308:G5680)+1,0))</f>
        <v>69</v>
      </c>
      <c r="D5681" s="497">
        <f t="shared" si="373"/>
        <v>891</v>
      </c>
      <c r="E5681" s="497">
        <f t="shared" ca="1" si="374"/>
        <v>3</v>
      </c>
      <c r="F5681" s="497">
        <f t="shared" ca="1" si="375"/>
        <v>77</v>
      </c>
      <c r="G5681" s="497"/>
      <c r="H5681" s="503" t="str">
        <f t="shared" ca="1" si="376"/>
        <v/>
      </c>
      <c r="I5681" s="503" t="str">
        <f t="shared" ca="1" si="377"/>
        <v/>
      </c>
      <c r="J5681" s="503" t="str">
        <f t="shared" ca="1" si="378"/>
        <v/>
      </c>
      <c r="K5681" s="503" t="str">
        <f t="shared" ca="1" si="379"/>
        <v/>
      </c>
      <c r="L5681" s="497"/>
      <c r="M5681" s="497"/>
      <c r="N5681" s="497"/>
      <c r="O5681" s="497"/>
      <c r="P5681" s="497">
        <f t="shared" si="380"/>
        <v>0</v>
      </c>
      <c r="Q5681" s="497"/>
    </row>
    <row r="5682" spans="1:17" x14ac:dyDescent="0.35">
      <c r="A5682" s="497" t="b">
        <f t="shared" ca="1" si="372"/>
        <v>0</v>
      </c>
      <c r="B5682" s="510" t="str">
        <f ca="1">IF(COUNTA(G$4308:G5681)=1,"",OFFSET(B5682,-COUNTA(G$4308:G5681)+1,0))</f>
        <v>a1b3p0000095SGIAA2</v>
      </c>
      <c r="C5682" s="512">
        <f ca="1">IF(COUNTA(G$4308:G5681)=1,"",OFFSET(C5682,-COUNTA(G$4308:G5681)+1,0))</f>
        <v>69</v>
      </c>
      <c r="D5682" s="497">
        <f t="shared" si="373"/>
        <v>892</v>
      </c>
      <c r="E5682" s="497">
        <f t="shared" ca="1" si="374"/>
        <v>4</v>
      </c>
      <c r="F5682" s="497">
        <f t="shared" ca="1" si="375"/>
        <v>77</v>
      </c>
      <c r="G5682" s="497"/>
      <c r="H5682" s="503" t="str">
        <f t="shared" ca="1" si="376"/>
        <v/>
      </c>
      <c r="I5682" s="503" t="str">
        <f t="shared" ca="1" si="377"/>
        <v/>
      </c>
      <c r="J5682" s="503" t="str">
        <f t="shared" ca="1" si="378"/>
        <v/>
      </c>
      <c r="K5682" s="503" t="str">
        <f t="shared" ca="1" si="379"/>
        <v/>
      </c>
      <c r="L5682" s="497"/>
      <c r="M5682" s="497"/>
      <c r="N5682" s="497"/>
      <c r="O5682" s="497"/>
      <c r="P5682" s="497">
        <f t="shared" si="380"/>
        <v>0</v>
      </c>
      <c r="Q5682" s="497"/>
    </row>
    <row r="5683" spans="1:17" x14ac:dyDescent="0.35">
      <c r="A5683" s="497" t="b">
        <f t="shared" ca="1" si="372"/>
        <v>0</v>
      </c>
      <c r="B5683" s="510" t="str">
        <f ca="1">IF(COUNTA(G$4308:G5682)=1,"",OFFSET(B5683,-COUNTA(G$4308:G5682)+1,0))</f>
        <v>a1b3p0000095SIsAAM</v>
      </c>
      <c r="C5683" s="512">
        <f ca="1">IF(COUNTA(G$4308:G5682)=1,"",OFFSET(C5683,-COUNTA(G$4308:G5682)+1,0))</f>
        <v>69</v>
      </c>
      <c r="D5683" s="497">
        <f t="shared" si="373"/>
        <v>893</v>
      </c>
      <c r="E5683" s="497">
        <f t="shared" ca="1" si="374"/>
        <v>5</v>
      </c>
      <c r="F5683" s="497">
        <f t="shared" ca="1" si="375"/>
        <v>77</v>
      </c>
      <c r="G5683" s="497"/>
      <c r="H5683" s="503" t="str">
        <f t="shared" ca="1" si="376"/>
        <v/>
      </c>
      <c r="I5683" s="503" t="str">
        <f t="shared" ca="1" si="377"/>
        <v/>
      </c>
      <c r="J5683" s="503" t="str">
        <f t="shared" ca="1" si="378"/>
        <v/>
      </c>
      <c r="K5683" s="503" t="str">
        <f t="shared" ca="1" si="379"/>
        <v/>
      </c>
      <c r="L5683" s="497"/>
      <c r="M5683" s="497"/>
      <c r="N5683" s="497"/>
      <c r="O5683" s="497"/>
      <c r="P5683" s="497">
        <f t="shared" si="380"/>
        <v>0</v>
      </c>
      <c r="Q5683" s="497"/>
    </row>
    <row r="5684" spans="1:17" x14ac:dyDescent="0.35">
      <c r="A5684" s="497" t="b">
        <f t="shared" ca="1" si="372"/>
        <v>0</v>
      </c>
      <c r="B5684" s="510" t="str">
        <f ca="1">IF(COUNTA(G$4308:G5683)=1,"",OFFSET(B5684,-COUNTA(G$4308:G5683)+1,0))</f>
        <v>a1b3p0000095SLSAA2</v>
      </c>
      <c r="C5684" s="512">
        <f ca="1">IF(COUNTA(G$4308:G5683)=1,"",OFFSET(C5684,-COUNTA(G$4308:G5683)+1,0))</f>
        <v>69</v>
      </c>
      <c r="D5684" s="497">
        <f t="shared" si="373"/>
        <v>894</v>
      </c>
      <c r="E5684" s="497">
        <f t="shared" ca="1" si="374"/>
        <v>6</v>
      </c>
      <c r="F5684" s="497">
        <f t="shared" ca="1" si="375"/>
        <v>77</v>
      </c>
      <c r="G5684" s="497"/>
      <c r="H5684" s="503" t="str">
        <f t="shared" ca="1" si="376"/>
        <v/>
      </c>
      <c r="I5684" s="503" t="str">
        <f t="shared" ca="1" si="377"/>
        <v/>
      </c>
      <c r="J5684" s="503" t="str">
        <f t="shared" ca="1" si="378"/>
        <v/>
      </c>
      <c r="K5684" s="503" t="str">
        <f t="shared" ca="1" si="379"/>
        <v/>
      </c>
      <c r="L5684" s="497"/>
      <c r="M5684" s="497"/>
      <c r="N5684" s="497"/>
      <c r="O5684" s="497"/>
      <c r="P5684" s="497">
        <f t="shared" si="380"/>
        <v>0</v>
      </c>
      <c r="Q5684" s="497"/>
    </row>
    <row r="5685" spans="1:17" x14ac:dyDescent="0.35">
      <c r="A5685" s="497" t="b">
        <f t="shared" ca="1" si="372"/>
        <v>0</v>
      </c>
      <c r="B5685" s="510" t="str">
        <f ca="1">IF(COUNTA(G$4308:G5684)=1,"",OFFSET(B5685,-COUNTA(G$4308:G5684)+1,0))</f>
        <v>a1b3p0000095S8ZAAU</v>
      </c>
      <c r="C5685" s="512">
        <f ca="1">IF(COUNTA(G$4308:G5684)=1,"",OFFSET(C5685,-COUNTA(G$4308:G5684)+1,0))</f>
        <v>70</v>
      </c>
      <c r="D5685" s="497">
        <f t="shared" si="373"/>
        <v>895</v>
      </c>
      <c r="E5685" s="497">
        <f t="shared" ca="1" si="374"/>
        <v>1</v>
      </c>
      <c r="F5685" s="497">
        <f t="shared" ca="1" si="375"/>
        <v>78</v>
      </c>
      <c r="G5685" s="497"/>
      <c r="H5685" s="503" t="str">
        <f t="shared" ca="1" si="376"/>
        <v/>
      </c>
      <c r="I5685" s="503" t="str">
        <f t="shared" ca="1" si="377"/>
        <v/>
      </c>
      <c r="J5685" s="503" t="str">
        <f t="shared" ca="1" si="378"/>
        <v/>
      </c>
      <c r="K5685" s="503" t="str">
        <f t="shared" ca="1" si="379"/>
        <v/>
      </c>
      <c r="L5685" s="497"/>
      <c r="M5685" s="497"/>
      <c r="N5685" s="497"/>
      <c r="O5685" s="497"/>
      <c r="P5685" s="497">
        <f t="shared" si="380"/>
        <v>0</v>
      </c>
      <c r="Q5685" s="497"/>
    </row>
    <row r="5686" spans="1:17" x14ac:dyDescent="0.35">
      <c r="A5686" s="497" t="b">
        <f t="shared" ca="1" si="372"/>
        <v>0</v>
      </c>
      <c r="B5686" s="510" t="str">
        <f ca="1">IF(COUNTA(G$4308:G5685)=1,"",OFFSET(B5686,-COUNTA(G$4308:G5685)+1,0))</f>
        <v>a1b3p0000095SB9AAM</v>
      </c>
      <c r="C5686" s="512">
        <f ca="1">IF(COUNTA(G$4308:G5685)=1,"",OFFSET(C5686,-COUNTA(G$4308:G5685)+1,0))</f>
        <v>70</v>
      </c>
      <c r="D5686" s="497">
        <f t="shared" si="373"/>
        <v>896</v>
      </c>
      <c r="E5686" s="497">
        <f t="shared" ca="1" si="374"/>
        <v>2</v>
      </c>
      <c r="F5686" s="497">
        <f t="shared" ca="1" si="375"/>
        <v>78</v>
      </c>
      <c r="G5686" s="497"/>
      <c r="H5686" s="503" t="str">
        <f t="shared" ca="1" si="376"/>
        <v/>
      </c>
      <c r="I5686" s="503" t="str">
        <f t="shared" ca="1" si="377"/>
        <v/>
      </c>
      <c r="J5686" s="503" t="str">
        <f t="shared" ca="1" si="378"/>
        <v/>
      </c>
      <c r="K5686" s="503" t="str">
        <f t="shared" ca="1" si="379"/>
        <v/>
      </c>
      <c r="L5686" s="497"/>
      <c r="M5686" s="497"/>
      <c r="N5686" s="497"/>
      <c r="O5686" s="497"/>
      <c r="P5686" s="497">
        <f t="shared" si="380"/>
        <v>0</v>
      </c>
      <c r="Q5686" s="497"/>
    </row>
    <row r="5687" spans="1:17" x14ac:dyDescent="0.35">
      <c r="A5687" s="497" t="b">
        <f t="shared" ca="1" si="372"/>
        <v>0</v>
      </c>
      <c r="B5687" s="510" t="str">
        <f ca="1">IF(COUNTA(G$4308:G5686)=1,"",OFFSET(B5687,-COUNTA(G$4308:G5686)+1,0))</f>
        <v>a1b3p0000095SDjAAM</v>
      </c>
      <c r="C5687" s="512">
        <f ca="1">IF(COUNTA(G$4308:G5686)=1,"",OFFSET(C5687,-COUNTA(G$4308:G5686)+1,0))</f>
        <v>70</v>
      </c>
      <c r="D5687" s="497">
        <f t="shared" si="373"/>
        <v>897</v>
      </c>
      <c r="E5687" s="497">
        <f t="shared" ca="1" si="374"/>
        <v>3</v>
      </c>
      <c r="F5687" s="497">
        <f t="shared" ca="1" si="375"/>
        <v>78</v>
      </c>
      <c r="G5687" s="497"/>
      <c r="H5687" s="503" t="str">
        <f t="shared" ca="1" si="376"/>
        <v/>
      </c>
      <c r="I5687" s="503" t="str">
        <f t="shared" ca="1" si="377"/>
        <v/>
      </c>
      <c r="J5687" s="503" t="str">
        <f t="shared" ca="1" si="378"/>
        <v/>
      </c>
      <c r="K5687" s="503" t="str">
        <f t="shared" ca="1" si="379"/>
        <v/>
      </c>
      <c r="L5687" s="497"/>
      <c r="M5687" s="497"/>
      <c r="N5687" s="497"/>
      <c r="O5687" s="497"/>
      <c r="P5687" s="497">
        <f t="shared" si="380"/>
        <v>0</v>
      </c>
      <c r="Q5687" s="497"/>
    </row>
    <row r="5688" spans="1:17" x14ac:dyDescent="0.35">
      <c r="A5688" s="497" t="b">
        <f t="shared" ca="1" si="372"/>
        <v>0</v>
      </c>
      <c r="B5688" s="510" t="str">
        <f ca="1">IF(COUNTA(G$4308:G5687)=1,"",OFFSET(B5688,-COUNTA(G$4308:G5687)+1,0))</f>
        <v>a1b3p0000095SGJAA2</v>
      </c>
      <c r="C5688" s="512">
        <f ca="1">IF(COUNTA(G$4308:G5687)=1,"",OFFSET(C5688,-COUNTA(G$4308:G5687)+1,0))</f>
        <v>70</v>
      </c>
      <c r="D5688" s="497">
        <f t="shared" si="373"/>
        <v>898</v>
      </c>
      <c r="E5688" s="497">
        <f t="shared" ca="1" si="374"/>
        <v>4</v>
      </c>
      <c r="F5688" s="497">
        <f t="shared" ca="1" si="375"/>
        <v>78</v>
      </c>
      <c r="G5688" s="497"/>
      <c r="H5688" s="503" t="str">
        <f t="shared" ca="1" si="376"/>
        <v/>
      </c>
      <c r="I5688" s="503" t="str">
        <f t="shared" ca="1" si="377"/>
        <v/>
      </c>
      <c r="J5688" s="503" t="str">
        <f t="shared" ca="1" si="378"/>
        <v/>
      </c>
      <c r="K5688" s="503" t="str">
        <f t="shared" ca="1" si="379"/>
        <v/>
      </c>
      <c r="L5688" s="497"/>
      <c r="M5688" s="497"/>
      <c r="N5688" s="497"/>
      <c r="O5688" s="497"/>
      <c r="P5688" s="497">
        <f t="shared" si="380"/>
        <v>0</v>
      </c>
      <c r="Q5688" s="497"/>
    </row>
    <row r="5689" spans="1:17" x14ac:dyDescent="0.35">
      <c r="A5689" s="497" t="b">
        <f t="shared" ca="1" si="372"/>
        <v>0</v>
      </c>
      <c r="B5689" s="510" t="str">
        <f ca="1">IF(COUNTA(G$4308:G5688)=1,"",OFFSET(B5689,-COUNTA(G$4308:G5688)+1,0))</f>
        <v>a1b3p0000095SItAAM</v>
      </c>
      <c r="C5689" s="512">
        <f ca="1">IF(COUNTA(G$4308:G5688)=1,"",OFFSET(C5689,-COUNTA(G$4308:G5688)+1,0))</f>
        <v>70</v>
      </c>
      <c r="D5689" s="497">
        <f t="shared" si="373"/>
        <v>899</v>
      </c>
      <c r="E5689" s="497">
        <f t="shared" ca="1" si="374"/>
        <v>5</v>
      </c>
      <c r="F5689" s="497">
        <f t="shared" ca="1" si="375"/>
        <v>78</v>
      </c>
      <c r="G5689" s="497"/>
      <c r="H5689" s="503" t="str">
        <f t="shared" ca="1" si="376"/>
        <v/>
      </c>
      <c r="I5689" s="503" t="str">
        <f t="shared" ca="1" si="377"/>
        <v/>
      </c>
      <c r="J5689" s="503" t="str">
        <f t="shared" ca="1" si="378"/>
        <v/>
      </c>
      <c r="K5689" s="503" t="str">
        <f t="shared" ca="1" si="379"/>
        <v/>
      </c>
      <c r="L5689" s="497"/>
      <c r="M5689" s="497"/>
      <c r="N5689" s="497"/>
      <c r="O5689" s="497"/>
      <c r="P5689" s="497">
        <f t="shared" si="380"/>
        <v>0</v>
      </c>
      <c r="Q5689" s="497"/>
    </row>
    <row r="5690" spans="1:17" x14ac:dyDescent="0.35">
      <c r="A5690" s="497" t="b">
        <f t="shared" ca="1" si="372"/>
        <v>0</v>
      </c>
      <c r="B5690" s="510" t="str">
        <f ca="1">IF(COUNTA(G$4308:G5689)=1,"",OFFSET(B5690,-COUNTA(G$4308:G5689)+1,0))</f>
        <v>a1b3p0000095SLTAA2</v>
      </c>
      <c r="C5690" s="512">
        <f ca="1">IF(COUNTA(G$4308:G5689)=1,"",OFFSET(C5690,-COUNTA(G$4308:G5689)+1,0))</f>
        <v>70</v>
      </c>
      <c r="D5690" s="497">
        <f t="shared" si="373"/>
        <v>900</v>
      </c>
      <c r="E5690" s="497">
        <f t="shared" ca="1" si="374"/>
        <v>6</v>
      </c>
      <c r="F5690" s="497">
        <f t="shared" ca="1" si="375"/>
        <v>78</v>
      </c>
      <c r="G5690" s="497"/>
      <c r="H5690" s="503" t="str">
        <f t="shared" ca="1" si="376"/>
        <v/>
      </c>
      <c r="I5690" s="503" t="str">
        <f t="shared" ca="1" si="377"/>
        <v/>
      </c>
      <c r="J5690" s="503" t="str">
        <f t="shared" ca="1" si="378"/>
        <v/>
      </c>
      <c r="K5690" s="503" t="str">
        <f t="shared" ca="1" si="379"/>
        <v/>
      </c>
      <c r="L5690" s="497"/>
      <c r="M5690" s="497"/>
      <c r="N5690" s="497"/>
      <c r="O5690" s="497"/>
      <c r="P5690" s="497">
        <f t="shared" si="380"/>
        <v>0</v>
      </c>
      <c r="Q5690" s="497"/>
    </row>
    <row r="5691" spans="1:17" x14ac:dyDescent="0.35">
      <c r="A5691" s="497" t="b">
        <f t="shared" ca="1" si="372"/>
        <v>0</v>
      </c>
      <c r="B5691" s="510" t="str">
        <f ca="1">IF(COUNTA(G$4308:G5690)=1,"",OFFSET(B5691,-COUNTA(G$4308:G5690)+1,0))</f>
        <v>a1b3p0000095S8aAAE</v>
      </c>
      <c r="C5691" s="512">
        <f ca="1">IF(COUNTA(G$4308:G5690)=1,"",OFFSET(C5691,-COUNTA(G$4308:G5690)+1,0))</f>
        <v>71</v>
      </c>
      <c r="D5691" s="497">
        <f t="shared" si="373"/>
        <v>901</v>
      </c>
      <c r="E5691" s="497">
        <f t="shared" ca="1" si="374"/>
        <v>1</v>
      </c>
      <c r="F5691" s="497">
        <f t="shared" ca="1" si="375"/>
        <v>79</v>
      </c>
      <c r="G5691" s="497"/>
      <c r="H5691" s="503" t="str">
        <f t="shared" ca="1" si="376"/>
        <v/>
      </c>
      <c r="I5691" s="503" t="str">
        <f t="shared" ca="1" si="377"/>
        <v/>
      </c>
      <c r="J5691" s="503" t="str">
        <f t="shared" ca="1" si="378"/>
        <v/>
      </c>
      <c r="K5691" s="503" t="str">
        <f t="shared" ca="1" si="379"/>
        <v/>
      </c>
      <c r="L5691" s="497"/>
      <c r="M5691" s="497"/>
      <c r="N5691" s="497"/>
      <c r="O5691" s="497"/>
      <c r="P5691" s="497">
        <f t="shared" si="380"/>
        <v>0</v>
      </c>
      <c r="Q5691" s="497"/>
    </row>
    <row r="5692" spans="1:17" x14ac:dyDescent="0.35">
      <c r="A5692" s="497" t="b">
        <f t="shared" ca="1" si="372"/>
        <v>0</v>
      </c>
      <c r="B5692" s="510" t="str">
        <f ca="1">IF(COUNTA(G$4308:G5691)=1,"",OFFSET(B5692,-COUNTA(G$4308:G5691)+1,0))</f>
        <v>a1b3p0000095SBAAA2</v>
      </c>
      <c r="C5692" s="512">
        <f ca="1">IF(COUNTA(G$4308:G5691)=1,"",OFFSET(C5692,-COUNTA(G$4308:G5691)+1,0))</f>
        <v>71</v>
      </c>
      <c r="D5692" s="497">
        <f t="shared" si="373"/>
        <v>902</v>
      </c>
      <c r="E5692" s="497">
        <f t="shared" ca="1" si="374"/>
        <v>2</v>
      </c>
      <c r="F5692" s="497">
        <f t="shared" ca="1" si="375"/>
        <v>79</v>
      </c>
      <c r="G5692" s="497"/>
      <c r="H5692" s="503" t="str">
        <f t="shared" ca="1" si="376"/>
        <v/>
      </c>
      <c r="I5692" s="503" t="str">
        <f t="shared" ca="1" si="377"/>
        <v/>
      </c>
      <c r="J5692" s="503" t="str">
        <f t="shared" ca="1" si="378"/>
        <v/>
      </c>
      <c r="K5692" s="503" t="str">
        <f t="shared" ca="1" si="379"/>
        <v/>
      </c>
      <c r="L5692" s="497"/>
      <c r="M5692" s="497"/>
      <c r="N5692" s="497"/>
      <c r="O5692" s="497"/>
      <c r="P5692" s="497">
        <f t="shared" si="380"/>
        <v>0</v>
      </c>
      <c r="Q5692" s="497"/>
    </row>
    <row r="5693" spans="1:17" x14ac:dyDescent="0.35">
      <c r="A5693" s="497" t="b">
        <f t="shared" ca="1" si="372"/>
        <v>0</v>
      </c>
      <c r="B5693" s="510" t="str">
        <f ca="1">IF(COUNTA(G$4308:G5692)=1,"",OFFSET(B5693,-COUNTA(G$4308:G5692)+1,0))</f>
        <v>a1b3p0000095SDkAAM</v>
      </c>
      <c r="C5693" s="512">
        <f ca="1">IF(COUNTA(G$4308:G5692)=1,"",OFFSET(C5693,-COUNTA(G$4308:G5692)+1,0))</f>
        <v>71</v>
      </c>
      <c r="D5693" s="497">
        <f t="shared" si="373"/>
        <v>903</v>
      </c>
      <c r="E5693" s="497">
        <f t="shared" ca="1" si="374"/>
        <v>3</v>
      </c>
      <c r="F5693" s="497">
        <f t="shared" ca="1" si="375"/>
        <v>79</v>
      </c>
      <c r="G5693" s="497"/>
      <c r="H5693" s="503" t="str">
        <f t="shared" ca="1" si="376"/>
        <v/>
      </c>
      <c r="I5693" s="503" t="str">
        <f t="shared" ca="1" si="377"/>
        <v/>
      </c>
      <c r="J5693" s="503" t="str">
        <f t="shared" ca="1" si="378"/>
        <v/>
      </c>
      <c r="K5693" s="503" t="str">
        <f t="shared" ca="1" si="379"/>
        <v/>
      </c>
      <c r="L5693" s="497"/>
      <c r="M5693" s="497"/>
      <c r="N5693" s="497"/>
      <c r="O5693" s="497"/>
      <c r="P5693" s="497">
        <f t="shared" si="380"/>
        <v>0</v>
      </c>
      <c r="Q5693" s="497"/>
    </row>
    <row r="5694" spans="1:17" x14ac:dyDescent="0.35">
      <c r="A5694" s="497" t="b">
        <f t="shared" ca="1" si="372"/>
        <v>0</v>
      </c>
      <c r="B5694" s="510" t="str">
        <f ca="1">IF(COUNTA(G$4308:G5693)=1,"",OFFSET(B5694,-COUNTA(G$4308:G5693)+1,0))</f>
        <v>a1b3p0000095SGKAA2</v>
      </c>
      <c r="C5694" s="512">
        <f ca="1">IF(COUNTA(G$4308:G5693)=1,"",OFFSET(C5694,-COUNTA(G$4308:G5693)+1,0))</f>
        <v>71</v>
      </c>
      <c r="D5694" s="497">
        <f t="shared" si="373"/>
        <v>904</v>
      </c>
      <c r="E5694" s="497">
        <f t="shared" ca="1" si="374"/>
        <v>4</v>
      </c>
      <c r="F5694" s="497">
        <f t="shared" ca="1" si="375"/>
        <v>79</v>
      </c>
      <c r="G5694" s="497"/>
      <c r="H5694" s="503" t="str">
        <f t="shared" ca="1" si="376"/>
        <v/>
      </c>
      <c r="I5694" s="503" t="str">
        <f t="shared" ca="1" si="377"/>
        <v/>
      </c>
      <c r="J5694" s="503" t="str">
        <f t="shared" ca="1" si="378"/>
        <v/>
      </c>
      <c r="K5694" s="503" t="str">
        <f t="shared" ca="1" si="379"/>
        <v/>
      </c>
      <c r="L5694" s="497"/>
      <c r="M5694" s="497"/>
      <c r="N5694" s="497"/>
      <c r="O5694" s="497"/>
      <c r="P5694" s="497">
        <f t="shared" si="380"/>
        <v>0</v>
      </c>
      <c r="Q5694" s="497"/>
    </row>
    <row r="5695" spans="1:17" x14ac:dyDescent="0.35">
      <c r="A5695" s="497" t="b">
        <f t="shared" ca="1" si="372"/>
        <v>0</v>
      </c>
      <c r="B5695" s="510" t="str">
        <f ca="1">IF(COUNTA(G$4308:G5694)=1,"",OFFSET(B5695,-COUNTA(G$4308:G5694)+1,0))</f>
        <v>a1b3p0000095SIuAAM</v>
      </c>
      <c r="C5695" s="512">
        <f ca="1">IF(COUNTA(G$4308:G5694)=1,"",OFFSET(C5695,-COUNTA(G$4308:G5694)+1,0))</f>
        <v>71</v>
      </c>
      <c r="D5695" s="497">
        <f t="shared" si="373"/>
        <v>905</v>
      </c>
      <c r="E5695" s="497">
        <f t="shared" ca="1" si="374"/>
        <v>5</v>
      </c>
      <c r="F5695" s="497">
        <f t="shared" ca="1" si="375"/>
        <v>79</v>
      </c>
      <c r="G5695" s="497"/>
      <c r="H5695" s="503" t="str">
        <f t="shared" ca="1" si="376"/>
        <v/>
      </c>
      <c r="I5695" s="503" t="str">
        <f t="shared" ca="1" si="377"/>
        <v/>
      </c>
      <c r="J5695" s="503" t="str">
        <f t="shared" ca="1" si="378"/>
        <v/>
      </c>
      <c r="K5695" s="503" t="str">
        <f t="shared" ca="1" si="379"/>
        <v/>
      </c>
      <c r="L5695" s="497"/>
      <c r="M5695" s="497"/>
      <c r="N5695" s="497"/>
      <c r="O5695" s="497"/>
      <c r="P5695" s="497">
        <f t="shared" si="380"/>
        <v>0</v>
      </c>
      <c r="Q5695" s="497"/>
    </row>
    <row r="5696" spans="1:17" x14ac:dyDescent="0.35">
      <c r="A5696" s="497" t="b">
        <f t="shared" ca="1" si="372"/>
        <v>0</v>
      </c>
      <c r="B5696" s="510" t="str">
        <f ca="1">IF(COUNTA(G$4308:G5695)=1,"",OFFSET(B5696,-COUNTA(G$4308:G5695)+1,0))</f>
        <v>a1b3p0000095SLUAA2</v>
      </c>
      <c r="C5696" s="512">
        <f ca="1">IF(COUNTA(G$4308:G5695)=1,"",OFFSET(C5696,-COUNTA(G$4308:G5695)+1,0))</f>
        <v>71</v>
      </c>
      <c r="D5696" s="497">
        <f t="shared" si="373"/>
        <v>906</v>
      </c>
      <c r="E5696" s="497">
        <f t="shared" ca="1" si="374"/>
        <v>6</v>
      </c>
      <c r="F5696" s="497">
        <f t="shared" ca="1" si="375"/>
        <v>79</v>
      </c>
      <c r="G5696" s="497"/>
      <c r="H5696" s="503" t="str">
        <f t="shared" ca="1" si="376"/>
        <v/>
      </c>
      <c r="I5696" s="503" t="str">
        <f t="shared" ca="1" si="377"/>
        <v/>
      </c>
      <c r="J5696" s="503" t="str">
        <f t="shared" ca="1" si="378"/>
        <v/>
      </c>
      <c r="K5696" s="503" t="str">
        <f t="shared" ca="1" si="379"/>
        <v/>
      </c>
      <c r="L5696" s="497"/>
      <c r="M5696" s="497"/>
      <c r="N5696" s="497"/>
      <c r="O5696" s="497"/>
      <c r="P5696" s="497">
        <f t="shared" si="380"/>
        <v>0</v>
      </c>
      <c r="Q5696" s="497"/>
    </row>
    <row r="5697" spans="1:17" x14ac:dyDescent="0.35">
      <c r="A5697" s="497" t="b">
        <f t="shared" ca="1" si="372"/>
        <v>0</v>
      </c>
      <c r="B5697" s="510" t="str">
        <f ca="1">IF(COUNTA(G$4308:G5696)=1,"",OFFSET(B5697,-COUNTA(G$4308:G5696)+1,0))</f>
        <v>a1b3p0000095S8bAAE</v>
      </c>
      <c r="C5697" s="512">
        <f ca="1">IF(COUNTA(G$4308:G5696)=1,"",OFFSET(C5697,-COUNTA(G$4308:G5696)+1,0))</f>
        <v>72</v>
      </c>
      <c r="D5697" s="497">
        <f t="shared" si="373"/>
        <v>907</v>
      </c>
      <c r="E5697" s="497">
        <f t="shared" ca="1" si="374"/>
        <v>1</v>
      </c>
      <c r="F5697" s="497">
        <f t="shared" ca="1" si="375"/>
        <v>80</v>
      </c>
      <c r="G5697" s="497"/>
      <c r="H5697" s="503" t="str">
        <f t="shared" ca="1" si="376"/>
        <v/>
      </c>
      <c r="I5697" s="503" t="str">
        <f t="shared" ca="1" si="377"/>
        <v/>
      </c>
      <c r="J5697" s="503" t="str">
        <f t="shared" ca="1" si="378"/>
        <v/>
      </c>
      <c r="K5697" s="503" t="str">
        <f t="shared" ca="1" si="379"/>
        <v/>
      </c>
      <c r="L5697" s="497"/>
      <c r="M5697" s="497"/>
      <c r="N5697" s="497"/>
      <c r="O5697" s="497"/>
      <c r="P5697" s="497">
        <f t="shared" si="380"/>
        <v>0</v>
      </c>
      <c r="Q5697" s="497"/>
    </row>
    <row r="5698" spans="1:17" x14ac:dyDescent="0.35">
      <c r="A5698" s="497" t="b">
        <f t="shared" ca="1" si="372"/>
        <v>0</v>
      </c>
      <c r="B5698" s="510" t="str">
        <f ca="1">IF(COUNTA(G$4308:G5697)=1,"",OFFSET(B5698,-COUNTA(G$4308:G5697)+1,0))</f>
        <v>a1b3p0000095SBBAA2</v>
      </c>
      <c r="C5698" s="512">
        <f ca="1">IF(COUNTA(G$4308:G5697)=1,"",OFFSET(C5698,-COUNTA(G$4308:G5697)+1,0))</f>
        <v>72</v>
      </c>
      <c r="D5698" s="497">
        <f t="shared" si="373"/>
        <v>908</v>
      </c>
      <c r="E5698" s="497">
        <f t="shared" ca="1" si="374"/>
        <v>2</v>
      </c>
      <c r="F5698" s="497">
        <f t="shared" ca="1" si="375"/>
        <v>80</v>
      </c>
      <c r="G5698" s="497"/>
      <c r="H5698" s="503" t="str">
        <f t="shared" ca="1" si="376"/>
        <v/>
      </c>
      <c r="I5698" s="503" t="str">
        <f t="shared" ca="1" si="377"/>
        <v/>
      </c>
      <c r="J5698" s="503" t="str">
        <f t="shared" ca="1" si="378"/>
        <v/>
      </c>
      <c r="K5698" s="503" t="str">
        <f t="shared" ca="1" si="379"/>
        <v/>
      </c>
      <c r="L5698" s="497"/>
      <c r="M5698" s="497"/>
      <c r="N5698" s="497"/>
      <c r="O5698" s="497"/>
      <c r="P5698" s="497">
        <f t="shared" si="380"/>
        <v>0</v>
      </c>
      <c r="Q5698" s="497"/>
    </row>
    <row r="5699" spans="1:17" x14ac:dyDescent="0.35">
      <c r="A5699" s="497" t="b">
        <f t="shared" ca="1" si="372"/>
        <v>0</v>
      </c>
      <c r="B5699" s="510" t="str">
        <f ca="1">IF(COUNTA(G$4308:G5698)=1,"",OFFSET(B5699,-COUNTA(G$4308:G5698)+1,0))</f>
        <v>a1b3p0000095SDlAAM</v>
      </c>
      <c r="C5699" s="512">
        <f ca="1">IF(COUNTA(G$4308:G5698)=1,"",OFFSET(C5699,-COUNTA(G$4308:G5698)+1,0))</f>
        <v>72</v>
      </c>
      <c r="D5699" s="497">
        <f t="shared" si="373"/>
        <v>909</v>
      </c>
      <c r="E5699" s="497">
        <f t="shared" ca="1" si="374"/>
        <v>3</v>
      </c>
      <c r="F5699" s="497">
        <f t="shared" ca="1" si="375"/>
        <v>80</v>
      </c>
      <c r="G5699" s="497"/>
      <c r="H5699" s="503" t="str">
        <f t="shared" ca="1" si="376"/>
        <v/>
      </c>
      <c r="I5699" s="503" t="str">
        <f t="shared" ca="1" si="377"/>
        <v/>
      </c>
      <c r="J5699" s="503" t="str">
        <f t="shared" ca="1" si="378"/>
        <v/>
      </c>
      <c r="K5699" s="503" t="str">
        <f t="shared" ca="1" si="379"/>
        <v/>
      </c>
      <c r="L5699" s="497"/>
      <c r="M5699" s="497"/>
      <c r="N5699" s="497"/>
      <c r="O5699" s="497"/>
      <c r="P5699" s="497">
        <f t="shared" si="380"/>
        <v>0</v>
      </c>
      <c r="Q5699" s="497"/>
    </row>
    <row r="5700" spans="1:17" x14ac:dyDescent="0.35">
      <c r="A5700" s="497" t="b">
        <f t="shared" ca="1" si="372"/>
        <v>0</v>
      </c>
      <c r="B5700" s="510" t="str">
        <f ca="1">IF(COUNTA(G$4308:G5699)=1,"",OFFSET(B5700,-COUNTA(G$4308:G5699)+1,0))</f>
        <v>a1b3p0000095SGLAA2</v>
      </c>
      <c r="C5700" s="512">
        <f ca="1">IF(COUNTA(G$4308:G5699)=1,"",OFFSET(C5700,-COUNTA(G$4308:G5699)+1,0))</f>
        <v>72</v>
      </c>
      <c r="D5700" s="497">
        <f t="shared" si="373"/>
        <v>910</v>
      </c>
      <c r="E5700" s="497">
        <f t="shared" ca="1" si="374"/>
        <v>4</v>
      </c>
      <c r="F5700" s="497">
        <f t="shared" ca="1" si="375"/>
        <v>80</v>
      </c>
      <c r="G5700" s="497"/>
      <c r="H5700" s="503" t="str">
        <f t="shared" ca="1" si="376"/>
        <v/>
      </c>
      <c r="I5700" s="503" t="str">
        <f t="shared" ca="1" si="377"/>
        <v/>
      </c>
      <c r="J5700" s="503" t="str">
        <f t="shared" ca="1" si="378"/>
        <v/>
      </c>
      <c r="K5700" s="503" t="str">
        <f t="shared" ca="1" si="379"/>
        <v/>
      </c>
      <c r="L5700" s="497"/>
      <c r="M5700" s="497"/>
      <c r="N5700" s="497"/>
      <c r="O5700" s="497"/>
      <c r="P5700" s="497">
        <f t="shared" si="380"/>
        <v>0</v>
      </c>
      <c r="Q5700" s="497"/>
    </row>
    <row r="5701" spans="1:17" x14ac:dyDescent="0.35">
      <c r="A5701" s="497" t="b">
        <f t="shared" ca="1" si="372"/>
        <v>0</v>
      </c>
      <c r="B5701" s="510" t="str">
        <f ca="1">IF(COUNTA(G$4308:G5700)=1,"",OFFSET(B5701,-COUNTA(G$4308:G5700)+1,0))</f>
        <v>a1b3p0000095SIvAAM</v>
      </c>
      <c r="C5701" s="512">
        <f ca="1">IF(COUNTA(G$4308:G5700)=1,"",OFFSET(C5701,-COUNTA(G$4308:G5700)+1,0))</f>
        <v>72</v>
      </c>
      <c r="D5701" s="497">
        <f t="shared" si="373"/>
        <v>911</v>
      </c>
      <c r="E5701" s="497">
        <f t="shared" ca="1" si="374"/>
        <v>5</v>
      </c>
      <c r="F5701" s="497">
        <f t="shared" ca="1" si="375"/>
        <v>80</v>
      </c>
      <c r="G5701" s="497"/>
      <c r="H5701" s="503" t="str">
        <f t="shared" ca="1" si="376"/>
        <v/>
      </c>
      <c r="I5701" s="503" t="str">
        <f t="shared" ca="1" si="377"/>
        <v/>
      </c>
      <c r="J5701" s="503" t="str">
        <f t="shared" ca="1" si="378"/>
        <v/>
      </c>
      <c r="K5701" s="503" t="str">
        <f t="shared" ca="1" si="379"/>
        <v/>
      </c>
      <c r="L5701" s="497"/>
      <c r="M5701" s="497"/>
      <c r="N5701" s="497"/>
      <c r="O5701" s="497"/>
      <c r="P5701" s="497">
        <f t="shared" si="380"/>
        <v>0</v>
      </c>
      <c r="Q5701" s="497"/>
    </row>
    <row r="5702" spans="1:17" x14ac:dyDescent="0.35">
      <c r="A5702" s="497" t="b">
        <f t="shared" ca="1" si="372"/>
        <v>0</v>
      </c>
      <c r="B5702" s="510" t="str">
        <f ca="1">IF(COUNTA(G$4308:G5701)=1,"",OFFSET(B5702,-COUNTA(G$4308:G5701)+1,0))</f>
        <v>a1b3p0000095SLVAA2</v>
      </c>
      <c r="C5702" s="512">
        <f ca="1">IF(COUNTA(G$4308:G5701)=1,"",OFFSET(C5702,-COUNTA(G$4308:G5701)+1,0))</f>
        <v>72</v>
      </c>
      <c r="D5702" s="497">
        <f t="shared" si="373"/>
        <v>912</v>
      </c>
      <c r="E5702" s="497">
        <f t="shared" ca="1" si="374"/>
        <v>6</v>
      </c>
      <c r="F5702" s="497">
        <f t="shared" ca="1" si="375"/>
        <v>80</v>
      </c>
      <c r="G5702" s="497"/>
      <c r="H5702" s="503" t="str">
        <f t="shared" ca="1" si="376"/>
        <v/>
      </c>
      <c r="I5702" s="503" t="str">
        <f t="shared" ca="1" si="377"/>
        <v/>
      </c>
      <c r="J5702" s="503" t="str">
        <f t="shared" ca="1" si="378"/>
        <v/>
      </c>
      <c r="K5702" s="503" t="str">
        <f t="shared" ca="1" si="379"/>
        <v/>
      </c>
      <c r="L5702" s="497"/>
      <c r="M5702" s="497"/>
      <c r="N5702" s="497"/>
      <c r="O5702" s="497"/>
      <c r="P5702" s="497">
        <f t="shared" si="380"/>
        <v>0</v>
      </c>
      <c r="Q5702" s="497"/>
    </row>
    <row r="5703" spans="1:17" x14ac:dyDescent="0.35">
      <c r="A5703" s="497" t="b">
        <f t="shared" ca="1" si="372"/>
        <v>0</v>
      </c>
      <c r="B5703" s="510" t="str">
        <f ca="1">IF(COUNTA(G$4308:G5702)=1,"",OFFSET(B5703,-COUNTA(G$4308:G5702)+1,0))</f>
        <v>a1b3p0000095S8cAAE</v>
      </c>
      <c r="C5703" s="512">
        <f ca="1">IF(COUNTA(G$4308:G5702)=1,"",OFFSET(C5703,-COUNTA(G$4308:G5702)+1,0))</f>
        <v>73</v>
      </c>
      <c r="D5703" s="497">
        <f t="shared" si="373"/>
        <v>913</v>
      </c>
      <c r="E5703" s="497">
        <f t="shared" ca="1" si="374"/>
        <v>1</v>
      </c>
      <c r="F5703" s="497">
        <f t="shared" ca="1" si="375"/>
        <v>81</v>
      </c>
      <c r="G5703" s="497"/>
      <c r="H5703" s="503" t="str">
        <f t="shared" ca="1" si="376"/>
        <v/>
      </c>
      <c r="I5703" s="503" t="str">
        <f t="shared" ca="1" si="377"/>
        <v/>
      </c>
      <c r="J5703" s="503" t="str">
        <f t="shared" ca="1" si="378"/>
        <v/>
      </c>
      <c r="K5703" s="503" t="str">
        <f t="shared" ca="1" si="379"/>
        <v/>
      </c>
      <c r="L5703" s="497"/>
      <c r="M5703" s="497"/>
      <c r="N5703" s="497"/>
      <c r="O5703" s="497"/>
      <c r="P5703" s="497">
        <f t="shared" si="380"/>
        <v>0</v>
      </c>
      <c r="Q5703" s="497"/>
    </row>
    <row r="5704" spans="1:17" x14ac:dyDescent="0.35">
      <c r="A5704" s="497" t="b">
        <f t="shared" ca="1" si="372"/>
        <v>0</v>
      </c>
      <c r="B5704" s="510" t="str">
        <f ca="1">IF(COUNTA(G$4308:G5703)=1,"",OFFSET(B5704,-COUNTA(G$4308:G5703)+1,0))</f>
        <v>a1b3p0000095SBCAA2</v>
      </c>
      <c r="C5704" s="512">
        <f ca="1">IF(COUNTA(G$4308:G5703)=1,"",OFFSET(C5704,-COUNTA(G$4308:G5703)+1,0))</f>
        <v>73</v>
      </c>
      <c r="D5704" s="497">
        <f t="shared" si="373"/>
        <v>914</v>
      </c>
      <c r="E5704" s="497">
        <f t="shared" ca="1" si="374"/>
        <v>2</v>
      </c>
      <c r="F5704" s="497">
        <f t="shared" ca="1" si="375"/>
        <v>81</v>
      </c>
      <c r="G5704" s="497"/>
      <c r="H5704" s="503" t="str">
        <f t="shared" ca="1" si="376"/>
        <v/>
      </c>
      <c r="I5704" s="503" t="str">
        <f t="shared" ca="1" si="377"/>
        <v/>
      </c>
      <c r="J5704" s="503" t="str">
        <f t="shared" ca="1" si="378"/>
        <v/>
      </c>
      <c r="K5704" s="503" t="str">
        <f t="shared" ca="1" si="379"/>
        <v/>
      </c>
      <c r="L5704" s="497"/>
      <c r="M5704" s="497"/>
      <c r="N5704" s="497"/>
      <c r="O5704" s="497"/>
      <c r="P5704" s="497">
        <f t="shared" si="380"/>
        <v>0</v>
      </c>
      <c r="Q5704" s="497"/>
    </row>
    <row r="5705" spans="1:17" x14ac:dyDescent="0.35">
      <c r="A5705" s="497" t="b">
        <f t="shared" ca="1" si="372"/>
        <v>0</v>
      </c>
      <c r="B5705" s="510" t="str">
        <f ca="1">IF(COUNTA(G$4308:G5704)=1,"",OFFSET(B5705,-COUNTA(G$4308:G5704)+1,0))</f>
        <v>a1b3p0000095SDmAAM</v>
      </c>
      <c r="C5705" s="512">
        <f ca="1">IF(COUNTA(G$4308:G5704)=1,"",OFFSET(C5705,-COUNTA(G$4308:G5704)+1,0))</f>
        <v>73</v>
      </c>
      <c r="D5705" s="497">
        <f t="shared" si="373"/>
        <v>915</v>
      </c>
      <c r="E5705" s="497">
        <f t="shared" ca="1" si="374"/>
        <v>3</v>
      </c>
      <c r="F5705" s="497">
        <f t="shared" ca="1" si="375"/>
        <v>81</v>
      </c>
      <c r="G5705" s="497"/>
      <c r="H5705" s="503" t="str">
        <f t="shared" ca="1" si="376"/>
        <v/>
      </c>
      <c r="I5705" s="503" t="str">
        <f t="shared" ca="1" si="377"/>
        <v/>
      </c>
      <c r="J5705" s="503" t="str">
        <f t="shared" ca="1" si="378"/>
        <v/>
      </c>
      <c r="K5705" s="503" t="str">
        <f t="shared" ca="1" si="379"/>
        <v/>
      </c>
      <c r="L5705" s="497"/>
      <c r="M5705" s="497"/>
      <c r="N5705" s="497"/>
      <c r="O5705" s="497"/>
      <c r="P5705" s="497">
        <f t="shared" si="380"/>
        <v>0</v>
      </c>
      <c r="Q5705" s="497"/>
    </row>
    <row r="5706" spans="1:17" x14ac:dyDescent="0.35">
      <c r="A5706" s="497" t="b">
        <f t="shared" ca="1" si="372"/>
        <v>0</v>
      </c>
      <c r="B5706" s="510" t="str">
        <f ca="1">IF(COUNTA(G$4308:G5705)=1,"",OFFSET(B5706,-COUNTA(G$4308:G5705)+1,0))</f>
        <v>a1b3p0000095SGMAA2</v>
      </c>
      <c r="C5706" s="512">
        <f ca="1">IF(COUNTA(G$4308:G5705)=1,"",OFFSET(C5706,-COUNTA(G$4308:G5705)+1,0))</f>
        <v>73</v>
      </c>
      <c r="D5706" s="497">
        <f t="shared" si="373"/>
        <v>916</v>
      </c>
      <c r="E5706" s="497">
        <f t="shared" ca="1" si="374"/>
        <v>4</v>
      </c>
      <c r="F5706" s="497">
        <f t="shared" ca="1" si="375"/>
        <v>81</v>
      </c>
      <c r="G5706" s="497"/>
      <c r="H5706" s="503" t="str">
        <f t="shared" ca="1" si="376"/>
        <v/>
      </c>
      <c r="I5706" s="503" t="str">
        <f t="shared" ca="1" si="377"/>
        <v/>
      </c>
      <c r="J5706" s="503" t="str">
        <f t="shared" ca="1" si="378"/>
        <v/>
      </c>
      <c r="K5706" s="503" t="str">
        <f t="shared" ca="1" si="379"/>
        <v/>
      </c>
      <c r="L5706" s="497"/>
      <c r="M5706" s="497"/>
      <c r="N5706" s="497"/>
      <c r="O5706" s="497"/>
      <c r="P5706" s="497">
        <f t="shared" si="380"/>
        <v>0</v>
      </c>
      <c r="Q5706" s="497"/>
    </row>
    <row r="5707" spans="1:17" x14ac:dyDescent="0.35">
      <c r="A5707" s="497" t="b">
        <f t="shared" ca="1" si="372"/>
        <v>0</v>
      </c>
      <c r="B5707" s="510" t="str">
        <f ca="1">IF(COUNTA(G$4308:G5706)=1,"",OFFSET(B5707,-COUNTA(G$4308:G5706)+1,0))</f>
        <v>a1b3p0000095SIwAAM</v>
      </c>
      <c r="C5707" s="512">
        <f ca="1">IF(COUNTA(G$4308:G5706)=1,"",OFFSET(C5707,-COUNTA(G$4308:G5706)+1,0))</f>
        <v>73</v>
      </c>
      <c r="D5707" s="497">
        <f t="shared" si="373"/>
        <v>917</v>
      </c>
      <c r="E5707" s="497">
        <f t="shared" ca="1" si="374"/>
        <v>5</v>
      </c>
      <c r="F5707" s="497">
        <f t="shared" ca="1" si="375"/>
        <v>81</v>
      </c>
      <c r="G5707" s="497"/>
      <c r="H5707" s="503" t="str">
        <f t="shared" ca="1" si="376"/>
        <v/>
      </c>
      <c r="I5707" s="503" t="str">
        <f t="shared" ca="1" si="377"/>
        <v/>
      </c>
      <c r="J5707" s="503" t="str">
        <f t="shared" ca="1" si="378"/>
        <v/>
      </c>
      <c r="K5707" s="503" t="str">
        <f t="shared" ca="1" si="379"/>
        <v/>
      </c>
      <c r="L5707" s="497"/>
      <c r="M5707" s="497"/>
      <c r="N5707" s="497"/>
      <c r="O5707" s="497"/>
      <c r="P5707" s="497">
        <f t="shared" si="380"/>
        <v>0</v>
      </c>
      <c r="Q5707" s="497"/>
    </row>
    <row r="5708" spans="1:17" x14ac:dyDescent="0.35">
      <c r="A5708" s="497" t="b">
        <f t="shared" ca="1" si="372"/>
        <v>0</v>
      </c>
      <c r="B5708" s="510" t="str">
        <f ca="1">IF(COUNTA(G$4308:G5707)=1,"",OFFSET(B5708,-COUNTA(G$4308:G5707)+1,0))</f>
        <v>a1b3p0000095SLWAA2</v>
      </c>
      <c r="C5708" s="512">
        <f ca="1">IF(COUNTA(G$4308:G5707)=1,"",OFFSET(C5708,-COUNTA(G$4308:G5707)+1,0))</f>
        <v>73</v>
      </c>
      <c r="D5708" s="497">
        <f t="shared" si="373"/>
        <v>918</v>
      </c>
      <c r="E5708" s="497">
        <f t="shared" ca="1" si="374"/>
        <v>6</v>
      </c>
      <c r="F5708" s="497">
        <f t="shared" ca="1" si="375"/>
        <v>81</v>
      </c>
      <c r="G5708" s="497"/>
      <c r="H5708" s="503" t="str">
        <f t="shared" ca="1" si="376"/>
        <v/>
      </c>
      <c r="I5708" s="503" t="str">
        <f t="shared" ca="1" si="377"/>
        <v/>
      </c>
      <c r="J5708" s="503" t="str">
        <f t="shared" ca="1" si="378"/>
        <v/>
      </c>
      <c r="K5708" s="503" t="str">
        <f t="shared" ca="1" si="379"/>
        <v/>
      </c>
      <c r="L5708" s="497"/>
      <c r="M5708" s="497"/>
      <c r="N5708" s="497"/>
      <c r="O5708" s="497"/>
      <c r="P5708" s="497">
        <f t="shared" si="380"/>
        <v>0</v>
      </c>
      <c r="Q5708" s="497"/>
    </row>
    <row r="5709" spans="1:17" x14ac:dyDescent="0.35">
      <c r="A5709" s="497" t="b">
        <f t="shared" ca="1" si="372"/>
        <v>0</v>
      </c>
      <c r="B5709" s="510" t="str">
        <f ca="1">IF(COUNTA(G$4308:G5708)=1,"",OFFSET(B5709,-COUNTA(G$4308:G5708)+1,0))</f>
        <v>a1b3p0000095S8dAAE</v>
      </c>
      <c r="C5709" s="512">
        <f ca="1">IF(COUNTA(G$4308:G5708)=1,"",OFFSET(C5709,-COUNTA(G$4308:G5708)+1,0))</f>
        <v>74</v>
      </c>
      <c r="D5709" s="497">
        <f t="shared" si="373"/>
        <v>919</v>
      </c>
      <c r="E5709" s="497">
        <f t="shared" ca="1" si="374"/>
        <v>1</v>
      </c>
      <c r="F5709" s="497">
        <f t="shared" ca="1" si="375"/>
        <v>82</v>
      </c>
      <c r="G5709" s="497"/>
      <c r="H5709" s="503" t="str">
        <f t="shared" ca="1" si="376"/>
        <v/>
      </c>
      <c r="I5709" s="503" t="str">
        <f t="shared" ca="1" si="377"/>
        <v/>
      </c>
      <c r="J5709" s="503" t="str">
        <f t="shared" ca="1" si="378"/>
        <v/>
      </c>
      <c r="K5709" s="503" t="str">
        <f t="shared" ca="1" si="379"/>
        <v/>
      </c>
      <c r="L5709" s="497"/>
      <c r="M5709" s="497"/>
      <c r="N5709" s="497"/>
      <c r="O5709" s="497"/>
      <c r="P5709" s="497">
        <f t="shared" si="380"/>
        <v>0</v>
      </c>
      <c r="Q5709" s="497"/>
    </row>
    <row r="5710" spans="1:17" x14ac:dyDescent="0.35">
      <c r="A5710" s="497" t="b">
        <f t="shared" ca="1" si="372"/>
        <v>0</v>
      </c>
      <c r="B5710" s="510" t="str">
        <f ca="1">IF(COUNTA(G$4308:G5709)=1,"",OFFSET(B5710,-COUNTA(G$4308:G5709)+1,0))</f>
        <v>a1b3p0000095SBDAA2</v>
      </c>
      <c r="C5710" s="512">
        <f ca="1">IF(COUNTA(G$4308:G5709)=1,"",OFFSET(C5710,-COUNTA(G$4308:G5709)+1,0))</f>
        <v>74</v>
      </c>
      <c r="D5710" s="497">
        <f t="shared" si="373"/>
        <v>920</v>
      </c>
      <c r="E5710" s="497">
        <f t="shared" ca="1" si="374"/>
        <v>2</v>
      </c>
      <c r="F5710" s="497">
        <f t="shared" ca="1" si="375"/>
        <v>82</v>
      </c>
      <c r="G5710" s="497"/>
      <c r="H5710" s="503" t="str">
        <f t="shared" ca="1" si="376"/>
        <v/>
      </c>
      <c r="I5710" s="503" t="str">
        <f t="shared" ca="1" si="377"/>
        <v/>
      </c>
      <c r="J5710" s="503" t="str">
        <f t="shared" ca="1" si="378"/>
        <v/>
      </c>
      <c r="K5710" s="503" t="str">
        <f t="shared" ca="1" si="379"/>
        <v/>
      </c>
      <c r="L5710" s="497"/>
      <c r="M5710" s="497"/>
      <c r="N5710" s="497"/>
      <c r="O5710" s="497"/>
      <c r="P5710" s="497">
        <f t="shared" si="380"/>
        <v>0</v>
      </c>
      <c r="Q5710" s="497"/>
    </row>
    <row r="5711" spans="1:17" x14ac:dyDescent="0.35">
      <c r="A5711" s="497" t="b">
        <f t="shared" ca="1" si="372"/>
        <v>0</v>
      </c>
      <c r="B5711" s="510" t="str">
        <f ca="1">IF(COUNTA(G$4308:G5710)=1,"",OFFSET(B5711,-COUNTA(G$4308:G5710)+1,0))</f>
        <v>a1b3p0000095SDnAAM</v>
      </c>
      <c r="C5711" s="512">
        <f ca="1">IF(COUNTA(G$4308:G5710)=1,"",OFFSET(C5711,-COUNTA(G$4308:G5710)+1,0))</f>
        <v>74</v>
      </c>
      <c r="D5711" s="497">
        <f t="shared" si="373"/>
        <v>921</v>
      </c>
      <c r="E5711" s="497">
        <f t="shared" ca="1" si="374"/>
        <v>3</v>
      </c>
      <c r="F5711" s="497">
        <f t="shared" ca="1" si="375"/>
        <v>82</v>
      </c>
      <c r="G5711" s="497"/>
      <c r="H5711" s="503" t="str">
        <f t="shared" ca="1" si="376"/>
        <v/>
      </c>
      <c r="I5711" s="503" t="str">
        <f t="shared" ca="1" si="377"/>
        <v/>
      </c>
      <c r="J5711" s="503" t="str">
        <f t="shared" ca="1" si="378"/>
        <v/>
      </c>
      <c r="K5711" s="503" t="str">
        <f t="shared" ca="1" si="379"/>
        <v/>
      </c>
      <c r="L5711" s="497"/>
      <c r="M5711" s="497"/>
      <c r="N5711" s="497"/>
      <c r="O5711" s="497"/>
      <c r="P5711" s="497">
        <f t="shared" si="380"/>
        <v>0</v>
      </c>
      <c r="Q5711" s="497"/>
    </row>
    <row r="5712" spans="1:17" x14ac:dyDescent="0.35">
      <c r="A5712" s="497" t="b">
        <f t="shared" ca="1" si="372"/>
        <v>0</v>
      </c>
      <c r="B5712" s="510" t="str">
        <f ca="1">IF(COUNTA(G$4308:G5711)=1,"",OFFSET(B5712,-COUNTA(G$4308:G5711)+1,0))</f>
        <v>a1b3p0000095SGNAA2</v>
      </c>
      <c r="C5712" s="512">
        <f ca="1">IF(COUNTA(G$4308:G5711)=1,"",OFFSET(C5712,-COUNTA(G$4308:G5711)+1,0))</f>
        <v>74</v>
      </c>
      <c r="D5712" s="497">
        <f t="shared" si="373"/>
        <v>922</v>
      </c>
      <c r="E5712" s="497">
        <f t="shared" ca="1" si="374"/>
        <v>4</v>
      </c>
      <c r="F5712" s="497">
        <f t="shared" ca="1" si="375"/>
        <v>82</v>
      </c>
      <c r="G5712" s="497"/>
      <c r="H5712" s="503" t="str">
        <f t="shared" ca="1" si="376"/>
        <v/>
      </c>
      <c r="I5712" s="503" t="str">
        <f t="shared" ca="1" si="377"/>
        <v/>
      </c>
      <c r="J5712" s="503" t="str">
        <f t="shared" ca="1" si="378"/>
        <v/>
      </c>
      <c r="K5712" s="503" t="str">
        <f t="shared" ca="1" si="379"/>
        <v/>
      </c>
      <c r="L5712" s="497"/>
      <c r="M5712" s="497"/>
      <c r="N5712" s="497"/>
      <c r="O5712" s="497"/>
      <c r="P5712" s="497">
        <f t="shared" si="380"/>
        <v>0</v>
      </c>
      <c r="Q5712" s="497"/>
    </row>
    <row r="5713" spans="1:17" x14ac:dyDescent="0.35">
      <c r="A5713" s="497" t="b">
        <f t="shared" ca="1" si="372"/>
        <v>0</v>
      </c>
      <c r="B5713" s="510" t="str">
        <f ca="1">IF(COUNTA(G$4308:G5712)=1,"",OFFSET(B5713,-COUNTA(G$4308:G5712)+1,0))</f>
        <v>a1b3p0000095SIxAAM</v>
      </c>
      <c r="C5713" s="512">
        <f ca="1">IF(COUNTA(G$4308:G5712)=1,"",OFFSET(C5713,-COUNTA(G$4308:G5712)+1,0))</f>
        <v>74</v>
      </c>
      <c r="D5713" s="497">
        <f t="shared" si="373"/>
        <v>923</v>
      </c>
      <c r="E5713" s="497">
        <f t="shared" ca="1" si="374"/>
        <v>5</v>
      </c>
      <c r="F5713" s="497">
        <f t="shared" ca="1" si="375"/>
        <v>82</v>
      </c>
      <c r="G5713" s="497"/>
      <c r="H5713" s="503" t="str">
        <f t="shared" ca="1" si="376"/>
        <v/>
      </c>
      <c r="I5713" s="503" t="str">
        <f t="shared" ca="1" si="377"/>
        <v/>
      </c>
      <c r="J5713" s="503" t="str">
        <f t="shared" ca="1" si="378"/>
        <v/>
      </c>
      <c r="K5713" s="503" t="str">
        <f t="shared" ca="1" si="379"/>
        <v/>
      </c>
      <c r="L5713" s="497"/>
      <c r="M5713" s="497"/>
      <c r="N5713" s="497"/>
      <c r="O5713" s="497"/>
      <c r="P5713" s="497">
        <f t="shared" si="380"/>
        <v>0</v>
      </c>
      <c r="Q5713" s="497"/>
    </row>
    <row r="5714" spans="1:17" x14ac:dyDescent="0.35">
      <c r="A5714" s="497" t="b">
        <f t="shared" ca="1" si="372"/>
        <v>0</v>
      </c>
      <c r="B5714" s="510" t="str">
        <f ca="1">IF(COUNTA(G$4308:G5713)=1,"",OFFSET(B5714,-COUNTA(G$4308:G5713)+1,0))</f>
        <v>a1b3p0000095SLXAA2</v>
      </c>
      <c r="C5714" s="512">
        <f ca="1">IF(COUNTA(G$4308:G5713)=1,"",OFFSET(C5714,-COUNTA(G$4308:G5713)+1,0))</f>
        <v>74</v>
      </c>
      <c r="D5714" s="497">
        <f t="shared" si="373"/>
        <v>924</v>
      </c>
      <c r="E5714" s="497">
        <f t="shared" ca="1" si="374"/>
        <v>6</v>
      </c>
      <c r="F5714" s="497">
        <f t="shared" ca="1" si="375"/>
        <v>82</v>
      </c>
      <c r="G5714" s="497"/>
      <c r="H5714" s="503" t="str">
        <f t="shared" ca="1" si="376"/>
        <v/>
      </c>
      <c r="I5714" s="503" t="str">
        <f t="shared" ca="1" si="377"/>
        <v/>
      </c>
      <c r="J5714" s="503" t="str">
        <f t="shared" ca="1" si="378"/>
        <v/>
      </c>
      <c r="K5714" s="503" t="str">
        <f t="shared" ca="1" si="379"/>
        <v/>
      </c>
      <c r="L5714" s="497"/>
      <c r="M5714" s="497"/>
      <c r="N5714" s="497"/>
      <c r="O5714" s="497"/>
      <c r="P5714" s="497">
        <f t="shared" si="380"/>
        <v>0</v>
      </c>
      <c r="Q5714" s="497"/>
    </row>
    <row r="5715" spans="1:17" x14ac:dyDescent="0.35">
      <c r="A5715" s="497" t="b">
        <f t="shared" ca="1" si="372"/>
        <v>0</v>
      </c>
      <c r="B5715" s="510" t="str">
        <f ca="1">IF(COUNTA(G$4308:G5714)=1,"",OFFSET(B5715,-COUNTA(G$4308:G5714)+1,0))</f>
        <v>a1b3p0000095S8eAAE</v>
      </c>
      <c r="C5715" s="512">
        <f ca="1">IF(COUNTA(G$4308:G5714)=1,"",OFFSET(C5715,-COUNTA(G$4308:G5714)+1,0))</f>
        <v>75</v>
      </c>
      <c r="D5715" s="497">
        <f t="shared" si="373"/>
        <v>925</v>
      </c>
      <c r="E5715" s="497">
        <f t="shared" ca="1" si="374"/>
        <v>1</v>
      </c>
      <c r="F5715" s="497">
        <f t="shared" ca="1" si="375"/>
        <v>83</v>
      </c>
      <c r="G5715" s="497"/>
      <c r="H5715" s="503" t="str">
        <f t="shared" ca="1" si="376"/>
        <v/>
      </c>
      <c r="I5715" s="503" t="str">
        <f t="shared" ca="1" si="377"/>
        <v/>
      </c>
      <c r="J5715" s="503" t="str">
        <f t="shared" ca="1" si="378"/>
        <v/>
      </c>
      <c r="K5715" s="503" t="str">
        <f t="shared" ca="1" si="379"/>
        <v/>
      </c>
      <c r="L5715" s="497"/>
      <c r="M5715" s="497"/>
      <c r="N5715" s="497"/>
      <c r="O5715" s="497"/>
      <c r="P5715" s="497">
        <f t="shared" si="380"/>
        <v>0</v>
      </c>
      <c r="Q5715" s="497"/>
    </row>
    <row r="5716" spans="1:17" x14ac:dyDescent="0.35">
      <c r="A5716" s="497" t="b">
        <f t="shared" ca="1" si="372"/>
        <v>0</v>
      </c>
      <c r="B5716" s="510" t="str">
        <f ca="1">IF(COUNTA(G$4308:G5715)=1,"",OFFSET(B5716,-COUNTA(G$4308:G5715)+1,0))</f>
        <v>a1b3p0000095SBEAA2</v>
      </c>
      <c r="C5716" s="512">
        <f ca="1">IF(COUNTA(G$4308:G5715)=1,"",OFFSET(C5716,-COUNTA(G$4308:G5715)+1,0))</f>
        <v>75</v>
      </c>
      <c r="D5716" s="497">
        <f t="shared" si="373"/>
        <v>926</v>
      </c>
      <c r="E5716" s="497">
        <f t="shared" ca="1" si="374"/>
        <v>2</v>
      </c>
      <c r="F5716" s="497">
        <f t="shared" ca="1" si="375"/>
        <v>83</v>
      </c>
      <c r="G5716" s="497"/>
      <c r="H5716" s="503" t="str">
        <f t="shared" ca="1" si="376"/>
        <v/>
      </c>
      <c r="I5716" s="503" t="str">
        <f t="shared" ca="1" si="377"/>
        <v/>
      </c>
      <c r="J5716" s="503" t="str">
        <f t="shared" ca="1" si="378"/>
        <v/>
      </c>
      <c r="K5716" s="503" t="str">
        <f t="shared" ca="1" si="379"/>
        <v/>
      </c>
      <c r="L5716" s="497"/>
      <c r="M5716" s="497"/>
      <c r="N5716" s="497"/>
      <c r="O5716" s="497"/>
      <c r="P5716" s="497">
        <f t="shared" si="380"/>
        <v>0</v>
      </c>
      <c r="Q5716" s="497"/>
    </row>
    <row r="5717" spans="1:17" x14ac:dyDescent="0.35">
      <c r="A5717" s="497" t="b">
        <f t="shared" ca="1" si="372"/>
        <v>0</v>
      </c>
      <c r="B5717" s="510" t="str">
        <f ca="1">IF(COUNTA(G$4308:G5716)=1,"",OFFSET(B5717,-COUNTA(G$4308:G5716)+1,0))</f>
        <v>a1b3p0000095SDoAAM</v>
      </c>
      <c r="C5717" s="512">
        <f ca="1">IF(COUNTA(G$4308:G5716)=1,"",OFFSET(C5717,-COUNTA(G$4308:G5716)+1,0))</f>
        <v>75</v>
      </c>
      <c r="D5717" s="497">
        <f t="shared" si="373"/>
        <v>927</v>
      </c>
      <c r="E5717" s="497">
        <f t="shared" ca="1" si="374"/>
        <v>3</v>
      </c>
      <c r="F5717" s="497">
        <f t="shared" ca="1" si="375"/>
        <v>83</v>
      </c>
      <c r="G5717" s="497"/>
      <c r="H5717" s="503" t="str">
        <f t="shared" ca="1" si="376"/>
        <v/>
      </c>
      <c r="I5717" s="503" t="str">
        <f t="shared" ca="1" si="377"/>
        <v/>
      </c>
      <c r="J5717" s="503" t="str">
        <f t="shared" ca="1" si="378"/>
        <v/>
      </c>
      <c r="K5717" s="503" t="str">
        <f t="shared" ca="1" si="379"/>
        <v/>
      </c>
      <c r="L5717" s="497"/>
      <c r="M5717" s="497"/>
      <c r="N5717" s="497"/>
      <c r="O5717" s="497"/>
      <c r="P5717" s="497">
        <f t="shared" si="380"/>
        <v>0</v>
      </c>
      <c r="Q5717" s="497"/>
    </row>
    <row r="5718" spans="1:17" x14ac:dyDescent="0.35">
      <c r="A5718" s="497" t="b">
        <f t="shared" ca="1" si="372"/>
        <v>0</v>
      </c>
      <c r="B5718" s="510" t="str">
        <f ca="1">IF(COUNTA(G$4308:G5717)=1,"",OFFSET(B5718,-COUNTA(G$4308:G5717)+1,0))</f>
        <v>a1b3p0000095SGOAA2</v>
      </c>
      <c r="C5718" s="512">
        <f ca="1">IF(COUNTA(G$4308:G5717)=1,"",OFFSET(C5718,-COUNTA(G$4308:G5717)+1,0))</f>
        <v>75</v>
      </c>
      <c r="D5718" s="497">
        <f t="shared" si="373"/>
        <v>928</v>
      </c>
      <c r="E5718" s="497">
        <f t="shared" ca="1" si="374"/>
        <v>4</v>
      </c>
      <c r="F5718" s="497">
        <f t="shared" ca="1" si="375"/>
        <v>83</v>
      </c>
      <c r="G5718" s="497"/>
      <c r="H5718" s="503" t="str">
        <f t="shared" ca="1" si="376"/>
        <v/>
      </c>
      <c r="I5718" s="503" t="str">
        <f t="shared" ca="1" si="377"/>
        <v/>
      </c>
      <c r="J5718" s="503" t="str">
        <f t="shared" ca="1" si="378"/>
        <v/>
      </c>
      <c r="K5718" s="503" t="str">
        <f t="shared" ca="1" si="379"/>
        <v/>
      </c>
      <c r="L5718" s="497"/>
      <c r="M5718" s="497"/>
      <c r="N5718" s="497"/>
      <c r="O5718" s="497"/>
      <c r="P5718" s="497">
        <f t="shared" si="380"/>
        <v>0</v>
      </c>
      <c r="Q5718" s="497"/>
    </row>
    <row r="5719" spans="1:17" x14ac:dyDescent="0.35">
      <c r="A5719" s="497" t="b">
        <f t="shared" ref="A5719:A5750" ca="1" si="381">IF(OR(AND(J5719&lt;&gt;"", J5719&lt;&gt;0), AND(K5719&lt;&gt;"",K5719&lt;&gt;0)),TRUE,FALSE)</f>
        <v>0</v>
      </c>
      <c r="B5719" s="510" t="str">
        <f ca="1">IF(COUNTA(G$4308:G5718)=1,"",OFFSET(B5719,-COUNTA(G$4308:G5718)+1,0))</f>
        <v>a1b3p0000095SIyAAM</v>
      </c>
      <c r="C5719" s="512">
        <f ca="1">IF(COUNTA(G$4308:G5718)=1,"",OFFSET(C5719,-COUNTA(G$4308:G5718)+1,0))</f>
        <v>75</v>
      </c>
      <c r="D5719" s="497">
        <f t="shared" ref="D5719:D5750" si="382">D5718+1</f>
        <v>929</v>
      </c>
      <c r="E5719" s="497">
        <f t="shared" ref="E5719:E5750" ca="1" si="383">COUNTIF(C5469:C5719,C5719)</f>
        <v>5</v>
      </c>
      <c r="F5719" s="497">
        <f t="shared" ref="F5719:F5750" ca="1" si="384">IF(C5719=1,9,IF(E5718=MAX(E5717:E5719),F5717+1,F5718))</f>
        <v>83</v>
      </c>
      <c r="G5719" s="497"/>
      <c r="H5719" s="503" t="str">
        <f t="shared" ref="H5719:H5750" ca="1" si="385">CHOOSE(E5719,IFERROR(IF(INDIRECT("'WPTM - Section F'!K"&amp;F5719)=0,"",INDIRECT("'WPTM - Section F'!K"&amp;$F5719)),""),IFERROR(IF(INDIRECT("'WPTM - Section F'!O"&amp;F5719)=0,"",INDIRECT("'WPTM - Section F'!O"&amp;$F5719)),""),IFERROR(IF(INDIRECT("'WPTM - Section F'!S"&amp;F5719)=0,"",INDIRECT("'WPTM - Section F'!S"&amp;$F5719)),""),IFERROR(IF(INDIRECT("'WPTM - Section F'!W"&amp;F5719)=0,"",INDIRECT("'WPTM - Section F'!W"&amp;$F5719)),""),IFERROR(IF(INDIRECT("'WPTM - Section F'!AA"&amp;F5719)=0,"",INDIRECT("'WPTM - Section F'!AA"&amp;$F5719)),""),IFERROR(IF(INDIRECT("'WPTM - Section F'!AE"&amp;F5719)=0,"",INDIRECT("'WPTM - Section F'!AE"&amp;$F5719)),""),IFERROR(IF(INDIRECT("'WPTM - Section F'!AI"&amp;F5719)=0,"",INDIRECT("'WPTM - Section F'!AI"&amp;$F5719)),""),IFERROR(IF(INDIRECT("'WPTM - Section F'!AM"&amp;F5719)=0,"",INDIRECT("'WPTM - Section F'!AM"&amp;$F5719)),""),)</f>
        <v/>
      </c>
      <c r="I5719" s="503" t="str">
        <f t="shared" ref="I5719:I5750" ca="1" si="386">CHOOSE(E5719,IFERROR(IF(INDIRECT("'WPTM - Section F'!J"&amp;F5719)=0,"",INDIRECT("'WPTM - Section F'!J"&amp;$F5719)),""),IFERROR(IF(INDIRECT("'WPTM - Section F'!N"&amp;F5719)=0,"",INDIRECT("'WPTM - Section F'!N"&amp;$F5719)),""),IFERROR(IF(INDIRECT("'WPTM - Section F'!R"&amp;F5719)=0,"",INDIRECT("'WPTM - Section F'!R"&amp;$F5719)),""),IFERROR(IF(INDIRECT("'WPTM - Section F'!V"&amp;F5719)=0,"",INDIRECT("'WPTM - Section F'!V"&amp;$F5719)),""),IFERROR(IF(INDIRECT("'WPTM - Section F'!Z"&amp;F5719)=0,"",INDIRECT("'WPTM - Section F'!Z"&amp;$F5719)),""),IFERROR(IF(INDIRECT("'WPTM - Section F'!AD"&amp;F5719)=0,"",INDIRECT("'WPTM - Section F'!AD"&amp;$F5719)),""),IFERROR(IF(INDIRECT("'WPTM - Section F'!AH"&amp;F5719)=0,"",INDIRECT("'WPTM - Section F'!AH"&amp;$F5719)),""),IFERROR(IF(INDIRECT("'WPTM - Section F'!AL"&amp;F5719)=0,"",INDIRECT("'WPTM - Section F'!AL"&amp;$F5719)),""),)</f>
        <v/>
      </c>
      <c r="J5719" s="503" t="str">
        <f t="shared" ref="J5719:J5750" ca="1" si="387">CHOOSE(E5719,IFERROR(IF(INDIRECT("'WPTM - Section F'!H"&amp;F5719)=0,"",INDIRECT("'WPTM - Section F'!H"&amp;$F5719)),""),IFERROR(IF(INDIRECT("'WPTM - Section F'!L"&amp;F5719)=0,"",INDIRECT("'WPTM - Section F'!L"&amp;$F5719)),""),IFERROR(IF(INDIRECT("'WPTM - Section F'!P"&amp;F5719)=0,"",INDIRECT("'WPTM - Section F'!P"&amp;$F5719)),""),IFERROR(IF(INDIRECT("'WPTM - Section F'!T"&amp;F5719)=0,"",INDIRECT("'WPTM - Section F'!T"&amp;$F5719)),""),IFERROR(IF(INDIRECT("'WPTM - Section F'!X"&amp;F5719)=0,"",INDIRECT("'WPTM - Section F'!X"&amp;$F5719)),""),IFERROR(IF(INDIRECT("'WPTM - Section F'!AB"&amp;F5719)=0,"",INDIRECT("'WPTM - Section F'!AB"&amp;$F5719)),""),IFERROR(IF(INDIRECT("'WPTM - Section F'!AF"&amp;F5719)=0,"",INDIRECT("'WPTM - Section F'!AF"&amp;$F5719)),""),IFERROR(IF(INDIRECT("'WPTM - Section F'!AJ"&amp;F5719)=0,"",INDIRECT("'WPTM - Section F'!AJ"&amp;$F5719)),""),)</f>
        <v/>
      </c>
      <c r="K5719" s="503" t="str">
        <f t="shared" ref="K5719:K5750" ca="1" si="388">CHOOSE(E5719,IFERROR(IF(INDIRECT("'WPTM - Section F'!I"&amp;F5719)=0,"",INDIRECT("'WPTM - Section F'!I"&amp;$F5719)),""),IFERROR(IF(INDIRECT("'WPTM - Section F'!M"&amp;F5719)=0,"",INDIRECT("'WPTM - Section F'!M"&amp;$F5719)),""),IFERROR(IF(INDIRECT("'WPTM - Section F'!Q"&amp;F5719)=0,"",INDIRECT("'WPTM - Section F'!Q"&amp;$F5719)),""),IFERROR(IF(INDIRECT("'WPTM - Section F'!U"&amp;F5719)=0,"",INDIRECT("'WPTM - Section F'!U"&amp;$F5719)),""),IFERROR(IF(INDIRECT("'WPTM - Section F'!Y"&amp;F5719)=0,"",INDIRECT("'WPTM - Section F'!Y"&amp;$F5719)),""),IFERROR(IF(INDIRECT("'WPTM - Section F'!AC"&amp;F5719)=0,"",INDIRECT("'WPTM - Section F'!AC"&amp;$F5719)),""),IFERROR(IF(INDIRECT("'WPTM - Section F'!AG"&amp;F5719)=0,"",INDIRECT("'WPTM - Section F'!AG"&amp;$F5719)),""),IFERROR(IF(INDIRECT("'WPTM - Section F'!AK"&amp;F5719)=0,"",INDIRECT("'WPTM - Section F'!AK"&amp;$F5719)),""),)</f>
        <v/>
      </c>
      <c r="L5719" s="497"/>
      <c r="M5719" s="497"/>
      <c r="N5719" s="497"/>
      <c r="O5719" s="497"/>
      <c r="P5719" s="497">
        <f t="shared" ref="P5719:P5750" si="389">IF(NOT(_xlfn.ISFORMULA(I5719)),P5718+1,0)</f>
        <v>0</v>
      </c>
      <c r="Q5719" s="497"/>
    </row>
    <row r="5720" spans="1:17" x14ac:dyDescent="0.35">
      <c r="A5720" s="497" t="b">
        <f t="shared" ca="1" si="381"/>
        <v>0</v>
      </c>
      <c r="B5720" s="510" t="str">
        <f ca="1">IF(COUNTA(G$4308:G5719)=1,"",OFFSET(B5720,-COUNTA(G$4308:G5719)+1,0))</f>
        <v>a1b3p0000095SLYAA2</v>
      </c>
      <c r="C5720" s="512">
        <f ca="1">IF(COUNTA(G$4308:G5719)=1,"",OFFSET(C5720,-COUNTA(G$4308:G5719)+1,0))</f>
        <v>75</v>
      </c>
      <c r="D5720" s="497">
        <f t="shared" si="382"/>
        <v>930</v>
      </c>
      <c r="E5720" s="497">
        <f t="shared" ca="1" si="383"/>
        <v>6</v>
      </c>
      <c r="F5720" s="497">
        <f t="shared" ca="1" si="384"/>
        <v>83</v>
      </c>
      <c r="G5720" s="497"/>
      <c r="H5720" s="503" t="str">
        <f t="shared" ca="1" si="385"/>
        <v/>
      </c>
      <c r="I5720" s="503" t="str">
        <f t="shared" ca="1" si="386"/>
        <v/>
      </c>
      <c r="J5720" s="503" t="str">
        <f t="shared" ca="1" si="387"/>
        <v/>
      </c>
      <c r="K5720" s="503" t="str">
        <f t="shared" ca="1" si="388"/>
        <v/>
      </c>
      <c r="L5720" s="497"/>
      <c r="M5720" s="497"/>
      <c r="N5720" s="497"/>
      <c r="O5720" s="497"/>
      <c r="P5720" s="497">
        <f t="shared" si="389"/>
        <v>0</v>
      </c>
      <c r="Q5720" s="497"/>
    </row>
    <row r="5721" spans="1:17" x14ac:dyDescent="0.35">
      <c r="A5721" s="497" t="b">
        <f t="shared" ca="1" si="381"/>
        <v>0</v>
      </c>
      <c r="B5721" s="510" t="str">
        <f ca="1">IF(COUNTA(G$4308:G5720)=1,"",OFFSET(B5721,-COUNTA(G$4308:G5720)+1,0))</f>
        <v>a1b3p0000095S8fAAE</v>
      </c>
      <c r="C5721" s="512">
        <f ca="1">IF(COUNTA(G$4308:G5720)=1,"",OFFSET(C5721,-COUNTA(G$4308:G5720)+1,0))</f>
        <v>76</v>
      </c>
      <c r="D5721" s="497">
        <f t="shared" si="382"/>
        <v>931</v>
      </c>
      <c r="E5721" s="497">
        <f t="shared" ca="1" si="383"/>
        <v>1</v>
      </c>
      <c r="F5721" s="497">
        <f t="shared" ca="1" si="384"/>
        <v>84</v>
      </c>
      <c r="G5721" s="497"/>
      <c r="H5721" s="503" t="str">
        <f t="shared" ca="1" si="385"/>
        <v/>
      </c>
      <c r="I5721" s="503" t="str">
        <f t="shared" ca="1" si="386"/>
        <v/>
      </c>
      <c r="J5721" s="503" t="str">
        <f t="shared" ca="1" si="387"/>
        <v/>
      </c>
      <c r="K5721" s="503" t="str">
        <f t="shared" ca="1" si="388"/>
        <v/>
      </c>
      <c r="L5721" s="497"/>
      <c r="M5721" s="497"/>
      <c r="N5721" s="497"/>
      <c r="O5721" s="497"/>
      <c r="P5721" s="497">
        <f t="shared" si="389"/>
        <v>0</v>
      </c>
      <c r="Q5721" s="497"/>
    </row>
    <row r="5722" spans="1:17" x14ac:dyDescent="0.35">
      <c r="A5722" s="497" t="b">
        <f t="shared" ca="1" si="381"/>
        <v>0</v>
      </c>
      <c r="B5722" s="510" t="str">
        <f ca="1">IF(COUNTA(G$4308:G5721)=1,"",OFFSET(B5722,-COUNTA(G$4308:G5721)+1,0))</f>
        <v>a1b3p0000095SBFAA2</v>
      </c>
      <c r="C5722" s="512">
        <f ca="1">IF(COUNTA(G$4308:G5721)=1,"",OFFSET(C5722,-COUNTA(G$4308:G5721)+1,0))</f>
        <v>76</v>
      </c>
      <c r="D5722" s="497">
        <f t="shared" si="382"/>
        <v>932</v>
      </c>
      <c r="E5722" s="497">
        <f t="shared" ca="1" si="383"/>
        <v>2</v>
      </c>
      <c r="F5722" s="497">
        <f t="shared" ca="1" si="384"/>
        <v>84</v>
      </c>
      <c r="G5722" s="497"/>
      <c r="H5722" s="503" t="str">
        <f t="shared" ca="1" si="385"/>
        <v/>
      </c>
      <c r="I5722" s="503" t="str">
        <f t="shared" ca="1" si="386"/>
        <v/>
      </c>
      <c r="J5722" s="503" t="str">
        <f t="shared" ca="1" si="387"/>
        <v/>
      </c>
      <c r="K5722" s="503" t="str">
        <f t="shared" ca="1" si="388"/>
        <v/>
      </c>
      <c r="L5722" s="497"/>
      <c r="M5722" s="497"/>
      <c r="N5722" s="497"/>
      <c r="O5722" s="497"/>
      <c r="P5722" s="497">
        <f t="shared" si="389"/>
        <v>0</v>
      </c>
      <c r="Q5722" s="497"/>
    </row>
    <row r="5723" spans="1:17" x14ac:dyDescent="0.35">
      <c r="A5723" s="497" t="b">
        <f t="shared" ca="1" si="381"/>
        <v>0</v>
      </c>
      <c r="B5723" s="510" t="str">
        <f ca="1">IF(COUNTA(G$4308:G5722)=1,"",OFFSET(B5723,-COUNTA(G$4308:G5722)+1,0))</f>
        <v>a1b3p0000095SDpAAM</v>
      </c>
      <c r="C5723" s="512">
        <f ca="1">IF(COUNTA(G$4308:G5722)=1,"",OFFSET(C5723,-COUNTA(G$4308:G5722)+1,0))</f>
        <v>76</v>
      </c>
      <c r="D5723" s="497">
        <f t="shared" si="382"/>
        <v>933</v>
      </c>
      <c r="E5723" s="497">
        <f t="shared" ca="1" si="383"/>
        <v>3</v>
      </c>
      <c r="F5723" s="497">
        <f t="shared" ca="1" si="384"/>
        <v>84</v>
      </c>
      <c r="G5723" s="497"/>
      <c r="H5723" s="503" t="str">
        <f t="shared" ca="1" si="385"/>
        <v/>
      </c>
      <c r="I5723" s="503" t="str">
        <f t="shared" ca="1" si="386"/>
        <v/>
      </c>
      <c r="J5723" s="503" t="str">
        <f t="shared" ca="1" si="387"/>
        <v/>
      </c>
      <c r="K5723" s="503" t="str">
        <f t="shared" ca="1" si="388"/>
        <v/>
      </c>
      <c r="L5723" s="497"/>
      <c r="M5723" s="497"/>
      <c r="N5723" s="497"/>
      <c r="O5723" s="497"/>
      <c r="P5723" s="497">
        <f t="shared" si="389"/>
        <v>0</v>
      </c>
      <c r="Q5723" s="497"/>
    </row>
    <row r="5724" spans="1:17" x14ac:dyDescent="0.35">
      <c r="A5724" s="497" t="b">
        <f t="shared" ca="1" si="381"/>
        <v>0</v>
      </c>
      <c r="B5724" s="510" t="str">
        <f ca="1">IF(COUNTA(G$4308:G5723)=1,"",OFFSET(B5724,-COUNTA(G$4308:G5723)+1,0))</f>
        <v>a1b3p0000095SGPAA2</v>
      </c>
      <c r="C5724" s="512">
        <f ca="1">IF(COUNTA(G$4308:G5723)=1,"",OFFSET(C5724,-COUNTA(G$4308:G5723)+1,0))</f>
        <v>76</v>
      </c>
      <c r="D5724" s="497">
        <f t="shared" si="382"/>
        <v>934</v>
      </c>
      <c r="E5724" s="497">
        <f t="shared" ca="1" si="383"/>
        <v>4</v>
      </c>
      <c r="F5724" s="497">
        <f t="shared" ca="1" si="384"/>
        <v>84</v>
      </c>
      <c r="G5724" s="497"/>
      <c r="H5724" s="503" t="str">
        <f t="shared" ca="1" si="385"/>
        <v/>
      </c>
      <c r="I5724" s="503" t="str">
        <f t="shared" ca="1" si="386"/>
        <v/>
      </c>
      <c r="J5724" s="503" t="str">
        <f t="shared" ca="1" si="387"/>
        <v/>
      </c>
      <c r="K5724" s="503" t="str">
        <f t="shared" ca="1" si="388"/>
        <v/>
      </c>
      <c r="L5724" s="497"/>
      <c r="M5724" s="497"/>
      <c r="N5724" s="497"/>
      <c r="O5724" s="497"/>
      <c r="P5724" s="497">
        <f t="shared" si="389"/>
        <v>0</v>
      </c>
      <c r="Q5724" s="497"/>
    </row>
    <row r="5725" spans="1:17" x14ac:dyDescent="0.35">
      <c r="A5725" s="497" t="b">
        <f t="shared" ca="1" si="381"/>
        <v>0</v>
      </c>
      <c r="B5725" s="510" t="str">
        <f ca="1">IF(COUNTA(G$4308:G5724)=1,"",OFFSET(B5725,-COUNTA(G$4308:G5724)+1,0))</f>
        <v>a1b3p0000095SIzAAM</v>
      </c>
      <c r="C5725" s="512">
        <f ca="1">IF(COUNTA(G$4308:G5724)=1,"",OFFSET(C5725,-COUNTA(G$4308:G5724)+1,0))</f>
        <v>76</v>
      </c>
      <c r="D5725" s="497">
        <f t="shared" si="382"/>
        <v>935</v>
      </c>
      <c r="E5725" s="497">
        <f t="shared" ca="1" si="383"/>
        <v>5</v>
      </c>
      <c r="F5725" s="497">
        <f t="shared" ca="1" si="384"/>
        <v>84</v>
      </c>
      <c r="G5725" s="497"/>
      <c r="H5725" s="503" t="str">
        <f t="shared" ca="1" si="385"/>
        <v/>
      </c>
      <c r="I5725" s="503" t="str">
        <f t="shared" ca="1" si="386"/>
        <v/>
      </c>
      <c r="J5725" s="503" t="str">
        <f t="shared" ca="1" si="387"/>
        <v/>
      </c>
      <c r="K5725" s="503" t="str">
        <f t="shared" ca="1" si="388"/>
        <v/>
      </c>
      <c r="L5725" s="497"/>
      <c r="M5725" s="497"/>
      <c r="N5725" s="497"/>
      <c r="O5725" s="497"/>
      <c r="P5725" s="497">
        <f t="shared" si="389"/>
        <v>0</v>
      </c>
      <c r="Q5725" s="497"/>
    </row>
    <row r="5726" spans="1:17" x14ac:dyDescent="0.35">
      <c r="A5726" s="497" t="b">
        <f t="shared" ca="1" si="381"/>
        <v>0</v>
      </c>
      <c r="B5726" s="510" t="str">
        <f ca="1">IF(COUNTA(G$4308:G5725)=1,"",OFFSET(B5726,-COUNTA(G$4308:G5725)+1,0))</f>
        <v>a1b3p0000095SLZAA2</v>
      </c>
      <c r="C5726" s="512">
        <f ca="1">IF(COUNTA(G$4308:G5725)=1,"",OFFSET(C5726,-COUNTA(G$4308:G5725)+1,0))</f>
        <v>76</v>
      </c>
      <c r="D5726" s="497">
        <f t="shared" si="382"/>
        <v>936</v>
      </c>
      <c r="E5726" s="497">
        <f t="shared" ca="1" si="383"/>
        <v>6</v>
      </c>
      <c r="F5726" s="497">
        <f t="shared" ca="1" si="384"/>
        <v>84</v>
      </c>
      <c r="G5726" s="497"/>
      <c r="H5726" s="503" t="str">
        <f t="shared" ca="1" si="385"/>
        <v/>
      </c>
      <c r="I5726" s="503" t="str">
        <f t="shared" ca="1" si="386"/>
        <v/>
      </c>
      <c r="J5726" s="503" t="str">
        <f t="shared" ca="1" si="387"/>
        <v/>
      </c>
      <c r="K5726" s="503" t="str">
        <f t="shared" ca="1" si="388"/>
        <v/>
      </c>
      <c r="L5726" s="497"/>
      <c r="M5726" s="497"/>
      <c r="N5726" s="497"/>
      <c r="O5726" s="497"/>
      <c r="P5726" s="497">
        <f t="shared" si="389"/>
        <v>0</v>
      </c>
      <c r="Q5726" s="497"/>
    </row>
    <row r="5727" spans="1:17" x14ac:dyDescent="0.35">
      <c r="A5727" s="497" t="b">
        <f t="shared" ca="1" si="381"/>
        <v>0</v>
      </c>
      <c r="B5727" s="510" t="str">
        <f ca="1">IF(COUNTA(G$4308:G5726)=1,"",OFFSET(B5727,-COUNTA(G$4308:G5726)+1,0))</f>
        <v>a1b3p0000095S8gAAE</v>
      </c>
      <c r="C5727" s="512">
        <f ca="1">IF(COUNTA(G$4308:G5726)=1,"",OFFSET(C5727,-COUNTA(G$4308:G5726)+1,0))</f>
        <v>77</v>
      </c>
      <c r="D5727" s="497">
        <f t="shared" si="382"/>
        <v>937</v>
      </c>
      <c r="E5727" s="497">
        <f t="shared" ca="1" si="383"/>
        <v>1</v>
      </c>
      <c r="F5727" s="497">
        <f t="shared" ca="1" si="384"/>
        <v>85</v>
      </c>
      <c r="G5727" s="497"/>
      <c r="H5727" s="503" t="str">
        <f t="shared" ca="1" si="385"/>
        <v/>
      </c>
      <c r="I5727" s="503" t="str">
        <f t="shared" ca="1" si="386"/>
        <v/>
      </c>
      <c r="J5727" s="503" t="str">
        <f t="shared" ca="1" si="387"/>
        <v/>
      </c>
      <c r="K5727" s="503" t="str">
        <f t="shared" ca="1" si="388"/>
        <v/>
      </c>
      <c r="L5727" s="497"/>
      <c r="M5727" s="497"/>
      <c r="N5727" s="497"/>
      <c r="O5727" s="497"/>
      <c r="P5727" s="497">
        <f t="shared" si="389"/>
        <v>0</v>
      </c>
      <c r="Q5727" s="497"/>
    </row>
    <row r="5728" spans="1:17" x14ac:dyDescent="0.35">
      <c r="A5728" s="497" t="b">
        <f t="shared" ca="1" si="381"/>
        <v>0</v>
      </c>
      <c r="B5728" s="510" t="str">
        <f ca="1">IF(COUNTA(G$4308:G5727)=1,"",OFFSET(B5728,-COUNTA(G$4308:G5727)+1,0))</f>
        <v>a1b3p0000095SBGAA2</v>
      </c>
      <c r="C5728" s="512">
        <f ca="1">IF(COUNTA(G$4308:G5727)=1,"",OFFSET(C5728,-COUNTA(G$4308:G5727)+1,0))</f>
        <v>77</v>
      </c>
      <c r="D5728" s="497">
        <f t="shared" si="382"/>
        <v>938</v>
      </c>
      <c r="E5728" s="497">
        <f t="shared" ca="1" si="383"/>
        <v>2</v>
      </c>
      <c r="F5728" s="497">
        <f t="shared" ca="1" si="384"/>
        <v>85</v>
      </c>
      <c r="G5728" s="497"/>
      <c r="H5728" s="503" t="str">
        <f t="shared" ca="1" si="385"/>
        <v/>
      </c>
      <c r="I5728" s="503" t="str">
        <f t="shared" ca="1" si="386"/>
        <v/>
      </c>
      <c r="J5728" s="503" t="str">
        <f t="shared" ca="1" si="387"/>
        <v/>
      </c>
      <c r="K5728" s="503" t="str">
        <f t="shared" ca="1" si="388"/>
        <v/>
      </c>
      <c r="L5728" s="497"/>
      <c r="M5728" s="497"/>
      <c r="N5728" s="497"/>
      <c r="O5728" s="497"/>
      <c r="P5728" s="497">
        <f t="shared" si="389"/>
        <v>0</v>
      </c>
      <c r="Q5728" s="497"/>
    </row>
    <row r="5729" spans="1:17" x14ac:dyDescent="0.35">
      <c r="A5729" s="497" t="b">
        <f t="shared" ca="1" si="381"/>
        <v>0</v>
      </c>
      <c r="B5729" s="510" t="str">
        <f ca="1">IF(COUNTA(G$4308:G5728)=1,"",OFFSET(B5729,-COUNTA(G$4308:G5728)+1,0))</f>
        <v>a1b3p0000095SDqAAM</v>
      </c>
      <c r="C5729" s="512">
        <f ca="1">IF(COUNTA(G$4308:G5728)=1,"",OFFSET(C5729,-COUNTA(G$4308:G5728)+1,0))</f>
        <v>77</v>
      </c>
      <c r="D5729" s="497">
        <f t="shared" si="382"/>
        <v>939</v>
      </c>
      <c r="E5729" s="497">
        <f t="shared" ca="1" si="383"/>
        <v>3</v>
      </c>
      <c r="F5729" s="497">
        <f t="shared" ca="1" si="384"/>
        <v>85</v>
      </c>
      <c r="G5729" s="497"/>
      <c r="H5729" s="503" t="str">
        <f t="shared" ca="1" si="385"/>
        <v/>
      </c>
      <c r="I5729" s="503" t="str">
        <f t="shared" ca="1" si="386"/>
        <v/>
      </c>
      <c r="J5729" s="503" t="str">
        <f t="shared" ca="1" si="387"/>
        <v/>
      </c>
      <c r="K5729" s="503" t="str">
        <f t="shared" ca="1" si="388"/>
        <v/>
      </c>
      <c r="L5729" s="497"/>
      <c r="M5729" s="497"/>
      <c r="N5729" s="497"/>
      <c r="O5729" s="497"/>
      <c r="P5729" s="497">
        <f t="shared" si="389"/>
        <v>0</v>
      </c>
      <c r="Q5729" s="497"/>
    </row>
    <row r="5730" spans="1:17" x14ac:dyDescent="0.35">
      <c r="A5730" s="497" t="b">
        <f t="shared" ca="1" si="381"/>
        <v>0</v>
      </c>
      <c r="B5730" s="510" t="str">
        <f ca="1">IF(COUNTA(G$4308:G5729)=1,"",OFFSET(B5730,-COUNTA(G$4308:G5729)+1,0))</f>
        <v>a1b3p0000095SGQAA2</v>
      </c>
      <c r="C5730" s="512">
        <f ca="1">IF(COUNTA(G$4308:G5729)=1,"",OFFSET(C5730,-COUNTA(G$4308:G5729)+1,0))</f>
        <v>77</v>
      </c>
      <c r="D5730" s="497">
        <f t="shared" si="382"/>
        <v>940</v>
      </c>
      <c r="E5730" s="497">
        <f t="shared" ca="1" si="383"/>
        <v>4</v>
      </c>
      <c r="F5730" s="497">
        <f t="shared" ca="1" si="384"/>
        <v>85</v>
      </c>
      <c r="G5730" s="497"/>
      <c r="H5730" s="503" t="str">
        <f t="shared" ca="1" si="385"/>
        <v/>
      </c>
      <c r="I5730" s="503" t="str">
        <f t="shared" ca="1" si="386"/>
        <v/>
      </c>
      <c r="J5730" s="503" t="str">
        <f t="shared" ca="1" si="387"/>
        <v/>
      </c>
      <c r="K5730" s="503" t="str">
        <f t="shared" ca="1" si="388"/>
        <v/>
      </c>
      <c r="L5730" s="497"/>
      <c r="M5730" s="497"/>
      <c r="N5730" s="497"/>
      <c r="O5730" s="497"/>
      <c r="P5730" s="497">
        <f t="shared" si="389"/>
        <v>0</v>
      </c>
      <c r="Q5730" s="497"/>
    </row>
    <row r="5731" spans="1:17" x14ac:dyDescent="0.35">
      <c r="A5731" s="497" t="b">
        <f t="shared" ca="1" si="381"/>
        <v>0</v>
      </c>
      <c r="B5731" s="510" t="str">
        <f ca="1">IF(COUNTA(G$4308:G5730)=1,"",OFFSET(B5731,-COUNTA(G$4308:G5730)+1,0))</f>
        <v>a1b3p0000095SJ0AAM</v>
      </c>
      <c r="C5731" s="512">
        <f ca="1">IF(COUNTA(G$4308:G5730)=1,"",OFFSET(C5731,-COUNTA(G$4308:G5730)+1,0))</f>
        <v>77</v>
      </c>
      <c r="D5731" s="497">
        <f t="shared" si="382"/>
        <v>941</v>
      </c>
      <c r="E5731" s="497">
        <f t="shared" ca="1" si="383"/>
        <v>5</v>
      </c>
      <c r="F5731" s="497">
        <f t="shared" ca="1" si="384"/>
        <v>85</v>
      </c>
      <c r="G5731" s="497"/>
      <c r="H5731" s="503" t="str">
        <f t="shared" ca="1" si="385"/>
        <v/>
      </c>
      <c r="I5731" s="503" t="str">
        <f t="shared" ca="1" si="386"/>
        <v/>
      </c>
      <c r="J5731" s="503" t="str">
        <f t="shared" ca="1" si="387"/>
        <v/>
      </c>
      <c r="K5731" s="503" t="str">
        <f t="shared" ca="1" si="388"/>
        <v/>
      </c>
      <c r="L5731" s="497"/>
      <c r="M5731" s="497"/>
      <c r="N5731" s="497"/>
      <c r="O5731" s="497"/>
      <c r="P5731" s="497">
        <f t="shared" si="389"/>
        <v>0</v>
      </c>
      <c r="Q5731" s="497"/>
    </row>
    <row r="5732" spans="1:17" x14ac:dyDescent="0.35">
      <c r="A5732" s="497" t="b">
        <f t="shared" ca="1" si="381"/>
        <v>0</v>
      </c>
      <c r="B5732" s="510" t="str">
        <f ca="1">IF(COUNTA(G$4308:G5731)=1,"",OFFSET(B5732,-COUNTA(G$4308:G5731)+1,0))</f>
        <v>a1b3p0000095SLaAAM</v>
      </c>
      <c r="C5732" s="512">
        <f ca="1">IF(COUNTA(G$4308:G5731)=1,"",OFFSET(C5732,-COUNTA(G$4308:G5731)+1,0))</f>
        <v>77</v>
      </c>
      <c r="D5732" s="497">
        <f t="shared" si="382"/>
        <v>942</v>
      </c>
      <c r="E5732" s="497">
        <f t="shared" ca="1" si="383"/>
        <v>6</v>
      </c>
      <c r="F5732" s="497">
        <f t="shared" ca="1" si="384"/>
        <v>85</v>
      </c>
      <c r="G5732" s="497"/>
      <c r="H5732" s="503" t="str">
        <f t="shared" ca="1" si="385"/>
        <v/>
      </c>
      <c r="I5732" s="503" t="str">
        <f t="shared" ca="1" si="386"/>
        <v/>
      </c>
      <c r="J5732" s="503" t="str">
        <f t="shared" ca="1" si="387"/>
        <v/>
      </c>
      <c r="K5732" s="503" t="str">
        <f t="shared" ca="1" si="388"/>
        <v/>
      </c>
      <c r="L5732" s="497"/>
      <c r="M5732" s="497"/>
      <c r="N5732" s="497"/>
      <c r="O5732" s="497"/>
      <c r="P5732" s="497">
        <f t="shared" si="389"/>
        <v>0</v>
      </c>
      <c r="Q5732" s="497"/>
    </row>
    <row r="5733" spans="1:17" x14ac:dyDescent="0.35">
      <c r="A5733" s="497" t="b">
        <f t="shared" ca="1" si="381"/>
        <v>0</v>
      </c>
      <c r="B5733" s="510" t="str">
        <f ca="1">IF(COUNTA(G$4308:G5732)=1,"",OFFSET(B5733,-COUNTA(G$4308:G5732)+1,0))</f>
        <v>a1b3p0000095S8hAAE</v>
      </c>
      <c r="C5733" s="512">
        <f ca="1">IF(COUNTA(G$4308:G5732)=1,"",OFFSET(C5733,-COUNTA(G$4308:G5732)+1,0))</f>
        <v>78</v>
      </c>
      <c r="D5733" s="497">
        <f t="shared" si="382"/>
        <v>943</v>
      </c>
      <c r="E5733" s="497">
        <f t="shared" ca="1" si="383"/>
        <v>1</v>
      </c>
      <c r="F5733" s="497">
        <f t="shared" ca="1" si="384"/>
        <v>86</v>
      </c>
      <c r="G5733" s="497"/>
      <c r="H5733" s="503" t="str">
        <f t="shared" ca="1" si="385"/>
        <v/>
      </c>
      <c r="I5733" s="503" t="str">
        <f t="shared" ca="1" si="386"/>
        <v/>
      </c>
      <c r="J5733" s="503" t="str">
        <f t="shared" ca="1" si="387"/>
        <v/>
      </c>
      <c r="K5733" s="503" t="str">
        <f t="shared" ca="1" si="388"/>
        <v/>
      </c>
      <c r="L5733" s="497"/>
      <c r="M5733" s="497"/>
      <c r="N5733" s="497"/>
      <c r="O5733" s="497"/>
      <c r="P5733" s="497">
        <f t="shared" si="389"/>
        <v>0</v>
      </c>
      <c r="Q5733" s="497"/>
    </row>
    <row r="5734" spans="1:17" x14ac:dyDescent="0.35">
      <c r="A5734" s="497" t="b">
        <f t="shared" ca="1" si="381"/>
        <v>0</v>
      </c>
      <c r="B5734" s="510" t="str">
        <f ca="1">IF(COUNTA(G$4308:G5733)=1,"",OFFSET(B5734,-COUNTA(G$4308:G5733)+1,0))</f>
        <v>a1b3p0000095SBHAA2</v>
      </c>
      <c r="C5734" s="512">
        <f ca="1">IF(COUNTA(G$4308:G5733)=1,"",OFFSET(C5734,-COUNTA(G$4308:G5733)+1,0))</f>
        <v>78</v>
      </c>
      <c r="D5734" s="497">
        <f t="shared" si="382"/>
        <v>944</v>
      </c>
      <c r="E5734" s="497">
        <f t="shared" ca="1" si="383"/>
        <v>2</v>
      </c>
      <c r="F5734" s="497">
        <f t="shared" ca="1" si="384"/>
        <v>86</v>
      </c>
      <c r="G5734" s="497"/>
      <c r="H5734" s="503" t="str">
        <f t="shared" ca="1" si="385"/>
        <v/>
      </c>
      <c r="I5734" s="503" t="str">
        <f t="shared" ca="1" si="386"/>
        <v/>
      </c>
      <c r="J5734" s="503" t="str">
        <f t="shared" ca="1" si="387"/>
        <v/>
      </c>
      <c r="K5734" s="503" t="str">
        <f t="shared" ca="1" si="388"/>
        <v/>
      </c>
      <c r="L5734" s="497"/>
      <c r="M5734" s="497"/>
      <c r="N5734" s="497"/>
      <c r="O5734" s="497"/>
      <c r="P5734" s="497">
        <f t="shared" si="389"/>
        <v>0</v>
      </c>
      <c r="Q5734" s="497"/>
    </row>
    <row r="5735" spans="1:17" x14ac:dyDescent="0.35">
      <c r="A5735" s="497" t="b">
        <f t="shared" ca="1" si="381"/>
        <v>0</v>
      </c>
      <c r="B5735" s="510" t="str">
        <f ca="1">IF(COUNTA(G$4308:G5734)=1,"",OFFSET(B5735,-COUNTA(G$4308:G5734)+1,0))</f>
        <v>a1b3p0000095SDrAAM</v>
      </c>
      <c r="C5735" s="512">
        <f ca="1">IF(COUNTA(G$4308:G5734)=1,"",OFFSET(C5735,-COUNTA(G$4308:G5734)+1,0))</f>
        <v>78</v>
      </c>
      <c r="D5735" s="497">
        <f t="shared" si="382"/>
        <v>945</v>
      </c>
      <c r="E5735" s="497">
        <f t="shared" ca="1" si="383"/>
        <v>3</v>
      </c>
      <c r="F5735" s="497">
        <f t="shared" ca="1" si="384"/>
        <v>86</v>
      </c>
      <c r="G5735" s="497"/>
      <c r="H5735" s="503" t="str">
        <f t="shared" ca="1" si="385"/>
        <v/>
      </c>
      <c r="I5735" s="503" t="str">
        <f t="shared" ca="1" si="386"/>
        <v/>
      </c>
      <c r="J5735" s="503" t="str">
        <f t="shared" ca="1" si="387"/>
        <v/>
      </c>
      <c r="K5735" s="503" t="str">
        <f t="shared" ca="1" si="388"/>
        <v/>
      </c>
      <c r="L5735" s="497"/>
      <c r="M5735" s="497"/>
      <c r="N5735" s="497"/>
      <c r="O5735" s="497"/>
      <c r="P5735" s="497">
        <f t="shared" si="389"/>
        <v>0</v>
      </c>
      <c r="Q5735" s="497"/>
    </row>
    <row r="5736" spans="1:17" x14ac:dyDescent="0.35">
      <c r="A5736" s="497" t="b">
        <f t="shared" ca="1" si="381"/>
        <v>0</v>
      </c>
      <c r="B5736" s="510" t="str">
        <f ca="1">IF(COUNTA(G$4308:G5735)=1,"",OFFSET(B5736,-COUNTA(G$4308:G5735)+1,0))</f>
        <v>a1b3p0000095SGRAA2</v>
      </c>
      <c r="C5736" s="512">
        <f ca="1">IF(COUNTA(G$4308:G5735)=1,"",OFFSET(C5736,-COUNTA(G$4308:G5735)+1,0))</f>
        <v>78</v>
      </c>
      <c r="D5736" s="497">
        <f t="shared" si="382"/>
        <v>946</v>
      </c>
      <c r="E5736" s="497">
        <f t="shared" ca="1" si="383"/>
        <v>4</v>
      </c>
      <c r="F5736" s="497">
        <f t="shared" ca="1" si="384"/>
        <v>86</v>
      </c>
      <c r="G5736" s="497"/>
      <c r="H5736" s="503" t="str">
        <f t="shared" ca="1" si="385"/>
        <v/>
      </c>
      <c r="I5736" s="503" t="str">
        <f t="shared" ca="1" si="386"/>
        <v/>
      </c>
      <c r="J5736" s="503" t="str">
        <f t="shared" ca="1" si="387"/>
        <v/>
      </c>
      <c r="K5736" s="503" t="str">
        <f t="shared" ca="1" si="388"/>
        <v/>
      </c>
      <c r="L5736" s="497"/>
      <c r="M5736" s="497"/>
      <c r="N5736" s="497"/>
      <c r="O5736" s="497"/>
      <c r="P5736" s="497">
        <f t="shared" si="389"/>
        <v>0</v>
      </c>
      <c r="Q5736" s="497"/>
    </row>
    <row r="5737" spans="1:17" x14ac:dyDescent="0.35">
      <c r="A5737" s="497" t="b">
        <f t="shared" ca="1" si="381"/>
        <v>0</v>
      </c>
      <c r="B5737" s="510" t="str">
        <f ca="1">IF(COUNTA(G$4308:G5736)=1,"",OFFSET(B5737,-COUNTA(G$4308:G5736)+1,0))</f>
        <v>a1b3p0000095SJ1AAM</v>
      </c>
      <c r="C5737" s="512">
        <f ca="1">IF(COUNTA(G$4308:G5736)=1,"",OFFSET(C5737,-COUNTA(G$4308:G5736)+1,0))</f>
        <v>78</v>
      </c>
      <c r="D5737" s="497">
        <f t="shared" si="382"/>
        <v>947</v>
      </c>
      <c r="E5737" s="497">
        <f t="shared" ca="1" si="383"/>
        <v>5</v>
      </c>
      <c r="F5737" s="497">
        <f t="shared" ca="1" si="384"/>
        <v>86</v>
      </c>
      <c r="G5737" s="497"/>
      <c r="H5737" s="503" t="str">
        <f t="shared" ca="1" si="385"/>
        <v/>
      </c>
      <c r="I5737" s="503" t="str">
        <f t="shared" ca="1" si="386"/>
        <v/>
      </c>
      <c r="J5737" s="503" t="str">
        <f t="shared" ca="1" si="387"/>
        <v/>
      </c>
      <c r="K5737" s="503" t="str">
        <f t="shared" ca="1" si="388"/>
        <v/>
      </c>
      <c r="L5737" s="497"/>
      <c r="M5737" s="497"/>
      <c r="N5737" s="497"/>
      <c r="O5737" s="497"/>
      <c r="P5737" s="497">
        <f t="shared" si="389"/>
        <v>0</v>
      </c>
      <c r="Q5737" s="497"/>
    </row>
    <row r="5738" spans="1:17" x14ac:dyDescent="0.35">
      <c r="A5738" s="497" t="b">
        <f t="shared" ca="1" si="381"/>
        <v>0</v>
      </c>
      <c r="B5738" s="510" t="str">
        <f ca="1">IF(COUNTA(G$4308:G5737)=1,"",OFFSET(B5738,-COUNTA(G$4308:G5737)+1,0))</f>
        <v>a1b3p0000095SLbAAM</v>
      </c>
      <c r="C5738" s="512">
        <f ca="1">IF(COUNTA(G$4308:G5737)=1,"",OFFSET(C5738,-COUNTA(G$4308:G5737)+1,0))</f>
        <v>78</v>
      </c>
      <c r="D5738" s="497">
        <f t="shared" si="382"/>
        <v>948</v>
      </c>
      <c r="E5738" s="497">
        <f t="shared" ca="1" si="383"/>
        <v>6</v>
      </c>
      <c r="F5738" s="497">
        <f t="shared" ca="1" si="384"/>
        <v>86</v>
      </c>
      <c r="G5738" s="497"/>
      <c r="H5738" s="503" t="str">
        <f t="shared" ca="1" si="385"/>
        <v/>
      </c>
      <c r="I5738" s="503" t="str">
        <f t="shared" ca="1" si="386"/>
        <v/>
      </c>
      <c r="J5738" s="503" t="str">
        <f t="shared" ca="1" si="387"/>
        <v/>
      </c>
      <c r="K5738" s="503" t="str">
        <f t="shared" ca="1" si="388"/>
        <v/>
      </c>
      <c r="L5738" s="497"/>
      <c r="M5738" s="497"/>
      <c r="N5738" s="497"/>
      <c r="O5738" s="497"/>
      <c r="P5738" s="497">
        <f t="shared" si="389"/>
        <v>0</v>
      </c>
      <c r="Q5738" s="497"/>
    </row>
    <row r="5739" spans="1:17" x14ac:dyDescent="0.35">
      <c r="A5739" s="497" t="b">
        <f t="shared" ca="1" si="381"/>
        <v>0</v>
      </c>
      <c r="B5739" s="510" t="str">
        <f ca="1">IF(COUNTA(G$4308:G5738)=1,"",OFFSET(B5739,-COUNTA(G$4308:G5738)+1,0))</f>
        <v>a1b3p0000095S8iAAE</v>
      </c>
      <c r="C5739" s="512">
        <f ca="1">IF(COUNTA(G$4308:G5738)=1,"",OFFSET(C5739,-COUNTA(G$4308:G5738)+1,0))</f>
        <v>79</v>
      </c>
      <c r="D5739" s="497">
        <f t="shared" si="382"/>
        <v>949</v>
      </c>
      <c r="E5739" s="497">
        <f t="shared" ca="1" si="383"/>
        <v>1</v>
      </c>
      <c r="F5739" s="497">
        <f t="shared" ca="1" si="384"/>
        <v>87</v>
      </c>
      <c r="G5739" s="497"/>
      <c r="H5739" s="503" t="str">
        <f t="shared" ca="1" si="385"/>
        <v/>
      </c>
      <c r="I5739" s="503" t="str">
        <f t="shared" ca="1" si="386"/>
        <v/>
      </c>
      <c r="J5739" s="503" t="str">
        <f t="shared" ca="1" si="387"/>
        <v/>
      </c>
      <c r="K5739" s="503" t="str">
        <f t="shared" ca="1" si="388"/>
        <v/>
      </c>
      <c r="L5739" s="497"/>
      <c r="M5739" s="497"/>
      <c r="N5739" s="497"/>
      <c r="O5739" s="497"/>
      <c r="P5739" s="497">
        <f t="shared" si="389"/>
        <v>0</v>
      </c>
      <c r="Q5739" s="497"/>
    </row>
    <row r="5740" spans="1:17" x14ac:dyDescent="0.35">
      <c r="A5740" s="497" t="b">
        <f t="shared" ca="1" si="381"/>
        <v>0</v>
      </c>
      <c r="B5740" s="510" t="str">
        <f ca="1">IF(COUNTA(G$4308:G5739)=1,"",OFFSET(B5740,-COUNTA(G$4308:G5739)+1,0))</f>
        <v>a1b3p0000095SBIAA2</v>
      </c>
      <c r="C5740" s="512">
        <f ca="1">IF(COUNTA(G$4308:G5739)=1,"",OFFSET(C5740,-COUNTA(G$4308:G5739)+1,0))</f>
        <v>79</v>
      </c>
      <c r="D5740" s="497">
        <f t="shared" si="382"/>
        <v>950</v>
      </c>
      <c r="E5740" s="497">
        <f t="shared" ca="1" si="383"/>
        <v>2</v>
      </c>
      <c r="F5740" s="497">
        <f t="shared" ca="1" si="384"/>
        <v>87</v>
      </c>
      <c r="G5740" s="497"/>
      <c r="H5740" s="503" t="str">
        <f t="shared" ca="1" si="385"/>
        <v/>
      </c>
      <c r="I5740" s="503" t="str">
        <f t="shared" ca="1" si="386"/>
        <v/>
      </c>
      <c r="J5740" s="503" t="str">
        <f t="shared" ca="1" si="387"/>
        <v/>
      </c>
      <c r="K5740" s="503" t="str">
        <f t="shared" ca="1" si="388"/>
        <v/>
      </c>
      <c r="L5740" s="497"/>
      <c r="M5740" s="497"/>
      <c r="N5740" s="497"/>
      <c r="O5740" s="497"/>
      <c r="P5740" s="497">
        <f t="shared" si="389"/>
        <v>0</v>
      </c>
      <c r="Q5740" s="497"/>
    </row>
    <row r="5741" spans="1:17" x14ac:dyDescent="0.35">
      <c r="A5741" s="497" t="b">
        <f t="shared" ca="1" si="381"/>
        <v>0</v>
      </c>
      <c r="B5741" s="510" t="str">
        <f ca="1">IF(COUNTA(G$4308:G5740)=1,"",OFFSET(B5741,-COUNTA(G$4308:G5740)+1,0))</f>
        <v>a1b3p0000095SDsAAM</v>
      </c>
      <c r="C5741" s="512">
        <f ca="1">IF(COUNTA(G$4308:G5740)=1,"",OFFSET(C5741,-COUNTA(G$4308:G5740)+1,0))</f>
        <v>79</v>
      </c>
      <c r="D5741" s="497">
        <f t="shared" si="382"/>
        <v>951</v>
      </c>
      <c r="E5741" s="497">
        <f t="shared" ca="1" si="383"/>
        <v>3</v>
      </c>
      <c r="F5741" s="497">
        <f t="shared" ca="1" si="384"/>
        <v>87</v>
      </c>
      <c r="G5741" s="497"/>
      <c r="H5741" s="503" t="str">
        <f t="shared" ca="1" si="385"/>
        <v/>
      </c>
      <c r="I5741" s="503" t="str">
        <f t="shared" ca="1" si="386"/>
        <v/>
      </c>
      <c r="J5741" s="503" t="str">
        <f t="shared" ca="1" si="387"/>
        <v/>
      </c>
      <c r="K5741" s="503" t="str">
        <f t="shared" ca="1" si="388"/>
        <v/>
      </c>
      <c r="L5741" s="497"/>
      <c r="M5741" s="497"/>
      <c r="N5741" s="497"/>
      <c r="O5741" s="497"/>
      <c r="P5741" s="497">
        <f t="shared" si="389"/>
        <v>0</v>
      </c>
      <c r="Q5741" s="497"/>
    </row>
    <row r="5742" spans="1:17" x14ac:dyDescent="0.35">
      <c r="A5742" s="497" t="b">
        <f t="shared" ca="1" si="381"/>
        <v>0</v>
      </c>
      <c r="B5742" s="510" t="str">
        <f ca="1">IF(COUNTA(G$4308:G5741)=1,"",OFFSET(B5742,-COUNTA(G$4308:G5741)+1,0))</f>
        <v>a1b3p0000095SGSAA2</v>
      </c>
      <c r="C5742" s="512">
        <f ca="1">IF(COUNTA(G$4308:G5741)=1,"",OFFSET(C5742,-COUNTA(G$4308:G5741)+1,0))</f>
        <v>79</v>
      </c>
      <c r="D5742" s="497">
        <f t="shared" si="382"/>
        <v>952</v>
      </c>
      <c r="E5742" s="497">
        <f t="shared" ca="1" si="383"/>
        <v>4</v>
      </c>
      <c r="F5742" s="497">
        <f t="shared" ca="1" si="384"/>
        <v>87</v>
      </c>
      <c r="G5742" s="497"/>
      <c r="H5742" s="503" t="str">
        <f t="shared" ca="1" si="385"/>
        <v/>
      </c>
      <c r="I5742" s="503" t="str">
        <f t="shared" ca="1" si="386"/>
        <v/>
      </c>
      <c r="J5742" s="503" t="str">
        <f t="shared" ca="1" si="387"/>
        <v/>
      </c>
      <c r="K5742" s="503" t="str">
        <f t="shared" ca="1" si="388"/>
        <v/>
      </c>
      <c r="L5742" s="497"/>
      <c r="M5742" s="497"/>
      <c r="N5742" s="497"/>
      <c r="O5742" s="497"/>
      <c r="P5742" s="497">
        <f t="shared" si="389"/>
        <v>0</v>
      </c>
      <c r="Q5742" s="497"/>
    </row>
    <row r="5743" spans="1:17" x14ac:dyDescent="0.35">
      <c r="A5743" s="497" t="b">
        <f t="shared" ca="1" si="381"/>
        <v>0</v>
      </c>
      <c r="B5743" s="510" t="str">
        <f ca="1">IF(COUNTA(G$4308:G5742)=1,"",OFFSET(B5743,-COUNTA(G$4308:G5742)+1,0))</f>
        <v>a1b3p0000095SJ2AAM</v>
      </c>
      <c r="C5743" s="512">
        <f ca="1">IF(COUNTA(G$4308:G5742)=1,"",OFFSET(C5743,-COUNTA(G$4308:G5742)+1,0))</f>
        <v>79</v>
      </c>
      <c r="D5743" s="497">
        <f t="shared" si="382"/>
        <v>953</v>
      </c>
      <c r="E5743" s="497">
        <f t="shared" ca="1" si="383"/>
        <v>5</v>
      </c>
      <c r="F5743" s="497">
        <f t="shared" ca="1" si="384"/>
        <v>87</v>
      </c>
      <c r="G5743" s="497"/>
      <c r="H5743" s="503" t="str">
        <f t="shared" ca="1" si="385"/>
        <v/>
      </c>
      <c r="I5743" s="503" t="str">
        <f t="shared" ca="1" si="386"/>
        <v/>
      </c>
      <c r="J5743" s="503" t="str">
        <f t="shared" ca="1" si="387"/>
        <v/>
      </c>
      <c r="K5743" s="503" t="str">
        <f t="shared" ca="1" si="388"/>
        <v/>
      </c>
      <c r="L5743" s="497"/>
      <c r="M5743" s="497"/>
      <c r="N5743" s="497"/>
      <c r="O5743" s="497"/>
      <c r="P5743" s="497">
        <f t="shared" si="389"/>
        <v>0</v>
      </c>
      <c r="Q5743" s="497"/>
    </row>
    <row r="5744" spans="1:17" x14ac:dyDescent="0.35">
      <c r="A5744" s="497" t="b">
        <f t="shared" ca="1" si="381"/>
        <v>0</v>
      </c>
      <c r="B5744" s="510" t="str">
        <f ca="1">IF(COUNTA(G$4308:G5743)=1,"",OFFSET(B5744,-COUNTA(G$4308:G5743)+1,0))</f>
        <v>a1b3p0000095SLcAAM</v>
      </c>
      <c r="C5744" s="512">
        <f ca="1">IF(COUNTA(G$4308:G5743)=1,"",OFFSET(C5744,-COUNTA(G$4308:G5743)+1,0))</f>
        <v>79</v>
      </c>
      <c r="D5744" s="497">
        <f t="shared" si="382"/>
        <v>954</v>
      </c>
      <c r="E5744" s="497">
        <f t="shared" ca="1" si="383"/>
        <v>6</v>
      </c>
      <c r="F5744" s="497">
        <f t="shared" ca="1" si="384"/>
        <v>87</v>
      </c>
      <c r="G5744" s="497"/>
      <c r="H5744" s="503" t="str">
        <f t="shared" ca="1" si="385"/>
        <v/>
      </c>
      <c r="I5744" s="503" t="str">
        <f t="shared" ca="1" si="386"/>
        <v/>
      </c>
      <c r="J5744" s="503" t="str">
        <f t="shared" ca="1" si="387"/>
        <v/>
      </c>
      <c r="K5744" s="503" t="str">
        <f t="shared" ca="1" si="388"/>
        <v/>
      </c>
      <c r="L5744" s="497"/>
      <c r="M5744" s="497"/>
      <c r="N5744" s="497"/>
      <c r="O5744" s="497"/>
      <c r="P5744" s="497">
        <f t="shared" si="389"/>
        <v>0</v>
      </c>
      <c r="Q5744" s="497"/>
    </row>
    <row r="5745" spans="1:17" x14ac:dyDescent="0.35">
      <c r="A5745" s="497" t="b">
        <f t="shared" ca="1" si="381"/>
        <v>0</v>
      </c>
      <c r="B5745" s="510" t="str">
        <f ca="1">IF(COUNTA(G$4308:G5744)=1,"",OFFSET(B5745,-COUNTA(G$4308:G5744)+1,0))</f>
        <v>a1b3p0000095S8jAAE</v>
      </c>
      <c r="C5745" s="512">
        <f ca="1">IF(COUNTA(G$4308:G5744)=1,"",OFFSET(C5745,-COUNTA(G$4308:G5744)+1,0))</f>
        <v>80</v>
      </c>
      <c r="D5745" s="497">
        <f t="shared" si="382"/>
        <v>955</v>
      </c>
      <c r="E5745" s="497">
        <f t="shared" ca="1" si="383"/>
        <v>1</v>
      </c>
      <c r="F5745" s="497">
        <f t="shared" ca="1" si="384"/>
        <v>88</v>
      </c>
      <c r="G5745" s="497"/>
      <c r="H5745" s="503" t="str">
        <f t="shared" ca="1" si="385"/>
        <v/>
      </c>
      <c r="I5745" s="503" t="str">
        <f t="shared" ca="1" si="386"/>
        <v/>
      </c>
      <c r="J5745" s="503" t="str">
        <f t="shared" ca="1" si="387"/>
        <v/>
      </c>
      <c r="K5745" s="503" t="str">
        <f t="shared" ca="1" si="388"/>
        <v/>
      </c>
      <c r="L5745" s="497"/>
      <c r="M5745" s="497"/>
      <c r="N5745" s="497"/>
      <c r="O5745" s="497"/>
      <c r="P5745" s="497">
        <f t="shared" si="389"/>
        <v>0</v>
      </c>
      <c r="Q5745" s="497"/>
    </row>
    <row r="5746" spans="1:17" x14ac:dyDescent="0.35">
      <c r="A5746" s="497" t="b">
        <f t="shared" ca="1" si="381"/>
        <v>0</v>
      </c>
      <c r="B5746" s="510" t="str">
        <f ca="1">IF(COUNTA(G$4308:G5745)=1,"",OFFSET(B5746,-COUNTA(G$4308:G5745)+1,0))</f>
        <v>a1b3p0000095SBJAA2</v>
      </c>
      <c r="C5746" s="512">
        <f ca="1">IF(COUNTA(G$4308:G5745)=1,"",OFFSET(C5746,-COUNTA(G$4308:G5745)+1,0))</f>
        <v>80</v>
      </c>
      <c r="D5746" s="497">
        <f t="shared" si="382"/>
        <v>956</v>
      </c>
      <c r="E5746" s="497">
        <f t="shared" ca="1" si="383"/>
        <v>2</v>
      </c>
      <c r="F5746" s="497">
        <f t="shared" ca="1" si="384"/>
        <v>88</v>
      </c>
      <c r="G5746" s="497"/>
      <c r="H5746" s="503" t="str">
        <f t="shared" ca="1" si="385"/>
        <v/>
      </c>
      <c r="I5746" s="503" t="str">
        <f t="shared" ca="1" si="386"/>
        <v/>
      </c>
      <c r="J5746" s="503" t="str">
        <f t="shared" ca="1" si="387"/>
        <v/>
      </c>
      <c r="K5746" s="503" t="str">
        <f t="shared" ca="1" si="388"/>
        <v/>
      </c>
      <c r="L5746" s="497"/>
      <c r="M5746" s="497"/>
      <c r="N5746" s="497"/>
      <c r="O5746" s="497"/>
      <c r="P5746" s="497">
        <f t="shared" si="389"/>
        <v>0</v>
      </c>
      <c r="Q5746" s="497"/>
    </row>
    <row r="5747" spans="1:17" x14ac:dyDescent="0.35">
      <c r="A5747" s="497" t="b">
        <f t="shared" ca="1" si="381"/>
        <v>0</v>
      </c>
      <c r="B5747" s="510" t="str">
        <f ca="1">IF(COUNTA(G$4308:G5746)=1,"",OFFSET(B5747,-COUNTA(G$4308:G5746)+1,0))</f>
        <v>a1b3p0000095SDtAAM</v>
      </c>
      <c r="C5747" s="512">
        <f ca="1">IF(COUNTA(G$4308:G5746)=1,"",OFFSET(C5747,-COUNTA(G$4308:G5746)+1,0))</f>
        <v>80</v>
      </c>
      <c r="D5747" s="497">
        <f t="shared" si="382"/>
        <v>957</v>
      </c>
      <c r="E5747" s="497">
        <f t="shared" ca="1" si="383"/>
        <v>3</v>
      </c>
      <c r="F5747" s="497">
        <f t="shared" ca="1" si="384"/>
        <v>88</v>
      </c>
      <c r="G5747" s="497"/>
      <c r="H5747" s="503" t="str">
        <f t="shared" ca="1" si="385"/>
        <v/>
      </c>
      <c r="I5747" s="503" t="str">
        <f t="shared" ca="1" si="386"/>
        <v/>
      </c>
      <c r="J5747" s="503" t="str">
        <f t="shared" ca="1" si="387"/>
        <v/>
      </c>
      <c r="K5747" s="503" t="str">
        <f t="shared" ca="1" si="388"/>
        <v/>
      </c>
      <c r="L5747" s="497"/>
      <c r="M5747" s="497"/>
      <c r="N5747" s="497"/>
      <c r="O5747" s="497"/>
      <c r="P5747" s="497">
        <f t="shared" si="389"/>
        <v>0</v>
      </c>
      <c r="Q5747" s="497"/>
    </row>
    <row r="5748" spans="1:17" x14ac:dyDescent="0.35">
      <c r="A5748" s="497" t="b">
        <f t="shared" ca="1" si="381"/>
        <v>0</v>
      </c>
      <c r="B5748" s="510" t="str">
        <f ca="1">IF(COUNTA(G$4308:G5747)=1,"",OFFSET(B5748,-COUNTA(G$4308:G5747)+1,0))</f>
        <v>a1b3p0000095SGTAA2</v>
      </c>
      <c r="C5748" s="512">
        <f ca="1">IF(COUNTA(G$4308:G5747)=1,"",OFFSET(C5748,-COUNTA(G$4308:G5747)+1,0))</f>
        <v>80</v>
      </c>
      <c r="D5748" s="497">
        <f t="shared" si="382"/>
        <v>958</v>
      </c>
      <c r="E5748" s="497">
        <f t="shared" ca="1" si="383"/>
        <v>4</v>
      </c>
      <c r="F5748" s="497">
        <f t="shared" ca="1" si="384"/>
        <v>88</v>
      </c>
      <c r="G5748" s="497"/>
      <c r="H5748" s="503" t="str">
        <f t="shared" ca="1" si="385"/>
        <v/>
      </c>
      <c r="I5748" s="503" t="str">
        <f t="shared" ca="1" si="386"/>
        <v/>
      </c>
      <c r="J5748" s="503" t="str">
        <f t="shared" ca="1" si="387"/>
        <v/>
      </c>
      <c r="K5748" s="503" t="str">
        <f t="shared" ca="1" si="388"/>
        <v/>
      </c>
      <c r="L5748" s="497"/>
      <c r="M5748" s="497"/>
      <c r="N5748" s="497"/>
      <c r="O5748" s="497"/>
      <c r="P5748" s="497">
        <f t="shared" si="389"/>
        <v>0</v>
      </c>
      <c r="Q5748" s="497"/>
    </row>
    <row r="5749" spans="1:17" x14ac:dyDescent="0.35">
      <c r="A5749" s="497" t="b">
        <f t="shared" ca="1" si="381"/>
        <v>0</v>
      </c>
      <c r="B5749" s="510" t="str">
        <f ca="1">IF(COUNTA(G$4308:G5748)=1,"",OFFSET(B5749,-COUNTA(G$4308:G5748)+1,0))</f>
        <v>a1b3p0000095SJ3AAM</v>
      </c>
      <c r="C5749" s="512">
        <f ca="1">IF(COUNTA(G$4308:G5748)=1,"",OFFSET(C5749,-COUNTA(G$4308:G5748)+1,0))</f>
        <v>80</v>
      </c>
      <c r="D5749" s="497">
        <f t="shared" si="382"/>
        <v>959</v>
      </c>
      <c r="E5749" s="497">
        <f t="shared" ca="1" si="383"/>
        <v>5</v>
      </c>
      <c r="F5749" s="497">
        <f t="shared" ca="1" si="384"/>
        <v>88</v>
      </c>
      <c r="G5749" s="497"/>
      <c r="H5749" s="503" t="str">
        <f t="shared" ca="1" si="385"/>
        <v/>
      </c>
      <c r="I5749" s="503" t="str">
        <f t="shared" ca="1" si="386"/>
        <v/>
      </c>
      <c r="J5749" s="503" t="str">
        <f t="shared" ca="1" si="387"/>
        <v/>
      </c>
      <c r="K5749" s="503" t="str">
        <f t="shared" ca="1" si="388"/>
        <v/>
      </c>
      <c r="L5749" s="497"/>
      <c r="M5749" s="497"/>
      <c r="N5749" s="497"/>
      <c r="O5749" s="497"/>
      <c r="P5749" s="497">
        <f t="shared" si="389"/>
        <v>0</v>
      </c>
      <c r="Q5749" s="497"/>
    </row>
    <row r="5750" spans="1:17" x14ac:dyDescent="0.35">
      <c r="A5750" s="497" t="b">
        <f t="shared" ca="1" si="381"/>
        <v>0</v>
      </c>
      <c r="B5750" s="510" t="str">
        <f ca="1">IF(COUNTA(G$4308:G5749)=1,"",OFFSET(B5750,-COUNTA(G$4308:G5749)+1,0))</f>
        <v>a1b3p0000095SLdAAM</v>
      </c>
      <c r="C5750" s="512">
        <f ca="1">IF(COUNTA(G$4308:G5749)=1,"",OFFSET(C5750,-COUNTA(G$4308:G5749)+1,0))</f>
        <v>80</v>
      </c>
      <c r="D5750" s="497">
        <f t="shared" si="382"/>
        <v>960</v>
      </c>
      <c r="E5750" s="497">
        <f t="shared" ca="1" si="383"/>
        <v>6</v>
      </c>
      <c r="F5750" s="497">
        <f t="shared" ca="1" si="384"/>
        <v>88</v>
      </c>
      <c r="G5750" s="497"/>
      <c r="H5750" s="503" t="str">
        <f t="shared" ca="1" si="385"/>
        <v/>
      </c>
      <c r="I5750" s="503" t="str">
        <f t="shared" ca="1" si="386"/>
        <v/>
      </c>
      <c r="J5750" s="503" t="str">
        <f t="shared" ca="1" si="387"/>
        <v/>
      </c>
      <c r="K5750" s="503" t="str">
        <f t="shared" ca="1" si="388"/>
        <v/>
      </c>
      <c r="L5750" s="497"/>
      <c r="M5750" s="497"/>
      <c r="N5750" s="497"/>
      <c r="O5750" s="497"/>
      <c r="P5750" s="497">
        <f t="shared" si="389"/>
        <v>0</v>
      </c>
      <c r="Q5750" s="497"/>
    </row>
    <row r="5751" spans="1:17" x14ac:dyDescent="0.35">
      <c r="J5751" s="496" t="str">
        <f ca="1">IF(ROW()&gt;'Impact Indicator Target Update'!A30,"",INDIRECT("'Impact Indicators - Section B'!A"&amp;'Impact Indicator Target Update'!D30))</f>
        <v/>
      </c>
    </row>
    <row r="5752" spans="1:17" x14ac:dyDescent="0.35">
      <c r="J5752" s="496" t="str">
        <f ca="1">IF(ROW()&gt;'Impact Indicator Target Update'!A31,"",INDIRECT("'Impact Indicators - Section B'!A"&amp;'Impact Indicator Target Update'!D31))</f>
        <v/>
      </c>
    </row>
    <row r="5753" spans="1:17" x14ac:dyDescent="0.35">
      <c r="J5753" s="496" t="str">
        <f ca="1">IF(ROW()&gt;'Impact Indicator Target Update'!A32,"",INDIRECT("'Impact Indicators - Section B'!A"&amp;'Impact Indicator Target Update'!D32))</f>
        <v/>
      </c>
    </row>
    <row r="5754" spans="1:17" x14ac:dyDescent="0.35">
      <c r="J5754" s="496" t="str">
        <f ca="1">IF(ROW()&gt;'Impact Indicator Target Update'!A33,"",INDIRECT("'Impact Indicators - Section B'!A"&amp;'Impact Indicator Target Update'!D33))</f>
        <v/>
      </c>
    </row>
    <row r="5755" spans="1:17" x14ac:dyDescent="0.35">
      <c r="J5755" s="496" t="str">
        <f ca="1">IF(ROW()&gt;'Impact Indicator Target Update'!A34,"",INDIRECT("'Impact Indicators - Section B'!A"&amp;'Impact Indicator Target Update'!D34))</f>
        <v/>
      </c>
    </row>
    <row r="5756" spans="1:17" x14ac:dyDescent="0.35">
      <c r="J5756" s="496" t="str">
        <f ca="1">IF(ROW()&gt;'Impact Indicator Target Update'!A35,"",INDIRECT("'Impact Indicators - Section B'!A"&amp;'Impact Indicator Target Update'!D35))</f>
        <v/>
      </c>
    </row>
    <row r="5757" spans="1:17" x14ac:dyDescent="0.35">
      <c r="J5757" s="496" t="str">
        <f ca="1">IF(ROW()&gt;'Impact Indicator Target Update'!A36,"",INDIRECT("'Impact Indicators - Section B'!A"&amp;'Impact Indicator Target Update'!D36))</f>
        <v/>
      </c>
    </row>
    <row r="5758" spans="1:17" x14ac:dyDescent="0.35">
      <c r="J5758" s="496" t="str">
        <f ca="1">IF(ROW()&gt;'Impact Indicator Target Update'!A37,"",INDIRECT("'Impact Indicators - Section B'!A"&amp;'Impact Indicator Target Update'!D37))</f>
        <v/>
      </c>
    </row>
    <row r="5759" spans="1:17" x14ac:dyDescent="0.35">
      <c r="J5759" s="496" t="str">
        <f ca="1">IF(ROW()&gt;'Impact Indicator Target Update'!A38,"",INDIRECT("'Impact Indicators - Section B'!A"&amp;'Impact Indicator Target Update'!D38))</f>
        <v/>
      </c>
    </row>
    <row r="5760" spans="1:17" x14ac:dyDescent="0.35">
      <c r="J5760" s="496" t="str">
        <f ca="1">IF(ROW()&gt;'Impact Indicator Target Update'!A39,"",INDIRECT("'Impact Indicators - Section B'!A"&amp;'Impact Indicator Target Update'!D39))</f>
        <v/>
      </c>
    </row>
    <row r="5761" spans="10:10" x14ac:dyDescent="0.35">
      <c r="J5761" s="496" t="str">
        <f ca="1">IF(ROW()&gt;'Impact Indicator Target Update'!A40,"",INDIRECT("'Impact Indicators - Section B'!A"&amp;'Impact Indicator Target Update'!D40))</f>
        <v/>
      </c>
    </row>
    <row r="5762" spans="10:10" x14ac:dyDescent="0.35">
      <c r="J5762" s="496" t="str">
        <f ca="1">IF(ROW()&gt;'Impact Indicator Target Update'!A41,"",INDIRECT("'Impact Indicators - Section B'!A"&amp;'Impact Indicator Target Update'!D41))</f>
        <v/>
      </c>
    </row>
    <row r="5763" spans="10:10" x14ac:dyDescent="0.35">
      <c r="J5763" s="496" t="str">
        <f ca="1">IF(ROW()&gt;'Impact Indicator Target Update'!A42,"",INDIRECT("'Impact Indicators - Section B'!A"&amp;'Impact Indicator Target Update'!D42))</f>
        <v/>
      </c>
    </row>
    <row r="5764" spans="10:10" x14ac:dyDescent="0.35">
      <c r="J5764" s="496" t="str">
        <f ca="1">IF(ROW()&gt;'Impact Indicator Target Update'!A43,"",INDIRECT("'Impact Indicators - Section B'!A"&amp;'Impact Indicator Target Update'!D43))</f>
        <v/>
      </c>
    </row>
    <row r="5765" spans="10:10" x14ac:dyDescent="0.35">
      <c r="J5765" s="496" t="str">
        <f ca="1">IF(ROW()&gt;'Impact Indicator Target Update'!A44,"",INDIRECT("'Impact Indicators - Section B'!A"&amp;'Impact Indicator Target Update'!D44))</f>
        <v/>
      </c>
    </row>
    <row r="5766" spans="10:10" x14ac:dyDescent="0.35">
      <c r="J5766" s="496" t="str">
        <f ca="1">IF(ROW()&gt;'Impact Indicator Target Update'!A45,"",INDIRECT("'Impact Indicators - Section B'!A"&amp;'Impact Indicator Target Update'!D45))</f>
        <v/>
      </c>
    </row>
    <row r="5767" spans="10:10" x14ac:dyDescent="0.35">
      <c r="J5767" s="496" t="str">
        <f ca="1">IF(ROW()&gt;'Impact Indicator Target Update'!A46,"",INDIRECT("'Impact Indicators - Section B'!A"&amp;'Impact Indicator Target Update'!D46))</f>
        <v/>
      </c>
    </row>
    <row r="5768" spans="10:10" x14ac:dyDescent="0.35">
      <c r="J5768" s="496" t="str">
        <f ca="1">IF(ROW()&gt;'Impact Indicator Target Update'!A47,"",INDIRECT("'Impact Indicators - Section B'!A"&amp;'Impact Indicator Target Update'!D47))</f>
        <v/>
      </c>
    </row>
    <row r="5769" spans="10:10" x14ac:dyDescent="0.35">
      <c r="J5769" s="496" t="str">
        <f ca="1">IF(ROW()&gt;'Impact Indicator Target Update'!A48,"",INDIRECT("'Impact Indicators - Section B'!A"&amp;'Impact Indicator Target Update'!D48))</f>
        <v/>
      </c>
    </row>
    <row r="5770" spans="10:10" x14ac:dyDescent="0.35">
      <c r="J5770" s="496" t="str">
        <f ca="1">IF(ROW()&gt;'Impact Indicator Target Update'!A49,"",INDIRECT("'Impact Indicators - Section B'!A"&amp;'Impact Indicator Target Update'!D49))</f>
        <v/>
      </c>
    </row>
    <row r="5771" spans="10:10" x14ac:dyDescent="0.35">
      <c r="J5771" s="496" t="str">
        <f ca="1">IF(ROW()&gt;'Impact Indicator Target Update'!A50,"",INDIRECT("'Impact Indicators - Section B'!A"&amp;'Impact Indicator Target Update'!D50))</f>
        <v/>
      </c>
    </row>
    <row r="5772" spans="10:10" x14ac:dyDescent="0.35">
      <c r="J5772" s="496" t="str">
        <f ca="1">IF(ROW()&gt;'Impact Indicator Target Update'!A51,"",INDIRECT("'Impact Indicators - Section B'!A"&amp;'Impact Indicator Target Update'!D51))</f>
        <v/>
      </c>
    </row>
    <row r="5773" spans="10:10" x14ac:dyDescent="0.35">
      <c r="J5773" s="496" t="str">
        <f ca="1">IF(ROW()&gt;'Impact Indicator Target Update'!A52,"",INDIRECT("'Impact Indicators - Section B'!A"&amp;'Impact Indicator Target Update'!D52))</f>
        <v/>
      </c>
    </row>
    <row r="5774" spans="10:10" x14ac:dyDescent="0.35">
      <c r="J5774" s="496" t="str">
        <f ca="1">IF(ROW()&gt;'Impact Indicator Target Update'!A53,"",INDIRECT("'Impact Indicators - Section B'!A"&amp;'Impact Indicator Target Update'!D53))</f>
        <v/>
      </c>
    </row>
    <row r="5775" spans="10:10" x14ac:dyDescent="0.35">
      <c r="J5775" s="496" t="str">
        <f ca="1">IF(ROW()&gt;'Impact Indicator Target Update'!A54,"",INDIRECT("'Impact Indicators - Section B'!A"&amp;'Impact Indicator Target Update'!D54))</f>
        <v/>
      </c>
    </row>
    <row r="5776" spans="10:10" x14ac:dyDescent="0.35">
      <c r="J5776" s="496" t="str">
        <f ca="1">IF(ROW()&gt;'Impact Indicator Target Update'!A55,"",INDIRECT("'Impact Indicators - Section B'!A"&amp;'Impact Indicator Target Update'!D55))</f>
        <v/>
      </c>
    </row>
    <row r="5777" spans="10:10" x14ac:dyDescent="0.35">
      <c r="J5777" s="496" t="str">
        <f ca="1">IF(ROW()&gt;'Impact Indicator Target Update'!A56,"",INDIRECT("'Impact Indicators - Section B'!A"&amp;'Impact Indicator Target Update'!D56))</f>
        <v/>
      </c>
    </row>
    <row r="5778" spans="10:10" x14ac:dyDescent="0.35">
      <c r="J5778" s="496" t="str">
        <f ca="1">IF(ROW()&gt;'Impact Indicator Target Update'!A57,"",INDIRECT("'Impact Indicators - Section B'!A"&amp;'Impact Indicator Target Update'!D57))</f>
        <v/>
      </c>
    </row>
    <row r="5779" spans="10:10" x14ac:dyDescent="0.35">
      <c r="J5779" s="496" t="str">
        <f ca="1">IF(ROW()&gt;'Impact Indicator Target Update'!A58,"",INDIRECT("'Impact Indicators - Section B'!A"&amp;'Impact Indicator Target Update'!D58))</f>
        <v/>
      </c>
    </row>
    <row r="5780" spans="10:10" x14ac:dyDescent="0.35">
      <c r="J5780" s="496" t="str">
        <f ca="1">IF(ROW()&gt;'Impact Indicator Target Update'!A59,"",INDIRECT("'Impact Indicators - Section B'!A"&amp;'Impact Indicator Target Update'!D59))</f>
        <v/>
      </c>
    </row>
    <row r="5781" spans="10:10" x14ac:dyDescent="0.35">
      <c r="J5781" s="496" t="str">
        <f ca="1">IF(ROW()&gt;'Impact Indicator Target Update'!A60,"",INDIRECT("'Impact Indicators - Section B'!A"&amp;'Impact Indicator Target Update'!D60))</f>
        <v/>
      </c>
    </row>
    <row r="5782" spans="10:10" x14ac:dyDescent="0.35">
      <c r="J5782" s="496" t="str">
        <f ca="1">IF(ROW()&gt;'Impact Indicator Target Update'!A61,"",INDIRECT("'Impact Indicators - Section B'!A"&amp;'Impact Indicator Target Update'!D61))</f>
        <v/>
      </c>
    </row>
    <row r="5783" spans="10:10" x14ac:dyDescent="0.35">
      <c r="J5783" s="496" t="str">
        <f ca="1">IF(ROW()&gt;'Impact Indicator Target Update'!A62,"",INDIRECT("'Impact Indicators - Section B'!A"&amp;'Impact Indicator Target Update'!D62))</f>
        <v/>
      </c>
    </row>
    <row r="5784" spans="10:10" x14ac:dyDescent="0.35">
      <c r="J5784" s="496" t="str">
        <f ca="1">IF(ROW()&gt;'Impact Indicator Target Update'!A63,"",INDIRECT("'Impact Indicators - Section B'!A"&amp;'Impact Indicator Target Update'!D63))</f>
        <v/>
      </c>
    </row>
    <row r="5785" spans="10:10" x14ac:dyDescent="0.35">
      <c r="J5785" s="496" t="str">
        <f ca="1">IF(ROW()&gt;'Impact Indicator Target Update'!A64,"",INDIRECT("'Impact Indicators - Section B'!A"&amp;'Impact Indicator Target Update'!D64))</f>
        <v/>
      </c>
    </row>
    <row r="5786" spans="10:10" x14ac:dyDescent="0.35">
      <c r="J5786" s="496" t="str">
        <f ca="1">IF(ROW()&gt;'Impact Indicator Target Update'!A65,"",INDIRECT("'Impact Indicators - Section B'!A"&amp;'Impact Indicator Target Update'!D65))</f>
        <v/>
      </c>
    </row>
    <row r="5787" spans="10:10" x14ac:dyDescent="0.35">
      <c r="J5787" s="496" t="str">
        <f ca="1">IF(ROW()&gt;'Impact Indicator Target Update'!A66,"",INDIRECT("'Impact Indicators - Section B'!A"&amp;'Impact Indicator Target Update'!D66))</f>
        <v/>
      </c>
    </row>
    <row r="5788" spans="10:10" x14ac:dyDescent="0.35">
      <c r="J5788" s="496" t="str">
        <f ca="1">IF(ROW()&gt;'Impact Indicator Target Update'!A67,"",INDIRECT("'Impact Indicators - Section B'!A"&amp;'Impact Indicator Target Update'!D67))</f>
        <v/>
      </c>
    </row>
    <row r="5789" spans="10:10" x14ac:dyDescent="0.35">
      <c r="J5789" s="496" t="str">
        <f ca="1">IF(ROW()&gt;'Impact Indicator Target Update'!A68,"",INDIRECT("'Impact Indicators - Section B'!A"&amp;'Impact Indicator Target Update'!D68))</f>
        <v/>
      </c>
    </row>
    <row r="5790" spans="10:10" x14ac:dyDescent="0.35">
      <c r="J5790" s="496" t="str">
        <f ca="1">IF(ROW()&gt;'Impact Indicator Target Update'!A69,"",INDIRECT("'Impact Indicators - Section B'!A"&amp;'Impact Indicator Target Update'!D69))</f>
        <v/>
      </c>
    </row>
    <row r="5791" spans="10:10" x14ac:dyDescent="0.35">
      <c r="J5791" s="496" t="str">
        <f ca="1">IF(ROW()&gt;'Impact Indicator Target Update'!A70,"",INDIRECT("'Impact Indicators - Section B'!A"&amp;'Impact Indicator Target Update'!D70))</f>
        <v/>
      </c>
    </row>
    <row r="5792" spans="10:10" x14ac:dyDescent="0.35">
      <c r="J5792" s="496" t="str">
        <f ca="1">IF(ROW()&gt;'Impact Indicator Target Update'!A71,"",INDIRECT("'Impact Indicators - Section B'!A"&amp;'Impact Indicator Target Update'!D71))</f>
        <v/>
      </c>
    </row>
    <row r="5793" spans="10:10" x14ac:dyDescent="0.35">
      <c r="J5793" s="496" t="str">
        <f ca="1">IF(ROW()&gt;'Impact Indicator Target Update'!A72,"",INDIRECT("'Impact Indicators - Section B'!A"&amp;'Impact Indicator Target Update'!D72))</f>
        <v/>
      </c>
    </row>
    <row r="5794" spans="10:10" x14ac:dyDescent="0.35">
      <c r="J5794" s="496" t="str">
        <f ca="1">IF(ROW()&gt;'Impact Indicator Target Update'!A73,"",INDIRECT("'Impact Indicators - Section B'!A"&amp;'Impact Indicator Target Update'!D73))</f>
        <v/>
      </c>
    </row>
    <row r="5795" spans="10:10" x14ac:dyDescent="0.35">
      <c r="J5795" s="496" t="str">
        <f ca="1">IF(ROW()&gt;'Impact Indicator Target Update'!A74,"",INDIRECT("'Impact Indicators - Section B'!A"&amp;'Impact Indicator Target Update'!D74))</f>
        <v/>
      </c>
    </row>
    <row r="5796" spans="10:10" x14ac:dyDescent="0.35">
      <c r="J5796" s="496" t="str">
        <f ca="1">IF(ROW()&gt;'Impact Indicator Target Update'!A75,"",INDIRECT("'Impact Indicators - Section B'!A"&amp;'Impact Indicator Target Update'!D75))</f>
        <v/>
      </c>
    </row>
    <row r="5797" spans="10:10" x14ac:dyDescent="0.35">
      <c r="J5797" s="496" t="str">
        <f ca="1">IF(ROW()&gt;'Impact Indicator Target Update'!A76,"",INDIRECT("'Impact Indicators - Section B'!A"&amp;'Impact Indicator Target Update'!D76))</f>
        <v/>
      </c>
    </row>
    <row r="5798" spans="10:10" x14ac:dyDescent="0.35">
      <c r="J5798" s="496" t="str">
        <f ca="1">IF(ROW()&gt;'Impact Indicator Target Update'!A77,"",INDIRECT("'Impact Indicators - Section B'!A"&amp;'Impact Indicator Target Update'!D77))</f>
        <v/>
      </c>
    </row>
    <row r="5799" spans="10:10" x14ac:dyDescent="0.35">
      <c r="J5799" s="496" t="str">
        <f ca="1">IF(ROW()&gt;'Impact Indicator Target Update'!A78,"",INDIRECT("'Impact Indicators - Section B'!A"&amp;'Impact Indicator Target Update'!D78))</f>
        <v/>
      </c>
    </row>
    <row r="5800" spans="10:10" x14ac:dyDescent="0.35">
      <c r="J5800" s="496" t="str">
        <f ca="1">IF(ROW()&gt;'Impact Indicator Target Update'!A79,"",INDIRECT("'Impact Indicators - Section B'!A"&amp;'Impact Indicator Target Update'!D79))</f>
        <v/>
      </c>
    </row>
    <row r="5801" spans="10:10" x14ac:dyDescent="0.35">
      <c r="J5801" s="496" t="str">
        <f ca="1">IF(ROW()&gt;'Impact Indicator Target Update'!A80,"",INDIRECT("'Impact Indicators - Section B'!A"&amp;'Impact Indicator Target Update'!D80))</f>
        <v/>
      </c>
    </row>
    <row r="5802" spans="10:10" x14ac:dyDescent="0.35">
      <c r="J5802" s="496" t="str">
        <f ca="1">IF(ROW()&gt;'Impact Indicator Target Update'!A81,"",INDIRECT("'Impact Indicators - Section B'!A"&amp;'Impact Indicator Target Update'!D81))</f>
        <v/>
      </c>
    </row>
    <row r="5803" spans="10:10" x14ac:dyDescent="0.35">
      <c r="J5803" s="496" t="str">
        <f ca="1">IF(ROW()&gt;'Impact Indicator Target Update'!A82,"",INDIRECT("'Impact Indicators - Section B'!A"&amp;'Impact Indicator Target Update'!D82))</f>
        <v/>
      </c>
    </row>
    <row r="5804" spans="10:10" x14ac:dyDescent="0.35">
      <c r="J5804" s="496" t="str">
        <f ca="1">IF(ROW()&gt;'Impact Indicator Target Update'!A83,"",INDIRECT("'Impact Indicators - Section B'!A"&amp;'Impact Indicator Target Update'!D83))</f>
        <v/>
      </c>
    </row>
    <row r="5805" spans="10:10" x14ac:dyDescent="0.35">
      <c r="J5805" s="496" t="str">
        <f ca="1">IF(ROW()&gt;'Impact Indicator Target Update'!A84,"",INDIRECT("'Impact Indicators - Section B'!A"&amp;'Impact Indicator Target Update'!D84))</f>
        <v/>
      </c>
    </row>
    <row r="5806" spans="10:10" x14ac:dyDescent="0.35">
      <c r="J5806" s="496" t="str">
        <f ca="1">IF(ROW()&gt;'Impact Indicator Target Update'!A85,"",INDIRECT("'Impact Indicators - Section B'!A"&amp;'Impact Indicator Target Update'!D85))</f>
        <v/>
      </c>
    </row>
    <row r="5807" spans="10:10" x14ac:dyDescent="0.35">
      <c r="J5807" s="496" t="str">
        <f ca="1">IF(ROW()&gt;'Impact Indicator Target Update'!A86,"",INDIRECT("'Impact Indicators - Section B'!A"&amp;'Impact Indicator Target Update'!D86))</f>
        <v/>
      </c>
    </row>
    <row r="5808" spans="10:10" x14ac:dyDescent="0.35">
      <c r="J5808" s="496" t="str">
        <f ca="1">IF(ROW()&gt;'Impact Indicator Target Update'!A87,"",INDIRECT("'Impact Indicators - Section B'!A"&amp;'Impact Indicator Target Update'!D87))</f>
        <v/>
      </c>
    </row>
    <row r="5809" spans="10:10" x14ac:dyDescent="0.35">
      <c r="J5809" s="496" t="str">
        <f ca="1">IF(ROW()&gt;'Impact Indicator Target Update'!A88,"",INDIRECT("'Impact Indicators - Section B'!A"&amp;'Impact Indicator Target Update'!D88))</f>
        <v/>
      </c>
    </row>
    <row r="5810" spans="10:10" x14ac:dyDescent="0.35">
      <c r="J5810" s="496" t="str">
        <f ca="1">IF(ROW()&gt;'Impact Indicator Target Update'!A89,"",INDIRECT("'Impact Indicators - Section B'!A"&amp;'Impact Indicator Target Update'!D89))</f>
        <v/>
      </c>
    </row>
    <row r="5811" spans="10:10" x14ac:dyDescent="0.35">
      <c r="J5811" s="496" t="str">
        <f ca="1">IF(ROW()&gt;'Impact Indicator Target Update'!A90,"",INDIRECT("'Impact Indicators - Section B'!A"&amp;'Impact Indicator Target Update'!D90))</f>
        <v/>
      </c>
    </row>
    <row r="5812" spans="10:10" x14ac:dyDescent="0.35">
      <c r="J5812" s="496" t="str">
        <f ca="1">IF(ROW()&gt;'Impact Indicator Target Update'!A91,"",INDIRECT("'Impact Indicators - Section B'!A"&amp;'Impact Indicator Target Update'!D91))</f>
        <v/>
      </c>
    </row>
    <row r="5813" spans="10:10" x14ac:dyDescent="0.35">
      <c r="J5813" s="496" t="str">
        <f ca="1">IF(ROW()&gt;'Impact Indicator Target Update'!A92,"",INDIRECT("'Impact Indicators - Section B'!A"&amp;'Impact Indicator Target Update'!D92))</f>
        <v/>
      </c>
    </row>
    <row r="5814" spans="10:10" x14ac:dyDescent="0.35">
      <c r="J5814" s="496" t="str">
        <f ca="1">IF(ROW()&gt;'Impact Indicator Target Update'!A93,"",INDIRECT("'Impact Indicators - Section B'!A"&amp;'Impact Indicator Target Update'!D93))</f>
        <v/>
      </c>
    </row>
    <row r="5815" spans="10:10" x14ac:dyDescent="0.35">
      <c r="J5815" s="496" t="str">
        <f ca="1">IF(ROW()&gt;'Impact Indicator Target Update'!A94,"",INDIRECT("'Impact Indicators - Section B'!A"&amp;'Impact Indicator Target Update'!D94))</f>
        <v/>
      </c>
    </row>
    <row r="5816" spans="10:10" x14ac:dyDescent="0.35">
      <c r="J5816" s="496" t="str">
        <f ca="1">IF(ROW()&gt;'Impact Indicator Target Update'!A95,"",INDIRECT("'Impact Indicators - Section B'!A"&amp;'Impact Indicator Target Update'!D95))</f>
        <v/>
      </c>
    </row>
    <row r="5817" spans="10:10" x14ac:dyDescent="0.35">
      <c r="J5817" s="496" t="str">
        <f ca="1">IF(ROW()&gt;'Impact Indicator Target Update'!A96,"",INDIRECT("'Impact Indicators - Section B'!A"&amp;'Impact Indicator Target Update'!D96))</f>
        <v/>
      </c>
    </row>
    <row r="5818" spans="10:10" x14ac:dyDescent="0.35">
      <c r="J5818" s="496" t="str">
        <f ca="1">IF(ROW()&gt;'Impact Indicator Target Update'!A97,"",INDIRECT("'Impact Indicators - Section B'!A"&amp;'Impact Indicator Target Update'!D97))</f>
        <v/>
      </c>
    </row>
    <row r="5819" spans="10:10" x14ac:dyDescent="0.35">
      <c r="J5819" s="496" t="str">
        <f ca="1">IF(ROW()&gt;'Impact Indicator Target Update'!A98,"",INDIRECT("'Impact Indicators - Section B'!A"&amp;'Impact Indicator Target Update'!D98))</f>
        <v/>
      </c>
    </row>
    <row r="5820" spans="10:10" x14ac:dyDescent="0.35">
      <c r="J5820" s="496" t="str">
        <f ca="1">IF(ROW()&gt;'Impact Indicator Target Update'!A99,"",INDIRECT("'Impact Indicators - Section B'!A"&amp;'Impact Indicator Target Update'!D99))</f>
        <v/>
      </c>
    </row>
    <row r="5821" spans="10:10" x14ac:dyDescent="0.35">
      <c r="J5821" s="496" t="str">
        <f ca="1">IF(ROW()&gt;'Impact Indicator Target Update'!A100,"",INDIRECT("'Impact Indicators - Section B'!A"&amp;'Impact Indicator Target Update'!D100))</f>
        <v/>
      </c>
    </row>
    <row r="5822" spans="10:10" x14ac:dyDescent="0.35">
      <c r="J5822" s="496" t="str">
        <f ca="1">IF(ROW()&gt;'Impact Indicator Target Update'!A101,"",INDIRECT("'Impact Indicators - Section B'!A"&amp;'Impact Indicator Target Update'!D101))</f>
        <v/>
      </c>
    </row>
    <row r="5823" spans="10:10" x14ac:dyDescent="0.35">
      <c r="J5823" s="496" t="str">
        <f ca="1">IF(ROW()&gt;'Impact Indicator Target Update'!A102,"",INDIRECT("'Impact Indicators - Section B'!A"&amp;'Impact Indicator Target Update'!D102))</f>
        <v/>
      </c>
    </row>
    <row r="5824" spans="10:10" x14ac:dyDescent="0.35">
      <c r="J5824" s="496" t="str">
        <f ca="1">IF(ROW()&gt;'Impact Indicator Target Update'!A103,"",INDIRECT("'Impact Indicators - Section B'!A"&amp;'Impact Indicator Target Update'!D103))</f>
        <v/>
      </c>
    </row>
    <row r="5825" spans="10:10" x14ac:dyDescent="0.35">
      <c r="J5825" s="496" t="str">
        <f ca="1">IF(ROW()&gt;'Impact Indicator Target Update'!A104,"",INDIRECT("'Impact Indicators - Section B'!A"&amp;'Impact Indicator Target Update'!D104))</f>
        <v/>
      </c>
    </row>
    <row r="5826" spans="10:10" x14ac:dyDescent="0.35">
      <c r="J5826" s="496" t="str">
        <f ca="1">IF(ROW()&gt;'Impact Indicator Target Update'!A105,"",INDIRECT("'Impact Indicators - Section B'!A"&amp;'Impact Indicator Target Update'!D105))</f>
        <v/>
      </c>
    </row>
    <row r="5827" spans="10:10" x14ac:dyDescent="0.35">
      <c r="J5827" s="496" t="str">
        <f ca="1">IF(ROW()&gt;'Impact Indicator Target Update'!A106,"",INDIRECT("'Impact Indicators - Section B'!A"&amp;'Impact Indicator Target Update'!D106))</f>
        <v/>
      </c>
    </row>
    <row r="5828" spans="10:10" x14ac:dyDescent="0.35">
      <c r="J5828" s="496" t="str">
        <f ca="1">IF(ROW()&gt;'Impact Indicator Target Update'!A107,"",INDIRECT("'Impact Indicators - Section B'!A"&amp;'Impact Indicator Target Update'!D107))</f>
        <v/>
      </c>
    </row>
    <row r="5829" spans="10:10" x14ac:dyDescent="0.35">
      <c r="J5829" s="496" t="str">
        <f ca="1">IF(ROW()&gt;'Impact Indicator Target Update'!A108,"",INDIRECT("'Impact Indicators - Section B'!A"&amp;'Impact Indicator Target Update'!D108))</f>
        <v/>
      </c>
    </row>
    <row r="5830" spans="10:10" x14ac:dyDescent="0.35">
      <c r="J5830" s="496" t="str">
        <f ca="1">IF(ROW()&gt;'Impact Indicator Target Update'!A109,"",INDIRECT("'Impact Indicators - Section B'!A"&amp;'Impact Indicator Target Update'!D109))</f>
        <v/>
      </c>
    </row>
    <row r="5831" spans="10:10" x14ac:dyDescent="0.35">
      <c r="J5831" s="496" t="str">
        <f ca="1">IF(ROW()&gt;'Impact Indicator Target Update'!A110,"",INDIRECT("'Impact Indicators - Section B'!A"&amp;'Impact Indicator Target Update'!D110))</f>
        <v/>
      </c>
    </row>
    <row r="5832" spans="10:10" x14ac:dyDescent="0.35">
      <c r="J5832" s="496" t="str">
        <f ca="1">IF(ROW()&gt;'Impact Indicator Target Update'!A111,"",INDIRECT("'Impact Indicators - Section B'!A"&amp;'Impact Indicator Target Update'!D111))</f>
        <v/>
      </c>
    </row>
    <row r="5833" spans="10:10" x14ac:dyDescent="0.35">
      <c r="J5833" s="496" t="str">
        <f ca="1">IF(ROW()&gt;'Impact Indicator Target Update'!A112,"",INDIRECT("'Impact Indicators - Section B'!A"&amp;'Impact Indicator Target Update'!D112))</f>
        <v/>
      </c>
    </row>
    <row r="5834" spans="10:10" x14ac:dyDescent="0.35">
      <c r="J5834" s="496" t="str">
        <f ca="1">IF(ROW()&gt;'Impact Indicator Target Update'!A113,"",INDIRECT("'Impact Indicators - Section B'!A"&amp;'Impact Indicator Target Update'!D113))</f>
        <v/>
      </c>
    </row>
    <row r="5835" spans="10:10" x14ac:dyDescent="0.35">
      <c r="J5835" s="496" t="str">
        <f ca="1">IF(ROW()&gt;'Impact Indicator Target Update'!A114,"",INDIRECT("'Impact Indicators - Section B'!A"&amp;'Impact Indicator Target Update'!D114))</f>
        <v/>
      </c>
    </row>
    <row r="5836" spans="10:10" x14ac:dyDescent="0.35">
      <c r="J5836" s="496" t="str">
        <f ca="1">IF(ROW()&gt;'Impact Indicator Target Update'!A115,"",INDIRECT("'Impact Indicators - Section B'!A"&amp;'Impact Indicator Target Update'!D115))</f>
        <v/>
      </c>
    </row>
    <row r="5837" spans="10:10" x14ac:dyDescent="0.35">
      <c r="J5837" s="496" t="str">
        <f ca="1">IF(ROW()&gt;'Impact Indicator Target Update'!A116,"",INDIRECT("'Impact Indicators - Section B'!A"&amp;'Impact Indicator Target Update'!D116))</f>
        <v/>
      </c>
    </row>
    <row r="5838" spans="10:10" x14ac:dyDescent="0.35">
      <c r="J5838" s="496" t="str">
        <f ca="1">IF(ROW()&gt;'Impact Indicator Target Update'!A117,"",INDIRECT("'Impact Indicators - Section B'!A"&amp;'Impact Indicator Target Update'!D117))</f>
        <v/>
      </c>
    </row>
    <row r="5839" spans="10:10" x14ac:dyDescent="0.35">
      <c r="J5839" s="496" t="str">
        <f ca="1">IF(ROW()&gt;'Impact Indicator Target Update'!A118,"",INDIRECT("'Impact Indicators - Section B'!A"&amp;'Impact Indicator Target Update'!D118))</f>
        <v/>
      </c>
    </row>
    <row r="5840" spans="10:10" x14ac:dyDescent="0.35">
      <c r="J5840" s="496" t="str">
        <f ca="1">IF(ROW()&gt;'Impact Indicator Target Update'!A119,"",INDIRECT("'Impact Indicators - Section B'!A"&amp;'Impact Indicator Target Update'!D119))</f>
        <v/>
      </c>
    </row>
    <row r="5841" spans="10:10" x14ac:dyDescent="0.35">
      <c r="J5841" s="496" t="str">
        <f ca="1">IF(ROW()&gt;'Impact Indicator Target Update'!A120,"",INDIRECT("'Impact Indicators - Section B'!A"&amp;'Impact Indicator Target Update'!D120))</f>
        <v/>
      </c>
    </row>
    <row r="5842" spans="10:10" x14ac:dyDescent="0.35">
      <c r="J5842" s="496" t="str">
        <f ca="1">IF(ROW()&gt;'Impact Indicator Target Update'!A121,"",INDIRECT("'Impact Indicators - Section B'!A"&amp;'Impact Indicator Target Update'!D121))</f>
        <v/>
      </c>
    </row>
    <row r="5843" spans="10:10" x14ac:dyDescent="0.35">
      <c r="J5843" s="496" t="str">
        <f ca="1">IF(ROW()&gt;'Impact Indicator Target Update'!A122,"",INDIRECT("'Impact Indicators - Section B'!A"&amp;'Impact Indicator Target Update'!D122))</f>
        <v/>
      </c>
    </row>
    <row r="5844" spans="10:10" x14ac:dyDescent="0.35">
      <c r="J5844" s="496" t="str">
        <f ca="1">IF(ROW()&gt;'Impact Indicator Target Update'!A123,"",INDIRECT("'Impact Indicators - Section B'!A"&amp;'Impact Indicator Target Update'!D123))</f>
        <v/>
      </c>
    </row>
    <row r="5845" spans="10:10" x14ac:dyDescent="0.35">
      <c r="J5845" s="496" t="str">
        <f ca="1">IF(ROW()&gt;'Impact Indicator Target Update'!A124,"",INDIRECT("'Impact Indicators - Section B'!A"&amp;'Impact Indicator Target Update'!D124))</f>
        <v/>
      </c>
    </row>
    <row r="5846" spans="10:10" x14ac:dyDescent="0.35">
      <c r="J5846" s="496" t="str">
        <f ca="1">IF(ROW()&gt;'Impact Indicator Target Update'!A125,"",INDIRECT("'Impact Indicators - Section B'!A"&amp;'Impact Indicator Target Update'!D125))</f>
        <v/>
      </c>
    </row>
    <row r="5847" spans="10:10" x14ac:dyDescent="0.35">
      <c r="J5847" s="496" t="str">
        <f ca="1">IF(ROW()&gt;'Impact Indicator Target Update'!A126,"",INDIRECT("'Impact Indicators - Section B'!A"&amp;'Impact Indicator Target Update'!D126))</f>
        <v/>
      </c>
    </row>
    <row r="5848" spans="10:10" x14ac:dyDescent="0.35">
      <c r="J5848" s="496" t="str">
        <f ca="1">IF(ROW()&gt;'Impact Indicator Target Update'!A127,"",INDIRECT("'Impact Indicators - Section B'!A"&amp;'Impact Indicator Target Update'!D127))</f>
        <v/>
      </c>
    </row>
    <row r="5849" spans="10:10" x14ac:dyDescent="0.35">
      <c r="J5849" s="496" t="str">
        <f ca="1">IF(ROW()&gt;'Impact Indicator Target Update'!A128,"",INDIRECT("'Impact Indicators - Section B'!A"&amp;'Impact Indicator Target Update'!D128))</f>
        <v/>
      </c>
    </row>
    <row r="5850" spans="10:10" x14ac:dyDescent="0.35">
      <c r="J5850" s="496" t="str">
        <f ca="1">IF(ROW()&gt;'Impact Indicator Target Update'!A129,"",INDIRECT("'Impact Indicators - Section B'!A"&amp;'Impact Indicator Target Update'!D129))</f>
        <v/>
      </c>
    </row>
    <row r="5851" spans="10:10" x14ac:dyDescent="0.35">
      <c r="J5851" s="496" t="str">
        <f ca="1">IF(ROW()&gt;'Impact Indicator Target Update'!A130,"",INDIRECT("'Impact Indicators - Section B'!A"&amp;'Impact Indicator Target Update'!D130))</f>
        <v/>
      </c>
    </row>
    <row r="5852" spans="10:10" x14ac:dyDescent="0.35">
      <c r="J5852" s="496" t="str">
        <f ca="1">IF(ROW()&gt;'Impact Indicator Target Update'!A131,"",INDIRECT("'Impact Indicators - Section B'!A"&amp;'Impact Indicator Target Update'!D131))</f>
        <v/>
      </c>
    </row>
    <row r="5853" spans="10:10" x14ac:dyDescent="0.35">
      <c r="J5853" s="496" t="str">
        <f ca="1">IF(ROW()&gt;'Impact Indicator Target Update'!A132,"",INDIRECT("'Impact Indicators - Section B'!A"&amp;'Impact Indicator Target Update'!D132))</f>
        <v/>
      </c>
    </row>
    <row r="5854" spans="10:10" x14ac:dyDescent="0.35">
      <c r="J5854" s="496" t="str">
        <f ca="1">IF(ROW()&gt;'Impact Indicator Target Update'!A133,"",INDIRECT("'Impact Indicators - Section B'!A"&amp;'Impact Indicator Target Update'!D133))</f>
        <v/>
      </c>
    </row>
    <row r="5855" spans="10:10" x14ac:dyDescent="0.35">
      <c r="J5855" s="496" t="str">
        <f ca="1">IF(ROW()&gt;'Impact Indicator Target Update'!A134,"",INDIRECT("'Impact Indicators - Section B'!A"&amp;'Impact Indicator Target Update'!D134))</f>
        <v/>
      </c>
    </row>
    <row r="5856" spans="10:10" x14ac:dyDescent="0.35">
      <c r="J5856" s="496" t="str">
        <f ca="1">IF(ROW()&gt;'Impact Indicator Target Update'!A135,"",INDIRECT("'Impact Indicators - Section B'!A"&amp;'Impact Indicator Target Update'!D135))</f>
        <v/>
      </c>
    </row>
    <row r="5857" spans="10:10" x14ac:dyDescent="0.35">
      <c r="J5857" s="496" t="str">
        <f ca="1">IF(ROW()&gt;'Impact Indicator Target Update'!A136,"",INDIRECT("'Impact Indicators - Section B'!A"&amp;'Impact Indicator Target Update'!D136))</f>
        <v/>
      </c>
    </row>
    <row r="5858" spans="10:10" x14ac:dyDescent="0.35">
      <c r="J5858" s="496" t="str">
        <f ca="1">IF(ROW()&gt;'Impact Indicator Target Update'!A137,"",INDIRECT("'Impact Indicators - Section B'!A"&amp;'Impact Indicator Target Update'!D137))</f>
        <v/>
      </c>
    </row>
    <row r="5859" spans="10:10" x14ac:dyDescent="0.35">
      <c r="J5859" s="496" t="str">
        <f ca="1">IF(ROW()&gt;'Impact Indicator Target Update'!A138,"",INDIRECT("'Impact Indicators - Section B'!A"&amp;'Impact Indicator Target Update'!D138))</f>
        <v/>
      </c>
    </row>
    <row r="5860" spans="10:10" x14ac:dyDescent="0.35">
      <c r="J5860" s="496" t="str">
        <f ca="1">IF(ROW()&gt;'Impact Indicator Target Update'!A139,"",INDIRECT("'Impact Indicators - Section B'!A"&amp;'Impact Indicator Target Update'!D139))</f>
        <v/>
      </c>
    </row>
    <row r="5861" spans="10:10" x14ac:dyDescent="0.35">
      <c r="J5861" s="496" t="str">
        <f ca="1">IF(ROW()&gt;'Impact Indicator Target Update'!A140,"",INDIRECT("'Impact Indicators - Section B'!A"&amp;'Impact Indicator Target Update'!D140))</f>
        <v/>
      </c>
    </row>
    <row r="5862" spans="10:10" x14ac:dyDescent="0.35">
      <c r="J5862" s="496" t="str">
        <f ca="1">IF(ROW()&gt;'Impact Indicator Target Update'!A141,"",INDIRECT("'Impact Indicators - Section B'!A"&amp;'Impact Indicator Target Update'!D141))</f>
        <v/>
      </c>
    </row>
    <row r="5863" spans="10:10" x14ac:dyDescent="0.35">
      <c r="J5863" s="496" t="str">
        <f ca="1">IF(ROW()&gt;'Impact Indicator Target Update'!A142,"",INDIRECT("'Impact Indicators - Section B'!A"&amp;'Impact Indicator Target Update'!D142))</f>
        <v/>
      </c>
    </row>
    <row r="5864" spans="10:10" x14ac:dyDescent="0.35">
      <c r="J5864" s="496" t="str">
        <f ca="1">IF(ROW()&gt;'Impact Indicator Target Update'!A143,"",INDIRECT("'Impact Indicators - Section B'!A"&amp;'Impact Indicator Target Update'!D143))</f>
        <v/>
      </c>
    </row>
    <row r="5865" spans="10:10" x14ac:dyDescent="0.35">
      <c r="J5865" s="496" t="str">
        <f ca="1">IF(ROW()&gt;'Impact Indicator Target Update'!A144,"",INDIRECT("'Impact Indicators - Section B'!A"&amp;'Impact Indicator Target Update'!D144))</f>
        <v/>
      </c>
    </row>
    <row r="5866" spans="10:10" x14ac:dyDescent="0.35">
      <c r="J5866" s="496" t="str">
        <f ca="1">IF(ROW()&gt;'Impact Indicator Target Update'!A145,"",INDIRECT("'Impact Indicators - Section B'!A"&amp;'Impact Indicator Target Update'!D145))</f>
        <v/>
      </c>
    </row>
    <row r="5867" spans="10:10" x14ac:dyDescent="0.35">
      <c r="J5867" s="496" t="str">
        <f ca="1">IF(ROW()&gt;'Impact Indicator Target Update'!A146,"",INDIRECT("'Impact Indicators - Section B'!A"&amp;'Impact Indicator Target Update'!D146))</f>
        <v/>
      </c>
    </row>
    <row r="5868" spans="10:10" x14ac:dyDescent="0.35">
      <c r="J5868" s="496" t="str">
        <f ca="1">IF(ROW()&gt;'Impact Indicator Target Update'!A147,"",INDIRECT("'Impact Indicators - Section B'!A"&amp;'Impact Indicator Target Update'!D147))</f>
        <v/>
      </c>
    </row>
    <row r="5869" spans="10:10" x14ac:dyDescent="0.35">
      <c r="J5869" s="496" t="str">
        <f ca="1">IF(ROW()&gt;'Impact Indicator Target Update'!A148,"",INDIRECT("'Impact Indicators - Section B'!A"&amp;'Impact Indicator Target Update'!D148))</f>
        <v/>
      </c>
    </row>
    <row r="5870" spans="10:10" x14ac:dyDescent="0.35">
      <c r="J5870" s="496" t="str">
        <f ca="1">IF(ROW()&gt;'Impact Indicator Target Update'!A149,"",INDIRECT("'Impact Indicators - Section B'!A"&amp;'Impact Indicator Target Update'!D149))</f>
        <v/>
      </c>
    </row>
    <row r="5871" spans="10:10" x14ac:dyDescent="0.35">
      <c r="J5871" s="496" t="str">
        <f ca="1">IF(ROW()&gt;'Impact Indicator Target Update'!A150,"",INDIRECT("'Impact Indicators - Section B'!A"&amp;'Impact Indicator Target Update'!D150))</f>
        <v/>
      </c>
    </row>
    <row r="5872" spans="10:10" x14ac:dyDescent="0.35">
      <c r="J5872" s="496" t="str">
        <f ca="1">IF(ROW()&gt;'Impact Indicator Target Update'!A151,"",INDIRECT("'Impact Indicators - Section B'!A"&amp;'Impact Indicator Target Update'!D151))</f>
        <v/>
      </c>
    </row>
    <row r="5873" spans="10:10" x14ac:dyDescent="0.35">
      <c r="J5873" s="496" t="str">
        <f ca="1">IF(ROW()&gt;'Impact Indicator Target Update'!A152,"",INDIRECT("'Impact Indicators - Section B'!A"&amp;'Impact Indicator Target Update'!D152))</f>
        <v/>
      </c>
    </row>
    <row r="5874" spans="10:10" x14ac:dyDescent="0.35">
      <c r="J5874" s="496" t="str">
        <f ca="1">IF(ROW()&gt;'Impact Indicator Target Update'!A153,"",INDIRECT("'Impact Indicators - Section B'!A"&amp;'Impact Indicator Target Update'!D153))</f>
        <v/>
      </c>
    </row>
    <row r="5875" spans="10:10" x14ac:dyDescent="0.35">
      <c r="J5875" s="496" t="str">
        <f ca="1">IF(ROW()&gt;'Impact Indicator Target Update'!A154,"",INDIRECT("'Impact Indicators - Section B'!A"&amp;'Impact Indicator Target Update'!D154))</f>
        <v/>
      </c>
    </row>
    <row r="5876" spans="10:10" x14ac:dyDescent="0.35">
      <c r="J5876" s="496" t="str">
        <f ca="1">IF(ROW()&gt;'Impact Indicator Target Update'!A155,"",INDIRECT("'Impact Indicators - Section B'!A"&amp;'Impact Indicator Target Update'!D155))</f>
        <v/>
      </c>
    </row>
    <row r="5877" spans="10:10" x14ac:dyDescent="0.35">
      <c r="J5877" s="496" t="str">
        <f ca="1">IF(ROW()&gt;'Impact Indicator Target Update'!A156,"",INDIRECT("'Impact Indicators - Section B'!A"&amp;'Impact Indicator Target Update'!D156))</f>
        <v/>
      </c>
    </row>
    <row r="5878" spans="10:10" x14ac:dyDescent="0.35">
      <c r="J5878" s="496" t="str">
        <f ca="1">IF(ROW()&gt;'Impact Indicator Target Update'!A157,"",INDIRECT("'Impact Indicators - Section B'!A"&amp;'Impact Indicator Target Update'!D157))</f>
        <v/>
      </c>
    </row>
    <row r="5879" spans="10:10" x14ac:dyDescent="0.35">
      <c r="J5879" s="496" t="str">
        <f ca="1">IF(ROW()&gt;'Impact Indicator Target Update'!A158,"",INDIRECT("'Impact Indicators - Section B'!A"&amp;'Impact Indicator Target Update'!D158))</f>
        <v/>
      </c>
    </row>
    <row r="5880" spans="10:10" x14ac:dyDescent="0.35">
      <c r="J5880" s="496" t="str">
        <f ca="1">IF(ROW()&gt;'Impact Indicator Target Update'!A159,"",INDIRECT("'Impact Indicators - Section B'!A"&amp;'Impact Indicator Target Update'!D159))</f>
        <v/>
      </c>
    </row>
    <row r="5881" spans="10:10" x14ac:dyDescent="0.35">
      <c r="J5881" s="496" t="str">
        <f ca="1">IF(ROW()&gt;'Impact Indicator Target Update'!A160,"",INDIRECT("'Impact Indicators - Section B'!A"&amp;'Impact Indicator Target Update'!D160))</f>
        <v/>
      </c>
    </row>
    <row r="5882" spans="10:10" x14ac:dyDescent="0.35">
      <c r="J5882" s="496" t="str">
        <f ca="1">IF(ROW()&gt;'Impact Indicator Target Update'!A161,"",INDIRECT("'Impact Indicators - Section B'!A"&amp;'Impact Indicator Target Update'!D161))</f>
        <v/>
      </c>
    </row>
    <row r="5883" spans="10:10" x14ac:dyDescent="0.35">
      <c r="J5883" s="496" t="str">
        <f ca="1">IF(ROW()&gt;'Impact Indicator Target Update'!A162,"",INDIRECT("'Impact Indicators - Section B'!A"&amp;'Impact Indicator Target Update'!D162))</f>
        <v/>
      </c>
    </row>
    <row r="5884" spans="10:10" x14ac:dyDescent="0.35">
      <c r="J5884" s="496" t="str">
        <f ca="1">IF(ROW()&gt;'Impact Indicator Target Update'!A163,"",INDIRECT("'Impact Indicators - Section B'!A"&amp;'Impact Indicator Target Update'!D163))</f>
        <v/>
      </c>
    </row>
    <row r="5885" spans="10:10" x14ac:dyDescent="0.35">
      <c r="J5885" s="496" t="str">
        <f ca="1">IF(ROW()&gt;'Impact Indicator Target Update'!A164,"",INDIRECT("'Impact Indicators - Section B'!A"&amp;'Impact Indicator Target Update'!D164))</f>
        <v/>
      </c>
    </row>
    <row r="5886" spans="10:10" x14ac:dyDescent="0.35">
      <c r="J5886" s="496" t="str">
        <f ca="1">IF(ROW()&gt;'Impact Indicator Target Update'!A165,"",INDIRECT("'Impact Indicators - Section B'!A"&amp;'Impact Indicator Target Update'!D165))</f>
        <v/>
      </c>
    </row>
    <row r="5887" spans="10:10" x14ac:dyDescent="0.35">
      <c r="J5887" s="496" t="str">
        <f ca="1">IF(ROW()&gt;'Impact Indicator Target Update'!A166,"",INDIRECT("'Impact Indicators - Section B'!A"&amp;'Impact Indicator Target Update'!D166))</f>
        <v/>
      </c>
    </row>
    <row r="5888" spans="10:10" x14ac:dyDescent="0.35">
      <c r="J5888" s="496" t="str">
        <f ca="1">IF(ROW()&gt;'Impact Indicator Target Update'!A167,"",INDIRECT("'Impact Indicators - Section B'!A"&amp;'Impact Indicator Target Update'!D167))</f>
        <v/>
      </c>
    </row>
    <row r="5889" spans="10:10" x14ac:dyDescent="0.35">
      <c r="J5889" s="496" t="str">
        <f ca="1">IF(ROW()&gt;'Impact Indicator Target Update'!A168,"",INDIRECT("'Impact Indicators - Section B'!A"&amp;'Impact Indicator Target Update'!D168))</f>
        <v/>
      </c>
    </row>
    <row r="5890" spans="10:10" x14ac:dyDescent="0.35">
      <c r="J5890" s="496" t="str">
        <f ca="1">IF(ROW()&gt;'Impact Indicator Target Update'!A169,"",INDIRECT("'Impact Indicators - Section B'!A"&amp;'Impact Indicator Target Update'!D169))</f>
        <v/>
      </c>
    </row>
    <row r="5891" spans="10:10" x14ac:dyDescent="0.35">
      <c r="J5891" s="496" t="str">
        <f ca="1">IF(ROW()&gt;'Impact Indicator Target Update'!A170,"",INDIRECT("'Impact Indicators - Section B'!A"&amp;'Impact Indicator Target Update'!D170))</f>
        <v/>
      </c>
    </row>
    <row r="5892" spans="10:10" x14ac:dyDescent="0.35">
      <c r="J5892" s="496" t="str">
        <f ca="1">IF(ROW()&gt;'Impact Indicator Target Update'!A171,"",INDIRECT("'Impact Indicators - Section B'!A"&amp;'Impact Indicator Target Update'!D171))</f>
        <v/>
      </c>
    </row>
    <row r="5893" spans="10:10" x14ac:dyDescent="0.35">
      <c r="J5893" s="496" t="str">
        <f ca="1">IF(ROW()&gt;'Impact Indicator Target Update'!A172,"",INDIRECT("'Impact Indicators - Section B'!A"&amp;'Impact Indicator Target Update'!D172))</f>
        <v/>
      </c>
    </row>
    <row r="5894" spans="10:10" x14ac:dyDescent="0.35">
      <c r="J5894" s="496" t="str">
        <f ca="1">IF(ROW()&gt;'Impact Indicator Target Update'!A173,"",INDIRECT("'Impact Indicators - Section B'!A"&amp;'Impact Indicator Target Update'!D173))</f>
        <v/>
      </c>
    </row>
    <row r="5895" spans="10:10" x14ac:dyDescent="0.35">
      <c r="J5895" s="496" t="str">
        <f ca="1">IF(ROW()&gt;'Impact Indicator Target Update'!A174,"",INDIRECT("'Impact Indicators - Section B'!A"&amp;'Impact Indicator Target Update'!D174))</f>
        <v/>
      </c>
    </row>
    <row r="5896" spans="10:10" x14ac:dyDescent="0.35">
      <c r="J5896" s="496" t="str">
        <f ca="1">IF(ROW()&gt;'Impact Indicator Target Update'!A175,"",INDIRECT("'Impact Indicators - Section B'!A"&amp;'Impact Indicator Target Update'!D175))</f>
        <v/>
      </c>
    </row>
    <row r="5897" spans="10:10" x14ac:dyDescent="0.35">
      <c r="J5897" s="496" t="str">
        <f ca="1">IF(ROW()&gt;'Impact Indicator Target Update'!A176,"",INDIRECT("'Impact Indicators - Section B'!A"&amp;'Impact Indicator Target Update'!D176))</f>
        <v/>
      </c>
    </row>
    <row r="5898" spans="10:10" x14ac:dyDescent="0.35">
      <c r="J5898" s="496" t="str">
        <f ca="1">IF(ROW()&gt;'Impact Indicator Target Update'!A177,"",INDIRECT("'Impact Indicators - Section B'!A"&amp;'Impact Indicator Target Update'!D177))</f>
        <v/>
      </c>
    </row>
    <row r="5899" spans="10:10" x14ac:dyDescent="0.35">
      <c r="J5899" s="496" t="str">
        <f ca="1">IF(ROW()&gt;'Impact Indicator Target Update'!A178,"",INDIRECT("'Impact Indicators - Section B'!A"&amp;'Impact Indicator Target Update'!D178))</f>
        <v/>
      </c>
    </row>
    <row r="5900" spans="10:10" x14ac:dyDescent="0.35">
      <c r="J5900" s="496" t="str">
        <f ca="1">IF(ROW()&gt;'Impact Indicator Target Update'!A179,"",INDIRECT("'Impact Indicators - Section B'!A"&amp;'Impact Indicator Target Update'!D179))</f>
        <v/>
      </c>
    </row>
    <row r="5901" spans="10:10" x14ac:dyDescent="0.35">
      <c r="J5901" s="496" t="str">
        <f ca="1">IF(ROW()&gt;'Impact Indicator Target Update'!A180,"",INDIRECT("'Impact Indicators - Section B'!A"&amp;'Impact Indicator Target Update'!D180))</f>
        <v/>
      </c>
    </row>
    <row r="5902" spans="10:10" x14ac:dyDescent="0.35">
      <c r="J5902" s="496" t="str">
        <f ca="1">IF(ROW()&gt;'Impact Indicator Target Update'!A181,"",INDIRECT("'Impact Indicators - Section B'!A"&amp;'Impact Indicator Target Update'!D181))</f>
        <v/>
      </c>
    </row>
    <row r="5903" spans="10:10" x14ac:dyDescent="0.35">
      <c r="J5903" s="496" t="str">
        <f ca="1">IF(ROW()&gt;'Impact Indicator Target Update'!A182,"",INDIRECT("'Impact Indicators - Section B'!A"&amp;'Impact Indicator Target Update'!D182))</f>
        <v/>
      </c>
    </row>
    <row r="5904" spans="10:10" x14ac:dyDescent="0.35">
      <c r="J5904" s="496" t="str">
        <f ca="1">IF(ROW()&gt;'Impact Indicator Target Update'!A183,"",INDIRECT("'Impact Indicators - Section B'!A"&amp;'Impact Indicator Target Update'!D183))</f>
        <v/>
      </c>
    </row>
    <row r="5905" spans="10:10" x14ac:dyDescent="0.35">
      <c r="J5905" s="496" t="str">
        <f ca="1">IF(ROW()&gt;'Impact Indicator Target Update'!A184,"",INDIRECT("'Impact Indicators - Section B'!A"&amp;'Impact Indicator Target Update'!D184))</f>
        <v/>
      </c>
    </row>
    <row r="5906" spans="10:10" x14ac:dyDescent="0.35">
      <c r="J5906" s="496" t="str">
        <f ca="1">IF(ROW()&gt;'Impact Indicator Target Update'!A185,"",INDIRECT("'Impact Indicators - Section B'!A"&amp;'Impact Indicator Target Update'!D185))</f>
        <v/>
      </c>
    </row>
    <row r="5907" spans="10:10" x14ac:dyDescent="0.35">
      <c r="J5907" s="496" t="str">
        <f ca="1">IF(ROW()&gt;'Impact Indicator Target Update'!A186,"",INDIRECT("'Impact Indicators - Section B'!A"&amp;'Impact Indicator Target Update'!D186))</f>
        <v/>
      </c>
    </row>
    <row r="5908" spans="10:10" x14ac:dyDescent="0.35">
      <c r="J5908" s="496" t="str">
        <f ca="1">IF(ROW()&gt;'Impact Indicator Target Update'!A187,"",INDIRECT("'Impact Indicators - Section B'!A"&amp;'Impact Indicator Target Update'!D187))</f>
        <v/>
      </c>
    </row>
    <row r="5909" spans="10:10" x14ac:dyDescent="0.35">
      <c r="J5909" s="496" t="str">
        <f ca="1">IF(ROW()&gt;'Impact Indicator Target Update'!A188,"",INDIRECT("'Impact Indicators - Section B'!A"&amp;'Impact Indicator Target Update'!D188))</f>
        <v/>
      </c>
    </row>
    <row r="5910" spans="10:10" x14ac:dyDescent="0.35">
      <c r="J5910" s="496" t="str">
        <f ca="1">IF(ROW()&gt;'Impact Indicator Target Update'!A189,"",INDIRECT("'Impact Indicators - Section B'!A"&amp;'Impact Indicator Target Update'!D189))</f>
        <v/>
      </c>
    </row>
    <row r="5911" spans="10:10" x14ac:dyDescent="0.35">
      <c r="J5911" s="496" t="str">
        <f ca="1">IF(ROW()&gt;'Impact Indicator Target Update'!A190,"",INDIRECT("'Impact Indicators - Section B'!A"&amp;'Impact Indicator Target Update'!D190))</f>
        <v/>
      </c>
    </row>
    <row r="5912" spans="10:10" x14ac:dyDescent="0.35">
      <c r="J5912" s="496" t="str">
        <f ca="1">IF(ROW()&gt;'Impact Indicator Target Update'!A191,"",INDIRECT("'Impact Indicators - Section B'!A"&amp;'Impact Indicator Target Update'!D191))</f>
        <v/>
      </c>
    </row>
    <row r="5913" spans="10:10" x14ac:dyDescent="0.35">
      <c r="J5913" s="496" t="str">
        <f ca="1">IF(ROW()&gt;'Impact Indicator Target Update'!A192,"",INDIRECT("'Impact Indicators - Section B'!A"&amp;'Impact Indicator Target Update'!D192))</f>
        <v/>
      </c>
    </row>
    <row r="5914" spans="10:10" x14ac:dyDescent="0.35">
      <c r="J5914" s="496" t="str">
        <f ca="1">IF(ROW()&gt;'Impact Indicator Target Update'!A193,"",INDIRECT("'Impact Indicators - Section B'!A"&amp;'Impact Indicator Target Update'!D193))</f>
        <v/>
      </c>
    </row>
    <row r="5915" spans="10:10" x14ac:dyDescent="0.35">
      <c r="J5915" s="496" t="str">
        <f ca="1">IF(ROW()&gt;'Impact Indicator Target Update'!A194,"",INDIRECT("'Impact Indicators - Section B'!A"&amp;'Impact Indicator Target Update'!D194))</f>
        <v/>
      </c>
    </row>
    <row r="5916" spans="10:10" x14ac:dyDescent="0.35">
      <c r="J5916" s="496" t="str">
        <f ca="1">IF(ROW()&gt;'Impact Indicator Target Update'!A195,"",INDIRECT("'Impact Indicators - Section B'!A"&amp;'Impact Indicator Target Update'!D195))</f>
        <v/>
      </c>
    </row>
    <row r="5917" spans="10:10" x14ac:dyDescent="0.35">
      <c r="J5917" s="496" t="str">
        <f ca="1">IF(ROW()&gt;'Impact Indicator Target Update'!A196,"",INDIRECT("'Impact Indicators - Section B'!A"&amp;'Impact Indicator Target Update'!D196))</f>
        <v/>
      </c>
    </row>
    <row r="5918" spans="10:10" x14ac:dyDescent="0.35">
      <c r="J5918" s="496" t="str">
        <f ca="1">IF(ROW()&gt;'Impact Indicator Target Update'!A197,"",INDIRECT("'Impact Indicators - Section B'!A"&amp;'Impact Indicator Target Update'!D197))</f>
        <v/>
      </c>
    </row>
    <row r="5919" spans="10:10" x14ac:dyDescent="0.35">
      <c r="J5919" s="496" t="str">
        <f ca="1">IF(ROW()&gt;'Impact Indicator Target Update'!A198,"",INDIRECT("'Impact Indicators - Section B'!A"&amp;'Impact Indicator Target Update'!D198))</f>
        <v/>
      </c>
    </row>
    <row r="5920" spans="10:10" x14ac:dyDescent="0.35">
      <c r="J5920" s="496" t="str">
        <f ca="1">IF(ROW()&gt;'Impact Indicator Target Update'!A199,"",INDIRECT("'Impact Indicators - Section B'!A"&amp;'Impact Indicator Target Update'!D199))</f>
        <v/>
      </c>
    </row>
    <row r="5921" spans="10:10" x14ac:dyDescent="0.35">
      <c r="J5921" s="496" t="str">
        <f ca="1">IF(ROW()&gt;'Impact Indicator Target Update'!A200,"",INDIRECT("'Impact Indicators - Section B'!A"&amp;'Impact Indicator Target Update'!D200))</f>
        <v/>
      </c>
    </row>
    <row r="5922" spans="10:10" x14ac:dyDescent="0.35">
      <c r="J5922" s="496" t="str">
        <f ca="1">IF(ROW()&gt;'Impact Indicator Target Update'!A201,"",INDIRECT("'Impact Indicators - Section B'!A"&amp;'Impact Indicator Target Update'!D201))</f>
        <v/>
      </c>
    </row>
    <row r="5923" spans="10:10" x14ac:dyDescent="0.35">
      <c r="J5923" s="496" t="str">
        <f ca="1">IF(ROW()&gt;'Impact Indicator Target Update'!A202,"",INDIRECT("'Impact Indicators - Section B'!A"&amp;'Impact Indicator Target Update'!D202))</f>
        <v/>
      </c>
    </row>
    <row r="5924" spans="10:10" x14ac:dyDescent="0.35">
      <c r="J5924" s="496" t="str">
        <f ca="1">IF(ROW()&gt;'Impact Indicator Target Update'!A203,"",INDIRECT("'Impact Indicators - Section B'!A"&amp;'Impact Indicator Target Update'!D203))</f>
        <v/>
      </c>
    </row>
    <row r="5925" spans="10:10" x14ac:dyDescent="0.35">
      <c r="J5925" s="496" t="str">
        <f ca="1">IF(ROW()&gt;'Impact Indicator Target Update'!A204,"",INDIRECT("'Impact Indicators - Section B'!A"&amp;'Impact Indicator Target Update'!D204))</f>
        <v/>
      </c>
    </row>
    <row r="5926" spans="10:10" x14ac:dyDescent="0.35">
      <c r="J5926" s="496" t="str">
        <f ca="1">IF(ROW()&gt;'Impact Indicator Target Update'!A205,"",INDIRECT("'Impact Indicators - Section B'!A"&amp;'Impact Indicator Target Update'!D205))</f>
        <v/>
      </c>
    </row>
    <row r="5927" spans="10:10" x14ac:dyDescent="0.35">
      <c r="J5927" s="496" t="str">
        <f ca="1">IF(ROW()&gt;'Impact Indicator Target Update'!A206,"",INDIRECT("'Impact Indicators - Section B'!A"&amp;'Impact Indicator Target Update'!D206))</f>
        <v/>
      </c>
    </row>
    <row r="5928" spans="10:10" x14ac:dyDescent="0.35">
      <c r="J5928" s="496" t="str">
        <f ca="1">IF(ROW()&gt;'Impact Indicator Target Update'!A207,"",INDIRECT("'Impact Indicators - Section B'!A"&amp;'Impact Indicator Target Update'!D207))</f>
        <v/>
      </c>
    </row>
    <row r="5929" spans="10:10" x14ac:dyDescent="0.35">
      <c r="J5929" s="496" t="str">
        <f ca="1">IF(ROW()&gt;'Impact Indicator Target Update'!A208,"",INDIRECT("'Impact Indicators - Section B'!A"&amp;'Impact Indicator Target Update'!D208))</f>
        <v/>
      </c>
    </row>
    <row r="5930" spans="10:10" x14ac:dyDescent="0.35">
      <c r="J5930" s="496" t="str">
        <f ca="1">IF(ROW()&gt;'Impact Indicator Target Update'!A209,"",INDIRECT("'Impact Indicators - Section B'!A"&amp;'Impact Indicator Target Update'!D209))</f>
        <v/>
      </c>
    </row>
    <row r="5931" spans="10:10" x14ac:dyDescent="0.35">
      <c r="J5931" s="496" t="str">
        <f ca="1">IF(ROW()&gt;'Impact Indicator Target Update'!A210,"",INDIRECT("'Impact Indicators - Section B'!A"&amp;'Impact Indicator Target Update'!D210))</f>
        <v/>
      </c>
    </row>
    <row r="5932" spans="10:10" x14ac:dyDescent="0.35">
      <c r="J5932" s="496" t="str">
        <f ca="1">IF(ROW()&gt;'Impact Indicator Target Update'!A211,"",INDIRECT("'Impact Indicators - Section B'!A"&amp;'Impact Indicator Target Update'!D211))</f>
        <v/>
      </c>
    </row>
    <row r="5933" spans="10:10" x14ac:dyDescent="0.35">
      <c r="J5933" s="496" t="str">
        <f ca="1">IF(ROW()&gt;'Impact Indicator Target Update'!A212,"",INDIRECT("'Impact Indicators - Section B'!A"&amp;'Impact Indicator Target Update'!D212))</f>
        <v/>
      </c>
    </row>
    <row r="5934" spans="10:10" x14ac:dyDescent="0.35">
      <c r="J5934" s="496" t="str">
        <f ca="1">IF(ROW()&gt;'Impact Indicator Target Update'!A213,"",INDIRECT("'Impact Indicators - Section B'!A"&amp;'Impact Indicator Target Update'!D213))</f>
        <v/>
      </c>
    </row>
    <row r="5935" spans="10:10" x14ac:dyDescent="0.35">
      <c r="J5935" s="496" t="str">
        <f ca="1">IF(ROW()&gt;'Impact Indicator Target Update'!A214,"",INDIRECT("'Impact Indicators - Section B'!A"&amp;'Impact Indicator Target Update'!D214))</f>
        <v/>
      </c>
    </row>
    <row r="5936" spans="10:10" x14ac:dyDescent="0.35">
      <c r="J5936" s="496" t="str">
        <f ca="1">IF(ROW()&gt;'Impact Indicator Target Update'!A215,"",INDIRECT("'Impact Indicators - Section B'!A"&amp;'Impact Indicator Target Update'!D215))</f>
        <v/>
      </c>
    </row>
    <row r="5937" spans="10:10" x14ac:dyDescent="0.35">
      <c r="J5937" s="496" t="str">
        <f ca="1">IF(ROW()&gt;'Impact Indicator Target Update'!A216,"",INDIRECT("'Impact Indicators - Section B'!A"&amp;'Impact Indicator Target Update'!D216))</f>
        <v/>
      </c>
    </row>
    <row r="5938" spans="10:10" x14ac:dyDescent="0.35">
      <c r="J5938" s="496" t="str">
        <f ca="1">IF(ROW()&gt;'Impact Indicator Target Update'!A217,"",INDIRECT("'Impact Indicators - Section B'!A"&amp;'Impact Indicator Target Update'!D217))</f>
        <v/>
      </c>
    </row>
    <row r="5939" spans="10:10" x14ac:dyDescent="0.35">
      <c r="J5939" s="496" t="str">
        <f ca="1">IF(ROW()&gt;'Impact Indicator Target Update'!A218,"",INDIRECT("'Impact Indicators - Section B'!A"&amp;'Impact Indicator Target Update'!D218))</f>
        <v/>
      </c>
    </row>
    <row r="5940" spans="10:10" x14ac:dyDescent="0.35">
      <c r="J5940" s="496" t="str">
        <f ca="1">IF(ROW()&gt;'Impact Indicator Target Update'!A219,"",INDIRECT("'Impact Indicators - Section B'!A"&amp;'Impact Indicator Target Update'!D219))</f>
        <v/>
      </c>
    </row>
    <row r="5941" spans="10:10" x14ac:dyDescent="0.35">
      <c r="J5941" s="496" t="str">
        <f ca="1">IF(ROW()&gt;'Impact Indicator Target Update'!A220,"",INDIRECT("'Impact Indicators - Section B'!A"&amp;'Impact Indicator Target Update'!D220))</f>
        <v/>
      </c>
    </row>
    <row r="5942" spans="10:10" x14ac:dyDescent="0.35">
      <c r="J5942" s="496" t="str">
        <f ca="1">IF(ROW()&gt;'Impact Indicator Target Update'!A221,"",INDIRECT("'Impact Indicators - Section B'!A"&amp;'Impact Indicator Target Update'!D221))</f>
        <v/>
      </c>
    </row>
    <row r="5943" spans="10:10" x14ac:dyDescent="0.35">
      <c r="J5943" s="496" t="str">
        <f ca="1">IF(ROW()&gt;'Impact Indicator Target Update'!A222,"",INDIRECT("'Impact Indicators - Section B'!A"&amp;'Impact Indicator Target Update'!D222))</f>
        <v/>
      </c>
    </row>
    <row r="5944" spans="10:10" x14ac:dyDescent="0.35">
      <c r="J5944" s="496" t="str">
        <f ca="1">IF(ROW()&gt;'Impact Indicator Target Update'!A223,"",INDIRECT("'Impact Indicators - Section B'!A"&amp;'Impact Indicator Target Update'!D223))</f>
        <v/>
      </c>
    </row>
    <row r="5945" spans="10:10" x14ac:dyDescent="0.35">
      <c r="J5945" s="496" t="str">
        <f ca="1">IF(ROW()&gt;'Impact Indicator Target Update'!A224,"",INDIRECT("'Impact Indicators - Section B'!A"&amp;'Impact Indicator Target Update'!D224))</f>
        <v/>
      </c>
    </row>
    <row r="5946" spans="10:10" x14ac:dyDescent="0.35">
      <c r="J5946" s="496" t="str">
        <f ca="1">IF(ROW()&gt;'Impact Indicator Target Update'!A225,"",INDIRECT("'Impact Indicators - Section B'!A"&amp;'Impact Indicator Target Update'!D225))</f>
        <v/>
      </c>
    </row>
    <row r="5947" spans="10:10" x14ac:dyDescent="0.35">
      <c r="J5947" s="496" t="str">
        <f ca="1">IF(ROW()&gt;'Impact Indicator Target Update'!A226,"",INDIRECT("'Impact Indicators - Section B'!A"&amp;'Impact Indicator Target Update'!D226))</f>
        <v/>
      </c>
    </row>
    <row r="5948" spans="10:10" x14ac:dyDescent="0.35">
      <c r="J5948" s="496" t="str">
        <f ca="1">IF(ROW()&gt;'Impact Indicator Target Update'!A227,"",INDIRECT("'Impact Indicators - Section B'!A"&amp;'Impact Indicator Target Update'!D227))</f>
        <v/>
      </c>
    </row>
    <row r="5949" spans="10:10" x14ac:dyDescent="0.35">
      <c r="J5949" s="496" t="str">
        <f ca="1">IF(ROW()&gt;'Impact Indicator Target Update'!A228,"",INDIRECT("'Impact Indicators - Section B'!A"&amp;'Impact Indicator Target Update'!D228))</f>
        <v/>
      </c>
    </row>
    <row r="5950" spans="10:10" x14ac:dyDescent="0.35">
      <c r="J5950" s="496" t="str">
        <f ca="1">IF(ROW()&gt;'Impact Indicator Target Update'!A229,"",INDIRECT("'Impact Indicators - Section B'!A"&amp;'Impact Indicator Target Update'!D229))</f>
        <v/>
      </c>
    </row>
    <row r="5951" spans="10:10" x14ac:dyDescent="0.35">
      <c r="J5951" s="496" t="str">
        <f ca="1">IF(ROW()&gt;'Impact Indicator Target Update'!A230,"",INDIRECT("'Impact Indicators - Section B'!A"&amp;'Impact Indicator Target Update'!D230))</f>
        <v/>
      </c>
    </row>
    <row r="5952" spans="10:10" x14ac:dyDescent="0.35">
      <c r="J5952" s="496" t="str">
        <f ca="1">IF(ROW()&gt;'Impact Indicator Target Update'!A231,"",INDIRECT("'Impact Indicators - Section B'!A"&amp;'Impact Indicator Target Update'!D231))</f>
        <v/>
      </c>
    </row>
    <row r="5953" spans="10:10" x14ac:dyDescent="0.35">
      <c r="J5953" s="496" t="str">
        <f ca="1">IF(ROW()&gt;'Impact Indicator Target Update'!A232,"",INDIRECT("'Impact Indicators - Section B'!A"&amp;'Impact Indicator Target Update'!D232))</f>
        <v/>
      </c>
    </row>
    <row r="5954" spans="10:10" x14ac:dyDescent="0.35">
      <c r="J5954" s="496" t="str">
        <f ca="1">IF(ROW()&gt;'Impact Indicator Target Update'!A233,"",INDIRECT("'Impact Indicators - Section B'!A"&amp;'Impact Indicator Target Update'!D233))</f>
        <v/>
      </c>
    </row>
    <row r="5955" spans="10:10" x14ac:dyDescent="0.35">
      <c r="J5955" s="496" t="str">
        <f ca="1">IF(ROW()&gt;'Impact Indicator Target Update'!A234,"",INDIRECT("'Impact Indicators - Section B'!A"&amp;'Impact Indicator Target Update'!D234))</f>
        <v/>
      </c>
    </row>
    <row r="5956" spans="10:10" x14ac:dyDescent="0.35">
      <c r="J5956" s="496" t="str">
        <f ca="1">IF(ROW()&gt;'Impact Indicator Target Update'!A235,"",INDIRECT("'Impact Indicators - Section B'!A"&amp;'Impact Indicator Target Update'!D235))</f>
        <v/>
      </c>
    </row>
    <row r="5957" spans="10:10" x14ac:dyDescent="0.35">
      <c r="J5957" s="496" t="str">
        <f ca="1">IF(ROW()&gt;'Impact Indicator Target Update'!A236,"",INDIRECT("'Impact Indicators - Section B'!A"&amp;'Impact Indicator Target Update'!D236))</f>
        <v/>
      </c>
    </row>
    <row r="5958" spans="10:10" x14ac:dyDescent="0.35">
      <c r="J5958" s="496" t="str">
        <f ca="1">IF(ROW()&gt;'Impact Indicator Target Update'!A237,"",INDIRECT("'Impact Indicators - Section B'!A"&amp;'Impact Indicator Target Update'!D237))</f>
        <v/>
      </c>
    </row>
    <row r="5959" spans="10:10" x14ac:dyDescent="0.35">
      <c r="J5959" s="496" t="str">
        <f ca="1">IF(ROW()&gt;'Impact Indicator Target Update'!A238,"",INDIRECT("'Impact Indicators - Section B'!A"&amp;'Impact Indicator Target Update'!D238))</f>
        <v/>
      </c>
    </row>
    <row r="5960" spans="10:10" x14ac:dyDescent="0.35">
      <c r="J5960" s="496" t="str">
        <f ca="1">IF(ROW()&gt;'Impact Indicator Target Update'!A239,"",INDIRECT("'Impact Indicators - Section B'!A"&amp;'Impact Indicator Target Update'!D239))</f>
        <v/>
      </c>
    </row>
    <row r="5961" spans="10:10" x14ac:dyDescent="0.35">
      <c r="J5961" s="496" t="str">
        <f ca="1">IF(ROW()&gt;'Impact Indicator Target Update'!A240,"",INDIRECT("'Impact Indicators - Section B'!A"&amp;'Impact Indicator Target Update'!D240))</f>
        <v/>
      </c>
    </row>
    <row r="5962" spans="10:10" x14ac:dyDescent="0.35">
      <c r="J5962" s="496" t="str">
        <f ca="1">IF(ROW()&gt;'Impact Indicator Target Update'!A241,"",INDIRECT("'Impact Indicators - Section B'!A"&amp;'Impact Indicator Target Update'!D241))</f>
        <v/>
      </c>
    </row>
    <row r="5963" spans="10:10" x14ac:dyDescent="0.35">
      <c r="J5963" s="496" t="str">
        <f ca="1">IF(ROW()&gt;'Impact Indicator Target Update'!A242,"",INDIRECT("'Impact Indicators - Section B'!A"&amp;'Impact Indicator Target Update'!D242))</f>
        <v/>
      </c>
    </row>
    <row r="5964" spans="10:10" x14ac:dyDescent="0.35">
      <c r="J5964" s="496" t="str">
        <f ca="1">IF(ROW()&gt;'Impact Indicator Target Update'!A243,"",INDIRECT("'Impact Indicators - Section B'!A"&amp;'Impact Indicator Target Update'!D243))</f>
        <v/>
      </c>
    </row>
    <row r="5965" spans="10:10" x14ac:dyDescent="0.35">
      <c r="J5965" s="496" t="str">
        <f ca="1">IF(ROW()&gt;'Impact Indicator Target Update'!A244,"",INDIRECT("'Impact Indicators - Section B'!A"&amp;'Impact Indicator Target Update'!D244))</f>
        <v/>
      </c>
    </row>
    <row r="5966" spans="10:10" x14ac:dyDescent="0.35">
      <c r="J5966" s="496" t="str">
        <f ca="1">IF(ROW()&gt;'Impact Indicator Target Update'!A245,"",INDIRECT("'Impact Indicators - Section B'!A"&amp;'Impact Indicator Target Update'!D245))</f>
        <v/>
      </c>
    </row>
    <row r="5967" spans="10:10" x14ac:dyDescent="0.35">
      <c r="J5967" s="496" t="str">
        <f ca="1">IF(ROW()&gt;'Impact Indicator Target Update'!A246,"",INDIRECT("'Impact Indicators - Section B'!A"&amp;'Impact Indicator Target Update'!D246))</f>
        <v/>
      </c>
    </row>
    <row r="5968" spans="10:10" x14ac:dyDescent="0.35">
      <c r="J5968" s="496" t="str">
        <f ca="1">IF(ROW()&gt;'Impact Indicator Target Update'!A247,"",INDIRECT("'Impact Indicators - Section B'!A"&amp;'Impact Indicator Target Update'!D247))</f>
        <v/>
      </c>
    </row>
    <row r="5969" spans="10:10" x14ac:dyDescent="0.35">
      <c r="J5969" s="496" t="str">
        <f ca="1">IF(ROW()&gt;'Impact Indicator Target Update'!A248,"",INDIRECT("'Impact Indicators - Section B'!A"&amp;'Impact Indicator Target Update'!D248))</f>
        <v/>
      </c>
    </row>
    <row r="5970" spans="10:10" x14ac:dyDescent="0.35">
      <c r="J5970" s="496" t="str">
        <f ca="1">IF(ROW()&gt;'Impact Indicator Target Update'!A249,"",INDIRECT("'Impact Indicators - Section B'!A"&amp;'Impact Indicator Target Update'!D249))</f>
        <v/>
      </c>
    </row>
    <row r="5971" spans="10:10" x14ac:dyDescent="0.35">
      <c r="J5971" s="496" t="str">
        <f ca="1">IF(ROW()&gt;'Impact Indicator Target Update'!A250,"",INDIRECT("'Impact Indicators - Section B'!A"&amp;'Impact Indicator Target Update'!D250))</f>
        <v/>
      </c>
    </row>
    <row r="5972" spans="10:10" x14ac:dyDescent="0.35">
      <c r="J5972" s="496" t="str">
        <f ca="1">IF(ROW()&gt;'Impact Indicator Target Update'!A251,"",INDIRECT("'Impact Indicators - Section B'!A"&amp;'Impact Indicator Target Update'!D251))</f>
        <v/>
      </c>
    </row>
    <row r="5973" spans="10:10" x14ac:dyDescent="0.35">
      <c r="J5973" s="496" t="str">
        <f ca="1">IF(ROW()&gt;'Impact Indicator Target Update'!A252,"",INDIRECT("'Impact Indicators - Section B'!A"&amp;'Impact Indicator Target Update'!D252))</f>
        <v/>
      </c>
    </row>
    <row r="5974" spans="10:10" x14ac:dyDescent="0.35">
      <c r="J5974" s="496" t="str">
        <f ca="1">IF(ROW()&gt;'Impact Indicator Target Update'!A253,"",INDIRECT("'Impact Indicators - Section B'!A"&amp;'Impact Indicator Target Update'!D253))</f>
        <v/>
      </c>
    </row>
    <row r="5975" spans="10:10" x14ac:dyDescent="0.35">
      <c r="J5975" s="496" t="str">
        <f ca="1">IF(ROW()&gt;'Impact Indicator Target Update'!A254,"",INDIRECT("'Impact Indicators - Section B'!A"&amp;'Impact Indicator Target Update'!D254))</f>
        <v/>
      </c>
    </row>
    <row r="5976" spans="10:10" x14ac:dyDescent="0.35">
      <c r="J5976" s="496" t="str">
        <f ca="1">IF(ROW()&gt;'Impact Indicator Target Update'!A255,"",INDIRECT("'Impact Indicators - Section B'!A"&amp;'Impact Indicator Target Update'!D255))</f>
        <v/>
      </c>
    </row>
    <row r="5977" spans="10:10" x14ac:dyDescent="0.35">
      <c r="J5977" s="496" t="str">
        <f ca="1">IF(ROW()&gt;'Impact Indicator Target Update'!A256,"",INDIRECT("'Impact Indicators - Section B'!A"&amp;'Impact Indicator Target Update'!D256))</f>
        <v/>
      </c>
    </row>
    <row r="5978" spans="10:10" x14ac:dyDescent="0.35">
      <c r="J5978" s="496" t="str">
        <f ca="1">IF(ROW()&gt;'Impact Indicator Target Update'!A257,"",INDIRECT("'Impact Indicators - Section B'!A"&amp;'Impact Indicator Target Update'!D257))</f>
        <v/>
      </c>
    </row>
    <row r="5979" spans="10:10" x14ac:dyDescent="0.35">
      <c r="J5979" s="496" t="str">
        <f ca="1">IF(ROW()&gt;'Impact Indicator Target Update'!A258,"",INDIRECT("'Impact Indicators - Section B'!A"&amp;'Impact Indicator Target Update'!D258))</f>
        <v/>
      </c>
    </row>
    <row r="5980" spans="10:10" x14ac:dyDescent="0.35">
      <c r="J5980" s="496" t="str">
        <f ca="1">IF(ROW()&gt;'Impact Indicator Target Update'!A259,"",INDIRECT("'Impact Indicators - Section B'!A"&amp;'Impact Indicator Target Update'!D259))</f>
        <v/>
      </c>
    </row>
    <row r="5981" spans="10:10" x14ac:dyDescent="0.35">
      <c r="J5981" s="496" t="str">
        <f ca="1">IF(ROW()&gt;'Impact Indicator Target Update'!A260,"",INDIRECT("'Impact Indicators - Section B'!A"&amp;'Impact Indicator Target Update'!D260))</f>
        <v/>
      </c>
    </row>
    <row r="5982" spans="10:10" x14ac:dyDescent="0.35">
      <c r="J5982" s="496" t="str">
        <f ca="1">IF(ROW()&gt;'Impact Indicator Target Update'!A261,"",INDIRECT("'Impact Indicators - Section B'!A"&amp;'Impact Indicator Target Update'!D261))</f>
        <v/>
      </c>
    </row>
    <row r="5983" spans="10:10" x14ac:dyDescent="0.35">
      <c r="J5983" s="496" t="str">
        <f ca="1">IF(ROW()&gt;'Impact Indicator Target Update'!A262,"",INDIRECT("'Impact Indicators - Section B'!A"&amp;'Impact Indicator Target Update'!D262))</f>
        <v/>
      </c>
    </row>
    <row r="5984" spans="10:10" x14ac:dyDescent="0.35">
      <c r="J5984" s="496" t="str">
        <f ca="1">IF(ROW()&gt;'Impact Indicator Target Update'!A263,"",INDIRECT("'Impact Indicators - Section B'!A"&amp;'Impact Indicator Target Update'!D263))</f>
        <v/>
      </c>
    </row>
    <row r="5985" spans="10:10" x14ac:dyDescent="0.35">
      <c r="J5985" s="496" t="str">
        <f ca="1">IF(ROW()&gt;'Impact Indicator Target Update'!A264,"",INDIRECT("'Impact Indicators - Section B'!A"&amp;'Impact Indicator Target Update'!D264))</f>
        <v/>
      </c>
    </row>
    <row r="5986" spans="10:10" x14ac:dyDescent="0.35">
      <c r="J5986" s="496" t="str">
        <f ca="1">IF(ROW()&gt;'Impact Indicator Target Update'!A265,"",INDIRECT("'Impact Indicators - Section B'!A"&amp;'Impact Indicator Target Update'!D265))</f>
        <v/>
      </c>
    </row>
    <row r="5987" spans="10:10" x14ac:dyDescent="0.35">
      <c r="J5987" s="496" t="str">
        <f ca="1">IF(ROW()&gt;'Impact Indicator Target Update'!A266,"",INDIRECT("'Impact Indicators - Section B'!A"&amp;'Impact Indicator Target Update'!D266))</f>
        <v/>
      </c>
    </row>
    <row r="5988" spans="10:10" x14ac:dyDescent="0.35">
      <c r="J5988" s="496" t="str">
        <f ca="1">IF(ROW()&gt;'Impact Indicator Target Update'!A267,"",INDIRECT("'Impact Indicators - Section B'!A"&amp;'Impact Indicator Target Update'!D267))</f>
        <v/>
      </c>
    </row>
    <row r="5989" spans="10:10" x14ac:dyDescent="0.35">
      <c r="J5989" s="496" t="str">
        <f ca="1">IF(ROW()&gt;'Impact Indicator Target Update'!A268,"",INDIRECT("'Impact Indicators - Section B'!A"&amp;'Impact Indicator Target Update'!D268))</f>
        <v/>
      </c>
    </row>
    <row r="5990" spans="10:10" x14ac:dyDescent="0.35">
      <c r="J5990" s="496" t="str">
        <f ca="1">IF(ROW()&gt;'Impact Indicator Target Update'!A269,"",INDIRECT("'Impact Indicators - Section B'!A"&amp;'Impact Indicator Target Update'!D269))</f>
        <v/>
      </c>
    </row>
    <row r="5991" spans="10:10" x14ac:dyDescent="0.35">
      <c r="J5991" s="496" t="str">
        <f ca="1">IF(ROW()&gt;'Impact Indicator Target Update'!A270,"",INDIRECT("'Impact Indicators - Section B'!A"&amp;'Impact Indicator Target Update'!D270))</f>
        <v/>
      </c>
    </row>
    <row r="5992" spans="10:10" x14ac:dyDescent="0.35">
      <c r="J5992" s="496" t="str">
        <f ca="1">IF(ROW()&gt;'Impact Indicator Target Update'!A271,"",INDIRECT("'Impact Indicators - Section B'!A"&amp;'Impact Indicator Target Update'!D271))</f>
        <v/>
      </c>
    </row>
    <row r="5993" spans="10:10" x14ac:dyDescent="0.35">
      <c r="J5993" s="496" t="str">
        <f ca="1">IF(ROW()&gt;'Impact Indicator Target Update'!A272,"",INDIRECT("'Impact Indicators - Section B'!A"&amp;'Impact Indicator Target Update'!D272))</f>
        <v/>
      </c>
    </row>
    <row r="5994" spans="10:10" x14ac:dyDescent="0.35">
      <c r="J5994" s="496" t="str">
        <f ca="1">IF(ROW()&gt;'Impact Indicator Target Update'!A273,"",INDIRECT("'Impact Indicators - Section B'!A"&amp;'Impact Indicator Target Update'!D273))</f>
        <v/>
      </c>
    </row>
    <row r="5995" spans="10:10" x14ac:dyDescent="0.35">
      <c r="J5995" s="496" t="str">
        <f ca="1">IF(ROW()&gt;'Impact Indicator Target Update'!A274,"",INDIRECT("'Impact Indicators - Section B'!A"&amp;'Impact Indicator Target Update'!D274))</f>
        <v/>
      </c>
    </row>
    <row r="5996" spans="10:10" x14ac:dyDescent="0.35">
      <c r="J5996" s="496" t="str">
        <f ca="1">IF(ROW()&gt;'Impact Indicator Target Update'!A275,"",INDIRECT("'Impact Indicators - Section B'!A"&amp;'Impact Indicator Target Update'!D275))</f>
        <v/>
      </c>
    </row>
    <row r="5997" spans="10:10" x14ac:dyDescent="0.35">
      <c r="J5997" s="496" t="str">
        <f ca="1">IF(ROW()&gt;'Impact Indicator Target Update'!A276,"",INDIRECT("'Impact Indicators - Section B'!A"&amp;'Impact Indicator Target Update'!D276))</f>
        <v/>
      </c>
    </row>
    <row r="5998" spans="10:10" x14ac:dyDescent="0.35">
      <c r="J5998" s="496" t="str">
        <f ca="1">IF(ROW()&gt;'Impact Indicator Target Update'!A277,"",INDIRECT("'Impact Indicators - Section B'!A"&amp;'Impact Indicator Target Update'!D277))</f>
        <v/>
      </c>
    </row>
    <row r="5999" spans="10:10" x14ac:dyDescent="0.35">
      <c r="J5999" s="496" t="str">
        <f ca="1">IF(ROW()&gt;'Impact Indicator Target Update'!A278,"",INDIRECT("'Impact Indicators - Section B'!A"&amp;'Impact Indicator Target Update'!D278))</f>
        <v/>
      </c>
    </row>
    <row r="6000" spans="10:10" x14ac:dyDescent="0.35">
      <c r="J6000" s="496" t="str">
        <f ca="1">IF(ROW()&gt;'Impact Indicator Target Update'!A279,"",INDIRECT("'Impact Indicators - Section B'!A"&amp;'Impact Indicator Target Update'!D279))</f>
        <v/>
      </c>
    </row>
    <row r="6001" spans="10:10" x14ac:dyDescent="0.35">
      <c r="J6001" s="496" t="str">
        <f ca="1">IF(ROW()&gt;'Impact Indicator Target Update'!A280,"",INDIRECT("'Impact Indicators - Section B'!A"&amp;'Impact Indicator Target Update'!D280))</f>
        <v/>
      </c>
    </row>
    <row r="6002" spans="10:10" x14ac:dyDescent="0.35">
      <c r="J6002" s="496" t="str">
        <f ca="1">IF(ROW()&gt;'Impact Indicator Target Update'!A281,"",INDIRECT("'Impact Indicators - Section B'!A"&amp;'Impact Indicator Target Update'!D281))</f>
        <v/>
      </c>
    </row>
    <row r="6003" spans="10:10" x14ac:dyDescent="0.35">
      <c r="J6003" s="496" t="str">
        <f ca="1">IF(ROW()&gt;'Impact Indicator Target Update'!A282,"",INDIRECT("'Impact Indicators - Section B'!A"&amp;'Impact Indicator Target Update'!D282))</f>
        <v/>
      </c>
    </row>
    <row r="6004" spans="10:10" x14ac:dyDescent="0.35">
      <c r="J6004" s="496" t="str">
        <f ca="1">IF(ROW()&gt;'Impact Indicator Target Update'!A283,"",INDIRECT("'Impact Indicators - Section B'!A"&amp;'Impact Indicator Target Update'!D283))</f>
        <v/>
      </c>
    </row>
    <row r="6005" spans="10:10" x14ac:dyDescent="0.35">
      <c r="J6005" s="496" t="str">
        <f ca="1">IF(ROW()&gt;'Impact Indicator Target Update'!A284,"",INDIRECT("'Impact Indicators - Section B'!A"&amp;'Impact Indicator Target Update'!D284))</f>
        <v/>
      </c>
    </row>
    <row r="6006" spans="10:10" x14ac:dyDescent="0.35">
      <c r="J6006" s="496" t="str">
        <f ca="1">IF(ROW()&gt;'Impact Indicator Target Update'!A285,"",INDIRECT("'Impact Indicators - Section B'!A"&amp;'Impact Indicator Target Update'!D285))</f>
        <v/>
      </c>
    </row>
    <row r="6007" spans="10:10" x14ac:dyDescent="0.35">
      <c r="J6007" s="496" t="str">
        <f ca="1">IF(ROW()&gt;'Impact Indicator Target Update'!A286,"",INDIRECT("'Impact Indicators - Section B'!A"&amp;'Impact Indicator Target Update'!D286))</f>
        <v/>
      </c>
    </row>
    <row r="6008" spans="10:10" x14ac:dyDescent="0.35">
      <c r="J6008" s="496" t="str">
        <f ca="1">IF(ROW()&gt;'Impact Indicator Target Update'!A287,"",INDIRECT("'Impact Indicators - Section B'!A"&amp;'Impact Indicator Target Update'!D287))</f>
        <v/>
      </c>
    </row>
    <row r="6009" spans="10:10" x14ac:dyDescent="0.35">
      <c r="J6009" s="496" t="str">
        <f ca="1">IF(ROW()&gt;'Impact Indicator Target Update'!A288,"",INDIRECT("'Impact Indicators - Section B'!A"&amp;'Impact Indicator Target Update'!D288))</f>
        <v/>
      </c>
    </row>
    <row r="6010" spans="10:10" x14ac:dyDescent="0.35">
      <c r="J6010" s="496" t="str">
        <f ca="1">IF(ROW()&gt;'Impact Indicator Target Update'!A289,"",INDIRECT("'Impact Indicators - Section B'!A"&amp;'Impact Indicator Target Update'!D289))</f>
        <v/>
      </c>
    </row>
    <row r="6011" spans="10:10" x14ac:dyDescent="0.35">
      <c r="J6011" s="496" t="str">
        <f ca="1">IF(ROW()&gt;'Impact Indicator Target Update'!A290,"",INDIRECT("'Impact Indicators - Section B'!A"&amp;'Impact Indicator Target Update'!D290))</f>
        <v/>
      </c>
    </row>
    <row r="6012" spans="10:10" x14ac:dyDescent="0.35">
      <c r="J6012" s="496" t="str">
        <f ca="1">IF(ROW()&gt;'Impact Indicator Target Update'!A291,"",INDIRECT("'Impact Indicators - Section B'!A"&amp;'Impact Indicator Target Update'!D291))</f>
        <v/>
      </c>
    </row>
    <row r="6013" spans="10:10" x14ac:dyDescent="0.35">
      <c r="J6013" s="496" t="str">
        <f ca="1">IF(ROW()&gt;'Impact Indicator Target Update'!A292,"",INDIRECT("'Impact Indicators - Section B'!A"&amp;'Impact Indicator Target Update'!D292))</f>
        <v/>
      </c>
    </row>
    <row r="6014" spans="10:10" x14ac:dyDescent="0.35">
      <c r="J6014" s="496" t="str">
        <f ca="1">IF(ROW()&gt;'Impact Indicator Target Update'!A293,"",INDIRECT("'Impact Indicators - Section B'!A"&amp;'Impact Indicator Target Update'!D293))</f>
        <v/>
      </c>
    </row>
    <row r="6015" spans="10:10" x14ac:dyDescent="0.35">
      <c r="J6015" s="496" t="str">
        <f ca="1">IF(ROW()&gt;'Impact Indicator Target Update'!A294,"",INDIRECT("'Impact Indicators - Section B'!A"&amp;'Impact Indicator Target Update'!D294))</f>
        <v/>
      </c>
    </row>
    <row r="6016" spans="10:10" x14ac:dyDescent="0.35">
      <c r="J6016" s="496" t="str">
        <f ca="1">IF(ROW()&gt;'Impact Indicator Target Update'!A295,"",INDIRECT("'Impact Indicators - Section B'!A"&amp;'Impact Indicator Target Update'!D295))</f>
        <v/>
      </c>
    </row>
    <row r="6017" spans="10:10" x14ac:dyDescent="0.35">
      <c r="J6017" s="496" t="str">
        <f ca="1">IF(ROW()&gt;'Impact Indicator Target Update'!A296,"",INDIRECT("'Impact Indicators - Section B'!A"&amp;'Impact Indicator Target Update'!D296))</f>
        <v/>
      </c>
    </row>
    <row r="6018" spans="10:10" x14ac:dyDescent="0.35">
      <c r="J6018" s="496" t="str">
        <f ca="1">IF(ROW()&gt;'Impact Indicator Target Update'!A297,"",INDIRECT("'Impact Indicators - Section B'!A"&amp;'Impact Indicator Target Update'!D297))</f>
        <v/>
      </c>
    </row>
    <row r="6019" spans="10:10" x14ac:dyDescent="0.35">
      <c r="J6019" s="496" t="str">
        <f ca="1">IF(ROW()&gt;'Impact Indicator Target Update'!A298,"",INDIRECT("'Impact Indicators - Section B'!A"&amp;'Impact Indicator Target Update'!D298))</f>
        <v/>
      </c>
    </row>
    <row r="6020" spans="10:10" x14ac:dyDescent="0.35">
      <c r="J6020" s="496" t="str">
        <f ca="1">IF(ROW()&gt;'Impact Indicator Target Update'!A299,"",INDIRECT("'Impact Indicators - Section B'!A"&amp;'Impact Indicator Target Update'!D299))</f>
        <v/>
      </c>
    </row>
    <row r="6021" spans="10:10" x14ac:dyDescent="0.35">
      <c r="J6021" s="496" t="str">
        <f ca="1">IF(ROW()&gt;'Impact Indicator Target Update'!A300,"",INDIRECT("'Impact Indicators - Section B'!A"&amp;'Impact Indicator Target Update'!D300))</f>
        <v/>
      </c>
    </row>
    <row r="6022" spans="10:10" x14ac:dyDescent="0.35">
      <c r="J6022" s="496" t="str">
        <f ca="1">IF(ROW()&gt;'Impact Indicator Target Update'!A301,"",INDIRECT("'Impact Indicators - Section B'!A"&amp;'Impact Indicator Target Update'!D301))</f>
        <v/>
      </c>
    </row>
    <row r="6023" spans="10:10" x14ac:dyDescent="0.35">
      <c r="J6023" s="496" t="str">
        <f ca="1">IF(ROW()&gt;'Impact Indicator Target Update'!A302,"",INDIRECT("'Impact Indicators - Section B'!A"&amp;'Impact Indicator Target Update'!D302))</f>
        <v/>
      </c>
    </row>
    <row r="6024" spans="10:10" x14ac:dyDescent="0.35">
      <c r="J6024" s="496" t="str">
        <f ca="1">IF(ROW()&gt;'Impact Indicator Target Update'!A303,"",INDIRECT("'Impact Indicators - Section B'!A"&amp;'Impact Indicator Target Update'!D303))</f>
        <v/>
      </c>
    </row>
    <row r="6025" spans="10:10" x14ac:dyDescent="0.35">
      <c r="J6025" s="496" t="str">
        <f ca="1">IF(ROW()&gt;'Impact Indicator Target Update'!A304,"",INDIRECT("'Impact Indicators - Section B'!A"&amp;'Impact Indicator Target Update'!D304))</f>
        <v/>
      </c>
    </row>
    <row r="6026" spans="10:10" x14ac:dyDescent="0.35">
      <c r="J6026" s="496" t="str">
        <f ca="1">IF(ROW()&gt;'Impact Indicator Target Update'!A305,"",INDIRECT("'Impact Indicators - Section B'!A"&amp;'Impact Indicator Target Update'!D305))</f>
        <v/>
      </c>
    </row>
    <row r="6027" spans="10:10" x14ac:dyDescent="0.35">
      <c r="J6027" s="496" t="str">
        <f ca="1">IF(ROW()&gt;'Impact Indicator Target Update'!A306,"",INDIRECT("'Impact Indicators - Section B'!A"&amp;'Impact Indicator Target Update'!D306))</f>
        <v/>
      </c>
    </row>
    <row r="6028" spans="10:10" x14ac:dyDescent="0.35">
      <c r="J6028" s="496" t="str">
        <f ca="1">IF(ROW()&gt;'Impact Indicator Target Update'!A307,"",INDIRECT("'Impact Indicators - Section B'!A"&amp;'Impact Indicator Target Update'!D307))</f>
        <v/>
      </c>
    </row>
    <row r="6029" spans="10:10" x14ac:dyDescent="0.35">
      <c r="J6029" s="496" t="str">
        <f ca="1">IF(ROW()&gt;'Impact Indicator Target Update'!A308,"",INDIRECT("'Impact Indicators - Section B'!A"&amp;'Impact Indicator Target Update'!D308))</f>
        <v/>
      </c>
    </row>
    <row r="6030" spans="10:10" x14ac:dyDescent="0.35">
      <c r="J6030" s="496" t="str">
        <f ca="1">IF(ROW()&gt;'Impact Indicator Target Update'!A309,"",INDIRECT("'Impact Indicators - Section B'!A"&amp;'Impact Indicator Target Update'!D309))</f>
        <v/>
      </c>
    </row>
    <row r="6031" spans="10:10" x14ac:dyDescent="0.35">
      <c r="J6031" s="496" t="str">
        <f ca="1">IF(ROW()&gt;'Impact Indicator Target Update'!A310,"",INDIRECT("'Impact Indicators - Section B'!A"&amp;'Impact Indicator Target Update'!D310))</f>
        <v/>
      </c>
    </row>
    <row r="6032" spans="10:10" x14ac:dyDescent="0.35">
      <c r="J6032" s="496" t="str">
        <f ca="1">IF(ROW()&gt;'Impact Indicator Target Update'!A311,"",INDIRECT("'Impact Indicators - Section B'!A"&amp;'Impact Indicator Target Update'!D311))</f>
        <v/>
      </c>
    </row>
    <row r="6033" spans="10:10" x14ac:dyDescent="0.35">
      <c r="J6033" s="496" t="str">
        <f ca="1">IF(ROW()&gt;'Impact Indicator Target Update'!A312,"",INDIRECT("'Impact Indicators - Section B'!A"&amp;'Impact Indicator Target Update'!D312))</f>
        <v/>
      </c>
    </row>
    <row r="6034" spans="10:10" x14ac:dyDescent="0.35">
      <c r="J6034" s="496" t="str">
        <f ca="1">IF(ROW()&gt;'Impact Indicator Target Update'!A313,"",INDIRECT("'Impact Indicators - Section B'!A"&amp;'Impact Indicator Target Update'!D313))</f>
        <v/>
      </c>
    </row>
    <row r="6035" spans="10:10" x14ac:dyDescent="0.35">
      <c r="J6035" s="496" t="str">
        <f ca="1">IF(ROW()&gt;'Impact Indicator Target Update'!A314,"",INDIRECT("'Impact Indicators - Section B'!A"&amp;'Impact Indicator Target Update'!D314))</f>
        <v/>
      </c>
    </row>
    <row r="6036" spans="10:10" x14ac:dyDescent="0.35">
      <c r="J6036" s="496" t="str">
        <f ca="1">IF(ROW()&gt;'Impact Indicator Target Update'!A315,"",INDIRECT("'Impact Indicators - Section B'!A"&amp;'Impact Indicator Target Update'!D315))</f>
        <v/>
      </c>
    </row>
    <row r="6037" spans="10:10" x14ac:dyDescent="0.35">
      <c r="J6037" s="496" t="str">
        <f ca="1">IF(ROW()&gt;'Impact Indicator Target Update'!A316,"",INDIRECT("'Impact Indicators - Section B'!A"&amp;'Impact Indicator Target Update'!D316))</f>
        <v/>
      </c>
    </row>
    <row r="6038" spans="10:10" x14ac:dyDescent="0.35">
      <c r="J6038" s="496" t="str">
        <f ca="1">IF(ROW()&gt;'Impact Indicator Target Update'!A317,"",INDIRECT("'Impact Indicators - Section B'!A"&amp;'Impact Indicator Target Update'!D317))</f>
        <v/>
      </c>
    </row>
    <row r="6039" spans="10:10" x14ac:dyDescent="0.35">
      <c r="J6039" s="496" t="str">
        <f ca="1">IF(ROW()&gt;'Impact Indicator Target Update'!A318,"",INDIRECT("'Impact Indicators - Section B'!A"&amp;'Impact Indicator Target Update'!D318))</f>
        <v/>
      </c>
    </row>
    <row r="6040" spans="10:10" x14ac:dyDescent="0.35">
      <c r="J6040" s="496" t="str">
        <f ca="1">IF(ROW()&gt;'Impact Indicator Target Update'!A319,"",INDIRECT("'Impact Indicators - Section B'!A"&amp;'Impact Indicator Target Update'!D319))</f>
        <v/>
      </c>
    </row>
    <row r="6041" spans="10:10" x14ac:dyDescent="0.35">
      <c r="J6041" s="496" t="str">
        <f ca="1">IF(ROW()&gt;'Impact Indicator Target Update'!A320,"",INDIRECT("'Impact Indicators - Section B'!A"&amp;'Impact Indicator Target Update'!D320))</f>
        <v/>
      </c>
    </row>
    <row r="6042" spans="10:10" x14ac:dyDescent="0.35">
      <c r="J6042" s="496" t="str">
        <f ca="1">IF(ROW()&gt;'Impact Indicator Target Update'!A321,"",INDIRECT("'Impact Indicators - Section B'!A"&amp;'Impact Indicator Target Update'!D321))</f>
        <v/>
      </c>
    </row>
    <row r="6043" spans="10:10" x14ac:dyDescent="0.35">
      <c r="J6043" s="496" t="str">
        <f ca="1">IF(ROW()&gt;'Impact Indicator Target Update'!A322,"",INDIRECT("'Impact Indicators - Section B'!A"&amp;'Impact Indicator Target Update'!D322))</f>
        <v/>
      </c>
    </row>
    <row r="6044" spans="10:10" x14ac:dyDescent="0.35">
      <c r="J6044" s="496" t="str">
        <f ca="1">IF(ROW()&gt;'Impact Indicator Target Update'!A323,"",INDIRECT("'Impact Indicators - Section B'!A"&amp;'Impact Indicator Target Update'!D323))</f>
        <v/>
      </c>
    </row>
    <row r="6045" spans="10:10" x14ac:dyDescent="0.35">
      <c r="J6045" s="496" t="str">
        <f ca="1">IF(ROW()&gt;'Impact Indicator Target Update'!A324,"",INDIRECT("'Impact Indicators - Section B'!A"&amp;'Impact Indicator Target Update'!D324))</f>
        <v/>
      </c>
    </row>
    <row r="6046" spans="10:10" x14ac:dyDescent="0.35">
      <c r="J6046" s="496" t="str">
        <f ca="1">IF(ROW()&gt;'Impact Indicator Target Update'!A325,"",INDIRECT("'Impact Indicators - Section B'!A"&amp;'Impact Indicator Target Update'!D325))</f>
        <v/>
      </c>
    </row>
    <row r="6047" spans="10:10" x14ac:dyDescent="0.35">
      <c r="J6047" s="496" t="str">
        <f ca="1">IF(ROW()&gt;'Impact Indicator Target Update'!A326,"",INDIRECT("'Impact Indicators - Section B'!A"&amp;'Impact Indicator Target Update'!D326))</f>
        <v/>
      </c>
    </row>
    <row r="6048" spans="10:10" x14ac:dyDescent="0.35">
      <c r="J6048" s="496" t="str">
        <f ca="1">IF(ROW()&gt;'Impact Indicator Target Update'!A327,"",INDIRECT("'Impact Indicators - Section B'!A"&amp;'Impact Indicator Target Update'!D327))</f>
        <v/>
      </c>
    </row>
    <row r="6049" spans="10:10" x14ac:dyDescent="0.35">
      <c r="J6049" s="496" t="str">
        <f ca="1">IF(ROW()&gt;'Impact Indicator Target Update'!A328,"",INDIRECT("'Impact Indicators - Section B'!A"&amp;'Impact Indicator Target Update'!D328))</f>
        <v/>
      </c>
    </row>
    <row r="6050" spans="10:10" x14ac:dyDescent="0.35">
      <c r="J6050" s="496" t="str">
        <f ca="1">IF(ROW()&gt;'Impact Indicator Target Update'!A329,"",INDIRECT("'Impact Indicators - Section B'!A"&amp;'Impact Indicator Target Update'!D329))</f>
        <v/>
      </c>
    </row>
    <row r="6051" spans="10:10" x14ac:dyDescent="0.35">
      <c r="J6051" s="496" t="str">
        <f ca="1">IF(ROW()&gt;'Impact Indicator Target Update'!A330,"",INDIRECT("'Impact Indicators - Section B'!A"&amp;'Impact Indicator Target Update'!D330))</f>
        <v/>
      </c>
    </row>
    <row r="6052" spans="10:10" x14ac:dyDescent="0.35">
      <c r="J6052" s="496" t="str">
        <f ca="1">IF(ROW()&gt;'Impact Indicator Target Update'!A331,"",INDIRECT("'Impact Indicators - Section B'!A"&amp;'Impact Indicator Target Update'!D331))</f>
        <v/>
      </c>
    </row>
    <row r="6053" spans="10:10" x14ac:dyDescent="0.35">
      <c r="J6053" s="496" t="str">
        <f ca="1">IF(ROW()&gt;'Impact Indicator Target Update'!A332,"",INDIRECT("'Impact Indicators - Section B'!A"&amp;'Impact Indicator Target Update'!D332))</f>
        <v/>
      </c>
    </row>
    <row r="6054" spans="10:10" x14ac:dyDescent="0.35">
      <c r="J6054" s="496" t="str">
        <f ca="1">IF(ROW()&gt;'Impact Indicator Target Update'!A333,"",INDIRECT("'Impact Indicators - Section B'!A"&amp;'Impact Indicator Target Update'!D333))</f>
        <v/>
      </c>
    </row>
    <row r="6055" spans="10:10" x14ac:dyDescent="0.35">
      <c r="J6055" s="496" t="str">
        <f ca="1">IF(ROW()&gt;'Impact Indicator Target Update'!A334,"",INDIRECT("'Impact Indicators - Section B'!A"&amp;'Impact Indicator Target Update'!D334))</f>
        <v/>
      </c>
    </row>
    <row r="6056" spans="10:10" x14ac:dyDescent="0.35">
      <c r="J6056" s="496" t="str">
        <f ca="1">IF(ROW()&gt;'Impact Indicator Target Update'!A335,"",INDIRECT("'Impact Indicators - Section B'!A"&amp;'Impact Indicator Target Update'!D335))</f>
        <v/>
      </c>
    </row>
    <row r="6057" spans="10:10" x14ac:dyDescent="0.35">
      <c r="J6057" s="496" t="str">
        <f ca="1">IF(ROW()&gt;'Impact Indicator Target Update'!A336,"",INDIRECT("'Impact Indicators - Section B'!A"&amp;'Impact Indicator Target Update'!D336))</f>
        <v/>
      </c>
    </row>
    <row r="6058" spans="10:10" x14ac:dyDescent="0.35">
      <c r="J6058" s="496" t="str">
        <f ca="1">IF(ROW()&gt;'Impact Indicator Target Update'!A337,"",INDIRECT("'Impact Indicators - Section B'!A"&amp;'Impact Indicator Target Update'!D337))</f>
        <v/>
      </c>
    </row>
    <row r="6059" spans="10:10" x14ac:dyDescent="0.35">
      <c r="J6059" s="496" t="str">
        <f ca="1">IF(ROW()&gt;'Impact Indicator Target Update'!A338,"",INDIRECT("'Impact Indicators - Section B'!A"&amp;'Impact Indicator Target Update'!D338))</f>
        <v/>
      </c>
    </row>
    <row r="6060" spans="10:10" x14ac:dyDescent="0.35">
      <c r="J6060" s="496" t="str">
        <f ca="1">IF(ROW()&gt;'Impact Indicator Target Update'!A339,"",INDIRECT("'Impact Indicators - Section B'!A"&amp;'Impact Indicator Target Update'!D339))</f>
        <v/>
      </c>
    </row>
    <row r="6061" spans="10:10" x14ac:dyDescent="0.35">
      <c r="J6061" s="496" t="str">
        <f ca="1">IF(ROW()&gt;'Impact Indicator Target Update'!A340,"",INDIRECT("'Impact Indicators - Section B'!A"&amp;'Impact Indicator Target Update'!D340))</f>
        <v/>
      </c>
    </row>
    <row r="6062" spans="10:10" x14ac:dyDescent="0.35">
      <c r="J6062" s="496" t="str">
        <f ca="1">IF(ROW()&gt;'Impact Indicator Target Update'!A341,"",INDIRECT("'Impact Indicators - Section B'!A"&amp;'Impact Indicator Target Update'!D341))</f>
        <v/>
      </c>
    </row>
    <row r="6063" spans="10:10" x14ac:dyDescent="0.35">
      <c r="J6063" s="496" t="str">
        <f ca="1">IF(ROW()&gt;'Impact Indicator Target Update'!A342,"",INDIRECT("'Impact Indicators - Section B'!A"&amp;'Impact Indicator Target Update'!D342))</f>
        <v/>
      </c>
    </row>
    <row r="6064" spans="10:10" x14ac:dyDescent="0.35">
      <c r="J6064" s="496" t="str">
        <f ca="1">IF(ROW()&gt;'Impact Indicator Target Update'!A343,"",INDIRECT("'Impact Indicators - Section B'!A"&amp;'Impact Indicator Target Update'!D343))</f>
        <v/>
      </c>
    </row>
    <row r="6065" spans="10:10" x14ac:dyDescent="0.35">
      <c r="J6065" s="496" t="str">
        <f ca="1">IF(ROW()&gt;'Impact Indicator Target Update'!A344,"",INDIRECT("'Impact Indicators - Section B'!A"&amp;'Impact Indicator Target Update'!D344))</f>
        <v/>
      </c>
    </row>
    <row r="6066" spans="10:10" x14ac:dyDescent="0.35">
      <c r="J6066" s="496" t="str">
        <f ca="1">IF(ROW()&gt;'Impact Indicator Target Update'!A345,"",INDIRECT("'Impact Indicators - Section B'!A"&amp;'Impact Indicator Target Update'!D345))</f>
        <v/>
      </c>
    </row>
    <row r="6067" spans="10:10" x14ac:dyDescent="0.35">
      <c r="J6067" s="496" t="str">
        <f ca="1">IF(ROW()&gt;'Impact Indicator Target Update'!A346,"",INDIRECT("'Impact Indicators - Section B'!A"&amp;'Impact Indicator Target Update'!D346))</f>
        <v/>
      </c>
    </row>
    <row r="6068" spans="10:10" x14ac:dyDescent="0.35">
      <c r="J6068" s="496" t="str">
        <f ca="1">IF(ROW()&gt;'Impact Indicator Target Update'!A347,"",INDIRECT("'Impact Indicators - Section B'!A"&amp;'Impact Indicator Target Update'!D347))</f>
        <v/>
      </c>
    </row>
    <row r="6069" spans="10:10" x14ac:dyDescent="0.35">
      <c r="J6069" s="496" t="str">
        <f ca="1">IF(ROW()&gt;'Impact Indicator Target Update'!A348,"",INDIRECT("'Impact Indicators - Section B'!A"&amp;'Impact Indicator Target Update'!D348))</f>
        <v/>
      </c>
    </row>
    <row r="6070" spans="10:10" x14ac:dyDescent="0.35">
      <c r="J6070" s="496" t="str">
        <f ca="1">IF(ROW()&gt;'Impact Indicator Target Update'!A349,"",INDIRECT("'Impact Indicators - Section B'!A"&amp;'Impact Indicator Target Update'!D349))</f>
        <v/>
      </c>
    </row>
    <row r="6071" spans="10:10" x14ac:dyDescent="0.35">
      <c r="J6071" s="496" t="str">
        <f ca="1">IF(ROW()&gt;'Impact Indicator Target Update'!A350,"",INDIRECT("'Impact Indicators - Section B'!A"&amp;'Impact Indicator Target Update'!D350))</f>
        <v/>
      </c>
    </row>
    <row r="6072" spans="10:10" x14ac:dyDescent="0.35">
      <c r="J6072" s="496" t="str">
        <f ca="1">IF(ROW()&gt;'Impact Indicator Target Update'!A351,"",INDIRECT("'Impact Indicators - Section B'!A"&amp;'Impact Indicator Target Update'!D351))</f>
        <v/>
      </c>
    </row>
    <row r="6073" spans="10:10" x14ac:dyDescent="0.35">
      <c r="J6073" s="496" t="str">
        <f ca="1">IF(ROW()&gt;'Impact Indicator Target Update'!A352,"",INDIRECT("'Impact Indicators - Section B'!A"&amp;'Impact Indicator Target Update'!D352))</f>
        <v/>
      </c>
    </row>
    <row r="6074" spans="10:10" x14ac:dyDescent="0.35">
      <c r="J6074" s="496" t="str">
        <f ca="1">IF(ROW()&gt;'Impact Indicator Target Update'!A353,"",INDIRECT("'Impact Indicators - Section B'!A"&amp;'Impact Indicator Target Update'!D353))</f>
        <v/>
      </c>
    </row>
    <row r="6075" spans="10:10" x14ac:dyDescent="0.35">
      <c r="J6075" s="496" t="str">
        <f ca="1">IF(ROW()&gt;'Impact Indicator Target Update'!A354,"",INDIRECT("'Impact Indicators - Section B'!A"&amp;'Impact Indicator Target Update'!D354))</f>
        <v/>
      </c>
    </row>
    <row r="6076" spans="10:10" x14ac:dyDescent="0.35">
      <c r="J6076" s="496" t="str">
        <f ca="1">IF(ROW()&gt;'Impact Indicator Target Update'!A355,"",INDIRECT("'Impact Indicators - Section B'!A"&amp;'Impact Indicator Target Update'!D355))</f>
        <v/>
      </c>
    </row>
    <row r="6077" spans="10:10" x14ac:dyDescent="0.35">
      <c r="J6077" s="496" t="str">
        <f ca="1">IF(ROW()&gt;'Impact Indicator Target Update'!A356,"",INDIRECT("'Impact Indicators - Section B'!A"&amp;'Impact Indicator Target Update'!D356))</f>
        <v/>
      </c>
    </row>
    <row r="6078" spans="10:10" x14ac:dyDescent="0.35">
      <c r="J6078" s="496" t="str">
        <f ca="1">IF(ROW()&gt;'Impact Indicator Target Update'!A357,"",INDIRECT("'Impact Indicators - Section B'!A"&amp;'Impact Indicator Target Update'!D357))</f>
        <v/>
      </c>
    </row>
    <row r="6079" spans="10:10" x14ac:dyDescent="0.35">
      <c r="J6079" s="496" t="str">
        <f ca="1">IF(ROW()&gt;'Impact Indicator Target Update'!A358,"",INDIRECT("'Impact Indicators - Section B'!A"&amp;'Impact Indicator Target Update'!D358))</f>
        <v/>
      </c>
    </row>
    <row r="6080" spans="10:10" x14ac:dyDescent="0.35">
      <c r="J6080" s="496" t="str">
        <f ca="1">IF(ROW()&gt;'Impact Indicator Target Update'!A359,"",INDIRECT("'Impact Indicators - Section B'!A"&amp;'Impact Indicator Target Update'!D359))</f>
        <v/>
      </c>
    </row>
    <row r="6081" spans="10:10" x14ac:dyDescent="0.35">
      <c r="J6081" s="496" t="str">
        <f ca="1">IF(ROW()&gt;'Impact Indicator Target Update'!A360,"",INDIRECT("'Impact Indicators - Section B'!A"&amp;'Impact Indicator Target Update'!D360))</f>
        <v/>
      </c>
    </row>
    <row r="6082" spans="10:10" x14ac:dyDescent="0.35">
      <c r="J6082" s="496" t="str">
        <f ca="1">IF(ROW()&gt;'Impact Indicator Target Update'!A361,"",INDIRECT("'Impact Indicators - Section B'!A"&amp;'Impact Indicator Target Update'!D361))</f>
        <v/>
      </c>
    </row>
    <row r="6083" spans="10:10" x14ac:dyDescent="0.35">
      <c r="J6083" s="496" t="str">
        <f ca="1">IF(ROW()&gt;'Impact Indicator Target Update'!A362,"",INDIRECT("'Impact Indicators - Section B'!A"&amp;'Impact Indicator Target Update'!D362))</f>
        <v/>
      </c>
    </row>
    <row r="6084" spans="10:10" x14ac:dyDescent="0.35">
      <c r="J6084" s="496" t="str">
        <f ca="1">IF(ROW()&gt;'Impact Indicator Target Update'!A363,"",INDIRECT("'Impact Indicators - Section B'!A"&amp;'Impact Indicator Target Update'!D363))</f>
        <v/>
      </c>
    </row>
    <row r="6085" spans="10:10" x14ac:dyDescent="0.35">
      <c r="J6085" s="496" t="str">
        <f ca="1">IF(ROW()&gt;'Impact Indicator Target Update'!A364,"",INDIRECT("'Impact Indicators - Section B'!A"&amp;'Impact Indicator Target Update'!D364))</f>
        <v/>
      </c>
    </row>
    <row r="6086" spans="10:10" x14ac:dyDescent="0.35">
      <c r="J6086" s="496" t="str">
        <f ca="1">IF(ROW()&gt;'Impact Indicator Target Update'!A365,"",INDIRECT("'Impact Indicators - Section B'!A"&amp;'Impact Indicator Target Update'!D365))</f>
        <v/>
      </c>
    </row>
    <row r="6087" spans="10:10" x14ac:dyDescent="0.35">
      <c r="J6087" s="496" t="str">
        <f ca="1">IF(ROW()&gt;'Impact Indicator Target Update'!A366,"",INDIRECT("'Impact Indicators - Section B'!A"&amp;'Impact Indicator Target Update'!D366))</f>
        <v/>
      </c>
    </row>
    <row r="6088" spans="10:10" x14ac:dyDescent="0.35">
      <c r="J6088" s="496" t="str">
        <f ca="1">IF(ROW()&gt;'Impact Indicator Target Update'!A367,"",INDIRECT("'Impact Indicators - Section B'!A"&amp;'Impact Indicator Target Update'!D367))</f>
        <v/>
      </c>
    </row>
    <row r="6089" spans="10:10" x14ac:dyDescent="0.35">
      <c r="J6089" s="496" t="str">
        <f ca="1">IF(ROW()&gt;'Impact Indicator Target Update'!A368,"",INDIRECT("'Impact Indicators - Section B'!A"&amp;'Impact Indicator Target Update'!D368))</f>
        <v/>
      </c>
    </row>
    <row r="6090" spans="10:10" x14ac:dyDescent="0.35">
      <c r="J6090" s="496" t="str">
        <f ca="1">IF(ROW()&gt;'Impact Indicator Target Update'!A369,"",INDIRECT("'Impact Indicators - Section B'!A"&amp;'Impact Indicator Target Update'!D369))</f>
        <v/>
      </c>
    </row>
    <row r="6091" spans="10:10" x14ac:dyDescent="0.35">
      <c r="J6091" s="496" t="str">
        <f ca="1">IF(ROW()&gt;'Impact Indicator Target Update'!A370,"",INDIRECT("'Impact Indicators - Section B'!A"&amp;'Impact Indicator Target Update'!D370))</f>
        <v/>
      </c>
    </row>
    <row r="6092" spans="10:10" x14ac:dyDescent="0.35">
      <c r="J6092" s="496" t="str">
        <f ca="1">IF(ROW()&gt;'Impact Indicator Target Update'!A371,"",INDIRECT("'Impact Indicators - Section B'!A"&amp;'Impact Indicator Target Update'!D371))</f>
        <v/>
      </c>
    </row>
    <row r="6093" spans="10:10" x14ac:dyDescent="0.35">
      <c r="J6093" s="496" t="str">
        <f ca="1">IF(ROW()&gt;'Impact Indicator Target Update'!A372,"",INDIRECT("'Impact Indicators - Section B'!A"&amp;'Impact Indicator Target Update'!D372))</f>
        <v/>
      </c>
    </row>
    <row r="6094" spans="10:10" x14ac:dyDescent="0.35">
      <c r="J6094" s="496" t="str">
        <f ca="1">IF(ROW()&gt;'Impact Indicator Target Update'!A373,"",INDIRECT("'Impact Indicators - Section B'!A"&amp;'Impact Indicator Target Update'!D373))</f>
        <v/>
      </c>
    </row>
    <row r="6095" spans="10:10" x14ac:dyDescent="0.35">
      <c r="J6095" s="496" t="str">
        <f ca="1">IF(ROW()&gt;'Impact Indicator Target Update'!A374,"",INDIRECT("'Impact Indicators - Section B'!A"&amp;'Impact Indicator Target Update'!D374))</f>
        <v/>
      </c>
    </row>
    <row r="6096" spans="10:10" x14ac:dyDescent="0.35">
      <c r="J6096" s="496" t="str">
        <f ca="1">IF(ROW()&gt;'Impact Indicator Target Update'!A375,"",INDIRECT("'Impact Indicators - Section B'!A"&amp;'Impact Indicator Target Update'!D375))</f>
        <v/>
      </c>
    </row>
    <row r="6097" spans="10:10" x14ac:dyDescent="0.35">
      <c r="J6097" s="496" t="str">
        <f ca="1">IF(ROW()&gt;'Impact Indicator Target Update'!A376,"",INDIRECT("'Impact Indicators - Section B'!A"&amp;'Impact Indicator Target Update'!D376))</f>
        <v/>
      </c>
    </row>
    <row r="6098" spans="10:10" x14ac:dyDescent="0.35">
      <c r="J6098" s="496" t="str">
        <f ca="1">IF(ROW()&gt;'Impact Indicator Target Update'!A377,"",INDIRECT("'Impact Indicators - Section B'!A"&amp;'Impact Indicator Target Update'!D377))</f>
        <v/>
      </c>
    </row>
    <row r="6099" spans="10:10" x14ac:dyDescent="0.35">
      <c r="J6099" s="496" t="str">
        <f ca="1">IF(ROW()&gt;'Impact Indicator Target Update'!A378,"",INDIRECT("'Impact Indicators - Section B'!A"&amp;'Impact Indicator Target Update'!D378))</f>
        <v/>
      </c>
    </row>
    <row r="6100" spans="10:10" x14ac:dyDescent="0.35">
      <c r="J6100" s="496" t="str">
        <f ca="1">IF(ROW()&gt;'Impact Indicator Target Update'!A379,"",INDIRECT("'Impact Indicators - Section B'!A"&amp;'Impact Indicator Target Update'!D379))</f>
        <v/>
      </c>
    </row>
    <row r="6101" spans="10:10" x14ac:dyDescent="0.35">
      <c r="J6101" s="496" t="str">
        <f ca="1">IF(ROW()&gt;'Impact Indicator Target Update'!A380,"",INDIRECT("'Impact Indicators - Section B'!A"&amp;'Impact Indicator Target Update'!D380))</f>
        <v/>
      </c>
    </row>
    <row r="6102" spans="10:10" x14ac:dyDescent="0.35">
      <c r="J6102" s="496" t="str">
        <f ca="1">IF(ROW()&gt;'Impact Indicator Target Update'!A381,"",INDIRECT("'Impact Indicators - Section B'!A"&amp;'Impact Indicator Target Update'!D381))</f>
        <v/>
      </c>
    </row>
    <row r="6103" spans="10:10" x14ac:dyDescent="0.35">
      <c r="J6103" s="496" t="str">
        <f ca="1">IF(ROW()&gt;'Impact Indicator Target Update'!A382,"",INDIRECT("'Impact Indicators - Section B'!A"&amp;'Impact Indicator Target Update'!D382))</f>
        <v/>
      </c>
    </row>
    <row r="6104" spans="10:10" x14ac:dyDescent="0.35">
      <c r="J6104" s="496" t="str">
        <f ca="1">IF(ROW()&gt;'Impact Indicator Target Update'!A383,"",INDIRECT("'Impact Indicators - Section B'!A"&amp;'Impact Indicator Target Update'!D383))</f>
        <v/>
      </c>
    </row>
    <row r="6105" spans="10:10" x14ac:dyDescent="0.35">
      <c r="J6105" s="496" t="str">
        <f ca="1">IF(ROW()&gt;'Impact Indicator Target Update'!A384,"",INDIRECT("'Impact Indicators - Section B'!A"&amp;'Impact Indicator Target Update'!D384))</f>
        <v/>
      </c>
    </row>
    <row r="6106" spans="10:10" x14ac:dyDescent="0.35">
      <c r="J6106" s="496" t="str">
        <f ca="1">IF(ROW()&gt;'Impact Indicator Target Update'!A385,"",INDIRECT("'Impact Indicators - Section B'!A"&amp;'Impact Indicator Target Update'!D385))</f>
        <v/>
      </c>
    </row>
    <row r="6107" spans="10:10" x14ac:dyDescent="0.35">
      <c r="J6107" s="496" t="str">
        <f ca="1">IF(ROW()&gt;'Impact Indicator Target Update'!A386,"",INDIRECT("'Impact Indicators - Section B'!A"&amp;'Impact Indicator Target Update'!D386))</f>
        <v/>
      </c>
    </row>
    <row r="6108" spans="10:10" x14ac:dyDescent="0.35">
      <c r="J6108" s="496" t="str">
        <f ca="1">IF(ROW()&gt;'Impact Indicator Target Update'!A387,"",INDIRECT("'Impact Indicators - Section B'!A"&amp;'Impact Indicator Target Update'!D387))</f>
        <v/>
      </c>
    </row>
    <row r="6109" spans="10:10" x14ac:dyDescent="0.35">
      <c r="J6109" s="496" t="str">
        <f ca="1">IF(ROW()&gt;'Impact Indicator Target Update'!A388,"",INDIRECT("'Impact Indicators - Section B'!A"&amp;'Impact Indicator Target Update'!D388))</f>
        <v/>
      </c>
    </row>
    <row r="6110" spans="10:10" x14ac:dyDescent="0.35">
      <c r="J6110" s="496" t="str">
        <f ca="1">IF(ROW()&gt;'Impact Indicator Target Update'!A389,"",INDIRECT("'Impact Indicators - Section B'!A"&amp;'Impact Indicator Target Update'!D389))</f>
        <v/>
      </c>
    </row>
    <row r="6111" spans="10:10" x14ac:dyDescent="0.35">
      <c r="J6111" s="496" t="str">
        <f ca="1">IF(ROW()&gt;'Impact Indicator Target Update'!A390,"",INDIRECT("'Impact Indicators - Section B'!A"&amp;'Impact Indicator Target Update'!D390))</f>
        <v/>
      </c>
    </row>
    <row r="6112" spans="10:10" x14ac:dyDescent="0.35">
      <c r="J6112" s="496" t="str">
        <f ca="1">IF(ROW()&gt;'Impact Indicator Target Update'!A391,"",INDIRECT("'Impact Indicators - Section B'!A"&amp;'Impact Indicator Target Update'!D391))</f>
        <v/>
      </c>
    </row>
    <row r="6113" spans="10:10" x14ac:dyDescent="0.35">
      <c r="J6113" s="496" t="str">
        <f ca="1">IF(ROW()&gt;'Impact Indicator Target Update'!A392,"",INDIRECT("'Impact Indicators - Section B'!A"&amp;'Impact Indicator Target Update'!D392))</f>
        <v/>
      </c>
    </row>
    <row r="6114" spans="10:10" x14ac:dyDescent="0.35">
      <c r="J6114" s="496" t="str">
        <f ca="1">IF(ROW()&gt;'Impact Indicator Target Update'!A393,"",INDIRECT("'Impact Indicators - Section B'!A"&amp;'Impact Indicator Target Update'!D393))</f>
        <v/>
      </c>
    </row>
    <row r="6115" spans="10:10" x14ac:dyDescent="0.35">
      <c r="J6115" s="496" t="str">
        <f ca="1">IF(ROW()&gt;'Impact Indicator Target Update'!A394,"",INDIRECT("'Impact Indicators - Section B'!A"&amp;'Impact Indicator Target Update'!D394))</f>
        <v/>
      </c>
    </row>
    <row r="6116" spans="10:10" x14ac:dyDescent="0.35">
      <c r="J6116" s="496" t="str">
        <f ca="1">IF(ROW()&gt;'Impact Indicator Target Update'!A395,"",INDIRECT("'Impact Indicators - Section B'!A"&amp;'Impact Indicator Target Update'!D395))</f>
        <v/>
      </c>
    </row>
    <row r="6117" spans="10:10" x14ac:dyDescent="0.35">
      <c r="J6117" s="496" t="str">
        <f ca="1">IF(ROW()&gt;'Impact Indicator Target Update'!A396,"",INDIRECT("'Impact Indicators - Section B'!A"&amp;'Impact Indicator Target Update'!D396))</f>
        <v/>
      </c>
    </row>
    <row r="6118" spans="10:10" x14ac:dyDescent="0.35">
      <c r="J6118" s="496" t="str">
        <f ca="1">IF(ROW()&gt;'Impact Indicator Target Update'!A397,"",INDIRECT("'Impact Indicators - Section B'!A"&amp;'Impact Indicator Target Update'!D397))</f>
        <v/>
      </c>
    </row>
    <row r="6119" spans="10:10" x14ac:dyDescent="0.35">
      <c r="J6119" s="496" t="str">
        <f ca="1">IF(ROW()&gt;'Impact Indicator Target Update'!A398,"",INDIRECT("'Impact Indicators - Section B'!A"&amp;'Impact Indicator Target Update'!D398))</f>
        <v/>
      </c>
    </row>
    <row r="6120" spans="10:10" x14ac:dyDescent="0.35">
      <c r="J6120" s="496" t="str">
        <f ca="1">IF(ROW()&gt;'Impact Indicator Target Update'!A399,"",INDIRECT("'Impact Indicators - Section B'!A"&amp;'Impact Indicator Target Update'!D399))</f>
        <v/>
      </c>
    </row>
    <row r="6121" spans="10:10" x14ac:dyDescent="0.35">
      <c r="J6121" s="496" t="str">
        <f ca="1">IF(ROW()&gt;'Impact Indicator Target Update'!A400,"",INDIRECT("'Impact Indicators - Section B'!A"&amp;'Impact Indicator Target Update'!D400))</f>
        <v/>
      </c>
    </row>
    <row r="6122" spans="10:10" x14ac:dyDescent="0.35">
      <c r="J6122" s="496" t="str">
        <f ca="1">IF(ROW()&gt;'Impact Indicator Target Update'!A401,"",INDIRECT("'Impact Indicators - Section B'!A"&amp;'Impact Indicator Target Update'!D401))</f>
        <v/>
      </c>
    </row>
    <row r="6123" spans="10:10" x14ac:dyDescent="0.35">
      <c r="J6123" s="496" t="str">
        <f ca="1">IF(ROW()&gt;'Impact Indicator Target Update'!A402,"",INDIRECT("'Impact Indicators - Section B'!A"&amp;'Impact Indicator Target Update'!D402))</f>
        <v/>
      </c>
    </row>
    <row r="6124" spans="10:10" x14ac:dyDescent="0.35">
      <c r="J6124" s="496" t="str">
        <f ca="1">IF(ROW()&gt;'Impact Indicator Target Update'!A403,"",INDIRECT("'Impact Indicators - Section B'!A"&amp;'Impact Indicator Target Update'!D403))</f>
        <v/>
      </c>
    </row>
    <row r="6125" spans="10:10" x14ac:dyDescent="0.35">
      <c r="J6125" s="496" t="str">
        <f ca="1">IF(ROW()&gt;'Impact Indicator Target Update'!A404,"",INDIRECT("'Impact Indicators - Section B'!A"&amp;'Impact Indicator Target Update'!D404))</f>
        <v/>
      </c>
    </row>
    <row r="6126" spans="10:10" x14ac:dyDescent="0.35">
      <c r="J6126" s="496" t="str">
        <f ca="1">IF(ROW()&gt;'Impact Indicator Target Update'!A405,"",INDIRECT("'Impact Indicators - Section B'!A"&amp;'Impact Indicator Target Update'!D405))</f>
        <v/>
      </c>
    </row>
    <row r="6127" spans="10:10" x14ac:dyDescent="0.35">
      <c r="J6127" s="496" t="str">
        <f ca="1">IF(ROW()&gt;'Impact Indicator Target Update'!A406,"",INDIRECT("'Impact Indicators - Section B'!A"&amp;'Impact Indicator Target Update'!D406))</f>
        <v/>
      </c>
    </row>
    <row r="6128" spans="10:10" x14ac:dyDescent="0.35">
      <c r="J6128" s="496" t="str">
        <f ca="1">IF(ROW()&gt;'Impact Indicator Target Update'!A407,"",INDIRECT("'Impact Indicators - Section B'!A"&amp;'Impact Indicator Target Update'!D407))</f>
        <v/>
      </c>
    </row>
    <row r="6129" spans="10:10" x14ac:dyDescent="0.35">
      <c r="J6129" s="496" t="str">
        <f ca="1">IF(ROW()&gt;'Impact Indicator Target Update'!A408,"",INDIRECT("'Impact Indicators - Section B'!A"&amp;'Impact Indicator Target Update'!D408))</f>
        <v/>
      </c>
    </row>
    <row r="6130" spans="10:10" x14ac:dyDescent="0.35">
      <c r="J6130" s="496" t="str">
        <f ca="1">IF(ROW()&gt;'Impact Indicator Target Update'!A409,"",INDIRECT("'Impact Indicators - Section B'!A"&amp;'Impact Indicator Target Update'!D409))</f>
        <v/>
      </c>
    </row>
    <row r="6131" spans="10:10" x14ac:dyDescent="0.35">
      <c r="J6131" s="496" t="str">
        <f ca="1">IF(ROW()&gt;'Impact Indicator Target Update'!A410,"",INDIRECT("'Impact Indicators - Section B'!A"&amp;'Impact Indicator Target Update'!D410))</f>
        <v/>
      </c>
    </row>
    <row r="6132" spans="10:10" x14ac:dyDescent="0.35">
      <c r="J6132" s="496" t="str">
        <f ca="1">IF(ROW()&gt;'Impact Indicator Target Update'!A411,"",INDIRECT("'Impact Indicators - Section B'!A"&amp;'Impact Indicator Target Update'!D411))</f>
        <v/>
      </c>
    </row>
    <row r="6133" spans="10:10" x14ac:dyDescent="0.35">
      <c r="J6133" s="496" t="str">
        <f ca="1">IF(ROW()&gt;'Impact Indicator Target Update'!A412,"",INDIRECT("'Impact Indicators - Section B'!A"&amp;'Impact Indicator Target Update'!D412))</f>
        <v/>
      </c>
    </row>
    <row r="6134" spans="10:10" x14ac:dyDescent="0.35">
      <c r="J6134" s="496" t="str">
        <f ca="1">IF(ROW()&gt;'Impact Indicator Target Update'!A413,"",INDIRECT("'Impact Indicators - Section B'!A"&amp;'Impact Indicator Target Update'!D413))</f>
        <v/>
      </c>
    </row>
    <row r="6135" spans="10:10" x14ac:dyDescent="0.35">
      <c r="J6135" s="496" t="str">
        <f ca="1">IF(ROW()&gt;'Impact Indicator Target Update'!A414,"",INDIRECT("'Impact Indicators - Section B'!A"&amp;'Impact Indicator Target Update'!D414))</f>
        <v/>
      </c>
    </row>
    <row r="6136" spans="10:10" x14ac:dyDescent="0.35">
      <c r="J6136" s="496" t="str">
        <f ca="1">IF(ROW()&gt;'Impact Indicator Target Update'!A415,"",INDIRECT("'Impact Indicators - Section B'!A"&amp;'Impact Indicator Target Update'!D415))</f>
        <v/>
      </c>
    </row>
    <row r="6137" spans="10:10" x14ac:dyDescent="0.35">
      <c r="J6137" s="496" t="str">
        <f ca="1">IF(ROW()&gt;'Impact Indicator Target Update'!A416,"",INDIRECT("'Impact Indicators - Section B'!A"&amp;'Impact Indicator Target Update'!D416))</f>
        <v/>
      </c>
    </row>
    <row r="6138" spans="10:10" x14ac:dyDescent="0.35">
      <c r="J6138" s="496" t="str">
        <f ca="1">IF(ROW()&gt;'Impact Indicator Target Update'!A417,"",INDIRECT("'Impact Indicators - Section B'!A"&amp;'Impact Indicator Target Update'!D417))</f>
        <v/>
      </c>
    </row>
    <row r="6139" spans="10:10" x14ac:dyDescent="0.35">
      <c r="J6139" s="496" t="str">
        <f ca="1">IF(ROW()&gt;'Impact Indicator Target Update'!A418,"",INDIRECT("'Impact Indicators - Section B'!A"&amp;'Impact Indicator Target Update'!D418))</f>
        <v/>
      </c>
    </row>
    <row r="6140" spans="10:10" x14ac:dyDescent="0.35">
      <c r="J6140" s="496" t="str">
        <f ca="1">IF(ROW()&gt;'Impact Indicator Target Update'!A419,"",INDIRECT("'Impact Indicators - Section B'!A"&amp;'Impact Indicator Target Update'!D419))</f>
        <v/>
      </c>
    </row>
    <row r="6141" spans="10:10" x14ac:dyDescent="0.35">
      <c r="J6141" s="496" t="str">
        <f ca="1">IF(ROW()&gt;'Impact Indicator Target Update'!A420,"",INDIRECT("'Impact Indicators - Section B'!A"&amp;'Impact Indicator Target Update'!D420))</f>
        <v/>
      </c>
    </row>
    <row r="6142" spans="10:10" x14ac:dyDescent="0.35">
      <c r="J6142" s="496" t="str">
        <f ca="1">IF(ROW()&gt;'Impact Indicator Target Update'!A421,"",INDIRECT("'Impact Indicators - Section B'!A"&amp;'Impact Indicator Target Update'!D421))</f>
        <v/>
      </c>
    </row>
    <row r="6143" spans="10:10" x14ac:dyDescent="0.35">
      <c r="J6143" s="496" t="str">
        <f ca="1">IF(ROW()&gt;'Impact Indicator Target Update'!A422,"",INDIRECT("'Impact Indicators - Section B'!A"&amp;'Impact Indicator Target Update'!D422))</f>
        <v/>
      </c>
    </row>
    <row r="6144" spans="10:10" x14ac:dyDescent="0.35">
      <c r="J6144" s="496" t="str">
        <f ca="1">IF(ROW()&gt;'Impact Indicator Target Update'!A423,"",INDIRECT("'Impact Indicators - Section B'!A"&amp;'Impact Indicator Target Update'!D423))</f>
        <v/>
      </c>
    </row>
    <row r="6145" spans="10:10" x14ac:dyDescent="0.35">
      <c r="J6145" s="496" t="str">
        <f ca="1">IF(ROW()&gt;'Impact Indicator Target Update'!A424,"",INDIRECT("'Impact Indicators - Section B'!A"&amp;'Impact Indicator Target Update'!D424))</f>
        <v/>
      </c>
    </row>
    <row r="6146" spans="10:10" x14ac:dyDescent="0.35">
      <c r="J6146" s="496" t="str">
        <f ca="1">IF(ROW()&gt;'Impact Indicator Target Update'!A425,"",INDIRECT("'Impact Indicators - Section B'!A"&amp;'Impact Indicator Target Update'!D425))</f>
        <v/>
      </c>
    </row>
    <row r="6147" spans="10:10" x14ac:dyDescent="0.35">
      <c r="J6147" s="496" t="str">
        <f ca="1">IF(ROW()&gt;'Impact Indicator Target Update'!A426,"",INDIRECT("'Impact Indicators - Section B'!A"&amp;'Impact Indicator Target Update'!D426))</f>
        <v/>
      </c>
    </row>
    <row r="6148" spans="10:10" x14ac:dyDescent="0.35">
      <c r="J6148" s="496" t="str">
        <f ca="1">IF(ROW()&gt;'Impact Indicator Target Update'!A427,"",INDIRECT("'Impact Indicators - Section B'!A"&amp;'Impact Indicator Target Update'!D427))</f>
        <v/>
      </c>
    </row>
    <row r="6149" spans="10:10" x14ac:dyDescent="0.35">
      <c r="J6149" s="496" t="str">
        <f ca="1">IF(ROW()&gt;'Impact Indicator Target Update'!A428,"",INDIRECT("'Impact Indicators - Section B'!A"&amp;'Impact Indicator Target Update'!D428))</f>
        <v/>
      </c>
    </row>
    <row r="6150" spans="10:10" x14ac:dyDescent="0.35">
      <c r="J6150" s="496" t="str">
        <f ca="1">IF(ROW()&gt;'Impact Indicator Target Update'!A429,"",INDIRECT("'Impact Indicators - Section B'!A"&amp;'Impact Indicator Target Update'!D429))</f>
        <v/>
      </c>
    </row>
    <row r="6151" spans="10:10" x14ac:dyDescent="0.35">
      <c r="J6151" s="496" t="str">
        <f ca="1">IF(ROW()&gt;'Impact Indicator Target Update'!A430,"",INDIRECT("'Impact Indicators - Section B'!A"&amp;'Impact Indicator Target Update'!D430))</f>
        <v/>
      </c>
    </row>
    <row r="6152" spans="10:10" x14ac:dyDescent="0.35">
      <c r="J6152" s="496" t="str">
        <f ca="1">IF(ROW()&gt;'Impact Indicator Target Update'!A431,"",INDIRECT("'Impact Indicators - Section B'!A"&amp;'Impact Indicator Target Update'!D431))</f>
        <v/>
      </c>
    </row>
    <row r="6153" spans="10:10" x14ac:dyDescent="0.35">
      <c r="J6153" s="496" t="str">
        <f ca="1">IF(ROW()&gt;'Impact Indicator Target Update'!A432,"",INDIRECT("'Impact Indicators - Section B'!A"&amp;'Impact Indicator Target Update'!D432))</f>
        <v/>
      </c>
    </row>
    <row r="6154" spans="10:10" x14ac:dyDescent="0.35">
      <c r="J6154" s="496" t="str">
        <f ca="1">IF(ROW()&gt;'Impact Indicator Target Update'!A433,"",INDIRECT("'Impact Indicators - Section B'!A"&amp;'Impact Indicator Target Update'!D433))</f>
        <v/>
      </c>
    </row>
    <row r="6155" spans="10:10" x14ac:dyDescent="0.35">
      <c r="J6155" s="496" t="str">
        <f ca="1">IF(ROW()&gt;'Impact Indicator Target Update'!A434,"",INDIRECT("'Impact Indicators - Section B'!A"&amp;'Impact Indicator Target Update'!D434))</f>
        <v/>
      </c>
    </row>
    <row r="6156" spans="10:10" x14ac:dyDescent="0.35">
      <c r="J6156" s="496" t="str">
        <f ca="1">IF(ROW()&gt;'Impact Indicator Target Update'!A435,"",INDIRECT("'Impact Indicators - Section B'!A"&amp;'Impact Indicator Target Update'!D435))</f>
        <v/>
      </c>
    </row>
    <row r="6157" spans="10:10" x14ac:dyDescent="0.35">
      <c r="J6157" s="496" t="str">
        <f ca="1">IF(ROW()&gt;'Impact Indicator Target Update'!A436,"",INDIRECT("'Impact Indicators - Section B'!A"&amp;'Impact Indicator Target Update'!D436))</f>
        <v/>
      </c>
    </row>
    <row r="6158" spans="10:10" x14ac:dyDescent="0.35">
      <c r="J6158" s="496" t="str">
        <f ca="1">IF(ROW()&gt;'Impact Indicator Target Update'!A437,"",INDIRECT("'Impact Indicators - Section B'!A"&amp;'Impact Indicator Target Update'!D437))</f>
        <v/>
      </c>
    </row>
    <row r="6159" spans="10:10" x14ac:dyDescent="0.35">
      <c r="J6159" s="496" t="str">
        <f ca="1">IF(ROW()&gt;'Impact Indicator Target Update'!A438,"",INDIRECT("'Impact Indicators - Section B'!A"&amp;'Impact Indicator Target Update'!D438))</f>
        <v/>
      </c>
    </row>
    <row r="6160" spans="10:10" x14ac:dyDescent="0.35">
      <c r="J6160" s="496" t="str">
        <f ca="1">IF(ROW()&gt;'Impact Indicator Target Update'!A439,"",INDIRECT("'Impact Indicators - Section B'!A"&amp;'Impact Indicator Target Update'!D439))</f>
        <v/>
      </c>
    </row>
    <row r="6161" spans="10:10" x14ac:dyDescent="0.35">
      <c r="J6161" s="496" t="str">
        <f ca="1">IF(ROW()&gt;'Impact Indicator Target Update'!A440,"",INDIRECT("'Impact Indicators - Section B'!A"&amp;'Impact Indicator Target Update'!D440))</f>
        <v/>
      </c>
    </row>
    <row r="6162" spans="10:10" x14ac:dyDescent="0.35">
      <c r="J6162" s="496" t="str">
        <f ca="1">IF(ROW()&gt;'Impact Indicator Target Update'!A441,"",INDIRECT("'Impact Indicators - Section B'!A"&amp;'Impact Indicator Target Update'!D441))</f>
        <v/>
      </c>
    </row>
    <row r="6163" spans="10:10" x14ac:dyDescent="0.35">
      <c r="J6163" s="496" t="str">
        <f ca="1">IF(ROW()&gt;'Impact Indicator Target Update'!A442,"",INDIRECT("'Impact Indicators - Section B'!A"&amp;'Impact Indicator Target Update'!D442))</f>
        <v/>
      </c>
    </row>
    <row r="6164" spans="10:10" x14ac:dyDescent="0.35">
      <c r="J6164" s="496" t="str">
        <f ca="1">IF(ROW()&gt;'Impact Indicator Target Update'!A443,"",INDIRECT("'Impact Indicators - Section B'!A"&amp;'Impact Indicator Target Update'!D443))</f>
        <v/>
      </c>
    </row>
    <row r="6165" spans="10:10" x14ac:dyDescent="0.35">
      <c r="J6165" s="496" t="str">
        <f ca="1">IF(ROW()&gt;'Impact Indicator Target Update'!A444,"",INDIRECT("'Impact Indicators - Section B'!A"&amp;'Impact Indicator Target Update'!D444))</f>
        <v/>
      </c>
    </row>
    <row r="6166" spans="10:10" x14ac:dyDescent="0.35">
      <c r="J6166" s="496" t="str">
        <f ca="1">IF(ROW()&gt;'Impact Indicator Target Update'!A445,"",INDIRECT("'Impact Indicators - Section B'!A"&amp;'Impact Indicator Target Update'!D445))</f>
        <v/>
      </c>
    </row>
    <row r="6167" spans="10:10" x14ac:dyDescent="0.35">
      <c r="J6167" s="496" t="str">
        <f ca="1">IF(ROW()&gt;'Impact Indicator Target Update'!A446,"",INDIRECT("'Impact Indicators - Section B'!A"&amp;'Impact Indicator Target Update'!D446))</f>
        <v/>
      </c>
    </row>
    <row r="6168" spans="10:10" x14ac:dyDescent="0.35">
      <c r="J6168" s="496" t="str">
        <f ca="1">IF(ROW()&gt;'Impact Indicator Target Update'!A447,"",INDIRECT("'Impact Indicators - Section B'!A"&amp;'Impact Indicator Target Update'!D447))</f>
        <v/>
      </c>
    </row>
    <row r="6169" spans="10:10" x14ac:dyDescent="0.35">
      <c r="J6169" s="496" t="str">
        <f ca="1">IF(ROW()&gt;'Impact Indicator Target Update'!A448,"",INDIRECT("'Impact Indicators - Section B'!A"&amp;'Impact Indicator Target Update'!D448))</f>
        <v/>
      </c>
    </row>
    <row r="6170" spans="10:10" x14ac:dyDescent="0.35">
      <c r="J6170" s="496" t="str">
        <f ca="1">IF(ROW()&gt;'Impact Indicator Target Update'!A449,"",INDIRECT("'Impact Indicators - Section B'!A"&amp;'Impact Indicator Target Update'!D449))</f>
        <v/>
      </c>
    </row>
    <row r="6171" spans="10:10" x14ac:dyDescent="0.35">
      <c r="J6171" s="496" t="str">
        <f ca="1">IF(ROW()&gt;'Impact Indicator Target Update'!A450,"",INDIRECT("'Impact Indicators - Section B'!A"&amp;'Impact Indicator Target Update'!D450))</f>
        <v/>
      </c>
    </row>
    <row r="6172" spans="10:10" x14ac:dyDescent="0.35">
      <c r="J6172" s="496" t="str">
        <f ca="1">IF(ROW()&gt;'Impact Indicator Target Update'!A451,"",INDIRECT("'Impact Indicators - Section B'!A"&amp;'Impact Indicator Target Update'!D451))</f>
        <v/>
      </c>
    </row>
    <row r="6173" spans="10:10" x14ac:dyDescent="0.35">
      <c r="J6173" s="496" t="str">
        <f ca="1">IF(ROW()&gt;'Impact Indicator Target Update'!A452,"",INDIRECT("'Impact Indicators - Section B'!A"&amp;'Impact Indicator Target Update'!D452))</f>
        <v/>
      </c>
    </row>
    <row r="6174" spans="10:10" x14ac:dyDescent="0.35">
      <c r="J6174" s="496" t="str">
        <f ca="1">IF(ROW()&gt;'Impact Indicator Target Update'!A453,"",INDIRECT("'Impact Indicators - Section B'!A"&amp;'Impact Indicator Target Update'!D453))</f>
        <v/>
      </c>
    </row>
    <row r="6175" spans="10:10" x14ac:dyDescent="0.35">
      <c r="J6175" s="496" t="str">
        <f ca="1">IF(ROW()&gt;'Impact Indicator Target Update'!A454,"",INDIRECT("'Impact Indicators - Section B'!A"&amp;'Impact Indicator Target Update'!D454))</f>
        <v/>
      </c>
    </row>
    <row r="6176" spans="10:10" x14ac:dyDescent="0.35">
      <c r="J6176" s="496" t="str">
        <f ca="1">IF(ROW()&gt;'Impact Indicator Target Update'!A455,"",INDIRECT("'Impact Indicators - Section B'!A"&amp;'Impact Indicator Target Update'!D455))</f>
        <v/>
      </c>
    </row>
    <row r="6177" spans="10:10" x14ac:dyDescent="0.35">
      <c r="J6177" s="496" t="str">
        <f ca="1">IF(ROW()&gt;'Impact Indicator Target Update'!A456,"",INDIRECT("'Impact Indicators - Section B'!A"&amp;'Impact Indicator Target Update'!D456))</f>
        <v/>
      </c>
    </row>
    <row r="6178" spans="10:10" x14ac:dyDescent="0.35">
      <c r="J6178" s="496" t="str">
        <f ca="1">IF(ROW()&gt;'Impact Indicator Target Update'!A457,"",INDIRECT("'Impact Indicators - Section B'!A"&amp;'Impact Indicator Target Update'!D457))</f>
        <v/>
      </c>
    </row>
    <row r="6179" spans="10:10" x14ac:dyDescent="0.35">
      <c r="J6179" s="496" t="str">
        <f ca="1">IF(ROW()&gt;'Impact Indicator Target Update'!A458,"",INDIRECT("'Impact Indicators - Section B'!A"&amp;'Impact Indicator Target Update'!D458))</f>
        <v/>
      </c>
    </row>
    <row r="6180" spans="10:10" x14ac:dyDescent="0.35">
      <c r="J6180" s="496" t="str">
        <f ca="1">IF(ROW()&gt;'Impact Indicator Target Update'!A459,"",INDIRECT("'Impact Indicators - Section B'!A"&amp;'Impact Indicator Target Update'!D459))</f>
        <v/>
      </c>
    </row>
    <row r="6181" spans="10:10" x14ac:dyDescent="0.35">
      <c r="J6181" s="496" t="str">
        <f ca="1">IF(ROW()&gt;'Impact Indicator Target Update'!A460,"",INDIRECT("'Impact Indicators - Section B'!A"&amp;'Impact Indicator Target Update'!D460))</f>
        <v/>
      </c>
    </row>
    <row r="6182" spans="10:10" x14ac:dyDescent="0.35">
      <c r="J6182" s="496" t="str">
        <f ca="1">IF(ROW()&gt;'Impact Indicator Target Update'!A461,"",INDIRECT("'Impact Indicators - Section B'!A"&amp;'Impact Indicator Target Update'!D461))</f>
        <v/>
      </c>
    </row>
    <row r="6183" spans="10:10" x14ac:dyDescent="0.35">
      <c r="J6183" s="496" t="str">
        <f ca="1">IF(ROW()&gt;'Impact Indicator Target Update'!A462,"",INDIRECT("'Impact Indicators - Section B'!A"&amp;'Impact Indicator Target Update'!D462))</f>
        <v/>
      </c>
    </row>
    <row r="6184" spans="10:10" x14ac:dyDescent="0.35">
      <c r="J6184" s="496" t="str">
        <f ca="1">IF(ROW()&gt;'Impact Indicator Target Update'!A463,"",INDIRECT("'Impact Indicators - Section B'!A"&amp;'Impact Indicator Target Update'!D463))</f>
        <v/>
      </c>
    </row>
    <row r="6185" spans="10:10" x14ac:dyDescent="0.35">
      <c r="J6185" s="496" t="str">
        <f ca="1">IF(ROW()&gt;'Impact Indicator Target Update'!A464,"",INDIRECT("'Impact Indicators - Section B'!A"&amp;'Impact Indicator Target Update'!D464))</f>
        <v/>
      </c>
    </row>
    <row r="6186" spans="10:10" x14ac:dyDescent="0.35">
      <c r="J6186" s="496" t="str">
        <f ca="1">IF(ROW()&gt;'Impact Indicator Target Update'!A465,"",INDIRECT("'Impact Indicators - Section B'!A"&amp;'Impact Indicator Target Update'!D465))</f>
        <v/>
      </c>
    </row>
    <row r="6187" spans="10:10" x14ac:dyDescent="0.35">
      <c r="J6187" s="496" t="str">
        <f ca="1">IF(ROW()&gt;'Impact Indicator Target Update'!A466,"",INDIRECT("'Impact Indicators - Section B'!A"&amp;'Impact Indicator Target Update'!D466))</f>
        <v/>
      </c>
    </row>
    <row r="6188" spans="10:10" x14ac:dyDescent="0.35">
      <c r="J6188" s="496" t="str">
        <f ca="1">IF(ROW()&gt;'Impact Indicator Target Update'!A467,"",INDIRECT("'Impact Indicators - Section B'!A"&amp;'Impact Indicator Target Update'!D467))</f>
        <v/>
      </c>
    </row>
    <row r="6189" spans="10:10" x14ac:dyDescent="0.35">
      <c r="J6189" s="496" t="str">
        <f ca="1">IF(ROW()&gt;'Impact Indicator Target Update'!A468,"",INDIRECT("'Impact Indicators - Section B'!A"&amp;'Impact Indicator Target Update'!D468))</f>
        <v/>
      </c>
    </row>
    <row r="6190" spans="10:10" x14ac:dyDescent="0.35">
      <c r="J6190" s="496" t="str">
        <f ca="1">IF(ROW()&gt;'Impact Indicator Target Update'!A469,"",INDIRECT("'Impact Indicators - Section B'!A"&amp;'Impact Indicator Target Update'!D469))</f>
        <v/>
      </c>
    </row>
    <row r="6191" spans="10:10" x14ac:dyDescent="0.35">
      <c r="J6191" s="496" t="str">
        <f ca="1">IF(ROW()&gt;'Impact Indicator Target Update'!A470,"",INDIRECT("'Impact Indicators - Section B'!A"&amp;'Impact Indicator Target Update'!D470))</f>
        <v/>
      </c>
    </row>
    <row r="6192" spans="10:10" x14ac:dyDescent="0.35">
      <c r="J6192" s="496" t="str">
        <f ca="1">IF(ROW()&gt;'Impact Indicator Target Update'!A471,"",INDIRECT("'Impact Indicators - Section B'!A"&amp;'Impact Indicator Target Update'!D471))</f>
        <v/>
      </c>
    </row>
    <row r="6193" spans="10:10" x14ac:dyDescent="0.35">
      <c r="J6193" s="496" t="str">
        <f ca="1">IF(ROW()&gt;'Impact Indicator Target Update'!A472,"",INDIRECT("'Impact Indicators - Section B'!A"&amp;'Impact Indicator Target Update'!D472))</f>
        <v/>
      </c>
    </row>
    <row r="6194" spans="10:10" x14ac:dyDescent="0.35">
      <c r="J6194" s="496" t="str">
        <f ca="1">IF(ROW()&gt;'Impact Indicator Target Update'!A473,"",INDIRECT("'Impact Indicators - Section B'!A"&amp;'Impact Indicator Target Update'!D473))</f>
        <v/>
      </c>
    </row>
    <row r="6195" spans="10:10" x14ac:dyDescent="0.35">
      <c r="J6195" s="496" t="str">
        <f ca="1">IF(ROW()&gt;'Impact Indicator Target Update'!A474,"",INDIRECT("'Impact Indicators - Section B'!A"&amp;'Impact Indicator Target Update'!D474))</f>
        <v/>
      </c>
    </row>
    <row r="6196" spans="10:10" x14ac:dyDescent="0.35">
      <c r="J6196" s="496" t="str">
        <f ca="1">IF(ROW()&gt;'Impact Indicator Target Update'!A475,"",INDIRECT("'Impact Indicators - Section B'!A"&amp;'Impact Indicator Target Update'!D475))</f>
        <v/>
      </c>
    </row>
    <row r="6197" spans="10:10" x14ac:dyDescent="0.35">
      <c r="J6197" s="496" t="str">
        <f ca="1">IF(ROW()&gt;'Impact Indicator Target Update'!A476,"",INDIRECT("'Impact Indicators - Section B'!A"&amp;'Impact Indicator Target Update'!D476))</f>
        <v/>
      </c>
    </row>
    <row r="6198" spans="10:10" x14ac:dyDescent="0.35">
      <c r="J6198" s="496" t="str">
        <f ca="1">IF(ROW()&gt;'Impact Indicator Target Update'!A477,"",INDIRECT("'Impact Indicators - Section B'!A"&amp;'Impact Indicator Target Update'!D477))</f>
        <v/>
      </c>
    </row>
    <row r="6199" spans="10:10" x14ac:dyDescent="0.35">
      <c r="J6199" s="496" t="str">
        <f ca="1">IF(ROW()&gt;'Impact Indicator Target Update'!A478,"",INDIRECT("'Impact Indicators - Section B'!A"&amp;'Impact Indicator Target Update'!D478))</f>
        <v/>
      </c>
    </row>
    <row r="6200" spans="10:10" x14ac:dyDescent="0.35">
      <c r="J6200" s="496" t="str">
        <f ca="1">IF(ROW()&gt;'Impact Indicator Target Update'!A479,"",INDIRECT("'Impact Indicators - Section B'!A"&amp;'Impact Indicator Target Update'!D479))</f>
        <v/>
      </c>
    </row>
    <row r="6201" spans="10:10" x14ac:dyDescent="0.35">
      <c r="J6201" s="496" t="str">
        <f ca="1">IF(ROW()&gt;'Impact Indicator Target Update'!A480,"",INDIRECT("'Impact Indicators - Section B'!A"&amp;'Impact Indicator Target Update'!D480))</f>
        <v/>
      </c>
    </row>
    <row r="6202" spans="10:10" x14ac:dyDescent="0.35">
      <c r="J6202" s="496" t="str">
        <f ca="1">IF(ROW()&gt;'Impact Indicator Target Update'!A481,"",INDIRECT("'Impact Indicators - Section B'!A"&amp;'Impact Indicator Target Update'!D481))</f>
        <v/>
      </c>
    </row>
    <row r="6203" spans="10:10" x14ac:dyDescent="0.35">
      <c r="J6203" s="496" t="str">
        <f ca="1">IF(ROW()&gt;'Impact Indicator Target Update'!A482,"",INDIRECT("'Impact Indicators - Section B'!A"&amp;'Impact Indicator Target Update'!D482))</f>
        <v/>
      </c>
    </row>
    <row r="6204" spans="10:10" x14ac:dyDescent="0.35">
      <c r="J6204" s="496" t="str">
        <f ca="1">IF(ROW()&gt;'Impact Indicator Target Update'!A483,"",INDIRECT("'Impact Indicators - Section B'!A"&amp;'Impact Indicator Target Update'!D483))</f>
        <v/>
      </c>
    </row>
    <row r="6205" spans="10:10" x14ac:dyDescent="0.35">
      <c r="J6205" s="496" t="str">
        <f ca="1">IF(ROW()&gt;'Impact Indicator Target Update'!A484,"",INDIRECT("'Impact Indicators - Section B'!A"&amp;'Impact Indicator Target Update'!D484))</f>
        <v/>
      </c>
    </row>
    <row r="6206" spans="10:10" x14ac:dyDescent="0.35">
      <c r="J6206" s="496" t="str">
        <f ca="1">IF(ROW()&gt;'Impact Indicator Target Update'!A485,"",INDIRECT("'Impact Indicators - Section B'!A"&amp;'Impact Indicator Target Update'!D485))</f>
        <v/>
      </c>
    </row>
    <row r="6207" spans="10:10" x14ac:dyDescent="0.35">
      <c r="J6207" s="496" t="str">
        <f ca="1">IF(ROW()&gt;'Impact Indicator Target Update'!A486,"",INDIRECT("'Impact Indicators - Section B'!A"&amp;'Impact Indicator Target Update'!D486))</f>
        <v/>
      </c>
    </row>
    <row r="6208" spans="10:10" x14ac:dyDescent="0.35">
      <c r="J6208" s="496" t="str">
        <f ca="1">IF(ROW()&gt;'Impact Indicator Target Update'!A487,"",INDIRECT("'Impact Indicators - Section B'!A"&amp;'Impact Indicator Target Update'!D487))</f>
        <v/>
      </c>
    </row>
    <row r="6209" spans="10:10" x14ac:dyDescent="0.35">
      <c r="J6209" s="496" t="str">
        <f ca="1">IF(ROW()&gt;'Impact Indicator Target Update'!A488,"",INDIRECT("'Impact Indicators - Section B'!A"&amp;'Impact Indicator Target Update'!D488))</f>
        <v/>
      </c>
    </row>
    <row r="6210" spans="10:10" x14ac:dyDescent="0.35">
      <c r="J6210" s="496" t="str">
        <f ca="1">IF(ROW()&gt;'Impact Indicator Target Update'!A489,"",INDIRECT("'Impact Indicators - Section B'!A"&amp;'Impact Indicator Target Update'!D489))</f>
        <v/>
      </c>
    </row>
    <row r="6211" spans="10:10" x14ac:dyDescent="0.35">
      <c r="J6211" s="496" t="str">
        <f ca="1">IF(ROW()&gt;'Impact Indicator Target Update'!A490,"",INDIRECT("'Impact Indicators - Section B'!A"&amp;'Impact Indicator Target Update'!D490))</f>
        <v/>
      </c>
    </row>
    <row r="6212" spans="10:10" x14ac:dyDescent="0.35">
      <c r="J6212" s="496" t="str">
        <f ca="1">IF(ROW()&gt;'Impact Indicator Target Update'!A491,"",INDIRECT("'Impact Indicators - Section B'!A"&amp;'Impact Indicator Target Update'!D491))</f>
        <v/>
      </c>
    </row>
    <row r="6213" spans="10:10" x14ac:dyDescent="0.35">
      <c r="J6213" s="496" t="str">
        <f ca="1">IF(ROW()&gt;'Impact Indicator Target Update'!A492,"",INDIRECT("'Impact Indicators - Section B'!A"&amp;'Impact Indicator Target Update'!D492))</f>
        <v/>
      </c>
    </row>
    <row r="6214" spans="10:10" x14ac:dyDescent="0.35">
      <c r="J6214" s="496" t="str">
        <f ca="1">IF(ROW()&gt;'Impact Indicator Target Update'!A493,"",INDIRECT("'Impact Indicators - Section B'!A"&amp;'Impact Indicator Target Update'!D493))</f>
        <v/>
      </c>
    </row>
    <row r="6215" spans="10:10" x14ac:dyDescent="0.35">
      <c r="J6215" s="496" t="str">
        <f ca="1">IF(ROW()&gt;'Impact Indicator Target Update'!A494,"",INDIRECT("'Impact Indicators - Section B'!A"&amp;'Impact Indicator Target Update'!D494))</f>
        <v/>
      </c>
    </row>
    <row r="6216" spans="10:10" x14ac:dyDescent="0.35">
      <c r="J6216" s="496" t="str">
        <f ca="1">IF(ROW()&gt;'Impact Indicator Target Update'!A495,"",INDIRECT("'Impact Indicators - Section B'!A"&amp;'Impact Indicator Target Update'!D495))</f>
        <v/>
      </c>
    </row>
    <row r="6217" spans="10:10" x14ac:dyDescent="0.35">
      <c r="J6217" s="496" t="str">
        <f ca="1">IF(ROW()&gt;'Impact Indicator Target Update'!A496,"",INDIRECT("'Impact Indicators - Section B'!A"&amp;'Impact Indicator Target Update'!D496))</f>
        <v/>
      </c>
    </row>
    <row r="6218" spans="10:10" x14ac:dyDescent="0.35">
      <c r="J6218" s="496" t="str">
        <f ca="1">IF(ROW()&gt;'Impact Indicator Target Update'!A497,"",INDIRECT("'Impact Indicators - Section B'!A"&amp;'Impact Indicator Target Update'!D497))</f>
        <v/>
      </c>
    </row>
    <row r="6219" spans="10:10" x14ac:dyDescent="0.35">
      <c r="J6219" s="496" t="str">
        <f ca="1">IF(ROW()&gt;'Impact Indicator Target Update'!A498,"",INDIRECT("'Impact Indicators - Section B'!A"&amp;'Impact Indicator Target Update'!D498))</f>
        <v/>
      </c>
    </row>
    <row r="6220" spans="10:10" x14ac:dyDescent="0.35">
      <c r="J6220" s="496" t="str">
        <f ca="1">IF(ROW()&gt;'Impact Indicator Target Update'!A499,"",INDIRECT("'Impact Indicators - Section B'!A"&amp;'Impact Indicator Target Update'!D499))</f>
        <v/>
      </c>
    </row>
    <row r="6221" spans="10:10" x14ac:dyDescent="0.35">
      <c r="J6221" s="496" t="str">
        <f ca="1">IF(ROW()&gt;'Impact Indicator Target Update'!A500,"",INDIRECT("'Impact Indicators - Section B'!A"&amp;'Impact Indicator Target Update'!D500))</f>
        <v/>
      </c>
    </row>
    <row r="6222" spans="10:10" x14ac:dyDescent="0.35">
      <c r="J6222" s="496" t="str">
        <f ca="1">IF(ROW()&gt;'Impact Indicator Target Update'!A501,"",INDIRECT("'Impact Indicators - Section B'!A"&amp;'Impact Indicator Target Update'!D501))</f>
        <v/>
      </c>
    </row>
    <row r="6223" spans="10:10" x14ac:dyDescent="0.35">
      <c r="J6223" s="496" t="str">
        <f ca="1">IF(ROW()&gt;'Impact Indicator Target Update'!A502,"",INDIRECT("'Impact Indicators - Section B'!A"&amp;'Impact Indicator Target Update'!D502))</f>
        <v/>
      </c>
    </row>
    <row r="6224" spans="10:10" x14ac:dyDescent="0.35">
      <c r="J6224" s="496" t="str">
        <f ca="1">IF(ROW()&gt;'Impact Indicator Target Update'!A503,"",INDIRECT("'Impact Indicators - Section B'!A"&amp;'Impact Indicator Target Update'!D503))</f>
        <v/>
      </c>
    </row>
    <row r="6225" spans="10:10" x14ac:dyDescent="0.35">
      <c r="J6225" s="496" t="str">
        <f ca="1">IF(ROW()&gt;'Impact Indicator Target Update'!A504,"",INDIRECT("'Impact Indicators - Section B'!A"&amp;'Impact Indicator Target Update'!D504))</f>
        <v/>
      </c>
    </row>
    <row r="6226" spans="10:10" x14ac:dyDescent="0.35">
      <c r="J6226" s="496" t="str">
        <f ca="1">IF(ROW()&gt;'Impact Indicator Target Update'!A505,"",INDIRECT("'Impact Indicators - Section B'!A"&amp;'Impact Indicator Target Update'!D505))</f>
        <v/>
      </c>
    </row>
    <row r="6227" spans="10:10" x14ac:dyDescent="0.35">
      <c r="J6227" s="496" t="str">
        <f ca="1">IF(ROW()&gt;'Impact Indicator Target Update'!A506,"",INDIRECT("'Impact Indicators - Section B'!A"&amp;'Impact Indicator Target Update'!D506))</f>
        <v/>
      </c>
    </row>
    <row r="6228" spans="10:10" x14ac:dyDescent="0.35">
      <c r="J6228" s="496" t="str">
        <f ca="1">IF(ROW()&gt;'Impact Indicator Target Update'!A507,"",INDIRECT("'Impact Indicators - Section B'!A"&amp;'Impact Indicator Target Update'!D507))</f>
        <v/>
      </c>
    </row>
    <row r="6229" spans="10:10" x14ac:dyDescent="0.35">
      <c r="J6229" s="496" t="str">
        <f ca="1">IF(ROW()&gt;'Impact Indicator Target Update'!A508,"",INDIRECT("'Impact Indicators - Section B'!A"&amp;'Impact Indicator Target Update'!D508))</f>
        <v/>
      </c>
    </row>
    <row r="6230" spans="10:10" x14ac:dyDescent="0.35">
      <c r="J6230" s="496" t="str">
        <f ca="1">IF(ROW()&gt;'Impact Indicator Target Update'!A509,"",INDIRECT("'Impact Indicators - Section B'!A"&amp;'Impact Indicator Target Update'!D509))</f>
        <v/>
      </c>
    </row>
    <row r="6231" spans="10:10" x14ac:dyDescent="0.35">
      <c r="J6231" s="496" t="str">
        <f ca="1">IF(ROW()&gt;'Impact Indicator Target Update'!A510,"",INDIRECT("'Impact Indicators - Section B'!A"&amp;'Impact Indicator Target Update'!D510))</f>
        <v/>
      </c>
    </row>
    <row r="6232" spans="10:10" x14ac:dyDescent="0.35">
      <c r="J6232" s="496" t="str">
        <f ca="1">IF(ROW()&gt;'Impact Indicator Target Update'!A511,"",INDIRECT("'Impact Indicators - Section B'!A"&amp;'Impact Indicator Target Update'!D511))</f>
        <v/>
      </c>
    </row>
    <row r="6233" spans="10:10" x14ac:dyDescent="0.35">
      <c r="J6233" s="496" t="str">
        <f ca="1">IF(ROW()&gt;'Impact Indicator Target Update'!A512,"",INDIRECT("'Impact Indicators - Section B'!A"&amp;'Impact Indicator Target Update'!D512))</f>
        <v/>
      </c>
    </row>
    <row r="6234" spans="10:10" x14ac:dyDescent="0.35">
      <c r="J6234" s="496" t="str">
        <f ca="1">IF(ROW()&gt;'Impact Indicator Target Update'!A513,"",INDIRECT("'Impact Indicators - Section B'!A"&amp;'Impact Indicator Target Update'!D513))</f>
        <v/>
      </c>
    </row>
    <row r="6235" spans="10:10" x14ac:dyDescent="0.35">
      <c r="J6235" s="496" t="str">
        <f ca="1">IF(ROW()&gt;'Impact Indicator Target Update'!A514,"",INDIRECT("'Impact Indicators - Section B'!A"&amp;'Impact Indicator Target Update'!D514))</f>
        <v/>
      </c>
    </row>
    <row r="6236" spans="10:10" x14ac:dyDescent="0.35">
      <c r="J6236" s="496" t="str">
        <f ca="1">IF(ROW()&gt;'Impact Indicator Target Update'!A515,"",INDIRECT("'Impact Indicators - Section B'!A"&amp;'Impact Indicator Target Update'!D515))</f>
        <v/>
      </c>
    </row>
    <row r="6237" spans="10:10" x14ac:dyDescent="0.35">
      <c r="J6237" s="496" t="str">
        <f ca="1">IF(ROW()&gt;'Impact Indicator Target Update'!A516,"",INDIRECT("'Impact Indicators - Section B'!A"&amp;'Impact Indicator Target Update'!D516))</f>
        <v/>
      </c>
    </row>
    <row r="6238" spans="10:10" x14ac:dyDescent="0.35">
      <c r="J6238" s="496" t="str">
        <f ca="1">IF(ROW()&gt;'Impact Indicator Target Update'!A517,"",INDIRECT("'Impact Indicators - Section B'!A"&amp;'Impact Indicator Target Update'!D517))</f>
        <v/>
      </c>
    </row>
    <row r="6239" spans="10:10" x14ac:dyDescent="0.35">
      <c r="J6239" s="496" t="str">
        <f ca="1">IF(ROW()&gt;'Impact Indicator Target Update'!A518,"",INDIRECT("'Impact Indicators - Section B'!A"&amp;'Impact Indicator Target Update'!D518))</f>
        <v/>
      </c>
    </row>
    <row r="6240" spans="10:10" x14ac:dyDescent="0.35">
      <c r="J6240" s="496" t="str">
        <f ca="1">IF(ROW()&gt;'Impact Indicator Target Update'!A519,"",INDIRECT("'Impact Indicators - Section B'!A"&amp;'Impact Indicator Target Update'!D519))</f>
        <v/>
      </c>
    </row>
    <row r="6241" spans="10:10" x14ac:dyDescent="0.35">
      <c r="J6241" s="496" t="str">
        <f ca="1">IF(ROW()&gt;'Impact Indicator Target Update'!A520,"",INDIRECT("'Impact Indicators - Section B'!A"&amp;'Impact Indicator Target Update'!D520))</f>
        <v/>
      </c>
    </row>
    <row r="6242" spans="10:10" x14ac:dyDescent="0.35">
      <c r="J6242" s="496" t="str">
        <f ca="1">IF(ROW()&gt;'Impact Indicator Target Update'!A521,"",INDIRECT("'Impact Indicators - Section B'!A"&amp;'Impact Indicator Target Update'!D521))</f>
        <v/>
      </c>
    </row>
    <row r="6243" spans="10:10" x14ac:dyDescent="0.35">
      <c r="J6243" s="496" t="str">
        <f ca="1">IF(ROW()&gt;'Impact Indicator Target Update'!A522,"",INDIRECT("'Impact Indicators - Section B'!A"&amp;'Impact Indicator Target Update'!D522))</f>
        <v/>
      </c>
    </row>
    <row r="6244" spans="10:10" x14ac:dyDescent="0.35">
      <c r="J6244" s="496" t="str">
        <f ca="1">IF(ROW()&gt;'Impact Indicator Target Update'!A523,"",INDIRECT("'Impact Indicators - Section B'!A"&amp;'Impact Indicator Target Update'!D523))</f>
        <v/>
      </c>
    </row>
    <row r="6245" spans="10:10" x14ac:dyDescent="0.35">
      <c r="J6245" s="496" t="str">
        <f ca="1">IF(ROW()&gt;'Impact Indicator Target Update'!A524,"",INDIRECT("'Impact Indicators - Section B'!A"&amp;'Impact Indicator Target Update'!D524))</f>
        <v/>
      </c>
    </row>
    <row r="6246" spans="10:10" x14ac:dyDescent="0.35">
      <c r="J6246" s="496" t="str">
        <f ca="1">IF(ROW()&gt;'Impact Indicator Target Update'!A525,"",INDIRECT("'Impact Indicators - Section B'!A"&amp;'Impact Indicator Target Update'!D525))</f>
        <v/>
      </c>
    </row>
    <row r="6247" spans="10:10" x14ac:dyDescent="0.35">
      <c r="J6247" s="496" t="str">
        <f ca="1">IF(ROW()&gt;'Impact Indicator Target Update'!A526,"",INDIRECT("'Impact Indicators - Section B'!A"&amp;'Impact Indicator Target Update'!D526))</f>
        <v/>
      </c>
    </row>
    <row r="6248" spans="10:10" x14ac:dyDescent="0.35">
      <c r="J6248" s="496" t="str">
        <f ca="1">IF(ROW()&gt;'Impact Indicator Target Update'!A527,"",INDIRECT("'Impact Indicators - Section B'!A"&amp;'Impact Indicator Target Update'!D527))</f>
        <v/>
      </c>
    </row>
    <row r="6249" spans="10:10" x14ac:dyDescent="0.35">
      <c r="J6249" s="496" t="str">
        <f ca="1">IF(ROW()&gt;'Impact Indicator Target Update'!A528,"",INDIRECT("'Impact Indicators - Section B'!A"&amp;'Impact Indicator Target Update'!D528))</f>
        <v/>
      </c>
    </row>
    <row r="6250" spans="10:10" x14ac:dyDescent="0.35">
      <c r="J6250" s="496" t="str">
        <f ca="1">IF(ROW()&gt;'Impact Indicator Target Update'!A529,"",INDIRECT("'Impact Indicators - Section B'!A"&amp;'Impact Indicator Target Update'!D529))</f>
        <v/>
      </c>
    </row>
    <row r="6251" spans="10:10" x14ac:dyDescent="0.35">
      <c r="J6251" s="496" t="str">
        <f ca="1">IF(ROW()&gt;'Impact Indicator Target Update'!A530,"",INDIRECT("'Impact Indicators - Section B'!A"&amp;'Impact Indicator Target Update'!D530))</f>
        <v/>
      </c>
    </row>
    <row r="6252" spans="10:10" x14ac:dyDescent="0.35">
      <c r="J6252" s="496" t="str">
        <f ca="1">IF(ROW()&gt;'Impact Indicator Target Update'!A531,"",INDIRECT("'Impact Indicators - Section B'!A"&amp;'Impact Indicator Target Update'!D531))</f>
        <v/>
      </c>
    </row>
    <row r="6253" spans="10:10" x14ac:dyDescent="0.35">
      <c r="J6253" s="496" t="str">
        <f ca="1">IF(ROW()&gt;'Impact Indicator Target Update'!A532,"",INDIRECT("'Impact Indicators - Section B'!A"&amp;'Impact Indicator Target Update'!D532))</f>
        <v/>
      </c>
    </row>
    <row r="6254" spans="10:10" x14ac:dyDescent="0.35">
      <c r="J6254" s="496" t="str">
        <f ca="1">IF(ROW()&gt;'Impact Indicator Target Update'!A533,"",INDIRECT("'Impact Indicators - Section B'!A"&amp;'Impact Indicator Target Update'!D533))</f>
        <v/>
      </c>
    </row>
    <row r="6255" spans="10:10" x14ac:dyDescent="0.35">
      <c r="J6255" s="496" t="str">
        <f ca="1">IF(ROW()&gt;'Impact Indicator Target Update'!A534,"",INDIRECT("'Impact Indicators - Section B'!A"&amp;'Impact Indicator Target Update'!D534))</f>
        <v/>
      </c>
    </row>
    <row r="6256" spans="10:10" x14ac:dyDescent="0.35">
      <c r="J6256" s="496" t="str">
        <f ca="1">IF(ROW()&gt;'Impact Indicator Target Update'!A535,"",INDIRECT("'Impact Indicators - Section B'!A"&amp;'Impact Indicator Target Update'!D535))</f>
        <v/>
      </c>
    </row>
    <row r="6257" spans="10:10" x14ac:dyDescent="0.35">
      <c r="J6257" s="496" t="str">
        <f ca="1">IF(ROW()&gt;'Impact Indicator Target Update'!A536,"",INDIRECT("'Impact Indicators - Section B'!A"&amp;'Impact Indicator Target Update'!D536))</f>
        <v/>
      </c>
    </row>
    <row r="6258" spans="10:10" x14ac:dyDescent="0.35">
      <c r="J6258" s="496" t="str">
        <f ca="1">IF(ROW()&gt;'Impact Indicator Target Update'!A537,"",INDIRECT("'Impact Indicators - Section B'!A"&amp;'Impact Indicator Target Update'!D537))</f>
        <v/>
      </c>
    </row>
    <row r="6259" spans="10:10" x14ac:dyDescent="0.35">
      <c r="J6259" s="496" t="str">
        <f ca="1">IF(ROW()&gt;'Impact Indicator Target Update'!A538,"",INDIRECT("'Impact Indicators - Section B'!A"&amp;'Impact Indicator Target Update'!D538))</f>
        <v/>
      </c>
    </row>
    <row r="6260" spans="10:10" x14ac:dyDescent="0.35">
      <c r="J6260" s="496" t="str">
        <f ca="1">IF(ROW()&gt;'Impact Indicator Target Update'!A539,"",INDIRECT("'Impact Indicators - Section B'!A"&amp;'Impact Indicator Target Update'!D539))</f>
        <v/>
      </c>
    </row>
    <row r="6261" spans="10:10" x14ac:dyDescent="0.35">
      <c r="J6261" s="496" t="str">
        <f ca="1">IF(ROW()&gt;'Impact Indicator Target Update'!A540,"",INDIRECT("'Impact Indicators - Section B'!A"&amp;'Impact Indicator Target Update'!D540))</f>
        <v/>
      </c>
    </row>
    <row r="6262" spans="10:10" x14ac:dyDescent="0.35">
      <c r="J6262" s="496" t="str">
        <f ca="1">IF(ROW()&gt;'Impact Indicator Target Update'!A541,"",INDIRECT("'Impact Indicators - Section B'!A"&amp;'Impact Indicator Target Update'!D541))</f>
        <v/>
      </c>
    </row>
    <row r="6263" spans="10:10" x14ac:dyDescent="0.35">
      <c r="J6263" s="496" t="str">
        <f ca="1">IF(ROW()&gt;'Impact Indicator Target Update'!A542,"",INDIRECT("'Impact Indicators - Section B'!A"&amp;'Impact Indicator Target Update'!D542))</f>
        <v/>
      </c>
    </row>
    <row r="6264" spans="10:10" x14ac:dyDescent="0.35">
      <c r="J6264" s="496" t="str">
        <f ca="1">IF(ROW()&gt;'Impact Indicator Target Update'!A543,"",INDIRECT("'Impact Indicators - Section B'!A"&amp;'Impact Indicator Target Update'!D543))</f>
        <v/>
      </c>
    </row>
    <row r="6265" spans="10:10" x14ac:dyDescent="0.35">
      <c r="J6265" s="496" t="str">
        <f ca="1">IF(ROW()&gt;'Impact Indicator Target Update'!A544,"",INDIRECT("'Impact Indicators - Section B'!A"&amp;'Impact Indicator Target Update'!D544))</f>
        <v/>
      </c>
    </row>
    <row r="6266" spans="10:10" x14ac:dyDescent="0.35">
      <c r="J6266" s="496" t="str">
        <f ca="1">IF(ROW()&gt;'Impact Indicator Target Update'!A545,"",INDIRECT("'Impact Indicators - Section B'!A"&amp;'Impact Indicator Target Update'!D545))</f>
        <v/>
      </c>
    </row>
    <row r="6267" spans="10:10" x14ac:dyDescent="0.35">
      <c r="J6267" s="496" t="str">
        <f ca="1">IF(ROW()&gt;'Impact Indicator Target Update'!A546,"",INDIRECT("'Impact Indicators - Section B'!A"&amp;'Impact Indicator Target Update'!D546))</f>
        <v/>
      </c>
    </row>
    <row r="6268" spans="10:10" x14ac:dyDescent="0.35">
      <c r="J6268" s="496" t="str">
        <f ca="1">IF(ROW()&gt;'Impact Indicator Target Update'!A547,"",INDIRECT("'Impact Indicators - Section B'!A"&amp;'Impact Indicator Target Update'!D547))</f>
        <v/>
      </c>
    </row>
    <row r="6269" spans="10:10" x14ac:dyDescent="0.35">
      <c r="J6269" s="496" t="str">
        <f ca="1">IF(ROW()&gt;'Impact Indicator Target Update'!A548,"",INDIRECT("'Impact Indicators - Section B'!A"&amp;'Impact Indicator Target Update'!D548))</f>
        <v/>
      </c>
    </row>
    <row r="6270" spans="10:10" x14ac:dyDescent="0.35">
      <c r="J6270" s="496" t="str">
        <f ca="1">IF(ROW()&gt;'Impact Indicator Target Update'!A549,"",INDIRECT("'Impact Indicators - Section B'!A"&amp;'Impact Indicator Target Update'!D549))</f>
        <v/>
      </c>
    </row>
    <row r="6271" spans="10:10" x14ac:dyDescent="0.35">
      <c r="J6271" s="496" t="str">
        <f ca="1">IF(ROW()&gt;'Impact Indicator Target Update'!A550,"",INDIRECT("'Impact Indicators - Section B'!A"&amp;'Impact Indicator Target Update'!D550))</f>
        <v/>
      </c>
    </row>
    <row r="6272" spans="10:10" x14ac:dyDescent="0.35">
      <c r="J6272" s="496" t="str">
        <f ca="1">IF(ROW()&gt;'Impact Indicator Target Update'!A551,"",INDIRECT("'Impact Indicators - Section B'!A"&amp;'Impact Indicator Target Update'!D551))</f>
        <v/>
      </c>
    </row>
    <row r="6273" spans="10:10" x14ac:dyDescent="0.35">
      <c r="J6273" s="496" t="str">
        <f ca="1">IF(ROW()&gt;'Impact Indicator Target Update'!A552,"",INDIRECT("'Impact Indicators - Section B'!A"&amp;'Impact Indicator Target Update'!D552))</f>
        <v/>
      </c>
    </row>
    <row r="6274" spans="10:10" x14ac:dyDescent="0.35">
      <c r="J6274" s="496" t="str">
        <f ca="1">IF(ROW()&gt;'Impact Indicator Target Update'!A553,"",INDIRECT("'Impact Indicators - Section B'!A"&amp;'Impact Indicator Target Update'!D553))</f>
        <v/>
      </c>
    </row>
    <row r="6275" spans="10:10" x14ac:dyDescent="0.35">
      <c r="J6275" s="496" t="str">
        <f ca="1">IF(ROW()&gt;'Impact Indicator Target Update'!A554,"",INDIRECT("'Impact Indicators - Section B'!A"&amp;'Impact Indicator Target Update'!D554))</f>
        <v/>
      </c>
    </row>
    <row r="6276" spans="10:10" x14ac:dyDescent="0.35">
      <c r="J6276" s="496" t="str">
        <f ca="1">IF(ROW()&gt;'Impact Indicator Target Update'!A555,"",INDIRECT("'Impact Indicators - Section B'!A"&amp;'Impact Indicator Target Update'!D555))</f>
        <v/>
      </c>
    </row>
    <row r="6277" spans="10:10" x14ac:dyDescent="0.35">
      <c r="J6277" s="496" t="str">
        <f ca="1">IF(ROW()&gt;'Impact Indicator Target Update'!A556,"",INDIRECT("'Impact Indicators - Section B'!A"&amp;'Impact Indicator Target Update'!D556))</f>
        <v/>
      </c>
    </row>
    <row r="6278" spans="10:10" x14ac:dyDescent="0.35">
      <c r="J6278" s="496" t="str">
        <f ca="1">IF(ROW()&gt;'Impact Indicator Target Update'!A557,"",INDIRECT("'Impact Indicators - Section B'!A"&amp;'Impact Indicator Target Update'!D557))</f>
        <v/>
      </c>
    </row>
    <row r="6279" spans="10:10" x14ac:dyDescent="0.35">
      <c r="J6279" s="496" t="str">
        <f ca="1">IF(ROW()&gt;'Impact Indicator Target Update'!A558,"",INDIRECT("'Impact Indicators - Section B'!A"&amp;'Impact Indicator Target Update'!D558))</f>
        <v/>
      </c>
    </row>
    <row r="6280" spans="10:10" x14ac:dyDescent="0.35">
      <c r="J6280" s="496" t="str">
        <f ca="1">IF(ROW()&gt;'Impact Indicator Target Update'!A559,"",INDIRECT("'Impact Indicators - Section B'!A"&amp;'Impact Indicator Target Update'!D559))</f>
        <v/>
      </c>
    </row>
    <row r="6281" spans="10:10" x14ac:dyDescent="0.35">
      <c r="J6281" s="496" t="str">
        <f ca="1">IF(ROW()&gt;'Impact Indicator Target Update'!A560,"",INDIRECT("'Impact Indicators - Section B'!A"&amp;'Impact Indicator Target Update'!D560))</f>
        <v/>
      </c>
    </row>
    <row r="6282" spans="10:10" x14ac:dyDescent="0.35">
      <c r="J6282" s="496" t="str">
        <f ca="1">IF(ROW()&gt;'Impact Indicator Target Update'!A561,"",INDIRECT("'Impact Indicators - Section B'!A"&amp;'Impact Indicator Target Update'!D561))</f>
        <v/>
      </c>
    </row>
    <row r="6283" spans="10:10" x14ac:dyDescent="0.35">
      <c r="J6283" s="496" t="str">
        <f ca="1">IF(ROW()&gt;'Impact Indicator Target Update'!A562,"",INDIRECT("'Impact Indicators - Section B'!A"&amp;'Impact Indicator Target Update'!D562))</f>
        <v/>
      </c>
    </row>
    <row r="6284" spans="10:10" x14ac:dyDescent="0.35">
      <c r="J6284" s="496" t="str">
        <f ca="1">IF(ROW()&gt;'Impact Indicator Target Update'!A563,"",INDIRECT("'Impact Indicators - Section B'!A"&amp;'Impact Indicator Target Update'!D563))</f>
        <v/>
      </c>
    </row>
    <row r="6285" spans="10:10" x14ac:dyDescent="0.35">
      <c r="J6285" s="496" t="str">
        <f ca="1">IF(ROW()&gt;'Impact Indicator Target Update'!A564,"",INDIRECT("'Impact Indicators - Section B'!A"&amp;'Impact Indicator Target Update'!D564))</f>
        <v/>
      </c>
    </row>
    <row r="6286" spans="10:10" x14ac:dyDescent="0.35">
      <c r="J6286" s="496" t="str">
        <f ca="1">IF(ROW()&gt;'Impact Indicator Target Update'!A565,"",INDIRECT("'Impact Indicators - Section B'!A"&amp;'Impact Indicator Target Update'!D565))</f>
        <v/>
      </c>
    </row>
    <row r="6287" spans="10:10" x14ac:dyDescent="0.35">
      <c r="J6287" s="496" t="str">
        <f ca="1">IF(ROW()&gt;'Impact Indicator Target Update'!A566,"",INDIRECT("'Impact Indicators - Section B'!A"&amp;'Impact Indicator Target Update'!D566))</f>
        <v/>
      </c>
    </row>
    <row r="6288" spans="10:10" x14ac:dyDescent="0.35">
      <c r="J6288" s="496" t="str">
        <f ca="1">IF(ROW()&gt;'Impact Indicator Target Update'!A567,"",INDIRECT("'Impact Indicators - Section B'!A"&amp;'Impact Indicator Target Update'!D567))</f>
        <v/>
      </c>
    </row>
    <row r="6289" spans="10:10" x14ac:dyDescent="0.35">
      <c r="J6289" s="496" t="str">
        <f ca="1">IF(ROW()&gt;'Impact Indicator Target Update'!A568,"",INDIRECT("'Impact Indicators - Section B'!A"&amp;'Impact Indicator Target Update'!D568))</f>
        <v/>
      </c>
    </row>
    <row r="6290" spans="10:10" x14ac:dyDescent="0.35">
      <c r="J6290" s="496" t="str">
        <f ca="1">IF(ROW()&gt;'Impact Indicator Target Update'!A569,"",INDIRECT("'Impact Indicators - Section B'!A"&amp;'Impact Indicator Target Update'!D569))</f>
        <v/>
      </c>
    </row>
    <row r="6291" spans="10:10" x14ac:dyDescent="0.35">
      <c r="J6291" s="496" t="str">
        <f ca="1">IF(ROW()&gt;'Impact Indicator Target Update'!A570,"",INDIRECT("'Impact Indicators - Section B'!A"&amp;'Impact Indicator Target Update'!D570))</f>
        <v/>
      </c>
    </row>
    <row r="6292" spans="10:10" x14ac:dyDescent="0.35">
      <c r="J6292" s="496" t="str">
        <f ca="1">IF(ROW()&gt;'Impact Indicator Target Update'!A571,"",INDIRECT("'Impact Indicators - Section B'!A"&amp;'Impact Indicator Target Update'!D571))</f>
        <v/>
      </c>
    </row>
    <row r="6293" spans="10:10" x14ac:dyDescent="0.35">
      <c r="J6293" s="496" t="str">
        <f ca="1">IF(ROW()&gt;'Impact Indicator Target Update'!A572,"",INDIRECT("'Impact Indicators - Section B'!A"&amp;'Impact Indicator Target Update'!D572))</f>
        <v/>
      </c>
    </row>
    <row r="6294" spans="10:10" x14ac:dyDescent="0.35">
      <c r="J6294" s="496" t="str">
        <f ca="1">IF(ROW()&gt;'Impact Indicator Target Update'!A573,"",INDIRECT("'Impact Indicators - Section B'!A"&amp;'Impact Indicator Target Update'!D573))</f>
        <v/>
      </c>
    </row>
    <row r="6295" spans="10:10" x14ac:dyDescent="0.35">
      <c r="J6295" s="496" t="str">
        <f ca="1">IF(ROW()&gt;'Impact Indicator Target Update'!A574,"",INDIRECT("'Impact Indicators - Section B'!A"&amp;'Impact Indicator Target Update'!D574))</f>
        <v/>
      </c>
    </row>
    <row r="6296" spans="10:10" x14ac:dyDescent="0.35">
      <c r="J6296" s="496" t="str">
        <f ca="1">IF(ROW()&gt;'Impact Indicator Target Update'!A575,"",INDIRECT("'Impact Indicators - Section B'!A"&amp;'Impact Indicator Target Update'!D575))</f>
        <v/>
      </c>
    </row>
    <row r="6297" spans="10:10" x14ac:dyDescent="0.35">
      <c r="J6297" s="496" t="str">
        <f ca="1">IF(ROW()&gt;'Impact Indicator Target Update'!A576,"",INDIRECT("'Impact Indicators - Section B'!A"&amp;'Impact Indicator Target Update'!D576))</f>
        <v/>
      </c>
    </row>
    <row r="6298" spans="10:10" x14ac:dyDescent="0.35">
      <c r="J6298" s="496" t="str">
        <f ca="1">IF(ROW()&gt;'Impact Indicator Target Update'!A577,"",INDIRECT("'Impact Indicators - Section B'!A"&amp;'Impact Indicator Target Update'!D577))</f>
        <v/>
      </c>
    </row>
    <row r="6299" spans="10:10" x14ac:dyDescent="0.35">
      <c r="J6299" s="496" t="str">
        <f ca="1">IF(ROW()&gt;'Impact Indicator Target Update'!A578,"",INDIRECT("'Impact Indicators - Section B'!A"&amp;'Impact Indicator Target Update'!D578))</f>
        <v/>
      </c>
    </row>
    <row r="6300" spans="10:10" x14ac:dyDescent="0.35">
      <c r="J6300" s="496" t="str">
        <f ca="1">IF(ROW()&gt;'Impact Indicator Target Update'!A579,"",INDIRECT("'Impact Indicators - Section B'!A"&amp;'Impact Indicator Target Update'!D579))</f>
        <v/>
      </c>
    </row>
    <row r="6301" spans="10:10" x14ac:dyDescent="0.35">
      <c r="J6301" s="496" t="str">
        <f ca="1">IF(ROW()&gt;'Impact Indicator Target Update'!A580,"",INDIRECT("'Impact Indicators - Section B'!A"&amp;'Impact Indicator Target Update'!D580))</f>
        <v/>
      </c>
    </row>
    <row r="6302" spans="10:10" x14ac:dyDescent="0.35">
      <c r="J6302" s="496" t="str">
        <f ca="1">IF(ROW()&gt;'Impact Indicator Target Update'!A581,"",INDIRECT("'Impact Indicators - Section B'!A"&amp;'Impact Indicator Target Update'!D581))</f>
        <v/>
      </c>
    </row>
    <row r="6303" spans="10:10" x14ac:dyDescent="0.35">
      <c r="J6303" s="496" t="str">
        <f ca="1">IF(ROW()&gt;'Impact Indicator Target Update'!A582,"",INDIRECT("'Impact Indicators - Section B'!A"&amp;'Impact Indicator Target Update'!D582))</f>
        <v/>
      </c>
    </row>
    <row r="6304" spans="10:10" x14ac:dyDescent="0.35">
      <c r="J6304" s="496" t="str">
        <f ca="1">IF(ROW()&gt;'Impact Indicator Target Update'!A583,"",INDIRECT("'Impact Indicators - Section B'!A"&amp;'Impact Indicator Target Update'!D583))</f>
        <v/>
      </c>
    </row>
    <row r="6305" spans="10:10" x14ac:dyDescent="0.35">
      <c r="J6305" s="496" t="str">
        <f ca="1">IF(ROW()&gt;'Impact Indicator Target Update'!A584,"",INDIRECT("'Impact Indicators - Section B'!A"&amp;'Impact Indicator Target Update'!D584))</f>
        <v/>
      </c>
    </row>
    <row r="6306" spans="10:10" x14ac:dyDescent="0.35">
      <c r="J6306" s="496" t="str">
        <f ca="1">IF(ROW()&gt;'Impact Indicator Target Update'!A585,"",INDIRECT("'Impact Indicators - Section B'!A"&amp;'Impact Indicator Target Update'!D585))</f>
        <v/>
      </c>
    </row>
    <row r="6307" spans="10:10" x14ac:dyDescent="0.35">
      <c r="J6307" s="496" t="str">
        <f ca="1">IF(ROW()&gt;'Impact Indicator Target Update'!A586,"",INDIRECT("'Impact Indicators - Section B'!A"&amp;'Impact Indicator Target Update'!D586))</f>
        <v/>
      </c>
    </row>
    <row r="6308" spans="10:10" x14ac:dyDescent="0.35">
      <c r="J6308" s="496" t="str">
        <f ca="1">IF(ROW()&gt;'Impact Indicator Target Update'!A587,"",INDIRECT("'Impact Indicators - Section B'!A"&amp;'Impact Indicator Target Update'!D587))</f>
        <v/>
      </c>
    </row>
    <row r="6309" spans="10:10" x14ac:dyDescent="0.35">
      <c r="J6309" s="496" t="str">
        <f ca="1">IF(ROW()&gt;'Impact Indicator Target Update'!A588,"",INDIRECT("'Impact Indicators - Section B'!A"&amp;'Impact Indicator Target Update'!D588))</f>
        <v/>
      </c>
    </row>
    <row r="6310" spans="10:10" x14ac:dyDescent="0.35">
      <c r="J6310" s="496" t="str">
        <f ca="1">IF(ROW()&gt;'Impact Indicator Target Update'!A589,"",INDIRECT("'Impact Indicators - Section B'!A"&amp;'Impact Indicator Target Update'!D589))</f>
        <v/>
      </c>
    </row>
    <row r="6311" spans="10:10" x14ac:dyDescent="0.35">
      <c r="J6311" s="496" t="str">
        <f ca="1">IF(ROW()&gt;'Impact Indicator Target Update'!A590,"",INDIRECT("'Impact Indicators - Section B'!A"&amp;'Impact Indicator Target Update'!D590))</f>
        <v/>
      </c>
    </row>
    <row r="6312" spans="10:10" x14ac:dyDescent="0.35">
      <c r="J6312" s="496" t="str">
        <f ca="1">IF(ROW()&gt;'Impact Indicator Target Update'!A591,"",INDIRECT("'Impact Indicators - Section B'!A"&amp;'Impact Indicator Target Update'!D591))</f>
        <v/>
      </c>
    </row>
    <row r="6313" spans="10:10" x14ac:dyDescent="0.35">
      <c r="J6313" s="496" t="str">
        <f ca="1">IF(ROW()&gt;'Impact Indicator Target Update'!A592,"",INDIRECT("'Impact Indicators - Section B'!A"&amp;'Impact Indicator Target Update'!D592))</f>
        <v/>
      </c>
    </row>
    <row r="6314" spans="10:10" x14ac:dyDescent="0.35">
      <c r="J6314" s="496" t="str">
        <f ca="1">IF(ROW()&gt;'Impact Indicator Target Update'!A593,"",INDIRECT("'Impact Indicators - Section B'!A"&amp;'Impact Indicator Target Update'!D593))</f>
        <v/>
      </c>
    </row>
    <row r="6315" spans="10:10" x14ac:dyDescent="0.35">
      <c r="J6315" s="496" t="str">
        <f ca="1">IF(ROW()&gt;'Impact Indicator Target Update'!A594,"",INDIRECT("'Impact Indicators - Section B'!A"&amp;'Impact Indicator Target Update'!D594))</f>
        <v/>
      </c>
    </row>
    <row r="6316" spans="10:10" x14ac:dyDescent="0.35">
      <c r="J6316" s="496" t="str">
        <f ca="1">IF(ROW()&gt;'Impact Indicator Target Update'!A595,"",INDIRECT("'Impact Indicators - Section B'!A"&amp;'Impact Indicator Target Update'!D595))</f>
        <v/>
      </c>
    </row>
    <row r="6317" spans="10:10" x14ac:dyDescent="0.35">
      <c r="J6317" s="496" t="str">
        <f ca="1">IF(ROW()&gt;'Impact Indicator Target Update'!A596,"",INDIRECT("'Impact Indicators - Section B'!A"&amp;'Impact Indicator Target Update'!D596))</f>
        <v/>
      </c>
    </row>
    <row r="6318" spans="10:10" x14ac:dyDescent="0.35">
      <c r="J6318" s="496" t="str">
        <f ca="1">IF(ROW()&gt;'Impact Indicator Target Update'!A597,"",INDIRECT("'Impact Indicators - Section B'!A"&amp;'Impact Indicator Target Update'!D597))</f>
        <v/>
      </c>
    </row>
    <row r="6319" spans="10:10" x14ac:dyDescent="0.35">
      <c r="J6319" s="496" t="str">
        <f ca="1">IF(ROW()&gt;'Impact Indicator Target Update'!A598,"",INDIRECT("'Impact Indicators - Section B'!A"&amp;'Impact Indicator Target Update'!D598))</f>
        <v/>
      </c>
    </row>
    <row r="6320" spans="10:10" x14ac:dyDescent="0.35">
      <c r="J6320" s="496" t="str">
        <f ca="1">IF(ROW()&gt;'Impact Indicator Target Update'!A599,"",INDIRECT("'Impact Indicators - Section B'!A"&amp;'Impact Indicator Target Update'!D599))</f>
        <v/>
      </c>
    </row>
    <row r="6321" spans="10:10" x14ac:dyDescent="0.35">
      <c r="J6321" s="496" t="str">
        <f ca="1">IF(ROW()&gt;'Impact Indicator Target Update'!A600,"",INDIRECT("'Impact Indicators - Section B'!A"&amp;'Impact Indicator Target Update'!D600))</f>
        <v/>
      </c>
    </row>
    <row r="6322" spans="10:10" x14ac:dyDescent="0.35">
      <c r="J6322" s="496" t="str">
        <f ca="1">IF(ROW()&gt;'Impact Indicator Target Update'!A601,"",INDIRECT("'Impact Indicators - Section B'!A"&amp;'Impact Indicator Target Update'!D601))</f>
        <v/>
      </c>
    </row>
    <row r="6323" spans="10:10" x14ac:dyDescent="0.35">
      <c r="J6323" s="496" t="str">
        <f ca="1">IF(ROW()&gt;'Impact Indicator Target Update'!A602,"",INDIRECT("'Impact Indicators - Section B'!A"&amp;'Impact Indicator Target Update'!D602))</f>
        <v/>
      </c>
    </row>
    <row r="6324" spans="10:10" x14ac:dyDescent="0.35">
      <c r="J6324" s="496" t="str">
        <f ca="1">IF(ROW()&gt;'Impact Indicator Target Update'!A603,"",INDIRECT("'Impact Indicators - Section B'!A"&amp;'Impact Indicator Target Update'!D603))</f>
        <v/>
      </c>
    </row>
    <row r="6325" spans="10:10" x14ac:dyDescent="0.35">
      <c r="J6325" s="496" t="str">
        <f ca="1">IF(ROW()&gt;'Impact Indicator Target Update'!A604,"",INDIRECT("'Impact Indicators - Section B'!A"&amp;'Impact Indicator Target Update'!D604))</f>
        <v/>
      </c>
    </row>
    <row r="6326" spans="10:10" x14ac:dyDescent="0.35">
      <c r="J6326" s="496" t="str">
        <f ca="1">IF(ROW()&gt;'Impact Indicator Target Update'!A605,"",INDIRECT("'Impact Indicators - Section B'!A"&amp;'Impact Indicator Target Update'!D605))</f>
        <v/>
      </c>
    </row>
    <row r="6327" spans="10:10" x14ac:dyDescent="0.35">
      <c r="J6327" s="496" t="str">
        <f ca="1">IF(ROW()&gt;'Impact Indicator Target Update'!A606,"",INDIRECT("'Impact Indicators - Section B'!A"&amp;'Impact Indicator Target Update'!D606))</f>
        <v/>
      </c>
    </row>
    <row r="6328" spans="10:10" x14ac:dyDescent="0.35">
      <c r="J6328" s="496" t="str">
        <f ca="1">IF(ROW()&gt;'Impact Indicator Target Update'!A607,"",INDIRECT("'Impact Indicators - Section B'!A"&amp;'Impact Indicator Target Update'!D607))</f>
        <v/>
      </c>
    </row>
    <row r="6329" spans="10:10" x14ac:dyDescent="0.35">
      <c r="J6329" s="496" t="str">
        <f ca="1">IF(ROW()&gt;'Impact Indicator Target Update'!A608,"",INDIRECT("'Impact Indicators - Section B'!A"&amp;'Impact Indicator Target Update'!D608))</f>
        <v/>
      </c>
    </row>
    <row r="6330" spans="10:10" x14ac:dyDescent="0.35">
      <c r="J6330" s="496" t="str">
        <f ca="1">IF(ROW()&gt;'Impact Indicator Target Update'!A609,"",INDIRECT("'Impact Indicators - Section B'!A"&amp;'Impact Indicator Target Update'!D609))</f>
        <v/>
      </c>
    </row>
    <row r="6331" spans="10:10" x14ac:dyDescent="0.35">
      <c r="J6331" s="496" t="str">
        <f ca="1">IF(ROW()&gt;'Impact Indicator Target Update'!A610,"",INDIRECT("'Impact Indicators - Section B'!A"&amp;'Impact Indicator Target Update'!D610))</f>
        <v/>
      </c>
    </row>
    <row r="6332" spans="10:10" x14ac:dyDescent="0.35">
      <c r="J6332" s="496" t="str">
        <f ca="1">IF(ROW()&gt;'Impact Indicator Target Update'!A611,"",INDIRECT("'Impact Indicators - Section B'!A"&amp;'Impact Indicator Target Update'!D611))</f>
        <v/>
      </c>
    </row>
    <row r="6333" spans="10:10" x14ac:dyDescent="0.35">
      <c r="J6333" s="496" t="str">
        <f ca="1">IF(ROW()&gt;'Impact Indicator Target Update'!A612,"",INDIRECT("'Impact Indicators - Section B'!A"&amp;'Impact Indicator Target Update'!D612))</f>
        <v/>
      </c>
    </row>
    <row r="6334" spans="10:10" x14ac:dyDescent="0.35">
      <c r="J6334" s="496" t="str">
        <f ca="1">IF(ROW()&gt;'Impact Indicator Target Update'!A613,"",INDIRECT("'Impact Indicators - Section B'!A"&amp;'Impact Indicator Target Update'!D613))</f>
        <v/>
      </c>
    </row>
    <row r="6335" spans="10:10" x14ac:dyDescent="0.35">
      <c r="J6335" s="496" t="str">
        <f ca="1">IF(ROW()&gt;'Impact Indicator Target Update'!A614,"",INDIRECT("'Impact Indicators - Section B'!A"&amp;'Impact Indicator Target Update'!D614))</f>
        <v/>
      </c>
    </row>
    <row r="6336" spans="10:10" x14ac:dyDescent="0.35">
      <c r="J6336" s="496" t="str">
        <f ca="1">IF(ROW()&gt;'Impact Indicator Target Update'!A615,"",INDIRECT("'Impact Indicators - Section B'!A"&amp;'Impact Indicator Target Update'!D615))</f>
        <v/>
      </c>
    </row>
    <row r="6337" spans="10:10" x14ac:dyDescent="0.35">
      <c r="J6337" s="496" t="str">
        <f ca="1">IF(ROW()&gt;'Impact Indicator Target Update'!A616,"",INDIRECT("'Impact Indicators - Section B'!A"&amp;'Impact Indicator Target Update'!D616))</f>
        <v/>
      </c>
    </row>
    <row r="6338" spans="10:10" x14ac:dyDescent="0.35">
      <c r="J6338" s="496" t="str">
        <f ca="1">IF(ROW()&gt;'Impact Indicator Target Update'!A617,"",INDIRECT("'Impact Indicators - Section B'!A"&amp;'Impact Indicator Target Update'!D617))</f>
        <v/>
      </c>
    </row>
    <row r="6339" spans="10:10" x14ac:dyDescent="0.35">
      <c r="J6339" s="496" t="str">
        <f ca="1">IF(ROW()&gt;'Impact Indicator Target Update'!A618,"",INDIRECT("'Impact Indicators - Section B'!A"&amp;'Impact Indicator Target Update'!D618))</f>
        <v/>
      </c>
    </row>
    <row r="6340" spans="10:10" x14ac:dyDescent="0.35">
      <c r="J6340" s="496" t="str">
        <f ca="1">IF(ROW()&gt;'Impact Indicator Target Update'!A619,"",INDIRECT("'Impact Indicators - Section B'!A"&amp;'Impact Indicator Target Update'!D619))</f>
        <v/>
      </c>
    </row>
  </sheetData>
  <sheetProtection password="8443" sheet="1" objects="1" scenarios="1"/>
  <dataValidations count="30">
    <dataValidation type="list" allowBlank="1" showInputMessage="1" showErrorMessage="1" errorTitle="X-Author for Excel" error="Please select either TRUE or FALSE from the dropdown." promptTitle="X-Author for Excel" sqref="A3:A48 Q4310:Q5750 A4310:A5750 A2499:A4059 A4064:A4304 A1666:A2116 A2120:A2495 A939:A1659 R843:R933 A843:A933 A477:A837 A422:A467 T58:T418 A58:A418" xr:uid="{E95DA4A9-9E76-46C4-BBB9-58B7E15E8D85}">
      <formula1>"TRUE,FALSE"</formula1>
    </dataValidation>
    <dataValidation type="custom" allowBlank="1" showInputMessage="1" showErrorMessage="1" errorTitle="X-Author for Excel" error="Id and Lookup fields are not editable." promptTitle="X-Author for Excel" sqref="C3:C48 B4310:B5750 C2499:C4059 C4064:C4304 C1666:C2116 C2120:C2495 C939:C1659 C843:C933 C477:C837 C422:C467 C58:C418" xr:uid="{FEF72F32-21BD-46C8-BA9A-D4AAA91CDE26}">
      <formula1>""</formula1>
    </dataValidation>
    <dataValidation type="decimal" allowBlank="1" showInputMessage="1" showErrorMessage="1" errorTitle="X-Author for Excel" error="Please enter a valid numeric value. Valid range for Baseline % is -999.99 to 999.99." promptTitle="X-Author for Excel" sqref="D3:D48 E2499:E4059 E1666:E2116 E2120:E2495 D843:D933 D422:D467" xr:uid="{E6E11A16-9187-4857-B4F7-A407353FCEE4}">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48 H2499:H4059 H1666:H2116 H2120:H2495 E843:E933 E422:E467" xr:uid="{424D2A41-0CA0-46D1-A9D6-8E1DF37093AB}">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48 G2499:G4059 G1666:G2116 G2120:G2495 F422:F467" xr:uid="{38207F1F-87BE-4F57-BCDB-47EF6D3F11B8}">
      <formula1>-100000000000000</formula1>
      <formula2>100000000000000</formula2>
    </dataValidation>
    <dataValidation type="list" allowBlank="1" showInputMessage="1" showErrorMessage="1" errorTitle="X-Author for Excel" error="Please select a value from the drop-down." promptTitle="X-Author for Excel" sqref="H3:H48" xr:uid="{D90AEAD2-8887-426C-B001-76BC349D7509}">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58:F418 D2120:D2495" xr:uid="{2C91F8EB-0E1B-45B0-A95E-771E815465D9}">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58:I418 J939:J1659 I477:I837" xr:uid="{C69295E0-FD3B-4FD5-8BAF-A1660CA2371A}">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58:J418 J477:J837" xr:uid="{29BF15A6-E331-41BC-8EAD-A5C94A520B18}">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58:K418 I939:I1659 K477:K837" xr:uid="{AB25FD3D-DD12-41F6-9407-DE0E84B1E394}">
      <formula1>-999.99</formula1>
      <formula2>999.99</formula2>
    </dataValidation>
    <dataValidation type="list" allowBlank="1" showInputMessage="1" showErrorMessage="1" errorTitle="X-Author for Excel" error="Please select a value from the drop-down." promptTitle="X-Author for Excel" sqref="L58:L418" xr:uid="{8A74A8D3-C142-4BF2-A6D4-83B61A7553DA}">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58:M418 M477:M837" xr:uid="{2BAB3CED-F877-4B94-9815-25302D985E48}">
      <formula1>1</formula1>
      <formula2>767376</formula2>
    </dataValidation>
    <dataValidation type="list" allowBlank="1" showInputMessage="1" showErrorMessage="1" errorTitle="X-Author for Excel" error="Please select a value from the drop-down." promptTitle="X-Author for Excel" sqref="N58:N418" xr:uid="{41849F45-611F-43E2-81B3-61C45095F905}">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422:G467" xr:uid="{FA73F44F-1D77-406C-A9AD-C4F536DB237A}">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F477:F837 D1666:D2116" xr:uid="{062D7099-4ABB-4944-8D24-91082DD8AEF7}">
      <formula1>-1000000000000000000</formula1>
      <formula2>1000000000000000000</formula2>
    </dataValidation>
    <dataValidation type="list" allowBlank="1" showInputMessage="1" showErrorMessage="1" errorTitle="X-Author for Excel" error="Please select a value from the drop-down." promptTitle="X-Author for Excel" sqref="L477:L837" xr:uid="{8D372B77-B94E-4722-840E-560F6A2BE9A7}">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477:N837" xr:uid="{73D31988-D44A-4C6C-B51C-6F15B36157FD}">
      <formula1>IF(IFERROR(ROWS(INDIRECT(SUBSTITUTE("AIM_Outcome_Indicator_Targets_Result__c.AIM_Mark_if_target_is_TBD__c"," ","_"))),-1) &lt; 0, 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Q477:Q837" xr:uid="{BB07CA40-A75D-4549-B1D2-8AE27EE0B8A1}">
      <formula1>IF(IFERROR(ROWS(INDIRECT(SUBSTITUTE("AIM_Outcome_Indicator_Targets_Result__c.AIM_Due_for_Reporting__c"," ","_"))),-1) &lt; 0, XAuthorInvalidPicklistData,INDIRECT(SUBSTITUTE("AIM_Outcome_Indicator_Targets_Result__c.AIM_Due_for_Reporting__c"," ","_")))</formula1>
    </dataValidation>
    <dataValidation type="decimal" allowBlank="1" showInputMessage="1" showErrorMessage="1" errorTitle="X-Author for Excel" error="Please enter a valid numeric value. Valid range for Baseline N# is -1E+16 to 1E+16." promptTitle="X-Author for Excel" sqref="F843:F933" xr:uid="{1E2719AB-0C56-4740-8C3B-E85C85026052}">
      <formula1>-10000000000000000</formula1>
      <formula2>10000000000000000</formula2>
    </dataValidation>
    <dataValidation type="list" allowBlank="1" showInputMessage="1" showErrorMessage="1" errorTitle="X-Author for Excel" error="Please select a value from the drop-down." promptTitle="X-Author for Excel" sqref="L843:L933" xr:uid="{12BA722F-CDFD-4061-9C13-253A81FA800D}">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843:P933" xr:uid="{30CC3BFA-45B3-47B4-B9C3-DC3217788D7A}">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843:Q933" xr:uid="{1E7A905E-CA1A-4D6A-AEBE-5C3A785C822A}">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AF843:AF933 D2499:D4059 F939:F1659" xr:uid="{F9FFDC92-C588-4066-A15B-3D263F503B3E}">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K939:K1659" xr:uid="{4C1BA052-EDE9-42BE-A7EB-98F38E4B6CDC}">
      <formula1>-10000000000000000</formula1>
      <formula2>10000000000000000</formula2>
    </dataValidation>
    <dataValidation type="list" allowBlank="1" showInputMessage="1" showErrorMessage="1" errorTitle="X-Author for Excel" error="Please select a value from the drop-down." promptTitle="X-Author for Excel" sqref="L939:L1659" xr:uid="{A9002F3C-9ED5-4414-A76B-3533880B9B16}">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939:T1659" xr:uid="{B84FA8E8-FDD8-44B7-9717-8FBFB0276817}">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2120:I2495" xr:uid="{E77E399E-B505-4C6D-8CF8-0E84F30FBD5B}">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1666:I2116" xr:uid="{D9353CD3-9898-4179-93C0-214EDE70AB2D}">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Key Activity Milestone Number is -1E+18 to 1E+18." promptTitle="X-Author for Excel" sqref="R4064:R4304 C4310:C5750" xr:uid="{DADBB54C-D86E-4CCD-B796-5444888BDB45}">
      <formula1>-1000000000000000000</formula1>
      <formula2>1000000000000000000</formula2>
    </dataValidation>
    <dataValidation type="list" allowBlank="1" showInputMessage="1" showErrorMessage="1" errorTitle="X-Author for Excel" error="Please select a value from the drop-down." promptTitle="X-Author for Excel" sqref="I2499:I4059" xr:uid="{BF69094C-89F8-4BA8-A71E-85D3AD80BF25}">
      <formula1>IF(IFERROR(ROWS(INDIRECT(SUBSTITUTE("AIM_Coverage_Disaggregation__c.AIM_Year__c"," ","_"))),-1) &lt; 0, XAuthorInvalidPicklistData,INDIRECT(SUBSTITUTE("AIM_Coverage_Disaggregation__c.AIM_Year__c"," ","_")))</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Q74"/>
  <sheetViews>
    <sheetView topLeftCell="A10" workbookViewId="0">
      <selection activeCell="B27" sqref="B27"/>
    </sheetView>
  </sheetViews>
  <sheetFormatPr defaultColWidth="9" defaultRowHeight="15.5" x14ac:dyDescent="0.35"/>
  <cols>
    <col min="1" max="1" width="25.58203125" customWidth="1"/>
    <col min="4" max="4" width="17.08203125" customWidth="1"/>
    <col min="5" max="5" width="13.58203125" customWidth="1"/>
    <col min="6" max="6" width="16.08203125" customWidth="1"/>
    <col min="7" max="7" width="22.6640625" customWidth="1"/>
    <col min="9" max="9" width="21.08203125" customWidth="1"/>
    <col min="12" max="12" width="27.6640625" customWidth="1"/>
  </cols>
  <sheetData>
    <row r="1" spans="1:17" x14ac:dyDescent="0.35">
      <c r="A1" t="s">
        <v>286</v>
      </c>
      <c r="B1" t="s">
        <v>287</v>
      </c>
      <c r="C1" t="s">
        <v>288</v>
      </c>
      <c r="D1" t="s">
        <v>289</v>
      </c>
      <c r="E1" t="s">
        <v>290</v>
      </c>
      <c r="F1" t="s">
        <v>291</v>
      </c>
      <c r="G1" t="s">
        <v>292</v>
      </c>
      <c r="H1" t="s">
        <v>301</v>
      </c>
      <c r="L1" t="s">
        <v>369</v>
      </c>
      <c r="P1" s="253" t="s">
        <v>369</v>
      </c>
    </row>
    <row r="2" spans="1:17" x14ac:dyDescent="0.35">
      <c r="B2">
        <f>COUNTA(#REF!)-2</f>
        <v>-1</v>
      </c>
      <c r="C2">
        <f>COUNTA(#REF!)-2</f>
        <v>-1</v>
      </c>
      <c r="D2" s="143">
        <f>COUNTA(#REF!)-1</f>
        <v>0</v>
      </c>
      <c r="E2" s="143">
        <f>COUNTA(#REF!)-2</f>
        <v>-1</v>
      </c>
      <c r="F2" s="143">
        <f>COUNTA(#REF!)-1</f>
        <v>0</v>
      </c>
      <c r="G2" s="143">
        <f>COUNTA(#REF!)-1</f>
        <v>0</v>
      </c>
      <c r="H2">
        <f>COUNTA(#REF!)-2</f>
        <v>-1</v>
      </c>
      <c r="L2" t="str">
        <f t="array" ref="L2">IFERROR(INDEX(SectionAPopulation, MATCH(0, COUNTIF($L$1:L1, SectionAPopulation&amp;"") + IF(SectionAPopulation="",1,0), 0)), "")</f>
        <v>[Intervention ES]</v>
      </c>
      <c r="O2" s="253" t="str">
        <f ca="1">OFFSET('Overview - Section A'!$AK$155,MATCH(P2,'Overview - Section A'!$AN$155:$AN$256,0)-1,0,IF(COUNTIF('Overview - Section A'!$AN$155:$AN$256,P2)&gt;1,1,COUNTIF('Overview - Section A'!$AN$155:$AN$256,P2)),1)</f>
        <v>SSRS: sistemas de laboratorio</v>
      </c>
      <c r="P2" s="175" t="str">
        <f t="array" ref="P2">IFERROR(INDEX('Overview - Section A'!$AN$155:$AN$256, MATCH(0, COUNTIF($P$1:P1, 'Overview - Section A'!$AN$155:$AN$256&amp;"") + IF('Overview - Section A'!$AN$155:$AN$256="",1,0), 0)), "")</f>
        <v>SSRS: sistemas de laboratorioSistemas de gestión de infraestructuras y equipos</v>
      </c>
      <c r="Q2" s="253" t="str">
        <f ca="1">OFFSET('Overview - Section A'!$AK$155,MATCH(P2,'Overview - Section A'!$AN$155:$AN$256,0)-1,1,IF(COUNTIF('Overview - Section A'!$AN$155:$AN$256,P2)&gt;1,1,COUNTIF('Overview - Section A'!$AN$155:$AN$256,P2)),1)</f>
        <v>Sistemas de gestión de infraestructuras y equipos</v>
      </c>
    </row>
    <row r="3" spans="1:17" x14ac:dyDescent="0.35">
      <c r="A3" t="s">
        <v>293</v>
      </c>
      <c r="B3">
        <f t="shared" ref="B3:G3" si="0">B2*2</f>
        <v>-2</v>
      </c>
      <c r="C3">
        <f t="shared" si="0"/>
        <v>-2</v>
      </c>
      <c r="D3">
        <f t="shared" si="0"/>
        <v>0</v>
      </c>
      <c r="E3">
        <f t="shared" si="0"/>
        <v>-2</v>
      </c>
      <c r="F3">
        <f t="shared" si="0"/>
        <v>0</v>
      </c>
      <c r="G3">
        <f t="shared" si="0"/>
        <v>0</v>
      </c>
      <c r="L3" s="215" t="str">
        <f t="array" ref="L3">IFERROR(INDEX(SectionAPopulation, MATCH(0, COUNTIF($L$1:L2, SectionAPopulation&amp;"") + IF(SectionAPopulation="",1,0), 0)), "")</f>
        <v>No aplicable</v>
      </c>
      <c r="O3" s="253" t="str">
        <f ca="1">OFFSET('Overview - Section A'!$AK$155,MATCH(P3,'Overview - Section A'!$AN$155:$AN$256,0)-1,0,IF(COUNTIF('Overview - Section A'!$AN$155:$AN$256,P3)&gt;1,1,COUNTIF('Overview - Section A'!$AN$155:$AN$256,P3)),1)</f>
        <v/>
      </c>
      <c r="P3" s="175" t="str">
        <f t="array" ref="P3">IFERROR(INDEX('Overview - Section A'!$AN$155:$AN$256, MATCH(0, COUNTIF($P$1:P2, 'Overview - Section A'!$AN$155:$AN$256&amp;"") + IF('Overview - Section A'!$AN$155:$AN$256="",1,0), 0)), "")</f>
        <v/>
      </c>
      <c r="Q3" s="253" t="str">
        <f ca="1">OFFSET('Overview - Section A'!$AK$155,MATCH(P3,'Overview - Section A'!$AN$155:$AN$256,0)-1,1,IF(COUNTIF('Overview - Section A'!$AN$155:$AN$256,P3)&gt;1,1,COUNTIF('Overview - Section A'!$AN$155:$AN$256,P3)),1)</f>
        <v/>
      </c>
    </row>
    <row r="4" spans="1:17" x14ac:dyDescent="0.35">
      <c r="L4" s="215" t="str">
        <f t="array" ref="L4">IFERROR(INDEX(SectionAPopulation, MATCH(0, COUNTIF($L$1:L3, SectionAPopulation&amp;"") + IF(SectionAPopulation="",1,0), 0)), "")</f>
        <v/>
      </c>
      <c r="O4" s="253" t="str">
        <f ca="1">OFFSET('Overview - Section A'!$AK$155,MATCH(P4,'Overview - Section A'!$AN$155:$AN$256,0)-1,0,IF(COUNTIF('Overview - Section A'!$AN$155:$AN$256,P4)&gt;1,1,COUNTIF('Overview - Section A'!$AN$155:$AN$256,P4)),1)</f>
        <v/>
      </c>
      <c r="P4" s="175" t="str">
        <f t="array" ref="P4">IFERROR(INDEX('Overview - Section A'!$AN$155:$AN$256, MATCH(0, COUNTIF($P$1:P3, 'Overview - Section A'!$AN$155:$AN$256&amp;"") + IF('Overview - Section A'!$AN$155:$AN$256="",1,0), 0)), "")</f>
        <v/>
      </c>
      <c r="Q4" s="253" t="str">
        <f ca="1">OFFSET('Overview - Section A'!$AK$155,MATCH(P4,'Overview - Section A'!$AN$155:$AN$256,0)-1,1,IF(COUNTIF('Overview - Section A'!$AN$155:$AN$256,P4)&gt;1,1,COUNTIF('Overview - Section A'!$AN$155:$AN$256,P4)),1)</f>
        <v/>
      </c>
    </row>
    <row r="5" spans="1:17" x14ac:dyDescent="0.35">
      <c r="A5" t="s">
        <v>294</v>
      </c>
      <c r="B5">
        <v>9</v>
      </c>
      <c r="L5" s="215" t="str">
        <f t="array" ref="L5">IFERROR(INDEX(SectionAPopulation, MATCH(0, COUNTIF($L$1:L4, SectionAPopulation&amp;"") + IF(SectionAPopulation="",1,0), 0)), "")</f>
        <v/>
      </c>
      <c r="O5" s="253" t="str">
        <f ca="1">OFFSET('Overview - Section A'!$AK$155,MATCH(P5,'Overview - Section A'!$AN$155:$AN$256,0)-1,0,IF(COUNTIF('Overview - Section A'!$AN$155:$AN$256,P5)&gt;1,1,COUNTIF('Overview - Section A'!$AN$155:$AN$256,P5)),1)</f>
        <v/>
      </c>
      <c r="P5" s="175" t="str">
        <f t="array" ref="P5">IFERROR(INDEX('Overview - Section A'!$AN$155:$AN$256, MATCH(0, COUNTIF($P$1:P4, 'Overview - Section A'!$AN$155:$AN$256&amp;"") + IF('Overview - Section A'!$AN$155:$AN$256="",1,0), 0)), "")</f>
        <v/>
      </c>
      <c r="Q5" s="253" t="str">
        <f ca="1">OFFSET('Overview - Section A'!$AK$155,MATCH(P5,'Overview - Section A'!$AN$155:$AN$256,0)-1,1,IF(COUNTIF('Overview - Section A'!$AN$155:$AN$256,P5)&gt;1,1,COUNTIF('Overview - Section A'!$AN$155:$AN$256,P5)),1)</f>
        <v/>
      </c>
    </row>
    <row r="6" spans="1:17" x14ac:dyDescent="0.35">
      <c r="A6" t="s">
        <v>295</v>
      </c>
      <c r="B6">
        <v>9</v>
      </c>
      <c r="L6" s="215" t="str">
        <f t="array" ref="L6">IFERROR(INDEX(SectionAPopulation, MATCH(0, COUNTIF($L$1:L5, SectionAPopulation&amp;"") + IF(SectionAPopulation="",1,0), 0)), "")</f>
        <v/>
      </c>
      <c r="O6" s="253" t="str">
        <f ca="1">OFFSET('Overview - Section A'!$AK$155,MATCH(P6,'Overview - Section A'!$AN$155:$AN$256,0)-1,0,IF(COUNTIF('Overview - Section A'!$AN$155:$AN$256,P6)&gt;1,1,COUNTIF('Overview - Section A'!$AN$155:$AN$256,P6)),1)</f>
        <v/>
      </c>
      <c r="P6" s="175" t="str">
        <f t="array" ref="P6">IFERROR(INDEX('Overview - Section A'!$AN$155:$AN$256, MATCH(0, COUNTIF($P$1:P5, 'Overview - Section A'!$AN$155:$AN$256&amp;"") + IF('Overview - Section A'!$AN$155:$AN$256="",1,0), 0)), "")</f>
        <v/>
      </c>
      <c r="Q6" s="253" t="str">
        <f ca="1">OFFSET('Overview - Section A'!$AK$155,MATCH(P6,'Overview - Section A'!$AN$155:$AN$256,0)-1,1,IF(COUNTIF('Overview - Section A'!$AN$155:$AN$256,P6)&gt;1,1,COUNTIF('Overview - Section A'!$AN$155:$AN$256,P6)),1)</f>
        <v/>
      </c>
    </row>
    <row r="7" spans="1:17" x14ac:dyDescent="0.35">
      <c r="A7" t="s">
        <v>296</v>
      </c>
      <c r="B7">
        <v>7</v>
      </c>
      <c r="L7" s="215" t="str">
        <f t="array" ref="L7">IFERROR(INDEX(SectionAPopulation, MATCH(0, COUNTIF($L$1:L6, SectionAPopulation&amp;"") + IF(SectionAPopulation="",1,0), 0)), "")</f>
        <v/>
      </c>
      <c r="O7" s="253" t="str">
        <f ca="1">OFFSET('Overview - Section A'!$AK$155,MATCH(P7,'Overview - Section A'!$AN$155:$AN$256,0)-1,0,IF(COUNTIF('Overview - Section A'!$AN$155:$AN$256,P7)&gt;1,1,COUNTIF('Overview - Section A'!$AN$155:$AN$256,P7)),1)</f>
        <v/>
      </c>
      <c r="P7" s="175" t="str">
        <f t="array" ref="P7">IFERROR(INDEX('Overview - Section A'!$AN$155:$AN$256, MATCH(0, COUNTIF($P$1:P6, 'Overview - Section A'!$AN$155:$AN$256&amp;"") + IF('Overview - Section A'!$AN$155:$AN$256="",1,0), 0)), "")</f>
        <v/>
      </c>
      <c r="Q7" s="253" t="str">
        <f ca="1">OFFSET('Overview - Section A'!$AK$155,MATCH(P7,'Overview - Section A'!$AN$155:$AN$256,0)-1,1,IF(COUNTIF('Overview - Section A'!$AN$155:$AN$256,P7)&gt;1,1,COUNTIF('Overview - Section A'!$AN$155:$AN$256,P7)),1)</f>
        <v/>
      </c>
    </row>
    <row r="8" spans="1:17" x14ac:dyDescent="0.35">
      <c r="A8" t="s">
        <v>297</v>
      </c>
      <c r="B8">
        <v>9</v>
      </c>
      <c r="L8" s="215" t="str">
        <f t="array" ref="L8">IFERROR(INDEX(SectionAPopulation, MATCH(0, COUNTIF($L$1:L7, SectionAPopulation&amp;"") + IF(SectionAPopulation="",1,0), 0)), "")</f>
        <v/>
      </c>
      <c r="O8" s="253" t="str">
        <f ca="1">OFFSET('Overview - Section A'!$AK$155,MATCH(P8,'Overview - Section A'!$AN$155:$AN$256,0)-1,0,IF(COUNTIF('Overview - Section A'!$AN$155:$AN$256,P8)&gt;1,1,COUNTIF('Overview - Section A'!$AN$155:$AN$256,P8)),1)</f>
        <v/>
      </c>
      <c r="P8" s="175" t="str">
        <f t="array" ref="P8">IFERROR(INDEX('Overview - Section A'!$AN$155:$AN$256, MATCH(0, COUNTIF($P$1:P7, 'Overview - Section A'!$AN$155:$AN$256&amp;"") + IF('Overview - Section A'!$AN$155:$AN$256="",1,0), 0)), "")</f>
        <v/>
      </c>
      <c r="Q8" s="253" t="str">
        <f ca="1">OFFSET('Overview - Section A'!$AK$155,MATCH(P8,'Overview - Section A'!$AN$155:$AN$256,0)-1,1,IF(COUNTIF('Overview - Section A'!$AN$155:$AN$256,P8)&gt;1,1,COUNTIF('Overview - Section A'!$AN$155:$AN$256,P8)),1)</f>
        <v/>
      </c>
    </row>
    <row r="9" spans="1:17" x14ac:dyDescent="0.35">
      <c r="A9" t="s">
        <v>298</v>
      </c>
      <c r="B9" s="143">
        <f>E2+B8+10</f>
        <v>18</v>
      </c>
      <c r="C9">
        <f>(B9-12)*2</f>
        <v>12</v>
      </c>
      <c r="L9" s="215" t="str">
        <f t="array" ref="L9">IFERROR(INDEX(SectionAPopulation, MATCH(0, COUNTIF($L$1:L8, SectionAPopulation&amp;"") + IF(SectionAPopulation="",1,0), 0)), "")</f>
        <v/>
      </c>
      <c r="O9" s="253" t="str">
        <f ca="1">OFFSET('Overview - Section A'!$AK$155,MATCH(P9,'Overview - Section A'!$AN$155:$AN$256,0)-1,0,IF(COUNTIF('Overview - Section A'!$AN$155:$AN$256,P9)&gt;1,1,COUNTIF('Overview - Section A'!$AN$155:$AN$256,P9)),1)</f>
        <v/>
      </c>
      <c r="P9" s="175" t="str">
        <f t="array" ref="P9">IFERROR(INDEX('Overview - Section A'!$AN$155:$AN$256, MATCH(0, COUNTIF($P$1:P8, 'Overview - Section A'!$AN$155:$AN$256&amp;"") + IF('Overview - Section A'!$AN$155:$AN$256="",1,0), 0)), "")</f>
        <v/>
      </c>
      <c r="Q9" s="253" t="str">
        <f ca="1">OFFSET('Overview - Section A'!$AK$155,MATCH(P9,'Overview - Section A'!$AN$155:$AN$256,0)-1,1,IF(COUNTIF('Overview - Section A'!$AN$155:$AN$256,P9)&gt;1,1,COUNTIF('Overview - Section A'!$AN$155:$AN$256,P9)),1)</f>
        <v/>
      </c>
    </row>
    <row r="10" spans="1:17" x14ac:dyDescent="0.35">
      <c r="A10" t="s">
        <v>299</v>
      </c>
      <c r="B10" s="143">
        <f>F2+B9+9</f>
        <v>27</v>
      </c>
      <c r="C10" s="197">
        <f>(B10-19)*2</f>
        <v>16</v>
      </c>
      <c r="L10" s="215" t="str">
        <f t="array" ref="L10">IFERROR(INDEX(SectionAPopulation, MATCH(0, COUNTIF($L$1:L9, SectionAPopulation&amp;"") + IF(SectionAPopulation="",1,0), 0)), "")</f>
        <v/>
      </c>
      <c r="O10" s="253" t="str">
        <f ca="1">OFFSET('Overview - Section A'!$AK$155,MATCH(P10,'Overview - Section A'!$AN$155:$AN$256,0)-1,0,IF(COUNTIF('Overview - Section A'!$AN$155:$AN$256,P10)&gt;1,1,COUNTIF('Overview - Section A'!$AN$155:$AN$256,P10)),1)</f>
        <v/>
      </c>
      <c r="P10" s="175" t="str">
        <f t="array" ref="P10">IFERROR(INDEX('Overview - Section A'!$AN$155:$AN$256, MATCH(0, COUNTIF($P$1:P9, 'Overview - Section A'!$AN$155:$AN$256&amp;"") + IF('Overview - Section A'!$AN$155:$AN$256="",1,0), 0)), "")</f>
        <v/>
      </c>
      <c r="Q10" s="253" t="str">
        <f ca="1">OFFSET('Overview - Section A'!$AK$155,MATCH(P10,'Overview - Section A'!$AN$155:$AN$256,0)-1,1,IF(COUNTIF('Overview - Section A'!$AN$155:$AN$256,P10)&gt;1,1,COUNTIF('Overview - Section A'!$AN$155:$AN$256,P10)),1)</f>
        <v/>
      </c>
    </row>
    <row r="11" spans="1:17" x14ac:dyDescent="0.35">
      <c r="A11" t="s">
        <v>300</v>
      </c>
      <c r="B11">
        <v>9</v>
      </c>
      <c r="L11" s="215" t="str">
        <f t="array" ref="L11">IFERROR(INDEX(SectionAPopulation, MATCH(0, COUNTIF($L$1:L10, SectionAPopulation&amp;"") + IF(SectionAPopulation="",1,0), 0)), "")</f>
        <v/>
      </c>
      <c r="O11" s="253" t="str">
        <f ca="1">OFFSET('Overview - Section A'!$AK$155,MATCH(P11,'Overview - Section A'!$AN$155:$AN$256,0)-1,0,IF(COUNTIF('Overview - Section A'!$AN$155:$AN$256,P11)&gt;1,1,COUNTIF('Overview - Section A'!$AN$155:$AN$256,P11)),1)</f>
        <v/>
      </c>
      <c r="P11" s="175" t="str">
        <f t="array" ref="P11">IFERROR(INDEX('Overview - Section A'!$AN$155:$AN$256, MATCH(0, COUNTIF($P$1:P10, 'Overview - Section A'!$AN$155:$AN$256&amp;"") + IF('Overview - Section A'!$AN$155:$AN$256="",1,0), 0)), "")</f>
        <v/>
      </c>
      <c r="Q11" s="253" t="str">
        <f ca="1">OFFSET('Overview - Section A'!$AK$155,MATCH(P11,'Overview - Section A'!$AN$155:$AN$256,0)-1,1,IF(COUNTIF('Overview - Section A'!$AN$155:$AN$256,P11)&gt;1,1,COUNTIF('Overview - Section A'!$AN$155:$AN$256,P11)),1)</f>
        <v/>
      </c>
    </row>
    <row r="12" spans="1:17" x14ac:dyDescent="0.35">
      <c r="L12" s="215" t="str">
        <f t="array" ref="L12">IFERROR(INDEX(SectionAPopulation, MATCH(0, COUNTIF($L$1:L11, SectionAPopulation&amp;"") + IF(SectionAPopulation="",1,0), 0)), "")</f>
        <v/>
      </c>
      <c r="O12" s="253" t="str">
        <f ca="1">OFFSET('Overview - Section A'!$AK$155,MATCH(P12,'Overview - Section A'!$AN$155:$AN$256,0)-1,0,IF(COUNTIF('Overview - Section A'!$AN$155:$AN$256,P12)&gt;1,1,COUNTIF('Overview - Section A'!$AN$155:$AN$256,P12)),1)</f>
        <v/>
      </c>
      <c r="P12" s="175" t="str">
        <f t="array" ref="P12">IFERROR(INDEX('Overview - Section A'!$AN$155:$AN$256, MATCH(0, COUNTIF($P$1:P11, 'Overview - Section A'!$AN$155:$AN$256&amp;"") + IF('Overview - Section A'!$AN$155:$AN$256="",1,0), 0)), "")</f>
        <v/>
      </c>
      <c r="Q12" s="253" t="str">
        <f ca="1">OFFSET('Overview - Section A'!$AK$155,MATCH(P12,'Overview - Section A'!$AN$155:$AN$256,0)-1,1,IF(COUNTIF('Overview - Section A'!$AN$155:$AN$256,P12)&gt;1,1,COUNTIF('Overview - Section A'!$AN$155:$AN$256,P12)),1)</f>
        <v/>
      </c>
    </row>
    <row r="13" spans="1:17" x14ac:dyDescent="0.35">
      <c r="L13" s="215" t="str">
        <f t="array" ref="L13">IFERROR(INDEX(SectionAPopulation, MATCH(0, COUNTIF($L$1:L12, SectionAPopulation&amp;"") + IF(SectionAPopulation="",1,0), 0)), "")</f>
        <v/>
      </c>
      <c r="O13" s="253" t="str">
        <f ca="1">OFFSET('Overview - Section A'!$AK$155,MATCH(P13,'Overview - Section A'!$AN$155:$AN$256,0)-1,0,IF(COUNTIF('Overview - Section A'!$AN$155:$AN$256,P13)&gt;1,1,COUNTIF('Overview - Section A'!$AN$155:$AN$256,P13)),1)</f>
        <v/>
      </c>
      <c r="P13" s="175" t="str">
        <f t="array" ref="P13">IFERROR(INDEX('Overview - Section A'!$AN$155:$AN$256, MATCH(0, COUNTIF($P$1:P12, 'Overview - Section A'!$AN$155:$AN$256&amp;"") + IF('Overview - Section A'!$AN$155:$AN$256="",1,0), 0)), "")</f>
        <v/>
      </c>
      <c r="Q13" s="253" t="str">
        <f ca="1">OFFSET('Overview - Section A'!$AK$155,MATCH(P13,'Overview - Section A'!$AN$155:$AN$256,0)-1,1,IF(COUNTIF('Overview - Section A'!$AN$155:$AN$256,P13)&gt;1,1,COUNTIF('Overview - Section A'!$AN$155:$AN$256,P13)),1)</f>
        <v/>
      </c>
    </row>
    <row r="14" spans="1:17" x14ac:dyDescent="0.35">
      <c r="A14" s="201" t="s">
        <v>315</v>
      </c>
      <c r="E14" s="253" t="s">
        <v>333</v>
      </c>
      <c r="G14" t="s">
        <v>961</v>
      </c>
      <c r="I14" t="s">
        <v>962</v>
      </c>
      <c r="L14" s="215" t="str">
        <f t="array" ref="L14">IFERROR(INDEX(SectionAPopulation, MATCH(0, COUNTIF($L$1:L13, SectionAPopulation&amp;"") + IF(SectionAPopulation="",1,0), 0)), "")</f>
        <v/>
      </c>
      <c r="O14" s="253" t="str">
        <f ca="1">OFFSET('Overview - Section A'!$AK$155,MATCH(P14,'Overview - Section A'!$AN$155:$AN$256,0)-1,0,IF(COUNTIF('Overview - Section A'!$AN$155:$AN$256,P14)&gt;1,1,COUNTIF('Overview - Section A'!$AN$155:$AN$256,P14)),1)</f>
        <v/>
      </c>
      <c r="P14" s="175" t="str">
        <f t="array" ref="P14">IFERROR(INDEX('Overview - Section A'!$AN$155:$AN$256, MATCH(0, COUNTIF($P$1:P13, 'Overview - Section A'!$AN$155:$AN$256&amp;"") + IF('Overview - Section A'!$AN$155:$AN$256="",1,0), 0)), "")</f>
        <v/>
      </c>
      <c r="Q14" s="253" t="str">
        <f ca="1">OFFSET('Overview - Section A'!$AK$155,MATCH(P14,'Overview - Section A'!$AN$155:$AN$256,0)-1,1,IF(COUNTIF('Overview - Section A'!$AN$155:$AN$256,P14)&gt;1,1,COUNTIF('Overview - Section A'!$AN$155:$AN$256,P14)),1)</f>
        <v/>
      </c>
    </row>
    <row r="15" spans="1:17" x14ac:dyDescent="0.35">
      <c r="E15" s="213" t="s">
        <v>621</v>
      </c>
      <c r="G15" s="213" t="str">
        <f ca="1">IF(OFFSET('Overview - Section A'!I$27,H15,0)&lt;&gt;"",OFFSET('Overview - Section A'!E$27,H15,0),"")</f>
        <v>Ministry of Health of the Republic of El Salvador</v>
      </c>
      <c r="H15">
        <v>1</v>
      </c>
      <c r="I15" t="str">
        <f ca="1">IFERROR(LOOKUP(2, 1/((COUNTIF(I$14:I14,$G$15:$G$41)=0)*($G$15:$G$41&lt;&gt;"")), $G$15:$G$41),"")</f>
        <v>Ministry of Health of the Republic of El Salvador</v>
      </c>
      <c r="L15" s="215" t="str">
        <f t="array" ref="L15">IFERROR(INDEX(SectionAPopulation, MATCH(0, COUNTIF($L$1:L14, SectionAPopulation&amp;"") + IF(SectionAPopulation="",1,0), 0)), "")</f>
        <v/>
      </c>
      <c r="O15" s="253" t="str">
        <f ca="1">OFFSET('Overview - Section A'!$AK$155,MATCH(P15,'Overview - Section A'!$AN$155:$AN$256,0)-1,0,IF(COUNTIF('Overview - Section A'!$AN$155:$AN$256,P15)&gt;1,1,COUNTIF('Overview - Section A'!$AN$155:$AN$256,P15)),1)</f>
        <v/>
      </c>
      <c r="P15" s="175" t="str">
        <f t="array" ref="P15">IFERROR(INDEX('Overview - Section A'!$AN$155:$AN$256, MATCH(0, COUNTIF($P$1:P14, 'Overview - Section A'!$AN$155:$AN$256&amp;"") + IF('Overview - Section A'!$AN$155:$AN$256="",1,0), 0)), "")</f>
        <v/>
      </c>
      <c r="Q15" s="253" t="str">
        <f ca="1">OFFSET('Overview - Section A'!$AK$155,MATCH(P15,'Overview - Section A'!$AN$155:$AN$256,0)-1,1,IF(COUNTIF('Overview - Section A'!$AN$155:$AN$256,P15)&gt;1,1,COUNTIF('Overview - Section A'!$AN$155:$AN$256,P15)),1)</f>
        <v/>
      </c>
    </row>
    <row r="16" spans="1:17" x14ac:dyDescent="0.35">
      <c r="A16" s="201" t="s">
        <v>312</v>
      </c>
      <c r="E16" s="213" t="s">
        <v>622</v>
      </c>
      <c r="G16" s="213" t="str">
        <f ca="1">IF(OFFSET('Overview - Section A'!I$27,H16,0)&lt;&gt;"",OFFSET('Overview - Section A'!E$27,H16,0),"")</f>
        <v/>
      </c>
      <c r="H16">
        <v>2</v>
      </c>
      <c r="I16" s="253" t="str">
        <f ca="1">IFERROR(LOOKUP(2, 1/((COUNTIF(I$14:I15,$G$15:$G$41)=0)*($G$15:$G$41&lt;&gt;"")), $G$15:$G$41),"")</f>
        <v/>
      </c>
      <c r="L16" s="215" t="str">
        <f t="array" ref="L16">IFERROR(INDEX(SectionAPopulation, MATCH(0, COUNTIF($L$1:L15, SectionAPopulation&amp;"") + IF(SectionAPopulation="",1,0), 0)), "")</f>
        <v/>
      </c>
      <c r="O16" s="253" t="str">
        <f ca="1">OFFSET('Overview - Section A'!$AK$155,MATCH(P16,'Overview - Section A'!$AN$155:$AN$256,0)-1,0,IF(COUNTIF('Overview - Section A'!$AN$155:$AN$256,P16)&gt;1,1,COUNTIF('Overview - Section A'!$AN$155:$AN$256,P16)),1)</f>
        <v/>
      </c>
      <c r="P16" s="175" t="str">
        <f t="array" ref="P16">IFERROR(INDEX('Overview - Section A'!$AN$155:$AN$256, MATCH(0, COUNTIF($P$1:P15, 'Overview - Section A'!$AN$155:$AN$256&amp;"") + IF('Overview - Section A'!$AN$155:$AN$256="",1,0), 0)), "")</f>
        <v/>
      </c>
      <c r="Q16" s="253" t="str">
        <f ca="1">OFFSET('Overview - Section A'!$AK$155,MATCH(P16,'Overview - Section A'!$AN$155:$AN$256,0)-1,1,IF(COUNTIF('Overview - Section A'!$AN$155:$AN$256,P16)&gt;1,1,COUNTIF('Overview - Section A'!$AN$155:$AN$256,P16)),1)</f>
        <v/>
      </c>
    </row>
    <row r="17" spans="1:17" x14ac:dyDescent="0.35">
      <c r="A17" s="201" t="s">
        <v>313</v>
      </c>
      <c r="E17" s="213" t="s">
        <v>623</v>
      </c>
      <c r="G17" s="213" t="str">
        <f ca="1">IF(OFFSET('Overview - Section A'!I$27,H17,0)&lt;&gt;"",OFFSET('Overview - Section A'!E$27,H17,0),"")</f>
        <v/>
      </c>
      <c r="H17" s="253">
        <v>3</v>
      </c>
      <c r="I17" s="253" t="str">
        <f ca="1">IFERROR(LOOKUP(2, 1/((COUNTIF(I$14:I16,$G$15:$G$41)=0)*($G$15:$G$41&lt;&gt;"")), $G$15:$G$41),"")</f>
        <v/>
      </c>
      <c r="L17" s="215" t="str">
        <f t="array" ref="L17">IFERROR(INDEX(SectionAPopulation, MATCH(0, COUNTIF($L$1:L16, SectionAPopulation&amp;"") + IF(SectionAPopulation="",1,0), 0)), "")</f>
        <v/>
      </c>
      <c r="O17" s="253" t="str">
        <f ca="1">OFFSET('Overview - Section A'!$AK$155,MATCH(P17,'Overview - Section A'!$AN$155:$AN$256,0)-1,0,IF(COUNTIF('Overview - Section A'!$AN$155:$AN$256,P17)&gt;1,1,COUNTIF('Overview - Section A'!$AN$155:$AN$256,P17)),1)</f>
        <v/>
      </c>
      <c r="P17" s="175" t="str">
        <f t="array" ref="P17">IFERROR(INDEX('Overview - Section A'!$AN$155:$AN$256, MATCH(0, COUNTIF($P$1:P16, 'Overview - Section A'!$AN$155:$AN$256&amp;"") + IF('Overview - Section A'!$AN$155:$AN$256="",1,0), 0)), "")</f>
        <v/>
      </c>
      <c r="Q17" s="253" t="str">
        <f ca="1">OFFSET('Overview - Section A'!$AK$155,MATCH(P17,'Overview - Section A'!$AN$155:$AN$256,0)-1,1,IF(COUNTIF('Overview - Section A'!$AN$155:$AN$256,P17)&gt;1,1,COUNTIF('Overview - Section A'!$AN$155:$AN$256,P17)),1)</f>
        <v/>
      </c>
    </row>
    <row r="18" spans="1:17" x14ac:dyDescent="0.35">
      <c r="A18" s="201" t="s">
        <v>314</v>
      </c>
      <c r="E18" s="201"/>
      <c r="G18" s="213" t="str">
        <f ca="1">IF(OFFSET('Overview - Section A'!I$27,H18,0)&lt;&gt;"",OFFSET('Overview - Section A'!E$27,H18,0),"")</f>
        <v/>
      </c>
      <c r="H18" s="253">
        <v>4</v>
      </c>
      <c r="I18" s="253" t="str">
        <f ca="1">IFERROR(LOOKUP(2, 1/((COUNTIF(I$14:I17,$G$15:$G$41)=0)*($G$15:$G$41&lt;&gt;"")), $G$15:$G$41),"")</f>
        <v/>
      </c>
      <c r="L18" s="215" t="str">
        <f t="array" ref="L18">IFERROR(INDEX(SectionAPopulation, MATCH(0, COUNTIF($L$1:L17, SectionAPopulation&amp;"") + IF(SectionAPopulation="",1,0), 0)), "")</f>
        <v/>
      </c>
      <c r="O18" s="253" t="str">
        <f ca="1">OFFSET('Overview - Section A'!$AK$155,MATCH(P18,'Overview - Section A'!$AN$155:$AN$256,0)-1,0,IF(COUNTIF('Overview - Section A'!$AN$155:$AN$256,P18)&gt;1,1,COUNTIF('Overview - Section A'!$AN$155:$AN$256,P18)),1)</f>
        <v/>
      </c>
      <c r="P18" s="175" t="str">
        <f t="array" ref="P18">IFERROR(INDEX('Overview - Section A'!$AN$155:$AN$256, MATCH(0, COUNTIF($P$1:P17, 'Overview - Section A'!$AN$155:$AN$256&amp;"") + IF('Overview - Section A'!$AN$155:$AN$256="",1,0), 0)), "")</f>
        <v/>
      </c>
      <c r="Q18" s="253" t="str">
        <f ca="1">OFFSET('Overview - Section A'!$AK$155,MATCH(P18,'Overview - Section A'!$AN$155:$AN$256,0)-1,1,IF(COUNTIF('Overview - Section A'!$AN$155:$AN$256,P18)&gt;1,1,COUNTIF('Overview - Section A'!$AN$155:$AN$256,P18)),1)</f>
        <v/>
      </c>
    </row>
    <row r="19" spans="1:17" x14ac:dyDescent="0.35">
      <c r="G19" s="213" t="str">
        <f ca="1">IF(OFFSET('Overview - Section A'!I$27,H19,0)&lt;&gt;"",OFFSET('Overview - Section A'!E$27,H19,0),"")</f>
        <v/>
      </c>
      <c r="H19" s="253">
        <v>5</v>
      </c>
      <c r="I19" s="253" t="str">
        <f ca="1">IFERROR(LOOKUP(2, 1/((COUNTIF(I$14:I18,$G$15:$G$41)=0)*($G$15:$G$41&lt;&gt;"")), $G$15:$G$41),"")</f>
        <v/>
      </c>
      <c r="L19" s="215" t="str">
        <f t="array" ref="L19">IFERROR(INDEX(SectionAPopulation, MATCH(0, COUNTIF($L$1:L18, SectionAPopulation&amp;"") + IF(SectionAPopulation="",1,0), 0)), "")</f>
        <v/>
      </c>
      <c r="O19" s="253" t="str">
        <f ca="1">OFFSET('Overview - Section A'!$AK$155,MATCH(P19,'Overview - Section A'!$AN$155:$AN$256,0)-1,0,IF(COUNTIF('Overview - Section A'!$AN$155:$AN$256,P19)&gt;1,1,COUNTIF('Overview - Section A'!$AN$155:$AN$256,P19)),1)</f>
        <v/>
      </c>
      <c r="P19" s="175" t="str">
        <f t="array" ref="P19">IFERROR(INDEX('Overview - Section A'!$AN$155:$AN$256, MATCH(0, COUNTIF($P$1:P18, 'Overview - Section A'!$AN$155:$AN$256&amp;"") + IF('Overview - Section A'!$AN$155:$AN$256="",1,0), 0)), "")</f>
        <v/>
      </c>
      <c r="Q19" s="253" t="str">
        <f ca="1">OFFSET('Overview - Section A'!$AK$155,MATCH(P19,'Overview - Section A'!$AN$155:$AN$256,0)-1,1,IF(COUNTIF('Overview - Section A'!$AN$155:$AN$256,P19)&gt;1,1,COUNTIF('Overview - Section A'!$AN$155:$AN$256,P19)),1)</f>
        <v/>
      </c>
    </row>
    <row r="20" spans="1:17" x14ac:dyDescent="0.35">
      <c r="G20" s="213" t="str">
        <f ca="1">IF(OFFSET('Overview - Section A'!I$27,H20,0)&lt;&gt;"",OFFSET('Overview - Section A'!E$27,H20,0),"")</f>
        <v/>
      </c>
      <c r="H20" s="253">
        <v>6</v>
      </c>
      <c r="I20" s="253" t="str">
        <f ca="1">IFERROR(LOOKUP(2, 1/((COUNTIF(I$14:I19,$G$15:$G$41)=0)*($G$15:$G$41&lt;&gt;"")), $G$15:$G$41),"")</f>
        <v/>
      </c>
      <c r="L20" s="215" t="str">
        <f t="array" ref="L20">IFERROR(INDEX(SectionAPopulation, MATCH(0, COUNTIF($L$1:L19, SectionAPopulation&amp;"") + IF(SectionAPopulation="",1,0), 0)), "")</f>
        <v/>
      </c>
      <c r="O20" s="253" t="str">
        <f ca="1">OFFSET('Overview - Section A'!$AK$155,MATCH(P20,'Overview - Section A'!$AN$155:$AN$256,0)-1,0,IF(COUNTIF('Overview - Section A'!$AN$155:$AN$256,P20)&gt;1,1,COUNTIF('Overview - Section A'!$AN$155:$AN$256,P20)),1)</f>
        <v/>
      </c>
      <c r="P20" s="175" t="str">
        <f t="array" ref="P20">IFERROR(INDEX('Overview - Section A'!$AN$155:$AN$256, MATCH(0, COUNTIF($P$1:P19, 'Overview - Section A'!$AN$155:$AN$256&amp;"") + IF('Overview - Section A'!$AN$155:$AN$256="",1,0), 0)), "")</f>
        <v/>
      </c>
      <c r="Q20" s="253" t="str">
        <f ca="1">OFFSET('Overview - Section A'!$AK$155,MATCH(P20,'Overview - Section A'!$AN$155:$AN$256,0)-1,1,IF(COUNTIF('Overview - Section A'!$AN$155:$AN$256,P20)&gt;1,1,COUNTIF('Overview - Section A'!$AN$155:$AN$256,P20)),1)</f>
        <v/>
      </c>
    </row>
    <row r="21" spans="1:17" x14ac:dyDescent="0.35">
      <c r="A21" s="201" t="s">
        <v>320</v>
      </c>
      <c r="B21" s="197">
        <f>COUNTA('Impact Indicators - Section B '!A9:A82)</f>
        <v>15</v>
      </c>
      <c r="G21" s="213" t="str">
        <f ca="1">IF(OFFSET('Overview - Section A'!I$27,H21,0)&lt;&gt;"",OFFSET('Overview - Section A'!E$27,H21,0),"")</f>
        <v/>
      </c>
      <c r="H21" s="253">
        <v>7</v>
      </c>
      <c r="I21" s="253" t="str">
        <f ca="1">IFERROR(LOOKUP(2, 1/((COUNTIF(I$14:I20,$G$15:$G$41)=0)*($G$15:$G$41&lt;&gt;"")), $G$15:$G$41),"")</f>
        <v/>
      </c>
      <c r="L21" s="215" t="str">
        <f t="array" ref="L21">IFERROR(INDEX(SectionAPopulation, MATCH(0, COUNTIF($L$1:L20, SectionAPopulation&amp;"") + IF(SectionAPopulation="",1,0), 0)), "")</f>
        <v/>
      </c>
      <c r="O21" s="253" t="str">
        <f ca="1">OFFSET('Overview - Section A'!$AK$155,MATCH(P21,'Overview - Section A'!$AN$155:$AN$256,0)-1,0,IF(COUNTIF('Overview - Section A'!$AN$155:$AN$256,P21)&gt;1,1,COUNTIF('Overview - Section A'!$AN$155:$AN$256,P21)),1)</f>
        <v/>
      </c>
      <c r="P21" s="175" t="str">
        <f t="array" ref="P21">IFERROR(INDEX('Overview - Section A'!$AN$155:$AN$256, MATCH(0, COUNTIF($P$1:P20, 'Overview - Section A'!$AN$155:$AN$256&amp;"") + IF('Overview - Section A'!$AN$155:$AN$256="",1,0), 0)), "")</f>
        <v/>
      </c>
      <c r="Q21" s="253" t="str">
        <f ca="1">OFFSET('Overview - Section A'!$AK$155,MATCH(P21,'Overview - Section A'!$AN$155:$AN$256,0)-1,1,IF(COUNTIF('Overview - Section A'!$AN$155:$AN$256,P21)&gt;1,1,COUNTIF('Overview - Section A'!$AN$155:$AN$256,P21)),1)</f>
        <v/>
      </c>
    </row>
    <row r="22" spans="1:17" x14ac:dyDescent="0.35">
      <c r="A22" s="197" t="s">
        <v>321</v>
      </c>
      <c r="B22">
        <f>MAX('update Helper'!P57:P419)</f>
        <v>180</v>
      </c>
      <c r="G22" s="213" t="str">
        <f ca="1">IF(OFFSET('Overview - Section A'!I$27,H22,0)&lt;&gt;"",OFFSET('Overview - Section A'!E$27,H22,0),"")</f>
        <v/>
      </c>
      <c r="H22" s="253">
        <v>8</v>
      </c>
      <c r="I22" s="253" t="str">
        <f ca="1">IFERROR(LOOKUP(2, 1/((COUNTIF(I$14:I21,$G$15:$G$41)=0)*($G$15:$G$41&lt;&gt;"")), $G$15:$G$41),"")</f>
        <v/>
      </c>
      <c r="L22" s="215" t="str">
        <f t="array" ref="L22">IFERROR(INDEX(SectionAPopulation, MATCH(0, COUNTIF($L$1:L21, SectionAPopulation&amp;"") + IF(SectionAPopulation="",1,0), 0)), "")</f>
        <v/>
      </c>
      <c r="O22" s="253" t="str">
        <f ca="1">OFFSET('Overview - Section A'!$AK$155,MATCH(P22,'Overview - Section A'!$AN$155:$AN$256,0)-1,0,IF(COUNTIF('Overview - Section A'!$AN$155:$AN$256,P22)&gt;1,1,COUNTIF('Overview - Section A'!$AN$155:$AN$256,P22)),1)</f>
        <v/>
      </c>
      <c r="P22" s="175" t="str">
        <f t="array" ref="P22">IFERROR(INDEX('Overview - Section A'!$AN$155:$AN$256, MATCH(0, COUNTIF($P$1:P21, 'Overview - Section A'!$AN$155:$AN$256&amp;"") + IF('Overview - Section A'!$AN$155:$AN$256="",1,0), 0)), "")</f>
        <v/>
      </c>
      <c r="Q22" s="253" t="str">
        <f ca="1">OFFSET('Overview - Section A'!$AK$155,MATCH(P22,'Overview - Section A'!$AN$155:$AN$256,0)-1,1,IF(COUNTIF('Overview - Section A'!$AN$155:$AN$256,P22)&gt;1,1,COUNTIF('Overview - Section A'!$AN$155:$AN$256,P22)),1)</f>
        <v/>
      </c>
    </row>
    <row r="23" spans="1:17" x14ac:dyDescent="0.35">
      <c r="A23" s="197" t="s">
        <v>322</v>
      </c>
      <c r="B23" s="197">
        <f>COUNTA('Outcome Indicators - Section C '!A9:A100)</f>
        <v>15</v>
      </c>
      <c r="G23" s="213" t="str">
        <f ca="1">IF(OFFSET('Overview - Section A'!I$27,H23,0)&lt;&gt;"",OFFSET('Overview - Section A'!E$27,H23,0),"")</f>
        <v/>
      </c>
      <c r="H23" s="253">
        <v>9</v>
      </c>
      <c r="I23" s="253" t="str">
        <f ca="1">IFERROR(LOOKUP(2, 1/((COUNTIF(I$14:I22,$G$15:$G$41)=0)*($G$15:$G$41&lt;&gt;"")), $G$15:$G$41),"")</f>
        <v/>
      </c>
      <c r="L23" s="215" t="str">
        <f t="array" ref="L23">IFERROR(INDEX(SectionAPopulation, MATCH(0, COUNTIF($L$1:L22, SectionAPopulation&amp;"") + IF(SectionAPopulation="",1,0), 0)), "")</f>
        <v/>
      </c>
      <c r="O23" s="253" t="str">
        <f ca="1">OFFSET('Overview - Section A'!$AK$155,MATCH(P23,'Overview - Section A'!$AN$155:$AN$256,0)-1,0,IF(COUNTIF('Overview - Section A'!$AN$155:$AN$256,P23)&gt;1,1,COUNTIF('Overview - Section A'!$AN$155:$AN$256,P23)),1)</f>
        <v/>
      </c>
      <c r="P23" s="175" t="str">
        <f t="array" ref="P23">IFERROR(INDEX('Overview - Section A'!$AN$155:$AN$256, MATCH(0, COUNTIF($P$1:P22, 'Overview - Section A'!$AN$155:$AN$256&amp;"") + IF('Overview - Section A'!$AN$155:$AN$256="",1,0), 0)), "")</f>
        <v/>
      </c>
      <c r="Q23" s="253" t="str">
        <f ca="1">OFFSET('Overview - Section A'!$AK$155,MATCH(P23,'Overview - Section A'!$AN$155:$AN$256,0)-1,1,IF(COUNTIF('Overview - Section A'!$AN$155:$AN$256,P23)&gt;1,1,COUNTIF('Overview - Section A'!$AN$155:$AN$256,P23)),1)</f>
        <v/>
      </c>
    </row>
    <row r="24" spans="1:17" x14ac:dyDescent="0.35">
      <c r="A24" s="197" t="s">
        <v>323</v>
      </c>
      <c r="B24" s="197">
        <f>'update Helper'!AA2</f>
        <v>180</v>
      </c>
      <c r="G24" t="str">
        <f ca="1">IF(OFFSET('Overview - Section A'!J$32,H24,0)&lt;&gt;0,OFFSET('Overview - Section A'!E$32,H24,0),"")</f>
        <v/>
      </c>
      <c r="H24">
        <v>1</v>
      </c>
      <c r="I24" s="253" t="str">
        <f ca="1">IFERROR(LOOKUP(2, 1/((COUNTIF(I$14:I23,$G$15:$G$41)=0)*($G$15:$G$41&lt;&gt;"")), $G$15:$G$41),"")</f>
        <v/>
      </c>
      <c r="L24" s="215" t="str">
        <f t="array" ref="L24">IFERROR(INDEX(SectionAPopulation, MATCH(0, COUNTIF($L$1:L23, SectionAPopulation&amp;"") + IF(SectionAPopulation="",1,0), 0)), "")</f>
        <v/>
      </c>
      <c r="O24" s="253" t="str">
        <f ca="1">OFFSET('Overview - Section A'!$AK$155,MATCH(P24,'Overview - Section A'!$AN$155:$AN$256,0)-1,0,IF(COUNTIF('Overview - Section A'!$AN$155:$AN$256,P24)&gt;1,1,COUNTIF('Overview - Section A'!$AN$155:$AN$256,P24)),1)</f>
        <v/>
      </c>
      <c r="P24" s="175" t="str">
        <f t="array" ref="P24">IFERROR(INDEX('Overview - Section A'!$AN$155:$AN$256, MATCH(0, COUNTIF($P$1:P23, 'Overview - Section A'!$AN$155:$AN$256&amp;"") + IF('Overview - Section A'!$AN$155:$AN$256="",1,0), 0)), "")</f>
        <v/>
      </c>
      <c r="Q24" s="253" t="str">
        <f ca="1">OFFSET('Overview - Section A'!$AK$155,MATCH(P24,'Overview - Section A'!$AN$155:$AN$256,0)-1,1,IF(COUNTIF('Overview - Section A'!$AN$155:$AN$256,P24)&gt;1,1,COUNTIF('Overview - Section A'!$AN$155:$AN$256,P24)),1)</f>
        <v/>
      </c>
    </row>
    <row r="25" spans="1:17" x14ac:dyDescent="0.35">
      <c r="A25" s="197" t="s">
        <v>324</v>
      </c>
      <c r="B25" s="197">
        <f>COUNTA('Coverage Indicators - Section D'!A9:A100)</f>
        <v>30</v>
      </c>
      <c r="G25" s="253" t="str">
        <f ca="1">IF(OFFSET('Overview - Section A'!J$32,H25,0)&lt;&gt;0,OFFSET('Overview - Section A'!E$32,H25,0),"")</f>
        <v/>
      </c>
      <c r="H25">
        <v>2</v>
      </c>
      <c r="I25" s="253" t="str">
        <f ca="1">IFERROR(LOOKUP(2, 1/((COUNTIF(I$14:I24,$G$15:$G$41)=0)*($G$15:$G$41&lt;&gt;"")), $G$15:$G$41),"")</f>
        <v/>
      </c>
      <c r="L25" s="215" t="str">
        <f t="array" ref="L25">IFERROR(INDEX(SectionAPopulation, MATCH(0, COUNTIF($L$1:L24, SectionAPopulation&amp;"") + IF(SectionAPopulation="",1,0), 0)), "")</f>
        <v/>
      </c>
      <c r="O25" s="253" t="str">
        <f ca="1">OFFSET('Overview - Section A'!$AK$155,MATCH(P25,'Overview - Section A'!$AN$155:$AN$256,0)-1,0,IF(COUNTIF('Overview - Section A'!$AN$155:$AN$256,P25)&gt;1,1,COUNTIF('Overview - Section A'!$AN$155:$AN$256,P25)),1)</f>
        <v/>
      </c>
      <c r="P25" s="175" t="str">
        <f t="array" ref="P25">IFERROR(INDEX('Overview - Section A'!$AN$155:$AN$256, MATCH(0, COUNTIF($P$1:P24, 'Overview - Section A'!$AN$155:$AN$256&amp;"") + IF('Overview - Section A'!$AN$155:$AN$256="",1,0), 0)), "")</f>
        <v/>
      </c>
      <c r="Q25" s="253" t="str">
        <f ca="1">OFFSET('Overview - Section A'!$AK$155,MATCH(P25,'Overview - Section A'!$AN$155:$AN$256,0)-1,1,IF(COUNTIF('Overview - Section A'!$AN$155:$AN$256,P25)&gt;1,1,COUNTIF('Overview - Section A'!$AN$155:$AN$256,P25)),1)</f>
        <v/>
      </c>
    </row>
    <row r="26" spans="1:17" x14ac:dyDescent="0.35">
      <c r="A26" t="s">
        <v>971</v>
      </c>
      <c r="B26">
        <f>MAX('update Helper'!P939:P1660)</f>
        <v>360</v>
      </c>
      <c r="G26" s="253" t="str">
        <f ca="1">IF(OFFSET('Overview - Section A'!J$32,H26,0)&lt;&gt;0,OFFSET('Overview - Section A'!E$32,H26,0),"")</f>
        <v/>
      </c>
      <c r="H26" s="253">
        <v>3</v>
      </c>
      <c r="I26" s="253" t="str">
        <f ca="1">IFERROR(LOOKUP(2, 1/((COUNTIF(I$14:I25,$G$15:$G$41)=0)*($G$15:$G$41&lt;&gt;"")), $G$15:$G$41),"")</f>
        <v/>
      </c>
      <c r="L26" s="215" t="str">
        <f t="array" ref="L26">IFERROR(INDEX(SectionAPopulation, MATCH(0, COUNTIF($L$1:L25, SectionAPopulation&amp;"") + IF(SectionAPopulation="",1,0), 0)), "")</f>
        <v/>
      </c>
      <c r="O26" s="253" t="str">
        <f ca="1">OFFSET('Overview - Section A'!$AK$155,MATCH(P26,'Overview - Section A'!$AN$155:$AN$256,0)-1,0,IF(COUNTIF('Overview - Section A'!$AN$155:$AN$256,P26)&gt;1,1,COUNTIF('Overview - Section A'!$AN$155:$AN$256,P26)),1)</f>
        <v/>
      </c>
      <c r="P26" s="175" t="str">
        <f t="array" ref="P26">IFERROR(INDEX('Overview - Section A'!$AN$155:$AN$256, MATCH(0, COUNTIF($P$1:P25, 'Overview - Section A'!$AN$155:$AN$256&amp;"") + IF('Overview - Section A'!$AN$155:$AN$256="",1,0), 0)), "")</f>
        <v/>
      </c>
      <c r="Q26" s="253" t="str">
        <f ca="1">OFFSET('Overview - Section A'!$AK$155,MATCH(P26,'Overview - Section A'!$AN$155:$AN$256,0)-1,1,IF(COUNTIF('Overview - Section A'!$AN$155:$AN$256,P26)&gt;1,1,COUNTIF('Overview - Section A'!$AN$155:$AN$256,P26)),1)</f>
        <v/>
      </c>
    </row>
    <row r="27" spans="1:17" x14ac:dyDescent="0.35">
      <c r="A27" t="s">
        <v>982</v>
      </c>
      <c r="B27">
        <f>MAX('update Helper'!P939:P1660)</f>
        <v>360</v>
      </c>
      <c r="G27" s="253" t="str">
        <f ca="1">IF(OFFSET('Overview - Section A'!J$32,H27,0)&lt;&gt;0,OFFSET('Overview - Section A'!E$32,H27,0),"")</f>
        <v/>
      </c>
      <c r="H27" s="253">
        <v>4</v>
      </c>
      <c r="I27" s="253" t="str">
        <f ca="1">IFERROR(LOOKUP(2, 1/((COUNTIF(I$14:I26,$G$15:$G$41)=0)*($G$15:$G$41&lt;&gt;"")), $G$15:$G$41),"")</f>
        <v/>
      </c>
      <c r="L27" s="215" t="str">
        <f t="array" ref="L27">IFERROR(INDEX(SectionAPopulation, MATCH(0, COUNTIF($L$1:L26, SectionAPopulation&amp;"") + IF(SectionAPopulation="",1,0), 0)), "")</f>
        <v/>
      </c>
      <c r="O27" s="253" t="str">
        <f ca="1">OFFSET('Overview - Section A'!$AK$155,MATCH(P27,'Overview - Section A'!$AN$155:$AN$256,0)-1,0,IF(COUNTIF('Overview - Section A'!$AN$155:$AN$256,P27)&gt;1,1,COUNTIF('Overview - Section A'!$AN$155:$AN$256,P27)),1)</f>
        <v/>
      </c>
      <c r="P27" s="175" t="str">
        <f t="array" ref="P27">IFERROR(INDEX('Overview - Section A'!$AN$155:$AN$256, MATCH(0, COUNTIF($P$1:P26, 'Overview - Section A'!$AN$155:$AN$256&amp;"") + IF('Overview - Section A'!$AN$155:$AN$256="",1,0), 0)), "")</f>
        <v/>
      </c>
      <c r="Q27" s="253" t="str">
        <f ca="1">OFFSET('Overview - Section A'!$AK$155,MATCH(P27,'Overview - Section A'!$AN$155:$AN$256,0)-1,1,IF(COUNTIF('Overview - Section A'!$AN$155:$AN$256,P27)&gt;1,1,COUNTIF('Overview - Section A'!$AN$155:$AN$256,P27)),1)</f>
        <v/>
      </c>
    </row>
    <row r="28" spans="1:17" x14ac:dyDescent="0.35">
      <c r="G28" s="253" t="str">
        <f ca="1">IF(OFFSET('Overview - Section A'!J$32,H28,0)&lt;&gt;0,OFFSET('Overview - Section A'!E$32,H28,0),"")</f>
        <v/>
      </c>
      <c r="H28" s="253">
        <v>5</v>
      </c>
      <c r="I28" s="253" t="str">
        <f ca="1">IFERROR(LOOKUP(2, 1/((COUNTIF(I$14:I27,$G$15:$G$41)=0)*($G$15:$G$41&lt;&gt;"")), $G$15:$G$41),"")</f>
        <v/>
      </c>
      <c r="L28" s="215" t="str">
        <f t="array" ref="L28">IFERROR(INDEX(SectionAPopulation, MATCH(0, COUNTIF($L$1:L27, SectionAPopulation&amp;"") + IF(SectionAPopulation="",1,0), 0)), "")</f>
        <v/>
      </c>
      <c r="O28" s="253" t="str">
        <f ca="1">OFFSET('Overview - Section A'!$AK$155,MATCH(P28,'Overview - Section A'!$AN$155:$AN$256,0)-1,0,IF(COUNTIF('Overview - Section A'!$AN$155:$AN$256,P28)&gt;1,1,COUNTIF('Overview - Section A'!$AN$155:$AN$256,P28)),1)</f>
        <v/>
      </c>
      <c r="P28" s="175" t="str">
        <f t="array" ref="P28">IFERROR(INDEX('Overview - Section A'!$AN$155:$AN$256, MATCH(0, COUNTIF($P$1:P27, 'Overview - Section A'!$AN$155:$AN$256&amp;"") + IF('Overview - Section A'!$AN$155:$AN$256="",1,0), 0)), "")</f>
        <v/>
      </c>
      <c r="Q28" s="253" t="str">
        <f ca="1">OFFSET('Overview - Section A'!$AK$155,MATCH(P28,'Overview - Section A'!$AN$155:$AN$256,0)-1,1,IF(COUNTIF('Overview - Section A'!$AN$155:$AN$256,P28)&gt;1,1,COUNTIF('Overview - Section A'!$AN$155:$AN$256,P28)),1)</f>
        <v/>
      </c>
    </row>
    <row r="29" spans="1:17" x14ac:dyDescent="0.35">
      <c r="A29" t="s">
        <v>254</v>
      </c>
      <c r="G29" s="253" t="str">
        <f ca="1">IF(OFFSET('Overview - Section A'!J$32,H29,0)&lt;&gt;0,OFFSET('Overview - Section A'!E$32,H29,0),"")</f>
        <v/>
      </c>
      <c r="H29" s="253">
        <v>6</v>
      </c>
      <c r="I29" s="253" t="str">
        <f ca="1">IFERROR(LOOKUP(2, 1/((COUNTIF(I$14:I28,$G$15:$G$41)=0)*($G$15:$G$41&lt;&gt;"")), $G$15:$G$41),"")</f>
        <v/>
      </c>
      <c r="L29" s="215" t="str">
        <f t="array" ref="L29">IFERROR(INDEX(SectionAPopulation, MATCH(0, COUNTIF($L$1:L28, SectionAPopulation&amp;"") + IF(SectionAPopulation="",1,0), 0)), "")</f>
        <v/>
      </c>
      <c r="O29" s="253" t="str">
        <f ca="1">OFFSET('Overview - Section A'!$AK$155,MATCH(P29,'Overview - Section A'!$AN$155:$AN$256,0)-1,0,IF(COUNTIF('Overview - Section A'!$AN$155:$AN$256,P29)&gt;1,1,COUNTIF('Overview - Section A'!$AN$155:$AN$256,P29)),1)</f>
        <v/>
      </c>
      <c r="P29" s="175" t="str">
        <f t="array" ref="P29">IFERROR(INDEX('Overview - Section A'!$AN$155:$AN$256, MATCH(0, COUNTIF($P$1:P28, 'Overview - Section A'!$AN$155:$AN$256&amp;"") + IF('Overview - Section A'!$AN$155:$AN$256="",1,0), 0)), "")</f>
        <v/>
      </c>
      <c r="Q29" s="253" t="str">
        <f ca="1">OFFSET('Overview - Section A'!$AK$155,MATCH(P29,'Overview - Section A'!$AN$155:$AN$256,0)-1,1,IF(COUNTIF('Overview - Section A'!$AN$155:$AN$256,P29)&gt;1,1,COUNTIF('Overview - Section A'!$AN$155:$AN$256,P29)),1)</f>
        <v/>
      </c>
    </row>
    <row r="30" spans="1:17" x14ac:dyDescent="0.35">
      <c r="G30" s="253" t="str">
        <f ca="1">IF(OFFSET('Overview - Section A'!J$32,H30,0)&lt;&gt;0,OFFSET('Overview - Section A'!E$32,H30,0),"")</f>
        <v/>
      </c>
      <c r="H30" s="253">
        <v>7</v>
      </c>
      <c r="I30" s="253" t="str">
        <f ca="1">IFERROR(LOOKUP(2, 1/((COUNTIF(I$14:I29,$G$15:$G$41)=0)*($G$15:$G$41&lt;&gt;"")), $G$15:$G$41),"")</f>
        <v/>
      </c>
      <c r="L30" s="215" t="str">
        <f t="array" ref="L30">IFERROR(INDEX(SectionAPopulation, MATCH(0, COUNTIF($L$1:L29, SectionAPopulation&amp;"") + IF(SectionAPopulation="",1,0), 0)), "")</f>
        <v/>
      </c>
      <c r="O30" s="253" t="str">
        <f ca="1">OFFSET('Overview - Section A'!$AK$155,MATCH(P30,'Overview - Section A'!$AN$155:$AN$256,0)-1,0,IF(COUNTIF('Overview - Section A'!$AN$155:$AN$256,P30)&gt;1,1,COUNTIF('Overview - Section A'!$AN$155:$AN$256,P30)),1)</f>
        <v/>
      </c>
      <c r="P30" s="175" t="str">
        <f t="array" ref="P30">IFERROR(INDEX('Overview - Section A'!$AN$155:$AN$256, MATCH(0, COUNTIF($P$1:P29, 'Overview - Section A'!$AN$155:$AN$256&amp;"") + IF('Overview - Section A'!$AN$155:$AN$256="",1,0), 0)), "")</f>
        <v/>
      </c>
      <c r="Q30" s="253" t="str">
        <f ca="1">OFFSET('Overview - Section A'!$AK$155,MATCH(P30,'Overview - Section A'!$AN$155:$AN$256,0)-1,1,IF(COUNTIF('Overview - Section A'!$AN$155:$AN$256,P30)&gt;1,1,COUNTIF('Overview - Section A'!$AN$155:$AN$256,P30)),1)</f>
        <v/>
      </c>
    </row>
    <row r="31" spans="1:17" x14ac:dyDescent="0.35">
      <c r="C31">
        <v>2002</v>
      </c>
      <c r="G31" s="253" t="str">
        <f ca="1">IF(OFFSET('Overview - Section A'!J$32,H31,0)&lt;&gt;0,OFFSET('Overview - Section A'!E$32,H31,0),"")</f>
        <v/>
      </c>
      <c r="H31" s="253">
        <v>8</v>
      </c>
      <c r="I31" s="253" t="str">
        <f ca="1">IFERROR(LOOKUP(2, 1/((COUNTIF(I$14:I30,$G$15:$G$41)=0)*($G$15:$G$41&lt;&gt;"")), $G$15:$G$41),"")</f>
        <v/>
      </c>
      <c r="L31" s="215" t="str">
        <f t="array" ref="L31">IFERROR(INDEX(SectionAPopulation, MATCH(0, COUNTIF($L$1:L30, SectionAPopulation&amp;"") + IF(SectionAPopulation="",1,0), 0)), "")</f>
        <v/>
      </c>
      <c r="O31" s="253" t="str">
        <f ca="1">OFFSET('Overview - Section A'!$AK$155,MATCH(P31,'Overview - Section A'!$AN$155:$AN$256,0)-1,0,IF(COUNTIF('Overview - Section A'!$AN$155:$AN$256,P31)&gt;1,1,COUNTIF('Overview - Section A'!$AN$155:$AN$256,P31)),1)</f>
        <v/>
      </c>
      <c r="P31" s="175" t="str">
        <f t="array" ref="P31">IFERROR(INDEX('Overview - Section A'!$AN$155:$AN$256, MATCH(0, COUNTIF($P$1:P30, 'Overview - Section A'!$AN$155:$AN$256&amp;"") + IF('Overview - Section A'!$AN$155:$AN$256="",1,0), 0)), "")</f>
        <v/>
      </c>
      <c r="Q31" s="253" t="str">
        <f ca="1">OFFSET('Overview - Section A'!$AK$155,MATCH(P31,'Overview - Section A'!$AN$155:$AN$256,0)-1,1,IF(COUNTIF('Overview - Section A'!$AN$155:$AN$256,P31)&gt;1,1,COUNTIF('Overview - Section A'!$AN$155:$AN$256,P31)),1)</f>
        <v/>
      </c>
    </row>
    <row r="32" spans="1:17" x14ac:dyDescent="0.35">
      <c r="A32" t="s">
        <v>334</v>
      </c>
      <c r="C32">
        <v>2003</v>
      </c>
      <c r="G32" s="253" t="str">
        <f ca="1">IF(OFFSET('Overview - Section A'!J$32,H32,0)&lt;&gt;0,OFFSET('Overview - Section A'!E$32,H32,0),"")</f>
        <v/>
      </c>
      <c r="H32" s="253">
        <v>9</v>
      </c>
      <c r="I32" s="253" t="str">
        <f ca="1">IFERROR(LOOKUP(2, 1/((COUNTIF(I$14:I31,$G$15:$G$41)=0)*($G$15:$G$41&lt;&gt;"")), $G$15:$G$41),"")</f>
        <v/>
      </c>
      <c r="L32" s="215" t="str">
        <f t="array" ref="L32">IFERROR(INDEX(SectionAPopulation, MATCH(0, COUNTIF($L$1:L31, SectionAPopulation&amp;"") + IF(SectionAPopulation="",1,0), 0)), "")</f>
        <v/>
      </c>
      <c r="O32" s="253" t="str">
        <f ca="1">OFFSET('Overview - Section A'!$AK$155,MATCH(P32,'Overview - Section A'!$AN$155:$AN$256,0)-1,0,IF(COUNTIF('Overview - Section A'!$AN$155:$AN$256,P32)&gt;1,1,COUNTIF('Overview - Section A'!$AN$155:$AN$256,P32)),1)</f>
        <v/>
      </c>
      <c r="P32" s="175" t="str">
        <f t="array" ref="P32">IFERROR(INDEX('Overview - Section A'!$AN$155:$AN$256, MATCH(0, COUNTIF($P$1:P31, 'Overview - Section A'!$AN$155:$AN$256&amp;"") + IF('Overview - Section A'!$AN$155:$AN$256="",1,0), 0)), "")</f>
        <v/>
      </c>
      <c r="Q32" s="253" t="str">
        <f ca="1">OFFSET('Overview - Section A'!$AK$155,MATCH(P32,'Overview - Section A'!$AN$155:$AN$256,0)-1,1,IF(COUNTIF('Overview - Section A'!$AN$155:$AN$256,P32)&gt;1,1,COUNTIF('Overview - Section A'!$AN$155:$AN$256,P32)),1)</f>
        <v/>
      </c>
    </row>
    <row r="33" spans="1:17" x14ac:dyDescent="0.35">
      <c r="A33" s="210" t="str">
        <f ca="1">IF(ISNUMBER(DATEVALUE(TEXT(TODAY(),"a-mmm-jj"))),"j-mmm-aa","[$-en-GB]d-mmm-yy")</f>
        <v>[$-en-GB]d-mmm-yy</v>
      </c>
      <c r="C33" s="253">
        <v>2004</v>
      </c>
      <c r="G33" t="str">
        <f ca="1">IF(AND(OFFSET('Overview - Section A'!K$32,H33,0)&lt;&gt;0,OFFSET('Overview - Section A'!D$32,H33,0)&lt;&gt;0),OFFSET('Overview - Section A'!D$32,H33,0),"")</f>
        <v/>
      </c>
      <c r="H33">
        <v>1</v>
      </c>
      <c r="I33" s="253" t="str">
        <f ca="1">IFERROR(LOOKUP(2, 1/((COUNTIF(I$14:I32,$G$15:$G$41)=0)*($G$15:$G$41&lt;&gt;"")), $G$15:$G$41),"")</f>
        <v/>
      </c>
      <c r="L33" s="215" t="str">
        <f t="array" ref="L33">IFERROR(INDEX(SectionAPopulation, MATCH(0, COUNTIF($L$1:L32, SectionAPopulation&amp;"") + IF(SectionAPopulation="",1,0), 0)), "")</f>
        <v/>
      </c>
      <c r="O33" s="253" t="str">
        <f ca="1">OFFSET('Overview - Section A'!$AK$155,MATCH(P33,'Overview - Section A'!$AN$155:$AN$256,0)-1,0,IF(COUNTIF('Overview - Section A'!$AN$155:$AN$256,P33)&gt;1,1,COUNTIF('Overview - Section A'!$AN$155:$AN$256,P33)),1)</f>
        <v/>
      </c>
      <c r="P33" s="175" t="str">
        <f t="array" ref="P33">IFERROR(INDEX('Overview - Section A'!$AN$155:$AN$256, MATCH(0, COUNTIF($P$1:P32, 'Overview - Section A'!$AN$155:$AN$256&amp;"") + IF('Overview - Section A'!$AN$155:$AN$256="",1,0), 0)), "")</f>
        <v/>
      </c>
      <c r="Q33" s="253" t="str">
        <f ca="1">OFFSET('Overview - Section A'!$AK$155,MATCH(P33,'Overview - Section A'!$AN$155:$AN$256,0)-1,1,IF(COUNTIF('Overview - Section A'!$AN$155:$AN$256,P33)&gt;1,1,COUNTIF('Overview - Section A'!$AN$155:$AN$256,P33)),1)</f>
        <v/>
      </c>
    </row>
    <row r="34" spans="1:17" x14ac:dyDescent="0.35">
      <c r="A34" s="210"/>
      <c r="C34" s="253">
        <v>2005</v>
      </c>
      <c r="G34" s="253" t="str">
        <f ca="1">IF(AND(OFFSET('Overview - Section A'!K$32,H34,0)&lt;&gt;0,OFFSET('Overview - Section A'!D$32,H34,0)&lt;&gt;0),OFFSET('Overview - Section A'!D$32,H34,0),"")</f>
        <v/>
      </c>
      <c r="H34">
        <v>2</v>
      </c>
      <c r="I34" s="253" t="str">
        <f ca="1">IFERROR(LOOKUP(2, 1/((COUNTIF(I$14:I33,$G$15:$G$41)=0)*($G$15:$G$41&lt;&gt;"")), $G$15:$G$41),"")</f>
        <v/>
      </c>
      <c r="L34" s="215" t="str">
        <f t="array" ref="L34">IFERROR(INDEX(SectionAPopulation, MATCH(0, COUNTIF($L$1:L33, SectionAPopulation&amp;"") + IF(SectionAPopulation="",1,0), 0)), "")</f>
        <v/>
      </c>
      <c r="O34" s="253" t="str">
        <f ca="1">OFFSET('Overview - Section A'!$AK$155,MATCH(P34,'Overview - Section A'!$AN$155:$AN$256,0)-1,0,IF(COUNTIF('Overview - Section A'!$AN$155:$AN$256,P34)&gt;1,1,COUNTIF('Overview - Section A'!$AN$155:$AN$256,P34)),1)</f>
        <v/>
      </c>
      <c r="P34" s="175" t="str">
        <f t="array" ref="P34">IFERROR(INDEX('Overview - Section A'!$AN$155:$AN$256, MATCH(0, COUNTIF($P$1:P33, 'Overview - Section A'!$AN$155:$AN$256&amp;"") + IF('Overview - Section A'!$AN$155:$AN$256="",1,0), 0)), "")</f>
        <v/>
      </c>
      <c r="Q34" s="253" t="str">
        <f ca="1">OFFSET('Overview - Section A'!$AK$155,MATCH(P34,'Overview - Section A'!$AN$155:$AN$256,0)-1,1,IF(COUNTIF('Overview - Section A'!$AN$155:$AN$256,P34)&gt;1,1,COUNTIF('Overview - Section A'!$AN$155:$AN$256,P34)),1)</f>
        <v/>
      </c>
    </row>
    <row r="35" spans="1:17" x14ac:dyDescent="0.35">
      <c r="C35" s="253">
        <v>2006</v>
      </c>
      <c r="G35" s="253" t="str">
        <f ca="1">IF(AND(OFFSET('Overview - Section A'!K$32,H35,0)&lt;&gt;0,OFFSET('Overview - Section A'!D$32,H35,0)&lt;&gt;0),OFFSET('Overview - Section A'!D$32,H35,0),"")</f>
        <v/>
      </c>
      <c r="H35" s="253">
        <v>3</v>
      </c>
      <c r="I35" s="253" t="str">
        <f ca="1">IFERROR(LOOKUP(2, 1/((COUNTIF(I$14:I34,$G$15:$G$41)=0)*($G$15:$G$41&lt;&gt;"")), $G$15:$G$41),"")</f>
        <v/>
      </c>
      <c r="L35" s="215" t="str">
        <f t="array" ref="L35">IFERROR(INDEX(SectionAPopulation, MATCH(0, COUNTIF($L$1:L34, SectionAPopulation&amp;"") + IF(SectionAPopulation="",1,0), 0)), "")</f>
        <v/>
      </c>
      <c r="O35" s="253" t="str">
        <f ca="1">OFFSET('Overview - Section A'!$AK$155,MATCH(P35,'Overview - Section A'!$AN$155:$AN$256,0)-1,0,IF(COUNTIF('Overview - Section A'!$AN$155:$AN$256,P35)&gt;1,1,COUNTIF('Overview - Section A'!$AN$155:$AN$256,P35)),1)</f>
        <v/>
      </c>
      <c r="P35" s="175" t="str">
        <f t="array" ref="P35">IFERROR(INDEX('Overview - Section A'!$AN$155:$AN$256, MATCH(0, COUNTIF($P$1:P34, 'Overview - Section A'!$AN$155:$AN$256&amp;"") + IF('Overview - Section A'!$AN$155:$AN$256="",1,0), 0)), "")</f>
        <v/>
      </c>
      <c r="Q35" s="253" t="str">
        <f ca="1">OFFSET('Overview - Section A'!$AK$155,MATCH(P35,'Overview - Section A'!$AN$155:$AN$256,0)-1,1,IF(COUNTIF('Overview - Section A'!$AN$155:$AN$256,P35)&gt;1,1,COUNTIF('Overview - Section A'!$AN$155:$AN$256,P35)),1)</f>
        <v/>
      </c>
    </row>
    <row r="36" spans="1:17" x14ac:dyDescent="0.35">
      <c r="C36" s="253">
        <v>2007</v>
      </c>
      <c r="G36" s="253" t="str">
        <f ca="1">IF(AND(OFFSET('Overview - Section A'!K$32,H36,0)&lt;&gt;0,OFFSET('Overview - Section A'!D$32,H36,0)&lt;&gt;0),OFFSET('Overview - Section A'!D$32,H36,0),"")</f>
        <v/>
      </c>
      <c r="H36" s="253">
        <v>4</v>
      </c>
      <c r="I36" s="253" t="str">
        <f ca="1">IFERROR(LOOKUP(2, 1/((COUNTIF(I$14:I35,$G$15:$G$41)=0)*($G$15:$G$41&lt;&gt;"")), $G$15:$G$41),"")</f>
        <v/>
      </c>
      <c r="L36" s="215" t="str">
        <f t="array" ref="L36">IFERROR(INDEX(SectionAPopulation, MATCH(0, COUNTIF($L$1:L35, SectionAPopulation&amp;"") + IF(SectionAPopulation="",1,0), 0)), "")</f>
        <v/>
      </c>
      <c r="O36" s="253" t="str">
        <f ca="1">OFFSET('Overview - Section A'!$AK$155,MATCH(P36,'Overview - Section A'!$AN$155:$AN$256,0)-1,0,IF(COUNTIF('Overview - Section A'!$AN$155:$AN$256,P36)&gt;1,1,COUNTIF('Overview - Section A'!$AN$155:$AN$256,P36)),1)</f>
        <v/>
      </c>
      <c r="P36" s="175" t="str">
        <f t="array" ref="P36">IFERROR(INDEX('Overview - Section A'!$AN$155:$AN$256, MATCH(0, COUNTIF($P$1:P35, 'Overview - Section A'!$AN$155:$AN$256&amp;"") + IF('Overview - Section A'!$AN$155:$AN$256="",1,0), 0)), "")</f>
        <v/>
      </c>
      <c r="Q36" s="253" t="str">
        <f ca="1">OFFSET('Overview - Section A'!$AK$155,MATCH(P36,'Overview - Section A'!$AN$155:$AN$256,0)-1,1,IF(COUNTIF('Overview - Section A'!$AN$155:$AN$256,P36)&gt;1,1,COUNTIF('Overview - Section A'!$AN$155:$AN$256,P36)),1)</f>
        <v/>
      </c>
    </row>
    <row r="37" spans="1:17" x14ac:dyDescent="0.35">
      <c r="C37" s="253">
        <v>2008</v>
      </c>
      <c r="G37" s="253" t="str">
        <f ca="1">IF(AND(OFFSET('Overview - Section A'!K$32,H37,0)&lt;&gt;0,OFFSET('Overview - Section A'!D$32,H37,0)&lt;&gt;0),OFFSET('Overview - Section A'!D$32,H37,0),"")</f>
        <v/>
      </c>
      <c r="H37" s="253">
        <v>5</v>
      </c>
      <c r="I37" s="253" t="str">
        <f ca="1">IFERROR(LOOKUP(2, 1/((COUNTIF(I$14:I36,$G$15:$G$41)=0)*($G$15:$G$41&lt;&gt;"")), $G$15:$G$41),"")</f>
        <v/>
      </c>
      <c r="L37" s="215" t="str">
        <f t="array" ref="L37">IFERROR(INDEX(SectionAPopulation, MATCH(0, COUNTIF($L$1:L36, SectionAPopulation&amp;"") + IF(SectionAPopulation="",1,0), 0)), "")</f>
        <v/>
      </c>
      <c r="O37" s="253" t="str">
        <f ca="1">OFFSET('Overview - Section A'!$AK$155,MATCH(P37,'Overview - Section A'!$AN$155:$AN$256,0)-1,0,IF(COUNTIF('Overview - Section A'!$AN$155:$AN$256,P37)&gt;1,1,COUNTIF('Overview - Section A'!$AN$155:$AN$256,P37)),1)</f>
        <v/>
      </c>
      <c r="P37" s="175" t="str">
        <f t="array" ref="P37">IFERROR(INDEX('Overview - Section A'!$AN$155:$AN$256, MATCH(0, COUNTIF($P$1:P36, 'Overview - Section A'!$AN$155:$AN$256&amp;"") + IF('Overview - Section A'!$AN$155:$AN$256="",1,0), 0)), "")</f>
        <v/>
      </c>
      <c r="Q37" s="253" t="str">
        <f ca="1">OFFSET('Overview - Section A'!$AK$155,MATCH(P37,'Overview - Section A'!$AN$155:$AN$256,0)-1,1,IF(COUNTIF('Overview - Section A'!$AN$155:$AN$256,P37)&gt;1,1,COUNTIF('Overview - Section A'!$AN$155:$AN$256,P37)),1)</f>
        <v/>
      </c>
    </row>
    <row r="38" spans="1:17" x14ac:dyDescent="0.35">
      <c r="C38" s="253">
        <v>2009</v>
      </c>
      <c r="G38" s="253" t="str">
        <f ca="1">IF(AND(OFFSET('Overview - Section A'!K$32,H38,0)&lt;&gt;0,OFFSET('Overview - Section A'!D$32,H38,0)&lt;&gt;0),OFFSET('Overview - Section A'!D$32,H38,0),"")</f>
        <v/>
      </c>
      <c r="H38" s="253">
        <v>6</v>
      </c>
      <c r="I38" s="253" t="str">
        <f ca="1">IFERROR(LOOKUP(2, 1/((COUNTIF(I$14:I37,$G$15:$G$41)=0)*($G$15:$G$41&lt;&gt;"")), $G$15:$G$41),"")</f>
        <v/>
      </c>
      <c r="L38" s="215" t="str">
        <f t="array" ref="L38">IFERROR(INDEX(SectionAPopulation, MATCH(0, COUNTIF($L$1:L37, SectionAPopulation&amp;"") + IF(SectionAPopulation="",1,0), 0)), "")</f>
        <v/>
      </c>
      <c r="O38" s="253" t="str">
        <f ca="1">OFFSET('Overview - Section A'!$AK$155,MATCH(P38,'Overview - Section A'!$AN$155:$AN$256,0)-1,0,IF(COUNTIF('Overview - Section A'!$AN$155:$AN$256,P38)&gt;1,1,COUNTIF('Overview - Section A'!$AN$155:$AN$256,P38)),1)</f>
        <v/>
      </c>
      <c r="P38" s="175" t="str">
        <f t="array" ref="P38">IFERROR(INDEX('Overview - Section A'!$AN$155:$AN$256, MATCH(0, COUNTIF($P$1:P37, 'Overview - Section A'!$AN$155:$AN$256&amp;"") + IF('Overview - Section A'!$AN$155:$AN$256="",1,0), 0)), "")</f>
        <v/>
      </c>
      <c r="Q38" s="253" t="str">
        <f ca="1">OFFSET('Overview - Section A'!$AK$155,MATCH(P38,'Overview - Section A'!$AN$155:$AN$256,0)-1,1,IF(COUNTIF('Overview - Section A'!$AN$155:$AN$256,P38)&gt;1,1,COUNTIF('Overview - Section A'!$AN$155:$AN$256,P38)),1)</f>
        <v/>
      </c>
    </row>
    <row r="39" spans="1:17" x14ac:dyDescent="0.35">
      <c r="C39" s="253">
        <v>2010</v>
      </c>
      <c r="G39" s="253" t="str">
        <f ca="1">IF(AND(OFFSET('Overview - Section A'!K$32,H39,0)&lt;&gt;0,OFFSET('Overview - Section A'!D$32,H39,0)&lt;&gt;0),OFFSET('Overview - Section A'!D$32,H39,0),"")</f>
        <v/>
      </c>
      <c r="H39" s="253">
        <v>7</v>
      </c>
      <c r="I39" s="253" t="str">
        <f ca="1">IFERROR(LOOKUP(2, 1/((COUNTIF(I$14:I38,$G$15:$G$41)=0)*($G$15:$G$41&lt;&gt;"")), $G$15:$G$41),"")</f>
        <v/>
      </c>
      <c r="L39" s="215" t="str">
        <f t="array" ref="L39">IFERROR(INDEX(SectionAPopulation, MATCH(0, COUNTIF($L$1:L38, SectionAPopulation&amp;"") + IF(SectionAPopulation="",1,0), 0)), "")</f>
        <v/>
      </c>
      <c r="O39" s="253" t="str">
        <f ca="1">OFFSET('Overview - Section A'!$AK$155,MATCH(P39,'Overview - Section A'!$AN$155:$AN$256,0)-1,0,IF(COUNTIF('Overview - Section A'!$AN$155:$AN$256,P39)&gt;1,1,COUNTIF('Overview - Section A'!$AN$155:$AN$256,P39)),1)</f>
        <v/>
      </c>
      <c r="P39" s="175" t="str">
        <f t="array" ref="P39">IFERROR(INDEX('Overview - Section A'!$AN$155:$AN$256, MATCH(0, COUNTIF($P$1:P38, 'Overview - Section A'!$AN$155:$AN$256&amp;"") + IF('Overview - Section A'!$AN$155:$AN$256="",1,0), 0)), "")</f>
        <v/>
      </c>
      <c r="Q39" s="253" t="str">
        <f ca="1">OFFSET('Overview - Section A'!$AK$155,MATCH(P39,'Overview - Section A'!$AN$155:$AN$256,0)-1,1,IF(COUNTIF('Overview - Section A'!$AN$155:$AN$256,P39)&gt;1,1,COUNTIF('Overview - Section A'!$AN$155:$AN$256,P39)),1)</f>
        <v/>
      </c>
    </row>
    <row r="40" spans="1:17" x14ac:dyDescent="0.35">
      <c r="C40" s="253">
        <v>2011</v>
      </c>
      <c r="G40" s="253" t="str">
        <f ca="1">IF(AND(OFFSET('Overview - Section A'!K$32,H40,0)&lt;&gt;0,OFFSET('Overview - Section A'!D$32,H40,0)&lt;&gt;0),OFFSET('Overview - Section A'!D$32,H40,0),"")</f>
        <v/>
      </c>
      <c r="H40" s="253">
        <v>8</v>
      </c>
      <c r="I40" s="253" t="str">
        <f ca="1">IFERROR(LOOKUP(2, 1/((COUNTIF(I$14:I39,$G$15:$G$41)=0)*($G$15:$G$41&lt;&gt;"")), $G$15:$G$41),"")</f>
        <v/>
      </c>
      <c r="L40" s="215" t="str">
        <f t="array" ref="L40">IFERROR(INDEX(SectionAPopulation, MATCH(0, COUNTIF($L$1:L39, SectionAPopulation&amp;"") + IF(SectionAPopulation="",1,0), 0)), "")</f>
        <v/>
      </c>
      <c r="O40" s="253" t="str">
        <f ca="1">OFFSET('Overview - Section A'!$AK$155,MATCH(P40,'Overview - Section A'!$AN$155:$AN$256,0)-1,0,IF(COUNTIF('Overview - Section A'!$AN$155:$AN$256,P40)&gt;1,1,COUNTIF('Overview - Section A'!$AN$155:$AN$256,P40)),1)</f>
        <v/>
      </c>
      <c r="P40" s="175" t="str">
        <f t="array" ref="P40">IFERROR(INDEX('Overview - Section A'!$AN$155:$AN$256, MATCH(0, COUNTIF($P$1:P39, 'Overview - Section A'!$AN$155:$AN$256&amp;"") + IF('Overview - Section A'!$AN$155:$AN$256="",1,0), 0)), "")</f>
        <v/>
      </c>
      <c r="Q40" s="253" t="str">
        <f ca="1">OFFSET('Overview - Section A'!$AK$155,MATCH(P40,'Overview - Section A'!$AN$155:$AN$256,0)-1,1,IF(COUNTIF('Overview - Section A'!$AN$155:$AN$256,P40)&gt;1,1,COUNTIF('Overview - Section A'!$AN$155:$AN$256,P40)),1)</f>
        <v/>
      </c>
    </row>
    <row r="41" spans="1:17" x14ac:dyDescent="0.35">
      <c r="C41" s="253">
        <v>2012</v>
      </c>
      <c r="G41" s="253" t="str">
        <f ca="1">IF(AND(OFFSET('Overview - Section A'!K$32,H41,0)&lt;&gt;0,OFFSET('Overview - Section A'!D$32,H41,0)&lt;&gt;0),OFFSET('Overview - Section A'!D$32,H41,0),"")</f>
        <v/>
      </c>
      <c r="H41" s="253">
        <v>9</v>
      </c>
      <c r="I41" s="253" t="str">
        <f ca="1">IFERROR(LOOKUP(2, 1/((COUNTIF(I$14:I40,$G$15:$G$41)=0)*($G$15:$G$41&lt;&gt;"")), $G$15:$G$41),"")</f>
        <v/>
      </c>
      <c r="L41" s="215" t="str">
        <f t="array" ref="L41">IFERROR(INDEX(SectionAPopulation, MATCH(0, COUNTIF($L$1:L40, SectionAPopulation&amp;"") + IF(SectionAPopulation="",1,0), 0)), "")</f>
        <v/>
      </c>
      <c r="O41" s="253" t="str">
        <f ca="1">OFFSET('Overview - Section A'!$AK$155,MATCH(P41,'Overview - Section A'!$AN$155:$AN$256,0)-1,0,IF(COUNTIF('Overview - Section A'!$AN$155:$AN$256,P41)&gt;1,1,COUNTIF('Overview - Section A'!$AN$155:$AN$256,P41)),1)</f>
        <v/>
      </c>
      <c r="P41" s="175" t="str">
        <f t="array" ref="P41">IFERROR(INDEX('Overview - Section A'!$AN$155:$AN$256, MATCH(0, COUNTIF($P$1:P40, 'Overview - Section A'!$AN$155:$AN$256&amp;"") + IF('Overview - Section A'!$AN$155:$AN$256="",1,0), 0)), "")</f>
        <v/>
      </c>
      <c r="Q41" s="253" t="str">
        <f ca="1">OFFSET('Overview - Section A'!$AK$155,MATCH(P41,'Overview - Section A'!$AN$155:$AN$256,0)-1,1,IF(COUNTIF('Overview - Section A'!$AN$155:$AN$256,P41)&gt;1,1,COUNTIF('Overview - Section A'!$AN$155:$AN$256,P41)),1)</f>
        <v/>
      </c>
    </row>
    <row r="42" spans="1:17" x14ac:dyDescent="0.35">
      <c r="C42" s="253">
        <v>2013</v>
      </c>
      <c r="L42" s="215" t="str">
        <f t="array" ref="L42">IFERROR(INDEX(SectionAPopulation, MATCH(0, COUNTIF($L$1:L41, SectionAPopulation&amp;"") + IF(SectionAPopulation="",1,0), 0)), "")</f>
        <v/>
      </c>
      <c r="O42" s="253" t="str">
        <f ca="1">OFFSET('Overview - Section A'!$AK$155,MATCH(P42,'Overview - Section A'!$AN$155:$AN$256,0)-1,0,IF(COUNTIF('Overview - Section A'!$AN$155:$AN$256,P42)&gt;1,1,COUNTIF('Overview - Section A'!$AN$155:$AN$256,P42)),1)</f>
        <v/>
      </c>
      <c r="P42" s="175" t="str">
        <f t="array" ref="P42">IFERROR(INDEX('Overview - Section A'!$AN$155:$AN$256, MATCH(0, COUNTIF($P$1:P41, 'Overview - Section A'!$AN$155:$AN$256&amp;"") + IF('Overview - Section A'!$AN$155:$AN$256="",1,0), 0)), "")</f>
        <v/>
      </c>
      <c r="Q42" s="253" t="str">
        <f ca="1">OFFSET('Overview - Section A'!$AK$155,MATCH(P42,'Overview - Section A'!$AN$155:$AN$256,0)-1,1,IF(COUNTIF('Overview - Section A'!$AN$155:$AN$256,P42)&gt;1,1,COUNTIF('Overview - Section A'!$AN$155:$AN$256,P42)),1)</f>
        <v/>
      </c>
    </row>
    <row r="43" spans="1:17" x14ac:dyDescent="0.35">
      <c r="C43" s="253">
        <v>2014</v>
      </c>
      <c r="L43" s="215" t="str">
        <f t="array" ref="L43">IFERROR(INDEX(SectionAPopulation, MATCH(0, COUNTIF($L$1:L42, SectionAPopulation&amp;"") + IF(SectionAPopulation="",1,0), 0)), "")</f>
        <v/>
      </c>
      <c r="O43" s="253" t="str">
        <f ca="1">OFFSET('Overview - Section A'!$AK$155,MATCH(P43,'Overview - Section A'!$AN$155:$AN$256,0)-1,0,IF(COUNTIF('Overview - Section A'!$AN$155:$AN$256,P43)&gt;1,1,COUNTIF('Overview - Section A'!$AN$155:$AN$256,P43)),1)</f>
        <v/>
      </c>
      <c r="P43" s="175" t="str">
        <f t="array" ref="P43">IFERROR(INDEX('Overview - Section A'!$AN$155:$AN$256, MATCH(0, COUNTIF($P$1:P42, 'Overview - Section A'!$AN$155:$AN$256&amp;"") + IF('Overview - Section A'!$AN$155:$AN$256="",1,0), 0)), "")</f>
        <v/>
      </c>
      <c r="Q43" s="253" t="str">
        <f ca="1">OFFSET('Overview - Section A'!$AK$155,MATCH(P43,'Overview - Section A'!$AN$155:$AN$256,0)-1,1,IF(COUNTIF('Overview - Section A'!$AN$155:$AN$256,P43)&gt;1,1,COUNTIF('Overview - Section A'!$AN$155:$AN$256,P43)),1)</f>
        <v/>
      </c>
    </row>
    <row r="44" spans="1:17" x14ac:dyDescent="0.35">
      <c r="C44" s="253">
        <v>2015</v>
      </c>
      <c r="L44" s="215" t="str">
        <f t="array" ref="L44">IFERROR(INDEX(SectionAPopulation, MATCH(0, COUNTIF($L$1:L43, SectionAPopulation&amp;"") + IF(SectionAPopulation="",1,0), 0)), "")</f>
        <v/>
      </c>
      <c r="O44" s="253" t="str">
        <f ca="1">OFFSET('Overview - Section A'!$AK$155,MATCH(P44,'Overview - Section A'!$AN$155:$AN$256,0)-1,0,IF(COUNTIF('Overview - Section A'!$AN$155:$AN$256,P44)&gt;1,1,COUNTIF('Overview - Section A'!$AN$155:$AN$256,P44)),1)</f>
        <v/>
      </c>
      <c r="P44" s="175" t="str">
        <f t="array" ref="P44">IFERROR(INDEX('Overview - Section A'!$AN$155:$AN$256, MATCH(0, COUNTIF($P$1:P43, 'Overview - Section A'!$AN$155:$AN$256&amp;"") + IF('Overview - Section A'!$AN$155:$AN$256="",1,0), 0)), "")</f>
        <v/>
      </c>
      <c r="Q44" s="253" t="str">
        <f ca="1">OFFSET('Overview - Section A'!$AK$155,MATCH(P44,'Overview - Section A'!$AN$155:$AN$256,0)-1,1,IF(COUNTIF('Overview - Section A'!$AN$155:$AN$256,P44)&gt;1,1,COUNTIF('Overview - Section A'!$AN$155:$AN$256,P44)),1)</f>
        <v/>
      </c>
    </row>
    <row r="45" spans="1:17" x14ac:dyDescent="0.35">
      <c r="C45" s="253">
        <v>2016</v>
      </c>
      <c r="L45" s="215" t="str">
        <f t="array" ref="L45">IFERROR(INDEX(SectionAPopulation, MATCH(0, COUNTIF($L$1:L44, SectionAPopulation&amp;"") + IF(SectionAPopulation="",1,0), 0)), "")</f>
        <v/>
      </c>
      <c r="O45" s="253" t="str">
        <f ca="1">OFFSET('Overview - Section A'!$AK$155,MATCH(P45,'Overview - Section A'!$AN$155:$AN$256,0)-1,0,IF(COUNTIF('Overview - Section A'!$AN$155:$AN$256,P45)&gt;1,1,COUNTIF('Overview - Section A'!$AN$155:$AN$256,P45)),1)</f>
        <v/>
      </c>
      <c r="P45" s="175" t="str">
        <f t="array" ref="P45">IFERROR(INDEX('Overview - Section A'!$AN$155:$AN$256, MATCH(0, COUNTIF($P$1:P44, 'Overview - Section A'!$AN$155:$AN$256&amp;"") + IF('Overview - Section A'!$AN$155:$AN$256="",1,0), 0)), "")</f>
        <v/>
      </c>
      <c r="Q45" s="253" t="str">
        <f ca="1">OFFSET('Overview - Section A'!$AK$155,MATCH(P45,'Overview - Section A'!$AN$155:$AN$256,0)-1,1,IF(COUNTIF('Overview - Section A'!$AN$155:$AN$256,P45)&gt;1,1,COUNTIF('Overview - Section A'!$AN$155:$AN$256,P45)),1)</f>
        <v/>
      </c>
    </row>
    <row r="46" spans="1:17" x14ac:dyDescent="0.35">
      <c r="C46" s="253">
        <v>2017</v>
      </c>
      <c r="L46" s="215" t="str">
        <f t="array" ref="L46">IFERROR(INDEX(SectionAPopulation, MATCH(0, COUNTIF($L$1:L45, SectionAPopulation&amp;"") + IF(SectionAPopulation="",1,0), 0)), "")</f>
        <v/>
      </c>
      <c r="O46" s="253" t="str">
        <f ca="1">OFFSET('Overview - Section A'!$AK$155,MATCH(P46,'Overview - Section A'!$AN$155:$AN$256,0)-1,0,IF(COUNTIF('Overview - Section A'!$AN$155:$AN$256,P46)&gt;1,1,COUNTIF('Overview - Section A'!$AN$155:$AN$256,P46)),1)</f>
        <v/>
      </c>
      <c r="P46" s="175" t="str">
        <f t="array" ref="P46">IFERROR(INDEX('Overview - Section A'!$AN$155:$AN$256, MATCH(0, COUNTIF($P$1:P45, 'Overview - Section A'!$AN$155:$AN$256&amp;"") + IF('Overview - Section A'!$AN$155:$AN$256="",1,0), 0)), "")</f>
        <v/>
      </c>
      <c r="Q46" s="253" t="str">
        <f ca="1">OFFSET('Overview - Section A'!$AK$155,MATCH(P46,'Overview - Section A'!$AN$155:$AN$256,0)-1,1,IF(COUNTIF('Overview - Section A'!$AN$155:$AN$256,P46)&gt;1,1,COUNTIF('Overview - Section A'!$AN$155:$AN$256,P46)),1)</f>
        <v/>
      </c>
    </row>
    <row r="47" spans="1:17" x14ac:dyDescent="0.35">
      <c r="C47" s="253">
        <v>2018</v>
      </c>
      <c r="L47" s="215" t="str">
        <f t="array" ref="L47">IFERROR(INDEX(SectionAPopulation, MATCH(0, COUNTIF($L$1:L46, SectionAPopulation&amp;"") + IF(SectionAPopulation="",1,0), 0)), "")</f>
        <v/>
      </c>
      <c r="O47" s="253" t="str">
        <f ca="1">OFFSET('Overview - Section A'!$AK$155,MATCH(P47,'Overview - Section A'!$AN$155:$AN$256,0)-1,0,IF(COUNTIF('Overview - Section A'!$AN$155:$AN$256,P47)&gt;1,1,COUNTIF('Overview - Section A'!$AN$155:$AN$256,P47)),1)</f>
        <v/>
      </c>
      <c r="P47" s="175" t="str">
        <f t="array" ref="P47">IFERROR(INDEX('Overview - Section A'!$AN$155:$AN$256, MATCH(0, COUNTIF($P$1:P46, 'Overview - Section A'!$AN$155:$AN$256&amp;"") + IF('Overview - Section A'!$AN$155:$AN$256="",1,0), 0)), "")</f>
        <v/>
      </c>
      <c r="Q47" s="253" t="str">
        <f ca="1">OFFSET('Overview - Section A'!$AK$155,MATCH(P47,'Overview - Section A'!$AN$155:$AN$256,0)-1,1,IF(COUNTIF('Overview - Section A'!$AN$155:$AN$256,P47)&gt;1,1,COUNTIF('Overview - Section A'!$AN$155:$AN$256,P47)),1)</f>
        <v/>
      </c>
    </row>
    <row r="48" spans="1:17" x14ac:dyDescent="0.35">
      <c r="C48" s="253">
        <v>2019</v>
      </c>
      <c r="L48" s="215" t="str">
        <f t="array" ref="L48">IFERROR(INDEX(SectionAPopulation, MATCH(0, COUNTIF($L$1:L47, SectionAPopulation&amp;"") + IF(SectionAPopulation="",1,0), 0)), "")</f>
        <v/>
      </c>
      <c r="O48" s="253" t="str">
        <f ca="1">OFFSET('Overview - Section A'!$AK$155,MATCH(P48,'Overview - Section A'!$AN$155:$AN$256,0)-1,0,IF(COUNTIF('Overview - Section A'!$AN$155:$AN$256,P48)&gt;1,1,COUNTIF('Overview - Section A'!$AN$155:$AN$256,P48)),1)</f>
        <v/>
      </c>
      <c r="P48" s="175" t="str">
        <f t="array" ref="P48">IFERROR(INDEX('Overview - Section A'!$AN$155:$AN$256, MATCH(0, COUNTIF($P$1:P47, 'Overview - Section A'!$AN$155:$AN$256&amp;"") + IF('Overview - Section A'!$AN$155:$AN$256="",1,0), 0)), "")</f>
        <v/>
      </c>
      <c r="Q48" s="253" t="str">
        <f ca="1">OFFSET('Overview - Section A'!$AK$155,MATCH(P48,'Overview - Section A'!$AN$155:$AN$256,0)-1,1,IF(COUNTIF('Overview - Section A'!$AN$155:$AN$256,P48)&gt;1,1,COUNTIF('Overview - Section A'!$AN$155:$AN$256,P48)),1)</f>
        <v/>
      </c>
    </row>
    <row r="49" spans="3:17" x14ac:dyDescent="0.35">
      <c r="C49" s="253">
        <v>2020</v>
      </c>
      <c r="L49" s="215" t="str">
        <f t="array" ref="L49">IFERROR(INDEX(SectionAPopulation, MATCH(0, COUNTIF($L$1:L48, SectionAPopulation&amp;"") + IF(SectionAPopulation="",1,0), 0)), "")</f>
        <v/>
      </c>
      <c r="O49" s="253" t="str">
        <f ca="1">OFFSET('Overview - Section A'!$AK$155,MATCH(P49,'Overview - Section A'!$AN$155:$AN$256,0)-1,0,IF(COUNTIF('Overview - Section A'!$AN$155:$AN$256,P49)&gt;1,1,COUNTIF('Overview - Section A'!$AN$155:$AN$256,P49)),1)</f>
        <v/>
      </c>
      <c r="P49" s="175" t="str">
        <f t="array" ref="P49">IFERROR(INDEX('Overview - Section A'!$AN$155:$AN$256, MATCH(0, COUNTIF($P$1:P48, 'Overview - Section A'!$AN$155:$AN$256&amp;"") + IF('Overview - Section A'!$AN$155:$AN$256="",1,0), 0)), "")</f>
        <v/>
      </c>
      <c r="Q49" s="253" t="str">
        <f ca="1">OFFSET('Overview - Section A'!$AK$155,MATCH(P49,'Overview - Section A'!$AN$155:$AN$256,0)-1,1,IF(COUNTIF('Overview - Section A'!$AN$155:$AN$256,P49)&gt;1,1,COUNTIF('Overview - Section A'!$AN$155:$AN$256,P49)),1)</f>
        <v/>
      </c>
    </row>
    <row r="50" spans="3:17" x14ac:dyDescent="0.35">
      <c r="C50" s="253">
        <v>2021</v>
      </c>
      <c r="O50" s="253" t="str">
        <f ca="1">OFFSET('Overview - Section A'!$AK$155,MATCH(P50,'Overview - Section A'!$AN$155:$AN$256,0)-1,0,IF(COUNTIF('Overview - Section A'!$AN$155:$AN$256,P50)&gt;1,1,COUNTIF('Overview - Section A'!$AN$155:$AN$256,P50)),1)</f>
        <v/>
      </c>
      <c r="P50" s="175" t="str">
        <f t="array" ref="P50">IFERROR(INDEX('Overview - Section A'!$AN$155:$AN$256, MATCH(0, COUNTIF($P$1:P49, 'Overview - Section A'!$AN$155:$AN$256&amp;"") + IF('Overview - Section A'!$AN$155:$AN$256="",1,0), 0)), "")</f>
        <v/>
      </c>
      <c r="Q50" s="253" t="str">
        <f ca="1">OFFSET('Overview - Section A'!$AK$155,MATCH(P50,'Overview - Section A'!$AN$155:$AN$256,0)-1,1,IF(COUNTIF('Overview - Section A'!$AN$155:$AN$256,P50)&gt;1,1,COUNTIF('Overview - Section A'!$AN$155:$AN$256,P50)),1)</f>
        <v/>
      </c>
    </row>
    <row r="51" spans="3:17" x14ac:dyDescent="0.35">
      <c r="C51" s="253">
        <v>2022</v>
      </c>
      <c r="O51" s="253" t="str">
        <f ca="1">OFFSET('Overview - Section A'!$AK$155,MATCH(P51,'Overview - Section A'!$AN$155:$AN$256,0)-1,0,IF(COUNTIF('Overview - Section A'!$AN$155:$AN$256,P51)&gt;1,1,COUNTIF('Overview - Section A'!$AN$155:$AN$256,P51)),1)</f>
        <v/>
      </c>
      <c r="P51" s="175" t="str">
        <f t="array" ref="P51">IFERROR(INDEX('Overview - Section A'!$AN$155:$AN$256, MATCH(0, COUNTIF($P$1:P50, 'Overview - Section A'!$AN$155:$AN$256&amp;"") + IF('Overview - Section A'!$AN$155:$AN$256="",1,0), 0)), "")</f>
        <v/>
      </c>
      <c r="Q51" s="253" t="str">
        <f ca="1">OFFSET('Overview - Section A'!$AK$155,MATCH(P51,'Overview - Section A'!$AN$155:$AN$256,0)-1,1,IF(COUNTIF('Overview - Section A'!$AN$155:$AN$256,P51)&gt;1,1,COUNTIF('Overview - Section A'!$AN$155:$AN$256,P51)),1)</f>
        <v/>
      </c>
    </row>
    <row r="52" spans="3:17" x14ac:dyDescent="0.35">
      <c r="C52" s="253">
        <v>2023</v>
      </c>
      <c r="O52" s="253" t="str">
        <f ca="1">OFFSET('Overview - Section A'!$AK$155,MATCH(P52,'Overview - Section A'!$AN$155:$AN$256,0)-1,0,IF(COUNTIF('Overview - Section A'!$AN$155:$AN$256,P52)&gt;1,1,COUNTIF('Overview - Section A'!$AN$155:$AN$256,P52)),1)</f>
        <v/>
      </c>
      <c r="P52" s="175" t="str">
        <f t="array" ref="P52">IFERROR(INDEX('Overview - Section A'!$AN$155:$AN$256, MATCH(0, COUNTIF($P$1:P51, 'Overview - Section A'!$AN$155:$AN$256&amp;"") + IF('Overview - Section A'!$AN$155:$AN$256="",1,0), 0)), "")</f>
        <v/>
      </c>
      <c r="Q52" s="253" t="str">
        <f ca="1">OFFSET('Overview - Section A'!$AK$155,MATCH(P52,'Overview - Section A'!$AN$155:$AN$256,0)-1,1,IF(COUNTIF('Overview - Section A'!$AN$155:$AN$256,P52)&gt;1,1,COUNTIF('Overview - Section A'!$AN$155:$AN$256,P52)),1)</f>
        <v/>
      </c>
    </row>
    <row r="53" spans="3:17" x14ac:dyDescent="0.35">
      <c r="C53" s="253">
        <v>2024</v>
      </c>
      <c r="O53" s="253" t="str">
        <f ca="1">OFFSET('Overview - Section A'!$AK$155,MATCH(P53,'Overview - Section A'!$AN$155:$AN$256,0)-1,0,IF(COUNTIF('Overview - Section A'!$AN$155:$AN$256,P53)&gt;1,1,COUNTIF('Overview - Section A'!$AN$155:$AN$256,P53)),1)</f>
        <v/>
      </c>
      <c r="P53" s="175" t="str">
        <f t="array" ref="P53">IFERROR(INDEX('Overview - Section A'!$AN$155:$AN$256, MATCH(0, COUNTIF($P$1:P52, 'Overview - Section A'!$AN$155:$AN$256&amp;"") + IF('Overview - Section A'!$AN$155:$AN$256="",1,0), 0)), "")</f>
        <v/>
      </c>
      <c r="Q53" s="253" t="str">
        <f ca="1">OFFSET('Overview - Section A'!$AK$155,MATCH(P53,'Overview - Section A'!$AN$155:$AN$256,0)-1,1,IF(COUNTIF('Overview - Section A'!$AN$155:$AN$256,P53)&gt;1,1,COUNTIF('Overview - Section A'!$AN$155:$AN$256,P53)),1)</f>
        <v/>
      </c>
    </row>
    <row r="54" spans="3:17" x14ac:dyDescent="0.35">
      <c r="C54" s="253">
        <v>2025</v>
      </c>
      <c r="O54" s="253" t="str">
        <f ca="1">OFFSET('Overview - Section A'!$AK$155,MATCH(P54,'Overview - Section A'!$AN$155:$AN$256,0)-1,0,IF(COUNTIF('Overview - Section A'!$AN$155:$AN$256,P54)&gt;1,1,COUNTIF('Overview - Section A'!$AN$155:$AN$256,P54)),1)</f>
        <v/>
      </c>
      <c r="P54" s="175" t="str">
        <f t="array" ref="P54">IFERROR(INDEX('Overview - Section A'!$AN$155:$AN$256, MATCH(0, COUNTIF($P$1:P53, 'Overview - Section A'!$AN$155:$AN$256&amp;"") + IF('Overview - Section A'!$AN$155:$AN$256="",1,0), 0)), "")</f>
        <v/>
      </c>
      <c r="Q54" s="253" t="str">
        <f ca="1">OFFSET('Overview - Section A'!$AK$155,MATCH(P54,'Overview - Section A'!$AN$155:$AN$256,0)-1,1,IF(COUNTIF('Overview - Section A'!$AN$155:$AN$256,P54)&gt;1,1,COUNTIF('Overview - Section A'!$AN$155:$AN$256,P54)),1)</f>
        <v/>
      </c>
    </row>
    <row r="55" spans="3:17" x14ac:dyDescent="0.35">
      <c r="C55" s="215"/>
      <c r="O55" s="253" t="str">
        <f ca="1">OFFSET('Overview - Section A'!$AK$155,MATCH(P55,'Overview - Section A'!$AN$155:$AN$256,0)-1,0,IF(COUNTIF('Overview - Section A'!$AN$155:$AN$256,P55)&gt;1,1,COUNTIF('Overview - Section A'!$AN$155:$AN$256,P55)),1)</f>
        <v/>
      </c>
      <c r="P55" s="175" t="str">
        <f t="array" ref="P55">IFERROR(INDEX('Overview - Section A'!$AN$155:$AN$256, MATCH(0, COUNTIF($P$1:P54, 'Overview - Section A'!$AN$155:$AN$256&amp;"") + IF('Overview - Section A'!$AN$155:$AN$256="",1,0), 0)), "")</f>
        <v/>
      </c>
      <c r="Q55" s="253" t="str">
        <f ca="1">OFFSET('Overview - Section A'!$AK$155,MATCH(P55,'Overview - Section A'!$AN$155:$AN$256,0)-1,1,IF(COUNTIF('Overview - Section A'!$AN$155:$AN$256,P55)&gt;1,1,COUNTIF('Overview - Section A'!$AN$155:$AN$256,P55)),1)</f>
        <v/>
      </c>
    </row>
    <row r="56" spans="3:17" x14ac:dyDescent="0.35">
      <c r="C56" s="215"/>
      <c r="O56" s="253" t="str">
        <f ca="1">OFFSET('Overview - Section A'!$AK$155,MATCH(P56,'Overview - Section A'!$AN$155:$AN$256,0)-1,0,IF(COUNTIF('Overview - Section A'!$AN$155:$AN$256,P56)&gt;1,1,COUNTIF('Overview - Section A'!$AN$155:$AN$256,P56)),1)</f>
        <v/>
      </c>
      <c r="P56" s="175" t="str">
        <f t="array" ref="P56">IFERROR(INDEX('Overview - Section A'!$AN$155:$AN$256, MATCH(0, COUNTIF($P$1:P55, 'Overview - Section A'!$AN$155:$AN$256&amp;"") + IF('Overview - Section A'!$AN$155:$AN$256="",1,0), 0)), "")</f>
        <v/>
      </c>
      <c r="Q56" s="253" t="str">
        <f ca="1">OFFSET('Overview - Section A'!$AK$155,MATCH(P56,'Overview - Section A'!$AN$155:$AN$256,0)-1,1,IF(COUNTIF('Overview - Section A'!$AN$155:$AN$256,P56)&gt;1,1,COUNTIF('Overview - Section A'!$AN$155:$AN$256,P56)),1)</f>
        <v/>
      </c>
    </row>
    <row r="57" spans="3:17" x14ac:dyDescent="0.35">
      <c r="C57" s="215"/>
      <c r="O57" s="253" t="str">
        <f ca="1">OFFSET('Overview - Section A'!$AK$155,MATCH(P57,'Overview - Section A'!$AN$155:$AN$256,0)-1,0,IF(COUNTIF('Overview - Section A'!$AN$155:$AN$256,P57)&gt;1,1,COUNTIF('Overview - Section A'!$AN$155:$AN$256,P57)),1)</f>
        <v/>
      </c>
      <c r="P57" s="175" t="str">
        <f t="array" ref="P57">IFERROR(INDEX('Overview - Section A'!$AN$155:$AN$256, MATCH(0, COUNTIF($P$1:P56, 'Overview - Section A'!$AN$155:$AN$256&amp;"") + IF('Overview - Section A'!$AN$155:$AN$256="",1,0), 0)), "")</f>
        <v/>
      </c>
      <c r="Q57" s="253" t="str">
        <f ca="1">OFFSET('Overview - Section A'!$AK$155,MATCH(P57,'Overview - Section A'!$AN$155:$AN$256,0)-1,1,IF(COUNTIF('Overview - Section A'!$AN$155:$AN$256,P57)&gt;1,1,COUNTIF('Overview - Section A'!$AN$155:$AN$256,P57)),1)</f>
        <v/>
      </c>
    </row>
    <row r="58" spans="3:17" x14ac:dyDescent="0.35">
      <c r="C58" s="215"/>
      <c r="O58" s="253" t="str">
        <f ca="1">OFFSET('Overview - Section A'!$AK$155,MATCH(P58,'Overview - Section A'!$AN$155:$AN$256,0)-1,0,IF(COUNTIF('Overview - Section A'!$AN$155:$AN$256,P58)&gt;1,1,COUNTIF('Overview - Section A'!$AN$155:$AN$256,P58)),1)</f>
        <v/>
      </c>
      <c r="P58" s="175" t="str">
        <f t="array" ref="P58">IFERROR(INDEX('Overview - Section A'!$AN$155:$AN$256, MATCH(0, COUNTIF($P$1:P57, 'Overview - Section A'!$AN$155:$AN$256&amp;"") + IF('Overview - Section A'!$AN$155:$AN$256="",1,0), 0)), "")</f>
        <v/>
      </c>
      <c r="Q58" s="253" t="str">
        <f ca="1">OFFSET('Overview - Section A'!$AK$155,MATCH(P58,'Overview - Section A'!$AN$155:$AN$256,0)-1,1,IF(COUNTIF('Overview - Section A'!$AN$155:$AN$256,P58)&gt;1,1,COUNTIF('Overview - Section A'!$AN$155:$AN$256,P58)),1)</f>
        <v/>
      </c>
    </row>
    <row r="59" spans="3:17" x14ac:dyDescent="0.35">
      <c r="C59" s="215"/>
      <c r="O59" s="253" t="str">
        <f ca="1">OFFSET('Overview - Section A'!$AK$155,MATCH(P59,'Overview - Section A'!$AN$155:$AN$256,0)-1,0,IF(COUNTIF('Overview - Section A'!$AN$155:$AN$256,P59)&gt;1,1,COUNTIF('Overview - Section A'!$AN$155:$AN$256,P59)),1)</f>
        <v/>
      </c>
      <c r="P59" s="175" t="str">
        <f t="array" ref="P59">IFERROR(INDEX('Overview - Section A'!$AN$155:$AN$256, MATCH(0, COUNTIF($P$1:P58, 'Overview - Section A'!$AN$155:$AN$256&amp;"") + IF('Overview - Section A'!$AN$155:$AN$256="",1,0), 0)), "")</f>
        <v/>
      </c>
      <c r="Q59" s="253" t="str">
        <f ca="1">OFFSET('Overview - Section A'!$AK$155,MATCH(P59,'Overview - Section A'!$AN$155:$AN$256,0)-1,1,IF(COUNTIF('Overview - Section A'!$AN$155:$AN$256,P59)&gt;1,1,COUNTIF('Overview - Section A'!$AN$155:$AN$256,P59)),1)</f>
        <v/>
      </c>
    </row>
    <row r="60" spans="3:17" x14ac:dyDescent="0.35">
      <c r="C60" s="215"/>
      <c r="O60" s="253" t="str">
        <f ca="1">OFFSET('Overview - Section A'!$AK$155,MATCH(P60,'Overview - Section A'!$AN$155:$AN$256,0)-1,0,IF(COUNTIF('Overview - Section A'!$AN$155:$AN$256,P60)&gt;1,1,COUNTIF('Overview - Section A'!$AN$155:$AN$256,P60)),1)</f>
        <v/>
      </c>
      <c r="P60" s="175" t="str">
        <f t="array" ref="P60">IFERROR(INDEX('Overview - Section A'!$AN$155:$AN$256, MATCH(0, COUNTIF($P$1:P59, 'Overview - Section A'!$AN$155:$AN$256&amp;"") + IF('Overview - Section A'!$AN$155:$AN$256="",1,0), 0)), "")</f>
        <v/>
      </c>
      <c r="Q60" s="253" t="str">
        <f ca="1">OFFSET('Overview - Section A'!$AK$155,MATCH(P60,'Overview - Section A'!$AN$155:$AN$256,0)-1,1,IF(COUNTIF('Overview - Section A'!$AN$155:$AN$256,P60)&gt;1,1,COUNTIF('Overview - Section A'!$AN$155:$AN$256,P60)),1)</f>
        <v/>
      </c>
    </row>
    <row r="61" spans="3:17" x14ac:dyDescent="0.35">
      <c r="C61" s="215"/>
      <c r="O61" s="253" t="str">
        <f ca="1">OFFSET('Overview - Section A'!$AK$155,MATCH(P61,'Overview - Section A'!$AN$155:$AN$256,0)-1,0,IF(COUNTIF('Overview - Section A'!$AN$155:$AN$256,P61)&gt;1,1,COUNTIF('Overview - Section A'!$AN$155:$AN$256,P61)),1)</f>
        <v/>
      </c>
      <c r="P61" s="175" t="str">
        <f t="array" ref="P61">IFERROR(INDEX('Overview - Section A'!$AN$155:$AN$256, MATCH(0, COUNTIF($P$1:P60, 'Overview - Section A'!$AN$155:$AN$256&amp;"") + IF('Overview - Section A'!$AN$155:$AN$256="",1,0), 0)), "")</f>
        <v/>
      </c>
      <c r="Q61" s="253" t="str">
        <f ca="1">OFFSET('Overview - Section A'!$AK$155,MATCH(P61,'Overview - Section A'!$AN$155:$AN$256,0)-1,1,IF(COUNTIF('Overview - Section A'!$AN$155:$AN$256,P61)&gt;1,1,COUNTIF('Overview - Section A'!$AN$155:$AN$256,P61)),1)</f>
        <v/>
      </c>
    </row>
    <row r="62" spans="3:17" x14ac:dyDescent="0.35">
      <c r="C62" s="215"/>
    </row>
    <row r="63" spans="3:17" x14ac:dyDescent="0.35">
      <c r="C63" s="215"/>
    </row>
    <row r="64" spans="3:17" x14ac:dyDescent="0.35">
      <c r="C64" s="215"/>
    </row>
    <row r="65" spans="3:3" x14ac:dyDescent="0.35">
      <c r="C65" s="215"/>
    </row>
    <row r="66" spans="3:3" x14ac:dyDescent="0.35">
      <c r="C66" s="215"/>
    </row>
    <row r="67" spans="3:3" x14ac:dyDescent="0.35">
      <c r="C67" s="215"/>
    </row>
    <row r="68" spans="3:3" x14ac:dyDescent="0.35">
      <c r="C68" s="215"/>
    </row>
    <row r="69" spans="3:3" x14ac:dyDescent="0.35">
      <c r="C69" s="215"/>
    </row>
    <row r="70" spans="3:3" x14ac:dyDescent="0.35">
      <c r="C70" s="215"/>
    </row>
    <row r="71" spans="3:3" x14ac:dyDescent="0.35">
      <c r="C71" s="215"/>
    </row>
    <row r="72" spans="3:3" x14ac:dyDescent="0.35">
      <c r="C72" s="215"/>
    </row>
    <row r="73" spans="3:3" x14ac:dyDescent="0.35">
      <c r="C73" s="215"/>
    </row>
    <row r="74" spans="3:3" x14ac:dyDescent="0.35">
      <c r="C74" s="21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U616"/>
  <sheetViews>
    <sheetView topLeftCell="G1" workbookViewId="0">
      <selection activeCell="T2" sqref="T2"/>
    </sheetView>
  </sheetViews>
  <sheetFormatPr defaultColWidth="9" defaultRowHeight="15.5" x14ac:dyDescent="0.35"/>
  <cols>
    <col min="2" max="2" width="17.08203125" customWidth="1"/>
    <col min="4" max="5" width="14.08203125" customWidth="1"/>
    <col min="6" max="6" width="20.58203125" customWidth="1"/>
    <col min="7" max="7" width="13.08203125" customWidth="1"/>
    <col min="8" max="8" width="15.08203125" customWidth="1"/>
    <col min="9" max="9" width="17.5" customWidth="1"/>
    <col min="10" max="10" width="21.58203125" customWidth="1"/>
    <col min="12" max="12" width="11.58203125" customWidth="1"/>
    <col min="13" max="13" width="14.08203125" customWidth="1"/>
    <col min="14" max="14" width="12.08203125" customWidth="1"/>
  </cols>
  <sheetData>
    <row r="1" spans="1:21" ht="54" customHeight="1" x14ac:dyDescent="0.35">
      <c r="A1" s="173" t="s">
        <v>251</v>
      </c>
      <c r="B1" t="s">
        <v>6</v>
      </c>
      <c r="C1" t="s">
        <v>247</v>
      </c>
      <c r="D1" t="s">
        <v>248</v>
      </c>
      <c r="E1" t="s">
        <v>249</v>
      </c>
      <c r="F1" t="s">
        <v>250</v>
      </c>
      <c r="H1" t="s">
        <v>7</v>
      </c>
      <c r="I1" s="140" t="s">
        <v>8</v>
      </c>
      <c r="J1" s="140" t="s">
        <v>26</v>
      </c>
      <c r="K1" s="140" t="s">
        <v>109</v>
      </c>
      <c r="L1" s="141" t="s">
        <v>252</v>
      </c>
      <c r="M1" s="141" t="s">
        <v>253</v>
      </c>
      <c r="N1" s="173" t="s">
        <v>149</v>
      </c>
      <c r="P1" t="s">
        <v>48</v>
      </c>
      <c r="Q1" t="s">
        <v>48</v>
      </c>
      <c r="R1" s="173" t="s">
        <v>275</v>
      </c>
      <c r="T1" s="173" t="s">
        <v>46</v>
      </c>
    </row>
    <row r="2" spans="1:21" hidden="1" x14ac:dyDescent="0.35">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42"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43">
        <f>COUNTA(#REF!)+2</f>
        <v>3</v>
      </c>
      <c r="T2" t="b">
        <v>1</v>
      </c>
      <c r="U2" t="str">
        <f ca="1">IF(ROW()&gt;$A$2,"",IF(ISNUMBER(OFFSET(INDIRECT(ADDRESS(ROW(), COLUMN())),-1,0)),IF(OFFSET(INDIRECT(ADDRESS(ROW(), COLUMN())),-1,0)&lt;5,OFFSET(INDIRECT(ADDRESS(ROW(), COLUMN())),-1,0)+1,1),1))</f>
        <v/>
      </c>
    </row>
    <row r="3" spans="1:21" x14ac:dyDescent="0.35">
      <c r="G3" s="173"/>
      <c r="H3" s="173"/>
      <c r="I3" s="173"/>
      <c r="J3" s="142"/>
      <c r="L3" s="173"/>
      <c r="M3" s="173"/>
      <c r="N3" s="173"/>
      <c r="O3" s="173"/>
    </row>
    <row r="4" spans="1:21" x14ac:dyDescent="0.35">
      <c r="J4" s="142"/>
    </row>
    <row r="5" spans="1:21" x14ac:dyDescent="0.35">
      <c r="J5" s="142"/>
    </row>
    <row r="6" spans="1:21" x14ac:dyDescent="0.35">
      <c r="J6" s="142"/>
    </row>
    <row r="7" spans="1:21" x14ac:dyDescent="0.35">
      <c r="J7" s="142"/>
    </row>
    <row r="8" spans="1:21" x14ac:dyDescent="0.35">
      <c r="J8" s="142"/>
    </row>
    <row r="9" spans="1:21" x14ac:dyDescent="0.35">
      <c r="J9" s="142"/>
    </row>
    <row r="10" spans="1:21" x14ac:dyDescent="0.35">
      <c r="J10" s="142"/>
    </row>
    <row r="11" spans="1:21" x14ac:dyDescent="0.35">
      <c r="J11" s="142"/>
    </row>
    <row r="12" spans="1:21" x14ac:dyDescent="0.35">
      <c r="J12" s="142"/>
    </row>
    <row r="13" spans="1:21" x14ac:dyDescent="0.35">
      <c r="J13" s="142"/>
    </row>
    <row r="14" spans="1:21" x14ac:dyDescent="0.35">
      <c r="J14" s="142"/>
    </row>
    <row r="15" spans="1:21" x14ac:dyDescent="0.35">
      <c r="J15" s="142"/>
    </row>
    <row r="16" spans="1:21" x14ac:dyDescent="0.35">
      <c r="J16" s="142"/>
    </row>
    <row r="17" spans="10:10" x14ac:dyDescent="0.35">
      <c r="J17" s="142"/>
    </row>
    <row r="18" spans="10:10" x14ac:dyDescent="0.35">
      <c r="J18" s="142"/>
    </row>
    <row r="19" spans="10:10" x14ac:dyDescent="0.35">
      <c r="J19" s="142"/>
    </row>
    <row r="20" spans="10:10" x14ac:dyDescent="0.35">
      <c r="J20" s="142"/>
    </row>
    <row r="21" spans="10:10" x14ac:dyDescent="0.35">
      <c r="J21" s="142"/>
    </row>
    <row r="22" spans="10:10" x14ac:dyDescent="0.35">
      <c r="J22" s="142"/>
    </row>
    <row r="23" spans="10:10" x14ac:dyDescent="0.35">
      <c r="J23" s="142"/>
    </row>
    <row r="24" spans="10:10" x14ac:dyDescent="0.35">
      <c r="J24" s="142"/>
    </row>
    <row r="25" spans="10:10" x14ac:dyDescent="0.35">
      <c r="J25" s="142"/>
    </row>
    <row r="26" spans="10:10" x14ac:dyDescent="0.35">
      <c r="J26" s="142"/>
    </row>
    <row r="27" spans="10:10" x14ac:dyDescent="0.35">
      <c r="J27" s="142"/>
    </row>
    <row r="28" spans="10:10" x14ac:dyDescent="0.35">
      <c r="J28" s="142"/>
    </row>
    <row r="29" spans="10:10" x14ac:dyDescent="0.35">
      <c r="J29" s="142"/>
    </row>
    <row r="30" spans="10:10" x14ac:dyDescent="0.35">
      <c r="J30" s="142"/>
    </row>
    <row r="31" spans="10:10" x14ac:dyDescent="0.35">
      <c r="J31" s="142"/>
    </row>
    <row r="32" spans="10:10" x14ac:dyDescent="0.35">
      <c r="J32" s="142"/>
    </row>
    <row r="33" spans="10:10" x14ac:dyDescent="0.35">
      <c r="J33" s="142"/>
    </row>
    <row r="34" spans="10:10" x14ac:dyDescent="0.35">
      <c r="J34" s="142"/>
    </row>
    <row r="35" spans="10:10" x14ac:dyDescent="0.35">
      <c r="J35" s="142"/>
    </row>
    <row r="36" spans="10:10" x14ac:dyDescent="0.35">
      <c r="J36" s="142"/>
    </row>
    <row r="37" spans="10:10" x14ac:dyDescent="0.35">
      <c r="J37" s="142"/>
    </row>
    <row r="38" spans="10:10" x14ac:dyDescent="0.35">
      <c r="J38" s="142"/>
    </row>
    <row r="39" spans="10:10" x14ac:dyDescent="0.35">
      <c r="J39" s="142"/>
    </row>
    <row r="40" spans="10:10" x14ac:dyDescent="0.35">
      <c r="J40" s="142"/>
    </row>
    <row r="41" spans="10:10" x14ac:dyDescent="0.35">
      <c r="J41" s="142"/>
    </row>
    <row r="42" spans="10:10" x14ac:dyDescent="0.35">
      <c r="J42" s="142"/>
    </row>
    <row r="43" spans="10:10" x14ac:dyDescent="0.35">
      <c r="J43" s="142"/>
    </row>
    <row r="44" spans="10:10" x14ac:dyDescent="0.35">
      <c r="J44" s="142"/>
    </row>
    <row r="45" spans="10:10" x14ac:dyDescent="0.35">
      <c r="J45" s="142"/>
    </row>
    <row r="46" spans="10:10" x14ac:dyDescent="0.35">
      <c r="J46" s="142"/>
    </row>
    <row r="47" spans="10:10" x14ac:dyDescent="0.35">
      <c r="J47" s="142"/>
    </row>
    <row r="48" spans="10:10" x14ac:dyDescent="0.35">
      <c r="J48" s="142"/>
    </row>
    <row r="49" spans="10:10" x14ac:dyDescent="0.35">
      <c r="J49" s="142"/>
    </row>
    <row r="50" spans="10:10" x14ac:dyDescent="0.35">
      <c r="J50" s="142"/>
    </row>
    <row r="51" spans="10:10" x14ac:dyDescent="0.35">
      <c r="J51" s="142"/>
    </row>
    <row r="52" spans="10:10" x14ac:dyDescent="0.35">
      <c r="J52" s="142"/>
    </row>
    <row r="53" spans="10:10" x14ac:dyDescent="0.35">
      <c r="J53" s="142"/>
    </row>
    <row r="54" spans="10:10" x14ac:dyDescent="0.35">
      <c r="J54" s="142"/>
    </row>
    <row r="55" spans="10:10" x14ac:dyDescent="0.35">
      <c r="J55" s="142"/>
    </row>
    <row r="56" spans="10:10" x14ac:dyDescent="0.35">
      <c r="J56" s="142"/>
    </row>
    <row r="57" spans="10:10" x14ac:dyDescent="0.35">
      <c r="J57" s="142"/>
    </row>
    <row r="58" spans="10:10" x14ac:dyDescent="0.35">
      <c r="J58" s="142"/>
    </row>
    <row r="59" spans="10:10" x14ac:dyDescent="0.35">
      <c r="J59" s="142"/>
    </row>
    <row r="60" spans="10:10" x14ac:dyDescent="0.35">
      <c r="J60" s="142"/>
    </row>
    <row r="61" spans="10:10" x14ac:dyDescent="0.35">
      <c r="J61" s="142"/>
    </row>
    <row r="62" spans="10:10" x14ac:dyDescent="0.35">
      <c r="J62" s="142"/>
    </row>
    <row r="63" spans="10:10" x14ac:dyDescent="0.35">
      <c r="J63" s="142"/>
    </row>
    <row r="64" spans="10:10" x14ac:dyDescent="0.35">
      <c r="J64" s="142"/>
    </row>
    <row r="65" spans="10:10" x14ac:dyDescent="0.35">
      <c r="J65" s="142"/>
    </row>
    <row r="66" spans="10:10" x14ac:dyDescent="0.35">
      <c r="J66" s="142"/>
    </row>
    <row r="67" spans="10:10" x14ac:dyDescent="0.35">
      <c r="J67" s="142"/>
    </row>
    <row r="68" spans="10:10" x14ac:dyDescent="0.35">
      <c r="J68" s="142"/>
    </row>
    <row r="69" spans="10:10" x14ac:dyDescent="0.35">
      <c r="J69" s="142"/>
    </row>
    <row r="70" spans="10:10" x14ac:dyDescent="0.35">
      <c r="J70" s="142"/>
    </row>
    <row r="71" spans="10:10" x14ac:dyDescent="0.35">
      <c r="J71" s="142"/>
    </row>
    <row r="72" spans="10:10" x14ac:dyDescent="0.35">
      <c r="J72" s="142"/>
    </row>
    <row r="73" spans="10:10" x14ac:dyDescent="0.35">
      <c r="J73" s="142"/>
    </row>
    <row r="74" spans="10:10" x14ac:dyDescent="0.35">
      <c r="J74" s="142"/>
    </row>
    <row r="75" spans="10:10" x14ac:dyDescent="0.35">
      <c r="J75" s="142"/>
    </row>
    <row r="76" spans="10:10" x14ac:dyDescent="0.35">
      <c r="J76" s="142"/>
    </row>
    <row r="77" spans="10:10" x14ac:dyDescent="0.35">
      <c r="J77" s="142"/>
    </row>
    <row r="78" spans="10:10" x14ac:dyDescent="0.35">
      <c r="J78" s="142"/>
    </row>
    <row r="79" spans="10:10" x14ac:dyDescent="0.35">
      <c r="J79" s="142"/>
    </row>
    <row r="80" spans="10:10" x14ac:dyDescent="0.35">
      <c r="J80" s="142"/>
    </row>
    <row r="81" spans="10:10" x14ac:dyDescent="0.35">
      <c r="J81" s="142"/>
    </row>
    <row r="82" spans="10:10" x14ac:dyDescent="0.35">
      <c r="J82" s="142"/>
    </row>
    <row r="83" spans="10:10" x14ac:dyDescent="0.35">
      <c r="J83" s="142"/>
    </row>
    <row r="84" spans="10:10" x14ac:dyDescent="0.35">
      <c r="J84" s="142"/>
    </row>
    <row r="85" spans="10:10" x14ac:dyDescent="0.35">
      <c r="J85" s="142"/>
    </row>
    <row r="86" spans="10:10" x14ac:dyDescent="0.35">
      <c r="J86" s="142"/>
    </row>
    <row r="87" spans="10:10" x14ac:dyDescent="0.35">
      <c r="J87" s="142"/>
    </row>
    <row r="88" spans="10:10" x14ac:dyDescent="0.35">
      <c r="J88" s="142"/>
    </row>
    <row r="89" spans="10:10" x14ac:dyDescent="0.35">
      <c r="J89" s="142"/>
    </row>
    <row r="90" spans="10:10" x14ac:dyDescent="0.35">
      <c r="J90" s="142"/>
    </row>
    <row r="91" spans="10:10" x14ac:dyDescent="0.35">
      <c r="J91" s="142"/>
    </row>
    <row r="92" spans="10:10" x14ac:dyDescent="0.35">
      <c r="J92" s="142"/>
    </row>
    <row r="93" spans="10:10" x14ac:dyDescent="0.35">
      <c r="J93" s="142"/>
    </row>
    <row r="94" spans="10:10" x14ac:dyDescent="0.35">
      <c r="J94" s="142"/>
    </row>
    <row r="95" spans="10:10" x14ac:dyDescent="0.35">
      <c r="J95" s="142"/>
    </row>
    <row r="96" spans="10:10" x14ac:dyDescent="0.35">
      <c r="J96" s="142"/>
    </row>
    <row r="97" spans="10:10" x14ac:dyDescent="0.35">
      <c r="J97" s="142"/>
    </row>
    <row r="98" spans="10:10" x14ac:dyDescent="0.35">
      <c r="J98" s="142"/>
    </row>
    <row r="99" spans="10:10" x14ac:dyDescent="0.35">
      <c r="J99" s="142"/>
    </row>
    <row r="100" spans="10:10" x14ac:dyDescent="0.35">
      <c r="J100" s="142"/>
    </row>
    <row r="101" spans="10:10" x14ac:dyDescent="0.35">
      <c r="J101" s="142"/>
    </row>
    <row r="102" spans="10:10" x14ac:dyDescent="0.35">
      <c r="J102" s="142"/>
    </row>
    <row r="103" spans="10:10" x14ac:dyDescent="0.35">
      <c r="J103" s="142"/>
    </row>
    <row r="104" spans="10:10" x14ac:dyDescent="0.35">
      <c r="J104" s="142"/>
    </row>
    <row r="105" spans="10:10" x14ac:dyDescent="0.35">
      <c r="J105" s="142"/>
    </row>
    <row r="106" spans="10:10" x14ac:dyDescent="0.35">
      <c r="J106" s="142"/>
    </row>
    <row r="107" spans="10:10" x14ac:dyDescent="0.35">
      <c r="J107" s="142"/>
    </row>
    <row r="108" spans="10:10" x14ac:dyDescent="0.35">
      <c r="J108" s="142"/>
    </row>
    <row r="109" spans="10:10" x14ac:dyDescent="0.35">
      <c r="J109" s="142"/>
    </row>
    <row r="110" spans="10:10" x14ac:dyDescent="0.35">
      <c r="J110" s="142"/>
    </row>
    <row r="111" spans="10:10" x14ac:dyDescent="0.35">
      <c r="J111" s="142"/>
    </row>
    <row r="112" spans="10:10" x14ac:dyDescent="0.35">
      <c r="J112" s="142"/>
    </row>
    <row r="113" spans="10:10" x14ac:dyDescent="0.35">
      <c r="J113" s="142"/>
    </row>
    <row r="114" spans="10:10" x14ac:dyDescent="0.35">
      <c r="J114" s="142"/>
    </row>
    <row r="115" spans="10:10" x14ac:dyDescent="0.35">
      <c r="J115" s="142"/>
    </row>
    <row r="116" spans="10:10" x14ac:dyDescent="0.35">
      <c r="J116" s="142"/>
    </row>
    <row r="117" spans="10:10" x14ac:dyDescent="0.35">
      <c r="J117" s="142"/>
    </row>
    <row r="118" spans="10:10" x14ac:dyDescent="0.35">
      <c r="J118" s="142"/>
    </row>
    <row r="119" spans="10:10" x14ac:dyDescent="0.35">
      <c r="J119" s="142"/>
    </row>
    <row r="120" spans="10:10" x14ac:dyDescent="0.35">
      <c r="J120" s="142"/>
    </row>
    <row r="121" spans="10:10" x14ac:dyDescent="0.35">
      <c r="J121" s="142"/>
    </row>
    <row r="122" spans="10:10" x14ac:dyDescent="0.35">
      <c r="J122" s="142"/>
    </row>
    <row r="123" spans="10:10" x14ac:dyDescent="0.35">
      <c r="J123" s="142"/>
    </row>
    <row r="124" spans="10:10" x14ac:dyDescent="0.35">
      <c r="J124" s="142"/>
    </row>
    <row r="125" spans="10:10" x14ac:dyDescent="0.35">
      <c r="J125" s="142"/>
    </row>
    <row r="126" spans="10:10" x14ac:dyDescent="0.35">
      <c r="J126" s="142"/>
    </row>
    <row r="127" spans="10:10" x14ac:dyDescent="0.35">
      <c r="J127" s="142"/>
    </row>
    <row r="128" spans="10:10" x14ac:dyDescent="0.35">
      <c r="J128" s="142"/>
    </row>
    <row r="129" spans="10:10" x14ac:dyDescent="0.35">
      <c r="J129" s="142"/>
    </row>
    <row r="130" spans="10:10" x14ac:dyDescent="0.35">
      <c r="J130" s="142"/>
    </row>
    <row r="131" spans="10:10" x14ac:dyDescent="0.35">
      <c r="J131" s="142"/>
    </row>
    <row r="132" spans="10:10" x14ac:dyDescent="0.35">
      <c r="J132" s="142"/>
    </row>
    <row r="133" spans="10:10" x14ac:dyDescent="0.35">
      <c r="J133" s="142"/>
    </row>
    <row r="134" spans="10:10" x14ac:dyDescent="0.35">
      <c r="J134" s="142"/>
    </row>
    <row r="135" spans="10:10" x14ac:dyDescent="0.35">
      <c r="J135" s="142"/>
    </row>
    <row r="136" spans="10:10" x14ac:dyDescent="0.35">
      <c r="J136" s="142"/>
    </row>
    <row r="137" spans="10:10" x14ac:dyDescent="0.35">
      <c r="J137" s="142"/>
    </row>
    <row r="138" spans="10:10" x14ac:dyDescent="0.35">
      <c r="J138" s="142"/>
    </row>
    <row r="139" spans="10:10" x14ac:dyDescent="0.35">
      <c r="J139" s="142"/>
    </row>
    <row r="140" spans="10:10" x14ac:dyDescent="0.35">
      <c r="J140" s="142"/>
    </row>
    <row r="141" spans="10:10" x14ac:dyDescent="0.35">
      <c r="J141" s="142"/>
    </row>
    <row r="142" spans="10:10" x14ac:dyDescent="0.35">
      <c r="J142" s="142"/>
    </row>
    <row r="143" spans="10:10" x14ac:dyDescent="0.35">
      <c r="J143" s="142"/>
    </row>
    <row r="144" spans="10:10" x14ac:dyDescent="0.35">
      <c r="J144" s="142"/>
    </row>
    <row r="145" spans="10:10" x14ac:dyDescent="0.35">
      <c r="J145" s="142"/>
    </row>
    <row r="146" spans="10:10" x14ac:dyDescent="0.35">
      <c r="J146" s="142"/>
    </row>
    <row r="147" spans="10:10" x14ac:dyDescent="0.35">
      <c r="J147" s="142"/>
    </row>
    <row r="148" spans="10:10" x14ac:dyDescent="0.35">
      <c r="J148" s="142"/>
    </row>
    <row r="149" spans="10:10" x14ac:dyDescent="0.35">
      <c r="J149" s="142"/>
    </row>
    <row r="150" spans="10:10" x14ac:dyDescent="0.35">
      <c r="J150" s="142"/>
    </row>
    <row r="151" spans="10:10" x14ac:dyDescent="0.35">
      <c r="J151" s="142"/>
    </row>
    <row r="152" spans="10:10" x14ac:dyDescent="0.35">
      <c r="J152" s="142"/>
    </row>
    <row r="153" spans="10:10" x14ac:dyDescent="0.35">
      <c r="J153" s="142"/>
    </row>
    <row r="154" spans="10:10" x14ac:dyDescent="0.35">
      <c r="J154" s="142"/>
    </row>
    <row r="155" spans="10:10" x14ac:dyDescent="0.35">
      <c r="J155" s="142"/>
    </row>
    <row r="156" spans="10:10" x14ac:dyDescent="0.35">
      <c r="J156" s="142"/>
    </row>
    <row r="157" spans="10:10" x14ac:dyDescent="0.35">
      <c r="J157" s="142"/>
    </row>
    <row r="158" spans="10:10" x14ac:dyDescent="0.35">
      <c r="J158" s="142"/>
    </row>
    <row r="159" spans="10:10" x14ac:dyDescent="0.35">
      <c r="J159" s="142"/>
    </row>
    <row r="160" spans="10:10" x14ac:dyDescent="0.35">
      <c r="J160" s="142"/>
    </row>
    <row r="161" spans="10:10" x14ac:dyDescent="0.35">
      <c r="J161" s="142"/>
    </row>
    <row r="162" spans="10:10" x14ac:dyDescent="0.35">
      <c r="J162" s="142"/>
    </row>
    <row r="163" spans="10:10" x14ac:dyDescent="0.35">
      <c r="J163" s="142"/>
    </row>
    <row r="164" spans="10:10" x14ac:dyDescent="0.35">
      <c r="J164" s="142"/>
    </row>
    <row r="165" spans="10:10" x14ac:dyDescent="0.35">
      <c r="J165" s="142"/>
    </row>
    <row r="166" spans="10:10" x14ac:dyDescent="0.35">
      <c r="J166" s="142"/>
    </row>
    <row r="167" spans="10:10" x14ac:dyDescent="0.35">
      <c r="J167" s="142"/>
    </row>
    <row r="168" spans="10:10" x14ac:dyDescent="0.35">
      <c r="J168" s="142"/>
    </row>
    <row r="169" spans="10:10" x14ac:dyDescent="0.35">
      <c r="J169" s="142"/>
    </row>
    <row r="170" spans="10:10" x14ac:dyDescent="0.35">
      <c r="J170" s="142"/>
    </row>
    <row r="171" spans="10:10" x14ac:dyDescent="0.35">
      <c r="J171" s="142"/>
    </row>
    <row r="172" spans="10:10" x14ac:dyDescent="0.35">
      <c r="J172" s="142"/>
    </row>
    <row r="173" spans="10:10" x14ac:dyDescent="0.35">
      <c r="J173" s="142"/>
    </row>
    <row r="174" spans="10:10" x14ac:dyDescent="0.35">
      <c r="J174" s="142"/>
    </row>
    <row r="175" spans="10:10" x14ac:dyDescent="0.35">
      <c r="J175" s="142"/>
    </row>
    <row r="176" spans="10:10" x14ac:dyDescent="0.35">
      <c r="J176" s="142"/>
    </row>
    <row r="177" spans="10:10" x14ac:dyDescent="0.35">
      <c r="J177" s="142"/>
    </row>
    <row r="178" spans="10:10" x14ac:dyDescent="0.35">
      <c r="J178" s="142"/>
    </row>
    <row r="179" spans="10:10" x14ac:dyDescent="0.35">
      <c r="J179" s="142"/>
    </row>
    <row r="180" spans="10:10" x14ac:dyDescent="0.35">
      <c r="J180" s="142"/>
    </row>
    <row r="181" spans="10:10" x14ac:dyDescent="0.35">
      <c r="J181" s="142"/>
    </row>
    <row r="182" spans="10:10" x14ac:dyDescent="0.35">
      <c r="J182" s="142"/>
    </row>
    <row r="183" spans="10:10" x14ac:dyDescent="0.35">
      <c r="J183" s="142"/>
    </row>
    <row r="184" spans="10:10" x14ac:dyDescent="0.35">
      <c r="J184" s="142"/>
    </row>
    <row r="185" spans="10:10" x14ac:dyDescent="0.35">
      <c r="J185" s="142"/>
    </row>
    <row r="186" spans="10:10" x14ac:dyDescent="0.35">
      <c r="J186" s="142"/>
    </row>
    <row r="187" spans="10:10" x14ac:dyDescent="0.35">
      <c r="J187" s="142"/>
    </row>
    <row r="188" spans="10:10" x14ac:dyDescent="0.35">
      <c r="J188" s="142"/>
    </row>
    <row r="189" spans="10:10" x14ac:dyDescent="0.35">
      <c r="J189" s="142"/>
    </row>
    <row r="190" spans="10:10" x14ac:dyDescent="0.35">
      <c r="J190" s="142"/>
    </row>
    <row r="191" spans="10:10" x14ac:dyDescent="0.35">
      <c r="J191" s="142"/>
    </row>
    <row r="192" spans="10:10" x14ac:dyDescent="0.35">
      <c r="J192" s="142"/>
    </row>
    <row r="193" spans="10:10" x14ac:dyDescent="0.35">
      <c r="J193" s="142"/>
    </row>
    <row r="194" spans="10:10" x14ac:dyDescent="0.35">
      <c r="J194" s="142"/>
    </row>
    <row r="195" spans="10:10" x14ac:dyDescent="0.35">
      <c r="J195" s="142"/>
    </row>
    <row r="196" spans="10:10" x14ac:dyDescent="0.35">
      <c r="J196" s="142"/>
    </row>
    <row r="197" spans="10:10" x14ac:dyDescent="0.35">
      <c r="J197" s="142"/>
    </row>
    <row r="198" spans="10:10" x14ac:dyDescent="0.35">
      <c r="J198" s="142"/>
    </row>
    <row r="199" spans="10:10" x14ac:dyDescent="0.35">
      <c r="J199" s="142"/>
    </row>
    <row r="200" spans="10:10" x14ac:dyDescent="0.35">
      <c r="J200" s="142"/>
    </row>
    <row r="201" spans="10:10" x14ac:dyDescent="0.35">
      <c r="J201" s="142"/>
    </row>
    <row r="202" spans="10:10" x14ac:dyDescent="0.35">
      <c r="J202" s="142"/>
    </row>
    <row r="203" spans="10:10" x14ac:dyDescent="0.35">
      <c r="J203" s="142"/>
    </row>
    <row r="204" spans="10:10" x14ac:dyDescent="0.35">
      <c r="J204" s="142"/>
    </row>
    <row r="205" spans="10:10" x14ac:dyDescent="0.35">
      <c r="J205" s="142"/>
    </row>
    <row r="206" spans="10:10" x14ac:dyDescent="0.35">
      <c r="J206" s="142"/>
    </row>
    <row r="207" spans="10:10" x14ac:dyDescent="0.35">
      <c r="J207" s="142"/>
    </row>
    <row r="208" spans="10:10" x14ac:dyDescent="0.35">
      <c r="J208" s="142"/>
    </row>
    <row r="209" spans="10:10" x14ac:dyDescent="0.35">
      <c r="J209" s="142"/>
    </row>
    <row r="210" spans="10:10" x14ac:dyDescent="0.35">
      <c r="J210" s="142"/>
    </row>
    <row r="211" spans="10:10" x14ac:dyDescent="0.35">
      <c r="J211" s="142"/>
    </row>
    <row r="212" spans="10:10" x14ac:dyDescent="0.35">
      <c r="J212" s="142"/>
    </row>
    <row r="213" spans="10:10" x14ac:dyDescent="0.35">
      <c r="J213" s="142"/>
    </row>
    <row r="214" spans="10:10" x14ac:dyDescent="0.35">
      <c r="J214" s="142"/>
    </row>
    <row r="215" spans="10:10" x14ac:dyDescent="0.35">
      <c r="J215" s="142"/>
    </row>
    <row r="216" spans="10:10" x14ac:dyDescent="0.35">
      <c r="J216" s="142"/>
    </row>
    <row r="217" spans="10:10" x14ac:dyDescent="0.35">
      <c r="J217" s="142"/>
    </row>
    <row r="218" spans="10:10" x14ac:dyDescent="0.35">
      <c r="J218" s="142"/>
    </row>
    <row r="219" spans="10:10" x14ac:dyDescent="0.35">
      <c r="J219" s="142"/>
    </row>
    <row r="220" spans="10:10" x14ac:dyDescent="0.35">
      <c r="J220" s="142"/>
    </row>
    <row r="221" spans="10:10" x14ac:dyDescent="0.35">
      <c r="J221" s="142"/>
    </row>
    <row r="222" spans="10:10" x14ac:dyDescent="0.35">
      <c r="J222" s="142"/>
    </row>
    <row r="223" spans="10:10" x14ac:dyDescent="0.35">
      <c r="J223" s="142"/>
    </row>
    <row r="224" spans="10:10" x14ac:dyDescent="0.35">
      <c r="J224" s="142"/>
    </row>
    <row r="225" spans="10:10" x14ac:dyDescent="0.35">
      <c r="J225" s="142"/>
    </row>
    <row r="226" spans="10:10" x14ac:dyDescent="0.35">
      <c r="J226" s="142"/>
    </row>
    <row r="227" spans="10:10" x14ac:dyDescent="0.35">
      <c r="J227" s="142"/>
    </row>
    <row r="228" spans="10:10" x14ac:dyDescent="0.35">
      <c r="J228" s="142"/>
    </row>
    <row r="229" spans="10:10" x14ac:dyDescent="0.35">
      <c r="J229" s="142"/>
    </row>
    <row r="230" spans="10:10" x14ac:dyDescent="0.35">
      <c r="J230" s="142"/>
    </row>
    <row r="231" spans="10:10" x14ac:dyDescent="0.35">
      <c r="J231" s="142"/>
    </row>
    <row r="232" spans="10:10" x14ac:dyDescent="0.35">
      <c r="J232" s="142"/>
    </row>
    <row r="233" spans="10:10" x14ac:dyDescent="0.35">
      <c r="J233" s="142"/>
    </row>
    <row r="234" spans="10:10" x14ac:dyDescent="0.35">
      <c r="J234" s="142"/>
    </row>
    <row r="235" spans="10:10" x14ac:dyDescent="0.35">
      <c r="J235" s="142"/>
    </row>
    <row r="236" spans="10:10" x14ac:dyDescent="0.35">
      <c r="J236" s="142"/>
    </row>
    <row r="237" spans="10:10" x14ac:dyDescent="0.35">
      <c r="J237" s="142"/>
    </row>
    <row r="238" spans="10:10" x14ac:dyDescent="0.35">
      <c r="J238" s="142"/>
    </row>
    <row r="239" spans="10:10" x14ac:dyDescent="0.35">
      <c r="J239" s="142"/>
    </row>
    <row r="240" spans="10:10" x14ac:dyDescent="0.35">
      <c r="J240" s="142"/>
    </row>
    <row r="241" spans="10:10" x14ac:dyDescent="0.35">
      <c r="J241" s="142"/>
    </row>
    <row r="242" spans="10:10" x14ac:dyDescent="0.35">
      <c r="J242" s="142"/>
    </row>
    <row r="243" spans="10:10" x14ac:dyDescent="0.35">
      <c r="J243" s="142"/>
    </row>
    <row r="244" spans="10:10" x14ac:dyDescent="0.35">
      <c r="J244" s="142"/>
    </row>
    <row r="245" spans="10:10" x14ac:dyDescent="0.35">
      <c r="J245" s="142"/>
    </row>
    <row r="246" spans="10:10" x14ac:dyDescent="0.35">
      <c r="J246" s="142"/>
    </row>
    <row r="247" spans="10:10" x14ac:dyDescent="0.35">
      <c r="J247" s="142"/>
    </row>
    <row r="248" spans="10:10" x14ac:dyDescent="0.35">
      <c r="J248" s="142"/>
    </row>
    <row r="249" spans="10:10" x14ac:dyDescent="0.35">
      <c r="J249" s="142"/>
    </row>
    <row r="250" spans="10:10" x14ac:dyDescent="0.35">
      <c r="J250" s="142"/>
    </row>
    <row r="251" spans="10:10" x14ac:dyDescent="0.35">
      <c r="J251" s="142"/>
    </row>
    <row r="252" spans="10:10" x14ac:dyDescent="0.35">
      <c r="J252" s="142"/>
    </row>
    <row r="253" spans="10:10" x14ac:dyDescent="0.35">
      <c r="J253" s="142"/>
    </row>
    <row r="254" spans="10:10" x14ac:dyDescent="0.35">
      <c r="J254" s="142"/>
    </row>
    <row r="255" spans="10:10" x14ac:dyDescent="0.35">
      <c r="J255" s="142"/>
    </row>
    <row r="256" spans="10:10" x14ac:dyDescent="0.35">
      <c r="J256" s="142"/>
    </row>
    <row r="257" spans="10:10" x14ac:dyDescent="0.35">
      <c r="J257" s="142"/>
    </row>
    <row r="258" spans="10:10" x14ac:dyDescent="0.35">
      <c r="J258" s="142"/>
    </row>
    <row r="259" spans="10:10" x14ac:dyDescent="0.35">
      <c r="J259" s="142"/>
    </row>
    <row r="260" spans="10:10" x14ac:dyDescent="0.35">
      <c r="J260" s="142"/>
    </row>
    <row r="261" spans="10:10" x14ac:dyDescent="0.35">
      <c r="J261" s="142"/>
    </row>
    <row r="262" spans="10:10" x14ac:dyDescent="0.35">
      <c r="J262" s="142"/>
    </row>
    <row r="263" spans="10:10" x14ac:dyDescent="0.35">
      <c r="J263" s="142"/>
    </row>
    <row r="264" spans="10:10" x14ac:dyDescent="0.35">
      <c r="J264" s="142"/>
    </row>
    <row r="265" spans="10:10" x14ac:dyDescent="0.35">
      <c r="J265" s="142"/>
    </row>
    <row r="266" spans="10:10" x14ac:dyDescent="0.35">
      <c r="J266" s="142"/>
    </row>
    <row r="267" spans="10:10" x14ac:dyDescent="0.35">
      <c r="J267" s="142"/>
    </row>
    <row r="268" spans="10:10" x14ac:dyDescent="0.35">
      <c r="J268" s="142"/>
    </row>
    <row r="269" spans="10:10" x14ac:dyDescent="0.35">
      <c r="J269" s="142"/>
    </row>
    <row r="270" spans="10:10" x14ac:dyDescent="0.35">
      <c r="J270" s="142"/>
    </row>
    <row r="271" spans="10:10" x14ac:dyDescent="0.35">
      <c r="J271" s="142"/>
    </row>
    <row r="272" spans="10:10" x14ac:dyDescent="0.35">
      <c r="J272" s="142"/>
    </row>
    <row r="273" spans="10:10" x14ac:dyDescent="0.35">
      <c r="J273" s="142"/>
    </row>
    <row r="274" spans="10:10" x14ac:dyDescent="0.35">
      <c r="J274" s="142"/>
    </row>
    <row r="275" spans="10:10" x14ac:dyDescent="0.35">
      <c r="J275" s="142"/>
    </row>
    <row r="276" spans="10:10" x14ac:dyDescent="0.35">
      <c r="J276" s="142"/>
    </row>
    <row r="277" spans="10:10" x14ac:dyDescent="0.35">
      <c r="J277" s="142"/>
    </row>
    <row r="278" spans="10:10" x14ac:dyDescent="0.35">
      <c r="J278" s="142"/>
    </row>
    <row r="279" spans="10:10" x14ac:dyDescent="0.35">
      <c r="J279" s="142"/>
    </row>
    <row r="280" spans="10:10" x14ac:dyDescent="0.35">
      <c r="J280" s="142"/>
    </row>
    <row r="281" spans="10:10" x14ac:dyDescent="0.35">
      <c r="J281" s="142"/>
    </row>
    <row r="282" spans="10:10" x14ac:dyDescent="0.35">
      <c r="J282" s="142"/>
    </row>
    <row r="283" spans="10:10" x14ac:dyDescent="0.35">
      <c r="J283" s="142"/>
    </row>
    <row r="284" spans="10:10" x14ac:dyDescent="0.35">
      <c r="J284" s="142"/>
    </row>
    <row r="285" spans="10:10" x14ac:dyDescent="0.35">
      <c r="J285" s="142"/>
    </row>
    <row r="286" spans="10:10" x14ac:dyDescent="0.35">
      <c r="J286" s="142"/>
    </row>
    <row r="287" spans="10:10" x14ac:dyDescent="0.35">
      <c r="J287" s="142"/>
    </row>
    <row r="288" spans="10:10" x14ac:dyDescent="0.35">
      <c r="J288" s="142"/>
    </row>
    <row r="289" spans="10:10" x14ac:dyDescent="0.35">
      <c r="J289" s="142"/>
    </row>
    <row r="290" spans="10:10" x14ac:dyDescent="0.35">
      <c r="J290" s="142"/>
    </row>
    <row r="291" spans="10:10" x14ac:dyDescent="0.35">
      <c r="J291" s="142"/>
    </row>
    <row r="292" spans="10:10" x14ac:dyDescent="0.35">
      <c r="J292" s="142"/>
    </row>
    <row r="293" spans="10:10" x14ac:dyDescent="0.35">
      <c r="J293" s="142"/>
    </row>
    <row r="294" spans="10:10" x14ac:dyDescent="0.35">
      <c r="J294" s="142"/>
    </row>
    <row r="295" spans="10:10" x14ac:dyDescent="0.35">
      <c r="J295" s="142"/>
    </row>
    <row r="296" spans="10:10" x14ac:dyDescent="0.35">
      <c r="J296" s="142"/>
    </row>
    <row r="297" spans="10:10" x14ac:dyDescent="0.35">
      <c r="J297" s="142"/>
    </row>
    <row r="298" spans="10:10" x14ac:dyDescent="0.35">
      <c r="J298" s="142"/>
    </row>
    <row r="299" spans="10:10" x14ac:dyDescent="0.35">
      <c r="J299" s="142"/>
    </row>
    <row r="300" spans="10:10" x14ac:dyDescent="0.35">
      <c r="J300" s="142"/>
    </row>
    <row r="301" spans="10:10" x14ac:dyDescent="0.35">
      <c r="J301" s="142"/>
    </row>
    <row r="302" spans="10:10" x14ac:dyDescent="0.35">
      <c r="J302" s="142"/>
    </row>
    <row r="303" spans="10:10" x14ac:dyDescent="0.35">
      <c r="J303" s="142"/>
    </row>
    <row r="304" spans="10:10" x14ac:dyDescent="0.35">
      <c r="J304" s="142"/>
    </row>
    <row r="305" spans="10:10" x14ac:dyDescent="0.35">
      <c r="J305" s="142"/>
    </row>
    <row r="306" spans="10:10" x14ac:dyDescent="0.35">
      <c r="J306" s="142"/>
    </row>
    <row r="307" spans="10:10" x14ac:dyDescent="0.35">
      <c r="J307" s="142"/>
    </row>
    <row r="308" spans="10:10" x14ac:dyDescent="0.35">
      <c r="J308" s="142"/>
    </row>
    <row r="309" spans="10:10" x14ac:dyDescent="0.35">
      <c r="J309" s="142"/>
    </row>
    <row r="310" spans="10:10" x14ac:dyDescent="0.35">
      <c r="J310" s="142"/>
    </row>
    <row r="311" spans="10:10" x14ac:dyDescent="0.35">
      <c r="J311" s="142"/>
    </row>
    <row r="312" spans="10:10" x14ac:dyDescent="0.35">
      <c r="J312" s="142"/>
    </row>
    <row r="313" spans="10:10" x14ac:dyDescent="0.35">
      <c r="J313" s="142"/>
    </row>
    <row r="314" spans="10:10" x14ac:dyDescent="0.35">
      <c r="J314" s="142"/>
    </row>
    <row r="315" spans="10:10" x14ac:dyDescent="0.35">
      <c r="J315" s="142"/>
    </row>
    <row r="316" spans="10:10" x14ac:dyDescent="0.35">
      <c r="J316" s="142"/>
    </row>
    <row r="317" spans="10:10" x14ac:dyDescent="0.35">
      <c r="J317" s="142"/>
    </row>
    <row r="318" spans="10:10" x14ac:dyDescent="0.35">
      <c r="J318" s="142"/>
    </row>
    <row r="319" spans="10:10" x14ac:dyDescent="0.35">
      <c r="J319" s="142"/>
    </row>
    <row r="320" spans="10:10" x14ac:dyDescent="0.35">
      <c r="J320" s="142"/>
    </row>
    <row r="321" spans="10:10" x14ac:dyDescent="0.35">
      <c r="J321" s="142"/>
    </row>
    <row r="322" spans="10:10" x14ac:dyDescent="0.35">
      <c r="J322" s="142"/>
    </row>
    <row r="323" spans="10:10" x14ac:dyDescent="0.35">
      <c r="J323" s="142"/>
    </row>
    <row r="324" spans="10:10" x14ac:dyDescent="0.35">
      <c r="J324" s="142"/>
    </row>
    <row r="325" spans="10:10" x14ac:dyDescent="0.35">
      <c r="J325" s="142"/>
    </row>
    <row r="326" spans="10:10" x14ac:dyDescent="0.35">
      <c r="J326" s="142"/>
    </row>
    <row r="327" spans="10:10" x14ac:dyDescent="0.35">
      <c r="J327" s="142"/>
    </row>
    <row r="328" spans="10:10" x14ac:dyDescent="0.35">
      <c r="J328" s="142"/>
    </row>
    <row r="329" spans="10:10" x14ac:dyDescent="0.35">
      <c r="J329" s="142"/>
    </row>
    <row r="330" spans="10:10" x14ac:dyDescent="0.35">
      <c r="J330" s="142"/>
    </row>
    <row r="331" spans="10:10" x14ac:dyDescent="0.35">
      <c r="J331" s="142"/>
    </row>
    <row r="332" spans="10:10" x14ac:dyDescent="0.35">
      <c r="J332" s="142"/>
    </row>
    <row r="333" spans="10:10" x14ac:dyDescent="0.35">
      <c r="J333" s="142"/>
    </row>
    <row r="334" spans="10:10" x14ac:dyDescent="0.35">
      <c r="J334" s="142"/>
    </row>
    <row r="335" spans="10:10" x14ac:dyDescent="0.35">
      <c r="J335" s="142"/>
    </row>
    <row r="336" spans="10:10" x14ac:dyDescent="0.35">
      <c r="J336" s="142"/>
    </row>
    <row r="337" spans="10:10" x14ac:dyDescent="0.35">
      <c r="J337" s="142"/>
    </row>
    <row r="338" spans="10:10" x14ac:dyDescent="0.35">
      <c r="J338" s="142"/>
    </row>
    <row r="339" spans="10:10" x14ac:dyDescent="0.35">
      <c r="J339" s="142"/>
    </row>
    <row r="340" spans="10:10" x14ac:dyDescent="0.35">
      <c r="J340" s="142"/>
    </row>
    <row r="341" spans="10:10" x14ac:dyDescent="0.35">
      <c r="J341" s="142"/>
    </row>
    <row r="342" spans="10:10" x14ac:dyDescent="0.35">
      <c r="J342" s="142"/>
    </row>
    <row r="343" spans="10:10" x14ac:dyDescent="0.35">
      <c r="J343" s="142"/>
    </row>
    <row r="344" spans="10:10" x14ac:dyDescent="0.35">
      <c r="J344" s="142"/>
    </row>
    <row r="345" spans="10:10" x14ac:dyDescent="0.35">
      <c r="J345" s="142"/>
    </row>
    <row r="346" spans="10:10" x14ac:dyDescent="0.35">
      <c r="J346" s="142"/>
    </row>
    <row r="347" spans="10:10" x14ac:dyDescent="0.35">
      <c r="J347" s="142"/>
    </row>
    <row r="348" spans="10:10" x14ac:dyDescent="0.35">
      <c r="J348" s="142"/>
    </row>
    <row r="349" spans="10:10" x14ac:dyDescent="0.35">
      <c r="J349" s="142"/>
    </row>
    <row r="350" spans="10:10" x14ac:dyDescent="0.35">
      <c r="J350" s="142"/>
    </row>
    <row r="351" spans="10:10" x14ac:dyDescent="0.35">
      <c r="J351" s="142"/>
    </row>
    <row r="352" spans="10:10" x14ac:dyDescent="0.35">
      <c r="J352" s="142"/>
    </row>
    <row r="353" spans="10:10" x14ac:dyDescent="0.35">
      <c r="J353" s="142"/>
    </row>
    <row r="354" spans="10:10" x14ac:dyDescent="0.35">
      <c r="J354" s="142"/>
    </row>
    <row r="355" spans="10:10" x14ac:dyDescent="0.35">
      <c r="J355" s="142"/>
    </row>
    <row r="356" spans="10:10" x14ac:dyDescent="0.35">
      <c r="J356" s="142"/>
    </row>
    <row r="357" spans="10:10" x14ac:dyDescent="0.35">
      <c r="J357" s="142"/>
    </row>
    <row r="358" spans="10:10" x14ac:dyDescent="0.35">
      <c r="J358" s="142"/>
    </row>
    <row r="359" spans="10:10" x14ac:dyDescent="0.35">
      <c r="J359" s="142"/>
    </row>
    <row r="360" spans="10:10" x14ac:dyDescent="0.35">
      <c r="J360" s="142"/>
    </row>
    <row r="361" spans="10:10" x14ac:dyDescent="0.35">
      <c r="J361" s="142"/>
    </row>
    <row r="362" spans="10:10" x14ac:dyDescent="0.35">
      <c r="J362" s="142"/>
    </row>
    <row r="363" spans="10:10" x14ac:dyDescent="0.35">
      <c r="J363" s="142"/>
    </row>
    <row r="364" spans="10:10" x14ac:dyDescent="0.35">
      <c r="J364" s="142"/>
    </row>
    <row r="365" spans="10:10" x14ac:dyDescent="0.35">
      <c r="J365" s="142"/>
    </row>
    <row r="366" spans="10:10" x14ac:dyDescent="0.35">
      <c r="J366" s="142"/>
    </row>
    <row r="367" spans="10:10" x14ac:dyDescent="0.35">
      <c r="J367" s="142"/>
    </row>
    <row r="368" spans="10:10" x14ac:dyDescent="0.35">
      <c r="J368" s="142"/>
    </row>
    <row r="369" spans="10:10" x14ac:dyDescent="0.35">
      <c r="J369" s="142"/>
    </row>
    <row r="370" spans="10:10" x14ac:dyDescent="0.35">
      <c r="J370" s="142"/>
    </row>
    <row r="371" spans="10:10" x14ac:dyDescent="0.35">
      <c r="J371" s="142"/>
    </row>
    <row r="372" spans="10:10" x14ac:dyDescent="0.35">
      <c r="J372" s="142"/>
    </row>
    <row r="373" spans="10:10" x14ac:dyDescent="0.35">
      <c r="J373" s="142"/>
    </row>
    <row r="374" spans="10:10" x14ac:dyDescent="0.35">
      <c r="J374" s="142"/>
    </row>
    <row r="375" spans="10:10" x14ac:dyDescent="0.35">
      <c r="J375" s="142"/>
    </row>
    <row r="376" spans="10:10" x14ac:dyDescent="0.35">
      <c r="J376" s="142"/>
    </row>
    <row r="377" spans="10:10" x14ac:dyDescent="0.35">
      <c r="J377" s="142"/>
    </row>
    <row r="378" spans="10:10" x14ac:dyDescent="0.35">
      <c r="J378" s="142"/>
    </row>
    <row r="379" spans="10:10" x14ac:dyDescent="0.35">
      <c r="J379" s="142"/>
    </row>
    <row r="380" spans="10:10" x14ac:dyDescent="0.35">
      <c r="J380" s="142"/>
    </row>
    <row r="381" spans="10:10" x14ac:dyDescent="0.35">
      <c r="J381" s="142"/>
    </row>
    <row r="382" spans="10:10" x14ac:dyDescent="0.35">
      <c r="J382" s="142"/>
    </row>
    <row r="383" spans="10:10" x14ac:dyDescent="0.35">
      <c r="J383" s="142"/>
    </row>
    <row r="384" spans="10:10" x14ac:dyDescent="0.35">
      <c r="J384" s="142"/>
    </row>
    <row r="385" spans="10:10" x14ac:dyDescent="0.35">
      <c r="J385" s="142"/>
    </row>
    <row r="386" spans="10:10" x14ac:dyDescent="0.35">
      <c r="J386" s="142"/>
    </row>
    <row r="387" spans="10:10" x14ac:dyDescent="0.35">
      <c r="J387" s="142"/>
    </row>
    <row r="388" spans="10:10" x14ac:dyDescent="0.35">
      <c r="J388" s="142"/>
    </row>
    <row r="389" spans="10:10" x14ac:dyDescent="0.35">
      <c r="J389" s="142"/>
    </row>
    <row r="390" spans="10:10" x14ac:dyDescent="0.35">
      <c r="J390" s="142"/>
    </row>
    <row r="391" spans="10:10" x14ac:dyDescent="0.35">
      <c r="J391" s="142"/>
    </row>
    <row r="392" spans="10:10" x14ac:dyDescent="0.35">
      <c r="J392" s="142"/>
    </row>
    <row r="393" spans="10:10" x14ac:dyDescent="0.35">
      <c r="J393" s="142"/>
    </row>
    <row r="394" spans="10:10" x14ac:dyDescent="0.35">
      <c r="J394" s="142"/>
    </row>
    <row r="395" spans="10:10" x14ac:dyDescent="0.35">
      <c r="J395" s="142"/>
    </row>
    <row r="396" spans="10:10" x14ac:dyDescent="0.35">
      <c r="J396" s="142"/>
    </row>
    <row r="397" spans="10:10" x14ac:dyDescent="0.35">
      <c r="J397" s="142"/>
    </row>
    <row r="398" spans="10:10" x14ac:dyDescent="0.35">
      <c r="J398" s="142"/>
    </row>
    <row r="399" spans="10:10" x14ac:dyDescent="0.35">
      <c r="J399" s="142"/>
    </row>
    <row r="400" spans="10:10" x14ac:dyDescent="0.35">
      <c r="J400" s="142"/>
    </row>
    <row r="401" spans="10:10" x14ac:dyDescent="0.35">
      <c r="J401" s="142"/>
    </row>
    <row r="402" spans="10:10" x14ac:dyDescent="0.35">
      <c r="J402" s="142"/>
    </row>
    <row r="403" spans="10:10" x14ac:dyDescent="0.35">
      <c r="J403" s="142"/>
    </row>
    <row r="404" spans="10:10" x14ac:dyDescent="0.35">
      <c r="J404" s="142"/>
    </row>
    <row r="405" spans="10:10" x14ac:dyDescent="0.35">
      <c r="J405" s="142"/>
    </row>
    <row r="406" spans="10:10" x14ac:dyDescent="0.35">
      <c r="J406" s="142"/>
    </row>
    <row r="407" spans="10:10" x14ac:dyDescent="0.35">
      <c r="J407" s="142"/>
    </row>
    <row r="408" spans="10:10" x14ac:dyDescent="0.35">
      <c r="J408" s="142"/>
    </row>
    <row r="409" spans="10:10" x14ac:dyDescent="0.35">
      <c r="J409" s="142"/>
    </row>
    <row r="410" spans="10:10" x14ac:dyDescent="0.35">
      <c r="J410" s="142"/>
    </row>
    <row r="411" spans="10:10" x14ac:dyDescent="0.35">
      <c r="J411" s="142"/>
    </row>
    <row r="412" spans="10:10" x14ac:dyDescent="0.35">
      <c r="J412" s="142"/>
    </row>
    <row r="413" spans="10:10" x14ac:dyDescent="0.35">
      <c r="J413" s="142"/>
    </row>
    <row r="414" spans="10:10" x14ac:dyDescent="0.35">
      <c r="J414" s="142"/>
    </row>
    <row r="415" spans="10:10" x14ac:dyDescent="0.35">
      <c r="J415" s="142"/>
    </row>
    <row r="416" spans="10:10" x14ac:dyDescent="0.35">
      <c r="J416" s="142"/>
    </row>
    <row r="417" spans="10:10" x14ac:dyDescent="0.35">
      <c r="J417" s="142"/>
    </row>
    <row r="418" spans="10:10" x14ac:dyDescent="0.35">
      <c r="J418" s="142"/>
    </row>
    <row r="419" spans="10:10" x14ac:dyDescent="0.35">
      <c r="J419" s="142"/>
    </row>
    <row r="420" spans="10:10" x14ac:dyDescent="0.35">
      <c r="J420" s="142"/>
    </row>
    <row r="421" spans="10:10" x14ac:dyDescent="0.35">
      <c r="J421" s="142"/>
    </row>
    <row r="422" spans="10:10" x14ac:dyDescent="0.35">
      <c r="J422" s="142"/>
    </row>
    <row r="423" spans="10:10" x14ac:dyDescent="0.35">
      <c r="J423" s="142"/>
    </row>
    <row r="424" spans="10:10" x14ac:dyDescent="0.35">
      <c r="J424" s="142"/>
    </row>
    <row r="425" spans="10:10" x14ac:dyDescent="0.35">
      <c r="J425" s="142"/>
    </row>
    <row r="426" spans="10:10" x14ac:dyDescent="0.35">
      <c r="J426" s="142"/>
    </row>
    <row r="427" spans="10:10" x14ac:dyDescent="0.35">
      <c r="J427" s="142"/>
    </row>
    <row r="428" spans="10:10" x14ac:dyDescent="0.35">
      <c r="J428" s="142"/>
    </row>
    <row r="429" spans="10:10" x14ac:dyDescent="0.35">
      <c r="J429" s="142"/>
    </row>
    <row r="430" spans="10:10" x14ac:dyDescent="0.35">
      <c r="J430" s="142"/>
    </row>
    <row r="431" spans="10:10" x14ac:dyDescent="0.35">
      <c r="J431" s="142"/>
    </row>
    <row r="432" spans="10:10" x14ac:dyDescent="0.35">
      <c r="J432" s="142"/>
    </row>
    <row r="433" spans="10:10" x14ac:dyDescent="0.35">
      <c r="J433" s="142"/>
    </row>
    <row r="434" spans="10:10" x14ac:dyDescent="0.35">
      <c r="J434" s="142"/>
    </row>
    <row r="435" spans="10:10" x14ac:dyDescent="0.35">
      <c r="J435" s="142"/>
    </row>
    <row r="436" spans="10:10" x14ac:dyDescent="0.35">
      <c r="J436" s="142"/>
    </row>
    <row r="437" spans="10:10" x14ac:dyDescent="0.35">
      <c r="J437" s="142"/>
    </row>
    <row r="438" spans="10:10" x14ac:dyDescent="0.35">
      <c r="J438" s="142"/>
    </row>
    <row r="439" spans="10:10" x14ac:dyDescent="0.35">
      <c r="J439" s="142"/>
    </row>
    <row r="440" spans="10:10" x14ac:dyDescent="0.35">
      <c r="J440" s="142"/>
    </row>
    <row r="441" spans="10:10" x14ac:dyDescent="0.35">
      <c r="J441" s="142"/>
    </row>
    <row r="442" spans="10:10" x14ac:dyDescent="0.35">
      <c r="J442" s="142"/>
    </row>
    <row r="443" spans="10:10" x14ac:dyDescent="0.35">
      <c r="J443" s="142"/>
    </row>
    <row r="444" spans="10:10" x14ac:dyDescent="0.35">
      <c r="J444" s="142"/>
    </row>
    <row r="445" spans="10:10" x14ac:dyDescent="0.35">
      <c r="J445" s="142"/>
    </row>
    <row r="446" spans="10:10" x14ac:dyDescent="0.35">
      <c r="J446" s="142"/>
    </row>
    <row r="447" spans="10:10" x14ac:dyDescent="0.35">
      <c r="J447" s="142"/>
    </row>
    <row r="448" spans="10:10" x14ac:dyDescent="0.35">
      <c r="J448" s="142"/>
    </row>
    <row r="449" spans="10:10" x14ac:dyDescent="0.35">
      <c r="J449" s="142"/>
    </row>
    <row r="450" spans="10:10" x14ac:dyDescent="0.35">
      <c r="J450" s="142"/>
    </row>
    <row r="451" spans="10:10" x14ac:dyDescent="0.35">
      <c r="J451" s="142"/>
    </row>
    <row r="452" spans="10:10" x14ac:dyDescent="0.35">
      <c r="J452" s="142"/>
    </row>
    <row r="453" spans="10:10" x14ac:dyDescent="0.35">
      <c r="J453" s="142"/>
    </row>
    <row r="454" spans="10:10" x14ac:dyDescent="0.35">
      <c r="J454" s="142"/>
    </row>
    <row r="455" spans="10:10" x14ac:dyDescent="0.35">
      <c r="J455" s="142"/>
    </row>
    <row r="456" spans="10:10" x14ac:dyDescent="0.35">
      <c r="J456" s="142"/>
    </row>
    <row r="457" spans="10:10" x14ac:dyDescent="0.35">
      <c r="J457" s="142"/>
    </row>
    <row r="458" spans="10:10" x14ac:dyDescent="0.35">
      <c r="J458" s="142"/>
    </row>
    <row r="459" spans="10:10" x14ac:dyDescent="0.35">
      <c r="J459" s="142"/>
    </row>
    <row r="460" spans="10:10" x14ac:dyDescent="0.35">
      <c r="J460" s="142"/>
    </row>
    <row r="461" spans="10:10" x14ac:dyDescent="0.35">
      <c r="J461" s="142"/>
    </row>
    <row r="462" spans="10:10" x14ac:dyDescent="0.35">
      <c r="J462" s="142"/>
    </row>
    <row r="463" spans="10:10" x14ac:dyDescent="0.35">
      <c r="J463" s="142"/>
    </row>
    <row r="464" spans="10:10" x14ac:dyDescent="0.35">
      <c r="J464" s="142"/>
    </row>
    <row r="465" spans="10:10" x14ac:dyDescent="0.35">
      <c r="J465" s="142"/>
    </row>
    <row r="466" spans="10:10" x14ac:dyDescent="0.35">
      <c r="J466" s="142"/>
    </row>
    <row r="467" spans="10:10" x14ac:dyDescent="0.35">
      <c r="J467" s="142"/>
    </row>
    <row r="468" spans="10:10" x14ac:dyDescent="0.35">
      <c r="J468" s="142"/>
    </row>
    <row r="469" spans="10:10" x14ac:dyDescent="0.35">
      <c r="J469" s="142"/>
    </row>
    <row r="470" spans="10:10" x14ac:dyDescent="0.35">
      <c r="J470" s="142"/>
    </row>
    <row r="471" spans="10:10" x14ac:dyDescent="0.35">
      <c r="J471" s="142"/>
    </row>
    <row r="472" spans="10:10" x14ac:dyDescent="0.35">
      <c r="J472" s="142"/>
    </row>
    <row r="473" spans="10:10" x14ac:dyDescent="0.35">
      <c r="J473" s="142"/>
    </row>
    <row r="474" spans="10:10" x14ac:dyDescent="0.35">
      <c r="J474" s="142"/>
    </row>
    <row r="475" spans="10:10" x14ac:dyDescent="0.35">
      <c r="J475" s="142"/>
    </row>
    <row r="476" spans="10:10" x14ac:dyDescent="0.35">
      <c r="J476" s="142"/>
    </row>
    <row r="477" spans="10:10" x14ac:dyDescent="0.35">
      <c r="J477" s="142"/>
    </row>
    <row r="478" spans="10:10" x14ac:dyDescent="0.35">
      <c r="J478" s="142"/>
    </row>
    <row r="479" spans="10:10" x14ac:dyDescent="0.35">
      <c r="J479" s="142"/>
    </row>
    <row r="480" spans="10:10" x14ac:dyDescent="0.35">
      <c r="J480" s="142"/>
    </row>
    <row r="481" spans="10:10" x14ac:dyDescent="0.35">
      <c r="J481" s="142"/>
    </row>
    <row r="482" spans="10:10" x14ac:dyDescent="0.35">
      <c r="J482" s="142"/>
    </row>
    <row r="483" spans="10:10" x14ac:dyDescent="0.35">
      <c r="J483" s="142"/>
    </row>
    <row r="484" spans="10:10" x14ac:dyDescent="0.35">
      <c r="J484" s="142"/>
    </row>
    <row r="485" spans="10:10" x14ac:dyDescent="0.35">
      <c r="J485" s="142"/>
    </row>
    <row r="486" spans="10:10" x14ac:dyDescent="0.35">
      <c r="J486" s="142"/>
    </row>
    <row r="487" spans="10:10" x14ac:dyDescent="0.35">
      <c r="J487" s="142"/>
    </row>
    <row r="488" spans="10:10" x14ac:dyDescent="0.35">
      <c r="J488" s="142"/>
    </row>
    <row r="489" spans="10:10" x14ac:dyDescent="0.35">
      <c r="J489" s="142"/>
    </row>
    <row r="490" spans="10:10" x14ac:dyDescent="0.35">
      <c r="J490" s="142"/>
    </row>
    <row r="491" spans="10:10" x14ac:dyDescent="0.35">
      <c r="J491" s="142"/>
    </row>
    <row r="492" spans="10:10" x14ac:dyDescent="0.35">
      <c r="J492" s="142"/>
    </row>
    <row r="493" spans="10:10" x14ac:dyDescent="0.35">
      <c r="J493" s="142"/>
    </row>
    <row r="494" spans="10:10" x14ac:dyDescent="0.35">
      <c r="J494" s="142"/>
    </row>
    <row r="495" spans="10:10" x14ac:dyDescent="0.35">
      <c r="J495" s="142"/>
    </row>
    <row r="496" spans="10:10" x14ac:dyDescent="0.35">
      <c r="J496" s="142"/>
    </row>
    <row r="497" spans="10:10" x14ac:dyDescent="0.35">
      <c r="J497" s="142"/>
    </row>
    <row r="498" spans="10:10" x14ac:dyDescent="0.35">
      <c r="J498" s="142"/>
    </row>
    <row r="499" spans="10:10" x14ac:dyDescent="0.35">
      <c r="J499" s="142"/>
    </row>
    <row r="500" spans="10:10" x14ac:dyDescent="0.35">
      <c r="J500" s="142"/>
    </row>
    <row r="501" spans="10:10" x14ac:dyDescent="0.35">
      <c r="J501" s="142"/>
    </row>
    <row r="502" spans="10:10" x14ac:dyDescent="0.35">
      <c r="J502" s="142"/>
    </row>
    <row r="503" spans="10:10" x14ac:dyDescent="0.35">
      <c r="J503" s="142"/>
    </row>
    <row r="504" spans="10:10" x14ac:dyDescent="0.35">
      <c r="J504" s="142"/>
    </row>
    <row r="505" spans="10:10" x14ac:dyDescent="0.35">
      <c r="J505" s="142"/>
    </row>
    <row r="506" spans="10:10" x14ac:dyDescent="0.35">
      <c r="J506" s="142"/>
    </row>
    <row r="507" spans="10:10" x14ac:dyDescent="0.35">
      <c r="J507" s="142"/>
    </row>
    <row r="508" spans="10:10" x14ac:dyDescent="0.35">
      <c r="J508" s="142"/>
    </row>
    <row r="509" spans="10:10" x14ac:dyDescent="0.35">
      <c r="J509" s="142"/>
    </row>
    <row r="510" spans="10:10" x14ac:dyDescent="0.35">
      <c r="J510" s="142"/>
    </row>
    <row r="511" spans="10:10" x14ac:dyDescent="0.35">
      <c r="J511" s="142"/>
    </row>
    <row r="512" spans="10:10" x14ac:dyDescent="0.35">
      <c r="J512" s="142"/>
    </row>
    <row r="513" spans="10:10" x14ac:dyDescent="0.35">
      <c r="J513" s="142"/>
    </row>
    <row r="514" spans="10:10" x14ac:dyDescent="0.35">
      <c r="J514" s="142"/>
    </row>
    <row r="515" spans="10:10" x14ac:dyDescent="0.35">
      <c r="J515" s="142"/>
    </row>
    <row r="516" spans="10:10" x14ac:dyDescent="0.35">
      <c r="J516" s="142"/>
    </row>
    <row r="517" spans="10:10" x14ac:dyDescent="0.35">
      <c r="J517" s="142"/>
    </row>
    <row r="518" spans="10:10" x14ac:dyDescent="0.35">
      <c r="J518" s="142"/>
    </row>
    <row r="519" spans="10:10" x14ac:dyDescent="0.35">
      <c r="J519" s="142"/>
    </row>
    <row r="520" spans="10:10" x14ac:dyDescent="0.35">
      <c r="J520" s="142"/>
    </row>
    <row r="521" spans="10:10" x14ac:dyDescent="0.35">
      <c r="J521" s="142"/>
    </row>
    <row r="522" spans="10:10" x14ac:dyDescent="0.35">
      <c r="J522" s="142"/>
    </row>
    <row r="523" spans="10:10" x14ac:dyDescent="0.35">
      <c r="J523" s="142"/>
    </row>
    <row r="524" spans="10:10" x14ac:dyDescent="0.35">
      <c r="J524" s="142"/>
    </row>
    <row r="525" spans="10:10" x14ac:dyDescent="0.35">
      <c r="J525" s="142"/>
    </row>
    <row r="526" spans="10:10" x14ac:dyDescent="0.35">
      <c r="J526" s="142"/>
    </row>
    <row r="527" spans="10:10" x14ac:dyDescent="0.35">
      <c r="J527" s="142"/>
    </row>
    <row r="528" spans="10:10" x14ac:dyDescent="0.35">
      <c r="J528" s="142"/>
    </row>
    <row r="529" spans="10:10" x14ac:dyDescent="0.35">
      <c r="J529" s="142"/>
    </row>
    <row r="530" spans="10:10" x14ac:dyDescent="0.35">
      <c r="J530" s="142"/>
    </row>
    <row r="531" spans="10:10" x14ac:dyDescent="0.35">
      <c r="J531" s="142"/>
    </row>
    <row r="532" spans="10:10" x14ac:dyDescent="0.35">
      <c r="J532" s="142"/>
    </row>
    <row r="533" spans="10:10" x14ac:dyDescent="0.35">
      <c r="J533" s="142"/>
    </row>
    <row r="534" spans="10:10" x14ac:dyDescent="0.35">
      <c r="J534" s="142"/>
    </row>
    <row r="535" spans="10:10" x14ac:dyDescent="0.35">
      <c r="J535" s="142"/>
    </row>
    <row r="536" spans="10:10" x14ac:dyDescent="0.35">
      <c r="J536" s="142"/>
    </row>
    <row r="537" spans="10:10" x14ac:dyDescent="0.35">
      <c r="J537" s="142"/>
    </row>
    <row r="538" spans="10:10" x14ac:dyDescent="0.35">
      <c r="J538" s="142"/>
    </row>
    <row r="539" spans="10:10" x14ac:dyDescent="0.35">
      <c r="J539" s="142"/>
    </row>
    <row r="540" spans="10:10" x14ac:dyDescent="0.35">
      <c r="J540" s="142"/>
    </row>
    <row r="541" spans="10:10" x14ac:dyDescent="0.35">
      <c r="J541" s="142"/>
    </row>
    <row r="542" spans="10:10" x14ac:dyDescent="0.35">
      <c r="J542" s="142"/>
    </row>
    <row r="543" spans="10:10" x14ac:dyDescent="0.35">
      <c r="J543" s="142"/>
    </row>
    <row r="544" spans="10:10" x14ac:dyDescent="0.35">
      <c r="J544" s="142"/>
    </row>
    <row r="545" spans="10:10" x14ac:dyDescent="0.35">
      <c r="J545" s="142"/>
    </row>
    <row r="546" spans="10:10" x14ac:dyDescent="0.35">
      <c r="J546" s="142"/>
    </row>
    <row r="547" spans="10:10" x14ac:dyDescent="0.35">
      <c r="J547" s="142"/>
    </row>
    <row r="548" spans="10:10" x14ac:dyDescent="0.35">
      <c r="J548" s="142"/>
    </row>
    <row r="549" spans="10:10" x14ac:dyDescent="0.35">
      <c r="J549" s="142"/>
    </row>
    <row r="550" spans="10:10" x14ac:dyDescent="0.35">
      <c r="J550" s="142"/>
    </row>
    <row r="551" spans="10:10" x14ac:dyDescent="0.35">
      <c r="J551" s="142"/>
    </row>
    <row r="552" spans="10:10" x14ac:dyDescent="0.35">
      <c r="J552" s="142"/>
    </row>
    <row r="553" spans="10:10" x14ac:dyDescent="0.35">
      <c r="J553" s="142"/>
    </row>
    <row r="554" spans="10:10" x14ac:dyDescent="0.35">
      <c r="J554" s="142"/>
    </row>
    <row r="555" spans="10:10" x14ac:dyDescent="0.35">
      <c r="J555" s="142"/>
    </row>
    <row r="556" spans="10:10" x14ac:dyDescent="0.35">
      <c r="J556" s="142"/>
    </row>
    <row r="557" spans="10:10" x14ac:dyDescent="0.35">
      <c r="J557" s="142"/>
    </row>
    <row r="558" spans="10:10" x14ac:dyDescent="0.35">
      <c r="J558" s="142"/>
    </row>
    <row r="559" spans="10:10" x14ac:dyDescent="0.35">
      <c r="J559" s="142"/>
    </row>
    <row r="560" spans="10:10" x14ac:dyDescent="0.35">
      <c r="J560" s="142"/>
    </row>
    <row r="561" spans="10:10" x14ac:dyDescent="0.35">
      <c r="J561" s="142"/>
    </row>
    <row r="562" spans="10:10" x14ac:dyDescent="0.35">
      <c r="J562" s="142"/>
    </row>
    <row r="563" spans="10:10" x14ac:dyDescent="0.35">
      <c r="J563" s="142"/>
    </row>
    <row r="564" spans="10:10" x14ac:dyDescent="0.35">
      <c r="J564" s="142"/>
    </row>
    <row r="565" spans="10:10" x14ac:dyDescent="0.35">
      <c r="J565" s="142"/>
    </row>
    <row r="566" spans="10:10" x14ac:dyDescent="0.35">
      <c r="J566" s="142"/>
    </row>
    <row r="567" spans="10:10" x14ac:dyDescent="0.35">
      <c r="J567" s="142"/>
    </row>
    <row r="568" spans="10:10" x14ac:dyDescent="0.35">
      <c r="J568" s="142"/>
    </row>
    <row r="569" spans="10:10" x14ac:dyDescent="0.35">
      <c r="J569" s="142"/>
    </row>
    <row r="570" spans="10:10" x14ac:dyDescent="0.35">
      <c r="J570" s="142"/>
    </row>
    <row r="571" spans="10:10" x14ac:dyDescent="0.35">
      <c r="J571" s="142"/>
    </row>
    <row r="572" spans="10:10" x14ac:dyDescent="0.35">
      <c r="J572" s="142"/>
    </row>
    <row r="573" spans="10:10" x14ac:dyDescent="0.35">
      <c r="J573" s="142"/>
    </row>
    <row r="574" spans="10:10" x14ac:dyDescent="0.35">
      <c r="J574" s="142"/>
    </row>
    <row r="575" spans="10:10" x14ac:dyDescent="0.35">
      <c r="J575" s="142"/>
    </row>
    <row r="576" spans="10:10" x14ac:dyDescent="0.35">
      <c r="J576" s="142"/>
    </row>
    <row r="577" spans="10:10" x14ac:dyDescent="0.35">
      <c r="J577" s="142"/>
    </row>
    <row r="578" spans="10:10" x14ac:dyDescent="0.35">
      <c r="J578" s="142"/>
    </row>
    <row r="579" spans="10:10" x14ac:dyDescent="0.35">
      <c r="J579" s="142"/>
    </row>
    <row r="580" spans="10:10" x14ac:dyDescent="0.35">
      <c r="J580" s="142"/>
    </row>
    <row r="581" spans="10:10" x14ac:dyDescent="0.35">
      <c r="J581" s="142"/>
    </row>
    <row r="582" spans="10:10" x14ac:dyDescent="0.35">
      <c r="J582" s="142"/>
    </row>
    <row r="583" spans="10:10" x14ac:dyDescent="0.35">
      <c r="J583" s="142"/>
    </row>
    <row r="584" spans="10:10" x14ac:dyDescent="0.35">
      <c r="J584" s="142"/>
    </row>
    <row r="585" spans="10:10" x14ac:dyDescent="0.35">
      <c r="J585" s="142"/>
    </row>
    <row r="586" spans="10:10" x14ac:dyDescent="0.35">
      <c r="J586" s="142"/>
    </row>
    <row r="587" spans="10:10" x14ac:dyDescent="0.35">
      <c r="J587" s="142"/>
    </row>
    <row r="588" spans="10:10" x14ac:dyDescent="0.35">
      <c r="J588" s="142"/>
    </row>
    <row r="589" spans="10:10" x14ac:dyDescent="0.35">
      <c r="J589" s="142"/>
    </row>
    <row r="590" spans="10:10" x14ac:dyDescent="0.35">
      <c r="J590" s="142"/>
    </row>
    <row r="591" spans="10:10" x14ac:dyDescent="0.35">
      <c r="J591" s="142"/>
    </row>
    <row r="592" spans="10:10" x14ac:dyDescent="0.35">
      <c r="J592" s="142"/>
    </row>
    <row r="593" spans="10:10" x14ac:dyDescent="0.35">
      <c r="J593" s="142"/>
    </row>
    <row r="594" spans="10:10" x14ac:dyDescent="0.35">
      <c r="J594" s="142"/>
    </row>
    <row r="595" spans="10:10" x14ac:dyDescent="0.35">
      <c r="J595" s="142"/>
    </row>
    <row r="596" spans="10:10" x14ac:dyDescent="0.35">
      <c r="J596" s="142"/>
    </row>
    <row r="597" spans="10:10" x14ac:dyDescent="0.35">
      <c r="J597" s="142"/>
    </row>
    <row r="598" spans="10:10" x14ac:dyDescent="0.35">
      <c r="J598" s="142"/>
    </row>
    <row r="599" spans="10:10" x14ac:dyDescent="0.35">
      <c r="J599" s="142"/>
    </row>
    <row r="600" spans="10:10" x14ac:dyDescent="0.35">
      <c r="J600" s="142"/>
    </row>
    <row r="601" spans="10:10" x14ac:dyDescent="0.35">
      <c r="J601" s="142"/>
    </row>
    <row r="602" spans="10:10" x14ac:dyDescent="0.35">
      <c r="J602" s="142"/>
    </row>
    <row r="603" spans="10:10" x14ac:dyDescent="0.35">
      <c r="J603" s="142"/>
    </row>
    <row r="604" spans="10:10" x14ac:dyDescent="0.35">
      <c r="J604" s="142"/>
    </row>
    <row r="605" spans="10:10" x14ac:dyDescent="0.35">
      <c r="J605" s="142"/>
    </row>
    <row r="606" spans="10:10" x14ac:dyDescent="0.35">
      <c r="J606" s="142"/>
    </row>
    <row r="607" spans="10:10" x14ac:dyDescent="0.35">
      <c r="J607" s="142"/>
    </row>
    <row r="608" spans="10:10" x14ac:dyDescent="0.35">
      <c r="J608" s="142"/>
    </row>
    <row r="609" spans="10:10" x14ac:dyDescent="0.35">
      <c r="J609" s="142"/>
    </row>
    <row r="610" spans="10:10" x14ac:dyDescent="0.35">
      <c r="J610" s="142"/>
    </row>
    <row r="611" spans="10:10" x14ac:dyDescent="0.35">
      <c r="J611" s="142"/>
    </row>
    <row r="612" spans="10:10" x14ac:dyDescent="0.35">
      <c r="J612" s="142"/>
    </row>
    <row r="613" spans="10:10" x14ac:dyDescent="0.35">
      <c r="J613" s="142"/>
    </row>
    <row r="614" spans="10:10" x14ac:dyDescent="0.35">
      <c r="J614" s="142"/>
    </row>
    <row r="615" spans="10:10" x14ac:dyDescent="0.35">
      <c r="J615" s="142"/>
    </row>
    <row r="616" spans="10:10" x14ac:dyDescent="0.35">
      <c r="J616" s="142"/>
    </row>
  </sheetData>
  <pageMargins left="0.7" right="0.7" top="0.75" bottom="0.75" header="0.3" footer="0.3"/>
  <pageSetup paperSize="9" orientation="portrait" r:id="rId1"/>
  <ignoredErrors>
    <ignoredError sqref="M2 Q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D131"/>
  <sheetViews>
    <sheetView topLeftCell="A74" workbookViewId="0">
      <selection activeCell="B87" sqref="A1:D104"/>
    </sheetView>
  </sheetViews>
  <sheetFormatPr defaultColWidth="9" defaultRowHeight="15.5" x14ac:dyDescent="0.35"/>
  <cols>
    <col min="1" max="1" width="67.6640625" customWidth="1"/>
    <col min="2" max="2" width="89.08203125" customWidth="1"/>
    <col min="3" max="3" width="76.58203125" customWidth="1"/>
    <col min="4" max="4" width="82.1640625" customWidth="1"/>
  </cols>
  <sheetData>
    <row r="1" spans="1:4" x14ac:dyDescent="0.35">
      <c r="A1" s="240" t="s">
        <v>303</v>
      </c>
      <c r="B1" s="241"/>
      <c r="C1" s="242">
        <f>IF(Language="English",0,IF(Language="French",1,IF(Language="Spanish",2,IF(Language="Russian",3))))</f>
        <v>2</v>
      </c>
      <c r="D1" s="241"/>
    </row>
    <row r="2" spans="1:4" s="250" customFormat="1" x14ac:dyDescent="0.35">
      <c r="A2" s="240" t="s">
        <v>383</v>
      </c>
      <c r="B2" s="249" t="s">
        <v>302</v>
      </c>
      <c r="C2" s="249" t="s">
        <v>384</v>
      </c>
      <c r="D2" s="249" t="s">
        <v>385</v>
      </c>
    </row>
    <row r="3" spans="1:4" x14ac:dyDescent="0.35">
      <c r="A3" s="253" t="str">
        <f ca="1">OFFSET($B3,0,LangOffset,1,1)</f>
        <v>Langue :</v>
      </c>
      <c r="B3" s="253" t="s">
        <v>386</v>
      </c>
      <c r="C3" s="253" t="s">
        <v>387</v>
      </c>
      <c r="D3" s="253" t="s">
        <v>387</v>
      </c>
    </row>
    <row r="4" spans="1:4" x14ac:dyDescent="0.35">
      <c r="A4" s="215" t="str">
        <f ca="1">OFFSET($B4,0,LangOffset,1,1)</f>
        <v>Marco de desempeño  - Descripción General - Sección A</v>
      </c>
      <c r="B4" s="283" t="s">
        <v>35</v>
      </c>
      <c r="C4" s="283" t="s">
        <v>499</v>
      </c>
      <c r="D4" s="283" t="s">
        <v>500</v>
      </c>
    </row>
    <row r="5" spans="1:4" x14ac:dyDescent="0.35">
      <c r="A5" s="215" t="str">
        <f t="shared" ref="A5:A65" ca="1" si="0">OFFSET($B5,0,LangOffset,1,1)</f>
        <v>País / Solicitante:</v>
      </c>
      <c r="B5" s="283" t="s">
        <v>132</v>
      </c>
      <c r="C5" s="283" t="s">
        <v>388</v>
      </c>
      <c r="D5" s="283" t="s">
        <v>389</v>
      </c>
    </row>
    <row r="6" spans="1:4" x14ac:dyDescent="0.35">
      <c r="A6" s="215" t="str">
        <f t="shared" ca="1" si="0"/>
        <v>Nombre de la Subvención/Nombre de la solicitud de financiamiento</v>
      </c>
      <c r="B6" s="283" t="s">
        <v>187</v>
      </c>
      <c r="C6" s="289" t="s">
        <v>494</v>
      </c>
      <c r="D6" s="283" t="s">
        <v>501</v>
      </c>
    </row>
    <row r="7" spans="1:4" x14ac:dyDescent="0.35">
      <c r="A7" s="215" t="str">
        <f t="shared" ca="1" si="0"/>
        <v>Fecha de inicio del programa</v>
      </c>
      <c r="B7" s="283" t="s">
        <v>133</v>
      </c>
      <c r="C7" s="283" t="s">
        <v>390</v>
      </c>
      <c r="D7" s="283" t="s">
        <v>392</v>
      </c>
    </row>
    <row r="8" spans="1:4" x14ac:dyDescent="0.35">
      <c r="A8" s="215" t="str">
        <f t="shared" ca="1" si="0"/>
        <v>Fecha final del programa</v>
      </c>
      <c r="B8" s="283" t="s">
        <v>134</v>
      </c>
      <c r="C8" s="283" t="s">
        <v>391</v>
      </c>
      <c r="D8" s="283" t="s">
        <v>393</v>
      </c>
    </row>
    <row r="9" spans="1:4" x14ac:dyDescent="0.35">
      <c r="A9" s="215" t="str">
        <f t="shared" ca="1" si="0"/>
        <v>Frecuencia del período de reporte programático</v>
      </c>
      <c r="B9" s="283" t="s">
        <v>359</v>
      </c>
      <c r="C9" s="289" t="s">
        <v>502</v>
      </c>
      <c r="D9" s="283" t="s">
        <v>503</v>
      </c>
    </row>
    <row r="10" spans="1:4" x14ac:dyDescent="0.35">
      <c r="A10" s="215" t="str">
        <f t="shared" ca="1" si="0"/>
        <v>Fecha de inicio del período de uso de la asignación</v>
      </c>
      <c r="B10" s="283" t="s">
        <v>206</v>
      </c>
      <c r="C10" s="289" t="s">
        <v>493</v>
      </c>
      <c r="D10" s="283" t="s">
        <v>504</v>
      </c>
    </row>
    <row r="11" spans="1:4" x14ac:dyDescent="0.35">
      <c r="A11" s="215" t="str">
        <f t="shared" ca="1" si="0"/>
        <v xml:space="preserve">Fecha de término del período de uso de la asignación </v>
      </c>
      <c r="B11" s="283" t="s">
        <v>207</v>
      </c>
      <c r="C11" s="289" t="s">
        <v>492</v>
      </c>
      <c r="D11" s="283" t="s">
        <v>505</v>
      </c>
    </row>
    <row r="12" spans="1:4" x14ac:dyDescent="0.35">
      <c r="A12" s="215" t="str">
        <f t="shared" ca="1" si="0"/>
        <v>Navegación de la página</v>
      </c>
      <c r="B12" s="283" t="s">
        <v>31</v>
      </c>
      <c r="C12" s="289" t="s">
        <v>488</v>
      </c>
      <c r="D12" s="283" t="s">
        <v>506</v>
      </c>
    </row>
    <row r="13" spans="1:4" x14ac:dyDescent="0.35">
      <c r="A13" s="215" t="str">
        <f t="shared" ca="1" si="0"/>
        <v>Componente</v>
      </c>
      <c r="B13" s="283" t="s">
        <v>121</v>
      </c>
      <c r="C13" s="283" t="s">
        <v>507</v>
      </c>
      <c r="D13" s="283" t="s">
        <v>394</v>
      </c>
    </row>
    <row r="14" spans="1:4" x14ac:dyDescent="0.35">
      <c r="A14" s="215" t="str">
        <f t="shared" ca="1" si="0"/>
        <v xml:space="preserve">Número del Receptor Principal </v>
      </c>
      <c r="B14" s="283" t="s">
        <v>191</v>
      </c>
      <c r="C14" s="289" t="s">
        <v>508</v>
      </c>
      <c r="D14" s="290" t="s">
        <v>509</v>
      </c>
    </row>
    <row r="15" spans="1:4" s="185" customFormat="1" x14ac:dyDescent="0.35">
      <c r="A15" s="215" t="str">
        <f t="shared" ca="1" si="0"/>
        <v>Nombre del Receptor Principal</v>
      </c>
      <c r="B15" s="283" t="s">
        <v>135</v>
      </c>
      <c r="C15" s="283" t="s">
        <v>510</v>
      </c>
      <c r="D15" s="290" t="s">
        <v>511</v>
      </c>
    </row>
    <row r="16" spans="1:4" ht="29" x14ac:dyDescent="0.35">
      <c r="A16" s="215" t="str">
        <f t="shared" ca="1" si="0"/>
        <v>Nombre del Receptor Principal (Seleccione los RP que han tenido subvenciones con el Fondo Mundial previamente)</v>
      </c>
      <c r="B16" s="284" t="s">
        <v>512</v>
      </c>
      <c r="C16" s="291" t="s">
        <v>513</v>
      </c>
      <c r="D16" s="285" t="s">
        <v>514</v>
      </c>
    </row>
    <row r="17" spans="1:4" x14ac:dyDescent="0.35">
      <c r="A17" s="215" t="str">
        <f t="shared" ca="1" si="0"/>
        <v>Período de reporte</v>
      </c>
      <c r="B17" s="283" t="s">
        <v>202</v>
      </c>
      <c r="C17" s="289" t="s">
        <v>491</v>
      </c>
      <c r="D17" s="283" t="s">
        <v>515</v>
      </c>
    </row>
    <row r="18" spans="1:4" x14ac:dyDescent="0.35">
      <c r="A18" s="215" t="str">
        <f t="shared" ca="1" si="0"/>
        <v>Fecha de inicio del período</v>
      </c>
      <c r="B18" s="283" t="s">
        <v>204</v>
      </c>
      <c r="C18" s="289" t="s">
        <v>490</v>
      </c>
      <c r="D18" s="283" t="s">
        <v>516</v>
      </c>
    </row>
    <row r="19" spans="1:4" x14ac:dyDescent="0.35">
      <c r="A19" s="215" t="str">
        <f t="shared" ca="1" si="0"/>
        <v>Fecha de término del período</v>
      </c>
      <c r="B19" s="283" t="s">
        <v>205</v>
      </c>
      <c r="C19" s="289" t="s">
        <v>517</v>
      </c>
      <c r="D19" s="283" t="s">
        <v>518</v>
      </c>
    </row>
    <row r="20" spans="1:4" x14ac:dyDescent="0.35">
      <c r="A20" s="215" t="str">
        <f t="shared" ca="1" si="0"/>
        <v>Fecha de envío del PUDR</v>
      </c>
      <c r="B20" s="283" t="s">
        <v>136</v>
      </c>
      <c r="C20" s="289" t="s">
        <v>519</v>
      </c>
      <c r="D20" s="283" t="s">
        <v>520</v>
      </c>
    </row>
    <row r="21" spans="1:4" x14ac:dyDescent="0.35">
      <c r="A21" s="215" t="str">
        <f t="shared" ca="1" si="0"/>
        <v>Fecha de envío</v>
      </c>
      <c r="B21" s="283" t="s">
        <v>137</v>
      </c>
      <c r="C21" s="289" t="s">
        <v>489</v>
      </c>
      <c r="D21" s="283" t="s">
        <v>521</v>
      </c>
    </row>
    <row r="22" spans="1:4" x14ac:dyDescent="0.35">
      <c r="A22" s="215" t="str">
        <f t="shared" ca="1" si="0"/>
        <v xml:space="preserve">Metas </v>
      </c>
      <c r="B22" s="283" t="s">
        <v>13</v>
      </c>
      <c r="C22" s="283" t="s">
        <v>428</v>
      </c>
      <c r="D22" s="283" t="s">
        <v>429</v>
      </c>
    </row>
    <row r="23" spans="1:4" x14ac:dyDescent="0.35">
      <c r="A23" s="215" t="str">
        <f t="shared" ca="1" si="0"/>
        <v>Número de meta</v>
      </c>
      <c r="B23" s="283" t="s">
        <v>12</v>
      </c>
      <c r="C23" s="289" t="s">
        <v>522</v>
      </c>
      <c r="D23" s="283" t="s">
        <v>523</v>
      </c>
    </row>
    <row r="24" spans="1:4" x14ac:dyDescent="0.35">
      <c r="A24" s="215" t="str">
        <f t="shared" ca="1" si="0"/>
        <v>Descripción de meta</v>
      </c>
      <c r="B24" s="283" t="s">
        <v>138</v>
      </c>
      <c r="C24" s="289" t="s">
        <v>524</v>
      </c>
      <c r="D24" s="283" t="s">
        <v>430</v>
      </c>
    </row>
    <row r="25" spans="1:4" x14ac:dyDescent="0.35">
      <c r="A25" s="215" t="str">
        <f t="shared" ca="1" si="0"/>
        <v>Objetivos</v>
      </c>
      <c r="B25" s="283" t="s">
        <v>5</v>
      </c>
      <c r="C25" s="283" t="s">
        <v>431</v>
      </c>
      <c r="D25" s="283" t="s">
        <v>432</v>
      </c>
    </row>
    <row r="26" spans="1:4" x14ac:dyDescent="0.35">
      <c r="A26" s="215" t="str">
        <f t="shared" ca="1" si="0"/>
        <v>Número de objetivo</v>
      </c>
      <c r="B26" s="283" t="s">
        <v>14</v>
      </c>
      <c r="C26" s="289" t="s">
        <v>525</v>
      </c>
      <c r="D26" s="283" t="s">
        <v>526</v>
      </c>
    </row>
    <row r="27" spans="1:4" x14ac:dyDescent="0.35">
      <c r="A27" s="215" t="str">
        <f t="shared" ca="1" si="0"/>
        <v>Descripción de objetivos</v>
      </c>
      <c r="B27" s="283" t="s">
        <v>116</v>
      </c>
      <c r="C27" s="289" t="s">
        <v>527</v>
      </c>
      <c r="D27" s="283" t="s">
        <v>528</v>
      </c>
    </row>
    <row r="28" spans="1:4" x14ac:dyDescent="0.35">
      <c r="A28" s="215" t="str">
        <f t="shared" ca="1" si="0"/>
        <v>Módulos</v>
      </c>
      <c r="B28" s="283" t="s">
        <v>16</v>
      </c>
      <c r="C28" s="283" t="s">
        <v>16</v>
      </c>
      <c r="D28" s="283" t="s">
        <v>433</v>
      </c>
    </row>
    <row r="29" spans="1:4" x14ac:dyDescent="0.35">
      <c r="A29" s="215" t="str">
        <f t="shared" ca="1" si="0"/>
        <v>Número de módulo</v>
      </c>
      <c r="B29" s="296" t="s">
        <v>17</v>
      </c>
      <c r="C29" s="289" t="s">
        <v>529</v>
      </c>
      <c r="D29" s="283" t="s">
        <v>530</v>
      </c>
    </row>
    <row r="30" spans="1:4" x14ac:dyDescent="0.35">
      <c r="A30" s="215" t="str">
        <f t="shared" ca="1" si="0"/>
        <v>Nombre del módulo</v>
      </c>
      <c r="B30" s="283" t="s">
        <v>60</v>
      </c>
      <c r="C30" s="289" t="s">
        <v>531</v>
      </c>
      <c r="D30" s="283" t="s">
        <v>532</v>
      </c>
    </row>
    <row r="31" spans="1:4" x14ac:dyDescent="0.35">
      <c r="A31" s="215" t="str">
        <f t="shared" ca="1" si="0"/>
        <v>Solo se requiere si tiene Medidas de Seguimiento al Plan de Trabajo</v>
      </c>
      <c r="B31" s="283" t="s">
        <v>33</v>
      </c>
      <c r="C31" s="289" t="s">
        <v>533</v>
      </c>
      <c r="D31" s="283" t="s">
        <v>534</v>
      </c>
    </row>
    <row r="32" spans="1:4" x14ac:dyDescent="0.35">
      <c r="A32" s="215" t="str">
        <f t="shared" ca="1" si="0"/>
        <v>Número de intervención</v>
      </c>
      <c r="B32" s="283" t="s">
        <v>24</v>
      </c>
      <c r="C32" s="289" t="s">
        <v>535</v>
      </c>
      <c r="D32" s="283" t="s">
        <v>536</v>
      </c>
    </row>
    <row r="33" spans="1:4" x14ac:dyDescent="0.35">
      <c r="A33" s="215" t="str">
        <f t="shared" ca="1" si="0"/>
        <v xml:space="preserve">Intervención estándar </v>
      </c>
      <c r="B33" s="283" t="s">
        <v>80</v>
      </c>
      <c r="C33" s="283" t="s">
        <v>396</v>
      </c>
      <c r="D33" s="283" t="s">
        <v>397</v>
      </c>
    </row>
    <row r="34" spans="1:4" x14ac:dyDescent="0.35">
      <c r="A34" s="215" t="str">
        <f t="shared" ca="1" si="0"/>
        <v>Intervención personalizada (solo si selecciona "otras" intervenciones)</v>
      </c>
      <c r="B34" s="283" t="s">
        <v>203</v>
      </c>
      <c r="C34" s="289" t="s">
        <v>537</v>
      </c>
      <c r="D34" s="283" t="s">
        <v>538</v>
      </c>
    </row>
    <row r="35" spans="1:4" x14ac:dyDescent="0.35">
      <c r="A35" s="215" t="str">
        <f t="shared" ca="1" si="0"/>
        <v>Población</v>
      </c>
      <c r="B35" s="283" t="s">
        <v>279</v>
      </c>
      <c r="C35" s="283" t="s">
        <v>279</v>
      </c>
      <c r="D35" s="283" t="s">
        <v>539</v>
      </c>
    </row>
    <row r="36" spans="1:4" x14ac:dyDescent="0.35">
      <c r="A36" s="215" t="str">
        <f t="shared" ca="1" si="0"/>
        <v>Marco de desempeño - Indicadores de Impacto- Sección B</v>
      </c>
      <c r="B36" s="283" t="s">
        <v>36</v>
      </c>
      <c r="C36" s="283" t="s">
        <v>540</v>
      </c>
      <c r="D36" s="283" t="s">
        <v>541</v>
      </c>
    </row>
    <row r="37" spans="1:4" x14ac:dyDescent="0.35">
      <c r="A37" s="215" t="str">
        <f t="shared" ca="1" si="0"/>
        <v xml:space="preserve">Indicador de impacto número </v>
      </c>
      <c r="B37" s="283" t="s">
        <v>20</v>
      </c>
      <c r="C37" s="289" t="s">
        <v>542</v>
      </c>
      <c r="D37" s="283" t="s">
        <v>434</v>
      </c>
    </row>
    <row r="38" spans="1:4" x14ac:dyDescent="0.35">
      <c r="A38" s="215" t="str">
        <f t="shared" ca="1" si="0"/>
        <v xml:space="preserve">Indicador estándar </v>
      </c>
      <c r="B38" s="283" t="s">
        <v>61</v>
      </c>
      <c r="C38" s="283" t="s">
        <v>543</v>
      </c>
      <c r="D38" s="283" t="s">
        <v>495</v>
      </c>
    </row>
    <row r="39" spans="1:4" x14ac:dyDescent="0.35">
      <c r="A39" s="215" t="str">
        <f t="shared" ca="1" si="0"/>
        <v>Indicador personalizado</v>
      </c>
      <c r="B39" s="283" t="s">
        <v>10</v>
      </c>
      <c r="C39" s="283" t="s">
        <v>544</v>
      </c>
      <c r="D39" s="283" t="s">
        <v>403</v>
      </c>
    </row>
    <row r="40" spans="1:4" x14ac:dyDescent="0.35">
      <c r="A40" s="215" t="str">
        <f t="shared" ca="1" si="0"/>
        <v>Línea de base #N
Línea de base #D</v>
      </c>
      <c r="B40" s="283" t="s">
        <v>246</v>
      </c>
      <c r="C40" s="292" t="s">
        <v>545</v>
      </c>
      <c r="D40" s="286" t="s">
        <v>546</v>
      </c>
    </row>
    <row r="41" spans="1:4" x14ac:dyDescent="0.35">
      <c r="A41" s="215" t="str">
        <f t="shared" ca="1" si="0"/>
        <v>Línea de base %</v>
      </c>
      <c r="B41" s="283" t="s">
        <v>4</v>
      </c>
      <c r="C41" s="292" t="s">
        <v>398</v>
      </c>
      <c r="D41" s="286" t="s">
        <v>399</v>
      </c>
    </row>
    <row r="42" spans="1:4" x14ac:dyDescent="0.35">
      <c r="A42" s="215" t="str">
        <f t="shared" ca="1" si="0"/>
        <v>Línea de base año</v>
      </c>
      <c r="B42" s="283" t="s">
        <v>29</v>
      </c>
      <c r="C42" s="289" t="s">
        <v>435</v>
      </c>
      <c r="D42" s="283" t="s">
        <v>436</v>
      </c>
    </row>
    <row r="43" spans="1:4" x14ac:dyDescent="0.35">
      <c r="A43" s="215" t="str">
        <f t="shared" ca="1" si="0"/>
        <v>Línea de base año fuente</v>
      </c>
      <c r="B43" s="283" t="s">
        <v>18</v>
      </c>
      <c r="C43" s="289" t="s">
        <v>437</v>
      </c>
      <c r="D43" s="283" t="s">
        <v>438</v>
      </c>
    </row>
    <row r="44" spans="1:4" x14ac:dyDescent="0.35">
      <c r="A44" s="215" t="str">
        <f t="shared" ca="1" si="0"/>
        <v>Marco de desempeño  - Descripción General - Sección A</v>
      </c>
      <c r="B44" s="287" t="s">
        <v>35</v>
      </c>
      <c r="C44" s="297" t="s">
        <v>624</v>
      </c>
      <c r="D44" s="287" t="s">
        <v>500</v>
      </c>
    </row>
    <row r="45" spans="1:4" x14ac:dyDescent="0.35">
      <c r="A45" s="215" t="str">
        <f t="shared" ca="1" si="0"/>
        <v>Receptores principales</v>
      </c>
      <c r="B45" s="283" t="s">
        <v>408</v>
      </c>
      <c r="C45" s="283" t="s">
        <v>547</v>
      </c>
      <c r="D45" s="283" t="s">
        <v>395</v>
      </c>
    </row>
    <row r="46" spans="1:4" x14ac:dyDescent="0.35">
      <c r="A46" s="215" t="str">
        <f t="shared" ca="1" si="0"/>
        <v>Intervención</v>
      </c>
      <c r="B46" s="283" t="s">
        <v>32</v>
      </c>
      <c r="C46" s="283" t="s">
        <v>32</v>
      </c>
      <c r="D46" s="283" t="s">
        <v>409</v>
      </c>
    </row>
    <row r="47" spans="1:4" x14ac:dyDescent="0.35">
      <c r="A47" s="215" t="str">
        <f t="shared" ca="1" si="0"/>
        <v>Período de reporte</v>
      </c>
      <c r="B47" s="283" t="s">
        <v>410</v>
      </c>
      <c r="C47" s="289" t="s">
        <v>491</v>
      </c>
      <c r="D47" s="283" t="s">
        <v>515</v>
      </c>
    </row>
    <row r="48" spans="1:4" x14ac:dyDescent="0.35">
      <c r="A48" s="215" t="str">
        <f t="shared" ca="1" si="0"/>
        <v>Instrucciones</v>
      </c>
      <c r="B48" s="283" t="s">
        <v>304</v>
      </c>
      <c r="C48" s="283" t="s">
        <v>304</v>
      </c>
      <c r="D48" s="283" t="s">
        <v>548</v>
      </c>
    </row>
    <row r="49" spans="1:4" x14ac:dyDescent="0.35">
      <c r="A49" s="247" t="str">
        <f t="shared" ca="1" si="0"/>
        <v xml:space="preserve">Nuevo Receptor principal (utilice si la entidad nunca ha sido RP del Fondo Mundial o no aparece en la lista desplegable de las columnas anteriores) </v>
      </c>
      <c r="B49" s="283" t="s">
        <v>411</v>
      </c>
      <c r="C49" s="294" t="s">
        <v>549</v>
      </c>
      <c r="D49" s="283" t="s">
        <v>550</v>
      </c>
    </row>
    <row r="50" spans="1:4" x14ac:dyDescent="0.35">
      <c r="A50" s="247" t="str">
        <f t="shared" ca="1" si="0"/>
        <v>Solo se requiere si tiene Medidas de Seguimiento al Plan de Trabajo</v>
      </c>
      <c r="B50" s="283" t="s">
        <v>33</v>
      </c>
      <c r="C50" s="289" t="s">
        <v>533</v>
      </c>
      <c r="D50" s="283" t="s">
        <v>534</v>
      </c>
    </row>
    <row r="51" spans="1:4" x14ac:dyDescent="0.35">
      <c r="A51" s="247" t="str">
        <f t="shared" ca="1" si="0"/>
        <v>Desagregación requerida</v>
      </c>
      <c r="B51" s="285" t="s">
        <v>19</v>
      </c>
      <c r="C51" s="289" t="s">
        <v>551</v>
      </c>
      <c r="D51" s="283" t="s">
        <v>552</v>
      </c>
    </row>
    <row r="52" spans="1:4" x14ac:dyDescent="0.35">
      <c r="A52" s="247" t="str">
        <f t="shared" ca="1" si="0"/>
        <v>Receptor principal responsible</v>
      </c>
      <c r="B52" s="283" t="s">
        <v>188</v>
      </c>
      <c r="C52" s="283" t="s">
        <v>553</v>
      </c>
      <c r="D52" s="283" t="s">
        <v>554</v>
      </c>
    </row>
    <row r="53" spans="1:4" x14ac:dyDescent="0.35">
      <c r="A53" s="247" t="str">
        <f t="shared" ca="1" si="0"/>
        <v>País</v>
      </c>
      <c r="B53" s="283" t="s">
        <v>11</v>
      </c>
      <c r="C53" s="283" t="s">
        <v>405</v>
      </c>
      <c r="D53" s="283" t="s">
        <v>404</v>
      </c>
    </row>
    <row r="54" spans="1:4" x14ac:dyDescent="0.35">
      <c r="A54" s="247" t="str">
        <f t="shared" ca="1" si="0"/>
        <v>Meta N#</v>
      </c>
      <c r="B54" s="283" t="s">
        <v>412</v>
      </c>
      <c r="C54" s="283" t="s">
        <v>413</v>
      </c>
      <c r="D54" s="283" t="s">
        <v>414</v>
      </c>
    </row>
    <row r="55" spans="1:4" x14ac:dyDescent="0.35">
      <c r="A55" s="247" t="str">
        <f t="shared" ca="1" si="0"/>
        <v>Meta D#</v>
      </c>
      <c r="B55" s="283" t="s">
        <v>415</v>
      </c>
      <c r="C55" s="283" t="s">
        <v>416</v>
      </c>
      <c r="D55" s="283" t="s">
        <v>417</v>
      </c>
    </row>
    <row r="56" spans="1:4" x14ac:dyDescent="0.35">
      <c r="A56" s="247" t="str">
        <f t="shared" ca="1" si="0"/>
        <v>Fecha de envío del reporte</v>
      </c>
      <c r="B56" s="283" t="s">
        <v>26</v>
      </c>
      <c r="C56" s="289" t="s">
        <v>418</v>
      </c>
      <c r="D56" s="283" t="s">
        <v>555</v>
      </c>
    </row>
    <row r="57" spans="1:4" x14ac:dyDescent="0.35">
      <c r="A57" s="247" t="str">
        <f t="shared" ca="1" si="0"/>
        <v>Marque si la meta es "TBD"</v>
      </c>
      <c r="B57" s="283" t="s">
        <v>360</v>
      </c>
      <c r="C57" s="289" t="s">
        <v>484</v>
      </c>
      <c r="D57" s="283" t="s">
        <v>556</v>
      </c>
    </row>
    <row r="58" spans="1:4" x14ac:dyDescent="0.35">
      <c r="A58" s="247" t="str">
        <f t="shared" ca="1" si="0"/>
        <v>Comentarios</v>
      </c>
      <c r="B58" s="283" t="s">
        <v>9</v>
      </c>
      <c r="C58" s="283" t="s">
        <v>406</v>
      </c>
      <c r="D58" s="283" t="s">
        <v>407</v>
      </c>
    </row>
    <row r="59" spans="1:4" x14ac:dyDescent="0.35">
      <c r="A59" s="247" t="str">
        <f t="shared" ca="1" si="0"/>
        <v>Marco de desempeño - Indicadores de Resultado - Sección C</v>
      </c>
      <c r="B59" s="283" t="s">
        <v>306</v>
      </c>
      <c r="C59" s="283" t="s">
        <v>557</v>
      </c>
      <c r="D59" s="283" t="s">
        <v>558</v>
      </c>
    </row>
    <row r="60" spans="1:4" x14ac:dyDescent="0.35">
      <c r="A60" s="247" t="str">
        <f t="shared" ca="1" si="0"/>
        <v>Resultado</v>
      </c>
      <c r="B60" s="283" t="s">
        <v>268</v>
      </c>
      <c r="C60" s="283" t="s">
        <v>559</v>
      </c>
      <c r="D60" s="283" t="s">
        <v>560</v>
      </c>
    </row>
    <row r="61" spans="1:4" x14ac:dyDescent="0.35">
      <c r="A61" s="247" t="str">
        <f t="shared" ca="1" si="0"/>
        <v>Indicador</v>
      </c>
      <c r="B61" s="283" t="s">
        <v>419</v>
      </c>
      <c r="C61" s="283" t="s">
        <v>561</v>
      </c>
      <c r="D61" s="283" t="s">
        <v>562</v>
      </c>
    </row>
    <row r="62" spans="1:4" x14ac:dyDescent="0.35">
      <c r="A62" s="247" t="str">
        <f t="shared" ca="1" si="0"/>
        <v>Número</v>
      </c>
      <c r="B62" s="285" t="s">
        <v>257</v>
      </c>
      <c r="C62" s="283" t="s">
        <v>563</v>
      </c>
      <c r="D62" s="283" t="s">
        <v>564</v>
      </c>
    </row>
    <row r="63" spans="1:4" x14ac:dyDescent="0.35">
      <c r="A63" s="247" t="str">
        <f t="shared" ca="1" si="0"/>
        <v>Meta %</v>
      </c>
      <c r="B63" s="283" t="s">
        <v>8</v>
      </c>
      <c r="C63" s="283" t="s">
        <v>420</v>
      </c>
      <c r="D63" s="283" t="s">
        <v>421</v>
      </c>
    </row>
    <row r="64" spans="1:4" x14ac:dyDescent="0.35">
      <c r="A64" s="247" t="str">
        <f t="shared" ca="1" si="0"/>
        <v>Marco de desempeño - Indicadores de cobertura - Sección D</v>
      </c>
      <c r="B64" s="283" t="s">
        <v>128</v>
      </c>
      <c r="C64" s="283" t="s">
        <v>565</v>
      </c>
      <c r="D64" s="283" t="s">
        <v>566</v>
      </c>
    </row>
    <row r="65" spans="1:4" x14ac:dyDescent="0.35">
      <c r="A65" s="247" t="str">
        <f t="shared" ca="1" si="0"/>
        <v xml:space="preserve">Número del Indicador de cobertura </v>
      </c>
      <c r="B65" s="283" t="s">
        <v>25</v>
      </c>
      <c r="C65" s="283" t="s">
        <v>567</v>
      </c>
      <c r="D65" s="283" t="s">
        <v>568</v>
      </c>
    </row>
    <row r="66" spans="1:4" x14ac:dyDescent="0.35">
      <c r="A66" s="247" t="str">
        <f t="shared" ref="A66:A100" ca="1" si="1">OFFSET($B66,0,LangOffset,1,1)</f>
        <v>Incluir en resultados del FM</v>
      </c>
      <c r="B66" s="283" t="s">
        <v>316</v>
      </c>
      <c r="C66" s="289" t="s">
        <v>487</v>
      </c>
      <c r="D66" s="283" t="s">
        <v>569</v>
      </c>
    </row>
    <row r="67" spans="1:4" x14ac:dyDescent="0.35">
      <c r="A67" s="247" t="str">
        <f t="shared" ca="1" si="1"/>
        <v>País / Alcance de las metas</v>
      </c>
      <c r="B67" s="283" t="s">
        <v>361</v>
      </c>
      <c r="C67" s="289" t="s">
        <v>486</v>
      </c>
      <c r="D67" s="283" t="s">
        <v>570</v>
      </c>
    </row>
    <row r="68" spans="1:4" x14ac:dyDescent="0.35">
      <c r="A68" s="247" t="str">
        <f t="shared" ca="1" si="1"/>
        <v>Tipo de acumulación</v>
      </c>
      <c r="B68" s="283" t="s">
        <v>123</v>
      </c>
      <c r="C68" s="289" t="s">
        <v>485</v>
      </c>
      <c r="D68" s="283" t="s">
        <v>571</v>
      </c>
    </row>
    <row r="69" spans="1:4" x14ac:dyDescent="0.35">
      <c r="A69" s="247" t="str">
        <f t="shared" ca="1" si="1"/>
        <v>Marco de desempeño - Desagregación - Sección E</v>
      </c>
      <c r="B69" s="283" t="s">
        <v>129</v>
      </c>
      <c r="C69" s="283" t="s">
        <v>572</v>
      </c>
      <c r="D69" s="283" t="s">
        <v>573</v>
      </c>
    </row>
    <row r="70" spans="1:4" x14ac:dyDescent="0.35">
      <c r="A70" s="247" t="str">
        <f t="shared" ca="1" si="1"/>
        <v>Impacto</v>
      </c>
      <c r="B70" s="283" t="s">
        <v>267</v>
      </c>
      <c r="C70" s="283" t="s">
        <v>267</v>
      </c>
      <c r="D70" s="283" t="s">
        <v>574</v>
      </c>
    </row>
    <row r="71" spans="1:4" x14ac:dyDescent="0.35">
      <c r="A71" s="247" t="str">
        <f t="shared" ca="1" si="1"/>
        <v>Cobertura</v>
      </c>
      <c r="B71" s="283" t="s">
        <v>30</v>
      </c>
      <c r="C71" s="283" t="s">
        <v>496</v>
      </c>
      <c r="D71" s="283" t="s">
        <v>575</v>
      </c>
    </row>
    <row r="72" spans="1:4" x14ac:dyDescent="0.35">
      <c r="A72" s="247" t="str">
        <f t="shared" ca="1" si="1"/>
        <v>Desagregación del Indicador de impacto</v>
      </c>
      <c r="B72" s="283" t="s">
        <v>276</v>
      </c>
      <c r="C72" s="283" t="s">
        <v>576</v>
      </c>
      <c r="D72" s="283" t="s">
        <v>577</v>
      </c>
    </row>
    <row r="73" spans="1:4" x14ac:dyDescent="0.35">
      <c r="A73" s="247" t="str">
        <f t="shared" ca="1" si="1"/>
        <v>Nombre del indicador de impacto</v>
      </c>
      <c r="B73" s="283" t="s">
        <v>96</v>
      </c>
      <c r="C73" s="283" t="s">
        <v>578</v>
      </c>
      <c r="D73" s="283" t="s">
        <v>579</v>
      </c>
    </row>
    <row r="74" spans="1:4" x14ac:dyDescent="0.35">
      <c r="A74" s="247" t="str">
        <f t="shared" ca="1" si="1"/>
        <v>Categoría</v>
      </c>
      <c r="B74" s="283" t="s">
        <v>34</v>
      </c>
      <c r="C74" s="283" t="s">
        <v>422</v>
      </c>
      <c r="D74" s="283" t="s">
        <v>423</v>
      </c>
    </row>
    <row r="75" spans="1:4" x14ac:dyDescent="0.35">
      <c r="A75" s="247" t="str">
        <f t="shared" ca="1" si="1"/>
        <v>Desagregación</v>
      </c>
      <c r="B75" s="283" t="s">
        <v>27</v>
      </c>
      <c r="C75" s="289" t="s">
        <v>580</v>
      </c>
      <c r="D75" s="283" t="s">
        <v>581</v>
      </c>
    </row>
    <row r="76" spans="1:4" x14ac:dyDescent="0.35">
      <c r="A76" s="247" t="str">
        <f t="shared" ca="1" si="1"/>
        <v xml:space="preserve">Desagregación del indicador de resultados </v>
      </c>
      <c r="B76" s="283" t="s">
        <v>277</v>
      </c>
      <c r="C76" s="289" t="s">
        <v>582</v>
      </c>
      <c r="D76" s="283" t="s">
        <v>583</v>
      </c>
    </row>
    <row r="77" spans="1:4" x14ac:dyDescent="0.35">
      <c r="A77" s="247" t="str">
        <f t="shared" ca="1" si="1"/>
        <v>Número del indicador de resultado</v>
      </c>
      <c r="B77" s="283" t="s">
        <v>22</v>
      </c>
      <c r="C77" s="289" t="s">
        <v>584</v>
      </c>
      <c r="D77" s="283" t="s">
        <v>585</v>
      </c>
    </row>
    <row r="78" spans="1:4" x14ac:dyDescent="0.35">
      <c r="A78" s="247" t="str">
        <f t="shared" ca="1" si="1"/>
        <v xml:space="preserve">Resultados </v>
      </c>
      <c r="B78" s="283" t="s">
        <v>268</v>
      </c>
      <c r="C78" s="289" t="s">
        <v>559</v>
      </c>
      <c r="D78" s="283" t="s">
        <v>424</v>
      </c>
    </row>
    <row r="79" spans="1:4" x14ac:dyDescent="0.35">
      <c r="A79" s="247" t="str">
        <f t="shared" ca="1" si="1"/>
        <v>Nombre del indicador de resultado</v>
      </c>
      <c r="B79" s="283" t="s">
        <v>97</v>
      </c>
      <c r="C79" s="289" t="s">
        <v>586</v>
      </c>
      <c r="D79" s="283" t="s">
        <v>587</v>
      </c>
    </row>
    <row r="80" spans="1:4" x14ac:dyDescent="0.35">
      <c r="A80" s="247" t="str">
        <f t="shared" ca="1" si="1"/>
        <v>Desagregación del indicador de cobertura</v>
      </c>
      <c r="B80" s="283" t="s">
        <v>278</v>
      </c>
      <c r="C80" s="283" t="s">
        <v>588</v>
      </c>
      <c r="D80" s="283" t="s">
        <v>589</v>
      </c>
    </row>
    <row r="81" spans="1:4" x14ac:dyDescent="0.35">
      <c r="A81" s="247" t="str">
        <f t="shared" ca="1" si="1"/>
        <v>Número del indicador de cobertura</v>
      </c>
      <c r="B81" s="283" t="s">
        <v>25</v>
      </c>
      <c r="C81" s="293" t="s">
        <v>590</v>
      </c>
      <c r="D81" s="283" t="s">
        <v>591</v>
      </c>
    </row>
    <row r="82" spans="1:4" x14ac:dyDescent="0.35">
      <c r="A82" s="247" t="str">
        <f t="shared" ca="1" si="1"/>
        <v>Nombre del indicador de cobertura</v>
      </c>
      <c r="B82" s="283" t="s">
        <v>98</v>
      </c>
      <c r="C82" s="293" t="s">
        <v>592</v>
      </c>
      <c r="D82" s="283" t="s">
        <v>593</v>
      </c>
    </row>
    <row r="83" spans="1:4" x14ac:dyDescent="0.35">
      <c r="A83" s="247" t="str">
        <f t="shared" ca="1" si="1"/>
        <v>Marco de desempeño - MSPT - Sección E</v>
      </c>
      <c r="B83" s="283" t="s">
        <v>280</v>
      </c>
      <c r="C83" s="283" t="s">
        <v>594</v>
      </c>
      <c r="D83" s="283" t="s">
        <v>595</v>
      </c>
    </row>
    <row r="84" spans="1:4" x14ac:dyDescent="0.35">
      <c r="A84" s="247" t="str">
        <f t="shared" ca="1" si="1"/>
        <v xml:space="preserve">Número </v>
      </c>
      <c r="B84" s="295" t="s">
        <v>281</v>
      </c>
      <c r="C84" s="295" t="s">
        <v>563</v>
      </c>
      <c r="D84" s="283" t="s">
        <v>596</v>
      </c>
    </row>
    <row r="85" spans="1:4" x14ac:dyDescent="0.35">
      <c r="A85" s="247" t="str">
        <f t="shared" ca="1" si="1"/>
        <v>Actividad clave</v>
      </c>
      <c r="B85" s="283" t="s">
        <v>68</v>
      </c>
      <c r="C85" s="283" t="s">
        <v>597</v>
      </c>
      <c r="D85" s="283" t="s">
        <v>598</v>
      </c>
    </row>
    <row r="86" spans="1:4" x14ac:dyDescent="0.35">
      <c r="A86" s="247" t="str">
        <f t="shared" ca="1" si="1"/>
        <v>Hitos/ Descripción de la meta</v>
      </c>
      <c r="B86" s="283" t="s">
        <v>108</v>
      </c>
      <c r="C86" s="289" t="s">
        <v>599</v>
      </c>
      <c r="D86" s="283" t="s">
        <v>600</v>
      </c>
    </row>
    <row r="87" spans="1:4" x14ac:dyDescent="0.35">
      <c r="A87" s="247" t="str">
        <f t="shared" ca="1" si="1"/>
        <v>Criterios para la finalización</v>
      </c>
      <c r="B87" s="283" t="s">
        <v>376</v>
      </c>
      <c r="C87" s="283" t="s">
        <v>425</v>
      </c>
      <c r="D87" s="283" t="s">
        <v>601</v>
      </c>
    </row>
    <row r="88" spans="1:4" x14ac:dyDescent="0.35">
      <c r="A88" s="247" t="str">
        <f t="shared" ca="1" si="1"/>
        <v>Marco de desempeño</v>
      </c>
      <c r="B88" s="283" t="s">
        <v>130</v>
      </c>
      <c r="C88" s="283" t="s">
        <v>426</v>
      </c>
      <c r="D88" s="283" t="s">
        <v>427</v>
      </c>
    </row>
    <row r="89" spans="1:4" x14ac:dyDescent="0.35">
      <c r="A89" s="247" t="str">
        <f t="shared" ca="1" si="1"/>
        <v>Frecuencia del período de reporte programático</v>
      </c>
      <c r="B89" s="283" t="s">
        <v>122</v>
      </c>
      <c r="C89" s="289" t="s">
        <v>602</v>
      </c>
      <c r="D89" s="283" t="s">
        <v>503</v>
      </c>
    </row>
    <row r="90" spans="1:4" x14ac:dyDescent="0.35">
      <c r="A90" s="247" t="str">
        <f t="shared" ca="1" si="1"/>
        <v>Indicadores de impacto</v>
      </c>
      <c r="B90" s="283" t="s">
        <v>15</v>
      </c>
      <c r="C90" s="283" t="s">
        <v>497</v>
      </c>
      <c r="D90" s="283" t="s">
        <v>603</v>
      </c>
    </row>
    <row r="91" spans="1:4" x14ac:dyDescent="0.35">
      <c r="A91" s="247" t="str">
        <f t="shared" ca="1" si="1"/>
        <v>No.</v>
      </c>
      <c r="B91" s="283" t="s">
        <v>131</v>
      </c>
      <c r="C91" s="283" t="s">
        <v>131</v>
      </c>
      <c r="D91" s="283" t="s">
        <v>131</v>
      </c>
    </row>
    <row r="92" spans="1:4" x14ac:dyDescent="0.35">
      <c r="A92" s="247" t="str">
        <f t="shared" ca="1" si="1"/>
        <v>Indicador de impacto personalizado</v>
      </c>
      <c r="B92" s="283" t="s">
        <v>144</v>
      </c>
      <c r="C92" s="283" t="s">
        <v>604</v>
      </c>
      <c r="D92" s="283" t="s">
        <v>605</v>
      </c>
    </row>
    <row r="93" spans="1:4" x14ac:dyDescent="0.35">
      <c r="A93" s="247" t="str">
        <f t="shared" ca="1" si="1"/>
        <v>Valor de línea de base</v>
      </c>
      <c r="B93" s="283" t="s">
        <v>28</v>
      </c>
      <c r="C93" s="289" t="s">
        <v>606</v>
      </c>
      <c r="D93" s="283" t="s">
        <v>607</v>
      </c>
    </row>
    <row r="94" spans="1:4" x14ac:dyDescent="0.35">
      <c r="A94" s="247" t="str">
        <f t="shared" ca="1" si="1"/>
        <v>Año y fuente de la línea de base</v>
      </c>
      <c r="B94" s="283" t="s">
        <v>372</v>
      </c>
      <c r="C94" s="289" t="s">
        <v>608</v>
      </c>
      <c r="D94" s="283" t="s">
        <v>609</v>
      </c>
    </row>
    <row r="95" spans="1:4" x14ac:dyDescent="0.35">
      <c r="A95" s="247" t="str">
        <f t="shared" ca="1" si="1"/>
        <v>Valor de la meta</v>
      </c>
      <c r="B95" s="283" t="s">
        <v>373</v>
      </c>
      <c r="C95" s="283" t="s">
        <v>610</v>
      </c>
      <c r="D95" s="283" t="s">
        <v>611</v>
      </c>
    </row>
    <row r="96" spans="1:4" x14ac:dyDescent="0.35">
      <c r="A96" s="247" t="str">
        <f t="shared" ca="1" si="1"/>
        <v xml:space="preserve">Indicadores de resultados </v>
      </c>
      <c r="B96" s="283" t="s">
        <v>21</v>
      </c>
      <c r="C96" s="283" t="s">
        <v>612</v>
      </c>
      <c r="D96" s="283" t="s">
        <v>613</v>
      </c>
    </row>
    <row r="97" spans="1:4" x14ac:dyDescent="0.35">
      <c r="A97" s="247" t="str">
        <f t="shared" ca="1" si="1"/>
        <v>Indicadores de cobertura</v>
      </c>
      <c r="B97" s="283" t="s">
        <v>23</v>
      </c>
      <c r="C97" s="283" t="s">
        <v>614</v>
      </c>
      <c r="D97" s="283" t="s">
        <v>615</v>
      </c>
    </row>
    <row r="98" spans="1:4" x14ac:dyDescent="0.35">
      <c r="A98" s="247" t="str">
        <f t="shared" ca="1" si="1"/>
        <v>Medidas de seguimiento al plan de trabajo</v>
      </c>
      <c r="B98" s="283" t="s">
        <v>214</v>
      </c>
      <c r="C98" s="289" t="s">
        <v>616</v>
      </c>
      <c r="D98" s="283" t="s">
        <v>617</v>
      </c>
    </row>
    <row r="99" spans="1:4" x14ac:dyDescent="0.35">
      <c r="A99" s="247" t="str">
        <f t="shared" ca="1" si="1"/>
        <v>Hitos</v>
      </c>
      <c r="B99" s="283" t="s">
        <v>375</v>
      </c>
      <c r="C99" s="289" t="s">
        <v>618</v>
      </c>
      <c r="D99" s="283" t="s">
        <v>619</v>
      </c>
    </row>
    <row r="100" spans="1:4" x14ac:dyDescent="0.35">
      <c r="A100" s="247" t="str">
        <f t="shared" ca="1" si="1"/>
        <v>Fechas</v>
      </c>
      <c r="B100" s="283" t="s">
        <v>374</v>
      </c>
      <c r="C100" s="283" t="s">
        <v>374</v>
      </c>
      <c r="D100" s="283" t="s">
        <v>620</v>
      </c>
    </row>
    <row r="101" spans="1:4" x14ac:dyDescent="0.35">
      <c r="A101" s="253" t="str">
        <f ca="1">OFFSET($B101,0,LangOffset,1,1)</f>
        <v>Sí</v>
      </c>
      <c r="B101" s="283" t="s">
        <v>439</v>
      </c>
      <c r="C101" s="283" t="s">
        <v>440</v>
      </c>
      <c r="D101" s="288" t="s">
        <v>441</v>
      </c>
    </row>
    <row r="102" spans="1:4" x14ac:dyDescent="0.35">
      <c r="A102" s="253" t="str">
        <f ca="1">OFFSET($B102,0,LangOffset,1,1)</f>
        <v>No</v>
      </c>
      <c r="B102" s="283" t="s">
        <v>281</v>
      </c>
      <c r="C102" s="283" t="s">
        <v>442</v>
      </c>
      <c r="D102" s="283" t="s">
        <v>281</v>
      </c>
    </row>
    <row r="103" spans="1:4" x14ac:dyDescent="0.35">
      <c r="A103" s="253" t="str">
        <f ca="1">OFFSET($B103,0,LangOffset,1,1)</f>
        <v>No aplicable</v>
      </c>
      <c r="B103" s="253" t="s">
        <v>367</v>
      </c>
      <c r="C103" s="253" t="s">
        <v>498</v>
      </c>
      <c r="D103" s="248" t="s">
        <v>979</v>
      </c>
    </row>
    <row r="104" spans="1:4" ht="17.5" x14ac:dyDescent="0.35">
      <c r="A104" s="253" t="str">
        <f ca="1">OFFSET($B104,0,LangOffset,1,1)</f>
        <v>Indicador de cobertura</v>
      </c>
      <c r="B104" s="290" t="s">
        <v>992</v>
      </c>
      <c r="C104" s="429" t="s">
        <v>994</v>
      </c>
      <c r="D104" s="429" t="s">
        <v>993</v>
      </c>
    </row>
    <row r="105" spans="1:4" x14ac:dyDescent="0.35">
      <c r="B105" s="248"/>
      <c r="C105" s="248"/>
      <c r="D105" s="248"/>
    </row>
    <row r="106" spans="1:4" x14ac:dyDescent="0.35">
      <c r="B106" s="248"/>
      <c r="C106" s="248"/>
      <c r="D106" s="248"/>
    </row>
    <row r="107" spans="1:4" x14ac:dyDescent="0.35">
      <c r="B107" s="248"/>
      <c r="C107" s="248"/>
      <c r="D107" s="248"/>
    </row>
    <row r="108" spans="1:4" x14ac:dyDescent="0.35">
      <c r="B108" s="248"/>
      <c r="C108" s="248"/>
      <c r="D108" s="248"/>
    </row>
    <row r="109" spans="1:4" x14ac:dyDescent="0.35">
      <c r="B109" s="248"/>
      <c r="C109" s="248"/>
      <c r="D109" s="248"/>
    </row>
    <row r="110" spans="1:4" x14ac:dyDescent="0.35">
      <c r="B110" s="248"/>
      <c r="C110" s="248"/>
      <c r="D110" s="248"/>
    </row>
    <row r="111" spans="1:4" x14ac:dyDescent="0.35">
      <c r="B111" s="248"/>
      <c r="C111" s="248"/>
      <c r="D111" s="248"/>
    </row>
    <row r="112" spans="1:4" x14ac:dyDescent="0.35">
      <c r="B112" s="248"/>
      <c r="C112" s="248"/>
      <c r="D112" s="248"/>
    </row>
    <row r="113" spans="2:4" x14ac:dyDescent="0.35">
      <c r="B113" s="248"/>
      <c r="C113" s="248"/>
      <c r="D113" s="248"/>
    </row>
    <row r="114" spans="2:4" x14ac:dyDescent="0.35">
      <c r="B114" s="248"/>
      <c r="C114" s="248"/>
      <c r="D114" s="248"/>
    </row>
    <row r="115" spans="2:4" x14ac:dyDescent="0.35">
      <c r="B115" s="248"/>
      <c r="C115" s="248"/>
      <c r="D115" s="248"/>
    </row>
    <row r="116" spans="2:4" x14ac:dyDescent="0.35">
      <c r="B116" s="248"/>
      <c r="C116" s="248"/>
      <c r="D116" s="248"/>
    </row>
    <row r="117" spans="2:4" x14ac:dyDescent="0.35">
      <c r="B117" s="248"/>
      <c r="C117" s="248"/>
      <c r="D117" s="248"/>
    </row>
    <row r="118" spans="2:4" x14ac:dyDescent="0.35">
      <c r="B118" s="248"/>
      <c r="C118" s="248"/>
      <c r="D118" s="248"/>
    </row>
    <row r="119" spans="2:4" x14ac:dyDescent="0.35">
      <c r="B119" s="248"/>
      <c r="C119" s="248"/>
      <c r="D119" s="248"/>
    </row>
    <row r="120" spans="2:4" x14ac:dyDescent="0.35">
      <c r="B120" s="248"/>
      <c r="C120" s="248"/>
      <c r="D120" s="248"/>
    </row>
    <row r="121" spans="2:4" x14ac:dyDescent="0.35">
      <c r="B121" s="248"/>
      <c r="C121" s="248"/>
      <c r="D121" s="248"/>
    </row>
    <row r="122" spans="2:4" x14ac:dyDescent="0.35">
      <c r="B122" s="248"/>
      <c r="C122" s="248"/>
      <c r="D122" s="248"/>
    </row>
    <row r="123" spans="2:4" x14ac:dyDescent="0.35">
      <c r="B123" s="248"/>
      <c r="C123" s="248"/>
      <c r="D123" s="248"/>
    </row>
    <row r="124" spans="2:4" x14ac:dyDescent="0.35">
      <c r="B124" s="248"/>
      <c r="C124" s="248"/>
      <c r="D124" s="248"/>
    </row>
    <row r="125" spans="2:4" x14ac:dyDescent="0.35">
      <c r="B125" s="248"/>
      <c r="C125" s="248"/>
      <c r="D125" s="248"/>
    </row>
    <row r="126" spans="2:4" x14ac:dyDescent="0.35">
      <c r="B126" s="248"/>
      <c r="C126" s="248"/>
      <c r="D126" s="248"/>
    </row>
    <row r="127" spans="2:4" x14ac:dyDescent="0.35">
      <c r="B127" s="248"/>
      <c r="C127" s="248"/>
      <c r="D127" s="248"/>
    </row>
    <row r="128" spans="2:4" x14ac:dyDescent="0.35">
      <c r="B128" s="248"/>
      <c r="C128" s="248"/>
      <c r="D128" s="248"/>
    </row>
    <row r="129" spans="2:4" x14ac:dyDescent="0.35">
      <c r="B129" s="248"/>
      <c r="C129" s="248"/>
      <c r="D129" s="248"/>
    </row>
    <row r="130" spans="2:4" x14ac:dyDescent="0.35">
      <c r="B130" s="248"/>
      <c r="C130" s="248"/>
      <c r="D130" s="248"/>
    </row>
    <row r="131" spans="2:4" x14ac:dyDescent="0.35">
      <c r="B131" s="248"/>
      <c r="C131" s="248"/>
      <c r="D131" s="248"/>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rant_x0020_Name xmlns="b6b58658-cf51-45a5-9406-e05621d8269c" xsi:nil="true"/>
    <_dlc_DocId xmlns="fa473315-44a4-4518-8a4f-31f7017f3642">2THV4EY2EXKK-1337058940-3826</_dlc_DocId>
    <_dlc_DocIdUrl xmlns="fa473315-44a4-4518-8a4f-31f7017f3642">
      <Url>https://tgf.sharepoint.com/sites/TSGMT3/SLV3/_layouts/15/DocIdRedir.aspx?ID=2THV4EY2EXKK-1337058940-3826</Url>
      <Description>2THV4EY2EXKK-1337058940-3826</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68B24FD80E188845818117EF73F6F3FA" ma:contentTypeVersion="123" ma:contentTypeDescription="A work in progress document. &#10;Retention period upon archiving: 0 years." ma:contentTypeScope="" ma:versionID="fe3d1275cb9f5a993f911bcef4f4ff70">
  <xsd:schema xmlns:xsd="http://www.w3.org/2001/XMLSchema" xmlns:xs="http://www.w3.org/2001/XMLSchema" xmlns:p="http://schemas.microsoft.com/office/2006/metadata/properties" xmlns:ns2="b6b58658-cf51-45a5-9406-e05621d8269c" xmlns:ns3="fa473315-44a4-4518-8a4f-31f7017f3642" targetNamespace="http://schemas.microsoft.com/office/2006/metadata/properties" ma:root="true" ma:fieldsID="0ce760a3f722fc0ace1795564812482e" ns2:_="" ns3:_="">
    <xsd:import namespace="b6b58658-cf51-45a5-9406-e05621d8269c"/>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b58658-cf51-45a5-9406-e05621d8269c"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097f1e6-5941-48e7-ac45-8c5509127d4f" ContentTypeId="0x01010014768F94803F42BEA62C5B7969543DC7" PreviousValue="false"/>
</file>

<file path=customXml/itemProps1.xml><?xml version="1.0" encoding="utf-8"?>
<ds:datastoreItem xmlns:ds="http://schemas.openxmlformats.org/officeDocument/2006/customXml" ds:itemID="{EF0E3514-06F1-4F28-BDF5-EBC9C61105BB}">
  <ds:schemaRefs>
    <ds:schemaRef ds:uri="http://schemas.microsoft.com/sharepoint/events"/>
  </ds:schemaRefs>
</ds:datastoreItem>
</file>

<file path=customXml/itemProps2.xml><?xml version="1.0" encoding="utf-8"?>
<ds:datastoreItem xmlns:ds="http://schemas.openxmlformats.org/officeDocument/2006/customXml" ds:itemID="{8177998D-F03D-4D1F-8F43-31D99C823764}">
  <ds:schemaRefs>
    <ds:schemaRef ds:uri="http://schemas.microsoft.com/sharepoint/v3/contenttype/forms"/>
  </ds:schemaRefs>
</ds:datastoreItem>
</file>

<file path=customXml/itemProps3.xml><?xml version="1.0" encoding="utf-8"?>
<ds:datastoreItem xmlns:ds="http://schemas.openxmlformats.org/officeDocument/2006/customXml" ds:itemID="{1C7A64B6-C504-4C3F-8EAD-043444075503}">
  <ds:schemaRefs>
    <ds:schemaRef ds:uri="http://purl.org/dc/elements/1.1/"/>
    <ds:schemaRef ds:uri="b6b58658-cf51-45a5-9406-e05621d8269c"/>
    <ds:schemaRef ds:uri="http://schemas.openxmlformats.org/package/2006/metadata/core-properties"/>
    <ds:schemaRef ds:uri="http://schemas.microsoft.com/office/infopath/2007/PartnerControls"/>
    <ds:schemaRef ds:uri="http://purl.org/dc/terms/"/>
    <ds:schemaRef ds:uri="fa473315-44a4-4518-8a4f-31f7017f3642"/>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E000E169-B783-4412-A6C7-09B31A123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b58658-cf51-45a5-9406-e05621d8269c"/>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6ADD8B9-78AA-4FFA-B259-D043B660BFC6}">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607</vt:i4>
      </vt:variant>
    </vt:vector>
  </HeadingPairs>
  <TitlesOfParts>
    <vt:vector size="615" baseType="lpstr">
      <vt:lpstr>Instructions-ES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_009096bb_77c7_47e9_ab78_bac00c84b439</vt:lpstr>
      <vt:lpstr>_014af77a_8bcb_4d0c_beeb_a3d72f1332b5</vt:lpstr>
      <vt:lpstr>_01bfc0ce_3a93_4136_98df_2e5ab51007c4</vt:lpstr>
      <vt:lpstr>_01cccfef_5573_4d36_b9d3_e32bd9199c70</vt:lpstr>
      <vt:lpstr>_0215c642_4079_4a66_b33f_02948e5b161c</vt:lpstr>
      <vt:lpstr>_02305739_ec80_4503_b191_2e272f7ad158</vt:lpstr>
      <vt:lpstr>_0278b5de_0da4_4498_a134_99a2744a9fab</vt:lpstr>
      <vt:lpstr>_033fcd6d_adce_4700_8852_ca583a6bef6b</vt:lpstr>
      <vt:lpstr>_041a39b4_8ff8_4bdd_bc99_4f008e44b010</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_0a25a90c_3219_438f_af02_7dbbd6432e17</vt:lpstr>
      <vt:lpstr>_0b061e63_2d62_4e7f_be44_4eac7747625a</vt:lpstr>
      <vt:lpstr>_0ba5fba9_1998_4ded_9b12_f967fc1c76dc</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_0f6dd035_5a2a_4fb8_9c03_136130f7ba45</vt:lpstr>
      <vt:lpstr>_10373643_8727_4ea7_b41d_1b5ebdd41ba4</vt:lpstr>
      <vt:lpstr>_1121e55d_6d32_4888_b652_ac9583a82d46</vt:lpstr>
      <vt:lpstr>_1279d174_765e_40f7_9774_a1502cee1084</vt:lpstr>
      <vt:lpstr>_13f5bbc3_a06d_4a3e_b75e_ac6929e1cb91</vt:lpstr>
      <vt:lpstr>_13f7ccf9_e83b_492d_b75e_505ddf064a0d</vt:lpstr>
      <vt:lpstr>_144bb8c4_0b16_4558_9e0b_bfebb0a9604a</vt:lpstr>
      <vt:lpstr>_14a567c8_d8f6_4162_9aa0_c1538b8740a0</vt:lpstr>
      <vt:lpstr>_164e6d09_185f_4eb7_8d48_b40f818dce2a</vt:lpstr>
      <vt:lpstr>_181f0491_3526_4056_a1b6_cc19485d3206</vt:lpstr>
      <vt:lpstr>_185f9a59_e3dc_4a86_b1fd_a4a300de92e9</vt:lpstr>
      <vt:lpstr>_18fcd6ea_974c_4b82_9069_cd9097340c65</vt:lpstr>
      <vt:lpstr>_1955075b_5332_4022_9e1d_d8310266160b</vt:lpstr>
      <vt:lpstr>_195784db_c268_4c63_8483_153347963bf4</vt:lpstr>
      <vt:lpstr>_1973a1fe_f6bd_4298_a9ef_0f4352e0ed5c</vt:lpstr>
      <vt:lpstr>_198b5a5f_0f03_476f_accf_4c39afec46de</vt:lpstr>
      <vt:lpstr>_1a080622_0d74_49cf_97f9_4810bf8030df</vt:lpstr>
      <vt:lpstr>_1a5b1cfb_0aff_4bfb_a8cf_305d6cff91c4</vt:lpstr>
      <vt:lpstr>_1a724e84_de47_4d84_99f6_1ebe05a5198e</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_234097fa_7af3_40a6_9a0b_c63fe2b310fb</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_26871ad2_5643_4577_a42a_cef86a91d97d</vt:lpstr>
      <vt:lpstr>_269ad186_a2a4_4f46_8ca7_07cb583e612e</vt:lpstr>
      <vt:lpstr>_27c6dfb2_6e2c_4519_aff6_82afcaea4b81</vt:lpstr>
      <vt:lpstr>_29114823_71c7_429d_a280_da9290ae2726</vt:lpstr>
      <vt:lpstr>_29485cc3_b6f0_4699_8a0a_9b1b9b557d0a</vt:lpstr>
      <vt:lpstr>_295f3441_adc3_4dc5_8a9e_67266d697395</vt:lpstr>
      <vt:lpstr>_29cebab7_2d83_4f3c_9514_8297fc24a341</vt:lpstr>
      <vt:lpstr>_29dc2e64_1893_44f6_9dcf_87e619efff18</vt:lpstr>
      <vt:lpstr>_29de1210_4fea_46a8_ac63_eb3a3734b209</vt:lpstr>
      <vt:lpstr>_2aadba24_f284_4106_939e_021fa73526f3</vt:lpstr>
      <vt:lpstr>_2ab1dfcf_a207_4488_9778_05865ff67402</vt:lpstr>
      <vt:lpstr>_2b6b996f_cb14_4a6f_a9d2_340471f8299f</vt:lpstr>
      <vt:lpstr>_2bad41a3_d2d5_4a30_a026_b211ed401ae9</vt:lpstr>
      <vt:lpstr>_2c6b8785_2f7e_4ce5_948e_2066c6838182</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_31abdfc0_7b3f_4421_9bb3_3010b64c33c6</vt:lpstr>
      <vt:lpstr>_31d120e8_a153_4549_b61b_13f625c541fd</vt:lpstr>
      <vt:lpstr>_31e1e97a_f8b3_42a3_9dba_54263b984934</vt:lpstr>
      <vt:lpstr>_33898a8c_e55b_4fb6_a523_fc8d172930cd</vt:lpstr>
      <vt:lpstr>_33f94c69_7ad0_42e4_ae97_cd43ab2f6fb1</vt:lpstr>
      <vt:lpstr>_345d0d9b_6a28_4efe_b573_e24f2d2c320a</vt:lpstr>
      <vt:lpstr>_3599e6a2_76d5_4a3e_b94f_263ea328a754</vt:lpstr>
      <vt:lpstr>_35a3a7c3_ebbd_4b4d_a304_0699e84940ff</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_38de050d_86ee_49c2_9fbb_229243dfc39c</vt:lpstr>
      <vt:lpstr>_3a54c0cb_5d61_44ab_9f5f_59c0b83c7017</vt:lpstr>
      <vt:lpstr>_3a87c5f7_0769_4a3a_a3e3_82a4b0341068</vt:lpstr>
      <vt:lpstr>_3aa3a9d7_516a_4076_842d_45635c693b16</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_3e75799f_c328_461d_aa21_8f9a9eab5513</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_4168f68f_65b0_4ea5_bc1b_2714af57d8d9</vt:lpstr>
      <vt:lpstr>_423d3c20_41cf_4997_a293_9b1150fb8eaa</vt:lpstr>
      <vt:lpstr>_425b05fb_599f_421c_ad67_1b45a511d0c0</vt:lpstr>
      <vt:lpstr>_4266c6da_54ca_4a1a_a567_1b51c0445aba</vt:lpstr>
      <vt:lpstr>_42a2ef20_7507_4137_ae83_1c4ed24d9bd9</vt:lpstr>
      <vt:lpstr>_42d7fb51_4e33_4fc0_b034_1c2d76e20fd5</vt:lpstr>
      <vt:lpstr>_450947d9_3973_46bc_ab14_5dab8bf5c8fb</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_4ae48ad8_e1d2_4fe8_923d_d826a0a6db3d</vt:lpstr>
      <vt:lpstr>_4af41944_42f7_4e99_8627_878d677a4e30</vt:lpstr>
      <vt:lpstr>_4b36df75_ea3b_4116_b8ac_4a66abe762ad</vt:lpstr>
      <vt:lpstr>_4c42d79f_dbe5_4149_82f9_e7c685dd6770</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_556ddeb1_283d_4119_8033_220d00837221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_5ab6d726_9fce_48bb_aa46_4986e5a2e80e</vt:lpstr>
      <vt:lpstr>_5b7858ba_c7ed_4c9b_bc1f_4266d944d694</vt:lpstr>
      <vt:lpstr>_5bfda244_8ccf_4224_a2ea_9a3800784bec</vt:lpstr>
      <vt:lpstr>_5c348667_29c7_4f46_8bdf_9340e7ffe341</vt:lpstr>
      <vt:lpstr>_5c482c04_4e59_4d71_9f75_de3d9d16970b</vt:lpstr>
      <vt:lpstr>_5ca483d4_a607_464c_bfdb_b77cba9ec0a9</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_5e92d889_8ba8_4c5a_940f_5b9f94b6e30a</vt:lpstr>
      <vt:lpstr>_5fd64279_1bd2_488c_9e62_4053f45567f5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_6455b8f3_a4e7_439d_8059_19ecc4f1f876</vt:lpstr>
      <vt:lpstr>_64b80052_1148_4ad0_a719_2605a229a5dd</vt:lpstr>
      <vt:lpstr>_651c1cff_29dc_4f61_8994_ff4aa592187f</vt:lpstr>
      <vt:lpstr>_654bca83_10b5_4fb3_962f_80e82dfc63ce</vt:lpstr>
      <vt:lpstr>_65c26b5a_0465_48fc_a362_f2e87b3413d9</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_7111a6af_994e_4c8e_91da_0cd71318b438</vt:lpstr>
      <vt:lpstr>_7210282b_6d37_40e9_9208_b22105dfdb45</vt:lpstr>
      <vt:lpstr>_7318b74f_0f66_4a96_9490_a6e530953ede</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_77c0e58c_063b_4191_abfd_5b535878c189</vt:lpstr>
      <vt:lpstr>_78b9de5e_0b4f_481c_a62c_142b52c36488</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_7e97bb3f_85c0_4041_8e33_f4dfd9b2bd63</vt:lpstr>
      <vt:lpstr>_7e99718f_b927_43f8_a72d_f5933e7780ca</vt:lpstr>
      <vt:lpstr>_7ea43aa2_3fad_4650_821c_ea2dc5b2b6d6</vt:lpstr>
      <vt:lpstr>_7ed2ad39_d4a3_43ed_a915_8a79ae9d08a6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_84d9d01d_791d_4814_96ca_cef45a6abd3a</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_8a518e78_c2e7_4107_86f8_cda6bfbbe864</vt:lpstr>
      <vt:lpstr>_8a9ff9a8_7b42_4a34_a7bb_8f85ce3a36e0</vt:lpstr>
      <vt:lpstr>_8aa2c9e8_97d3_45b0_9755_0e8c5c3f294b</vt:lpstr>
      <vt:lpstr>_8aa4cf9f_eda6_4444_a907_3c8c602dbf88</vt:lpstr>
      <vt:lpstr>_8c12beea_ae57_4cdc_a86e_9bbd3bae88f2</vt:lpstr>
      <vt:lpstr>_8c83dafc_06c9_46d5_82dd_2edc4cdd71ef</vt:lpstr>
      <vt:lpstr>_8c97b788_a56a_4fd4_ab1d_553fdacd56ee</vt:lpstr>
      <vt:lpstr>_8d086166_aaa3_4eec_872e_985dceb20c48</vt:lpstr>
      <vt:lpstr>_8d18a379_8755_4412_801e_3a24e67a6467</vt:lpstr>
      <vt:lpstr>_8dbce8a5_0984_44b3_b1a6_cf993b957b30</vt:lpstr>
      <vt:lpstr>_8f098222_d066_4a46_afe4_a2860f259340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_95c01be7_c627_4449_a788_13be67006d54</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_9a822c43_2840_4d32_8d2c_f62815eccb99</vt:lpstr>
      <vt:lpstr>_9a975b68_4a25_421c_bf56_ce3e9602ca12</vt:lpstr>
      <vt:lpstr>_9c766a82_9c33_4b1d_9f4c_76c2bcf6e551</vt:lpstr>
      <vt:lpstr>_9c8612d6_cb9f_4fcd_b707_4fdfc8d07b47</vt:lpstr>
      <vt:lpstr>_9cbfedb3_84f3_41cb_bf05_f57356c30d3b</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_a4e3ee83_9e06_474b_907f_71086c0c2985</vt:lpstr>
      <vt:lpstr>_a4f8ca5a_c29b_4e8a_b75c_6e98ee1c35c5</vt:lpstr>
      <vt:lpstr>_a561960e_2837_4ef6_9fb3_06bd14045f9f</vt:lpstr>
      <vt:lpstr>_a56e44bf_ca89_4206_8199_57e3e8408cd6</vt:lpstr>
      <vt:lpstr>_a5dfcb7f_e430_4fb5_9b5b_e22c4b6ca98e</vt:lpstr>
      <vt:lpstr>_a7712b00_96b7_482b_952c_492d2f0b2fc2</vt:lpstr>
      <vt:lpstr>_a7b11238_9f6e_4351_921e_572fe001503d</vt:lpstr>
      <vt:lpstr>_a7c4333b_5ea5_49df_97fa_fe1307e6522f</vt:lpstr>
      <vt:lpstr>_a80237bb_7952_4c04_9a7a_1cdad38cbd16</vt:lpstr>
      <vt:lpstr>_a8f46077_3c03_49ff_b812_2b8ac08cae66</vt:lpstr>
      <vt:lpstr>_aa924ff3_7862_4e6d_9948_5a270e34c8a1</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_b38bd4f0_1352_4868_a619_3a6c9defba4d</vt:lpstr>
      <vt:lpstr>_b50509cf_996c_4fbc_99d9_4d166ae6823c</vt:lpstr>
      <vt:lpstr>_b517363e_a660_4f5c_8200_ca9f715b3954</vt:lpstr>
      <vt:lpstr>_b5821112_3c0f_46ea_8691_81e5396982ed</vt:lpstr>
      <vt:lpstr>_b5e8f7c0_1f6c_4f34_9e09_d35ca3f3eb39</vt:lpstr>
      <vt:lpstr>_b5f2092b_488a_4789_9fbe_8833441f7329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_ba0267ad_21bf_4c68_8330_e529db295d81</vt:lpstr>
      <vt:lpstr>_ba047ad1_b51f_49a2_b3c8_be30d392985a</vt:lpstr>
      <vt:lpstr>_ba186ca8_9498_4c8b_870e_5c94facff255</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_c0adc2e9_f3e8_47e3_ab9a_3b0590b08e3b</vt:lpstr>
      <vt:lpstr>_c0c1183c_d263_4027_b93d_dd5bf32aa5a0</vt:lpstr>
      <vt:lpstr>_c0eb8ac6_1c46_4f57_b21f_9a8652dcb01f</vt:lpstr>
      <vt:lpstr>_c169a647_ad7f_4a68_9402_5984b64252f0</vt:lpstr>
      <vt:lpstr>_c1e3d9da_0aa8_4938_92fd_28ad968bd219</vt:lpstr>
      <vt:lpstr>_c27248fe_f16e_4b61_a04b_ff479754f280</vt:lpstr>
      <vt:lpstr>_c2ce4f6c_2a30_403e_b675_be582ab6f618</vt:lpstr>
      <vt:lpstr>_c2d8fcc6_db4c_4b6b_92f6_d573ed2a5c90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_c8d512d8_6c8d_45f3_ade0_c3987af540b2</vt:lpstr>
      <vt:lpstr>_c904cc72_9432_420c_93d8_3f5f3946db88</vt:lpstr>
      <vt:lpstr>_c92aee90_9ab7_4c5b_90be_8f181e56b287</vt:lpstr>
      <vt:lpstr>_c9967ba7_c4a7_4678_af94_bd3ef0f6e3f4</vt:lpstr>
      <vt:lpstr>_c9d716d6_9c15_4e1f_ac60_1e26110a756c</vt:lpstr>
      <vt:lpstr>_ca097bd7_db68_4bb8_9e65_dadac87572e5</vt:lpstr>
      <vt:lpstr>_ca4ab06b_5324_40ab_a432_1139d7cb9e9a</vt:lpstr>
      <vt:lpstr>_ca7e0af3_de36_4376_a561_5d3c742acebc</vt:lpstr>
      <vt:lpstr>_cad4e7f5_784c_4195_8cb5_8c1ed2df9118</vt:lpstr>
      <vt:lpstr>_cbe75001_1b1f_4684_b8fc_dd97cd572e08</vt:lpstr>
      <vt:lpstr>_cc652be8_c987_44b0_a7b8_b38f24a774fd</vt:lpstr>
      <vt:lpstr>_cd1a838d_967d_4df8_8959_da3e91d019c7</vt:lpstr>
      <vt:lpstr>_cd3a8228_a564_4a29_bb53_8d23f3af4f8d</vt:lpstr>
      <vt:lpstr>_ce356606_b70e_455c_a7f0_278a9274c30f</vt:lpstr>
      <vt:lpstr>_ce427541_94c6_4e19_bfba_334471291dc9</vt:lpstr>
      <vt:lpstr>_ced5d642_f902_4116_8eec_365c1d0be056</vt:lpstr>
      <vt:lpstr>_cf337c18_bbd6_41ea_aeb8_6889dc68b851</vt:lpstr>
      <vt:lpstr>_cfcb4c96_c88e_4a35_803a_a889e9dd7d09</vt:lpstr>
      <vt:lpstr>_d0955b05_c628_4518_9af2_80c991d01234</vt:lpstr>
      <vt:lpstr>_d0af162b_ba98_4147_a6fc_7c6ff1aaf471</vt:lpstr>
      <vt:lpstr>_d0c4e2e8_ed5b_4f3b_98ce_3538f040ffdd</vt:lpstr>
      <vt:lpstr>_d0e6db09_4210_45d4_bc55_3258a5a7becd</vt:lpstr>
      <vt:lpstr>_d11bffcb_80bc_4142_b578_f8fd7b2ed872</vt:lpstr>
      <vt:lpstr>_d1f82863_9819_4548_ae1f_e4cfe92df877</vt:lpstr>
      <vt:lpstr>_d20ef977_ad63_4fe7_833a_109f9e7d5f64</vt:lpstr>
      <vt:lpstr>_d23e2880_4b88_4ba1_b381_3bc8c5f940af</vt:lpstr>
      <vt:lpstr>_d24f669d_00e1_4357_b04c_2c97c933dfec</vt:lpstr>
      <vt:lpstr>_d2c977b0_75f6_4448_a11e_cb59fc25d8cd</vt:lpstr>
      <vt:lpstr>_d36529d4_505a_4d7c_b7e5_0c40a3c08386</vt:lpstr>
      <vt:lpstr>_d379908f_16e6_4aad_b988_5b7982eb826c</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_de8125e3_2f55_471a_b44e_3fc797d5bb7c</vt:lpstr>
      <vt:lpstr>_e0977557_e4c5_4ef4_9559_6de2a1c73a50</vt:lpstr>
      <vt:lpstr>_e10c609e_8d1f_432f_a13e_7b8a8126b45f</vt:lpstr>
      <vt:lpstr>_e1b18bf0_c01a_41f9_9d0f_7ff41a4c9212</vt:lpstr>
      <vt:lpstr>_e298e0a5_e974_47dc_98cc_18bdd69218f6</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_e6036c71_a0b0_45ea_b10c_37043207b399</vt:lpstr>
      <vt:lpstr>_e6d95e65_44bf_4846_b78f_816689d6036f</vt:lpstr>
      <vt:lpstr>_e713ed26_c546_4a6a_a951_288830ca8584</vt:lpstr>
      <vt:lpstr>_e774554e_fb6f_43f6_baf0_c17f0492b38e</vt:lpstr>
      <vt:lpstr>_e791e9cc_e0a5_4bd0_a74b_188698c51274</vt:lpstr>
      <vt:lpstr>_e7e9d6df_5983_4b14_8cdc_daf32af1a30f</vt:lpstr>
      <vt:lpstr>_e80f85f8_0abc_454b_92e1_70be11b30e29</vt:lpstr>
      <vt:lpstr>_e8ee11f8_cd11_4941_8f4e_979bc348765e</vt:lpstr>
      <vt:lpstr>_e997142a_f700_4b71_9747_d54e4a4ef7c7</vt:lpstr>
      <vt:lpstr>_ea0a6aff_050a_4e7c_bb67_efe887a6ff8c</vt:lpstr>
      <vt:lpstr>_ea72c56b_d1e9_4c5d_ba1d_cc707a1c7a52</vt:lpstr>
      <vt:lpstr>_eabb6097_6646_49fe_9d42_cce1d696601b</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_f0f5c51b_e422_42f2_88da_9eff4b5a59d3</vt:lpstr>
      <vt:lpstr>_f1c519aa_961b_42b6_a4f4_d9f451ddf622</vt:lpstr>
      <vt:lpstr>_f2045cc5_f4d7_4b1d_8aeb_d44e7918995b</vt:lpstr>
      <vt:lpstr>_f21c8db1_2baf_45f9_a210_b096e419362b</vt:lpstr>
      <vt:lpstr>_f2e17f54_33e5_4fb3_8547_527de2a7d0ac</vt:lpstr>
      <vt:lpstr>_f3654abd_3fbc_41ef_a2e7_0d54ea478341</vt:lpstr>
      <vt:lpstr>_f39f3286_1b88_4f0b_b268_bc711c9c67e1</vt:lpstr>
      <vt:lpstr>_f686534e_e5b4_42a0_a0f2_a919117d0136</vt:lpstr>
      <vt:lpstr>_f6cc91f7_16cd_4c28_ae23_539a66875c7e</vt:lpstr>
      <vt:lpstr>_f7611a26_2008_46e2_a2c0_dadeef65f0ed</vt:lpstr>
      <vt:lpstr>_f764864d_aa9b_444c_a466_cce493ea1b3b</vt:lpstr>
      <vt:lpstr>_f8da171f_1ef1_4701_824e_35a927e47c50</vt:lpstr>
      <vt:lpstr>_fa55b4d1_29cb_4b51_b2d0_8f7892f292e2</vt:lpstr>
      <vt:lpstr>_fa828cb2_bd98_4c85_a567_d82b0ffa1d3f</vt:lpstr>
      <vt:lpstr>_faacf26c_51ba_405a_bccb_3b2bf0981690</vt:lpstr>
      <vt:lpstr>_facd5aba_c813_47e2_8877_94bdd6685d41</vt:lpstr>
      <vt:lpstr>_fbc5eaa3_1127_42c4_a746_2bd3d587fad5</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_ffc69f08_b317_4d33_8688_bf480f40f783</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AIM_Outcome_Indicator_Targets_Result__c.AIM_Due_for_Reporting__c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'Account Role'!Extract</vt:lpstr>
      <vt:lpstr>Impact_indicator___section_B</vt:lpstr>
      <vt:lpstr>Impact_Indicator_Disaggregation</vt:lpstr>
      <vt:lpstr>Impact_Indicator_Disaggregation_new</vt:lpstr>
      <vt:lpstr>Impact_indicator_targets___section_B</vt:lpstr>
      <vt:lpstr>'Instructions-ES'!Instruction__Section_A</vt:lpstr>
      <vt:lpstr>'Instructions-ES'!InstructionA</vt:lpstr>
      <vt:lpstr>'Instructions-ES'!InstructionB</vt:lpstr>
      <vt:lpstr>'Instructions-ES'!InstructionC</vt:lpstr>
      <vt:lpstr>'Instructions-ES'!InstructionD</vt:lpstr>
      <vt:lpstr>'Instructions-ES'!InstructionE</vt:lpstr>
      <vt:lpstr>'Instructions-ES'!InstructionsSectionF</vt:lpstr>
      <vt:lpstr>KeyActivityColumn</vt:lpstr>
      <vt:lpstr>KeyActivityStart</vt:lpstr>
      <vt:lpstr>LangOffset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vt:lpstr>
      <vt:lpstr>Population_by_intervention</vt:lpstr>
      <vt:lpstr>Population_by_Intervention_name</vt:lpstr>
      <vt:lpstr>PopulationByCoverage</vt:lpstr>
      <vt:lpstr>'Instructions-ES'!Print_Area</vt:lpstr>
      <vt:lpstr>'Overview - Section A'!Print_Area</vt:lpstr>
      <vt:lpstr>'Print View'!Print_Area</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Juan C Ramirez</dc:creator>
  <cp:lastModifiedBy>Maria Veronica Espinosa</cp:lastModifiedBy>
  <cp:lastPrinted>2019-09-25T09:55:54Z</cp:lastPrinted>
  <dcterms:created xsi:type="dcterms:W3CDTF">2016-09-24T07:20:04Z</dcterms:created>
  <dcterms:modified xsi:type="dcterms:W3CDTF">2021-09-28T14:07:07Z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0x01010014768F94803F42BEA62C5B7969543DC70068B24FD80E188845818117EF73F6F3FA</vt:lpwstr>
  </property>
  <property fmtid="{D5CDD505-2E9C-101B-9397-08002B2CF9AE}" pid="4" name="_dlc_DocIdItemGuid">
    <vt:lpwstr>75535249-2310-49f0-a0f4-fd8dbe107b00</vt:lpwstr>
  </property>
</Properties>
</file>